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31"/>
  <workbookPr date1904="1" showInkAnnotation="0" codeName="ThisWorkbook" autoCompressPictures="0"/>
  <bookViews>
    <workbookView xWindow="1820" yWindow="100" windowWidth="33080" windowHeight="23000" tabRatio="944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161" i="2" l="1"/>
  <c r="CN1161" i="2"/>
  <c r="O2216" i="2"/>
  <c r="N2216" i="2"/>
  <c r="R267" i="2"/>
  <c r="O267" i="2"/>
  <c r="N267" i="2"/>
  <c r="P1663" i="2"/>
  <c r="P1373" i="2"/>
  <c r="AN2404" i="2"/>
  <c r="AN2405" i="2"/>
  <c r="AN2406" i="2"/>
  <c r="AN2407" i="2"/>
  <c r="AN2408" i="2"/>
  <c r="AN2409" i="2"/>
  <c r="AN2410" i="2"/>
  <c r="S2404" i="2"/>
  <c r="S2405" i="2"/>
  <c r="S2406" i="2"/>
  <c r="S2407" i="2"/>
  <c r="S2408" i="2"/>
  <c r="S2409" i="2"/>
  <c r="S2410" i="2"/>
  <c r="P2404" i="2"/>
  <c r="P2405" i="2"/>
  <c r="P2406" i="2"/>
  <c r="P2407" i="2"/>
  <c r="P2408" i="2"/>
  <c r="P2409" i="2"/>
  <c r="P2410" i="2"/>
  <c r="BR1360" i="3"/>
  <c r="AN1360" i="3"/>
  <c r="S1360" i="3"/>
  <c r="P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CL3159" i="2"/>
  <c r="CK3159" i="2"/>
  <c r="CJ3159" i="2"/>
  <c r="CI3159" i="2"/>
  <c r="CH3159" i="2"/>
  <c r="CG3159" i="2"/>
  <c r="CF3159" i="2"/>
  <c r="CE3159" i="2"/>
  <c r="CD3159" i="2"/>
  <c r="W3104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AQ3159" i="2"/>
  <c r="AM3159" i="2"/>
  <c r="AL3159" i="2"/>
  <c r="AF3159" i="2"/>
  <c r="AE3159" i="2"/>
  <c r="AD3159" i="2"/>
  <c r="AA3159" i="2"/>
  <c r="Z3159" i="2"/>
  <c r="Y3159" i="2"/>
  <c r="V3159" i="2"/>
  <c r="T3159" i="2"/>
  <c r="P3159" i="2"/>
  <c r="CD2402" i="2"/>
  <c r="CC2402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CW737" i="2"/>
  <c r="Y691" i="2"/>
  <c r="Y737" i="2"/>
  <c r="S691" i="2"/>
  <c r="S737" i="2"/>
  <c r="P691" i="2"/>
  <c r="P737" i="2"/>
  <c r="W2879" i="2"/>
  <c r="CA2768" i="2"/>
  <c r="CA2794" i="2"/>
  <c r="CA2879" i="2"/>
  <c r="W2878" i="2"/>
  <c r="C2878" i="2"/>
  <c r="BZ2878" i="2"/>
  <c r="W2877" i="2"/>
  <c r="C2877" i="2"/>
  <c r="BZ2877" i="2"/>
  <c r="W2876" i="2"/>
  <c r="C2876" i="2"/>
  <c r="BZ2876" i="2"/>
  <c r="W2875" i="2"/>
  <c r="C2875" i="2"/>
  <c r="BZ2875" i="2"/>
  <c r="W2874" i="2"/>
  <c r="C2874" i="2"/>
  <c r="BZ2874" i="2"/>
  <c r="W2873" i="2"/>
  <c r="C2873" i="2"/>
  <c r="BZ2873" i="2"/>
  <c r="W2872" i="2"/>
  <c r="C2872" i="2"/>
  <c r="BZ2872" i="2"/>
  <c r="W2871" i="2"/>
  <c r="C2871" i="2"/>
  <c r="BZ2871" i="2"/>
  <c r="W2870" i="2"/>
  <c r="C2870" i="2"/>
  <c r="BZ2870" i="2"/>
  <c r="W2869" i="2"/>
  <c r="C2869" i="2"/>
  <c r="BZ2869" i="2"/>
  <c r="W2868" i="2"/>
  <c r="C2868" i="2"/>
  <c r="BZ2868" i="2"/>
  <c r="W2867" i="2"/>
  <c r="C2867" i="2"/>
  <c r="BZ2867" i="2"/>
  <c r="W2866" i="2"/>
  <c r="C2866" i="2"/>
  <c r="BZ2866" i="2"/>
  <c r="W2865" i="2"/>
  <c r="C2865" i="2"/>
  <c r="BZ2865" i="2"/>
  <c r="W2864" i="2"/>
  <c r="C2864" i="2"/>
  <c r="BZ2864" i="2"/>
  <c r="W2863" i="2"/>
  <c r="C2863" i="2"/>
  <c r="BZ2863" i="2"/>
  <c r="W2862" i="2"/>
  <c r="C2862" i="2"/>
  <c r="BZ2862" i="2"/>
  <c r="W2861" i="2"/>
  <c r="C2861" i="2"/>
  <c r="BZ2861" i="2"/>
  <c r="W2860" i="2"/>
  <c r="C2860" i="2"/>
  <c r="BZ2860" i="2"/>
  <c r="W2859" i="2"/>
  <c r="C2859" i="2"/>
  <c r="BZ2859" i="2"/>
  <c r="W2858" i="2"/>
  <c r="C2858" i="2"/>
  <c r="BZ2858" i="2"/>
  <c r="W2857" i="2"/>
  <c r="C2857" i="2"/>
  <c r="BZ2857" i="2"/>
  <c r="W2856" i="2"/>
  <c r="C2856" i="2"/>
  <c r="BZ2856" i="2"/>
  <c r="W2855" i="2"/>
  <c r="C2855" i="2"/>
  <c r="BZ2855" i="2"/>
  <c r="W2854" i="2"/>
  <c r="C2854" i="2"/>
  <c r="BZ2854" i="2"/>
  <c r="W2853" i="2"/>
  <c r="C2853" i="2"/>
  <c r="BZ2853" i="2"/>
  <c r="W2852" i="2"/>
  <c r="C2852" i="2"/>
  <c r="BZ2852" i="2"/>
  <c r="W2851" i="2"/>
  <c r="C2851" i="2"/>
  <c r="BZ2851" i="2"/>
  <c r="W2850" i="2"/>
  <c r="C2850" i="2"/>
  <c r="BZ2850" i="2"/>
  <c r="W2849" i="2"/>
  <c r="C2849" i="2"/>
  <c r="BZ2849" i="2"/>
  <c r="W2848" i="2"/>
  <c r="C2848" i="2"/>
  <c r="BZ2848" i="2"/>
  <c r="W2847" i="2"/>
  <c r="C2847" i="2"/>
  <c r="BZ2847" i="2"/>
  <c r="W2846" i="2"/>
  <c r="C2846" i="2"/>
  <c r="BZ2846" i="2"/>
  <c r="W2845" i="2"/>
  <c r="C2845" i="2"/>
  <c r="BZ2845" i="2"/>
  <c r="W2844" i="2"/>
  <c r="C2844" i="2"/>
  <c r="BZ2844" i="2"/>
  <c r="W2843" i="2"/>
  <c r="C2843" i="2"/>
  <c r="BZ2843" i="2"/>
  <c r="W2842" i="2"/>
  <c r="C2842" i="2"/>
  <c r="BZ2842" i="2"/>
  <c r="W2841" i="2"/>
  <c r="C2841" i="2"/>
  <c r="BZ2841" i="2"/>
  <c r="W2840" i="2"/>
  <c r="C2840" i="2"/>
  <c r="BZ2840" i="2"/>
  <c r="W2839" i="2"/>
  <c r="C2839" i="2"/>
  <c r="BZ2839" i="2"/>
  <c r="W2838" i="2"/>
  <c r="C2838" i="2"/>
  <c r="BZ2838" i="2"/>
  <c r="W2837" i="2"/>
  <c r="C2837" i="2"/>
  <c r="BZ2837" i="2"/>
  <c r="W2836" i="2"/>
  <c r="C2836" i="2"/>
  <c r="BZ2836" i="2"/>
  <c r="BY2836" i="2"/>
  <c r="W2835" i="2"/>
  <c r="C2835" i="2"/>
  <c r="BZ2835" i="2"/>
  <c r="W2834" i="2"/>
  <c r="C2834" i="2"/>
  <c r="BZ2834" i="2"/>
  <c r="W2833" i="2"/>
  <c r="C2833" i="2"/>
  <c r="BZ2833" i="2"/>
  <c r="W2832" i="2"/>
  <c r="C2832" i="2"/>
  <c r="BZ2832" i="2"/>
  <c r="BY2832" i="2"/>
  <c r="W2831" i="2"/>
  <c r="C2831" i="2"/>
  <c r="BZ2831" i="2"/>
  <c r="W2830" i="2"/>
  <c r="C2830" i="2"/>
  <c r="BZ2830" i="2"/>
  <c r="W2829" i="2"/>
  <c r="C2829" i="2"/>
  <c r="BZ2829" i="2"/>
  <c r="W2828" i="2"/>
  <c r="C2828" i="2"/>
  <c r="BZ2828" i="2"/>
  <c r="W2827" i="2"/>
  <c r="C2827" i="2"/>
  <c r="BZ2827" i="2"/>
  <c r="W2826" i="2"/>
  <c r="C2826" i="2"/>
  <c r="BZ2826" i="2"/>
  <c r="W2825" i="2"/>
  <c r="C2825" i="2"/>
  <c r="BZ2825" i="2"/>
  <c r="W2824" i="2"/>
  <c r="C2824" i="2"/>
  <c r="BZ2824" i="2"/>
  <c r="W2823" i="2"/>
  <c r="C2823" i="2"/>
  <c r="BZ2823" i="2"/>
  <c r="W2822" i="2"/>
  <c r="C2822" i="2"/>
  <c r="BZ2822" i="2"/>
  <c r="W2821" i="2"/>
  <c r="C2821" i="2"/>
  <c r="BZ2821" i="2"/>
  <c r="W2820" i="2"/>
  <c r="C2820" i="2"/>
  <c r="BZ2820" i="2"/>
  <c r="W2819" i="2"/>
  <c r="C2819" i="2"/>
  <c r="BZ2819" i="2"/>
  <c r="W2818" i="2"/>
  <c r="C2818" i="2"/>
  <c r="BZ2818" i="2"/>
  <c r="W2817" i="2"/>
  <c r="C2817" i="2"/>
  <c r="BZ2817" i="2"/>
  <c r="W2816" i="2"/>
  <c r="C2816" i="2"/>
  <c r="BZ2816" i="2"/>
  <c r="W2815" i="2"/>
  <c r="C2815" i="2"/>
  <c r="BZ2815" i="2"/>
  <c r="W2814" i="2"/>
  <c r="C2814" i="2"/>
  <c r="BZ2814" i="2"/>
  <c r="W2813" i="2"/>
  <c r="C2813" i="2"/>
  <c r="BZ2813" i="2"/>
  <c r="W2812" i="2"/>
  <c r="C2812" i="2"/>
  <c r="BZ2812" i="2"/>
  <c r="W2811" i="2"/>
  <c r="C2811" i="2"/>
  <c r="BZ2811" i="2"/>
  <c r="W2810" i="2"/>
  <c r="C2810" i="2"/>
  <c r="BZ2810" i="2"/>
  <c r="W2809" i="2"/>
  <c r="C2809" i="2"/>
  <c r="BZ2809" i="2"/>
  <c r="W2808" i="2"/>
  <c r="C2808" i="2"/>
  <c r="BZ2808" i="2"/>
  <c r="W2807" i="2"/>
  <c r="C2807" i="2"/>
  <c r="BZ2807" i="2"/>
  <c r="W2806" i="2"/>
  <c r="C2806" i="2"/>
  <c r="BZ2806" i="2"/>
  <c r="W2805" i="2"/>
  <c r="C2805" i="2"/>
  <c r="BZ2805" i="2"/>
  <c r="W2804" i="2"/>
  <c r="C2804" i="2"/>
  <c r="BZ2804" i="2"/>
  <c r="W2803" i="2"/>
  <c r="C2803" i="2"/>
  <c r="BZ2803" i="2"/>
  <c r="W2802" i="2"/>
  <c r="C2802" i="2"/>
  <c r="BZ2802" i="2"/>
  <c r="W2801" i="2"/>
  <c r="C2801" i="2"/>
  <c r="BZ2801" i="2"/>
  <c r="W2800" i="2"/>
  <c r="C2800" i="2"/>
  <c r="BZ2800" i="2"/>
  <c r="W2799" i="2"/>
  <c r="C2799" i="2"/>
  <c r="BZ2799" i="2"/>
  <c r="W2798" i="2"/>
  <c r="C2798" i="2"/>
  <c r="BZ2798" i="2"/>
  <c r="W2797" i="2"/>
  <c r="C2797" i="2"/>
  <c r="BZ2797" i="2"/>
  <c r="W2796" i="2"/>
  <c r="C2796" i="2"/>
  <c r="BZ2796" i="2"/>
  <c r="W2795" i="2"/>
  <c r="C2795" i="2"/>
  <c r="BZ2795" i="2"/>
  <c r="W2794" i="2"/>
  <c r="C2794" i="2"/>
  <c r="BZ2794" i="2"/>
  <c r="W2793" i="2"/>
  <c r="C2793" i="2"/>
  <c r="BZ2793" i="2"/>
  <c r="W2792" i="2"/>
  <c r="C2792" i="2"/>
  <c r="BZ2792" i="2"/>
  <c r="W2791" i="2"/>
  <c r="C2791" i="2"/>
  <c r="BZ2791" i="2"/>
  <c r="W2790" i="2"/>
  <c r="C2790" i="2"/>
  <c r="BZ2790" i="2"/>
  <c r="W2789" i="2"/>
  <c r="C2789" i="2"/>
  <c r="BZ2789" i="2"/>
  <c r="W2788" i="2"/>
  <c r="C2788" i="2"/>
  <c r="BZ2788" i="2"/>
  <c r="W2787" i="2"/>
  <c r="C2787" i="2"/>
  <c r="BZ2787" i="2"/>
  <c r="W2786" i="2"/>
  <c r="C2786" i="2"/>
  <c r="BZ2786" i="2"/>
  <c r="W2785" i="2"/>
  <c r="C2785" i="2"/>
  <c r="BZ2785" i="2"/>
  <c r="W2784" i="2"/>
  <c r="C2784" i="2"/>
  <c r="BZ2784" i="2"/>
  <c r="W2783" i="2"/>
  <c r="C2783" i="2"/>
  <c r="BZ2783" i="2"/>
  <c r="W2782" i="2"/>
  <c r="C2782" i="2"/>
  <c r="BZ2782" i="2"/>
  <c r="W2781" i="2"/>
  <c r="C2781" i="2"/>
  <c r="BZ2781" i="2"/>
  <c r="W2780" i="2"/>
  <c r="C2780" i="2"/>
  <c r="BZ2780" i="2"/>
  <c r="W2779" i="2"/>
  <c r="C2779" i="2"/>
  <c r="BZ2779" i="2"/>
  <c r="W2778" i="2"/>
  <c r="C2778" i="2"/>
  <c r="BZ2778" i="2"/>
  <c r="W2777" i="2"/>
  <c r="C2777" i="2"/>
  <c r="BZ2777" i="2"/>
  <c r="W2776" i="2"/>
  <c r="C2776" i="2"/>
  <c r="BZ2776" i="2"/>
  <c r="W2775" i="2"/>
  <c r="C2775" i="2"/>
  <c r="BZ2775" i="2"/>
  <c r="W2774" i="2"/>
  <c r="C2774" i="2"/>
  <c r="BZ2774" i="2"/>
  <c r="W2773" i="2"/>
  <c r="C2773" i="2"/>
  <c r="BZ2773" i="2"/>
  <c r="W2772" i="2"/>
  <c r="C2772" i="2"/>
  <c r="BZ2772" i="2"/>
  <c r="W2771" i="2"/>
  <c r="C2771" i="2"/>
  <c r="BZ2771" i="2"/>
  <c r="W2770" i="2"/>
  <c r="C2770" i="2"/>
  <c r="BZ2770" i="2"/>
  <c r="W2769" i="2"/>
  <c r="C2769" i="2"/>
  <c r="BZ2769" i="2"/>
  <c r="W2768" i="2"/>
  <c r="C2768" i="2"/>
  <c r="BZ2768" i="2"/>
  <c r="W2767" i="2"/>
  <c r="C2767" i="2"/>
  <c r="BZ2767" i="2"/>
  <c r="W2766" i="2"/>
  <c r="C2766" i="2"/>
  <c r="BZ2766" i="2"/>
  <c r="W2765" i="2"/>
  <c r="C2765" i="2"/>
  <c r="BZ2765" i="2"/>
  <c r="W2764" i="2"/>
  <c r="C2764" i="2"/>
  <c r="BZ2764" i="2"/>
  <c r="W2763" i="2"/>
  <c r="C2763" i="2"/>
  <c r="BZ2763" i="2"/>
  <c r="W2762" i="2"/>
  <c r="C2762" i="2"/>
  <c r="BZ2762" i="2"/>
  <c r="W2761" i="2"/>
  <c r="C2761" i="2"/>
  <c r="BZ2761" i="2"/>
  <c r="W2760" i="2"/>
  <c r="C2760" i="2"/>
  <c r="BZ2760" i="2"/>
  <c r="W2759" i="2"/>
  <c r="C2759" i="2"/>
  <c r="BZ2759" i="2"/>
  <c r="W2758" i="2"/>
  <c r="C2758" i="2"/>
  <c r="BZ2758" i="2"/>
  <c r="W2757" i="2"/>
  <c r="C2757" i="2"/>
  <c r="BZ2757" i="2"/>
  <c r="W2756" i="2"/>
  <c r="C2756" i="2"/>
  <c r="BZ2756" i="2"/>
  <c r="W2755" i="2"/>
  <c r="C2755" i="2"/>
  <c r="BZ2755" i="2"/>
  <c r="W2754" i="2"/>
  <c r="C2754" i="2"/>
  <c r="BZ2754" i="2"/>
  <c r="W2753" i="2"/>
  <c r="C2753" i="2"/>
  <c r="BZ2753" i="2"/>
  <c r="W2752" i="2"/>
  <c r="C2752" i="2"/>
  <c r="BZ2752" i="2"/>
  <c r="W2751" i="2"/>
  <c r="C2751" i="2"/>
  <c r="BZ2751" i="2"/>
  <c r="W2750" i="2"/>
  <c r="C2750" i="2"/>
  <c r="BZ2750" i="2"/>
  <c r="W2749" i="2"/>
  <c r="C2749" i="2"/>
  <c r="BZ2749" i="2"/>
  <c r="W2748" i="2"/>
  <c r="C2748" i="2"/>
  <c r="BZ2748" i="2"/>
  <c r="W2747" i="2"/>
  <c r="C2747" i="2"/>
  <c r="BZ2747" i="2"/>
  <c r="W2746" i="2"/>
  <c r="C2746" i="2"/>
  <c r="BZ2746" i="2"/>
  <c r="W2745" i="2"/>
  <c r="C2745" i="2"/>
  <c r="BZ2745" i="2"/>
  <c r="W2744" i="2"/>
  <c r="C2744" i="2"/>
  <c r="BZ2744" i="2"/>
  <c r="W2743" i="2"/>
  <c r="C2743" i="2"/>
  <c r="BZ2743" i="2"/>
  <c r="W2742" i="2"/>
  <c r="C2742" i="2"/>
  <c r="BZ2742" i="2"/>
  <c r="W2741" i="2"/>
  <c r="C2741" i="2"/>
  <c r="BZ2741" i="2"/>
  <c r="W2740" i="2"/>
  <c r="C2740" i="2"/>
  <c r="BZ2740" i="2"/>
  <c r="W2739" i="2"/>
  <c r="C2739" i="2"/>
  <c r="BZ2739" i="2"/>
  <c r="W2738" i="2"/>
  <c r="C2738" i="2"/>
  <c r="BZ2738" i="2"/>
  <c r="W2737" i="2"/>
  <c r="C2737" i="2"/>
  <c r="BZ2737" i="2"/>
  <c r="W2736" i="2"/>
  <c r="C2736" i="2"/>
  <c r="BZ2736" i="2"/>
  <c r="W2735" i="2"/>
  <c r="C2735" i="2"/>
  <c r="BZ2735" i="2"/>
  <c r="W2734" i="2"/>
  <c r="C2734" i="2"/>
  <c r="BZ2734" i="2"/>
  <c r="W2733" i="2"/>
  <c r="C2733" i="2"/>
  <c r="BZ2733" i="2"/>
  <c r="W2732" i="2"/>
  <c r="C2732" i="2"/>
  <c r="BZ2732" i="2"/>
  <c r="W2731" i="2"/>
  <c r="C2731" i="2"/>
  <c r="BZ2731" i="2"/>
  <c r="W2730" i="2"/>
  <c r="C2730" i="2"/>
  <c r="BZ2730" i="2"/>
  <c r="W2729" i="2"/>
  <c r="C2729" i="2"/>
  <c r="BZ2729" i="2"/>
  <c r="W2728" i="2"/>
  <c r="C2728" i="2"/>
  <c r="BZ2728" i="2"/>
  <c r="W2727" i="2"/>
  <c r="C2727" i="2"/>
  <c r="BZ2727" i="2"/>
  <c r="W2726" i="2"/>
  <c r="C2726" i="2"/>
  <c r="BZ2726" i="2"/>
  <c r="W2725" i="2"/>
  <c r="C2725" i="2"/>
  <c r="BZ2725" i="2"/>
  <c r="W2724" i="2"/>
  <c r="C2724" i="2"/>
  <c r="BZ2724" i="2"/>
  <c r="W2723" i="2"/>
  <c r="C2723" i="2"/>
  <c r="BZ2723" i="2"/>
  <c r="W2722" i="2"/>
  <c r="C2722" i="2"/>
  <c r="BZ2722" i="2"/>
  <c r="W2721" i="2"/>
  <c r="C2721" i="2"/>
  <c r="BZ2721" i="2"/>
  <c r="W2720" i="2"/>
  <c r="C2720" i="2"/>
  <c r="BZ2720" i="2"/>
  <c r="W2719" i="2"/>
  <c r="C2719" i="2"/>
  <c r="BZ2719" i="2"/>
  <c r="W2718" i="2"/>
  <c r="C2718" i="2"/>
  <c r="BZ2718" i="2"/>
  <c r="W2717" i="2"/>
  <c r="C2717" i="2"/>
  <c r="BZ2717" i="2"/>
  <c r="W2716" i="2"/>
  <c r="C2716" i="2"/>
  <c r="BZ2716" i="2"/>
  <c r="W2715" i="2"/>
  <c r="C2715" i="2"/>
  <c r="BZ2715" i="2"/>
  <c r="W2714" i="2"/>
  <c r="C2714" i="2"/>
  <c r="BZ2714" i="2"/>
  <c r="W2713" i="2"/>
  <c r="C2713" i="2"/>
  <c r="BZ2713" i="2"/>
  <c r="W2712" i="2"/>
  <c r="C2712" i="2"/>
  <c r="BZ2712" i="2"/>
  <c r="W2711" i="2"/>
  <c r="C2711" i="2"/>
  <c r="BZ2711" i="2"/>
  <c r="W2710" i="2"/>
  <c r="C2710" i="2"/>
  <c r="BZ2710" i="2"/>
  <c r="W2709" i="2"/>
  <c r="C2709" i="2"/>
  <c r="BZ2709" i="2"/>
  <c r="W2708" i="2"/>
  <c r="C2708" i="2"/>
  <c r="BZ2708" i="2"/>
  <c r="W2707" i="2"/>
  <c r="C2707" i="2"/>
  <c r="BZ2707" i="2"/>
  <c r="W2706" i="2"/>
  <c r="C2706" i="2"/>
  <c r="BZ2706" i="2"/>
  <c r="W2705" i="2"/>
  <c r="C2705" i="2"/>
  <c r="BZ2705" i="2"/>
  <c r="W2704" i="2"/>
  <c r="C2704" i="2"/>
  <c r="BZ2704" i="2"/>
  <c r="W2703" i="2"/>
  <c r="C2703" i="2"/>
  <c r="BZ2703" i="2"/>
  <c r="W2702" i="2"/>
  <c r="C2702" i="2"/>
  <c r="BZ2702" i="2"/>
  <c r="W2701" i="2"/>
  <c r="C2701" i="2"/>
  <c r="BZ2701" i="2"/>
  <c r="W2700" i="2"/>
  <c r="C2700" i="2"/>
  <c r="BZ2700" i="2"/>
  <c r="W2698" i="2"/>
  <c r="C2698" i="2"/>
  <c r="BZ2698" i="2"/>
  <c r="W2697" i="2"/>
  <c r="C2697" i="2"/>
  <c r="BZ2697" i="2"/>
  <c r="W2696" i="2"/>
  <c r="C2696" i="2"/>
  <c r="BZ2696" i="2"/>
  <c r="W2695" i="2"/>
  <c r="C2695" i="2"/>
  <c r="BZ2695" i="2"/>
  <c r="W2694" i="2"/>
  <c r="C2694" i="2"/>
  <c r="BZ2694" i="2"/>
  <c r="W2693" i="2"/>
  <c r="C2693" i="2"/>
  <c r="BZ2693" i="2"/>
  <c r="W2692" i="2"/>
  <c r="C2692" i="2"/>
  <c r="BZ2692" i="2"/>
  <c r="W2691" i="2"/>
  <c r="C2691" i="2"/>
  <c r="BZ2691" i="2"/>
  <c r="W2690" i="2"/>
  <c r="C2690" i="2"/>
  <c r="BZ2690" i="2"/>
  <c r="W2689" i="2"/>
  <c r="C2689" i="2"/>
  <c r="BZ2689" i="2"/>
  <c r="W2688" i="2"/>
  <c r="C2688" i="2"/>
  <c r="BZ2688" i="2"/>
  <c r="W2687" i="2"/>
  <c r="C2687" i="2"/>
  <c r="BZ2687" i="2"/>
  <c r="W2686" i="2"/>
  <c r="C2686" i="2"/>
  <c r="BZ2686" i="2"/>
  <c r="W2685" i="2"/>
  <c r="C2685" i="2"/>
  <c r="BZ2685" i="2"/>
  <c r="W2684" i="2"/>
  <c r="C2684" i="2"/>
  <c r="BZ2684" i="2"/>
  <c r="W2683" i="2"/>
  <c r="C2683" i="2"/>
  <c r="BZ2683" i="2"/>
  <c r="W2682" i="2"/>
  <c r="C2682" i="2"/>
  <c r="BZ2682" i="2"/>
  <c r="W2680" i="2"/>
  <c r="C2680" i="2"/>
  <c r="BZ2680" i="2"/>
  <c r="W2679" i="2"/>
  <c r="C2679" i="2"/>
  <c r="BZ2679" i="2"/>
  <c r="W2678" i="2"/>
  <c r="C2678" i="2"/>
  <c r="BZ2678" i="2"/>
  <c r="W2677" i="2"/>
  <c r="C2677" i="2"/>
  <c r="BZ2677" i="2"/>
  <c r="W2676" i="2"/>
  <c r="C2676" i="2"/>
  <c r="BZ2676" i="2"/>
  <c r="W2675" i="2"/>
  <c r="C2675" i="2"/>
  <c r="BZ2675" i="2"/>
  <c r="W2674" i="2"/>
  <c r="C2674" i="2"/>
  <c r="BZ2674" i="2"/>
  <c r="W2673" i="2"/>
  <c r="C2673" i="2"/>
  <c r="BZ2673" i="2"/>
  <c r="W2672" i="2"/>
  <c r="C2672" i="2"/>
  <c r="BZ2672" i="2"/>
  <c r="W2671" i="2"/>
  <c r="C2671" i="2"/>
  <c r="BZ2671" i="2"/>
  <c r="W2670" i="2"/>
  <c r="C2670" i="2"/>
  <c r="BZ2670" i="2"/>
  <c r="W2669" i="2"/>
  <c r="C2669" i="2"/>
  <c r="BZ2669" i="2"/>
  <c r="W2668" i="2"/>
  <c r="C2668" i="2"/>
  <c r="BZ2668" i="2"/>
  <c r="W2666" i="2"/>
  <c r="C2666" i="2"/>
  <c r="BZ2666" i="2"/>
  <c r="W2665" i="2"/>
  <c r="C2665" i="2"/>
  <c r="BZ2665" i="2"/>
  <c r="W2664" i="2"/>
  <c r="C2664" i="2"/>
  <c r="BZ2664" i="2"/>
  <c r="W2663" i="2"/>
  <c r="C2663" i="2"/>
  <c r="BZ2663" i="2"/>
  <c r="W2662" i="2"/>
  <c r="C2662" i="2"/>
  <c r="BZ2662" i="2"/>
  <c r="W2661" i="2"/>
  <c r="C2661" i="2"/>
  <c r="BZ2661" i="2"/>
  <c r="W2660" i="2"/>
  <c r="C2660" i="2"/>
  <c r="BZ2660" i="2"/>
  <c r="W2659" i="2"/>
  <c r="C2659" i="2"/>
  <c r="BZ2659" i="2"/>
  <c r="W2658" i="2"/>
  <c r="C2658" i="2"/>
  <c r="BZ2658" i="2"/>
  <c r="W2657" i="2"/>
  <c r="C2657" i="2"/>
  <c r="BZ2657" i="2"/>
  <c r="W2656" i="2"/>
  <c r="C2656" i="2"/>
  <c r="BZ2656" i="2"/>
  <c r="W2655" i="2"/>
  <c r="C2655" i="2"/>
  <c r="BZ2655" i="2"/>
  <c r="W2654" i="2"/>
  <c r="C2654" i="2"/>
  <c r="BZ2654" i="2"/>
  <c r="W2653" i="2"/>
  <c r="C2653" i="2"/>
  <c r="BZ2653" i="2"/>
  <c r="BY2653" i="2"/>
  <c r="W2652" i="2"/>
  <c r="C2652" i="2"/>
  <c r="BZ2652" i="2"/>
  <c r="BY2652" i="2"/>
  <c r="W2651" i="2"/>
  <c r="C2651" i="2"/>
  <c r="BZ2651" i="2"/>
  <c r="W2650" i="2"/>
  <c r="C2650" i="2"/>
  <c r="BZ2650" i="2"/>
  <c r="W2649" i="2"/>
  <c r="C2649" i="2"/>
  <c r="BZ2649" i="2"/>
  <c r="W2648" i="2"/>
  <c r="C2648" i="2"/>
  <c r="BZ2648" i="2"/>
  <c r="W2647" i="2"/>
  <c r="C2647" i="2"/>
  <c r="BZ2647" i="2"/>
  <c r="W2646" i="2"/>
  <c r="C2646" i="2"/>
  <c r="BZ2646" i="2"/>
  <c r="W2645" i="2"/>
  <c r="C2645" i="2"/>
  <c r="BZ2645" i="2"/>
  <c r="W2644" i="2"/>
  <c r="C2644" i="2"/>
  <c r="BZ2644" i="2"/>
  <c r="W2643" i="2"/>
  <c r="C2643" i="2"/>
  <c r="BZ2643" i="2"/>
  <c r="W2642" i="2"/>
  <c r="C2642" i="2"/>
  <c r="BZ2642" i="2"/>
  <c r="W2641" i="2"/>
  <c r="C2641" i="2"/>
  <c r="BZ2641" i="2"/>
  <c r="W2640" i="2"/>
  <c r="C2640" i="2"/>
  <c r="BZ2640" i="2"/>
  <c r="W2639" i="2"/>
  <c r="C2639" i="2"/>
  <c r="BZ2639" i="2"/>
  <c r="W2638" i="2"/>
  <c r="C2638" i="2"/>
  <c r="BZ2638" i="2"/>
  <c r="BY2638" i="2"/>
  <c r="W2637" i="2"/>
  <c r="C2637" i="2"/>
  <c r="BZ2637" i="2"/>
  <c r="W2636" i="2"/>
  <c r="C2636" i="2"/>
  <c r="BZ2636" i="2"/>
  <c r="W2635" i="2"/>
  <c r="C2635" i="2"/>
  <c r="BZ2635" i="2"/>
  <c r="W2634" i="2"/>
  <c r="C2634" i="2"/>
  <c r="BZ2634" i="2"/>
  <c r="W2633" i="2"/>
  <c r="C2633" i="2"/>
  <c r="BZ2633" i="2"/>
  <c r="W2632" i="2"/>
  <c r="C2632" i="2"/>
  <c r="BZ2632" i="2"/>
  <c r="W2631" i="2"/>
  <c r="C2631" i="2"/>
  <c r="BZ2631" i="2"/>
  <c r="W2630" i="2"/>
  <c r="C2630" i="2"/>
  <c r="BZ2630" i="2"/>
  <c r="W2629" i="2"/>
  <c r="C2629" i="2"/>
  <c r="BZ2629" i="2"/>
  <c r="W2628" i="2"/>
  <c r="C2628" i="2"/>
  <c r="BZ2628" i="2"/>
  <c r="W2627" i="2"/>
  <c r="C2627" i="2"/>
  <c r="BZ2627" i="2"/>
  <c r="W2626" i="2"/>
  <c r="C2626" i="2"/>
  <c r="BZ2626" i="2"/>
  <c r="W2625" i="2"/>
  <c r="C2625" i="2"/>
  <c r="BZ2625" i="2"/>
  <c r="CA2373" i="2"/>
  <c r="CA2382" i="2"/>
  <c r="CA2386" i="2"/>
  <c r="CA2387" i="2"/>
  <c r="CA2391" i="2"/>
  <c r="CA2402" i="2"/>
  <c r="BZ2336" i="2"/>
  <c r="BZ2338" i="2"/>
  <c r="BZ2340" i="2"/>
  <c r="BZ2343" i="2"/>
  <c r="BZ2344" i="2"/>
  <c r="BZ2345" i="2"/>
  <c r="BZ2346" i="2"/>
  <c r="BZ2348" i="2"/>
  <c r="BZ2349" i="2"/>
  <c r="BZ2351" i="2"/>
  <c r="BZ2354" i="2"/>
  <c r="BZ2355" i="2"/>
  <c r="BZ2356" i="2"/>
  <c r="BZ2357" i="2"/>
  <c r="BZ2358" i="2"/>
  <c r="BZ2359" i="2"/>
  <c r="BZ2364" i="2"/>
  <c r="BZ2365" i="2"/>
  <c r="BZ2366" i="2"/>
  <c r="BZ2368" i="2"/>
  <c r="BZ2371" i="2"/>
  <c r="BZ2372" i="2"/>
  <c r="BZ2376" i="2"/>
  <c r="BZ2377" i="2"/>
  <c r="BZ2379" i="2"/>
  <c r="BZ2386" i="2"/>
  <c r="BZ2387" i="2"/>
  <c r="BZ2391" i="2"/>
  <c r="BZ2392" i="2"/>
  <c r="BZ2394" i="2"/>
  <c r="BZ2395" i="2"/>
  <c r="BZ2400" i="2"/>
  <c r="BZ2402" i="2"/>
  <c r="AN1969" i="2"/>
  <c r="R1969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P1969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V1969" i="2"/>
  <c r="U1969" i="2"/>
  <c r="T1969" i="2"/>
  <c r="S1969" i="2"/>
  <c r="AL1969" i="2"/>
  <c r="AG1969" i="2"/>
  <c r="AA1969" i="2"/>
  <c r="Y1969" i="2"/>
  <c r="CY1969" i="2"/>
  <c r="CX1969" i="2"/>
  <c r="CW1969" i="2"/>
  <c r="CV1969" i="2"/>
  <c r="CU1969" i="2"/>
  <c r="CT1969" i="2"/>
  <c r="CS1969" i="2"/>
  <c r="CR1969" i="2"/>
  <c r="CQ1969" i="2"/>
  <c r="CP1969" i="2"/>
  <c r="CO1969" i="2"/>
  <c r="CN1969" i="2"/>
  <c r="CM1969" i="2"/>
  <c r="CL1969" i="2"/>
  <c r="CK1969" i="2"/>
  <c r="CJ1969" i="2"/>
  <c r="CI1969" i="2"/>
  <c r="CH1969" i="2"/>
  <c r="CG1969" i="2"/>
  <c r="CF1969" i="2"/>
  <c r="CE1969" i="2"/>
  <c r="CD1969" i="2"/>
  <c r="CB1938" i="2"/>
  <c r="CB1969" i="2"/>
  <c r="BP1969" i="2"/>
  <c r="BO1969" i="2"/>
  <c r="BZ1969" i="2"/>
  <c r="BY1969" i="2"/>
  <c r="BX1969" i="2"/>
  <c r="BW1969" i="2"/>
  <c r="BV1969" i="2"/>
  <c r="BU1969" i="2"/>
  <c r="BT1969" i="2"/>
  <c r="CA2128" i="2"/>
  <c r="CA2134" i="2"/>
  <c r="CA2136" i="2"/>
  <c r="CA2150" i="2"/>
  <c r="CA2158" i="2"/>
  <c r="CA2159" i="2"/>
  <c r="CA2160" i="2"/>
  <c r="CA2168" i="2"/>
  <c r="CA2172" i="2"/>
  <c r="CA2175" i="2"/>
  <c r="CA2178" i="2"/>
  <c r="CA2179" i="2"/>
  <c r="CA2182" i="2"/>
  <c r="CA2185" i="2"/>
  <c r="CA2186" i="2"/>
  <c r="CA2187" i="2"/>
  <c r="CA2190" i="2"/>
  <c r="CA2197" i="2"/>
  <c r="CA2205" i="2"/>
  <c r="CA2206" i="2"/>
  <c r="CA2216" i="2"/>
  <c r="BZ2137" i="2"/>
  <c r="BZ2141" i="2"/>
  <c r="BZ2142" i="2"/>
  <c r="BZ2148" i="2"/>
  <c r="BZ2149" i="2"/>
  <c r="BZ2177" i="2"/>
  <c r="BZ2187" i="2"/>
  <c r="BZ2204" i="2"/>
  <c r="BZ2216" i="2"/>
  <c r="CA1562" i="2"/>
  <c r="CA1563" i="2"/>
  <c r="CA1583" i="2"/>
  <c r="CA1595" i="2"/>
  <c r="CA1629" i="2"/>
  <c r="CA1639" i="2"/>
  <c r="CA1641" i="2"/>
  <c r="CA1657" i="2"/>
  <c r="CA1663" i="2"/>
  <c r="BZ1572" i="2"/>
  <c r="BZ1586" i="2"/>
  <c r="BZ1595" i="2"/>
  <c r="BZ1600" i="2"/>
  <c r="BZ1604" i="2"/>
  <c r="BZ1607" i="2"/>
  <c r="BZ1620" i="2"/>
  <c r="BZ1625" i="2"/>
  <c r="BZ1628" i="2"/>
  <c r="BZ1635" i="2"/>
  <c r="BZ1642" i="2"/>
  <c r="BZ1655" i="2"/>
  <c r="BZ1663" i="2"/>
  <c r="CA1297" i="2"/>
  <c r="CA1298" i="2"/>
  <c r="CA1304" i="2"/>
  <c r="CA1310" i="2"/>
  <c r="CA1316" i="2"/>
  <c r="CA1317" i="2"/>
  <c r="CA1322" i="2"/>
  <c r="CA1327" i="2"/>
  <c r="CA1336" i="2"/>
  <c r="CA1337" i="2"/>
  <c r="CA1341" i="2"/>
  <c r="CA1350" i="2"/>
  <c r="CA1358" i="2"/>
  <c r="CA1360" i="2"/>
  <c r="CA1364" i="2"/>
  <c r="CA1373" i="2"/>
  <c r="BZ1307" i="2"/>
  <c r="BZ1312" i="2"/>
  <c r="BZ1313" i="2"/>
  <c r="BZ1322" i="2"/>
  <c r="BZ1323" i="2"/>
  <c r="BZ1324" i="2"/>
  <c r="BZ1330" i="2"/>
  <c r="BZ1342" i="2"/>
  <c r="BZ1343" i="2"/>
  <c r="BZ1348" i="2"/>
  <c r="BZ1350" i="2"/>
  <c r="BZ1354" i="2"/>
  <c r="BZ1359" i="2"/>
  <c r="BZ1367" i="2"/>
  <c r="BZ1370" i="2"/>
  <c r="BZ1371" i="2"/>
  <c r="BZ1373" i="2"/>
  <c r="CA831" i="2"/>
  <c r="BZ751" i="2"/>
  <c r="BZ760" i="2"/>
  <c r="BZ787" i="2"/>
  <c r="BZ831" i="2"/>
  <c r="CA637" i="2"/>
  <c r="CA640" i="2"/>
  <c r="CA645" i="2"/>
  <c r="CA646" i="2"/>
  <c r="CA649" i="2"/>
  <c r="CA651" i="2"/>
  <c r="CA654" i="2"/>
  <c r="CA656" i="2"/>
  <c r="CA657" i="2"/>
  <c r="CA661" i="2"/>
  <c r="CA663" i="2"/>
  <c r="CA666" i="2"/>
  <c r="CA672" i="2"/>
  <c r="CA677" i="2"/>
  <c r="CA681" i="2"/>
  <c r="CA682" i="2"/>
  <c r="CA687" i="2"/>
  <c r="CA689" i="2"/>
  <c r="CA691" i="2"/>
  <c r="CA693" i="2"/>
  <c r="CA697" i="2"/>
  <c r="CA704" i="2"/>
  <c r="CA707" i="2"/>
  <c r="CA708" i="2"/>
  <c r="CA712" i="2"/>
  <c r="CA715" i="2"/>
  <c r="CA716" i="2"/>
  <c r="CA718" i="2"/>
  <c r="CA721" i="2"/>
  <c r="CA724" i="2"/>
  <c r="CA726" i="2"/>
  <c r="CA733" i="2"/>
  <c r="CA735" i="2"/>
  <c r="CA737" i="2"/>
  <c r="BZ639" i="2"/>
  <c r="BZ641" i="2"/>
  <c r="BZ644" i="2"/>
  <c r="BZ653" i="2"/>
  <c r="BZ662" i="2"/>
  <c r="BZ664" i="2"/>
  <c r="BZ668" i="2"/>
  <c r="BZ670" i="2"/>
  <c r="BZ675" i="2"/>
  <c r="BZ676" i="2"/>
  <c r="BZ677" i="2"/>
  <c r="BZ681" i="2"/>
  <c r="BZ682" i="2"/>
  <c r="BZ683" i="2"/>
  <c r="BZ684" i="2"/>
  <c r="BZ688" i="2"/>
  <c r="BZ691" i="2"/>
  <c r="BZ694" i="2"/>
  <c r="BZ696" i="2"/>
  <c r="BZ699" i="2"/>
  <c r="BZ702" i="2"/>
  <c r="BZ705" i="2"/>
  <c r="BZ715" i="2"/>
  <c r="BZ716" i="2"/>
  <c r="BZ717" i="2"/>
  <c r="BZ722" i="2"/>
  <c r="BZ723" i="2"/>
  <c r="BZ726" i="2"/>
  <c r="BZ727" i="2"/>
  <c r="BZ733" i="2"/>
  <c r="BZ734" i="2"/>
  <c r="BZ735" i="2"/>
  <c r="BZ736" i="2"/>
  <c r="BZ737" i="2"/>
  <c r="BZ418" i="2"/>
  <c r="BZ416" i="2"/>
  <c r="BZ412" i="2"/>
  <c r="BZ402" i="2"/>
  <c r="BZ400" i="2"/>
  <c r="BZ392" i="2"/>
  <c r="BZ390" i="2"/>
  <c r="BZ382" i="2"/>
  <c r="BZ381" i="2"/>
  <c r="BZ380" i="2"/>
  <c r="BZ374" i="2"/>
  <c r="BZ373" i="2"/>
  <c r="BZ368" i="2"/>
  <c r="BZ364" i="2"/>
  <c r="BZ362" i="2"/>
  <c r="BZ355" i="2"/>
  <c r="CA420" i="2"/>
  <c r="V1905" i="2"/>
  <c r="T1905" i="2"/>
  <c r="S1905" i="2"/>
  <c r="R1905" i="2"/>
  <c r="Q1905" i="2"/>
  <c r="P1905" i="2"/>
  <c r="O1905" i="2"/>
  <c r="N1905" i="2"/>
  <c r="L34" i="1"/>
  <c r="N737" i="2"/>
  <c r="L16" i="1"/>
  <c r="N1373" i="2"/>
  <c r="L25" i="1"/>
  <c r="L35" i="1"/>
  <c r="N2402" i="2"/>
  <c r="L41" i="1"/>
  <c r="N70" i="2"/>
  <c r="L3" i="1"/>
  <c r="N113" i="2"/>
  <c r="L4" i="1"/>
  <c r="N130" i="2"/>
  <c r="L5" i="1"/>
  <c r="N207" i="2"/>
  <c r="L6" i="1"/>
  <c r="L7" i="1"/>
  <c r="N333" i="2"/>
  <c r="L8" i="1"/>
  <c r="BL335" i="2"/>
  <c r="N335" i="2"/>
  <c r="BL336" i="2"/>
  <c r="N336" i="2"/>
  <c r="BL337" i="2"/>
  <c r="N337" i="2"/>
  <c r="BL338" i="2"/>
  <c r="N338" i="2"/>
  <c r="BL339" i="2"/>
  <c r="N339" i="2"/>
  <c r="BL340" i="2"/>
  <c r="N340" i="2"/>
  <c r="BL341" i="2"/>
  <c r="N341" i="2"/>
  <c r="BL342" i="2"/>
  <c r="N342" i="2"/>
  <c r="N343" i="2"/>
  <c r="L9" i="1"/>
  <c r="N348" i="2"/>
  <c r="L10" i="1"/>
  <c r="L11" i="1"/>
  <c r="N420" i="2"/>
  <c r="L12" i="1"/>
  <c r="N581" i="2"/>
  <c r="L13" i="1"/>
  <c r="N587" i="2"/>
  <c r="L14" i="1"/>
  <c r="N633" i="2"/>
  <c r="L15" i="1"/>
  <c r="N831" i="2"/>
  <c r="L17" i="1"/>
  <c r="N932" i="2"/>
  <c r="L18" i="1"/>
  <c r="N1039" i="2"/>
  <c r="L19" i="1"/>
  <c r="N1161" i="2"/>
  <c r="L20" i="1"/>
  <c r="N1227" i="2"/>
  <c r="L21" i="1"/>
  <c r="BL1229" i="2"/>
  <c r="N1229" i="2"/>
  <c r="BL1230" i="2"/>
  <c r="N1230" i="2"/>
  <c r="BL1231" i="2"/>
  <c r="N1231" i="2"/>
  <c r="BL1232" i="2"/>
  <c r="N1232" i="2"/>
  <c r="BL1233" i="2"/>
  <c r="N1233" i="2"/>
  <c r="BL1234" i="2"/>
  <c r="N1234" i="2"/>
  <c r="BL1235" i="2"/>
  <c r="N1235" i="2"/>
  <c r="BL1236" i="2"/>
  <c r="N1236" i="2"/>
  <c r="BL1237" i="2"/>
  <c r="N1237" i="2"/>
  <c r="BL1238" i="2"/>
  <c r="N1238" i="2"/>
  <c r="BL1239" i="2"/>
  <c r="N1239" i="2"/>
  <c r="BL1240" i="2"/>
  <c r="N1240" i="2"/>
  <c r="BL1241" i="2"/>
  <c r="N1241" i="2"/>
  <c r="BL1242" i="2"/>
  <c r="N1242" i="2"/>
  <c r="BL1243" i="2"/>
  <c r="N1243" i="2"/>
  <c r="BL1244" i="2"/>
  <c r="N1244" i="2"/>
  <c r="BL1245" i="2"/>
  <c r="N1245" i="2"/>
  <c r="N1246" i="2"/>
  <c r="L22" i="1"/>
  <c r="N1272" i="2"/>
  <c r="L23" i="1"/>
  <c r="BL1274" i="2"/>
  <c r="N1274" i="2"/>
  <c r="BL1275" i="2"/>
  <c r="N1275" i="2"/>
  <c r="BL1276" i="2"/>
  <c r="N1276" i="2"/>
  <c r="BL1277" i="2"/>
  <c r="N1277" i="2"/>
  <c r="BL1278" i="2"/>
  <c r="N1278" i="2"/>
  <c r="BL1279" i="2"/>
  <c r="N1279" i="2"/>
  <c r="BL1280" i="2"/>
  <c r="N1280" i="2"/>
  <c r="BL1281" i="2"/>
  <c r="N1281" i="2"/>
  <c r="BL1282" i="2"/>
  <c r="N1282" i="2"/>
  <c r="BL1283" i="2"/>
  <c r="N1283" i="2"/>
  <c r="BL1284" i="2"/>
  <c r="N1284" i="2"/>
  <c r="BL1285" i="2"/>
  <c r="N1285" i="2"/>
  <c r="BL1286" i="2"/>
  <c r="N1286" i="2"/>
  <c r="BL1287" i="2"/>
  <c r="N1287" i="2"/>
  <c r="N1288" i="2"/>
  <c r="L24" i="1"/>
  <c r="N1462" i="2"/>
  <c r="L26" i="1"/>
  <c r="N1546" i="2"/>
  <c r="L27" i="1"/>
  <c r="N1663" i="2"/>
  <c r="L28" i="1"/>
  <c r="N1721" i="2"/>
  <c r="L29" i="1"/>
  <c r="N1816" i="2"/>
  <c r="L30" i="1"/>
  <c r="N1835" i="2"/>
  <c r="L31" i="1"/>
  <c r="BL1837" i="2"/>
  <c r="N1837" i="2"/>
  <c r="BL1838" i="2"/>
  <c r="N1838" i="2"/>
  <c r="BL1839" i="2"/>
  <c r="N1839" i="2"/>
  <c r="BL1840" i="2"/>
  <c r="N1840" i="2"/>
  <c r="BL1841" i="2"/>
  <c r="N1841" i="2"/>
  <c r="BL1842" i="2"/>
  <c r="N1842" i="2"/>
  <c r="BL1843" i="2"/>
  <c r="N1843" i="2"/>
  <c r="BL1844" i="2"/>
  <c r="N1844" i="2"/>
  <c r="BL1845" i="2"/>
  <c r="N1845" i="2"/>
  <c r="BL1846" i="2"/>
  <c r="N1846" i="2"/>
  <c r="N1847" i="2"/>
  <c r="L32" i="1"/>
  <c r="N1870" i="2"/>
  <c r="L33" i="1"/>
  <c r="N2071" i="2"/>
  <c r="L36" i="1"/>
  <c r="N2126" i="2"/>
  <c r="L37" i="1"/>
  <c r="L38" i="1"/>
  <c r="N2295" i="2"/>
  <c r="L39" i="1"/>
  <c r="N2333" i="2"/>
  <c r="L40" i="1"/>
  <c r="BL2404" i="2"/>
  <c r="BB1320" i="3"/>
  <c r="BB1321" i="3"/>
  <c r="BB1322" i="3"/>
  <c r="BB1323" i="3"/>
  <c r="BB1324" i="3"/>
  <c r="BB1325" i="3"/>
  <c r="BB1326" i="3"/>
  <c r="BB1327" i="3"/>
  <c r="BB1328" i="3"/>
  <c r="BB1329" i="3"/>
  <c r="BB1330" i="3"/>
  <c r="BB1331" i="3"/>
  <c r="BB1332" i="3"/>
  <c r="BB1333" i="3"/>
  <c r="BB1334" i="3"/>
  <c r="BB1335" i="3"/>
  <c r="BB1336" i="3"/>
  <c r="BB1337" i="3"/>
  <c r="BB1338" i="3"/>
  <c r="BB1339" i="3"/>
  <c r="BB1340" i="3"/>
  <c r="BB1341" i="3"/>
  <c r="BB1342" i="3"/>
  <c r="BB1343" i="3"/>
  <c r="BB1344" i="3"/>
  <c r="BB1345" i="3"/>
  <c r="BB1346" i="3"/>
  <c r="BB1347" i="3"/>
  <c r="BB1348" i="3"/>
  <c r="BB1349" i="3"/>
  <c r="BB1350" i="3"/>
  <c r="BB1351" i="3"/>
  <c r="BB1352" i="3"/>
  <c r="BB1353" i="3"/>
  <c r="BB1354" i="3"/>
  <c r="BB1355" i="3"/>
  <c r="BB1356" i="3"/>
  <c r="BB1357" i="3"/>
  <c r="BB1358" i="3"/>
  <c r="BB1359" i="3"/>
  <c r="N2404" i="2"/>
  <c r="BL2405" i="2"/>
  <c r="N2405" i="2"/>
  <c r="BL2406" i="2"/>
  <c r="N2406" i="2"/>
  <c r="BL2407" i="2"/>
  <c r="N2407" i="2"/>
  <c r="BL2408" i="2"/>
  <c r="N2408" i="2"/>
  <c r="BL2409" i="2"/>
  <c r="N2409" i="2"/>
  <c r="N2410" i="2"/>
  <c r="L42" i="1"/>
  <c r="N2458" i="2"/>
  <c r="L43" i="1"/>
  <c r="N2526" i="2"/>
  <c r="L44" i="1"/>
  <c r="N2623" i="2"/>
  <c r="L45" i="1"/>
  <c r="N2879" i="2"/>
  <c r="L46" i="1"/>
  <c r="N2910" i="2"/>
  <c r="L47" i="1"/>
  <c r="BL2912" i="2"/>
  <c r="N2912" i="2"/>
  <c r="BL2913" i="2"/>
  <c r="N2913" i="2"/>
  <c r="BL2914" i="2"/>
  <c r="N2914" i="2"/>
  <c r="BL2915" i="2"/>
  <c r="N2915" i="2"/>
  <c r="BL2916" i="2"/>
  <c r="N2916" i="2"/>
  <c r="BL2917" i="2"/>
  <c r="N2917" i="2"/>
  <c r="BL2918" i="2"/>
  <c r="N2918" i="2"/>
  <c r="BL2919" i="2"/>
  <c r="N2919" i="2"/>
  <c r="BL2920" i="2"/>
  <c r="N2920" i="2"/>
  <c r="BL2921" i="2"/>
  <c r="N2921" i="2"/>
  <c r="BL2922" i="2"/>
  <c r="N2922" i="2"/>
  <c r="BL2923" i="2"/>
  <c r="N2923" i="2"/>
  <c r="BL2924" i="2"/>
  <c r="N2924" i="2"/>
  <c r="BL2925" i="2"/>
  <c r="N2925" i="2"/>
  <c r="N2926" i="2"/>
  <c r="L48" i="1"/>
  <c r="N3061" i="2"/>
  <c r="L49" i="1"/>
  <c r="N3102" i="2"/>
  <c r="L50" i="1"/>
  <c r="N3159" i="2"/>
  <c r="L51" i="1"/>
  <c r="N3233" i="2"/>
  <c r="L52" i="1"/>
  <c r="N3258" i="2"/>
  <c r="L53" i="1"/>
  <c r="L54" i="1"/>
  <c r="N34" i="1"/>
  <c r="O737" i="2"/>
  <c r="N16" i="1"/>
  <c r="O1373" i="2"/>
  <c r="N25" i="1"/>
  <c r="N35" i="1"/>
  <c r="O2402" i="2"/>
  <c r="N41" i="1"/>
  <c r="O70" i="2"/>
  <c r="N3" i="1"/>
  <c r="O113" i="2"/>
  <c r="N4" i="1"/>
  <c r="O130" i="2"/>
  <c r="N5" i="1"/>
  <c r="O207" i="2"/>
  <c r="N6" i="1"/>
  <c r="N7" i="1"/>
  <c r="O333" i="2"/>
  <c r="N8" i="1"/>
  <c r="O335" i="2"/>
  <c r="O336" i="2"/>
  <c r="O337" i="2"/>
  <c r="O338" i="2"/>
  <c r="O339" i="2"/>
  <c r="O340" i="2"/>
  <c r="O341" i="2"/>
  <c r="O342" i="2"/>
  <c r="O343" i="2"/>
  <c r="N9" i="1"/>
  <c r="O348" i="2"/>
  <c r="N10" i="1"/>
  <c r="N11" i="1"/>
  <c r="O420" i="2"/>
  <c r="N12" i="1"/>
  <c r="O581" i="2"/>
  <c r="N13" i="1"/>
  <c r="O587" i="2"/>
  <c r="N14" i="1"/>
  <c r="O633" i="2"/>
  <c r="N15" i="1"/>
  <c r="O831" i="2"/>
  <c r="N17" i="1"/>
  <c r="O932" i="2"/>
  <c r="N18" i="1"/>
  <c r="O1039" i="2"/>
  <c r="N19" i="1"/>
  <c r="O1161" i="2"/>
  <c r="N20" i="1"/>
  <c r="O1227" i="2"/>
  <c r="N21" i="1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N22" i="1"/>
  <c r="O1272" i="2"/>
  <c r="N23" i="1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N24" i="1"/>
  <c r="O1462" i="2"/>
  <c r="N26" i="1"/>
  <c r="O1546" i="2"/>
  <c r="N27" i="1"/>
  <c r="O1663" i="2"/>
  <c r="N28" i="1"/>
  <c r="O1721" i="2"/>
  <c r="N29" i="1"/>
  <c r="O1816" i="2"/>
  <c r="N30" i="1"/>
  <c r="O1835" i="2"/>
  <c r="N31" i="1"/>
  <c r="O1837" i="2"/>
  <c r="O1838" i="2"/>
  <c r="O1839" i="2"/>
  <c r="O1840" i="2"/>
  <c r="O1841" i="2"/>
  <c r="O1842" i="2"/>
  <c r="O1843" i="2"/>
  <c r="O1844" i="2"/>
  <c r="O1845" i="2"/>
  <c r="O1846" i="2"/>
  <c r="O1847" i="2"/>
  <c r="N32" i="1"/>
  <c r="O1870" i="2"/>
  <c r="N33" i="1"/>
  <c r="O2071" i="2"/>
  <c r="N36" i="1"/>
  <c r="O2126" i="2"/>
  <c r="N37" i="1"/>
  <c r="N38" i="1"/>
  <c r="O2295" i="2"/>
  <c r="N39" i="1"/>
  <c r="O2333" i="2"/>
  <c r="N40" i="1"/>
  <c r="O2404" i="2"/>
  <c r="O2405" i="2"/>
  <c r="O2406" i="2"/>
  <c r="O2407" i="2"/>
  <c r="O2408" i="2"/>
  <c r="O2409" i="2"/>
  <c r="O2410" i="2"/>
  <c r="N42" i="1"/>
  <c r="O2458" i="2"/>
  <c r="N43" i="1"/>
  <c r="O2526" i="2"/>
  <c r="N44" i="1"/>
  <c r="O2623" i="2"/>
  <c r="N45" i="1"/>
  <c r="O2879" i="2"/>
  <c r="N46" i="1"/>
  <c r="O2910" i="2"/>
  <c r="N47" i="1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N48" i="1"/>
  <c r="O3061" i="2"/>
  <c r="N49" i="1"/>
  <c r="O3102" i="2"/>
  <c r="N50" i="1"/>
  <c r="O3159" i="2"/>
  <c r="N51" i="1"/>
  <c r="O3233" i="2"/>
  <c r="N52" i="1"/>
  <c r="O3258" i="2"/>
  <c r="N53" i="1"/>
  <c r="N54" i="1"/>
  <c r="P34" i="1"/>
  <c r="P16" i="1"/>
  <c r="P25" i="1"/>
  <c r="P35" i="1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41" i="1"/>
  <c r="P3" i="1"/>
  <c r="P4" i="1"/>
  <c r="P130" i="2"/>
  <c r="P5" i="1"/>
  <c r="P207" i="2"/>
  <c r="P6" i="1"/>
  <c r="P267" i="2"/>
  <c r="P7" i="1"/>
  <c r="P333" i="2"/>
  <c r="P8" i="1"/>
  <c r="P335" i="2"/>
  <c r="P336" i="2"/>
  <c r="P337" i="2"/>
  <c r="P338" i="2"/>
  <c r="P339" i="2"/>
  <c r="P340" i="2"/>
  <c r="P341" i="2"/>
  <c r="P342" i="2"/>
  <c r="P343" i="2"/>
  <c r="P9" i="1"/>
  <c r="P348" i="2"/>
  <c r="P10" i="1"/>
  <c r="P11" i="1"/>
  <c r="P12" i="1"/>
  <c r="P581" i="2"/>
  <c r="P13" i="1"/>
  <c r="P14" i="1"/>
  <c r="P633" i="2"/>
  <c r="P15" i="1"/>
  <c r="P17" i="1"/>
  <c r="P932" i="2"/>
  <c r="P18" i="1"/>
  <c r="P1039" i="2"/>
  <c r="P19" i="1"/>
  <c r="P1161" i="2"/>
  <c r="P20" i="1"/>
  <c r="P1227" i="2"/>
  <c r="P21" i="1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22" i="1"/>
  <c r="P1272" i="2"/>
  <c r="P23" i="1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24" i="1"/>
  <c r="P1462" i="2"/>
  <c r="P26" i="1"/>
  <c r="P27" i="1"/>
  <c r="P28" i="1"/>
  <c r="P1721" i="2"/>
  <c r="P29" i="1"/>
  <c r="P30" i="1"/>
  <c r="P31" i="1"/>
  <c r="P1837" i="2"/>
  <c r="P1838" i="2"/>
  <c r="P1839" i="2"/>
  <c r="P1840" i="2"/>
  <c r="P1841" i="2"/>
  <c r="P1842" i="2"/>
  <c r="P1843" i="2"/>
  <c r="P1844" i="2"/>
  <c r="P1845" i="2"/>
  <c r="P1846" i="2"/>
  <c r="P1847" i="2"/>
  <c r="P32" i="1"/>
  <c r="P33" i="1"/>
  <c r="P36" i="1"/>
  <c r="P37" i="1"/>
  <c r="P2216" i="2"/>
  <c r="P38" i="1"/>
  <c r="P39" i="1"/>
  <c r="P40" i="1"/>
  <c r="P42" i="1"/>
  <c r="P2458" i="2"/>
  <c r="P43" i="1"/>
  <c r="P44" i="1"/>
  <c r="P2623" i="2"/>
  <c r="P45" i="1"/>
  <c r="P2879" i="2"/>
  <c r="P46" i="1"/>
  <c r="P2910" i="2"/>
  <c r="P47" i="1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48" i="1"/>
  <c r="P3061" i="2"/>
  <c r="P49" i="1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50" i="1"/>
  <c r="P51" i="1"/>
  <c r="P3233" i="2"/>
  <c r="P52" i="1"/>
  <c r="P53" i="1"/>
  <c r="P54" i="1"/>
  <c r="R34" i="1"/>
  <c r="Q737" i="2"/>
  <c r="R16" i="1"/>
  <c r="Q1373" i="2"/>
  <c r="R25" i="1"/>
  <c r="R35" i="1"/>
  <c r="Q2402" i="2"/>
  <c r="R41" i="1"/>
  <c r="Q70" i="2"/>
  <c r="R3" i="1"/>
  <c r="Q113" i="2"/>
  <c r="R4" i="1"/>
  <c r="Q130" i="2"/>
  <c r="R5" i="1"/>
  <c r="Q207" i="2"/>
  <c r="R6" i="1"/>
  <c r="Q267" i="2"/>
  <c r="R7" i="1"/>
  <c r="Q333" i="2"/>
  <c r="R8" i="1"/>
  <c r="Q335" i="2"/>
  <c r="Q336" i="2"/>
  <c r="Q337" i="2"/>
  <c r="Q338" i="2"/>
  <c r="Q339" i="2"/>
  <c r="Q340" i="2"/>
  <c r="Q341" i="2"/>
  <c r="Q342" i="2"/>
  <c r="Q343" i="2"/>
  <c r="R9" i="1"/>
  <c r="Q348" i="2"/>
  <c r="R10" i="1"/>
  <c r="R11" i="1"/>
  <c r="Q420" i="2"/>
  <c r="R12" i="1"/>
  <c r="Q581" i="2"/>
  <c r="R13" i="1"/>
  <c r="Q587" i="2"/>
  <c r="R14" i="1"/>
  <c r="Q633" i="2"/>
  <c r="R15" i="1"/>
  <c r="Q831" i="2"/>
  <c r="R17" i="1"/>
  <c r="Q932" i="2"/>
  <c r="R18" i="1"/>
  <c r="Q1039" i="2"/>
  <c r="R19" i="1"/>
  <c r="Q1161" i="2"/>
  <c r="R20" i="1"/>
  <c r="Q1227" i="2"/>
  <c r="R21" i="1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R22" i="1"/>
  <c r="Q1272" i="2"/>
  <c r="R23" i="1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R24" i="1"/>
  <c r="Q1462" i="2"/>
  <c r="R26" i="1"/>
  <c r="Q1546" i="2"/>
  <c r="R27" i="1"/>
  <c r="Q1663" i="2"/>
  <c r="R28" i="1"/>
  <c r="Q1721" i="2"/>
  <c r="R29" i="1"/>
  <c r="Q1816" i="2"/>
  <c r="R30" i="1"/>
  <c r="Q1835" i="2"/>
  <c r="R31" i="1"/>
  <c r="Q1837" i="2"/>
  <c r="Q1838" i="2"/>
  <c r="Q1839" i="2"/>
  <c r="Q1840" i="2"/>
  <c r="Q1841" i="2"/>
  <c r="Q1842" i="2"/>
  <c r="Q1843" i="2"/>
  <c r="Q1844" i="2"/>
  <c r="Q1845" i="2"/>
  <c r="Q1846" i="2"/>
  <c r="Q1847" i="2"/>
  <c r="R32" i="1"/>
  <c r="Q1870" i="2"/>
  <c r="R33" i="1"/>
  <c r="Q2071" i="2"/>
  <c r="R36" i="1"/>
  <c r="Q2126" i="2"/>
  <c r="R37" i="1"/>
  <c r="Q2216" i="2"/>
  <c r="R38" i="1"/>
  <c r="Q2295" i="2"/>
  <c r="R39" i="1"/>
  <c r="Q2333" i="2"/>
  <c r="R40" i="1"/>
  <c r="Q2404" i="2"/>
  <c r="Q2405" i="2"/>
  <c r="Q2406" i="2"/>
  <c r="Q2407" i="2"/>
  <c r="Q2408" i="2"/>
  <c r="Q2409" i="2"/>
  <c r="Q2410" i="2"/>
  <c r="R42" i="1"/>
  <c r="Q2458" i="2"/>
  <c r="R43" i="1"/>
  <c r="Q2526" i="2"/>
  <c r="R44" i="1"/>
  <c r="Q2623" i="2"/>
  <c r="R45" i="1"/>
  <c r="Q2879" i="2"/>
  <c r="R46" i="1"/>
  <c r="Q2910" i="2"/>
  <c r="R47" i="1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R48" i="1"/>
  <c r="Q3061" i="2"/>
  <c r="R49" i="1"/>
  <c r="Q3102" i="2"/>
  <c r="R50" i="1"/>
  <c r="Q3159" i="2"/>
  <c r="R51" i="1"/>
  <c r="Q3233" i="2"/>
  <c r="R52" i="1"/>
  <c r="Q3258" i="2"/>
  <c r="R53" i="1"/>
  <c r="R54" i="1"/>
  <c r="T34" i="1"/>
  <c r="R737" i="2"/>
  <c r="T16" i="1"/>
  <c r="R1373" i="2"/>
  <c r="T25" i="1"/>
  <c r="T35" i="1"/>
  <c r="R2402" i="2"/>
  <c r="T41" i="1"/>
  <c r="R70" i="2"/>
  <c r="T3" i="1"/>
  <c r="R113" i="2"/>
  <c r="T4" i="1"/>
  <c r="R130" i="2"/>
  <c r="T5" i="1"/>
  <c r="R207" i="2"/>
  <c r="T6" i="1"/>
  <c r="T7" i="1"/>
  <c r="R333" i="2"/>
  <c r="T8" i="1"/>
  <c r="R335" i="2"/>
  <c r="R336" i="2"/>
  <c r="R337" i="2"/>
  <c r="R338" i="2"/>
  <c r="R339" i="2"/>
  <c r="R340" i="2"/>
  <c r="R341" i="2"/>
  <c r="R342" i="2"/>
  <c r="R343" i="2"/>
  <c r="T9" i="1"/>
  <c r="R348" i="2"/>
  <c r="T10" i="1"/>
  <c r="T11" i="1"/>
  <c r="R420" i="2"/>
  <c r="T12" i="1"/>
  <c r="R581" i="2"/>
  <c r="T13" i="1"/>
  <c r="R587" i="2"/>
  <c r="T14" i="1"/>
  <c r="R633" i="2"/>
  <c r="T15" i="1"/>
  <c r="R831" i="2"/>
  <c r="T17" i="1"/>
  <c r="R932" i="2"/>
  <c r="T18" i="1"/>
  <c r="R1039" i="2"/>
  <c r="T19" i="1"/>
  <c r="R1161" i="2"/>
  <c r="T20" i="1"/>
  <c r="R1227" i="2"/>
  <c r="T21" i="1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T22" i="1"/>
  <c r="R1272" i="2"/>
  <c r="T23" i="1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T24" i="1"/>
  <c r="R1462" i="2"/>
  <c r="T26" i="1"/>
  <c r="R1546" i="2"/>
  <c r="T27" i="1"/>
  <c r="R1663" i="2"/>
  <c r="T28" i="1"/>
  <c r="R1721" i="2"/>
  <c r="T29" i="1"/>
  <c r="R1816" i="2"/>
  <c r="T30" i="1"/>
  <c r="T31" i="1"/>
  <c r="R1837" i="2"/>
  <c r="R1838" i="2"/>
  <c r="R1839" i="2"/>
  <c r="R1840" i="2"/>
  <c r="R1841" i="2"/>
  <c r="R1842" i="2"/>
  <c r="R1843" i="2"/>
  <c r="R1844" i="2"/>
  <c r="R1845" i="2"/>
  <c r="R1846" i="2"/>
  <c r="R1847" i="2"/>
  <c r="T32" i="1"/>
  <c r="R1870" i="2"/>
  <c r="T33" i="1"/>
  <c r="R2071" i="2"/>
  <c r="T36" i="1"/>
  <c r="R2126" i="2"/>
  <c r="T37" i="1"/>
  <c r="R2216" i="2"/>
  <c r="T38" i="1"/>
  <c r="T39" i="1"/>
  <c r="R2333" i="2"/>
  <c r="T40" i="1"/>
  <c r="R2404" i="2"/>
  <c r="R2405" i="2"/>
  <c r="R2406" i="2"/>
  <c r="R2407" i="2"/>
  <c r="R2408" i="2"/>
  <c r="R2409" i="2"/>
  <c r="R2410" i="2"/>
  <c r="T42" i="1"/>
  <c r="R2458" i="2"/>
  <c r="T43" i="1"/>
  <c r="T44" i="1"/>
  <c r="R2623" i="2"/>
  <c r="T45" i="1"/>
  <c r="R2879" i="2"/>
  <c r="T46" i="1"/>
  <c r="R2910" i="2"/>
  <c r="T47" i="1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T48" i="1"/>
  <c r="R3061" i="2"/>
  <c r="T49" i="1"/>
  <c r="R3102" i="2"/>
  <c r="T50" i="1"/>
  <c r="R3159" i="2"/>
  <c r="T51" i="1"/>
  <c r="R3233" i="2"/>
  <c r="T52" i="1"/>
  <c r="R3258" i="2"/>
  <c r="T53" i="1"/>
  <c r="T54" i="1"/>
  <c r="X34" i="1"/>
  <c r="X35" i="1"/>
  <c r="X3" i="1"/>
  <c r="T113" i="2"/>
  <c r="X4" i="1"/>
  <c r="T130" i="2"/>
  <c r="X5" i="1"/>
  <c r="X6" i="1"/>
  <c r="X7" i="1"/>
  <c r="T333" i="2"/>
  <c r="X8" i="1"/>
  <c r="T335" i="2"/>
  <c r="T336" i="2"/>
  <c r="T337" i="2"/>
  <c r="T338" i="2"/>
  <c r="T339" i="2"/>
  <c r="T340" i="2"/>
  <c r="T341" i="2"/>
  <c r="T342" i="2"/>
  <c r="T343" i="2"/>
  <c r="X9" i="1"/>
  <c r="T348" i="2"/>
  <c r="X10" i="1"/>
  <c r="X11" i="1"/>
  <c r="T420" i="2"/>
  <c r="X12" i="1"/>
  <c r="X13" i="1"/>
  <c r="X14" i="1"/>
  <c r="T633" i="2"/>
  <c r="X15" i="1"/>
  <c r="X16" i="1"/>
  <c r="T831" i="2"/>
  <c r="X17" i="1"/>
  <c r="T932" i="2"/>
  <c r="X18" i="1"/>
  <c r="T1039" i="2"/>
  <c r="X19" i="1"/>
  <c r="T1161" i="2"/>
  <c r="X20" i="1"/>
  <c r="X21" i="1"/>
  <c r="X22" i="1"/>
  <c r="T1272" i="2"/>
  <c r="X23" i="1"/>
  <c r="X24" i="1"/>
  <c r="X25" i="1"/>
  <c r="T1462" i="2"/>
  <c r="X26" i="1"/>
  <c r="T1546" i="2"/>
  <c r="X27" i="1"/>
  <c r="T1663" i="2"/>
  <c r="X28" i="1"/>
  <c r="T1721" i="2"/>
  <c r="X29" i="1"/>
  <c r="X30" i="1"/>
  <c r="T1835" i="2"/>
  <c r="X31" i="1"/>
  <c r="T1837" i="2"/>
  <c r="T1838" i="2"/>
  <c r="T1839" i="2"/>
  <c r="T1840" i="2"/>
  <c r="T1841" i="2"/>
  <c r="T1842" i="2"/>
  <c r="T1843" i="2"/>
  <c r="T1844" i="2"/>
  <c r="T1845" i="2"/>
  <c r="T1846" i="2"/>
  <c r="T1847" i="2"/>
  <c r="X32" i="1"/>
  <c r="T1870" i="2"/>
  <c r="X33" i="1"/>
  <c r="X36" i="1"/>
  <c r="T2126" i="2"/>
  <c r="X37" i="1"/>
  <c r="X38" i="1"/>
  <c r="X39" i="1"/>
  <c r="X40" i="1"/>
  <c r="X41" i="1"/>
  <c r="T2404" i="2"/>
  <c r="T2405" i="2"/>
  <c r="T2406" i="2"/>
  <c r="T2407" i="2"/>
  <c r="T2408" i="2"/>
  <c r="T2409" i="2"/>
  <c r="T2410" i="2"/>
  <c r="X42" i="1"/>
  <c r="X43" i="1"/>
  <c r="X44" i="1"/>
  <c r="T2623" i="2"/>
  <c r="X45" i="1"/>
  <c r="X46" i="1"/>
  <c r="T2910" i="2"/>
  <c r="X47" i="1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X48" i="1"/>
  <c r="X49" i="1"/>
  <c r="X50" i="1"/>
  <c r="X51" i="1"/>
  <c r="T3233" i="2"/>
  <c r="X52" i="1"/>
  <c r="T3258" i="2"/>
  <c r="X53" i="1"/>
  <c r="X54" i="1"/>
  <c r="V34" i="1"/>
  <c r="V16" i="1"/>
  <c r="S1373" i="2"/>
  <c r="V25" i="1"/>
  <c r="V35" i="1"/>
  <c r="S2402" i="2"/>
  <c r="V41" i="1"/>
  <c r="V3" i="1"/>
  <c r="S113" i="2"/>
  <c r="V4" i="1"/>
  <c r="S130" i="2"/>
  <c r="V5" i="1"/>
  <c r="S207" i="2"/>
  <c r="V6" i="1"/>
  <c r="V7" i="1"/>
  <c r="S333" i="2"/>
  <c r="V8" i="1"/>
  <c r="S335" i="2"/>
  <c r="S336" i="2"/>
  <c r="S337" i="2"/>
  <c r="S338" i="2"/>
  <c r="S339" i="2"/>
  <c r="S340" i="2"/>
  <c r="S341" i="2"/>
  <c r="S342" i="2"/>
  <c r="S343" i="2"/>
  <c r="V9" i="1"/>
  <c r="S348" i="2"/>
  <c r="V10" i="1"/>
  <c r="V11" i="1"/>
  <c r="S420" i="2"/>
  <c r="V12" i="1"/>
  <c r="S581" i="2"/>
  <c r="V13" i="1"/>
  <c r="S587" i="2"/>
  <c r="V14" i="1"/>
  <c r="S633" i="2"/>
  <c r="V15" i="1"/>
  <c r="S831" i="2"/>
  <c r="V17" i="1"/>
  <c r="S932" i="2"/>
  <c r="V18" i="1"/>
  <c r="S1039" i="2"/>
  <c r="V19" i="1"/>
  <c r="S1161" i="2"/>
  <c r="V20" i="1"/>
  <c r="S1227" i="2"/>
  <c r="V21" i="1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V22" i="1"/>
  <c r="S1272" i="2"/>
  <c r="V23" i="1"/>
  <c r="V24" i="1"/>
  <c r="S1462" i="2"/>
  <c r="V26" i="1"/>
  <c r="S1546" i="2"/>
  <c r="V27" i="1"/>
  <c r="S1663" i="2"/>
  <c r="V28" i="1"/>
  <c r="S1721" i="2"/>
  <c r="V29" i="1"/>
  <c r="V30" i="1"/>
  <c r="S1835" i="2"/>
  <c r="V31" i="1"/>
  <c r="V32" i="1"/>
  <c r="S1870" i="2"/>
  <c r="V33" i="1"/>
  <c r="V36" i="1"/>
  <c r="S2126" i="2"/>
  <c r="V37" i="1"/>
  <c r="S2216" i="2"/>
  <c r="V38" i="1"/>
  <c r="V39" i="1"/>
  <c r="V40" i="1"/>
  <c r="V42" i="1"/>
  <c r="S2458" i="2"/>
  <c r="V43" i="1"/>
  <c r="S2526" i="2"/>
  <c r="V44" i="1"/>
  <c r="S2623" i="2"/>
  <c r="V45" i="1"/>
  <c r="S2879" i="2"/>
  <c r="V46" i="1"/>
  <c r="S2910" i="2"/>
  <c r="V47" i="1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V48" i="1"/>
  <c r="V49" i="1"/>
  <c r="S3102" i="2"/>
  <c r="V50" i="1"/>
  <c r="S3159" i="2"/>
  <c r="V51" i="1"/>
  <c r="S3233" i="2"/>
  <c r="V52" i="1"/>
  <c r="S3258" i="2"/>
  <c r="V53" i="1"/>
  <c r="V54" i="1"/>
  <c r="AD34" i="1"/>
  <c r="W737" i="2"/>
  <c r="AD16" i="1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AD25" i="1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AD35" i="1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AD41" i="1"/>
  <c r="W70" i="2"/>
  <c r="AD3" i="1"/>
  <c r="W113" i="2"/>
  <c r="AD4" i="1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AD5" i="1"/>
  <c r="AD6" i="1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AD7" i="1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AD8" i="1"/>
  <c r="W335" i="2"/>
  <c r="W336" i="2"/>
  <c r="W337" i="2"/>
  <c r="W338" i="2"/>
  <c r="W339" i="2"/>
  <c r="W340" i="2"/>
  <c r="W341" i="2"/>
  <c r="W342" i="2"/>
  <c r="W343" i="2"/>
  <c r="AD9" i="1"/>
  <c r="W345" i="2"/>
  <c r="W346" i="2"/>
  <c r="W347" i="2"/>
  <c r="W348" i="2"/>
  <c r="AD10" i="1"/>
  <c r="AD11" i="1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AD12" i="1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AD13" i="1"/>
  <c r="AD14" i="1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AD15" i="1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AD17" i="1"/>
  <c r="W932" i="2"/>
  <c r="AD18" i="1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AD19" i="1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AD20" i="1"/>
  <c r="AD21" i="1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AD22" i="1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AD23" i="1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AD24" i="1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AD26" i="1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AD27" i="1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AD28" i="1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AD29" i="1"/>
  <c r="W1816" i="2"/>
  <c r="AD30" i="1"/>
  <c r="AD31" i="1"/>
  <c r="W1837" i="2"/>
  <c r="W1838" i="2"/>
  <c r="W1839" i="2"/>
  <c r="W1840" i="2"/>
  <c r="W1841" i="2"/>
  <c r="W1842" i="2"/>
  <c r="W1843" i="2"/>
  <c r="W1844" i="2"/>
  <c r="W1845" i="2"/>
  <c r="W1846" i="2"/>
  <c r="W1847" i="2"/>
  <c r="AD32" i="1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AD33" i="1"/>
  <c r="W2071" i="2"/>
  <c r="AD36" i="1"/>
  <c r="W2126" i="2"/>
  <c r="AD37" i="1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AD38" i="1"/>
  <c r="AD39" i="1"/>
  <c r="W2333" i="2"/>
  <c r="AD40" i="1"/>
  <c r="W2404" i="2"/>
  <c r="W2405" i="2"/>
  <c r="W2406" i="2"/>
  <c r="W2407" i="2"/>
  <c r="W2408" i="2"/>
  <c r="W2409" i="2"/>
  <c r="W2410" i="2"/>
  <c r="AD42" i="1"/>
  <c r="AD43" i="1"/>
  <c r="AD44" i="1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AD45" i="1"/>
  <c r="W2667" i="2"/>
  <c r="W2681" i="2"/>
  <c r="W2699" i="2"/>
  <c r="AD46" i="1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AD47" i="1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AD48" i="1"/>
  <c r="W3061" i="2"/>
  <c r="AD49" i="1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AD50" i="1"/>
  <c r="W3159" i="2"/>
  <c r="AD51" i="1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AD52" i="1"/>
  <c r="W3258" i="2"/>
  <c r="AD53" i="1"/>
  <c r="AD54" i="1"/>
  <c r="AB34" i="1"/>
  <c r="AB35" i="1"/>
  <c r="AB3" i="1"/>
  <c r="AB4" i="1"/>
  <c r="AB5" i="1"/>
  <c r="AB6" i="1"/>
  <c r="V267" i="2"/>
  <c r="AB7" i="1"/>
  <c r="V333" i="2"/>
  <c r="AB8" i="1"/>
  <c r="V335" i="2"/>
  <c r="V336" i="2"/>
  <c r="V337" i="2"/>
  <c r="V338" i="2"/>
  <c r="V339" i="2"/>
  <c r="V340" i="2"/>
  <c r="V341" i="2"/>
  <c r="V342" i="2"/>
  <c r="V343" i="2"/>
  <c r="AB9" i="1"/>
  <c r="V348" i="2"/>
  <c r="AB10" i="1"/>
  <c r="AB11" i="1"/>
  <c r="AB12" i="1"/>
  <c r="AB13" i="1"/>
  <c r="AB14" i="1"/>
  <c r="AB15" i="1"/>
  <c r="AB16" i="1"/>
  <c r="AB17" i="1"/>
  <c r="V932" i="2"/>
  <c r="AB18" i="1"/>
  <c r="V1039" i="2"/>
  <c r="AB19" i="1"/>
  <c r="AB20" i="1"/>
  <c r="V1227" i="2"/>
  <c r="AB21" i="1"/>
  <c r="AB22" i="1"/>
  <c r="V1272" i="2"/>
  <c r="AB23" i="1"/>
  <c r="AB24" i="1"/>
  <c r="AB25" i="1"/>
  <c r="V1462" i="2"/>
  <c r="AB26" i="1"/>
  <c r="AB27" i="1"/>
  <c r="AB28" i="1"/>
  <c r="AB29" i="1"/>
  <c r="AB30" i="1"/>
  <c r="AB31" i="1"/>
  <c r="AB32" i="1"/>
  <c r="V1870" i="2"/>
  <c r="AB33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AB48" i="1"/>
  <c r="AB49" i="1"/>
  <c r="V3102" i="2"/>
  <c r="AB50" i="1"/>
  <c r="AB51" i="1"/>
  <c r="AB52" i="1"/>
  <c r="AB53" i="1"/>
  <c r="AB54" i="1"/>
  <c r="AF34" i="1"/>
  <c r="AF3" i="1"/>
  <c r="AF4" i="1"/>
  <c r="X130" i="2"/>
  <c r="AF5" i="1"/>
  <c r="AF6" i="1"/>
  <c r="AF7" i="1"/>
  <c r="X333" i="2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X1227" i="2"/>
  <c r="AF21" i="1"/>
  <c r="AF22" i="1"/>
  <c r="AF23" i="1"/>
  <c r="AF24" i="1"/>
  <c r="AF25" i="1"/>
  <c r="X1462" i="2"/>
  <c r="AF26" i="1"/>
  <c r="AF27" i="1"/>
  <c r="AF28" i="1"/>
  <c r="AF29" i="1"/>
  <c r="AF30" i="1"/>
  <c r="AF31" i="1"/>
  <c r="AF32" i="1"/>
  <c r="X1870" i="2"/>
  <c r="AF33" i="1"/>
  <c r="AF35" i="1"/>
  <c r="AF36" i="1"/>
  <c r="AF37" i="1"/>
  <c r="AF38" i="1"/>
  <c r="AF39" i="1"/>
  <c r="AF40" i="1"/>
  <c r="AF41" i="1"/>
  <c r="AF42" i="1"/>
  <c r="AF43" i="1"/>
  <c r="AF44" i="1"/>
  <c r="X2623" i="2"/>
  <c r="AF45" i="1"/>
  <c r="AF46" i="1"/>
  <c r="X2910" i="2"/>
  <c r="AF47" i="1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AF48" i="1"/>
  <c r="AF49" i="1"/>
  <c r="X3102" i="2"/>
  <c r="AF50" i="1"/>
  <c r="AF51" i="1"/>
  <c r="AF52" i="1"/>
  <c r="AF53" i="1"/>
  <c r="AF54" i="1"/>
  <c r="Z34" i="1"/>
  <c r="U1373" i="2"/>
  <c r="Z25" i="1"/>
  <c r="Z35" i="1"/>
  <c r="Z3" i="1"/>
  <c r="Z4" i="1"/>
  <c r="Z5" i="1"/>
  <c r="Z6" i="1"/>
  <c r="Z7" i="1"/>
  <c r="U333" i="2"/>
  <c r="Z8" i="1"/>
  <c r="Z9" i="1"/>
  <c r="Z10" i="1"/>
  <c r="Z11" i="1"/>
  <c r="Z12" i="1"/>
  <c r="Z13" i="1"/>
  <c r="Z14" i="1"/>
  <c r="Z15" i="1"/>
  <c r="Z16" i="1"/>
  <c r="U831" i="2"/>
  <c r="Z17" i="1"/>
  <c r="Z18" i="1"/>
  <c r="Z19" i="1"/>
  <c r="Z20" i="1"/>
  <c r="Z21" i="1"/>
  <c r="Z22" i="1"/>
  <c r="U1272" i="2"/>
  <c r="Z23" i="1"/>
  <c r="Z24" i="1"/>
  <c r="U1462" i="2"/>
  <c r="Z26" i="1"/>
  <c r="Z27" i="1"/>
  <c r="Z28" i="1"/>
  <c r="U1721" i="2"/>
  <c r="Z29" i="1"/>
  <c r="Z30" i="1"/>
  <c r="Z31" i="1"/>
  <c r="Z32" i="1"/>
  <c r="Z33" i="1"/>
  <c r="Z36" i="1"/>
  <c r="Z37" i="1"/>
  <c r="Z38" i="1"/>
  <c r="Z39" i="1"/>
  <c r="Z40" i="1"/>
  <c r="Z41" i="1"/>
  <c r="Z42" i="1"/>
  <c r="Z43" i="1"/>
  <c r="Z44" i="1"/>
  <c r="Z45" i="1"/>
  <c r="U2879" i="2"/>
  <c r="Z46" i="1"/>
  <c r="U2910" i="2"/>
  <c r="Z47" i="1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Z48" i="1"/>
  <c r="Z49" i="1"/>
  <c r="Z50" i="1"/>
  <c r="Z51" i="1"/>
  <c r="U3233" i="2"/>
  <c r="Z52" i="1"/>
  <c r="Z53" i="1"/>
  <c r="Z54" i="1"/>
  <c r="AH34" i="1"/>
  <c r="AH16" i="1"/>
  <c r="Y1373" i="2"/>
  <c r="AH25" i="1"/>
  <c r="AH35" i="1"/>
  <c r="AH3" i="1"/>
  <c r="AH4" i="1"/>
  <c r="Y130" i="2"/>
  <c r="AH5" i="1"/>
  <c r="AH6" i="1"/>
  <c r="AH7" i="1"/>
  <c r="Y333" i="2"/>
  <c r="AH8" i="1"/>
  <c r="Y335" i="2"/>
  <c r="Y336" i="2"/>
  <c r="Y337" i="2"/>
  <c r="Y338" i="2"/>
  <c r="Y339" i="2"/>
  <c r="Y340" i="2"/>
  <c r="Y341" i="2"/>
  <c r="Y342" i="2"/>
  <c r="Y343" i="2"/>
  <c r="AH9" i="1"/>
  <c r="Y348" i="2"/>
  <c r="AH10" i="1"/>
  <c r="AH11" i="1"/>
  <c r="AH12" i="1"/>
  <c r="Y581" i="2"/>
  <c r="AH13" i="1"/>
  <c r="AH14" i="1"/>
  <c r="Y633" i="2"/>
  <c r="AH15" i="1"/>
  <c r="Y831" i="2"/>
  <c r="AH17" i="1"/>
  <c r="AH18" i="1"/>
  <c r="Y1039" i="2"/>
  <c r="AH19" i="1"/>
  <c r="Y1161" i="2"/>
  <c r="AH20" i="1"/>
  <c r="Y1227" i="2"/>
  <c r="AH21" i="1"/>
  <c r="AH22" i="1"/>
  <c r="Y1272" i="2"/>
  <c r="AH23" i="1"/>
  <c r="AH24" i="1"/>
  <c r="Y1462" i="2"/>
  <c r="AH26" i="1"/>
  <c r="AH27" i="1"/>
  <c r="Y1663" i="2"/>
  <c r="AH28" i="1"/>
  <c r="Y1721" i="2"/>
  <c r="AH29" i="1"/>
  <c r="AH30" i="1"/>
  <c r="AH31" i="1"/>
  <c r="AH32" i="1"/>
  <c r="AH33" i="1"/>
  <c r="AH36" i="1"/>
  <c r="AH37" i="1"/>
  <c r="Y2216" i="2"/>
  <c r="AH38" i="1"/>
  <c r="AH39" i="1"/>
  <c r="AH40" i="1"/>
  <c r="AH41" i="1"/>
  <c r="AH42" i="1"/>
  <c r="AH43" i="1"/>
  <c r="AH44" i="1"/>
  <c r="Y2623" i="2"/>
  <c r="AH45" i="1"/>
  <c r="Y2879" i="2"/>
  <c r="AH46" i="1"/>
  <c r="Y2910" i="2"/>
  <c r="AH47" i="1"/>
  <c r="AH48" i="1"/>
  <c r="AH49" i="1"/>
  <c r="Y3102" i="2"/>
  <c r="AH50" i="1"/>
  <c r="AH51" i="1"/>
  <c r="Y3233" i="2"/>
  <c r="AH52" i="1"/>
  <c r="AH53" i="1"/>
  <c r="AH54" i="1"/>
  <c r="AE737" i="2"/>
  <c r="AT16" i="1"/>
  <c r="AE1373" i="2"/>
  <c r="AT25" i="1"/>
  <c r="AT3" i="1"/>
  <c r="AT4" i="1"/>
  <c r="AE130" i="2"/>
  <c r="AT5" i="1"/>
  <c r="AT6" i="1"/>
  <c r="AE267" i="2"/>
  <c r="AT7" i="1"/>
  <c r="AE333" i="2"/>
  <c r="AT8" i="1"/>
  <c r="AE335" i="2"/>
  <c r="AE336" i="2"/>
  <c r="AE337" i="2"/>
  <c r="AE338" i="2"/>
  <c r="AE339" i="2"/>
  <c r="AE340" i="2"/>
  <c r="AE341" i="2"/>
  <c r="AE342" i="2"/>
  <c r="AE343" i="2"/>
  <c r="AT9" i="1"/>
  <c r="AT10" i="1"/>
  <c r="AT11" i="1"/>
  <c r="AE420" i="2"/>
  <c r="AT12" i="1"/>
  <c r="AE581" i="2"/>
  <c r="AT13" i="1"/>
  <c r="AT14" i="1"/>
  <c r="AE633" i="2"/>
  <c r="AT15" i="1"/>
  <c r="AE831" i="2"/>
  <c r="AT17" i="1"/>
  <c r="AT18" i="1"/>
  <c r="AT19" i="1"/>
  <c r="AE1161" i="2"/>
  <c r="AT20" i="1"/>
  <c r="AE1227" i="2"/>
  <c r="AT21" i="1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T22" i="1"/>
  <c r="AE1272" i="2"/>
  <c r="AT23" i="1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T24" i="1"/>
  <c r="AE1462" i="2"/>
  <c r="AT26" i="1"/>
  <c r="AT27" i="1"/>
  <c r="AE1663" i="2"/>
  <c r="AT28" i="1"/>
  <c r="AE1721" i="2"/>
  <c r="AT29" i="1"/>
  <c r="AT30" i="1"/>
  <c r="AT31" i="1"/>
  <c r="AT32" i="1"/>
  <c r="AT33" i="1"/>
  <c r="AT34" i="1"/>
  <c r="AT35" i="1"/>
  <c r="AT36" i="1"/>
  <c r="AT37" i="1"/>
  <c r="AE2216" i="2"/>
  <c r="AT38" i="1"/>
  <c r="AT39" i="1"/>
  <c r="AT40" i="1"/>
  <c r="AT41" i="1"/>
  <c r="AT42" i="1"/>
  <c r="AT43" i="1"/>
  <c r="AT44" i="1"/>
  <c r="AE2623" i="2"/>
  <c r="AT45" i="1"/>
  <c r="AE2879" i="2"/>
  <c r="AT46" i="1"/>
  <c r="AE2910" i="2"/>
  <c r="AT47" i="1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T48" i="1"/>
  <c r="AT49" i="1"/>
  <c r="AT50" i="1"/>
  <c r="AT51" i="1"/>
  <c r="AE3233" i="2"/>
  <c r="AT52" i="1"/>
  <c r="AT53" i="1"/>
  <c r="AT54" i="1"/>
  <c r="AM737" i="2"/>
  <c r="BJ16" i="1"/>
  <c r="BJ3" i="1"/>
  <c r="BJ4" i="1"/>
  <c r="AM130" i="2"/>
  <c r="BJ5" i="1"/>
  <c r="BJ6" i="1"/>
  <c r="BJ7" i="1"/>
  <c r="AM333" i="2"/>
  <c r="BJ8" i="1"/>
  <c r="AM335" i="2"/>
  <c r="AM336" i="2"/>
  <c r="AM337" i="2"/>
  <c r="AM338" i="2"/>
  <c r="AM339" i="2"/>
  <c r="AM340" i="2"/>
  <c r="AM341" i="2"/>
  <c r="AM342" i="2"/>
  <c r="AM343" i="2"/>
  <c r="BJ9" i="1"/>
  <c r="AM348" i="2"/>
  <c r="BJ10" i="1"/>
  <c r="BJ11" i="1"/>
  <c r="BJ12" i="1"/>
  <c r="BJ13" i="1"/>
  <c r="BJ14" i="1"/>
  <c r="BJ15" i="1"/>
  <c r="AM831" i="2"/>
  <c r="BJ17" i="1"/>
  <c r="BJ18" i="1"/>
  <c r="BJ19" i="1"/>
  <c r="AM1161" i="2"/>
  <c r="BJ20" i="1"/>
  <c r="BJ21" i="1"/>
  <c r="BJ22" i="1"/>
  <c r="AM1272" i="2"/>
  <c r="BJ23" i="1"/>
  <c r="BJ24" i="1"/>
  <c r="BJ25" i="1"/>
  <c r="BJ26" i="1"/>
  <c r="BJ27" i="1"/>
  <c r="BJ28" i="1"/>
  <c r="AM1721" i="2"/>
  <c r="BJ29" i="1"/>
  <c r="BJ30" i="1"/>
  <c r="BJ31" i="1"/>
  <c r="BJ32" i="1"/>
  <c r="BJ33" i="1"/>
  <c r="BJ34" i="1"/>
  <c r="BJ35" i="1"/>
  <c r="BJ36" i="1"/>
  <c r="BJ37" i="1"/>
  <c r="AM2216" i="2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AM3233" i="2"/>
  <c r="BJ52" i="1"/>
  <c r="BJ53" i="1"/>
  <c r="BJ54" i="1"/>
  <c r="AA1373" i="2"/>
  <c r="AL25" i="1"/>
  <c r="AL35" i="1"/>
  <c r="AL3" i="1"/>
  <c r="AL4" i="1"/>
  <c r="AL5" i="1"/>
  <c r="AL6" i="1"/>
  <c r="AL7" i="1"/>
  <c r="AL8" i="1"/>
  <c r="AL9" i="1"/>
  <c r="AL10" i="1"/>
  <c r="AL11" i="1"/>
  <c r="AL12" i="1"/>
  <c r="AL13" i="1"/>
  <c r="AL14" i="1"/>
  <c r="AA633" i="2"/>
  <c r="AL15" i="1"/>
  <c r="AL16" i="1"/>
  <c r="AL17" i="1"/>
  <c r="AL18" i="1"/>
  <c r="AL19" i="1"/>
  <c r="AL20" i="1"/>
  <c r="AL21" i="1"/>
  <c r="AL22" i="1"/>
  <c r="AL23" i="1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L24" i="1"/>
  <c r="AL26" i="1"/>
  <c r="AL27" i="1"/>
  <c r="AL28" i="1"/>
  <c r="AL29" i="1"/>
  <c r="AL30" i="1"/>
  <c r="AL31" i="1"/>
  <c r="AL32" i="1"/>
  <c r="AA1870" i="2"/>
  <c r="AL33" i="1"/>
  <c r="AL34" i="1"/>
  <c r="AL36" i="1"/>
  <c r="AL37" i="1"/>
  <c r="AA2216" i="2"/>
  <c r="AL38" i="1"/>
  <c r="AL39" i="1"/>
  <c r="AL40" i="1"/>
  <c r="AL41" i="1"/>
  <c r="AL42" i="1"/>
  <c r="AL43" i="1"/>
  <c r="AL44" i="1"/>
  <c r="AL45" i="1"/>
  <c r="AA2879" i="2"/>
  <c r="AL46" i="1"/>
  <c r="AA2910" i="2"/>
  <c r="AL47" i="1"/>
  <c r="AL48" i="1"/>
  <c r="AL49" i="1"/>
  <c r="AL50" i="1"/>
  <c r="AL51" i="1"/>
  <c r="AA3233" i="2"/>
  <c r="AL52" i="1"/>
  <c r="AL53" i="1"/>
  <c r="AL54" i="1"/>
  <c r="AN1373" i="2"/>
  <c r="BL25" i="1"/>
  <c r="BL35" i="1"/>
  <c r="BL3" i="1"/>
  <c r="BL4" i="1"/>
  <c r="BL5" i="1"/>
  <c r="BL6" i="1"/>
  <c r="AN267" i="2"/>
  <c r="BL7" i="1"/>
  <c r="AN333" i="2"/>
  <c r="BL8" i="1"/>
  <c r="BL9" i="1"/>
  <c r="BL10" i="1"/>
  <c r="BL11" i="1"/>
  <c r="BL12" i="1"/>
  <c r="AN581" i="2"/>
  <c r="BL13" i="1"/>
  <c r="BL14" i="1"/>
  <c r="AN633" i="2"/>
  <c r="BL15" i="1"/>
  <c r="BL16" i="1"/>
  <c r="BL17" i="1"/>
  <c r="BL18" i="1"/>
  <c r="AN1039" i="2"/>
  <c r="BL19" i="1"/>
  <c r="AN1161" i="2"/>
  <c r="BL20" i="1"/>
  <c r="BL21" i="1"/>
  <c r="BL22" i="1"/>
  <c r="AN1272" i="2"/>
  <c r="BL23" i="1"/>
  <c r="BL24" i="1"/>
  <c r="AN1462" i="2"/>
  <c r="BL26" i="1"/>
  <c r="BL27" i="1"/>
  <c r="BL28" i="1"/>
  <c r="BL29" i="1"/>
  <c r="BL30" i="1"/>
  <c r="BL31" i="1"/>
  <c r="BL32" i="1"/>
  <c r="BL33" i="1"/>
  <c r="BL34" i="1"/>
  <c r="BL36" i="1"/>
  <c r="BL37" i="1"/>
  <c r="AN2216" i="2"/>
  <c r="BL38" i="1"/>
  <c r="BL39" i="1"/>
  <c r="BL40" i="1"/>
  <c r="BL41" i="1"/>
  <c r="BL42" i="1"/>
  <c r="BL43" i="1"/>
  <c r="BL44" i="1"/>
  <c r="BL45" i="1"/>
  <c r="AN2879" i="2"/>
  <c r="BL46" i="1"/>
  <c r="BL47" i="1"/>
  <c r="AN2912" i="2"/>
  <c r="AN2913" i="2"/>
  <c r="AN2914" i="2"/>
  <c r="AN2915" i="2"/>
  <c r="AN2916" i="2"/>
  <c r="AN2917" i="2"/>
  <c r="AN2918" i="2"/>
  <c r="AN2919" i="2"/>
  <c r="AN2920" i="2"/>
  <c r="AN2921" i="2"/>
  <c r="AN2922" i="2"/>
  <c r="AN2923" i="2"/>
  <c r="AN2924" i="2"/>
  <c r="AN2925" i="2"/>
  <c r="AN2926" i="2"/>
  <c r="BL48" i="1"/>
  <c r="BL49" i="1"/>
  <c r="BL50" i="1"/>
  <c r="BL51" i="1"/>
  <c r="AN3233" i="2"/>
  <c r="BL52" i="1"/>
  <c r="BL53" i="1"/>
  <c r="BL54" i="1"/>
  <c r="AX35" i="1"/>
  <c r="AX3" i="1"/>
  <c r="AX4" i="1"/>
  <c r="AX5" i="1"/>
  <c r="AX6" i="1"/>
  <c r="AX7" i="1"/>
  <c r="AG333" i="2"/>
  <c r="AX8" i="1"/>
  <c r="AX9" i="1"/>
  <c r="AX10" i="1"/>
  <c r="AX11" i="1"/>
  <c r="AX12" i="1"/>
  <c r="AX13" i="1"/>
  <c r="AX14" i="1"/>
  <c r="AG633" i="2"/>
  <c r="AX15" i="1"/>
  <c r="AX16" i="1"/>
  <c r="AX17" i="1"/>
  <c r="AX18" i="1"/>
  <c r="AX19" i="1"/>
  <c r="AG1161" i="2"/>
  <c r="AX20" i="1"/>
  <c r="AG1227" i="2"/>
  <c r="AX21" i="1"/>
  <c r="AX22" i="1"/>
  <c r="AX23" i="1"/>
  <c r="AX24" i="1"/>
  <c r="AX25" i="1"/>
  <c r="AG1462" i="2"/>
  <c r="AX26" i="1"/>
  <c r="AX27" i="1"/>
  <c r="AX28" i="1"/>
  <c r="AX29" i="1"/>
  <c r="AX30" i="1"/>
  <c r="AX31" i="1"/>
  <c r="AX32" i="1"/>
  <c r="AX33" i="1"/>
  <c r="AX34" i="1"/>
  <c r="AX36" i="1"/>
  <c r="AX37" i="1"/>
  <c r="AG2216" i="2"/>
  <c r="AX38" i="1"/>
  <c r="AX39" i="1"/>
  <c r="AX40" i="1"/>
  <c r="AX41" i="1"/>
  <c r="AX42" i="1"/>
  <c r="AX43" i="1"/>
  <c r="AX44" i="1"/>
  <c r="AX45" i="1"/>
  <c r="AX46" i="1"/>
  <c r="AX47" i="1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X48" i="1"/>
  <c r="AX49" i="1"/>
  <c r="AX50" i="1"/>
  <c r="AX51" i="1"/>
  <c r="AG3233" i="2"/>
  <c r="AX52" i="1"/>
  <c r="AX53" i="1"/>
  <c r="AX54" i="1"/>
  <c r="BH35" i="1"/>
  <c r="BH3" i="1"/>
  <c r="BH4" i="1"/>
  <c r="AL130" i="2"/>
  <c r="BH5" i="1"/>
  <c r="AL207" i="2"/>
  <c r="BH6" i="1"/>
  <c r="BH7" i="1"/>
  <c r="BH8" i="1"/>
  <c r="BH9" i="1"/>
  <c r="AL348" i="2"/>
  <c r="BH10" i="1"/>
  <c r="BH11" i="1"/>
  <c r="BH12" i="1"/>
  <c r="BH13" i="1"/>
  <c r="BH14" i="1"/>
  <c r="AL633" i="2"/>
  <c r="BH15" i="1"/>
  <c r="BH16" i="1"/>
  <c r="BH17" i="1"/>
  <c r="AL932" i="2"/>
  <c r="BH18" i="1"/>
  <c r="AL1039" i="2"/>
  <c r="BH19" i="1"/>
  <c r="BH20" i="1"/>
  <c r="BH21" i="1"/>
  <c r="BH22" i="1"/>
  <c r="AL1272" i="2"/>
  <c r="BH23" i="1"/>
  <c r="BH24" i="1"/>
  <c r="BH25" i="1"/>
  <c r="BH26" i="1"/>
  <c r="BH27" i="1"/>
  <c r="BH28" i="1"/>
  <c r="BH29" i="1"/>
  <c r="BH30" i="1"/>
  <c r="BH31" i="1"/>
  <c r="BH32" i="1"/>
  <c r="BH33" i="1"/>
  <c r="BH34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AJ3" i="1"/>
  <c r="AJ4" i="1"/>
  <c r="AJ5" i="1"/>
  <c r="AJ6" i="1"/>
  <c r="AJ7" i="1"/>
  <c r="AJ8" i="1"/>
  <c r="AJ9" i="1"/>
  <c r="Z348" i="2"/>
  <c r="AJ10" i="1"/>
  <c r="AJ11" i="1"/>
  <c r="Z420" i="2"/>
  <c r="AJ12" i="1"/>
  <c r="AJ13" i="1"/>
  <c r="AJ14" i="1"/>
  <c r="Z633" i="2"/>
  <c r="AJ15" i="1"/>
  <c r="AJ16" i="1"/>
  <c r="Z831" i="2"/>
  <c r="AJ17" i="1"/>
  <c r="AJ18" i="1"/>
  <c r="AJ19" i="1"/>
  <c r="Z1161" i="2"/>
  <c r="AJ20" i="1"/>
  <c r="AJ21" i="1"/>
  <c r="AJ22" i="1"/>
  <c r="Z1272" i="2"/>
  <c r="AJ23" i="1"/>
  <c r="AJ24" i="1"/>
  <c r="AJ25" i="1"/>
  <c r="Z1462" i="2"/>
  <c r="AJ26" i="1"/>
  <c r="AJ27" i="1"/>
  <c r="AJ28" i="1"/>
  <c r="AJ29" i="1"/>
  <c r="AJ30" i="1"/>
  <c r="AJ31" i="1"/>
  <c r="AJ32" i="1"/>
  <c r="AJ33" i="1"/>
  <c r="AJ34" i="1"/>
  <c r="AJ35" i="1"/>
  <c r="AJ36" i="1"/>
  <c r="AJ37" i="1"/>
  <c r="Z2216" i="2"/>
  <c r="AJ38" i="1"/>
  <c r="AJ39" i="1"/>
  <c r="AJ40" i="1"/>
  <c r="AJ41" i="1"/>
  <c r="AJ42" i="1"/>
  <c r="AJ43" i="1"/>
  <c r="AJ44" i="1"/>
  <c r="AJ45" i="1"/>
  <c r="AJ46" i="1"/>
  <c r="AJ47" i="1"/>
  <c r="AJ48" i="1"/>
  <c r="AJ49" i="1"/>
  <c r="Z3102" i="2"/>
  <c r="AJ50" i="1"/>
  <c r="AJ51" i="1"/>
  <c r="AJ52" i="1"/>
  <c r="AJ53" i="1"/>
  <c r="AJ54" i="1"/>
  <c r="AR3" i="1"/>
  <c r="AR4" i="1"/>
  <c r="AR5" i="1"/>
  <c r="AD207" i="2"/>
  <c r="AR6" i="1"/>
  <c r="AR7" i="1"/>
  <c r="AD333" i="2"/>
  <c r="AR8" i="1"/>
  <c r="AR9" i="1"/>
  <c r="AR10" i="1"/>
  <c r="AR11" i="1"/>
  <c r="AR12" i="1"/>
  <c r="AR13" i="1"/>
  <c r="AR14" i="1"/>
  <c r="AD633" i="2"/>
  <c r="AR15" i="1"/>
  <c r="AR16" i="1"/>
  <c r="AR17" i="1"/>
  <c r="AR18" i="1"/>
  <c r="AD1039" i="2"/>
  <c r="AR19" i="1"/>
  <c r="AR20" i="1"/>
  <c r="AR21" i="1"/>
  <c r="AR22" i="1"/>
  <c r="AD1272" i="2"/>
  <c r="AR23" i="1"/>
  <c r="AR24" i="1"/>
  <c r="AR25" i="1"/>
  <c r="AR26" i="1"/>
  <c r="AD1546" i="2"/>
  <c r="AR27" i="1"/>
  <c r="AR28" i="1"/>
  <c r="AR29" i="1"/>
  <c r="AR30" i="1"/>
  <c r="AR31" i="1"/>
  <c r="AR32" i="1"/>
  <c r="AD1870" i="2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D3102" i="2"/>
  <c r="AR50" i="1"/>
  <c r="AR51" i="1"/>
  <c r="AR52" i="1"/>
  <c r="AR53" i="1"/>
  <c r="AR54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C932" i="2"/>
  <c r="AP18" i="1"/>
  <c r="AP19" i="1"/>
  <c r="AP20" i="1"/>
  <c r="AP21" i="1"/>
  <c r="AP22" i="1"/>
  <c r="AP23" i="1"/>
  <c r="AP24" i="1"/>
  <c r="AP25" i="1"/>
  <c r="AC1462" i="2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C3102" i="2"/>
  <c r="AP50" i="1"/>
  <c r="AP51" i="1"/>
  <c r="AP52" i="1"/>
  <c r="AP53" i="1"/>
  <c r="AP54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B1835" i="2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V3" i="1"/>
  <c r="AV4" i="1"/>
  <c r="AV5" i="1"/>
  <c r="AV6" i="1"/>
  <c r="AF267" i="2"/>
  <c r="AV7" i="1"/>
  <c r="AV8" i="1"/>
  <c r="AV9" i="1"/>
  <c r="AF348" i="2"/>
  <c r="AV10" i="1"/>
  <c r="AV11" i="1"/>
  <c r="AV12" i="1"/>
  <c r="AV13" i="1"/>
  <c r="AV14" i="1"/>
  <c r="AV15" i="1"/>
  <c r="AV16" i="1"/>
  <c r="AV17" i="1"/>
  <c r="AV18" i="1"/>
  <c r="AV19" i="1"/>
  <c r="AF1161" i="2"/>
  <c r="AV20" i="1"/>
  <c r="AF1227" i="2"/>
  <c r="AV21" i="1"/>
  <c r="AV22" i="1"/>
  <c r="AF1272" i="2"/>
  <c r="AV23" i="1"/>
  <c r="AV24" i="1"/>
  <c r="AV25" i="1"/>
  <c r="AF1462" i="2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V48" i="1"/>
  <c r="AV49" i="1"/>
  <c r="AV50" i="1"/>
  <c r="AV51" i="1"/>
  <c r="AV52" i="1"/>
  <c r="AV53" i="1"/>
  <c r="AV54" i="1"/>
  <c r="BB3" i="1"/>
  <c r="BB4" i="1"/>
  <c r="BB5" i="1"/>
  <c r="BB6" i="1"/>
  <c r="BB7" i="1"/>
  <c r="AI333" i="2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AJ1227" i="2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F3" i="1"/>
  <c r="BF4" i="1"/>
  <c r="BF5" i="1"/>
  <c r="BF6" i="1"/>
  <c r="BF7" i="1"/>
  <c r="AK333" i="2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AZ3" i="1"/>
  <c r="AZ4" i="1"/>
  <c r="AZ5" i="1"/>
  <c r="AZ6" i="1"/>
  <c r="AZ7" i="1"/>
  <c r="AH333" i="2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BN3" i="1"/>
  <c r="BN4" i="1"/>
  <c r="BN5" i="1"/>
  <c r="BN6" i="1"/>
  <c r="BN7" i="1"/>
  <c r="AO333" i="2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P3" i="1"/>
  <c r="BP4" i="1"/>
  <c r="BP5" i="1"/>
  <c r="BP6" i="1"/>
  <c r="BP7" i="1"/>
  <c r="AP333" i="2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R3" i="1"/>
  <c r="BR4" i="1"/>
  <c r="AQ130" i="2"/>
  <c r="BR5" i="1"/>
  <c r="BR6" i="1"/>
  <c r="BR7" i="1"/>
  <c r="AQ333" i="2"/>
  <c r="BR8" i="1"/>
  <c r="AQ335" i="2"/>
  <c r="AQ336" i="2"/>
  <c r="AQ337" i="2"/>
  <c r="AQ338" i="2"/>
  <c r="AQ339" i="2"/>
  <c r="AQ340" i="2"/>
  <c r="AQ341" i="2"/>
  <c r="AQ342" i="2"/>
  <c r="AQ343" i="2"/>
  <c r="BR9" i="1"/>
  <c r="AQ348" i="2"/>
  <c r="BR10" i="1"/>
  <c r="BR11" i="1"/>
  <c r="BR12" i="1"/>
  <c r="AQ581" i="2"/>
  <c r="BR13" i="1"/>
  <c r="BR14" i="1"/>
  <c r="AQ633" i="2"/>
  <c r="BR15" i="1"/>
  <c r="BR16" i="1"/>
  <c r="BR17" i="1"/>
  <c r="BR18" i="1"/>
  <c r="AQ1039" i="2"/>
  <c r="BR19" i="1"/>
  <c r="AQ1161" i="2"/>
  <c r="BR20" i="1"/>
  <c r="BR21" i="1"/>
  <c r="BR22" i="1"/>
  <c r="AQ1272" i="2"/>
  <c r="BR23" i="1"/>
  <c r="BR24" i="1"/>
  <c r="BR25" i="1"/>
  <c r="AQ1462" i="2"/>
  <c r="BR26" i="1"/>
  <c r="BR27" i="1"/>
  <c r="BR28" i="1"/>
  <c r="AQ1721" i="2"/>
  <c r="BR29" i="1"/>
  <c r="BR30" i="1"/>
  <c r="BR31" i="1"/>
  <c r="BR32" i="1"/>
  <c r="BR33" i="1"/>
  <c r="BR34" i="1"/>
  <c r="BR35" i="1"/>
  <c r="BR36" i="1"/>
  <c r="BR37" i="1"/>
  <c r="AQ2216" i="2"/>
  <c r="BR38" i="1"/>
  <c r="BR39" i="1"/>
  <c r="BR40" i="1"/>
  <c r="BR41" i="1"/>
  <c r="BR42" i="1"/>
  <c r="BR43" i="1"/>
  <c r="BR44" i="1"/>
  <c r="AQ2623" i="2"/>
  <c r="BR45" i="1"/>
  <c r="BR46" i="1"/>
  <c r="AQ2910" i="2"/>
  <c r="BR47" i="1"/>
  <c r="AQ2912" i="2"/>
  <c r="AQ2913" i="2"/>
  <c r="AQ2914" i="2"/>
  <c r="AQ2915" i="2"/>
  <c r="AQ2916" i="2"/>
  <c r="AQ2917" i="2"/>
  <c r="AQ2918" i="2"/>
  <c r="AQ2919" i="2"/>
  <c r="AQ2920" i="2"/>
  <c r="AQ2921" i="2"/>
  <c r="AQ2922" i="2"/>
  <c r="AQ2923" i="2"/>
  <c r="AQ2924" i="2"/>
  <c r="AQ2925" i="2"/>
  <c r="AQ2926" i="2"/>
  <c r="BR48" i="1"/>
  <c r="BR49" i="1"/>
  <c r="BR50" i="1"/>
  <c r="BR51" i="1"/>
  <c r="BR52" i="1"/>
  <c r="BR53" i="1"/>
  <c r="BR54" i="1"/>
  <c r="BT3" i="1"/>
  <c r="BT4" i="1"/>
  <c r="BT5" i="1"/>
  <c r="BT6" i="1"/>
  <c r="BT7" i="1"/>
  <c r="BT8" i="1"/>
  <c r="BT9" i="1"/>
  <c r="BT10" i="1"/>
  <c r="BT11" i="1"/>
  <c r="BT12" i="1"/>
  <c r="BT13" i="1"/>
  <c r="BT14" i="1"/>
  <c r="AR633" i="2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AS2458" i="2"/>
  <c r="BV43" i="1"/>
  <c r="BV44" i="1"/>
  <c r="BV45" i="1"/>
  <c r="BV46" i="1"/>
  <c r="BV47" i="1"/>
  <c r="BV48" i="1"/>
  <c r="BV49" i="1"/>
  <c r="BV50" i="1"/>
  <c r="BV51" i="1"/>
  <c r="BV52" i="1"/>
  <c r="BV53" i="1"/>
  <c r="BV54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AT2910" i="2"/>
  <c r="BX47" i="1"/>
  <c r="BX48" i="1"/>
  <c r="BX49" i="1"/>
  <c r="BX50" i="1"/>
  <c r="BX51" i="1"/>
  <c r="BX52" i="1"/>
  <c r="BX53" i="1"/>
  <c r="BX54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C54" i="1"/>
  <c r="C41" i="1"/>
  <c r="C35" i="1"/>
  <c r="C34" i="1"/>
  <c r="C25" i="1"/>
  <c r="C16" i="1"/>
  <c r="C3" i="1"/>
  <c r="S3" i="1"/>
  <c r="C4" i="1"/>
  <c r="S4" i="1"/>
  <c r="C5" i="1"/>
  <c r="S5" i="1"/>
  <c r="C6" i="1"/>
  <c r="S6" i="1"/>
  <c r="C7" i="1"/>
  <c r="S7" i="1"/>
  <c r="C8" i="1"/>
  <c r="S8" i="1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W11" i="3"/>
  <c r="W17" i="3"/>
  <c r="W20" i="3"/>
  <c r="W36" i="3"/>
  <c r="W3" i="3"/>
  <c r="W4" i="3"/>
  <c r="W5" i="3"/>
  <c r="W6" i="3"/>
  <c r="W7" i="3"/>
  <c r="W8" i="3"/>
  <c r="W9" i="3"/>
  <c r="W10" i="3"/>
  <c r="W12" i="3"/>
  <c r="W13" i="3"/>
  <c r="W14" i="3"/>
  <c r="W15" i="3"/>
  <c r="W16" i="3"/>
  <c r="W18" i="3"/>
  <c r="W19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C9" i="1"/>
  <c r="S9" i="1"/>
  <c r="C10" i="1"/>
  <c r="S10" i="1"/>
  <c r="C11" i="1"/>
  <c r="S11" i="1"/>
  <c r="C12" i="1"/>
  <c r="S12" i="1"/>
  <c r="C13" i="1"/>
  <c r="S13" i="1"/>
  <c r="C14" i="1"/>
  <c r="S14" i="1"/>
  <c r="C15" i="1"/>
  <c r="S15" i="1"/>
  <c r="S16" i="1"/>
  <c r="C17" i="1"/>
  <c r="S17" i="1"/>
  <c r="C18" i="1"/>
  <c r="S18" i="1"/>
  <c r="C19" i="1"/>
  <c r="S19" i="1"/>
  <c r="C20" i="1"/>
  <c r="S20" i="1"/>
  <c r="C21" i="1"/>
  <c r="S21" i="1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BB336" i="3"/>
  <c r="BB337" i="3"/>
  <c r="BB338" i="3"/>
  <c r="BB339" i="3"/>
  <c r="BB340" i="3"/>
  <c r="BB341" i="3"/>
  <c r="BB342" i="3"/>
  <c r="BB343" i="3"/>
  <c r="BB344" i="3"/>
  <c r="BB345" i="3"/>
  <c r="BB346" i="3"/>
  <c r="BB347" i="3"/>
  <c r="BB348" i="3"/>
  <c r="BB349" i="3"/>
  <c r="BB350" i="3"/>
  <c r="BB351" i="3"/>
  <c r="BB352" i="3"/>
  <c r="BB353" i="3"/>
  <c r="BB354" i="3"/>
  <c r="BB355" i="3"/>
  <c r="BB356" i="3"/>
  <c r="BB357" i="3"/>
  <c r="BB358" i="3"/>
  <c r="BB359" i="3"/>
  <c r="BB360" i="3"/>
  <c r="BB361" i="3"/>
  <c r="BB362" i="3"/>
  <c r="BB363" i="3"/>
  <c r="BB364" i="3"/>
  <c r="BB365" i="3"/>
  <c r="BB366" i="3"/>
  <c r="BB367" i="3"/>
  <c r="BB368" i="3"/>
  <c r="BB369" i="3"/>
  <c r="BB370" i="3"/>
  <c r="BB371" i="3"/>
  <c r="BB372" i="3"/>
  <c r="BB373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5" i="3"/>
  <c r="BB426" i="3"/>
  <c r="BB427" i="3"/>
  <c r="BB428" i="3"/>
  <c r="BB429" i="3"/>
  <c r="BB430" i="3"/>
  <c r="BB431" i="3"/>
  <c r="BB432" i="3"/>
  <c r="BB433" i="3"/>
  <c r="BB434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8" i="3"/>
  <c r="BB459" i="3"/>
  <c r="BB460" i="3"/>
  <c r="BB461" i="3"/>
  <c r="BB462" i="3"/>
  <c r="BB463" i="3"/>
  <c r="BB464" i="3"/>
  <c r="BB465" i="3"/>
  <c r="BB466" i="3"/>
  <c r="BB467" i="3"/>
  <c r="BB468" i="3"/>
  <c r="BB469" i="3"/>
  <c r="BB470" i="3"/>
  <c r="BB471" i="3"/>
  <c r="BB472" i="3"/>
  <c r="BB473" i="3"/>
  <c r="BB474" i="3"/>
  <c r="BB475" i="3"/>
  <c r="BB476" i="3"/>
  <c r="BB477" i="3"/>
  <c r="BB478" i="3"/>
  <c r="BB479" i="3"/>
  <c r="BB480" i="3"/>
  <c r="BB481" i="3"/>
  <c r="BB482" i="3"/>
  <c r="BB483" i="3"/>
  <c r="BB484" i="3"/>
  <c r="BB485" i="3"/>
  <c r="BB486" i="3"/>
  <c r="BB487" i="3"/>
  <c r="BB488" i="3"/>
  <c r="BB489" i="3"/>
  <c r="BB490" i="3"/>
  <c r="BB491" i="3"/>
  <c r="BB492" i="3"/>
  <c r="BB493" i="3"/>
  <c r="BB494" i="3"/>
  <c r="BB495" i="3"/>
  <c r="BB496" i="3"/>
  <c r="BB497" i="3"/>
  <c r="BB498" i="3"/>
  <c r="BB499" i="3"/>
  <c r="BB500" i="3"/>
  <c r="BB501" i="3"/>
  <c r="BB502" i="3"/>
  <c r="BB503" i="3"/>
  <c r="BB504" i="3"/>
  <c r="BB505" i="3"/>
  <c r="BB506" i="3"/>
  <c r="BB507" i="3"/>
  <c r="BB508" i="3"/>
  <c r="BB509" i="3"/>
  <c r="BB510" i="3"/>
  <c r="BB511" i="3"/>
  <c r="BB512" i="3"/>
  <c r="BB513" i="3"/>
  <c r="BB514" i="3"/>
  <c r="BB515" i="3"/>
  <c r="BB516" i="3"/>
  <c r="BB517" i="3"/>
  <c r="BB518" i="3"/>
  <c r="BB519" i="3"/>
  <c r="BB520" i="3"/>
  <c r="BB521" i="3"/>
  <c r="BB522" i="3"/>
  <c r="BB523" i="3"/>
  <c r="BB524" i="3"/>
  <c r="BB525" i="3"/>
  <c r="BB526" i="3"/>
  <c r="BB527" i="3"/>
  <c r="BB528" i="3"/>
  <c r="BB529" i="3"/>
  <c r="BB530" i="3"/>
  <c r="BB531" i="3"/>
  <c r="BB532" i="3"/>
  <c r="BB533" i="3"/>
  <c r="BB534" i="3"/>
  <c r="BB535" i="3"/>
  <c r="BB536" i="3"/>
  <c r="BB537" i="3"/>
  <c r="BB538" i="3"/>
  <c r="BB539" i="3"/>
  <c r="BB540" i="3"/>
  <c r="BB541" i="3"/>
  <c r="BB542" i="3"/>
  <c r="BB543" i="3"/>
  <c r="BB544" i="3"/>
  <c r="BB545" i="3"/>
  <c r="BB546" i="3"/>
  <c r="BB547" i="3"/>
  <c r="BB548" i="3"/>
  <c r="BB549" i="3"/>
  <c r="BB550" i="3"/>
  <c r="BB551" i="3"/>
  <c r="BB552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7" i="3"/>
  <c r="BB568" i="3"/>
  <c r="BB569" i="3"/>
  <c r="BB570" i="3"/>
  <c r="BB571" i="3"/>
  <c r="BB572" i="3"/>
  <c r="BB573" i="3"/>
  <c r="BB574" i="3"/>
  <c r="BB575" i="3"/>
  <c r="BB576" i="3"/>
  <c r="BB577" i="3"/>
  <c r="BB578" i="3"/>
  <c r="BB579" i="3"/>
  <c r="BB580" i="3"/>
  <c r="BB581" i="3"/>
  <c r="BB582" i="3"/>
  <c r="BB583" i="3"/>
  <c r="BB584" i="3"/>
  <c r="BB585" i="3"/>
  <c r="BB586" i="3"/>
  <c r="BB587" i="3"/>
  <c r="BB588" i="3"/>
  <c r="BB589" i="3"/>
  <c r="BB590" i="3"/>
  <c r="BB591" i="3"/>
  <c r="BB592" i="3"/>
  <c r="BB593" i="3"/>
  <c r="BB594" i="3"/>
  <c r="BB595" i="3"/>
  <c r="BB596" i="3"/>
  <c r="BB597" i="3"/>
  <c r="BB598" i="3"/>
  <c r="BB599" i="3"/>
  <c r="BB600" i="3"/>
  <c r="BB601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3" i="3"/>
  <c r="BB624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7" i="3"/>
  <c r="BB638" i="3"/>
  <c r="BB639" i="3"/>
  <c r="BB640" i="3"/>
  <c r="BB641" i="3"/>
  <c r="BB642" i="3"/>
  <c r="BB643" i="3"/>
  <c r="BB644" i="3"/>
  <c r="BB645" i="3"/>
  <c r="BB646" i="3"/>
  <c r="BB647" i="3"/>
  <c r="BB648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2" i="3"/>
  <c r="BB663" i="3"/>
  <c r="BB664" i="3"/>
  <c r="BB665" i="3"/>
  <c r="BB666" i="3"/>
  <c r="BB667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B683" i="3"/>
  <c r="BB684" i="3"/>
  <c r="BB685" i="3"/>
  <c r="BB686" i="3"/>
  <c r="BB687" i="3"/>
  <c r="BB688" i="3"/>
  <c r="BB689" i="3"/>
  <c r="BB690" i="3"/>
  <c r="BB691" i="3"/>
  <c r="BB692" i="3"/>
  <c r="BB693" i="3"/>
  <c r="BB694" i="3"/>
  <c r="BB695" i="3"/>
  <c r="BB696" i="3"/>
  <c r="BB697" i="3"/>
  <c r="BB698" i="3"/>
  <c r="BB699" i="3"/>
  <c r="BB700" i="3"/>
  <c r="BB701" i="3"/>
  <c r="BB702" i="3"/>
  <c r="BB703" i="3"/>
  <c r="BB704" i="3"/>
  <c r="BB705" i="3"/>
  <c r="BB706" i="3"/>
  <c r="BB707" i="3"/>
  <c r="BB708" i="3"/>
  <c r="BB709" i="3"/>
  <c r="BB710" i="3"/>
  <c r="BB711" i="3"/>
  <c r="BB712" i="3"/>
  <c r="BB713" i="3"/>
  <c r="BB714" i="3"/>
  <c r="BB715" i="3"/>
  <c r="BB716" i="3"/>
  <c r="BB717" i="3"/>
  <c r="BB718" i="3"/>
  <c r="BB719" i="3"/>
  <c r="BB720" i="3"/>
  <c r="BB721" i="3"/>
  <c r="W195" i="3"/>
  <c r="W312" i="3"/>
  <c r="W366" i="3"/>
  <c r="W424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C22" i="1"/>
  <c r="S22" i="1"/>
  <c r="C23" i="1"/>
  <c r="S23" i="1"/>
  <c r="BB724" i="3"/>
  <c r="BB725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B746" i="3"/>
  <c r="BB747" i="3"/>
  <c r="BB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5" i="3"/>
  <c r="BB766" i="3"/>
  <c r="BB767" i="3"/>
  <c r="BB768" i="3"/>
  <c r="BB769" i="3"/>
  <c r="BB770" i="3"/>
  <c r="BB771" i="3"/>
  <c r="BB772" i="3"/>
  <c r="BB773" i="3"/>
  <c r="BB774" i="3"/>
  <c r="BB775" i="3"/>
  <c r="BB776" i="3"/>
  <c r="BB777" i="3"/>
  <c r="BB778" i="3"/>
  <c r="BB779" i="3"/>
  <c r="BB780" i="3"/>
  <c r="BB781" i="3"/>
  <c r="BB782" i="3"/>
  <c r="BB783" i="3"/>
  <c r="BB784" i="3"/>
  <c r="BB785" i="3"/>
  <c r="BB786" i="3"/>
  <c r="BB787" i="3"/>
  <c r="BB788" i="3"/>
  <c r="BB789" i="3"/>
  <c r="BB790" i="3"/>
  <c r="BB791" i="3"/>
  <c r="BB792" i="3"/>
  <c r="BB793" i="3"/>
  <c r="BB794" i="3"/>
  <c r="BB795" i="3"/>
  <c r="BB796" i="3"/>
  <c r="BB797" i="3"/>
  <c r="BB798" i="3"/>
  <c r="BB799" i="3"/>
  <c r="BB800" i="3"/>
  <c r="BB801" i="3"/>
  <c r="BB802" i="3"/>
  <c r="BB803" i="3"/>
  <c r="BB804" i="3"/>
  <c r="BB805" i="3"/>
  <c r="BB806" i="3"/>
  <c r="BB807" i="3"/>
  <c r="BB808" i="3"/>
  <c r="BB809" i="3"/>
  <c r="BB810" i="3"/>
  <c r="BB811" i="3"/>
  <c r="BB812" i="3"/>
  <c r="BB813" i="3"/>
  <c r="BB814" i="3"/>
  <c r="BB815" i="3"/>
  <c r="BB816" i="3"/>
  <c r="BB817" i="3"/>
  <c r="BB818" i="3"/>
  <c r="BB819" i="3"/>
  <c r="BB820" i="3"/>
  <c r="BB821" i="3"/>
  <c r="BB822" i="3"/>
  <c r="BB823" i="3"/>
  <c r="BB824" i="3"/>
  <c r="BB825" i="3"/>
  <c r="BB826" i="3"/>
  <c r="BB827" i="3"/>
  <c r="BB828" i="3"/>
  <c r="BB829" i="3"/>
  <c r="BB830" i="3"/>
  <c r="BB831" i="3"/>
  <c r="BB832" i="3"/>
  <c r="BB833" i="3"/>
  <c r="BB834" i="3"/>
  <c r="BB835" i="3"/>
  <c r="BB836" i="3"/>
  <c r="BB837" i="3"/>
  <c r="BB838" i="3"/>
  <c r="BB839" i="3"/>
  <c r="BB840" i="3"/>
  <c r="BB841" i="3"/>
  <c r="BB842" i="3"/>
  <c r="BB843" i="3"/>
  <c r="BB844" i="3"/>
  <c r="BB845" i="3"/>
  <c r="BB846" i="3"/>
  <c r="BB847" i="3"/>
  <c r="BB848" i="3"/>
  <c r="BB849" i="3"/>
  <c r="BB850" i="3"/>
  <c r="BB851" i="3"/>
  <c r="BB852" i="3"/>
  <c r="BB853" i="3"/>
  <c r="BB854" i="3"/>
  <c r="BB855" i="3"/>
  <c r="BB856" i="3"/>
  <c r="BB857" i="3"/>
  <c r="BB858" i="3"/>
  <c r="BB859" i="3"/>
  <c r="BB860" i="3"/>
  <c r="BB861" i="3"/>
  <c r="BB862" i="3"/>
  <c r="BB863" i="3"/>
  <c r="BB864" i="3"/>
  <c r="BB865" i="3"/>
  <c r="BB866" i="3"/>
  <c r="BB867" i="3"/>
  <c r="BB868" i="3"/>
  <c r="BB869" i="3"/>
  <c r="BB870" i="3"/>
  <c r="BB871" i="3"/>
  <c r="BB872" i="3"/>
  <c r="BB873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886" i="3"/>
  <c r="BB887" i="3"/>
  <c r="BB888" i="3"/>
  <c r="BB889" i="3"/>
  <c r="BB890" i="3"/>
  <c r="BB891" i="3"/>
  <c r="BB892" i="3"/>
  <c r="BB893" i="3"/>
  <c r="BB894" i="3"/>
  <c r="BB895" i="3"/>
  <c r="BB896" i="3"/>
  <c r="BB897" i="3"/>
  <c r="BB898" i="3"/>
  <c r="BB899" i="3"/>
  <c r="BB900" i="3"/>
  <c r="BB901" i="3"/>
  <c r="BB902" i="3"/>
  <c r="BB903" i="3"/>
  <c r="BB904" i="3"/>
  <c r="BB905" i="3"/>
  <c r="BB906" i="3"/>
  <c r="BB907" i="3"/>
  <c r="BB908" i="3"/>
  <c r="BB909" i="3"/>
  <c r="BB910" i="3"/>
  <c r="BB911" i="3"/>
  <c r="BB912" i="3"/>
  <c r="BB913" i="3"/>
  <c r="BB914" i="3"/>
  <c r="BB915" i="3"/>
  <c r="BB916" i="3"/>
  <c r="BB917" i="3"/>
  <c r="BB918" i="3"/>
  <c r="BB919" i="3"/>
  <c r="BB920" i="3"/>
  <c r="BB921" i="3"/>
  <c r="BB922" i="3"/>
  <c r="BB923" i="3"/>
  <c r="BB924" i="3"/>
  <c r="BB925" i="3"/>
  <c r="BB926" i="3"/>
  <c r="BB927" i="3"/>
  <c r="BB928" i="3"/>
  <c r="BB929" i="3"/>
  <c r="BB930" i="3"/>
  <c r="BB931" i="3"/>
  <c r="BB932" i="3"/>
  <c r="BB933" i="3"/>
  <c r="BB934" i="3"/>
  <c r="BB935" i="3"/>
  <c r="BB936" i="3"/>
  <c r="BB937" i="3"/>
  <c r="BB938" i="3"/>
  <c r="BB939" i="3"/>
  <c r="BB940" i="3"/>
  <c r="BB941" i="3"/>
  <c r="BB942" i="3"/>
  <c r="BB943" i="3"/>
  <c r="BB944" i="3"/>
  <c r="BB945" i="3"/>
  <c r="BB946" i="3"/>
  <c r="BB947" i="3"/>
  <c r="BB948" i="3"/>
  <c r="BB949" i="3"/>
  <c r="BB950" i="3"/>
  <c r="BB951" i="3"/>
  <c r="BB952" i="3"/>
  <c r="BB953" i="3"/>
  <c r="BB954" i="3"/>
  <c r="BB955" i="3"/>
  <c r="BB956" i="3"/>
  <c r="BB957" i="3"/>
  <c r="BB958" i="3"/>
  <c r="BB959" i="3"/>
  <c r="BB960" i="3"/>
  <c r="BB961" i="3"/>
  <c r="BB962" i="3"/>
  <c r="BB963" i="3"/>
  <c r="BB964" i="3"/>
  <c r="BB965" i="3"/>
  <c r="BB966" i="3"/>
  <c r="BB967" i="3"/>
  <c r="BB968" i="3"/>
  <c r="BB969" i="3"/>
  <c r="BB970" i="3"/>
  <c r="BB971" i="3"/>
  <c r="BB972" i="3"/>
  <c r="BB973" i="3"/>
  <c r="BB974" i="3"/>
  <c r="BB975" i="3"/>
  <c r="BB976" i="3"/>
  <c r="BB977" i="3"/>
  <c r="BB978" i="3"/>
  <c r="BB979" i="3"/>
  <c r="BB980" i="3"/>
  <c r="BB981" i="3"/>
  <c r="BB982" i="3"/>
  <c r="BB983" i="3"/>
  <c r="BB984" i="3"/>
  <c r="BB985" i="3"/>
  <c r="BB986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B1002" i="3"/>
  <c r="BB1003" i="3"/>
  <c r="BB1004" i="3"/>
  <c r="BB1005" i="3"/>
  <c r="BB1006" i="3"/>
  <c r="BB1007" i="3"/>
  <c r="BB1008" i="3"/>
  <c r="BB1009" i="3"/>
  <c r="BB1010" i="3"/>
  <c r="BB1011" i="3"/>
  <c r="BB1012" i="3"/>
  <c r="BB1013" i="3"/>
  <c r="BB1014" i="3"/>
  <c r="BB1015" i="3"/>
  <c r="BB1016" i="3"/>
  <c r="BB1017" i="3"/>
  <c r="BB1018" i="3"/>
  <c r="BB1019" i="3"/>
  <c r="BB1020" i="3"/>
  <c r="BB1021" i="3"/>
  <c r="BB1022" i="3"/>
  <c r="BB1023" i="3"/>
  <c r="BB1024" i="3"/>
  <c r="BB1025" i="3"/>
  <c r="BB1026" i="3"/>
  <c r="BB1027" i="3"/>
  <c r="BB1028" i="3"/>
  <c r="BB1029" i="3"/>
  <c r="BB1030" i="3"/>
  <c r="BB1031" i="3"/>
  <c r="BB1032" i="3"/>
  <c r="BB1033" i="3"/>
  <c r="BB1034" i="3"/>
  <c r="BB1035" i="3"/>
  <c r="BB1036" i="3"/>
  <c r="BB1037" i="3"/>
  <c r="BB1038" i="3"/>
  <c r="BB1039" i="3"/>
  <c r="BB1040" i="3"/>
  <c r="BB1041" i="3"/>
  <c r="BB1042" i="3"/>
  <c r="BB1043" i="3"/>
  <c r="BB1044" i="3"/>
  <c r="BB1045" i="3"/>
  <c r="BB1046" i="3"/>
  <c r="BB1047" i="3"/>
  <c r="BB1048" i="3"/>
  <c r="BB1049" i="3"/>
  <c r="BB1050" i="3"/>
  <c r="BB1051" i="3"/>
  <c r="BB1052" i="3"/>
  <c r="BB1053" i="3"/>
  <c r="BB1054" i="3"/>
  <c r="BB1055" i="3"/>
  <c r="BB1056" i="3"/>
  <c r="BB1057" i="3"/>
  <c r="BB1058" i="3"/>
  <c r="BB1059" i="3"/>
  <c r="BB1060" i="3"/>
  <c r="BB1061" i="3"/>
  <c r="BB1062" i="3"/>
  <c r="BB1063" i="3"/>
  <c r="BB1064" i="3"/>
  <c r="BB1065" i="3"/>
  <c r="BB1066" i="3"/>
  <c r="BB1067" i="3"/>
  <c r="BB1068" i="3"/>
  <c r="BB1069" i="3"/>
  <c r="BB1070" i="3"/>
  <c r="BB1071" i="3"/>
  <c r="BB1072" i="3"/>
  <c r="BB1073" i="3"/>
  <c r="BB1074" i="3"/>
  <c r="W744" i="3"/>
  <c r="W760" i="3"/>
  <c r="W765" i="3"/>
  <c r="W779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1" i="3"/>
  <c r="W762" i="3"/>
  <c r="W763" i="3"/>
  <c r="W764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C24" i="1"/>
  <c r="S24" i="1"/>
  <c r="S25" i="1"/>
  <c r="C26" i="1"/>
  <c r="S26" i="1"/>
  <c r="C27" i="1"/>
  <c r="S27" i="1"/>
  <c r="C28" i="1"/>
  <c r="S28" i="1"/>
  <c r="C29" i="1"/>
  <c r="S29" i="1"/>
  <c r="C30" i="1"/>
  <c r="S30" i="1"/>
  <c r="C31" i="1"/>
  <c r="S31" i="1"/>
  <c r="BB1077" i="3"/>
  <c r="BB1078" i="3"/>
  <c r="BB1079" i="3"/>
  <c r="BB1080" i="3"/>
  <c r="BB1081" i="3"/>
  <c r="BB1082" i="3"/>
  <c r="BB1083" i="3"/>
  <c r="BB1084" i="3"/>
  <c r="BB1085" i="3"/>
  <c r="BB1086" i="3"/>
  <c r="BB1087" i="3"/>
  <c r="BB1088" i="3"/>
  <c r="BB1089" i="3"/>
  <c r="BB1090" i="3"/>
  <c r="BB1091" i="3"/>
  <c r="BB1092" i="3"/>
  <c r="BB1093" i="3"/>
  <c r="BB1094" i="3"/>
  <c r="BB1095" i="3"/>
  <c r="BB1096" i="3"/>
  <c r="BB1097" i="3"/>
  <c r="BB1098" i="3"/>
  <c r="BB1099" i="3"/>
  <c r="BB1100" i="3"/>
  <c r="BB1101" i="3"/>
  <c r="BB1102" i="3"/>
  <c r="BB1103" i="3"/>
  <c r="BB1104" i="3"/>
  <c r="BB1105" i="3"/>
  <c r="BB1106" i="3"/>
  <c r="BB1107" i="3"/>
  <c r="BB1108" i="3"/>
  <c r="BB1109" i="3"/>
  <c r="BB1110" i="3"/>
  <c r="BB1111" i="3"/>
  <c r="BB1112" i="3"/>
  <c r="BB1113" i="3"/>
  <c r="BB1114" i="3"/>
  <c r="BB1115" i="3"/>
  <c r="BB1116" i="3"/>
  <c r="BB1117" i="3"/>
  <c r="BB1118" i="3"/>
  <c r="BB1119" i="3"/>
  <c r="BB1120" i="3"/>
  <c r="BB1121" i="3"/>
  <c r="BB1122" i="3"/>
  <c r="BB1123" i="3"/>
  <c r="BB1124" i="3"/>
  <c r="BB1125" i="3"/>
  <c r="BB1126" i="3"/>
  <c r="BB1127" i="3"/>
  <c r="BB1128" i="3"/>
  <c r="BB1129" i="3"/>
  <c r="BB1130" i="3"/>
  <c r="BB1131" i="3"/>
  <c r="BB1132" i="3"/>
  <c r="BB1133" i="3"/>
  <c r="BB1134" i="3"/>
  <c r="BB1135" i="3"/>
  <c r="BB1136" i="3"/>
  <c r="BB1137" i="3"/>
  <c r="BB1138" i="3"/>
  <c r="BB1139" i="3"/>
  <c r="BB1140" i="3"/>
  <c r="BB1141" i="3"/>
  <c r="BB1142" i="3"/>
  <c r="BB1143" i="3"/>
  <c r="BB1144" i="3"/>
  <c r="BB1145" i="3"/>
  <c r="BB1146" i="3"/>
  <c r="BB1147" i="3"/>
  <c r="BB1148" i="3"/>
  <c r="BB1149" i="3"/>
  <c r="BB1150" i="3"/>
  <c r="BB1151" i="3"/>
  <c r="BB1152" i="3"/>
  <c r="BB1153" i="3"/>
  <c r="BB1154" i="3"/>
  <c r="BB1155" i="3"/>
  <c r="BB1156" i="3"/>
  <c r="BB1157" i="3"/>
  <c r="BB1158" i="3"/>
  <c r="BB1159" i="3"/>
  <c r="BB1160" i="3"/>
  <c r="BB1161" i="3"/>
  <c r="BB1162" i="3"/>
  <c r="BB1163" i="3"/>
  <c r="BB1164" i="3"/>
  <c r="BB1165" i="3"/>
  <c r="BB1166" i="3"/>
  <c r="BB1167" i="3"/>
  <c r="BB1168" i="3"/>
  <c r="BB1169" i="3"/>
  <c r="BB1170" i="3"/>
  <c r="BB1171" i="3"/>
  <c r="BB1172" i="3"/>
  <c r="BB1173" i="3"/>
  <c r="BB1174" i="3"/>
  <c r="BB1175" i="3"/>
  <c r="BB1176" i="3"/>
  <c r="BB1177" i="3"/>
  <c r="BB1178" i="3"/>
  <c r="BB1179" i="3"/>
  <c r="BB1180" i="3"/>
  <c r="BB1181" i="3"/>
  <c r="BB1182" i="3"/>
  <c r="BB1183" i="3"/>
  <c r="BB1184" i="3"/>
  <c r="BB1185" i="3"/>
  <c r="BB1186" i="3"/>
  <c r="BB1187" i="3"/>
  <c r="BB1188" i="3"/>
  <c r="BB1189" i="3"/>
  <c r="BB1190" i="3"/>
  <c r="BB1191" i="3"/>
  <c r="BB1192" i="3"/>
  <c r="BB1193" i="3"/>
  <c r="BB1194" i="3"/>
  <c r="BB1195" i="3"/>
  <c r="BB1196" i="3"/>
  <c r="BB1197" i="3"/>
  <c r="BB1198" i="3"/>
  <c r="BB1199" i="3"/>
  <c r="BB1200" i="3"/>
  <c r="BB1201" i="3"/>
  <c r="BB1202" i="3"/>
  <c r="BB1203" i="3"/>
  <c r="BB1204" i="3"/>
  <c r="BB1205" i="3"/>
  <c r="BB1206" i="3"/>
  <c r="BB1207" i="3"/>
  <c r="BB1208" i="3"/>
  <c r="BB1209" i="3"/>
  <c r="BB1210" i="3"/>
  <c r="BB1211" i="3"/>
  <c r="BB1212" i="3"/>
  <c r="BB1213" i="3"/>
  <c r="BB1214" i="3"/>
  <c r="BB1215" i="3"/>
  <c r="BB1216" i="3"/>
  <c r="BB1217" i="3"/>
  <c r="BB1218" i="3"/>
  <c r="BB1219" i="3"/>
  <c r="BB1220" i="3"/>
  <c r="BB1221" i="3"/>
  <c r="BB1222" i="3"/>
  <c r="BB1223" i="3"/>
  <c r="BB1224" i="3"/>
  <c r="BB1225" i="3"/>
  <c r="BB1226" i="3"/>
  <c r="BB1227" i="3"/>
  <c r="BB1228" i="3"/>
  <c r="BB1229" i="3"/>
  <c r="BB1230" i="3"/>
  <c r="BB1231" i="3"/>
  <c r="BB1232" i="3"/>
  <c r="BB1233" i="3"/>
  <c r="BB1234" i="3"/>
  <c r="BB1235" i="3"/>
  <c r="BB1236" i="3"/>
  <c r="BB1237" i="3"/>
  <c r="BB1238" i="3"/>
  <c r="BB1239" i="3"/>
  <c r="BB1240" i="3"/>
  <c r="BB1241" i="3"/>
  <c r="BB1242" i="3"/>
  <c r="BB1243" i="3"/>
  <c r="BB1244" i="3"/>
  <c r="BB1245" i="3"/>
  <c r="BB1246" i="3"/>
  <c r="BB1247" i="3"/>
  <c r="BB1248" i="3"/>
  <c r="BB1249" i="3"/>
  <c r="BB1250" i="3"/>
  <c r="BB1251" i="3"/>
  <c r="BB1252" i="3"/>
  <c r="BB1253" i="3"/>
  <c r="BB1254" i="3"/>
  <c r="BB1255" i="3"/>
  <c r="BB1256" i="3"/>
  <c r="BB1257" i="3"/>
  <c r="BB1258" i="3"/>
  <c r="BB1259" i="3"/>
  <c r="BB1260" i="3"/>
  <c r="BB1261" i="3"/>
  <c r="BB1262" i="3"/>
  <c r="BB1263" i="3"/>
  <c r="BB1264" i="3"/>
  <c r="BB1265" i="3"/>
  <c r="BB1266" i="3"/>
  <c r="BB1267" i="3"/>
  <c r="BB1268" i="3"/>
  <c r="BB1269" i="3"/>
  <c r="BB1270" i="3"/>
  <c r="BB1271" i="3"/>
  <c r="BB1272" i="3"/>
  <c r="BB1273" i="3"/>
  <c r="BB1274" i="3"/>
  <c r="BB1275" i="3"/>
  <c r="BB1276" i="3"/>
  <c r="BB1277" i="3"/>
  <c r="BB1278" i="3"/>
  <c r="BB1279" i="3"/>
  <c r="BB1280" i="3"/>
  <c r="BB1281" i="3"/>
  <c r="BB1282" i="3"/>
  <c r="BB1283" i="3"/>
  <c r="BB1284" i="3"/>
  <c r="BB1285" i="3"/>
  <c r="BB1286" i="3"/>
  <c r="BB1287" i="3"/>
  <c r="BB1288" i="3"/>
  <c r="BB1289" i="3"/>
  <c r="BB1290" i="3"/>
  <c r="BB1291" i="3"/>
  <c r="BB1292" i="3"/>
  <c r="BB1293" i="3"/>
  <c r="BB1294" i="3"/>
  <c r="BB1295" i="3"/>
  <c r="BB1296" i="3"/>
  <c r="BB1297" i="3"/>
  <c r="BB1298" i="3"/>
  <c r="BB1299" i="3"/>
  <c r="BB1300" i="3"/>
  <c r="BB1301" i="3"/>
  <c r="BB1302" i="3"/>
  <c r="BB1303" i="3"/>
  <c r="BB1304" i="3"/>
  <c r="BB1305" i="3"/>
  <c r="BB1306" i="3"/>
  <c r="BB1307" i="3"/>
  <c r="BB1308" i="3"/>
  <c r="BB1309" i="3"/>
  <c r="BB1310" i="3"/>
  <c r="BB1311" i="3"/>
  <c r="BB1312" i="3"/>
  <c r="BB1313" i="3"/>
  <c r="BB1314" i="3"/>
  <c r="BB1315" i="3"/>
  <c r="BB1316" i="3"/>
  <c r="BB1317" i="3"/>
  <c r="W1082" i="3"/>
  <c r="W1089" i="3"/>
  <c r="W1094" i="3"/>
  <c r="W1113" i="3"/>
  <c r="W1077" i="3"/>
  <c r="W1078" i="3"/>
  <c r="W1079" i="3"/>
  <c r="W1080" i="3"/>
  <c r="W1081" i="3"/>
  <c r="W1083" i="3"/>
  <c r="W1084" i="3"/>
  <c r="W1085" i="3"/>
  <c r="W1086" i="3"/>
  <c r="W1087" i="3"/>
  <c r="W1088" i="3"/>
  <c r="W1090" i="3"/>
  <c r="W1091" i="3"/>
  <c r="W1092" i="3"/>
  <c r="W1093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C32" i="1"/>
  <c r="S32" i="1"/>
  <c r="C33" i="1"/>
  <c r="S33" i="1"/>
  <c r="S34" i="1"/>
  <c r="S35" i="1"/>
  <c r="C36" i="1"/>
  <c r="S36" i="1"/>
  <c r="C37" i="1"/>
  <c r="S37" i="1"/>
  <c r="C38" i="1"/>
  <c r="S38" i="1"/>
  <c r="C39" i="1"/>
  <c r="S39" i="1"/>
  <c r="C40" i="1"/>
  <c r="S40" i="1"/>
  <c r="S41" i="1"/>
  <c r="C42" i="1"/>
  <c r="S42" i="1"/>
  <c r="C43" i="1"/>
  <c r="S43" i="1"/>
  <c r="C44" i="1"/>
  <c r="S44" i="1"/>
  <c r="C45" i="1"/>
  <c r="S45" i="1"/>
  <c r="C46" i="1"/>
  <c r="S46" i="1"/>
  <c r="C47" i="1"/>
  <c r="S47" i="1"/>
  <c r="BB1362" i="3"/>
  <c r="BB1363" i="3"/>
  <c r="BB1364" i="3"/>
  <c r="BB1365" i="3"/>
  <c r="BB1366" i="3"/>
  <c r="BB1367" i="3"/>
  <c r="BB1368" i="3"/>
  <c r="BB1369" i="3"/>
  <c r="BB1370" i="3"/>
  <c r="BB1371" i="3"/>
  <c r="BB1372" i="3"/>
  <c r="BB1373" i="3"/>
  <c r="BB1374" i="3"/>
  <c r="BB1375" i="3"/>
  <c r="BB1376" i="3"/>
  <c r="BB1377" i="3"/>
  <c r="BB1378" i="3"/>
  <c r="BB1379" i="3"/>
  <c r="BB1380" i="3"/>
  <c r="BB1381" i="3"/>
  <c r="BB1382" i="3"/>
  <c r="BB1383" i="3"/>
  <c r="BB1384" i="3"/>
  <c r="BB1385" i="3"/>
  <c r="BB1386" i="3"/>
  <c r="BB1387" i="3"/>
  <c r="BB1388" i="3"/>
  <c r="BB1389" i="3"/>
  <c r="BB1390" i="3"/>
  <c r="BB1391" i="3"/>
  <c r="BB1392" i="3"/>
  <c r="BB1393" i="3"/>
  <c r="BB1394" i="3"/>
  <c r="BB1395" i="3"/>
  <c r="BB1396" i="3"/>
  <c r="BB1397" i="3"/>
  <c r="BB1398" i="3"/>
  <c r="BB1399" i="3"/>
  <c r="BB1400" i="3"/>
  <c r="BB1401" i="3"/>
  <c r="BB1402" i="3"/>
  <c r="BB1403" i="3"/>
  <c r="BB1404" i="3"/>
  <c r="BB1405" i="3"/>
  <c r="BB1406" i="3"/>
  <c r="BB1407" i="3"/>
  <c r="BB1408" i="3"/>
  <c r="BB1409" i="3"/>
  <c r="BB1410" i="3"/>
  <c r="BB1411" i="3"/>
  <c r="BB1412" i="3"/>
  <c r="BB1413" i="3"/>
  <c r="BB1414" i="3"/>
  <c r="BB1415" i="3"/>
  <c r="BB1416" i="3"/>
  <c r="BB1417" i="3"/>
  <c r="BB1418" i="3"/>
  <c r="BB1419" i="3"/>
  <c r="BB1420" i="3"/>
  <c r="BB1421" i="3"/>
  <c r="BB1422" i="3"/>
  <c r="BB1423" i="3"/>
  <c r="BB1424" i="3"/>
  <c r="BB1425" i="3"/>
  <c r="BB1426" i="3"/>
  <c r="BB1427" i="3"/>
  <c r="BB1428" i="3"/>
  <c r="BB1429" i="3"/>
  <c r="BB1430" i="3"/>
  <c r="BB1431" i="3"/>
  <c r="BB1432" i="3"/>
  <c r="BB1433" i="3"/>
  <c r="BB1434" i="3"/>
  <c r="BB1435" i="3"/>
  <c r="BB1436" i="3"/>
  <c r="BB1437" i="3"/>
  <c r="BB1438" i="3"/>
  <c r="BB1439" i="3"/>
  <c r="BB1440" i="3"/>
  <c r="BB1441" i="3"/>
  <c r="BB1442" i="3"/>
  <c r="BB1443" i="3"/>
  <c r="BB1444" i="3"/>
  <c r="BB1445" i="3"/>
  <c r="BB1446" i="3"/>
  <c r="BB1447" i="3"/>
  <c r="BB1448" i="3"/>
  <c r="BB1449" i="3"/>
  <c r="BB1450" i="3"/>
  <c r="BB1451" i="3"/>
  <c r="BB1452" i="3"/>
  <c r="BB1453" i="3"/>
  <c r="BB1454" i="3"/>
  <c r="BB1455" i="3"/>
  <c r="BB1456" i="3"/>
  <c r="BB1457" i="3"/>
  <c r="BB1458" i="3"/>
  <c r="BB1459" i="3"/>
  <c r="BB1460" i="3"/>
  <c r="BB1461" i="3"/>
  <c r="BB1462" i="3"/>
  <c r="BB1463" i="3"/>
  <c r="BB1464" i="3"/>
  <c r="BB1465" i="3"/>
  <c r="BB1466" i="3"/>
  <c r="BB1467" i="3"/>
  <c r="BB1468" i="3"/>
  <c r="BB1469" i="3"/>
  <c r="BB1470" i="3"/>
  <c r="BB1471" i="3"/>
  <c r="BB1472" i="3"/>
  <c r="BB1473" i="3"/>
  <c r="BB1474" i="3"/>
  <c r="BB1475" i="3"/>
  <c r="BB1476" i="3"/>
  <c r="BB1477" i="3"/>
  <c r="BB1478" i="3"/>
  <c r="BB1479" i="3"/>
  <c r="BB1480" i="3"/>
  <c r="BB1481" i="3"/>
  <c r="BB1482" i="3"/>
  <c r="BB1483" i="3"/>
  <c r="BB1484" i="3"/>
  <c r="BB1485" i="3"/>
  <c r="BB1486" i="3"/>
  <c r="BB1487" i="3"/>
  <c r="BB1488" i="3"/>
  <c r="BB1489" i="3"/>
  <c r="BB1490" i="3"/>
  <c r="BB1491" i="3"/>
  <c r="BB1492" i="3"/>
  <c r="BB1493" i="3"/>
  <c r="BB1494" i="3"/>
  <c r="BB1495" i="3"/>
  <c r="BB1496" i="3"/>
  <c r="BB1497" i="3"/>
  <c r="BB1498" i="3"/>
  <c r="BB1499" i="3"/>
  <c r="BB1500" i="3"/>
  <c r="BB1501" i="3"/>
  <c r="BB1502" i="3"/>
  <c r="BB1503" i="3"/>
  <c r="BB1504" i="3"/>
  <c r="BB1505" i="3"/>
  <c r="BB1506" i="3"/>
  <c r="BB1507" i="3"/>
  <c r="BB1508" i="3"/>
  <c r="BB1509" i="3"/>
  <c r="BB1510" i="3"/>
  <c r="BB1511" i="3"/>
  <c r="BB1512" i="3"/>
  <c r="BB1513" i="3"/>
  <c r="BB1514" i="3"/>
  <c r="BB1515" i="3"/>
  <c r="BB1516" i="3"/>
  <c r="BB1517" i="3"/>
  <c r="BB1518" i="3"/>
  <c r="BB1519" i="3"/>
  <c r="BB1520" i="3"/>
  <c r="BB1521" i="3"/>
  <c r="BB1522" i="3"/>
  <c r="BB1523" i="3"/>
  <c r="BB1524" i="3"/>
  <c r="BB1525" i="3"/>
  <c r="BB1526" i="3"/>
  <c r="BB1527" i="3"/>
  <c r="BB1528" i="3"/>
  <c r="BB1529" i="3"/>
  <c r="BB1530" i="3"/>
  <c r="BB1531" i="3"/>
  <c r="BB1532" i="3"/>
  <c r="BB1533" i="3"/>
  <c r="BB1534" i="3"/>
  <c r="BB1535" i="3"/>
  <c r="BB1536" i="3"/>
  <c r="BB1537" i="3"/>
  <c r="BB1538" i="3"/>
  <c r="BB1539" i="3"/>
  <c r="BB1540" i="3"/>
  <c r="BB1541" i="3"/>
  <c r="BB1542" i="3"/>
  <c r="BB1543" i="3"/>
  <c r="BB1544" i="3"/>
  <c r="BB1545" i="3"/>
  <c r="BB1546" i="3"/>
  <c r="BB1547" i="3"/>
  <c r="BB1548" i="3"/>
  <c r="BB1549" i="3"/>
  <c r="BB1550" i="3"/>
  <c r="BB1551" i="3"/>
  <c r="BB1552" i="3"/>
  <c r="BB1553" i="3"/>
  <c r="BB1554" i="3"/>
  <c r="BB1555" i="3"/>
  <c r="BB1556" i="3"/>
  <c r="BB1557" i="3"/>
  <c r="BB1558" i="3"/>
  <c r="BB1559" i="3"/>
  <c r="BB1560" i="3"/>
  <c r="BB1561" i="3"/>
  <c r="BB1562" i="3"/>
  <c r="BB1563" i="3"/>
  <c r="BB1564" i="3"/>
  <c r="BB1565" i="3"/>
  <c r="BB1566" i="3"/>
  <c r="BB1567" i="3"/>
  <c r="BB1568" i="3"/>
  <c r="BB1569" i="3"/>
  <c r="BB1570" i="3"/>
  <c r="BB1571" i="3"/>
  <c r="BB1572" i="3"/>
  <c r="BB1573" i="3"/>
  <c r="BB1574" i="3"/>
  <c r="BB1575" i="3"/>
  <c r="BB1576" i="3"/>
  <c r="BB1577" i="3"/>
  <c r="BB1578" i="3"/>
  <c r="BB1579" i="3"/>
  <c r="BB1580" i="3"/>
  <c r="BB1581" i="3"/>
  <c r="BB1582" i="3"/>
  <c r="BB1583" i="3"/>
  <c r="BB1584" i="3"/>
  <c r="BB1585" i="3"/>
  <c r="BB1586" i="3"/>
  <c r="BB1587" i="3"/>
  <c r="BB1588" i="3"/>
  <c r="BB1589" i="3"/>
  <c r="BB1590" i="3"/>
  <c r="BB1591" i="3"/>
  <c r="BB1592" i="3"/>
  <c r="BB1593" i="3"/>
  <c r="BB1594" i="3"/>
  <c r="BB1595" i="3"/>
  <c r="BB1596" i="3"/>
  <c r="BB1597" i="3"/>
  <c r="BB1598" i="3"/>
  <c r="BB1599" i="3"/>
  <c r="BB1600" i="3"/>
  <c r="BB1601" i="3"/>
  <c r="BB1602" i="3"/>
  <c r="BB1603" i="3"/>
  <c r="BB1604" i="3"/>
  <c r="BB1605" i="3"/>
  <c r="BB1606" i="3"/>
  <c r="BB1607" i="3"/>
  <c r="W1362" i="3"/>
  <c r="W1388" i="3"/>
  <c r="W1390" i="3"/>
  <c r="W141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9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C48" i="1"/>
  <c r="S48" i="1"/>
  <c r="C49" i="1"/>
  <c r="S49" i="1"/>
  <c r="C50" i="1"/>
  <c r="S50" i="1"/>
  <c r="C51" i="1"/>
  <c r="S51" i="1"/>
  <c r="C52" i="1"/>
  <c r="S52" i="1"/>
  <c r="C53" i="1"/>
  <c r="S53" i="1"/>
  <c r="AE52" i="6"/>
  <c r="CC27" i="1"/>
  <c r="Z52" i="6"/>
  <c r="AE51" i="6"/>
  <c r="CC11" i="1"/>
  <c r="Z51" i="6"/>
  <c r="AE50" i="6"/>
  <c r="CC33" i="1"/>
  <c r="Z50" i="6"/>
  <c r="AE49" i="6"/>
  <c r="CC21" i="1"/>
  <c r="Z49" i="6"/>
  <c r="AE48" i="6"/>
  <c r="CC3" i="1"/>
  <c r="Z48" i="6"/>
  <c r="AE47" i="6"/>
  <c r="CC12" i="1"/>
  <c r="Z47" i="6"/>
  <c r="AE46" i="6"/>
  <c r="CC35" i="1"/>
  <c r="Z46" i="6"/>
  <c r="AE45" i="6"/>
  <c r="CC43" i="1"/>
  <c r="Z45" i="6"/>
  <c r="AE44" i="6"/>
  <c r="CC41" i="1"/>
  <c r="Z44" i="6"/>
  <c r="AE43" i="6"/>
  <c r="CC6" i="1"/>
  <c r="Z43" i="6"/>
  <c r="AE42" i="6"/>
  <c r="CC36" i="1"/>
  <c r="Z42" i="6"/>
  <c r="AE41" i="6"/>
  <c r="CC20" i="1"/>
  <c r="Z41" i="6"/>
  <c r="AE40" i="6"/>
  <c r="CC45" i="1"/>
  <c r="Z40" i="6"/>
  <c r="AE39" i="6"/>
  <c r="CC23" i="1"/>
  <c r="Z39" i="6"/>
  <c r="AE38" i="6"/>
  <c r="CC9" i="1"/>
  <c r="Z38" i="6"/>
  <c r="AE37" i="6"/>
  <c r="CC49" i="1"/>
  <c r="Z37" i="6"/>
  <c r="AE36" i="6"/>
  <c r="CC13" i="1"/>
  <c r="Z36" i="6"/>
  <c r="AE35" i="6"/>
  <c r="CC38" i="1"/>
  <c r="Z35" i="6"/>
  <c r="AE34" i="6"/>
  <c r="CC46" i="1"/>
  <c r="Z34" i="6"/>
  <c r="AE33" i="6"/>
  <c r="CC42" i="1"/>
  <c r="Z33" i="6"/>
  <c r="AE32" i="6"/>
  <c r="CC51" i="1"/>
  <c r="Z32" i="6"/>
  <c r="AE31" i="6"/>
  <c r="CC48" i="1"/>
  <c r="Z31" i="6"/>
  <c r="AE30" i="6"/>
  <c r="CC31" i="1"/>
  <c r="Z30" i="6"/>
  <c r="AE29" i="6"/>
  <c r="CC10" i="1"/>
  <c r="Z29" i="6"/>
  <c r="AE28" i="6"/>
  <c r="CC7" i="1"/>
  <c r="Z28" i="6"/>
  <c r="AE27" i="6"/>
  <c r="CC28" i="1"/>
  <c r="Z27" i="6"/>
  <c r="AE26" i="6"/>
  <c r="CC47" i="1"/>
  <c r="Z26" i="6"/>
  <c r="AE25" i="6"/>
  <c r="CC25" i="1"/>
  <c r="Z25" i="6"/>
  <c r="AE24" i="6"/>
  <c r="CC52" i="1"/>
  <c r="Z24" i="6"/>
  <c r="AE23" i="6"/>
  <c r="CC14" i="1"/>
  <c r="Z23" i="6"/>
  <c r="AE22" i="6"/>
  <c r="CC16" i="1"/>
  <c r="Z22" i="6"/>
  <c r="AE21" i="6"/>
  <c r="CC18" i="1"/>
  <c r="Z21" i="6"/>
  <c r="AE20" i="6"/>
  <c r="CC26" i="1"/>
  <c r="Z20" i="6"/>
  <c r="AE19" i="6"/>
  <c r="CC5" i="1"/>
  <c r="Z19" i="6"/>
  <c r="AE18" i="6"/>
  <c r="CC15" i="1"/>
  <c r="Z18" i="6"/>
  <c r="AE17" i="6"/>
  <c r="CC32" i="1"/>
  <c r="Z17" i="6"/>
  <c r="AE16" i="6"/>
  <c r="CC24" i="1"/>
  <c r="Z16" i="6"/>
  <c r="AE15" i="6"/>
  <c r="CC30" i="1"/>
  <c r="Z15" i="6"/>
  <c r="AE14" i="6"/>
  <c r="CC19" i="1"/>
  <c r="Z14" i="6"/>
  <c r="AE13" i="6"/>
  <c r="CC40" i="1"/>
  <c r="Z13" i="6"/>
  <c r="AE12" i="6"/>
  <c r="CC50" i="1"/>
  <c r="Z12" i="6"/>
  <c r="AE11" i="6"/>
  <c r="CC17" i="1"/>
  <c r="Z11" i="6"/>
  <c r="AE10" i="6"/>
  <c r="CC22" i="1"/>
  <c r="Z10" i="6"/>
  <c r="AE9" i="6"/>
  <c r="CC8" i="1"/>
  <c r="Z9" i="6"/>
  <c r="AE8" i="6"/>
  <c r="CC53" i="1"/>
  <c r="Z8" i="6"/>
  <c r="AE7" i="6"/>
  <c r="CC29" i="1"/>
  <c r="Z7" i="6"/>
  <c r="AE6" i="6"/>
  <c r="CC44" i="1"/>
  <c r="Z6" i="6"/>
  <c r="AE5" i="6"/>
  <c r="CC39" i="1"/>
  <c r="Z5" i="6"/>
  <c r="AE4" i="6"/>
  <c r="CC4" i="1"/>
  <c r="Z4" i="6"/>
  <c r="AE3" i="6"/>
  <c r="CC37" i="1"/>
  <c r="Z3" i="6"/>
  <c r="AE2" i="6"/>
  <c r="CC34" i="1"/>
  <c r="Z2" i="6"/>
  <c r="Q27" i="1"/>
  <c r="AD52" i="6"/>
  <c r="Q11" i="1"/>
  <c r="AD51" i="6"/>
  <c r="Q33" i="1"/>
  <c r="AD50" i="6"/>
  <c r="Q21" i="1"/>
  <c r="AD49" i="6"/>
  <c r="Q3" i="1"/>
  <c r="AD48" i="6"/>
  <c r="Q12" i="1"/>
  <c r="AD47" i="6"/>
  <c r="Q35" i="1"/>
  <c r="AD46" i="6"/>
  <c r="Q43" i="1"/>
  <c r="AD45" i="6"/>
  <c r="Q41" i="1"/>
  <c r="AD44" i="6"/>
  <c r="Q6" i="1"/>
  <c r="AD43" i="6"/>
  <c r="Q36" i="1"/>
  <c r="AD42" i="6"/>
  <c r="Q20" i="1"/>
  <c r="AD41" i="6"/>
  <c r="Q45" i="1"/>
  <c r="AD40" i="6"/>
  <c r="Q23" i="1"/>
  <c r="AD39" i="6"/>
  <c r="Q9" i="1"/>
  <c r="AD38" i="6"/>
  <c r="Q49" i="1"/>
  <c r="AD37" i="6"/>
  <c r="Q13" i="1"/>
  <c r="AD36" i="6"/>
  <c r="Q38" i="1"/>
  <c r="AD35" i="6"/>
  <c r="Q46" i="1"/>
  <c r="AD34" i="6"/>
  <c r="Q42" i="1"/>
  <c r="AD33" i="6"/>
  <c r="Q51" i="1"/>
  <c r="AD32" i="6"/>
  <c r="Q48" i="1"/>
  <c r="AD31" i="6"/>
  <c r="Q31" i="1"/>
  <c r="AD30" i="6"/>
  <c r="Q10" i="1"/>
  <c r="AD29" i="6"/>
  <c r="Q7" i="1"/>
  <c r="AD28" i="6"/>
  <c r="Q28" i="1"/>
  <c r="AD27" i="6"/>
  <c r="Q47" i="1"/>
  <c r="AD26" i="6"/>
  <c r="Q25" i="1"/>
  <c r="AD25" i="6"/>
  <c r="Q52" i="1"/>
  <c r="AD24" i="6"/>
  <c r="Q14" i="1"/>
  <c r="AD23" i="6"/>
  <c r="Q16" i="1"/>
  <c r="AD22" i="6"/>
  <c r="Q18" i="1"/>
  <c r="AD21" i="6"/>
  <c r="Q26" i="1"/>
  <c r="AD20" i="6"/>
  <c r="Q5" i="1"/>
  <c r="AD19" i="6"/>
  <c r="Q15" i="1"/>
  <c r="AD18" i="6"/>
  <c r="Q32" i="1"/>
  <c r="AD17" i="6"/>
  <c r="Q24" i="1"/>
  <c r="AD16" i="6"/>
  <c r="Q30" i="1"/>
  <c r="AD15" i="6"/>
  <c r="Q19" i="1"/>
  <c r="AD14" i="6"/>
  <c r="Q40" i="1"/>
  <c r="AD13" i="6"/>
  <c r="Q50" i="1"/>
  <c r="AD12" i="6"/>
  <c r="Q17" i="1"/>
  <c r="AD11" i="6"/>
  <c r="Q22" i="1"/>
  <c r="AD10" i="6"/>
  <c r="Q8" i="1"/>
  <c r="AD9" i="6"/>
  <c r="Q53" i="1"/>
  <c r="AD8" i="6"/>
  <c r="Q29" i="1"/>
  <c r="AD7" i="6"/>
  <c r="Q44" i="1"/>
  <c r="AD6" i="6"/>
  <c r="Q39" i="1"/>
  <c r="AD5" i="6"/>
  <c r="Q4" i="1"/>
  <c r="AD4" i="6"/>
  <c r="Q37" i="1"/>
  <c r="AD3" i="6"/>
  <c r="Q34" i="1"/>
  <c r="AD2" i="6"/>
  <c r="S54" i="1"/>
  <c r="AE53" i="6"/>
  <c r="R2" i="1"/>
  <c r="AD1" i="6"/>
  <c r="O54" i="1"/>
  <c r="AD53" i="6"/>
  <c r="M54" i="1"/>
  <c r="Q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AS54" i="1"/>
  <c r="AU54" i="1"/>
  <c r="AW54" i="1"/>
  <c r="AY54" i="1"/>
  <c r="BA54" i="1"/>
  <c r="BC54" i="1"/>
  <c r="BE54" i="1"/>
  <c r="BG54" i="1"/>
  <c r="BI54" i="1"/>
  <c r="BK54" i="1"/>
  <c r="BM54" i="1"/>
  <c r="BO54" i="1"/>
  <c r="BQ54" i="1"/>
  <c r="BS54" i="1"/>
  <c r="BU54" i="1"/>
  <c r="BW54" i="1"/>
  <c r="BY54" i="1"/>
  <c r="CA54" i="1"/>
  <c r="I54" i="1"/>
  <c r="H54" i="1"/>
  <c r="AC53" i="6"/>
  <c r="AB53" i="6"/>
  <c r="B54" i="1"/>
  <c r="AA53" i="6"/>
  <c r="I27" i="1"/>
  <c r="M27" i="1"/>
  <c r="O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H27" i="1"/>
  <c r="AC52" i="6"/>
  <c r="AB52" i="6"/>
  <c r="AA52" i="6"/>
  <c r="I11" i="1"/>
  <c r="M11" i="1"/>
  <c r="O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C11" i="1"/>
  <c r="BE11" i="1"/>
  <c r="BG11" i="1"/>
  <c r="BI11" i="1"/>
  <c r="BK11" i="1"/>
  <c r="BM11" i="1"/>
  <c r="BO11" i="1"/>
  <c r="BQ11" i="1"/>
  <c r="BS11" i="1"/>
  <c r="BU11" i="1"/>
  <c r="BW11" i="1"/>
  <c r="BY11" i="1"/>
  <c r="CA11" i="1"/>
  <c r="H11" i="1"/>
  <c r="AC51" i="6"/>
  <c r="AB51" i="6"/>
  <c r="AA51" i="6"/>
  <c r="I33" i="1"/>
  <c r="M33" i="1"/>
  <c r="O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BA33" i="1"/>
  <c r="BC33" i="1"/>
  <c r="BE33" i="1"/>
  <c r="BG33" i="1"/>
  <c r="BI33" i="1"/>
  <c r="BK33" i="1"/>
  <c r="BM33" i="1"/>
  <c r="BO33" i="1"/>
  <c r="BQ33" i="1"/>
  <c r="BS33" i="1"/>
  <c r="BU33" i="1"/>
  <c r="BW33" i="1"/>
  <c r="BY33" i="1"/>
  <c r="CA33" i="1"/>
  <c r="H33" i="1"/>
  <c r="AC50" i="6"/>
  <c r="AB50" i="6"/>
  <c r="AA50" i="6"/>
  <c r="M21" i="1"/>
  <c r="O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I21" i="1"/>
  <c r="H21" i="1"/>
  <c r="AC49" i="6"/>
  <c r="AB49" i="6"/>
  <c r="AA49" i="6"/>
  <c r="I3" i="1"/>
  <c r="M3" i="1"/>
  <c r="O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AY3" i="1"/>
  <c r="BA3" i="1"/>
  <c r="BC3" i="1"/>
  <c r="BE3" i="1"/>
  <c r="BG3" i="1"/>
  <c r="BI3" i="1"/>
  <c r="BK3" i="1"/>
  <c r="BM3" i="1"/>
  <c r="BO3" i="1"/>
  <c r="BQ3" i="1"/>
  <c r="BS3" i="1"/>
  <c r="BU3" i="1"/>
  <c r="BW3" i="1"/>
  <c r="BY3" i="1"/>
  <c r="CA3" i="1"/>
  <c r="H3" i="1"/>
  <c r="AC48" i="6"/>
  <c r="AB48" i="6"/>
  <c r="AA48" i="6"/>
  <c r="I12" i="1"/>
  <c r="M12" i="1"/>
  <c r="O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I12" i="1"/>
  <c r="BK12" i="1"/>
  <c r="BM12" i="1"/>
  <c r="BO12" i="1"/>
  <c r="BQ12" i="1"/>
  <c r="BS12" i="1"/>
  <c r="BU12" i="1"/>
  <c r="BW12" i="1"/>
  <c r="BY12" i="1"/>
  <c r="CA12" i="1"/>
  <c r="H12" i="1"/>
  <c r="AC47" i="6"/>
  <c r="AB47" i="6"/>
  <c r="AA47" i="6"/>
  <c r="M35" i="1"/>
  <c r="O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BA35" i="1"/>
  <c r="BC35" i="1"/>
  <c r="BE35" i="1"/>
  <c r="BG35" i="1"/>
  <c r="BI35" i="1"/>
  <c r="BK35" i="1"/>
  <c r="BM35" i="1"/>
  <c r="BO35" i="1"/>
  <c r="BQ35" i="1"/>
  <c r="BS35" i="1"/>
  <c r="BU35" i="1"/>
  <c r="BW35" i="1"/>
  <c r="BY35" i="1"/>
  <c r="CA35" i="1"/>
  <c r="I35" i="1"/>
  <c r="H35" i="1"/>
  <c r="AC46" i="6"/>
  <c r="AB46" i="6"/>
  <c r="AA46" i="6"/>
  <c r="M43" i="1"/>
  <c r="O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AS43" i="1"/>
  <c r="AU43" i="1"/>
  <c r="AW43" i="1"/>
  <c r="AY43" i="1"/>
  <c r="BA43" i="1"/>
  <c r="BC43" i="1"/>
  <c r="BE43" i="1"/>
  <c r="BG43" i="1"/>
  <c r="BI43" i="1"/>
  <c r="BK43" i="1"/>
  <c r="BM43" i="1"/>
  <c r="BO43" i="1"/>
  <c r="BQ43" i="1"/>
  <c r="BS43" i="1"/>
  <c r="BU43" i="1"/>
  <c r="BW43" i="1"/>
  <c r="BY43" i="1"/>
  <c r="CA43" i="1"/>
  <c r="I43" i="1"/>
  <c r="H43" i="1"/>
  <c r="AC45" i="6"/>
  <c r="AB45" i="6"/>
  <c r="AA45" i="6"/>
  <c r="M41" i="1"/>
  <c r="O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AS41" i="1"/>
  <c r="AU41" i="1"/>
  <c r="AW41" i="1"/>
  <c r="AY41" i="1"/>
  <c r="BA41" i="1"/>
  <c r="BC41" i="1"/>
  <c r="BE41" i="1"/>
  <c r="BG41" i="1"/>
  <c r="BI41" i="1"/>
  <c r="BK41" i="1"/>
  <c r="BM41" i="1"/>
  <c r="BO41" i="1"/>
  <c r="BQ41" i="1"/>
  <c r="BS41" i="1"/>
  <c r="BU41" i="1"/>
  <c r="BW41" i="1"/>
  <c r="BY41" i="1"/>
  <c r="CA41" i="1"/>
  <c r="I41" i="1"/>
  <c r="H41" i="1"/>
  <c r="AC44" i="6"/>
  <c r="AB44" i="6"/>
  <c r="AA44" i="6"/>
  <c r="M6" i="1"/>
  <c r="O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AY6" i="1"/>
  <c r="BA6" i="1"/>
  <c r="BC6" i="1"/>
  <c r="BE6" i="1"/>
  <c r="BG6" i="1"/>
  <c r="BI6" i="1"/>
  <c r="BK6" i="1"/>
  <c r="BM6" i="1"/>
  <c r="BO6" i="1"/>
  <c r="BQ6" i="1"/>
  <c r="BS6" i="1"/>
  <c r="BU6" i="1"/>
  <c r="BW6" i="1"/>
  <c r="BY6" i="1"/>
  <c r="CA6" i="1"/>
  <c r="I6" i="1"/>
  <c r="H6" i="1"/>
  <c r="AC43" i="6"/>
  <c r="AB43" i="6"/>
  <c r="AA43" i="6"/>
  <c r="I36" i="1"/>
  <c r="M36" i="1"/>
  <c r="O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BA36" i="1"/>
  <c r="BC36" i="1"/>
  <c r="BE36" i="1"/>
  <c r="BG36" i="1"/>
  <c r="BI36" i="1"/>
  <c r="BK36" i="1"/>
  <c r="BM36" i="1"/>
  <c r="BO36" i="1"/>
  <c r="BQ36" i="1"/>
  <c r="BS36" i="1"/>
  <c r="BU36" i="1"/>
  <c r="BW36" i="1"/>
  <c r="BY36" i="1"/>
  <c r="CA36" i="1"/>
  <c r="H36" i="1"/>
  <c r="AC42" i="6"/>
  <c r="AB42" i="6"/>
  <c r="AA42" i="6"/>
  <c r="M20" i="1"/>
  <c r="O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BU20" i="1"/>
  <c r="BW20" i="1"/>
  <c r="BY20" i="1"/>
  <c r="CA20" i="1"/>
  <c r="I20" i="1"/>
  <c r="H20" i="1"/>
  <c r="AC41" i="6"/>
  <c r="AB41" i="6"/>
  <c r="AA41" i="6"/>
  <c r="M45" i="1"/>
  <c r="O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AS45" i="1"/>
  <c r="AU45" i="1"/>
  <c r="AW45" i="1"/>
  <c r="AY45" i="1"/>
  <c r="BA45" i="1"/>
  <c r="BC45" i="1"/>
  <c r="BE45" i="1"/>
  <c r="BG45" i="1"/>
  <c r="BI45" i="1"/>
  <c r="BK45" i="1"/>
  <c r="BM45" i="1"/>
  <c r="BO45" i="1"/>
  <c r="BQ45" i="1"/>
  <c r="BS45" i="1"/>
  <c r="BU45" i="1"/>
  <c r="BW45" i="1"/>
  <c r="BY45" i="1"/>
  <c r="CA45" i="1"/>
  <c r="I45" i="1"/>
  <c r="H45" i="1"/>
  <c r="AC40" i="6"/>
  <c r="AB40" i="6"/>
  <c r="AA40" i="6"/>
  <c r="M23" i="1"/>
  <c r="O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I23" i="1"/>
  <c r="H23" i="1"/>
  <c r="AC39" i="6"/>
  <c r="AB39" i="6"/>
  <c r="AA39" i="6"/>
  <c r="M9" i="1"/>
  <c r="O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I9" i="1"/>
  <c r="H9" i="1"/>
  <c r="AC38" i="6"/>
  <c r="AB38" i="6"/>
  <c r="AA38" i="6"/>
  <c r="M49" i="1"/>
  <c r="O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AS49" i="1"/>
  <c r="AU49" i="1"/>
  <c r="AW49" i="1"/>
  <c r="AY49" i="1"/>
  <c r="BA49" i="1"/>
  <c r="BC49" i="1"/>
  <c r="BE49" i="1"/>
  <c r="BG49" i="1"/>
  <c r="BI49" i="1"/>
  <c r="BK49" i="1"/>
  <c r="BM49" i="1"/>
  <c r="BO49" i="1"/>
  <c r="BQ49" i="1"/>
  <c r="BS49" i="1"/>
  <c r="BU49" i="1"/>
  <c r="BW49" i="1"/>
  <c r="BY49" i="1"/>
  <c r="CA49" i="1"/>
  <c r="I49" i="1"/>
  <c r="H49" i="1"/>
  <c r="AC37" i="6"/>
  <c r="AB37" i="6"/>
  <c r="AA37" i="6"/>
  <c r="M13" i="1"/>
  <c r="O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BQ13" i="1"/>
  <c r="BS13" i="1"/>
  <c r="BU13" i="1"/>
  <c r="BW13" i="1"/>
  <c r="BY13" i="1"/>
  <c r="CA13" i="1"/>
  <c r="I13" i="1"/>
  <c r="H13" i="1"/>
  <c r="AC36" i="6"/>
  <c r="AB36" i="6"/>
  <c r="AA36" i="6"/>
  <c r="M38" i="1"/>
  <c r="O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AY38" i="1"/>
  <c r="BA38" i="1"/>
  <c r="BC38" i="1"/>
  <c r="BE38" i="1"/>
  <c r="BG38" i="1"/>
  <c r="BI38" i="1"/>
  <c r="BK38" i="1"/>
  <c r="BM38" i="1"/>
  <c r="BO38" i="1"/>
  <c r="BQ38" i="1"/>
  <c r="BS38" i="1"/>
  <c r="BU38" i="1"/>
  <c r="BW38" i="1"/>
  <c r="BY38" i="1"/>
  <c r="CA38" i="1"/>
  <c r="I38" i="1"/>
  <c r="M46" i="1"/>
  <c r="O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AS46" i="1"/>
  <c r="AU46" i="1"/>
  <c r="AW46" i="1"/>
  <c r="AY46" i="1"/>
  <c r="BA46" i="1"/>
  <c r="BC46" i="1"/>
  <c r="BE46" i="1"/>
  <c r="BG46" i="1"/>
  <c r="BI46" i="1"/>
  <c r="BK46" i="1"/>
  <c r="BM46" i="1"/>
  <c r="BO46" i="1"/>
  <c r="BQ46" i="1"/>
  <c r="BS46" i="1"/>
  <c r="BU46" i="1"/>
  <c r="BW46" i="1"/>
  <c r="BY46" i="1"/>
  <c r="CA46" i="1"/>
  <c r="I46" i="1"/>
  <c r="H38" i="1"/>
  <c r="AC35" i="6"/>
  <c r="AB35" i="6"/>
  <c r="AA35" i="6"/>
  <c r="H46" i="1"/>
  <c r="AC34" i="6"/>
  <c r="AB34" i="6"/>
  <c r="AA34" i="6"/>
  <c r="M42" i="1"/>
  <c r="O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AS42" i="1"/>
  <c r="AU42" i="1"/>
  <c r="AW42" i="1"/>
  <c r="AY42" i="1"/>
  <c r="BA42" i="1"/>
  <c r="BC42" i="1"/>
  <c r="BE42" i="1"/>
  <c r="BG42" i="1"/>
  <c r="BI42" i="1"/>
  <c r="BK42" i="1"/>
  <c r="BM42" i="1"/>
  <c r="BO42" i="1"/>
  <c r="BQ42" i="1"/>
  <c r="BS42" i="1"/>
  <c r="BU42" i="1"/>
  <c r="BW42" i="1"/>
  <c r="BY42" i="1"/>
  <c r="CA42" i="1"/>
  <c r="I42" i="1"/>
  <c r="H42" i="1"/>
  <c r="AC33" i="6"/>
  <c r="AB33" i="6"/>
  <c r="AA33" i="6"/>
  <c r="M51" i="1"/>
  <c r="O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AS51" i="1"/>
  <c r="AU51" i="1"/>
  <c r="AW51" i="1"/>
  <c r="AY51" i="1"/>
  <c r="BA51" i="1"/>
  <c r="BC51" i="1"/>
  <c r="BE51" i="1"/>
  <c r="BG51" i="1"/>
  <c r="BI51" i="1"/>
  <c r="BK51" i="1"/>
  <c r="BM51" i="1"/>
  <c r="BO51" i="1"/>
  <c r="BQ51" i="1"/>
  <c r="BS51" i="1"/>
  <c r="BU51" i="1"/>
  <c r="BW51" i="1"/>
  <c r="BY51" i="1"/>
  <c r="CA51" i="1"/>
  <c r="I51" i="1"/>
  <c r="H51" i="1"/>
  <c r="AC32" i="6"/>
  <c r="AB32" i="6"/>
  <c r="AA32" i="6"/>
  <c r="M48" i="1"/>
  <c r="O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AS48" i="1"/>
  <c r="AU48" i="1"/>
  <c r="AW48" i="1"/>
  <c r="AY48" i="1"/>
  <c r="BA48" i="1"/>
  <c r="BC48" i="1"/>
  <c r="BE48" i="1"/>
  <c r="BG48" i="1"/>
  <c r="BI48" i="1"/>
  <c r="BK48" i="1"/>
  <c r="BM48" i="1"/>
  <c r="BO48" i="1"/>
  <c r="BQ48" i="1"/>
  <c r="BS48" i="1"/>
  <c r="BU48" i="1"/>
  <c r="BW48" i="1"/>
  <c r="BY48" i="1"/>
  <c r="CA48" i="1"/>
  <c r="I48" i="1"/>
  <c r="H48" i="1"/>
  <c r="AC31" i="6"/>
  <c r="AB31" i="6"/>
  <c r="AA31" i="6"/>
  <c r="I31" i="1"/>
  <c r="M31" i="1"/>
  <c r="O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H31" i="1"/>
  <c r="AC30" i="6"/>
  <c r="AB30" i="6"/>
  <c r="AA30" i="6"/>
  <c r="M10" i="1"/>
  <c r="O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AY10" i="1"/>
  <c r="BA10" i="1"/>
  <c r="BC10" i="1"/>
  <c r="BE10" i="1"/>
  <c r="BG10" i="1"/>
  <c r="BI10" i="1"/>
  <c r="BK10" i="1"/>
  <c r="BM10" i="1"/>
  <c r="BO10" i="1"/>
  <c r="BQ10" i="1"/>
  <c r="BS10" i="1"/>
  <c r="BU10" i="1"/>
  <c r="BW10" i="1"/>
  <c r="BY10" i="1"/>
  <c r="CA10" i="1"/>
  <c r="I10" i="1"/>
  <c r="H10" i="1"/>
  <c r="AC29" i="6"/>
  <c r="AB29" i="6"/>
  <c r="AA29" i="6"/>
  <c r="M7" i="1"/>
  <c r="O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AY7" i="1"/>
  <c r="BA7" i="1"/>
  <c r="BC7" i="1"/>
  <c r="BE7" i="1"/>
  <c r="BG7" i="1"/>
  <c r="BI7" i="1"/>
  <c r="BK7" i="1"/>
  <c r="BM7" i="1"/>
  <c r="BO7" i="1"/>
  <c r="BQ7" i="1"/>
  <c r="BS7" i="1"/>
  <c r="BU7" i="1"/>
  <c r="BW7" i="1"/>
  <c r="BY7" i="1"/>
  <c r="CA7" i="1"/>
  <c r="I7" i="1"/>
  <c r="H7" i="1"/>
  <c r="AC28" i="6"/>
  <c r="AB28" i="6"/>
  <c r="AA28" i="6"/>
  <c r="M28" i="1"/>
  <c r="O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BU28" i="1"/>
  <c r="BW28" i="1"/>
  <c r="BY28" i="1"/>
  <c r="CA28" i="1"/>
  <c r="I28" i="1"/>
  <c r="H28" i="1"/>
  <c r="AC27" i="6"/>
  <c r="AB27" i="6"/>
  <c r="AA27" i="6"/>
  <c r="M47" i="1"/>
  <c r="O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AS47" i="1"/>
  <c r="AU47" i="1"/>
  <c r="AW47" i="1"/>
  <c r="AY47" i="1"/>
  <c r="BA47" i="1"/>
  <c r="BC47" i="1"/>
  <c r="BE47" i="1"/>
  <c r="BG47" i="1"/>
  <c r="BI47" i="1"/>
  <c r="BK47" i="1"/>
  <c r="BM47" i="1"/>
  <c r="BO47" i="1"/>
  <c r="BQ47" i="1"/>
  <c r="BS47" i="1"/>
  <c r="BU47" i="1"/>
  <c r="BW47" i="1"/>
  <c r="BY47" i="1"/>
  <c r="CA47" i="1"/>
  <c r="I47" i="1"/>
  <c r="H47" i="1"/>
  <c r="AC26" i="6"/>
  <c r="AB26" i="6"/>
  <c r="AA26" i="6"/>
  <c r="M25" i="1"/>
  <c r="O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I25" i="1"/>
  <c r="H25" i="1"/>
  <c r="AC25" i="6"/>
  <c r="AB25" i="6"/>
  <c r="AA25" i="6"/>
  <c r="M52" i="1"/>
  <c r="O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AS52" i="1"/>
  <c r="AU52" i="1"/>
  <c r="AW52" i="1"/>
  <c r="AY52" i="1"/>
  <c r="BA52" i="1"/>
  <c r="BC52" i="1"/>
  <c r="BE52" i="1"/>
  <c r="BG52" i="1"/>
  <c r="BI52" i="1"/>
  <c r="BK52" i="1"/>
  <c r="BM52" i="1"/>
  <c r="BO52" i="1"/>
  <c r="BQ52" i="1"/>
  <c r="BS52" i="1"/>
  <c r="BU52" i="1"/>
  <c r="BW52" i="1"/>
  <c r="BY52" i="1"/>
  <c r="CA52" i="1"/>
  <c r="I52" i="1"/>
  <c r="H52" i="1"/>
  <c r="AC24" i="6"/>
  <c r="AB24" i="6"/>
  <c r="AA24" i="6"/>
  <c r="I14" i="1"/>
  <c r="M14" i="1"/>
  <c r="O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H14" i="1"/>
  <c r="AC23" i="6"/>
  <c r="AB23" i="6"/>
  <c r="AA23" i="6"/>
  <c r="M16" i="1"/>
  <c r="O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BU16" i="1"/>
  <c r="BW16" i="1"/>
  <c r="BY16" i="1"/>
  <c r="CA16" i="1"/>
  <c r="I16" i="1"/>
  <c r="H16" i="1"/>
  <c r="AC22" i="6"/>
  <c r="AB22" i="6"/>
  <c r="AA22" i="6"/>
  <c r="M18" i="1"/>
  <c r="O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BG18" i="1"/>
  <c r="BI18" i="1"/>
  <c r="BK18" i="1"/>
  <c r="BM18" i="1"/>
  <c r="BO18" i="1"/>
  <c r="BQ18" i="1"/>
  <c r="BS18" i="1"/>
  <c r="BU18" i="1"/>
  <c r="BW18" i="1"/>
  <c r="BY18" i="1"/>
  <c r="CA18" i="1"/>
  <c r="I18" i="1"/>
  <c r="H18" i="1"/>
  <c r="AC21" i="6"/>
  <c r="AB21" i="6"/>
  <c r="AA21" i="6"/>
  <c r="M26" i="1"/>
  <c r="O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AY26" i="1"/>
  <c r="BA26" i="1"/>
  <c r="BC26" i="1"/>
  <c r="BE26" i="1"/>
  <c r="BG26" i="1"/>
  <c r="BI26" i="1"/>
  <c r="BK26" i="1"/>
  <c r="BM26" i="1"/>
  <c r="BO26" i="1"/>
  <c r="BQ26" i="1"/>
  <c r="BS26" i="1"/>
  <c r="BU26" i="1"/>
  <c r="BW26" i="1"/>
  <c r="BY26" i="1"/>
  <c r="CA26" i="1"/>
  <c r="I26" i="1"/>
  <c r="H26" i="1"/>
  <c r="AC20" i="6"/>
  <c r="AB20" i="6"/>
  <c r="AA20" i="6"/>
  <c r="M5" i="1"/>
  <c r="O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AY5" i="1"/>
  <c r="BA5" i="1"/>
  <c r="BC5" i="1"/>
  <c r="BE5" i="1"/>
  <c r="BG5" i="1"/>
  <c r="BI5" i="1"/>
  <c r="BK5" i="1"/>
  <c r="BM5" i="1"/>
  <c r="BO5" i="1"/>
  <c r="BQ5" i="1"/>
  <c r="BS5" i="1"/>
  <c r="BU5" i="1"/>
  <c r="BW5" i="1"/>
  <c r="BY5" i="1"/>
  <c r="CA5" i="1"/>
  <c r="I5" i="1"/>
  <c r="M15" i="1"/>
  <c r="O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I15" i="1"/>
  <c r="H5" i="1"/>
  <c r="AC19" i="6"/>
  <c r="AB19" i="6"/>
  <c r="AA19" i="6"/>
  <c r="H15" i="1"/>
  <c r="AC18" i="6"/>
  <c r="AB18" i="6"/>
  <c r="AA18" i="6"/>
  <c r="M32" i="1"/>
  <c r="O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I32" i="1"/>
  <c r="BK32" i="1"/>
  <c r="BM32" i="1"/>
  <c r="BO32" i="1"/>
  <c r="BQ32" i="1"/>
  <c r="BS32" i="1"/>
  <c r="BU32" i="1"/>
  <c r="BW32" i="1"/>
  <c r="BY32" i="1"/>
  <c r="CA32" i="1"/>
  <c r="I32" i="1"/>
  <c r="H32" i="1"/>
  <c r="AC17" i="6"/>
  <c r="AB17" i="6"/>
  <c r="AA17" i="6"/>
  <c r="M24" i="1"/>
  <c r="O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BU24" i="1"/>
  <c r="BW24" i="1"/>
  <c r="BY24" i="1"/>
  <c r="CA24" i="1"/>
  <c r="I24" i="1"/>
  <c r="H24" i="1"/>
  <c r="AC16" i="6"/>
  <c r="AB16" i="6"/>
  <c r="AA16" i="6"/>
  <c r="I30" i="1"/>
  <c r="M30" i="1"/>
  <c r="O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BU30" i="1"/>
  <c r="BW30" i="1"/>
  <c r="BY30" i="1"/>
  <c r="CA30" i="1"/>
  <c r="H30" i="1"/>
  <c r="AC15" i="6"/>
  <c r="AB15" i="6"/>
  <c r="AA15" i="6"/>
  <c r="M19" i="1"/>
  <c r="O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I19" i="1"/>
  <c r="H19" i="1"/>
  <c r="AC14" i="6"/>
  <c r="AB14" i="6"/>
  <c r="AA14" i="6"/>
  <c r="I40" i="1"/>
  <c r="M40" i="1"/>
  <c r="O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AS40" i="1"/>
  <c r="AU40" i="1"/>
  <c r="AW40" i="1"/>
  <c r="AY40" i="1"/>
  <c r="BA40" i="1"/>
  <c r="BC40" i="1"/>
  <c r="BE40" i="1"/>
  <c r="BG40" i="1"/>
  <c r="BI40" i="1"/>
  <c r="BK40" i="1"/>
  <c r="BM40" i="1"/>
  <c r="BO40" i="1"/>
  <c r="BQ40" i="1"/>
  <c r="BS40" i="1"/>
  <c r="BU40" i="1"/>
  <c r="BW40" i="1"/>
  <c r="BY40" i="1"/>
  <c r="CA40" i="1"/>
  <c r="H40" i="1"/>
  <c r="AC13" i="6"/>
  <c r="AB13" i="6"/>
  <c r="AA13" i="6"/>
  <c r="M50" i="1"/>
  <c r="O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AS50" i="1"/>
  <c r="AU50" i="1"/>
  <c r="AW50" i="1"/>
  <c r="AY50" i="1"/>
  <c r="BA50" i="1"/>
  <c r="BC50" i="1"/>
  <c r="BE50" i="1"/>
  <c r="BG50" i="1"/>
  <c r="BI50" i="1"/>
  <c r="BK50" i="1"/>
  <c r="BM50" i="1"/>
  <c r="BO50" i="1"/>
  <c r="BQ50" i="1"/>
  <c r="BS50" i="1"/>
  <c r="BU50" i="1"/>
  <c r="BW50" i="1"/>
  <c r="BY50" i="1"/>
  <c r="CA50" i="1"/>
  <c r="I50" i="1"/>
  <c r="I17" i="1"/>
  <c r="H50" i="1"/>
  <c r="AC12" i="6"/>
  <c r="AB12" i="6"/>
  <c r="AA12" i="6"/>
  <c r="M17" i="1"/>
  <c r="O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H17" i="1"/>
  <c r="AC11" i="6"/>
  <c r="AB11" i="6"/>
  <c r="AA11" i="6"/>
  <c r="M22" i="1"/>
  <c r="O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BU22" i="1"/>
  <c r="BW22" i="1"/>
  <c r="BY22" i="1"/>
  <c r="CA22" i="1"/>
  <c r="I22" i="1"/>
  <c r="H22" i="1"/>
  <c r="AC10" i="6"/>
  <c r="AB10" i="6"/>
  <c r="AA10" i="6"/>
  <c r="M8" i="1"/>
  <c r="O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AY8" i="1"/>
  <c r="BA8" i="1"/>
  <c r="BC8" i="1"/>
  <c r="BE8" i="1"/>
  <c r="BG8" i="1"/>
  <c r="BI8" i="1"/>
  <c r="BK8" i="1"/>
  <c r="BM8" i="1"/>
  <c r="BO8" i="1"/>
  <c r="BQ8" i="1"/>
  <c r="BS8" i="1"/>
  <c r="BU8" i="1"/>
  <c r="BW8" i="1"/>
  <c r="BY8" i="1"/>
  <c r="CA8" i="1"/>
  <c r="I8" i="1"/>
  <c r="H8" i="1"/>
  <c r="AC9" i="6"/>
  <c r="AB9" i="6"/>
  <c r="AA9" i="6"/>
  <c r="I53" i="1"/>
  <c r="M53" i="1"/>
  <c r="O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AS53" i="1"/>
  <c r="AU53" i="1"/>
  <c r="AW53" i="1"/>
  <c r="AY53" i="1"/>
  <c r="BA53" i="1"/>
  <c r="BC53" i="1"/>
  <c r="BE53" i="1"/>
  <c r="BG53" i="1"/>
  <c r="BI53" i="1"/>
  <c r="BK53" i="1"/>
  <c r="BM53" i="1"/>
  <c r="BO53" i="1"/>
  <c r="BQ53" i="1"/>
  <c r="BS53" i="1"/>
  <c r="BU53" i="1"/>
  <c r="BW53" i="1"/>
  <c r="BY53" i="1"/>
  <c r="CA53" i="1"/>
  <c r="H53" i="1"/>
  <c r="AC8" i="6"/>
  <c r="AB8" i="6"/>
  <c r="AA8" i="6"/>
  <c r="M29" i="1"/>
  <c r="O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I29" i="1"/>
  <c r="H29" i="1"/>
  <c r="AC7" i="6"/>
  <c r="AB7" i="6"/>
  <c r="AA7" i="6"/>
  <c r="I44" i="1"/>
  <c r="M44" i="1"/>
  <c r="O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AS44" i="1"/>
  <c r="AU44" i="1"/>
  <c r="AW44" i="1"/>
  <c r="AY44" i="1"/>
  <c r="BA44" i="1"/>
  <c r="BC44" i="1"/>
  <c r="BE44" i="1"/>
  <c r="BG44" i="1"/>
  <c r="BI44" i="1"/>
  <c r="BK44" i="1"/>
  <c r="BM44" i="1"/>
  <c r="BO44" i="1"/>
  <c r="BQ44" i="1"/>
  <c r="BS44" i="1"/>
  <c r="BU44" i="1"/>
  <c r="BW44" i="1"/>
  <c r="BY44" i="1"/>
  <c r="CA44" i="1"/>
  <c r="H44" i="1"/>
  <c r="AC6" i="6"/>
  <c r="AB6" i="6"/>
  <c r="AA6" i="6"/>
  <c r="I39" i="1"/>
  <c r="M39" i="1"/>
  <c r="O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AS39" i="1"/>
  <c r="AU39" i="1"/>
  <c r="AW39" i="1"/>
  <c r="AY39" i="1"/>
  <c r="BA39" i="1"/>
  <c r="BC39" i="1"/>
  <c r="BE39" i="1"/>
  <c r="BG39" i="1"/>
  <c r="BI39" i="1"/>
  <c r="BK39" i="1"/>
  <c r="BM39" i="1"/>
  <c r="BO39" i="1"/>
  <c r="BQ39" i="1"/>
  <c r="BS39" i="1"/>
  <c r="BU39" i="1"/>
  <c r="BW39" i="1"/>
  <c r="BY39" i="1"/>
  <c r="CA39" i="1"/>
  <c r="H39" i="1"/>
  <c r="AC5" i="6"/>
  <c r="AB5" i="6"/>
  <c r="AA5" i="6"/>
  <c r="I4" i="1"/>
  <c r="M4" i="1"/>
  <c r="O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AY4" i="1"/>
  <c r="BA4" i="1"/>
  <c r="BC4" i="1"/>
  <c r="BE4" i="1"/>
  <c r="BG4" i="1"/>
  <c r="BI4" i="1"/>
  <c r="BK4" i="1"/>
  <c r="BM4" i="1"/>
  <c r="BO4" i="1"/>
  <c r="BQ4" i="1"/>
  <c r="BS4" i="1"/>
  <c r="BU4" i="1"/>
  <c r="BW4" i="1"/>
  <c r="BY4" i="1"/>
  <c r="CA4" i="1"/>
  <c r="H4" i="1"/>
  <c r="AC4" i="6"/>
  <c r="AB4" i="6"/>
  <c r="AA4" i="6"/>
  <c r="I37" i="1"/>
  <c r="M37" i="1"/>
  <c r="O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AY37" i="1"/>
  <c r="BA37" i="1"/>
  <c r="BC37" i="1"/>
  <c r="BE37" i="1"/>
  <c r="BG37" i="1"/>
  <c r="BI37" i="1"/>
  <c r="BK37" i="1"/>
  <c r="BM37" i="1"/>
  <c r="BO37" i="1"/>
  <c r="BQ37" i="1"/>
  <c r="BS37" i="1"/>
  <c r="BU37" i="1"/>
  <c r="BW37" i="1"/>
  <c r="BY37" i="1"/>
  <c r="CA37" i="1"/>
  <c r="H37" i="1"/>
  <c r="AC3" i="6"/>
  <c r="AB3" i="6"/>
  <c r="AA3" i="6"/>
  <c r="M34" i="1"/>
  <c r="O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BU34" i="1"/>
  <c r="BW34" i="1"/>
  <c r="BY34" i="1"/>
  <c r="CA34" i="1"/>
  <c r="I34" i="1"/>
  <c r="H34" i="1"/>
  <c r="AC2" i="6"/>
  <c r="AB2" i="6"/>
  <c r="AA2" i="6"/>
  <c r="W52" i="6"/>
  <c r="R52" i="6"/>
  <c r="W51" i="6"/>
  <c r="R51" i="6"/>
  <c r="W50" i="6"/>
  <c r="R50" i="6"/>
  <c r="W49" i="6"/>
  <c r="R49" i="6"/>
  <c r="W48" i="6"/>
  <c r="R48" i="6"/>
  <c r="W47" i="6"/>
  <c r="R47" i="6"/>
  <c r="W46" i="6"/>
  <c r="R46" i="6"/>
  <c r="W45" i="6"/>
  <c r="R45" i="6"/>
  <c r="W44" i="6"/>
  <c r="R44" i="6"/>
  <c r="W43" i="6"/>
  <c r="R43" i="6"/>
  <c r="W42" i="6"/>
  <c r="R42" i="6"/>
  <c r="W41" i="6"/>
  <c r="R41" i="6"/>
  <c r="W40" i="6"/>
  <c r="R40" i="6"/>
  <c r="W39" i="6"/>
  <c r="R39" i="6"/>
  <c r="W38" i="6"/>
  <c r="R38" i="6"/>
  <c r="W37" i="6"/>
  <c r="R37" i="6"/>
  <c r="W36" i="6"/>
  <c r="R36" i="6"/>
  <c r="W35" i="6"/>
  <c r="R35" i="6"/>
  <c r="W34" i="6"/>
  <c r="R34" i="6"/>
  <c r="W33" i="6"/>
  <c r="R33" i="6"/>
  <c r="W32" i="6"/>
  <c r="R32" i="6"/>
  <c r="W31" i="6"/>
  <c r="R31" i="6"/>
  <c r="W30" i="6"/>
  <c r="R30" i="6"/>
  <c r="W29" i="6"/>
  <c r="R29" i="6"/>
  <c r="W28" i="6"/>
  <c r="R28" i="6"/>
  <c r="W27" i="6"/>
  <c r="R27" i="6"/>
  <c r="W26" i="6"/>
  <c r="R26" i="6"/>
  <c r="W25" i="6"/>
  <c r="R25" i="6"/>
  <c r="W24" i="6"/>
  <c r="R24" i="6"/>
  <c r="W23" i="6"/>
  <c r="R23" i="6"/>
  <c r="W22" i="6"/>
  <c r="R22" i="6"/>
  <c r="W21" i="6"/>
  <c r="R21" i="6"/>
  <c r="W20" i="6"/>
  <c r="R20" i="6"/>
  <c r="W19" i="6"/>
  <c r="R19" i="6"/>
  <c r="W18" i="6"/>
  <c r="R18" i="6"/>
  <c r="W17" i="6"/>
  <c r="R17" i="6"/>
  <c r="W16" i="6"/>
  <c r="R16" i="6"/>
  <c r="W15" i="6"/>
  <c r="R15" i="6"/>
  <c r="W14" i="6"/>
  <c r="R14" i="6"/>
  <c r="W13" i="6"/>
  <c r="R13" i="6"/>
  <c r="W12" i="6"/>
  <c r="R12" i="6"/>
  <c r="W11" i="6"/>
  <c r="R11" i="6"/>
  <c r="W10" i="6"/>
  <c r="R10" i="6"/>
  <c r="W9" i="6"/>
  <c r="R9" i="6"/>
  <c r="W8" i="6"/>
  <c r="R8" i="6"/>
  <c r="W7" i="6"/>
  <c r="R7" i="6"/>
  <c r="W6" i="6"/>
  <c r="R6" i="6"/>
  <c r="W5" i="6"/>
  <c r="R5" i="6"/>
  <c r="W4" i="6"/>
  <c r="R4" i="6"/>
  <c r="W3" i="6"/>
  <c r="R3" i="6"/>
  <c r="W2" i="6"/>
  <c r="R2" i="6"/>
  <c r="O52" i="6"/>
  <c r="J52" i="6"/>
  <c r="O51" i="6"/>
  <c r="J51" i="6"/>
  <c r="O50" i="6"/>
  <c r="J50" i="6"/>
  <c r="O49" i="6"/>
  <c r="J49" i="6"/>
  <c r="O48" i="6"/>
  <c r="J48" i="6"/>
  <c r="O47" i="6"/>
  <c r="J47" i="6"/>
  <c r="O46" i="6"/>
  <c r="J46" i="6"/>
  <c r="O45" i="6"/>
  <c r="J45" i="6"/>
  <c r="O44" i="6"/>
  <c r="J44" i="6"/>
  <c r="O43" i="6"/>
  <c r="J43" i="6"/>
  <c r="O42" i="6"/>
  <c r="J42" i="6"/>
  <c r="O41" i="6"/>
  <c r="J41" i="6"/>
  <c r="O40" i="6"/>
  <c r="J40" i="6"/>
  <c r="O39" i="6"/>
  <c r="J39" i="6"/>
  <c r="O38" i="6"/>
  <c r="J38" i="6"/>
  <c r="O37" i="6"/>
  <c r="J37" i="6"/>
  <c r="O36" i="6"/>
  <c r="J36" i="6"/>
  <c r="O35" i="6"/>
  <c r="J35" i="6"/>
  <c r="O34" i="6"/>
  <c r="J34" i="6"/>
  <c r="O33" i="6"/>
  <c r="J33" i="6"/>
  <c r="O32" i="6"/>
  <c r="J32" i="6"/>
  <c r="O31" i="6"/>
  <c r="J31" i="6"/>
  <c r="O30" i="6"/>
  <c r="J30" i="6"/>
  <c r="O29" i="6"/>
  <c r="J29" i="6"/>
  <c r="O28" i="6"/>
  <c r="J28" i="6"/>
  <c r="O27" i="6"/>
  <c r="J27" i="6"/>
  <c r="O26" i="6"/>
  <c r="J26" i="6"/>
  <c r="O25" i="6"/>
  <c r="J25" i="6"/>
  <c r="O24" i="6"/>
  <c r="J24" i="6"/>
  <c r="O23" i="6"/>
  <c r="J23" i="6"/>
  <c r="O22" i="6"/>
  <c r="J22" i="6"/>
  <c r="O21" i="6"/>
  <c r="J21" i="6"/>
  <c r="O20" i="6"/>
  <c r="J20" i="6"/>
  <c r="O19" i="6"/>
  <c r="J19" i="6"/>
  <c r="O18" i="6"/>
  <c r="J18" i="6"/>
  <c r="O17" i="6"/>
  <c r="J17" i="6"/>
  <c r="O16" i="6"/>
  <c r="J16" i="6"/>
  <c r="O15" i="6"/>
  <c r="J15" i="6"/>
  <c r="O14" i="6"/>
  <c r="J14" i="6"/>
  <c r="O13" i="6"/>
  <c r="J13" i="6"/>
  <c r="O12" i="6"/>
  <c r="J12" i="6"/>
  <c r="O11" i="6"/>
  <c r="J11" i="6"/>
  <c r="O10" i="6"/>
  <c r="J10" i="6"/>
  <c r="O9" i="6"/>
  <c r="J9" i="6"/>
  <c r="O8" i="6"/>
  <c r="J8" i="6"/>
  <c r="O7" i="6"/>
  <c r="J7" i="6"/>
  <c r="O6" i="6"/>
  <c r="J6" i="6"/>
  <c r="O5" i="6"/>
  <c r="J5" i="6"/>
  <c r="O4" i="6"/>
  <c r="J4" i="6"/>
  <c r="O3" i="6"/>
  <c r="J3" i="6"/>
  <c r="O2" i="6"/>
  <c r="J2" i="6"/>
  <c r="G52" i="6"/>
  <c r="B52" i="6"/>
  <c r="G51" i="6"/>
  <c r="B51" i="6"/>
  <c r="G50" i="6"/>
  <c r="B50" i="6"/>
  <c r="G49" i="6"/>
  <c r="B49" i="6"/>
  <c r="G48" i="6"/>
  <c r="B48" i="6"/>
  <c r="G47" i="6"/>
  <c r="B47" i="6"/>
  <c r="G46" i="6"/>
  <c r="B46" i="6"/>
  <c r="G45" i="6"/>
  <c r="B45" i="6"/>
  <c r="G44" i="6"/>
  <c r="B44" i="6"/>
  <c r="G43" i="6"/>
  <c r="B43" i="6"/>
  <c r="G42" i="6"/>
  <c r="B42" i="6"/>
  <c r="G41" i="6"/>
  <c r="B41" i="6"/>
  <c r="G40" i="6"/>
  <c r="B40" i="6"/>
  <c r="G39" i="6"/>
  <c r="B39" i="6"/>
  <c r="G38" i="6"/>
  <c r="B38" i="6"/>
  <c r="G37" i="6"/>
  <c r="B37" i="6"/>
  <c r="G36" i="6"/>
  <c r="B36" i="6"/>
  <c r="G35" i="6"/>
  <c r="B35" i="6"/>
  <c r="G34" i="6"/>
  <c r="B34" i="6"/>
  <c r="G33" i="6"/>
  <c r="B33" i="6"/>
  <c r="G32" i="6"/>
  <c r="B32" i="6"/>
  <c r="G31" i="6"/>
  <c r="B31" i="6"/>
  <c r="G30" i="6"/>
  <c r="B30" i="6"/>
  <c r="G29" i="6"/>
  <c r="B29" i="6"/>
  <c r="G28" i="6"/>
  <c r="B28" i="6"/>
  <c r="G27" i="6"/>
  <c r="B27" i="6"/>
  <c r="G26" i="6"/>
  <c r="B26" i="6"/>
  <c r="G25" i="6"/>
  <c r="B25" i="6"/>
  <c r="G24" i="6"/>
  <c r="B24" i="6"/>
  <c r="G23" i="6"/>
  <c r="B23" i="6"/>
  <c r="G22" i="6"/>
  <c r="B22" i="6"/>
  <c r="G21" i="6"/>
  <c r="B21" i="6"/>
  <c r="G20" i="6"/>
  <c r="B20" i="6"/>
  <c r="G19" i="6"/>
  <c r="B19" i="6"/>
  <c r="G18" i="6"/>
  <c r="B18" i="6"/>
  <c r="G17" i="6"/>
  <c r="B17" i="6"/>
  <c r="G16" i="6"/>
  <c r="B16" i="6"/>
  <c r="G15" i="6"/>
  <c r="B15" i="6"/>
  <c r="G14" i="6"/>
  <c r="B14" i="6"/>
  <c r="G13" i="6"/>
  <c r="B13" i="6"/>
  <c r="G12" i="6"/>
  <c r="B12" i="6"/>
  <c r="G11" i="6"/>
  <c r="B11" i="6"/>
  <c r="G10" i="6"/>
  <c r="B10" i="6"/>
  <c r="G9" i="6"/>
  <c r="B9" i="6"/>
  <c r="G8" i="6"/>
  <c r="B8" i="6"/>
  <c r="G7" i="6"/>
  <c r="B7" i="6"/>
  <c r="G6" i="6"/>
  <c r="B6" i="6"/>
  <c r="G5" i="6"/>
  <c r="B5" i="6"/>
  <c r="G4" i="6"/>
  <c r="B4" i="6"/>
  <c r="G3" i="6"/>
  <c r="B3" i="6"/>
  <c r="G2" i="6"/>
  <c r="B2" i="6"/>
  <c r="E74" i="8"/>
  <c r="E75" i="8"/>
  <c r="E76" i="8"/>
  <c r="E77" i="8"/>
  <c r="E78" i="8"/>
  <c r="E79" i="8"/>
  <c r="E80" i="8"/>
  <c r="E81" i="8"/>
  <c r="E82" i="8"/>
  <c r="E83" i="8"/>
  <c r="Q1" i="2"/>
  <c r="BA1" i="2"/>
  <c r="C115" i="2"/>
  <c r="BA115" i="2"/>
  <c r="C116" i="2"/>
  <c r="BA116" i="2"/>
  <c r="C117" i="2"/>
  <c r="BA117" i="2"/>
  <c r="C118" i="2"/>
  <c r="BA118" i="2"/>
  <c r="C119" i="2"/>
  <c r="BA119" i="2"/>
  <c r="C120" i="2"/>
  <c r="BA120" i="2"/>
  <c r="C121" i="2"/>
  <c r="BA121" i="2"/>
  <c r="C122" i="2"/>
  <c r="BA122" i="2"/>
  <c r="C123" i="2"/>
  <c r="BA123" i="2"/>
  <c r="C124" i="2"/>
  <c r="BA124" i="2"/>
  <c r="C125" i="2"/>
  <c r="BA125" i="2"/>
  <c r="C126" i="2"/>
  <c r="BA126" i="2"/>
  <c r="C127" i="2"/>
  <c r="BA127" i="2"/>
  <c r="C128" i="2"/>
  <c r="BA128" i="2"/>
  <c r="C129" i="2"/>
  <c r="BA129" i="2"/>
  <c r="C130" i="2"/>
  <c r="BA130" i="2"/>
  <c r="C209" i="2"/>
  <c r="BA209" i="2"/>
  <c r="C210" i="2"/>
  <c r="BA210" i="2"/>
  <c r="C211" i="2"/>
  <c r="BA211" i="2"/>
  <c r="C212" i="2"/>
  <c r="BA212" i="2"/>
  <c r="C213" i="2"/>
  <c r="BA213" i="2"/>
  <c r="C214" i="2"/>
  <c r="BA214" i="2"/>
  <c r="C215" i="2"/>
  <c r="BA215" i="2"/>
  <c r="C216" i="2"/>
  <c r="BA216" i="2"/>
  <c r="C217" i="2"/>
  <c r="BA217" i="2"/>
  <c r="C218" i="2"/>
  <c r="BA218" i="2"/>
  <c r="C219" i="2"/>
  <c r="BA219" i="2"/>
  <c r="C220" i="2"/>
  <c r="BA220" i="2"/>
  <c r="C221" i="2"/>
  <c r="BA221" i="2"/>
  <c r="C222" i="2"/>
  <c r="BA222" i="2"/>
  <c r="C223" i="2"/>
  <c r="BA223" i="2"/>
  <c r="C224" i="2"/>
  <c r="BA224" i="2"/>
  <c r="C225" i="2"/>
  <c r="BA225" i="2"/>
  <c r="C226" i="2"/>
  <c r="BA226" i="2"/>
  <c r="C227" i="2"/>
  <c r="BA227" i="2"/>
  <c r="C228" i="2"/>
  <c r="BA228" i="2"/>
  <c r="C229" i="2"/>
  <c r="BA229" i="2"/>
  <c r="C230" i="2"/>
  <c r="BA230" i="2"/>
  <c r="C231" i="2"/>
  <c r="BA231" i="2"/>
  <c r="C232" i="2"/>
  <c r="BA232" i="2"/>
  <c r="C233" i="2"/>
  <c r="BA233" i="2"/>
  <c r="C234" i="2"/>
  <c r="BA234" i="2"/>
  <c r="C235" i="2"/>
  <c r="BA235" i="2"/>
  <c r="C236" i="2"/>
  <c r="BA236" i="2"/>
  <c r="C237" i="2"/>
  <c r="BA237" i="2"/>
  <c r="C238" i="2"/>
  <c r="BA238" i="2"/>
  <c r="C239" i="2"/>
  <c r="BA239" i="2"/>
  <c r="C240" i="2"/>
  <c r="BA240" i="2"/>
  <c r="C241" i="2"/>
  <c r="BA241" i="2"/>
  <c r="C242" i="2"/>
  <c r="BA242" i="2"/>
  <c r="C243" i="2"/>
  <c r="BA243" i="2"/>
  <c r="C244" i="2"/>
  <c r="BA244" i="2"/>
  <c r="C245" i="2"/>
  <c r="BA245" i="2"/>
  <c r="C246" i="2"/>
  <c r="BA246" i="2"/>
  <c r="C247" i="2"/>
  <c r="BA247" i="2"/>
  <c r="C248" i="2"/>
  <c r="BA248" i="2"/>
  <c r="C249" i="2"/>
  <c r="BA249" i="2"/>
  <c r="C250" i="2"/>
  <c r="BA250" i="2"/>
  <c r="C251" i="2"/>
  <c r="BA251" i="2"/>
  <c r="C252" i="2"/>
  <c r="BA252" i="2"/>
  <c r="C253" i="2"/>
  <c r="BA253" i="2"/>
  <c r="C254" i="2"/>
  <c r="BA254" i="2"/>
  <c r="C255" i="2"/>
  <c r="BA255" i="2"/>
  <c r="C256" i="2"/>
  <c r="BA256" i="2"/>
  <c r="C257" i="2"/>
  <c r="BA257" i="2"/>
  <c r="C258" i="2"/>
  <c r="BA258" i="2"/>
  <c r="C259" i="2"/>
  <c r="BA259" i="2"/>
  <c r="C260" i="2"/>
  <c r="BA260" i="2"/>
  <c r="C261" i="2"/>
  <c r="BA261" i="2"/>
  <c r="C262" i="2"/>
  <c r="BA262" i="2"/>
  <c r="C263" i="2"/>
  <c r="BA263" i="2"/>
  <c r="C264" i="2"/>
  <c r="BA264" i="2"/>
  <c r="C265" i="2"/>
  <c r="BA265" i="2"/>
  <c r="C266" i="2"/>
  <c r="BA266" i="2"/>
  <c r="C267" i="2"/>
  <c r="BA267" i="2"/>
  <c r="C269" i="2"/>
  <c r="BA269" i="2"/>
  <c r="C270" i="2"/>
  <c r="BA270" i="2"/>
  <c r="C271" i="2"/>
  <c r="BA271" i="2"/>
  <c r="C272" i="2"/>
  <c r="BA272" i="2"/>
  <c r="C273" i="2"/>
  <c r="BA273" i="2"/>
  <c r="C274" i="2"/>
  <c r="BA274" i="2"/>
  <c r="C275" i="2"/>
  <c r="BA275" i="2"/>
  <c r="C276" i="2"/>
  <c r="BA276" i="2"/>
  <c r="C277" i="2"/>
  <c r="BA277" i="2"/>
  <c r="C278" i="2"/>
  <c r="BA278" i="2"/>
  <c r="C279" i="2"/>
  <c r="BA279" i="2"/>
  <c r="C280" i="2"/>
  <c r="BA280" i="2"/>
  <c r="C281" i="2"/>
  <c r="BA281" i="2"/>
  <c r="C282" i="2"/>
  <c r="BA282" i="2"/>
  <c r="C283" i="2"/>
  <c r="BA283" i="2"/>
  <c r="C284" i="2"/>
  <c r="BA284" i="2"/>
  <c r="C285" i="2"/>
  <c r="BA285" i="2"/>
  <c r="C286" i="2"/>
  <c r="BA286" i="2"/>
  <c r="C287" i="2"/>
  <c r="BA287" i="2"/>
  <c r="C288" i="2"/>
  <c r="BA288" i="2"/>
  <c r="C289" i="2"/>
  <c r="BA289" i="2"/>
  <c r="C290" i="2"/>
  <c r="BA290" i="2"/>
  <c r="C291" i="2"/>
  <c r="BA291" i="2"/>
  <c r="C292" i="2"/>
  <c r="BA292" i="2"/>
  <c r="C293" i="2"/>
  <c r="BA293" i="2"/>
  <c r="C294" i="2"/>
  <c r="BA294" i="2"/>
  <c r="C295" i="2"/>
  <c r="BA295" i="2"/>
  <c r="C296" i="2"/>
  <c r="BA296" i="2"/>
  <c r="C297" i="2"/>
  <c r="BA297" i="2"/>
  <c r="C298" i="2"/>
  <c r="BA298" i="2"/>
  <c r="C299" i="2"/>
  <c r="BA299" i="2"/>
  <c r="C300" i="2"/>
  <c r="BA300" i="2"/>
  <c r="C301" i="2"/>
  <c r="BA301" i="2"/>
  <c r="C302" i="2"/>
  <c r="BA302" i="2"/>
  <c r="C303" i="2"/>
  <c r="BA303" i="2"/>
  <c r="C304" i="2"/>
  <c r="BA304" i="2"/>
  <c r="C305" i="2"/>
  <c r="BA305" i="2"/>
  <c r="C306" i="2"/>
  <c r="BA306" i="2"/>
  <c r="C307" i="2"/>
  <c r="BA307" i="2"/>
  <c r="C308" i="2"/>
  <c r="BA308" i="2"/>
  <c r="C309" i="2"/>
  <c r="BA309" i="2"/>
  <c r="C310" i="2"/>
  <c r="BA310" i="2"/>
  <c r="C311" i="2"/>
  <c r="BA311" i="2"/>
  <c r="C312" i="2"/>
  <c r="BA312" i="2"/>
  <c r="C313" i="2"/>
  <c r="BA313" i="2"/>
  <c r="C314" i="2"/>
  <c r="BA314" i="2"/>
  <c r="C315" i="2"/>
  <c r="BA315" i="2"/>
  <c r="C316" i="2"/>
  <c r="BA316" i="2"/>
  <c r="C317" i="2"/>
  <c r="BA317" i="2"/>
  <c r="C318" i="2"/>
  <c r="BA318" i="2"/>
  <c r="C319" i="2"/>
  <c r="BA319" i="2"/>
  <c r="C320" i="2"/>
  <c r="BA320" i="2"/>
  <c r="C321" i="2"/>
  <c r="BA321" i="2"/>
  <c r="C322" i="2"/>
  <c r="BA322" i="2"/>
  <c r="C323" i="2"/>
  <c r="BA323" i="2"/>
  <c r="C324" i="2"/>
  <c r="BA324" i="2"/>
  <c r="C325" i="2"/>
  <c r="BA325" i="2"/>
  <c r="C326" i="2"/>
  <c r="BA326" i="2"/>
  <c r="C327" i="2"/>
  <c r="BA327" i="2"/>
  <c r="C328" i="2"/>
  <c r="BA328" i="2"/>
  <c r="C329" i="2"/>
  <c r="BA329" i="2"/>
  <c r="C330" i="2"/>
  <c r="BA330" i="2"/>
  <c r="C331" i="2"/>
  <c r="BA331" i="2"/>
  <c r="C332" i="2"/>
  <c r="BA332" i="2"/>
  <c r="C333" i="2"/>
  <c r="BA333" i="2"/>
  <c r="C335" i="2"/>
  <c r="BA335" i="2"/>
  <c r="C336" i="2"/>
  <c r="BA336" i="2"/>
  <c r="C337" i="2"/>
  <c r="BA337" i="2"/>
  <c r="C338" i="2"/>
  <c r="BA338" i="2"/>
  <c r="C339" i="2"/>
  <c r="BA339" i="2"/>
  <c r="C340" i="2"/>
  <c r="BA340" i="2"/>
  <c r="C341" i="2"/>
  <c r="BA341" i="2"/>
  <c r="C342" i="2"/>
  <c r="BA342" i="2"/>
  <c r="C343" i="2"/>
  <c r="BA343" i="2"/>
  <c r="C353" i="2"/>
  <c r="BA353" i="2"/>
  <c r="C354" i="2"/>
  <c r="BA354" i="2"/>
  <c r="C355" i="2"/>
  <c r="BA355" i="2"/>
  <c r="C356" i="2"/>
  <c r="BA356" i="2"/>
  <c r="C357" i="2"/>
  <c r="BA357" i="2"/>
  <c r="C358" i="2"/>
  <c r="BA358" i="2"/>
  <c r="C359" i="2"/>
  <c r="BA359" i="2"/>
  <c r="C360" i="2"/>
  <c r="BA360" i="2"/>
  <c r="C361" i="2"/>
  <c r="BA361" i="2"/>
  <c r="C362" i="2"/>
  <c r="BA362" i="2"/>
  <c r="C363" i="2"/>
  <c r="BA363" i="2"/>
  <c r="C364" i="2"/>
  <c r="BA364" i="2"/>
  <c r="C365" i="2"/>
  <c r="BA365" i="2"/>
  <c r="C366" i="2"/>
  <c r="BA366" i="2"/>
  <c r="C367" i="2"/>
  <c r="BA367" i="2"/>
  <c r="C368" i="2"/>
  <c r="BA368" i="2"/>
  <c r="C369" i="2"/>
  <c r="BA369" i="2"/>
  <c r="C370" i="2"/>
  <c r="BA370" i="2"/>
  <c r="C371" i="2"/>
  <c r="BA371" i="2"/>
  <c r="C372" i="2"/>
  <c r="BA372" i="2"/>
  <c r="C373" i="2"/>
  <c r="BA373" i="2"/>
  <c r="C374" i="2"/>
  <c r="BA374" i="2"/>
  <c r="C375" i="2"/>
  <c r="BA375" i="2"/>
  <c r="C376" i="2"/>
  <c r="BA376" i="2"/>
  <c r="C377" i="2"/>
  <c r="BA377" i="2"/>
  <c r="C378" i="2"/>
  <c r="BA378" i="2"/>
  <c r="C379" i="2"/>
  <c r="BA379" i="2"/>
  <c r="C380" i="2"/>
  <c r="BA380" i="2"/>
  <c r="C381" i="2"/>
  <c r="BA381" i="2"/>
  <c r="C382" i="2"/>
  <c r="BA382" i="2"/>
  <c r="C383" i="2"/>
  <c r="BA383" i="2"/>
  <c r="C384" i="2"/>
  <c r="BA384" i="2"/>
  <c r="C385" i="2"/>
  <c r="BA385" i="2"/>
  <c r="C386" i="2"/>
  <c r="BA386" i="2"/>
  <c r="C387" i="2"/>
  <c r="BA387" i="2"/>
  <c r="C388" i="2"/>
  <c r="BA388" i="2"/>
  <c r="C389" i="2"/>
  <c r="BA389" i="2"/>
  <c r="C390" i="2"/>
  <c r="BA390" i="2"/>
  <c r="C391" i="2"/>
  <c r="BA391" i="2"/>
  <c r="C392" i="2"/>
  <c r="BA392" i="2"/>
  <c r="C393" i="2"/>
  <c r="BA393" i="2"/>
  <c r="C394" i="2"/>
  <c r="BA394" i="2"/>
  <c r="C395" i="2"/>
  <c r="BA395" i="2"/>
  <c r="C396" i="2"/>
  <c r="BA396" i="2"/>
  <c r="C397" i="2"/>
  <c r="BA397" i="2"/>
  <c r="C398" i="2"/>
  <c r="BA398" i="2"/>
  <c r="C399" i="2"/>
  <c r="BA399" i="2"/>
  <c r="C400" i="2"/>
  <c r="BA400" i="2"/>
  <c r="C401" i="2"/>
  <c r="BA401" i="2"/>
  <c r="C402" i="2"/>
  <c r="BA402" i="2"/>
  <c r="C403" i="2"/>
  <c r="BA403" i="2"/>
  <c r="C404" i="2"/>
  <c r="BA404" i="2"/>
  <c r="C405" i="2"/>
  <c r="BA405" i="2"/>
  <c r="C406" i="2"/>
  <c r="BA406" i="2"/>
  <c r="C407" i="2"/>
  <c r="BA407" i="2"/>
  <c r="C408" i="2"/>
  <c r="BA408" i="2"/>
  <c r="C409" i="2"/>
  <c r="BA409" i="2"/>
  <c r="C410" i="2"/>
  <c r="BA410" i="2"/>
  <c r="C411" i="2"/>
  <c r="BA411" i="2"/>
  <c r="C412" i="2"/>
  <c r="BA412" i="2"/>
  <c r="C413" i="2"/>
  <c r="BA413" i="2"/>
  <c r="C414" i="2"/>
  <c r="BA414" i="2"/>
  <c r="C415" i="2"/>
  <c r="BA415" i="2"/>
  <c r="C416" i="2"/>
  <c r="BA416" i="2"/>
  <c r="C417" i="2"/>
  <c r="BA417" i="2"/>
  <c r="C418" i="2"/>
  <c r="BA418" i="2"/>
  <c r="C419" i="2"/>
  <c r="BA419" i="2"/>
  <c r="C420" i="2"/>
  <c r="BA420" i="2"/>
  <c r="C422" i="2"/>
  <c r="BA422" i="2"/>
  <c r="C423" i="2"/>
  <c r="BA423" i="2"/>
  <c r="C424" i="2"/>
  <c r="BA424" i="2"/>
  <c r="C425" i="2"/>
  <c r="BA425" i="2"/>
  <c r="C426" i="2"/>
  <c r="BA426" i="2"/>
  <c r="C427" i="2"/>
  <c r="BA427" i="2"/>
  <c r="C428" i="2"/>
  <c r="BA428" i="2"/>
  <c r="C429" i="2"/>
  <c r="BA429" i="2"/>
  <c r="C430" i="2"/>
  <c r="BA430" i="2"/>
  <c r="C431" i="2"/>
  <c r="BA431" i="2"/>
  <c r="C432" i="2"/>
  <c r="BA432" i="2"/>
  <c r="C433" i="2"/>
  <c r="BA433" i="2"/>
  <c r="C434" i="2"/>
  <c r="BA434" i="2"/>
  <c r="C435" i="2"/>
  <c r="BA435" i="2"/>
  <c r="C436" i="2"/>
  <c r="BA436" i="2"/>
  <c r="C437" i="2"/>
  <c r="BA437" i="2"/>
  <c r="C438" i="2"/>
  <c r="BA438" i="2"/>
  <c r="C439" i="2"/>
  <c r="BA439" i="2"/>
  <c r="C440" i="2"/>
  <c r="BA440" i="2"/>
  <c r="C441" i="2"/>
  <c r="BA441" i="2"/>
  <c r="C442" i="2"/>
  <c r="BA442" i="2"/>
  <c r="C443" i="2"/>
  <c r="BA443" i="2"/>
  <c r="C444" i="2"/>
  <c r="BA444" i="2"/>
  <c r="C445" i="2"/>
  <c r="BA445" i="2"/>
  <c r="C446" i="2"/>
  <c r="BA446" i="2"/>
  <c r="C447" i="2"/>
  <c r="BA447" i="2"/>
  <c r="C448" i="2"/>
  <c r="BA448" i="2"/>
  <c r="C449" i="2"/>
  <c r="BA449" i="2"/>
  <c r="C450" i="2"/>
  <c r="BA450" i="2"/>
  <c r="C451" i="2"/>
  <c r="BA451" i="2"/>
  <c r="C452" i="2"/>
  <c r="BA452" i="2"/>
  <c r="C453" i="2"/>
  <c r="BA453" i="2"/>
  <c r="C454" i="2"/>
  <c r="BA454" i="2"/>
  <c r="C455" i="2"/>
  <c r="BA455" i="2"/>
  <c r="C456" i="2"/>
  <c r="BA456" i="2"/>
  <c r="C457" i="2"/>
  <c r="BA457" i="2"/>
  <c r="C458" i="2"/>
  <c r="BA458" i="2"/>
  <c r="C459" i="2"/>
  <c r="BA459" i="2"/>
  <c r="C460" i="2"/>
  <c r="BA460" i="2"/>
  <c r="C461" i="2"/>
  <c r="BA461" i="2"/>
  <c r="C462" i="2"/>
  <c r="BA462" i="2"/>
  <c r="C463" i="2"/>
  <c r="BA463" i="2"/>
  <c r="C464" i="2"/>
  <c r="BA464" i="2"/>
  <c r="C465" i="2"/>
  <c r="BA465" i="2"/>
  <c r="C466" i="2"/>
  <c r="BA466" i="2"/>
  <c r="C467" i="2"/>
  <c r="BA467" i="2"/>
  <c r="C468" i="2"/>
  <c r="BA468" i="2"/>
  <c r="C469" i="2"/>
  <c r="BA469" i="2"/>
  <c r="C470" i="2"/>
  <c r="BA470" i="2"/>
  <c r="C471" i="2"/>
  <c r="BA471" i="2"/>
  <c r="C472" i="2"/>
  <c r="BA472" i="2"/>
  <c r="C473" i="2"/>
  <c r="BA473" i="2"/>
  <c r="C474" i="2"/>
  <c r="BA474" i="2"/>
  <c r="C475" i="2"/>
  <c r="BA475" i="2"/>
  <c r="C476" i="2"/>
  <c r="BA476" i="2"/>
  <c r="C477" i="2"/>
  <c r="BA477" i="2"/>
  <c r="C478" i="2"/>
  <c r="BA478" i="2"/>
  <c r="C479" i="2"/>
  <c r="BA479" i="2"/>
  <c r="C480" i="2"/>
  <c r="BA480" i="2"/>
  <c r="C481" i="2"/>
  <c r="BA481" i="2"/>
  <c r="C482" i="2"/>
  <c r="BA482" i="2"/>
  <c r="C483" i="2"/>
  <c r="BA483" i="2"/>
  <c r="C484" i="2"/>
  <c r="BA484" i="2"/>
  <c r="C485" i="2"/>
  <c r="BA485" i="2"/>
  <c r="C486" i="2"/>
  <c r="BA486" i="2"/>
  <c r="C487" i="2"/>
  <c r="BA487" i="2"/>
  <c r="C488" i="2"/>
  <c r="BA488" i="2"/>
  <c r="C489" i="2"/>
  <c r="BA489" i="2"/>
  <c r="C490" i="2"/>
  <c r="BA490" i="2"/>
  <c r="C491" i="2"/>
  <c r="BA491" i="2"/>
  <c r="C492" i="2"/>
  <c r="BA492" i="2"/>
  <c r="C493" i="2"/>
  <c r="BA493" i="2"/>
  <c r="C494" i="2"/>
  <c r="BA494" i="2"/>
  <c r="C495" i="2"/>
  <c r="BA495" i="2"/>
  <c r="C496" i="2"/>
  <c r="BA496" i="2"/>
  <c r="C497" i="2"/>
  <c r="BA497" i="2"/>
  <c r="C498" i="2"/>
  <c r="BA498" i="2"/>
  <c r="C499" i="2"/>
  <c r="BA499" i="2"/>
  <c r="C500" i="2"/>
  <c r="BA500" i="2"/>
  <c r="C501" i="2"/>
  <c r="BA501" i="2"/>
  <c r="C502" i="2"/>
  <c r="BA502" i="2"/>
  <c r="C503" i="2"/>
  <c r="BA503" i="2"/>
  <c r="C504" i="2"/>
  <c r="BA504" i="2"/>
  <c r="C505" i="2"/>
  <c r="BA505" i="2"/>
  <c r="C506" i="2"/>
  <c r="BA506" i="2"/>
  <c r="C507" i="2"/>
  <c r="BA507" i="2"/>
  <c r="C508" i="2"/>
  <c r="BA508" i="2"/>
  <c r="C509" i="2"/>
  <c r="BA509" i="2"/>
  <c r="C510" i="2"/>
  <c r="BA510" i="2"/>
  <c r="C511" i="2"/>
  <c r="BA511" i="2"/>
  <c r="C512" i="2"/>
  <c r="BA512" i="2"/>
  <c r="C513" i="2"/>
  <c r="BA513" i="2"/>
  <c r="C514" i="2"/>
  <c r="BA514" i="2"/>
  <c r="C515" i="2"/>
  <c r="BA515" i="2"/>
  <c r="C516" i="2"/>
  <c r="BA516" i="2"/>
  <c r="C517" i="2"/>
  <c r="BA517" i="2"/>
  <c r="C518" i="2"/>
  <c r="BA518" i="2"/>
  <c r="C519" i="2"/>
  <c r="BA519" i="2"/>
  <c r="C520" i="2"/>
  <c r="BA520" i="2"/>
  <c r="C521" i="2"/>
  <c r="BA521" i="2"/>
  <c r="C522" i="2"/>
  <c r="BA522" i="2"/>
  <c r="C523" i="2"/>
  <c r="BA523" i="2"/>
  <c r="C524" i="2"/>
  <c r="BA524" i="2"/>
  <c r="C525" i="2"/>
  <c r="BA525" i="2"/>
  <c r="C526" i="2"/>
  <c r="BA526" i="2"/>
  <c r="C527" i="2"/>
  <c r="BA527" i="2"/>
  <c r="C528" i="2"/>
  <c r="BA528" i="2"/>
  <c r="C529" i="2"/>
  <c r="BA529" i="2"/>
  <c r="C530" i="2"/>
  <c r="BA530" i="2"/>
  <c r="C531" i="2"/>
  <c r="BA531" i="2"/>
  <c r="C532" i="2"/>
  <c r="BA532" i="2"/>
  <c r="C533" i="2"/>
  <c r="BA533" i="2"/>
  <c r="C534" i="2"/>
  <c r="BA534" i="2"/>
  <c r="C535" i="2"/>
  <c r="BA535" i="2"/>
  <c r="C536" i="2"/>
  <c r="BA536" i="2"/>
  <c r="C537" i="2"/>
  <c r="BA537" i="2"/>
  <c r="C538" i="2"/>
  <c r="BA538" i="2"/>
  <c r="C539" i="2"/>
  <c r="BA539" i="2"/>
  <c r="C540" i="2"/>
  <c r="BA540" i="2"/>
  <c r="C541" i="2"/>
  <c r="BA541" i="2"/>
  <c r="C542" i="2"/>
  <c r="BA542" i="2"/>
  <c r="C543" i="2"/>
  <c r="BA543" i="2"/>
  <c r="C544" i="2"/>
  <c r="BA544" i="2"/>
  <c r="C545" i="2"/>
  <c r="BA545" i="2"/>
  <c r="C546" i="2"/>
  <c r="BA546" i="2"/>
  <c r="C547" i="2"/>
  <c r="BA547" i="2"/>
  <c r="C548" i="2"/>
  <c r="BA548" i="2"/>
  <c r="C549" i="2"/>
  <c r="BA549" i="2"/>
  <c r="C550" i="2"/>
  <c r="BA550" i="2"/>
  <c r="C551" i="2"/>
  <c r="BA551" i="2"/>
  <c r="C552" i="2"/>
  <c r="BA552" i="2"/>
  <c r="C553" i="2"/>
  <c r="BA553" i="2"/>
  <c r="C554" i="2"/>
  <c r="BA554" i="2"/>
  <c r="C555" i="2"/>
  <c r="BA555" i="2"/>
  <c r="C556" i="2"/>
  <c r="BA556" i="2"/>
  <c r="C557" i="2"/>
  <c r="BA557" i="2"/>
  <c r="C558" i="2"/>
  <c r="BA558" i="2"/>
  <c r="C559" i="2"/>
  <c r="BA559" i="2"/>
  <c r="C560" i="2"/>
  <c r="BA560" i="2"/>
  <c r="C561" i="2"/>
  <c r="BA561" i="2"/>
  <c r="C562" i="2"/>
  <c r="BA562" i="2"/>
  <c r="C563" i="2"/>
  <c r="BA563" i="2"/>
  <c r="C564" i="2"/>
  <c r="BA564" i="2"/>
  <c r="C565" i="2"/>
  <c r="BA565" i="2"/>
  <c r="C566" i="2"/>
  <c r="BA566" i="2"/>
  <c r="C567" i="2"/>
  <c r="BA567" i="2"/>
  <c r="C568" i="2"/>
  <c r="BA568" i="2"/>
  <c r="C569" i="2"/>
  <c r="BA569" i="2"/>
  <c r="C570" i="2"/>
  <c r="BA570" i="2"/>
  <c r="C571" i="2"/>
  <c r="BA571" i="2"/>
  <c r="C572" i="2"/>
  <c r="BA572" i="2"/>
  <c r="C573" i="2"/>
  <c r="BA573" i="2"/>
  <c r="C574" i="2"/>
  <c r="BA574" i="2"/>
  <c r="C575" i="2"/>
  <c r="BA575" i="2"/>
  <c r="C576" i="2"/>
  <c r="BA576" i="2"/>
  <c r="C577" i="2"/>
  <c r="BA577" i="2"/>
  <c r="C578" i="2"/>
  <c r="BA578" i="2"/>
  <c r="C579" i="2"/>
  <c r="BA579" i="2"/>
  <c r="C580" i="2"/>
  <c r="BA580" i="2"/>
  <c r="C581" i="2"/>
  <c r="BA581" i="2"/>
  <c r="C589" i="2"/>
  <c r="BA589" i="2"/>
  <c r="C590" i="2"/>
  <c r="BA590" i="2"/>
  <c r="C591" i="2"/>
  <c r="BA591" i="2"/>
  <c r="C592" i="2"/>
  <c r="BA592" i="2"/>
  <c r="C593" i="2"/>
  <c r="BA593" i="2"/>
  <c r="C594" i="2"/>
  <c r="BA594" i="2"/>
  <c r="C595" i="2"/>
  <c r="BA595" i="2"/>
  <c r="C596" i="2"/>
  <c r="BA596" i="2"/>
  <c r="C597" i="2"/>
  <c r="BA597" i="2"/>
  <c r="C598" i="2"/>
  <c r="BA598" i="2"/>
  <c r="C599" i="2"/>
  <c r="BA599" i="2"/>
  <c r="C600" i="2"/>
  <c r="BA600" i="2"/>
  <c r="C601" i="2"/>
  <c r="BA601" i="2"/>
  <c r="C602" i="2"/>
  <c r="BA602" i="2"/>
  <c r="C603" i="2"/>
  <c r="BA603" i="2"/>
  <c r="C604" i="2"/>
  <c r="BA604" i="2"/>
  <c r="C605" i="2"/>
  <c r="BA605" i="2"/>
  <c r="C606" i="2"/>
  <c r="BA606" i="2"/>
  <c r="C607" i="2"/>
  <c r="BA607" i="2"/>
  <c r="C608" i="2"/>
  <c r="BA608" i="2"/>
  <c r="C609" i="2"/>
  <c r="BA609" i="2"/>
  <c r="C610" i="2"/>
  <c r="BA610" i="2"/>
  <c r="C611" i="2"/>
  <c r="BA611" i="2"/>
  <c r="C612" i="2"/>
  <c r="BA612" i="2"/>
  <c r="C613" i="2"/>
  <c r="BA613" i="2"/>
  <c r="C614" i="2"/>
  <c r="BA614" i="2"/>
  <c r="C615" i="2"/>
  <c r="BA615" i="2"/>
  <c r="C616" i="2"/>
  <c r="BA616" i="2"/>
  <c r="C617" i="2"/>
  <c r="BA617" i="2"/>
  <c r="C618" i="2"/>
  <c r="BA618" i="2"/>
  <c r="C619" i="2"/>
  <c r="BA619" i="2"/>
  <c r="C620" i="2"/>
  <c r="BA620" i="2"/>
  <c r="C621" i="2"/>
  <c r="BA621" i="2"/>
  <c r="C622" i="2"/>
  <c r="BA622" i="2"/>
  <c r="C623" i="2"/>
  <c r="BA623" i="2"/>
  <c r="C624" i="2"/>
  <c r="BA624" i="2"/>
  <c r="C625" i="2"/>
  <c r="BA625" i="2"/>
  <c r="C626" i="2"/>
  <c r="BA626" i="2"/>
  <c r="C627" i="2"/>
  <c r="BA627" i="2"/>
  <c r="C628" i="2"/>
  <c r="BA628" i="2"/>
  <c r="C629" i="2"/>
  <c r="BA629" i="2"/>
  <c r="C630" i="2"/>
  <c r="BA630" i="2"/>
  <c r="C631" i="2"/>
  <c r="BA631" i="2"/>
  <c r="C632" i="2"/>
  <c r="BA632" i="2"/>
  <c r="C633" i="2"/>
  <c r="BA633" i="2"/>
  <c r="C635" i="2"/>
  <c r="BA635" i="2"/>
  <c r="C636" i="2"/>
  <c r="BA636" i="2"/>
  <c r="C637" i="2"/>
  <c r="BA637" i="2"/>
  <c r="C638" i="2"/>
  <c r="BA638" i="2"/>
  <c r="C639" i="2"/>
  <c r="BA639" i="2"/>
  <c r="C640" i="2"/>
  <c r="BA640" i="2"/>
  <c r="C641" i="2"/>
  <c r="BA641" i="2"/>
  <c r="C642" i="2"/>
  <c r="BA642" i="2"/>
  <c r="C643" i="2"/>
  <c r="BA643" i="2"/>
  <c r="C644" i="2"/>
  <c r="BA644" i="2"/>
  <c r="C645" i="2"/>
  <c r="BA645" i="2"/>
  <c r="C646" i="2"/>
  <c r="BA646" i="2"/>
  <c r="C647" i="2"/>
  <c r="BA647" i="2"/>
  <c r="C648" i="2"/>
  <c r="BA648" i="2"/>
  <c r="C649" i="2"/>
  <c r="BA649" i="2"/>
  <c r="C650" i="2"/>
  <c r="BA650" i="2"/>
  <c r="C651" i="2"/>
  <c r="BA651" i="2"/>
  <c r="C652" i="2"/>
  <c r="BA652" i="2"/>
  <c r="C653" i="2"/>
  <c r="BA653" i="2"/>
  <c r="C654" i="2"/>
  <c r="BA654" i="2"/>
  <c r="C655" i="2"/>
  <c r="BA655" i="2"/>
  <c r="C656" i="2"/>
  <c r="BA656" i="2"/>
  <c r="C657" i="2"/>
  <c r="BA657" i="2"/>
  <c r="C658" i="2"/>
  <c r="BA658" i="2"/>
  <c r="C659" i="2"/>
  <c r="BA659" i="2"/>
  <c r="C660" i="2"/>
  <c r="BA660" i="2"/>
  <c r="C661" i="2"/>
  <c r="BA661" i="2"/>
  <c r="C662" i="2"/>
  <c r="BA662" i="2"/>
  <c r="C663" i="2"/>
  <c r="BA663" i="2"/>
  <c r="C664" i="2"/>
  <c r="BA664" i="2"/>
  <c r="C665" i="2"/>
  <c r="BA665" i="2"/>
  <c r="C666" i="2"/>
  <c r="BA666" i="2"/>
  <c r="C667" i="2"/>
  <c r="BA667" i="2"/>
  <c r="C668" i="2"/>
  <c r="BA668" i="2"/>
  <c r="C669" i="2"/>
  <c r="BA669" i="2"/>
  <c r="C670" i="2"/>
  <c r="BA670" i="2"/>
  <c r="C671" i="2"/>
  <c r="BA671" i="2"/>
  <c r="C672" i="2"/>
  <c r="BA672" i="2"/>
  <c r="C673" i="2"/>
  <c r="BA673" i="2"/>
  <c r="C674" i="2"/>
  <c r="BA674" i="2"/>
  <c r="C675" i="2"/>
  <c r="BA675" i="2"/>
  <c r="C676" i="2"/>
  <c r="BA676" i="2"/>
  <c r="C677" i="2"/>
  <c r="BA677" i="2"/>
  <c r="C678" i="2"/>
  <c r="BA678" i="2"/>
  <c r="C679" i="2"/>
  <c r="BA679" i="2"/>
  <c r="C680" i="2"/>
  <c r="BA680" i="2"/>
  <c r="C681" i="2"/>
  <c r="BA681" i="2"/>
  <c r="C682" i="2"/>
  <c r="BA682" i="2"/>
  <c r="C683" i="2"/>
  <c r="BA683" i="2"/>
  <c r="C684" i="2"/>
  <c r="BA684" i="2"/>
  <c r="C685" i="2"/>
  <c r="BA685" i="2"/>
  <c r="C686" i="2"/>
  <c r="BA686" i="2"/>
  <c r="C687" i="2"/>
  <c r="BA687" i="2"/>
  <c r="C688" i="2"/>
  <c r="BA688" i="2"/>
  <c r="C689" i="2"/>
  <c r="BA689" i="2"/>
  <c r="C690" i="2"/>
  <c r="BA690" i="2"/>
  <c r="C691" i="2"/>
  <c r="BA691" i="2"/>
  <c r="C692" i="2"/>
  <c r="BA692" i="2"/>
  <c r="C693" i="2"/>
  <c r="BA693" i="2"/>
  <c r="C694" i="2"/>
  <c r="BA694" i="2"/>
  <c r="C695" i="2"/>
  <c r="BA695" i="2"/>
  <c r="C696" i="2"/>
  <c r="BA696" i="2"/>
  <c r="C697" i="2"/>
  <c r="BA697" i="2"/>
  <c r="C698" i="2"/>
  <c r="BA698" i="2"/>
  <c r="C699" i="2"/>
  <c r="BA699" i="2"/>
  <c r="C700" i="2"/>
  <c r="BA700" i="2"/>
  <c r="C701" i="2"/>
  <c r="BA701" i="2"/>
  <c r="C702" i="2"/>
  <c r="BA702" i="2"/>
  <c r="C703" i="2"/>
  <c r="BA703" i="2"/>
  <c r="C704" i="2"/>
  <c r="BA704" i="2"/>
  <c r="C705" i="2"/>
  <c r="BA705" i="2"/>
  <c r="C706" i="2"/>
  <c r="BA706" i="2"/>
  <c r="C707" i="2"/>
  <c r="BA707" i="2"/>
  <c r="C708" i="2"/>
  <c r="BA708" i="2"/>
  <c r="C709" i="2"/>
  <c r="BA709" i="2"/>
  <c r="C710" i="2"/>
  <c r="BA710" i="2"/>
  <c r="C711" i="2"/>
  <c r="BA711" i="2"/>
  <c r="C712" i="2"/>
  <c r="BA712" i="2"/>
  <c r="C713" i="2"/>
  <c r="BA713" i="2"/>
  <c r="C714" i="2"/>
  <c r="BA714" i="2"/>
  <c r="C715" i="2"/>
  <c r="BA715" i="2"/>
  <c r="C716" i="2"/>
  <c r="BA716" i="2"/>
  <c r="C717" i="2"/>
  <c r="BA717" i="2"/>
  <c r="C718" i="2"/>
  <c r="BA718" i="2"/>
  <c r="C719" i="2"/>
  <c r="BA719" i="2"/>
  <c r="C720" i="2"/>
  <c r="BA720" i="2"/>
  <c r="C721" i="2"/>
  <c r="BA721" i="2"/>
  <c r="C722" i="2"/>
  <c r="BA722" i="2"/>
  <c r="C723" i="2"/>
  <c r="BA723" i="2"/>
  <c r="C724" i="2"/>
  <c r="BA724" i="2"/>
  <c r="C725" i="2"/>
  <c r="BA725" i="2"/>
  <c r="C726" i="2"/>
  <c r="BA726" i="2"/>
  <c r="C727" i="2"/>
  <c r="BA727" i="2"/>
  <c r="C728" i="2"/>
  <c r="BA728" i="2"/>
  <c r="C729" i="2"/>
  <c r="BA729" i="2"/>
  <c r="C730" i="2"/>
  <c r="BA730" i="2"/>
  <c r="C731" i="2"/>
  <c r="BA731" i="2"/>
  <c r="C732" i="2"/>
  <c r="BA732" i="2"/>
  <c r="C733" i="2"/>
  <c r="BA733" i="2"/>
  <c r="C734" i="2"/>
  <c r="BA734" i="2"/>
  <c r="C735" i="2"/>
  <c r="BA735" i="2"/>
  <c r="C736" i="2"/>
  <c r="BA736" i="2"/>
  <c r="C737" i="2"/>
  <c r="BA737" i="2"/>
  <c r="C739" i="2"/>
  <c r="BA739" i="2"/>
  <c r="C740" i="2"/>
  <c r="BA740" i="2"/>
  <c r="C741" i="2"/>
  <c r="BA741" i="2"/>
  <c r="C742" i="2"/>
  <c r="BA742" i="2"/>
  <c r="C743" i="2"/>
  <c r="BA743" i="2"/>
  <c r="C744" i="2"/>
  <c r="BA744" i="2"/>
  <c r="C745" i="2"/>
  <c r="BA745" i="2"/>
  <c r="C746" i="2"/>
  <c r="BA746" i="2"/>
  <c r="C747" i="2"/>
  <c r="BA747" i="2"/>
  <c r="C748" i="2"/>
  <c r="BA748" i="2"/>
  <c r="C749" i="2"/>
  <c r="BA749" i="2"/>
  <c r="C750" i="2"/>
  <c r="BA750" i="2"/>
  <c r="C751" i="2"/>
  <c r="BA751" i="2"/>
  <c r="C752" i="2"/>
  <c r="BA752" i="2"/>
  <c r="C753" i="2"/>
  <c r="BA753" i="2"/>
  <c r="C754" i="2"/>
  <c r="BA754" i="2"/>
  <c r="C755" i="2"/>
  <c r="BA755" i="2"/>
  <c r="C756" i="2"/>
  <c r="BA756" i="2"/>
  <c r="C757" i="2"/>
  <c r="BA757" i="2"/>
  <c r="C758" i="2"/>
  <c r="BA758" i="2"/>
  <c r="C759" i="2"/>
  <c r="BA759" i="2"/>
  <c r="C760" i="2"/>
  <c r="BA760" i="2"/>
  <c r="C761" i="2"/>
  <c r="BA761" i="2"/>
  <c r="C762" i="2"/>
  <c r="BA762" i="2"/>
  <c r="C763" i="2"/>
  <c r="BA763" i="2"/>
  <c r="C764" i="2"/>
  <c r="BA764" i="2"/>
  <c r="C765" i="2"/>
  <c r="BA765" i="2"/>
  <c r="C766" i="2"/>
  <c r="BA766" i="2"/>
  <c r="C767" i="2"/>
  <c r="BA767" i="2"/>
  <c r="C768" i="2"/>
  <c r="BA768" i="2"/>
  <c r="C769" i="2"/>
  <c r="BA769" i="2"/>
  <c r="C770" i="2"/>
  <c r="BA770" i="2"/>
  <c r="C771" i="2"/>
  <c r="BA771" i="2"/>
  <c r="C772" i="2"/>
  <c r="BA772" i="2"/>
  <c r="C773" i="2"/>
  <c r="BA773" i="2"/>
  <c r="C774" i="2"/>
  <c r="BA774" i="2"/>
  <c r="C775" i="2"/>
  <c r="BA775" i="2"/>
  <c r="C776" i="2"/>
  <c r="BA776" i="2"/>
  <c r="C777" i="2"/>
  <c r="BA777" i="2"/>
  <c r="C778" i="2"/>
  <c r="BA778" i="2"/>
  <c r="C779" i="2"/>
  <c r="BA779" i="2"/>
  <c r="C780" i="2"/>
  <c r="BA780" i="2"/>
  <c r="C781" i="2"/>
  <c r="BA781" i="2"/>
  <c r="C782" i="2"/>
  <c r="BA782" i="2"/>
  <c r="C783" i="2"/>
  <c r="BA783" i="2"/>
  <c r="C784" i="2"/>
  <c r="BA784" i="2"/>
  <c r="C785" i="2"/>
  <c r="BA785" i="2"/>
  <c r="C786" i="2"/>
  <c r="BA786" i="2"/>
  <c r="C787" i="2"/>
  <c r="BA787" i="2"/>
  <c r="C788" i="2"/>
  <c r="BA788" i="2"/>
  <c r="C789" i="2"/>
  <c r="BA789" i="2"/>
  <c r="C790" i="2"/>
  <c r="BA790" i="2"/>
  <c r="C791" i="2"/>
  <c r="BA791" i="2"/>
  <c r="C792" i="2"/>
  <c r="BA792" i="2"/>
  <c r="C793" i="2"/>
  <c r="BA793" i="2"/>
  <c r="C794" i="2"/>
  <c r="BA794" i="2"/>
  <c r="C795" i="2"/>
  <c r="BA795" i="2"/>
  <c r="C796" i="2"/>
  <c r="BA796" i="2"/>
  <c r="C797" i="2"/>
  <c r="BA797" i="2"/>
  <c r="C798" i="2"/>
  <c r="BA798" i="2"/>
  <c r="C799" i="2"/>
  <c r="BA799" i="2"/>
  <c r="C800" i="2"/>
  <c r="BA800" i="2"/>
  <c r="C801" i="2"/>
  <c r="BA801" i="2"/>
  <c r="C802" i="2"/>
  <c r="BA802" i="2"/>
  <c r="C803" i="2"/>
  <c r="BA803" i="2"/>
  <c r="C804" i="2"/>
  <c r="BA804" i="2"/>
  <c r="C805" i="2"/>
  <c r="BA805" i="2"/>
  <c r="C806" i="2"/>
  <c r="BA806" i="2"/>
  <c r="C807" i="2"/>
  <c r="BA807" i="2"/>
  <c r="C808" i="2"/>
  <c r="BA808" i="2"/>
  <c r="C809" i="2"/>
  <c r="BA809" i="2"/>
  <c r="C810" i="2"/>
  <c r="BA810" i="2"/>
  <c r="C811" i="2"/>
  <c r="BA811" i="2"/>
  <c r="C812" i="2"/>
  <c r="BA812" i="2"/>
  <c r="C813" i="2"/>
  <c r="BA813" i="2"/>
  <c r="C814" i="2"/>
  <c r="BA814" i="2"/>
  <c r="C815" i="2"/>
  <c r="BA815" i="2"/>
  <c r="C816" i="2"/>
  <c r="BA816" i="2"/>
  <c r="C817" i="2"/>
  <c r="BA817" i="2"/>
  <c r="C818" i="2"/>
  <c r="BA818" i="2"/>
  <c r="C819" i="2"/>
  <c r="BA819" i="2"/>
  <c r="C820" i="2"/>
  <c r="BA820" i="2"/>
  <c r="C821" i="2"/>
  <c r="BA821" i="2"/>
  <c r="C822" i="2"/>
  <c r="BA822" i="2"/>
  <c r="C823" i="2"/>
  <c r="BA823" i="2"/>
  <c r="C824" i="2"/>
  <c r="BA824" i="2"/>
  <c r="C825" i="2"/>
  <c r="BA825" i="2"/>
  <c r="C826" i="2"/>
  <c r="BA826" i="2"/>
  <c r="C827" i="2"/>
  <c r="BA827" i="2"/>
  <c r="C828" i="2"/>
  <c r="BA828" i="2"/>
  <c r="C829" i="2"/>
  <c r="BA829" i="2"/>
  <c r="C830" i="2"/>
  <c r="BA830" i="2"/>
  <c r="C831" i="2"/>
  <c r="BA831" i="2"/>
  <c r="C934" i="2"/>
  <c r="BA934" i="2"/>
  <c r="C935" i="2"/>
  <c r="BA935" i="2"/>
  <c r="C936" i="2"/>
  <c r="BA936" i="2"/>
  <c r="C937" i="2"/>
  <c r="BA937" i="2"/>
  <c r="C938" i="2"/>
  <c r="BA938" i="2"/>
  <c r="C939" i="2"/>
  <c r="BA939" i="2"/>
  <c r="C940" i="2"/>
  <c r="BA940" i="2"/>
  <c r="C941" i="2"/>
  <c r="BA941" i="2"/>
  <c r="C942" i="2"/>
  <c r="BA942" i="2"/>
  <c r="C943" i="2"/>
  <c r="BA943" i="2"/>
  <c r="C944" i="2"/>
  <c r="BA944" i="2"/>
  <c r="C945" i="2"/>
  <c r="BA945" i="2"/>
  <c r="C946" i="2"/>
  <c r="BA946" i="2"/>
  <c r="C947" i="2"/>
  <c r="BA947" i="2"/>
  <c r="C948" i="2"/>
  <c r="BA948" i="2"/>
  <c r="C949" i="2"/>
  <c r="BA949" i="2"/>
  <c r="C950" i="2"/>
  <c r="BA950" i="2"/>
  <c r="C951" i="2"/>
  <c r="BA951" i="2"/>
  <c r="C952" i="2"/>
  <c r="BA952" i="2"/>
  <c r="C953" i="2"/>
  <c r="BA953" i="2"/>
  <c r="C954" i="2"/>
  <c r="BA954" i="2"/>
  <c r="C955" i="2"/>
  <c r="BA955" i="2"/>
  <c r="C956" i="2"/>
  <c r="BA956" i="2"/>
  <c r="C957" i="2"/>
  <c r="BA957" i="2"/>
  <c r="C958" i="2"/>
  <c r="BA958" i="2"/>
  <c r="C959" i="2"/>
  <c r="BA959" i="2"/>
  <c r="C960" i="2"/>
  <c r="BA960" i="2"/>
  <c r="C961" i="2"/>
  <c r="BA961" i="2"/>
  <c r="C962" i="2"/>
  <c r="BA962" i="2"/>
  <c r="C963" i="2"/>
  <c r="BA963" i="2"/>
  <c r="C964" i="2"/>
  <c r="BA964" i="2"/>
  <c r="C965" i="2"/>
  <c r="BA965" i="2"/>
  <c r="C966" i="2"/>
  <c r="BA966" i="2"/>
  <c r="C967" i="2"/>
  <c r="BA967" i="2"/>
  <c r="C968" i="2"/>
  <c r="BA968" i="2"/>
  <c r="C969" i="2"/>
  <c r="BA969" i="2"/>
  <c r="C970" i="2"/>
  <c r="BA970" i="2"/>
  <c r="C971" i="2"/>
  <c r="BA971" i="2"/>
  <c r="C972" i="2"/>
  <c r="BA972" i="2"/>
  <c r="C973" i="2"/>
  <c r="BA973" i="2"/>
  <c r="C974" i="2"/>
  <c r="BA974" i="2"/>
  <c r="C975" i="2"/>
  <c r="BA975" i="2"/>
  <c r="C976" i="2"/>
  <c r="BA976" i="2"/>
  <c r="C977" i="2"/>
  <c r="BA977" i="2"/>
  <c r="C978" i="2"/>
  <c r="BA978" i="2"/>
  <c r="C979" i="2"/>
  <c r="BA979" i="2"/>
  <c r="C980" i="2"/>
  <c r="BA980" i="2"/>
  <c r="C981" i="2"/>
  <c r="BA981" i="2"/>
  <c r="C982" i="2"/>
  <c r="BA982" i="2"/>
  <c r="C983" i="2"/>
  <c r="BA983" i="2"/>
  <c r="C984" i="2"/>
  <c r="BA984" i="2"/>
  <c r="C985" i="2"/>
  <c r="BA985" i="2"/>
  <c r="C986" i="2"/>
  <c r="BA986" i="2"/>
  <c r="C987" i="2"/>
  <c r="BA987" i="2"/>
  <c r="C988" i="2"/>
  <c r="BA988" i="2"/>
  <c r="C989" i="2"/>
  <c r="BA989" i="2"/>
  <c r="C990" i="2"/>
  <c r="BA990" i="2"/>
  <c r="C991" i="2"/>
  <c r="BA991" i="2"/>
  <c r="C992" i="2"/>
  <c r="BA992" i="2"/>
  <c r="C993" i="2"/>
  <c r="BA993" i="2"/>
  <c r="C994" i="2"/>
  <c r="BA994" i="2"/>
  <c r="C995" i="2"/>
  <c r="BA995" i="2"/>
  <c r="C996" i="2"/>
  <c r="BA996" i="2"/>
  <c r="C997" i="2"/>
  <c r="BA997" i="2"/>
  <c r="C998" i="2"/>
  <c r="BA998" i="2"/>
  <c r="C999" i="2"/>
  <c r="BA999" i="2"/>
  <c r="C1000" i="2"/>
  <c r="BA1000" i="2"/>
  <c r="C1001" i="2"/>
  <c r="BA1001" i="2"/>
  <c r="C1002" i="2"/>
  <c r="BA1002" i="2"/>
  <c r="C1003" i="2"/>
  <c r="BA1003" i="2"/>
  <c r="C1004" i="2"/>
  <c r="BA1004" i="2"/>
  <c r="C1005" i="2"/>
  <c r="BA1005" i="2"/>
  <c r="C1006" i="2"/>
  <c r="BA1006" i="2"/>
  <c r="C1007" i="2"/>
  <c r="BA1007" i="2"/>
  <c r="C1008" i="2"/>
  <c r="BA1008" i="2"/>
  <c r="C1009" i="2"/>
  <c r="BA1009" i="2"/>
  <c r="C1010" i="2"/>
  <c r="BA1010" i="2"/>
  <c r="C1011" i="2"/>
  <c r="BA1011" i="2"/>
  <c r="C1012" i="2"/>
  <c r="BA1012" i="2"/>
  <c r="C1013" i="2"/>
  <c r="BA1013" i="2"/>
  <c r="C1014" i="2"/>
  <c r="BA1014" i="2"/>
  <c r="C1015" i="2"/>
  <c r="BA1015" i="2"/>
  <c r="C1016" i="2"/>
  <c r="BA1016" i="2"/>
  <c r="C1017" i="2"/>
  <c r="BA1017" i="2"/>
  <c r="C1018" i="2"/>
  <c r="BA1018" i="2"/>
  <c r="C1019" i="2"/>
  <c r="BA1019" i="2"/>
  <c r="C1020" i="2"/>
  <c r="BA1020" i="2"/>
  <c r="C1021" i="2"/>
  <c r="BA1021" i="2"/>
  <c r="C1022" i="2"/>
  <c r="BA1022" i="2"/>
  <c r="C1023" i="2"/>
  <c r="BA1023" i="2"/>
  <c r="C1024" i="2"/>
  <c r="BA1024" i="2"/>
  <c r="C1025" i="2"/>
  <c r="BA1025" i="2"/>
  <c r="C1026" i="2"/>
  <c r="BA1026" i="2"/>
  <c r="C1027" i="2"/>
  <c r="BA1027" i="2"/>
  <c r="C1028" i="2"/>
  <c r="BA1028" i="2"/>
  <c r="C1029" i="2"/>
  <c r="BA1029" i="2"/>
  <c r="C1030" i="2"/>
  <c r="BA1030" i="2"/>
  <c r="C1031" i="2"/>
  <c r="BA1031" i="2"/>
  <c r="C1032" i="2"/>
  <c r="BA1032" i="2"/>
  <c r="C1033" i="2"/>
  <c r="BA1033" i="2"/>
  <c r="C1034" i="2"/>
  <c r="BA1034" i="2"/>
  <c r="C1035" i="2"/>
  <c r="BA1035" i="2"/>
  <c r="C1036" i="2"/>
  <c r="BA1036" i="2"/>
  <c r="C1037" i="2"/>
  <c r="BA1037" i="2"/>
  <c r="C1038" i="2"/>
  <c r="BA1038" i="2"/>
  <c r="C1039" i="2"/>
  <c r="BA1039" i="2"/>
  <c r="C1041" i="2"/>
  <c r="BA1041" i="2"/>
  <c r="C1042" i="2"/>
  <c r="BA1042" i="2"/>
  <c r="C1043" i="2"/>
  <c r="BA1043" i="2"/>
  <c r="C1044" i="2"/>
  <c r="BA1044" i="2"/>
  <c r="C1045" i="2"/>
  <c r="BA1045" i="2"/>
  <c r="C1046" i="2"/>
  <c r="BA1046" i="2"/>
  <c r="C1047" i="2"/>
  <c r="BA1047" i="2"/>
  <c r="C1048" i="2"/>
  <c r="BA1048" i="2"/>
  <c r="C1049" i="2"/>
  <c r="BA1049" i="2"/>
  <c r="C1050" i="2"/>
  <c r="BA1050" i="2"/>
  <c r="C1051" i="2"/>
  <c r="BA1051" i="2"/>
  <c r="C1052" i="2"/>
  <c r="BA1052" i="2"/>
  <c r="C1053" i="2"/>
  <c r="BA1053" i="2"/>
  <c r="C1054" i="2"/>
  <c r="BA1054" i="2"/>
  <c r="C1055" i="2"/>
  <c r="BA1055" i="2"/>
  <c r="C1056" i="2"/>
  <c r="BA1056" i="2"/>
  <c r="C1057" i="2"/>
  <c r="BA1057" i="2"/>
  <c r="C1058" i="2"/>
  <c r="BA1058" i="2"/>
  <c r="C1059" i="2"/>
  <c r="BA1059" i="2"/>
  <c r="C1060" i="2"/>
  <c r="BA1060" i="2"/>
  <c r="C1061" i="2"/>
  <c r="BA1061" i="2"/>
  <c r="C1062" i="2"/>
  <c r="BA1062" i="2"/>
  <c r="C1063" i="2"/>
  <c r="BA1063" i="2"/>
  <c r="C1064" i="2"/>
  <c r="BA1064" i="2"/>
  <c r="C1065" i="2"/>
  <c r="BA1065" i="2"/>
  <c r="C1066" i="2"/>
  <c r="BA1066" i="2"/>
  <c r="C1067" i="2"/>
  <c r="BA1067" i="2"/>
  <c r="C1068" i="2"/>
  <c r="BA1068" i="2"/>
  <c r="C1069" i="2"/>
  <c r="BA1069" i="2"/>
  <c r="C1070" i="2"/>
  <c r="BA1070" i="2"/>
  <c r="C1071" i="2"/>
  <c r="BA1071" i="2"/>
  <c r="C1072" i="2"/>
  <c r="BA1072" i="2"/>
  <c r="C1073" i="2"/>
  <c r="BA1073" i="2"/>
  <c r="C1074" i="2"/>
  <c r="BA1074" i="2"/>
  <c r="C1075" i="2"/>
  <c r="BA1075" i="2"/>
  <c r="C1076" i="2"/>
  <c r="BA1076" i="2"/>
  <c r="C1077" i="2"/>
  <c r="BA1077" i="2"/>
  <c r="C1078" i="2"/>
  <c r="BA1078" i="2"/>
  <c r="C1079" i="2"/>
  <c r="BA1079" i="2"/>
  <c r="C1080" i="2"/>
  <c r="BA1080" i="2"/>
  <c r="C1081" i="2"/>
  <c r="BA1081" i="2"/>
  <c r="C1082" i="2"/>
  <c r="BA1082" i="2"/>
  <c r="C1083" i="2"/>
  <c r="BA1083" i="2"/>
  <c r="C1084" i="2"/>
  <c r="BA1084" i="2"/>
  <c r="C1085" i="2"/>
  <c r="BA1085" i="2"/>
  <c r="C1086" i="2"/>
  <c r="BA1086" i="2"/>
  <c r="C1087" i="2"/>
  <c r="BA1087" i="2"/>
  <c r="C1088" i="2"/>
  <c r="BA1088" i="2"/>
  <c r="C1089" i="2"/>
  <c r="BA1089" i="2"/>
  <c r="C1090" i="2"/>
  <c r="BA1090" i="2"/>
  <c r="C1091" i="2"/>
  <c r="BA1091" i="2"/>
  <c r="C1092" i="2"/>
  <c r="BA1092" i="2"/>
  <c r="C1093" i="2"/>
  <c r="BA1093" i="2"/>
  <c r="C1094" i="2"/>
  <c r="BA1094" i="2"/>
  <c r="C1095" i="2"/>
  <c r="BA1095" i="2"/>
  <c r="C1096" i="2"/>
  <c r="BA1096" i="2"/>
  <c r="C1097" i="2"/>
  <c r="BA1097" i="2"/>
  <c r="C1098" i="2"/>
  <c r="BA1098" i="2"/>
  <c r="C1099" i="2"/>
  <c r="BA1099" i="2"/>
  <c r="C1100" i="2"/>
  <c r="BA1100" i="2"/>
  <c r="C1101" i="2"/>
  <c r="BA1101" i="2"/>
  <c r="C1102" i="2"/>
  <c r="BA1102" i="2"/>
  <c r="C1103" i="2"/>
  <c r="BA1103" i="2"/>
  <c r="C1104" i="2"/>
  <c r="BA1104" i="2"/>
  <c r="C1105" i="2"/>
  <c r="BA1105" i="2"/>
  <c r="C1106" i="2"/>
  <c r="BA1106" i="2"/>
  <c r="C1107" i="2"/>
  <c r="BA1107" i="2"/>
  <c r="C1108" i="2"/>
  <c r="BA1108" i="2"/>
  <c r="C1109" i="2"/>
  <c r="BA1109" i="2"/>
  <c r="C1110" i="2"/>
  <c r="BA1110" i="2"/>
  <c r="C1111" i="2"/>
  <c r="BA1111" i="2"/>
  <c r="C1112" i="2"/>
  <c r="BA1112" i="2"/>
  <c r="C1113" i="2"/>
  <c r="BA1113" i="2"/>
  <c r="C1114" i="2"/>
  <c r="BA1114" i="2"/>
  <c r="C1115" i="2"/>
  <c r="BA1115" i="2"/>
  <c r="C1116" i="2"/>
  <c r="BA1116" i="2"/>
  <c r="C1117" i="2"/>
  <c r="BA1117" i="2"/>
  <c r="C1118" i="2"/>
  <c r="BA1118" i="2"/>
  <c r="C1119" i="2"/>
  <c r="BA1119" i="2"/>
  <c r="C1120" i="2"/>
  <c r="BA1120" i="2"/>
  <c r="C1121" i="2"/>
  <c r="BA1121" i="2"/>
  <c r="C1122" i="2"/>
  <c r="BA1122" i="2"/>
  <c r="C1123" i="2"/>
  <c r="BA1123" i="2"/>
  <c r="C1124" i="2"/>
  <c r="BA1124" i="2"/>
  <c r="C1125" i="2"/>
  <c r="BA1125" i="2"/>
  <c r="C1126" i="2"/>
  <c r="BA1126" i="2"/>
  <c r="C1127" i="2"/>
  <c r="BA1127" i="2"/>
  <c r="C1128" i="2"/>
  <c r="BA1128" i="2"/>
  <c r="C1129" i="2"/>
  <c r="BA1129" i="2"/>
  <c r="C1130" i="2"/>
  <c r="BA1130" i="2"/>
  <c r="C1131" i="2"/>
  <c r="BA1131" i="2"/>
  <c r="C1132" i="2"/>
  <c r="BA1132" i="2"/>
  <c r="C1133" i="2"/>
  <c r="BA1133" i="2"/>
  <c r="C1134" i="2"/>
  <c r="BA1134" i="2"/>
  <c r="C1135" i="2"/>
  <c r="BA1135" i="2"/>
  <c r="C1136" i="2"/>
  <c r="BA1136" i="2"/>
  <c r="C1137" i="2"/>
  <c r="BA1137" i="2"/>
  <c r="C1138" i="2"/>
  <c r="BA1138" i="2"/>
  <c r="C1139" i="2"/>
  <c r="BA1139" i="2"/>
  <c r="C1140" i="2"/>
  <c r="BA1140" i="2"/>
  <c r="C1141" i="2"/>
  <c r="BA1141" i="2"/>
  <c r="C1142" i="2"/>
  <c r="BA1142" i="2"/>
  <c r="C1143" i="2"/>
  <c r="BA1143" i="2"/>
  <c r="C1144" i="2"/>
  <c r="BA1144" i="2"/>
  <c r="C1145" i="2"/>
  <c r="BA1145" i="2"/>
  <c r="C1146" i="2"/>
  <c r="BA1146" i="2"/>
  <c r="C1147" i="2"/>
  <c r="BA1147" i="2"/>
  <c r="C1148" i="2"/>
  <c r="BA1148" i="2"/>
  <c r="C1149" i="2"/>
  <c r="BA1149" i="2"/>
  <c r="C1150" i="2"/>
  <c r="BA1150" i="2"/>
  <c r="C1151" i="2"/>
  <c r="BA1151" i="2"/>
  <c r="C1152" i="2"/>
  <c r="BA1152" i="2"/>
  <c r="C1153" i="2"/>
  <c r="BA1153" i="2"/>
  <c r="C1154" i="2"/>
  <c r="BA1154" i="2"/>
  <c r="C1155" i="2"/>
  <c r="BA1155" i="2"/>
  <c r="C1156" i="2"/>
  <c r="BA1156" i="2"/>
  <c r="C1157" i="2"/>
  <c r="BA1157" i="2"/>
  <c r="C1158" i="2"/>
  <c r="BA1158" i="2"/>
  <c r="C1159" i="2"/>
  <c r="BA1159" i="2"/>
  <c r="C1160" i="2"/>
  <c r="BA1160" i="2"/>
  <c r="C1161" i="2"/>
  <c r="BA1161" i="2"/>
  <c r="C1229" i="2"/>
  <c r="BA1229" i="2"/>
  <c r="C1230" i="2"/>
  <c r="BA1230" i="2"/>
  <c r="C1231" i="2"/>
  <c r="BA1231" i="2"/>
  <c r="C1232" i="2"/>
  <c r="BA1232" i="2"/>
  <c r="C1233" i="2"/>
  <c r="BA1233" i="2"/>
  <c r="C1234" i="2"/>
  <c r="BA1234" i="2"/>
  <c r="C1235" i="2"/>
  <c r="BA1235" i="2"/>
  <c r="C1236" i="2"/>
  <c r="BA1236" i="2"/>
  <c r="C1237" i="2"/>
  <c r="BA1237" i="2"/>
  <c r="C1238" i="2"/>
  <c r="BA1238" i="2"/>
  <c r="C1239" i="2"/>
  <c r="BA1239" i="2"/>
  <c r="C1240" i="2"/>
  <c r="BA1240" i="2"/>
  <c r="C1241" i="2"/>
  <c r="BA1241" i="2"/>
  <c r="C1242" i="2"/>
  <c r="BA1242" i="2"/>
  <c r="C1243" i="2"/>
  <c r="BA1243" i="2"/>
  <c r="C1244" i="2"/>
  <c r="BA1244" i="2"/>
  <c r="C1245" i="2"/>
  <c r="BA1245" i="2"/>
  <c r="C1246" i="2"/>
  <c r="BA1246" i="2"/>
  <c r="C1274" i="2"/>
  <c r="BA1274" i="2"/>
  <c r="C1275" i="2"/>
  <c r="BA1275" i="2"/>
  <c r="C1276" i="2"/>
  <c r="BA1276" i="2"/>
  <c r="C1277" i="2"/>
  <c r="BA1277" i="2"/>
  <c r="C1278" i="2"/>
  <c r="BA1278" i="2"/>
  <c r="C1279" i="2"/>
  <c r="BA1279" i="2"/>
  <c r="C1280" i="2"/>
  <c r="BA1280" i="2"/>
  <c r="C1281" i="2"/>
  <c r="BA1281" i="2"/>
  <c r="C1282" i="2"/>
  <c r="BA1282" i="2"/>
  <c r="C1283" i="2"/>
  <c r="BA1283" i="2"/>
  <c r="C1284" i="2"/>
  <c r="BA1284" i="2"/>
  <c r="C1285" i="2"/>
  <c r="BA1285" i="2"/>
  <c r="C1286" i="2"/>
  <c r="BA1286" i="2"/>
  <c r="C1287" i="2"/>
  <c r="BA1287" i="2"/>
  <c r="C1288" i="2"/>
  <c r="BA1288" i="2"/>
  <c r="C1290" i="2"/>
  <c r="BA1290" i="2"/>
  <c r="C1291" i="2"/>
  <c r="BA1291" i="2"/>
  <c r="C1292" i="2"/>
  <c r="BA1292" i="2"/>
  <c r="C1293" i="2"/>
  <c r="BA1293" i="2"/>
  <c r="C1294" i="2"/>
  <c r="BA1294" i="2"/>
  <c r="C1295" i="2"/>
  <c r="BA1295" i="2"/>
  <c r="C1296" i="2"/>
  <c r="BA1296" i="2"/>
  <c r="C1297" i="2"/>
  <c r="BA1297" i="2"/>
  <c r="C1298" i="2"/>
  <c r="BA1298" i="2"/>
  <c r="C1299" i="2"/>
  <c r="BA1299" i="2"/>
  <c r="C1300" i="2"/>
  <c r="BA1300" i="2"/>
  <c r="C1301" i="2"/>
  <c r="BA1301" i="2"/>
  <c r="C1302" i="2"/>
  <c r="BA1302" i="2"/>
  <c r="C1303" i="2"/>
  <c r="BA1303" i="2"/>
  <c r="C1304" i="2"/>
  <c r="BA1304" i="2"/>
  <c r="C1305" i="2"/>
  <c r="BA1305" i="2"/>
  <c r="C1306" i="2"/>
  <c r="BA1306" i="2"/>
  <c r="C1307" i="2"/>
  <c r="BA1307" i="2"/>
  <c r="C1308" i="2"/>
  <c r="BA1308" i="2"/>
  <c r="C1309" i="2"/>
  <c r="BA1309" i="2"/>
  <c r="C1310" i="2"/>
  <c r="BA1310" i="2"/>
  <c r="C1311" i="2"/>
  <c r="BA1311" i="2"/>
  <c r="C1312" i="2"/>
  <c r="BA1312" i="2"/>
  <c r="C1313" i="2"/>
  <c r="BA1313" i="2"/>
  <c r="C1314" i="2"/>
  <c r="BA1314" i="2"/>
  <c r="C1315" i="2"/>
  <c r="BA1315" i="2"/>
  <c r="C1316" i="2"/>
  <c r="BA1316" i="2"/>
  <c r="C1317" i="2"/>
  <c r="BA1317" i="2"/>
  <c r="C1318" i="2"/>
  <c r="BA1318" i="2"/>
  <c r="C1319" i="2"/>
  <c r="BA1319" i="2"/>
  <c r="C1320" i="2"/>
  <c r="BA1320" i="2"/>
  <c r="C1321" i="2"/>
  <c r="BA1321" i="2"/>
  <c r="C1322" i="2"/>
  <c r="BA1322" i="2"/>
  <c r="C1323" i="2"/>
  <c r="BA1323" i="2"/>
  <c r="C1324" i="2"/>
  <c r="BA1324" i="2"/>
  <c r="C1325" i="2"/>
  <c r="BA1325" i="2"/>
  <c r="C1326" i="2"/>
  <c r="BA1326" i="2"/>
  <c r="C1327" i="2"/>
  <c r="BA1327" i="2"/>
  <c r="C1328" i="2"/>
  <c r="BA1328" i="2"/>
  <c r="C1329" i="2"/>
  <c r="BA1329" i="2"/>
  <c r="C1330" i="2"/>
  <c r="BA1330" i="2"/>
  <c r="C1331" i="2"/>
  <c r="BA1331" i="2"/>
  <c r="C1332" i="2"/>
  <c r="BA1332" i="2"/>
  <c r="C1333" i="2"/>
  <c r="BA1333" i="2"/>
  <c r="C1334" i="2"/>
  <c r="BA1334" i="2"/>
  <c r="C1335" i="2"/>
  <c r="BA1335" i="2"/>
  <c r="C1336" i="2"/>
  <c r="BA1336" i="2"/>
  <c r="C1337" i="2"/>
  <c r="BA1337" i="2"/>
  <c r="C1338" i="2"/>
  <c r="BA1338" i="2"/>
  <c r="C1339" i="2"/>
  <c r="BA1339" i="2"/>
  <c r="C1340" i="2"/>
  <c r="BA1340" i="2"/>
  <c r="C1341" i="2"/>
  <c r="BA1341" i="2"/>
  <c r="C1342" i="2"/>
  <c r="BA1342" i="2"/>
  <c r="C1343" i="2"/>
  <c r="BA1343" i="2"/>
  <c r="C1344" i="2"/>
  <c r="BA1344" i="2"/>
  <c r="C1345" i="2"/>
  <c r="BA1345" i="2"/>
  <c r="C1346" i="2"/>
  <c r="BA1346" i="2"/>
  <c r="C1347" i="2"/>
  <c r="BA1347" i="2"/>
  <c r="C1348" i="2"/>
  <c r="BA1348" i="2"/>
  <c r="C1349" i="2"/>
  <c r="BA1349" i="2"/>
  <c r="C1350" i="2"/>
  <c r="BA1350" i="2"/>
  <c r="C1351" i="2"/>
  <c r="BA1351" i="2"/>
  <c r="C1352" i="2"/>
  <c r="BA1352" i="2"/>
  <c r="C1353" i="2"/>
  <c r="BA1353" i="2"/>
  <c r="C1354" i="2"/>
  <c r="BA1354" i="2"/>
  <c r="C1355" i="2"/>
  <c r="BA1355" i="2"/>
  <c r="C1356" i="2"/>
  <c r="BA1356" i="2"/>
  <c r="C1357" i="2"/>
  <c r="BA1357" i="2"/>
  <c r="C1358" i="2"/>
  <c r="BA1358" i="2"/>
  <c r="C1359" i="2"/>
  <c r="BA1359" i="2"/>
  <c r="C1360" i="2"/>
  <c r="BA1360" i="2"/>
  <c r="C1361" i="2"/>
  <c r="BA1361" i="2"/>
  <c r="C1362" i="2"/>
  <c r="BA1362" i="2"/>
  <c r="C1363" i="2"/>
  <c r="BA1363" i="2"/>
  <c r="C1364" i="2"/>
  <c r="BA1364" i="2"/>
  <c r="C1365" i="2"/>
  <c r="BA1365" i="2"/>
  <c r="C1366" i="2"/>
  <c r="BA1366" i="2"/>
  <c r="C1367" i="2"/>
  <c r="BA1367" i="2"/>
  <c r="C1368" i="2"/>
  <c r="BA1368" i="2"/>
  <c r="C1369" i="2"/>
  <c r="BA1369" i="2"/>
  <c r="C1370" i="2"/>
  <c r="BA1370" i="2"/>
  <c r="C1371" i="2"/>
  <c r="BA1371" i="2"/>
  <c r="C1372" i="2"/>
  <c r="BA1372" i="2"/>
  <c r="C1373" i="2"/>
  <c r="BA1373" i="2"/>
  <c r="C1464" i="2"/>
  <c r="BA1464" i="2"/>
  <c r="C1465" i="2"/>
  <c r="BA1465" i="2"/>
  <c r="C1466" i="2"/>
  <c r="BA1466" i="2"/>
  <c r="C1467" i="2"/>
  <c r="BA1467" i="2"/>
  <c r="C1468" i="2"/>
  <c r="BA1468" i="2"/>
  <c r="C1469" i="2"/>
  <c r="BA1469" i="2"/>
  <c r="C1470" i="2"/>
  <c r="BA1470" i="2"/>
  <c r="C1471" i="2"/>
  <c r="BA1471" i="2"/>
  <c r="C1472" i="2"/>
  <c r="BA1472" i="2"/>
  <c r="C1473" i="2"/>
  <c r="BA1473" i="2"/>
  <c r="C1474" i="2"/>
  <c r="BA1474" i="2"/>
  <c r="C1475" i="2"/>
  <c r="BA1475" i="2"/>
  <c r="C1476" i="2"/>
  <c r="BA1476" i="2"/>
  <c r="C1477" i="2"/>
  <c r="BA1477" i="2"/>
  <c r="C1478" i="2"/>
  <c r="BA1478" i="2"/>
  <c r="C1479" i="2"/>
  <c r="BA1479" i="2"/>
  <c r="C1480" i="2"/>
  <c r="BA1480" i="2"/>
  <c r="C1481" i="2"/>
  <c r="BA1481" i="2"/>
  <c r="C1482" i="2"/>
  <c r="BA1482" i="2"/>
  <c r="C1483" i="2"/>
  <c r="BA1483" i="2"/>
  <c r="C1484" i="2"/>
  <c r="BA1484" i="2"/>
  <c r="C1485" i="2"/>
  <c r="BA1485" i="2"/>
  <c r="C1486" i="2"/>
  <c r="BA1486" i="2"/>
  <c r="C1487" i="2"/>
  <c r="BA1487" i="2"/>
  <c r="C1488" i="2"/>
  <c r="BA1488" i="2"/>
  <c r="C1489" i="2"/>
  <c r="BA1489" i="2"/>
  <c r="C1490" i="2"/>
  <c r="BA1490" i="2"/>
  <c r="C1491" i="2"/>
  <c r="BA1491" i="2"/>
  <c r="C1492" i="2"/>
  <c r="BA1492" i="2"/>
  <c r="C1493" i="2"/>
  <c r="BA1493" i="2"/>
  <c r="C1494" i="2"/>
  <c r="BA1494" i="2"/>
  <c r="C1495" i="2"/>
  <c r="BA1495" i="2"/>
  <c r="C1496" i="2"/>
  <c r="BA1496" i="2"/>
  <c r="C1497" i="2"/>
  <c r="BA1497" i="2"/>
  <c r="C1498" i="2"/>
  <c r="BA1498" i="2"/>
  <c r="C1499" i="2"/>
  <c r="BA1499" i="2"/>
  <c r="C1500" i="2"/>
  <c r="BA1500" i="2"/>
  <c r="C1501" i="2"/>
  <c r="BA1501" i="2"/>
  <c r="C1502" i="2"/>
  <c r="BA1502" i="2"/>
  <c r="C1503" i="2"/>
  <c r="BA1503" i="2"/>
  <c r="C1504" i="2"/>
  <c r="BA1504" i="2"/>
  <c r="C1505" i="2"/>
  <c r="BA1505" i="2"/>
  <c r="C1506" i="2"/>
  <c r="BA1506" i="2"/>
  <c r="C1507" i="2"/>
  <c r="BA1507" i="2"/>
  <c r="C1508" i="2"/>
  <c r="BA1508" i="2"/>
  <c r="C1509" i="2"/>
  <c r="BA1509" i="2"/>
  <c r="C1510" i="2"/>
  <c r="BA1510" i="2"/>
  <c r="C1511" i="2"/>
  <c r="BA1511" i="2"/>
  <c r="C1512" i="2"/>
  <c r="BA1512" i="2"/>
  <c r="C1513" i="2"/>
  <c r="BA1513" i="2"/>
  <c r="C1514" i="2"/>
  <c r="BA1514" i="2"/>
  <c r="C1515" i="2"/>
  <c r="BA1515" i="2"/>
  <c r="C1516" i="2"/>
  <c r="BA1516" i="2"/>
  <c r="C1517" i="2"/>
  <c r="BA1517" i="2"/>
  <c r="C1518" i="2"/>
  <c r="BA1518" i="2"/>
  <c r="C1519" i="2"/>
  <c r="BA1519" i="2"/>
  <c r="C1520" i="2"/>
  <c r="BA1520" i="2"/>
  <c r="C1521" i="2"/>
  <c r="BA1521" i="2"/>
  <c r="C1522" i="2"/>
  <c r="BA1522" i="2"/>
  <c r="C1523" i="2"/>
  <c r="BA1523" i="2"/>
  <c r="C1524" i="2"/>
  <c r="BA1524" i="2"/>
  <c r="C1525" i="2"/>
  <c r="BA1525" i="2"/>
  <c r="C1526" i="2"/>
  <c r="BA1526" i="2"/>
  <c r="C1527" i="2"/>
  <c r="BA1527" i="2"/>
  <c r="C1528" i="2"/>
  <c r="BA1528" i="2"/>
  <c r="C1529" i="2"/>
  <c r="BA1529" i="2"/>
  <c r="C1530" i="2"/>
  <c r="BA1530" i="2"/>
  <c r="C1531" i="2"/>
  <c r="BA1531" i="2"/>
  <c r="C1532" i="2"/>
  <c r="BA1532" i="2"/>
  <c r="C1533" i="2"/>
  <c r="BA1533" i="2"/>
  <c r="C1534" i="2"/>
  <c r="BA1534" i="2"/>
  <c r="C1535" i="2"/>
  <c r="BA1535" i="2"/>
  <c r="C1536" i="2"/>
  <c r="BA1536" i="2"/>
  <c r="C1537" i="2"/>
  <c r="BA1537" i="2"/>
  <c r="C1538" i="2"/>
  <c r="BA1538" i="2"/>
  <c r="C1539" i="2"/>
  <c r="BA1539" i="2"/>
  <c r="C1540" i="2"/>
  <c r="BA1540" i="2"/>
  <c r="C1541" i="2"/>
  <c r="BA1541" i="2"/>
  <c r="C1542" i="2"/>
  <c r="BA1542" i="2"/>
  <c r="C1543" i="2"/>
  <c r="BA1543" i="2"/>
  <c r="C1544" i="2"/>
  <c r="BA1544" i="2"/>
  <c r="C1545" i="2"/>
  <c r="BA1545" i="2"/>
  <c r="C1546" i="2"/>
  <c r="BA1546" i="2"/>
  <c r="C1548" i="2"/>
  <c r="BA1548" i="2"/>
  <c r="C1549" i="2"/>
  <c r="BA1549" i="2"/>
  <c r="C1550" i="2"/>
  <c r="BA1550" i="2"/>
  <c r="C1551" i="2"/>
  <c r="BA1551" i="2"/>
  <c r="C1552" i="2"/>
  <c r="BA1552" i="2"/>
  <c r="C1553" i="2"/>
  <c r="BA1553" i="2"/>
  <c r="C1554" i="2"/>
  <c r="BA1554" i="2"/>
  <c r="C1555" i="2"/>
  <c r="BA1555" i="2"/>
  <c r="C1556" i="2"/>
  <c r="BA1556" i="2"/>
  <c r="C1557" i="2"/>
  <c r="BA1557" i="2"/>
  <c r="C1558" i="2"/>
  <c r="BA1558" i="2"/>
  <c r="C1559" i="2"/>
  <c r="BA1559" i="2"/>
  <c r="C1560" i="2"/>
  <c r="BA1560" i="2"/>
  <c r="C1561" i="2"/>
  <c r="BA1561" i="2"/>
  <c r="C1562" i="2"/>
  <c r="BA1562" i="2"/>
  <c r="C1563" i="2"/>
  <c r="BA1563" i="2"/>
  <c r="C1564" i="2"/>
  <c r="BA1564" i="2"/>
  <c r="C1565" i="2"/>
  <c r="BA1565" i="2"/>
  <c r="C1566" i="2"/>
  <c r="BA1566" i="2"/>
  <c r="C1567" i="2"/>
  <c r="BA1567" i="2"/>
  <c r="C1568" i="2"/>
  <c r="BA1568" i="2"/>
  <c r="C1569" i="2"/>
  <c r="BA1569" i="2"/>
  <c r="C1570" i="2"/>
  <c r="BA1570" i="2"/>
  <c r="C1571" i="2"/>
  <c r="BA1571" i="2"/>
  <c r="C1572" i="2"/>
  <c r="BA1572" i="2"/>
  <c r="C1573" i="2"/>
  <c r="BA1573" i="2"/>
  <c r="C1574" i="2"/>
  <c r="BA1574" i="2"/>
  <c r="C1575" i="2"/>
  <c r="BA1575" i="2"/>
  <c r="C1576" i="2"/>
  <c r="BA1576" i="2"/>
  <c r="C1577" i="2"/>
  <c r="BA1577" i="2"/>
  <c r="C1578" i="2"/>
  <c r="BA1578" i="2"/>
  <c r="C1579" i="2"/>
  <c r="BA1579" i="2"/>
  <c r="C1580" i="2"/>
  <c r="BA1580" i="2"/>
  <c r="C1581" i="2"/>
  <c r="BA1581" i="2"/>
  <c r="C1582" i="2"/>
  <c r="BA1582" i="2"/>
  <c r="C1583" i="2"/>
  <c r="BA1583" i="2"/>
  <c r="C1584" i="2"/>
  <c r="BA1584" i="2"/>
  <c r="C1585" i="2"/>
  <c r="BA1585" i="2"/>
  <c r="C1586" i="2"/>
  <c r="BA1586" i="2"/>
  <c r="C1587" i="2"/>
  <c r="BA1587" i="2"/>
  <c r="C1588" i="2"/>
  <c r="BA1588" i="2"/>
  <c r="C1589" i="2"/>
  <c r="BA1589" i="2"/>
  <c r="C1590" i="2"/>
  <c r="BA1590" i="2"/>
  <c r="C1591" i="2"/>
  <c r="BA1591" i="2"/>
  <c r="C1592" i="2"/>
  <c r="BA1592" i="2"/>
  <c r="C1593" i="2"/>
  <c r="BA1593" i="2"/>
  <c r="C1594" i="2"/>
  <c r="BA1594" i="2"/>
  <c r="C1595" i="2"/>
  <c r="BA1595" i="2"/>
  <c r="C1596" i="2"/>
  <c r="BA1596" i="2"/>
  <c r="C1597" i="2"/>
  <c r="BA1597" i="2"/>
  <c r="C1598" i="2"/>
  <c r="BA1598" i="2"/>
  <c r="C1599" i="2"/>
  <c r="BA1599" i="2"/>
  <c r="C1600" i="2"/>
  <c r="BA1600" i="2"/>
  <c r="C1601" i="2"/>
  <c r="BA1601" i="2"/>
  <c r="C1602" i="2"/>
  <c r="BA1602" i="2"/>
  <c r="C1603" i="2"/>
  <c r="BA1603" i="2"/>
  <c r="C1604" i="2"/>
  <c r="BA1604" i="2"/>
  <c r="C1605" i="2"/>
  <c r="BA1605" i="2"/>
  <c r="C1606" i="2"/>
  <c r="BA1606" i="2"/>
  <c r="C1607" i="2"/>
  <c r="BA1607" i="2"/>
  <c r="C1608" i="2"/>
  <c r="BA1608" i="2"/>
  <c r="C1609" i="2"/>
  <c r="BA1609" i="2"/>
  <c r="C1610" i="2"/>
  <c r="BA1610" i="2"/>
  <c r="C1611" i="2"/>
  <c r="BA1611" i="2"/>
  <c r="C1612" i="2"/>
  <c r="BA1612" i="2"/>
  <c r="C1613" i="2"/>
  <c r="BA1613" i="2"/>
  <c r="C1614" i="2"/>
  <c r="BA1614" i="2"/>
  <c r="C1615" i="2"/>
  <c r="BA1615" i="2"/>
  <c r="C1616" i="2"/>
  <c r="BA1616" i="2"/>
  <c r="C1617" i="2"/>
  <c r="BA1617" i="2"/>
  <c r="C1618" i="2"/>
  <c r="BA1618" i="2"/>
  <c r="C1619" i="2"/>
  <c r="BA1619" i="2"/>
  <c r="C1620" i="2"/>
  <c r="BA1620" i="2"/>
  <c r="C1621" i="2"/>
  <c r="BA1621" i="2"/>
  <c r="C1622" i="2"/>
  <c r="BA1622" i="2"/>
  <c r="C1623" i="2"/>
  <c r="BA1623" i="2"/>
  <c r="C1624" i="2"/>
  <c r="BA1624" i="2"/>
  <c r="C1625" i="2"/>
  <c r="BA1625" i="2"/>
  <c r="C1626" i="2"/>
  <c r="BA1626" i="2"/>
  <c r="C1627" i="2"/>
  <c r="BA1627" i="2"/>
  <c r="C1628" i="2"/>
  <c r="BA1628" i="2"/>
  <c r="C1629" i="2"/>
  <c r="BA1629" i="2"/>
  <c r="C1630" i="2"/>
  <c r="BA1630" i="2"/>
  <c r="C1631" i="2"/>
  <c r="BA1631" i="2"/>
  <c r="C1632" i="2"/>
  <c r="BA1632" i="2"/>
  <c r="C1633" i="2"/>
  <c r="BA1633" i="2"/>
  <c r="C1634" i="2"/>
  <c r="BA1634" i="2"/>
  <c r="C1635" i="2"/>
  <c r="BA1635" i="2"/>
  <c r="C1636" i="2"/>
  <c r="BA1636" i="2"/>
  <c r="C1637" i="2"/>
  <c r="BA1637" i="2"/>
  <c r="C1638" i="2"/>
  <c r="BA1638" i="2"/>
  <c r="C1639" i="2"/>
  <c r="BA1639" i="2"/>
  <c r="C1640" i="2"/>
  <c r="BA1640" i="2"/>
  <c r="C1641" i="2"/>
  <c r="BA1641" i="2"/>
  <c r="C1642" i="2"/>
  <c r="BA1642" i="2"/>
  <c r="C1643" i="2"/>
  <c r="BA1643" i="2"/>
  <c r="C1644" i="2"/>
  <c r="BA1644" i="2"/>
  <c r="C1645" i="2"/>
  <c r="BA1645" i="2"/>
  <c r="C1646" i="2"/>
  <c r="BA1646" i="2"/>
  <c r="C1647" i="2"/>
  <c r="BA1647" i="2"/>
  <c r="C1648" i="2"/>
  <c r="BA1648" i="2"/>
  <c r="C1649" i="2"/>
  <c r="BA1649" i="2"/>
  <c r="C1650" i="2"/>
  <c r="BA1650" i="2"/>
  <c r="C1651" i="2"/>
  <c r="BA1651" i="2"/>
  <c r="C1652" i="2"/>
  <c r="BA1652" i="2"/>
  <c r="C1653" i="2"/>
  <c r="BA1653" i="2"/>
  <c r="C1654" i="2"/>
  <c r="BA1654" i="2"/>
  <c r="C1655" i="2"/>
  <c r="BA1655" i="2"/>
  <c r="C1656" i="2"/>
  <c r="BA1656" i="2"/>
  <c r="C1657" i="2"/>
  <c r="BA1657" i="2"/>
  <c r="C1658" i="2"/>
  <c r="BA1658" i="2"/>
  <c r="C1659" i="2"/>
  <c r="BA1659" i="2"/>
  <c r="C1660" i="2"/>
  <c r="BA1660" i="2"/>
  <c r="C1661" i="2"/>
  <c r="BA1661" i="2"/>
  <c r="C1662" i="2"/>
  <c r="BA1662" i="2"/>
  <c r="C1663" i="2"/>
  <c r="BA1663" i="2"/>
  <c r="C1665" i="2"/>
  <c r="BA1665" i="2"/>
  <c r="C1666" i="2"/>
  <c r="BA1666" i="2"/>
  <c r="C1667" i="2"/>
  <c r="BA1667" i="2"/>
  <c r="C1668" i="2"/>
  <c r="BA1668" i="2"/>
  <c r="C1669" i="2"/>
  <c r="BA1669" i="2"/>
  <c r="C1670" i="2"/>
  <c r="BA1670" i="2"/>
  <c r="C1671" i="2"/>
  <c r="BA1671" i="2"/>
  <c r="C1672" i="2"/>
  <c r="BA1672" i="2"/>
  <c r="C1673" i="2"/>
  <c r="BA1673" i="2"/>
  <c r="C1674" i="2"/>
  <c r="BA1674" i="2"/>
  <c r="C1675" i="2"/>
  <c r="BA1675" i="2"/>
  <c r="C1676" i="2"/>
  <c r="BA1676" i="2"/>
  <c r="C1677" i="2"/>
  <c r="BA1677" i="2"/>
  <c r="C1678" i="2"/>
  <c r="BA1678" i="2"/>
  <c r="C1679" i="2"/>
  <c r="BA1679" i="2"/>
  <c r="C1680" i="2"/>
  <c r="BA1680" i="2"/>
  <c r="C1681" i="2"/>
  <c r="BA1681" i="2"/>
  <c r="C1682" i="2"/>
  <c r="BA1682" i="2"/>
  <c r="C1683" i="2"/>
  <c r="BA1683" i="2"/>
  <c r="C1684" i="2"/>
  <c r="BA1684" i="2"/>
  <c r="C1685" i="2"/>
  <c r="BA1685" i="2"/>
  <c r="C1686" i="2"/>
  <c r="BA1686" i="2"/>
  <c r="C1687" i="2"/>
  <c r="BA1687" i="2"/>
  <c r="C1688" i="2"/>
  <c r="BA1688" i="2"/>
  <c r="C1689" i="2"/>
  <c r="BA1689" i="2"/>
  <c r="C1690" i="2"/>
  <c r="BA1690" i="2"/>
  <c r="C1691" i="2"/>
  <c r="BA1691" i="2"/>
  <c r="C1692" i="2"/>
  <c r="BA1692" i="2"/>
  <c r="C1693" i="2"/>
  <c r="BA1693" i="2"/>
  <c r="C1694" i="2"/>
  <c r="BA1694" i="2"/>
  <c r="C1695" i="2"/>
  <c r="BA1695" i="2"/>
  <c r="C1696" i="2"/>
  <c r="BA1696" i="2"/>
  <c r="C1697" i="2"/>
  <c r="BA1697" i="2"/>
  <c r="C1698" i="2"/>
  <c r="BA1698" i="2"/>
  <c r="C1699" i="2"/>
  <c r="BA1699" i="2"/>
  <c r="C1700" i="2"/>
  <c r="BA1700" i="2"/>
  <c r="C1701" i="2"/>
  <c r="BA1701" i="2"/>
  <c r="C1702" i="2"/>
  <c r="BA1702" i="2"/>
  <c r="C1703" i="2"/>
  <c r="BA1703" i="2"/>
  <c r="C1704" i="2"/>
  <c r="BA1704" i="2"/>
  <c r="C1705" i="2"/>
  <c r="BA1705" i="2"/>
  <c r="C1706" i="2"/>
  <c r="BA1706" i="2"/>
  <c r="C1707" i="2"/>
  <c r="BA1707" i="2"/>
  <c r="C1708" i="2"/>
  <c r="BA1708" i="2"/>
  <c r="C1709" i="2"/>
  <c r="BA1709" i="2"/>
  <c r="C1710" i="2"/>
  <c r="BA1710" i="2"/>
  <c r="C1711" i="2"/>
  <c r="BA1711" i="2"/>
  <c r="C1712" i="2"/>
  <c r="BA1712" i="2"/>
  <c r="C1713" i="2"/>
  <c r="BA1713" i="2"/>
  <c r="C1714" i="2"/>
  <c r="BA1714" i="2"/>
  <c r="C1715" i="2"/>
  <c r="BA1715" i="2"/>
  <c r="C1716" i="2"/>
  <c r="BA1716" i="2"/>
  <c r="C1717" i="2"/>
  <c r="BA1717" i="2"/>
  <c r="C1718" i="2"/>
  <c r="BA1718" i="2"/>
  <c r="C1719" i="2"/>
  <c r="BA1719" i="2"/>
  <c r="C1720" i="2"/>
  <c r="BA1720" i="2"/>
  <c r="C1721" i="2"/>
  <c r="BA1721" i="2"/>
  <c r="C1837" i="2"/>
  <c r="BA1837" i="2"/>
  <c r="C1838" i="2"/>
  <c r="BA1838" i="2"/>
  <c r="C1839" i="2"/>
  <c r="BA1839" i="2"/>
  <c r="C1840" i="2"/>
  <c r="BA1840" i="2"/>
  <c r="C1841" i="2"/>
  <c r="BA1841" i="2"/>
  <c r="C1842" i="2"/>
  <c r="BA1842" i="2"/>
  <c r="C1843" i="2"/>
  <c r="BA1843" i="2"/>
  <c r="C1844" i="2"/>
  <c r="BA1844" i="2"/>
  <c r="C1845" i="2"/>
  <c r="BA1845" i="2"/>
  <c r="C1846" i="2"/>
  <c r="BA1846" i="2"/>
  <c r="C1847" i="2"/>
  <c r="BA1847" i="2"/>
  <c r="C1849" i="2"/>
  <c r="BA1849" i="2"/>
  <c r="C1850" i="2"/>
  <c r="BA1850" i="2"/>
  <c r="C1851" i="2"/>
  <c r="BA1851" i="2"/>
  <c r="C1852" i="2"/>
  <c r="BA1852" i="2"/>
  <c r="C1853" i="2"/>
  <c r="BA1853" i="2"/>
  <c r="C1854" i="2"/>
  <c r="BA1854" i="2"/>
  <c r="C1855" i="2"/>
  <c r="BA1855" i="2"/>
  <c r="C1856" i="2"/>
  <c r="BA1856" i="2"/>
  <c r="C1857" i="2"/>
  <c r="BA1857" i="2"/>
  <c r="C1858" i="2"/>
  <c r="BA1858" i="2"/>
  <c r="C1859" i="2"/>
  <c r="BA1859" i="2"/>
  <c r="C1860" i="2"/>
  <c r="BA1860" i="2"/>
  <c r="C1861" i="2"/>
  <c r="BA1861" i="2"/>
  <c r="C1862" i="2"/>
  <c r="BA1862" i="2"/>
  <c r="C1863" i="2"/>
  <c r="BA1863" i="2"/>
  <c r="C1864" i="2"/>
  <c r="BA1864" i="2"/>
  <c r="C1865" i="2"/>
  <c r="BA1865" i="2"/>
  <c r="C1866" i="2"/>
  <c r="BA1866" i="2"/>
  <c r="C1867" i="2"/>
  <c r="BA1867" i="2"/>
  <c r="C1868" i="2"/>
  <c r="BA1868" i="2"/>
  <c r="C1869" i="2"/>
  <c r="BA1869" i="2"/>
  <c r="C1870" i="2"/>
  <c r="BA1870" i="2"/>
  <c r="C2128" i="2"/>
  <c r="BA2128" i="2"/>
  <c r="C2129" i="2"/>
  <c r="BA2129" i="2"/>
  <c r="C2130" i="2"/>
  <c r="BA2130" i="2"/>
  <c r="C2131" i="2"/>
  <c r="BA2131" i="2"/>
  <c r="C2132" i="2"/>
  <c r="BA2132" i="2"/>
  <c r="C2133" i="2"/>
  <c r="BA2133" i="2"/>
  <c r="C2134" i="2"/>
  <c r="BA2134" i="2"/>
  <c r="C2135" i="2"/>
  <c r="BA2135" i="2"/>
  <c r="C2136" i="2"/>
  <c r="BA2136" i="2"/>
  <c r="C2137" i="2"/>
  <c r="BA2137" i="2"/>
  <c r="C2138" i="2"/>
  <c r="BA2138" i="2"/>
  <c r="C2139" i="2"/>
  <c r="BA2139" i="2"/>
  <c r="C2140" i="2"/>
  <c r="BA2140" i="2"/>
  <c r="C2141" i="2"/>
  <c r="BA2141" i="2"/>
  <c r="C2142" i="2"/>
  <c r="BA2142" i="2"/>
  <c r="C2143" i="2"/>
  <c r="BA2143" i="2"/>
  <c r="C2144" i="2"/>
  <c r="BA2144" i="2"/>
  <c r="C2145" i="2"/>
  <c r="BA2145" i="2"/>
  <c r="C2146" i="2"/>
  <c r="BA2146" i="2"/>
  <c r="C2147" i="2"/>
  <c r="BA2147" i="2"/>
  <c r="C2148" i="2"/>
  <c r="BA2148" i="2"/>
  <c r="C2149" i="2"/>
  <c r="BA2149" i="2"/>
  <c r="C2150" i="2"/>
  <c r="BA2150" i="2"/>
  <c r="C2151" i="2"/>
  <c r="BA2151" i="2"/>
  <c r="C2152" i="2"/>
  <c r="BA2152" i="2"/>
  <c r="C2153" i="2"/>
  <c r="BA2153" i="2"/>
  <c r="C2154" i="2"/>
  <c r="BA2154" i="2"/>
  <c r="C2155" i="2"/>
  <c r="BA2155" i="2"/>
  <c r="C2156" i="2"/>
  <c r="BA2156" i="2"/>
  <c r="C2157" i="2"/>
  <c r="BA2157" i="2"/>
  <c r="C2158" i="2"/>
  <c r="BA2158" i="2"/>
  <c r="C2159" i="2"/>
  <c r="BA2159" i="2"/>
  <c r="C2160" i="2"/>
  <c r="BA2160" i="2"/>
  <c r="C2161" i="2"/>
  <c r="BA2161" i="2"/>
  <c r="C2162" i="2"/>
  <c r="BA2162" i="2"/>
  <c r="C2163" i="2"/>
  <c r="BA2163" i="2"/>
  <c r="C2164" i="2"/>
  <c r="BA2164" i="2"/>
  <c r="C2165" i="2"/>
  <c r="BA2165" i="2"/>
  <c r="C2166" i="2"/>
  <c r="BA2166" i="2"/>
  <c r="C2167" i="2"/>
  <c r="BA2167" i="2"/>
  <c r="C2168" i="2"/>
  <c r="BA2168" i="2"/>
  <c r="C2169" i="2"/>
  <c r="BA2169" i="2"/>
  <c r="C2170" i="2"/>
  <c r="BA2170" i="2"/>
  <c r="C2171" i="2"/>
  <c r="BA2171" i="2"/>
  <c r="C2172" i="2"/>
  <c r="BA2172" i="2"/>
  <c r="C2173" i="2"/>
  <c r="BA2173" i="2"/>
  <c r="C2174" i="2"/>
  <c r="BA2174" i="2"/>
  <c r="C2175" i="2"/>
  <c r="BA2175" i="2"/>
  <c r="C2176" i="2"/>
  <c r="BA2176" i="2"/>
  <c r="C2177" i="2"/>
  <c r="BA2177" i="2"/>
  <c r="C2178" i="2"/>
  <c r="BA2178" i="2"/>
  <c r="C2179" i="2"/>
  <c r="BA2179" i="2"/>
  <c r="C2180" i="2"/>
  <c r="BA2180" i="2"/>
  <c r="C2181" i="2"/>
  <c r="BA2181" i="2"/>
  <c r="C2182" i="2"/>
  <c r="BA2182" i="2"/>
  <c r="C2183" i="2"/>
  <c r="BA2183" i="2"/>
  <c r="C2184" i="2"/>
  <c r="BA2184" i="2"/>
  <c r="C2185" i="2"/>
  <c r="BA2185" i="2"/>
  <c r="C2186" i="2"/>
  <c r="BA2186" i="2"/>
  <c r="C2187" i="2"/>
  <c r="BA2187" i="2"/>
  <c r="C2188" i="2"/>
  <c r="BA2188" i="2"/>
  <c r="C2189" i="2"/>
  <c r="BA2189" i="2"/>
  <c r="C2190" i="2"/>
  <c r="BA2190" i="2"/>
  <c r="C2191" i="2"/>
  <c r="BA2191" i="2"/>
  <c r="C2192" i="2"/>
  <c r="BA2192" i="2"/>
  <c r="C2193" i="2"/>
  <c r="BA2193" i="2"/>
  <c r="C2194" i="2"/>
  <c r="BA2194" i="2"/>
  <c r="C2195" i="2"/>
  <c r="BA2195" i="2"/>
  <c r="C2196" i="2"/>
  <c r="BA2196" i="2"/>
  <c r="C2197" i="2"/>
  <c r="BA2197" i="2"/>
  <c r="C2198" i="2"/>
  <c r="BA2198" i="2"/>
  <c r="C2199" i="2"/>
  <c r="BA2199" i="2"/>
  <c r="C2200" i="2"/>
  <c r="BA2200" i="2"/>
  <c r="C2201" i="2"/>
  <c r="BA2201" i="2"/>
  <c r="C2202" i="2"/>
  <c r="BA2202" i="2"/>
  <c r="C2203" i="2"/>
  <c r="BA2203" i="2"/>
  <c r="C2204" i="2"/>
  <c r="BA2204" i="2"/>
  <c r="C2205" i="2"/>
  <c r="BA2205" i="2"/>
  <c r="C2206" i="2"/>
  <c r="BA2206" i="2"/>
  <c r="C2207" i="2"/>
  <c r="BA2207" i="2"/>
  <c r="C2208" i="2"/>
  <c r="BA2208" i="2"/>
  <c r="C2209" i="2"/>
  <c r="BA2209" i="2"/>
  <c r="C2210" i="2"/>
  <c r="BA2210" i="2"/>
  <c r="C2211" i="2"/>
  <c r="BA2211" i="2"/>
  <c r="C2212" i="2"/>
  <c r="BA2212" i="2"/>
  <c r="C2213" i="2"/>
  <c r="BA2213" i="2"/>
  <c r="C2214" i="2"/>
  <c r="BA2214" i="2"/>
  <c r="C2215" i="2"/>
  <c r="BA2215" i="2"/>
  <c r="C2216" i="2"/>
  <c r="BA2216" i="2"/>
  <c r="C2335" i="2"/>
  <c r="BA2335" i="2"/>
  <c r="C2336" i="2"/>
  <c r="BA2336" i="2"/>
  <c r="C2337" i="2"/>
  <c r="BA2337" i="2"/>
  <c r="C2338" i="2"/>
  <c r="BA2338" i="2"/>
  <c r="C2339" i="2"/>
  <c r="BA2339" i="2"/>
  <c r="C2340" i="2"/>
  <c r="BA2340" i="2"/>
  <c r="C2341" i="2"/>
  <c r="BA2341" i="2"/>
  <c r="C2342" i="2"/>
  <c r="BA2342" i="2"/>
  <c r="C2343" i="2"/>
  <c r="BA2343" i="2"/>
  <c r="C2344" i="2"/>
  <c r="BA2344" i="2"/>
  <c r="C2345" i="2"/>
  <c r="BA2345" i="2"/>
  <c r="C2346" i="2"/>
  <c r="BA2346" i="2"/>
  <c r="C2347" i="2"/>
  <c r="BA2347" i="2"/>
  <c r="C2348" i="2"/>
  <c r="BA2348" i="2"/>
  <c r="C2349" i="2"/>
  <c r="BA2349" i="2"/>
  <c r="C2350" i="2"/>
  <c r="BA2350" i="2"/>
  <c r="C2351" i="2"/>
  <c r="BA2351" i="2"/>
  <c r="C2352" i="2"/>
  <c r="BA2352" i="2"/>
  <c r="C2353" i="2"/>
  <c r="BA2353" i="2"/>
  <c r="C2354" i="2"/>
  <c r="BA2354" i="2"/>
  <c r="C2355" i="2"/>
  <c r="BA2355" i="2"/>
  <c r="C2356" i="2"/>
  <c r="BA2356" i="2"/>
  <c r="C2357" i="2"/>
  <c r="BA2357" i="2"/>
  <c r="C2358" i="2"/>
  <c r="BA2358" i="2"/>
  <c r="C2359" i="2"/>
  <c r="BA2359" i="2"/>
  <c r="C2360" i="2"/>
  <c r="BA2360" i="2"/>
  <c r="C2361" i="2"/>
  <c r="BA2361" i="2"/>
  <c r="C2362" i="2"/>
  <c r="BA2362" i="2"/>
  <c r="C2363" i="2"/>
  <c r="BA2363" i="2"/>
  <c r="C2364" i="2"/>
  <c r="BA2364" i="2"/>
  <c r="C2365" i="2"/>
  <c r="BA2365" i="2"/>
  <c r="C2366" i="2"/>
  <c r="BA2366" i="2"/>
  <c r="C2367" i="2"/>
  <c r="BA2367" i="2"/>
  <c r="C2368" i="2"/>
  <c r="BA2368" i="2"/>
  <c r="C2369" i="2"/>
  <c r="BA2369" i="2"/>
  <c r="C2370" i="2"/>
  <c r="BA2370" i="2"/>
  <c r="C2371" i="2"/>
  <c r="BA2371" i="2"/>
  <c r="C2372" i="2"/>
  <c r="BA2372" i="2"/>
  <c r="C2373" i="2"/>
  <c r="BA2373" i="2"/>
  <c r="C2374" i="2"/>
  <c r="BA2374" i="2"/>
  <c r="C2375" i="2"/>
  <c r="BA2375" i="2"/>
  <c r="C2376" i="2"/>
  <c r="BA2376" i="2"/>
  <c r="C2377" i="2"/>
  <c r="BA2377" i="2"/>
  <c r="C2378" i="2"/>
  <c r="BA2378" i="2"/>
  <c r="C2379" i="2"/>
  <c r="BA2379" i="2"/>
  <c r="C2380" i="2"/>
  <c r="BA2380" i="2"/>
  <c r="C2381" i="2"/>
  <c r="BA2381" i="2"/>
  <c r="C2382" i="2"/>
  <c r="BA2382" i="2"/>
  <c r="C2383" i="2"/>
  <c r="BA2383" i="2"/>
  <c r="C2384" i="2"/>
  <c r="BA2384" i="2"/>
  <c r="C2385" i="2"/>
  <c r="BA2385" i="2"/>
  <c r="C2386" i="2"/>
  <c r="BA2386" i="2"/>
  <c r="C2387" i="2"/>
  <c r="BA2387" i="2"/>
  <c r="C2388" i="2"/>
  <c r="BA2388" i="2"/>
  <c r="C2389" i="2"/>
  <c r="BA2389" i="2"/>
  <c r="C2390" i="2"/>
  <c r="BA2390" i="2"/>
  <c r="C2391" i="2"/>
  <c r="BA2391" i="2"/>
  <c r="C2392" i="2"/>
  <c r="BA2392" i="2"/>
  <c r="C2393" i="2"/>
  <c r="BA2393" i="2"/>
  <c r="C2394" i="2"/>
  <c r="BA2394" i="2"/>
  <c r="C2395" i="2"/>
  <c r="BA2395" i="2"/>
  <c r="C2396" i="2"/>
  <c r="BA2396" i="2"/>
  <c r="C2397" i="2"/>
  <c r="BA2397" i="2"/>
  <c r="C2398" i="2"/>
  <c r="BA2398" i="2"/>
  <c r="C2399" i="2"/>
  <c r="BA2399" i="2"/>
  <c r="C2400" i="2"/>
  <c r="BA2400" i="2"/>
  <c r="C2401" i="2"/>
  <c r="BA2401" i="2"/>
  <c r="C2402" i="2"/>
  <c r="BA2402" i="2"/>
  <c r="C2404" i="2"/>
  <c r="BA2404" i="2"/>
  <c r="C2405" i="2"/>
  <c r="BA2405" i="2"/>
  <c r="C2406" i="2"/>
  <c r="BA2406" i="2"/>
  <c r="C2407" i="2"/>
  <c r="BA2407" i="2"/>
  <c r="C2408" i="2"/>
  <c r="BA2408" i="2"/>
  <c r="C2409" i="2"/>
  <c r="BA2409" i="2"/>
  <c r="C2410" i="2"/>
  <c r="BA2410" i="2"/>
  <c r="C2528" i="2"/>
  <c r="BA2528" i="2"/>
  <c r="C2529" i="2"/>
  <c r="BA2529" i="2"/>
  <c r="C2530" i="2"/>
  <c r="BA2530" i="2"/>
  <c r="C2531" i="2"/>
  <c r="BA2531" i="2"/>
  <c r="C2532" i="2"/>
  <c r="BA2532" i="2"/>
  <c r="C2533" i="2"/>
  <c r="BA2533" i="2"/>
  <c r="C2534" i="2"/>
  <c r="BA2534" i="2"/>
  <c r="C2535" i="2"/>
  <c r="BA2535" i="2"/>
  <c r="C2536" i="2"/>
  <c r="BA2536" i="2"/>
  <c r="C2537" i="2"/>
  <c r="BA2537" i="2"/>
  <c r="C2538" i="2"/>
  <c r="BA2538" i="2"/>
  <c r="C2539" i="2"/>
  <c r="BA2539" i="2"/>
  <c r="C2540" i="2"/>
  <c r="BA2540" i="2"/>
  <c r="C2541" i="2"/>
  <c r="BA2541" i="2"/>
  <c r="C2542" i="2"/>
  <c r="BA2542" i="2"/>
  <c r="C2543" i="2"/>
  <c r="BA2543" i="2"/>
  <c r="C2544" i="2"/>
  <c r="BA2544" i="2"/>
  <c r="C2545" i="2"/>
  <c r="BA2545" i="2"/>
  <c r="C2546" i="2"/>
  <c r="BA2546" i="2"/>
  <c r="C2547" i="2"/>
  <c r="BA2547" i="2"/>
  <c r="C2548" i="2"/>
  <c r="BA2548" i="2"/>
  <c r="C2549" i="2"/>
  <c r="BA2549" i="2"/>
  <c r="C2550" i="2"/>
  <c r="BA2550" i="2"/>
  <c r="C2551" i="2"/>
  <c r="BA2551" i="2"/>
  <c r="C2552" i="2"/>
  <c r="BA2552" i="2"/>
  <c r="C2553" i="2"/>
  <c r="BA2553" i="2"/>
  <c r="C2554" i="2"/>
  <c r="BA2554" i="2"/>
  <c r="C2555" i="2"/>
  <c r="BA2555" i="2"/>
  <c r="C2556" i="2"/>
  <c r="BA2556" i="2"/>
  <c r="C2557" i="2"/>
  <c r="BA2557" i="2"/>
  <c r="C2558" i="2"/>
  <c r="BA2558" i="2"/>
  <c r="C2559" i="2"/>
  <c r="BA2559" i="2"/>
  <c r="C2560" i="2"/>
  <c r="BA2560" i="2"/>
  <c r="C2561" i="2"/>
  <c r="BA2561" i="2"/>
  <c r="C2562" i="2"/>
  <c r="BA2562" i="2"/>
  <c r="C2563" i="2"/>
  <c r="BA2563" i="2"/>
  <c r="C2564" i="2"/>
  <c r="BA2564" i="2"/>
  <c r="C2565" i="2"/>
  <c r="BA2565" i="2"/>
  <c r="C2566" i="2"/>
  <c r="BA2566" i="2"/>
  <c r="C2567" i="2"/>
  <c r="BA2567" i="2"/>
  <c r="C2568" i="2"/>
  <c r="BA2568" i="2"/>
  <c r="C2569" i="2"/>
  <c r="BA2569" i="2"/>
  <c r="C2570" i="2"/>
  <c r="BA2570" i="2"/>
  <c r="C2571" i="2"/>
  <c r="BA2571" i="2"/>
  <c r="C2572" i="2"/>
  <c r="BA2572" i="2"/>
  <c r="C2573" i="2"/>
  <c r="BA2573" i="2"/>
  <c r="C2574" i="2"/>
  <c r="BA2574" i="2"/>
  <c r="C2575" i="2"/>
  <c r="BA2575" i="2"/>
  <c r="C2576" i="2"/>
  <c r="BA2576" i="2"/>
  <c r="C2577" i="2"/>
  <c r="BA2577" i="2"/>
  <c r="C2578" i="2"/>
  <c r="BA2578" i="2"/>
  <c r="C2579" i="2"/>
  <c r="BA2579" i="2"/>
  <c r="C2580" i="2"/>
  <c r="BA2580" i="2"/>
  <c r="C2581" i="2"/>
  <c r="BA2581" i="2"/>
  <c r="C2582" i="2"/>
  <c r="BA2582" i="2"/>
  <c r="C2583" i="2"/>
  <c r="BA2583" i="2"/>
  <c r="C2584" i="2"/>
  <c r="BA2584" i="2"/>
  <c r="C2585" i="2"/>
  <c r="BA2585" i="2"/>
  <c r="C2586" i="2"/>
  <c r="BA2586" i="2"/>
  <c r="C2587" i="2"/>
  <c r="BA2587" i="2"/>
  <c r="C2588" i="2"/>
  <c r="BA2588" i="2"/>
  <c r="C2589" i="2"/>
  <c r="BA2589" i="2"/>
  <c r="C2590" i="2"/>
  <c r="BA2590" i="2"/>
  <c r="C2591" i="2"/>
  <c r="BA2591" i="2"/>
  <c r="C2592" i="2"/>
  <c r="BA2592" i="2"/>
  <c r="C2593" i="2"/>
  <c r="BA2593" i="2"/>
  <c r="C2594" i="2"/>
  <c r="BA2594" i="2"/>
  <c r="C2595" i="2"/>
  <c r="BA2595" i="2"/>
  <c r="C2596" i="2"/>
  <c r="BA2596" i="2"/>
  <c r="C2597" i="2"/>
  <c r="BA2597" i="2"/>
  <c r="C2598" i="2"/>
  <c r="BA2598" i="2"/>
  <c r="C2599" i="2"/>
  <c r="BA2599" i="2"/>
  <c r="C2600" i="2"/>
  <c r="BA2600" i="2"/>
  <c r="C2601" i="2"/>
  <c r="BA2601" i="2"/>
  <c r="C2602" i="2"/>
  <c r="BA2602" i="2"/>
  <c r="C2603" i="2"/>
  <c r="BA2603" i="2"/>
  <c r="C2604" i="2"/>
  <c r="BA2604" i="2"/>
  <c r="C2605" i="2"/>
  <c r="BA2605" i="2"/>
  <c r="C2606" i="2"/>
  <c r="BA2606" i="2"/>
  <c r="C2607" i="2"/>
  <c r="BA2607" i="2"/>
  <c r="C2608" i="2"/>
  <c r="BA2608" i="2"/>
  <c r="C2609" i="2"/>
  <c r="BA2609" i="2"/>
  <c r="C2610" i="2"/>
  <c r="BA2610" i="2"/>
  <c r="C2611" i="2"/>
  <c r="BA2611" i="2"/>
  <c r="C2612" i="2"/>
  <c r="BA2612" i="2"/>
  <c r="C2613" i="2"/>
  <c r="BA2613" i="2"/>
  <c r="C2614" i="2"/>
  <c r="BA2614" i="2"/>
  <c r="C2615" i="2"/>
  <c r="BA2615" i="2"/>
  <c r="C2616" i="2"/>
  <c r="BA2616" i="2"/>
  <c r="C2617" i="2"/>
  <c r="BA2617" i="2"/>
  <c r="C2618" i="2"/>
  <c r="BA2618" i="2"/>
  <c r="C2619" i="2"/>
  <c r="BA2619" i="2"/>
  <c r="C2620" i="2"/>
  <c r="BA2620" i="2"/>
  <c r="C2621" i="2"/>
  <c r="BA2621" i="2"/>
  <c r="C2622" i="2"/>
  <c r="BA2622" i="2"/>
  <c r="C2623" i="2"/>
  <c r="BA2623" i="2"/>
  <c r="BA2625" i="2"/>
  <c r="BA2626" i="2"/>
  <c r="BA2627" i="2"/>
  <c r="BA2628" i="2"/>
  <c r="BA2629" i="2"/>
  <c r="BA2630" i="2"/>
  <c r="BA2631" i="2"/>
  <c r="BA2632" i="2"/>
  <c r="BA2633" i="2"/>
  <c r="BA2634" i="2"/>
  <c r="BA2635" i="2"/>
  <c r="BA2636" i="2"/>
  <c r="BA2637" i="2"/>
  <c r="BA2638" i="2"/>
  <c r="BA2639" i="2"/>
  <c r="BA2640" i="2"/>
  <c r="BA2641" i="2"/>
  <c r="BA2642" i="2"/>
  <c r="BA2643" i="2"/>
  <c r="BA2644" i="2"/>
  <c r="BA2645" i="2"/>
  <c r="BA2646" i="2"/>
  <c r="BA2647" i="2"/>
  <c r="BA2648" i="2"/>
  <c r="BA2649" i="2"/>
  <c r="BA2650" i="2"/>
  <c r="BA2651" i="2"/>
  <c r="BA2652" i="2"/>
  <c r="BA2653" i="2"/>
  <c r="BA2654" i="2"/>
  <c r="BA2655" i="2"/>
  <c r="BA2656" i="2"/>
  <c r="BA2657" i="2"/>
  <c r="BA2658" i="2"/>
  <c r="BA2659" i="2"/>
  <c r="BA2660" i="2"/>
  <c r="BA2661" i="2"/>
  <c r="BA2662" i="2"/>
  <c r="BA2663" i="2"/>
  <c r="BA2664" i="2"/>
  <c r="BA2665" i="2"/>
  <c r="BA2666" i="2"/>
  <c r="C2667" i="2"/>
  <c r="BA2667" i="2"/>
  <c r="BA2668" i="2"/>
  <c r="BA2669" i="2"/>
  <c r="BA2670" i="2"/>
  <c r="BA2671" i="2"/>
  <c r="BA2672" i="2"/>
  <c r="BA2673" i="2"/>
  <c r="BA2674" i="2"/>
  <c r="BA2675" i="2"/>
  <c r="BA2676" i="2"/>
  <c r="BA2677" i="2"/>
  <c r="BA2678" i="2"/>
  <c r="BA2679" i="2"/>
  <c r="BA2680" i="2"/>
  <c r="C2681" i="2"/>
  <c r="BA2681" i="2"/>
  <c r="BA2682" i="2"/>
  <c r="BA2683" i="2"/>
  <c r="BA2684" i="2"/>
  <c r="BA2685" i="2"/>
  <c r="BA2686" i="2"/>
  <c r="BA2687" i="2"/>
  <c r="BA2688" i="2"/>
  <c r="BA2689" i="2"/>
  <c r="BA2690" i="2"/>
  <c r="BA2691" i="2"/>
  <c r="BA2692" i="2"/>
  <c r="BA2693" i="2"/>
  <c r="BA2694" i="2"/>
  <c r="BA2695" i="2"/>
  <c r="BA2696" i="2"/>
  <c r="BA2697" i="2"/>
  <c r="BA2698" i="2"/>
  <c r="C2699" i="2"/>
  <c r="BA2699" i="2"/>
  <c r="BA2700" i="2"/>
  <c r="BA2701" i="2"/>
  <c r="BA2702" i="2"/>
  <c r="BA2703" i="2"/>
  <c r="BA2704" i="2"/>
  <c r="BA2705" i="2"/>
  <c r="BA2706" i="2"/>
  <c r="BA2707" i="2"/>
  <c r="BA2708" i="2"/>
  <c r="BA2709" i="2"/>
  <c r="BA2710" i="2"/>
  <c r="BA2711" i="2"/>
  <c r="BA2712" i="2"/>
  <c r="BA2713" i="2"/>
  <c r="BA2714" i="2"/>
  <c r="BA2715" i="2"/>
  <c r="BA2716" i="2"/>
  <c r="BA2717" i="2"/>
  <c r="BA2718" i="2"/>
  <c r="BA2719" i="2"/>
  <c r="BA2720" i="2"/>
  <c r="BA2721" i="2"/>
  <c r="BA2722" i="2"/>
  <c r="BA2723" i="2"/>
  <c r="BA2724" i="2"/>
  <c r="BA2725" i="2"/>
  <c r="BA2726" i="2"/>
  <c r="BA2727" i="2"/>
  <c r="BA2728" i="2"/>
  <c r="BA2729" i="2"/>
  <c r="BA2730" i="2"/>
  <c r="BA2731" i="2"/>
  <c r="BA2732" i="2"/>
  <c r="BA2733" i="2"/>
  <c r="BA2734" i="2"/>
  <c r="BA2735" i="2"/>
  <c r="BA2736" i="2"/>
  <c r="BA2737" i="2"/>
  <c r="BA2738" i="2"/>
  <c r="BA2739" i="2"/>
  <c r="BA2740" i="2"/>
  <c r="BA2741" i="2"/>
  <c r="BA2742" i="2"/>
  <c r="BA2743" i="2"/>
  <c r="BA2744" i="2"/>
  <c r="BA2745" i="2"/>
  <c r="BA2746" i="2"/>
  <c r="BA2747" i="2"/>
  <c r="BA2748" i="2"/>
  <c r="BA2749" i="2"/>
  <c r="BA2750" i="2"/>
  <c r="BA2751" i="2"/>
  <c r="BA2752" i="2"/>
  <c r="BA2753" i="2"/>
  <c r="BA2754" i="2"/>
  <c r="BA2755" i="2"/>
  <c r="BA2756" i="2"/>
  <c r="BA2757" i="2"/>
  <c r="BA2758" i="2"/>
  <c r="BA2759" i="2"/>
  <c r="BA2760" i="2"/>
  <c r="BA2761" i="2"/>
  <c r="BA2762" i="2"/>
  <c r="BA2763" i="2"/>
  <c r="BA2764" i="2"/>
  <c r="BA2765" i="2"/>
  <c r="BA2766" i="2"/>
  <c r="BA2767" i="2"/>
  <c r="BA2768" i="2"/>
  <c r="BA2769" i="2"/>
  <c r="BA2770" i="2"/>
  <c r="BA2771" i="2"/>
  <c r="BA2772" i="2"/>
  <c r="BA2773" i="2"/>
  <c r="BA2774" i="2"/>
  <c r="BA2775" i="2"/>
  <c r="BA2776" i="2"/>
  <c r="BA2777" i="2"/>
  <c r="BA2778" i="2"/>
  <c r="BA2779" i="2"/>
  <c r="BA2780" i="2"/>
  <c r="BA2781" i="2"/>
  <c r="BA2782" i="2"/>
  <c r="BA2783" i="2"/>
  <c r="BA2784" i="2"/>
  <c r="BA2785" i="2"/>
  <c r="BA2786" i="2"/>
  <c r="BA2787" i="2"/>
  <c r="BA2788" i="2"/>
  <c r="BA2789" i="2"/>
  <c r="BA2790" i="2"/>
  <c r="BA2791" i="2"/>
  <c r="BA2792" i="2"/>
  <c r="BA2793" i="2"/>
  <c r="BA2794" i="2"/>
  <c r="BA2795" i="2"/>
  <c r="BA2796" i="2"/>
  <c r="BA2797" i="2"/>
  <c r="BA2798" i="2"/>
  <c r="BA2799" i="2"/>
  <c r="BA2800" i="2"/>
  <c r="BA2801" i="2"/>
  <c r="BA2802" i="2"/>
  <c r="BA2803" i="2"/>
  <c r="BA2804" i="2"/>
  <c r="BA2805" i="2"/>
  <c r="BA2806" i="2"/>
  <c r="BA2807" i="2"/>
  <c r="BA2808" i="2"/>
  <c r="BA2809" i="2"/>
  <c r="BA2810" i="2"/>
  <c r="BA2811" i="2"/>
  <c r="BA2812" i="2"/>
  <c r="BA2813" i="2"/>
  <c r="BA2814" i="2"/>
  <c r="BA2815" i="2"/>
  <c r="BA2816" i="2"/>
  <c r="BA2817" i="2"/>
  <c r="BA2818" i="2"/>
  <c r="BA2819" i="2"/>
  <c r="BA2820" i="2"/>
  <c r="BA2821" i="2"/>
  <c r="BA2822" i="2"/>
  <c r="BA2823" i="2"/>
  <c r="BA2824" i="2"/>
  <c r="BA2825" i="2"/>
  <c r="BA2826" i="2"/>
  <c r="BA2827" i="2"/>
  <c r="BA2828" i="2"/>
  <c r="BA2829" i="2"/>
  <c r="BA2830" i="2"/>
  <c r="BA2831" i="2"/>
  <c r="BA2832" i="2"/>
  <c r="BA2833" i="2"/>
  <c r="BA2834" i="2"/>
  <c r="BA2835" i="2"/>
  <c r="BA2836" i="2"/>
  <c r="BA2837" i="2"/>
  <c r="BA2838" i="2"/>
  <c r="BA2839" i="2"/>
  <c r="BA2840" i="2"/>
  <c r="BA2841" i="2"/>
  <c r="BA2842" i="2"/>
  <c r="BA2843" i="2"/>
  <c r="BA2844" i="2"/>
  <c r="BA2845" i="2"/>
  <c r="BA2846" i="2"/>
  <c r="BA2847" i="2"/>
  <c r="BA2848" i="2"/>
  <c r="BA2849" i="2"/>
  <c r="BA2850" i="2"/>
  <c r="BA2851" i="2"/>
  <c r="BA2852" i="2"/>
  <c r="BA2853" i="2"/>
  <c r="BA2854" i="2"/>
  <c r="BA2855" i="2"/>
  <c r="BA2856" i="2"/>
  <c r="BA2857" i="2"/>
  <c r="BA2858" i="2"/>
  <c r="BA2859" i="2"/>
  <c r="BA2860" i="2"/>
  <c r="BA2861" i="2"/>
  <c r="BA2862" i="2"/>
  <c r="BA2863" i="2"/>
  <c r="BA2864" i="2"/>
  <c r="BA2865" i="2"/>
  <c r="BA2866" i="2"/>
  <c r="BA2867" i="2"/>
  <c r="BA2868" i="2"/>
  <c r="BA2869" i="2"/>
  <c r="BA2870" i="2"/>
  <c r="BA2871" i="2"/>
  <c r="BA2872" i="2"/>
  <c r="BA2873" i="2"/>
  <c r="BA2874" i="2"/>
  <c r="BA2875" i="2"/>
  <c r="BA2876" i="2"/>
  <c r="BA2877" i="2"/>
  <c r="BA2878" i="2"/>
  <c r="C2879" i="2"/>
  <c r="BA2879" i="2"/>
  <c r="C2881" i="2"/>
  <c r="BA2881" i="2"/>
  <c r="C2882" i="2"/>
  <c r="BA2882" i="2"/>
  <c r="C2883" i="2"/>
  <c r="BA2883" i="2"/>
  <c r="C2884" i="2"/>
  <c r="BA2884" i="2"/>
  <c r="C2885" i="2"/>
  <c r="BA2885" i="2"/>
  <c r="C2886" i="2"/>
  <c r="BA2886" i="2"/>
  <c r="C2887" i="2"/>
  <c r="BA2887" i="2"/>
  <c r="C2888" i="2"/>
  <c r="BA2888" i="2"/>
  <c r="C2889" i="2"/>
  <c r="BA2889" i="2"/>
  <c r="C2890" i="2"/>
  <c r="BA2890" i="2"/>
  <c r="C2891" i="2"/>
  <c r="BA2891" i="2"/>
  <c r="C2892" i="2"/>
  <c r="BA2892" i="2"/>
  <c r="C2893" i="2"/>
  <c r="BA2893" i="2"/>
  <c r="C2894" i="2"/>
  <c r="BA2894" i="2"/>
  <c r="C2895" i="2"/>
  <c r="BA2895" i="2"/>
  <c r="C2896" i="2"/>
  <c r="BA2896" i="2"/>
  <c r="C2897" i="2"/>
  <c r="BA2897" i="2"/>
  <c r="C2898" i="2"/>
  <c r="BA2898" i="2"/>
  <c r="C2899" i="2"/>
  <c r="BA2899" i="2"/>
  <c r="C2900" i="2"/>
  <c r="BA2900" i="2"/>
  <c r="C2901" i="2"/>
  <c r="BA2901" i="2"/>
  <c r="C2902" i="2"/>
  <c r="BA2902" i="2"/>
  <c r="C2903" i="2"/>
  <c r="BA2903" i="2"/>
  <c r="C2904" i="2"/>
  <c r="BA2904" i="2"/>
  <c r="C2905" i="2"/>
  <c r="BA2905" i="2"/>
  <c r="C2906" i="2"/>
  <c r="BA2906" i="2"/>
  <c r="C2907" i="2"/>
  <c r="BA2907" i="2"/>
  <c r="C2908" i="2"/>
  <c r="BA2908" i="2"/>
  <c r="C2909" i="2"/>
  <c r="BA2909" i="2"/>
  <c r="C2910" i="2"/>
  <c r="BA2910" i="2"/>
  <c r="C2912" i="2"/>
  <c r="BA2912" i="2"/>
  <c r="C2913" i="2"/>
  <c r="BA2913" i="2"/>
  <c r="C2914" i="2"/>
  <c r="BA2914" i="2"/>
  <c r="C2915" i="2"/>
  <c r="BA2915" i="2"/>
  <c r="C2916" i="2"/>
  <c r="BA2916" i="2"/>
  <c r="C2917" i="2"/>
  <c r="BA2917" i="2"/>
  <c r="C2918" i="2"/>
  <c r="BA2918" i="2"/>
  <c r="C2919" i="2"/>
  <c r="BA2919" i="2"/>
  <c r="C2920" i="2"/>
  <c r="BA2920" i="2"/>
  <c r="C2921" i="2"/>
  <c r="BA2921" i="2"/>
  <c r="C2922" i="2"/>
  <c r="BA2922" i="2"/>
  <c r="C2923" i="2"/>
  <c r="BA2923" i="2"/>
  <c r="C2924" i="2"/>
  <c r="BA2924" i="2"/>
  <c r="C2925" i="2"/>
  <c r="BA2925" i="2"/>
  <c r="C2926" i="2"/>
  <c r="BA2926" i="2"/>
  <c r="C3063" i="2"/>
  <c r="BA3063" i="2"/>
  <c r="C3064" i="2"/>
  <c r="BA3064" i="2"/>
  <c r="C3065" i="2"/>
  <c r="BA3065" i="2"/>
  <c r="C3066" i="2"/>
  <c r="BA3066" i="2"/>
  <c r="C3067" i="2"/>
  <c r="BA3067" i="2"/>
  <c r="C3068" i="2"/>
  <c r="BA3068" i="2"/>
  <c r="C3069" i="2"/>
  <c r="BA3069" i="2"/>
  <c r="C3070" i="2"/>
  <c r="BA3070" i="2"/>
  <c r="C3071" i="2"/>
  <c r="BA3071" i="2"/>
  <c r="C3072" i="2"/>
  <c r="BA3072" i="2"/>
  <c r="C3073" i="2"/>
  <c r="BA3073" i="2"/>
  <c r="C3074" i="2"/>
  <c r="BA3074" i="2"/>
  <c r="C3075" i="2"/>
  <c r="BA3075" i="2"/>
  <c r="C3076" i="2"/>
  <c r="BA3076" i="2"/>
  <c r="C3077" i="2"/>
  <c r="BA3077" i="2"/>
  <c r="C3078" i="2"/>
  <c r="BA3078" i="2"/>
  <c r="C3079" i="2"/>
  <c r="BA3079" i="2"/>
  <c r="C3080" i="2"/>
  <c r="BA3080" i="2"/>
  <c r="C3081" i="2"/>
  <c r="BA3081" i="2"/>
  <c r="C3082" i="2"/>
  <c r="BA3082" i="2"/>
  <c r="C3083" i="2"/>
  <c r="BA3083" i="2"/>
  <c r="C3084" i="2"/>
  <c r="BA3084" i="2"/>
  <c r="C3085" i="2"/>
  <c r="BA3085" i="2"/>
  <c r="C3086" i="2"/>
  <c r="BA3086" i="2"/>
  <c r="C3087" i="2"/>
  <c r="BA3087" i="2"/>
  <c r="C3088" i="2"/>
  <c r="BA3088" i="2"/>
  <c r="C3089" i="2"/>
  <c r="BA3089" i="2"/>
  <c r="C3090" i="2"/>
  <c r="BA3090" i="2"/>
  <c r="C3091" i="2"/>
  <c r="BA3091" i="2"/>
  <c r="C3092" i="2"/>
  <c r="BA3092" i="2"/>
  <c r="C3093" i="2"/>
  <c r="BA3093" i="2"/>
  <c r="C3094" i="2"/>
  <c r="BA3094" i="2"/>
  <c r="C3095" i="2"/>
  <c r="BA3095" i="2"/>
  <c r="C3096" i="2"/>
  <c r="BA3096" i="2"/>
  <c r="C3097" i="2"/>
  <c r="BA3097" i="2"/>
  <c r="C3098" i="2"/>
  <c r="BA3098" i="2"/>
  <c r="C3099" i="2"/>
  <c r="BA3099" i="2"/>
  <c r="C3100" i="2"/>
  <c r="BA3100" i="2"/>
  <c r="C3101" i="2"/>
  <c r="BA3101" i="2"/>
  <c r="C3102" i="2"/>
  <c r="BA3102" i="2"/>
  <c r="C3104" i="2"/>
  <c r="BA3104" i="2"/>
  <c r="C3105" i="2"/>
  <c r="BA3105" i="2"/>
  <c r="C3106" i="2"/>
  <c r="BA3106" i="2"/>
  <c r="C3107" i="2"/>
  <c r="BA3107" i="2"/>
  <c r="C3108" i="2"/>
  <c r="BA3108" i="2"/>
  <c r="C3109" i="2"/>
  <c r="BA3109" i="2"/>
  <c r="C3110" i="2"/>
  <c r="BA3110" i="2"/>
  <c r="C3111" i="2"/>
  <c r="BA3111" i="2"/>
  <c r="C3112" i="2"/>
  <c r="BA3112" i="2"/>
  <c r="C3113" i="2"/>
  <c r="BA3113" i="2"/>
  <c r="C3114" i="2"/>
  <c r="BA3114" i="2"/>
  <c r="C3115" i="2"/>
  <c r="BA3115" i="2"/>
  <c r="C3116" i="2"/>
  <c r="BA3116" i="2"/>
  <c r="C3117" i="2"/>
  <c r="BA3117" i="2"/>
  <c r="C3118" i="2"/>
  <c r="BA3118" i="2"/>
  <c r="C3119" i="2"/>
  <c r="BA3119" i="2"/>
  <c r="C3120" i="2"/>
  <c r="BA3120" i="2"/>
  <c r="C3121" i="2"/>
  <c r="BA3121" i="2"/>
  <c r="C3122" i="2"/>
  <c r="BA3122" i="2"/>
  <c r="C3123" i="2"/>
  <c r="BA3123" i="2"/>
  <c r="C3124" i="2"/>
  <c r="BA3124" i="2"/>
  <c r="C3125" i="2"/>
  <c r="BA3125" i="2"/>
  <c r="C3126" i="2"/>
  <c r="BA3126" i="2"/>
  <c r="C3127" i="2"/>
  <c r="BA3127" i="2"/>
  <c r="C3128" i="2"/>
  <c r="BA3128" i="2"/>
  <c r="C3129" i="2"/>
  <c r="BA3129" i="2"/>
  <c r="C3130" i="2"/>
  <c r="BA3130" i="2"/>
  <c r="C3131" i="2"/>
  <c r="BA3131" i="2"/>
  <c r="C3132" i="2"/>
  <c r="BA3132" i="2"/>
  <c r="C3133" i="2"/>
  <c r="BA3133" i="2"/>
  <c r="C3134" i="2"/>
  <c r="BA3134" i="2"/>
  <c r="C3135" i="2"/>
  <c r="BA3135" i="2"/>
  <c r="C3136" i="2"/>
  <c r="BA3136" i="2"/>
  <c r="C3137" i="2"/>
  <c r="BA3137" i="2"/>
  <c r="C3138" i="2"/>
  <c r="BA3138" i="2"/>
  <c r="C3139" i="2"/>
  <c r="BA3139" i="2"/>
  <c r="C3140" i="2"/>
  <c r="BA3140" i="2"/>
  <c r="C3141" i="2"/>
  <c r="BA3141" i="2"/>
  <c r="C3142" i="2"/>
  <c r="BA3142" i="2"/>
  <c r="C3143" i="2"/>
  <c r="BA3143" i="2"/>
  <c r="C3144" i="2"/>
  <c r="BA3144" i="2"/>
  <c r="C3145" i="2"/>
  <c r="BA3145" i="2"/>
  <c r="C3146" i="2"/>
  <c r="BA3146" i="2"/>
  <c r="C3147" i="2"/>
  <c r="BA3147" i="2"/>
  <c r="C3148" i="2"/>
  <c r="BA3148" i="2"/>
  <c r="C3149" i="2"/>
  <c r="BA3149" i="2"/>
  <c r="C3150" i="2"/>
  <c r="BA3150" i="2"/>
  <c r="C3151" i="2"/>
  <c r="BA3151" i="2"/>
  <c r="C3152" i="2"/>
  <c r="BA3152" i="2"/>
  <c r="C3153" i="2"/>
  <c r="BA3153" i="2"/>
  <c r="C3154" i="2"/>
  <c r="BA3154" i="2"/>
  <c r="C3155" i="2"/>
  <c r="BA3155" i="2"/>
  <c r="C3156" i="2"/>
  <c r="BA3156" i="2"/>
  <c r="C3157" i="2"/>
  <c r="BA3157" i="2"/>
  <c r="C3158" i="2"/>
  <c r="BA3158" i="2"/>
  <c r="C3159" i="2"/>
  <c r="BA3159" i="2"/>
  <c r="C2928" i="2"/>
  <c r="BA2928" i="2"/>
  <c r="C2929" i="2"/>
  <c r="BA2929" i="2"/>
  <c r="C2930" i="2"/>
  <c r="BA2930" i="2"/>
  <c r="C2931" i="2"/>
  <c r="BA2931" i="2"/>
  <c r="C2932" i="2"/>
  <c r="BA2932" i="2"/>
  <c r="C2933" i="2"/>
  <c r="BA2933" i="2"/>
  <c r="C2934" i="2"/>
  <c r="BA2934" i="2"/>
  <c r="C2935" i="2"/>
  <c r="BA2935" i="2"/>
  <c r="C2936" i="2"/>
  <c r="BA2936" i="2"/>
  <c r="C2937" i="2"/>
  <c r="BA2937" i="2"/>
  <c r="C2938" i="2"/>
  <c r="BA2938" i="2"/>
  <c r="C2939" i="2"/>
  <c r="BA2939" i="2"/>
  <c r="C2940" i="2"/>
  <c r="BA2940" i="2"/>
  <c r="C2941" i="2"/>
  <c r="BA2941" i="2"/>
  <c r="C2942" i="2"/>
  <c r="BA2942" i="2"/>
  <c r="C2943" i="2"/>
  <c r="BA2943" i="2"/>
  <c r="C2944" i="2"/>
  <c r="BA2944" i="2"/>
  <c r="C2945" i="2"/>
  <c r="BA2945" i="2"/>
  <c r="C2946" i="2"/>
  <c r="BA2946" i="2"/>
  <c r="C2947" i="2"/>
  <c r="BA2947" i="2"/>
  <c r="C2948" i="2"/>
  <c r="BA2948" i="2"/>
  <c r="C2949" i="2"/>
  <c r="BA2949" i="2"/>
  <c r="C2950" i="2"/>
  <c r="BA2950" i="2"/>
  <c r="C2951" i="2"/>
  <c r="BA2951" i="2"/>
  <c r="C2952" i="2"/>
  <c r="BA2952" i="2"/>
  <c r="C2953" i="2"/>
  <c r="BA2953" i="2"/>
  <c r="C2954" i="2"/>
  <c r="BA2954" i="2"/>
  <c r="C2955" i="2"/>
  <c r="BA2955" i="2"/>
  <c r="C2956" i="2"/>
  <c r="BA2956" i="2"/>
  <c r="C2957" i="2"/>
  <c r="BA2957" i="2"/>
  <c r="C2958" i="2"/>
  <c r="BA2958" i="2"/>
  <c r="C2959" i="2"/>
  <c r="BA2959" i="2"/>
  <c r="C2960" i="2"/>
  <c r="BA2960" i="2"/>
  <c r="C2961" i="2"/>
  <c r="BA2961" i="2"/>
  <c r="C2962" i="2"/>
  <c r="BA2962" i="2"/>
  <c r="C2963" i="2"/>
  <c r="BA2963" i="2"/>
  <c r="C2964" i="2"/>
  <c r="BA2964" i="2"/>
  <c r="C2965" i="2"/>
  <c r="BA2965" i="2"/>
  <c r="C2966" i="2"/>
  <c r="BA2966" i="2"/>
  <c r="C2967" i="2"/>
  <c r="BA2967" i="2"/>
  <c r="C2968" i="2"/>
  <c r="BA2968" i="2"/>
  <c r="C2969" i="2"/>
  <c r="BA2969" i="2"/>
  <c r="C2970" i="2"/>
  <c r="BA2970" i="2"/>
  <c r="C2971" i="2"/>
  <c r="BA2971" i="2"/>
  <c r="C2972" i="2"/>
  <c r="BA2972" i="2"/>
  <c r="C2973" i="2"/>
  <c r="BA2973" i="2"/>
  <c r="C2974" i="2"/>
  <c r="BA2974" i="2"/>
  <c r="C2975" i="2"/>
  <c r="BA2975" i="2"/>
  <c r="C2976" i="2"/>
  <c r="BA2976" i="2"/>
  <c r="C2977" i="2"/>
  <c r="BA2977" i="2"/>
  <c r="C2978" i="2"/>
  <c r="BA2978" i="2"/>
  <c r="C2979" i="2"/>
  <c r="BA2979" i="2"/>
  <c r="C2980" i="2"/>
  <c r="BA2980" i="2"/>
  <c r="C2981" i="2"/>
  <c r="BA2981" i="2"/>
  <c r="C2982" i="2"/>
  <c r="BA2982" i="2"/>
  <c r="C2983" i="2"/>
  <c r="BA2983" i="2"/>
  <c r="C2984" i="2"/>
  <c r="BA2984" i="2"/>
  <c r="C2985" i="2"/>
  <c r="BA2985" i="2"/>
  <c r="C2986" i="2"/>
  <c r="BA2986" i="2"/>
  <c r="C2987" i="2"/>
  <c r="BA2987" i="2"/>
  <c r="C2988" i="2"/>
  <c r="BA2988" i="2"/>
  <c r="C2989" i="2"/>
  <c r="BA2989" i="2"/>
  <c r="C2990" i="2"/>
  <c r="BA2990" i="2"/>
  <c r="C2991" i="2"/>
  <c r="BA2991" i="2"/>
  <c r="C2992" i="2"/>
  <c r="BA2992" i="2"/>
  <c r="C2993" i="2"/>
  <c r="BA2993" i="2"/>
  <c r="C2994" i="2"/>
  <c r="BA2994" i="2"/>
  <c r="C2995" i="2"/>
  <c r="BA2995" i="2"/>
  <c r="C2996" i="2"/>
  <c r="BA2996" i="2"/>
  <c r="C2997" i="2"/>
  <c r="BA2997" i="2"/>
  <c r="C2998" i="2"/>
  <c r="BA2998" i="2"/>
  <c r="C2999" i="2"/>
  <c r="BA2999" i="2"/>
  <c r="C3000" i="2"/>
  <c r="BA3000" i="2"/>
  <c r="C3001" i="2"/>
  <c r="BA3001" i="2"/>
  <c r="C3002" i="2"/>
  <c r="BA3002" i="2"/>
  <c r="C3003" i="2"/>
  <c r="BA3003" i="2"/>
  <c r="C3004" i="2"/>
  <c r="BA3004" i="2"/>
  <c r="C3005" i="2"/>
  <c r="BA3005" i="2"/>
  <c r="C3006" i="2"/>
  <c r="BA3006" i="2"/>
  <c r="C3007" i="2"/>
  <c r="BA3007" i="2"/>
  <c r="C3008" i="2"/>
  <c r="BA3008" i="2"/>
  <c r="C3009" i="2"/>
  <c r="BA3009" i="2"/>
  <c r="C3010" i="2"/>
  <c r="BA3010" i="2"/>
  <c r="C3011" i="2"/>
  <c r="BA3011" i="2"/>
  <c r="C3012" i="2"/>
  <c r="BA3012" i="2"/>
  <c r="C3013" i="2"/>
  <c r="BA3013" i="2"/>
  <c r="C3014" i="2"/>
  <c r="BA3014" i="2"/>
  <c r="C3015" i="2"/>
  <c r="BA3015" i="2"/>
  <c r="C3016" i="2"/>
  <c r="BA3016" i="2"/>
  <c r="C3017" i="2"/>
  <c r="BA3017" i="2"/>
  <c r="C3018" i="2"/>
  <c r="BA3018" i="2"/>
  <c r="C3019" i="2"/>
  <c r="BA3019" i="2"/>
  <c r="C3020" i="2"/>
  <c r="BA3020" i="2"/>
  <c r="C3021" i="2"/>
  <c r="BA3021" i="2"/>
  <c r="C3022" i="2"/>
  <c r="BA3022" i="2"/>
  <c r="C3023" i="2"/>
  <c r="BA3023" i="2"/>
  <c r="C3024" i="2"/>
  <c r="BA3024" i="2"/>
  <c r="C3025" i="2"/>
  <c r="BA3025" i="2"/>
  <c r="C3026" i="2"/>
  <c r="BA3026" i="2"/>
  <c r="C3027" i="2"/>
  <c r="BA3027" i="2"/>
  <c r="C3028" i="2"/>
  <c r="BA3028" i="2"/>
  <c r="C3029" i="2"/>
  <c r="BA3029" i="2"/>
  <c r="C3030" i="2"/>
  <c r="BA3030" i="2"/>
  <c r="C3031" i="2"/>
  <c r="BA3031" i="2"/>
  <c r="C3032" i="2"/>
  <c r="BA3032" i="2"/>
  <c r="C3033" i="2"/>
  <c r="BA3033" i="2"/>
  <c r="C3034" i="2"/>
  <c r="BA3034" i="2"/>
  <c r="C3035" i="2"/>
  <c r="BA3035" i="2"/>
  <c r="C3036" i="2"/>
  <c r="BA3036" i="2"/>
  <c r="C3037" i="2"/>
  <c r="BA3037" i="2"/>
  <c r="C3038" i="2"/>
  <c r="BA3038" i="2"/>
  <c r="C3039" i="2"/>
  <c r="BA3039" i="2"/>
  <c r="C3040" i="2"/>
  <c r="BA3040" i="2"/>
  <c r="C3041" i="2"/>
  <c r="BA3041" i="2"/>
  <c r="C3042" i="2"/>
  <c r="BA3042" i="2"/>
  <c r="C3043" i="2"/>
  <c r="BA3043" i="2"/>
  <c r="C3044" i="2"/>
  <c r="BA3044" i="2"/>
  <c r="C3045" i="2"/>
  <c r="BA3045" i="2"/>
  <c r="C3046" i="2"/>
  <c r="BA3046" i="2"/>
  <c r="C3047" i="2"/>
  <c r="BA3047" i="2"/>
  <c r="C3048" i="2"/>
  <c r="BA3048" i="2"/>
  <c r="C3049" i="2"/>
  <c r="BA3049" i="2"/>
  <c r="C3050" i="2"/>
  <c r="BA3050" i="2"/>
  <c r="C3051" i="2"/>
  <c r="BA3051" i="2"/>
  <c r="C3052" i="2"/>
  <c r="BA3052" i="2"/>
  <c r="C3053" i="2"/>
  <c r="BA3053" i="2"/>
  <c r="C3054" i="2"/>
  <c r="BA3054" i="2"/>
  <c r="C3055" i="2"/>
  <c r="BA3055" i="2"/>
  <c r="C3056" i="2"/>
  <c r="BA3056" i="2"/>
  <c r="C3057" i="2"/>
  <c r="BA3057" i="2"/>
  <c r="C3058" i="2"/>
  <c r="BA3058" i="2"/>
  <c r="C3059" i="2"/>
  <c r="BA3059" i="2"/>
  <c r="C3060" i="2"/>
  <c r="BA3060" i="2"/>
  <c r="C3061" i="2"/>
  <c r="BA3061" i="2"/>
  <c r="C3" i="2"/>
  <c r="BA3" i="2"/>
  <c r="C4" i="2"/>
  <c r="BA4" i="2"/>
  <c r="C5" i="2"/>
  <c r="BA5" i="2"/>
  <c r="C6" i="2"/>
  <c r="BA6" i="2"/>
  <c r="C7" i="2"/>
  <c r="BA7" i="2"/>
  <c r="C8" i="2"/>
  <c r="BA8" i="2"/>
  <c r="C9" i="2"/>
  <c r="BA9" i="2"/>
  <c r="C10" i="2"/>
  <c r="BA10" i="2"/>
  <c r="C11" i="2"/>
  <c r="BA11" i="2"/>
  <c r="C12" i="2"/>
  <c r="BA12" i="2"/>
  <c r="C13" i="2"/>
  <c r="BA13" i="2"/>
  <c r="C14" i="2"/>
  <c r="BA14" i="2"/>
  <c r="C15" i="2"/>
  <c r="BA15" i="2"/>
  <c r="C16" i="2"/>
  <c r="BA16" i="2"/>
  <c r="C17" i="2"/>
  <c r="BA17" i="2"/>
  <c r="C18" i="2"/>
  <c r="BA18" i="2"/>
  <c r="C19" i="2"/>
  <c r="BA19" i="2"/>
  <c r="C20" i="2"/>
  <c r="BA20" i="2"/>
  <c r="C21" i="2"/>
  <c r="BA21" i="2"/>
  <c r="C22" i="2"/>
  <c r="BA22" i="2"/>
  <c r="C23" i="2"/>
  <c r="BA23" i="2"/>
  <c r="C24" i="2"/>
  <c r="BA24" i="2"/>
  <c r="C25" i="2"/>
  <c r="BA25" i="2"/>
  <c r="C26" i="2"/>
  <c r="BA26" i="2"/>
  <c r="C27" i="2"/>
  <c r="BA27" i="2"/>
  <c r="C28" i="2"/>
  <c r="BA28" i="2"/>
  <c r="C29" i="2"/>
  <c r="BA29" i="2"/>
  <c r="C30" i="2"/>
  <c r="BA30" i="2"/>
  <c r="C31" i="2"/>
  <c r="BA31" i="2"/>
  <c r="C32" i="2"/>
  <c r="BA32" i="2"/>
  <c r="C33" i="2"/>
  <c r="BA33" i="2"/>
  <c r="C34" i="2"/>
  <c r="BA34" i="2"/>
  <c r="C35" i="2"/>
  <c r="BA35" i="2"/>
  <c r="C36" i="2"/>
  <c r="BA36" i="2"/>
  <c r="C37" i="2"/>
  <c r="BA37" i="2"/>
  <c r="C38" i="2"/>
  <c r="BA38" i="2"/>
  <c r="C39" i="2"/>
  <c r="BA39" i="2"/>
  <c r="C40" i="2"/>
  <c r="BA40" i="2"/>
  <c r="C41" i="2"/>
  <c r="BA41" i="2"/>
  <c r="C42" i="2"/>
  <c r="BA42" i="2"/>
  <c r="C43" i="2"/>
  <c r="BA43" i="2"/>
  <c r="C44" i="2"/>
  <c r="BA44" i="2"/>
  <c r="C45" i="2"/>
  <c r="BA45" i="2"/>
  <c r="C46" i="2"/>
  <c r="BA46" i="2"/>
  <c r="C47" i="2"/>
  <c r="BA47" i="2"/>
  <c r="C48" i="2"/>
  <c r="BA48" i="2"/>
  <c r="C49" i="2"/>
  <c r="BA49" i="2"/>
  <c r="C50" i="2"/>
  <c r="BA50" i="2"/>
  <c r="C51" i="2"/>
  <c r="BA51" i="2"/>
  <c r="C52" i="2"/>
  <c r="BA52" i="2"/>
  <c r="C53" i="2"/>
  <c r="BA53" i="2"/>
  <c r="C54" i="2"/>
  <c r="BA54" i="2"/>
  <c r="C55" i="2"/>
  <c r="BA55" i="2"/>
  <c r="C56" i="2"/>
  <c r="BA56" i="2"/>
  <c r="C57" i="2"/>
  <c r="BA57" i="2"/>
  <c r="C58" i="2"/>
  <c r="BA58" i="2"/>
  <c r="C59" i="2"/>
  <c r="BA59" i="2"/>
  <c r="C60" i="2"/>
  <c r="BA60" i="2"/>
  <c r="C61" i="2"/>
  <c r="BA61" i="2"/>
  <c r="C62" i="2"/>
  <c r="BA62" i="2"/>
  <c r="C63" i="2"/>
  <c r="BA63" i="2"/>
  <c r="C64" i="2"/>
  <c r="BA64" i="2"/>
  <c r="C65" i="2"/>
  <c r="BA65" i="2"/>
  <c r="C66" i="2"/>
  <c r="BA66" i="2"/>
  <c r="C67" i="2"/>
  <c r="BA67" i="2"/>
  <c r="C68" i="2"/>
  <c r="BA68" i="2"/>
  <c r="C69" i="2"/>
  <c r="BA69" i="2"/>
  <c r="C70" i="2"/>
  <c r="BA70" i="2"/>
  <c r="C72" i="2"/>
  <c r="BA72" i="2"/>
  <c r="C73" i="2"/>
  <c r="BA73" i="2"/>
  <c r="C74" i="2"/>
  <c r="BA74" i="2"/>
  <c r="C75" i="2"/>
  <c r="BA75" i="2"/>
  <c r="C76" i="2"/>
  <c r="BA76" i="2"/>
  <c r="C77" i="2"/>
  <c r="BA77" i="2"/>
  <c r="C78" i="2"/>
  <c r="BA78" i="2"/>
  <c r="C79" i="2"/>
  <c r="BA79" i="2"/>
  <c r="C80" i="2"/>
  <c r="BA80" i="2"/>
  <c r="C81" i="2"/>
  <c r="BA81" i="2"/>
  <c r="C82" i="2"/>
  <c r="BA82" i="2"/>
  <c r="C83" i="2"/>
  <c r="BA83" i="2"/>
  <c r="C84" i="2"/>
  <c r="BA84" i="2"/>
  <c r="C85" i="2"/>
  <c r="BA85" i="2"/>
  <c r="C86" i="2"/>
  <c r="BA86" i="2"/>
  <c r="C87" i="2"/>
  <c r="BA87" i="2"/>
  <c r="C88" i="2"/>
  <c r="BA88" i="2"/>
  <c r="C89" i="2"/>
  <c r="BA89" i="2"/>
  <c r="C90" i="2"/>
  <c r="BA90" i="2"/>
  <c r="C91" i="2"/>
  <c r="BA91" i="2"/>
  <c r="C92" i="2"/>
  <c r="BA92" i="2"/>
  <c r="C93" i="2"/>
  <c r="BA93" i="2"/>
  <c r="C94" i="2"/>
  <c r="BA94" i="2"/>
  <c r="C95" i="2"/>
  <c r="BA95" i="2"/>
  <c r="C96" i="2"/>
  <c r="BA96" i="2"/>
  <c r="C97" i="2"/>
  <c r="BA97" i="2"/>
  <c r="C98" i="2"/>
  <c r="BA98" i="2"/>
  <c r="C99" i="2"/>
  <c r="BA99" i="2"/>
  <c r="C100" i="2"/>
  <c r="BA100" i="2"/>
  <c r="C101" i="2"/>
  <c r="BA101" i="2"/>
  <c r="C102" i="2"/>
  <c r="BA102" i="2"/>
  <c r="C103" i="2"/>
  <c r="BA103" i="2"/>
  <c r="C104" i="2"/>
  <c r="BA104" i="2"/>
  <c r="C105" i="2"/>
  <c r="BA105" i="2"/>
  <c r="C106" i="2"/>
  <c r="BA106" i="2"/>
  <c r="C107" i="2"/>
  <c r="BA107" i="2"/>
  <c r="C108" i="2"/>
  <c r="BA108" i="2"/>
  <c r="C109" i="2"/>
  <c r="BA109" i="2"/>
  <c r="C110" i="2"/>
  <c r="BA110" i="2"/>
  <c r="C111" i="2"/>
  <c r="BA111" i="2"/>
  <c r="C112" i="2"/>
  <c r="BA112" i="2"/>
  <c r="C113" i="2"/>
  <c r="BA113" i="2"/>
  <c r="C132" i="2"/>
  <c r="BA132" i="2"/>
  <c r="C133" i="2"/>
  <c r="BA133" i="2"/>
  <c r="C134" i="2"/>
  <c r="BA134" i="2"/>
  <c r="C135" i="2"/>
  <c r="BA135" i="2"/>
  <c r="C136" i="2"/>
  <c r="BA136" i="2"/>
  <c r="C137" i="2"/>
  <c r="BA137" i="2"/>
  <c r="C138" i="2"/>
  <c r="BA138" i="2"/>
  <c r="C139" i="2"/>
  <c r="BA139" i="2"/>
  <c r="C140" i="2"/>
  <c r="BA140" i="2"/>
  <c r="C141" i="2"/>
  <c r="BA141" i="2"/>
  <c r="C142" i="2"/>
  <c r="BA142" i="2"/>
  <c r="C143" i="2"/>
  <c r="BA143" i="2"/>
  <c r="C144" i="2"/>
  <c r="BA144" i="2"/>
  <c r="C145" i="2"/>
  <c r="BA145" i="2"/>
  <c r="C146" i="2"/>
  <c r="BA146" i="2"/>
  <c r="C147" i="2"/>
  <c r="BA147" i="2"/>
  <c r="C148" i="2"/>
  <c r="BA148" i="2"/>
  <c r="C149" i="2"/>
  <c r="BA149" i="2"/>
  <c r="C150" i="2"/>
  <c r="BA150" i="2"/>
  <c r="C151" i="2"/>
  <c r="BA151" i="2"/>
  <c r="C152" i="2"/>
  <c r="BA152" i="2"/>
  <c r="C153" i="2"/>
  <c r="BA153" i="2"/>
  <c r="C154" i="2"/>
  <c r="BA154" i="2"/>
  <c r="C155" i="2"/>
  <c r="BA155" i="2"/>
  <c r="C156" i="2"/>
  <c r="BA156" i="2"/>
  <c r="C157" i="2"/>
  <c r="BA157" i="2"/>
  <c r="C158" i="2"/>
  <c r="BA158" i="2"/>
  <c r="C159" i="2"/>
  <c r="BA159" i="2"/>
  <c r="C160" i="2"/>
  <c r="BA160" i="2"/>
  <c r="C161" i="2"/>
  <c r="BA161" i="2"/>
  <c r="C162" i="2"/>
  <c r="BA162" i="2"/>
  <c r="C163" i="2"/>
  <c r="BA163" i="2"/>
  <c r="C164" i="2"/>
  <c r="BA164" i="2"/>
  <c r="C165" i="2"/>
  <c r="BA165" i="2"/>
  <c r="C166" i="2"/>
  <c r="BA166" i="2"/>
  <c r="C167" i="2"/>
  <c r="BA167" i="2"/>
  <c r="C168" i="2"/>
  <c r="BA168" i="2"/>
  <c r="C169" i="2"/>
  <c r="BA169" i="2"/>
  <c r="C170" i="2"/>
  <c r="BA170" i="2"/>
  <c r="C171" i="2"/>
  <c r="BA171" i="2"/>
  <c r="C172" i="2"/>
  <c r="BA172" i="2"/>
  <c r="C173" i="2"/>
  <c r="BA173" i="2"/>
  <c r="C174" i="2"/>
  <c r="BA174" i="2"/>
  <c r="C175" i="2"/>
  <c r="BA175" i="2"/>
  <c r="C176" i="2"/>
  <c r="BA176" i="2"/>
  <c r="C177" i="2"/>
  <c r="BA177" i="2"/>
  <c r="C178" i="2"/>
  <c r="BA178" i="2"/>
  <c r="C179" i="2"/>
  <c r="BA179" i="2"/>
  <c r="C180" i="2"/>
  <c r="BA180" i="2"/>
  <c r="C181" i="2"/>
  <c r="BA181" i="2"/>
  <c r="C182" i="2"/>
  <c r="BA182" i="2"/>
  <c r="C183" i="2"/>
  <c r="BA183" i="2"/>
  <c r="C184" i="2"/>
  <c r="BA184" i="2"/>
  <c r="C185" i="2"/>
  <c r="BA185" i="2"/>
  <c r="C186" i="2"/>
  <c r="BA186" i="2"/>
  <c r="C187" i="2"/>
  <c r="BA187" i="2"/>
  <c r="C188" i="2"/>
  <c r="BA188" i="2"/>
  <c r="C189" i="2"/>
  <c r="BA189" i="2"/>
  <c r="C190" i="2"/>
  <c r="BA190" i="2"/>
  <c r="C191" i="2"/>
  <c r="BA191" i="2"/>
  <c r="C192" i="2"/>
  <c r="BA192" i="2"/>
  <c r="C193" i="2"/>
  <c r="BA193" i="2"/>
  <c r="C194" i="2"/>
  <c r="BA194" i="2"/>
  <c r="C195" i="2"/>
  <c r="BA195" i="2"/>
  <c r="C196" i="2"/>
  <c r="BA196" i="2"/>
  <c r="C197" i="2"/>
  <c r="BA197" i="2"/>
  <c r="C198" i="2"/>
  <c r="BA198" i="2"/>
  <c r="C199" i="2"/>
  <c r="BA199" i="2"/>
  <c r="C200" i="2"/>
  <c r="BA200" i="2"/>
  <c r="C201" i="2"/>
  <c r="BA201" i="2"/>
  <c r="C202" i="2"/>
  <c r="BA202" i="2"/>
  <c r="C203" i="2"/>
  <c r="BA203" i="2"/>
  <c r="C204" i="2"/>
  <c r="BA204" i="2"/>
  <c r="C205" i="2"/>
  <c r="BA205" i="2"/>
  <c r="C206" i="2"/>
  <c r="BA206" i="2"/>
  <c r="C207" i="2"/>
  <c r="BA207" i="2"/>
  <c r="C345" i="2"/>
  <c r="BA345" i="2"/>
  <c r="C346" i="2"/>
  <c r="BA346" i="2"/>
  <c r="C347" i="2"/>
  <c r="BA347" i="2"/>
  <c r="C348" i="2"/>
  <c r="BA348" i="2"/>
  <c r="C350" i="2"/>
  <c r="BA350" i="2"/>
  <c r="N351" i="2"/>
  <c r="O351" i="2"/>
  <c r="Q351" i="2"/>
  <c r="R351" i="2"/>
  <c r="W351" i="2"/>
  <c r="C351" i="2"/>
  <c r="BA351" i="2"/>
  <c r="C583" i="2"/>
  <c r="BA583" i="2"/>
  <c r="C584" i="2"/>
  <c r="BA584" i="2"/>
  <c r="C585" i="2"/>
  <c r="BA585" i="2"/>
  <c r="C586" i="2"/>
  <c r="BA586" i="2"/>
  <c r="C587" i="2"/>
  <c r="BA587" i="2"/>
  <c r="C833" i="2"/>
  <c r="BA833" i="2"/>
  <c r="C834" i="2"/>
  <c r="BA834" i="2"/>
  <c r="C835" i="2"/>
  <c r="BA835" i="2"/>
  <c r="C836" i="2"/>
  <c r="BA836" i="2"/>
  <c r="C837" i="2"/>
  <c r="BA837" i="2"/>
  <c r="C838" i="2"/>
  <c r="BA838" i="2"/>
  <c r="C839" i="2"/>
  <c r="BA839" i="2"/>
  <c r="C840" i="2"/>
  <c r="BA840" i="2"/>
  <c r="C841" i="2"/>
  <c r="BA841" i="2"/>
  <c r="C842" i="2"/>
  <c r="BA842" i="2"/>
  <c r="C843" i="2"/>
  <c r="BA843" i="2"/>
  <c r="C844" i="2"/>
  <c r="BA844" i="2"/>
  <c r="C845" i="2"/>
  <c r="BA845" i="2"/>
  <c r="C846" i="2"/>
  <c r="BA846" i="2"/>
  <c r="C847" i="2"/>
  <c r="BA847" i="2"/>
  <c r="C848" i="2"/>
  <c r="BA848" i="2"/>
  <c r="C849" i="2"/>
  <c r="BA849" i="2"/>
  <c r="C850" i="2"/>
  <c r="BA850" i="2"/>
  <c r="C851" i="2"/>
  <c r="BA851" i="2"/>
  <c r="C852" i="2"/>
  <c r="BA852" i="2"/>
  <c r="C853" i="2"/>
  <c r="BA853" i="2"/>
  <c r="C854" i="2"/>
  <c r="BA854" i="2"/>
  <c r="C855" i="2"/>
  <c r="BA855" i="2"/>
  <c r="C856" i="2"/>
  <c r="BA856" i="2"/>
  <c r="C857" i="2"/>
  <c r="BA857" i="2"/>
  <c r="C858" i="2"/>
  <c r="BA858" i="2"/>
  <c r="C859" i="2"/>
  <c r="BA859" i="2"/>
  <c r="C860" i="2"/>
  <c r="BA860" i="2"/>
  <c r="C861" i="2"/>
  <c r="BA861" i="2"/>
  <c r="C862" i="2"/>
  <c r="BA862" i="2"/>
  <c r="C863" i="2"/>
  <c r="BA863" i="2"/>
  <c r="C864" i="2"/>
  <c r="BA864" i="2"/>
  <c r="C865" i="2"/>
  <c r="BA865" i="2"/>
  <c r="C866" i="2"/>
  <c r="BA866" i="2"/>
  <c r="C867" i="2"/>
  <c r="BA867" i="2"/>
  <c r="C868" i="2"/>
  <c r="BA868" i="2"/>
  <c r="C869" i="2"/>
  <c r="BA869" i="2"/>
  <c r="C870" i="2"/>
  <c r="BA870" i="2"/>
  <c r="C871" i="2"/>
  <c r="BA871" i="2"/>
  <c r="C872" i="2"/>
  <c r="BA872" i="2"/>
  <c r="C873" i="2"/>
  <c r="BA873" i="2"/>
  <c r="C874" i="2"/>
  <c r="BA874" i="2"/>
  <c r="C875" i="2"/>
  <c r="BA875" i="2"/>
  <c r="C876" i="2"/>
  <c r="BA876" i="2"/>
  <c r="C877" i="2"/>
  <c r="BA877" i="2"/>
  <c r="C878" i="2"/>
  <c r="BA878" i="2"/>
  <c r="C879" i="2"/>
  <c r="BA879" i="2"/>
  <c r="C880" i="2"/>
  <c r="BA880" i="2"/>
  <c r="C881" i="2"/>
  <c r="BA881" i="2"/>
  <c r="C882" i="2"/>
  <c r="BA882" i="2"/>
  <c r="C883" i="2"/>
  <c r="BA883" i="2"/>
  <c r="C884" i="2"/>
  <c r="BA884" i="2"/>
  <c r="C885" i="2"/>
  <c r="BA885" i="2"/>
  <c r="C886" i="2"/>
  <c r="BA886" i="2"/>
  <c r="C887" i="2"/>
  <c r="BA887" i="2"/>
  <c r="C888" i="2"/>
  <c r="BA888" i="2"/>
  <c r="C889" i="2"/>
  <c r="BA889" i="2"/>
  <c r="C890" i="2"/>
  <c r="BA890" i="2"/>
  <c r="C891" i="2"/>
  <c r="BA891" i="2"/>
  <c r="C892" i="2"/>
  <c r="BA892" i="2"/>
  <c r="C893" i="2"/>
  <c r="BA893" i="2"/>
  <c r="C894" i="2"/>
  <c r="BA894" i="2"/>
  <c r="C895" i="2"/>
  <c r="BA895" i="2"/>
  <c r="C896" i="2"/>
  <c r="BA896" i="2"/>
  <c r="C897" i="2"/>
  <c r="BA897" i="2"/>
  <c r="C898" i="2"/>
  <c r="BA898" i="2"/>
  <c r="C899" i="2"/>
  <c r="BA899" i="2"/>
  <c r="C900" i="2"/>
  <c r="BA900" i="2"/>
  <c r="C901" i="2"/>
  <c r="BA901" i="2"/>
  <c r="C902" i="2"/>
  <c r="BA902" i="2"/>
  <c r="C903" i="2"/>
  <c r="BA903" i="2"/>
  <c r="C904" i="2"/>
  <c r="BA904" i="2"/>
  <c r="C905" i="2"/>
  <c r="BA905" i="2"/>
  <c r="C906" i="2"/>
  <c r="BA906" i="2"/>
  <c r="C907" i="2"/>
  <c r="BA907" i="2"/>
  <c r="C908" i="2"/>
  <c r="BA908" i="2"/>
  <c r="C909" i="2"/>
  <c r="BA909" i="2"/>
  <c r="C910" i="2"/>
  <c r="BA910" i="2"/>
  <c r="C911" i="2"/>
  <c r="BA911" i="2"/>
  <c r="C912" i="2"/>
  <c r="BA912" i="2"/>
  <c r="C913" i="2"/>
  <c r="BA913" i="2"/>
  <c r="C914" i="2"/>
  <c r="BA914" i="2"/>
  <c r="C915" i="2"/>
  <c r="BA915" i="2"/>
  <c r="C916" i="2"/>
  <c r="BA916" i="2"/>
  <c r="C917" i="2"/>
  <c r="BA917" i="2"/>
  <c r="C918" i="2"/>
  <c r="BA918" i="2"/>
  <c r="C919" i="2"/>
  <c r="BA919" i="2"/>
  <c r="C920" i="2"/>
  <c r="BA920" i="2"/>
  <c r="C921" i="2"/>
  <c r="BA921" i="2"/>
  <c r="C922" i="2"/>
  <c r="BA922" i="2"/>
  <c r="C923" i="2"/>
  <c r="BA923" i="2"/>
  <c r="C924" i="2"/>
  <c r="BA924" i="2"/>
  <c r="C925" i="2"/>
  <c r="BA925" i="2"/>
  <c r="C926" i="2"/>
  <c r="BA926" i="2"/>
  <c r="C927" i="2"/>
  <c r="BA927" i="2"/>
  <c r="C928" i="2"/>
  <c r="BA928" i="2"/>
  <c r="C929" i="2"/>
  <c r="BA929" i="2"/>
  <c r="C930" i="2"/>
  <c r="BA930" i="2"/>
  <c r="C931" i="2"/>
  <c r="BA931" i="2"/>
  <c r="C932" i="2"/>
  <c r="BA932" i="2"/>
  <c r="C1163" i="2"/>
  <c r="BA1163" i="2"/>
  <c r="C1164" i="2"/>
  <c r="BA1164" i="2"/>
  <c r="C1165" i="2"/>
  <c r="BA1165" i="2"/>
  <c r="C1166" i="2"/>
  <c r="BA1166" i="2"/>
  <c r="C1167" i="2"/>
  <c r="BA1167" i="2"/>
  <c r="C1168" i="2"/>
  <c r="BA1168" i="2"/>
  <c r="C1169" i="2"/>
  <c r="BA1169" i="2"/>
  <c r="C1170" i="2"/>
  <c r="BA1170" i="2"/>
  <c r="C1171" i="2"/>
  <c r="BA1171" i="2"/>
  <c r="C1172" i="2"/>
  <c r="BA1172" i="2"/>
  <c r="C1173" i="2"/>
  <c r="BA1173" i="2"/>
  <c r="C1174" i="2"/>
  <c r="BA1174" i="2"/>
  <c r="C1175" i="2"/>
  <c r="BA1175" i="2"/>
  <c r="C1176" i="2"/>
  <c r="BA1176" i="2"/>
  <c r="C1177" i="2"/>
  <c r="BA1177" i="2"/>
  <c r="C1178" i="2"/>
  <c r="BA1178" i="2"/>
  <c r="C1179" i="2"/>
  <c r="BA1179" i="2"/>
  <c r="C1180" i="2"/>
  <c r="BA1180" i="2"/>
  <c r="C1181" i="2"/>
  <c r="BA1181" i="2"/>
  <c r="C1182" i="2"/>
  <c r="BA1182" i="2"/>
  <c r="C1183" i="2"/>
  <c r="BA1183" i="2"/>
  <c r="C1184" i="2"/>
  <c r="BA1184" i="2"/>
  <c r="C1185" i="2"/>
  <c r="BA1185" i="2"/>
  <c r="C1186" i="2"/>
  <c r="BA1186" i="2"/>
  <c r="C1187" i="2"/>
  <c r="BA1187" i="2"/>
  <c r="C1188" i="2"/>
  <c r="BA1188" i="2"/>
  <c r="C1189" i="2"/>
  <c r="BA1189" i="2"/>
  <c r="C1190" i="2"/>
  <c r="BA1190" i="2"/>
  <c r="C1191" i="2"/>
  <c r="BA1191" i="2"/>
  <c r="C1192" i="2"/>
  <c r="BA1192" i="2"/>
  <c r="C1193" i="2"/>
  <c r="BA1193" i="2"/>
  <c r="C1194" i="2"/>
  <c r="BA1194" i="2"/>
  <c r="C1195" i="2"/>
  <c r="BA1195" i="2"/>
  <c r="C1196" i="2"/>
  <c r="BA1196" i="2"/>
  <c r="C1197" i="2"/>
  <c r="BA1197" i="2"/>
  <c r="C1198" i="2"/>
  <c r="BA1198" i="2"/>
  <c r="C1199" i="2"/>
  <c r="BA1199" i="2"/>
  <c r="C1200" i="2"/>
  <c r="BA1200" i="2"/>
  <c r="C1201" i="2"/>
  <c r="BA1201" i="2"/>
  <c r="C1202" i="2"/>
  <c r="BA1202" i="2"/>
  <c r="C1203" i="2"/>
  <c r="BA1203" i="2"/>
  <c r="C1204" i="2"/>
  <c r="BA1204" i="2"/>
  <c r="C1205" i="2"/>
  <c r="BA1205" i="2"/>
  <c r="C1206" i="2"/>
  <c r="BA1206" i="2"/>
  <c r="C1207" i="2"/>
  <c r="BA1207" i="2"/>
  <c r="C1208" i="2"/>
  <c r="BA1208" i="2"/>
  <c r="C1209" i="2"/>
  <c r="BA1209" i="2"/>
  <c r="C1210" i="2"/>
  <c r="BA1210" i="2"/>
  <c r="C1211" i="2"/>
  <c r="BA1211" i="2"/>
  <c r="C1212" i="2"/>
  <c r="BA1212" i="2"/>
  <c r="C1213" i="2"/>
  <c r="BA1213" i="2"/>
  <c r="C1214" i="2"/>
  <c r="BA1214" i="2"/>
  <c r="C1215" i="2"/>
  <c r="BA1215" i="2"/>
  <c r="C1216" i="2"/>
  <c r="BA1216" i="2"/>
  <c r="C1217" i="2"/>
  <c r="BA1217" i="2"/>
  <c r="C1218" i="2"/>
  <c r="BA1218" i="2"/>
  <c r="C1219" i="2"/>
  <c r="BA1219" i="2"/>
  <c r="C1220" i="2"/>
  <c r="BA1220" i="2"/>
  <c r="C1221" i="2"/>
  <c r="BA1221" i="2"/>
  <c r="C1222" i="2"/>
  <c r="BA1222" i="2"/>
  <c r="C1223" i="2"/>
  <c r="BA1223" i="2"/>
  <c r="C1224" i="2"/>
  <c r="BA1224" i="2"/>
  <c r="C1225" i="2"/>
  <c r="BA1225" i="2"/>
  <c r="C1226" i="2"/>
  <c r="BA1226" i="2"/>
  <c r="C1227" i="2"/>
  <c r="BA1227" i="2"/>
  <c r="C1248" i="2"/>
  <c r="BA1248" i="2"/>
  <c r="C1249" i="2"/>
  <c r="BA1249" i="2"/>
  <c r="C1250" i="2"/>
  <c r="BA1250" i="2"/>
  <c r="C1251" i="2"/>
  <c r="BA1251" i="2"/>
  <c r="C1252" i="2"/>
  <c r="BA1252" i="2"/>
  <c r="C1253" i="2"/>
  <c r="BA1253" i="2"/>
  <c r="C1254" i="2"/>
  <c r="BA1254" i="2"/>
  <c r="C1255" i="2"/>
  <c r="BA1255" i="2"/>
  <c r="C1256" i="2"/>
  <c r="BA1256" i="2"/>
  <c r="C1257" i="2"/>
  <c r="BA1257" i="2"/>
  <c r="C1258" i="2"/>
  <c r="BA1258" i="2"/>
  <c r="C1259" i="2"/>
  <c r="BA1259" i="2"/>
  <c r="C1260" i="2"/>
  <c r="BA1260" i="2"/>
  <c r="C1261" i="2"/>
  <c r="BA1261" i="2"/>
  <c r="C1262" i="2"/>
  <c r="BA1262" i="2"/>
  <c r="C1263" i="2"/>
  <c r="BA1263" i="2"/>
  <c r="C1264" i="2"/>
  <c r="BA1264" i="2"/>
  <c r="C1265" i="2"/>
  <c r="BA1265" i="2"/>
  <c r="C1266" i="2"/>
  <c r="BA1266" i="2"/>
  <c r="C1267" i="2"/>
  <c r="BA1267" i="2"/>
  <c r="C1268" i="2"/>
  <c r="BA1268" i="2"/>
  <c r="C1269" i="2"/>
  <c r="BA1269" i="2"/>
  <c r="C1270" i="2"/>
  <c r="BA1270" i="2"/>
  <c r="C1271" i="2"/>
  <c r="BA1271" i="2"/>
  <c r="C1272" i="2"/>
  <c r="BA1272" i="2"/>
  <c r="C1375" i="2"/>
  <c r="BA1375" i="2"/>
  <c r="C1376" i="2"/>
  <c r="BA1376" i="2"/>
  <c r="C1377" i="2"/>
  <c r="BA1377" i="2"/>
  <c r="C1378" i="2"/>
  <c r="BA1378" i="2"/>
  <c r="C1379" i="2"/>
  <c r="BA1379" i="2"/>
  <c r="C1380" i="2"/>
  <c r="BA1380" i="2"/>
  <c r="C1381" i="2"/>
  <c r="BA1381" i="2"/>
  <c r="C1382" i="2"/>
  <c r="BA1382" i="2"/>
  <c r="C1383" i="2"/>
  <c r="BA1383" i="2"/>
  <c r="C1384" i="2"/>
  <c r="BA1384" i="2"/>
  <c r="C1385" i="2"/>
  <c r="BA1385" i="2"/>
  <c r="C1386" i="2"/>
  <c r="BA1386" i="2"/>
  <c r="C1387" i="2"/>
  <c r="BA1387" i="2"/>
  <c r="C1388" i="2"/>
  <c r="BA1388" i="2"/>
  <c r="C1389" i="2"/>
  <c r="BA1389" i="2"/>
  <c r="C1390" i="2"/>
  <c r="BA1390" i="2"/>
  <c r="C1391" i="2"/>
  <c r="BA1391" i="2"/>
  <c r="C1392" i="2"/>
  <c r="BA1392" i="2"/>
  <c r="C1393" i="2"/>
  <c r="BA1393" i="2"/>
  <c r="C1394" i="2"/>
  <c r="BA1394" i="2"/>
  <c r="C1395" i="2"/>
  <c r="BA1395" i="2"/>
  <c r="C1396" i="2"/>
  <c r="BA1396" i="2"/>
  <c r="C1397" i="2"/>
  <c r="BA1397" i="2"/>
  <c r="C1398" i="2"/>
  <c r="BA1398" i="2"/>
  <c r="C1399" i="2"/>
  <c r="BA1399" i="2"/>
  <c r="C1400" i="2"/>
  <c r="BA1400" i="2"/>
  <c r="C1401" i="2"/>
  <c r="BA1401" i="2"/>
  <c r="C1402" i="2"/>
  <c r="BA1402" i="2"/>
  <c r="C1403" i="2"/>
  <c r="BA1403" i="2"/>
  <c r="C1404" i="2"/>
  <c r="BA1404" i="2"/>
  <c r="C1405" i="2"/>
  <c r="BA1405" i="2"/>
  <c r="C1406" i="2"/>
  <c r="BA1406" i="2"/>
  <c r="C1407" i="2"/>
  <c r="BA1407" i="2"/>
  <c r="C1408" i="2"/>
  <c r="BA1408" i="2"/>
  <c r="C1409" i="2"/>
  <c r="BA1409" i="2"/>
  <c r="C1410" i="2"/>
  <c r="BA1410" i="2"/>
  <c r="C1411" i="2"/>
  <c r="BA1411" i="2"/>
  <c r="C1412" i="2"/>
  <c r="BA1412" i="2"/>
  <c r="C1413" i="2"/>
  <c r="BA1413" i="2"/>
  <c r="C1414" i="2"/>
  <c r="BA1414" i="2"/>
  <c r="C1415" i="2"/>
  <c r="BA1415" i="2"/>
  <c r="C1416" i="2"/>
  <c r="BA1416" i="2"/>
  <c r="C1417" i="2"/>
  <c r="BA1417" i="2"/>
  <c r="C1418" i="2"/>
  <c r="BA1418" i="2"/>
  <c r="C1419" i="2"/>
  <c r="BA1419" i="2"/>
  <c r="C1420" i="2"/>
  <c r="BA1420" i="2"/>
  <c r="C1421" i="2"/>
  <c r="BA1421" i="2"/>
  <c r="C1422" i="2"/>
  <c r="BA1422" i="2"/>
  <c r="C1423" i="2"/>
  <c r="BA1423" i="2"/>
  <c r="C1424" i="2"/>
  <c r="BA1424" i="2"/>
  <c r="C1425" i="2"/>
  <c r="BA1425" i="2"/>
  <c r="C1426" i="2"/>
  <c r="BA1426" i="2"/>
  <c r="C1427" i="2"/>
  <c r="BA1427" i="2"/>
  <c r="C1428" i="2"/>
  <c r="BA1428" i="2"/>
  <c r="C1429" i="2"/>
  <c r="BA1429" i="2"/>
  <c r="C1430" i="2"/>
  <c r="BA1430" i="2"/>
  <c r="C1431" i="2"/>
  <c r="BA1431" i="2"/>
  <c r="C1432" i="2"/>
  <c r="BA1432" i="2"/>
  <c r="C1433" i="2"/>
  <c r="BA1433" i="2"/>
  <c r="C1434" i="2"/>
  <c r="BA1434" i="2"/>
  <c r="C1435" i="2"/>
  <c r="BA1435" i="2"/>
  <c r="C1436" i="2"/>
  <c r="BA1436" i="2"/>
  <c r="C1437" i="2"/>
  <c r="BA1437" i="2"/>
  <c r="C1438" i="2"/>
  <c r="BA1438" i="2"/>
  <c r="C1439" i="2"/>
  <c r="BA1439" i="2"/>
  <c r="C1440" i="2"/>
  <c r="BA1440" i="2"/>
  <c r="C1441" i="2"/>
  <c r="BA1441" i="2"/>
  <c r="C1442" i="2"/>
  <c r="BA1442" i="2"/>
  <c r="C1443" i="2"/>
  <c r="BA1443" i="2"/>
  <c r="C1444" i="2"/>
  <c r="BA1444" i="2"/>
  <c r="C1445" i="2"/>
  <c r="BA1445" i="2"/>
  <c r="C1446" i="2"/>
  <c r="BA1446" i="2"/>
  <c r="C1447" i="2"/>
  <c r="BA1447" i="2"/>
  <c r="C1448" i="2"/>
  <c r="BA1448" i="2"/>
  <c r="C1449" i="2"/>
  <c r="BA1449" i="2"/>
  <c r="C1450" i="2"/>
  <c r="BA1450" i="2"/>
  <c r="C1451" i="2"/>
  <c r="BA1451" i="2"/>
  <c r="C1452" i="2"/>
  <c r="BA1452" i="2"/>
  <c r="C1453" i="2"/>
  <c r="BA1453" i="2"/>
  <c r="C1454" i="2"/>
  <c r="BA1454" i="2"/>
  <c r="C1455" i="2"/>
  <c r="BA1455" i="2"/>
  <c r="C1456" i="2"/>
  <c r="BA1456" i="2"/>
  <c r="C1457" i="2"/>
  <c r="BA1457" i="2"/>
  <c r="C1458" i="2"/>
  <c r="BA1458" i="2"/>
  <c r="C1459" i="2"/>
  <c r="BA1459" i="2"/>
  <c r="C1460" i="2"/>
  <c r="BA1460" i="2"/>
  <c r="C1461" i="2"/>
  <c r="BA1461" i="2"/>
  <c r="C1462" i="2"/>
  <c r="BA1462" i="2"/>
  <c r="C1723" i="2"/>
  <c r="BA1723" i="2"/>
  <c r="C1724" i="2"/>
  <c r="BA1724" i="2"/>
  <c r="C1725" i="2"/>
  <c r="BA1725" i="2"/>
  <c r="C1726" i="2"/>
  <c r="BA1726" i="2"/>
  <c r="C1727" i="2"/>
  <c r="BA1727" i="2"/>
  <c r="C1728" i="2"/>
  <c r="BA1728" i="2"/>
  <c r="C1729" i="2"/>
  <c r="BA1729" i="2"/>
  <c r="C1730" i="2"/>
  <c r="BA1730" i="2"/>
  <c r="C1731" i="2"/>
  <c r="BA1731" i="2"/>
  <c r="C1732" i="2"/>
  <c r="BA1732" i="2"/>
  <c r="C1733" i="2"/>
  <c r="BA1733" i="2"/>
  <c r="C1734" i="2"/>
  <c r="BA1734" i="2"/>
  <c r="C1735" i="2"/>
  <c r="BA1735" i="2"/>
  <c r="C1736" i="2"/>
  <c r="BA1736" i="2"/>
  <c r="C1737" i="2"/>
  <c r="BA1737" i="2"/>
  <c r="C1738" i="2"/>
  <c r="BA1738" i="2"/>
  <c r="C1739" i="2"/>
  <c r="BA1739" i="2"/>
  <c r="C1740" i="2"/>
  <c r="BA1740" i="2"/>
  <c r="C1741" i="2"/>
  <c r="BA1741" i="2"/>
  <c r="C1742" i="2"/>
  <c r="BA1742" i="2"/>
  <c r="C1743" i="2"/>
  <c r="BA1743" i="2"/>
  <c r="C1744" i="2"/>
  <c r="BA1744" i="2"/>
  <c r="C1745" i="2"/>
  <c r="BA1745" i="2"/>
  <c r="C1746" i="2"/>
  <c r="BA1746" i="2"/>
  <c r="C1747" i="2"/>
  <c r="BA1747" i="2"/>
  <c r="C1748" i="2"/>
  <c r="BA1748" i="2"/>
  <c r="C1749" i="2"/>
  <c r="BA1749" i="2"/>
  <c r="C1750" i="2"/>
  <c r="BA1750" i="2"/>
  <c r="C1751" i="2"/>
  <c r="BA1751" i="2"/>
  <c r="C1752" i="2"/>
  <c r="BA1752" i="2"/>
  <c r="C1753" i="2"/>
  <c r="BA1753" i="2"/>
  <c r="C1754" i="2"/>
  <c r="BA1754" i="2"/>
  <c r="C1755" i="2"/>
  <c r="BA1755" i="2"/>
  <c r="C1756" i="2"/>
  <c r="BA1756" i="2"/>
  <c r="C1757" i="2"/>
  <c r="BA1757" i="2"/>
  <c r="C1758" i="2"/>
  <c r="BA1758" i="2"/>
  <c r="C1759" i="2"/>
  <c r="BA1759" i="2"/>
  <c r="C1760" i="2"/>
  <c r="BA1760" i="2"/>
  <c r="C1761" i="2"/>
  <c r="BA1761" i="2"/>
  <c r="C1762" i="2"/>
  <c r="BA1762" i="2"/>
  <c r="C1763" i="2"/>
  <c r="BA1763" i="2"/>
  <c r="C1764" i="2"/>
  <c r="BA1764" i="2"/>
  <c r="C1765" i="2"/>
  <c r="BA1765" i="2"/>
  <c r="C1766" i="2"/>
  <c r="BA1766" i="2"/>
  <c r="C1767" i="2"/>
  <c r="BA1767" i="2"/>
  <c r="C1768" i="2"/>
  <c r="BA1768" i="2"/>
  <c r="C1769" i="2"/>
  <c r="BA1769" i="2"/>
  <c r="C1770" i="2"/>
  <c r="BA1770" i="2"/>
  <c r="C1771" i="2"/>
  <c r="BA1771" i="2"/>
  <c r="C1772" i="2"/>
  <c r="BA1772" i="2"/>
  <c r="C1773" i="2"/>
  <c r="BA1773" i="2"/>
  <c r="C1774" i="2"/>
  <c r="BA1774" i="2"/>
  <c r="C1775" i="2"/>
  <c r="BA1775" i="2"/>
  <c r="C1776" i="2"/>
  <c r="BA1776" i="2"/>
  <c r="C1777" i="2"/>
  <c r="BA1777" i="2"/>
  <c r="C1778" i="2"/>
  <c r="BA1778" i="2"/>
  <c r="C1779" i="2"/>
  <c r="BA1779" i="2"/>
  <c r="C1780" i="2"/>
  <c r="BA1780" i="2"/>
  <c r="C1781" i="2"/>
  <c r="BA1781" i="2"/>
  <c r="C1782" i="2"/>
  <c r="BA1782" i="2"/>
  <c r="C1783" i="2"/>
  <c r="BA1783" i="2"/>
  <c r="C1784" i="2"/>
  <c r="BA1784" i="2"/>
  <c r="C1785" i="2"/>
  <c r="BA1785" i="2"/>
  <c r="C1786" i="2"/>
  <c r="BA1786" i="2"/>
  <c r="C1787" i="2"/>
  <c r="BA1787" i="2"/>
  <c r="C1788" i="2"/>
  <c r="BA1788" i="2"/>
  <c r="C1789" i="2"/>
  <c r="BA1789" i="2"/>
  <c r="C1790" i="2"/>
  <c r="BA1790" i="2"/>
  <c r="C1791" i="2"/>
  <c r="BA1791" i="2"/>
  <c r="C1792" i="2"/>
  <c r="BA1792" i="2"/>
  <c r="C1793" i="2"/>
  <c r="BA1793" i="2"/>
  <c r="C1794" i="2"/>
  <c r="BA1794" i="2"/>
  <c r="C1795" i="2"/>
  <c r="BA1795" i="2"/>
  <c r="C1796" i="2"/>
  <c r="BA1796" i="2"/>
  <c r="C1797" i="2"/>
  <c r="BA1797" i="2"/>
  <c r="C1798" i="2"/>
  <c r="BA1798" i="2"/>
  <c r="C1799" i="2"/>
  <c r="BA1799" i="2"/>
  <c r="C1800" i="2"/>
  <c r="BA1800" i="2"/>
  <c r="C1801" i="2"/>
  <c r="BA1801" i="2"/>
  <c r="C1802" i="2"/>
  <c r="BA1802" i="2"/>
  <c r="C1803" i="2"/>
  <c r="BA1803" i="2"/>
  <c r="C1804" i="2"/>
  <c r="BA1804" i="2"/>
  <c r="C1805" i="2"/>
  <c r="BA1805" i="2"/>
  <c r="C1806" i="2"/>
  <c r="BA1806" i="2"/>
  <c r="C1807" i="2"/>
  <c r="BA1807" i="2"/>
  <c r="C1808" i="2"/>
  <c r="BA1808" i="2"/>
  <c r="C1809" i="2"/>
  <c r="BA1809" i="2"/>
  <c r="C1810" i="2"/>
  <c r="BA1810" i="2"/>
  <c r="C1811" i="2"/>
  <c r="BA1811" i="2"/>
  <c r="C1812" i="2"/>
  <c r="BA1812" i="2"/>
  <c r="C1813" i="2"/>
  <c r="BA1813" i="2"/>
  <c r="C1814" i="2"/>
  <c r="BA1814" i="2"/>
  <c r="C1815" i="2"/>
  <c r="BA1815" i="2"/>
  <c r="C1816" i="2"/>
  <c r="BA1816" i="2"/>
  <c r="C1818" i="2"/>
  <c r="BA1818" i="2"/>
  <c r="C1819" i="2"/>
  <c r="BA1819" i="2"/>
  <c r="C1820" i="2"/>
  <c r="BA1820" i="2"/>
  <c r="C1821" i="2"/>
  <c r="BA1821" i="2"/>
  <c r="C1822" i="2"/>
  <c r="BA1822" i="2"/>
  <c r="C1823" i="2"/>
  <c r="BA1823" i="2"/>
  <c r="C1824" i="2"/>
  <c r="BA1824" i="2"/>
  <c r="C1825" i="2"/>
  <c r="BA1825" i="2"/>
  <c r="C1826" i="2"/>
  <c r="BA1826" i="2"/>
  <c r="C1827" i="2"/>
  <c r="BA1827" i="2"/>
  <c r="C1828" i="2"/>
  <c r="BA1828" i="2"/>
  <c r="C1829" i="2"/>
  <c r="BA1829" i="2"/>
  <c r="C1830" i="2"/>
  <c r="BA1830" i="2"/>
  <c r="C1831" i="2"/>
  <c r="BA1831" i="2"/>
  <c r="C1832" i="2"/>
  <c r="BA1832" i="2"/>
  <c r="C1833" i="2"/>
  <c r="BA1833" i="2"/>
  <c r="C1834" i="2"/>
  <c r="BA1834" i="2"/>
  <c r="C1835" i="2"/>
  <c r="BA1835" i="2"/>
  <c r="C1872" i="2"/>
  <c r="BA1872" i="2"/>
  <c r="C1873" i="2"/>
  <c r="BA1873" i="2"/>
  <c r="C1874" i="2"/>
  <c r="BA1874" i="2"/>
  <c r="C1875" i="2"/>
  <c r="BA1875" i="2"/>
  <c r="C1876" i="2"/>
  <c r="BA1876" i="2"/>
  <c r="C1877" i="2"/>
  <c r="BA1877" i="2"/>
  <c r="C1878" i="2"/>
  <c r="BA1878" i="2"/>
  <c r="C1879" i="2"/>
  <c r="BA1879" i="2"/>
  <c r="C1880" i="2"/>
  <c r="BA1880" i="2"/>
  <c r="C1881" i="2"/>
  <c r="BA1881" i="2"/>
  <c r="C1882" i="2"/>
  <c r="BA1882" i="2"/>
  <c r="C1883" i="2"/>
  <c r="BA1883" i="2"/>
  <c r="C1884" i="2"/>
  <c r="BA1884" i="2"/>
  <c r="C1885" i="2"/>
  <c r="BA1885" i="2"/>
  <c r="C1886" i="2"/>
  <c r="BA1886" i="2"/>
  <c r="C1887" i="2"/>
  <c r="BA1887" i="2"/>
  <c r="C1888" i="2"/>
  <c r="BA1888" i="2"/>
  <c r="C1889" i="2"/>
  <c r="BA1889" i="2"/>
  <c r="C1890" i="2"/>
  <c r="BA1890" i="2"/>
  <c r="C1891" i="2"/>
  <c r="BA1891" i="2"/>
  <c r="C1892" i="2"/>
  <c r="BA1892" i="2"/>
  <c r="C1893" i="2"/>
  <c r="BA1893" i="2"/>
  <c r="C1894" i="2"/>
  <c r="BA1894" i="2"/>
  <c r="C1895" i="2"/>
  <c r="BA1895" i="2"/>
  <c r="C1896" i="2"/>
  <c r="BA1896" i="2"/>
  <c r="C1897" i="2"/>
  <c r="BA1897" i="2"/>
  <c r="C1898" i="2"/>
  <c r="BA1898" i="2"/>
  <c r="C1899" i="2"/>
  <c r="BA1899" i="2"/>
  <c r="C1900" i="2"/>
  <c r="BA1900" i="2"/>
  <c r="C1901" i="2"/>
  <c r="BA1901" i="2"/>
  <c r="C1902" i="2"/>
  <c r="BA1902" i="2"/>
  <c r="C1903" i="2"/>
  <c r="BA1903" i="2"/>
  <c r="C1904" i="2"/>
  <c r="BA1904" i="2"/>
  <c r="C1905" i="2"/>
  <c r="BA1905" i="2"/>
  <c r="C1907" i="2"/>
  <c r="BA1907" i="2"/>
  <c r="C1908" i="2"/>
  <c r="BA1908" i="2"/>
  <c r="C1909" i="2"/>
  <c r="BA1909" i="2"/>
  <c r="C1910" i="2"/>
  <c r="BA1910" i="2"/>
  <c r="C1911" i="2"/>
  <c r="BA1911" i="2"/>
  <c r="C1912" i="2"/>
  <c r="BA1912" i="2"/>
  <c r="C1913" i="2"/>
  <c r="BA1913" i="2"/>
  <c r="C1914" i="2"/>
  <c r="BA1914" i="2"/>
  <c r="C1915" i="2"/>
  <c r="BA1915" i="2"/>
  <c r="C1916" i="2"/>
  <c r="BA1916" i="2"/>
  <c r="C1917" i="2"/>
  <c r="BA1917" i="2"/>
  <c r="C1918" i="2"/>
  <c r="BA1918" i="2"/>
  <c r="C1919" i="2"/>
  <c r="BA1919" i="2"/>
  <c r="C1920" i="2"/>
  <c r="BA1920" i="2"/>
  <c r="C1921" i="2"/>
  <c r="BA1921" i="2"/>
  <c r="C1922" i="2"/>
  <c r="BA1922" i="2"/>
  <c r="C1923" i="2"/>
  <c r="BA1923" i="2"/>
  <c r="C1924" i="2"/>
  <c r="BA1924" i="2"/>
  <c r="C1925" i="2"/>
  <c r="BA1925" i="2"/>
  <c r="C1926" i="2"/>
  <c r="BA1926" i="2"/>
  <c r="C1927" i="2"/>
  <c r="BA1927" i="2"/>
  <c r="C1928" i="2"/>
  <c r="BA1928" i="2"/>
  <c r="C1929" i="2"/>
  <c r="BA1929" i="2"/>
  <c r="C1930" i="2"/>
  <c r="BA1930" i="2"/>
  <c r="C1931" i="2"/>
  <c r="BA1931" i="2"/>
  <c r="C1932" i="2"/>
  <c r="BA1932" i="2"/>
  <c r="C1933" i="2"/>
  <c r="BA1933" i="2"/>
  <c r="C1934" i="2"/>
  <c r="BA1934" i="2"/>
  <c r="C1935" i="2"/>
  <c r="BA1935" i="2"/>
  <c r="C1936" i="2"/>
  <c r="BA1936" i="2"/>
  <c r="C1937" i="2"/>
  <c r="BA1937" i="2"/>
  <c r="C1938" i="2"/>
  <c r="BA1938" i="2"/>
  <c r="C1939" i="2"/>
  <c r="BA1939" i="2"/>
  <c r="C1940" i="2"/>
  <c r="BA1940" i="2"/>
  <c r="C1941" i="2"/>
  <c r="BA1941" i="2"/>
  <c r="C1942" i="2"/>
  <c r="BA1942" i="2"/>
  <c r="C1943" i="2"/>
  <c r="BA1943" i="2"/>
  <c r="C1944" i="2"/>
  <c r="BA1944" i="2"/>
  <c r="C1945" i="2"/>
  <c r="BA1945" i="2"/>
  <c r="C1946" i="2"/>
  <c r="BA1946" i="2"/>
  <c r="C1947" i="2"/>
  <c r="BA1947" i="2"/>
  <c r="C1948" i="2"/>
  <c r="BA1948" i="2"/>
  <c r="C1949" i="2"/>
  <c r="BA1949" i="2"/>
  <c r="C1950" i="2"/>
  <c r="BA1950" i="2"/>
  <c r="C1951" i="2"/>
  <c r="BA1951" i="2"/>
  <c r="C1952" i="2"/>
  <c r="BA1952" i="2"/>
  <c r="C1953" i="2"/>
  <c r="BA1953" i="2"/>
  <c r="C1954" i="2"/>
  <c r="BA1954" i="2"/>
  <c r="C1955" i="2"/>
  <c r="BA1955" i="2"/>
  <c r="C1956" i="2"/>
  <c r="BA1956" i="2"/>
  <c r="C1957" i="2"/>
  <c r="BA1957" i="2"/>
  <c r="C1958" i="2"/>
  <c r="BA1958" i="2"/>
  <c r="C1959" i="2"/>
  <c r="BA1959" i="2"/>
  <c r="C1960" i="2"/>
  <c r="BA1960" i="2"/>
  <c r="C1961" i="2"/>
  <c r="BA1961" i="2"/>
  <c r="C1962" i="2"/>
  <c r="BA1962" i="2"/>
  <c r="C1963" i="2"/>
  <c r="BA1963" i="2"/>
  <c r="C1964" i="2"/>
  <c r="BA1964" i="2"/>
  <c r="C1965" i="2"/>
  <c r="BA1965" i="2"/>
  <c r="C1966" i="2"/>
  <c r="BA1966" i="2"/>
  <c r="C1967" i="2"/>
  <c r="BA1967" i="2"/>
  <c r="C1968" i="2"/>
  <c r="BA1968" i="2"/>
  <c r="C1969" i="2"/>
  <c r="BA1969" i="2"/>
  <c r="C1971" i="2"/>
  <c r="BA1971" i="2"/>
  <c r="C1972" i="2"/>
  <c r="BA1972" i="2"/>
  <c r="C1973" i="2"/>
  <c r="BA1973" i="2"/>
  <c r="C1974" i="2"/>
  <c r="BA1974" i="2"/>
  <c r="C1975" i="2"/>
  <c r="BA1975" i="2"/>
  <c r="C1976" i="2"/>
  <c r="BA1976" i="2"/>
  <c r="C1977" i="2"/>
  <c r="BA1977" i="2"/>
  <c r="C1978" i="2"/>
  <c r="BA1978" i="2"/>
  <c r="C1979" i="2"/>
  <c r="BA1979" i="2"/>
  <c r="C1980" i="2"/>
  <c r="BA1980" i="2"/>
  <c r="C1981" i="2"/>
  <c r="BA1981" i="2"/>
  <c r="C1982" i="2"/>
  <c r="BA1982" i="2"/>
  <c r="C1983" i="2"/>
  <c r="BA1983" i="2"/>
  <c r="C1984" i="2"/>
  <c r="BA1984" i="2"/>
  <c r="C1985" i="2"/>
  <c r="BA1985" i="2"/>
  <c r="C1986" i="2"/>
  <c r="BA1986" i="2"/>
  <c r="C1987" i="2"/>
  <c r="BA1987" i="2"/>
  <c r="C1988" i="2"/>
  <c r="BA1988" i="2"/>
  <c r="C1989" i="2"/>
  <c r="BA1989" i="2"/>
  <c r="C1990" i="2"/>
  <c r="BA1990" i="2"/>
  <c r="C1991" i="2"/>
  <c r="BA1991" i="2"/>
  <c r="C1992" i="2"/>
  <c r="BA1992" i="2"/>
  <c r="C1993" i="2"/>
  <c r="BA1993" i="2"/>
  <c r="C1994" i="2"/>
  <c r="BA1994" i="2"/>
  <c r="C1995" i="2"/>
  <c r="BA1995" i="2"/>
  <c r="C1996" i="2"/>
  <c r="BA1996" i="2"/>
  <c r="C1997" i="2"/>
  <c r="BA1997" i="2"/>
  <c r="C1998" i="2"/>
  <c r="BA1998" i="2"/>
  <c r="C1999" i="2"/>
  <c r="BA1999" i="2"/>
  <c r="C2000" i="2"/>
  <c r="BA2000" i="2"/>
  <c r="C2001" i="2"/>
  <c r="BA2001" i="2"/>
  <c r="C2002" i="2"/>
  <c r="BA2002" i="2"/>
  <c r="C2003" i="2"/>
  <c r="BA2003" i="2"/>
  <c r="C2004" i="2"/>
  <c r="BA2004" i="2"/>
  <c r="C2005" i="2"/>
  <c r="BA2005" i="2"/>
  <c r="C2006" i="2"/>
  <c r="BA2006" i="2"/>
  <c r="C2007" i="2"/>
  <c r="BA2007" i="2"/>
  <c r="C2008" i="2"/>
  <c r="BA2008" i="2"/>
  <c r="C2009" i="2"/>
  <c r="BA2009" i="2"/>
  <c r="C2010" i="2"/>
  <c r="BA2010" i="2"/>
  <c r="C2011" i="2"/>
  <c r="BA2011" i="2"/>
  <c r="C2012" i="2"/>
  <c r="BA2012" i="2"/>
  <c r="C2013" i="2"/>
  <c r="BA2013" i="2"/>
  <c r="C2014" i="2"/>
  <c r="BA2014" i="2"/>
  <c r="C2015" i="2"/>
  <c r="BA2015" i="2"/>
  <c r="C2016" i="2"/>
  <c r="BA2016" i="2"/>
  <c r="C2017" i="2"/>
  <c r="BA2017" i="2"/>
  <c r="C2018" i="2"/>
  <c r="BA2018" i="2"/>
  <c r="C2019" i="2"/>
  <c r="BA2019" i="2"/>
  <c r="C2020" i="2"/>
  <c r="BA2020" i="2"/>
  <c r="C2021" i="2"/>
  <c r="BA2021" i="2"/>
  <c r="C2022" i="2"/>
  <c r="BA2022" i="2"/>
  <c r="C2023" i="2"/>
  <c r="BA2023" i="2"/>
  <c r="C2024" i="2"/>
  <c r="BA2024" i="2"/>
  <c r="C2025" i="2"/>
  <c r="BA2025" i="2"/>
  <c r="C2026" i="2"/>
  <c r="BA2026" i="2"/>
  <c r="C2027" i="2"/>
  <c r="BA2027" i="2"/>
  <c r="C2028" i="2"/>
  <c r="BA2028" i="2"/>
  <c r="C2029" i="2"/>
  <c r="BA2029" i="2"/>
  <c r="C2030" i="2"/>
  <c r="BA2030" i="2"/>
  <c r="C2031" i="2"/>
  <c r="BA2031" i="2"/>
  <c r="C2032" i="2"/>
  <c r="BA2032" i="2"/>
  <c r="C2033" i="2"/>
  <c r="BA2033" i="2"/>
  <c r="C2034" i="2"/>
  <c r="BA2034" i="2"/>
  <c r="C2035" i="2"/>
  <c r="BA2035" i="2"/>
  <c r="C2036" i="2"/>
  <c r="BA2036" i="2"/>
  <c r="C2037" i="2"/>
  <c r="BA2037" i="2"/>
  <c r="C2038" i="2"/>
  <c r="BA2038" i="2"/>
  <c r="C2039" i="2"/>
  <c r="BA2039" i="2"/>
  <c r="C2040" i="2"/>
  <c r="BA2040" i="2"/>
  <c r="C2041" i="2"/>
  <c r="BA2041" i="2"/>
  <c r="C2042" i="2"/>
  <c r="BA2042" i="2"/>
  <c r="C2043" i="2"/>
  <c r="BA2043" i="2"/>
  <c r="C2044" i="2"/>
  <c r="BA2044" i="2"/>
  <c r="C2045" i="2"/>
  <c r="BA2045" i="2"/>
  <c r="C2046" i="2"/>
  <c r="BA2046" i="2"/>
  <c r="C2047" i="2"/>
  <c r="BA2047" i="2"/>
  <c r="C2048" i="2"/>
  <c r="BA2048" i="2"/>
  <c r="C2049" i="2"/>
  <c r="BA2049" i="2"/>
  <c r="C2050" i="2"/>
  <c r="BA2050" i="2"/>
  <c r="C2051" i="2"/>
  <c r="BA2051" i="2"/>
  <c r="C2052" i="2"/>
  <c r="BA2052" i="2"/>
  <c r="C2053" i="2"/>
  <c r="BA2053" i="2"/>
  <c r="C2054" i="2"/>
  <c r="BA2054" i="2"/>
  <c r="C2055" i="2"/>
  <c r="BA2055" i="2"/>
  <c r="C2056" i="2"/>
  <c r="BA2056" i="2"/>
  <c r="C2057" i="2"/>
  <c r="BA2057" i="2"/>
  <c r="C2058" i="2"/>
  <c r="BA2058" i="2"/>
  <c r="C2059" i="2"/>
  <c r="BA2059" i="2"/>
  <c r="C2060" i="2"/>
  <c r="BA2060" i="2"/>
  <c r="C2061" i="2"/>
  <c r="BA2061" i="2"/>
  <c r="C2062" i="2"/>
  <c r="BA2062" i="2"/>
  <c r="C2063" i="2"/>
  <c r="BA2063" i="2"/>
  <c r="C2064" i="2"/>
  <c r="BA2064" i="2"/>
  <c r="C2065" i="2"/>
  <c r="BA2065" i="2"/>
  <c r="C2066" i="2"/>
  <c r="BA2066" i="2"/>
  <c r="C2067" i="2"/>
  <c r="BA2067" i="2"/>
  <c r="C2068" i="2"/>
  <c r="BA2068" i="2"/>
  <c r="C2069" i="2"/>
  <c r="BA2069" i="2"/>
  <c r="C2070" i="2"/>
  <c r="BA2070" i="2"/>
  <c r="C2071" i="2"/>
  <c r="BA2071" i="2"/>
  <c r="C2073" i="2"/>
  <c r="BA2073" i="2"/>
  <c r="C2074" i="2"/>
  <c r="BA2074" i="2"/>
  <c r="C2075" i="2"/>
  <c r="BA2075" i="2"/>
  <c r="C2076" i="2"/>
  <c r="BA2076" i="2"/>
  <c r="C2077" i="2"/>
  <c r="BA2077" i="2"/>
  <c r="C2078" i="2"/>
  <c r="BA2078" i="2"/>
  <c r="C2079" i="2"/>
  <c r="BA2079" i="2"/>
  <c r="C2080" i="2"/>
  <c r="BA2080" i="2"/>
  <c r="C2081" i="2"/>
  <c r="BA2081" i="2"/>
  <c r="C2082" i="2"/>
  <c r="BA2082" i="2"/>
  <c r="C2083" i="2"/>
  <c r="BA2083" i="2"/>
  <c r="C2084" i="2"/>
  <c r="BA2084" i="2"/>
  <c r="C2085" i="2"/>
  <c r="BA2085" i="2"/>
  <c r="C2086" i="2"/>
  <c r="BA2086" i="2"/>
  <c r="C2087" i="2"/>
  <c r="BA2087" i="2"/>
  <c r="C2088" i="2"/>
  <c r="BA2088" i="2"/>
  <c r="C2089" i="2"/>
  <c r="BA2089" i="2"/>
  <c r="C2090" i="2"/>
  <c r="BA2090" i="2"/>
  <c r="C2091" i="2"/>
  <c r="BA2091" i="2"/>
  <c r="C2092" i="2"/>
  <c r="BA2092" i="2"/>
  <c r="C2093" i="2"/>
  <c r="BA2093" i="2"/>
  <c r="C2094" i="2"/>
  <c r="BA2094" i="2"/>
  <c r="C2095" i="2"/>
  <c r="BA2095" i="2"/>
  <c r="C2096" i="2"/>
  <c r="BA2096" i="2"/>
  <c r="C2097" i="2"/>
  <c r="BA2097" i="2"/>
  <c r="C2098" i="2"/>
  <c r="BA2098" i="2"/>
  <c r="C2099" i="2"/>
  <c r="BA2099" i="2"/>
  <c r="C2100" i="2"/>
  <c r="BA2100" i="2"/>
  <c r="C2101" i="2"/>
  <c r="BA2101" i="2"/>
  <c r="C2102" i="2"/>
  <c r="BA2102" i="2"/>
  <c r="C2103" i="2"/>
  <c r="BA2103" i="2"/>
  <c r="C2104" i="2"/>
  <c r="BA2104" i="2"/>
  <c r="C2105" i="2"/>
  <c r="BA2105" i="2"/>
  <c r="C2106" i="2"/>
  <c r="BA2106" i="2"/>
  <c r="C2107" i="2"/>
  <c r="BA2107" i="2"/>
  <c r="C2108" i="2"/>
  <c r="BA2108" i="2"/>
  <c r="C2109" i="2"/>
  <c r="BA2109" i="2"/>
  <c r="C2110" i="2"/>
  <c r="BA2110" i="2"/>
  <c r="C2111" i="2"/>
  <c r="BA2111" i="2"/>
  <c r="C2112" i="2"/>
  <c r="BA2112" i="2"/>
  <c r="C2113" i="2"/>
  <c r="BA2113" i="2"/>
  <c r="C2114" i="2"/>
  <c r="BA2114" i="2"/>
  <c r="C2115" i="2"/>
  <c r="BA2115" i="2"/>
  <c r="C2116" i="2"/>
  <c r="BA2116" i="2"/>
  <c r="C2117" i="2"/>
  <c r="BA2117" i="2"/>
  <c r="C2118" i="2"/>
  <c r="BA2118" i="2"/>
  <c r="C2119" i="2"/>
  <c r="BA2119" i="2"/>
  <c r="C2120" i="2"/>
  <c r="BA2120" i="2"/>
  <c r="C2121" i="2"/>
  <c r="BA2121" i="2"/>
  <c r="C2122" i="2"/>
  <c r="BA2122" i="2"/>
  <c r="C2123" i="2"/>
  <c r="BA2123" i="2"/>
  <c r="C2124" i="2"/>
  <c r="BA2124" i="2"/>
  <c r="C2125" i="2"/>
  <c r="BA2125" i="2"/>
  <c r="C2126" i="2"/>
  <c r="BA2126" i="2"/>
  <c r="C2218" i="2"/>
  <c r="BA2218" i="2"/>
  <c r="C2219" i="2"/>
  <c r="BA2219" i="2"/>
  <c r="C2220" i="2"/>
  <c r="BA2220" i="2"/>
  <c r="C2221" i="2"/>
  <c r="BA2221" i="2"/>
  <c r="C2222" i="2"/>
  <c r="BA2222" i="2"/>
  <c r="C2223" i="2"/>
  <c r="BA2223" i="2"/>
  <c r="C2224" i="2"/>
  <c r="BA2224" i="2"/>
  <c r="C2225" i="2"/>
  <c r="BA2225" i="2"/>
  <c r="C2226" i="2"/>
  <c r="BA2226" i="2"/>
  <c r="C2227" i="2"/>
  <c r="BA2227" i="2"/>
  <c r="C2228" i="2"/>
  <c r="BA2228" i="2"/>
  <c r="C2229" i="2"/>
  <c r="BA2229" i="2"/>
  <c r="C2230" i="2"/>
  <c r="BA2230" i="2"/>
  <c r="C2231" i="2"/>
  <c r="BA2231" i="2"/>
  <c r="C2232" i="2"/>
  <c r="BA2232" i="2"/>
  <c r="C2233" i="2"/>
  <c r="BA2233" i="2"/>
  <c r="C2234" i="2"/>
  <c r="BA2234" i="2"/>
  <c r="C2235" i="2"/>
  <c r="BA2235" i="2"/>
  <c r="C2236" i="2"/>
  <c r="BA2236" i="2"/>
  <c r="C2237" i="2"/>
  <c r="BA2237" i="2"/>
  <c r="C2238" i="2"/>
  <c r="BA2238" i="2"/>
  <c r="C2239" i="2"/>
  <c r="BA2239" i="2"/>
  <c r="C2240" i="2"/>
  <c r="BA2240" i="2"/>
  <c r="C2241" i="2"/>
  <c r="BA2241" i="2"/>
  <c r="C2242" i="2"/>
  <c r="BA2242" i="2"/>
  <c r="C2243" i="2"/>
  <c r="BA2243" i="2"/>
  <c r="C2244" i="2"/>
  <c r="BA2244" i="2"/>
  <c r="C2245" i="2"/>
  <c r="BA2245" i="2"/>
  <c r="C2246" i="2"/>
  <c r="BA2246" i="2"/>
  <c r="C2247" i="2"/>
  <c r="BA2247" i="2"/>
  <c r="C2248" i="2"/>
  <c r="BA2248" i="2"/>
  <c r="C2249" i="2"/>
  <c r="BA2249" i="2"/>
  <c r="C2250" i="2"/>
  <c r="BA2250" i="2"/>
  <c r="C2251" i="2"/>
  <c r="BA2251" i="2"/>
  <c r="C2252" i="2"/>
  <c r="BA2252" i="2"/>
  <c r="C2253" i="2"/>
  <c r="BA2253" i="2"/>
  <c r="C2254" i="2"/>
  <c r="BA2254" i="2"/>
  <c r="C2255" i="2"/>
  <c r="BA2255" i="2"/>
  <c r="C2256" i="2"/>
  <c r="BA2256" i="2"/>
  <c r="C2257" i="2"/>
  <c r="BA2257" i="2"/>
  <c r="C2258" i="2"/>
  <c r="BA2258" i="2"/>
  <c r="C2259" i="2"/>
  <c r="BA2259" i="2"/>
  <c r="C2260" i="2"/>
  <c r="BA2260" i="2"/>
  <c r="C2261" i="2"/>
  <c r="BA2261" i="2"/>
  <c r="C2262" i="2"/>
  <c r="BA2262" i="2"/>
  <c r="C2263" i="2"/>
  <c r="BA2263" i="2"/>
  <c r="C2264" i="2"/>
  <c r="BA2264" i="2"/>
  <c r="C2265" i="2"/>
  <c r="BA2265" i="2"/>
  <c r="C2266" i="2"/>
  <c r="BA2266" i="2"/>
  <c r="C2267" i="2"/>
  <c r="BA2267" i="2"/>
  <c r="C2268" i="2"/>
  <c r="BA2268" i="2"/>
  <c r="C2269" i="2"/>
  <c r="BA2269" i="2"/>
  <c r="C2270" i="2"/>
  <c r="BA2270" i="2"/>
  <c r="C2271" i="2"/>
  <c r="BA2271" i="2"/>
  <c r="C2272" i="2"/>
  <c r="BA2272" i="2"/>
  <c r="C2273" i="2"/>
  <c r="BA2273" i="2"/>
  <c r="C2274" i="2"/>
  <c r="BA2274" i="2"/>
  <c r="C2275" i="2"/>
  <c r="BA2275" i="2"/>
  <c r="C2276" i="2"/>
  <c r="BA2276" i="2"/>
  <c r="C2277" i="2"/>
  <c r="BA2277" i="2"/>
  <c r="C2278" i="2"/>
  <c r="BA2278" i="2"/>
  <c r="C2279" i="2"/>
  <c r="BA2279" i="2"/>
  <c r="C2280" i="2"/>
  <c r="BA2280" i="2"/>
  <c r="C2281" i="2"/>
  <c r="BA2281" i="2"/>
  <c r="C2282" i="2"/>
  <c r="BA2282" i="2"/>
  <c r="C2283" i="2"/>
  <c r="BA2283" i="2"/>
  <c r="C2284" i="2"/>
  <c r="BA2284" i="2"/>
  <c r="C2285" i="2"/>
  <c r="BA2285" i="2"/>
  <c r="C2286" i="2"/>
  <c r="BA2286" i="2"/>
  <c r="C2287" i="2"/>
  <c r="BA2287" i="2"/>
  <c r="C2288" i="2"/>
  <c r="BA2288" i="2"/>
  <c r="C2289" i="2"/>
  <c r="BA2289" i="2"/>
  <c r="C2290" i="2"/>
  <c r="BA2290" i="2"/>
  <c r="C2291" i="2"/>
  <c r="BA2291" i="2"/>
  <c r="C2292" i="2"/>
  <c r="BA2292" i="2"/>
  <c r="C2293" i="2"/>
  <c r="BA2293" i="2"/>
  <c r="C2294" i="2"/>
  <c r="BA2294" i="2"/>
  <c r="C2295" i="2"/>
  <c r="BA2295" i="2"/>
  <c r="C2297" i="2"/>
  <c r="BA2297" i="2"/>
  <c r="C2298" i="2"/>
  <c r="BA2298" i="2"/>
  <c r="C2299" i="2"/>
  <c r="BA2299" i="2"/>
  <c r="C2300" i="2"/>
  <c r="BA2300" i="2"/>
  <c r="C2301" i="2"/>
  <c r="BA2301" i="2"/>
  <c r="C2302" i="2"/>
  <c r="BA2302" i="2"/>
  <c r="C2303" i="2"/>
  <c r="BA2303" i="2"/>
  <c r="C2304" i="2"/>
  <c r="BA2304" i="2"/>
  <c r="C2305" i="2"/>
  <c r="BA2305" i="2"/>
  <c r="C2306" i="2"/>
  <c r="BA2306" i="2"/>
  <c r="C2307" i="2"/>
  <c r="BA2307" i="2"/>
  <c r="C2308" i="2"/>
  <c r="BA2308" i="2"/>
  <c r="C2309" i="2"/>
  <c r="BA2309" i="2"/>
  <c r="C2310" i="2"/>
  <c r="BA2310" i="2"/>
  <c r="C2311" i="2"/>
  <c r="BA2311" i="2"/>
  <c r="C2312" i="2"/>
  <c r="BA2312" i="2"/>
  <c r="C2313" i="2"/>
  <c r="BA2313" i="2"/>
  <c r="C2314" i="2"/>
  <c r="BA2314" i="2"/>
  <c r="C2315" i="2"/>
  <c r="BA2315" i="2"/>
  <c r="C2316" i="2"/>
  <c r="BA2316" i="2"/>
  <c r="C2317" i="2"/>
  <c r="BA2317" i="2"/>
  <c r="C2318" i="2"/>
  <c r="BA2318" i="2"/>
  <c r="C2319" i="2"/>
  <c r="BA2319" i="2"/>
  <c r="C2320" i="2"/>
  <c r="BA2320" i="2"/>
  <c r="C2321" i="2"/>
  <c r="BA2321" i="2"/>
  <c r="C2322" i="2"/>
  <c r="BA2322" i="2"/>
  <c r="C2323" i="2"/>
  <c r="BA2323" i="2"/>
  <c r="C2324" i="2"/>
  <c r="BA2324" i="2"/>
  <c r="C2325" i="2"/>
  <c r="BA2325" i="2"/>
  <c r="C2326" i="2"/>
  <c r="BA2326" i="2"/>
  <c r="C2327" i="2"/>
  <c r="BA2327" i="2"/>
  <c r="C2328" i="2"/>
  <c r="BA2328" i="2"/>
  <c r="C2329" i="2"/>
  <c r="BA2329" i="2"/>
  <c r="C2330" i="2"/>
  <c r="BA2330" i="2"/>
  <c r="C2331" i="2"/>
  <c r="BA2331" i="2"/>
  <c r="C2332" i="2"/>
  <c r="BA2332" i="2"/>
  <c r="C2333" i="2"/>
  <c r="BA2333" i="2"/>
  <c r="C2412" i="2"/>
  <c r="BA2412" i="2"/>
  <c r="C2413" i="2"/>
  <c r="BA2413" i="2"/>
  <c r="C2414" i="2"/>
  <c r="BA2414" i="2"/>
  <c r="C2415" i="2"/>
  <c r="BA2415" i="2"/>
  <c r="C2416" i="2"/>
  <c r="BA2416" i="2"/>
  <c r="C2417" i="2"/>
  <c r="BA2417" i="2"/>
  <c r="C2418" i="2"/>
  <c r="BA2418" i="2"/>
  <c r="C2419" i="2"/>
  <c r="BA2419" i="2"/>
  <c r="C2420" i="2"/>
  <c r="BA2420" i="2"/>
  <c r="C2421" i="2"/>
  <c r="BA2421" i="2"/>
  <c r="C2422" i="2"/>
  <c r="BA2422" i="2"/>
  <c r="C2423" i="2"/>
  <c r="BA2423" i="2"/>
  <c r="C2424" i="2"/>
  <c r="BA2424" i="2"/>
  <c r="C2425" i="2"/>
  <c r="BA2425" i="2"/>
  <c r="C2426" i="2"/>
  <c r="BA2426" i="2"/>
  <c r="C2427" i="2"/>
  <c r="BA2427" i="2"/>
  <c r="C2428" i="2"/>
  <c r="BA2428" i="2"/>
  <c r="C2429" i="2"/>
  <c r="BA2429" i="2"/>
  <c r="C2430" i="2"/>
  <c r="BA2430" i="2"/>
  <c r="C2431" i="2"/>
  <c r="BA2431" i="2"/>
  <c r="C2432" i="2"/>
  <c r="BA2432" i="2"/>
  <c r="C2433" i="2"/>
  <c r="BA2433" i="2"/>
  <c r="C2434" i="2"/>
  <c r="BA2434" i="2"/>
  <c r="C2435" i="2"/>
  <c r="BA2435" i="2"/>
  <c r="C2436" i="2"/>
  <c r="BA2436" i="2"/>
  <c r="C2437" i="2"/>
  <c r="BA2437" i="2"/>
  <c r="C2438" i="2"/>
  <c r="BA2438" i="2"/>
  <c r="C2439" i="2"/>
  <c r="BA2439" i="2"/>
  <c r="C2440" i="2"/>
  <c r="BA2440" i="2"/>
  <c r="C2441" i="2"/>
  <c r="BA2441" i="2"/>
  <c r="C2442" i="2"/>
  <c r="BA2442" i="2"/>
  <c r="C2443" i="2"/>
  <c r="BA2443" i="2"/>
  <c r="C2444" i="2"/>
  <c r="BA2444" i="2"/>
  <c r="C2445" i="2"/>
  <c r="BA2445" i="2"/>
  <c r="C2446" i="2"/>
  <c r="BA2446" i="2"/>
  <c r="C2447" i="2"/>
  <c r="BA2447" i="2"/>
  <c r="C2448" i="2"/>
  <c r="BA2448" i="2"/>
  <c r="C2449" i="2"/>
  <c r="BA2449" i="2"/>
  <c r="C2450" i="2"/>
  <c r="BA2450" i="2"/>
  <c r="C2451" i="2"/>
  <c r="BA2451" i="2"/>
  <c r="C2452" i="2"/>
  <c r="BA2452" i="2"/>
  <c r="C2453" i="2"/>
  <c r="BA2453" i="2"/>
  <c r="C2454" i="2"/>
  <c r="BA2454" i="2"/>
  <c r="C2455" i="2"/>
  <c r="BA2455" i="2"/>
  <c r="C2456" i="2"/>
  <c r="BA2456" i="2"/>
  <c r="C2457" i="2"/>
  <c r="BA2457" i="2"/>
  <c r="C2458" i="2"/>
  <c r="BA2458" i="2"/>
  <c r="C2460" i="2"/>
  <c r="BA2460" i="2"/>
  <c r="C2461" i="2"/>
  <c r="BA2461" i="2"/>
  <c r="C2462" i="2"/>
  <c r="BA2462" i="2"/>
  <c r="C2463" i="2"/>
  <c r="BA2463" i="2"/>
  <c r="C2464" i="2"/>
  <c r="BA2464" i="2"/>
  <c r="C2465" i="2"/>
  <c r="BA2465" i="2"/>
  <c r="C2466" i="2"/>
  <c r="BA2466" i="2"/>
  <c r="C2467" i="2"/>
  <c r="BA2467" i="2"/>
  <c r="C2468" i="2"/>
  <c r="BA2468" i="2"/>
  <c r="C2469" i="2"/>
  <c r="BA2469" i="2"/>
  <c r="C2470" i="2"/>
  <c r="BA2470" i="2"/>
  <c r="C2471" i="2"/>
  <c r="BA2471" i="2"/>
  <c r="C2472" i="2"/>
  <c r="BA2472" i="2"/>
  <c r="C2473" i="2"/>
  <c r="BA2473" i="2"/>
  <c r="C2474" i="2"/>
  <c r="BA2474" i="2"/>
  <c r="C2475" i="2"/>
  <c r="BA2475" i="2"/>
  <c r="C2476" i="2"/>
  <c r="BA2476" i="2"/>
  <c r="C2477" i="2"/>
  <c r="BA2477" i="2"/>
  <c r="C2478" i="2"/>
  <c r="BA2478" i="2"/>
  <c r="C2479" i="2"/>
  <c r="BA2479" i="2"/>
  <c r="C2480" i="2"/>
  <c r="BA2480" i="2"/>
  <c r="C2481" i="2"/>
  <c r="BA2481" i="2"/>
  <c r="C2482" i="2"/>
  <c r="BA2482" i="2"/>
  <c r="C2483" i="2"/>
  <c r="BA2483" i="2"/>
  <c r="C2484" i="2"/>
  <c r="BA2484" i="2"/>
  <c r="C2485" i="2"/>
  <c r="BA2485" i="2"/>
  <c r="C2486" i="2"/>
  <c r="BA2486" i="2"/>
  <c r="C2487" i="2"/>
  <c r="BA2487" i="2"/>
  <c r="C2488" i="2"/>
  <c r="BA2488" i="2"/>
  <c r="C2489" i="2"/>
  <c r="BA2489" i="2"/>
  <c r="C2490" i="2"/>
  <c r="BA2490" i="2"/>
  <c r="C2491" i="2"/>
  <c r="BA2491" i="2"/>
  <c r="C2492" i="2"/>
  <c r="BA2492" i="2"/>
  <c r="C2493" i="2"/>
  <c r="BA2493" i="2"/>
  <c r="C2494" i="2"/>
  <c r="BA2494" i="2"/>
  <c r="C2495" i="2"/>
  <c r="BA2495" i="2"/>
  <c r="C2496" i="2"/>
  <c r="BA2496" i="2"/>
  <c r="C2497" i="2"/>
  <c r="BA2497" i="2"/>
  <c r="C2498" i="2"/>
  <c r="BA2498" i="2"/>
  <c r="C2499" i="2"/>
  <c r="BA2499" i="2"/>
  <c r="C2500" i="2"/>
  <c r="BA2500" i="2"/>
  <c r="C2501" i="2"/>
  <c r="BA2501" i="2"/>
  <c r="C2502" i="2"/>
  <c r="BA2502" i="2"/>
  <c r="C2503" i="2"/>
  <c r="BA2503" i="2"/>
  <c r="C2504" i="2"/>
  <c r="BA2504" i="2"/>
  <c r="C2505" i="2"/>
  <c r="BA2505" i="2"/>
  <c r="C2506" i="2"/>
  <c r="BA2506" i="2"/>
  <c r="C2507" i="2"/>
  <c r="BA2507" i="2"/>
  <c r="C2508" i="2"/>
  <c r="BA2508" i="2"/>
  <c r="C2509" i="2"/>
  <c r="BA2509" i="2"/>
  <c r="C2510" i="2"/>
  <c r="BA2510" i="2"/>
  <c r="C2511" i="2"/>
  <c r="BA2511" i="2"/>
  <c r="C2512" i="2"/>
  <c r="BA2512" i="2"/>
  <c r="C2513" i="2"/>
  <c r="BA2513" i="2"/>
  <c r="C2514" i="2"/>
  <c r="BA2514" i="2"/>
  <c r="C2515" i="2"/>
  <c r="BA2515" i="2"/>
  <c r="C2516" i="2"/>
  <c r="BA2516" i="2"/>
  <c r="C2517" i="2"/>
  <c r="BA2517" i="2"/>
  <c r="C2518" i="2"/>
  <c r="BA2518" i="2"/>
  <c r="C2519" i="2"/>
  <c r="BA2519" i="2"/>
  <c r="C2520" i="2"/>
  <c r="BA2520" i="2"/>
  <c r="C2521" i="2"/>
  <c r="BA2521" i="2"/>
  <c r="C2522" i="2"/>
  <c r="BA2522" i="2"/>
  <c r="C2523" i="2"/>
  <c r="BA2523" i="2"/>
  <c r="C2524" i="2"/>
  <c r="BA2524" i="2"/>
  <c r="C2525" i="2"/>
  <c r="BA2525" i="2"/>
  <c r="C2526" i="2"/>
  <c r="BA2526" i="2"/>
  <c r="C3161" i="2"/>
  <c r="BA3161" i="2"/>
  <c r="C3162" i="2"/>
  <c r="BA3162" i="2"/>
  <c r="C3163" i="2"/>
  <c r="BA3163" i="2"/>
  <c r="C3164" i="2"/>
  <c r="BA3164" i="2"/>
  <c r="C3165" i="2"/>
  <c r="BA3165" i="2"/>
  <c r="C3166" i="2"/>
  <c r="BA3166" i="2"/>
  <c r="C3167" i="2"/>
  <c r="BA3167" i="2"/>
  <c r="C3168" i="2"/>
  <c r="BA3168" i="2"/>
  <c r="C3169" i="2"/>
  <c r="BA3169" i="2"/>
  <c r="C3170" i="2"/>
  <c r="BA3170" i="2"/>
  <c r="C3171" i="2"/>
  <c r="BA3171" i="2"/>
  <c r="C3172" i="2"/>
  <c r="BA3172" i="2"/>
  <c r="C3173" i="2"/>
  <c r="BA3173" i="2"/>
  <c r="C3174" i="2"/>
  <c r="BA3174" i="2"/>
  <c r="C3175" i="2"/>
  <c r="BA3175" i="2"/>
  <c r="C3176" i="2"/>
  <c r="BA3176" i="2"/>
  <c r="C3177" i="2"/>
  <c r="BA3177" i="2"/>
  <c r="C3178" i="2"/>
  <c r="BA3178" i="2"/>
  <c r="C3179" i="2"/>
  <c r="BA3179" i="2"/>
  <c r="C3180" i="2"/>
  <c r="BA3180" i="2"/>
  <c r="C3181" i="2"/>
  <c r="BA3181" i="2"/>
  <c r="C3182" i="2"/>
  <c r="BA3182" i="2"/>
  <c r="C3183" i="2"/>
  <c r="BA3183" i="2"/>
  <c r="C3184" i="2"/>
  <c r="BA3184" i="2"/>
  <c r="C3185" i="2"/>
  <c r="BA3185" i="2"/>
  <c r="C3186" i="2"/>
  <c r="BA3186" i="2"/>
  <c r="C3187" i="2"/>
  <c r="BA3187" i="2"/>
  <c r="C3188" i="2"/>
  <c r="BA3188" i="2"/>
  <c r="C3189" i="2"/>
  <c r="BA3189" i="2"/>
  <c r="C3190" i="2"/>
  <c r="BA3190" i="2"/>
  <c r="C3191" i="2"/>
  <c r="BA3191" i="2"/>
  <c r="C3192" i="2"/>
  <c r="BA3192" i="2"/>
  <c r="C3193" i="2"/>
  <c r="BA3193" i="2"/>
  <c r="C3194" i="2"/>
  <c r="BA3194" i="2"/>
  <c r="C3195" i="2"/>
  <c r="BA3195" i="2"/>
  <c r="C3196" i="2"/>
  <c r="BA3196" i="2"/>
  <c r="C3197" i="2"/>
  <c r="BA3197" i="2"/>
  <c r="C3198" i="2"/>
  <c r="BA3198" i="2"/>
  <c r="C3199" i="2"/>
  <c r="BA3199" i="2"/>
  <c r="C3200" i="2"/>
  <c r="BA3200" i="2"/>
  <c r="C3201" i="2"/>
  <c r="BA3201" i="2"/>
  <c r="C3202" i="2"/>
  <c r="BA3202" i="2"/>
  <c r="C3203" i="2"/>
  <c r="BA3203" i="2"/>
  <c r="C3204" i="2"/>
  <c r="BA3204" i="2"/>
  <c r="C3205" i="2"/>
  <c r="BA3205" i="2"/>
  <c r="C3206" i="2"/>
  <c r="BA3206" i="2"/>
  <c r="C3207" i="2"/>
  <c r="BA3207" i="2"/>
  <c r="C3208" i="2"/>
  <c r="BA3208" i="2"/>
  <c r="C3209" i="2"/>
  <c r="BA3209" i="2"/>
  <c r="C3210" i="2"/>
  <c r="BA3210" i="2"/>
  <c r="C3211" i="2"/>
  <c r="BA3211" i="2"/>
  <c r="C3212" i="2"/>
  <c r="BA3212" i="2"/>
  <c r="C3213" i="2"/>
  <c r="BA3213" i="2"/>
  <c r="C3214" i="2"/>
  <c r="BA3214" i="2"/>
  <c r="C3215" i="2"/>
  <c r="BA3215" i="2"/>
  <c r="C3216" i="2"/>
  <c r="BA3216" i="2"/>
  <c r="C3217" i="2"/>
  <c r="BA3217" i="2"/>
  <c r="C3218" i="2"/>
  <c r="BA3218" i="2"/>
  <c r="C3219" i="2"/>
  <c r="BA3219" i="2"/>
  <c r="C3220" i="2"/>
  <c r="BA3220" i="2"/>
  <c r="C3221" i="2"/>
  <c r="BA3221" i="2"/>
  <c r="C3222" i="2"/>
  <c r="BA3222" i="2"/>
  <c r="C3223" i="2"/>
  <c r="BA3223" i="2"/>
  <c r="C3224" i="2"/>
  <c r="BA3224" i="2"/>
  <c r="C3225" i="2"/>
  <c r="BA3225" i="2"/>
  <c r="C3226" i="2"/>
  <c r="BA3226" i="2"/>
  <c r="C3227" i="2"/>
  <c r="BA3227" i="2"/>
  <c r="C3228" i="2"/>
  <c r="BA3228" i="2"/>
  <c r="C3229" i="2"/>
  <c r="BA3229" i="2"/>
  <c r="C3230" i="2"/>
  <c r="BA3230" i="2"/>
  <c r="C3231" i="2"/>
  <c r="BA3231" i="2"/>
  <c r="C3232" i="2"/>
  <c r="BA3232" i="2"/>
  <c r="C3233" i="2"/>
  <c r="BA3233" i="2"/>
  <c r="C3235" i="2"/>
  <c r="BA3235" i="2"/>
  <c r="C3236" i="2"/>
  <c r="BA3236" i="2"/>
  <c r="C3237" i="2"/>
  <c r="BA3237" i="2"/>
  <c r="C3238" i="2"/>
  <c r="BA3238" i="2"/>
  <c r="C3239" i="2"/>
  <c r="BA3239" i="2"/>
  <c r="C3240" i="2"/>
  <c r="BA3240" i="2"/>
  <c r="C3241" i="2"/>
  <c r="BA3241" i="2"/>
  <c r="C3242" i="2"/>
  <c r="BA3242" i="2"/>
  <c r="C3243" i="2"/>
  <c r="BA3243" i="2"/>
  <c r="C3244" i="2"/>
  <c r="BA3244" i="2"/>
  <c r="C3245" i="2"/>
  <c r="BA3245" i="2"/>
  <c r="C3246" i="2"/>
  <c r="BA3246" i="2"/>
  <c r="C3247" i="2"/>
  <c r="BA3247" i="2"/>
  <c r="C3248" i="2"/>
  <c r="BA3248" i="2"/>
  <c r="C3249" i="2"/>
  <c r="BA3249" i="2"/>
  <c r="C3250" i="2"/>
  <c r="BA3250" i="2"/>
  <c r="C3251" i="2"/>
  <c r="BA3251" i="2"/>
  <c r="C3252" i="2"/>
  <c r="BA3252" i="2"/>
  <c r="C3253" i="2"/>
  <c r="BA3253" i="2"/>
  <c r="C3254" i="2"/>
  <c r="BA3254" i="2"/>
  <c r="C3255" i="2"/>
  <c r="BA3255" i="2"/>
  <c r="C3256" i="2"/>
  <c r="BA3256" i="2"/>
  <c r="C3257" i="2"/>
  <c r="BA3257" i="2"/>
  <c r="C3258" i="2"/>
  <c r="BA3258" i="2"/>
  <c r="E86" i="8"/>
  <c r="E87" i="8"/>
  <c r="E88" i="8"/>
  <c r="E89" i="8"/>
  <c r="E90" i="8"/>
  <c r="E91" i="8"/>
  <c r="E92" i="8"/>
  <c r="E93" i="8"/>
  <c r="E94" i="8"/>
  <c r="E95" i="8"/>
  <c r="G62" i="8"/>
  <c r="N1" i="2"/>
  <c r="D1" i="2"/>
  <c r="O1" i="2"/>
  <c r="E1" i="2"/>
  <c r="P1" i="2"/>
  <c r="F1" i="2"/>
  <c r="J1" i="2"/>
  <c r="D115" i="2"/>
  <c r="E115" i="2"/>
  <c r="F115" i="2"/>
  <c r="G115" i="2"/>
  <c r="H115" i="2"/>
  <c r="J115" i="2"/>
  <c r="D116" i="2"/>
  <c r="E116" i="2"/>
  <c r="F116" i="2"/>
  <c r="G116" i="2"/>
  <c r="H116" i="2"/>
  <c r="J116" i="2"/>
  <c r="D117" i="2"/>
  <c r="E117" i="2"/>
  <c r="F117" i="2"/>
  <c r="G117" i="2"/>
  <c r="H117" i="2"/>
  <c r="J117" i="2"/>
  <c r="D118" i="2"/>
  <c r="E118" i="2"/>
  <c r="F118" i="2"/>
  <c r="G118" i="2"/>
  <c r="H118" i="2"/>
  <c r="J118" i="2"/>
  <c r="D119" i="2"/>
  <c r="E119" i="2"/>
  <c r="F119" i="2"/>
  <c r="G119" i="2"/>
  <c r="H119" i="2"/>
  <c r="J119" i="2"/>
  <c r="D120" i="2"/>
  <c r="E120" i="2"/>
  <c r="F120" i="2"/>
  <c r="G120" i="2"/>
  <c r="H120" i="2"/>
  <c r="J120" i="2"/>
  <c r="D121" i="2"/>
  <c r="E121" i="2"/>
  <c r="F121" i="2"/>
  <c r="G121" i="2"/>
  <c r="H121" i="2"/>
  <c r="J121" i="2"/>
  <c r="D122" i="2"/>
  <c r="E122" i="2"/>
  <c r="F122" i="2"/>
  <c r="G122" i="2"/>
  <c r="H122" i="2"/>
  <c r="J122" i="2"/>
  <c r="D123" i="2"/>
  <c r="E123" i="2"/>
  <c r="F123" i="2"/>
  <c r="G123" i="2"/>
  <c r="H123" i="2"/>
  <c r="J123" i="2"/>
  <c r="D124" i="2"/>
  <c r="E124" i="2"/>
  <c r="F124" i="2"/>
  <c r="G124" i="2"/>
  <c r="H124" i="2"/>
  <c r="J124" i="2"/>
  <c r="D125" i="2"/>
  <c r="E125" i="2"/>
  <c r="F125" i="2"/>
  <c r="G125" i="2"/>
  <c r="H125" i="2"/>
  <c r="J125" i="2"/>
  <c r="D126" i="2"/>
  <c r="E126" i="2"/>
  <c r="F126" i="2"/>
  <c r="G126" i="2"/>
  <c r="H126" i="2"/>
  <c r="J126" i="2"/>
  <c r="D127" i="2"/>
  <c r="E127" i="2"/>
  <c r="F127" i="2"/>
  <c r="G127" i="2"/>
  <c r="H127" i="2"/>
  <c r="J127" i="2"/>
  <c r="D128" i="2"/>
  <c r="E128" i="2"/>
  <c r="F128" i="2"/>
  <c r="G128" i="2"/>
  <c r="H128" i="2"/>
  <c r="J128" i="2"/>
  <c r="D129" i="2"/>
  <c r="E129" i="2"/>
  <c r="F129" i="2"/>
  <c r="G129" i="2"/>
  <c r="H129" i="2"/>
  <c r="J129" i="2"/>
  <c r="D130" i="2"/>
  <c r="E130" i="2"/>
  <c r="F130" i="2"/>
  <c r="G130" i="2"/>
  <c r="H130" i="2"/>
  <c r="J130" i="2"/>
  <c r="D209" i="2"/>
  <c r="E209" i="2"/>
  <c r="F209" i="2"/>
  <c r="G209" i="2"/>
  <c r="H209" i="2"/>
  <c r="J209" i="2"/>
  <c r="D210" i="2"/>
  <c r="E210" i="2"/>
  <c r="F210" i="2"/>
  <c r="G210" i="2"/>
  <c r="H210" i="2"/>
  <c r="J210" i="2"/>
  <c r="D211" i="2"/>
  <c r="E211" i="2"/>
  <c r="F211" i="2"/>
  <c r="G211" i="2"/>
  <c r="H211" i="2"/>
  <c r="J211" i="2"/>
  <c r="D212" i="2"/>
  <c r="E212" i="2"/>
  <c r="F212" i="2"/>
  <c r="G212" i="2"/>
  <c r="H212" i="2"/>
  <c r="J212" i="2"/>
  <c r="D213" i="2"/>
  <c r="E213" i="2"/>
  <c r="F213" i="2"/>
  <c r="G213" i="2"/>
  <c r="H213" i="2"/>
  <c r="J213" i="2"/>
  <c r="D214" i="2"/>
  <c r="E214" i="2"/>
  <c r="F214" i="2"/>
  <c r="G214" i="2"/>
  <c r="H214" i="2"/>
  <c r="J214" i="2"/>
  <c r="D215" i="2"/>
  <c r="E215" i="2"/>
  <c r="F215" i="2"/>
  <c r="G215" i="2"/>
  <c r="H215" i="2"/>
  <c r="J215" i="2"/>
  <c r="D216" i="2"/>
  <c r="E216" i="2"/>
  <c r="F216" i="2"/>
  <c r="G216" i="2"/>
  <c r="H216" i="2"/>
  <c r="J216" i="2"/>
  <c r="D217" i="2"/>
  <c r="E217" i="2"/>
  <c r="F217" i="2"/>
  <c r="G217" i="2"/>
  <c r="H217" i="2"/>
  <c r="J217" i="2"/>
  <c r="D218" i="2"/>
  <c r="E218" i="2"/>
  <c r="F218" i="2"/>
  <c r="G218" i="2"/>
  <c r="H218" i="2"/>
  <c r="J218" i="2"/>
  <c r="D219" i="2"/>
  <c r="E219" i="2"/>
  <c r="F219" i="2"/>
  <c r="G219" i="2"/>
  <c r="H219" i="2"/>
  <c r="J219" i="2"/>
  <c r="D220" i="2"/>
  <c r="E220" i="2"/>
  <c r="F220" i="2"/>
  <c r="G220" i="2"/>
  <c r="H220" i="2"/>
  <c r="J220" i="2"/>
  <c r="D221" i="2"/>
  <c r="E221" i="2"/>
  <c r="F221" i="2"/>
  <c r="G221" i="2"/>
  <c r="H221" i="2"/>
  <c r="J221" i="2"/>
  <c r="D222" i="2"/>
  <c r="E222" i="2"/>
  <c r="F222" i="2"/>
  <c r="G222" i="2"/>
  <c r="H222" i="2"/>
  <c r="J222" i="2"/>
  <c r="D223" i="2"/>
  <c r="E223" i="2"/>
  <c r="F223" i="2"/>
  <c r="G223" i="2"/>
  <c r="H223" i="2"/>
  <c r="J223" i="2"/>
  <c r="D224" i="2"/>
  <c r="E224" i="2"/>
  <c r="F224" i="2"/>
  <c r="G224" i="2"/>
  <c r="H224" i="2"/>
  <c r="J224" i="2"/>
  <c r="D225" i="2"/>
  <c r="E225" i="2"/>
  <c r="F225" i="2"/>
  <c r="G225" i="2"/>
  <c r="H225" i="2"/>
  <c r="J225" i="2"/>
  <c r="D226" i="2"/>
  <c r="E226" i="2"/>
  <c r="F226" i="2"/>
  <c r="G226" i="2"/>
  <c r="H226" i="2"/>
  <c r="J226" i="2"/>
  <c r="D227" i="2"/>
  <c r="E227" i="2"/>
  <c r="F227" i="2"/>
  <c r="G227" i="2"/>
  <c r="H227" i="2"/>
  <c r="J227" i="2"/>
  <c r="D228" i="2"/>
  <c r="E228" i="2"/>
  <c r="F228" i="2"/>
  <c r="G228" i="2"/>
  <c r="H228" i="2"/>
  <c r="J228" i="2"/>
  <c r="D229" i="2"/>
  <c r="E229" i="2"/>
  <c r="F229" i="2"/>
  <c r="G229" i="2"/>
  <c r="H229" i="2"/>
  <c r="J229" i="2"/>
  <c r="D230" i="2"/>
  <c r="E230" i="2"/>
  <c r="F230" i="2"/>
  <c r="G230" i="2"/>
  <c r="H230" i="2"/>
  <c r="J230" i="2"/>
  <c r="D231" i="2"/>
  <c r="E231" i="2"/>
  <c r="F231" i="2"/>
  <c r="G231" i="2"/>
  <c r="H231" i="2"/>
  <c r="J231" i="2"/>
  <c r="D232" i="2"/>
  <c r="E232" i="2"/>
  <c r="F232" i="2"/>
  <c r="G232" i="2"/>
  <c r="H232" i="2"/>
  <c r="J232" i="2"/>
  <c r="D233" i="2"/>
  <c r="E233" i="2"/>
  <c r="F233" i="2"/>
  <c r="G233" i="2"/>
  <c r="H233" i="2"/>
  <c r="J233" i="2"/>
  <c r="D234" i="2"/>
  <c r="E234" i="2"/>
  <c r="F234" i="2"/>
  <c r="G234" i="2"/>
  <c r="H234" i="2"/>
  <c r="J234" i="2"/>
  <c r="D235" i="2"/>
  <c r="E235" i="2"/>
  <c r="F235" i="2"/>
  <c r="G235" i="2"/>
  <c r="H235" i="2"/>
  <c r="J235" i="2"/>
  <c r="D236" i="2"/>
  <c r="E236" i="2"/>
  <c r="F236" i="2"/>
  <c r="G236" i="2"/>
  <c r="H236" i="2"/>
  <c r="J236" i="2"/>
  <c r="D237" i="2"/>
  <c r="E237" i="2"/>
  <c r="F237" i="2"/>
  <c r="G237" i="2"/>
  <c r="H237" i="2"/>
  <c r="J237" i="2"/>
  <c r="D238" i="2"/>
  <c r="E238" i="2"/>
  <c r="F238" i="2"/>
  <c r="G238" i="2"/>
  <c r="H238" i="2"/>
  <c r="J238" i="2"/>
  <c r="D239" i="2"/>
  <c r="E239" i="2"/>
  <c r="F239" i="2"/>
  <c r="G239" i="2"/>
  <c r="H239" i="2"/>
  <c r="J239" i="2"/>
  <c r="D240" i="2"/>
  <c r="E240" i="2"/>
  <c r="F240" i="2"/>
  <c r="G240" i="2"/>
  <c r="H240" i="2"/>
  <c r="J240" i="2"/>
  <c r="D241" i="2"/>
  <c r="E241" i="2"/>
  <c r="F241" i="2"/>
  <c r="G241" i="2"/>
  <c r="H241" i="2"/>
  <c r="J241" i="2"/>
  <c r="D242" i="2"/>
  <c r="E242" i="2"/>
  <c r="F242" i="2"/>
  <c r="G242" i="2"/>
  <c r="H242" i="2"/>
  <c r="J242" i="2"/>
  <c r="D243" i="2"/>
  <c r="E243" i="2"/>
  <c r="F243" i="2"/>
  <c r="G243" i="2"/>
  <c r="H243" i="2"/>
  <c r="J243" i="2"/>
  <c r="D244" i="2"/>
  <c r="E244" i="2"/>
  <c r="F244" i="2"/>
  <c r="G244" i="2"/>
  <c r="H244" i="2"/>
  <c r="J244" i="2"/>
  <c r="D245" i="2"/>
  <c r="E245" i="2"/>
  <c r="F245" i="2"/>
  <c r="G245" i="2"/>
  <c r="H245" i="2"/>
  <c r="J245" i="2"/>
  <c r="D246" i="2"/>
  <c r="E246" i="2"/>
  <c r="F246" i="2"/>
  <c r="G246" i="2"/>
  <c r="H246" i="2"/>
  <c r="J246" i="2"/>
  <c r="D247" i="2"/>
  <c r="E247" i="2"/>
  <c r="F247" i="2"/>
  <c r="G247" i="2"/>
  <c r="H247" i="2"/>
  <c r="J247" i="2"/>
  <c r="D248" i="2"/>
  <c r="E248" i="2"/>
  <c r="F248" i="2"/>
  <c r="G248" i="2"/>
  <c r="H248" i="2"/>
  <c r="J248" i="2"/>
  <c r="D249" i="2"/>
  <c r="E249" i="2"/>
  <c r="F249" i="2"/>
  <c r="G249" i="2"/>
  <c r="H249" i="2"/>
  <c r="J249" i="2"/>
  <c r="D250" i="2"/>
  <c r="E250" i="2"/>
  <c r="F250" i="2"/>
  <c r="G250" i="2"/>
  <c r="H250" i="2"/>
  <c r="J250" i="2"/>
  <c r="D251" i="2"/>
  <c r="E251" i="2"/>
  <c r="F251" i="2"/>
  <c r="G251" i="2"/>
  <c r="H251" i="2"/>
  <c r="J251" i="2"/>
  <c r="D252" i="2"/>
  <c r="E252" i="2"/>
  <c r="F252" i="2"/>
  <c r="G252" i="2"/>
  <c r="H252" i="2"/>
  <c r="J252" i="2"/>
  <c r="D253" i="2"/>
  <c r="E253" i="2"/>
  <c r="F253" i="2"/>
  <c r="G253" i="2"/>
  <c r="H253" i="2"/>
  <c r="J253" i="2"/>
  <c r="D254" i="2"/>
  <c r="E254" i="2"/>
  <c r="F254" i="2"/>
  <c r="G254" i="2"/>
  <c r="H254" i="2"/>
  <c r="J254" i="2"/>
  <c r="D255" i="2"/>
  <c r="E255" i="2"/>
  <c r="F255" i="2"/>
  <c r="G255" i="2"/>
  <c r="H255" i="2"/>
  <c r="J255" i="2"/>
  <c r="D256" i="2"/>
  <c r="E256" i="2"/>
  <c r="F256" i="2"/>
  <c r="G256" i="2"/>
  <c r="H256" i="2"/>
  <c r="J256" i="2"/>
  <c r="D257" i="2"/>
  <c r="E257" i="2"/>
  <c r="F257" i="2"/>
  <c r="G257" i="2"/>
  <c r="H257" i="2"/>
  <c r="J257" i="2"/>
  <c r="D258" i="2"/>
  <c r="E258" i="2"/>
  <c r="F258" i="2"/>
  <c r="G258" i="2"/>
  <c r="H258" i="2"/>
  <c r="J258" i="2"/>
  <c r="D259" i="2"/>
  <c r="E259" i="2"/>
  <c r="F259" i="2"/>
  <c r="G259" i="2"/>
  <c r="H259" i="2"/>
  <c r="J259" i="2"/>
  <c r="D260" i="2"/>
  <c r="E260" i="2"/>
  <c r="F260" i="2"/>
  <c r="G260" i="2"/>
  <c r="H260" i="2"/>
  <c r="J260" i="2"/>
  <c r="D261" i="2"/>
  <c r="E261" i="2"/>
  <c r="F261" i="2"/>
  <c r="G261" i="2"/>
  <c r="H261" i="2"/>
  <c r="J261" i="2"/>
  <c r="D262" i="2"/>
  <c r="E262" i="2"/>
  <c r="F262" i="2"/>
  <c r="G262" i="2"/>
  <c r="H262" i="2"/>
  <c r="J262" i="2"/>
  <c r="D263" i="2"/>
  <c r="E263" i="2"/>
  <c r="F263" i="2"/>
  <c r="G263" i="2"/>
  <c r="H263" i="2"/>
  <c r="J263" i="2"/>
  <c r="D264" i="2"/>
  <c r="E264" i="2"/>
  <c r="F264" i="2"/>
  <c r="G264" i="2"/>
  <c r="H264" i="2"/>
  <c r="J264" i="2"/>
  <c r="D265" i="2"/>
  <c r="E265" i="2"/>
  <c r="F265" i="2"/>
  <c r="G265" i="2"/>
  <c r="H265" i="2"/>
  <c r="J265" i="2"/>
  <c r="D266" i="2"/>
  <c r="E266" i="2"/>
  <c r="F266" i="2"/>
  <c r="G266" i="2"/>
  <c r="H266" i="2"/>
  <c r="J266" i="2"/>
  <c r="D267" i="2"/>
  <c r="E267" i="2"/>
  <c r="F267" i="2"/>
  <c r="G267" i="2"/>
  <c r="H267" i="2"/>
  <c r="J267" i="2"/>
  <c r="D269" i="2"/>
  <c r="E269" i="2"/>
  <c r="F269" i="2"/>
  <c r="G269" i="2"/>
  <c r="H269" i="2"/>
  <c r="J269" i="2"/>
  <c r="D270" i="2"/>
  <c r="E270" i="2"/>
  <c r="F270" i="2"/>
  <c r="G270" i="2"/>
  <c r="H270" i="2"/>
  <c r="J270" i="2"/>
  <c r="D271" i="2"/>
  <c r="E271" i="2"/>
  <c r="F271" i="2"/>
  <c r="G271" i="2"/>
  <c r="H271" i="2"/>
  <c r="J271" i="2"/>
  <c r="D272" i="2"/>
  <c r="E272" i="2"/>
  <c r="F272" i="2"/>
  <c r="G272" i="2"/>
  <c r="H272" i="2"/>
  <c r="J272" i="2"/>
  <c r="D273" i="2"/>
  <c r="E273" i="2"/>
  <c r="F273" i="2"/>
  <c r="G273" i="2"/>
  <c r="H273" i="2"/>
  <c r="J273" i="2"/>
  <c r="D274" i="2"/>
  <c r="E274" i="2"/>
  <c r="F274" i="2"/>
  <c r="G274" i="2"/>
  <c r="H274" i="2"/>
  <c r="J274" i="2"/>
  <c r="D275" i="2"/>
  <c r="E275" i="2"/>
  <c r="F275" i="2"/>
  <c r="G275" i="2"/>
  <c r="H275" i="2"/>
  <c r="J275" i="2"/>
  <c r="D276" i="2"/>
  <c r="E276" i="2"/>
  <c r="F276" i="2"/>
  <c r="G276" i="2"/>
  <c r="H276" i="2"/>
  <c r="J276" i="2"/>
  <c r="D277" i="2"/>
  <c r="E277" i="2"/>
  <c r="F277" i="2"/>
  <c r="G277" i="2"/>
  <c r="H277" i="2"/>
  <c r="J277" i="2"/>
  <c r="D278" i="2"/>
  <c r="E278" i="2"/>
  <c r="F278" i="2"/>
  <c r="G278" i="2"/>
  <c r="H278" i="2"/>
  <c r="J278" i="2"/>
  <c r="D279" i="2"/>
  <c r="E279" i="2"/>
  <c r="F279" i="2"/>
  <c r="G279" i="2"/>
  <c r="H279" i="2"/>
  <c r="J279" i="2"/>
  <c r="D280" i="2"/>
  <c r="E280" i="2"/>
  <c r="F280" i="2"/>
  <c r="G280" i="2"/>
  <c r="H280" i="2"/>
  <c r="J280" i="2"/>
  <c r="D281" i="2"/>
  <c r="E281" i="2"/>
  <c r="F281" i="2"/>
  <c r="G281" i="2"/>
  <c r="H281" i="2"/>
  <c r="J281" i="2"/>
  <c r="D282" i="2"/>
  <c r="E282" i="2"/>
  <c r="F282" i="2"/>
  <c r="G282" i="2"/>
  <c r="H282" i="2"/>
  <c r="J282" i="2"/>
  <c r="D283" i="2"/>
  <c r="E283" i="2"/>
  <c r="F283" i="2"/>
  <c r="G283" i="2"/>
  <c r="H283" i="2"/>
  <c r="J283" i="2"/>
  <c r="D284" i="2"/>
  <c r="E284" i="2"/>
  <c r="F284" i="2"/>
  <c r="G284" i="2"/>
  <c r="H284" i="2"/>
  <c r="J284" i="2"/>
  <c r="D285" i="2"/>
  <c r="E285" i="2"/>
  <c r="F285" i="2"/>
  <c r="G285" i="2"/>
  <c r="H285" i="2"/>
  <c r="J285" i="2"/>
  <c r="D286" i="2"/>
  <c r="E286" i="2"/>
  <c r="F286" i="2"/>
  <c r="G286" i="2"/>
  <c r="H286" i="2"/>
  <c r="J286" i="2"/>
  <c r="D287" i="2"/>
  <c r="E287" i="2"/>
  <c r="F287" i="2"/>
  <c r="G287" i="2"/>
  <c r="H287" i="2"/>
  <c r="J287" i="2"/>
  <c r="D288" i="2"/>
  <c r="E288" i="2"/>
  <c r="F288" i="2"/>
  <c r="G288" i="2"/>
  <c r="H288" i="2"/>
  <c r="J288" i="2"/>
  <c r="D289" i="2"/>
  <c r="E289" i="2"/>
  <c r="F289" i="2"/>
  <c r="G289" i="2"/>
  <c r="H289" i="2"/>
  <c r="J289" i="2"/>
  <c r="D290" i="2"/>
  <c r="E290" i="2"/>
  <c r="F290" i="2"/>
  <c r="G290" i="2"/>
  <c r="H290" i="2"/>
  <c r="J290" i="2"/>
  <c r="D291" i="2"/>
  <c r="E291" i="2"/>
  <c r="F291" i="2"/>
  <c r="G291" i="2"/>
  <c r="H291" i="2"/>
  <c r="J291" i="2"/>
  <c r="D292" i="2"/>
  <c r="E292" i="2"/>
  <c r="F292" i="2"/>
  <c r="G292" i="2"/>
  <c r="H292" i="2"/>
  <c r="J292" i="2"/>
  <c r="D293" i="2"/>
  <c r="E293" i="2"/>
  <c r="F293" i="2"/>
  <c r="G293" i="2"/>
  <c r="H293" i="2"/>
  <c r="J293" i="2"/>
  <c r="D294" i="2"/>
  <c r="E294" i="2"/>
  <c r="F294" i="2"/>
  <c r="G294" i="2"/>
  <c r="H294" i="2"/>
  <c r="J294" i="2"/>
  <c r="D295" i="2"/>
  <c r="E295" i="2"/>
  <c r="F295" i="2"/>
  <c r="G295" i="2"/>
  <c r="H295" i="2"/>
  <c r="J295" i="2"/>
  <c r="D296" i="2"/>
  <c r="E296" i="2"/>
  <c r="F296" i="2"/>
  <c r="G296" i="2"/>
  <c r="H296" i="2"/>
  <c r="J296" i="2"/>
  <c r="D297" i="2"/>
  <c r="E297" i="2"/>
  <c r="F297" i="2"/>
  <c r="G297" i="2"/>
  <c r="H297" i="2"/>
  <c r="J297" i="2"/>
  <c r="D298" i="2"/>
  <c r="E298" i="2"/>
  <c r="F298" i="2"/>
  <c r="G298" i="2"/>
  <c r="H298" i="2"/>
  <c r="J298" i="2"/>
  <c r="D299" i="2"/>
  <c r="E299" i="2"/>
  <c r="F299" i="2"/>
  <c r="G299" i="2"/>
  <c r="H299" i="2"/>
  <c r="J299" i="2"/>
  <c r="D300" i="2"/>
  <c r="E300" i="2"/>
  <c r="F300" i="2"/>
  <c r="G300" i="2"/>
  <c r="H300" i="2"/>
  <c r="J300" i="2"/>
  <c r="D301" i="2"/>
  <c r="E301" i="2"/>
  <c r="F301" i="2"/>
  <c r="G301" i="2"/>
  <c r="H301" i="2"/>
  <c r="J301" i="2"/>
  <c r="D302" i="2"/>
  <c r="E302" i="2"/>
  <c r="F302" i="2"/>
  <c r="G302" i="2"/>
  <c r="H302" i="2"/>
  <c r="J302" i="2"/>
  <c r="D303" i="2"/>
  <c r="E303" i="2"/>
  <c r="F303" i="2"/>
  <c r="G303" i="2"/>
  <c r="H303" i="2"/>
  <c r="J303" i="2"/>
  <c r="D304" i="2"/>
  <c r="E304" i="2"/>
  <c r="F304" i="2"/>
  <c r="G304" i="2"/>
  <c r="H304" i="2"/>
  <c r="J304" i="2"/>
  <c r="D305" i="2"/>
  <c r="E305" i="2"/>
  <c r="F305" i="2"/>
  <c r="G305" i="2"/>
  <c r="H305" i="2"/>
  <c r="J305" i="2"/>
  <c r="D306" i="2"/>
  <c r="E306" i="2"/>
  <c r="F306" i="2"/>
  <c r="G306" i="2"/>
  <c r="H306" i="2"/>
  <c r="J306" i="2"/>
  <c r="D307" i="2"/>
  <c r="E307" i="2"/>
  <c r="F307" i="2"/>
  <c r="G307" i="2"/>
  <c r="H307" i="2"/>
  <c r="J307" i="2"/>
  <c r="D308" i="2"/>
  <c r="E308" i="2"/>
  <c r="F308" i="2"/>
  <c r="G308" i="2"/>
  <c r="H308" i="2"/>
  <c r="J308" i="2"/>
  <c r="D309" i="2"/>
  <c r="E309" i="2"/>
  <c r="F309" i="2"/>
  <c r="G309" i="2"/>
  <c r="H309" i="2"/>
  <c r="J309" i="2"/>
  <c r="D310" i="2"/>
  <c r="E310" i="2"/>
  <c r="F310" i="2"/>
  <c r="G310" i="2"/>
  <c r="H310" i="2"/>
  <c r="J310" i="2"/>
  <c r="D311" i="2"/>
  <c r="E311" i="2"/>
  <c r="F311" i="2"/>
  <c r="G311" i="2"/>
  <c r="H311" i="2"/>
  <c r="J311" i="2"/>
  <c r="D312" i="2"/>
  <c r="E312" i="2"/>
  <c r="F312" i="2"/>
  <c r="G312" i="2"/>
  <c r="H312" i="2"/>
  <c r="J312" i="2"/>
  <c r="D313" i="2"/>
  <c r="E313" i="2"/>
  <c r="F313" i="2"/>
  <c r="G313" i="2"/>
  <c r="H313" i="2"/>
  <c r="J313" i="2"/>
  <c r="D314" i="2"/>
  <c r="E314" i="2"/>
  <c r="F314" i="2"/>
  <c r="G314" i="2"/>
  <c r="H314" i="2"/>
  <c r="J314" i="2"/>
  <c r="D315" i="2"/>
  <c r="E315" i="2"/>
  <c r="F315" i="2"/>
  <c r="G315" i="2"/>
  <c r="H315" i="2"/>
  <c r="J315" i="2"/>
  <c r="D316" i="2"/>
  <c r="E316" i="2"/>
  <c r="F316" i="2"/>
  <c r="G316" i="2"/>
  <c r="H316" i="2"/>
  <c r="J316" i="2"/>
  <c r="D317" i="2"/>
  <c r="E317" i="2"/>
  <c r="F317" i="2"/>
  <c r="G317" i="2"/>
  <c r="H317" i="2"/>
  <c r="J317" i="2"/>
  <c r="D318" i="2"/>
  <c r="E318" i="2"/>
  <c r="F318" i="2"/>
  <c r="G318" i="2"/>
  <c r="H318" i="2"/>
  <c r="J318" i="2"/>
  <c r="D319" i="2"/>
  <c r="E319" i="2"/>
  <c r="F319" i="2"/>
  <c r="G319" i="2"/>
  <c r="H319" i="2"/>
  <c r="J319" i="2"/>
  <c r="D320" i="2"/>
  <c r="E320" i="2"/>
  <c r="F320" i="2"/>
  <c r="G320" i="2"/>
  <c r="H320" i="2"/>
  <c r="J320" i="2"/>
  <c r="D321" i="2"/>
  <c r="E321" i="2"/>
  <c r="F321" i="2"/>
  <c r="G321" i="2"/>
  <c r="H321" i="2"/>
  <c r="J321" i="2"/>
  <c r="D322" i="2"/>
  <c r="E322" i="2"/>
  <c r="F322" i="2"/>
  <c r="G322" i="2"/>
  <c r="H322" i="2"/>
  <c r="J322" i="2"/>
  <c r="D323" i="2"/>
  <c r="E323" i="2"/>
  <c r="F323" i="2"/>
  <c r="G323" i="2"/>
  <c r="H323" i="2"/>
  <c r="J323" i="2"/>
  <c r="D324" i="2"/>
  <c r="E324" i="2"/>
  <c r="F324" i="2"/>
  <c r="G324" i="2"/>
  <c r="H324" i="2"/>
  <c r="J324" i="2"/>
  <c r="D325" i="2"/>
  <c r="E325" i="2"/>
  <c r="F325" i="2"/>
  <c r="G325" i="2"/>
  <c r="H325" i="2"/>
  <c r="J325" i="2"/>
  <c r="D326" i="2"/>
  <c r="E326" i="2"/>
  <c r="F326" i="2"/>
  <c r="G326" i="2"/>
  <c r="H326" i="2"/>
  <c r="J326" i="2"/>
  <c r="D327" i="2"/>
  <c r="E327" i="2"/>
  <c r="F327" i="2"/>
  <c r="G327" i="2"/>
  <c r="H327" i="2"/>
  <c r="J327" i="2"/>
  <c r="D328" i="2"/>
  <c r="E328" i="2"/>
  <c r="F328" i="2"/>
  <c r="G328" i="2"/>
  <c r="H328" i="2"/>
  <c r="J328" i="2"/>
  <c r="D329" i="2"/>
  <c r="E329" i="2"/>
  <c r="F329" i="2"/>
  <c r="G329" i="2"/>
  <c r="H329" i="2"/>
  <c r="J329" i="2"/>
  <c r="D330" i="2"/>
  <c r="E330" i="2"/>
  <c r="F330" i="2"/>
  <c r="G330" i="2"/>
  <c r="H330" i="2"/>
  <c r="J330" i="2"/>
  <c r="D331" i="2"/>
  <c r="E331" i="2"/>
  <c r="F331" i="2"/>
  <c r="G331" i="2"/>
  <c r="H331" i="2"/>
  <c r="J331" i="2"/>
  <c r="D332" i="2"/>
  <c r="E332" i="2"/>
  <c r="F332" i="2"/>
  <c r="G332" i="2"/>
  <c r="H332" i="2"/>
  <c r="J332" i="2"/>
  <c r="D333" i="2"/>
  <c r="E333" i="2"/>
  <c r="F333" i="2"/>
  <c r="G333" i="2"/>
  <c r="H333" i="2"/>
  <c r="J333" i="2"/>
  <c r="D335" i="2"/>
  <c r="E335" i="2"/>
  <c r="F335" i="2"/>
  <c r="G335" i="2"/>
  <c r="H335" i="2"/>
  <c r="J335" i="2"/>
  <c r="D336" i="2"/>
  <c r="E336" i="2"/>
  <c r="F336" i="2"/>
  <c r="G336" i="2"/>
  <c r="H336" i="2"/>
  <c r="J336" i="2"/>
  <c r="D337" i="2"/>
  <c r="E337" i="2"/>
  <c r="F337" i="2"/>
  <c r="G337" i="2"/>
  <c r="H337" i="2"/>
  <c r="J337" i="2"/>
  <c r="D338" i="2"/>
  <c r="E338" i="2"/>
  <c r="F338" i="2"/>
  <c r="G338" i="2"/>
  <c r="H338" i="2"/>
  <c r="J338" i="2"/>
  <c r="D339" i="2"/>
  <c r="E339" i="2"/>
  <c r="F339" i="2"/>
  <c r="G339" i="2"/>
  <c r="H339" i="2"/>
  <c r="J339" i="2"/>
  <c r="D340" i="2"/>
  <c r="E340" i="2"/>
  <c r="F340" i="2"/>
  <c r="G340" i="2"/>
  <c r="H340" i="2"/>
  <c r="J340" i="2"/>
  <c r="D341" i="2"/>
  <c r="E341" i="2"/>
  <c r="F341" i="2"/>
  <c r="G341" i="2"/>
  <c r="H341" i="2"/>
  <c r="J341" i="2"/>
  <c r="D342" i="2"/>
  <c r="E342" i="2"/>
  <c r="F342" i="2"/>
  <c r="G342" i="2"/>
  <c r="H342" i="2"/>
  <c r="J342" i="2"/>
  <c r="D343" i="2"/>
  <c r="E343" i="2"/>
  <c r="F343" i="2"/>
  <c r="G343" i="2"/>
  <c r="H343" i="2"/>
  <c r="J343" i="2"/>
  <c r="D353" i="2"/>
  <c r="E353" i="2"/>
  <c r="F353" i="2"/>
  <c r="G353" i="2"/>
  <c r="H353" i="2"/>
  <c r="J353" i="2"/>
  <c r="D354" i="2"/>
  <c r="E354" i="2"/>
  <c r="F354" i="2"/>
  <c r="G354" i="2"/>
  <c r="H354" i="2"/>
  <c r="J354" i="2"/>
  <c r="D355" i="2"/>
  <c r="E355" i="2"/>
  <c r="F355" i="2"/>
  <c r="G355" i="2"/>
  <c r="H355" i="2"/>
  <c r="J355" i="2"/>
  <c r="D356" i="2"/>
  <c r="E356" i="2"/>
  <c r="F356" i="2"/>
  <c r="G356" i="2"/>
  <c r="H356" i="2"/>
  <c r="J356" i="2"/>
  <c r="D357" i="2"/>
  <c r="E357" i="2"/>
  <c r="F357" i="2"/>
  <c r="G357" i="2"/>
  <c r="H357" i="2"/>
  <c r="J357" i="2"/>
  <c r="D358" i="2"/>
  <c r="E358" i="2"/>
  <c r="F358" i="2"/>
  <c r="G358" i="2"/>
  <c r="H358" i="2"/>
  <c r="J358" i="2"/>
  <c r="D359" i="2"/>
  <c r="E359" i="2"/>
  <c r="F359" i="2"/>
  <c r="G359" i="2"/>
  <c r="H359" i="2"/>
  <c r="J359" i="2"/>
  <c r="D360" i="2"/>
  <c r="E360" i="2"/>
  <c r="F360" i="2"/>
  <c r="G360" i="2"/>
  <c r="H360" i="2"/>
  <c r="J360" i="2"/>
  <c r="D361" i="2"/>
  <c r="E361" i="2"/>
  <c r="F361" i="2"/>
  <c r="G361" i="2"/>
  <c r="H361" i="2"/>
  <c r="J361" i="2"/>
  <c r="D362" i="2"/>
  <c r="E362" i="2"/>
  <c r="F362" i="2"/>
  <c r="G362" i="2"/>
  <c r="H362" i="2"/>
  <c r="J362" i="2"/>
  <c r="D363" i="2"/>
  <c r="E363" i="2"/>
  <c r="F363" i="2"/>
  <c r="G363" i="2"/>
  <c r="H363" i="2"/>
  <c r="J363" i="2"/>
  <c r="D364" i="2"/>
  <c r="E364" i="2"/>
  <c r="F364" i="2"/>
  <c r="G364" i="2"/>
  <c r="H364" i="2"/>
  <c r="J364" i="2"/>
  <c r="D365" i="2"/>
  <c r="E365" i="2"/>
  <c r="F365" i="2"/>
  <c r="G365" i="2"/>
  <c r="H365" i="2"/>
  <c r="J365" i="2"/>
  <c r="D366" i="2"/>
  <c r="E366" i="2"/>
  <c r="F366" i="2"/>
  <c r="G366" i="2"/>
  <c r="H366" i="2"/>
  <c r="J366" i="2"/>
  <c r="D367" i="2"/>
  <c r="E367" i="2"/>
  <c r="F367" i="2"/>
  <c r="G367" i="2"/>
  <c r="H367" i="2"/>
  <c r="J367" i="2"/>
  <c r="D368" i="2"/>
  <c r="E368" i="2"/>
  <c r="F368" i="2"/>
  <c r="G368" i="2"/>
  <c r="H368" i="2"/>
  <c r="J368" i="2"/>
  <c r="D369" i="2"/>
  <c r="E369" i="2"/>
  <c r="F369" i="2"/>
  <c r="G369" i="2"/>
  <c r="H369" i="2"/>
  <c r="J369" i="2"/>
  <c r="D370" i="2"/>
  <c r="E370" i="2"/>
  <c r="F370" i="2"/>
  <c r="G370" i="2"/>
  <c r="H370" i="2"/>
  <c r="J370" i="2"/>
  <c r="D371" i="2"/>
  <c r="E371" i="2"/>
  <c r="F371" i="2"/>
  <c r="G371" i="2"/>
  <c r="H371" i="2"/>
  <c r="J371" i="2"/>
  <c r="D372" i="2"/>
  <c r="E372" i="2"/>
  <c r="F372" i="2"/>
  <c r="G372" i="2"/>
  <c r="H372" i="2"/>
  <c r="J372" i="2"/>
  <c r="D373" i="2"/>
  <c r="E373" i="2"/>
  <c r="F373" i="2"/>
  <c r="G373" i="2"/>
  <c r="H373" i="2"/>
  <c r="J373" i="2"/>
  <c r="D374" i="2"/>
  <c r="E374" i="2"/>
  <c r="F374" i="2"/>
  <c r="G374" i="2"/>
  <c r="H374" i="2"/>
  <c r="J374" i="2"/>
  <c r="D375" i="2"/>
  <c r="E375" i="2"/>
  <c r="F375" i="2"/>
  <c r="G375" i="2"/>
  <c r="H375" i="2"/>
  <c r="J375" i="2"/>
  <c r="D376" i="2"/>
  <c r="E376" i="2"/>
  <c r="F376" i="2"/>
  <c r="G376" i="2"/>
  <c r="H376" i="2"/>
  <c r="J376" i="2"/>
  <c r="D377" i="2"/>
  <c r="E377" i="2"/>
  <c r="F377" i="2"/>
  <c r="G377" i="2"/>
  <c r="H377" i="2"/>
  <c r="J377" i="2"/>
  <c r="D378" i="2"/>
  <c r="E378" i="2"/>
  <c r="F378" i="2"/>
  <c r="G378" i="2"/>
  <c r="H378" i="2"/>
  <c r="J378" i="2"/>
  <c r="D379" i="2"/>
  <c r="E379" i="2"/>
  <c r="F379" i="2"/>
  <c r="G379" i="2"/>
  <c r="H379" i="2"/>
  <c r="J379" i="2"/>
  <c r="D380" i="2"/>
  <c r="E380" i="2"/>
  <c r="F380" i="2"/>
  <c r="G380" i="2"/>
  <c r="H380" i="2"/>
  <c r="J380" i="2"/>
  <c r="D381" i="2"/>
  <c r="E381" i="2"/>
  <c r="F381" i="2"/>
  <c r="G381" i="2"/>
  <c r="H381" i="2"/>
  <c r="J381" i="2"/>
  <c r="D382" i="2"/>
  <c r="E382" i="2"/>
  <c r="F382" i="2"/>
  <c r="G382" i="2"/>
  <c r="H382" i="2"/>
  <c r="J382" i="2"/>
  <c r="D383" i="2"/>
  <c r="E383" i="2"/>
  <c r="F383" i="2"/>
  <c r="G383" i="2"/>
  <c r="H383" i="2"/>
  <c r="J383" i="2"/>
  <c r="D384" i="2"/>
  <c r="E384" i="2"/>
  <c r="F384" i="2"/>
  <c r="G384" i="2"/>
  <c r="H384" i="2"/>
  <c r="J384" i="2"/>
  <c r="D385" i="2"/>
  <c r="E385" i="2"/>
  <c r="F385" i="2"/>
  <c r="G385" i="2"/>
  <c r="H385" i="2"/>
  <c r="J385" i="2"/>
  <c r="D386" i="2"/>
  <c r="E386" i="2"/>
  <c r="F386" i="2"/>
  <c r="G386" i="2"/>
  <c r="H386" i="2"/>
  <c r="J386" i="2"/>
  <c r="D387" i="2"/>
  <c r="E387" i="2"/>
  <c r="F387" i="2"/>
  <c r="G387" i="2"/>
  <c r="H387" i="2"/>
  <c r="J387" i="2"/>
  <c r="D388" i="2"/>
  <c r="E388" i="2"/>
  <c r="F388" i="2"/>
  <c r="G388" i="2"/>
  <c r="H388" i="2"/>
  <c r="J388" i="2"/>
  <c r="D389" i="2"/>
  <c r="E389" i="2"/>
  <c r="F389" i="2"/>
  <c r="G389" i="2"/>
  <c r="H389" i="2"/>
  <c r="J389" i="2"/>
  <c r="D390" i="2"/>
  <c r="E390" i="2"/>
  <c r="F390" i="2"/>
  <c r="G390" i="2"/>
  <c r="H390" i="2"/>
  <c r="J390" i="2"/>
  <c r="D391" i="2"/>
  <c r="E391" i="2"/>
  <c r="F391" i="2"/>
  <c r="G391" i="2"/>
  <c r="H391" i="2"/>
  <c r="J391" i="2"/>
  <c r="D392" i="2"/>
  <c r="E392" i="2"/>
  <c r="F392" i="2"/>
  <c r="G392" i="2"/>
  <c r="H392" i="2"/>
  <c r="J392" i="2"/>
  <c r="D393" i="2"/>
  <c r="E393" i="2"/>
  <c r="F393" i="2"/>
  <c r="G393" i="2"/>
  <c r="H393" i="2"/>
  <c r="J393" i="2"/>
  <c r="D394" i="2"/>
  <c r="E394" i="2"/>
  <c r="F394" i="2"/>
  <c r="G394" i="2"/>
  <c r="H394" i="2"/>
  <c r="J394" i="2"/>
  <c r="D395" i="2"/>
  <c r="E395" i="2"/>
  <c r="F395" i="2"/>
  <c r="G395" i="2"/>
  <c r="H395" i="2"/>
  <c r="J395" i="2"/>
  <c r="D396" i="2"/>
  <c r="E396" i="2"/>
  <c r="F396" i="2"/>
  <c r="G396" i="2"/>
  <c r="H396" i="2"/>
  <c r="J396" i="2"/>
  <c r="D397" i="2"/>
  <c r="E397" i="2"/>
  <c r="F397" i="2"/>
  <c r="G397" i="2"/>
  <c r="H397" i="2"/>
  <c r="J397" i="2"/>
  <c r="D398" i="2"/>
  <c r="E398" i="2"/>
  <c r="F398" i="2"/>
  <c r="G398" i="2"/>
  <c r="H398" i="2"/>
  <c r="J398" i="2"/>
  <c r="D399" i="2"/>
  <c r="E399" i="2"/>
  <c r="F399" i="2"/>
  <c r="G399" i="2"/>
  <c r="H399" i="2"/>
  <c r="J399" i="2"/>
  <c r="D400" i="2"/>
  <c r="E400" i="2"/>
  <c r="F400" i="2"/>
  <c r="G400" i="2"/>
  <c r="H400" i="2"/>
  <c r="J400" i="2"/>
  <c r="D401" i="2"/>
  <c r="E401" i="2"/>
  <c r="F401" i="2"/>
  <c r="G401" i="2"/>
  <c r="H401" i="2"/>
  <c r="J401" i="2"/>
  <c r="D402" i="2"/>
  <c r="E402" i="2"/>
  <c r="F402" i="2"/>
  <c r="G402" i="2"/>
  <c r="H402" i="2"/>
  <c r="J402" i="2"/>
  <c r="D403" i="2"/>
  <c r="E403" i="2"/>
  <c r="F403" i="2"/>
  <c r="G403" i="2"/>
  <c r="H403" i="2"/>
  <c r="J403" i="2"/>
  <c r="D404" i="2"/>
  <c r="E404" i="2"/>
  <c r="F404" i="2"/>
  <c r="G404" i="2"/>
  <c r="H404" i="2"/>
  <c r="J404" i="2"/>
  <c r="D405" i="2"/>
  <c r="E405" i="2"/>
  <c r="F405" i="2"/>
  <c r="G405" i="2"/>
  <c r="H405" i="2"/>
  <c r="J405" i="2"/>
  <c r="D406" i="2"/>
  <c r="E406" i="2"/>
  <c r="F406" i="2"/>
  <c r="G406" i="2"/>
  <c r="H406" i="2"/>
  <c r="J406" i="2"/>
  <c r="D407" i="2"/>
  <c r="E407" i="2"/>
  <c r="F407" i="2"/>
  <c r="G407" i="2"/>
  <c r="H407" i="2"/>
  <c r="J407" i="2"/>
  <c r="D408" i="2"/>
  <c r="E408" i="2"/>
  <c r="F408" i="2"/>
  <c r="G408" i="2"/>
  <c r="H408" i="2"/>
  <c r="J408" i="2"/>
  <c r="D409" i="2"/>
  <c r="E409" i="2"/>
  <c r="F409" i="2"/>
  <c r="G409" i="2"/>
  <c r="H409" i="2"/>
  <c r="J409" i="2"/>
  <c r="D410" i="2"/>
  <c r="E410" i="2"/>
  <c r="F410" i="2"/>
  <c r="G410" i="2"/>
  <c r="H410" i="2"/>
  <c r="J410" i="2"/>
  <c r="D411" i="2"/>
  <c r="E411" i="2"/>
  <c r="F411" i="2"/>
  <c r="G411" i="2"/>
  <c r="H411" i="2"/>
  <c r="J411" i="2"/>
  <c r="D412" i="2"/>
  <c r="E412" i="2"/>
  <c r="F412" i="2"/>
  <c r="G412" i="2"/>
  <c r="H412" i="2"/>
  <c r="J412" i="2"/>
  <c r="D413" i="2"/>
  <c r="E413" i="2"/>
  <c r="F413" i="2"/>
  <c r="G413" i="2"/>
  <c r="H413" i="2"/>
  <c r="J413" i="2"/>
  <c r="D414" i="2"/>
  <c r="E414" i="2"/>
  <c r="F414" i="2"/>
  <c r="G414" i="2"/>
  <c r="H414" i="2"/>
  <c r="J414" i="2"/>
  <c r="D415" i="2"/>
  <c r="E415" i="2"/>
  <c r="F415" i="2"/>
  <c r="G415" i="2"/>
  <c r="H415" i="2"/>
  <c r="J415" i="2"/>
  <c r="D416" i="2"/>
  <c r="E416" i="2"/>
  <c r="F416" i="2"/>
  <c r="G416" i="2"/>
  <c r="H416" i="2"/>
  <c r="J416" i="2"/>
  <c r="D417" i="2"/>
  <c r="E417" i="2"/>
  <c r="F417" i="2"/>
  <c r="G417" i="2"/>
  <c r="H417" i="2"/>
  <c r="J417" i="2"/>
  <c r="D418" i="2"/>
  <c r="E418" i="2"/>
  <c r="F418" i="2"/>
  <c r="G418" i="2"/>
  <c r="H418" i="2"/>
  <c r="J418" i="2"/>
  <c r="D419" i="2"/>
  <c r="E419" i="2"/>
  <c r="F419" i="2"/>
  <c r="G419" i="2"/>
  <c r="H419" i="2"/>
  <c r="J419" i="2"/>
  <c r="D420" i="2"/>
  <c r="E420" i="2"/>
  <c r="F420" i="2"/>
  <c r="G420" i="2"/>
  <c r="H420" i="2"/>
  <c r="J420" i="2"/>
  <c r="D422" i="2"/>
  <c r="E422" i="2"/>
  <c r="F422" i="2"/>
  <c r="G422" i="2"/>
  <c r="H422" i="2"/>
  <c r="J422" i="2"/>
  <c r="D423" i="2"/>
  <c r="E423" i="2"/>
  <c r="F423" i="2"/>
  <c r="G423" i="2"/>
  <c r="H423" i="2"/>
  <c r="J423" i="2"/>
  <c r="D424" i="2"/>
  <c r="E424" i="2"/>
  <c r="F424" i="2"/>
  <c r="G424" i="2"/>
  <c r="H424" i="2"/>
  <c r="J424" i="2"/>
  <c r="D425" i="2"/>
  <c r="E425" i="2"/>
  <c r="F425" i="2"/>
  <c r="G425" i="2"/>
  <c r="H425" i="2"/>
  <c r="J425" i="2"/>
  <c r="D426" i="2"/>
  <c r="E426" i="2"/>
  <c r="F426" i="2"/>
  <c r="G426" i="2"/>
  <c r="H426" i="2"/>
  <c r="J426" i="2"/>
  <c r="D427" i="2"/>
  <c r="E427" i="2"/>
  <c r="F427" i="2"/>
  <c r="G427" i="2"/>
  <c r="H427" i="2"/>
  <c r="J427" i="2"/>
  <c r="D428" i="2"/>
  <c r="E428" i="2"/>
  <c r="F428" i="2"/>
  <c r="G428" i="2"/>
  <c r="H428" i="2"/>
  <c r="J428" i="2"/>
  <c r="D429" i="2"/>
  <c r="E429" i="2"/>
  <c r="F429" i="2"/>
  <c r="G429" i="2"/>
  <c r="H429" i="2"/>
  <c r="J429" i="2"/>
  <c r="D430" i="2"/>
  <c r="E430" i="2"/>
  <c r="F430" i="2"/>
  <c r="G430" i="2"/>
  <c r="H430" i="2"/>
  <c r="J430" i="2"/>
  <c r="D431" i="2"/>
  <c r="E431" i="2"/>
  <c r="F431" i="2"/>
  <c r="G431" i="2"/>
  <c r="H431" i="2"/>
  <c r="J431" i="2"/>
  <c r="D432" i="2"/>
  <c r="E432" i="2"/>
  <c r="F432" i="2"/>
  <c r="G432" i="2"/>
  <c r="H432" i="2"/>
  <c r="J432" i="2"/>
  <c r="D433" i="2"/>
  <c r="E433" i="2"/>
  <c r="F433" i="2"/>
  <c r="G433" i="2"/>
  <c r="H433" i="2"/>
  <c r="J433" i="2"/>
  <c r="D434" i="2"/>
  <c r="E434" i="2"/>
  <c r="F434" i="2"/>
  <c r="G434" i="2"/>
  <c r="H434" i="2"/>
  <c r="J434" i="2"/>
  <c r="D435" i="2"/>
  <c r="E435" i="2"/>
  <c r="F435" i="2"/>
  <c r="G435" i="2"/>
  <c r="H435" i="2"/>
  <c r="J435" i="2"/>
  <c r="D436" i="2"/>
  <c r="E436" i="2"/>
  <c r="F436" i="2"/>
  <c r="G436" i="2"/>
  <c r="H436" i="2"/>
  <c r="J436" i="2"/>
  <c r="D437" i="2"/>
  <c r="E437" i="2"/>
  <c r="F437" i="2"/>
  <c r="G437" i="2"/>
  <c r="H437" i="2"/>
  <c r="J437" i="2"/>
  <c r="D438" i="2"/>
  <c r="E438" i="2"/>
  <c r="F438" i="2"/>
  <c r="G438" i="2"/>
  <c r="H438" i="2"/>
  <c r="J438" i="2"/>
  <c r="D439" i="2"/>
  <c r="E439" i="2"/>
  <c r="F439" i="2"/>
  <c r="G439" i="2"/>
  <c r="H439" i="2"/>
  <c r="J439" i="2"/>
  <c r="D440" i="2"/>
  <c r="E440" i="2"/>
  <c r="F440" i="2"/>
  <c r="G440" i="2"/>
  <c r="H440" i="2"/>
  <c r="J440" i="2"/>
  <c r="D441" i="2"/>
  <c r="E441" i="2"/>
  <c r="F441" i="2"/>
  <c r="G441" i="2"/>
  <c r="H441" i="2"/>
  <c r="J441" i="2"/>
  <c r="D442" i="2"/>
  <c r="E442" i="2"/>
  <c r="F442" i="2"/>
  <c r="G442" i="2"/>
  <c r="H442" i="2"/>
  <c r="J442" i="2"/>
  <c r="D443" i="2"/>
  <c r="E443" i="2"/>
  <c r="F443" i="2"/>
  <c r="G443" i="2"/>
  <c r="H443" i="2"/>
  <c r="J443" i="2"/>
  <c r="D444" i="2"/>
  <c r="E444" i="2"/>
  <c r="F444" i="2"/>
  <c r="G444" i="2"/>
  <c r="H444" i="2"/>
  <c r="J444" i="2"/>
  <c r="D445" i="2"/>
  <c r="E445" i="2"/>
  <c r="F445" i="2"/>
  <c r="G445" i="2"/>
  <c r="H445" i="2"/>
  <c r="J445" i="2"/>
  <c r="D446" i="2"/>
  <c r="E446" i="2"/>
  <c r="F446" i="2"/>
  <c r="G446" i="2"/>
  <c r="H446" i="2"/>
  <c r="J446" i="2"/>
  <c r="D447" i="2"/>
  <c r="E447" i="2"/>
  <c r="F447" i="2"/>
  <c r="G447" i="2"/>
  <c r="H447" i="2"/>
  <c r="J447" i="2"/>
  <c r="D448" i="2"/>
  <c r="E448" i="2"/>
  <c r="F448" i="2"/>
  <c r="G448" i="2"/>
  <c r="H448" i="2"/>
  <c r="J448" i="2"/>
  <c r="D449" i="2"/>
  <c r="E449" i="2"/>
  <c r="F449" i="2"/>
  <c r="G449" i="2"/>
  <c r="H449" i="2"/>
  <c r="J449" i="2"/>
  <c r="D450" i="2"/>
  <c r="E450" i="2"/>
  <c r="F450" i="2"/>
  <c r="G450" i="2"/>
  <c r="H450" i="2"/>
  <c r="J450" i="2"/>
  <c r="D451" i="2"/>
  <c r="E451" i="2"/>
  <c r="F451" i="2"/>
  <c r="G451" i="2"/>
  <c r="H451" i="2"/>
  <c r="J451" i="2"/>
  <c r="D452" i="2"/>
  <c r="E452" i="2"/>
  <c r="F452" i="2"/>
  <c r="G452" i="2"/>
  <c r="H452" i="2"/>
  <c r="J452" i="2"/>
  <c r="D453" i="2"/>
  <c r="E453" i="2"/>
  <c r="F453" i="2"/>
  <c r="G453" i="2"/>
  <c r="H453" i="2"/>
  <c r="J453" i="2"/>
  <c r="D454" i="2"/>
  <c r="E454" i="2"/>
  <c r="F454" i="2"/>
  <c r="G454" i="2"/>
  <c r="H454" i="2"/>
  <c r="J454" i="2"/>
  <c r="D455" i="2"/>
  <c r="E455" i="2"/>
  <c r="F455" i="2"/>
  <c r="G455" i="2"/>
  <c r="H455" i="2"/>
  <c r="J455" i="2"/>
  <c r="D456" i="2"/>
  <c r="E456" i="2"/>
  <c r="F456" i="2"/>
  <c r="G456" i="2"/>
  <c r="H456" i="2"/>
  <c r="J456" i="2"/>
  <c r="D457" i="2"/>
  <c r="E457" i="2"/>
  <c r="F457" i="2"/>
  <c r="G457" i="2"/>
  <c r="H457" i="2"/>
  <c r="J457" i="2"/>
  <c r="D458" i="2"/>
  <c r="E458" i="2"/>
  <c r="F458" i="2"/>
  <c r="G458" i="2"/>
  <c r="H458" i="2"/>
  <c r="J458" i="2"/>
  <c r="D459" i="2"/>
  <c r="E459" i="2"/>
  <c r="F459" i="2"/>
  <c r="G459" i="2"/>
  <c r="H459" i="2"/>
  <c r="J459" i="2"/>
  <c r="D460" i="2"/>
  <c r="E460" i="2"/>
  <c r="F460" i="2"/>
  <c r="G460" i="2"/>
  <c r="H460" i="2"/>
  <c r="J460" i="2"/>
  <c r="D461" i="2"/>
  <c r="E461" i="2"/>
  <c r="F461" i="2"/>
  <c r="G461" i="2"/>
  <c r="H461" i="2"/>
  <c r="J461" i="2"/>
  <c r="D462" i="2"/>
  <c r="E462" i="2"/>
  <c r="F462" i="2"/>
  <c r="G462" i="2"/>
  <c r="H462" i="2"/>
  <c r="J462" i="2"/>
  <c r="D463" i="2"/>
  <c r="E463" i="2"/>
  <c r="F463" i="2"/>
  <c r="G463" i="2"/>
  <c r="H463" i="2"/>
  <c r="J463" i="2"/>
  <c r="D464" i="2"/>
  <c r="E464" i="2"/>
  <c r="F464" i="2"/>
  <c r="G464" i="2"/>
  <c r="H464" i="2"/>
  <c r="J464" i="2"/>
  <c r="D465" i="2"/>
  <c r="E465" i="2"/>
  <c r="F465" i="2"/>
  <c r="G465" i="2"/>
  <c r="H465" i="2"/>
  <c r="J465" i="2"/>
  <c r="D466" i="2"/>
  <c r="E466" i="2"/>
  <c r="F466" i="2"/>
  <c r="G466" i="2"/>
  <c r="H466" i="2"/>
  <c r="J466" i="2"/>
  <c r="D467" i="2"/>
  <c r="E467" i="2"/>
  <c r="F467" i="2"/>
  <c r="G467" i="2"/>
  <c r="H467" i="2"/>
  <c r="J467" i="2"/>
  <c r="D468" i="2"/>
  <c r="E468" i="2"/>
  <c r="F468" i="2"/>
  <c r="G468" i="2"/>
  <c r="H468" i="2"/>
  <c r="J468" i="2"/>
  <c r="D469" i="2"/>
  <c r="E469" i="2"/>
  <c r="F469" i="2"/>
  <c r="G469" i="2"/>
  <c r="H469" i="2"/>
  <c r="J469" i="2"/>
  <c r="D470" i="2"/>
  <c r="E470" i="2"/>
  <c r="F470" i="2"/>
  <c r="G470" i="2"/>
  <c r="H470" i="2"/>
  <c r="J470" i="2"/>
  <c r="D471" i="2"/>
  <c r="E471" i="2"/>
  <c r="F471" i="2"/>
  <c r="G471" i="2"/>
  <c r="H471" i="2"/>
  <c r="J471" i="2"/>
  <c r="D472" i="2"/>
  <c r="E472" i="2"/>
  <c r="F472" i="2"/>
  <c r="G472" i="2"/>
  <c r="H472" i="2"/>
  <c r="J472" i="2"/>
  <c r="D473" i="2"/>
  <c r="E473" i="2"/>
  <c r="F473" i="2"/>
  <c r="G473" i="2"/>
  <c r="H473" i="2"/>
  <c r="J473" i="2"/>
  <c r="D474" i="2"/>
  <c r="E474" i="2"/>
  <c r="F474" i="2"/>
  <c r="G474" i="2"/>
  <c r="H474" i="2"/>
  <c r="J474" i="2"/>
  <c r="D475" i="2"/>
  <c r="E475" i="2"/>
  <c r="F475" i="2"/>
  <c r="G475" i="2"/>
  <c r="H475" i="2"/>
  <c r="J475" i="2"/>
  <c r="D476" i="2"/>
  <c r="E476" i="2"/>
  <c r="F476" i="2"/>
  <c r="G476" i="2"/>
  <c r="H476" i="2"/>
  <c r="J476" i="2"/>
  <c r="D477" i="2"/>
  <c r="E477" i="2"/>
  <c r="F477" i="2"/>
  <c r="G477" i="2"/>
  <c r="H477" i="2"/>
  <c r="J477" i="2"/>
  <c r="D478" i="2"/>
  <c r="E478" i="2"/>
  <c r="F478" i="2"/>
  <c r="G478" i="2"/>
  <c r="H478" i="2"/>
  <c r="J478" i="2"/>
  <c r="D479" i="2"/>
  <c r="E479" i="2"/>
  <c r="F479" i="2"/>
  <c r="G479" i="2"/>
  <c r="H479" i="2"/>
  <c r="J479" i="2"/>
  <c r="D480" i="2"/>
  <c r="E480" i="2"/>
  <c r="F480" i="2"/>
  <c r="G480" i="2"/>
  <c r="H480" i="2"/>
  <c r="J480" i="2"/>
  <c r="D481" i="2"/>
  <c r="E481" i="2"/>
  <c r="F481" i="2"/>
  <c r="G481" i="2"/>
  <c r="H481" i="2"/>
  <c r="J481" i="2"/>
  <c r="D482" i="2"/>
  <c r="E482" i="2"/>
  <c r="F482" i="2"/>
  <c r="G482" i="2"/>
  <c r="H482" i="2"/>
  <c r="J482" i="2"/>
  <c r="D483" i="2"/>
  <c r="E483" i="2"/>
  <c r="F483" i="2"/>
  <c r="G483" i="2"/>
  <c r="H483" i="2"/>
  <c r="J483" i="2"/>
  <c r="D484" i="2"/>
  <c r="E484" i="2"/>
  <c r="F484" i="2"/>
  <c r="G484" i="2"/>
  <c r="H484" i="2"/>
  <c r="J484" i="2"/>
  <c r="D485" i="2"/>
  <c r="E485" i="2"/>
  <c r="F485" i="2"/>
  <c r="G485" i="2"/>
  <c r="H485" i="2"/>
  <c r="J485" i="2"/>
  <c r="D486" i="2"/>
  <c r="E486" i="2"/>
  <c r="F486" i="2"/>
  <c r="G486" i="2"/>
  <c r="H486" i="2"/>
  <c r="J486" i="2"/>
  <c r="D487" i="2"/>
  <c r="E487" i="2"/>
  <c r="F487" i="2"/>
  <c r="G487" i="2"/>
  <c r="H487" i="2"/>
  <c r="J487" i="2"/>
  <c r="D488" i="2"/>
  <c r="E488" i="2"/>
  <c r="F488" i="2"/>
  <c r="G488" i="2"/>
  <c r="H488" i="2"/>
  <c r="J488" i="2"/>
  <c r="D489" i="2"/>
  <c r="E489" i="2"/>
  <c r="F489" i="2"/>
  <c r="G489" i="2"/>
  <c r="H489" i="2"/>
  <c r="J489" i="2"/>
  <c r="D490" i="2"/>
  <c r="E490" i="2"/>
  <c r="F490" i="2"/>
  <c r="G490" i="2"/>
  <c r="H490" i="2"/>
  <c r="J490" i="2"/>
  <c r="D491" i="2"/>
  <c r="E491" i="2"/>
  <c r="F491" i="2"/>
  <c r="G491" i="2"/>
  <c r="H491" i="2"/>
  <c r="J491" i="2"/>
  <c r="D492" i="2"/>
  <c r="E492" i="2"/>
  <c r="F492" i="2"/>
  <c r="G492" i="2"/>
  <c r="H492" i="2"/>
  <c r="J492" i="2"/>
  <c r="D493" i="2"/>
  <c r="E493" i="2"/>
  <c r="F493" i="2"/>
  <c r="G493" i="2"/>
  <c r="H493" i="2"/>
  <c r="J493" i="2"/>
  <c r="D494" i="2"/>
  <c r="E494" i="2"/>
  <c r="F494" i="2"/>
  <c r="G494" i="2"/>
  <c r="H494" i="2"/>
  <c r="J494" i="2"/>
  <c r="D495" i="2"/>
  <c r="E495" i="2"/>
  <c r="F495" i="2"/>
  <c r="G495" i="2"/>
  <c r="H495" i="2"/>
  <c r="J495" i="2"/>
  <c r="D496" i="2"/>
  <c r="E496" i="2"/>
  <c r="F496" i="2"/>
  <c r="G496" i="2"/>
  <c r="H496" i="2"/>
  <c r="J496" i="2"/>
  <c r="D497" i="2"/>
  <c r="E497" i="2"/>
  <c r="F497" i="2"/>
  <c r="G497" i="2"/>
  <c r="H497" i="2"/>
  <c r="J497" i="2"/>
  <c r="D498" i="2"/>
  <c r="E498" i="2"/>
  <c r="F498" i="2"/>
  <c r="G498" i="2"/>
  <c r="H498" i="2"/>
  <c r="J498" i="2"/>
  <c r="D499" i="2"/>
  <c r="E499" i="2"/>
  <c r="F499" i="2"/>
  <c r="G499" i="2"/>
  <c r="H499" i="2"/>
  <c r="J499" i="2"/>
  <c r="D500" i="2"/>
  <c r="E500" i="2"/>
  <c r="F500" i="2"/>
  <c r="G500" i="2"/>
  <c r="H500" i="2"/>
  <c r="J500" i="2"/>
  <c r="D501" i="2"/>
  <c r="E501" i="2"/>
  <c r="F501" i="2"/>
  <c r="G501" i="2"/>
  <c r="H501" i="2"/>
  <c r="J501" i="2"/>
  <c r="D502" i="2"/>
  <c r="E502" i="2"/>
  <c r="F502" i="2"/>
  <c r="G502" i="2"/>
  <c r="H502" i="2"/>
  <c r="J502" i="2"/>
  <c r="D503" i="2"/>
  <c r="E503" i="2"/>
  <c r="F503" i="2"/>
  <c r="G503" i="2"/>
  <c r="H503" i="2"/>
  <c r="J503" i="2"/>
  <c r="D504" i="2"/>
  <c r="E504" i="2"/>
  <c r="F504" i="2"/>
  <c r="G504" i="2"/>
  <c r="H504" i="2"/>
  <c r="J504" i="2"/>
  <c r="D505" i="2"/>
  <c r="E505" i="2"/>
  <c r="F505" i="2"/>
  <c r="G505" i="2"/>
  <c r="H505" i="2"/>
  <c r="J505" i="2"/>
  <c r="D506" i="2"/>
  <c r="E506" i="2"/>
  <c r="F506" i="2"/>
  <c r="G506" i="2"/>
  <c r="H506" i="2"/>
  <c r="J506" i="2"/>
  <c r="D507" i="2"/>
  <c r="E507" i="2"/>
  <c r="F507" i="2"/>
  <c r="G507" i="2"/>
  <c r="H507" i="2"/>
  <c r="J507" i="2"/>
  <c r="D508" i="2"/>
  <c r="E508" i="2"/>
  <c r="F508" i="2"/>
  <c r="G508" i="2"/>
  <c r="H508" i="2"/>
  <c r="J508" i="2"/>
  <c r="D509" i="2"/>
  <c r="E509" i="2"/>
  <c r="F509" i="2"/>
  <c r="G509" i="2"/>
  <c r="H509" i="2"/>
  <c r="J509" i="2"/>
  <c r="D510" i="2"/>
  <c r="E510" i="2"/>
  <c r="F510" i="2"/>
  <c r="G510" i="2"/>
  <c r="H510" i="2"/>
  <c r="J510" i="2"/>
  <c r="D511" i="2"/>
  <c r="E511" i="2"/>
  <c r="F511" i="2"/>
  <c r="G511" i="2"/>
  <c r="H511" i="2"/>
  <c r="J511" i="2"/>
  <c r="D512" i="2"/>
  <c r="E512" i="2"/>
  <c r="F512" i="2"/>
  <c r="G512" i="2"/>
  <c r="H512" i="2"/>
  <c r="J512" i="2"/>
  <c r="D513" i="2"/>
  <c r="E513" i="2"/>
  <c r="F513" i="2"/>
  <c r="G513" i="2"/>
  <c r="H513" i="2"/>
  <c r="J513" i="2"/>
  <c r="D514" i="2"/>
  <c r="E514" i="2"/>
  <c r="F514" i="2"/>
  <c r="G514" i="2"/>
  <c r="H514" i="2"/>
  <c r="J514" i="2"/>
  <c r="D515" i="2"/>
  <c r="E515" i="2"/>
  <c r="F515" i="2"/>
  <c r="G515" i="2"/>
  <c r="H515" i="2"/>
  <c r="J515" i="2"/>
  <c r="D516" i="2"/>
  <c r="E516" i="2"/>
  <c r="F516" i="2"/>
  <c r="G516" i="2"/>
  <c r="H516" i="2"/>
  <c r="J516" i="2"/>
  <c r="D517" i="2"/>
  <c r="E517" i="2"/>
  <c r="F517" i="2"/>
  <c r="G517" i="2"/>
  <c r="H517" i="2"/>
  <c r="J517" i="2"/>
  <c r="D518" i="2"/>
  <c r="E518" i="2"/>
  <c r="F518" i="2"/>
  <c r="G518" i="2"/>
  <c r="H518" i="2"/>
  <c r="J518" i="2"/>
  <c r="D519" i="2"/>
  <c r="E519" i="2"/>
  <c r="F519" i="2"/>
  <c r="G519" i="2"/>
  <c r="H519" i="2"/>
  <c r="J519" i="2"/>
  <c r="D520" i="2"/>
  <c r="E520" i="2"/>
  <c r="F520" i="2"/>
  <c r="G520" i="2"/>
  <c r="H520" i="2"/>
  <c r="J520" i="2"/>
  <c r="D521" i="2"/>
  <c r="E521" i="2"/>
  <c r="F521" i="2"/>
  <c r="G521" i="2"/>
  <c r="H521" i="2"/>
  <c r="J521" i="2"/>
  <c r="D522" i="2"/>
  <c r="E522" i="2"/>
  <c r="F522" i="2"/>
  <c r="G522" i="2"/>
  <c r="H522" i="2"/>
  <c r="J522" i="2"/>
  <c r="D523" i="2"/>
  <c r="E523" i="2"/>
  <c r="F523" i="2"/>
  <c r="G523" i="2"/>
  <c r="H523" i="2"/>
  <c r="J523" i="2"/>
  <c r="D524" i="2"/>
  <c r="E524" i="2"/>
  <c r="F524" i="2"/>
  <c r="G524" i="2"/>
  <c r="H524" i="2"/>
  <c r="J524" i="2"/>
  <c r="D525" i="2"/>
  <c r="E525" i="2"/>
  <c r="F525" i="2"/>
  <c r="G525" i="2"/>
  <c r="H525" i="2"/>
  <c r="J525" i="2"/>
  <c r="D526" i="2"/>
  <c r="E526" i="2"/>
  <c r="F526" i="2"/>
  <c r="G526" i="2"/>
  <c r="H526" i="2"/>
  <c r="J526" i="2"/>
  <c r="D527" i="2"/>
  <c r="E527" i="2"/>
  <c r="F527" i="2"/>
  <c r="G527" i="2"/>
  <c r="H527" i="2"/>
  <c r="J527" i="2"/>
  <c r="D528" i="2"/>
  <c r="E528" i="2"/>
  <c r="F528" i="2"/>
  <c r="G528" i="2"/>
  <c r="H528" i="2"/>
  <c r="J528" i="2"/>
  <c r="D529" i="2"/>
  <c r="E529" i="2"/>
  <c r="F529" i="2"/>
  <c r="G529" i="2"/>
  <c r="H529" i="2"/>
  <c r="J529" i="2"/>
  <c r="D530" i="2"/>
  <c r="E530" i="2"/>
  <c r="F530" i="2"/>
  <c r="G530" i="2"/>
  <c r="H530" i="2"/>
  <c r="J530" i="2"/>
  <c r="D531" i="2"/>
  <c r="E531" i="2"/>
  <c r="F531" i="2"/>
  <c r="G531" i="2"/>
  <c r="H531" i="2"/>
  <c r="J531" i="2"/>
  <c r="D532" i="2"/>
  <c r="E532" i="2"/>
  <c r="F532" i="2"/>
  <c r="G532" i="2"/>
  <c r="H532" i="2"/>
  <c r="J532" i="2"/>
  <c r="D533" i="2"/>
  <c r="E533" i="2"/>
  <c r="F533" i="2"/>
  <c r="G533" i="2"/>
  <c r="H533" i="2"/>
  <c r="J533" i="2"/>
  <c r="D534" i="2"/>
  <c r="E534" i="2"/>
  <c r="F534" i="2"/>
  <c r="G534" i="2"/>
  <c r="H534" i="2"/>
  <c r="J534" i="2"/>
  <c r="D535" i="2"/>
  <c r="E535" i="2"/>
  <c r="F535" i="2"/>
  <c r="G535" i="2"/>
  <c r="H535" i="2"/>
  <c r="J535" i="2"/>
  <c r="D536" i="2"/>
  <c r="E536" i="2"/>
  <c r="F536" i="2"/>
  <c r="G536" i="2"/>
  <c r="H536" i="2"/>
  <c r="J536" i="2"/>
  <c r="D537" i="2"/>
  <c r="E537" i="2"/>
  <c r="F537" i="2"/>
  <c r="G537" i="2"/>
  <c r="H537" i="2"/>
  <c r="J537" i="2"/>
  <c r="D538" i="2"/>
  <c r="E538" i="2"/>
  <c r="F538" i="2"/>
  <c r="G538" i="2"/>
  <c r="H538" i="2"/>
  <c r="J538" i="2"/>
  <c r="D539" i="2"/>
  <c r="E539" i="2"/>
  <c r="F539" i="2"/>
  <c r="G539" i="2"/>
  <c r="H539" i="2"/>
  <c r="J539" i="2"/>
  <c r="D540" i="2"/>
  <c r="E540" i="2"/>
  <c r="F540" i="2"/>
  <c r="G540" i="2"/>
  <c r="H540" i="2"/>
  <c r="J540" i="2"/>
  <c r="D541" i="2"/>
  <c r="E541" i="2"/>
  <c r="F541" i="2"/>
  <c r="G541" i="2"/>
  <c r="H541" i="2"/>
  <c r="J541" i="2"/>
  <c r="D542" i="2"/>
  <c r="E542" i="2"/>
  <c r="F542" i="2"/>
  <c r="G542" i="2"/>
  <c r="H542" i="2"/>
  <c r="J542" i="2"/>
  <c r="D543" i="2"/>
  <c r="E543" i="2"/>
  <c r="F543" i="2"/>
  <c r="G543" i="2"/>
  <c r="H543" i="2"/>
  <c r="J543" i="2"/>
  <c r="D544" i="2"/>
  <c r="E544" i="2"/>
  <c r="F544" i="2"/>
  <c r="G544" i="2"/>
  <c r="H544" i="2"/>
  <c r="J544" i="2"/>
  <c r="D545" i="2"/>
  <c r="E545" i="2"/>
  <c r="F545" i="2"/>
  <c r="G545" i="2"/>
  <c r="H545" i="2"/>
  <c r="J545" i="2"/>
  <c r="D546" i="2"/>
  <c r="E546" i="2"/>
  <c r="F546" i="2"/>
  <c r="G546" i="2"/>
  <c r="H546" i="2"/>
  <c r="J546" i="2"/>
  <c r="D547" i="2"/>
  <c r="E547" i="2"/>
  <c r="F547" i="2"/>
  <c r="G547" i="2"/>
  <c r="H547" i="2"/>
  <c r="J547" i="2"/>
  <c r="D548" i="2"/>
  <c r="E548" i="2"/>
  <c r="F548" i="2"/>
  <c r="G548" i="2"/>
  <c r="H548" i="2"/>
  <c r="J548" i="2"/>
  <c r="D549" i="2"/>
  <c r="E549" i="2"/>
  <c r="F549" i="2"/>
  <c r="G549" i="2"/>
  <c r="H549" i="2"/>
  <c r="J549" i="2"/>
  <c r="D550" i="2"/>
  <c r="E550" i="2"/>
  <c r="F550" i="2"/>
  <c r="G550" i="2"/>
  <c r="H550" i="2"/>
  <c r="J550" i="2"/>
  <c r="D551" i="2"/>
  <c r="E551" i="2"/>
  <c r="F551" i="2"/>
  <c r="G551" i="2"/>
  <c r="H551" i="2"/>
  <c r="J551" i="2"/>
  <c r="D552" i="2"/>
  <c r="E552" i="2"/>
  <c r="F552" i="2"/>
  <c r="G552" i="2"/>
  <c r="H552" i="2"/>
  <c r="J552" i="2"/>
  <c r="D553" i="2"/>
  <c r="E553" i="2"/>
  <c r="F553" i="2"/>
  <c r="G553" i="2"/>
  <c r="H553" i="2"/>
  <c r="J553" i="2"/>
  <c r="D554" i="2"/>
  <c r="E554" i="2"/>
  <c r="F554" i="2"/>
  <c r="G554" i="2"/>
  <c r="H554" i="2"/>
  <c r="J554" i="2"/>
  <c r="D555" i="2"/>
  <c r="E555" i="2"/>
  <c r="F555" i="2"/>
  <c r="G555" i="2"/>
  <c r="H555" i="2"/>
  <c r="J555" i="2"/>
  <c r="D556" i="2"/>
  <c r="E556" i="2"/>
  <c r="F556" i="2"/>
  <c r="G556" i="2"/>
  <c r="H556" i="2"/>
  <c r="J556" i="2"/>
  <c r="D557" i="2"/>
  <c r="E557" i="2"/>
  <c r="F557" i="2"/>
  <c r="G557" i="2"/>
  <c r="H557" i="2"/>
  <c r="J557" i="2"/>
  <c r="D558" i="2"/>
  <c r="E558" i="2"/>
  <c r="F558" i="2"/>
  <c r="G558" i="2"/>
  <c r="H558" i="2"/>
  <c r="J558" i="2"/>
  <c r="D559" i="2"/>
  <c r="E559" i="2"/>
  <c r="F559" i="2"/>
  <c r="G559" i="2"/>
  <c r="H559" i="2"/>
  <c r="J559" i="2"/>
  <c r="D560" i="2"/>
  <c r="E560" i="2"/>
  <c r="F560" i="2"/>
  <c r="G560" i="2"/>
  <c r="H560" i="2"/>
  <c r="J560" i="2"/>
  <c r="D561" i="2"/>
  <c r="E561" i="2"/>
  <c r="F561" i="2"/>
  <c r="G561" i="2"/>
  <c r="H561" i="2"/>
  <c r="J561" i="2"/>
  <c r="D562" i="2"/>
  <c r="E562" i="2"/>
  <c r="F562" i="2"/>
  <c r="G562" i="2"/>
  <c r="H562" i="2"/>
  <c r="J562" i="2"/>
  <c r="D563" i="2"/>
  <c r="E563" i="2"/>
  <c r="F563" i="2"/>
  <c r="G563" i="2"/>
  <c r="H563" i="2"/>
  <c r="J563" i="2"/>
  <c r="D564" i="2"/>
  <c r="E564" i="2"/>
  <c r="F564" i="2"/>
  <c r="G564" i="2"/>
  <c r="H564" i="2"/>
  <c r="J564" i="2"/>
  <c r="D565" i="2"/>
  <c r="E565" i="2"/>
  <c r="F565" i="2"/>
  <c r="G565" i="2"/>
  <c r="H565" i="2"/>
  <c r="J565" i="2"/>
  <c r="D566" i="2"/>
  <c r="E566" i="2"/>
  <c r="F566" i="2"/>
  <c r="G566" i="2"/>
  <c r="H566" i="2"/>
  <c r="J566" i="2"/>
  <c r="D567" i="2"/>
  <c r="E567" i="2"/>
  <c r="F567" i="2"/>
  <c r="G567" i="2"/>
  <c r="H567" i="2"/>
  <c r="J567" i="2"/>
  <c r="D568" i="2"/>
  <c r="E568" i="2"/>
  <c r="F568" i="2"/>
  <c r="G568" i="2"/>
  <c r="H568" i="2"/>
  <c r="J568" i="2"/>
  <c r="D569" i="2"/>
  <c r="E569" i="2"/>
  <c r="F569" i="2"/>
  <c r="G569" i="2"/>
  <c r="H569" i="2"/>
  <c r="J569" i="2"/>
  <c r="D570" i="2"/>
  <c r="E570" i="2"/>
  <c r="F570" i="2"/>
  <c r="G570" i="2"/>
  <c r="H570" i="2"/>
  <c r="J570" i="2"/>
  <c r="D571" i="2"/>
  <c r="E571" i="2"/>
  <c r="F571" i="2"/>
  <c r="G571" i="2"/>
  <c r="H571" i="2"/>
  <c r="J571" i="2"/>
  <c r="D572" i="2"/>
  <c r="E572" i="2"/>
  <c r="F572" i="2"/>
  <c r="G572" i="2"/>
  <c r="H572" i="2"/>
  <c r="J572" i="2"/>
  <c r="D573" i="2"/>
  <c r="E573" i="2"/>
  <c r="F573" i="2"/>
  <c r="G573" i="2"/>
  <c r="H573" i="2"/>
  <c r="J573" i="2"/>
  <c r="D574" i="2"/>
  <c r="E574" i="2"/>
  <c r="F574" i="2"/>
  <c r="G574" i="2"/>
  <c r="H574" i="2"/>
  <c r="J574" i="2"/>
  <c r="D575" i="2"/>
  <c r="E575" i="2"/>
  <c r="F575" i="2"/>
  <c r="G575" i="2"/>
  <c r="H575" i="2"/>
  <c r="J575" i="2"/>
  <c r="D576" i="2"/>
  <c r="E576" i="2"/>
  <c r="F576" i="2"/>
  <c r="G576" i="2"/>
  <c r="H576" i="2"/>
  <c r="J576" i="2"/>
  <c r="D577" i="2"/>
  <c r="E577" i="2"/>
  <c r="F577" i="2"/>
  <c r="G577" i="2"/>
  <c r="H577" i="2"/>
  <c r="J577" i="2"/>
  <c r="D578" i="2"/>
  <c r="E578" i="2"/>
  <c r="F578" i="2"/>
  <c r="G578" i="2"/>
  <c r="H578" i="2"/>
  <c r="J578" i="2"/>
  <c r="D579" i="2"/>
  <c r="E579" i="2"/>
  <c r="F579" i="2"/>
  <c r="G579" i="2"/>
  <c r="H579" i="2"/>
  <c r="J579" i="2"/>
  <c r="D580" i="2"/>
  <c r="E580" i="2"/>
  <c r="F580" i="2"/>
  <c r="G580" i="2"/>
  <c r="H580" i="2"/>
  <c r="J580" i="2"/>
  <c r="D581" i="2"/>
  <c r="E581" i="2"/>
  <c r="F581" i="2"/>
  <c r="G581" i="2"/>
  <c r="H581" i="2"/>
  <c r="J581" i="2"/>
  <c r="D589" i="2"/>
  <c r="E589" i="2"/>
  <c r="F589" i="2"/>
  <c r="G589" i="2"/>
  <c r="H589" i="2"/>
  <c r="J589" i="2"/>
  <c r="D590" i="2"/>
  <c r="E590" i="2"/>
  <c r="F590" i="2"/>
  <c r="G590" i="2"/>
  <c r="H590" i="2"/>
  <c r="J590" i="2"/>
  <c r="D591" i="2"/>
  <c r="E591" i="2"/>
  <c r="F591" i="2"/>
  <c r="G591" i="2"/>
  <c r="H591" i="2"/>
  <c r="J591" i="2"/>
  <c r="D592" i="2"/>
  <c r="E592" i="2"/>
  <c r="F592" i="2"/>
  <c r="G592" i="2"/>
  <c r="H592" i="2"/>
  <c r="J592" i="2"/>
  <c r="D593" i="2"/>
  <c r="E593" i="2"/>
  <c r="F593" i="2"/>
  <c r="G593" i="2"/>
  <c r="H593" i="2"/>
  <c r="J593" i="2"/>
  <c r="D594" i="2"/>
  <c r="E594" i="2"/>
  <c r="F594" i="2"/>
  <c r="G594" i="2"/>
  <c r="H594" i="2"/>
  <c r="J594" i="2"/>
  <c r="D595" i="2"/>
  <c r="E595" i="2"/>
  <c r="F595" i="2"/>
  <c r="G595" i="2"/>
  <c r="H595" i="2"/>
  <c r="J595" i="2"/>
  <c r="D596" i="2"/>
  <c r="E596" i="2"/>
  <c r="F596" i="2"/>
  <c r="G596" i="2"/>
  <c r="H596" i="2"/>
  <c r="J596" i="2"/>
  <c r="D597" i="2"/>
  <c r="E597" i="2"/>
  <c r="F597" i="2"/>
  <c r="G597" i="2"/>
  <c r="H597" i="2"/>
  <c r="J597" i="2"/>
  <c r="D598" i="2"/>
  <c r="E598" i="2"/>
  <c r="F598" i="2"/>
  <c r="G598" i="2"/>
  <c r="H598" i="2"/>
  <c r="J598" i="2"/>
  <c r="D599" i="2"/>
  <c r="E599" i="2"/>
  <c r="F599" i="2"/>
  <c r="G599" i="2"/>
  <c r="H599" i="2"/>
  <c r="J599" i="2"/>
  <c r="D600" i="2"/>
  <c r="E600" i="2"/>
  <c r="F600" i="2"/>
  <c r="G600" i="2"/>
  <c r="H600" i="2"/>
  <c r="J600" i="2"/>
  <c r="D601" i="2"/>
  <c r="E601" i="2"/>
  <c r="F601" i="2"/>
  <c r="G601" i="2"/>
  <c r="H601" i="2"/>
  <c r="J601" i="2"/>
  <c r="D602" i="2"/>
  <c r="E602" i="2"/>
  <c r="F602" i="2"/>
  <c r="G602" i="2"/>
  <c r="H602" i="2"/>
  <c r="J602" i="2"/>
  <c r="D603" i="2"/>
  <c r="E603" i="2"/>
  <c r="F603" i="2"/>
  <c r="G603" i="2"/>
  <c r="H603" i="2"/>
  <c r="J603" i="2"/>
  <c r="D604" i="2"/>
  <c r="E604" i="2"/>
  <c r="F604" i="2"/>
  <c r="G604" i="2"/>
  <c r="H604" i="2"/>
  <c r="J604" i="2"/>
  <c r="D605" i="2"/>
  <c r="E605" i="2"/>
  <c r="F605" i="2"/>
  <c r="G605" i="2"/>
  <c r="H605" i="2"/>
  <c r="J605" i="2"/>
  <c r="D606" i="2"/>
  <c r="E606" i="2"/>
  <c r="F606" i="2"/>
  <c r="G606" i="2"/>
  <c r="H606" i="2"/>
  <c r="J606" i="2"/>
  <c r="D607" i="2"/>
  <c r="E607" i="2"/>
  <c r="F607" i="2"/>
  <c r="G607" i="2"/>
  <c r="H607" i="2"/>
  <c r="J607" i="2"/>
  <c r="D608" i="2"/>
  <c r="E608" i="2"/>
  <c r="F608" i="2"/>
  <c r="G608" i="2"/>
  <c r="H608" i="2"/>
  <c r="J608" i="2"/>
  <c r="D609" i="2"/>
  <c r="E609" i="2"/>
  <c r="F609" i="2"/>
  <c r="G609" i="2"/>
  <c r="H609" i="2"/>
  <c r="J609" i="2"/>
  <c r="D610" i="2"/>
  <c r="E610" i="2"/>
  <c r="F610" i="2"/>
  <c r="G610" i="2"/>
  <c r="H610" i="2"/>
  <c r="J610" i="2"/>
  <c r="D611" i="2"/>
  <c r="E611" i="2"/>
  <c r="F611" i="2"/>
  <c r="G611" i="2"/>
  <c r="H611" i="2"/>
  <c r="J611" i="2"/>
  <c r="D612" i="2"/>
  <c r="E612" i="2"/>
  <c r="F612" i="2"/>
  <c r="G612" i="2"/>
  <c r="H612" i="2"/>
  <c r="J612" i="2"/>
  <c r="D613" i="2"/>
  <c r="E613" i="2"/>
  <c r="F613" i="2"/>
  <c r="G613" i="2"/>
  <c r="H613" i="2"/>
  <c r="J613" i="2"/>
  <c r="D614" i="2"/>
  <c r="E614" i="2"/>
  <c r="F614" i="2"/>
  <c r="G614" i="2"/>
  <c r="H614" i="2"/>
  <c r="J614" i="2"/>
  <c r="D615" i="2"/>
  <c r="E615" i="2"/>
  <c r="F615" i="2"/>
  <c r="G615" i="2"/>
  <c r="H615" i="2"/>
  <c r="J615" i="2"/>
  <c r="D616" i="2"/>
  <c r="E616" i="2"/>
  <c r="F616" i="2"/>
  <c r="G616" i="2"/>
  <c r="H616" i="2"/>
  <c r="J616" i="2"/>
  <c r="D617" i="2"/>
  <c r="E617" i="2"/>
  <c r="F617" i="2"/>
  <c r="G617" i="2"/>
  <c r="H617" i="2"/>
  <c r="J617" i="2"/>
  <c r="D618" i="2"/>
  <c r="E618" i="2"/>
  <c r="F618" i="2"/>
  <c r="G618" i="2"/>
  <c r="H618" i="2"/>
  <c r="J618" i="2"/>
  <c r="D619" i="2"/>
  <c r="E619" i="2"/>
  <c r="F619" i="2"/>
  <c r="G619" i="2"/>
  <c r="H619" i="2"/>
  <c r="J619" i="2"/>
  <c r="D620" i="2"/>
  <c r="E620" i="2"/>
  <c r="F620" i="2"/>
  <c r="G620" i="2"/>
  <c r="H620" i="2"/>
  <c r="J620" i="2"/>
  <c r="D621" i="2"/>
  <c r="E621" i="2"/>
  <c r="F621" i="2"/>
  <c r="G621" i="2"/>
  <c r="H621" i="2"/>
  <c r="J621" i="2"/>
  <c r="D622" i="2"/>
  <c r="E622" i="2"/>
  <c r="F622" i="2"/>
  <c r="G622" i="2"/>
  <c r="H622" i="2"/>
  <c r="J622" i="2"/>
  <c r="D623" i="2"/>
  <c r="E623" i="2"/>
  <c r="F623" i="2"/>
  <c r="G623" i="2"/>
  <c r="H623" i="2"/>
  <c r="J623" i="2"/>
  <c r="D624" i="2"/>
  <c r="E624" i="2"/>
  <c r="F624" i="2"/>
  <c r="G624" i="2"/>
  <c r="H624" i="2"/>
  <c r="J624" i="2"/>
  <c r="D625" i="2"/>
  <c r="E625" i="2"/>
  <c r="F625" i="2"/>
  <c r="G625" i="2"/>
  <c r="H625" i="2"/>
  <c r="J625" i="2"/>
  <c r="D626" i="2"/>
  <c r="E626" i="2"/>
  <c r="F626" i="2"/>
  <c r="G626" i="2"/>
  <c r="H626" i="2"/>
  <c r="J626" i="2"/>
  <c r="D627" i="2"/>
  <c r="E627" i="2"/>
  <c r="F627" i="2"/>
  <c r="G627" i="2"/>
  <c r="H627" i="2"/>
  <c r="J627" i="2"/>
  <c r="D628" i="2"/>
  <c r="E628" i="2"/>
  <c r="F628" i="2"/>
  <c r="G628" i="2"/>
  <c r="H628" i="2"/>
  <c r="J628" i="2"/>
  <c r="D629" i="2"/>
  <c r="E629" i="2"/>
  <c r="F629" i="2"/>
  <c r="G629" i="2"/>
  <c r="H629" i="2"/>
  <c r="J629" i="2"/>
  <c r="D630" i="2"/>
  <c r="E630" i="2"/>
  <c r="F630" i="2"/>
  <c r="G630" i="2"/>
  <c r="H630" i="2"/>
  <c r="J630" i="2"/>
  <c r="D631" i="2"/>
  <c r="E631" i="2"/>
  <c r="F631" i="2"/>
  <c r="G631" i="2"/>
  <c r="H631" i="2"/>
  <c r="J631" i="2"/>
  <c r="D632" i="2"/>
  <c r="E632" i="2"/>
  <c r="F632" i="2"/>
  <c r="G632" i="2"/>
  <c r="H632" i="2"/>
  <c r="J632" i="2"/>
  <c r="D633" i="2"/>
  <c r="E633" i="2"/>
  <c r="F633" i="2"/>
  <c r="G633" i="2"/>
  <c r="H633" i="2"/>
  <c r="J633" i="2"/>
  <c r="D635" i="2"/>
  <c r="E635" i="2"/>
  <c r="F635" i="2"/>
  <c r="G635" i="2"/>
  <c r="H635" i="2"/>
  <c r="J635" i="2"/>
  <c r="D636" i="2"/>
  <c r="E636" i="2"/>
  <c r="F636" i="2"/>
  <c r="G636" i="2"/>
  <c r="H636" i="2"/>
  <c r="J636" i="2"/>
  <c r="D637" i="2"/>
  <c r="E637" i="2"/>
  <c r="F637" i="2"/>
  <c r="G637" i="2"/>
  <c r="H637" i="2"/>
  <c r="J637" i="2"/>
  <c r="D638" i="2"/>
  <c r="E638" i="2"/>
  <c r="F638" i="2"/>
  <c r="G638" i="2"/>
  <c r="H638" i="2"/>
  <c r="J638" i="2"/>
  <c r="D639" i="2"/>
  <c r="E639" i="2"/>
  <c r="F639" i="2"/>
  <c r="G639" i="2"/>
  <c r="H639" i="2"/>
  <c r="J639" i="2"/>
  <c r="D640" i="2"/>
  <c r="E640" i="2"/>
  <c r="F640" i="2"/>
  <c r="G640" i="2"/>
  <c r="H640" i="2"/>
  <c r="J640" i="2"/>
  <c r="D641" i="2"/>
  <c r="E641" i="2"/>
  <c r="F641" i="2"/>
  <c r="G641" i="2"/>
  <c r="H641" i="2"/>
  <c r="J641" i="2"/>
  <c r="D642" i="2"/>
  <c r="E642" i="2"/>
  <c r="F642" i="2"/>
  <c r="G642" i="2"/>
  <c r="H642" i="2"/>
  <c r="J642" i="2"/>
  <c r="D643" i="2"/>
  <c r="E643" i="2"/>
  <c r="F643" i="2"/>
  <c r="G643" i="2"/>
  <c r="H643" i="2"/>
  <c r="J643" i="2"/>
  <c r="D644" i="2"/>
  <c r="E644" i="2"/>
  <c r="F644" i="2"/>
  <c r="G644" i="2"/>
  <c r="H644" i="2"/>
  <c r="J644" i="2"/>
  <c r="D645" i="2"/>
  <c r="E645" i="2"/>
  <c r="F645" i="2"/>
  <c r="G645" i="2"/>
  <c r="H645" i="2"/>
  <c r="J645" i="2"/>
  <c r="D646" i="2"/>
  <c r="E646" i="2"/>
  <c r="F646" i="2"/>
  <c r="G646" i="2"/>
  <c r="H646" i="2"/>
  <c r="J646" i="2"/>
  <c r="D647" i="2"/>
  <c r="E647" i="2"/>
  <c r="F647" i="2"/>
  <c r="G647" i="2"/>
  <c r="H647" i="2"/>
  <c r="J647" i="2"/>
  <c r="D648" i="2"/>
  <c r="E648" i="2"/>
  <c r="F648" i="2"/>
  <c r="G648" i="2"/>
  <c r="H648" i="2"/>
  <c r="J648" i="2"/>
  <c r="D649" i="2"/>
  <c r="E649" i="2"/>
  <c r="F649" i="2"/>
  <c r="G649" i="2"/>
  <c r="H649" i="2"/>
  <c r="J649" i="2"/>
  <c r="D650" i="2"/>
  <c r="E650" i="2"/>
  <c r="F650" i="2"/>
  <c r="G650" i="2"/>
  <c r="H650" i="2"/>
  <c r="J650" i="2"/>
  <c r="D651" i="2"/>
  <c r="E651" i="2"/>
  <c r="F651" i="2"/>
  <c r="G651" i="2"/>
  <c r="H651" i="2"/>
  <c r="J651" i="2"/>
  <c r="D652" i="2"/>
  <c r="E652" i="2"/>
  <c r="F652" i="2"/>
  <c r="G652" i="2"/>
  <c r="H652" i="2"/>
  <c r="J652" i="2"/>
  <c r="D653" i="2"/>
  <c r="E653" i="2"/>
  <c r="F653" i="2"/>
  <c r="G653" i="2"/>
  <c r="H653" i="2"/>
  <c r="J653" i="2"/>
  <c r="D654" i="2"/>
  <c r="E654" i="2"/>
  <c r="F654" i="2"/>
  <c r="G654" i="2"/>
  <c r="H654" i="2"/>
  <c r="J654" i="2"/>
  <c r="D655" i="2"/>
  <c r="E655" i="2"/>
  <c r="F655" i="2"/>
  <c r="G655" i="2"/>
  <c r="H655" i="2"/>
  <c r="J655" i="2"/>
  <c r="D656" i="2"/>
  <c r="E656" i="2"/>
  <c r="F656" i="2"/>
  <c r="G656" i="2"/>
  <c r="H656" i="2"/>
  <c r="J656" i="2"/>
  <c r="D657" i="2"/>
  <c r="E657" i="2"/>
  <c r="F657" i="2"/>
  <c r="G657" i="2"/>
  <c r="H657" i="2"/>
  <c r="J657" i="2"/>
  <c r="D658" i="2"/>
  <c r="E658" i="2"/>
  <c r="F658" i="2"/>
  <c r="G658" i="2"/>
  <c r="H658" i="2"/>
  <c r="J658" i="2"/>
  <c r="D659" i="2"/>
  <c r="E659" i="2"/>
  <c r="F659" i="2"/>
  <c r="G659" i="2"/>
  <c r="H659" i="2"/>
  <c r="J659" i="2"/>
  <c r="D660" i="2"/>
  <c r="E660" i="2"/>
  <c r="F660" i="2"/>
  <c r="G660" i="2"/>
  <c r="H660" i="2"/>
  <c r="J660" i="2"/>
  <c r="D661" i="2"/>
  <c r="E661" i="2"/>
  <c r="F661" i="2"/>
  <c r="G661" i="2"/>
  <c r="H661" i="2"/>
  <c r="J661" i="2"/>
  <c r="D662" i="2"/>
  <c r="E662" i="2"/>
  <c r="F662" i="2"/>
  <c r="G662" i="2"/>
  <c r="H662" i="2"/>
  <c r="J662" i="2"/>
  <c r="D663" i="2"/>
  <c r="E663" i="2"/>
  <c r="F663" i="2"/>
  <c r="G663" i="2"/>
  <c r="H663" i="2"/>
  <c r="J663" i="2"/>
  <c r="D664" i="2"/>
  <c r="E664" i="2"/>
  <c r="F664" i="2"/>
  <c r="G664" i="2"/>
  <c r="H664" i="2"/>
  <c r="J664" i="2"/>
  <c r="D665" i="2"/>
  <c r="E665" i="2"/>
  <c r="F665" i="2"/>
  <c r="G665" i="2"/>
  <c r="H665" i="2"/>
  <c r="J665" i="2"/>
  <c r="D666" i="2"/>
  <c r="E666" i="2"/>
  <c r="F666" i="2"/>
  <c r="G666" i="2"/>
  <c r="H666" i="2"/>
  <c r="J666" i="2"/>
  <c r="D667" i="2"/>
  <c r="E667" i="2"/>
  <c r="F667" i="2"/>
  <c r="G667" i="2"/>
  <c r="H667" i="2"/>
  <c r="J667" i="2"/>
  <c r="D668" i="2"/>
  <c r="E668" i="2"/>
  <c r="F668" i="2"/>
  <c r="G668" i="2"/>
  <c r="H668" i="2"/>
  <c r="J668" i="2"/>
  <c r="D669" i="2"/>
  <c r="E669" i="2"/>
  <c r="F669" i="2"/>
  <c r="G669" i="2"/>
  <c r="H669" i="2"/>
  <c r="J669" i="2"/>
  <c r="D670" i="2"/>
  <c r="E670" i="2"/>
  <c r="F670" i="2"/>
  <c r="G670" i="2"/>
  <c r="H670" i="2"/>
  <c r="J670" i="2"/>
  <c r="D671" i="2"/>
  <c r="E671" i="2"/>
  <c r="F671" i="2"/>
  <c r="G671" i="2"/>
  <c r="H671" i="2"/>
  <c r="J671" i="2"/>
  <c r="D672" i="2"/>
  <c r="E672" i="2"/>
  <c r="F672" i="2"/>
  <c r="G672" i="2"/>
  <c r="H672" i="2"/>
  <c r="J672" i="2"/>
  <c r="D673" i="2"/>
  <c r="E673" i="2"/>
  <c r="F673" i="2"/>
  <c r="G673" i="2"/>
  <c r="H673" i="2"/>
  <c r="J673" i="2"/>
  <c r="D674" i="2"/>
  <c r="E674" i="2"/>
  <c r="F674" i="2"/>
  <c r="G674" i="2"/>
  <c r="H674" i="2"/>
  <c r="J674" i="2"/>
  <c r="D675" i="2"/>
  <c r="E675" i="2"/>
  <c r="F675" i="2"/>
  <c r="G675" i="2"/>
  <c r="H675" i="2"/>
  <c r="J675" i="2"/>
  <c r="D676" i="2"/>
  <c r="E676" i="2"/>
  <c r="F676" i="2"/>
  <c r="G676" i="2"/>
  <c r="H676" i="2"/>
  <c r="J676" i="2"/>
  <c r="D677" i="2"/>
  <c r="E677" i="2"/>
  <c r="F677" i="2"/>
  <c r="G677" i="2"/>
  <c r="H677" i="2"/>
  <c r="J677" i="2"/>
  <c r="D678" i="2"/>
  <c r="E678" i="2"/>
  <c r="F678" i="2"/>
  <c r="G678" i="2"/>
  <c r="H678" i="2"/>
  <c r="J678" i="2"/>
  <c r="D679" i="2"/>
  <c r="E679" i="2"/>
  <c r="F679" i="2"/>
  <c r="G679" i="2"/>
  <c r="H679" i="2"/>
  <c r="J679" i="2"/>
  <c r="D680" i="2"/>
  <c r="E680" i="2"/>
  <c r="F680" i="2"/>
  <c r="G680" i="2"/>
  <c r="H680" i="2"/>
  <c r="J680" i="2"/>
  <c r="D681" i="2"/>
  <c r="E681" i="2"/>
  <c r="F681" i="2"/>
  <c r="G681" i="2"/>
  <c r="H681" i="2"/>
  <c r="J681" i="2"/>
  <c r="D682" i="2"/>
  <c r="E682" i="2"/>
  <c r="F682" i="2"/>
  <c r="G682" i="2"/>
  <c r="H682" i="2"/>
  <c r="J682" i="2"/>
  <c r="D683" i="2"/>
  <c r="E683" i="2"/>
  <c r="F683" i="2"/>
  <c r="G683" i="2"/>
  <c r="H683" i="2"/>
  <c r="J683" i="2"/>
  <c r="D684" i="2"/>
  <c r="E684" i="2"/>
  <c r="F684" i="2"/>
  <c r="G684" i="2"/>
  <c r="H684" i="2"/>
  <c r="J684" i="2"/>
  <c r="D685" i="2"/>
  <c r="E685" i="2"/>
  <c r="F685" i="2"/>
  <c r="G685" i="2"/>
  <c r="H685" i="2"/>
  <c r="J685" i="2"/>
  <c r="D686" i="2"/>
  <c r="E686" i="2"/>
  <c r="F686" i="2"/>
  <c r="G686" i="2"/>
  <c r="H686" i="2"/>
  <c r="J686" i="2"/>
  <c r="D687" i="2"/>
  <c r="E687" i="2"/>
  <c r="F687" i="2"/>
  <c r="G687" i="2"/>
  <c r="H687" i="2"/>
  <c r="J687" i="2"/>
  <c r="D688" i="2"/>
  <c r="E688" i="2"/>
  <c r="F688" i="2"/>
  <c r="G688" i="2"/>
  <c r="H688" i="2"/>
  <c r="J688" i="2"/>
  <c r="D689" i="2"/>
  <c r="E689" i="2"/>
  <c r="F689" i="2"/>
  <c r="G689" i="2"/>
  <c r="H689" i="2"/>
  <c r="J689" i="2"/>
  <c r="D690" i="2"/>
  <c r="E690" i="2"/>
  <c r="F690" i="2"/>
  <c r="G690" i="2"/>
  <c r="H690" i="2"/>
  <c r="J690" i="2"/>
  <c r="D691" i="2"/>
  <c r="E691" i="2"/>
  <c r="F691" i="2"/>
  <c r="G691" i="2"/>
  <c r="H691" i="2"/>
  <c r="J691" i="2"/>
  <c r="D692" i="2"/>
  <c r="E692" i="2"/>
  <c r="F692" i="2"/>
  <c r="G692" i="2"/>
  <c r="H692" i="2"/>
  <c r="J692" i="2"/>
  <c r="D693" i="2"/>
  <c r="E693" i="2"/>
  <c r="F693" i="2"/>
  <c r="G693" i="2"/>
  <c r="H693" i="2"/>
  <c r="J693" i="2"/>
  <c r="D694" i="2"/>
  <c r="E694" i="2"/>
  <c r="F694" i="2"/>
  <c r="G694" i="2"/>
  <c r="H694" i="2"/>
  <c r="J694" i="2"/>
  <c r="D695" i="2"/>
  <c r="E695" i="2"/>
  <c r="F695" i="2"/>
  <c r="G695" i="2"/>
  <c r="H695" i="2"/>
  <c r="J695" i="2"/>
  <c r="D696" i="2"/>
  <c r="E696" i="2"/>
  <c r="F696" i="2"/>
  <c r="G696" i="2"/>
  <c r="H696" i="2"/>
  <c r="J696" i="2"/>
  <c r="D697" i="2"/>
  <c r="E697" i="2"/>
  <c r="F697" i="2"/>
  <c r="G697" i="2"/>
  <c r="H697" i="2"/>
  <c r="J697" i="2"/>
  <c r="D698" i="2"/>
  <c r="E698" i="2"/>
  <c r="F698" i="2"/>
  <c r="G698" i="2"/>
  <c r="H698" i="2"/>
  <c r="J698" i="2"/>
  <c r="D699" i="2"/>
  <c r="E699" i="2"/>
  <c r="F699" i="2"/>
  <c r="G699" i="2"/>
  <c r="H699" i="2"/>
  <c r="J699" i="2"/>
  <c r="D700" i="2"/>
  <c r="E700" i="2"/>
  <c r="F700" i="2"/>
  <c r="G700" i="2"/>
  <c r="H700" i="2"/>
  <c r="J700" i="2"/>
  <c r="D701" i="2"/>
  <c r="E701" i="2"/>
  <c r="F701" i="2"/>
  <c r="G701" i="2"/>
  <c r="H701" i="2"/>
  <c r="J701" i="2"/>
  <c r="D702" i="2"/>
  <c r="E702" i="2"/>
  <c r="F702" i="2"/>
  <c r="G702" i="2"/>
  <c r="H702" i="2"/>
  <c r="J702" i="2"/>
  <c r="D703" i="2"/>
  <c r="E703" i="2"/>
  <c r="F703" i="2"/>
  <c r="G703" i="2"/>
  <c r="H703" i="2"/>
  <c r="J703" i="2"/>
  <c r="D704" i="2"/>
  <c r="E704" i="2"/>
  <c r="F704" i="2"/>
  <c r="G704" i="2"/>
  <c r="H704" i="2"/>
  <c r="J704" i="2"/>
  <c r="D705" i="2"/>
  <c r="E705" i="2"/>
  <c r="F705" i="2"/>
  <c r="G705" i="2"/>
  <c r="H705" i="2"/>
  <c r="J705" i="2"/>
  <c r="D706" i="2"/>
  <c r="E706" i="2"/>
  <c r="F706" i="2"/>
  <c r="G706" i="2"/>
  <c r="H706" i="2"/>
  <c r="J706" i="2"/>
  <c r="D707" i="2"/>
  <c r="E707" i="2"/>
  <c r="F707" i="2"/>
  <c r="G707" i="2"/>
  <c r="H707" i="2"/>
  <c r="J707" i="2"/>
  <c r="D708" i="2"/>
  <c r="E708" i="2"/>
  <c r="F708" i="2"/>
  <c r="G708" i="2"/>
  <c r="H708" i="2"/>
  <c r="J708" i="2"/>
  <c r="D709" i="2"/>
  <c r="E709" i="2"/>
  <c r="F709" i="2"/>
  <c r="G709" i="2"/>
  <c r="H709" i="2"/>
  <c r="J709" i="2"/>
  <c r="D710" i="2"/>
  <c r="E710" i="2"/>
  <c r="F710" i="2"/>
  <c r="G710" i="2"/>
  <c r="H710" i="2"/>
  <c r="J710" i="2"/>
  <c r="D711" i="2"/>
  <c r="E711" i="2"/>
  <c r="F711" i="2"/>
  <c r="G711" i="2"/>
  <c r="H711" i="2"/>
  <c r="J711" i="2"/>
  <c r="D712" i="2"/>
  <c r="E712" i="2"/>
  <c r="F712" i="2"/>
  <c r="G712" i="2"/>
  <c r="H712" i="2"/>
  <c r="J712" i="2"/>
  <c r="D713" i="2"/>
  <c r="E713" i="2"/>
  <c r="F713" i="2"/>
  <c r="G713" i="2"/>
  <c r="H713" i="2"/>
  <c r="J713" i="2"/>
  <c r="D714" i="2"/>
  <c r="E714" i="2"/>
  <c r="F714" i="2"/>
  <c r="G714" i="2"/>
  <c r="H714" i="2"/>
  <c r="J714" i="2"/>
  <c r="D715" i="2"/>
  <c r="E715" i="2"/>
  <c r="F715" i="2"/>
  <c r="G715" i="2"/>
  <c r="H715" i="2"/>
  <c r="J715" i="2"/>
  <c r="D716" i="2"/>
  <c r="E716" i="2"/>
  <c r="F716" i="2"/>
  <c r="G716" i="2"/>
  <c r="H716" i="2"/>
  <c r="J716" i="2"/>
  <c r="D717" i="2"/>
  <c r="E717" i="2"/>
  <c r="F717" i="2"/>
  <c r="G717" i="2"/>
  <c r="H717" i="2"/>
  <c r="J717" i="2"/>
  <c r="D718" i="2"/>
  <c r="E718" i="2"/>
  <c r="F718" i="2"/>
  <c r="G718" i="2"/>
  <c r="H718" i="2"/>
  <c r="J718" i="2"/>
  <c r="D719" i="2"/>
  <c r="E719" i="2"/>
  <c r="F719" i="2"/>
  <c r="G719" i="2"/>
  <c r="H719" i="2"/>
  <c r="J719" i="2"/>
  <c r="D720" i="2"/>
  <c r="E720" i="2"/>
  <c r="F720" i="2"/>
  <c r="G720" i="2"/>
  <c r="H720" i="2"/>
  <c r="J720" i="2"/>
  <c r="D721" i="2"/>
  <c r="E721" i="2"/>
  <c r="F721" i="2"/>
  <c r="G721" i="2"/>
  <c r="H721" i="2"/>
  <c r="J721" i="2"/>
  <c r="D722" i="2"/>
  <c r="E722" i="2"/>
  <c r="F722" i="2"/>
  <c r="G722" i="2"/>
  <c r="H722" i="2"/>
  <c r="J722" i="2"/>
  <c r="D723" i="2"/>
  <c r="E723" i="2"/>
  <c r="F723" i="2"/>
  <c r="G723" i="2"/>
  <c r="H723" i="2"/>
  <c r="J723" i="2"/>
  <c r="D724" i="2"/>
  <c r="E724" i="2"/>
  <c r="F724" i="2"/>
  <c r="G724" i="2"/>
  <c r="H724" i="2"/>
  <c r="J724" i="2"/>
  <c r="D725" i="2"/>
  <c r="E725" i="2"/>
  <c r="F725" i="2"/>
  <c r="G725" i="2"/>
  <c r="H725" i="2"/>
  <c r="J725" i="2"/>
  <c r="D726" i="2"/>
  <c r="E726" i="2"/>
  <c r="F726" i="2"/>
  <c r="G726" i="2"/>
  <c r="H726" i="2"/>
  <c r="J726" i="2"/>
  <c r="D727" i="2"/>
  <c r="E727" i="2"/>
  <c r="F727" i="2"/>
  <c r="G727" i="2"/>
  <c r="H727" i="2"/>
  <c r="J727" i="2"/>
  <c r="D728" i="2"/>
  <c r="E728" i="2"/>
  <c r="F728" i="2"/>
  <c r="G728" i="2"/>
  <c r="H728" i="2"/>
  <c r="J728" i="2"/>
  <c r="D729" i="2"/>
  <c r="E729" i="2"/>
  <c r="F729" i="2"/>
  <c r="G729" i="2"/>
  <c r="H729" i="2"/>
  <c r="J729" i="2"/>
  <c r="D730" i="2"/>
  <c r="E730" i="2"/>
  <c r="F730" i="2"/>
  <c r="G730" i="2"/>
  <c r="H730" i="2"/>
  <c r="J730" i="2"/>
  <c r="D731" i="2"/>
  <c r="E731" i="2"/>
  <c r="F731" i="2"/>
  <c r="G731" i="2"/>
  <c r="H731" i="2"/>
  <c r="J731" i="2"/>
  <c r="D732" i="2"/>
  <c r="E732" i="2"/>
  <c r="F732" i="2"/>
  <c r="G732" i="2"/>
  <c r="H732" i="2"/>
  <c r="J732" i="2"/>
  <c r="D733" i="2"/>
  <c r="E733" i="2"/>
  <c r="F733" i="2"/>
  <c r="G733" i="2"/>
  <c r="H733" i="2"/>
  <c r="J733" i="2"/>
  <c r="D734" i="2"/>
  <c r="E734" i="2"/>
  <c r="F734" i="2"/>
  <c r="G734" i="2"/>
  <c r="H734" i="2"/>
  <c r="J734" i="2"/>
  <c r="D735" i="2"/>
  <c r="E735" i="2"/>
  <c r="F735" i="2"/>
  <c r="G735" i="2"/>
  <c r="H735" i="2"/>
  <c r="J735" i="2"/>
  <c r="D736" i="2"/>
  <c r="E736" i="2"/>
  <c r="F736" i="2"/>
  <c r="G736" i="2"/>
  <c r="H736" i="2"/>
  <c r="J736" i="2"/>
  <c r="D737" i="2"/>
  <c r="E737" i="2"/>
  <c r="F737" i="2"/>
  <c r="G737" i="2"/>
  <c r="H737" i="2"/>
  <c r="J737" i="2"/>
  <c r="D739" i="2"/>
  <c r="E739" i="2"/>
  <c r="F739" i="2"/>
  <c r="G739" i="2"/>
  <c r="H739" i="2"/>
  <c r="J739" i="2"/>
  <c r="D740" i="2"/>
  <c r="E740" i="2"/>
  <c r="F740" i="2"/>
  <c r="G740" i="2"/>
  <c r="H740" i="2"/>
  <c r="J740" i="2"/>
  <c r="D741" i="2"/>
  <c r="E741" i="2"/>
  <c r="F741" i="2"/>
  <c r="G741" i="2"/>
  <c r="H741" i="2"/>
  <c r="J741" i="2"/>
  <c r="D742" i="2"/>
  <c r="E742" i="2"/>
  <c r="F742" i="2"/>
  <c r="G742" i="2"/>
  <c r="H742" i="2"/>
  <c r="J742" i="2"/>
  <c r="D743" i="2"/>
  <c r="E743" i="2"/>
  <c r="F743" i="2"/>
  <c r="G743" i="2"/>
  <c r="H743" i="2"/>
  <c r="J743" i="2"/>
  <c r="D744" i="2"/>
  <c r="E744" i="2"/>
  <c r="F744" i="2"/>
  <c r="G744" i="2"/>
  <c r="H744" i="2"/>
  <c r="J744" i="2"/>
  <c r="D745" i="2"/>
  <c r="E745" i="2"/>
  <c r="F745" i="2"/>
  <c r="G745" i="2"/>
  <c r="H745" i="2"/>
  <c r="J745" i="2"/>
  <c r="D746" i="2"/>
  <c r="E746" i="2"/>
  <c r="F746" i="2"/>
  <c r="G746" i="2"/>
  <c r="H746" i="2"/>
  <c r="J746" i="2"/>
  <c r="D747" i="2"/>
  <c r="E747" i="2"/>
  <c r="F747" i="2"/>
  <c r="G747" i="2"/>
  <c r="H747" i="2"/>
  <c r="J747" i="2"/>
  <c r="D748" i="2"/>
  <c r="E748" i="2"/>
  <c r="F748" i="2"/>
  <c r="G748" i="2"/>
  <c r="H748" i="2"/>
  <c r="J748" i="2"/>
  <c r="D749" i="2"/>
  <c r="E749" i="2"/>
  <c r="F749" i="2"/>
  <c r="G749" i="2"/>
  <c r="H749" i="2"/>
  <c r="J749" i="2"/>
  <c r="D750" i="2"/>
  <c r="E750" i="2"/>
  <c r="F750" i="2"/>
  <c r="G750" i="2"/>
  <c r="H750" i="2"/>
  <c r="J750" i="2"/>
  <c r="D751" i="2"/>
  <c r="E751" i="2"/>
  <c r="F751" i="2"/>
  <c r="G751" i="2"/>
  <c r="H751" i="2"/>
  <c r="J751" i="2"/>
  <c r="D752" i="2"/>
  <c r="E752" i="2"/>
  <c r="F752" i="2"/>
  <c r="G752" i="2"/>
  <c r="H752" i="2"/>
  <c r="J752" i="2"/>
  <c r="D753" i="2"/>
  <c r="E753" i="2"/>
  <c r="F753" i="2"/>
  <c r="G753" i="2"/>
  <c r="H753" i="2"/>
  <c r="J753" i="2"/>
  <c r="D754" i="2"/>
  <c r="E754" i="2"/>
  <c r="F754" i="2"/>
  <c r="G754" i="2"/>
  <c r="H754" i="2"/>
  <c r="J754" i="2"/>
  <c r="D755" i="2"/>
  <c r="E755" i="2"/>
  <c r="F755" i="2"/>
  <c r="G755" i="2"/>
  <c r="H755" i="2"/>
  <c r="J755" i="2"/>
  <c r="D756" i="2"/>
  <c r="E756" i="2"/>
  <c r="F756" i="2"/>
  <c r="G756" i="2"/>
  <c r="H756" i="2"/>
  <c r="J756" i="2"/>
  <c r="D757" i="2"/>
  <c r="E757" i="2"/>
  <c r="F757" i="2"/>
  <c r="G757" i="2"/>
  <c r="H757" i="2"/>
  <c r="J757" i="2"/>
  <c r="D758" i="2"/>
  <c r="E758" i="2"/>
  <c r="F758" i="2"/>
  <c r="G758" i="2"/>
  <c r="H758" i="2"/>
  <c r="J758" i="2"/>
  <c r="D759" i="2"/>
  <c r="E759" i="2"/>
  <c r="F759" i="2"/>
  <c r="G759" i="2"/>
  <c r="H759" i="2"/>
  <c r="J759" i="2"/>
  <c r="D760" i="2"/>
  <c r="E760" i="2"/>
  <c r="F760" i="2"/>
  <c r="G760" i="2"/>
  <c r="H760" i="2"/>
  <c r="J760" i="2"/>
  <c r="D761" i="2"/>
  <c r="E761" i="2"/>
  <c r="F761" i="2"/>
  <c r="G761" i="2"/>
  <c r="H761" i="2"/>
  <c r="J761" i="2"/>
  <c r="D762" i="2"/>
  <c r="E762" i="2"/>
  <c r="F762" i="2"/>
  <c r="G762" i="2"/>
  <c r="H762" i="2"/>
  <c r="J762" i="2"/>
  <c r="D763" i="2"/>
  <c r="E763" i="2"/>
  <c r="F763" i="2"/>
  <c r="G763" i="2"/>
  <c r="H763" i="2"/>
  <c r="J763" i="2"/>
  <c r="D764" i="2"/>
  <c r="E764" i="2"/>
  <c r="F764" i="2"/>
  <c r="G764" i="2"/>
  <c r="H764" i="2"/>
  <c r="J764" i="2"/>
  <c r="D765" i="2"/>
  <c r="E765" i="2"/>
  <c r="F765" i="2"/>
  <c r="G765" i="2"/>
  <c r="H765" i="2"/>
  <c r="J765" i="2"/>
  <c r="D766" i="2"/>
  <c r="E766" i="2"/>
  <c r="F766" i="2"/>
  <c r="G766" i="2"/>
  <c r="H766" i="2"/>
  <c r="J766" i="2"/>
  <c r="D767" i="2"/>
  <c r="E767" i="2"/>
  <c r="F767" i="2"/>
  <c r="G767" i="2"/>
  <c r="H767" i="2"/>
  <c r="J767" i="2"/>
  <c r="D768" i="2"/>
  <c r="E768" i="2"/>
  <c r="F768" i="2"/>
  <c r="G768" i="2"/>
  <c r="H768" i="2"/>
  <c r="J768" i="2"/>
  <c r="D769" i="2"/>
  <c r="E769" i="2"/>
  <c r="F769" i="2"/>
  <c r="G769" i="2"/>
  <c r="H769" i="2"/>
  <c r="J769" i="2"/>
  <c r="D770" i="2"/>
  <c r="E770" i="2"/>
  <c r="F770" i="2"/>
  <c r="G770" i="2"/>
  <c r="H770" i="2"/>
  <c r="J770" i="2"/>
  <c r="D771" i="2"/>
  <c r="E771" i="2"/>
  <c r="F771" i="2"/>
  <c r="G771" i="2"/>
  <c r="H771" i="2"/>
  <c r="J771" i="2"/>
  <c r="D772" i="2"/>
  <c r="E772" i="2"/>
  <c r="F772" i="2"/>
  <c r="G772" i="2"/>
  <c r="H772" i="2"/>
  <c r="J772" i="2"/>
  <c r="D773" i="2"/>
  <c r="E773" i="2"/>
  <c r="F773" i="2"/>
  <c r="G773" i="2"/>
  <c r="H773" i="2"/>
  <c r="J773" i="2"/>
  <c r="D774" i="2"/>
  <c r="E774" i="2"/>
  <c r="F774" i="2"/>
  <c r="G774" i="2"/>
  <c r="H774" i="2"/>
  <c r="J774" i="2"/>
  <c r="D775" i="2"/>
  <c r="E775" i="2"/>
  <c r="F775" i="2"/>
  <c r="G775" i="2"/>
  <c r="H775" i="2"/>
  <c r="J775" i="2"/>
  <c r="D776" i="2"/>
  <c r="E776" i="2"/>
  <c r="F776" i="2"/>
  <c r="G776" i="2"/>
  <c r="H776" i="2"/>
  <c r="J776" i="2"/>
  <c r="D777" i="2"/>
  <c r="E777" i="2"/>
  <c r="F777" i="2"/>
  <c r="G777" i="2"/>
  <c r="H777" i="2"/>
  <c r="J777" i="2"/>
  <c r="D778" i="2"/>
  <c r="E778" i="2"/>
  <c r="F778" i="2"/>
  <c r="G778" i="2"/>
  <c r="H778" i="2"/>
  <c r="J778" i="2"/>
  <c r="D779" i="2"/>
  <c r="E779" i="2"/>
  <c r="F779" i="2"/>
  <c r="G779" i="2"/>
  <c r="H779" i="2"/>
  <c r="J779" i="2"/>
  <c r="D780" i="2"/>
  <c r="E780" i="2"/>
  <c r="F780" i="2"/>
  <c r="G780" i="2"/>
  <c r="H780" i="2"/>
  <c r="J780" i="2"/>
  <c r="D781" i="2"/>
  <c r="E781" i="2"/>
  <c r="F781" i="2"/>
  <c r="G781" i="2"/>
  <c r="H781" i="2"/>
  <c r="J781" i="2"/>
  <c r="D782" i="2"/>
  <c r="E782" i="2"/>
  <c r="F782" i="2"/>
  <c r="G782" i="2"/>
  <c r="H782" i="2"/>
  <c r="J782" i="2"/>
  <c r="D783" i="2"/>
  <c r="E783" i="2"/>
  <c r="F783" i="2"/>
  <c r="G783" i="2"/>
  <c r="H783" i="2"/>
  <c r="J783" i="2"/>
  <c r="D784" i="2"/>
  <c r="E784" i="2"/>
  <c r="F784" i="2"/>
  <c r="G784" i="2"/>
  <c r="H784" i="2"/>
  <c r="J784" i="2"/>
  <c r="D785" i="2"/>
  <c r="E785" i="2"/>
  <c r="F785" i="2"/>
  <c r="G785" i="2"/>
  <c r="H785" i="2"/>
  <c r="J785" i="2"/>
  <c r="D786" i="2"/>
  <c r="E786" i="2"/>
  <c r="F786" i="2"/>
  <c r="G786" i="2"/>
  <c r="H786" i="2"/>
  <c r="J786" i="2"/>
  <c r="D787" i="2"/>
  <c r="E787" i="2"/>
  <c r="F787" i="2"/>
  <c r="G787" i="2"/>
  <c r="H787" i="2"/>
  <c r="J787" i="2"/>
  <c r="D788" i="2"/>
  <c r="E788" i="2"/>
  <c r="F788" i="2"/>
  <c r="G788" i="2"/>
  <c r="H788" i="2"/>
  <c r="J788" i="2"/>
  <c r="D789" i="2"/>
  <c r="E789" i="2"/>
  <c r="F789" i="2"/>
  <c r="G789" i="2"/>
  <c r="H789" i="2"/>
  <c r="J789" i="2"/>
  <c r="D790" i="2"/>
  <c r="E790" i="2"/>
  <c r="F790" i="2"/>
  <c r="G790" i="2"/>
  <c r="H790" i="2"/>
  <c r="J790" i="2"/>
  <c r="D791" i="2"/>
  <c r="E791" i="2"/>
  <c r="F791" i="2"/>
  <c r="G791" i="2"/>
  <c r="H791" i="2"/>
  <c r="J791" i="2"/>
  <c r="D792" i="2"/>
  <c r="E792" i="2"/>
  <c r="F792" i="2"/>
  <c r="G792" i="2"/>
  <c r="H792" i="2"/>
  <c r="J792" i="2"/>
  <c r="D793" i="2"/>
  <c r="E793" i="2"/>
  <c r="F793" i="2"/>
  <c r="G793" i="2"/>
  <c r="H793" i="2"/>
  <c r="J793" i="2"/>
  <c r="D794" i="2"/>
  <c r="E794" i="2"/>
  <c r="F794" i="2"/>
  <c r="G794" i="2"/>
  <c r="H794" i="2"/>
  <c r="J794" i="2"/>
  <c r="D795" i="2"/>
  <c r="E795" i="2"/>
  <c r="F795" i="2"/>
  <c r="G795" i="2"/>
  <c r="H795" i="2"/>
  <c r="J795" i="2"/>
  <c r="D796" i="2"/>
  <c r="E796" i="2"/>
  <c r="F796" i="2"/>
  <c r="G796" i="2"/>
  <c r="H796" i="2"/>
  <c r="J796" i="2"/>
  <c r="D797" i="2"/>
  <c r="E797" i="2"/>
  <c r="F797" i="2"/>
  <c r="G797" i="2"/>
  <c r="H797" i="2"/>
  <c r="J797" i="2"/>
  <c r="D798" i="2"/>
  <c r="E798" i="2"/>
  <c r="F798" i="2"/>
  <c r="G798" i="2"/>
  <c r="H798" i="2"/>
  <c r="J798" i="2"/>
  <c r="D799" i="2"/>
  <c r="E799" i="2"/>
  <c r="F799" i="2"/>
  <c r="G799" i="2"/>
  <c r="H799" i="2"/>
  <c r="J799" i="2"/>
  <c r="D800" i="2"/>
  <c r="E800" i="2"/>
  <c r="F800" i="2"/>
  <c r="G800" i="2"/>
  <c r="H800" i="2"/>
  <c r="J800" i="2"/>
  <c r="D801" i="2"/>
  <c r="E801" i="2"/>
  <c r="F801" i="2"/>
  <c r="G801" i="2"/>
  <c r="H801" i="2"/>
  <c r="J801" i="2"/>
  <c r="D802" i="2"/>
  <c r="E802" i="2"/>
  <c r="F802" i="2"/>
  <c r="G802" i="2"/>
  <c r="H802" i="2"/>
  <c r="J802" i="2"/>
  <c r="D803" i="2"/>
  <c r="E803" i="2"/>
  <c r="F803" i="2"/>
  <c r="G803" i="2"/>
  <c r="H803" i="2"/>
  <c r="J803" i="2"/>
  <c r="D804" i="2"/>
  <c r="E804" i="2"/>
  <c r="F804" i="2"/>
  <c r="G804" i="2"/>
  <c r="H804" i="2"/>
  <c r="J804" i="2"/>
  <c r="D805" i="2"/>
  <c r="E805" i="2"/>
  <c r="F805" i="2"/>
  <c r="G805" i="2"/>
  <c r="H805" i="2"/>
  <c r="J805" i="2"/>
  <c r="D806" i="2"/>
  <c r="E806" i="2"/>
  <c r="F806" i="2"/>
  <c r="G806" i="2"/>
  <c r="H806" i="2"/>
  <c r="J806" i="2"/>
  <c r="D807" i="2"/>
  <c r="E807" i="2"/>
  <c r="F807" i="2"/>
  <c r="G807" i="2"/>
  <c r="H807" i="2"/>
  <c r="J807" i="2"/>
  <c r="D808" i="2"/>
  <c r="E808" i="2"/>
  <c r="F808" i="2"/>
  <c r="G808" i="2"/>
  <c r="H808" i="2"/>
  <c r="J808" i="2"/>
  <c r="D809" i="2"/>
  <c r="E809" i="2"/>
  <c r="F809" i="2"/>
  <c r="G809" i="2"/>
  <c r="H809" i="2"/>
  <c r="J809" i="2"/>
  <c r="D810" i="2"/>
  <c r="E810" i="2"/>
  <c r="F810" i="2"/>
  <c r="G810" i="2"/>
  <c r="H810" i="2"/>
  <c r="J810" i="2"/>
  <c r="D811" i="2"/>
  <c r="E811" i="2"/>
  <c r="F811" i="2"/>
  <c r="G811" i="2"/>
  <c r="H811" i="2"/>
  <c r="J811" i="2"/>
  <c r="D812" i="2"/>
  <c r="E812" i="2"/>
  <c r="F812" i="2"/>
  <c r="G812" i="2"/>
  <c r="H812" i="2"/>
  <c r="J812" i="2"/>
  <c r="D813" i="2"/>
  <c r="E813" i="2"/>
  <c r="F813" i="2"/>
  <c r="G813" i="2"/>
  <c r="H813" i="2"/>
  <c r="J813" i="2"/>
  <c r="D814" i="2"/>
  <c r="E814" i="2"/>
  <c r="F814" i="2"/>
  <c r="G814" i="2"/>
  <c r="H814" i="2"/>
  <c r="J814" i="2"/>
  <c r="D815" i="2"/>
  <c r="E815" i="2"/>
  <c r="F815" i="2"/>
  <c r="G815" i="2"/>
  <c r="H815" i="2"/>
  <c r="J815" i="2"/>
  <c r="D816" i="2"/>
  <c r="E816" i="2"/>
  <c r="F816" i="2"/>
  <c r="G816" i="2"/>
  <c r="H816" i="2"/>
  <c r="J816" i="2"/>
  <c r="D817" i="2"/>
  <c r="E817" i="2"/>
  <c r="F817" i="2"/>
  <c r="G817" i="2"/>
  <c r="H817" i="2"/>
  <c r="J817" i="2"/>
  <c r="D818" i="2"/>
  <c r="E818" i="2"/>
  <c r="F818" i="2"/>
  <c r="G818" i="2"/>
  <c r="H818" i="2"/>
  <c r="J818" i="2"/>
  <c r="D819" i="2"/>
  <c r="E819" i="2"/>
  <c r="F819" i="2"/>
  <c r="G819" i="2"/>
  <c r="H819" i="2"/>
  <c r="J819" i="2"/>
  <c r="D820" i="2"/>
  <c r="E820" i="2"/>
  <c r="F820" i="2"/>
  <c r="G820" i="2"/>
  <c r="H820" i="2"/>
  <c r="J820" i="2"/>
  <c r="D821" i="2"/>
  <c r="E821" i="2"/>
  <c r="F821" i="2"/>
  <c r="G821" i="2"/>
  <c r="H821" i="2"/>
  <c r="J821" i="2"/>
  <c r="D822" i="2"/>
  <c r="E822" i="2"/>
  <c r="F822" i="2"/>
  <c r="G822" i="2"/>
  <c r="H822" i="2"/>
  <c r="J822" i="2"/>
  <c r="D823" i="2"/>
  <c r="E823" i="2"/>
  <c r="F823" i="2"/>
  <c r="G823" i="2"/>
  <c r="H823" i="2"/>
  <c r="J823" i="2"/>
  <c r="D824" i="2"/>
  <c r="E824" i="2"/>
  <c r="F824" i="2"/>
  <c r="G824" i="2"/>
  <c r="H824" i="2"/>
  <c r="J824" i="2"/>
  <c r="D825" i="2"/>
  <c r="E825" i="2"/>
  <c r="F825" i="2"/>
  <c r="G825" i="2"/>
  <c r="H825" i="2"/>
  <c r="J825" i="2"/>
  <c r="D826" i="2"/>
  <c r="E826" i="2"/>
  <c r="F826" i="2"/>
  <c r="G826" i="2"/>
  <c r="H826" i="2"/>
  <c r="J826" i="2"/>
  <c r="D827" i="2"/>
  <c r="E827" i="2"/>
  <c r="F827" i="2"/>
  <c r="G827" i="2"/>
  <c r="H827" i="2"/>
  <c r="J827" i="2"/>
  <c r="D828" i="2"/>
  <c r="E828" i="2"/>
  <c r="F828" i="2"/>
  <c r="G828" i="2"/>
  <c r="H828" i="2"/>
  <c r="J828" i="2"/>
  <c r="D829" i="2"/>
  <c r="E829" i="2"/>
  <c r="F829" i="2"/>
  <c r="G829" i="2"/>
  <c r="H829" i="2"/>
  <c r="J829" i="2"/>
  <c r="D830" i="2"/>
  <c r="E830" i="2"/>
  <c r="F830" i="2"/>
  <c r="G830" i="2"/>
  <c r="H830" i="2"/>
  <c r="J830" i="2"/>
  <c r="D831" i="2"/>
  <c r="E831" i="2"/>
  <c r="F831" i="2"/>
  <c r="G831" i="2"/>
  <c r="H831" i="2"/>
  <c r="J831" i="2"/>
  <c r="D934" i="2"/>
  <c r="E934" i="2"/>
  <c r="F934" i="2"/>
  <c r="G934" i="2"/>
  <c r="H934" i="2"/>
  <c r="J934" i="2"/>
  <c r="D935" i="2"/>
  <c r="E935" i="2"/>
  <c r="F935" i="2"/>
  <c r="G935" i="2"/>
  <c r="H935" i="2"/>
  <c r="J935" i="2"/>
  <c r="D936" i="2"/>
  <c r="E936" i="2"/>
  <c r="F936" i="2"/>
  <c r="G936" i="2"/>
  <c r="H936" i="2"/>
  <c r="J936" i="2"/>
  <c r="D937" i="2"/>
  <c r="E937" i="2"/>
  <c r="F937" i="2"/>
  <c r="G937" i="2"/>
  <c r="H937" i="2"/>
  <c r="J937" i="2"/>
  <c r="D938" i="2"/>
  <c r="E938" i="2"/>
  <c r="F938" i="2"/>
  <c r="G938" i="2"/>
  <c r="H938" i="2"/>
  <c r="J938" i="2"/>
  <c r="D939" i="2"/>
  <c r="E939" i="2"/>
  <c r="F939" i="2"/>
  <c r="G939" i="2"/>
  <c r="H939" i="2"/>
  <c r="J939" i="2"/>
  <c r="D940" i="2"/>
  <c r="E940" i="2"/>
  <c r="F940" i="2"/>
  <c r="G940" i="2"/>
  <c r="H940" i="2"/>
  <c r="J940" i="2"/>
  <c r="D941" i="2"/>
  <c r="E941" i="2"/>
  <c r="F941" i="2"/>
  <c r="G941" i="2"/>
  <c r="H941" i="2"/>
  <c r="J941" i="2"/>
  <c r="D942" i="2"/>
  <c r="E942" i="2"/>
  <c r="F942" i="2"/>
  <c r="G942" i="2"/>
  <c r="H942" i="2"/>
  <c r="J942" i="2"/>
  <c r="D943" i="2"/>
  <c r="E943" i="2"/>
  <c r="F943" i="2"/>
  <c r="G943" i="2"/>
  <c r="H943" i="2"/>
  <c r="J943" i="2"/>
  <c r="D944" i="2"/>
  <c r="E944" i="2"/>
  <c r="F944" i="2"/>
  <c r="G944" i="2"/>
  <c r="H944" i="2"/>
  <c r="J944" i="2"/>
  <c r="D945" i="2"/>
  <c r="E945" i="2"/>
  <c r="F945" i="2"/>
  <c r="G945" i="2"/>
  <c r="H945" i="2"/>
  <c r="J945" i="2"/>
  <c r="D946" i="2"/>
  <c r="E946" i="2"/>
  <c r="F946" i="2"/>
  <c r="G946" i="2"/>
  <c r="H946" i="2"/>
  <c r="J946" i="2"/>
  <c r="D947" i="2"/>
  <c r="E947" i="2"/>
  <c r="F947" i="2"/>
  <c r="G947" i="2"/>
  <c r="H947" i="2"/>
  <c r="J947" i="2"/>
  <c r="D948" i="2"/>
  <c r="E948" i="2"/>
  <c r="F948" i="2"/>
  <c r="G948" i="2"/>
  <c r="H948" i="2"/>
  <c r="J948" i="2"/>
  <c r="D949" i="2"/>
  <c r="E949" i="2"/>
  <c r="F949" i="2"/>
  <c r="G949" i="2"/>
  <c r="H949" i="2"/>
  <c r="J949" i="2"/>
  <c r="D950" i="2"/>
  <c r="E950" i="2"/>
  <c r="F950" i="2"/>
  <c r="G950" i="2"/>
  <c r="H950" i="2"/>
  <c r="J950" i="2"/>
  <c r="D951" i="2"/>
  <c r="E951" i="2"/>
  <c r="F951" i="2"/>
  <c r="G951" i="2"/>
  <c r="H951" i="2"/>
  <c r="J951" i="2"/>
  <c r="D952" i="2"/>
  <c r="E952" i="2"/>
  <c r="F952" i="2"/>
  <c r="G952" i="2"/>
  <c r="H952" i="2"/>
  <c r="J952" i="2"/>
  <c r="D953" i="2"/>
  <c r="E953" i="2"/>
  <c r="F953" i="2"/>
  <c r="G953" i="2"/>
  <c r="H953" i="2"/>
  <c r="J953" i="2"/>
  <c r="D954" i="2"/>
  <c r="E954" i="2"/>
  <c r="F954" i="2"/>
  <c r="G954" i="2"/>
  <c r="H954" i="2"/>
  <c r="J954" i="2"/>
  <c r="D955" i="2"/>
  <c r="E955" i="2"/>
  <c r="F955" i="2"/>
  <c r="G955" i="2"/>
  <c r="H955" i="2"/>
  <c r="J955" i="2"/>
  <c r="D956" i="2"/>
  <c r="E956" i="2"/>
  <c r="F956" i="2"/>
  <c r="G956" i="2"/>
  <c r="H956" i="2"/>
  <c r="J956" i="2"/>
  <c r="D957" i="2"/>
  <c r="E957" i="2"/>
  <c r="F957" i="2"/>
  <c r="G957" i="2"/>
  <c r="H957" i="2"/>
  <c r="J957" i="2"/>
  <c r="D958" i="2"/>
  <c r="E958" i="2"/>
  <c r="F958" i="2"/>
  <c r="G958" i="2"/>
  <c r="H958" i="2"/>
  <c r="J958" i="2"/>
  <c r="D959" i="2"/>
  <c r="E959" i="2"/>
  <c r="F959" i="2"/>
  <c r="G959" i="2"/>
  <c r="H959" i="2"/>
  <c r="J959" i="2"/>
  <c r="D960" i="2"/>
  <c r="E960" i="2"/>
  <c r="F960" i="2"/>
  <c r="G960" i="2"/>
  <c r="H960" i="2"/>
  <c r="J960" i="2"/>
  <c r="D961" i="2"/>
  <c r="E961" i="2"/>
  <c r="F961" i="2"/>
  <c r="G961" i="2"/>
  <c r="H961" i="2"/>
  <c r="J961" i="2"/>
  <c r="D962" i="2"/>
  <c r="E962" i="2"/>
  <c r="F962" i="2"/>
  <c r="G962" i="2"/>
  <c r="H962" i="2"/>
  <c r="J962" i="2"/>
  <c r="D963" i="2"/>
  <c r="E963" i="2"/>
  <c r="F963" i="2"/>
  <c r="G963" i="2"/>
  <c r="H963" i="2"/>
  <c r="J963" i="2"/>
  <c r="D964" i="2"/>
  <c r="E964" i="2"/>
  <c r="F964" i="2"/>
  <c r="G964" i="2"/>
  <c r="H964" i="2"/>
  <c r="J964" i="2"/>
  <c r="D965" i="2"/>
  <c r="E965" i="2"/>
  <c r="F965" i="2"/>
  <c r="G965" i="2"/>
  <c r="H965" i="2"/>
  <c r="J965" i="2"/>
  <c r="D966" i="2"/>
  <c r="E966" i="2"/>
  <c r="F966" i="2"/>
  <c r="G966" i="2"/>
  <c r="H966" i="2"/>
  <c r="J966" i="2"/>
  <c r="D967" i="2"/>
  <c r="E967" i="2"/>
  <c r="F967" i="2"/>
  <c r="G967" i="2"/>
  <c r="H967" i="2"/>
  <c r="J967" i="2"/>
  <c r="D968" i="2"/>
  <c r="E968" i="2"/>
  <c r="F968" i="2"/>
  <c r="G968" i="2"/>
  <c r="H968" i="2"/>
  <c r="J968" i="2"/>
  <c r="D969" i="2"/>
  <c r="E969" i="2"/>
  <c r="F969" i="2"/>
  <c r="G969" i="2"/>
  <c r="H969" i="2"/>
  <c r="J969" i="2"/>
  <c r="D970" i="2"/>
  <c r="E970" i="2"/>
  <c r="F970" i="2"/>
  <c r="G970" i="2"/>
  <c r="H970" i="2"/>
  <c r="J970" i="2"/>
  <c r="D971" i="2"/>
  <c r="E971" i="2"/>
  <c r="F971" i="2"/>
  <c r="G971" i="2"/>
  <c r="H971" i="2"/>
  <c r="J971" i="2"/>
  <c r="D972" i="2"/>
  <c r="E972" i="2"/>
  <c r="F972" i="2"/>
  <c r="G972" i="2"/>
  <c r="H972" i="2"/>
  <c r="J972" i="2"/>
  <c r="D973" i="2"/>
  <c r="E973" i="2"/>
  <c r="F973" i="2"/>
  <c r="G973" i="2"/>
  <c r="H973" i="2"/>
  <c r="J973" i="2"/>
  <c r="D974" i="2"/>
  <c r="E974" i="2"/>
  <c r="F974" i="2"/>
  <c r="G974" i="2"/>
  <c r="H974" i="2"/>
  <c r="J974" i="2"/>
  <c r="D975" i="2"/>
  <c r="E975" i="2"/>
  <c r="F975" i="2"/>
  <c r="G975" i="2"/>
  <c r="H975" i="2"/>
  <c r="J975" i="2"/>
  <c r="D976" i="2"/>
  <c r="E976" i="2"/>
  <c r="F976" i="2"/>
  <c r="G976" i="2"/>
  <c r="H976" i="2"/>
  <c r="J976" i="2"/>
  <c r="D977" i="2"/>
  <c r="E977" i="2"/>
  <c r="F977" i="2"/>
  <c r="G977" i="2"/>
  <c r="H977" i="2"/>
  <c r="J977" i="2"/>
  <c r="D978" i="2"/>
  <c r="E978" i="2"/>
  <c r="F978" i="2"/>
  <c r="G978" i="2"/>
  <c r="H978" i="2"/>
  <c r="J978" i="2"/>
  <c r="D979" i="2"/>
  <c r="E979" i="2"/>
  <c r="F979" i="2"/>
  <c r="G979" i="2"/>
  <c r="H979" i="2"/>
  <c r="J979" i="2"/>
  <c r="D980" i="2"/>
  <c r="E980" i="2"/>
  <c r="F980" i="2"/>
  <c r="G980" i="2"/>
  <c r="H980" i="2"/>
  <c r="J980" i="2"/>
  <c r="D981" i="2"/>
  <c r="E981" i="2"/>
  <c r="F981" i="2"/>
  <c r="G981" i="2"/>
  <c r="H981" i="2"/>
  <c r="J981" i="2"/>
  <c r="D982" i="2"/>
  <c r="E982" i="2"/>
  <c r="F982" i="2"/>
  <c r="G982" i="2"/>
  <c r="H982" i="2"/>
  <c r="J982" i="2"/>
  <c r="D983" i="2"/>
  <c r="E983" i="2"/>
  <c r="F983" i="2"/>
  <c r="G983" i="2"/>
  <c r="H983" i="2"/>
  <c r="J983" i="2"/>
  <c r="D984" i="2"/>
  <c r="E984" i="2"/>
  <c r="F984" i="2"/>
  <c r="G984" i="2"/>
  <c r="H984" i="2"/>
  <c r="J984" i="2"/>
  <c r="D985" i="2"/>
  <c r="E985" i="2"/>
  <c r="F985" i="2"/>
  <c r="G985" i="2"/>
  <c r="H985" i="2"/>
  <c r="J985" i="2"/>
  <c r="D986" i="2"/>
  <c r="E986" i="2"/>
  <c r="F986" i="2"/>
  <c r="G986" i="2"/>
  <c r="H986" i="2"/>
  <c r="J986" i="2"/>
  <c r="D987" i="2"/>
  <c r="E987" i="2"/>
  <c r="F987" i="2"/>
  <c r="G987" i="2"/>
  <c r="H987" i="2"/>
  <c r="J987" i="2"/>
  <c r="D988" i="2"/>
  <c r="E988" i="2"/>
  <c r="F988" i="2"/>
  <c r="G988" i="2"/>
  <c r="H988" i="2"/>
  <c r="J988" i="2"/>
  <c r="D989" i="2"/>
  <c r="E989" i="2"/>
  <c r="F989" i="2"/>
  <c r="G989" i="2"/>
  <c r="H989" i="2"/>
  <c r="J989" i="2"/>
  <c r="D990" i="2"/>
  <c r="E990" i="2"/>
  <c r="F990" i="2"/>
  <c r="G990" i="2"/>
  <c r="H990" i="2"/>
  <c r="J990" i="2"/>
  <c r="D991" i="2"/>
  <c r="E991" i="2"/>
  <c r="F991" i="2"/>
  <c r="G991" i="2"/>
  <c r="H991" i="2"/>
  <c r="J991" i="2"/>
  <c r="D992" i="2"/>
  <c r="E992" i="2"/>
  <c r="F992" i="2"/>
  <c r="G992" i="2"/>
  <c r="H992" i="2"/>
  <c r="J992" i="2"/>
  <c r="D993" i="2"/>
  <c r="E993" i="2"/>
  <c r="F993" i="2"/>
  <c r="G993" i="2"/>
  <c r="H993" i="2"/>
  <c r="J993" i="2"/>
  <c r="D994" i="2"/>
  <c r="E994" i="2"/>
  <c r="F994" i="2"/>
  <c r="G994" i="2"/>
  <c r="H994" i="2"/>
  <c r="J994" i="2"/>
  <c r="D995" i="2"/>
  <c r="E995" i="2"/>
  <c r="F995" i="2"/>
  <c r="G995" i="2"/>
  <c r="H995" i="2"/>
  <c r="J995" i="2"/>
  <c r="D996" i="2"/>
  <c r="E996" i="2"/>
  <c r="F996" i="2"/>
  <c r="G996" i="2"/>
  <c r="H996" i="2"/>
  <c r="J996" i="2"/>
  <c r="D997" i="2"/>
  <c r="E997" i="2"/>
  <c r="F997" i="2"/>
  <c r="G997" i="2"/>
  <c r="H997" i="2"/>
  <c r="J997" i="2"/>
  <c r="D998" i="2"/>
  <c r="E998" i="2"/>
  <c r="F998" i="2"/>
  <c r="G998" i="2"/>
  <c r="H998" i="2"/>
  <c r="J998" i="2"/>
  <c r="D999" i="2"/>
  <c r="E999" i="2"/>
  <c r="F999" i="2"/>
  <c r="G999" i="2"/>
  <c r="H999" i="2"/>
  <c r="J999" i="2"/>
  <c r="D1000" i="2"/>
  <c r="E1000" i="2"/>
  <c r="F1000" i="2"/>
  <c r="G1000" i="2"/>
  <c r="H1000" i="2"/>
  <c r="J1000" i="2"/>
  <c r="D1001" i="2"/>
  <c r="E1001" i="2"/>
  <c r="F1001" i="2"/>
  <c r="G1001" i="2"/>
  <c r="H1001" i="2"/>
  <c r="J1001" i="2"/>
  <c r="D1002" i="2"/>
  <c r="E1002" i="2"/>
  <c r="F1002" i="2"/>
  <c r="G1002" i="2"/>
  <c r="H1002" i="2"/>
  <c r="J1002" i="2"/>
  <c r="D1003" i="2"/>
  <c r="E1003" i="2"/>
  <c r="F1003" i="2"/>
  <c r="G1003" i="2"/>
  <c r="H1003" i="2"/>
  <c r="J1003" i="2"/>
  <c r="D1004" i="2"/>
  <c r="E1004" i="2"/>
  <c r="F1004" i="2"/>
  <c r="G1004" i="2"/>
  <c r="H1004" i="2"/>
  <c r="J1004" i="2"/>
  <c r="D1005" i="2"/>
  <c r="E1005" i="2"/>
  <c r="F1005" i="2"/>
  <c r="G1005" i="2"/>
  <c r="H1005" i="2"/>
  <c r="J1005" i="2"/>
  <c r="D1006" i="2"/>
  <c r="E1006" i="2"/>
  <c r="F1006" i="2"/>
  <c r="G1006" i="2"/>
  <c r="H1006" i="2"/>
  <c r="J1006" i="2"/>
  <c r="D1007" i="2"/>
  <c r="E1007" i="2"/>
  <c r="F1007" i="2"/>
  <c r="G1007" i="2"/>
  <c r="H1007" i="2"/>
  <c r="J1007" i="2"/>
  <c r="D1008" i="2"/>
  <c r="E1008" i="2"/>
  <c r="F1008" i="2"/>
  <c r="G1008" i="2"/>
  <c r="H1008" i="2"/>
  <c r="J1008" i="2"/>
  <c r="D1009" i="2"/>
  <c r="E1009" i="2"/>
  <c r="F1009" i="2"/>
  <c r="G1009" i="2"/>
  <c r="H1009" i="2"/>
  <c r="J1009" i="2"/>
  <c r="D1010" i="2"/>
  <c r="E1010" i="2"/>
  <c r="F1010" i="2"/>
  <c r="G1010" i="2"/>
  <c r="H1010" i="2"/>
  <c r="J1010" i="2"/>
  <c r="D1011" i="2"/>
  <c r="E1011" i="2"/>
  <c r="F1011" i="2"/>
  <c r="G1011" i="2"/>
  <c r="H1011" i="2"/>
  <c r="J1011" i="2"/>
  <c r="D1012" i="2"/>
  <c r="E1012" i="2"/>
  <c r="F1012" i="2"/>
  <c r="G1012" i="2"/>
  <c r="H1012" i="2"/>
  <c r="J1012" i="2"/>
  <c r="D1013" i="2"/>
  <c r="E1013" i="2"/>
  <c r="F1013" i="2"/>
  <c r="G1013" i="2"/>
  <c r="H1013" i="2"/>
  <c r="J1013" i="2"/>
  <c r="D1014" i="2"/>
  <c r="E1014" i="2"/>
  <c r="F1014" i="2"/>
  <c r="G1014" i="2"/>
  <c r="H1014" i="2"/>
  <c r="J1014" i="2"/>
  <c r="D1015" i="2"/>
  <c r="E1015" i="2"/>
  <c r="F1015" i="2"/>
  <c r="G1015" i="2"/>
  <c r="H1015" i="2"/>
  <c r="J1015" i="2"/>
  <c r="D1016" i="2"/>
  <c r="E1016" i="2"/>
  <c r="F1016" i="2"/>
  <c r="G1016" i="2"/>
  <c r="H1016" i="2"/>
  <c r="J1016" i="2"/>
  <c r="D1017" i="2"/>
  <c r="E1017" i="2"/>
  <c r="F1017" i="2"/>
  <c r="G1017" i="2"/>
  <c r="H1017" i="2"/>
  <c r="J1017" i="2"/>
  <c r="D1018" i="2"/>
  <c r="E1018" i="2"/>
  <c r="F1018" i="2"/>
  <c r="G1018" i="2"/>
  <c r="H1018" i="2"/>
  <c r="J1018" i="2"/>
  <c r="D1019" i="2"/>
  <c r="E1019" i="2"/>
  <c r="F1019" i="2"/>
  <c r="G1019" i="2"/>
  <c r="H1019" i="2"/>
  <c r="J1019" i="2"/>
  <c r="D1020" i="2"/>
  <c r="E1020" i="2"/>
  <c r="F1020" i="2"/>
  <c r="G1020" i="2"/>
  <c r="H1020" i="2"/>
  <c r="J1020" i="2"/>
  <c r="D1021" i="2"/>
  <c r="E1021" i="2"/>
  <c r="F1021" i="2"/>
  <c r="G1021" i="2"/>
  <c r="H1021" i="2"/>
  <c r="J1021" i="2"/>
  <c r="D1022" i="2"/>
  <c r="E1022" i="2"/>
  <c r="F1022" i="2"/>
  <c r="G1022" i="2"/>
  <c r="H1022" i="2"/>
  <c r="J1022" i="2"/>
  <c r="D1023" i="2"/>
  <c r="E1023" i="2"/>
  <c r="F1023" i="2"/>
  <c r="G1023" i="2"/>
  <c r="H1023" i="2"/>
  <c r="J1023" i="2"/>
  <c r="D1024" i="2"/>
  <c r="E1024" i="2"/>
  <c r="F1024" i="2"/>
  <c r="G1024" i="2"/>
  <c r="H1024" i="2"/>
  <c r="J1024" i="2"/>
  <c r="D1025" i="2"/>
  <c r="E1025" i="2"/>
  <c r="F1025" i="2"/>
  <c r="G1025" i="2"/>
  <c r="H1025" i="2"/>
  <c r="J1025" i="2"/>
  <c r="D1026" i="2"/>
  <c r="E1026" i="2"/>
  <c r="F1026" i="2"/>
  <c r="G1026" i="2"/>
  <c r="H1026" i="2"/>
  <c r="J1026" i="2"/>
  <c r="D1027" i="2"/>
  <c r="E1027" i="2"/>
  <c r="F1027" i="2"/>
  <c r="G1027" i="2"/>
  <c r="H1027" i="2"/>
  <c r="J1027" i="2"/>
  <c r="D1028" i="2"/>
  <c r="E1028" i="2"/>
  <c r="F1028" i="2"/>
  <c r="G1028" i="2"/>
  <c r="H1028" i="2"/>
  <c r="J1028" i="2"/>
  <c r="D1029" i="2"/>
  <c r="E1029" i="2"/>
  <c r="F1029" i="2"/>
  <c r="G1029" i="2"/>
  <c r="H1029" i="2"/>
  <c r="J1029" i="2"/>
  <c r="D1030" i="2"/>
  <c r="E1030" i="2"/>
  <c r="F1030" i="2"/>
  <c r="G1030" i="2"/>
  <c r="H1030" i="2"/>
  <c r="J1030" i="2"/>
  <c r="D1031" i="2"/>
  <c r="E1031" i="2"/>
  <c r="F1031" i="2"/>
  <c r="G1031" i="2"/>
  <c r="H1031" i="2"/>
  <c r="J1031" i="2"/>
  <c r="D1032" i="2"/>
  <c r="E1032" i="2"/>
  <c r="F1032" i="2"/>
  <c r="G1032" i="2"/>
  <c r="H1032" i="2"/>
  <c r="J1032" i="2"/>
  <c r="D1033" i="2"/>
  <c r="E1033" i="2"/>
  <c r="F1033" i="2"/>
  <c r="G1033" i="2"/>
  <c r="H1033" i="2"/>
  <c r="J1033" i="2"/>
  <c r="D1034" i="2"/>
  <c r="E1034" i="2"/>
  <c r="F1034" i="2"/>
  <c r="G1034" i="2"/>
  <c r="H1034" i="2"/>
  <c r="J1034" i="2"/>
  <c r="D1035" i="2"/>
  <c r="E1035" i="2"/>
  <c r="F1035" i="2"/>
  <c r="G1035" i="2"/>
  <c r="H1035" i="2"/>
  <c r="J1035" i="2"/>
  <c r="D1036" i="2"/>
  <c r="E1036" i="2"/>
  <c r="F1036" i="2"/>
  <c r="G1036" i="2"/>
  <c r="H1036" i="2"/>
  <c r="J1036" i="2"/>
  <c r="D1037" i="2"/>
  <c r="E1037" i="2"/>
  <c r="F1037" i="2"/>
  <c r="G1037" i="2"/>
  <c r="H1037" i="2"/>
  <c r="J1037" i="2"/>
  <c r="D1038" i="2"/>
  <c r="E1038" i="2"/>
  <c r="F1038" i="2"/>
  <c r="G1038" i="2"/>
  <c r="H1038" i="2"/>
  <c r="J1038" i="2"/>
  <c r="D1039" i="2"/>
  <c r="E1039" i="2"/>
  <c r="F1039" i="2"/>
  <c r="G1039" i="2"/>
  <c r="H1039" i="2"/>
  <c r="J1039" i="2"/>
  <c r="D1041" i="2"/>
  <c r="E1041" i="2"/>
  <c r="F1041" i="2"/>
  <c r="G1041" i="2"/>
  <c r="H1041" i="2"/>
  <c r="J1041" i="2"/>
  <c r="D1042" i="2"/>
  <c r="E1042" i="2"/>
  <c r="F1042" i="2"/>
  <c r="G1042" i="2"/>
  <c r="H1042" i="2"/>
  <c r="J1042" i="2"/>
  <c r="D1043" i="2"/>
  <c r="E1043" i="2"/>
  <c r="F1043" i="2"/>
  <c r="G1043" i="2"/>
  <c r="H1043" i="2"/>
  <c r="J1043" i="2"/>
  <c r="D1044" i="2"/>
  <c r="E1044" i="2"/>
  <c r="F1044" i="2"/>
  <c r="G1044" i="2"/>
  <c r="H1044" i="2"/>
  <c r="J1044" i="2"/>
  <c r="D1045" i="2"/>
  <c r="E1045" i="2"/>
  <c r="F1045" i="2"/>
  <c r="G1045" i="2"/>
  <c r="H1045" i="2"/>
  <c r="J1045" i="2"/>
  <c r="D1046" i="2"/>
  <c r="E1046" i="2"/>
  <c r="F1046" i="2"/>
  <c r="G1046" i="2"/>
  <c r="H1046" i="2"/>
  <c r="J1046" i="2"/>
  <c r="D1047" i="2"/>
  <c r="E1047" i="2"/>
  <c r="F1047" i="2"/>
  <c r="G1047" i="2"/>
  <c r="H1047" i="2"/>
  <c r="J1047" i="2"/>
  <c r="D1048" i="2"/>
  <c r="E1048" i="2"/>
  <c r="F1048" i="2"/>
  <c r="G1048" i="2"/>
  <c r="H1048" i="2"/>
  <c r="J1048" i="2"/>
  <c r="D1049" i="2"/>
  <c r="E1049" i="2"/>
  <c r="F1049" i="2"/>
  <c r="G1049" i="2"/>
  <c r="H1049" i="2"/>
  <c r="J1049" i="2"/>
  <c r="D1050" i="2"/>
  <c r="E1050" i="2"/>
  <c r="F1050" i="2"/>
  <c r="G1050" i="2"/>
  <c r="H1050" i="2"/>
  <c r="J1050" i="2"/>
  <c r="D1051" i="2"/>
  <c r="E1051" i="2"/>
  <c r="F1051" i="2"/>
  <c r="G1051" i="2"/>
  <c r="H1051" i="2"/>
  <c r="J1051" i="2"/>
  <c r="D1052" i="2"/>
  <c r="E1052" i="2"/>
  <c r="F1052" i="2"/>
  <c r="G1052" i="2"/>
  <c r="H1052" i="2"/>
  <c r="J1052" i="2"/>
  <c r="D1053" i="2"/>
  <c r="E1053" i="2"/>
  <c r="F1053" i="2"/>
  <c r="G1053" i="2"/>
  <c r="H1053" i="2"/>
  <c r="J1053" i="2"/>
  <c r="D1054" i="2"/>
  <c r="E1054" i="2"/>
  <c r="F1054" i="2"/>
  <c r="G1054" i="2"/>
  <c r="H1054" i="2"/>
  <c r="J1054" i="2"/>
  <c r="D1055" i="2"/>
  <c r="E1055" i="2"/>
  <c r="F1055" i="2"/>
  <c r="G1055" i="2"/>
  <c r="H1055" i="2"/>
  <c r="J1055" i="2"/>
  <c r="D1056" i="2"/>
  <c r="E1056" i="2"/>
  <c r="F1056" i="2"/>
  <c r="G1056" i="2"/>
  <c r="H1056" i="2"/>
  <c r="J1056" i="2"/>
  <c r="D1057" i="2"/>
  <c r="E1057" i="2"/>
  <c r="F1057" i="2"/>
  <c r="G1057" i="2"/>
  <c r="H1057" i="2"/>
  <c r="J1057" i="2"/>
  <c r="D1058" i="2"/>
  <c r="E1058" i="2"/>
  <c r="F1058" i="2"/>
  <c r="G1058" i="2"/>
  <c r="H1058" i="2"/>
  <c r="J1058" i="2"/>
  <c r="D1059" i="2"/>
  <c r="E1059" i="2"/>
  <c r="F1059" i="2"/>
  <c r="G1059" i="2"/>
  <c r="H1059" i="2"/>
  <c r="J1059" i="2"/>
  <c r="D1060" i="2"/>
  <c r="E1060" i="2"/>
  <c r="F1060" i="2"/>
  <c r="G1060" i="2"/>
  <c r="H1060" i="2"/>
  <c r="J1060" i="2"/>
  <c r="D1061" i="2"/>
  <c r="E1061" i="2"/>
  <c r="F1061" i="2"/>
  <c r="G1061" i="2"/>
  <c r="H1061" i="2"/>
  <c r="J1061" i="2"/>
  <c r="D1062" i="2"/>
  <c r="E1062" i="2"/>
  <c r="F1062" i="2"/>
  <c r="G1062" i="2"/>
  <c r="H1062" i="2"/>
  <c r="J1062" i="2"/>
  <c r="D1063" i="2"/>
  <c r="E1063" i="2"/>
  <c r="F1063" i="2"/>
  <c r="G1063" i="2"/>
  <c r="H1063" i="2"/>
  <c r="J1063" i="2"/>
  <c r="D1064" i="2"/>
  <c r="E1064" i="2"/>
  <c r="F1064" i="2"/>
  <c r="G1064" i="2"/>
  <c r="H1064" i="2"/>
  <c r="J1064" i="2"/>
  <c r="D1065" i="2"/>
  <c r="E1065" i="2"/>
  <c r="F1065" i="2"/>
  <c r="G1065" i="2"/>
  <c r="H1065" i="2"/>
  <c r="J1065" i="2"/>
  <c r="D1066" i="2"/>
  <c r="E1066" i="2"/>
  <c r="F1066" i="2"/>
  <c r="G1066" i="2"/>
  <c r="H1066" i="2"/>
  <c r="J1066" i="2"/>
  <c r="D1067" i="2"/>
  <c r="E1067" i="2"/>
  <c r="F1067" i="2"/>
  <c r="G1067" i="2"/>
  <c r="H1067" i="2"/>
  <c r="J1067" i="2"/>
  <c r="D1068" i="2"/>
  <c r="E1068" i="2"/>
  <c r="F1068" i="2"/>
  <c r="G1068" i="2"/>
  <c r="H1068" i="2"/>
  <c r="J1068" i="2"/>
  <c r="D1069" i="2"/>
  <c r="E1069" i="2"/>
  <c r="F1069" i="2"/>
  <c r="G1069" i="2"/>
  <c r="H1069" i="2"/>
  <c r="J1069" i="2"/>
  <c r="D1070" i="2"/>
  <c r="E1070" i="2"/>
  <c r="F1070" i="2"/>
  <c r="G1070" i="2"/>
  <c r="H1070" i="2"/>
  <c r="J1070" i="2"/>
  <c r="D1071" i="2"/>
  <c r="E1071" i="2"/>
  <c r="F1071" i="2"/>
  <c r="G1071" i="2"/>
  <c r="H1071" i="2"/>
  <c r="J1071" i="2"/>
  <c r="D1072" i="2"/>
  <c r="E1072" i="2"/>
  <c r="F1072" i="2"/>
  <c r="G1072" i="2"/>
  <c r="H1072" i="2"/>
  <c r="J1072" i="2"/>
  <c r="D1073" i="2"/>
  <c r="E1073" i="2"/>
  <c r="F1073" i="2"/>
  <c r="G1073" i="2"/>
  <c r="H1073" i="2"/>
  <c r="J1073" i="2"/>
  <c r="D1074" i="2"/>
  <c r="E1074" i="2"/>
  <c r="F1074" i="2"/>
  <c r="G1074" i="2"/>
  <c r="H1074" i="2"/>
  <c r="J1074" i="2"/>
  <c r="D1075" i="2"/>
  <c r="E1075" i="2"/>
  <c r="F1075" i="2"/>
  <c r="G1075" i="2"/>
  <c r="H1075" i="2"/>
  <c r="J1075" i="2"/>
  <c r="D1076" i="2"/>
  <c r="E1076" i="2"/>
  <c r="F1076" i="2"/>
  <c r="G1076" i="2"/>
  <c r="H1076" i="2"/>
  <c r="J1076" i="2"/>
  <c r="D1077" i="2"/>
  <c r="E1077" i="2"/>
  <c r="F1077" i="2"/>
  <c r="G1077" i="2"/>
  <c r="H1077" i="2"/>
  <c r="J1077" i="2"/>
  <c r="D1078" i="2"/>
  <c r="E1078" i="2"/>
  <c r="F1078" i="2"/>
  <c r="G1078" i="2"/>
  <c r="H1078" i="2"/>
  <c r="J1078" i="2"/>
  <c r="D1079" i="2"/>
  <c r="E1079" i="2"/>
  <c r="F1079" i="2"/>
  <c r="G1079" i="2"/>
  <c r="H1079" i="2"/>
  <c r="J1079" i="2"/>
  <c r="D1080" i="2"/>
  <c r="E1080" i="2"/>
  <c r="F1080" i="2"/>
  <c r="G1080" i="2"/>
  <c r="H1080" i="2"/>
  <c r="J1080" i="2"/>
  <c r="D1081" i="2"/>
  <c r="E1081" i="2"/>
  <c r="F1081" i="2"/>
  <c r="G1081" i="2"/>
  <c r="H1081" i="2"/>
  <c r="J1081" i="2"/>
  <c r="D1082" i="2"/>
  <c r="E1082" i="2"/>
  <c r="F1082" i="2"/>
  <c r="G1082" i="2"/>
  <c r="H1082" i="2"/>
  <c r="J1082" i="2"/>
  <c r="D1083" i="2"/>
  <c r="E1083" i="2"/>
  <c r="F1083" i="2"/>
  <c r="G1083" i="2"/>
  <c r="H1083" i="2"/>
  <c r="J1083" i="2"/>
  <c r="D1084" i="2"/>
  <c r="E1084" i="2"/>
  <c r="F1084" i="2"/>
  <c r="G1084" i="2"/>
  <c r="H1084" i="2"/>
  <c r="J1084" i="2"/>
  <c r="D1085" i="2"/>
  <c r="E1085" i="2"/>
  <c r="F1085" i="2"/>
  <c r="G1085" i="2"/>
  <c r="H1085" i="2"/>
  <c r="J1085" i="2"/>
  <c r="D1086" i="2"/>
  <c r="E1086" i="2"/>
  <c r="F1086" i="2"/>
  <c r="G1086" i="2"/>
  <c r="H1086" i="2"/>
  <c r="J1086" i="2"/>
  <c r="D1087" i="2"/>
  <c r="E1087" i="2"/>
  <c r="F1087" i="2"/>
  <c r="G1087" i="2"/>
  <c r="H1087" i="2"/>
  <c r="J1087" i="2"/>
  <c r="D1088" i="2"/>
  <c r="E1088" i="2"/>
  <c r="F1088" i="2"/>
  <c r="G1088" i="2"/>
  <c r="H1088" i="2"/>
  <c r="J1088" i="2"/>
  <c r="D1089" i="2"/>
  <c r="E1089" i="2"/>
  <c r="F1089" i="2"/>
  <c r="G1089" i="2"/>
  <c r="H1089" i="2"/>
  <c r="J1089" i="2"/>
  <c r="D1090" i="2"/>
  <c r="E1090" i="2"/>
  <c r="F1090" i="2"/>
  <c r="G1090" i="2"/>
  <c r="H1090" i="2"/>
  <c r="J1090" i="2"/>
  <c r="D1091" i="2"/>
  <c r="E1091" i="2"/>
  <c r="F1091" i="2"/>
  <c r="G1091" i="2"/>
  <c r="H1091" i="2"/>
  <c r="J1091" i="2"/>
  <c r="D1092" i="2"/>
  <c r="E1092" i="2"/>
  <c r="F1092" i="2"/>
  <c r="G1092" i="2"/>
  <c r="H1092" i="2"/>
  <c r="J1092" i="2"/>
  <c r="D1093" i="2"/>
  <c r="E1093" i="2"/>
  <c r="F1093" i="2"/>
  <c r="G1093" i="2"/>
  <c r="H1093" i="2"/>
  <c r="J1093" i="2"/>
  <c r="D1094" i="2"/>
  <c r="E1094" i="2"/>
  <c r="F1094" i="2"/>
  <c r="G1094" i="2"/>
  <c r="H1094" i="2"/>
  <c r="J1094" i="2"/>
  <c r="D1095" i="2"/>
  <c r="E1095" i="2"/>
  <c r="F1095" i="2"/>
  <c r="G1095" i="2"/>
  <c r="H1095" i="2"/>
  <c r="J1095" i="2"/>
  <c r="D1096" i="2"/>
  <c r="E1096" i="2"/>
  <c r="F1096" i="2"/>
  <c r="G1096" i="2"/>
  <c r="H1096" i="2"/>
  <c r="J1096" i="2"/>
  <c r="D1097" i="2"/>
  <c r="E1097" i="2"/>
  <c r="F1097" i="2"/>
  <c r="G1097" i="2"/>
  <c r="H1097" i="2"/>
  <c r="J1097" i="2"/>
  <c r="D1098" i="2"/>
  <c r="E1098" i="2"/>
  <c r="F1098" i="2"/>
  <c r="G1098" i="2"/>
  <c r="H1098" i="2"/>
  <c r="J1098" i="2"/>
  <c r="D1099" i="2"/>
  <c r="E1099" i="2"/>
  <c r="F1099" i="2"/>
  <c r="G1099" i="2"/>
  <c r="H1099" i="2"/>
  <c r="J1099" i="2"/>
  <c r="D1100" i="2"/>
  <c r="E1100" i="2"/>
  <c r="F1100" i="2"/>
  <c r="G1100" i="2"/>
  <c r="H1100" i="2"/>
  <c r="J1100" i="2"/>
  <c r="D1101" i="2"/>
  <c r="E1101" i="2"/>
  <c r="F1101" i="2"/>
  <c r="G1101" i="2"/>
  <c r="H1101" i="2"/>
  <c r="J1101" i="2"/>
  <c r="D1102" i="2"/>
  <c r="E1102" i="2"/>
  <c r="F1102" i="2"/>
  <c r="G1102" i="2"/>
  <c r="H1102" i="2"/>
  <c r="J1102" i="2"/>
  <c r="D1103" i="2"/>
  <c r="E1103" i="2"/>
  <c r="F1103" i="2"/>
  <c r="G1103" i="2"/>
  <c r="H1103" i="2"/>
  <c r="J1103" i="2"/>
  <c r="D1104" i="2"/>
  <c r="E1104" i="2"/>
  <c r="F1104" i="2"/>
  <c r="G1104" i="2"/>
  <c r="H1104" i="2"/>
  <c r="J1104" i="2"/>
  <c r="D1105" i="2"/>
  <c r="E1105" i="2"/>
  <c r="F1105" i="2"/>
  <c r="G1105" i="2"/>
  <c r="H1105" i="2"/>
  <c r="J1105" i="2"/>
  <c r="D1106" i="2"/>
  <c r="E1106" i="2"/>
  <c r="F1106" i="2"/>
  <c r="G1106" i="2"/>
  <c r="H1106" i="2"/>
  <c r="J1106" i="2"/>
  <c r="D1107" i="2"/>
  <c r="E1107" i="2"/>
  <c r="F1107" i="2"/>
  <c r="G1107" i="2"/>
  <c r="H1107" i="2"/>
  <c r="J1107" i="2"/>
  <c r="D1108" i="2"/>
  <c r="E1108" i="2"/>
  <c r="F1108" i="2"/>
  <c r="G1108" i="2"/>
  <c r="H1108" i="2"/>
  <c r="J1108" i="2"/>
  <c r="D1109" i="2"/>
  <c r="E1109" i="2"/>
  <c r="F1109" i="2"/>
  <c r="G1109" i="2"/>
  <c r="H1109" i="2"/>
  <c r="J1109" i="2"/>
  <c r="D1110" i="2"/>
  <c r="E1110" i="2"/>
  <c r="F1110" i="2"/>
  <c r="G1110" i="2"/>
  <c r="H1110" i="2"/>
  <c r="J1110" i="2"/>
  <c r="D1111" i="2"/>
  <c r="E1111" i="2"/>
  <c r="F1111" i="2"/>
  <c r="G1111" i="2"/>
  <c r="H1111" i="2"/>
  <c r="J1111" i="2"/>
  <c r="D1112" i="2"/>
  <c r="E1112" i="2"/>
  <c r="F1112" i="2"/>
  <c r="G1112" i="2"/>
  <c r="H1112" i="2"/>
  <c r="J1112" i="2"/>
  <c r="D1113" i="2"/>
  <c r="E1113" i="2"/>
  <c r="F1113" i="2"/>
  <c r="G1113" i="2"/>
  <c r="H1113" i="2"/>
  <c r="J1113" i="2"/>
  <c r="D1114" i="2"/>
  <c r="E1114" i="2"/>
  <c r="F1114" i="2"/>
  <c r="G1114" i="2"/>
  <c r="H1114" i="2"/>
  <c r="J1114" i="2"/>
  <c r="D1115" i="2"/>
  <c r="E1115" i="2"/>
  <c r="F1115" i="2"/>
  <c r="G1115" i="2"/>
  <c r="H1115" i="2"/>
  <c r="J1115" i="2"/>
  <c r="D1116" i="2"/>
  <c r="E1116" i="2"/>
  <c r="F1116" i="2"/>
  <c r="G1116" i="2"/>
  <c r="H1116" i="2"/>
  <c r="J1116" i="2"/>
  <c r="D1117" i="2"/>
  <c r="E1117" i="2"/>
  <c r="F1117" i="2"/>
  <c r="G1117" i="2"/>
  <c r="H1117" i="2"/>
  <c r="J1117" i="2"/>
  <c r="D1118" i="2"/>
  <c r="E1118" i="2"/>
  <c r="F1118" i="2"/>
  <c r="G1118" i="2"/>
  <c r="H1118" i="2"/>
  <c r="J1118" i="2"/>
  <c r="D1119" i="2"/>
  <c r="E1119" i="2"/>
  <c r="F1119" i="2"/>
  <c r="G1119" i="2"/>
  <c r="H1119" i="2"/>
  <c r="J1119" i="2"/>
  <c r="D1120" i="2"/>
  <c r="E1120" i="2"/>
  <c r="F1120" i="2"/>
  <c r="G1120" i="2"/>
  <c r="H1120" i="2"/>
  <c r="J1120" i="2"/>
  <c r="D1121" i="2"/>
  <c r="E1121" i="2"/>
  <c r="F1121" i="2"/>
  <c r="G1121" i="2"/>
  <c r="H1121" i="2"/>
  <c r="J1121" i="2"/>
  <c r="D1122" i="2"/>
  <c r="E1122" i="2"/>
  <c r="F1122" i="2"/>
  <c r="G1122" i="2"/>
  <c r="H1122" i="2"/>
  <c r="J1122" i="2"/>
  <c r="D1123" i="2"/>
  <c r="E1123" i="2"/>
  <c r="F1123" i="2"/>
  <c r="G1123" i="2"/>
  <c r="H1123" i="2"/>
  <c r="J1123" i="2"/>
  <c r="D1124" i="2"/>
  <c r="E1124" i="2"/>
  <c r="F1124" i="2"/>
  <c r="G1124" i="2"/>
  <c r="H1124" i="2"/>
  <c r="J1124" i="2"/>
  <c r="D1125" i="2"/>
  <c r="E1125" i="2"/>
  <c r="F1125" i="2"/>
  <c r="G1125" i="2"/>
  <c r="H1125" i="2"/>
  <c r="J1125" i="2"/>
  <c r="D1126" i="2"/>
  <c r="E1126" i="2"/>
  <c r="F1126" i="2"/>
  <c r="G1126" i="2"/>
  <c r="H1126" i="2"/>
  <c r="J1126" i="2"/>
  <c r="D1127" i="2"/>
  <c r="E1127" i="2"/>
  <c r="F1127" i="2"/>
  <c r="G1127" i="2"/>
  <c r="H1127" i="2"/>
  <c r="J1127" i="2"/>
  <c r="D1128" i="2"/>
  <c r="E1128" i="2"/>
  <c r="F1128" i="2"/>
  <c r="G1128" i="2"/>
  <c r="H1128" i="2"/>
  <c r="J1128" i="2"/>
  <c r="D1129" i="2"/>
  <c r="E1129" i="2"/>
  <c r="F1129" i="2"/>
  <c r="G1129" i="2"/>
  <c r="H1129" i="2"/>
  <c r="J1129" i="2"/>
  <c r="D1130" i="2"/>
  <c r="E1130" i="2"/>
  <c r="F1130" i="2"/>
  <c r="G1130" i="2"/>
  <c r="H1130" i="2"/>
  <c r="J1130" i="2"/>
  <c r="D1131" i="2"/>
  <c r="E1131" i="2"/>
  <c r="F1131" i="2"/>
  <c r="G1131" i="2"/>
  <c r="H1131" i="2"/>
  <c r="J1131" i="2"/>
  <c r="D1132" i="2"/>
  <c r="E1132" i="2"/>
  <c r="F1132" i="2"/>
  <c r="G1132" i="2"/>
  <c r="H1132" i="2"/>
  <c r="J1132" i="2"/>
  <c r="D1133" i="2"/>
  <c r="E1133" i="2"/>
  <c r="F1133" i="2"/>
  <c r="G1133" i="2"/>
  <c r="H1133" i="2"/>
  <c r="J1133" i="2"/>
  <c r="D1134" i="2"/>
  <c r="E1134" i="2"/>
  <c r="F1134" i="2"/>
  <c r="G1134" i="2"/>
  <c r="H1134" i="2"/>
  <c r="J1134" i="2"/>
  <c r="D1135" i="2"/>
  <c r="E1135" i="2"/>
  <c r="F1135" i="2"/>
  <c r="G1135" i="2"/>
  <c r="H1135" i="2"/>
  <c r="J1135" i="2"/>
  <c r="D1136" i="2"/>
  <c r="E1136" i="2"/>
  <c r="F1136" i="2"/>
  <c r="G1136" i="2"/>
  <c r="H1136" i="2"/>
  <c r="J1136" i="2"/>
  <c r="D1137" i="2"/>
  <c r="E1137" i="2"/>
  <c r="F1137" i="2"/>
  <c r="G1137" i="2"/>
  <c r="H1137" i="2"/>
  <c r="J1137" i="2"/>
  <c r="D1138" i="2"/>
  <c r="E1138" i="2"/>
  <c r="F1138" i="2"/>
  <c r="G1138" i="2"/>
  <c r="H1138" i="2"/>
  <c r="J1138" i="2"/>
  <c r="D1139" i="2"/>
  <c r="E1139" i="2"/>
  <c r="F1139" i="2"/>
  <c r="G1139" i="2"/>
  <c r="H1139" i="2"/>
  <c r="J1139" i="2"/>
  <c r="D1140" i="2"/>
  <c r="E1140" i="2"/>
  <c r="F1140" i="2"/>
  <c r="G1140" i="2"/>
  <c r="H1140" i="2"/>
  <c r="J1140" i="2"/>
  <c r="D1141" i="2"/>
  <c r="E1141" i="2"/>
  <c r="F1141" i="2"/>
  <c r="G1141" i="2"/>
  <c r="H1141" i="2"/>
  <c r="J1141" i="2"/>
  <c r="D1142" i="2"/>
  <c r="E1142" i="2"/>
  <c r="F1142" i="2"/>
  <c r="G1142" i="2"/>
  <c r="H1142" i="2"/>
  <c r="J1142" i="2"/>
  <c r="D1143" i="2"/>
  <c r="E1143" i="2"/>
  <c r="F1143" i="2"/>
  <c r="G1143" i="2"/>
  <c r="H1143" i="2"/>
  <c r="J1143" i="2"/>
  <c r="D1144" i="2"/>
  <c r="E1144" i="2"/>
  <c r="F1144" i="2"/>
  <c r="G1144" i="2"/>
  <c r="H1144" i="2"/>
  <c r="J1144" i="2"/>
  <c r="D1145" i="2"/>
  <c r="E1145" i="2"/>
  <c r="F1145" i="2"/>
  <c r="G1145" i="2"/>
  <c r="H1145" i="2"/>
  <c r="J1145" i="2"/>
  <c r="D1146" i="2"/>
  <c r="E1146" i="2"/>
  <c r="F1146" i="2"/>
  <c r="G1146" i="2"/>
  <c r="H1146" i="2"/>
  <c r="J1146" i="2"/>
  <c r="D1147" i="2"/>
  <c r="E1147" i="2"/>
  <c r="F1147" i="2"/>
  <c r="G1147" i="2"/>
  <c r="H1147" i="2"/>
  <c r="J1147" i="2"/>
  <c r="D1148" i="2"/>
  <c r="E1148" i="2"/>
  <c r="F1148" i="2"/>
  <c r="G1148" i="2"/>
  <c r="H1148" i="2"/>
  <c r="J1148" i="2"/>
  <c r="D1149" i="2"/>
  <c r="E1149" i="2"/>
  <c r="F1149" i="2"/>
  <c r="G1149" i="2"/>
  <c r="H1149" i="2"/>
  <c r="J1149" i="2"/>
  <c r="D1150" i="2"/>
  <c r="E1150" i="2"/>
  <c r="F1150" i="2"/>
  <c r="G1150" i="2"/>
  <c r="H1150" i="2"/>
  <c r="J1150" i="2"/>
  <c r="D1151" i="2"/>
  <c r="E1151" i="2"/>
  <c r="F1151" i="2"/>
  <c r="G1151" i="2"/>
  <c r="H1151" i="2"/>
  <c r="J1151" i="2"/>
  <c r="D1152" i="2"/>
  <c r="E1152" i="2"/>
  <c r="F1152" i="2"/>
  <c r="G1152" i="2"/>
  <c r="H1152" i="2"/>
  <c r="J1152" i="2"/>
  <c r="D1153" i="2"/>
  <c r="E1153" i="2"/>
  <c r="F1153" i="2"/>
  <c r="G1153" i="2"/>
  <c r="H1153" i="2"/>
  <c r="J1153" i="2"/>
  <c r="D1154" i="2"/>
  <c r="E1154" i="2"/>
  <c r="F1154" i="2"/>
  <c r="G1154" i="2"/>
  <c r="H1154" i="2"/>
  <c r="J1154" i="2"/>
  <c r="D1155" i="2"/>
  <c r="E1155" i="2"/>
  <c r="F1155" i="2"/>
  <c r="G1155" i="2"/>
  <c r="H1155" i="2"/>
  <c r="J1155" i="2"/>
  <c r="D1156" i="2"/>
  <c r="E1156" i="2"/>
  <c r="F1156" i="2"/>
  <c r="G1156" i="2"/>
  <c r="H1156" i="2"/>
  <c r="J1156" i="2"/>
  <c r="D1157" i="2"/>
  <c r="E1157" i="2"/>
  <c r="F1157" i="2"/>
  <c r="G1157" i="2"/>
  <c r="H1157" i="2"/>
  <c r="J1157" i="2"/>
  <c r="D1158" i="2"/>
  <c r="E1158" i="2"/>
  <c r="F1158" i="2"/>
  <c r="G1158" i="2"/>
  <c r="H1158" i="2"/>
  <c r="J1158" i="2"/>
  <c r="D1159" i="2"/>
  <c r="E1159" i="2"/>
  <c r="F1159" i="2"/>
  <c r="G1159" i="2"/>
  <c r="H1159" i="2"/>
  <c r="J1159" i="2"/>
  <c r="D1160" i="2"/>
  <c r="E1160" i="2"/>
  <c r="F1160" i="2"/>
  <c r="G1160" i="2"/>
  <c r="H1160" i="2"/>
  <c r="J1160" i="2"/>
  <c r="D1161" i="2"/>
  <c r="E1161" i="2"/>
  <c r="F1161" i="2"/>
  <c r="G1161" i="2"/>
  <c r="H1161" i="2"/>
  <c r="J1161" i="2"/>
  <c r="D1229" i="2"/>
  <c r="E1229" i="2"/>
  <c r="F1229" i="2"/>
  <c r="G1229" i="2"/>
  <c r="H1229" i="2"/>
  <c r="J1229" i="2"/>
  <c r="D1230" i="2"/>
  <c r="E1230" i="2"/>
  <c r="F1230" i="2"/>
  <c r="G1230" i="2"/>
  <c r="H1230" i="2"/>
  <c r="J1230" i="2"/>
  <c r="D1231" i="2"/>
  <c r="E1231" i="2"/>
  <c r="F1231" i="2"/>
  <c r="G1231" i="2"/>
  <c r="H1231" i="2"/>
  <c r="J1231" i="2"/>
  <c r="D1232" i="2"/>
  <c r="E1232" i="2"/>
  <c r="F1232" i="2"/>
  <c r="G1232" i="2"/>
  <c r="H1232" i="2"/>
  <c r="J1232" i="2"/>
  <c r="D1233" i="2"/>
  <c r="E1233" i="2"/>
  <c r="F1233" i="2"/>
  <c r="G1233" i="2"/>
  <c r="H1233" i="2"/>
  <c r="J1233" i="2"/>
  <c r="D1234" i="2"/>
  <c r="E1234" i="2"/>
  <c r="F1234" i="2"/>
  <c r="G1234" i="2"/>
  <c r="H1234" i="2"/>
  <c r="J1234" i="2"/>
  <c r="D1235" i="2"/>
  <c r="E1235" i="2"/>
  <c r="F1235" i="2"/>
  <c r="G1235" i="2"/>
  <c r="H1235" i="2"/>
  <c r="J1235" i="2"/>
  <c r="D1236" i="2"/>
  <c r="E1236" i="2"/>
  <c r="F1236" i="2"/>
  <c r="G1236" i="2"/>
  <c r="H1236" i="2"/>
  <c r="J1236" i="2"/>
  <c r="D1237" i="2"/>
  <c r="E1237" i="2"/>
  <c r="F1237" i="2"/>
  <c r="G1237" i="2"/>
  <c r="H1237" i="2"/>
  <c r="J1237" i="2"/>
  <c r="D1238" i="2"/>
  <c r="E1238" i="2"/>
  <c r="F1238" i="2"/>
  <c r="G1238" i="2"/>
  <c r="H1238" i="2"/>
  <c r="J1238" i="2"/>
  <c r="D1239" i="2"/>
  <c r="E1239" i="2"/>
  <c r="F1239" i="2"/>
  <c r="G1239" i="2"/>
  <c r="H1239" i="2"/>
  <c r="J1239" i="2"/>
  <c r="D1240" i="2"/>
  <c r="E1240" i="2"/>
  <c r="F1240" i="2"/>
  <c r="G1240" i="2"/>
  <c r="H1240" i="2"/>
  <c r="J1240" i="2"/>
  <c r="D1241" i="2"/>
  <c r="E1241" i="2"/>
  <c r="F1241" i="2"/>
  <c r="G1241" i="2"/>
  <c r="H1241" i="2"/>
  <c r="J1241" i="2"/>
  <c r="D1242" i="2"/>
  <c r="E1242" i="2"/>
  <c r="F1242" i="2"/>
  <c r="G1242" i="2"/>
  <c r="H1242" i="2"/>
  <c r="J1242" i="2"/>
  <c r="D1243" i="2"/>
  <c r="E1243" i="2"/>
  <c r="F1243" i="2"/>
  <c r="G1243" i="2"/>
  <c r="H1243" i="2"/>
  <c r="J1243" i="2"/>
  <c r="D1244" i="2"/>
  <c r="E1244" i="2"/>
  <c r="F1244" i="2"/>
  <c r="G1244" i="2"/>
  <c r="H1244" i="2"/>
  <c r="J1244" i="2"/>
  <c r="D1245" i="2"/>
  <c r="E1245" i="2"/>
  <c r="F1245" i="2"/>
  <c r="G1245" i="2"/>
  <c r="H1245" i="2"/>
  <c r="J1245" i="2"/>
  <c r="D1246" i="2"/>
  <c r="E1246" i="2"/>
  <c r="F1246" i="2"/>
  <c r="G1246" i="2"/>
  <c r="H1246" i="2"/>
  <c r="J1246" i="2"/>
  <c r="D1274" i="2"/>
  <c r="E1274" i="2"/>
  <c r="F1274" i="2"/>
  <c r="G1274" i="2"/>
  <c r="H1274" i="2"/>
  <c r="J1274" i="2"/>
  <c r="D1275" i="2"/>
  <c r="E1275" i="2"/>
  <c r="F1275" i="2"/>
  <c r="G1275" i="2"/>
  <c r="H1275" i="2"/>
  <c r="J1275" i="2"/>
  <c r="D1276" i="2"/>
  <c r="E1276" i="2"/>
  <c r="F1276" i="2"/>
  <c r="G1276" i="2"/>
  <c r="H1276" i="2"/>
  <c r="J1276" i="2"/>
  <c r="D1277" i="2"/>
  <c r="E1277" i="2"/>
  <c r="F1277" i="2"/>
  <c r="G1277" i="2"/>
  <c r="H1277" i="2"/>
  <c r="J1277" i="2"/>
  <c r="D1278" i="2"/>
  <c r="E1278" i="2"/>
  <c r="F1278" i="2"/>
  <c r="G1278" i="2"/>
  <c r="H1278" i="2"/>
  <c r="J1278" i="2"/>
  <c r="D1279" i="2"/>
  <c r="E1279" i="2"/>
  <c r="F1279" i="2"/>
  <c r="G1279" i="2"/>
  <c r="H1279" i="2"/>
  <c r="J1279" i="2"/>
  <c r="D1280" i="2"/>
  <c r="E1280" i="2"/>
  <c r="F1280" i="2"/>
  <c r="G1280" i="2"/>
  <c r="H1280" i="2"/>
  <c r="J1280" i="2"/>
  <c r="D1281" i="2"/>
  <c r="E1281" i="2"/>
  <c r="F1281" i="2"/>
  <c r="G1281" i="2"/>
  <c r="H1281" i="2"/>
  <c r="J1281" i="2"/>
  <c r="D1282" i="2"/>
  <c r="E1282" i="2"/>
  <c r="F1282" i="2"/>
  <c r="G1282" i="2"/>
  <c r="H1282" i="2"/>
  <c r="J1282" i="2"/>
  <c r="D1283" i="2"/>
  <c r="E1283" i="2"/>
  <c r="F1283" i="2"/>
  <c r="G1283" i="2"/>
  <c r="H1283" i="2"/>
  <c r="J1283" i="2"/>
  <c r="D1284" i="2"/>
  <c r="E1284" i="2"/>
  <c r="F1284" i="2"/>
  <c r="G1284" i="2"/>
  <c r="H1284" i="2"/>
  <c r="J1284" i="2"/>
  <c r="D1285" i="2"/>
  <c r="E1285" i="2"/>
  <c r="F1285" i="2"/>
  <c r="G1285" i="2"/>
  <c r="H1285" i="2"/>
  <c r="J1285" i="2"/>
  <c r="D1286" i="2"/>
  <c r="E1286" i="2"/>
  <c r="F1286" i="2"/>
  <c r="G1286" i="2"/>
  <c r="H1286" i="2"/>
  <c r="J1286" i="2"/>
  <c r="D1287" i="2"/>
  <c r="E1287" i="2"/>
  <c r="F1287" i="2"/>
  <c r="G1287" i="2"/>
  <c r="H1287" i="2"/>
  <c r="J1287" i="2"/>
  <c r="D1288" i="2"/>
  <c r="E1288" i="2"/>
  <c r="F1288" i="2"/>
  <c r="G1288" i="2"/>
  <c r="H1288" i="2"/>
  <c r="J1288" i="2"/>
  <c r="D1290" i="2"/>
  <c r="E1290" i="2"/>
  <c r="F1290" i="2"/>
  <c r="G1290" i="2"/>
  <c r="H1290" i="2"/>
  <c r="J1290" i="2"/>
  <c r="D1291" i="2"/>
  <c r="E1291" i="2"/>
  <c r="F1291" i="2"/>
  <c r="G1291" i="2"/>
  <c r="H1291" i="2"/>
  <c r="J1291" i="2"/>
  <c r="D1292" i="2"/>
  <c r="E1292" i="2"/>
  <c r="F1292" i="2"/>
  <c r="G1292" i="2"/>
  <c r="H1292" i="2"/>
  <c r="J1292" i="2"/>
  <c r="D1293" i="2"/>
  <c r="E1293" i="2"/>
  <c r="F1293" i="2"/>
  <c r="G1293" i="2"/>
  <c r="H1293" i="2"/>
  <c r="J1293" i="2"/>
  <c r="D1294" i="2"/>
  <c r="E1294" i="2"/>
  <c r="F1294" i="2"/>
  <c r="G1294" i="2"/>
  <c r="H1294" i="2"/>
  <c r="J1294" i="2"/>
  <c r="D1295" i="2"/>
  <c r="E1295" i="2"/>
  <c r="F1295" i="2"/>
  <c r="G1295" i="2"/>
  <c r="H1295" i="2"/>
  <c r="J1295" i="2"/>
  <c r="D1296" i="2"/>
  <c r="E1296" i="2"/>
  <c r="F1296" i="2"/>
  <c r="G1296" i="2"/>
  <c r="H1296" i="2"/>
  <c r="J1296" i="2"/>
  <c r="D1297" i="2"/>
  <c r="E1297" i="2"/>
  <c r="F1297" i="2"/>
  <c r="G1297" i="2"/>
  <c r="H1297" i="2"/>
  <c r="J1297" i="2"/>
  <c r="D1298" i="2"/>
  <c r="E1298" i="2"/>
  <c r="F1298" i="2"/>
  <c r="G1298" i="2"/>
  <c r="H1298" i="2"/>
  <c r="J1298" i="2"/>
  <c r="D1299" i="2"/>
  <c r="E1299" i="2"/>
  <c r="F1299" i="2"/>
  <c r="G1299" i="2"/>
  <c r="H1299" i="2"/>
  <c r="J1299" i="2"/>
  <c r="D1300" i="2"/>
  <c r="E1300" i="2"/>
  <c r="F1300" i="2"/>
  <c r="G1300" i="2"/>
  <c r="H1300" i="2"/>
  <c r="J1300" i="2"/>
  <c r="D1301" i="2"/>
  <c r="E1301" i="2"/>
  <c r="F1301" i="2"/>
  <c r="G1301" i="2"/>
  <c r="H1301" i="2"/>
  <c r="J1301" i="2"/>
  <c r="D1302" i="2"/>
  <c r="E1302" i="2"/>
  <c r="F1302" i="2"/>
  <c r="G1302" i="2"/>
  <c r="H1302" i="2"/>
  <c r="J1302" i="2"/>
  <c r="D1303" i="2"/>
  <c r="E1303" i="2"/>
  <c r="F1303" i="2"/>
  <c r="G1303" i="2"/>
  <c r="H1303" i="2"/>
  <c r="J1303" i="2"/>
  <c r="D1304" i="2"/>
  <c r="E1304" i="2"/>
  <c r="F1304" i="2"/>
  <c r="G1304" i="2"/>
  <c r="H1304" i="2"/>
  <c r="J1304" i="2"/>
  <c r="D1305" i="2"/>
  <c r="E1305" i="2"/>
  <c r="F1305" i="2"/>
  <c r="G1305" i="2"/>
  <c r="H1305" i="2"/>
  <c r="J1305" i="2"/>
  <c r="D1306" i="2"/>
  <c r="E1306" i="2"/>
  <c r="F1306" i="2"/>
  <c r="G1306" i="2"/>
  <c r="H1306" i="2"/>
  <c r="J1306" i="2"/>
  <c r="D1307" i="2"/>
  <c r="E1307" i="2"/>
  <c r="F1307" i="2"/>
  <c r="G1307" i="2"/>
  <c r="H1307" i="2"/>
  <c r="J1307" i="2"/>
  <c r="D1308" i="2"/>
  <c r="E1308" i="2"/>
  <c r="F1308" i="2"/>
  <c r="G1308" i="2"/>
  <c r="H1308" i="2"/>
  <c r="J1308" i="2"/>
  <c r="D1309" i="2"/>
  <c r="E1309" i="2"/>
  <c r="F1309" i="2"/>
  <c r="G1309" i="2"/>
  <c r="H1309" i="2"/>
  <c r="J1309" i="2"/>
  <c r="D1310" i="2"/>
  <c r="E1310" i="2"/>
  <c r="F1310" i="2"/>
  <c r="G1310" i="2"/>
  <c r="H1310" i="2"/>
  <c r="J1310" i="2"/>
  <c r="D1311" i="2"/>
  <c r="E1311" i="2"/>
  <c r="F1311" i="2"/>
  <c r="G1311" i="2"/>
  <c r="H1311" i="2"/>
  <c r="J1311" i="2"/>
  <c r="D1312" i="2"/>
  <c r="E1312" i="2"/>
  <c r="F1312" i="2"/>
  <c r="G1312" i="2"/>
  <c r="H1312" i="2"/>
  <c r="J1312" i="2"/>
  <c r="D1313" i="2"/>
  <c r="E1313" i="2"/>
  <c r="F1313" i="2"/>
  <c r="G1313" i="2"/>
  <c r="H1313" i="2"/>
  <c r="J1313" i="2"/>
  <c r="D1314" i="2"/>
  <c r="E1314" i="2"/>
  <c r="F1314" i="2"/>
  <c r="G1314" i="2"/>
  <c r="H1314" i="2"/>
  <c r="J1314" i="2"/>
  <c r="D1315" i="2"/>
  <c r="E1315" i="2"/>
  <c r="F1315" i="2"/>
  <c r="G1315" i="2"/>
  <c r="H1315" i="2"/>
  <c r="J1315" i="2"/>
  <c r="D1316" i="2"/>
  <c r="E1316" i="2"/>
  <c r="F1316" i="2"/>
  <c r="G1316" i="2"/>
  <c r="H1316" i="2"/>
  <c r="J1316" i="2"/>
  <c r="D1317" i="2"/>
  <c r="E1317" i="2"/>
  <c r="F1317" i="2"/>
  <c r="G1317" i="2"/>
  <c r="H1317" i="2"/>
  <c r="J1317" i="2"/>
  <c r="D1318" i="2"/>
  <c r="E1318" i="2"/>
  <c r="F1318" i="2"/>
  <c r="G1318" i="2"/>
  <c r="H1318" i="2"/>
  <c r="J1318" i="2"/>
  <c r="D1319" i="2"/>
  <c r="E1319" i="2"/>
  <c r="F1319" i="2"/>
  <c r="G1319" i="2"/>
  <c r="H1319" i="2"/>
  <c r="J1319" i="2"/>
  <c r="D1320" i="2"/>
  <c r="E1320" i="2"/>
  <c r="F1320" i="2"/>
  <c r="G1320" i="2"/>
  <c r="H1320" i="2"/>
  <c r="J1320" i="2"/>
  <c r="D1321" i="2"/>
  <c r="E1321" i="2"/>
  <c r="F1321" i="2"/>
  <c r="G1321" i="2"/>
  <c r="H1321" i="2"/>
  <c r="J1321" i="2"/>
  <c r="D1322" i="2"/>
  <c r="E1322" i="2"/>
  <c r="F1322" i="2"/>
  <c r="G1322" i="2"/>
  <c r="H1322" i="2"/>
  <c r="J1322" i="2"/>
  <c r="D1323" i="2"/>
  <c r="E1323" i="2"/>
  <c r="F1323" i="2"/>
  <c r="G1323" i="2"/>
  <c r="H1323" i="2"/>
  <c r="J1323" i="2"/>
  <c r="D1324" i="2"/>
  <c r="E1324" i="2"/>
  <c r="F1324" i="2"/>
  <c r="G1324" i="2"/>
  <c r="H1324" i="2"/>
  <c r="J1324" i="2"/>
  <c r="D1325" i="2"/>
  <c r="E1325" i="2"/>
  <c r="F1325" i="2"/>
  <c r="G1325" i="2"/>
  <c r="H1325" i="2"/>
  <c r="J1325" i="2"/>
  <c r="D1326" i="2"/>
  <c r="E1326" i="2"/>
  <c r="F1326" i="2"/>
  <c r="G1326" i="2"/>
  <c r="H1326" i="2"/>
  <c r="J1326" i="2"/>
  <c r="D1327" i="2"/>
  <c r="E1327" i="2"/>
  <c r="F1327" i="2"/>
  <c r="G1327" i="2"/>
  <c r="H1327" i="2"/>
  <c r="J1327" i="2"/>
  <c r="D1328" i="2"/>
  <c r="E1328" i="2"/>
  <c r="F1328" i="2"/>
  <c r="G1328" i="2"/>
  <c r="H1328" i="2"/>
  <c r="J1328" i="2"/>
  <c r="D1329" i="2"/>
  <c r="E1329" i="2"/>
  <c r="F1329" i="2"/>
  <c r="G1329" i="2"/>
  <c r="H1329" i="2"/>
  <c r="J1329" i="2"/>
  <c r="D1330" i="2"/>
  <c r="E1330" i="2"/>
  <c r="F1330" i="2"/>
  <c r="G1330" i="2"/>
  <c r="H1330" i="2"/>
  <c r="J1330" i="2"/>
  <c r="D1331" i="2"/>
  <c r="E1331" i="2"/>
  <c r="F1331" i="2"/>
  <c r="G1331" i="2"/>
  <c r="H1331" i="2"/>
  <c r="J1331" i="2"/>
  <c r="D1332" i="2"/>
  <c r="E1332" i="2"/>
  <c r="F1332" i="2"/>
  <c r="G1332" i="2"/>
  <c r="H1332" i="2"/>
  <c r="J1332" i="2"/>
  <c r="D1333" i="2"/>
  <c r="E1333" i="2"/>
  <c r="F1333" i="2"/>
  <c r="G1333" i="2"/>
  <c r="H1333" i="2"/>
  <c r="J1333" i="2"/>
  <c r="D1334" i="2"/>
  <c r="E1334" i="2"/>
  <c r="F1334" i="2"/>
  <c r="G1334" i="2"/>
  <c r="H1334" i="2"/>
  <c r="J1334" i="2"/>
  <c r="D1335" i="2"/>
  <c r="E1335" i="2"/>
  <c r="F1335" i="2"/>
  <c r="G1335" i="2"/>
  <c r="H1335" i="2"/>
  <c r="J1335" i="2"/>
  <c r="D1336" i="2"/>
  <c r="E1336" i="2"/>
  <c r="F1336" i="2"/>
  <c r="G1336" i="2"/>
  <c r="H1336" i="2"/>
  <c r="J1336" i="2"/>
  <c r="D1337" i="2"/>
  <c r="E1337" i="2"/>
  <c r="F1337" i="2"/>
  <c r="G1337" i="2"/>
  <c r="H1337" i="2"/>
  <c r="J1337" i="2"/>
  <c r="D1338" i="2"/>
  <c r="E1338" i="2"/>
  <c r="F1338" i="2"/>
  <c r="G1338" i="2"/>
  <c r="H1338" i="2"/>
  <c r="J1338" i="2"/>
  <c r="D1339" i="2"/>
  <c r="E1339" i="2"/>
  <c r="F1339" i="2"/>
  <c r="G1339" i="2"/>
  <c r="H1339" i="2"/>
  <c r="J1339" i="2"/>
  <c r="D1340" i="2"/>
  <c r="E1340" i="2"/>
  <c r="F1340" i="2"/>
  <c r="G1340" i="2"/>
  <c r="H1340" i="2"/>
  <c r="J1340" i="2"/>
  <c r="D1341" i="2"/>
  <c r="E1341" i="2"/>
  <c r="F1341" i="2"/>
  <c r="G1341" i="2"/>
  <c r="H1341" i="2"/>
  <c r="J1341" i="2"/>
  <c r="D1342" i="2"/>
  <c r="E1342" i="2"/>
  <c r="F1342" i="2"/>
  <c r="G1342" i="2"/>
  <c r="H1342" i="2"/>
  <c r="J1342" i="2"/>
  <c r="D1343" i="2"/>
  <c r="E1343" i="2"/>
  <c r="F1343" i="2"/>
  <c r="G1343" i="2"/>
  <c r="H1343" i="2"/>
  <c r="J1343" i="2"/>
  <c r="D1344" i="2"/>
  <c r="E1344" i="2"/>
  <c r="F1344" i="2"/>
  <c r="G1344" i="2"/>
  <c r="H1344" i="2"/>
  <c r="J1344" i="2"/>
  <c r="D1345" i="2"/>
  <c r="E1345" i="2"/>
  <c r="F1345" i="2"/>
  <c r="G1345" i="2"/>
  <c r="H1345" i="2"/>
  <c r="J1345" i="2"/>
  <c r="D1346" i="2"/>
  <c r="E1346" i="2"/>
  <c r="F1346" i="2"/>
  <c r="G1346" i="2"/>
  <c r="H1346" i="2"/>
  <c r="J1346" i="2"/>
  <c r="D1347" i="2"/>
  <c r="E1347" i="2"/>
  <c r="F1347" i="2"/>
  <c r="G1347" i="2"/>
  <c r="H1347" i="2"/>
  <c r="J1347" i="2"/>
  <c r="D1348" i="2"/>
  <c r="E1348" i="2"/>
  <c r="F1348" i="2"/>
  <c r="G1348" i="2"/>
  <c r="H1348" i="2"/>
  <c r="J1348" i="2"/>
  <c r="D1349" i="2"/>
  <c r="E1349" i="2"/>
  <c r="F1349" i="2"/>
  <c r="G1349" i="2"/>
  <c r="H1349" i="2"/>
  <c r="J1349" i="2"/>
  <c r="D1350" i="2"/>
  <c r="E1350" i="2"/>
  <c r="F1350" i="2"/>
  <c r="G1350" i="2"/>
  <c r="H1350" i="2"/>
  <c r="J1350" i="2"/>
  <c r="D1351" i="2"/>
  <c r="E1351" i="2"/>
  <c r="F1351" i="2"/>
  <c r="G1351" i="2"/>
  <c r="H1351" i="2"/>
  <c r="J1351" i="2"/>
  <c r="D1352" i="2"/>
  <c r="E1352" i="2"/>
  <c r="F1352" i="2"/>
  <c r="G1352" i="2"/>
  <c r="H1352" i="2"/>
  <c r="J1352" i="2"/>
  <c r="D1353" i="2"/>
  <c r="E1353" i="2"/>
  <c r="F1353" i="2"/>
  <c r="G1353" i="2"/>
  <c r="H1353" i="2"/>
  <c r="J1353" i="2"/>
  <c r="D1354" i="2"/>
  <c r="E1354" i="2"/>
  <c r="F1354" i="2"/>
  <c r="G1354" i="2"/>
  <c r="H1354" i="2"/>
  <c r="J1354" i="2"/>
  <c r="D1355" i="2"/>
  <c r="E1355" i="2"/>
  <c r="F1355" i="2"/>
  <c r="G1355" i="2"/>
  <c r="H1355" i="2"/>
  <c r="J1355" i="2"/>
  <c r="D1356" i="2"/>
  <c r="E1356" i="2"/>
  <c r="F1356" i="2"/>
  <c r="G1356" i="2"/>
  <c r="H1356" i="2"/>
  <c r="J1356" i="2"/>
  <c r="D1357" i="2"/>
  <c r="E1357" i="2"/>
  <c r="F1357" i="2"/>
  <c r="G1357" i="2"/>
  <c r="H1357" i="2"/>
  <c r="J1357" i="2"/>
  <c r="D1358" i="2"/>
  <c r="E1358" i="2"/>
  <c r="F1358" i="2"/>
  <c r="G1358" i="2"/>
  <c r="H1358" i="2"/>
  <c r="J1358" i="2"/>
  <c r="D1359" i="2"/>
  <c r="E1359" i="2"/>
  <c r="F1359" i="2"/>
  <c r="G1359" i="2"/>
  <c r="H1359" i="2"/>
  <c r="J1359" i="2"/>
  <c r="D1360" i="2"/>
  <c r="E1360" i="2"/>
  <c r="F1360" i="2"/>
  <c r="G1360" i="2"/>
  <c r="H1360" i="2"/>
  <c r="J1360" i="2"/>
  <c r="D1361" i="2"/>
  <c r="E1361" i="2"/>
  <c r="F1361" i="2"/>
  <c r="G1361" i="2"/>
  <c r="H1361" i="2"/>
  <c r="J1361" i="2"/>
  <c r="D1362" i="2"/>
  <c r="E1362" i="2"/>
  <c r="F1362" i="2"/>
  <c r="G1362" i="2"/>
  <c r="H1362" i="2"/>
  <c r="J1362" i="2"/>
  <c r="D1363" i="2"/>
  <c r="E1363" i="2"/>
  <c r="F1363" i="2"/>
  <c r="G1363" i="2"/>
  <c r="H1363" i="2"/>
  <c r="J1363" i="2"/>
  <c r="D1364" i="2"/>
  <c r="E1364" i="2"/>
  <c r="F1364" i="2"/>
  <c r="G1364" i="2"/>
  <c r="H1364" i="2"/>
  <c r="J1364" i="2"/>
  <c r="D1365" i="2"/>
  <c r="E1365" i="2"/>
  <c r="F1365" i="2"/>
  <c r="G1365" i="2"/>
  <c r="H1365" i="2"/>
  <c r="J1365" i="2"/>
  <c r="D1366" i="2"/>
  <c r="E1366" i="2"/>
  <c r="F1366" i="2"/>
  <c r="G1366" i="2"/>
  <c r="H1366" i="2"/>
  <c r="J1366" i="2"/>
  <c r="D1367" i="2"/>
  <c r="E1367" i="2"/>
  <c r="F1367" i="2"/>
  <c r="G1367" i="2"/>
  <c r="H1367" i="2"/>
  <c r="J1367" i="2"/>
  <c r="D1368" i="2"/>
  <c r="E1368" i="2"/>
  <c r="F1368" i="2"/>
  <c r="G1368" i="2"/>
  <c r="H1368" i="2"/>
  <c r="J1368" i="2"/>
  <c r="D1369" i="2"/>
  <c r="E1369" i="2"/>
  <c r="F1369" i="2"/>
  <c r="G1369" i="2"/>
  <c r="H1369" i="2"/>
  <c r="J1369" i="2"/>
  <c r="D1370" i="2"/>
  <c r="E1370" i="2"/>
  <c r="F1370" i="2"/>
  <c r="G1370" i="2"/>
  <c r="H1370" i="2"/>
  <c r="J1370" i="2"/>
  <c r="D1371" i="2"/>
  <c r="E1371" i="2"/>
  <c r="F1371" i="2"/>
  <c r="G1371" i="2"/>
  <c r="H1371" i="2"/>
  <c r="J1371" i="2"/>
  <c r="D1372" i="2"/>
  <c r="E1372" i="2"/>
  <c r="F1372" i="2"/>
  <c r="G1372" i="2"/>
  <c r="H1372" i="2"/>
  <c r="J1372" i="2"/>
  <c r="D1373" i="2"/>
  <c r="E1373" i="2"/>
  <c r="F1373" i="2"/>
  <c r="G1373" i="2"/>
  <c r="H1373" i="2"/>
  <c r="J1373" i="2"/>
  <c r="D1464" i="2"/>
  <c r="E1464" i="2"/>
  <c r="F1464" i="2"/>
  <c r="G1464" i="2"/>
  <c r="H1464" i="2"/>
  <c r="J1464" i="2"/>
  <c r="D1465" i="2"/>
  <c r="E1465" i="2"/>
  <c r="F1465" i="2"/>
  <c r="G1465" i="2"/>
  <c r="H1465" i="2"/>
  <c r="J1465" i="2"/>
  <c r="D1466" i="2"/>
  <c r="E1466" i="2"/>
  <c r="F1466" i="2"/>
  <c r="G1466" i="2"/>
  <c r="H1466" i="2"/>
  <c r="J1466" i="2"/>
  <c r="D1467" i="2"/>
  <c r="E1467" i="2"/>
  <c r="F1467" i="2"/>
  <c r="G1467" i="2"/>
  <c r="H1467" i="2"/>
  <c r="J1467" i="2"/>
  <c r="D1468" i="2"/>
  <c r="E1468" i="2"/>
  <c r="F1468" i="2"/>
  <c r="G1468" i="2"/>
  <c r="H1468" i="2"/>
  <c r="J1468" i="2"/>
  <c r="D1469" i="2"/>
  <c r="E1469" i="2"/>
  <c r="F1469" i="2"/>
  <c r="G1469" i="2"/>
  <c r="H1469" i="2"/>
  <c r="J1469" i="2"/>
  <c r="D1470" i="2"/>
  <c r="E1470" i="2"/>
  <c r="F1470" i="2"/>
  <c r="G1470" i="2"/>
  <c r="H1470" i="2"/>
  <c r="J1470" i="2"/>
  <c r="D1471" i="2"/>
  <c r="E1471" i="2"/>
  <c r="F1471" i="2"/>
  <c r="G1471" i="2"/>
  <c r="H1471" i="2"/>
  <c r="J1471" i="2"/>
  <c r="D1472" i="2"/>
  <c r="E1472" i="2"/>
  <c r="F1472" i="2"/>
  <c r="G1472" i="2"/>
  <c r="H1472" i="2"/>
  <c r="J1472" i="2"/>
  <c r="D1473" i="2"/>
  <c r="E1473" i="2"/>
  <c r="F1473" i="2"/>
  <c r="G1473" i="2"/>
  <c r="H1473" i="2"/>
  <c r="J1473" i="2"/>
  <c r="D1474" i="2"/>
  <c r="E1474" i="2"/>
  <c r="F1474" i="2"/>
  <c r="G1474" i="2"/>
  <c r="H1474" i="2"/>
  <c r="J1474" i="2"/>
  <c r="D1475" i="2"/>
  <c r="E1475" i="2"/>
  <c r="F1475" i="2"/>
  <c r="G1475" i="2"/>
  <c r="H1475" i="2"/>
  <c r="J1475" i="2"/>
  <c r="D1476" i="2"/>
  <c r="E1476" i="2"/>
  <c r="F1476" i="2"/>
  <c r="G1476" i="2"/>
  <c r="H1476" i="2"/>
  <c r="J1476" i="2"/>
  <c r="D1477" i="2"/>
  <c r="E1477" i="2"/>
  <c r="F1477" i="2"/>
  <c r="G1477" i="2"/>
  <c r="H1477" i="2"/>
  <c r="J1477" i="2"/>
  <c r="D1478" i="2"/>
  <c r="E1478" i="2"/>
  <c r="F1478" i="2"/>
  <c r="G1478" i="2"/>
  <c r="H1478" i="2"/>
  <c r="J1478" i="2"/>
  <c r="D1479" i="2"/>
  <c r="E1479" i="2"/>
  <c r="F1479" i="2"/>
  <c r="G1479" i="2"/>
  <c r="H1479" i="2"/>
  <c r="J1479" i="2"/>
  <c r="D1480" i="2"/>
  <c r="E1480" i="2"/>
  <c r="F1480" i="2"/>
  <c r="G1480" i="2"/>
  <c r="H1480" i="2"/>
  <c r="J1480" i="2"/>
  <c r="D1481" i="2"/>
  <c r="E1481" i="2"/>
  <c r="F1481" i="2"/>
  <c r="G1481" i="2"/>
  <c r="H1481" i="2"/>
  <c r="J1481" i="2"/>
  <c r="D1482" i="2"/>
  <c r="E1482" i="2"/>
  <c r="F1482" i="2"/>
  <c r="G1482" i="2"/>
  <c r="H1482" i="2"/>
  <c r="J1482" i="2"/>
  <c r="D1483" i="2"/>
  <c r="E1483" i="2"/>
  <c r="F1483" i="2"/>
  <c r="G1483" i="2"/>
  <c r="H1483" i="2"/>
  <c r="J1483" i="2"/>
  <c r="D1484" i="2"/>
  <c r="E1484" i="2"/>
  <c r="F1484" i="2"/>
  <c r="G1484" i="2"/>
  <c r="H1484" i="2"/>
  <c r="J1484" i="2"/>
  <c r="D1485" i="2"/>
  <c r="E1485" i="2"/>
  <c r="F1485" i="2"/>
  <c r="G1485" i="2"/>
  <c r="H1485" i="2"/>
  <c r="J1485" i="2"/>
  <c r="D1486" i="2"/>
  <c r="E1486" i="2"/>
  <c r="F1486" i="2"/>
  <c r="G1486" i="2"/>
  <c r="H1486" i="2"/>
  <c r="J1486" i="2"/>
  <c r="D1487" i="2"/>
  <c r="E1487" i="2"/>
  <c r="F1487" i="2"/>
  <c r="G1487" i="2"/>
  <c r="H1487" i="2"/>
  <c r="J1487" i="2"/>
  <c r="D1488" i="2"/>
  <c r="E1488" i="2"/>
  <c r="F1488" i="2"/>
  <c r="G1488" i="2"/>
  <c r="H1488" i="2"/>
  <c r="J1488" i="2"/>
  <c r="D1489" i="2"/>
  <c r="E1489" i="2"/>
  <c r="F1489" i="2"/>
  <c r="G1489" i="2"/>
  <c r="H1489" i="2"/>
  <c r="J1489" i="2"/>
  <c r="D1490" i="2"/>
  <c r="E1490" i="2"/>
  <c r="F1490" i="2"/>
  <c r="G1490" i="2"/>
  <c r="H1490" i="2"/>
  <c r="J1490" i="2"/>
  <c r="D1491" i="2"/>
  <c r="E1491" i="2"/>
  <c r="F1491" i="2"/>
  <c r="G1491" i="2"/>
  <c r="H1491" i="2"/>
  <c r="J1491" i="2"/>
  <c r="D1492" i="2"/>
  <c r="E1492" i="2"/>
  <c r="F1492" i="2"/>
  <c r="G1492" i="2"/>
  <c r="H1492" i="2"/>
  <c r="J1492" i="2"/>
  <c r="D1493" i="2"/>
  <c r="E1493" i="2"/>
  <c r="F1493" i="2"/>
  <c r="G1493" i="2"/>
  <c r="H1493" i="2"/>
  <c r="J1493" i="2"/>
  <c r="D1494" i="2"/>
  <c r="E1494" i="2"/>
  <c r="F1494" i="2"/>
  <c r="G1494" i="2"/>
  <c r="H1494" i="2"/>
  <c r="J1494" i="2"/>
  <c r="D1495" i="2"/>
  <c r="E1495" i="2"/>
  <c r="F1495" i="2"/>
  <c r="G1495" i="2"/>
  <c r="H1495" i="2"/>
  <c r="J1495" i="2"/>
  <c r="D1496" i="2"/>
  <c r="E1496" i="2"/>
  <c r="F1496" i="2"/>
  <c r="G1496" i="2"/>
  <c r="H1496" i="2"/>
  <c r="J1496" i="2"/>
  <c r="D1497" i="2"/>
  <c r="E1497" i="2"/>
  <c r="F1497" i="2"/>
  <c r="G1497" i="2"/>
  <c r="H1497" i="2"/>
  <c r="J1497" i="2"/>
  <c r="D1498" i="2"/>
  <c r="E1498" i="2"/>
  <c r="F1498" i="2"/>
  <c r="G1498" i="2"/>
  <c r="H1498" i="2"/>
  <c r="J1498" i="2"/>
  <c r="D1499" i="2"/>
  <c r="E1499" i="2"/>
  <c r="F1499" i="2"/>
  <c r="G1499" i="2"/>
  <c r="H1499" i="2"/>
  <c r="J1499" i="2"/>
  <c r="D1500" i="2"/>
  <c r="E1500" i="2"/>
  <c r="F1500" i="2"/>
  <c r="G1500" i="2"/>
  <c r="H1500" i="2"/>
  <c r="J1500" i="2"/>
  <c r="D1501" i="2"/>
  <c r="E1501" i="2"/>
  <c r="F1501" i="2"/>
  <c r="G1501" i="2"/>
  <c r="H1501" i="2"/>
  <c r="J1501" i="2"/>
  <c r="D1502" i="2"/>
  <c r="E1502" i="2"/>
  <c r="F1502" i="2"/>
  <c r="G1502" i="2"/>
  <c r="H1502" i="2"/>
  <c r="J1502" i="2"/>
  <c r="D1503" i="2"/>
  <c r="E1503" i="2"/>
  <c r="F1503" i="2"/>
  <c r="G1503" i="2"/>
  <c r="H1503" i="2"/>
  <c r="J1503" i="2"/>
  <c r="D1504" i="2"/>
  <c r="E1504" i="2"/>
  <c r="F1504" i="2"/>
  <c r="G1504" i="2"/>
  <c r="H1504" i="2"/>
  <c r="J1504" i="2"/>
  <c r="D1505" i="2"/>
  <c r="E1505" i="2"/>
  <c r="F1505" i="2"/>
  <c r="G1505" i="2"/>
  <c r="H1505" i="2"/>
  <c r="J1505" i="2"/>
  <c r="D1506" i="2"/>
  <c r="E1506" i="2"/>
  <c r="F1506" i="2"/>
  <c r="G1506" i="2"/>
  <c r="H1506" i="2"/>
  <c r="J1506" i="2"/>
  <c r="D1507" i="2"/>
  <c r="E1507" i="2"/>
  <c r="F1507" i="2"/>
  <c r="G1507" i="2"/>
  <c r="H1507" i="2"/>
  <c r="J1507" i="2"/>
  <c r="D1508" i="2"/>
  <c r="E1508" i="2"/>
  <c r="F1508" i="2"/>
  <c r="G1508" i="2"/>
  <c r="H1508" i="2"/>
  <c r="J1508" i="2"/>
  <c r="D1509" i="2"/>
  <c r="E1509" i="2"/>
  <c r="F1509" i="2"/>
  <c r="G1509" i="2"/>
  <c r="H1509" i="2"/>
  <c r="J1509" i="2"/>
  <c r="D1510" i="2"/>
  <c r="E1510" i="2"/>
  <c r="F1510" i="2"/>
  <c r="G1510" i="2"/>
  <c r="H1510" i="2"/>
  <c r="J1510" i="2"/>
  <c r="D1511" i="2"/>
  <c r="E1511" i="2"/>
  <c r="F1511" i="2"/>
  <c r="G1511" i="2"/>
  <c r="H1511" i="2"/>
  <c r="J1511" i="2"/>
  <c r="D1512" i="2"/>
  <c r="E1512" i="2"/>
  <c r="F1512" i="2"/>
  <c r="G1512" i="2"/>
  <c r="H1512" i="2"/>
  <c r="J1512" i="2"/>
  <c r="D1513" i="2"/>
  <c r="E1513" i="2"/>
  <c r="F1513" i="2"/>
  <c r="G1513" i="2"/>
  <c r="H1513" i="2"/>
  <c r="J1513" i="2"/>
  <c r="D1514" i="2"/>
  <c r="E1514" i="2"/>
  <c r="F1514" i="2"/>
  <c r="G1514" i="2"/>
  <c r="H1514" i="2"/>
  <c r="J1514" i="2"/>
  <c r="D1515" i="2"/>
  <c r="E1515" i="2"/>
  <c r="F1515" i="2"/>
  <c r="G1515" i="2"/>
  <c r="H1515" i="2"/>
  <c r="J1515" i="2"/>
  <c r="D1516" i="2"/>
  <c r="E1516" i="2"/>
  <c r="F1516" i="2"/>
  <c r="G1516" i="2"/>
  <c r="H1516" i="2"/>
  <c r="J1516" i="2"/>
  <c r="D1517" i="2"/>
  <c r="E1517" i="2"/>
  <c r="F1517" i="2"/>
  <c r="G1517" i="2"/>
  <c r="H1517" i="2"/>
  <c r="J1517" i="2"/>
  <c r="D1518" i="2"/>
  <c r="E1518" i="2"/>
  <c r="F1518" i="2"/>
  <c r="G1518" i="2"/>
  <c r="H1518" i="2"/>
  <c r="J1518" i="2"/>
  <c r="D1519" i="2"/>
  <c r="E1519" i="2"/>
  <c r="F1519" i="2"/>
  <c r="G1519" i="2"/>
  <c r="H1519" i="2"/>
  <c r="J1519" i="2"/>
  <c r="D1520" i="2"/>
  <c r="E1520" i="2"/>
  <c r="F1520" i="2"/>
  <c r="G1520" i="2"/>
  <c r="H1520" i="2"/>
  <c r="J1520" i="2"/>
  <c r="D1521" i="2"/>
  <c r="E1521" i="2"/>
  <c r="F1521" i="2"/>
  <c r="G1521" i="2"/>
  <c r="H1521" i="2"/>
  <c r="J1521" i="2"/>
  <c r="D1522" i="2"/>
  <c r="E1522" i="2"/>
  <c r="F1522" i="2"/>
  <c r="G1522" i="2"/>
  <c r="H1522" i="2"/>
  <c r="J1522" i="2"/>
  <c r="D1523" i="2"/>
  <c r="E1523" i="2"/>
  <c r="F1523" i="2"/>
  <c r="G1523" i="2"/>
  <c r="H1523" i="2"/>
  <c r="J1523" i="2"/>
  <c r="D1524" i="2"/>
  <c r="E1524" i="2"/>
  <c r="F1524" i="2"/>
  <c r="G1524" i="2"/>
  <c r="H1524" i="2"/>
  <c r="J1524" i="2"/>
  <c r="D1525" i="2"/>
  <c r="E1525" i="2"/>
  <c r="F1525" i="2"/>
  <c r="G1525" i="2"/>
  <c r="H1525" i="2"/>
  <c r="J1525" i="2"/>
  <c r="D1526" i="2"/>
  <c r="E1526" i="2"/>
  <c r="F1526" i="2"/>
  <c r="G1526" i="2"/>
  <c r="H1526" i="2"/>
  <c r="J1526" i="2"/>
  <c r="D1527" i="2"/>
  <c r="E1527" i="2"/>
  <c r="F1527" i="2"/>
  <c r="G1527" i="2"/>
  <c r="H1527" i="2"/>
  <c r="J1527" i="2"/>
  <c r="D1528" i="2"/>
  <c r="E1528" i="2"/>
  <c r="F1528" i="2"/>
  <c r="G1528" i="2"/>
  <c r="H1528" i="2"/>
  <c r="J1528" i="2"/>
  <c r="D1529" i="2"/>
  <c r="E1529" i="2"/>
  <c r="F1529" i="2"/>
  <c r="G1529" i="2"/>
  <c r="H1529" i="2"/>
  <c r="J1529" i="2"/>
  <c r="D1530" i="2"/>
  <c r="E1530" i="2"/>
  <c r="F1530" i="2"/>
  <c r="G1530" i="2"/>
  <c r="H1530" i="2"/>
  <c r="J1530" i="2"/>
  <c r="D1531" i="2"/>
  <c r="E1531" i="2"/>
  <c r="F1531" i="2"/>
  <c r="G1531" i="2"/>
  <c r="H1531" i="2"/>
  <c r="J1531" i="2"/>
  <c r="D1532" i="2"/>
  <c r="E1532" i="2"/>
  <c r="F1532" i="2"/>
  <c r="G1532" i="2"/>
  <c r="H1532" i="2"/>
  <c r="J1532" i="2"/>
  <c r="D1533" i="2"/>
  <c r="E1533" i="2"/>
  <c r="F1533" i="2"/>
  <c r="G1533" i="2"/>
  <c r="H1533" i="2"/>
  <c r="J1533" i="2"/>
  <c r="D1534" i="2"/>
  <c r="E1534" i="2"/>
  <c r="F1534" i="2"/>
  <c r="G1534" i="2"/>
  <c r="H1534" i="2"/>
  <c r="J1534" i="2"/>
  <c r="D1535" i="2"/>
  <c r="E1535" i="2"/>
  <c r="F1535" i="2"/>
  <c r="G1535" i="2"/>
  <c r="H1535" i="2"/>
  <c r="J1535" i="2"/>
  <c r="D1536" i="2"/>
  <c r="E1536" i="2"/>
  <c r="F1536" i="2"/>
  <c r="G1536" i="2"/>
  <c r="H1536" i="2"/>
  <c r="J1536" i="2"/>
  <c r="D1537" i="2"/>
  <c r="E1537" i="2"/>
  <c r="F1537" i="2"/>
  <c r="G1537" i="2"/>
  <c r="H1537" i="2"/>
  <c r="J1537" i="2"/>
  <c r="D1538" i="2"/>
  <c r="E1538" i="2"/>
  <c r="F1538" i="2"/>
  <c r="G1538" i="2"/>
  <c r="H1538" i="2"/>
  <c r="J1538" i="2"/>
  <c r="D1539" i="2"/>
  <c r="E1539" i="2"/>
  <c r="F1539" i="2"/>
  <c r="G1539" i="2"/>
  <c r="H1539" i="2"/>
  <c r="J1539" i="2"/>
  <c r="D1540" i="2"/>
  <c r="E1540" i="2"/>
  <c r="F1540" i="2"/>
  <c r="G1540" i="2"/>
  <c r="H1540" i="2"/>
  <c r="J1540" i="2"/>
  <c r="D1541" i="2"/>
  <c r="E1541" i="2"/>
  <c r="F1541" i="2"/>
  <c r="G1541" i="2"/>
  <c r="H1541" i="2"/>
  <c r="J1541" i="2"/>
  <c r="D1542" i="2"/>
  <c r="E1542" i="2"/>
  <c r="F1542" i="2"/>
  <c r="G1542" i="2"/>
  <c r="H1542" i="2"/>
  <c r="J1542" i="2"/>
  <c r="D1543" i="2"/>
  <c r="E1543" i="2"/>
  <c r="F1543" i="2"/>
  <c r="G1543" i="2"/>
  <c r="H1543" i="2"/>
  <c r="J1543" i="2"/>
  <c r="D1544" i="2"/>
  <c r="E1544" i="2"/>
  <c r="F1544" i="2"/>
  <c r="G1544" i="2"/>
  <c r="H1544" i="2"/>
  <c r="J1544" i="2"/>
  <c r="D1545" i="2"/>
  <c r="E1545" i="2"/>
  <c r="F1545" i="2"/>
  <c r="G1545" i="2"/>
  <c r="H1545" i="2"/>
  <c r="J1545" i="2"/>
  <c r="D1546" i="2"/>
  <c r="E1546" i="2"/>
  <c r="F1546" i="2"/>
  <c r="G1546" i="2"/>
  <c r="H1546" i="2"/>
  <c r="J1546" i="2"/>
  <c r="D1548" i="2"/>
  <c r="E1548" i="2"/>
  <c r="F1548" i="2"/>
  <c r="G1548" i="2"/>
  <c r="H1548" i="2"/>
  <c r="J1548" i="2"/>
  <c r="D1549" i="2"/>
  <c r="E1549" i="2"/>
  <c r="F1549" i="2"/>
  <c r="G1549" i="2"/>
  <c r="H1549" i="2"/>
  <c r="J1549" i="2"/>
  <c r="D1550" i="2"/>
  <c r="E1550" i="2"/>
  <c r="F1550" i="2"/>
  <c r="G1550" i="2"/>
  <c r="H1550" i="2"/>
  <c r="J1550" i="2"/>
  <c r="D1551" i="2"/>
  <c r="E1551" i="2"/>
  <c r="F1551" i="2"/>
  <c r="G1551" i="2"/>
  <c r="H1551" i="2"/>
  <c r="J1551" i="2"/>
  <c r="D1552" i="2"/>
  <c r="E1552" i="2"/>
  <c r="F1552" i="2"/>
  <c r="G1552" i="2"/>
  <c r="H1552" i="2"/>
  <c r="J1552" i="2"/>
  <c r="D1553" i="2"/>
  <c r="E1553" i="2"/>
  <c r="F1553" i="2"/>
  <c r="G1553" i="2"/>
  <c r="H1553" i="2"/>
  <c r="J1553" i="2"/>
  <c r="D1554" i="2"/>
  <c r="E1554" i="2"/>
  <c r="F1554" i="2"/>
  <c r="G1554" i="2"/>
  <c r="H1554" i="2"/>
  <c r="J1554" i="2"/>
  <c r="D1555" i="2"/>
  <c r="E1555" i="2"/>
  <c r="F1555" i="2"/>
  <c r="G1555" i="2"/>
  <c r="H1555" i="2"/>
  <c r="J1555" i="2"/>
  <c r="D1556" i="2"/>
  <c r="E1556" i="2"/>
  <c r="F1556" i="2"/>
  <c r="G1556" i="2"/>
  <c r="H1556" i="2"/>
  <c r="J1556" i="2"/>
  <c r="D1557" i="2"/>
  <c r="E1557" i="2"/>
  <c r="F1557" i="2"/>
  <c r="G1557" i="2"/>
  <c r="H1557" i="2"/>
  <c r="J1557" i="2"/>
  <c r="D1558" i="2"/>
  <c r="E1558" i="2"/>
  <c r="F1558" i="2"/>
  <c r="G1558" i="2"/>
  <c r="H1558" i="2"/>
  <c r="J1558" i="2"/>
  <c r="D1559" i="2"/>
  <c r="E1559" i="2"/>
  <c r="F1559" i="2"/>
  <c r="G1559" i="2"/>
  <c r="H1559" i="2"/>
  <c r="J1559" i="2"/>
  <c r="D1560" i="2"/>
  <c r="E1560" i="2"/>
  <c r="F1560" i="2"/>
  <c r="G1560" i="2"/>
  <c r="H1560" i="2"/>
  <c r="J1560" i="2"/>
  <c r="D1561" i="2"/>
  <c r="E1561" i="2"/>
  <c r="F1561" i="2"/>
  <c r="G1561" i="2"/>
  <c r="H1561" i="2"/>
  <c r="J1561" i="2"/>
  <c r="D1562" i="2"/>
  <c r="E1562" i="2"/>
  <c r="F1562" i="2"/>
  <c r="G1562" i="2"/>
  <c r="H1562" i="2"/>
  <c r="J1562" i="2"/>
  <c r="D1563" i="2"/>
  <c r="E1563" i="2"/>
  <c r="F1563" i="2"/>
  <c r="G1563" i="2"/>
  <c r="H1563" i="2"/>
  <c r="J1563" i="2"/>
  <c r="D1564" i="2"/>
  <c r="E1564" i="2"/>
  <c r="F1564" i="2"/>
  <c r="G1564" i="2"/>
  <c r="H1564" i="2"/>
  <c r="J1564" i="2"/>
  <c r="D1565" i="2"/>
  <c r="E1565" i="2"/>
  <c r="F1565" i="2"/>
  <c r="G1565" i="2"/>
  <c r="H1565" i="2"/>
  <c r="J1565" i="2"/>
  <c r="D1566" i="2"/>
  <c r="E1566" i="2"/>
  <c r="F1566" i="2"/>
  <c r="G1566" i="2"/>
  <c r="H1566" i="2"/>
  <c r="J1566" i="2"/>
  <c r="D1567" i="2"/>
  <c r="E1567" i="2"/>
  <c r="F1567" i="2"/>
  <c r="G1567" i="2"/>
  <c r="H1567" i="2"/>
  <c r="J1567" i="2"/>
  <c r="D1568" i="2"/>
  <c r="E1568" i="2"/>
  <c r="F1568" i="2"/>
  <c r="G1568" i="2"/>
  <c r="H1568" i="2"/>
  <c r="J1568" i="2"/>
  <c r="D1569" i="2"/>
  <c r="E1569" i="2"/>
  <c r="F1569" i="2"/>
  <c r="G1569" i="2"/>
  <c r="H1569" i="2"/>
  <c r="J1569" i="2"/>
  <c r="D1570" i="2"/>
  <c r="E1570" i="2"/>
  <c r="F1570" i="2"/>
  <c r="G1570" i="2"/>
  <c r="H1570" i="2"/>
  <c r="J1570" i="2"/>
  <c r="D1571" i="2"/>
  <c r="E1571" i="2"/>
  <c r="F1571" i="2"/>
  <c r="G1571" i="2"/>
  <c r="H1571" i="2"/>
  <c r="J1571" i="2"/>
  <c r="D1572" i="2"/>
  <c r="E1572" i="2"/>
  <c r="F1572" i="2"/>
  <c r="G1572" i="2"/>
  <c r="H1572" i="2"/>
  <c r="J1572" i="2"/>
  <c r="D1573" i="2"/>
  <c r="E1573" i="2"/>
  <c r="F1573" i="2"/>
  <c r="G1573" i="2"/>
  <c r="H1573" i="2"/>
  <c r="J1573" i="2"/>
  <c r="D1574" i="2"/>
  <c r="E1574" i="2"/>
  <c r="F1574" i="2"/>
  <c r="G1574" i="2"/>
  <c r="H1574" i="2"/>
  <c r="J1574" i="2"/>
  <c r="D1575" i="2"/>
  <c r="E1575" i="2"/>
  <c r="F1575" i="2"/>
  <c r="G1575" i="2"/>
  <c r="H1575" i="2"/>
  <c r="J1575" i="2"/>
  <c r="D1576" i="2"/>
  <c r="E1576" i="2"/>
  <c r="F1576" i="2"/>
  <c r="G1576" i="2"/>
  <c r="H1576" i="2"/>
  <c r="J1576" i="2"/>
  <c r="D1577" i="2"/>
  <c r="E1577" i="2"/>
  <c r="F1577" i="2"/>
  <c r="G1577" i="2"/>
  <c r="H1577" i="2"/>
  <c r="J1577" i="2"/>
  <c r="D1578" i="2"/>
  <c r="E1578" i="2"/>
  <c r="F1578" i="2"/>
  <c r="G1578" i="2"/>
  <c r="H1578" i="2"/>
  <c r="J1578" i="2"/>
  <c r="D1579" i="2"/>
  <c r="E1579" i="2"/>
  <c r="F1579" i="2"/>
  <c r="G1579" i="2"/>
  <c r="H1579" i="2"/>
  <c r="J1579" i="2"/>
  <c r="D1580" i="2"/>
  <c r="E1580" i="2"/>
  <c r="F1580" i="2"/>
  <c r="G1580" i="2"/>
  <c r="H1580" i="2"/>
  <c r="J1580" i="2"/>
  <c r="D1581" i="2"/>
  <c r="E1581" i="2"/>
  <c r="F1581" i="2"/>
  <c r="G1581" i="2"/>
  <c r="H1581" i="2"/>
  <c r="J1581" i="2"/>
  <c r="D1582" i="2"/>
  <c r="E1582" i="2"/>
  <c r="F1582" i="2"/>
  <c r="G1582" i="2"/>
  <c r="H1582" i="2"/>
  <c r="J1582" i="2"/>
  <c r="D1583" i="2"/>
  <c r="E1583" i="2"/>
  <c r="F1583" i="2"/>
  <c r="G1583" i="2"/>
  <c r="H1583" i="2"/>
  <c r="J1583" i="2"/>
  <c r="D1584" i="2"/>
  <c r="E1584" i="2"/>
  <c r="F1584" i="2"/>
  <c r="G1584" i="2"/>
  <c r="H1584" i="2"/>
  <c r="J1584" i="2"/>
  <c r="D1585" i="2"/>
  <c r="E1585" i="2"/>
  <c r="F1585" i="2"/>
  <c r="G1585" i="2"/>
  <c r="H1585" i="2"/>
  <c r="J1585" i="2"/>
  <c r="D1586" i="2"/>
  <c r="E1586" i="2"/>
  <c r="F1586" i="2"/>
  <c r="G1586" i="2"/>
  <c r="H1586" i="2"/>
  <c r="J1586" i="2"/>
  <c r="D1587" i="2"/>
  <c r="E1587" i="2"/>
  <c r="F1587" i="2"/>
  <c r="G1587" i="2"/>
  <c r="H1587" i="2"/>
  <c r="J1587" i="2"/>
  <c r="D1588" i="2"/>
  <c r="E1588" i="2"/>
  <c r="F1588" i="2"/>
  <c r="G1588" i="2"/>
  <c r="H1588" i="2"/>
  <c r="J1588" i="2"/>
  <c r="D1589" i="2"/>
  <c r="E1589" i="2"/>
  <c r="F1589" i="2"/>
  <c r="G1589" i="2"/>
  <c r="H1589" i="2"/>
  <c r="J1589" i="2"/>
  <c r="D1590" i="2"/>
  <c r="E1590" i="2"/>
  <c r="F1590" i="2"/>
  <c r="G1590" i="2"/>
  <c r="H1590" i="2"/>
  <c r="J1590" i="2"/>
  <c r="D1591" i="2"/>
  <c r="E1591" i="2"/>
  <c r="F1591" i="2"/>
  <c r="G1591" i="2"/>
  <c r="H1591" i="2"/>
  <c r="J1591" i="2"/>
  <c r="D1592" i="2"/>
  <c r="E1592" i="2"/>
  <c r="F1592" i="2"/>
  <c r="G1592" i="2"/>
  <c r="H1592" i="2"/>
  <c r="J1592" i="2"/>
  <c r="D1593" i="2"/>
  <c r="E1593" i="2"/>
  <c r="F1593" i="2"/>
  <c r="G1593" i="2"/>
  <c r="H1593" i="2"/>
  <c r="J1593" i="2"/>
  <c r="D1594" i="2"/>
  <c r="E1594" i="2"/>
  <c r="F1594" i="2"/>
  <c r="G1594" i="2"/>
  <c r="H1594" i="2"/>
  <c r="J1594" i="2"/>
  <c r="D1595" i="2"/>
  <c r="E1595" i="2"/>
  <c r="F1595" i="2"/>
  <c r="G1595" i="2"/>
  <c r="H1595" i="2"/>
  <c r="J1595" i="2"/>
  <c r="D1596" i="2"/>
  <c r="E1596" i="2"/>
  <c r="F1596" i="2"/>
  <c r="G1596" i="2"/>
  <c r="H1596" i="2"/>
  <c r="J1596" i="2"/>
  <c r="D1597" i="2"/>
  <c r="E1597" i="2"/>
  <c r="F1597" i="2"/>
  <c r="G1597" i="2"/>
  <c r="H1597" i="2"/>
  <c r="J1597" i="2"/>
  <c r="D1598" i="2"/>
  <c r="E1598" i="2"/>
  <c r="F1598" i="2"/>
  <c r="G1598" i="2"/>
  <c r="H1598" i="2"/>
  <c r="J1598" i="2"/>
  <c r="D1599" i="2"/>
  <c r="E1599" i="2"/>
  <c r="F1599" i="2"/>
  <c r="G1599" i="2"/>
  <c r="H1599" i="2"/>
  <c r="J1599" i="2"/>
  <c r="D1600" i="2"/>
  <c r="E1600" i="2"/>
  <c r="F1600" i="2"/>
  <c r="G1600" i="2"/>
  <c r="H1600" i="2"/>
  <c r="J1600" i="2"/>
  <c r="D1601" i="2"/>
  <c r="E1601" i="2"/>
  <c r="F1601" i="2"/>
  <c r="G1601" i="2"/>
  <c r="H1601" i="2"/>
  <c r="J1601" i="2"/>
  <c r="D1602" i="2"/>
  <c r="E1602" i="2"/>
  <c r="F1602" i="2"/>
  <c r="G1602" i="2"/>
  <c r="H1602" i="2"/>
  <c r="J1602" i="2"/>
  <c r="D1603" i="2"/>
  <c r="E1603" i="2"/>
  <c r="F1603" i="2"/>
  <c r="G1603" i="2"/>
  <c r="H1603" i="2"/>
  <c r="J1603" i="2"/>
  <c r="D1604" i="2"/>
  <c r="E1604" i="2"/>
  <c r="F1604" i="2"/>
  <c r="G1604" i="2"/>
  <c r="H1604" i="2"/>
  <c r="J1604" i="2"/>
  <c r="D1605" i="2"/>
  <c r="E1605" i="2"/>
  <c r="F1605" i="2"/>
  <c r="G1605" i="2"/>
  <c r="H1605" i="2"/>
  <c r="J1605" i="2"/>
  <c r="D1606" i="2"/>
  <c r="E1606" i="2"/>
  <c r="F1606" i="2"/>
  <c r="G1606" i="2"/>
  <c r="H1606" i="2"/>
  <c r="J1606" i="2"/>
  <c r="D1607" i="2"/>
  <c r="E1607" i="2"/>
  <c r="F1607" i="2"/>
  <c r="G1607" i="2"/>
  <c r="H1607" i="2"/>
  <c r="J1607" i="2"/>
  <c r="D1608" i="2"/>
  <c r="E1608" i="2"/>
  <c r="F1608" i="2"/>
  <c r="G1608" i="2"/>
  <c r="H1608" i="2"/>
  <c r="J1608" i="2"/>
  <c r="D1609" i="2"/>
  <c r="E1609" i="2"/>
  <c r="F1609" i="2"/>
  <c r="G1609" i="2"/>
  <c r="H1609" i="2"/>
  <c r="J1609" i="2"/>
  <c r="D1610" i="2"/>
  <c r="E1610" i="2"/>
  <c r="F1610" i="2"/>
  <c r="G1610" i="2"/>
  <c r="H1610" i="2"/>
  <c r="J1610" i="2"/>
  <c r="D1611" i="2"/>
  <c r="E1611" i="2"/>
  <c r="F1611" i="2"/>
  <c r="G1611" i="2"/>
  <c r="H1611" i="2"/>
  <c r="J1611" i="2"/>
  <c r="D1612" i="2"/>
  <c r="E1612" i="2"/>
  <c r="F1612" i="2"/>
  <c r="G1612" i="2"/>
  <c r="H1612" i="2"/>
  <c r="J1612" i="2"/>
  <c r="D1613" i="2"/>
  <c r="E1613" i="2"/>
  <c r="F1613" i="2"/>
  <c r="G1613" i="2"/>
  <c r="H1613" i="2"/>
  <c r="J1613" i="2"/>
  <c r="D1614" i="2"/>
  <c r="E1614" i="2"/>
  <c r="F1614" i="2"/>
  <c r="G1614" i="2"/>
  <c r="H1614" i="2"/>
  <c r="J1614" i="2"/>
  <c r="D1615" i="2"/>
  <c r="E1615" i="2"/>
  <c r="F1615" i="2"/>
  <c r="G1615" i="2"/>
  <c r="H1615" i="2"/>
  <c r="J1615" i="2"/>
  <c r="D1616" i="2"/>
  <c r="E1616" i="2"/>
  <c r="F1616" i="2"/>
  <c r="G1616" i="2"/>
  <c r="H1616" i="2"/>
  <c r="J1616" i="2"/>
  <c r="D1617" i="2"/>
  <c r="E1617" i="2"/>
  <c r="F1617" i="2"/>
  <c r="G1617" i="2"/>
  <c r="H1617" i="2"/>
  <c r="J1617" i="2"/>
  <c r="D1618" i="2"/>
  <c r="E1618" i="2"/>
  <c r="F1618" i="2"/>
  <c r="G1618" i="2"/>
  <c r="H1618" i="2"/>
  <c r="J1618" i="2"/>
  <c r="D1619" i="2"/>
  <c r="E1619" i="2"/>
  <c r="F1619" i="2"/>
  <c r="G1619" i="2"/>
  <c r="H1619" i="2"/>
  <c r="J1619" i="2"/>
  <c r="D1620" i="2"/>
  <c r="E1620" i="2"/>
  <c r="F1620" i="2"/>
  <c r="G1620" i="2"/>
  <c r="H1620" i="2"/>
  <c r="J1620" i="2"/>
  <c r="D1621" i="2"/>
  <c r="E1621" i="2"/>
  <c r="F1621" i="2"/>
  <c r="G1621" i="2"/>
  <c r="H1621" i="2"/>
  <c r="J1621" i="2"/>
  <c r="D1622" i="2"/>
  <c r="E1622" i="2"/>
  <c r="F1622" i="2"/>
  <c r="G1622" i="2"/>
  <c r="H1622" i="2"/>
  <c r="J1622" i="2"/>
  <c r="D1623" i="2"/>
  <c r="E1623" i="2"/>
  <c r="F1623" i="2"/>
  <c r="G1623" i="2"/>
  <c r="H1623" i="2"/>
  <c r="J1623" i="2"/>
  <c r="D1624" i="2"/>
  <c r="E1624" i="2"/>
  <c r="F1624" i="2"/>
  <c r="G1624" i="2"/>
  <c r="H1624" i="2"/>
  <c r="J1624" i="2"/>
  <c r="D1625" i="2"/>
  <c r="E1625" i="2"/>
  <c r="F1625" i="2"/>
  <c r="G1625" i="2"/>
  <c r="H1625" i="2"/>
  <c r="J1625" i="2"/>
  <c r="D1626" i="2"/>
  <c r="E1626" i="2"/>
  <c r="F1626" i="2"/>
  <c r="G1626" i="2"/>
  <c r="H1626" i="2"/>
  <c r="J1626" i="2"/>
  <c r="D1627" i="2"/>
  <c r="E1627" i="2"/>
  <c r="F1627" i="2"/>
  <c r="G1627" i="2"/>
  <c r="H1627" i="2"/>
  <c r="J1627" i="2"/>
  <c r="D1628" i="2"/>
  <c r="E1628" i="2"/>
  <c r="F1628" i="2"/>
  <c r="G1628" i="2"/>
  <c r="H1628" i="2"/>
  <c r="J1628" i="2"/>
  <c r="D1629" i="2"/>
  <c r="E1629" i="2"/>
  <c r="F1629" i="2"/>
  <c r="G1629" i="2"/>
  <c r="H1629" i="2"/>
  <c r="J1629" i="2"/>
  <c r="D1630" i="2"/>
  <c r="E1630" i="2"/>
  <c r="F1630" i="2"/>
  <c r="G1630" i="2"/>
  <c r="H1630" i="2"/>
  <c r="J1630" i="2"/>
  <c r="D1631" i="2"/>
  <c r="E1631" i="2"/>
  <c r="F1631" i="2"/>
  <c r="G1631" i="2"/>
  <c r="H1631" i="2"/>
  <c r="J1631" i="2"/>
  <c r="D1632" i="2"/>
  <c r="E1632" i="2"/>
  <c r="F1632" i="2"/>
  <c r="G1632" i="2"/>
  <c r="H1632" i="2"/>
  <c r="J1632" i="2"/>
  <c r="D1633" i="2"/>
  <c r="E1633" i="2"/>
  <c r="F1633" i="2"/>
  <c r="G1633" i="2"/>
  <c r="H1633" i="2"/>
  <c r="J1633" i="2"/>
  <c r="D1634" i="2"/>
  <c r="E1634" i="2"/>
  <c r="F1634" i="2"/>
  <c r="G1634" i="2"/>
  <c r="H1634" i="2"/>
  <c r="J1634" i="2"/>
  <c r="D1635" i="2"/>
  <c r="E1635" i="2"/>
  <c r="F1635" i="2"/>
  <c r="G1635" i="2"/>
  <c r="H1635" i="2"/>
  <c r="J1635" i="2"/>
  <c r="D1636" i="2"/>
  <c r="E1636" i="2"/>
  <c r="F1636" i="2"/>
  <c r="G1636" i="2"/>
  <c r="H1636" i="2"/>
  <c r="J1636" i="2"/>
  <c r="D1637" i="2"/>
  <c r="E1637" i="2"/>
  <c r="F1637" i="2"/>
  <c r="G1637" i="2"/>
  <c r="H1637" i="2"/>
  <c r="J1637" i="2"/>
  <c r="D1638" i="2"/>
  <c r="E1638" i="2"/>
  <c r="F1638" i="2"/>
  <c r="G1638" i="2"/>
  <c r="H1638" i="2"/>
  <c r="J1638" i="2"/>
  <c r="D1639" i="2"/>
  <c r="E1639" i="2"/>
  <c r="F1639" i="2"/>
  <c r="G1639" i="2"/>
  <c r="H1639" i="2"/>
  <c r="J1639" i="2"/>
  <c r="D1640" i="2"/>
  <c r="E1640" i="2"/>
  <c r="F1640" i="2"/>
  <c r="G1640" i="2"/>
  <c r="H1640" i="2"/>
  <c r="J1640" i="2"/>
  <c r="D1641" i="2"/>
  <c r="E1641" i="2"/>
  <c r="F1641" i="2"/>
  <c r="G1641" i="2"/>
  <c r="H1641" i="2"/>
  <c r="J1641" i="2"/>
  <c r="D1642" i="2"/>
  <c r="E1642" i="2"/>
  <c r="F1642" i="2"/>
  <c r="G1642" i="2"/>
  <c r="H1642" i="2"/>
  <c r="J1642" i="2"/>
  <c r="D1643" i="2"/>
  <c r="E1643" i="2"/>
  <c r="F1643" i="2"/>
  <c r="G1643" i="2"/>
  <c r="H1643" i="2"/>
  <c r="J1643" i="2"/>
  <c r="D1644" i="2"/>
  <c r="E1644" i="2"/>
  <c r="F1644" i="2"/>
  <c r="G1644" i="2"/>
  <c r="H1644" i="2"/>
  <c r="J1644" i="2"/>
  <c r="D1645" i="2"/>
  <c r="E1645" i="2"/>
  <c r="F1645" i="2"/>
  <c r="G1645" i="2"/>
  <c r="H1645" i="2"/>
  <c r="J1645" i="2"/>
  <c r="D1646" i="2"/>
  <c r="E1646" i="2"/>
  <c r="F1646" i="2"/>
  <c r="G1646" i="2"/>
  <c r="H1646" i="2"/>
  <c r="J1646" i="2"/>
  <c r="D1647" i="2"/>
  <c r="E1647" i="2"/>
  <c r="F1647" i="2"/>
  <c r="G1647" i="2"/>
  <c r="H1647" i="2"/>
  <c r="J1647" i="2"/>
  <c r="D1648" i="2"/>
  <c r="E1648" i="2"/>
  <c r="F1648" i="2"/>
  <c r="G1648" i="2"/>
  <c r="H1648" i="2"/>
  <c r="J1648" i="2"/>
  <c r="D1649" i="2"/>
  <c r="E1649" i="2"/>
  <c r="F1649" i="2"/>
  <c r="G1649" i="2"/>
  <c r="H1649" i="2"/>
  <c r="J1649" i="2"/>
  <c r="D1650" i="2"/>
  <c r="E1650" i="2"/>
  <c r="F1650" i="2"/>
  <c r="G1650" i="2"/>
  <c r="H1650" i="2"/>
  <c r="J1650" i="2"/>
  <c r="D1651" i="2"/>
  <c r="E1651" i="2"/>
  <c r="F1651" i="2"/>
  <c r="G1651" i="2"/>
  <c r="H1651" i="2"/>
  <c r="J1651" i="2"/>
  <c r="D1652" i="2"/>
  <c r="E1652" i="2"/>
  <c r="F1652" i="2"/>
  <c r="G1652" i="2"/>
  <c r="H1652" i="2"/>
  <c r="J1652" i="2"/>
  <c r="D1653" i="2"/>
  <c r="E1653" i="2"/>
  <c r="F1653" i="2"/>
  <c r="G1653" i="2"/>
  <c r="H1653" i="2"/>
  <c r="J1653" i="2"/>
  <c r="D1654" i="2"/>
  <c r="E1654" i="2"/>
  <c r="F1654" i="2"/>
  <c r="G1654" i="2"/>
  <c r="H1654" i="2"/>
  <c r="J1654" i="2"/>
  <c r="D1655" i="2"/>
  <c r="E1655" i="2"/>
  <c r="F1655" i="2"/>
  <c r="G1655" i="2"/>
  <c r="H1655" i="2"/>
  <c r="J1655" i="2"/>
  <c r="D1656" i="2"/>
  <c r="E1656" i="2"/>
  <c r="F1656" i="2"/>
  <c r="G1656" i="2"/>
  <c r="H1656" i="2"/>
  <c r="J1656" i="2"/>
  <c r="D1657" i="2"/>
  <c r="E1657" i="2"/>
  <c r="F1657" i="2"/>
  <c r="G1657" i="2"/>
  <c r="H1657" i="2"/>
  <c r="J1657" i="2"/>
  <c r="D1658" i="2"/>
  <c r="E1658" i="2"/>
  <c r="F1658" i="2"/>
  <c r="G1658" i="2"/>
  <c r="H1658" i="2"/>
  <c r="J1658" i="2"/>
  <c r="D1659" i="2"/>
  <c r="E1659" i="2"/>
  <c r="F1659" i="2"/>
  <c r="G1659" i="2"/>
  <c r="H1659" i="2"/>
  <c r="J1659" i="2"/>
  <c r="D1660" i="2"/>
  <c r="E1660" i="2"/>
  <c r="F1660" i="2"/>
  <c r="G1660" i="2"/>
  <c r="H1660" i="2"/>
  <c r="J1660" i="2"/>
  <c r="D1661" i="2"/>
  <c r="E1661" i="2"/>
  <c r="F1661" i="2"/>
  <c r="G1661" i="2"/>
  <c r="H1661" i="2"/>
  <c r="J1661" i="2"/>
  <c r="D1662" i="2"/>
  <c r="E1662" i="2"/>
  <c r="F1662" i="2"/>
  <c r="G1662" i="2"/>
  <c r="H1662" i="2"/>
  <c r="J1662" i="2"/>
  <c r="D1663" i="2"/>
  <c r="E1663" i="2"/>
  <c r="F1663" i="2"/>
  <c r="G1663" i="2"/>
  <c r="H1663" i="2"/>
  <c r="J1663" i="2"/>
  <c r="D1665" i="2"/>
  <c r="E1665" i="2"/>
  <c r="F1665" i="2"/>
  <c r="G1665" i="2"/>
  <c r="H1665" i="2"/>
  <c r="J1665" i="2"/>
  <c r="D1666" i="2"/>
  <c r="E1666" i="2"/>
  <c r="F1666" i="2"/>
  <c r="G1666" i="2"/>
  <c r="H1666" i="2"/>
  <c r="J1666" i="2"/>
  <c r="D1667" i="2"/>
  <c r="E1667" i="2"/>
  <c r="F1667" i="2"/>
  <c r="G1667" i="2"/>
  <c r="H1667" i="2"/>
  <c r="J1667" i="2"/>
  <c r="D1668" i="2"/>
  <c r="E1668" i="2"/>
  <c r="F1668" i="2"/>
  <c r="G1668" i="2"/>
  <c r="H1668" i="2"/>
  <c r="J1668" i="2"/>
  <c r="D1669" i="2"/>
  <c r="E1669" i="2"/>
  <c r="F1669" i="2"/>
  <c r="G1669" i="2"/>
  <c r="H1669" i="2"/>
  <c r="J1669" i="2"/>
  <c r="D1670" i="2"/>
  <c r="E1670" i="2"/>
  <c r="F1670" i="2"/>
  <c r="G1670" i="2"/>
  <c r="H1670" i="2"/>
  <c r="J1670" i="2"/>
  <c r="D1671" i="2"/>
  <c r="E1671" i="2"/>
  <c r="F1671" i="2"/>
  <c r="G1671" i="2"/>
  <c r="H1671" i="2"/>
  <c r="J1671" i="2"/>
  <c r="D1672" i="2"/>
  <c r="E1672" i="2"/>
  <c r="F1672" i="2"/>
  <c r="G1672" i="2"/>
  <c r="H1672" i="2"/>
  <c r="J1672" i="2"/>
  <c r="D1673" i="2"/>
  <c r="E1673" i="2"/>
  <c r="F1673" i="2"/>
  <c r="G1673" i="2"/>
  <c r="H1673" i="2"/>
  <c r="J1673" i="2"/>
  <c r="D1674" i="2"/>
  <c r="E1674" i="2"/>
  <c r="F1674" i="2"/>
  <c r="G1674" i="2"/>
  <c r="H1674" i="2"/>
  <c r="J1674" i="2"/>
  <c r="D1675" i="2"/>
  <c r="E1675" i="2"/>
  <c r="F1675" i="2"/>
  <c r="G1675" i="2"/>
  <c r="H1675" i="2"/>
  <c r="J1675" i="2"/>
  <c r="D1676" i="2"/>
  <c r="E1676" i="2"/>
  <c r="F1676" i="2"/>
  <c r="G1676" i="2"/>
  <c r="H1676" i="2"/>
  <c r="J1676" i="2"/>
  <c r="D1677" i="2"/>
  <c r="E1677" i="2"/>
  <c r="F1677" i="2"/>
  <c r="G1677" i="2"/>
  <c r="H1677" i="2"/>
  <c r="J1677" i="2"/>
  <c r="D1678" i="2"/>
  <c r="E1678" i="2"/>
  <c r="F1678" i="2"/>
  <c r="G1678" i="2"/>
  <c r="H1678" i="2"/>
  <c r="J1678" i="2"/>
  <c r="D1679" i="2"/>
  <c r="E1679" i="2"/>
  <c r="F1679" i="2"/>
  <c r="G1679" i="2"/>
  <c r="H1679" i="2"/>
  <c r="J1679" i="2"/>
  <c r="D1680" i="2"/>
  <c r="E1680" i="2"/>
  <c r="F1680" i="2"/>
  <c r="G1680" i="2"/>
  <c r="H1680" i="2"/>
  <c r="J1680" i="2"/>
  <c r="D1681" i="2"/>
  <c r="E1681" i="2"/>
  <c r="F1681" i="2"/>
  <c r="G1681" i="2"/>
  <c r="H1681" i="2"/>
  <c r="J1681" i="2"/>
  <c r="D1682" i="2"/>
  <c r="E1682" i="2"/>
  <c r="F1682" i="2"/>
  <c r="G1682" i="2"/>
  <c r="H1682" i="2"/>
  <c r="J1682" i="2"/>
  <c r="D1683" i="2"/>
  <c r="E1683" i="2"/>
  <c r="F1683" i="2"/>
  <c r="G1683" i="2"/>
  <c r="H1683" i="2"/>
  <c r="J1683" i="2"/>
  <c r="D1684" i="2"/>
  <c r="E1684" i="2"/>
  <c r="F1684" i="2"/>
  <c r="G1684" i="2"/>
  <c r="H1684" i="2"/>
  <c r="J1684" i="2"/>
  <c r="D1685" i="2"/>
  <c r="E1685" i="2"/>
  <c r="F1685" i="2"/>
  <c r="G1685" i="2"/>
  <c r="H1685" i="2"/>
  <c r="J1685" i="2"/>
  <c r="D1686" i="2"/>
  <c r="E1686" i="2"/>
  <c r="F1686" i="2"/>
  <c r="G1686" i="2"/>
  <c r="H1686" i="2"/>
  <c r="J1686" i="2"/>
  <c r="D1687" i="2"/>
  <c r="E1687" i="2"/>
  <c r="F1687" i="2"/>
  <c r="G1687" i="2"/>
  <c r="H1687" i="2"/>
  <c r="J1687" i="2"/>
  <c r="D1688" i="2"/>
  <c r="E1688" i="2"/>
  <c r="F1688" i="2"/>
  <c r="G1688" i="2"/>
  <c r="H1688" i="2"/>
  <c r="J1688" i="2"/>
  <c r="D1689" i="2"/>
  <c r="E1689" i="2"/>
  <c r="F1689" i="2"/>
  <c r="G1689" i="2"/>
  <c r="H1689" i="2"/>
  <c r="J1689" i="2"/>
  <c r="D1690" i="2"/>
  <c r="E1690" i="2"/>
  <c r="F1690" i="2"/>
  <c r="G1690" i="2"/>
  <c r="H1690" i="2"/>
  <c r="J1690" i="2"/>
  <c r="D1691" i="2"/>
  <c r="E1691" i="2"/>
  <c r="F1691" i="2"/>
  <c r="G1691" i="2"/>
  <c r="H1691" i="2"/>
  <c r="J1691" i="2"/>
  <c r="D1692" i="2"/>
  <c r="E1692" i="2"/>
  <c r="F1692" i="2"/>
  <c r="G1692" i="2"/>
  <c r="H1692" i="2"/>
  <c r="J1692" i="2"/>
  <c r="D1693" i="2"/>
  <c r="E1693" i="2"/>
  <c r="F1693" i="2"/>
  <c r="G1693" i="2"/>
  <c r="H1693" i="2"/>
  <c r="J1693" i="2"/>
  <c r="D1694" i="2"/>
  <c r="E1694" i="2"/>
  <c r="F1694" i="2"/>
  <c r="G1694" i="2"/>
  <c r="H1694" i="2"/>
  <c r="J1694" i="2"/>
  <c r="D1695" i="2"/>
  <c r="E1695" i="2"/>
  <c r="F1695" i="2"/>
  <c r="G1695" i="2"/>
  <c r="H1695" i="2"/>
  <c r="J1695" i="2"/>
  <c r="D1696" i="2"/>
  <c r="E1696" i="2"/>
  <c r="F1696" i="2"/>
  <c r="G1696" i="2"/>
  <c r="H1696" i="2"/>
  <c r="J1696" i="2"/>
  <c r="D1697" i="2"/>
  <c r="E1697" i="2"/>
  <c r="F1697" i="2"/>
  <c r="G1697" i="2"/>
  <c r="H1697" i="2"/>
  <c r="J1697" i="2"/>
  <c r="D1698" i="2"/>
  <c r="E1698" i="2"/>
  <c r="F1698" i="2"/>
  <c r="G1698" i="2"/>
  <c r="H1698" i="2"/>
  <c r="J1698" i="2"/>
  <c r="D1699" i="2"/>
  <c r="E1699" i="2"/>
  <c r="F1699" i="2"/>
  <c r="G1699" i="2"/>
  <c r="H1699" i="2"/>
  <c r="J1699" i="2"/>
  <c r="D1700" i="2"/>
  <c r="E1700" i="2"/>
  <c r="F1700" i="2"/>
  <c r="G1700" i="2"/>
  <c r="H1700" i="2"/>
  <c r="J1700" i="2"/>
  <c r="D1701" i="2"/>
  <c r="E1701" i="2"/>
  <c r="F1701" i="2"/>
  <c r="G1701" i="2"/>
  <c r="H1701" i="2"/>
  <c r="J1701" i="2"/>
  <c r="D1702" i="2"/>
  <c r="E1702" i="2"/>
  <c r="F1702" i="2"/>
  <c r="G1702" i="2"/>
  <c r="H1702" i="2"/>
  <c r="J1702" i="2"/>
  <c r="D1703" i="2"/>
  <c r="E1703" i="2"/>
  <c r="F1703" i="2"/>
  <c r="G1703" i="2"/>
  <c r="H1703" i="2"/>
  <c r="J1703" i="2"/>
  <c r="D1704" i="2"/>
  <c r="E1704" i="2"/>
  <c r="F1704" i="2"/>
  <c r="G1704" i="2"/>
  <c r="H1704" i="2"/>
  <c r="J1704" i="2"/>
  <c r="D1705" i="2"/>
  <c r="E1705" i="2"/>
  <c r="F1705" i="2"/>
  <c r="G1705" i="2"/>
  <c r="H1705" i="2"/>
  <c r="J1705" i="2"/>
  <c r="D1706" i="2"/>
  <c r="E1706" i="2"/>
  <c r="F1706" i="2"/>
  <c r="G1706" i="2"/>
  <c r="H1706" i="2"/>
  <c r="J1706" i="2"/>
  <c r="D1707" i="2"/>
  <c r="E1707" i="2"/>
  <c r="F1707" i="2"/>
  <c r="G1707" i="2"/>
  <c r="H1707" i="2"/>
  <c r="J1707" i="2"/>
  <c r="D1708" i="2"/>
  <c r="E1708" i="2"/>
  <c r="F1708" i="2"/>
  <c r="G1708" i="2"/>
  <c r="H1708" i="2"/>
  <c r="J1708" i="2"/>
  <c r="D1709" i="2"/>
  <c r="E1709" i="2"/>
  <c r="F1709" i="2"/>
  <c r="G1709" i="2"/>
  <c r="H1709" i="2"/>
  <c r="J1709" i="2"/>
  <c r="D1710" i="2"/>
  <c r="E1710" i="2"/>
  <c r="F1710" i="2"/>
  <c r="G1710" i="2"/>
  <c r="H1710" i="2"/>
  <c r="J1710" i="2"/>
  <c r="D1711" i="2"/>
  <c r="E1711" i="2"/>
  <c r="F1711" i="2"/>
  <c r="G1711" i="2"/>
  <c r="H1711" i="2"/>
  <c r="J1711" i="2"/>
  <c r="D1712" i="2"/>
  <c r="E1712" i="2"/>
  <c r="F1712" i="2"/>
  <c r="G1712" i="2"/>
  <c r="H1712" i="2"/>
  <c r="J1712" i="2"/>
  <c r="D1713" i="2"/>
  <c r="E1713" i="2"/>
  <c r="F1713" i="2"/>
  <c r="G1713" i="2"/>
  <c r="H1713" i="2"/>
  <c r="J1713" i="2"/>
  <c r="D1714" i="2"/>
  <c r="E1714" i="2"/>
  <c r="F1714" i="2"/>
  <c r="G1714" i="2"/>
  <c r="H1714" i="2"/>
  <c r="J1714" i="2"/>
  <c r="D1715" i="2"/>
  <c r="E1715" i="2"/>
  <c r="F1715" i="2"/>
  <c r="G1715" i="2"/>
  <c r="H1715" i="2"/>
  <c r="J1715" i="2"/>
  <c r="D1716" i="2"/>
  <c r="E1716" i="2"/>
  <c r="F1716" i="2"/>
  <c r="G1716" i="2"/>
  <c r="H1716" i="2"/>
  <c r="J1716" i="2"/>
  <c r="D1717" i="2"/>
  <c r="E1717" i="2"/>
  <c r="F1717" i="2"/>
  <c r="G1717" i="2"/>
  <c r="H1717" i="2"/>
  <c r="J1717" i="2"/>
  <c r="D1718" i="2"/>
  <c r="E1718" i="2"/>
  <c r="F1718" i="2"/>
  <c r="G1718" i="2"/>
  <c r="H1718" i="2"/>
  <c r="J1718" i="2"/>
  <c r="D1719" i="2"/>
  <c r="E1719" i="2"/>
  <c r="F1719" i="2"/>
  <c r="G1719" i="2"/>
  <c r="H1719" i="2"/>
  <c r="J1719" i="2"/>
  <c r="D1720" i="2"/>
  <c r="E1720" i="2"/>
  <c r="F1720" i="2"/>
  <c r="G1720" i="2"/>
  <c r="H1720" i="2"/>
  <c r="J1720" i="2"/>
  <c r="D1721" i="2"/>
  <c r="E1721" i="2"/>
  <c r="F1721" i="2"/>
  <c r="G1721" i="2"/>
  <c r="H1721" i="2"/>
  <c r="J1721" i="2"/>
  <c r="D1837" i="2"/>
  <c r="E1837" i="2"/>
  <c r="F1837" i="2"/>
  <c r="G1837" i="2"/>
  <c r="H1837" i="2"/>
  <c r="J1837" i="2"/>
  <c r="D1838" i="2"/>
  <c r="E1838" i="2"/>
  <c r="F1838" i="2"/>
  <c r="G1838" i="2"/>
  <c r="H1838" i="2"/>
  <c r="J1838" i="2"/>
  <c r="D1839" i="2"/>
  <c r="E1839" i="2"/>
  <c r="F1839" i="2"/>
  <c r="G1839" i="2"/>
  <c r="H1839" i="2"/>
  <c r="J1839" i="2"/>
  <c r="D1840" i="2"/>
  <c r="E1840" i="2"/>
  <c r="F1840" i="2"/>
  <c r="G1840" i="2"/>
  <c r="H1840" i="2"/>
  <c r="J1840" i="2"/>
  <c r="D1841" i="2"/>
  <c r="E1841" i="2"/>
  <c r="F1841" i="2"/>
  <c r="G1841" i="2"/>
  <c r="H1841" i="2"/>
  <c r="J1841" i="2"/>
  <c r="D1842" i="2"/>
  <c r="E1842" i="2"/>
  <c r="F1842" i="2"/>
  <c r="G1842" i="2"/>
  <c r="H1842" i="2"/>
  <c r="J1842" i="2"/>
  <c r="D1843" i="2"/>
  <c r="E1843" i="2"/>
  <c r="F1843" i="2"/>
  <c r="G1843" i="2"/>
  <c r="H1843" i="2"/>
  <c r="J1843" i="2"/>
  <c r="D1844" i="2"/>
  <c r="E1844" i="2"/>
  <c r="F1844" i="2"/>
  <c r="G1844" i="2"/>
  <c r="H1844" i="2"/>
  <c r="J1844" i="2"/>
  <c r="D1845" i="2"/>
  <c r="E1845" i="2"/>
  <c r="F1845" i="2"/>
  <c r="G1845" i="2"/>
  <c r="H1845" i="2"/>
  <c r="J1845" i="2"/>
  <c r="D1846" i="2"/>
  <c r="E1846" i="2"/>
  <c r="F1846" i="2"/>
  <c r="G1846" i="2"/>
  <c r="H1846" i="2"/>
  <c r="J1846" i="2"/>
  <c r="D1847" i="2"/>
  <c r="E1847" i="2"/>
  <c r="F1847" i="2"/>
  <c r="G1847" i="2"/>
  <c r="H1847" i="2"/>
  <c r="J1847" i="2"/>
  <c r="D1849" i="2"/>
  <c r="E1849" i="2"/>
  <c r="F1849" i="2"/>
  <c r="G1849" i="2"/>
  <c r="H1849" i="2"/>
  <c r="J1849" i="2"/>
  <c r="D1850" i="2"/>
  <c r="E1850" i="2"/>
  <c r="F1850" i="2"/>
  <c r="G1850" i="2"/>
  <c r="H1850" i="2"/>
  <c r="J1850" i="2"/>
  <c r="D1851" i="2"/>
  <c r="E1851" i="2"/>
  <c r="F1851" i="2"/>
  <c r="G1851" i="2"/>
  <c r="H1851" i="2"/>
  <c r="J1851" i="2"/>
  <c r="D1852" i="2"/>
  <c r="E1852" i="2"/>
  <c r="F1852" i="2"/>
  <c r="G1852" i="2"/>
  <c r="H1852" i="2"/>
  <c r="J1852" i="2"/>
  <c r="D1853" i="2"/>
  <c r="E1853" i="2"/>
  <c r="F1853" i="2"/>
  <c r="G1853" i="2"/>
  <c r="H1853" i="2"/>
  <c r="J1853" i="2"/>
  <c r="D1854" i="2"/>
  <c r="E1854" i="2"/>
  <c r="F1854" i="2"/>
  <c r="G1854" i="2"/>
  <c r="H1854" i="2"/>
  <c r="J1854" i="2"/>
  <c r="D1855" i="2"/>
  <c r="E1855" i="2"/>
  <c r="F1855" i="2"/>
  <c r="G1855" i="2"/>
  <c r="H1855" i="2"/>
  <c r="J1855" i="2"/>
  <c r="D1856" i="2"/>
  <c r="E1856" i="2"/>
  <c r="F1856" i="2"/>
  <c r="G1856" i="2"/>
  <c r="H1856" i="2"/>
  <c r="J1856" i="2"/>
  <c r="D1857" i="2"/>
  <c r="E1857" i="2"/>
  <c r="F1857" i="2"/>
  <c r="G1857" i="2"/>
  <c r="H1857" i="2"/>
  <c r="J1857" i="2"/>
  <c r="D1858" i="2"/>
  <c r="E1858" i="2"/>
  <c r="F1858" i="2"/>
  <c r="G1858" i="2"/>
  <c r="H1858" i="2"/>
  <c r="J1858" i="2"/>
  <c r="D1859" i="2"/>
  <c r="E1859" i="2"/>
  <c r="F1859" i="2"/>
  <c r="G1859" i="2"/>
  <c r="H1859" i="2"/>
  <c r="J1859" i="2"/>
  <c r="D1860" i="2"/>
  <c r="E1860" i="2"/>
  <c r="F1860" i="2"/>
  <c r="G1860" i="2"/>
  <c r="H1860" i="2"/>
  <c r="J1860" i="2"/>
  <c r="D1861" i="2"/>
  <c r="E1861" i="2"/>
  <c r="F1861" i="2"/>
  <c r="G1861" i="2"/>
  <c r="H1861" i="2"/>
  <c r="J1861" i="2"/>
  <c r="D1862" i="2"/>
  <c r="E1862" i="2"/>
  <c r="F1862" i="2"/>
  <c r="G1862" i="2"/>
  <c r="H1862" i="2"/>
  <c r="J1862" i="2"/>
  <c r="D1863" i="2"/>
  <c r="E1863" i="2"/>
  <c r="F1863" i="2"/>
  <c r="G1863" i="2"/>
  <c r="H1863" i="2"/>
  <c r="J1863" i="2"/>
  <c r="D1864" i="2"/>
  <c r="E1864" i="2"/>
  <c r="F1864" i="2"/>
  <c r="G1864" i="2"/>
  <c r="H1864" i="2"/>
  <c r="J1864" i="2"/>
  <c r="D1865" i="2"/>
  <c r="E1865" i="2"/>
  <c r="F1865" i="2"/>
  <c r="G1865" i="2"/>
  <c r="H1865" i="2"/>
  <c r="J1865" i="2"/>
  <c r="D1866" i="2"/>
  <c r="E1866" i="2"/>
  <c r="F1866" i="2"/>
  <c r="G1866" i="2"/>
  <c r="H1866" i="2"/>
  <c r="J1866" i="2"/>
  <c r="D1867" i="2"/>
  <c r="E1867" i="2"/>
  <c r="F1867" i="2"/>
  <c r="G1867" i="2"/>
  <c r="H1867" i="2"/>
  <c r="J1867" i="2"/>
  <c r="D1868" i="2"/>
  <c r="E1868" i="2"/>
  <c r="F1868" i="2"/>
  <c r="G1868" i="2"/>
  <c r="H1868" i="2"/>
  <c r="J1868" i="2"/>
  <c r="D1869" i="2"/>
  <c r="E1869" i="2"/>
  <c r="F1869" i="2"/>
  <c r="G1869" i="2"/>
  <c r="H1869" i="2"/>
  <c r="J1869" i="2"/>
  <c r="D1870" i="2"/>
  <c r="E1870" i="2"/>
  <c r="F1870" i="2"/>
  <c r="G1870" i="2"/>
  <c r="H1870" i="2"/>
  <c r="J1870" i="2"/>
  <c r="D2128" i="2"/>
  <c r="E2128" i="2"/>
  <c r="F2128" i="2"/>
  <c r="G2128" i="2"/>
  <c r="H2128" i="2"/>
  <c r="J2128" i="2"/>
  <c r="D2129" i="2"/>
  <c r="E2129" i="2"/>
  <c r="F2129" i="2"/>
  <c r="G2129" i="2"/>
  <c r="H2129" i="2"/>
  <c r="J2129" i="2"/>
  <c r="D2130" i="2"/>
  <c r="E2130" i="2"/>
  <c r="F2130" i="2"/>
  <c r="G2130" i="2"/>
  <c r="H2130" i="2"/>
  <c r="J2130" i="2"/>
  <c r="D2131" i="2"/>
  <c r="E2131" i="2"/>
  <c r="F2131" i="2"/>
  <c r="G2131" i="2"/>
  <c r="H2131" i="2"/>
  <c r="J2131" i="2"/>
  <c r="D2132" i="2"/>
  <c r="E2132" i="2"/>
  <c r="F2132" i="2"/>
  <c r="G2132" i="2"/>
  <c r="H2132" i="2"/>
  <c r="J2132" i="2"/>
  <c r="D2133" i="2"/>
  <c r="E2133" i="2"/>
  <c r="F2133" i="2"/>
  <c r="G2133" i="2"/>
  <c r="H2133" i="2"/>
  <c r="J2133" i="2"/>
  <c r="D2134" i="2"/>
  <c r="E2134" i="2"/>
  <c r="F2134" i="2"/>
  <c r="G2134" i="2"/>
  <c r="H2134" i="2"/>
  <c r="J2134" i="2"/>
  <c r="D2135" i="2"/>
  <c r="E2135" i="2"/>
  <c r="F2135" i="2"/>
  <c r="G2135" i="2"/>
  <c r="H2135" i="2"/>
  <c r="J2135" i="2"/>
  <c r="D2136" i="2"/>
  <c r="E2136" i="2"/>
  <c r="F2136" i="2"/>
  <c r="G2136" i="2"/>
  <c r="H2136" i="2"/>
  <c r="J2136" i="2"/>
  <c r="D2137" i="2"/>
  <c r="E2137" i="2"/>
  <c r="F2137" i="2"/>
  <c r="G2137" i="2"/>
  <c r="H2137" i="2"/>
  <c r="J2137" i="2"/>
  <c r="D2138" i="2"/>
  <c r="E2138" i="2"/>
  <c r="F2138" i="2"/>
  <c r="G2138" i="2"/>
  <c r="H2138" i="2"/>
  <c r="J2138" i="2"/>
  <c r="D2139" i="2"/>
  <c r="E2139" i="2"/>
  <c r="F2139" i="2"/>
  <c r="G2139" i="2"/>
  <c r="H2139" i="2"/>
  <c r="J2139" i="2"/>
  <c r="D2140" i="2"/>
  <c r="E2140" i="2"/>
  <c r="F2140" i="2"/>
  <c r="G2140" i="2"/>
  <c r="H2140" i="2"/>
  <c r="J2140" i="2"/>
  <c r="D2141" i="2"/>
  <c r="E2141" i="2"/>
  <c r="F2141" i="2"/>
  <c r="G2141" i="2"/>
  <c r="H2141" i="2"/>
  <c r="J2141" i="2"/>
  <c r="D2142" i="2"/>
  <c r="E2142" i="2"/>
  <c r="F2142" i="2"/>
  <c r="G2142" i="2"/>
  <c r="H2142" i="2"/>
  <c r="J2142" i="2"/>
  <c r="D2143" i="2"/>
  <c r="E2143" i="2"/>
  <c r="F2143" i="2"/>
  <c r="G2143" i="2"/>
  <c r="H2143" i="2"/>
  <c r="J2143" i="2"/>
  <c r="D2144" i="2"/>
  <c r="E2144" i="2"/>
  <c r="F2144" i="2"/>
  <c r="G2144" i="2"/>
  <c r="H2144" i="2"/>
  <c r="J2144" i="2"/>
  <c r="D2145" i="2"/>
  <c r="E2145" i="2"/>
  <c r="F2145" i="2"/>
  <c r="G2145" i="2"/>
  <c r="H2145" i="2"/>
  <c r="J2145" i="2"/>
  <c r="D2146" i="2"/>
  <c r="E2146" i="2"/>
  <c r="F2146" i="2"/>
  <c r="G2146" i="2"/>
  <c r="H2146" i="2"/>
  <c r="J2146" i="2"/>
  <c r="D2147" i="2"/>
  <c r="E2147" i="2"/>
  <c r="F2147" i="2"/>
  <c r="G2147" i="2"/>
  <c r="H2147" i="2"/>
  <c r="J2147" i="2"/>
  <c r="D2148" i="2"/>
  <c r="E2148" i="2"/>
  <c r="F2148" i="2"/>
  <c r="G2148" i="2"/>
  <c r="H2148" i="2"/>
  <c r="J2148" i="2"/>
  <c r="D2149" i="2"/>
  <c r="E2149" i="2"/>
  <c r="F2149" i="2"/>
  <c r="G2149" i="2"/>
  <c r="H2149" i="2"/>
  <c r="J2149" i="2"/>
  <c r="D2150" i="2"/>
  <c r="E2150" i="2"/>
  <c r="F2150" i="2"/>
  <c r="G2150" i="2"/>
  <c r="H2150" i="2"/>
  <c r="J2150" i="2"/>
  <c r="D2151" i="2"/>
  <c r="E2151" i="2"/>
  <c r="F2151" i="2"/>
  <c r="G2151" i="2"/>
  <c r="H2151" i="2"/>
  <c r="J2151" i="2"/>
  <c r="D2152" i="2"/>
  <c r="E2152" i="2"/>
  <c r="F2152" i="2"/>
  <c r="G2152" i="2"/>
  <c r="H2152" i="2"/>
  <c r="J2152" i="2"/>
  <c r="D2153" i="2"/>
  <c r="E2153" i="2"/>
  <c r="F2153" i="2"/>
  <c r="G2153" i="2"/>
  <c r="H2153" i="2"/>
  <c r="J2153" i="2"/>
  <c r="D2154" i="2"/>
  <c r="E2154" i="2"/>
  <c r="F2154" i="2"/>
  <c r="G2154" i="2"/>
  <c r="H2154" i="2"/>
  <c r="J2154" i="2"/>
  <c r="D2155" i="2"/>
  <c r="E2155" i="2"/>
  <c r="F2155" i="2"/>
  <c r="G2155" i="2"/>
  <c r="H2155" i="2"/>
  <c r="J2155" i="2"/>
  <c r="D2156" i="2"/>
  <c r="E2156" i="2"/>
  <c r="F2156" i="2"/>
  <c r="G2156" i="2"/>
  <c r="H2156" i="2"/>
  <c r="J2156" i="2"/>
  <c r="D2157" i="2"/>
  <c r="E2157" i="2"/>
  <c r="F2157" i="2"/>
  <c r="G2157" i="2"/>
  <c r="H2157" i="2"/>
  <c r="J2157" i="2"/>
  <c r="D2158" i="2"/>
  <c r="E2158" i="2"/>
  <c r="F2158" i="2"/>
  <c r="G2158" i="2"/>
  <c r="H2158" i="2"/>
  <c r="J2158" i="2"/>
  <c r="D2159" i="2"/>
  <c r="E2159" i="2"/>
  <c r="F2159" i="2"/>
  <c r="G2159" i="2"/>
  <c r="H2159" i="2"/>
  <c r="J2159" i="2"/>
  <c r="D2160" i="2"/>
  <c r="E2160" i="2"/>
  <c r="F2160" i="2"/>
  <c r="G2160" i="2"/>
  <c r="H2160" i="2"/>
  <c r="J2160" i="2"/>
  <c r="D2161" i="2"/>
  <c r="E2161" i="2"/>
  <c r="F2161" i="2"/>
  <c r="G2161" i="2"/>
  <c r="H2161" i="2"/>
  <c r="J2161" i="2"/>
  <c r="D2162" i="2"/>
  <c r="E2162" i="2"/>
  <c r="F2162" i="2"/>
  <c r="G2162" i="2"/>
  <c r="H2162" i="2"/>
  <c r="J2162" i="2"/>
  <c r="D2163" i="2"/>
  <c r="E2163" i="2"/>
  <c r="F2163" i="2"/>
  <c r="G2163" i="2"/>
  <c r="H2163" i="2"/>
  <c r="J2163" i="2"/>
  <c r="D2164" i="2"/>
  <c r="E2164" i="2"/>
  <c r="F2164" i="2"/>
  <c r="G2164" i="2"/>
  <c r="H2164" i="2"/>
  <c r="J2164" i="2"/>
  <c r="D2165" i="2"/>
  <c r="E2165" i="2"/>
  <c r="F2165" i="2"/>
  <c r="G2165" i="2"/>
  <c r="H2165" i="2"/>
  <c r="J2165" i="2"/>
  <c r="D2166" i="2"/>
  <c r="E2166" i="2"/>
  <c r="F2166" i="2"/>
  <c r="G2166" i="2"/>
  <c r="H2166" i="2"/>
  <c r="J2166" i="2"/>
  <c r="D2167" i="2"/>
  <c r="E2167" i="2"/>
  <c r="F2167" i="2"/>
  <c r="G2167" i="2"/>
  <c r="H2167" i="2"/>
  <c r="J2167" i="2"/>
  <c r="D2168" i="2"/>
  <c r="E2168" i="2"/>
  <c r="F2168" i="2"/>
  <c r="G2168" i="2"/>
  <c r="H2168" i="2"/>
  <c r="J2168" i="2"/>
  <c r="D2169" i="2"/>
  <c r="E2169" i="2"/>
  <c r="F2169" i="2"/>
  <c r="G2169" i="2"/>
  <c r="H2169" i="2"/>
  <c r="J2169" i="2"/>
  <c r="D2170" i="2"/>
  <c r="E2170" i="2"/>
  <c r="F2170" i="2"/>
  <c r="G2170" i="2"/>
  <c r="H2170" i="2"/>
  <c r="J2170" i="2"/>
  <c r="D2171" i="2"/>
  <c r="E2171" i="2"/>
  <c r="F2171" i="2"/>
  <c r="G2171" i="2"/>
  <c r="H2171" i="2"/>
  <c r="J2171" i="2"/>
  <c r="D2172" i="2"/>
  <c r="E2172" i="2"/>
  <c r="F2172" i="2"/>
  <c r="G2172" i="2"/>
  <c r="H2172" i="2"/>
  <c r="J2172" i="2"/>
  <c r="D2173" i="2"/>
  <c r="E2173" i="2"/>
  <c r="F2173" i="2"/>
  <c r="G2173" i="2"/>
  <c r="H2173" i="2"/>
  <c r="J2173" i="2"/>
  <c r="D2174" i="2"/>
  <c r="E2174" i="2"/>
  <c r="F2174" i="2"/>
  <c r="G2174" i="2"/>
  <c r="H2174" i="2"/>
  <c r="J2174" i="2"/>
  <c r="D2175" i="2"/>
  <c r="E2175" i="2"/>
  <c r="F2175" i="2"/>
  <c r="G2175" i="2"/>
  <c r="H2175" i="2"/>
  <c r="J2175" i="2"/>
  <c r="D2176" i="2"/>
  <c r="E2176" i="2"/>
  <c r="F2176" i="2"/>
  <c r="G2176" i="2"/>
  <c r="H2176" i="2"/>
  <c r="J2176" i="2"/>
  <c r="D2177" i="2"/>
  <c r="E2177" i="2"/>
  <c r="F2177" i="2"/>
  <c r="G2177" i="2"/>
  <c r="H2177" i="2"/>
  <c r="J2177" i="2"/>
  <c r="D2178" i="2"/>
  <c r="E2178" i="2"/>
  <c r="F2178" i="2"/>
  <c r="G2178" i="2"/>
  <c r="H2178" i="2"/>
  <c r="J2178" i="2"/>
  <c r="D2179" i="2"/>
  <c r="E2179" i="2"/>
  <c r="F2179" i="2"/>
  <c r="G2179" i="2"/>
  <c r="H2179" i="2"/>
  <c r="J2179" i="2"/>
  <c r="D2180" i="2"/>
  <c r="E2180" i="2"/>
  <c r="F2180" i="2"/>
  <c r="G2180" i="2"/>
  <c r="H2180" i="2"/>
  <c r="J2180" i="2"/>
  <c r="D2181" i="2"/>
  <c r="E2181" i="2"/>
  <c r="F2181" i="2"/>
  <c r="G2181" i="2"/>
  <c r="H2181" i="2"/>
  <c r="J2181" i="2"/>
  <c r="D2182" i="2"/>
  <c r="E2182" i="2"/>
  <c r="F2182" i="2"/>
  <c r="G2182" i="2"/>
  <c r="H2182" i="2"/>
  <c r="J2182" i="2"/>
  <c r="D2183" i="2"/>
  <c r="E2183" i="2"/>
  <c r="F2183" i="2"/>
  <c r="G2183" i="2"/>
  <c r="H2183" i="2"/>
  <c r="J2183" i="2"/>
  <c r="D2184" i="2"/>
  <c r="E2184" i="2"/>
  <c r="F2184" i="2"/>
  <c r="G2184" i="2"/>
  <c r="H2184" i="2"/>
  <c r="J2184" i="2"/>
  <c r="D2185" i="2"/>
  <c r="E2185" i="2"/>
  <c r="F2185" i="2"/>
  <c r="G2185" i="2"/>
  <c r="H2185" i="2"/>
  <c r="J2185" i="2"/>
  <c r="D2186" i="2"/>
  <c r="E2186" i="2"/>
  <c r="F2186" i="2"/>
  <c r="G2186" i="2"/>
  <c r="H2186" i="2"/>
  <c r="J2186" i="2"/>
  <c r="D2187" i="2"/>
  <c r="E2187" i="2"/>
  <c r="F2187" i="2"/>
  <c r="G2187" i="2"/>
  <c r="H2187" i="2"/>
  <c r="J2187" i="2"/>
  <c r="D2188" i="2"/>
  <c r="E2188" i="2"/>
  <c r="F2188" i="2"/>
  <c r="G2188" i="2"/>
  <c r="H2188" i="2"/>
  <c r="J2188" i="2"/>
  <c r="D2189" i="2"/>
  <c r="E2189" i="2"/>
  <c r="F2189" i="2"/>
  <c r="G2189" i="2"/>
  <c r="H2189" i="2"/>
  <c r="J2189" i="2"/>
  <c r="D2190" i="2"/>
  <c r="E2190" i="2"/>
  <c r="F2190" i="2"/>
  <c r="G2190" i="2"/>
  <c r="H2190" i="2"/>
  <c r="J2190" i="2"/>
  <c r="D2191" i="2"/>
  <c r="E2191" i="2"/>
  <c r="F2191" i="2"/>
  <c r="G2191" i="2"/>
  <c r="H2191" i="2"/>
  <c r="J2191" i="2"/>
  <c r="D2192" i="2"/>
  <c r="E2192" i="2"/>
  <c r="F2192" i="2"/>
  <c r="G2192" i="2"/>
  <c r="H2192" i="2"/>
  <c r="J2192" i="2"/>
  <c r="D2193" i="2"/>
  <c r="E2193" i="2"/>
  <c r="F2193" i="2"/>
  <c r="G2193" i="2"/>
  <c r="H2193" i="2"/>
  <c r="J2193" i="2"/>
  <c r="D2194" i="2"/>
  <c r="E2194" i="2"/>
  <c r="F2194" i="2"/>
  <c r="G2194" i="2"/>
  <c r="H2194" i="2"/>
  <c r="J2194" i="2"/>
  <c r="D2195" i="2"/>
  <c r="E2195" i="2"/>
  <c r="F2195" i="2"/>
  <c r="G2195" i="2"/>
  <c r="H2195" i="2"/>
  <c r="J2195" i="2"/>
  <c r="D2196" i="2"/>
  <c r="E2196" i="2"/>
  <c r="F2196" i="2"/>
  <c r="G2196" i="2"/>
  <c r="H2196" i="2"/>
  <c r="J2196" i="2"/>
  <c r="D2197" i="2"/>
  <c r="E2197" i="2"/>
  <c r="F2197" i="2"/>
  <c r="G2197" i="2"/>
  <c r="H2197" i="2"/>
  <c r="J2197" i="2"/>
  <c r="D2198" i="2"/>
  <c r="E2198" i="2"/>
  <c r="F2198" i="2"/>
  <c r="G2198" i="2"/>
  <c r="H2198" i="2"/>
  <c r="J2198" i="2"/>
  <c r="D2199" i="2"/>
  <c r="E2199" i="2"/>
  <c r="F2199" i="2"/>
  <c r="G2199" i="2"/>
  <c r="H2199" i="2"/>
  <c r="J2199" i="2"/>
  <c r="D2200" i="2"/>
  <c r="E2200" i="2"/>
  <c r="F2200" i="2"/>
  <c r="G2200" i="2"/>
  <c r="H2200" i="2"/>
  <c r="J2200" i="2"/>
  <c r="D2201" i="2"/>
  <c r="E2201" i="2"/>
  <c r="F2201" i="2"/>
  <c r="G2201" i="2"/>
  <c r="H2201" i="2"/>
  <c r="J2201" i="2"/>
  <c r="D2202" i="2"/>
  <c r="E2202" i="2"/>
  <c r="F2202" i="2"/>
  <c r="G2202" i="2"/>
  <c r="H2202" i="2"/>
  <c r="J2202" i="2"/>
  <c r="D2203" i="2"/>
  <c r="E2203" i="2"/>
  <c r="F2203" i="2"/>
  <c r="G2203" i="2"/>
  <c r="H2203" i="2"/>
  <c r="J2203" i="2"/>
  <c r="D2204" i="2"/>
  <c r="E2204" i="2"/>
  <c r="F2204" i="2"/>
  <c r="G2204" i="2"/>
  <c r="H2204" i="2"/>
  <c r="J2204" i="2"/>
  <c r="D2205" i="2"/>
  <c r="E2205" i="2"/>
  <c r="F2205" i="2"/>
  <c r="G2205" i="2"/>
  <c r="H2205" i="2"/>
  <c r="J2205" i="2"/>
  <c r="D2206" i="2"/>
  <c r="E2206" i="2"/>
  <c r="F2206" i="2"/>
  <c r="G2206" i="2"/>
  <c r="H2206" i="2"/>
  <c r="J2206" i="2"/>
  <c r="D2207" i="2"/>
  <c r="E2207" i="2"/>
  <c r="F2207" i="2"/>
  <c r="G2207" i="2"/>
  <c r="H2207" i="2"/>
  <c r="J2207" i="2"/>
  <c r="D2208" i="2"/>
  <c r="E2208" i="2"/>
  <c r="F2208" i="2"/>
  <c r="G2208" i="2"/>
  <c r="H2208" i="2"/>
  <c r="J2208" i="2"/>
  <c r="D2209" i="2"/>
  <c r="E2209" i="2"/>
  <c r="F2209" i="2"/>
  <c r="G2209" i="2"/>
  <c r="H2209" i="2"/>
  <c r="J2209" i="2"/>
  <c r="D2210" i="2"/>
  <c r="E2210" i="2"/>
  <c r="F2210" i="2"/>
  <c r="G2210" i="2"/>
  <c r="H2210" i="2"/>
  <c r="J2210" i="2"/>
  <c r="D2211" i="2"/>
  <c r="E2211" i="2"/>
  <c r="F2211" i="2"/>
  <c r="G2211" i="2"/>
  <c r="H2211" i="2"/>
  <c r="J2211" i="2"/>
  <c r="D2212" i="2"/>
  <c r="E2212" i="2"/>
  <c r="F2212" i="2"/>
  <c r="G2212" i="2"/>
  <c r="H2212" i="2"/>
  <c r="J2212" i="2"/>
  <c r="D2213" i="2"/>
  <c r="E2213" i="2"/>
  <c r="F2213" i="2"/>
  <c r="G2213" i="2"/>
  <c r="H2213" i="2"/>
  <c r="J2213" i="2"/>
  <c r="D2214" i="2"/>
  <c r="E2214" i="2"/>
  <c r="F2214" i="2"/>
  <c r="G2214" i="2"/>
  <c r="H2214" i="2"/>
  <c r="J2214" i="2"/>
  <c r="D2215" i="2"/>
  <c r="E2215" i="2"/>
  <c r="F2215" i="2"/>
  <c r="G2215" i="2"/>
  <c r="H2215" i="2"/>
  <c r="J2215" i="2"/>
  <c r="D2216" i="2"/>
  <c r="E2216" i="2"/>
  <c r="F2216" i="2"/>
  <c r="G2216" i="2"/>
  <c r="H2216" i="2"/>
  <c r="J2216" i="2"/>
  <c r="D2335" i="2"/>
  <c r="E2335" i="2"/>
  <c r="F2335" i="2"/>
  <c r="G2335" i="2"/>
  <c r="H2335" i="2"/>
  <c r="J2335" i="2"/>
  <c r="D2336" i="2"/>
  <c r="E2336" i="2"/>
  <c r="F2336" i="2"/>
  <c r="G2336" i="2"/>
  <c r="H2336" i="2"/>
  <c r="J2336" i="2"/>
  <c r="D2337" i="2"/>
  <c r="E2337" i="2"/>
  <c r="F2337" i="2"/>
  <c r="G2337" i="2"/>
  <c r="H2337" i="2"/>
  <c r="J2337" i="2"/>
  <c r="D2338" i="2"/>
  <c r="E2338" i="2"/>
  <c r="F2338" i="2"/>
  <c r="G2338" i="2"/>
  <c r="H2338" i="2"/>
  <c r="J2338" i="2"/>
  <c r="D2339" i="2"/>
  <c r="E2339" i="2"/>
  <c r="F2339" i="2"/>
  <c r="G2339" i="2"/>
  <c r="H2339" i="2"/>
  <c r="J2339" i="2"/>
  <c r="D2340" i="2"/>
  <c r="E2340" i="2"/>
  <c r="F2340" i="2"/>
  <c r="G2340" i="2"/>
  <c r="H2340" i="2"/>
  <c r="J2340" i="2"/>
  <c r="D2341" i="2"/>
  <c r="E2341" i="2"/>
  <c r="F2341" i="2"/>
  <c r="G2341" i="2"/>
  <c r="H2341" i="2"/>
  <c r="J2341" i="2"/>
  <c r="D2342" i="2"/>
  <c r="E2342" i="2"/>
  <c r="F2342" i="2"/>
  <c r="G2342" i="2"/>
  <c r="H2342" i="2"/>
  <c r="J2342" i="2"/>
  <c r="D2343" i="2"/>
  <c r="E2343" i="2"/>
  <c r="F2343" i="2"/>
  <c r="G2343" i="2"/>
  <c r="H2343" i="2"/>
  <c r="J2343" i="2"/>
  <c r="D2344" i="2"/>
  <c r="E2344" i="2"/>
  <c r="F2344" i="2"/>
  <c r="G2344" i="2"/>
  <c r="H2344" i="2"/>
  <c r="J2344" i="2"/>
  <c r="D2345" i="2"/>
  <c r="E2345" i="2"/>
  <c r="F2345" i="2"/>
  <c r="G2345" i="2"/>
  <c r="H2345" i="2"/>
  <c r="J2345" i="2"/>
  <c r="D2346" i="2"/>
  <c r="E2346" i="2"/>
  <c r="F2346" i="2"/>
  <c r="G2346" i="2"/>
  <c r="H2346" i="2"/>
  <c r="J2346" i="2"/>
  <c r="D2347" i="2"/>
  <c r="E2347" i="2"/>
  <c r="F2347" i="2"/>
  <c r="G2347" i="2"/>
  <c r="H2347" i="2"/>
  <c r="J2347" i="2"/>
  <c r="D2348" i="2"/>
  <c r="E2348" i="2"/>
  <c r="F2348" i="2"/>
  <c r="G2348" i="2"/>
  <c r="H2348" i="2"/>
  <c r="J2348" i="2"/>
  <c r="D2349" i="2"/>
  <c r="E2349" i="2"/>
  <c r="F2349" i="2"/>
  <c r="G2349" i="2"/>
  <c r="H2349" i="2"/>
  <c r="J2349" i="2"/>
  <c r="D2350" i="2"/>
  <c r="E2350" i="2"/>
  <c r="F2350" i="2"/>
  <c r="G2350" i="2"/>
  <c r="H2350" i="2"/>
  <c r="J2350" i="2"/>
  <c r="D2351" i="2"/>
  <c r="E2351" i="2"/>
  <c r="F2351" i="2"/>
  <c r="G2351" i="2"/>
  <c r="H2351" i="2"/>
  <c r="J2351" i="2"/>
  <c r="D2352" i="2"/>
  <c r="E2352" i="2"/>
  <c r="F2352" i="2"/>
  <c r="G2352" i="2"/>
  <c r="H2352" i="2"/>
  <c r="J2352" i="2"/>
  <c r="D2353" i="2"/>
  <c r="E2353" i="2"/>
  <c r="F2353" i="2"/>
  <c r="G2353" i="2"/>
  <c r="H2353" i="2"/>
  <c r="J2353" i="2"/>
  <c r="D2354" i="2"/>
  <c r="E2354" i="2"/>
  <c r="F2354" i="2"/>
  <c r="G2354" i="2"/>
  <c r="H2354" i="2"/>
  <c r="J2354" i="2"/>
  <c r="D2355" i="2"/>
  <c r="E2355" i="2"/>
  <c r="F2355" i="2"/>
  <c r="G2355" i="2"/>
  <c r="H2355" i="2"/>
  <c r="J2355" i="2"/>
  <c r="D2356" i="2"/>
  <c r="E2356" i="2"/>
  <c r="F2356" i="2"/>
  <c r="G2356" i="2"/>
  <c r="H2356" i="2"/>
  <c r="J2356" i="2"/>
  <c r="D2357" i="2"/>
  <c r="E2357" i="2"/>
  <c r="F2357" i="2"/>
  <c r="G2357" i="2"/>
  <c r="H2357" i="2"/>
  <c r="J2357" i="2"/>
  <c r="D2358" i="2"/>
  <c r="E2358" i="2"/>
  <c r="F2358" i="2"/>
  <c r="G2358" i="2"/>
  <c r="H2358" i="2"/>
  <c r="J2358" i="2"/>
  <c r="D2359" i="2"/>
  <c r="E2359" i="2"/>
  <c r="F2359" i="2"/>
  <c r="G2359" i="2"/>
  <c r="H2359" i="2"/>
  <c r="J2359" i="2"/>
  <c r="D2360" i="2"/>
  <c r="E2360" i="2"/>
  <c r="F2360" i="2"/>
  <c r="G2360" i="2"/>
  <c r="H2360" i="2"/>
  <c r="J2360" i="2"/>
  <c r="D2361" i="2"/>
  <c r="E2361" i="2"/>
  <c r="F2361" i="2"/>
  <c r="G2361" i="2"/>
  <c r="H2361" i="2"/>
  <c r="J2361" i="2"/>
  <c r="D2362" i="2"/>
  <c r="E2362" i="2"/>
  <c r="F2362" i="2"/>
  <c r="G2362" i="2"/>
  <c r="H2362" i="2"/>
  <c r="J2362" i="2"/>
  <c r="D2363" i="2"/>
  <c r="E2363" i="2"/>
  <c r="F2363" i="2"/>
  <c r="G2363" i="2"/>
  <c r="H2363" i="2"/>
  <c r="J2363" i="2"/>
  <c r="D2364" i="2"/>
  <c r="E2364" i="2"/>
  <c r="F2364" i="2"/>
  <c r="G2364" i="2"/>
  <c r="H2364" i="2"/>
  <c r="J2364" i="2"/>
  <c r="D2365" i="2"/>
  <c r="E2365" i="2"/>
  <c r="F2365" i="2"/>
  <c r="G2365" i="2"/>
  <c r="H2365" i="2"/>
  <c r="J2365" i="2"/>
  <c r="D2366" i="2"/>
  <c r="E2366" i="2"/>
  <c r="F2366" i="2"/>
  <c r="G2366" i="2"/>
  <c r="H2366" i="2"/>
  <c r="J2366" i="2"/>
  <c r="D2367" i="2"/>
  <c r="E2367" i="2"/>
  <c r="F2367" i="2"/>
  <c r="G2367" i="2"/>
  <c r="H2367" i="2"/>
  <c r="J2367" i="2"/>
  <c r="D2368" i="2"/>
  <c r="E2368" i="2"/>
  <c r="F2368" i="2"/>
  <c r="G2368" i="2"/>
  <c r="H2368" i="2"/>
  <c r="J2368" i="2"/>
  <c r="D2369" i="2"/>
  <c r="E2369" i="2"/>
  <c r="F2369" i="2"/>
  <c r="G2369" i="2"/>
  <c r="H2369" i="2"/>
  <c r="J2369" i="2"/>
  <c r="D2370" i="2"/>
  <c r="E2370" i="2"/>
  <c r="F2370" i="2"/>
  <c r="G2370" i="2"/>
  <c r="H2370" i="2"/>
  <c r="J2370" i="2"/>
  <c r="D2371" i="2"/>
  <c r="E2371" i="2"/>
  <c r="F2371" i="2"/>
  <c r="G2371" i="2"/>
  <c r="H2371" i="2"/>
  <c r="J2371" i="2"/>
  <c r="D2372" i="2"/>
  <c r="E2372" i="2"/>
  <c r="F2372" i="2"/>
  <c r="G2372" i="2"/>
  <c r="H2372" i="2"/>
  <c r="J2372" i="2"/>
  <c r="D2373" i="2"/>
  <c r="E2373" i="2"/>
  <c r="F2373" i="2"/>
  <c r="G2373" i="2"/>
  <c r="H2373" i="2"/>
  <c r="J2373" i="2"/>
  <c r="D2374" i="2"/>
  <c r="E2374" i="2"/>
  <c r="F2374" i="2"/>
  <c r="G2374" i="2"/>
  <c r="H2374" i="2"/>
  <c r="J2374" i="2"/>
  <c r="D2375" i="2"/>
  <c r="E2375" i="2"/>
  <c r="F2375" i="2"/>
  <c r="G2375" i="2"/>
  <c r="H2375" i="2"/>
  <c r="J2375" i="2"/>
  <c r="D2376" i="2"/>
  <c r="E2376" i="2"/>
  <c r="F2376" i="2"/>
  <c r="G2376" i="2"/>
  <c r="H2376" i="2"/>
  <c r="J2376" i="2"/>
  <c r="D2377" i="2"/>
  <c r="E2377" i="2"/>
  <c r="F2377" i="2"/>
  <c r="G2377" i="2"/>
  <c r="H2377" i="2"/>
  <c r="J2377" i="2"/>
  <c r="D2378" i="2"/>
  <c r="E2378" i="2"/>
  <c r="F2378" i="2"/>
  <c r="G2378" i="2"/>
  <c r="H2378" i="2"/>
  <c r="J2378" i="2"/>
  <c r="D2379" i="2"/>
  <c r="E2379" i="2"/>
  <c r="F2379" i="2"/>
  <c r="G2379" i="2"/>
  <c r="H2379" i="2"/>
  <c r="J2379" i="2"/>
  <c r="D2380" i="2"/>
  <c r="E2380" i="2"/>
  <c r="F2380" i="2"/>
  <c r="G2380" i="2"/>
  <c r="H2380" i="2"/>
  <c r="J2380" i="2"/>
  <c r="D2381" i="2"/>
  <c r="E2381" i="2"/>
  <c r="F2381" i="2"/>
  <c r="G2381" i="2"/>
  <c r="H2381" i="2"/>
  <c r="J2381" i="2"/>
  <c r="D2382" i="2"/>
  <c r="E2382" i="2"/>
  <c r="F2382" i="2"/>
  <c r="G2382" i="2"/>
  <c r="H2382" i="2"/>
  <c r="J2382" i="2"/>
  <c r="D2383" i="2"/>
  <c r="E2383" i="2"/>
  <c r="F2383" i="2"/>
  <c r="G2383" i="2"/>
  <c r="H2383" i="2"/>
  <c r="J2383" i="2"/>
  <c r="D2384" i="2"/>
  <c r="E2384" i="2"/>
  <c r="F2384" i="2"/>
  <c r="G2384" i="2"/>
  <c r="H2384" i="2"/>
  <c r="J2384" i="2"/>
  <c r="D2385" i="2"/>
  <c r="E2385" i="2"/>
  <c r="F2385" i="2"/>
  <c r="G2385" i="2"/>
  <c r="H2385" i="2"/>
  <c r="J2385" i="2"/>
  <c r="D2386" i="2"/>
  <c r="E2386" i="2"/>
  <c r="F2386" i="2"/>
  <c r="G2386" i="2"/>
  <c r="H2386" i="2"/>
  <c r="J2386" i="2"/>
  <c r="D2387" i="2"/>
  <c r="E2387" i="2"/>
  <c r="F2387" i="2"/>
  <c r="G2387" i="2"/>
  <c r="H2387" i="2"/>
  <c r="J2387" i="2"/>
  <c r="D2388" i="2"/>
  <c r="E2388" i="2"/>
  <c r="F2388" i="2"/>
  <c r="G2388" i="2"/>
  <c r="H2388" i="2"/>
  <c r="J2388" i="2"/>
  <c r="D2389" i="2"/>
  <c r="E2389" i="2"/>
  <c r="F2389" i="2"/>
  <c r="G2389" i="2"/>
  <c r="H2389" i="2"/>
  <c r="J2389" i="2"/>
  <c r="D2390" i="2"/>
  <c r="E2390" i="2"/>
  <c r="F2390" i="2"/>
  <c r="G2390" i="2"/>
  <c r="H2390" i="2"/>
  <c r="J2390" i="2"/>
  <c r="D2391" i="2"/>
  <c r="E2391" i="2"/>
  <c r="F2391" i="2"/>
  <c r="G2391" i="2"/>
  <c r="H2391" i="2"/>
  <c r="J2391" i="2"/>
  <c r="D2392" i="2"/>
  <c r="E2392" i="2"/>
  <c r="F2392" i="2"/>
  <c r="G2392" i="2"/>
  <c r="H2392" i="2"/>
  <c r="J2392" i="2"/>
  <c r="D2393" i="2"/>
  <c r="E2393" i="2"/>
  <c r="F2393" i="2"/>
  <c r="G2393" i="2"/>
  <c r="H2393" i="2"/>
  <c r="J2393" i="2"/>
  <c r="D2394" i="2"/>
  <c r="E2394" i="2"/>
  <c r="F2394" i="2"/>
  <c r="G2394" i="2"/>
  <c r="H2394" i="2"/>
  <c r="J2394" i="2"/>
  <c r="D2395" i="2"/>
  <c r="E2395" i="2"/>
  <c r="F2395" i="2"/>
  <c r="G2395" i="2"/>
  <c r="H2395" i="2"/>
  <c r="J2395" i="2"/>
  <c r="D2396" i="2"/>
  <c r="E2396" i="2"/>
  <c r="F2396" i="2"/>
  <c r="G2396" i="2"/>
  <c r="H2396" i="2"/>
  <c r="J2396" i="2"/>
  <c r="D2397" i="2"/>
  <c r="E2397" i="2"/>
  <c r="F2397" i="2"/>
  <c r="G2397" i="2"/>
  <c r="H2397" i="2"/>
  <c r="J2397" i="2"/>
  <c r="D2398" i="2"/>
  <c r="E2398" i="2"/>
  <c r="F2398" i="2"/>
  <c r="G2398" i="2"/>
  <c r="H2398" i="2"/>
  <c r="J2398" i="2"/>
  <c r="D2399" i="2"/>
  <c r="E2399" i="2"/>
  <c r="F2399" i="2"/>
  <c r="G2399" i="2"/>
  <c r="H2399" i="2"/>
  <c r="J2399" i="2"/>
  <c r="D2400" i="2"/>
  <c r="E2400" i="2"/>
  <c r="F2400" i="2"/>
  <c r="G2400" i="2"/>
  <c r="H2400" i="2"/>
  <c r="J2400" i="2"/>
  <c r="D2401" i="2"/>
  <c r="E2401" i="2"/>
  <c r="F2401" i="2"/>
  <c r="G2401" i="2"/>
  <c r="H2401" i="2"/>
  <c r="J2401" i="2"/>
  <c r="D2402" i="2"/>
  <c r="E2402" i="2"/>
  <c r="F2402" i="2"/>
  <c r="G2402" i="2"/>
  <c r="H2402" i="2"/>
  <c r="J2402" i="2"/>
  <c r="D2404" i="2"/>
  <c r="E2404" i="2"/>
  <c r="F2404" i="2"/>
  <c r="G2404" i="2"/>
  <c r="H2404" i="2"/>
  <c r="J2404" i="2"/>
  <c r="D2405" i="2"/>
  <c r="E2405" i="2"/>
  <c r="F2405" i="2"/>
  <c r="G2405" i="2"/>
  <c r="H2405" i="2"/>
  <c r="J2405" i="2"/>
  <c r="D2406" i="2"/>
  <c r="E2406" i="2"/>
  <c r="F2406" i="2"/>
  <c r="G2406" i="2"/>
  <c r="H2406" i="2"/>
  <c r="J2406" i="2"/>
  <c r="D2407" i="2"/>
  <c r="E2407" i="2"/>
  <c r="F2407" i="2"/>
  <c r="G2407" i="2"/>
  <c r="H2407" i="2"/>
  <c r="J2407" i="2"/>
  <c r="D2408" i="2"/>
  <c r="E2408" i="2"/>
  <c r="F2408" i="2"/>
  <c r="G2408" i="2"/>
  <c r="H2408" i="2"/>
  <c r="J2408" i="2"/>
  <c r="D2409" i="2"/>
  <c r="E2409" i="2"/>
  <c r="F2409" i="2"/>
  <c r="G2409" i="2"/>
  <c r="H2409" i="2"/>
  <c r="J2409" i="2"/>
  <c r="D2410" i="2"/>
  <c r="E2410" i="2"/>
  <c r="F2410" i="2"/>
  <c r="G2410" i="2"/>
  <c r="H2410" i="2"/>
  <c r="J2410" i="2"/>
  <c r="D2528" i="2"/>
  <c r="E2528" i="2"/>
  <c r="F2528" i="2"/>
  <c r="G2528" i="2"/>
  <c r="H2528" i="2"/>
  <c r="J2528" i="2"/>
  <c r="D2529" i="2"/>
  <c r="E2529" i="2"/>
  <c r="F2529" i="2"/>
  <c r="G2529" i="2"/>
  <c r="H2529" i="2"/>
  <c r="J2529" i="2"/>
  <c r="D2530" i="2"/>
  <c r="E2530" i="2"/>
  <c r="F2530" i="2"/>
  <c r="G2530" i="2"/>
  <c r="H2530" i="2"/>
  <c r="J2530" i="2"/>
  <c r="D2531" i="2"/>
  <c r="E2531" i="2"/>
  <c r="F2531" i="2"/>
  <c r="G2531" i="2"/>
  <c r="H2531" i="2"/>
  <c r="J2531" i="2"/>
  <c r="D2532" i="2"/>
  <c r="E2532" i="2"/>
  <c r="F2532" i="2"/>
  <c r="G2532" i="2"/>
  <c r="H2532" i="2"/>
  <c r="J2532" i="2"/>
  <c r="D2533" i="2"/>
  <c r="E2533" i="2"/>
  <c r="F2533" i="2"/>
  <c r="G2533" i="2"/>
  <c r="H2533" i="2"/>
  <c r="J2533" i="2"/>
  <c r="D2534" i="2"/>
  <c r="E2534" i="2"/>
  <c r="F2534" i="2"/>
  <c r="G2534" i="2"/>
  <c r="H2534" i="2"/>
  <c r="J2534" i="2"/>
  <c r="D2535" i="2"/>
  <c r="E2535" i="2"/>
  <c r="F2535" i="2"/>
  <c r="G2535" i="2"/>
  <c r="H2535" i="2"/>
  <c r="J2535" i="2"/>
  <c r="D2536" i="2"/>
  <c r="E2536" i="2"/>
  <c r="F2536" i="2"/>
  <c r="G2536" i="2"/>
  <c r="H2536" i="2"/>
  <c r="J2536" i="2"/>
  <c r="D2537" i="2"/>
  <c r="E2537" i="2"/>
  <c r="F2537" i="2"/>
  <c r="G2537" i="2"/>
  <c r="H2537" i="2"/>
  <c r="J2537" i="2"/>
  <c r="D2538" i="2"/>
  <c r="E2538" i="2"/>
  <c r="F2538" i="2"/>
  <c r="G2538" i="2"/>
  <c r="H2538" i="2"/>
  <c r="J2538" i="2"/>
  <c r="D2539" i="2"/>
  <c r="E2539" i="2"/>
  <c r="F2539" i="2"/>
  <c r="G2539" i="2"/>
  <c r="H2539" i="2"/>
  <c r="J2539" i="2"/>
  <c r="D2540" i="2"/>
  <c r="E2540" i="2"/>
  <c r="F2540" i="2"/>
  <c r="G2540" i="2"/>
  <c r="H2540" i="2"/>
  <c r="J2540" i="2"/>
  <c r="D2541" i="2"/>
  <c r="E2541" i="2"/>
  <c r="F2541" i="2"/>
  <c r="G2541" i="2"/>
  <c r="H2541" i="2"/>
  <c r="J2541" i="2"/>
  <c r="D2542" i="2"/>
  <c r="E2542" i="2"/>
  <c r="F2542" i="2"/>
  <c r="G2542" i="2"/>
  <c r="H2542" i="2"/>
  <c r="J2542" i="2"/>
  <c r="D2543" i="2"/>
  <c r="E2543" i="2"/>
  <c r="F2543" i="2"/>
  <c r="G2543" i="2"/>
  <c r="H2543" i="2"/>
  <c r="J2543" i="2"/>
  <c r="D2544" i="2"/>
  <c r="E2544" i="2"/>
  <c r="F2544" i="2"/>
  <c r="G2544" i="2"/>
  <c r="H2544" i="2"/>
  <c r="J2544" i="2"/>
  <c r="D2545" i="2"/>
  <c r="E2545" i="2"/>
  <c r="F2545" i="2"/>
  <c r="G2545" i="2"/>
  <c r="H2545" i="2"/>
  <c r="J2545" i="2"/>
  <c r="D2546" i="2"/>
  <c r="E2546" i="2"/>
  <c r="F2546" i="2"/>
  <c r="G2546" i="2"/>
  <c r="H2546" i="2"/>
  <c r="J2546" i="2"/>
  <c r="D2547" i="2"/>
  <c r="E2547" i="2"/>
  <c r="F2547" i="2"/>
  <c r="G2547" i="2"/>
  <c r="H2547" i="2"/>
  <c r="J2547" i="2"/>
  <c r="D2548" i="2"/>
  <c r="E2548" i="2"/>
  <c r="F2548" i="2"/>
  <c r="G2548" i="2"/>
  <c r="H2548" i="2"/>
  <c r="J2548" i="2"/>
  <c r="D2549" i="2"/>
  <c r="E2549" i="2"/>
  <c r="F2549" i="2"/>
  <c r="G2549" i="2"/>
  <c r="H2549" i="2"/>
  <c r="J2549" i="2"/>
  <c r="D2550" i="2"/>
  <c r="E2550" i="2"/>
  <c r="F2550" i="2"/>
  <c r="G2550" i="2"/>
  <c r="H2550" i="2"/>
  <c r="J2550" i="2"/>
  <c r="D2551" i="2"/>
  <c r="E2551" i="2"/>
  <c r="F2551" i="2"/>
  <c r="G2551" i="2"/>
  <c r="H2551" i="2"/>
  <c r="J2551" i="2"/>
  <c r="D2552" i="2"/>
  <c r="E2552" i="2"/>
  <c r="F2552" i="2"/>
  <c r="G2552" i="2"/>
  <c r="H2552" i="2"/>
  <c r="J2552" i="2"/>
  <c r="D2553" i="2"/>
  <c r="E2553" i="2"/>
  <c r="F2553" i="2"/>
  <c r="G2553" i="2"/>
  <c r="H2553" i="2"/>
  <c r="J2553" i="2"/>
  <c r="D2554" i="2"/>
  <c r="E2554" i="2"/>
  <c r="F2554" i="2"/>
  <c r="G2554" i="2"/>
  <c r="H2554" i="2"/>
  <c r="J2554" i="2"/>
  <c r="D2555" i="2"/>
  <c r="E2555" i="2"/>
  <c r="F2555" i="2"/>
  <c r="G2555" i="2"/>
  <c r="H2555" i="2"/>
  <c r="J2555" i="2"/>
  <c r="D2556" i="2"/>
  <c r="E2556" i="2"/>
  <c r="F2556" i="2"/>
  <c r="G2556" i="2"/>
  <c r="H2556" i="2"/>
  <c r="J2556" i="2"/>
  <c r="D2557" i="2"/>
  <c r="E2557" i="2"/>
  <c r="F2557" i="2"/>
  <c r="G2557" i="2"/>
  <c r="H2557" i="2"/>
  <c r="J2557" i="2"/>
  <c r="D2558" i="2"/>
  <c r="E2558" i="2"/>
  <c r="F2558" i="2"/>
  <c r="G2558" i="2"/>
  <c r="H2558" i="2"/>
  <c r="J2558" i="2"/>
  <c r="D2559" i="2"/>
  <c r="E2559" i="2"/>
  <c r="F2559" i="2"/>
  <c r="G2559" i="2"/>
  <c r="H2559" i="2"/>
  <c r="J2559" i="2"/>
  <c r="D2560" i="2"/>
  <c r="E2560" i="2"/>
  <c r="F2560" i="2"/>
  <c r="G2560" i="2"/>
  <c r="H2560" i="2"/>
  <c r="J2560" i="2"/>
  <c r="D2561" i="2"/>
  <c r="E2561" i="2"/>
  <c r="F2561" i="2"/>
  <c r="G2561" i="2"/>
  <c r="H2561" i="2"/>
  <c r="J2561" i="2"/>
  <c r="D2562" i="2"/>
  <c r="E2562" i="2"/>
  <c r="F2562" i="2"/>
  <c r="G2562" i="2"/>
  <c r="H2562" i="2"/>
  <c r="J2562" i="2"/>
  <c r="D2563" i="2"/>
  <c r="E2563" i="2"/>
  <c r="F2563" i="2"/>
  <c r="G2563" i="2"/>
  <c r="H2563" i="2"/>
  <c r="J2563" i="2"/>
  <c r="D2564" i="2"/>
  <c r="E2564" i="2"/>
  <c r="F2564" i="2"/>
  <c r="G2564" i="2"/>
  <c r="H2564" i="2"/>
  <c r="J2564" i="2"/>
  <c r="D2565" i="2"/>
  <c r="E2565" i="2"/>
  <c r="F2565" i="2"/>
  <c r="G2565" i="2"/>
  <c r="H2565" i="2"/>
  <c r="J2565" i="2"/>
  <c r="D2566" i="2"/>
  <c r="E2566" i="2"/>
  <c r="F2566" i="2"/>
  <c r="G2566" i="2"/>
  <c r="H2566" i="2"/>
  <c r="J2566" i="2"/>
  <c r="D2567" i="2"/>
  <c r="E2567" i="2"/>
  <c r="F2567" i="2"/>
  <c r="G2567" i="2"/>
  <c r="H2567" i="2"/>
  <c r="J2567" i="2"/>
  <c r="D2568" i="2"/>
  <c r="E2568" i="2"/>
  <c r="F2568" i="2"/>
  <c r="G2568" i="2"/>
  <c r="H2568" i="2"/>
  <c r="J2568" i="2"/>
  <c r="D2569" i="2"/>
  <c r="E2569" i="2"/>
  <c r="F2569" i="2"/>
  <c r="G2569" i="2"/>
  <c r="H2569" i="2"/>
  <c r="J2569" i="2"/>
  <c r="D2570" i="2"/>
  <c r="E2570" i="2"/>
  <c r="F2570" i="2"/>
  <c r="G2570" i="2"/>
  <c r="H2570" i="2"/>
  <c r="J2570" i="2"/>
  <c r="D2571" i="2"/>
  <c r="E2571" i="2"/>
  <c r="F2571" i="2"/>
  <c r="G2571" i="2"/>
  <c r="H2571" i="2"/>
  <c r="J2571" i="2"/>
  <c r="D2572" i="2"/>
  <c r="E2572" i="2"/>
  <c r="F2572" i="2"/>
  <c r="G2572" i="2"/>
  <c r="H2572" i="2"/>
  <c r="J2572" i="2"/>
  <c r="D2573" i="2"/>
  <c r="E2573" i="2"/>
  <c r="F2573" i="2"/>
  <c r="G2573" i="2"/>
  <c r="H2573" i="2"/>
  <c r="J2573" i="2"/>
  <c r="D2574" i="2"/>
  <c r="E2574" i="2"/>
  <c r="F2574" i="2"/>
  <c r="G2574" i="2"/>
  <c r="H2574" i="2"/>
  <c r="J2574" i="2"/>
  <c r="D2575" i="2"/>
  <c r="E2575" i="2"/>
  <c r="F2575" i="2"/>
  <c r="G2575" i="2"/>
  <c r="H2575" i="2"/>
  <c r="J2575" i="2"/>
  <c r="D2576" i="2"/>
  <c r="E2576" i="2"/>
  <c r="F2576" i="2"/>
  <c r="G2576" i="2"/>
  <c r="H2576" i="2"/>
  <c r="J2576" i="2"/>
  <c r="D2577" i="2"/>
  <c r="E2577" i="2"/>
  <c r="F2577" i="2"/>
  <c r="G2577" i="2"/>
  <c r="H2577" i="2"/>
  <c r="J2577" i="2"/>
  <c r="D2578" i="2"/>
  <c r="E2578" i="2"/>
  <c r="F2578" i="2"/>
  <c r="G2578" i="2"/>
  <c r="H2578" i="2"/>
  <c r="J2578" i="2"/>
  <c r="D2579" i="2"/>
  <c r="E2579" i="2"/>
  <c r="F2579" i="2"/>
  <c r="G2579" i="2"/>
  <c r="H2579" i="2"/>
  <c r="J2579" i="2"/>
  <c r="D2580" i="2"/>
  <c r="E2580" i="2"/>
  <c r="F2580" i="2"/>
  <c r="G2580" i="2"/>
  <c r="H2580" i="2"/>
  <c r="J2580" i="2"/>
  <c r="D2581" i="2"/>
  <c r="E2581" i="2"/>
  <c r="F2581" i="2"/>
  <c r="G2581" i="2"/>
  <c r="H2581" i="2"/>
  <c r="J2581" i="2"/>
  <c r="D2582" i="2"/>
  <c r="E2582" i="2"/>
  <c r="F2582" i="2"/>
  <c r="G2582" i="2"/>
  <c r="H2582" i="2"/>
  <c r="J2582" i="2"/>
  <c r="D2583" i="2"/>
  <c r="E2583" i="2"/>
  <c r="F2583" i="2"/>
  <c r="G2583" i="2"/>
  <c r="H2583" i="2"/>
  <c r="J2583" i="2"/>
  <c r="D2584" i="2"/>
  <c r="E2584" i="2"/>
  <c r="F2584" i="2"/>
  <c r="G2584" i="2"/>
  <c r="H2584" i="2"/>
  <c r="J2584" i="2"/>
  <c r="D2585" i="2"/>
  <c r="E2585" i="2"/>
  <c r="F2585" i="2"/>
  <c r="G2585" i="2"/>
  <c r="H2585" i="2"/>
  <c r="J2585" i="2"/>
  <c r="D2586" i="2"/>
  <c r="E2586" i="2"/>
  <c r="F2586" i="2"/>
  <c r="G2586" i="2"/>
  <c r="H2586" i="2"/>
  <c r="J2586" i="2"/>
  <c r="D2587" i="2"/>
  <c r="E2587" i="2"/>
  <c r="F2587" i="2"/>
  <c r="G2587" i="2"/>
  <c r="H2587" i="2"/>
  <c r="J2587" i="2"/>
  <c r="D2588" i="2"/>
  <c r="E2588" i="2"/>
  <c r="F2588" i="2"/>
  <c r="G2588" i="2"/>
  <c r="H2588" i="2"/>
  <c r="J2588" i="2"/>
  <c r="D2589" i="2"/>
  <c r="E2589" i="2"/>
  <c r="F2589" i="2"/>
  <c r="G2589" i="2"/>
  <c r="H2589" i="2"/>
  <c r="J2589" i="2"/>
  <c r="D2590" i="2"/>
  <c r="E2590" i="2"/>
  <c r="F2590" i="2"/>
  <c r="G2590" i="2"/>
  <c r="H2590" i="2"/>
  <c r="J2590" i="2"/>
  <c r="D2591" i="2"/>
  <c r="E2591" i="2"/>
  <c r="F2591" i="2"/>
  <c r="G2591" i="2"/>
  <c r="H2591" i="2"/>
  <c r="J2591" i="2"/>
  <c r="D2592" i="2"/>
  <c r="E2592" i="2"/>
  <c r="F2592" i="2"/>
  <c r="G2592" i="2"/>
  <c r="H2592" i="2"/>
  <c r="J2592" i="2"/>
  <c r="D2593" i="2"/>
  <c r="E2593" i="2"/>
  <c r="F2593" i="2"/>
  <c r="G2593" i="2"/>
  <c r="H2593" i="2"/>
  <c r="J2593" i="2"/>
  <c r="D2594" i="2"/>
  <c r="E2594" i="2"/>
  <c r="F2594" i="2"/>
  <c r="G2594" i="2"/>
  <c r="H2594" i="2"/>
  <c r="J2594" i="2"/>
  <c r="D2595" i="2"/>
  <c r="E2595" i="2"/>
  <c r="F2595" i="2"/>
  <c r="G2595" i="2"/>
  <c r="H2595" i="2"/>
  <c r="J2595" i="2"/>
  <c r="D2596" i="2"/>
  <c r="E2596" i="2"/>
  <c r="F2596" i="2"/>
  <c r="G2596" i="2"/>
  <c r="H2596" i="2"/>
  <c r="J2596" i="2"/>
  <c r="D2597" i="2"/>
  <c r="E2597" i="2"/>
  <c r="F2597" i="2"/>
  <c r="G2597" i="2"/>
  <c r="H2597" i="2"/>
  <c r="J2597" i="2"/>
  <c r="D2598" i="2"/>
  <c r="E2598" i="2"/>
  <c r="F2598" i="2"/>
  <c r="G2598" i="2"/>
  <c r="H2598" i="2"/>
  <c r="J2598" i="2"/>
  <c r="D2599" i="2"/>
  <c r="E2599" i="2"/>
  <c r="F2599" i="2"/>
  <c r="G2599" i="2"/>
  <c r="H2599" i="2"/>
  <c r="J2599" i="2"/>
  <c r="D2600" i="2"/>
  <c r="E2600" i="2"/>
  <c r="F2600" i="2"/>
  <c r="G2600" i="2"/>
  <c r="H2600" i="2"/>
  <c r="J2600" i="2"/>
  <c r="D2601" i="2"/>
  <c r="E2601" i="2"/>
  <c r="F2601" i="2"/>
  <c r="G2601" i="2"/>
  <c r="H2601" i="2"/>
  <c r="J2601" i="2"/>
  <c r="D2602" i="2"/>
  <c r="E2602" i="2"/>
  <c r="F2602" i="2"/>
  <c r="G2602" i="2"/>
  <c r="H2602" i="2"/>
  <c r="J2602" i="2"/>
  <c r="D2603" i="2"/>
  <c r="E2603" i="2"/>
  <c r="F2603" i="2"/>
  <c r="G2603" i="2"/>
  <c r="H2603" i="2"/>
  <c r="J2603" i="2"/>
  <c r="D2604" i="2"/>
  <c r="E2604" i="2"/>
  <c r="F2604" i="2"/>
  <c r="G2604" i="2"/>
  <c r="H2604" i="2"/>
  <c r="J2604" i="2"/>
  <c r="D2605" i="2"/>
  <c r="E2605" i="2"/>
  <c r="F2605" i="2"/>
  <c r="G2605" i="2"/>
  <c r="H2605" i="2"/>
  <c r="J2605" i="2"/>
  <c r="D2606" i="2"/>
  <c r="E2606" i="2"/>
  <c r="F2606" i="2"/>
  <c r="G2606" i="2"/>
  <c r="H2606" i="2"/>
  <c r="J2606" i="2"/>
  <c r="D2607" i="2"/>
  <c r="E2607" i="2"/>
  <c r="F2607" i="2"/>
  <c r="G2607" i="2"/>
  <c r="H2607" i="2"/>
  <c r="J2607" i="2"/>
  <c r="D2608" i="2"/>
  <c r="E2608" i="2"/>
  <c r="F2608" i="2"/>
  <c r="G2608" i="2"/>
  <c r="H2608" i="2"/>
  <c r="J2608" i="2"/>
  <c r="D2609" i="2"/>
  <c r="E2609" i="2"/>
  <c r="F2609" i="2"/>
  <c r="G2609" i="2"/>
  <c r="H2609" i="2"/>
  <c r="J2609" i="2"/>
  <c r="D2610" i="2"/>
  <c r="E2610" i="2"/>
  <c r="F2610" i="2"/>
  <c r="G2610" i="2"/>
  <c r="H2610" i="2"/>
  <c r="J2610" i="2"/>
  <c r="D2611" i="2"/>
  <c r="E2611" i="2"/>
  <c r="F2611" i="2"/>
  <c r="G2611" i="2"/>
  <c r="H2611" i="2"/>
  <c r="J2611" i="2"/>
  <c r="D2612" i="2"/>
  <c r="E2612" i="2"/>
  <c r="F2612" i="2"/>
  <c r="G2612" i="2"/>
  <c r="H2612" i="2"/>
  <c r="J2612" i="2"/>
  <c r="D2613" i="2"/>
  <c r="E2613" i="2"/>
  <c r="F2613" i="2"/>
  <c r="G2613" i="2"/>
  <c r="H2613" i="2"/>
  <c r="J2613" i="2"/>
  <c r="D2614" i="2"/>
  <c r="E2614" i="2"/>
  <c r="F2614" i="2"/>
  <c r="G2614" i="2"/>
  <c r="H2614" i="2"/>
  <c r="J2614" i="2"/>
  <c r="D2615" i="2"/>
  <c r="E2615" i="2"/>
  <c r="F2615" i="2"/>
  <c r="G2615" i="2"/>
  <c r="H2615" i="2"/>
  <c r="J2615" i="2"/>
  <c r="D2616" i="2"/>
  <c r="E2616" i="2"/>
  <c r="F2616" i="2"/>
  <c r="G2616" i="2"/>
  <c r="H2616" i="2"/>
  <c r="J2616" i="2"/>
  <c r="D2617" i="2"/>
  <c r="E2617" i="2"/>
  <c r="F2617" i="2"/>
  <c r="G2617" i="2"/>
  <c r="H2617" i="2"/>
  <c r="J2617" i="2"/>
  <c r="D2618" i="2"/>
  <c r="E2618" i="2"/>
  <c r="F2618" i="2"/>
  <c r="G2618" i="2"/>
  <c r="H2618" i="2"/>
  <c r="J2618" i="2"/>
  <c r="D2619" i="2"/>
  <c r="E2619" i="2"/>
  <c r="F2619" i="2"/>
  <c r="G2619" i="2"/>
  <c r="H2619" i="2"/>
  <c r="J2619" i="2"/>
  <c r="D2620" i="2"/>
  <c r="E2620" i="2"/>
  <c r="F2620" i="2"/>
  <c r="G2620" i="2"/>
  <c r="H2620" i="2"/>
  <c r="J2620" i="2"/>
  <c r="D2621" i="2"/>
  <c r="E2621" i="2"/>
  <c r="F2621" i="2"/>
  <c r="G2621" i="2"/>
  <c r="H2621" i="2"/>
  <c r="J2621" i="2"/>
  <c r="D2622" i="2"/>
  <c r="E2622" i="2"/>
  <c r="F2622" i="2"/>
  <c r="G2622" i="2"/>
  <c r="H2622" i="2"/>
  <c r="J2622" i="2"/>
  <c r="D2623" i="2"/>
  <c r="E2623" i="2"/>
  <c r="F2623" i="2"/>
  <c r="G2623" i="2"/>
  <c r="H2623" i="2"/>
  <c r="J2623" i="2"/>
  <c r="D2625" i="2"/>
  <c r="E2625" i="2"/>
  <c r="F2625" i="2"/>
  <c r="G2625" i="2"/>
  <c r="H2625" i="2"/>
  <c r="J2625" i="2"/>
  <c r="D2626" i="2"/>
  <c r="E2626" i="2"/>
  <c r="F2626" i="2"/>
  <c r="G2626" i="2"/>
  <c r="H2626" i="2"/>
  <c r="J2626" i="2"/>
  <c r="D2627" i="2"/>
  <c r="E2627" i="2"/>
  <c r="F2627" i="2"/>
  <c r="G2627" i="2"/>
  <c r="H2627" i="2"/>
  <c r="J2627" i="2"/>
  <c r="D2628" i="2"/>
  <c r="E2628" i="2"/>
  <c r="F2628" i="2"/>
  <c r="G2628" i="2"/>
  <c r="H2628" i="2"/>
  <c r="J2628" i="2"/>
  <c r="D2629" i="2"/>
  <c r="E2629" i="2"/>
  <c r="F2629" i="2"/>
  <c r="G2629" i="2"/>
  <c r="H2629" i="2"/>
  <c r="J2629" i="2"/>
  <c r="D2630" i="2"/>
  <c r="E2630" i="2"/>
  <c r="F2630" i="2"/>
  <c r="G2630" i="2"/>
  <c r="H2630" i="2"/>
  <c r="J2630" i="2"/>
  <c r="D2631" i="2"/>
  <c r="E2631" i="2"/>
  <c r="F2631" i="2"/>
  <c r="G2631" i="2"/>
  <c r="H2631" i="2"/>
  <c r="J2631" i="2"/>
  <c r="D2632" i="2"/>
  <c r="E2632" i="2"/>
  <c r="F2632" i="2"/>
  <c r="G2632" i="2"/>
  <c r="H2632" i="2"/>
  <c r="J2632" i="2"/>
  <c r="D2633" i="2"/>
  <c r="E2633" i="2"/>
  <c r="F2633" i="2"/>
  <c r="G2633" i="2"/>
  <c r="H2633" i="2"/>
  <c r="J2633" i="2"/>
  <c r="D2634" i="2"/>
  <c r="E2634" i="2"/>
  <c r="F2634" i="2"/>
  <c r="G2634" i="2"/>
  <c r="H2634" i="2"/>
  <c r="J2634" i="2"/>
  <c r="D2635" i="2"/>
  <c r="E2635" i="2"/>
  <c r="F2635" i="2"/>
  <c r="G2635" i="2"/>
  <c r="H2635" i="2"/>
  <c r="J2635" i="2"/>
  <c r="D2636" i="2"/>
  <c r="E2636" i="2"/>
  <c r="F2636" i="2"/>
  <c r="G2636" i="2"/>
  <c r="H2636" i="2"/>
  <c r="J2636" i="2"/>
  <c r="D2637" i="2"/>
  <c r="E2637" i="2"/>
  <c r="F2637" i="2"/>
  <c r="G2637" i="2"/>
  <c r="H2637" i="2"/>
  <c r="J2637" i="2"/>
  <c r="D2638" i="2"/>
  <c r="E2638" i="2"/>
  <c r="F2638" i="2"/>
  <c r="G2638" i="2"/>
  <c r="H2638" i="2"/>
  <c r="J2638" i="2"/>
  <c r="D2639" i="2"/>
  <c r="E2639" i="2"/>
  <c r="F2639" i="2"/>
  <c r="G2639" i="2"/>
  <c r="H2639" i="2"/>
  <c r="J2639" i="2"/>
  <c r="D2640" i="2"/>
  <c r="E2640" i="2"/>
  <c r="F2640" i="2"/>
  <c r="G2640" i="2"/>
  <c r="H2640" i="2"/>
  <c r="J2640" i="2"/>
  <c r="D2641" i="2"/>
  <c r="E2641" i="2"/>
  <c r="F2641" i="2"/>
  <c r="G2641" i="2"/>
  <c r="H2641" i="2"/>
  <c r="J2641" i="2"/>
  <c r="D2642" i="2"/>
  <c r="E2642" i="2"/>
  <c r="F2642" i="2"/>
  <c r="G2642" i="2"/>
  <c r="H2642" i="2"/>
  <c r="J2642" i="2"/>
  <c r="D2643" i="2"/>
  <c r="E2643" i="2"/>
  <c r="F2643" i="2"/>
  <c r="G2643" i="2"/>
  <c r="H2643" i="2"/>
  <c r="J2643" i="2"/>
  <c r="D2644" i="2"/>
  <c r="E2644" i="2"/>
  <c r="F2644" i="2"/>
  <c r="G2644" i="2"/>
  <c r="H2644" i="2"/>
  <c r="J2644" i="2"/>
  <c r="D2645" i="2"/>
  <c r="E2645" i="2"/>
  <c r="F2645" i="2"/>
  <c r="G2645" i="2"/>
  <c r="H2645" i="2"/>
  <c r="J2645" i="2"/>
  <c r="D2646" i="2"/>
  <c r="E2646" i="2"/>
  <c r="F2646" i="2"/>
  <c r="G2646" i="2"/>
  <c r="H2646" i="2"/>
  <c r="J2646" i="2"/>
  <c r="D2647" i="2"/>
  <c r="E2647" i="2"/>
  <c r="F2647" i="2"/>
  <c r="G2647" i="2"/>
  <c r="H2647" i="2"/>
  <c r="J2647" i="2"/>
  <c r="D2648" i="2"/>
  <c r="E2648" i="2"/>
  <c r="F2648" i="2"/>
  <c r="G2648" i="2"/>
  <c r="H2648" i="2"/>
  <c r="J2648" i="2"/>
  <c r="D2649" i="2"/>
  <c r="E2649" i="2"/>
  <c r="F2649" i="2"/>
  <c r="G2649" i="2"/>
  <c r="H2649" i="2"/>
  <c r="J2649" i="2"/>
  <c r="D2650" i="2"/>
  <c r="E2650" i="2"/>
  <c r="F2650" i="2"/>
  <c r="G2650" i="2"/>
  <c r="H2650" i="2"/>
  <c r="J2650" i="2"/>
  <c r="D2651" i="2"/>
  <c r="E2651" i="2"/>
  <c r="F2651" i="2"/>
  <c r="G2651" i="2"/>
  <c r="H2651" i="2"/>
  <c r="J2651" i="2"/>
  <c r="D2652" i="2"/>
  <c r="E2652" i="2"/>
  <c r="F2652" i="2"/>
  <c r="G2652" i="2"/>
  <c r="H2652" i="2"/>
  <c r="J2652" i="2"/>
  <c r="D2653" i="2"/>
  <c r="E2653" i="2"/>
  <c r="F2653" i="2"/>
  <c r="G2653" i="2"/>
  <c r="H2653" i="2"/>
  <c r="J2653" i="2"/>
  <c r="D2654" i="2"/>
  <c r="E2654" i="2"/>
  <c r="F2654" i="2"/>
  <c r="G2654" i="2"/>
  <c r="H2654" i="2"/>
  <c r="J2654" i="2"/>
  <c r="D2655" i="2"/>
  <c r="E2655" i="2"/>
  <c r="F2655" i="2"/>
  <c r="G2655" i="2"/>
  <c r="H2655" i="2"/>
  <c r="J2655" i="2"/>
  <c r="D2656" i="2"/>
  <c r="E2656" i="2"/>
  <c r="F2656" i="2"/>
  <c r="G2656" i="2"/>
  <c r="H2656" i="2"/>
  <c r="J2656" i="2"/>
  <c r="D2657" i="2"/>
  <c r="E2657" i="2"/>
  <c r="F2657" i="2"/>
  <c r="G2657" i="2"/>
  <c r="H2657" i="2"/>
  <c r="J2657" i="2"/>
  <c r="D2658" i="2"/>
  <c r="E2658" i="2"/>
  <c r="F2658" i="2"/>
  <c r="G2658" i="2"/>
  <c r="H2658" i="2"/>
  <c r="J2658" i="2"/>
  <c r="D2659" i="2"/>
  <c r="E2659" i="2"/>
  <c r="F2659" i="2"/>
  <c r="G2659" i="2"/>
  <c r="H2659" i="2"/>
  <c r="J2659" i="2"/>
  <c r="D2660" i="2"/>
  <c r="E2660" i="2"/>
  <c r="F2660" i="2"/>
  <c r="G2660" i="2"/>
  <c r="H2660" i="2"/>
  <c r="J2660" i="2"/>
  <c r="D2661" i="2"/>
  <c r="E2661" i="2"/>
  <c r="F2661" i="2"/>
  <c r="G2661" i="2"/>
  <c r="H2661" i="2"/>
  <c r="J2661" i="2"/>
  <c r="D2662" i="2"/>
  <c r="E2662" i="2"/>
  <c r="F2662" i="2"/>
  <c r="G2662" i="2"/>
  <c r="H2662" i="2"/>
  <c r="J2662" i="2"/>
  <c r="D2663" i="2"/>
  <c r="E2663" i="2"/>
  <c r="F2663" i="2"/>
  <c r="G2663" i="2"/>
  <c r="H2663" i="2"/>
  <c r="J2663" i="2"/>
  <c r="D2664" i="2"/>
  <c r="E2664" i="2"/>
  <c r="F2664" i="2"/>
  <c r="G2664" i="2"/>
  <c r="H2664" i="2"/>
  <c r="J2664" i="2"/>
  <c r="D2665" i="2"/>
  <c r="E2665" i="2"/>
  <c r="F2665" i="2"/>
  <c r="G2665" i="2"/>
  <c r="H2665" i="2"/>
  <c r="J2665" i="2"/>
  <c r="D2666" i="2"/>
  <c r="E2666" i="2"/>
  <c r="F2666" i="2"/>
  <c r="G2666" i="2"/>
  <c r="H2666" i="2"/>
  <c r="J2666" i="2"/>
  <c r="D2667" i="2"/>
  <c r="E2667" i="2"/>
  <c r="F2667" i="2"/>
  <c r="G2667" i="2"/>
  <c r="H2667" i="2"/>
  <c r="J2667" i="2"/>
  <c r="D2668" i="2"/>
  <c r="E2668" i="2"/>
  <c r="F2668" i="2"/>
  <c r="G2668" i="2"/>
  <c r="H2668" i="2"/>
  <c r="J2668" i="2"/>
  <c r="D2669" i="2"/>
  <c r="E2669" i="2"/>
  <c r="F2669" i="2"/>
  <c r="G2669" i="2"/>
  <c r="H2669" i="2"/>
  <c r="J2669" i="2"/>
  <c r="D2670" i="2"/>
  <c r="E2670" i="2"/>
  <c r="F2670" i="2"/>
  <c r="G2670" i="2"/>
  <c r="H2670" i="2"/>
  <c r="J2670" i="2"/>
  <c r="D2671" i="2"/>
  <c r="E2671" i="2"/>
  <c r="F2671" i="2"/>
  <c r="G2671" i="2"/>
  <c r="H2671" i="2"/>
  <c r="J2671" i="2"/>
  <c r="D2672" i="2"/>
  <c r="E2672" i="2"/>
  <c r="F2672" i="2"/>
  <c r="G2672" i="2"/>
  <c r="H2672" i="2"/>
  <c r="J2672" i="2"/>
  <c r="D2673" i="2"/>
  <c r="E2673" i="2"/>
  <c r="F2673" i="2"/>
  <c r="G2673" i="2"/>
  <c r="H2673" i="2"/>
  <c r="J2673" i="2"/>
  <c r="D2674" i="2"/>
  <c r="E2674" i="2"/>
  <c r="F2674" i="2"/>
  <c r="G2674" i="2"/>
  <c r="H2674" i="2"/>
  <c r="J2674" i="2"/>
  <c r="D2675" i="2"/>
  <c r="E2675" i="2"/>
  <c r="F2675" i="2"/>
  <c r="G2675" i="2"/>
  <c r="H2675" i="2"/>
  <c r="J2675" i="2"/>
  <c r="D2676" i="2"/>
  <c r="E2676" i="2"/>
  <c r="F2676" i="2"/>
  <c r="G2676" i="2"/>
  <c r="H2676" i="2"/>
  <c r="J2676" i="2"/>
  <c r="D2677" i="2"/>
  <c r="E2677" i="2"/>
  <c r="F2677" i="2"/>
  <c r="G2677" i="2"/>
  <c r="H2677" i="2"/>
  <c r="J2677" i="2"/>
  <c r="D2678" i="2"/>
  <c r="E2678" i="2"/>
  <c r="F2678" i="2"/>
  <c r="G2678" i="2"/>
  <c r="H2678" i="2"/>
  <c r="J2678" i="2"/>
  <c r="D2679" i="2"/>
  <c r="E2679" i="2"/>
  <c r="F2679" i="2"/>
  <c r="G2679" i="2"/>
  <c r="H2679" i="2"/>
  <c r="J2679" i="2"/>
  <c r="D2680" i="2"/>
  <c r="E2680" i="2"/>
  <c r="F2680" i="2"/>
  <c r="G2680" i="2"/>
  <c r="H2680" i="2"/>
  <c r="J2680" i="2"/>
  <c r="D2681" i="2"/>
  <c r="E2681" i="2"/>
  <c r="F2681" i="2"/>
  <c r="G2681" i="2"/>
  <c r="H2681" i="2"/>
  <c r="J2681" i="2"/>
  <c r="D2682" i="2"/>
  <c r="E2682" i="2"/>
  <c r="F2682" i="2"/>
  <c r="G2682" i="2"/>
  <c r="H2682" i="2"/>
  <c r="J2682" i="2"/>
  <c r="D2683" i="2"/>
  <c r="E2683" i="2"/>
  <c r="F2683" i="2"/>
  <c r="G2683" i="2"/>
  <c r="H2683" i="2"/>
  <c r="J2683" i="2"/>
  <c r="D2684" i="2"/>
  <c r="E2684" i="2"/>
  <c r="F2684" i="2"/>
  <c r="G2684" i="2"/>
  <c r="H2684" i="2"/>
  <c r="J2684" i="2"/>
  <c r="D2685" i="2"/>
  <c r="E2685" i="2"/>
  <c r="F2685" i="2"/>
  <c r="G2685" i="2"/>
  <c r="H2685" i="2"/>
  <c r="J2685" i="2"/>
  <c r="D2686" i="2"/>
  <c r="E2686" i="2"/>
  <c r="F2686" i="2"/>
  <c r="G2686" i="2"/>
  <c r="H2686" i="2"/>
  <c r="J2686" i="2"/>
  <c r="D2687" i="2"/>
  <c r="E2687" i="2"/>
  <c r="F2687" i="2"/>
  <c r="G2687" i="2"/>
  <c r="H2687" i="2"/>
  <c r="J2687" i="2"/>
  <c r="D2688" i="2"/>
  <c r="E2688" i="2"/>
  <c r="F2688" i="2"/>
  <c r="G2688" i="2"/>
  <c r="H2688" i="2"/>
  <c r="J2688" i="2"/>
  <c r="D2689" i="2"/>
  <c r="E2689" i="2"/>
  <c r="F2689" i="2"/>
  <c r="G2689" i="2"/>
  <c r="H2689" i="2"/>
  <c r="J2689" i="2"/>
  <c r="D2690" i="2"/>
  <c r="E2690" i="2"/>
  <c r="F2690" i="2"/>
  <c r="G2690" i="2"/>
  <c r="H2690" i="2"/>
  <c r="J2690" i="2"/>
  <c r="D2691" i="2"/>
  <c r="E2691" i="2"/>
  <c r="F2691" i="2"/>
  <c r="G2691" i="2"/>
  <c r="H2691" i="2"/>
  <c r="J2691" i="2"/>
  <c r="D2692" i="2"/>
  <c r="E2692" i="2"/>
  <c r="F2692" i="2"/>
  <c r="G2692" i="2"/>
  <c r="H2692" i="2"/>
  <c r="J2692" i="2"/>
  <c r="D2693" i="2"/>
  <c r="E2693" i="2"/>
  <c r="F2693" i="2"/>
  <c r="G2693" i="2"/>
  <c r="H2693" i="2"/>
  <c r="J2693" i="2"/>
  <c r="D2694" i="2"/>
  <c r="E2694" i="2"/>
  <c r="F2694" i="2"/>
  <c r="G2694" i="2"/>
  <c r="H2694" i="2"/>
  <c r="J2694" i="2"/>
  <c r="D2695" i="2"/>
  <c r="E2695" i="2"/>
  <c r="F2695" i="2"/>
  <c r="G2695" i="2"/>
  <c r="H2695" i="2"/>
  <c r="J2695" i="2"/>
  <c r="D2696" i="2"/>
  <c r="E2696" i="2"/>
  <c r="F2696" i="2"/>
  <c r="G2696" i="2"/>
  <c r="H2696" i="2"/>
  <c r="J2696" i="2"/>
  <c r="D2697" i="2"/>
  <c r="E2697" i="2"/>
  <c r="F2697" i="2"/>
  <c r="G2697" i="2"/>
  <c r="H2697" i="2"/>
  <c r="J2697" i="2"/>
  <c r="D2698" i="2"/>
  <c r="E2698" i="2"/>
  <c r="F2698" i="2"/>
  <c r="G2698" i="2"/>
  <c r="H2698" i="2"/>
  <c r="J2698" i="2"/>
  <c r="D2699" i="2"/>
  <c r="E2699" i="2"/>
  <c r="F2699" i="2"/>
  <c r="G2699" i="2"/>
  <c r="H2699" i="2"/>
  <c r="J2699" i="2"/>
  <c r="D2700" i="2"/>
  <c r="E2700" i="2"/>
  <c r="F2700" i="2"/>
  <c r="G2700" i="2"/>
  <c r="H2700" i="2"/>
  <c r="J2700" i="2"/>
  <c r="D2701" i="2"/>
  <c r="E2701" i="2"/>
  <c r="F2701" i="2"/>
  <c r="G2701" i="2"/>
  <c r="H2701" i="2"/>
  <c r="J2701" i="2"/>
  <c r="D2702" i="2"/>
  <c r="E2702" i="2"/>
  <c r="F2702" i="2"/>
  <c r="G2702" i="2"/>
  <c r="H2702" i="2"/>
  <c r="J2702" i="2"/>
  <c r="D2703" i="2"/>
  <c r="E2703" i="2"/>
  <c r="F2703" i="2"/>
  <c r="G2703" i="2"/>
  <c r="H2703" i="2"/>
  <c r="J2703" i="2"/>
  <c r="D2704" i="2"/>
  <c r="E2704" i="2"/>
  <c r="F2704" i="2"/>
  <c r="G2704" i="2"/>
  <c r="H2704" i="2"/>
  <c r="J2704" i="2"/>
  <c r="D2705" i="2"/>
  <c r="E2705" i="2"/>
  <c r="F2705" i="2"/>
  <c r="G2705" i="2"/>
  <c r="H2705" i="2"/>
  <c r="J2705" i="2"/>
  <c r="D2706" i="2"/>
  <c r="E2706" i="2"/>
  <c r="F2706" i="2"/>
  <c r="G2706" i="2"/>
  <c r="H2706" i="2"/>
  <c r="J2706" i="2"/>
  <c r="D2707" i="2"/>
  <c r="E2707" i="2"/>
  <c r="F2707" i="2"/>
  <c r="G2707" i="2"/>
  <c r="H2707" i="2"/>
  <c r="J2707" i="2"/>
  <c r="D2708" i="2"/>
  <c r="E2708" i="2"/>
  <c r="F2708" i="2"/>
  <c r="G2708" i="2"/>
  <c r="H2708" i="2"/>
  <c r="J2708" i="2"/>
  <c r="D2709" i="2"/>
  <c r="E2709" i="2"/>
  <c r="F2709" i="2"/>
  <c r="G2709" i="2"/>
  <c r="H2709" i="2"/>
  <c r="J2709" i="2"/>
  <c r="D2710" i="2"/>
  <c r="E2710" i="2"/>
  <c r="F2710" i="2"/>
  <c r="G2710" i="2"/>
  <c r="H2710" i="2"/>
  <c r="J2710" i="2"/>
  <c r="D2711" i="2"/>
  <c r="E2711" i="2"/>
  <c r="F2711" i="2"/>
  <c r="G2711" i="2"/>
  <c r="H2711" i="2"/>
  <c r="J2711" i="2"/>
  <c r="D2712" i="2"/>
  <c r="E2712" i="2"/>
  <c r="F2712" i="2"/>
  <c r="G2712" i="2"/>
  <c r="H2712" i="2"/>
  <c r="J2712" i="2"/>
  <c r="D2713" i="2"/>
  <c r="E2713" i="2"/>
  <c r="F2713" i="2"/>
  <c r="G2713" i="2"/>
  <c r="H2713" i="2"/>
  <c r="J2713" i="2"/>
  <c r="D2714" i="2"/>
  <c r="E2714" i="2"/>
  <c r="F2714" i="2"/>
  <c r="G2714" i="2"/>
  <c r="H2714" i="2"/>
  <c r="J2714" i="2"/>
  <c r="D2715" i="2"/>
  <c r="E2715" i="2"/>
  <c r="F2715" i="2"/>
  <c r="G2715" i="2"/>
  <c r="H2715" i="2"/>
  <c r="J2715" i="2"/>
  <c r="D2716" i="2"/>
  <c r="E2716" i="2"/>
  <c r="F2716" i="2"/>
  <c r="G2716" i="2"/>
  <c r="H2716" i="2"/>
  <c r="J2716" i="2"/>
  <c r="D2717" i="2"/>
  <c r="E2717" i="2"/>
  <c r="F2717" i="2"/>
  <c r="G2717" i="2"/>
  <c r="H2717" i="2"/>
  <c r="J2717" i="2"/>
  <c r="D2718" i="2"/>
  <c r="E2718" i="2"/>
  <c r="F2718" i="2"/>
  <c r="G2718" i="2"/>
  <c r="H2718" i="2"/>
  <c r="J2718" i="2"/>
  <c r="D2719" i="2"/>
  <c r="E2719" i="2"/>
  <c r="F2719" i="2"/>
  <c r="G2719" i="2"/>
  <c r="H2719" i="2"/>
  <c r="J2719" i="2"/>
  <c r="D2720" i="2"/>
  <c r="E2720" i="2"/>
  <c r="F2720" i="2"/>
  <c r="G2720" i="2"/>
  <c r="H2720" i="2"/>
  <c r="J2720" i="2"/>
  <c r="D2721" i="2"/>
  <c r="E2721" i="2"/>
  <c r="F2721" i="2"/>
  <c r="G2721" i="2"/>
  <c r="H2721" i="2"/>
  <c r="J2721" i="2"/>
  <c r="D2722" i="2"/>
  <c r="E2722" i="2"/>
  <c r="F2722" i="2"/>
  <c r="G2722" i="2"/>
  <c r="H2722" i="2"/>
  <c r="J2722" i="2"/>
  <c r="D2723" i="2"/>
  <c r="E2723" i="2"/>
  <c r="F2723" i="2"/>
  <c r="G2723" i="2"/>
  <c r="H2723" i="2"/>
  <c r="J2723" i="2"/>
  <c r="D2724" i="2"/>
  <c r="E2724" i="2"/>
  <c r="F2724" i="2"/>
  <c r="G2724" i="2"/>
  <c r="H2724" i="2"/>
  <c r="J2724" i="2"/>
  <c r="D2725" i="2"/>
  <c r="E2725" i="2"/>
  <c r="F2725" i="2"/>
  <c r="G2725" i="2"/>
  <c r="H2725" i="2"/>
  <c r="J2725" i="2"/>
  <c r="D2726" i="2"/>
  <c r="E2726" i="2"/>
  <c r="F2726" i="2"/>
  <c r="G2726" i="2"/>
  <c r="H2726" i="2"/>
  <c r="J2726" i="2"/>
  <c r="D2727" i="2"/>
  <c r="E2727" i="2"/>
  <c r="F2727" i="2"/>
  <c r="G2727" i="2"/>
  <c r="H2727" i="2"/>
  <c r="J2727" i="2"/>
  <c r="D2728" i="2"/>
  <c r="E2728" i="2"/>
  <c r="F2728" i="2"/>
  <c r="G2728" i="2"/>
  <c r="H2728" i="2"/>
  <c r="J2728" i="2"/>
  <c r="D2729" i="2"/>
  <c r="E2729" i="2"/>
  <c r="F2729" i="2"/>
  <c r="G2729" i="2"/>
  <c r="H2729" i="2"/>
  <c r="J2729" i="2"/>
  <c r="D2730" i="2"/>
  <c r="E2730" i="2"/>
  <c r="F2730" i="2"/>
  <c r="G2730" i="2"/>
  <c r="H2730" i="2"/>
  <c r="J2730" i="2"/>
  <c r="D2731" i="2"/>
  <c r="E2731" i="2"/>
  <c r="F2731" i="2"/>
  <c r="G2731" i="2"/>
  <c r="H2731" i="2"/>
  <c r="J2731" i="2"/>
  <c r="D2732" i="2"/>
  <c r="E2732" i="2"/>
  <c r="F2732" i="2"/>
  <c r="G2732" i="2"/>
  <c r="H2732" i="2"/>
  <c r="J2732" i="2"/>
  <c r="D2733" i="2"/>
  <c r="E2733" i="2"/>
  <c r="F2733" i="2"/>
  <c r="G2733" i="2"/>
  <c r="H2733" i="2"/>
  <c r="J2733" i="2"/>
  <c r="D2734" i="2"/>
  <c r="E2734" i="2"/>
  <c r="F2734" i="2"/>
  <c r="G2734" i="2"/>
  <c r="H2734" i="2"/>
  <c r="J2734" i="2"/>
  <c r="D2735" i="2"/>
  <c r="E2735" i="2"/>
  <c r="F2735" i="2"/>
  <c r="G2735" i="2"/>
  <c r="H2735" i="2"/>
  <c r="J2735" i="2"/>
  <c r="D2736" i="2"/>
  <c r="E2736" i="2"/>
  <c r="F2736" i="2"/>
  <c r="G2736" i="2"/>
  <c r="H2736" i="2"/>
  <c r="J2736" i="2"/>
  <c r="D2737" i="2"/>
  <c r="E2737" i="2"/>
  <c r="F2737" i="2"/>
  <c r="G2737" i="2"/>
  <c r="H2737" i="2"/>
  <c r="J2737" i="2"/>
  <c r="D2738" i="2"/>
  <c r="E2738" i="2"/>
  <c r="F2738" i="2"/>
  <c r="G2738" i="2"/>
  <c r="H2738" i="2"/>
  <c r="J2738" i="2"/>
  <c r="D2739" i="2"/>
  <c r="E2739" i="2"/>
  <c r="F2739" i="2"/>
  <c r="G2739" i="2"/>
  <c r="H2739" i="2"/>
  <c r="J2739" i="2"/>
  <c r="D2740" i="2"/>
  <c r="E2740" i="2"/>
  <c r="F2740" i="2"/>
  <c r="G2740" i="2"/>
  <c r="H2740" i="2"/>
  <c r="J2740" i="2"/>
  <c r="D2741" i="2"/>
  <c r="E2741" i="2"/>
  <c r="F2741" i="2"/>
  <c r="G2741" i="2"/>
  <c r="H2741" i="2"/>
  <c r="J2741" i="2"/>
  <c r="D2742" i="2"/>
  <c r="E2742" i="2"/>
  <c r="F2742" i="2"/>
  <c r="G2742" i="2"/>
  <c r="H2742" i="2"/>
  <c r="J2742" i="2"/>
  <c r="D2743" i="2"/>
  <c r="E2743" i="2"/>
  <c r="F2743" i="2"/>
  <c r="G2743" i="2"/>
  <c r="H2743" i="2"/>
  <c r="J2743" i="2"/>
  <c r="D2744" i="2"/>
  <c r="E2744" i="2"/>
  <c r="F2744" i="2"/>
  <c r="G2744" i="2"/>
  <c r="H2744" i="2"/>
  <c r="J2744" i="2"/>
  <c r="D2745" i="2"/>
  <c r="E2745" i="2"/>
  <c r="F2745" i="2"/>
  <c r="G2745" i="2"/>
  <c r="H2745" i="2"/>
  <c r="J2745" i="2"/>
  <c r="D2746" i="2"/>
  <c r="E2746" i="2"/>
  <c r="F2746" i="2"/>
  <c r="G2746" i="2"/>
  <c r="H2746" i="2"/>
  <c r="J2746" i="2"/>
  <c r="D2747" i="2"/>
  <c r="E2747" i="2"/>
  <c r="F2747" i="2"/>
  <c r="G2747" i="2"/>
  <c r="H2747" i="2"/>
  <c r="J2747" i="2"/>
  <c r="D2748" i="2"/>
  <c r="E2748" i="2"/>
  <c r="F2748" i="2"/>
  <c r="G2748" i="2"/>
  <c r="H2748" i="2"/>
  <c r="J2748" i="2"/>
  <c r="D2749" i="2"/>
  <c r="E2749" i="2"/>
  <c r="F2749" i="2"/>
  <c r="G2749" i="2"/>
  <c r="H2749" i="2"/>
  <c r="J2749" i="2"/>
  <c r="D2750" i="2"/>
  <c r="E2750" i="2"/>
  <c r="F2750" i="2"/>
  <c r="G2750" i="2"/>
  <c r="H2750" i="2"/>
  <c r="J2750" i="2"/>
  <c r="D2751" i="2"/>
  <c r="E2751" i="2"/>
  <c r="F2751" i="2"/>
  <c r="G2751" i="2"/>
  <c r="H2751" i="2"/>
  <c r="J2751" i="2"/>
  <c r="D2752" i="2"/>
  <c r="E2752" i="2"/>
  <c r="F2752" i="2"/>
  <c r="G2752" i="2"/>
  <c r="H2752" i="2"/>
  <c r="J2752" i="2"/>
  <c r="D2753" i="2"/>
  <c r="E2753" i="2"/>
  <c r="F2753" i="2"/>
  <c r="G2753" i="2"/>
  <c r="H2753" i="2"/>
  <c r="J2753" i="2"/>
  <c r="D2754" i="2"/>
  <c r="E2754" i="2"/>
  <c r="F2754" i="2"/>
  <c r="G2754" i="2"/>
  <c r="H2754" i="2"/>
  <c r="J2754" i="2"/>
  <c r="D2755" i="2"/>
  <c r="E2755" i="2"/>
  <c r="F2755" i="2"/>
  <c r="G2755" i="2"/>
  <c r="H2755" i="2"/>
  <c r="J2755" i="2"/>
  <c r="D2756" i="2"/>
  <c r="E2756" i="2"/>
  <c r="F2756" i="2"/>
  <c r="G2756" i="2"/>
  <c r="H2756" i="2"/>
  <c r="J2756" i="2"/>
  <c r="D2757" i="2"/>
  <c r="E2757" i="2"/>
  <c r="F2757" i="2"/>
  <c r="G2757" i="2"/>
  <c r="H2757" i="2"/>
  <c r="J2757" i="2"/>
  <c r="D2758" i="2"/>
  <c r="E2758" i="2"/>
  <c r="F2758" i="2"/>
  <c r="G2758" i="2"/>
  <c r="H2758" i="2"/>
  <c r="J2758" i="2"/>
  <c r="D2759" i="2"/>
  <c r="E2759" i="2"/>
  <c r="F2759" i="2"/>
  <c r="G2759" i="2"/>
  <c r="H2759" i="2"/>
  <c r="J2759" i="2"/>
  <c r="D2760" i="2"/>
  <c r="E2760" i="2"/>
  <c r="F2760" i="2"/>
  <c r="G2760" i="2"/>
  <c r="H2760" i="2"/>
  <c r="J2760" i="2"/>
  <c r="D2761" i="2"/>
  <c r="E2761" i="2"/>
  <c r="F2761" i="2"/>
  <c r="G2761" i="2"/>
  <c r="H2761" i="2"/>
  <c r="J2761" i="2"/>
  <c r="D2762" i="2"/>
  <c r="E2762" i="2"/>
  <c r="F2762" i="2"/>
  <c r="G2762" i="2"/>
  <c r="H2762" i="2"/>
  <c r="J2762" i="2"/>
  <c r="D2763" i="2"/>
  <c r="E2763" i="2"/>
  <c r="F2763" i="2"/>
  <c r="G2763" i="2"/>
  <c r="H2763" i="2"/>
  <c r="J2763" i="2"/>
  <c r="D2764" i="2"/>
  <c r="E2764" i="2"/>
  <c r="F2764" i="2"/>
  <c r="G2764" i="2"/>
  <c r="H2764" i="2"/>
  <c r="J2764" i="2"/>
  <c r="D2765" i="2"/>
  <c r="E2765" i="2"/>
  <c r="F2765" i="2"/>
  <c r="G2765" i="2"/>
  <c r="H2765" i="2"/>
  <c r="J2765" i="2"/>
  <c r="D2766" i="2"/>
  <c r="E2766" i="2"/>
  <c r="F2766" i="2"/>
  <c r="G2766" i="2"/>
  <c r="H2766" i="2"/>
  <c r="J2766" i="2"/>
  <c r="D2767" i="2"/>
  <c r="E2767" i="2"/>
  <c r="F2767" i="2"/>
  <c r="G2767" i="2"/>
  <c r="H2767" i="2"/>
  <c r="J2767" i="2"/>
  <c r="D2768" i="2"/>
  <c r="E2768" i="2"/>
  <c r="F2768" i="2"/>
  <c r="G2768" i="2"/>
  <c r="H2768" i="2"/>
  <c r="J2768" i="2"/>
  <c r="D2769" i="2"/>
  <c r="E2769" i="2"/>
  <c r="F2769" i="2"/>
  <c r="G2769" i="2"/>
  <c r="H2769" i="2"/>
  <c r="J2769" i="2"/>
  <c r="D2770" i="2"/>
  <c r="E2770" i="2"/>
  <c r="F2770" i="2"/>
  <c r="G2770" i="2"/>
  <c r="H2770" i="2"/>
  <c r="J2770" i="2"/>
  <c r="D2771" i="2"/>
  <c r="E2771" i="2"/>
  <c r="F2771" i="2"/>
  <c r="G2771" i="2"/>
  <c r="H2771" i="2"/>
  <c r="J2771" i="2"/>
  <c r="D2772" i="2"/>
  <c r="E2772" i="2"/>
  <c r="F2772" i="2"/>
  <c r="G2772" i="2"/>
  <c r="H2772" i="2"/>
  <c r="J2772" i="2"/>
  <c r="D2773" i="2"/>
  <c r="E2773" i="2"/>
  <c r="F2773" i="2"/>
  <c r="G2773" i="2"/>
  <c r="H2773" i="2"/>
  <c r="J2773" i="2"/>
  <c r="D2774" i="2"/>
  <c r="E2774" i="2"/>
  <c r="F2774" i="2"/>
  <c r="G2774" i="2"/>
  <c r="H2774" i="2"/>
  <c r="J2774" i="2"/>
  <c r="D2775" i="2"/>
  <c r="E2775" i="2"/>
  <c r="F2775" i="2"/>
  <c r="G2775" i="2"/>
  <c r="H2775" i="2"/>
  <c r="J2775" i="2"/>
  <c r="D2776" i="2"/>
  <c r="E2776" i="2"/>
  <c r="F2776" i="2"/>
  <c r="G2776" i="2"/>
  <c r="H2776" i="2"/>
  <c r="J2776" i="2"/>
  <c r="D2777" i="2"/>
  <c r="E2777" i="2"/>
  <c r="F2777" i="2"/>
  <c r="G2777" i="2"/>
  <c r="H2777" i="2"/>
  <c r="J2777" i="2"/>
  <c r="D2778" i="2"/>
  <c r="E2778" i="2"/>
  <c r="F2778" i="2"/>
  <c r="G2778" i="2"/>
  <c r="H2778" i="2"/>
  <c r="J2778" i="2"/>
  <c r="D2779" i="2"/>
  <c r="E2779" i="2"/>
  <c r="F2779" i="2"/>
  <c r="G2779" i="2"/>
  <c r="H2779" i="2"/>
  <c r="J2779" i="2"/>
  <c r="D2780" i="2"/>
  <c r="E2780" i="2"/>
  <c r="F2780" i="2"/>
  <c r="G2780" i="2"/>
  <c r="H2780" i="2"/>
  <c r="J2780" i="2"/>
  <c r="D2781" i="2"/>
  <c r="E2781" i="2"/>
  <c r="F2781" i="2"/>
  <c r="G2781" i="2"/>
  <c r="H2781" i="2"/>
  <c r="J2781" i="2"/>
  <c r="D2782" i="2"/>
  <c r="E2782" i="2"/>
  <c r="F2782" i="2"/>
  <c r="G2782" i="2"/>
  <c r="H2782" i="2"/>
  <c r="J2782" i="2"/>
  <c r="D2783" i="2"/>
  <c r="E2783" i="2"/>
  <c r="F2783" i="2"/>
  <c r="G2783" i="2"/>
  <c r="H2783" i="2"/>
  <c r="J2783" i="2"/>
  <c r="D2784" i="2"/>
  <c r="E2784" i="2"/>
  <c r="F2784" i="2"/>
  <c r="G2784" i="2"/>
  <c r="H2784" i="2"/>
  <c r="J2784" i="2"/>
  <c r="D2785" i="2"/>
  <c r="E2785" i="2"/>
  <c r="F2785" i="2"/>
  <c r="G2785" i="2"/>
  <c r="H2785" i="2"/>
  <c r="J2785" i="2"/>
  <c r="D2786" i="2"/>
  <c r="E2786" i="2"/>
  <c r="F2786" i="2"/>
  <c r="G2786" i="2"/>
  <c r="H2786" i="2"/>
  <c r="J2786" i="2"/>
  <c r="D2787" i="2"/>
  <c r="E2787" i="2"/>
  <c r="F2787" i="2"/>
  <c r="G2787" i="2"/>
  <c r="H2787" i="2"/>
  <c r="J2787" i="2"/>
  <c r="D2788" i="2"/>
  <c r="E2788" i="2"/>
  <c r="F2788" i="2"/>
  <c r="G2788" i="2"/>
  <c r="H2788" i="2"/>
  <c r="J2788" i="2"/>
  <c r="D2789" i="2"/>
  <c r="E2789" i="2"/>
  <c r="F2789" i="2"/>
  <c r="G2789" i="2"/>
  <c r="H2789" i="2"/>
  <c r="J2789" i="2"/>
  <c r="D2790" i="2"/>
  <c r="E2790" i="2"/>
  <c r="F2790" i="2"/>
  <c r="G2790" i="2"/>
  <c r="H2790" i="2"/>
  <c r="J2790" i="2"/>
  <c r="D2791" i="2"/>
  <c r="E2791" i="2"/>
  <c r="F2791" i="2"/>
  <c r="G2791" i="2"/>
  <c r="H2791" i="2"/>
  <c r="J2791" i="2"/>
  <c r="D2792" i="2"/>
  <c r="E2792" i="2"/>
  <c r="F2792" i="2"/>
  <c r="G2792" i="2"/>
  <c r="H2792" i="2"/>
  <c r="J2792" i="2"/>
  <c r="D2793" i="2"/>
  <c r="E2793" i="2"/>
  <c r="F2793" i="2"/>
  <c r="G2793" i="2"/>
  <c r="H2793" i="2"/>
  <c r="J2793" i="2"/>
  <c r="D2794" i="2"/>
  <c r="E2794" i="2"/>
  <c r="F2794" i="2"/>
  <c r="G2794" i="2"/>
  <c r="H2794" i="2"/>
  <c r="J2794" i="2"/>
  <c r="D2795" i="2"/>
  <c r="E2795" i="2"/>
  <c r="F2795" i="2"/>
  <c r="G2795" i="2"/>
  <c r="H2795" i="2"/>
  <c r="J2795" i="2"/>
  <c r="D2796" i="2"/>
  <c r="E2796" i="2"/>
  <c r="F2796" i="2"/>
  <c r="G2796" i="2"/>
  <c r="H2796" i="2"/>
  <c r="J2796" i="2"/>
  <c r="D2797" i="2"/>
  <c r="E2797" i="2"/>
  <c r="F2797" i="2"/>
  <c r="G2797" i="2"/>
  <c r="H2797" i="2"/>
  <c r="J2797" i="2"/>
  <c r="D2798" i="2"/>
  <c r="E2798" i="2"/>
  <c r="F2798" i="2"/>
  <c r="G2798" i="2"/>
  <c r="H2798" i="2"/>
  <c r="J2798" i="2"/>
  <c r="D2799" i="2"/>
  <c r="E2799" i="2"/>
  <c r="F2799" i="2"/>
  <c r="G2799" i="2"/>
  <c r="H2799" i="2"/>
  <c r="J2799" i="2"/>
  <c r="D2800" i="2"/>
  <c r="E2800" i="2"/>
  <c r="F2800" i="2"/>
  <c r="G2800" i="2"/>
  <c r="H2800" i="2"/>
  <c r="J2800" i="2"/>
  <c r="D2801" i="2"/>
  <c r="E2801" i="2"/>
  <c r="F2801" i="2"/>
  <c r="G2801" i="2"/>
  <c r="H2801" i="2"/>
  <c r="J2801" i="2"/>
  <c r="D2802" i="2"/>
  <c r="E2802" i="2"/>
  <c r="F2802" i="2"/>
  <c r="G2802" i="2"/>
  <c r="H2802" i="2"/>
  <c r="J2802" i="2"/>
  <c r="D2803" i="2"/>
  <c r="E2803" i="2"/>
  <c r="F2803" i="2"/>
  <c r="G2803" i="2"/>
  <c r="H2803" i="2"/>
  <c r="J2803" i="2"/>
  <c r="D2804" i="2"/>
  <c r="E2804" i="2"/>
  <c r="F2804" i="2"/>
  <c r="G2804" i="2"/>
  <c r="H2804" i="2"/>
  <c r="J2804" i="2"/>
  <c r="D2805" i="2"/>
  <c r="E2805" i="2"/>
  <c r="F2805" i="2"/>
  <c r="G2805" i="2"/>
  <c r="H2805" i="2"/>
  <c r="J2805" i="2"/>
  <c r="D2806" i="2"/>
  <c r="E2806" i="2"/>
  <c r="F2806" i="2"/>
  <c r="G2806" i="2"/>
  <c r="H2806" i="2"/>
  <c r="J2806" i="2"/>
  <c r="D2807" i="2"/>
  <c r="E2807" i="2"/>
  <c r="F2807" i="2"/>
  <c r="G2807" i="2"/>
  <c r="H2807" i="2"/>
  <c r="J2807" i="2"/>
  <c r="D2808" i="2"/>
  <c r="E2808" i="2"/>
  <c r="F2808" i="2"/>
  <c r="G2808" i="2"/>
  <c r="H2808" i="2"/>
  <c r="J2808" i="2"/>
  <c r="D2809" i="2"/>
  <c r="E2809" i="2"/>
  <c r="F2809" i="2"/>
  <c r="G2809" i="2"/>
  <c r="H2809" i="2"/>
  <c r="J2809" i="2"/>
  <c r="D2810" i="2"/>
  <c r="E2810" i="2"/>
  <c r="F2810" i="2"/>
  <c r="G2810" i="2"/>
  <c r="H2810" i="2"/>
  <c r="J2810" i="2"/>
  <c r="D2811" i="2"/>
  <c r="E2811" i="2"/>
  <c r="F2811" i="2"/>
  <c r="G2811" i="2"/>
  <c r="H2811" i="2"/>
  <c r="J2811" i="2"/>
  <c r="D2812" i="2"/>
  <c r="E2812" i="2"/>
  <c r="F2812" i="2"/>
  <c r="G2812" i="2"/>
  <c r="H2812" i="2"/>
  <c r="J2812" i="2"/>
  <c r="D2813" i="2"/>
  <c r="E2813" i="2"/>
  <c r="F2813" i="2"/>
  <c r="G2813" i="2"/>
  <c r="H2813" i="2"/>
  <c r="J2813" i="2"/>
  <c r="D2814" i="2"/>
  <c r="E2814" i="2"/>
  <c r="F2814" i="2"/>
  <c r="G2814" i="2"/>
  <c r="H2814" i="2"/>
  <c r="J2814" i="2"/>
  <c r="D2815" i="2"/>
  <c r="E2815" i="2"/>
  <c r="F2815" i="2"/>
  <c r="G2815" i="2"/>
  <c r="H2815" i="2"/>
  <c r="J2815" i="2"/>
  <c r="D2816" i="2"/>
  <c r="E2816" i="2"/>
  <c r="F2816" i="2"/>
  <c r="G2816" i="2"/>
  <c r="H2816" i="2"/>
  <c r="J2816" i="2"/>
  <c r="D2817" i="2"/>
  <c r="E2817" i="2"/>
  <c r="F2817" i="2"/>
  <c r="G2817" i="2"/>
  <c r="H2817" i="2"/>
  <c r="J2817" i="2"/>
  <c r="D2818" i="2"/>
  <c r="E2818" i="2"/>
  <c r="F2818" i="2"/>
  <c r="G2818" i="2"/>
  <c r="H2818" i="2"/>
  <c r="J2818" i="2"/>
  <c r="D2819" i="2"/>
  <c r="E2819" i="2"/>
  <c r="F2819" i="2"/>
  <c r="G2819" i="2"/>
  <c r="H2819" i="2"/>
  <c r="J2819" i="2"/>
  <c r="D2820" i="2"/>
  <c r="E2820" i="2"/>
  <c r="F2820" i="2"/>
  <c r="G2820" i="2"/>
  <c r="H2820" i="2"/>
  <c r="J2820" i="2"/>
  <c r="D2821" i="2"/>
  <c r="E2821" i="2"/>
  <c r="F2821" i="2"/>
  <c r="G2821" i="2"/>
  <c r="H2821" i="2"/>
  <c r="J2821" i="2"/>
  <c r="D2822" i="2"/>
  <c r="E2822" i="2"/>
  <c r="F2822" i="2"/>
  <c r="G2822" i="2"/>
  <c r="H2822" i="2"/>
  <c r="J2822" i="2"/>
  <c r="D2823" i="2"/>
  <c r="E2823" i="2"/>
  <c r="F2823" i="2"/>
  <c r="G2823" i="2"/>
  <c r="H2823" i="2"/>
  <c r="J2823" i="2"/>
  <c r="D2824" i="2"/>
  <c r="E2824" i="2"/>
  <c r="F2824" i="2"/>
  <c r="G2824" i="2"/>
  <c r="H2824" i="2"/>
  <c r="J2824" i="2"/>
  <c r="D2825" i="2"/>
  <c r="E2825" i="2"/>
  <c r="F2825" i="2"/>
  <c r="G2825" i="2"/>
  <c r="H2825" i="2"/>
  <c r="J2825" i="2"/>
  <c r="D2826" i="2"/>
  <c r="E2826" i="2"/>
  <c r="F2826" i="2"/>
  <c r="G2826" i="2"/>
  <c r="H2826" i="2"/>
  <c r="J2826" i="2"/>
  <c r="D2827" i="2"/>
  <c r="E2827" i="2"/>
  <c r="F2827" i="2"/>
  <c r="G2827" i="2"/>
  <c r="H2827" i="2"/>
  <c r="J2827" i="2"/>
  <c r="D2828" i="2"/>
  <c r="E2828" i="2"/>
  <c r="F2828" i="2"/>
  <c r="G2828" i="2"/>
  <c r="H2828" i="2"/>
  <c r="J2828" i="2"/>
  <c r="D2829" i="2"/>
  <c r="E2829" i="2"/>
  <c r="F2829" i="2"/>
  <c r="G2829" i="2"/>
  <c r="H2829" i="2"/>
  <c r="J2829" i="2"/>
  <c r="D2830" i="2"/>
  <c r="E2830" i="2"/>
  <c r="F2830" i="2"/>
  <c r="G2830" i="2"/>
  <c r="H2830" i="2"/>
  <c r="J2830" i="2"/>
  <c r="D2831" i="2"/>
  <c r="E2831" i="2"/>
  <c r="F2831" i="2"/>
  <c r="G2831" i="2"/>
  <c r="H2831" i="2"/>
  <c r="J2831" i="2"/>
  <c r="D2832" i="2"/>
  <c r="E2832" i="2"/>
  <c r="F2832" i="2"/>
  <c r="G2832" i="2"/>
  <c r="H2832" i="2"/>
  <c r="J2832" i="2"/>
  <c r="D2833" i="2"/>
  <c r="E2833" i="2"/>
  <c r="F2833" i="2"/>
  <c r="G2833" i="2"/>
  <c r="H2833" i="2"/>
  <c r="J2833" i="2"/>
  <c r="D2834" i="2"/>
  <c r="E2834" i="2"/>
  <c r="F2834" i="2"/>
  <c r="G2834" i="2"/>
  <c r="H2834" i="2"/>
  <c r="J2834" i="2"/>
  <c r="D2835" i="2"/>
  <c r="E2835" i="2"/>
  <c r="F2835" i="2"/>
  <c r="G2835" i="2"/>
  <c r="H2835" i="2"/>
  <c r="J2835" i="2"/>
  <c r="D2836" i="2"/>
  <c r="E2836" i="2"/>
  <c r="F2836" i="2"/>
  <c r="G2836" i="2"/>
  <c r="H2836" i="2"/>
  <c r="J2836" i="2"/>
  <c r="D2837" i="2"/>
  <c r="E2837" i="2"/>
  <c r="F2837" i="2"/>
  <c r="G2837" i="2"/>
  <c r="H2837" i="2"/>
  <c r="J2837" i="2"/>
  <c r="D2838" i="2"/>
  <c r="E2838" i="2"/>
  <c r="F2838" i="2"/>
  <c r="G2838" i="2"/>
  <c r="H2838" i="2"/>
  <c r="J2838" i="2"/>
  <c r="D2839" i="2"/>
  <c r="E2839" i="2"/>
  <c r="F2839" i="2"/>
  <c r="G2839" i="2"/>
  <c r="H2839" i="2"/>
  <c r="J2839" i="2"/>
  <c r="D2840" i="2"/>
  <c r="E2840" i="2"/>
  <c r="F2840" i="2"/>
  <c r="G2840" i="2"/>
  <c r="H2840" i="2"/>
  <c r="J2840" i="2"/>
  <c r="D2841" i="2"/>
  <c r="E2841" i="2"/>
  <c r="F2841" i="2"/>
  <c r="G2841" i="2"/>
  <c r="H2841" i="2"/>
  <c r="J2841" i="2"/>
  <c r="D2842" i="2"/>
  <c r="E2842" i="2"/>
  <c r="F2842" i="2"/>
  <c r="G2842" i="2"/>
  <c r="H2842" i="2"/>
  <c r="J2842" i="2"/>
  <c r="D2843" i="2"/>
  <c r="E2843" i="2"/>
  <c r="F2843" i="2"/>
  <c r="G2843" i="2"/>
  <c r="H2843" i="2"/>
  <c r="J2843" i="2"/>
  <c r="D2844" i="2"/>
  <c r="E2844" i="2"/>
  <c r="F2844" i="2"/>
  <c r="G2844" i="2"/>
  <c r="H2844" i="2"/>
  <c r="J2844" i="2"/>
  <c r="D2845" i="2"/>
  <c r="E2845" i="2"/>
  <c r="F2845" i="2"/>
  <c r="G2845" i="2"/>
  <c r="H2845" i="2"/>
  <c r="J2845" i="2"/>
  <c r="D2846" i="2"/>
  <c r="E2846" i="2"/>
  <c r="F2846" i="2"/>
  <c r="G2846" i="2"/>
  <c r="H2846" i="2"/>
  <c r="J2846" i="2"/>
  <c r="D2847" i="2"/>
  <c r="E2847" i="2"/>
  <c r="F2847" i="2"/>
  <c r="G2847" i="2"/>
  <c r="H2847" i="2"/>
  <c r="J2847" i="2"/>
  <c r="D2848" i="2"/>
  <c r="E2848" i="2"/>
  <c r="F2848" i="2"/>
  <c r="G2848" i="2"/>
  <c r="H2848" i="2"/>
  <c r="J2848" i="2"/>
  <c r="D2849" i="2"/>
  <c r="E2849" i="2"/>
  <c r="F2849" i="2"/>
  <c r="G2849" i="2"/>
  <c r="H2849" i="2"/>
  <c r="J2849" i="2"/>
  <c r="D2850" i="2"/>
  <c r="E2850" i="2"/>
  <c r="F2850" i="2"/>
  <c r="G2850" i="2"/>
  <c r="H2850" i="2"/>
  <c r="J2850" i="2"/>
  <c r="D2851" i="2"/>
  <c r="E2851" i="2"/>
  <c r="F2851" i="2"/>
  <c r="G2851" i="2"/>
  <c r="H2851" i="2"/>
  <c r="J2851" i="2"/>
  <c r="D2852" i="2"/>
  <c r="E2852" i="2"/>
  <c r="F2852" i="2"/>
  <c r="G2852" i="2"/>
  <c r="H2852" i="2"/>
  <c r="J2852" i="2"/>
  <c r="D2853" i="2"/>
  <c r="E2853" i="2"/>
  <c r="F2853" i="2"/>
  <c r="G2853" i="2"/>
  <c r="H2853" i="2"/>
  <c r="J2853" i="2"/>
  <c r="D2854" i="2"/>
  <c r="E2854" i="2"/>
  <c r="F2854" i="2"/>
  <c r="G2854" i="2"/>
  <c r="H2854" i="2"/>
  <c r="J2854" i="2"/>
  <c r="D2855" i="2"/>
  <c r="E2855" i="2"/>
  <c r="F2855" i="2"/>
  <c r="G2855" i="2"/>
  <c r="H2855" i="2"/>
  <c r="J2855" i="2"/>
  <c r="D2856" i="2"/>
  <c r="E2856" i="2"/>
  <c r="F2856" i="2"/>
  <c r="G2856" i="2"/>
  <c r="H2856" i="2"/>
  <c r="J2856" i="2"/>
  <c r="D2857" i="2"/>
  <c r="E2857" i="2"/>
  <c r="F2857" i="2"/>
  <c r="G2857" i="2"/>
  <c r="H2857" i="2"/>
  <c r="J2857" i="2"/>
  <c r="D2858" i="2"/>
  <c r="E2858" i="2"/>
  <c r="F2858" i="2"/>
  <c r="G2858" i="2"/>
  <c r="H2858" i="2"/>
  <c r="J2858" i="2"/>
  <c r="D2859" i="2"/>
  <c r="E2859" i="2"/>
  <c r="F2859" i="2"/>
  <c r="G2859" i="2"/>
  <c r="H2859" i="2"/>
  <c r="J2859" i="2"/>
  <c r="D2860" i="2"/>
  <c r="E2860" i="2"/>
  <c r="F2860" i="2"/>
  <c r="G2860" i="2"/>
  <c r="H2860" i="2"/>
  <c r="J2860" i="2"/>
  <c r="D2861" i="2"/>
  <c r="E2861" i="2"/>
  <c r="F2861" i="2"/>
  <c r="G2861" i="2"/>
  <c r="H2861" i="2"/>
  <c r="J2861" i="2"/>
  <c r="D2862" i="2"/>
  <c r="E2862" i="2"/>
  <c r="F2862" i="2"/>
  <c r="G2862" i="2"/>
  <c r="H2862" i="2"/>
  <c r="J2862" i="2"/>
  <c r="D2863" i="2"/>
  <c r="E2863" i="2"/>
  <c r="F2863" i="2"/>
  <c r="G2863" i="2"/>
  <c r="H2863" i="2"/>
  <c r="J2863" i="2"/>
  <c r="D2864" i="2"/>
  <c r="E2864" i="2"/>
  <c r="F2864" i="2"/>
  <c r="G2864" i="2"/>
  <c r="H2864" i="2"/>
  <c r="J2864" i="2"/>
  <c r="D2865" i="2"/>
  <c r="E2865" i="2"/>
  <c r="F2865" i="2"/>
  <c r="G2865" i="2"/>
  <c r="H2865" i="2"/>
  <c r="J2865" i="2"/>
  <c r="D2866" i="2"/>
  <c r="E2866" i="2"/>
  <c r="F2866" i="2"/>
  <c r="G2866" i="2"/>
  <c r="H2866" i="2"/>
  <c r="J2866" i="2"/>
  <c r="D2867" i="2"/>
  <c r="E2867" i="2"/>
  <c r="F2867" i="2"/>
  <c r="G2867" i="2"/>
  <c r="H2867" i="2"/>
  <c r="J2867" i="2"/>
  <c r="D2868" i="2"/>
  <c r="E2868" i="2"/>
  <c r="F2868" i="2"/>
  <c r="G2868" i="2"/>
  <c r="H2868" i="2"/>
  <c r="J2868" i="2"/>
  <c r="D2869" i="2"/>
  <c r="E2869" i="2"/>
  <c r="F2869" i="2"/>
  <c r="G2869" i="2"/>
  <c r="H2869" i="2"/>
  <c r="J2869" i="2"/>
  <c r="D2870" i="2"/>
  <c r="E2870" i="2"/>
  <c r="F2870" i="2"/>
  <c r="G2870" i="2"/>
  <c r="H2870" i="2"/>
  <c r="J2870" i="2"/>
  <c r="D2871" i="2"/>
  <c r="E2871" i="2"/>
  <c r="F2871" i="2"/>
  <c r="G2871" i="2"/>
  <c r="H2871" i="2"/>
  <c r="J2871" i="2"/>
  <c r="D2872" i="2"/>
  <c r="E2872" i="2"/>
  <c r="F2872" i="2"/>
  <c r="G2872" i="2"/>
  <c r="H2872" i="2"/>
  <c r="J2872" i="2"/>
  <c r="D2873" i="2"/>
  <c r="E2873" i="2"/>
  <c r="F2873" i="2"/>
  <c r="G2873" i="2"/>
  <c r="H2873" i="2"/>
  <c r="J2873" i="2"/>
  <c r="D2874" i="2"/>
  <c r="E2874" i="2"/>
  <c r="F2874" i="2"/>
  <c r="G2874" i="2"/>
  <c r="H2874" i="2"/>
  <c r="J2874" i="2"/>
  <c r="D2875" i="2"/>
  <c r="E2875" i="2"/>
  <c r="F2875" i="2"/>
  <c r="G2875" i="2"/>
  <c r="H2875" i="2"/>
  <c r="J2875" i="2"/>
  <c r="D2876" i="2"/>
  <c r="E2876" i="2"/>
  <c r="F2876" i="2"/>
  <c r="G2876" i="2"/>
  <c r="H2876" i="2"/>
  <c r="J2876" i="2"/>
  <c r="D2877" i="2"/>
  <c r="E2877" i="2"/>
  <c r="F2877" i="2"/>
  <c r="G2877" i="2"/>
  <c r="H2877" i="2"/>
  <c r="J2877" i="2"/>
  <c r="D2878" i="2"/>
  <c r="E2878" i="2"/>
  <c r="F2878" i="2"/>
  <c r="G2878" i="2"/>
  <c r="H2878" i="2"/>
  <c r="J2878" i="2"/>
  <c r="D2879" i="2"/>
  <c r="E2879" i="2"/>
  <c r="F2879" i="2"/>
  <c r="G2879" i="2"/>
  <c r="H2879" i="2"/>
  <c r="J2879" i="2"/>
  <c r="D2881" i="2"/>
  <c r="E2881" i="2"/>
  <c r="F2881" i="2"/>
  <c r="G2881" i="2"/>
  <c r="H2881" i="2"/>
  <c r="J2881" i="2"/>
  <c r="D2882" i="2"/>
  <c r="E2882" i="2"/>
  <c r="F2882" i="2"/>
  <c r="G2882" i="2"/>
  <c r="H2882" i="2"/>
  <c r="J2882" i="2"/>
  <c r="D2883" i="2"/>
  <c r="E2883" i="2"/>
  <c r="F2883" i="2"/>
  <c r="G2883" i="2"/>
  <c r="H2883" i="2"/>
  <c r="J2883" i="2"/>
  <c r="D2884" i="2"/>
  <c r="E2884" i="2"/>
  <c r="F2884" i="2"/>
  <c r="G2884" i="2"/>
  <c r="H2884" i="2"/>
  <c r="J2884" i="2"/>
  <c r="D2885" i="2"/>
  <c r="E2885" i="2"/>
  <c r="F2885" i="2"/>
  <c r="G2885" i="2"/>
  <c r="H2885" i="2"/>
  <c r="J2885" i="2"/>
  <c r="D2886" i="2"/>
  <c r="E2886" i="2"/>
  <c r="F2886" i="2"/>
  <c r="G2886" i="2"/>
  <c r="H2886" i="2"/>
  <c r="J2886" i="2"/>
  <c r="D2887" i="2"/>
  <c r="E2887" i="2"/>
  <c r="F2887" i="2"/>
  <c r="G2887" i="2"/>
  <c r="H2887" i="2"/>
  <c r="J2887" i="2"/>
  <c r="D2888" i="2"/>
  <c r="E2888" i="2"/>
  <c r="F2888" i="2"/>
  <c r="G2888" i="2"/>
  <c r="H2888" i="2"/>
  <c r="J2888" i="2"/>
  <c r="D2889" i="2"/>
  <c r="E2889" i="2"/>
  <c r="F2889" i="2"/>
  <c r="G2889" i="2"/>
  <c r="H2889" i="2"/>
  <c r="J2889" i="2"/>
  <c r="D2890" i="2"/>
  <c r="E2890" i="2"/>
  <c r="F2890" i="2"/>
  <c r="G2890" i="2"/>
  <c r="H2890" i="2"/>
  <c r="J2890" i="2"/>
  <c r="D2891" i="2"/>
  <c r="E2891" i="2"/>
  <c r="F2891" i="2"/>
  <c r="G2891" i="2"/>
  <c r="H2891" i="2"/>
  <c r="J2891" i="2"/>
  <c r="D2892" i="2"/>
  <c r="E2892" i="2"/>
  <c r="F2892" i="2"/>
  <c r="G2892" i="2"/>
  <c r="H2892" i="2"/>
  <c r="J2892" i="2"/>
  <c r="D2893" i="2"/>
  <c r="E2893" i="2"/>
  <c r="F2893" i="2"/>
  <c r="G2893" i="2"/>
  <c r="H2893" i="2"/>
  <c r="J2893" i="2"/>
  <c r="D2894" i="2"/>
  <c r="E2894" i="2"/>
  <c r="F2894" i="2"/>
  <c r="G2894" i="2"/>
  <c r="H2894" i="2"/>
  <c r="J2894" i="2"/>
  <c r="D2895" i="2"/>
  <c r="E2895" i="2"/>
  <c r="F2895" i="2"/>
  <c r="G2895" i="2"/>
  <c r="H2895" i="2"/>
  <c r="J2895" i="2"/>
  <c r="D2896" i="2"/>
  <c r="E2896" i="2"/>
  <c r="F2896" i="2"/>
  <c r="G2896" i="2"/>
  <c r="H2896" i="2"/>
  <c r="J2896" i="2"/>
  <c r="D2897" i="2"/>
  <c r="E2897" i="2"/>
  <c r="F2897" i="2"/>
  <c r="G2897" i="2"/>
  <c r="H2897" i="2"/>
  <c r="J2897" i="2"/>
  <c r="D2898" i="2"/>
  <c r="E2898" i="2"/>
  <c r="F2898" i="2"/>
  <c r="G2898" i="2"/>
  <c r="H2898" i="2"/>
  <c r="J2898" i="2"/>
  <c r="D2899" i="2"/>
  <c r="E2899" i="2"/>
  <c r="F2899" i="2"/>
  <c r="G2899" i="2"/>
  <c r="H2899" i="2"/>
  <c r="J2899" i="2"/>
  <c r="D2900" i="2"/>
  <c r="E2900" i="2"/>
  <c r="F2900" i="2"/>
  <c r="G2900" i="2"/>
  <c r="H2900" i="2"/>
  <c r="J2900" i="2"/>
  <c r="D2901" i="2"/>
  <c r="E2901" i="2"/>
  <c r="F2901" i="2"/>
  <c r="G2901" i="2"/>
  <c r="H2901" i="2"/>
  <c r="J2901" i="2"/>
  <c r="D2902" i="2"/>
  <c r="E2902" i="2"/>
  <c r="F2902" i="2"/>
  <c r="G2902" i="2"/>
  <c r="H2902" i="2"/>
  <c r="J2902" i="2"/>
  <c r="D2903" i="2"/>
  <c r="E2903" i="2"/>
  <c r="F2903" i="2"/>
  <c r="G2903" i="2"/>
  <c r="H2903" i="2"/>
  <c r="J2903" i="2"/>
  <c r="D2904" i="2"/>
  <c r="E2904" i="2"/>
  <c r="F2904" i="2"/>
  <c r="G2904" i="2"/>
  <c r="H2904" i="2"/>
  <c r="J2904" i="2"/>
  <c r="D2905" i="2"/>
  <c r="E2905" i="2"/>
  <c r="F2905" i="2"/>
  <c r="G2905" i="2"/>
  <c r="H2905" i="2"/>
  <c r="J2905" i="2"/>
  <c r="D2906" i="2"/>
  <c r="E2906" i="2"/>
  <c r="F2906" i="2"/>
  <c r="G2906" i="2"/>
  <c r="H2906" i="2"/>
  <c r="J2906" i="2"/>
  <c r="D2907" i="2"/>
  <c r="E2907" i="2"/>
  <c r="F2907" i="2"/>
  <c r="G2907" i="2"/>
  <c r="H2907" i="2"/>
  <c r="J2907" i="2"/>
  <c r="D2908" i="2"/>
  <c r="E2908" i="2"/>
  <c r="F2908" i="2"/>
  <c r="G2908" i="2"/>
  <c r="H2908" i="2"/>
  <c r="J2908" i="2"/>
  <c r="D2909" i="2"/>
  <c r="E2909" i="2"/>
  <c r="F2909" i="2"/>
  <c r="G2909" i="2"/>
  <c r="H2909" i="2"/>
  <c r="J2909" i="2"/>
  <c r="D2910" i="2"/>
  <c r="E2910" i="2"/>
  <c r="F2910" i="2"/>
  <c r="G2910" i="2"/>
  <c r="H2910" i="2"/>
  <c r="J2910" i="2"/>
  <c r="D2912" i="2"/>
  <c r="E2912" i="2"/>
  <c r="F2912" i="2"/>
  <c r="G2912" i="2"/>
  <c r="H2912" i="2"/>
  <c r="J2912" i="2"/>
  <c r="D2913" i="2"/>
  <c r="E2913" i="2"/>
  <c r="F2913" i="2"/>
  <c r="G2913" i="2"/>
  <c r="H2913" i="2"/>
  <c r="J2913" i="2"/>
  <c r="D2914" i="2"/>
  <c r="E2914" i="2"/>
  <c r="F2914" i="2"/>
  <c r="G2914" i="2"/>
  <c r="H2914" i="2"/>
  <c r="J2914" i="2"/>
  <c r="D2915" i="2"/>
  <c r="E2915" i="2"/>
  <c r="F2915" i="2"/>
  <c r="G2915" i="2"/>
  <c r="H2915" i="2"/>
  <c r="J2915" i="2"/>
  <c r="D2916" i="2"/>
  <c r="E2916" i="2"/>
  <c r="F2916" i="2"/>
  <c r="G2916" i="2"/>
  <c r="H2916" i="2"/>
  <c r="J2916" i="2"/>
  <c r="D2917" i="2"/>
  <c r="E2917" i="2"/>
  <c r="F2917" i="2"/>
  <c r="G2917" i="2"/>
  <c r="H2917" i="2"/>
  <c r="J2917" i="2"/>
  <c r="D2918" i="2"/>
  <c r="E2918" i="2"/>
  <c r="F2918" i="2"/>
  <c r="G2918" i="2"/>
  <c r="H2918" i="2"/>
  <c r="J2918" i="2"/>
  <c r="D2919" i="2"/>
  <c r="E2919" i="2"/>
  <c r="F2919" i="2"/>
  <c r="G2919" i="2"/>
  <c r="H2919" i="2"/>
  <c r="J2919" i="2"/>
  <c r="D2920" i="2"/>
  <c r="E2920" i="2"/>
  <c r="F2920" i="2"/>
  <c r="G2920" i="2"/>
  <c r="H2920" i="2"/>
  <c r="J2920" i="2"/>
  <c r="D2921" i="2"/>
  <c r="E2921" i="2"/>
  <c r="F2921" i="2"/>
  <c r="G2921" i="2"/>
  <c r="H2921" i="2"/>
  <c r="J2921" i="2"/>
  <c r="D2922" i="2"/>
  <c r="E2922" i="2"/>
  <c r="F2922" i="2"/>
  <c r="G2922" i="2"/>
  <c r="H2922" i="2"/>
  <c r="J2922" i="2"/>
  <c r="D2923" i="2"/>
  <c r="E2923" i="2"/>
  <c r="F2923" i="2"/>
  <c r="G2923" i="2"/>
  <c r="H2923" i="2"/>
  <c r="J2923" i="2"/>
  <c r="D2924" i="2"/>
  <c r="E2924" i="2"/>
  <c r="F2924" i="2"/>
  <c r="G2924" i="2"/>
  <c r="H2924" i="2"/>
  <c r="J2924" i="2"/>
  <c r="D2925" i="2"/>
  <c r="E2925" i="2"/>
  <c r="F2925" i="2"/>
  <c r="G2925" i="2"/>
  <c r="H2925" i="2"/>
  <c r="J2925" i="2"/>
  <c r="D2926" i="2"/>
  <c r="E2926" i="2"/>
  <c r="F2926" i="2"/>
  <c r="G2926" i="2"/>
  <c r="H2926" i="2"/>
  <c r="J2926" i="2"/>
  <c r="D3063" i="2"/>
  <c r="E3063" i="2"/>
  <c r="F3063" i="2"/>
  <c r="G3063" i="2"/>
  <c r="H3063" i="2"/>
  <c r="J3063" i="2"/>
  <c r="D3064" i="2"/>
  <c r="E3064" i="2"/>
  <c r="F3064" i="2"/>
  <c r="G3064" i="2"/>
  <c r="H3064" i="2"/>
  <c r="J3064" i="2"/>
  <c r="D3065" i="2"/>
  <c r="E3065" i="2"/>
  <c r="F3065" i="2"/>
  <c r="G3065" i="2"/>
  <c r="H3065" i="2"/>
  <c r="J3065" i="2"/>
  <c r="D3066" i="2"/>
  <c r="E3066" i="2"/>
  <c r="F3066" i="2"/>
  <c r="G3066" i="2"/>
  <c r="H3066" i="2"/>
  <c r="J3066" i="2"/>
  <c r="D3067" i="2"/>
  <c r="E3067" i="2"/>
  <c r="F3067" i="2"/>
  <c r="G3067" i="2"/>
  <c r="H3067" i="2"/>
  <c r="J3067" i="2"/>
  <c r="D3068" i="2"/>
  <c r="E3068" i="2"/>
  <c r="F3068" i="2"/>
  <c r="G3068" i="2"/>
  <c r="H3068" i="2"/>
  <c r="J3068" i="2"/>
  <c r="D3069" i="2"/>
  <c r="E3069" i="2"/>
  <c r="F3069" i="2"/>
  <c r="G3069" i="2"/>
  <c r="H3069" i="2"/>
  <c r="J3069" i="2"/>
  <c r="D3070" i="2"/>
  <c r="E3070" i="2"/>
  <c r="F3070" i="2"/>
  <c r="G3070" i="2"/>
  <c r="H3070" i="2"/>
  <c r="J3070" i="2"/>
  <c r="D3071" i="2"/>
  <c r="E3071" i="2"/>
  <c r="F3071" i="2"/>
  <c r="G3071" i="2"/>
  <c r="H3071" i="2"/>
  <c r="J3071" i="2"/>
  <c r="D3072" i="2"/>
  <c r="E3072" i="2"/>
  <c r="F3072" i="2"/>
  <c r="G3072" i="2"/>
  <c r="H3072" i="2"/>
  <c r="J3072" i="2"/>
  <c r="D3073" i="2"/>
  <c r="E3073" i="2"/>
  <c r="F3073" i="2"/>
  <c r="G3073" i="2"/>
  <c r="H3073" i="2"/>
  <c r="J3073" i="2"/>
  <c r="D3074" i="2"/>
  <c r="E3074" i="2"/>
  <c r="F3074" i="2"/>
  <c r="G3074" i="2"/>
  <c r="H3074" i="2"/>
  <c r="J3074" i="2"/>
  <c r="D3075" i="2"/>
  <c r="E3075" i="2"/>
  <c r="F3075" i="2"/>
  <c r="G3075" i="2"/>
  <c r="H3075" i="2"/>
  <c r="J3075" i="2"/>
  <c r="D3076" i="2"/>
  <c r="E3076" i="2"/>
  <c r="F3076" i="2"/>
  <c r="G3076" i="2"/>
  <c r="H3076" i="2"/>
  <c r="J3076" i="2"/>
  <c r="D3077" i="2"/>
  <c r="E3077" i="2"/>
  <c r="F3077" i="2"/>
  <c r="G3077" i="2"/>
  <c r="H3077" i="2"/>
  <c r="J3077" i="2"/>
  <c r="D3078" i="2"/>
  <c r="E3078" i="2"/>
  <c r="F3078" i="2"/>
  <c r="G3078" i="2"/>
  <c r="H3078" i="2"/>
  <c r="J3078" i="2"/>
  <c r="D3079" i="2"/>
  <c r="E3079" i="2"/>
  <c r="F3079" i="2"/>
  <c r="G3079" i="2"/>
  <c r="H3079" i="2"/>
  <c r="J3079" i="2"/>
  <c r="D3080" i="2"/>
  <c r="E3080" i="2"/>
  <c r="F3080" i="2"/>
  <c r="G3080" i="2"/>
  <c r="H3080" i="2"/>
  <c r="J3080" i="2"/>
  <c r="D3081" i="2"/>
  <c r="E3081" i="2"/>
  <c r="F3081" i="2"/>
  <c r="G3081" i="2"/>
  <c r="H3081" i="2"/>
  <c r="J3081" i="2"/>
  <c r="D3082" i="2"/>
  <c r="E3082" i="2"/>
  <c r="F3082" i="2"/>
  <c r="G3082" i="2"/>
  <c r="H3082" i="2"/>
  <c r="J3082" i="2"/>
  <c r="D3083" i="2"/>
  <c r="E3083" i="2"/>
  <c r="F3083" i="2"/>
  <c r="G3083" i="2"/>
  <c r="H3083" i="2"/>
  <c r="J3083" i="2"/>
  <c r="D3084" i="2"/>
  <c r="E3084" i="2"/>
  <c r="F3084" i="2"/>
  <c r="G3084" i="2"/>
  <c r="H3084" i="2"/>
  <c r="J3084" i="2"/>
  <c r="D3085" i="2"/>
  <c r="E3085" i="2"/>
  <c r="F3085" i="2"/>
  <c r="G3085" i="2"/>
  <c r="H3085" i="2"/>
  <c r="J3085" i="2"/>
  <c r="D3086" i="2"/>
  <c r="E3086" i="2"/>
  <c r="F3086" i="2"/>
  <c r="G3086" i="2"/>
  <c r="H3086" i="2"/>
  <c r="J3086" i="2"/>
  <c r="D3087" i="2"/>
  <c r="E3087" i="2"/>
  <c r="F3087" i="2"/>
  <c r="G3087" i="2"/>
  <c r="H3087" i="2"/>
  <c r="J3087" i="2"/>
  <c r="D3088" i="2"/>
  <c r="E3088" i="2"/>
  <c r="F3088" i="2"/>
  <c r="G3088" i="2"/>
  <c r="H3088" i="2"/>
  <c r="J3088" i="2"/>
  <c r="D3089" i="2"/>
  <c r="E3089" i="2"/>
  <c r="F3089" i="2"/>
  <c r="G3089" i="2"/>
  <c r="H3089" i="2"/>
  <c r="J3089" i="2"/>
  <c r="D3090" i="2"/>
  <c r="E3090" i="2"/>
  <c r="F3090" i="2"/>
  <c r="G3090" i="2"/>
  <c r="H3090" i="2"/>
  <c r="J3090" i="2"/>
  <c r="D3091" i="2"/>
  <c r="E3091" i="2"/>
  <c r="F3091" i="2"/>
  <c r="G3091" i="2"/>
  <c r="H3091" i="2"/>
  <c r="J3091" i="2"/>
  <c r="D3092" i="2"/>
  <c r="E3092" i="2"/>
  <c r="F3092" i="2"/>
  <c r="G3092" i="2"/>
  <c r="H3092" i="2"/>
  <c r="J3092" i="2"/>
  <c r="D3093" i="2"/>
  <c r="E3093" i="2"/>
  <c r="F3093" i="2"/>
  <c r="G3093" i="2"/>
  <c r="H3093" i="2"/>
  <c r="J3093" i="2"/>
  <c r="D3094" i="2"/>
  <c r="E3094" i="2"/>
  <c r="F3094" i="2"/>
  <c r="G3094" i="2"/>
  <c r="H3094" i="2"/>
  <c r="J3094" i="2"/>
  <c r="D3095" i="2"/>
  <c r="E3095" i="2"/>
  <c r="F3095" i="2"/>
  <c r="G3095" i="2"/>
  <c r="H3095" i="2"/>
  <c r="J3095" i="2"/>
  <c r="D3096" i="2"/>
  <c r="E3096" i="2"/>
  <c r="F3096" i="2"/>
  <c r="G3096" i="2"/>
  <c r="H3096" i="2"/>
  <c r="J3096" i="2"/>
  <c r="D3097" i="2"/>
  <c r="E3097" i="2"/>
  <c r="F3097" i="2"/>
  <c r="G3097" i="2"/>
  <c r="H3097" i="2"/>
  <c r="J3097" i="2"/>
  <c r="D3098" i="2"/>
  <c r="E3098" i="2"/>
  <c r="F3098" i="2"/>
  <c r="G3098" i="2"/>
  <c r="H3098" i="2"/>
  <c r="J3098" i="2"/>
  <c r="D3099" i="2"/>
  <c r="E3099" i="2"/>
  <c r="F3099" i="2"/>
  <c r="G3099" i="2"/>
  <c r="H3099" i="2"/>
  <c r="J3099" i="2"/>
  <c r="D3100" i="2"/>
  <c r="E3100" i="2"/>
  <c r="F3100" i="2"/>
  <c r="G3100" i="2"/>
  <c r="H3100" i="2"/>
  <c r="J3100" i="2"/>
  <c r="D3101" i="2"/>
  <c r="E3101" i="2"/>
  <c r="F3101" i="2"/>
  <c r="G3101" i="2"/>
  <c r="H3101" i="2"/>
  <c r="J3101" i="2"/>
  <c r="D3102" i="2"/>
  <c r="E3102" i="2"/>
  <c r="F3102" i="2"/>
  <c r="G3102" i="2"/>
  <c r="H3102" i="2"/>
  <c r="J3102" i="2"/>
  <c r="D3104" i="2"/>
  <c r="E3104" i="2"/>
  <c r="F3104" i="2"/>
  <c r="G3104" i="2"/>
  <c r="H3104" i="2"/>
  <c r="J3104" i="2"/>
  <c r="D3105" i="2"/>
  <c r="E3105" i="2"/>
  <c r="F3105" i="2"/>
  <c r="G3105" i="2"/>
  <c r="H3105" i="2"/>
  <c r="J3105" i="2"/>
  <c r="D3106" i="2"/>
  <c r="E3106" i="2"/>
  <c r="F3106" i="2"/>
  <c r="G3106" i="2"/>
  <c r="H3106" i="2"/>
  <c r="J3106" i="2"/>
  <c r="D3107" i="2"/>
  <c r="E3107" i="2"/>
  <c r="F3107" i="2"/>
  <c r="G3107" i="2"/>
  <c r="H3107" i="2"/>
  <c r="J3107" i="2"/>
  <c r="D3108" i="2"/>
  <c r="E3108" i="2"/>
  <c r="F3108" i="2"/>
  <c r="G3108" i="2"/>
  <c r="H3108" i="2"/>
  <c r="J3108" i="2"/>
  <c r="D3109" i="2"/>
  <c r="E3109" i="2"/>
  <c r="F3109" i="2"/>
  <c r="G3109" i="2"/>
  <c r="H3109" i="2"/>
  <c r="J3109" i="2"/>
  <c r="D3110" i="2"/>
  <c r="E3110" i="2"/>
  <c r="F3110" i="2"/>
  <c r="G3110" i="2"/>
  <c r="H3110" i="2"/>
  <c r="J3110" i="2"/>
  <c r="D3111" i="2"/>
  <c r="E3111" i="2"/>
  <c r="F3111" i="2"/>
  <c r="G3111" i="2"/>
  <c r="H3111" i="2"/>
  <c r="J3111" i="2"/>
  <c r="D3112" i="2"/>
  <c r="E3112" i="2"/>
  <c r="F3112" i="2"/>
  <c r="G3112" i="2"/>
  <c r="H3112" i="2"/>
  <c r="J3112" i="2"/>
  <c r="D3113" i="2"/>
  <c r="E3113" i="2"/>
  <c r="F3113" i="2"/>
  <c r="G3113" i="2"/>
  <c r="H3113" i="2"/>
  <c r="J3113" i="2"/>
  <c r="D3114" i="2"/>
  <c r="E3114" i="2"/>
  <c r="F3114" i="2"/>
  <c r="G3114" i="2"/>
  <c r="H3114" i="2"/>
  <c r="J3114" i="2"/>
  <c r="D3115" i="2"/>
  <c r="E3115" i="2"/>
  <c r="F3115" i="2"/>
  <c r="G3115" i="2"/>
  <c r="H3115" i="2"/>
  <c r="J3115" i="2"/>
  <c r="D3116" i="2"/>
  <c r="E3116" i="2"/>
  <c r="F3116" i="2"/>
  <c r="G3116" i="2"/>
  <c r="H3116" i="2"/>
  <c r="J3116" i="2"/>
  <c r="D3117" i="2"/>
  <c r="E3117" i="2"/>
  <c r="F3117" i="2"/>
  <c r="G3117" i="2"/>
  <c r="H3117" i="2"/>
  <c r="J3117" i="2"/>
  <c r="D3118" i="2"/>
  <c r="E3118" i="2"/>
  <c r="F3118" i="2"/>
  <c r="G3118" i="2"/>
  <c r="H3118" i="2"/>
  <c r="J3118" i="2"/>
  <c r="D3119" i="2"/>
  <c r="E3119" i="2"/>
  <c r="F3119" i="2"/>
  <c r="G3119" i="2"/>
  <c r="H3119" i="2"/>
  <c r="J3119" i="2"/>
  <c r="D3120" i="2"/>
  <c r="E3120" i="2"/>
  <c r="F3120" i="2"/>
  <c r="G3120" i="2"/>
  <c r="H3120" i="2"/>
  <c r="J3120" i="2"/>
  <c r="D3121" i="2"/>
  <c r="E3121" i="2"/>
  <c r="F3121" i="2"/>
  <c r="G3121" i="2"/>
  <c r="H3121" i="2"/>
  <c r="J3121" i="2"/>
  <c r="D3122" i="2"/>
  <c r="E3122" i="2"/>
  <c r="F3122" i="2"/>
  <c r="G3122" i="2"/>
  <c r="H3122" i="2"/>
  <c r="J3122" i="2"/>
  <c r="D3123" i="2"/>
  <c r="E3123" i="2"/>
  <c r="F3123" i="2"/>
  <c r="G3123" i="2"/>
  <c r="H3123" i="2"/>
  <c r="J3123" i="2"/>
  <c r="D3124" i="2"/>
  <c r="E3124" i="2"/>
  <c r="F3124" i="2"/>
  <c r="G3124" i="2"/>
  <c r="H3124" i="2"/>
  <c r="J3124" i="2"/>
  <c r="D3125" i="2"/>
  <c r="E3125" i="2"/>
  <c r="F3125" i="2"/>
  <c r="G3125" i="2"/>
  <c r="H3125" i="2"/>
  <c r="J3125" i="2"/>
  <c r="D3126" i="2"/>
  <c r="E3126" i="2"/>
  <c r="F3126" i="2"/>
  <c r="G3126" i="2"/>
  <c r="H3126" i="2"/>
  <c r="J3126" i="2"/>
  <c r="D3127" i="2"/>
  <c r="E3127" i="2"/>
  <c r="F3127" i="2"/>
  <c r="G3127" i="2"/>
  <c r="H3127" i="2"/>
  <c r="J3127" i="2"/>
  <c r="D3128" i="2"/>
  <c r="E3128" i="2"/>
  <c r="F3128" i="2"/>
  <c r="G3128" i="2"/>
  <c r="H3128" i="2"/>
  <c r="J3128" i="2"/>
  <c r="D3129" i="2"/>
  <c r="E3129" i="2"/>
  <c r="F3129" i="2"/>
  <c r="G3129" i="2"/>
  <c r="H3129" i="2"/>
  <c r="J3129" i="2"/>
  <c r="D3130" i="2"/>
  <c r="E3130" i="2"/>
  <c r="F3130" i="2"/>
  <c r="G3130" i="2"/>
  <c r="H3130" i="2"/>
  <c r="J3130" i="2"/>
  <c r="D3131" i="2"/>
  <c r="E3131" i="2"/>
  <c r="F3131" i="2"/>
  <c r="G3131" i="2"/>
  <c r="H3131" i="2"/>
  <c r="J3131" i="2"/>
  <c r="D3132" i="2"/>
  <c r="E3132" i="2"/>
  <c r="F3132" i="2"/>
  <c r="G3132" i="2"/>
  <c r="H3132" i="2"/>
  <c r="J3132" i="2"/>
  <c r="D3133" i="2"/>
  <c r="E3133" i="2"/>
  <c r="F3133" i="2"/>
  <c r="G3133" i="2"/>
  <c r="H3133" i="2"/>
  <c r="J3133" i="2"/>
  <c r="D3134" i="2"/>
  <c r="E3134" i="2"/>
  <c r="F3134" i="2"/>
  <c r="G3134" i="2"/>
  <c r="H3134" i="2"/>
  <c r="J3134" i="2"/>
  <c r="D3135" i="2"/>
  <c r="E3135" i="2"/>
  <c r="F3135" i="2"/>
  <c r="G3135" i="2"/>
  <c r="H3135" i="2"/>
  <c r="J3135" i="2"/>
  <c r="D3136" i="2"/>
  <c r="E3136" i="2"/>
  <c r="F3136" i="2"/>
  <c r="G3136" i="2"/>
  <c r="H3136" i="2"/>
  <c r="J3136" i="2"/>
  <c r="D3137" i="2"/>
  <c r="E3137" i="2"/>
  <c r="F3137" i="2"/>
  <c r="G3137" i="2"/>
  <c r="H3137" i="2"/>
  <c r="J3137" i="2"/>
  <c r="D3138" i="2"/>
  <c r="E3138" i="2"/>
  <c r="F3138" i="2"/>
  <c r="G3138" i="2"/>
  <c r="H3138" i="2"/>
  <c r="J3138" i="2"/>
  <c r="D3139" i="2"/>
  <c r="E3139" i="2"/>
  <c r="F3139" i="2"/>
  <c r="G3139" i="2"/>
  <c r="H3139" i="2"/>
  <c r="J3139" i="2"/>
  <c r="D3140" i="2"/>
  <c r="E3140" i="2"/>
  <c r="F3140" i="2"/>
  <c r="G3140" i="2"/>
  <c r="H3140" i="2"/>
  <c r="J3140" i="2"/>
  <c r="D3141" i="2"/>
  <c r="E3141" i="2"/>
  <c r="F3141" i="2"/>
  <c r="G3141" i="2"/>
  <c r="H3141" i="2"/>
  <c r="J3141" i="2"/>
  <c r="D3142" i="2"/>
  <c r="E3142" i="2"/>
  <c r="F3142" i="2"/>
  <c r="G3142" i="2"/>
  <c r="H3142" i="2"/>
  <c r="J3142" i="2"/>
  <c r="D3143" i="2"/>
  <c r="E3143" i="2"/>
  <c r="F3143" i="2"/>
  <c r="G3143" i="2"/>
  <c r="H3143" i="2"/>
  <c r="J3143" i="2"/>
  <c r="D3144" i="2"/>
  <c r="E3144" i="2"/>
  <c r="F3144" i="2"/>
  <c r="G3144" i="2"/>
  <c r="H3144" i="2"/>
  <c r="J3144" i="2"/>
  <c r="D3145" i="2"/>
  <c r="E3145" i="2"/>
  <c r="F3145" i="2"/>
  <c r="G3145" i="2"/>
  <c r="H3145" i="2"/>
  <c r="J3145" i="2"/>
  <c r="D3146" i="2"/>
  <c r="E3146" i="2"/>
  <c r="F3146" i="2"/>
  <c r="G3146" i="2"/>
  <c r="H3146" i="2"/>
  <c r="J3146" i="2"/>
  <c r="D3147" i="2"/>
  <c r="E3147" i="2"/>
  <c r="F3147" i="2"/>
  <c r="G3147" i="2"/>
  <c r="H3147" i="2"/>
  <c r="J3147" i="2"/>
  <c r="D3148" i="2"/>
  <c r="E3148" i="2"/>
  <c r="F3148" i="2"/>
  <c r="G3148" i="2"/>
  <c r="H3148" i="2"/>
  <c r="J3148" i="2"/>
  <c r="D3149" i="2"/>
  <c r="E3149" i="2"/>
  <c r="F3149" i="2"/>
  <c r="G3149" i="2"/>
  <c r="H3149" i="2"/>
  <c r="J3149" i="2"/>
  <c r="D3150" i="2"/>
  <c r="E3150" i="2"/>
  <c r="F3150" i="2"/>
  <c r="G3150" i="2"/>
  <c r="H3150" i="2"/>
  <c r="J3150" i="2"/>
  <c r="D3151" i="2"/>
  <c r="E3151" i="2"/>
  <c r="F3151" i="2"/>
  <c r="G3151" i="2"/>
  <c r="H3151" i="2"/>
  <c r="J3151" i="2"/>
  <c r="D3152" i="2"/>
  <c r="E3152" i="2"/>
  <c r="F3152" i="2"/>
  <c r="G3152" i="2"/>
  <c r="H3152" i="2"/>
  <c r="J3152" i="2"/>
  <c r="D3153" i="2"/>
  <c r="E3153" i="2"/>
  <c r="F3153" i="2"/>
  <c r="G3153" i="2"/>
  <c r="H3153" i="2"/>
  <c r="J3153" i="2"/>
  <c r="D3154" i="2"/>
  <c r="E3154" i="2"/>
  <c r="F3154" i="2"/>
  <c r="G3154" i="2"/>
  <c r="H3154" i="2"/>
  <c r="J3154" i="2"/>
  <c r="D3155" i="2"/>
  <c r="E3155" i="2"/>
  <c r="F3155" i="2"/>
  <c r="G3155" i="2"/>
  <c r="H3155" i="2"/>
  <c r="J3155" i="2"/>
  <c r="D3156" i="2"/>
  <c r="E3156" i="2"/>
  <c r="F3156" i="2"/>
  <c r="G3156" i="2"/>
  <c r="H3156" i="2"/>
  <c r="J3156" i="2"/>
  <c r="D3157" i="2"/>
  <c r="E3157" i="2"/>
  <c r="F3157" i="2"/>
  <c r="G3157" i="2"/>
  <c r="H3157" i="2"/>
  <c r="J3157" i="2"/>
  <c r="D3158" i="2"/>
  <c r="E3158" i="2"/>
  <c r="F3158" i="2"/>
  <c r="G3158" i="2"/>
  <c r="H3158" i="2"/>
  <c r="J3158" i="2"/>
  <c r="D3159" i="2"/>
  <c r="E3159" i="2"/>
  <c r="F3159" i="2"/>
  <c r="G3159" i="2"/>
  <c r="H3159" i="2"/>
  <c r="J3159" i="2"/>
  <c r="D2928" i="2"/>
  <c r="J2928" i="2"/>
  <c r="D2929" i="2"/>
  <c r="D2930" i="2"/>
  <c r="E2928" i="2"/>
  <c r="F2928" i="2"/>
  <c r="G2928" i="2"/>
  <c r="H2928" i="2"/>
  <c r="E2929" i="2"/>
  <c r="F2929" i="2"/>
  <c r="G2929" i="2"/>
  <c r="H2929" i="2"/>
  <c r="J2929" i="2"/>
  <c r="E2930" i="2"/>
  <c r="F2930" i="2"/>
  <c r="G2930" i="2"/>
  <c r="H2930" i="2"/>
  <c r="J2930" i="2"/>
  <c r="D2931" i="2"/>
  <c r="E2931" i="2"/>
  <c r="F2931" i="2"/>
  <c r="G2931" i="2"/>
  <c r="H2931" i="2"/>
  <c r="J2931" i="2"/>
  <c r="D2932" i="2"/>
  <c r="E2932" i="2"/>
  <c r="F2932" i="2"/>
  <c r="G2932" i="2"/>
  <c r="H2932" i="2"/>
  <c r="J2932" i="2"/>
  <c r="D2933" i="2"/>
  <c r="E2933" i="2"/>
  <c r="F2933" i="2"/>
  <c r="G2933" i="2"/>
  <c r="H2933" i="2"/>
  <c r="J2933" i="2"/>
  <c r="D2934" i="2"/>
  <c r="E2934" i="2"/>
  <c r="F2934" i="2"/>
  <c r="G2934" i="2"/>
  <c r="H2934" i="2"/>
  <c r="J2934" i="2"/>
  <c r="D2935" i="2"/>
  <c r="E2935" i="2"/>
  <c r="F2935" i="2"/>
  <c r="G2935" i="2"/>
  <c r="H2935" i="2"/>
  <c r="J2935" i="2"/>
  <c r="D2936" i="2"/>
  <c r="E2936" i="2"/>
  <c r="F2936" i="2"/>
  <c r="G2936" i="2"/>
  <c r="H2936" i="2"/>
  <c r="J2936" i="2"/>
  <c r="D2937" i="2"/>
  <c r="E2937" i="2"/>
  <c r="F2937" i="2"/>
  <c r="G2937" i="2"/>
  <c r="H2937" i="2"/>
  <c r="J2937" i="2"/>
  <c r="D2938" i="2"/>
  <c r="E2938" i="2"/>
  <c r="F2938" i="2"/>
  <c r="G2938" i="2"/>
  <c r="H2938" i="2"/>
  <c r="J2938" i="2"/>
  <c r="D2939" i="2"/>
  <c r="E2939" i="2"/>
  <c r="F2939" i="2"/>
  <c r="G2939" i="2"/>
  <c r="H2939" i="2"/>
  <c r="J2939" i="2"/>
  <c r="D2940" i="2"/>
  <c r="E2940" i="2"/>
  <c r="F2940" i="2"/>
  <c r="G2940" i="2"/>
  <c r="H2940" i="2"/>
  <c r="J2940" i="2"/>
  <c r="D2941" i="2"/>
  <c r="E2941" i="2"/>
  <c r="F2941" i="2"/>
  <c r="G2941" i="2"/>
  <c r="H2941" i="2"/>
  <c r="J2941" i="2"/>
  <c r="D2942" i="2"/>
  <c r="E2942" i="2"/>
  <c r="F2942" i="2"/>
  <c r="G2942" i="2"/>
  <c r="H2942" i="2"/>
  <c r="J2942" i="2"/>
  <c r="D2943" i="2"/>
  <c r="E2943" i="2"/>
  <c r="F2943" i="2"/>
  <c r="G2943" i="2"/>
  <c r="H2943" i="2"/>
  <c r="J2943" i="2"/>
  <c r="D2944" i="2"/>
  <c r="E2944" i="2"/>
  <c r="F2944" i="2"/>
  <c r="G2944" i="2"/>
  <c r="H2944" i="2"/>
  <c r="J2944" i="2"/>
  <c r="D2945" i="2"/>
  <c r="E2945" i="2"/>
  <c r="F2945" i="2"/>
  <c r="G2945" i="2"/>
  <c r="H2945" i="2"/>
  <c r="J2945" i="2"/>
  <c r="D2946" i="2"/>
  <c r="E2946" i="2"/>
  <c r="F2946" i="2"/>
  <c r="G2946" i="2"/>
  <c r="H2946" i="2"/>
  <c r="J2946" i="2"/>
  <c r="D2947" i="2"/>
  <c r="E2947" i="2"/>
  <c r="F2947" i="2"/>
  <c r="G2947" i="2"/>
  <c r="H2947" i="2"/>
  <c r="J2947" i="2"/>
  <c r="D2948" i="2"/>
  <c r="E2948" i="2"/>
  <c r="F2948" i="2"/>
  <c r="G2948" i="2"/>
  <c r="H2948" i="2"/>
  <c r="J2948" i="2"/>
  <c r="D2949" i="2"/>
  <c r="E2949" i="2"/>
  <c r="F2949" i="2"/>
  <c r="G2949" i="2"/>
  <c r="H2949" i="2"/>
  <c r="J2949" i="2"/>
  <c r="D2950" i="2"/>
  <c r="E2950" i="2"/>
  <c r="F2950" i="2"/>
  <c r="G2950" i="2"/>
  <c r="H2950" i="2"/>
  <c r="J2950" i="2"/>
  <c r="D2951" i="2"/>
  <c r="E2951" i="2"/>
  <c r="F2951" i="2"/>
  <c r="G2951" i="2"/>
  <c r="H2951" i="2"/>
  <c r="J2951" i="2"/>
  <c r="D2952" i="2"/>
  <c r="E2952" i="2"/>
  <c r="F2952" i="2"/>
  <c r="G2952" i="2"/>
  <c r="H2952" i="2"/>
  <c r="J2952" i="2"/>
  <c r="D2953" i="2"/>
  <c r="E2953" i="2"/>
  <c r="F2953" i="2"/>
  <c r="G2953" i="2"/>
  <c r="H2953" i="2"/>
  <c r="J2953" i="2"/>
  <c r="D2954" i="2"/>
  <c r="E2954" i="2"/>
  <c r="F2954" i="2"/>
  <c r="G2954" i="2"/>
  <c r="H2954" i="2"/>
  <c r="J2954" i="2"/>
  <c r="D2955" i="2"/>
  <c r="E2955" i="2"/>
  <c r="F2955" i="2"/>
  <c r="G2955" i="2"/>
  <c r="H2955" i="2"/>
  <c r="J2955" i="2"/>
  <c r="D2956" i="2"/>
  <c r="E2956" i="2"/>
  <c r="F2956" i="2"/>
  <c r="G2956" i="2"/>
  <c r="H2956" i="2"/>
  <c r="J2956" i="2"/>
  <c r="D2957" i="2"/>
  <c r="E2957" i="2"/>
  <c r="F2957" i="2"/>
  <c r="G2957" i="2"/>
  <c r="H2957" i="2"/>
  <c r="J2957" i="2"/>
  <c r="D2958" i="2"/>
  <c r="E2958" i="2"/>
  <c r="F2958" i="2"/>
  <c r="G2958" i="2"/>
  <c r="H2958" i="2"/>
  <c r="J2958" i="2"/>
  <c r="D2959" i="2"/>
  <c r="E2959" i="2"/>
  <c r="F2959" i="2"/>
  <c r="G2959" i="2"/>
  <c r="H2959" i="2"/>
  <c r="J2959" i="2"/>
  <c r="D2960" i="2"/>
  <c r="E2960" i="2"/>
  <c r="F2960" i="2"/>
  <c r="G2960" i="2"/>
  <c r="H2960" i="2"/>
  <c r="J2960" i="2"/>
  <c r="D2961" i="2"/>
  <c r="E2961" i="2"/>
  <c r="F2961" i="2"/>
  <c r="G2961" i="2"/>
  <c r="H2961" i="2"/>
  <c r="J2961" i="2"/>
  <c r="D2962" i="2"/>
  <c r="E2962" i="2"/>
  <c r="F2962" i="2"/>
  <c r="G2962" i="2"/>
  <c r="H2962" i="2"/>
  <c r="J2962" i="2"/>
  <c r="D2963" i="2"/>
  <c r="E2963" i="2"/>
  <c r="F2963" i="2"/>
  <c r="G2963" i="2"/>
  <c r="H2963" i="2"/>
  <c r="J2963" i="2"/>
  <c r="D2964" i="2"/>
  <c r="E2964" i="2"/>
  <c r="F2964" i="2"/>
  <c r="G2964" i="2"/>
  <c r="H2964" i="2"/>
  <c r="J2964" i="2"/>
  <c r="D2965" i="2"/>
  <c r="E2965" i="2"/>
  <c r="F2965" i="2"/>
  <c r="G2965" i="2"/>
  <c r="H2965" i="2"/>
  <c r="J2965" i="2"/>
  <c r="D2966" i="2"/>
  <c r="E2966" i="2"/>
  <c r="F2966" i="2"/>
  <c r="G2966" i="2"/>
  <c r="H2966" i="2"/>
  <c r="J2966" i="2"/>
  <c r="D2967" i="2"/>
  <c r="E2967" i="2"/>
  <c r="F2967" i="2"/>
  <c r="G2967" i="2"/>
  <c r="H2967" i="2"/>
  <c r="J2967" i="2"/>
  <c r="D2968" i="2"/>
  <c r="E2968" i="2"/>
  <c r="F2968" i="2"/>
  <c r="G2968" i="2"/>
  <c r="H2968" i="2"/>
  <c r="J2968" i="2"/>
  <c r="D2969" i="2"/>
  <c r="E2969" i="2"/>
  <c r="F2969" i="2"/>
  <c r="G2969" i="2"/>
  <c r="H2969" i="2"/>
  <c r="J2969" i="2"/>
  <c r="D2970" i="2"/>
  <c r="E2970" i="2"/>
  <c r="F2970" i="2"/>
  <c r="G2970" i="2"/>
  <c r="H2970" i="2"/>
  <c r="J2970" i="2"/>
  <c r="D2971" i="2"/>
  <c r="E2971" i="2"/>
  <c r="F2971" i="2"/>
  <c r="G2971" i="2"/>
  <c r="H2971" i="2"/>
  <c r="J2971" i="2"/>
  <c r="D2972" i="2"/>
  <c r="E2972" i="2"/>
  <c r="F2972" i="2"/>
  <c r="G2972" i="2"/>
  <c r="H2972" i="2"/>
  <c r="J2972" i="2"/>
  <c r="D2973" i="2"/>
  <c r="E2973" i="2"/>
  <c r="F2973" i="2"/>
  <c r="G2973" i="2"/>
  <c r="H2973" i="2"/>
  <c r="J2973" i="2"/>
  <c r="D2974" i="2"/>
  <c r="E2974" i="2"/>
  <c r="F2974" i="2"/>
  <c r="G2974" i="2"/>
  <c r="H2974" i="2"/>
  <c r="J2974" i="2"/>
  <c r="D2975" i="2"/>
  <c r="E2975" i="2"/>
  <c r="F2975" i="2"/>
  <c r="G2975" i="2"/>
  <c r="H2975" i="2"/>
  <c r="J2975" i="2"/>
  <c r="D2976" i="2"/>
  <c r="E2976" i="2"/>
  <c r="F2976" i="2"/>
  <c r="G2976" i="2"/>
  <c r="H2976" i="2"/>
  <c r="J2976" i="2"/>
  <c r="D2977" i="2"/>
  <c r="E2977" i="2"/>
  <c r="F2977" i="2"/>
  <c r="G2977" i="2"/>
  <c r="H2977" i="2"/>
  <c r="J2977" i="2"/>
  <c r="D2978" i="2"/>
  <c r="E2978" i="2"/>
  <c r="F2978" i="2"/>
  <c r="G2978" i="2"/>
  <c r="H2978" i="2"/>
  <c r="J2978" i="2"/>
  <c r="D2979" i="2"/>
  <c r="E2979" i="2"/>
  <c r="F2979" i="2"/>
  <c r="G2979" i="2"/>
  <c r="H2979" i="2"/>
  <c r="J2979" i="2"/>
  <c r="D2980" i="2"/>
  <c r="E2980" i="2"/>
  <c r="F2980" i="2"/>
  <c r="G2980" i="2"/>
  <c r="H2980" i="2"/>
  <c r="J2980" i="2"/>
  <c r="D2981" i="2"/>
  <c r="E2981" i="2"/>
  <c r="F2981" i="2"/>
  <c r="G2981" i="2"/>
  <c r="H2981" i="2"/>
  <c r="J2981" i="2"/>
  <c r="D2982" i="2"/>
  <c r="E2982" i="2"/>
  <c r="F2982" i="2"/>
  <c r="G2982" i="2"/>
  <c r="H2982" i="2"/>
  <c r="J2982" i="2"/>
  <c r="D2983" i="2"/>
  <c r="E2983" i="2"/>
  <c r="F2983" i="2"/>
  <c r="G2983" i="2"/>
  <c r="H2983" i="2"/>
  <c r="J2983" i="2"/>
  <c r="D2984" i="2"/>
  <c r="E2984" i="2"/>
  <c r="F2984" i="2"/>
  <c r="G2984" i="2"/>
  <c r="H2984" i="2"/>
  <c r="J2984" i="2"/>
  <c r="D2985" i="2"/>
  <c r="E2985" i="2"/>
  <c r="F2985" i="2"/>
  <c r="G2985" i="2"/>
  <c r="H2985" i="2"/>
  <c r="J2985" i="2"/>
  <c r="D2986" i="2"/>
  <c r="E2986" i="2"/>
  <c r="F2986" i="2"/>
  <c r="G2986" i="2"/>
  <c r="H2986" i="2"/>
  <c r="J2986" i="2"/>
  <c r="D2987" i="2"/>
  <c r="E2987" i="2"/>
  <c r="F2987" i="2"/>
  <c r="G2987" i="2"/>
  <c r="H2987" i="2"/>
  <c r="J2987" i="2"/>
  <c r="D2988" i="2"/>
  <c r="E2988" i="2"/>
  <c r="F2988" i="2"/>
  <c r="G2988" i="2"/>
  <c r="H2988" i="2"/>
  <c r="J2988" i="2"/>
  <c r="D2989" i="2"/>
  <c r="E2989" i="2"/>
  <c r="F2989" i="2"/>
  <c r="G2989" i="2"/>
  <c r="H2989" i="2"/>
  <c r="J2989" i="2"/>
  <c r="D2990" i="2"/>
  <c r="E2990" i="2"/>
  <c r="F2990" i="2"/>
  <c r="G2990" i="2"/>
  <c r="H2990" i="2"/>
  <c r="J2990" i="2"/>
  <c r="D2991" i="2"/>
  <c r="E2991" i="2"/>
  <c r="F2991" i="2"/>
  <c r="G2991" i="2"/>
  <c r="H2991" i="2"/>
  <c r="J2991" i="2"/>
  <c r="D2992" i="2"/>
  <c r="E2992" i="2"/>
  <c r="F2992" i="2"/>
  <c r="G2992" i="2"/>
  <c r="H2992" i="2"/>
  <c r="J2992" i="2"/>
  <c r="D2993" i="2"/>
  <c r="E2993" i="2"/>
  <c r="F2993" i="2"/>
  <c r="G2993" i="2"/>
  <c r="H2993" i="2"/>
  <c r="J2993" i="2"/>
  <c r="D2994" i="2"/>
  <c r="E2994" i="2"/>
  <c r="F2994" i="2"/>
  <c r="G2994" i="2"/>
  <c r="H2994" i="2"/>
  <c r="J2994" i="2"/>
  <c r="D2995" i="2"/>
  <c r="E2995" i="2"/>
  <c r="F2995" i="2"/>
  <c r="G2995" i="2"/>
  <c r="H2995" i="2"/>
  <c r="J2995" i="2"/>
  <c r="D2996" i="2"/>
  <c r="E2996" i="2"/>
  <c r="F2996" i="2"/>
  <c r="G2996" i="2"/>
  <c r="H2996" i="2"/>
  <c r="J2996" i="2"/>
  <c r="D2997" i="2"/>
  <c r="E2997" i="2"/>
  <c r="F2997" i="2"/>
  <c r="G2997" i="2"/>
  <c r="H2997" i="2"/>
  <c r="J2997" i="2"/>
  <c r="D2998" i="2"/>
  <c r="E2998" i="2"/>
  <c r="F2998" i="2"/>
  <c r="G2998" i="2"/>
  <c r="H2998" i="2"/>
  <c r="J2998" i="2"/>
  <c r="D2999" i="2"/>
  <c r="E2999" i="2"/>
  <c r="F2999" i="2"/>
  <c r="G2999" i="2"/>
  <c r="H2999" i="2"/>
  <c r="J2999" i="2"/>
  <c r="D3000" i="2"/>
  <c r="E3000" i="2"/>
  <c r="F3000" i="2"/>
  <c r="G3000" i="2"/>
  <c r="H3000" i="2"/>
  <c r="J3000" i="2"/>
  <c r="D3001" i="2"/>
  <c r="E3001" i="2"/>
  <c r="F3001" i="2"/>
  <c r="G3001" i="2"/>
  <c r="H3001" i="2"/>
  <c r="J3001" i="2"/>
  <c r="D3002" i="2"/>
  <c r="E3002" i="2"/>
  <c r="F3002" i="2"/>
  <c r="G3002" i="2"/>
  <c r="H3002" i="2"/>
  <c r="J3002" i="2"/>
  <c r="D3003" i="2"/>
  <c r="E3003" i="2"/>
  <c r="F3003" i="2"/>
  <c r="G3003" i="2"/>
  <c r="H3003" i="2"/>
  <c r="J3003" i="2"/>
  <c r="D3004" i="2"/>
  <c r="E3004" i="2"/>
  <c r="F3004" i="2"/>
  <c r="G3004" i="2"/>
  <c r="H3004" i="2"/>
  <c r="J3004" i="2"/>
  <c r="D3005" i="2"/>
  <c r="E3005" i="2"/>
  <c r="F3005" i="2"/>
  <c r="G3005" i="2"/>
  <c r="H3005" i="2"/>
  <c r="J3005" i="2"/>
  <c r="D3006" i="2"/>
  <c r="E3006" i="2"/>
  <c r="F3006" i="2"/>
  <c r="G3006" i="2"/>
  <c r="H3006" i="2"/>
  <c r="J3006" i="2"/>
  <c r="D3007" i="2"/>
  <c r="E3007" i="2"/>
  <c r="F3007" i="2"/>
  <c r="G3007" i="2"/>
  <c r="H3007" i="2"/>
  <c r="J3007" i="2"/>
  <c r="D3008" i="2"/>
  <c r="E3008" i="2"/>
  <c r="F3008" i="2"/>
  <c r="G3008" i="2"/>
  <c r="H3008" i="2"/>
  <c r="J3008" i="2"/>
  <c r="D3009" i="2"/>
  <c r="E3009" i="2"/>
  <c r="F3009" i="2"/>
  <c r="G3009" i="2"/>
  <c r="H3009" i="2"/>
  <c r="J3009" i="2"/>
  <c r="D3010" i="2"/>
  <c r="E3010" i="2"/>
  <c r="F3010" i="2"/>
  <c r="G3010" i="2"/>
  <c r="H3010" i="2"/>
  <c r="J3010" i="2"/>
  <c r="D3011" i="2"/>
  <c r="E3011" i="2"/>
  <c r="F3011" i="2"/>
  <c r="G3011" i="2"/>
  <c r="H3011" i="2"/>
  <c r="J3011" i="2"/>
  <c r="D3012" i="2"/>
  <c r="E3012" i="2"/>
  <c r="F3012" i="2"/>
  <c r="G3012" i="2"/>
  <c r="H3012" i="2"/>
  <c r="J3012" i="2"/>
  <c r="D3013" i="2"/>
  <c r="E3013" i="2"/>
  <c r="F3013" i="2"/>
  <c r="G3013" i="2"/>
  <c r="H3013" i="2"/>
  <c r="J3013" i="2"/>
  <c r="D3014" i="2"/>
  <c r="E3014" i="2"/>
  <c r="F3014" i="2"/>
  <c r="G3014" i="2"/>
  <c r="H3014" i="2"/>
  <c r="J3014" i="2"/>
  <c r="D3015" i="2"/>
  <c r="E3015" i="2"/>
  <c r="F3015" i="2"/>
  <c r="G3015" i="2"/>
  <c r="H3015" i="2"/>
  <c r="J3015" i="2"/>
  <c r="D3016" i="2"/>
  <c r="E3016" i="2"/>
  <c r="F3016" i="2"/>
  <c r="G3016" i="2"/>
  <c r="H3016" i="2"/>
  <c r="J3016" i="2"/>
  <c r="D3017" i="2"/>
  <c r="E3017" i="2"/>
  <c r="F3017" i="2"/>
  <c r="G3017" i="2"/>
  <c r="H3017" i="2"/>
  <c r="J3017" i="2"/>
  <c r="D3018" i="2"/>
  <c r="E3018" i="2"/>
  <c r="F3018" i="2"/>
  <c r="G3018" i="2"/>
  <c r="H3018" i="2"/>
  <c r="J3018" i="2"/>
  <c r="D3019" i="2"/>
  <c r="E3019" i="2"/>
  <c r="F3019" i="2"/>
  <c r="G3019" i="2"/>
  <c r="H3019" i="2"/>
  <c r="J3019" i="2"/>
  <c r="D3020" i="2"/>
  <c r="E3020" i="2"/>
  <c r="F3020" i="2"/>
  <c r="G3020" i="2"/>
  <c r="H3020" i="2"/>
  <c r="J3020" i="2"/>
  <c r="D3021" i="2"/>
  <c r="E3021" i="2"/>
  <c r="F3021" i="2"/>
  <c r="G3021" i="2"/>
  <c r="H3021" i="2"/>
  <c r="J3021" i="2"/>
  <c r="D3022" i="2"/>
  <c r="E3022" i="2"/>
  <c r="F3022" i="2"/>
  <c r="G3022" i="2"/>
  <c r="H3022" i="2"/>
  <c r="J3022" i="2"/>
  <c r="D3023" i="2"/>
  <c r="E3023" i="2"/>
  <c r="F3023" i="2"/>
  <c r="G3023" i="2"/>
  <c r="H3023" i="2"/>
  <c r="J3023" i="2"/>
  <c r="D3024" i="2"/>
  <c r="E3024" i="2"/>
  <c r="F3024" i="2"/>
  <c r="G3024" i="2"/>
  <c r="H3024" i="2"/>
  <c r="J3024" i="2"/>
  <c r="D3025" i="2"/>
  <c r="E3025" i="2"/>
  <c r="F3025" i="2"/>
  <c r="G3025" i="2"/>
  <c r="H3025" i="2"/>
  <c r="J3025" i="2"/>
  <c r="D3026" i="2"/>
  <c r="E3026" i="2"/>
  <c r="F3026" i="2"/>
  <c r="G3026" i="2"/>
  <c r="H3026" i="2"/>
  <c r="J3026" i="2"/>
  <c r="D3027" i="2"/>
  <c r="E3027" i="2"/>
  <c r="F3027" i="2"/>
  <c r="G3027" i="2"/>
  <c r="H3027" i="2"/>
  <c r="J3027" i="2"/>
  <c r="D3028" i="2"/>
  <c r="E3028" i="2"/>
  <c r="F3028" i="2"/>
  <c r="G3028" i="2"/>
  <c r="H3028" i="2"/>
  <c r="J3028" i="2"/>
  <c r="D3029" i="2"/>
  <c r="E3029" i="2"/>
  <c r="F3029" i="2"/>
  <c r="G3029" i="2"/>
  <c r="H3029" i="2"/>
  <c r="J3029" i="2"/>
  <c r="D3030" i="2"/>
  <c r="E3030" i="2"/>
  <c r="F3030" i="2"/>
  <c r="G3030" i="2"/>
  <c r="H3030" i="2"/>
  <c r="J3030" i="2"/>
  <c r="D3031" i="2"/>
  <c r="E3031" i="2"/>
  <c r="F3031" i="2"/>
  <c r="G3031" i="2"/>
  <c r="H3031" i="2"/>
  <c r="J3031" i="2"/>
  <c r="D3032" i="2"/>
  <c r="E3032" i="2"/>
  <c r="F3032" i="2"/>
  <c r="G3032" i="2"/>
  <c r="H3032" i="2"/>
  <c r="J3032" i="2"/>
  <c r="D3033" i="2"/>
  <c r="E3033" i="2"/>
  <c r="F3033" i="2"/>
  <c r="G3033" i="2"/>
  <c r="H3033" i="2"/>
  <c r="J3033" i="2"/>
  <c r="D3034" i="2"/>
  <c r="E3034" i="2"/>
  <c r="F3034" i="2"/>
  <c r="G3034" i="2"/>
  <c r="H3034" i="2"/>
  <c r="J3034" i="2"/>
  <c r="D3035" i="2"/>
  <c r="E3035" i="2"/>
  <c r="F3035" i="2"/>
  <c r="G3035" i="2"/>
  <c r="H3035" i="2"/>
  <c r="J3035" i="2"/>
  <c r="D3036" i="2"/>
  <c r="E3036" i="2"/>
  <c r="F3036" i="2"/>
  <c r="G3036" i="2"/>
  <c r="H3036" i="2"/>
  <c r="J3036" i="2"/>
  <c r="D3037" i="2"/>
  <c r="E3037" i="2"/>
  <c r="F3037" i="2"/>
  <c r="G3037" i="2"/>
  <c r="H3037" i="2"/>
  <c r="J3037" i="2"/>
  <c r="D3038" i="2"/>
  <c r="E3038" i="2"/>
  <c r="F3038" i="2"/>
  <c r="G3038" i="2"/>
  <c r="H3038" i="2"/>
  <c r="J3038" i="2"/>
  <c r="D3039" i="2"/>
  <c r="E3039" i="2"/>
  <c r="F3039" i="2"/>
  <c r="G3039" i="2"/>
  <c r="H3039" i="2"/>
  <c r="J3039" i="2"/>
  <c r="D3040" i="2"/>
  <c r="E3040" i="2"/>
  <c r="F3040" i="2"/>
  <c r="G3040" i="2"/>
  <c r="H3040" i="2"/>
  <c r="J3040" i="2"/>
  <c r="D3041" i="2"/>
  <c r="E3041" i="2"/>
  <c r="F3041" i="2"/>
  <c r="G3041" i="2"/>
  <c r="H3041" i="2"/>
  <c r="J3041" i="2"/>
  <c r="D3042" i="2"/>
  <c r="E3042" i="2"/>
  <c r="F3042" i="2"/>
  <c r="G3042" i="2"/>
  <c r="H3042" i="2"/>
  <c r="J3042" i="2"/>
  <c r="D3043" i="2"/>
  <c r="E3043" i="2"/>
  <c r="F3043" i="2"/>
  <c r="G3043" i="2"/>
  <c r="H3043" i="2"/>
  <c r="J3043" i="2"/>
  <c r="D3044" i="2"/>
  <c r="E3044" i="2"/>
  <c r="F3044" i="2"/>
  <c r="G3044" i="2"/>
  <c r="H3044" i="2"/>
  <c r="J3044" i="2"/>
  <c r="D3045" i="2"/>
  <c r="E3045" i="2"/>
  <c r="F3045" i="2"/>
  <c r="G3045" i="2"/>
  <c r="H3045" i="2"/>
  <c r="J3045" i="2"/>
  <c r="D3046" i="2"/>
  <c r="E3046" i="2"/>
  <c r="F3046" i="2"/>
  <c r="G3046" i="2"/>
  <c r="H3046" i="2"/>
  <c r="J3046" i="2"/>
  <c r="D3047" i="2"/>
  <c r="E3047" i="2"/>
  <c r="F3047" i="2"/>
  <c r="G3047" i="2"/>
  <c r="H3047" i="2"/>
  <c r="J3047" i="2"/>
  <c r="D3048" i="2"/>
  <c r="E3048" i="2"/>
  <c r="F3048" i="2"/>
  <c r="G3048" i="2"/>
  <c r="H3048" i="2"/>
  <c r="J3048" i="2"/>
  <c r="D3049" i="2"/>
  <c r="E3049" i="2"/>
  <c r="F3049" i="2"/>
  <c r="G3049" i="2"/>
  <c r="H3049" i="2"/>
  <c r="J3049" i="2"/>
  <c r="D3050" i="2"/>
  <c r="E3050" i="2"/>
  <c r="F3050" i="2"/>
  <c r="G3050" i="2"/>
  <c r="H3050" i="2"/>
  <c r="J3050" i="2"/>
  <c r="D3051" i="2"/>
  <c r="E3051" i="2"/>
  <c r="F3051" i="2"/>
  <c r="G3051" i="2"/>
  <c r="H3051" i="2"/>
  <c r="J3051" i="2"/>
  <c r="D3052" i="2"/>
  <c r="E3052" i="2"/>
  <c r="F3052" i="2"/>
  <c r="G3052" i="2"/>
  <c r="H3052" i="2"/>
  <c r="J3052" i="2"/>
  <c r="D3053" i="2"/>
  <c r="E3053" i="2"/>
  <c r="F3053" i="2"/>
  <c r="G3053" i="2"/>
  <c r="H3053" i="2"/>
  <c r="J3053" i="2"/>
  <c r="D3054" i="2"/>
  <c r="E3054" i="2"/>
  <c r="F3054" i="2"/>
  <c r="G3054" i="2"/>
  <c r="H3054" i="2"/>
  <c r="J3054" i="2"/>
  <c r="D3055" i="2"/>
  <c r="E3055" i="2"/>
  <c r="F3055" i="2"/>
  <c r="G3055" i="2"/>
  <c r="H3055" i="2"/>
  <c r="J3055" i="2"/>
  <c r="D3056" i="2"/>
  <c r="E3056" i="2"/>
  <c r="F3056" i="2"/>
  <c r="G3056" i="2"/>
  <c r="H3056" i="2"/>
  <c r="J3056" i="2"/>
  <c r="D3057" i="2"/>
  <c r="E3057" i="2"/>
  <c r="F3057" i="2"/>
  <c r="G3057" i="2"/>
  <c r="H3057" i="2"/>
  <c r="J3057" i="2"/>
  <c r="D3058" i="2"/>
  <c r="E3058" i="2"/>
  <c r="F3058" i="2"/>
  <c r="G3058" i="2"/>
  <c r="H3058" i="2"/>
  <c r="J3058" i="2"/>
  <c r="D3059" i="2"/>
  <c r="E3059" i="2"/>
  <c r="F3059" i="2"/>
  <c r="G3059" i="2"/>
  <c r="H3059" i="2"/>
  <c r="J3059" i="2"/>
  <c r="D3060" i="2"/>
  <c r="E3060" i="2"/>
  <c r="F3060" i="2"/>
  <c r="G3060" i="2"/>
  <c r="H3060" i="2"/>
  <c r="J3060" i="2"/>
  <c r="D3061" i="2"/>
  <c r="E3061" i="2"/>
  <c r="F3061" i="2"/>
  <c r="G3061" i="2"/>
  <c r="H3061" i="2"/>
  <c r="J3061" i="2"/>
  <c r="D3" i="2"/>
  <c r="J3" i="2"/>
  <c r="D4" i="2"/>
  <c r="J4" i="2"/>
  <c r="E3" i="2"/>
  <c r="F3" i="2"/>
  <c r="G3" i="2"/>
  <c r="H3" i="2"/>
  <c r="E4" i="2"/>
  <c r="F4" i="2"/>
  <c r="G4" i="2"/>
  <c r="H4" i="2"/>
  <c r="D5" i="2"/>
  <c r="E5" i="2"/>
  <c r="F5" i="2"/>
  <c r="G5" i="2"/>
  <c r="H5" i="2"/>
  <c r="J5" i="2"/>
  <c r="D6" i="2"/>
  <c r="E6" i="2"/>
  <c r="F6" i="2"/>
  <c r="G6" i="2"/>
  <c r="H6" i="2"/>
  <c r="J6" i="2"/>
  <c r="D7" i="2"/>
  <c r="E7" i="2"/>
  <c r="F7" i="2"/>
  <c r="G7" i="2"/>
  <c r="H7" i="2"/>
  <c r="J7" i="2"/>
  <c r="D8" i="2"/>
  <c r="E8" i="2"/>
  <c r="F8" i="2"/>
  <c r="G8" i="2"/>
  <c r="H8" i="2"/>
  <c r="J8" i="2"/>
  <c r="D9" i="2"/>
  <c r="E9" i="2"/>
  <c r="F9" i="2"/>
  <c r="G9" i="2"/>
  <c r="H9" i="2"/>
  <c r="J9" i="2"/>
  <c r="D10" i="2"/>
  <c r="E10" i="2"/>
  <c r="F10" i="2"/>
  <c r="G10" i="2"/>
  <c r="H10" i="2"/>
  <c r="J10" i="2"/>
  <c r="D11" i="2"/>
  <c r="E11" i="2"/>
  <c r="F11" i="2"/>
  <c r="G11" i="2"/>
  <c r="H11" i="2"/>
  <c r="J11" i="2"/>
  <c r="D12" i="2"/>
  <c r="E12" i="2"/>
  <c r="F12" i="2"/>
  <c r="G12" i="2"/>
  <c r="H12" i="2"/>
  <c r="J12" i="2"/>
  <c r="D13" i="2"/>
  <c r="E13" i="2"/>
  <c r="F13" i="2"/>
  <c r="G13" i="2"/>
  <c r="H13" i="2"/>
  <c r="J13" i="2"/>
  <c r="D14" i="2"/>
  <c r="E14" i="2"/>
  <c r="F14" i="2"/>
  <c r="G14" i="2"/>
  <c r="H14" i="2"/>
  <c r="J14" i="2"/>
  <c r="D15" i="2"/>
  <c r="E15" i="2"/>
  <c r="F15" i="2"/>
  <c r="G15" i="2"/>
  <c r="H15" i="2"/>
  <c r="J15" i="2"/>
  <c r="D16" i="2"/>
  <c r="E16" i="2"/>
  <c r="F16" i="2"/>
  <c r="G16" i="2"/>
  <c r="H16" i="2"/>
  <c r="J16" i="2"/>
  <c r="D17" i="2"/>
  <c r="E17" i="2"/>
  <c r="F17" i="2"/>
  <c r="G17" i="2"/>
  <c r="H17" i="2"/>
  <c r="J17" i="2"/>
  <c r="D18" i="2"/>
  <c r="E18" i="2"/>
  <c r="F18" i="2"/>
  <c r="G18" i="2"/>
  <c r="H18" i="2"/>
  <c r="J18" i="2"/>
  <c r="D19" i="2"/>
  <c r="E19" i="2"/>
  <c r="F19" i="2"/>
  <c r="G19" i="2"/>
  <c r="H19" i="2"/>
  <c r="J19" i="2"/>
  <c r="D20" i="2"/>
  <c r="E20" i="2"/>
  <c r="F20" i="2"/>
  <c r="G20" i="2"/>
  <c r="H20" i="2"/>
  <c r="J20" i="2"/>
  <c r="D21" i="2"/>
  <c r="E21" i="2"/>
  <c r="F21" i="2"/>
  <c r="G21" i="2"/>
  <c r="H21" i="2"/>
  <c r="J21" i="2"/>
  <c r="D22" i="2"/>
  <c r="E22" i="2"/>
  <c r="F22" i="2"/>
  <c r="G22" i="2"/>
  <c r="H22" i="2"/>
  <c r="J22" i="2"/>
  <c r="D23" i="2"/>
  <c r="E23" i="2"/>
  <c r="F23" i="2"/>
  <c r="G23" i="2"/>
  <c r="H23" i="2"/>
  <c r="J23" i="2"/>
  <c r="D24" i="2"/>
  <c r="E24" i="2"/>
  <c r="F24" i="2"/>
  <c r="G24" i="2"/>
  <c r="H24" i="2"/>
  <c r="J24" i="2"/>
  <c r="D25" i="2"/>
  <c r="E25" i="2"/>
  <c r="F25" i="2"/>
  <c r="G25" i="2"/>
  <c r="H25" i="2"/>
  <c r="J25" i="2"/>
  <c r="D26" i="2"/>
  <c r="E26" i="2"/>
  <c r="F26" i="2"/>
  <c r="G26" i="2"/>
  <c r="H26" i="2"/>
  <c r="J26" i="2"/>
  <c r="D27" i="2"/>
  <c r="E27" i="2"/>
  <c r="F27" i="2"/>
  <c r="G27" i="2"/>
  <c r="H27" i="2"/>
  <c r="J27" i="2"/>
  <c r="D28" i="2"/>
  <c r="E28" i="2"/>
  <c r="F28" i="2"/>
  <c r="G28" i="2"/>
  <c r="H28" i="2"/>
  <c r="J28" i="2"/>
  <c r="D29" i="2"/>
  <c r="E29" i="2"/>
  <c r="F29" i="2"/>
  <c r="G29" i="2"/>
  <c r="H29" i="2"/>
  <c r="J29" i="2"/>
  <c r="D30" i="2"/>
  <c r="E30" i="2"/>
  <c r="F30" i="2"/>
  <c r="G30" i="2"/>
  <c r="H30" i="2"/>
  <c r="J30" i="2"/>
  <c r="D31" i="2"/>
  <c r="E31" i="2"/>
  <c r="F31" i="2"/>
  <c r="G31" i="2"/>
  <c r="H31" i="2"/>
  <c r="J31" i="2"/>
  <c r="D32" i="2"/>
  <c r="E32" i="2"/>
  <c r="F32" i="2"/>
  <c r="G32" i="2"/>
  <c r="H32" i="2"/>
  <c r="J32" i="2"/>
  <c r="D33" i="2"/>
  <c r="E33" i="2"/>
  <c r="F33" i="2"/>
  <c r="G33" i="2"/>
  <c r="H33" i="2"/>
  <c r="J33" i="2"/>
  <c r="D34" i="2"/>
  <c r="E34" i="2"/>
  <c r="F34" i="2"/>
  <c r="G34" i="2"/>
  <c r="H34" i="2"/>
  <c r="J34" i="2"/>
  <c r="D35" i="2"/>
  <c r="E35" i="2"/>
  <c r="F35" i="2"/>
  <c r="G35" i="2"/>
  <c r="H35" i="2"/>
  <c r="J35" i="2"/>
  <c r="D36" i="2"/>
  <c r="E36" i="2"/>
  <c r="F36" i="2"/>
  <c r="G36" i="2"/>
  <c r="H36" i="2"/>
  <c r="J36" i="2"/>
  <c r="D37" i="2"/>
  <c r="E37" i="2"/>
  <c r="F37" i="2"/>
  <c r="G37" i="2"/>
  <c r="H37" i="2"/>
  <c r="J37" i="2"/>
  <c r="D38" i="2"/>
  <c r="E38" i="2"/>
  <c r="F38" i="2"/>
  <c r="G38" i="2"/>
  <c r="H38" i="2"/>
  <c r="J38" i="2"/>
  <c r="D39" i="2"/>
  <c r="E39" i="2"/>
  <c r="F39" i="2"/>
  <c r="G39" i="2"/>
  <c r="H39" i="2"/>
  <c r="J39" i="2"/>
  <c r="D40" i="2"/>
  <c r="E40" i="2"/>
  <c r="F40" i="2"/>
  <c r="G40" i="2"/>
  <c r="H40" i="2"/>
  <c r="J40" i="2"/>
  <c r="D41" i="2"/>
  <c r="E41" i="2"/>
  <c r="F41" i="2"/>
  <c r="G41" i="2"/>
  <c r="H41" i="2"/>
  <c r="J41" i="2"/>
  <c r="D42" i="2"/>
  <c r="E42" i="2"/>
  <c r="F42" i="2"/>
  <c r="G42" i="2"/>
  <c r="H42" i="2"/>
  <c r="J42" i="2"/>
  <c r="D43" i="2"/>
  <c r="E43" i="2"/>
  <c r="F43" i="2"/>
  <c r="G43" i="2"/>
  <c r="H43" i="2"/>
  <c r="J43" i="2"/>
  <c r="D44" i="2"/>
  <c r="E44" i="2"/>
  <c r="F44" i="2"/>
  <c r="G44" i="2"/>
  <c r="H44" i="2"/>
  <c r="J44" i="2"/>
  <c r="D45" i="2"/>
  <c r="E45" i="2"/>
  <c r="F45" i="2"/>
  <c r="G45" i="2"/>
  <c r="H45" i="2"/>
  <c r="J45" i="2"/>
  <c r="D46" i="2"/>
  <c r="E46" i="2"/>
  <c r="F46" i="2"/>
  <c r="G46" i="2"/>
  <c r="H46" i="2"/>
  <c r="J46" i="2"/>
  <c r="D47" i="2"/>
  <c r="E47" i="2"/>
  <c r="F47" i="2"/>
  <c r="G47" i="2"/>
  <c r="H47" i="2"/>
  <c r="J47" i="2"/>
  <c r="D48" i="2"/>
  <c r="E48" i="2"/>
  <c r="F48" i="2"/>
  <c r="G48" i="2"/>
  <c r="H48" i="2"/>
  <c r="J48" i="2"/>
  <c r="D49" i="2"/>
  <c r="E49" i="2"/>
  <c r="F49" i="2"/>
  <c r="G49" i="2"/>
  <c r="H49" i="2"/>
  <c r="J49" i="2"/>
  <c r="D50" i="2"/>
  <c r="E50" i="2"/>
  <c r="F50" i="2"/>
  <c r="G50" i="2"/>
  <c r="H50" i="2"/>
  <c r="J50" i="2"/>
  <c r="D51" i="2"/>
  <c r="E51" i="2"/>
  <c r="F51" i="2"/>
  <c r="G51" i="2"/>
  <c r="H51" i="2"/>
  <c r="J51" i="2"/>
  <c r="D52" i="2"/>
  <c r="E52" i="2"/>
  <c r="F52" i="2"/>
  <c r="G52" i="2"/>
  <c r="H52" i="2"/>
  <c r="J52" i="2"/>
  <c r="D53" i="2"/>
  <c r="E53" i="2"/>
  <c r="F53" i="2"/>
  <c r="G53" i="2"/>
  <c r="H53" i="2"/>
  <c r="J53" i="2"/>
  <c r="D54" i="2"/>
  <c r="E54" i="2"/>
  <c r="F54" i="2"/>
  <c r="G54" i="2"/>
  <c r="H54" i="2"/>
  <c r="J54" i="2"/>
  <c r="D55" i="2"/>
  <c r="E55" i="2"/>
  <c r="F55" i="2"/>
  <c r="G55" i="2"/>
  <c r="H55" i="2"/>
  <c r="J55" i="2"/>
  <c r="D56" i="2"/>
  <c r="E56" i="2"/>
  <c r="F56" i="2"/>
  <c r="G56" i="2"/>
  <c r="H56" i="2"/>
  <c r="J56" i="2"/>
  <c r="D57" i="2"/>
  <c r="E57" i="2"/>
  <c r="F57" i="2"/>
  <c r="G57" i="2"/>
  <c r="H57" i="2"/>
  <c r="J57" i="2"/>
  <c r="D58" i="2"/>
  <c r="E58" i="2"/>
  <c r="F58" i="2"/>
  <c r="G58" i="2"/>
  <c r="H58" i="2"/>
  <c r="J58" i="2"/>
  <c r="D59" i="2"/>
  <c r="E59" i="2"/>
  <c r="F59" i="2"/>
  <c r="G59" i="2"/>
  <c r="H59" i="2"/>
  <c r="J59" i="2"/>
  <c r="D60" i="2"/>
  <c r="E60" i="2"/>
  <c r="F60" i="2"/>
  <c r="G60" i="2"/>
  <c r="H60" i="2"/>
  <c r="J60" i="2"/>
  <c r="D61" i="2"/>
  <c r="E61" i="2"/>
  <c r="F61" i="2"/>
  <c r="G61" i="2"/>
  <c r="H61" i="2"/>
  <c r="J61" i="2"/>
  <c r="D62" i="2"/>
  <c r="E62" i="2"/>
  <c r="F62" i="2"/>
  <c r="G62" i="2"/>
  <c r="H62" i="2"/>
  <c r="J62" i="2"/>
  <c r="D63" i="2"/>
  <c r="E63" i="2"/>
  <c r="F63" i="2"/>
  <c r="G63" i="2"/>
  <c r="H63" i="2"/>
  <c r="J63" i="2"/>
  <c r="D64" i="2"/>
  <c r="E64" i="2"/>
  <c r="F64" i="2"/>
  <c r="G64" i="2"/>
  <c r="H64" i="2"/>
  <c r="J64" i="2"/>
  <c r="D65" i="2"/>
  <c r="E65" i="2"/>
  <c r="F65" i="2"/>
  <c r="G65" i="2"/>
  <c r="H65" i="2"/>
  <c r="J65" i="2"/>
  <c r="D66" i="2"/>
  <c r="E66" i="2"/>
  <c r="F66" i="2"/>
  <c r="G66" i="2"/>
  <c r="H66" i="2"/>
  <c r="J66" i="2"/>
  <c r="D67" i="2"/>
  <c r="E67" i="2"/>
  <c r="F67" i="2"/>
  <c r="G67" i="2"/>
  <c r="H67" i="2"/>
  <c r="J67" i="2"/>
  <c r="D68" i="2"/>
  <c r="E68" i="2"/>
  <c r="F68" i="2"/>
  <c r="G68" i="2"/>
  <c r="H68" i="2"/>
  <c r="J68" i="2"/>
  <c r="D69" i="2"/>
  <c r="E69" i="2"/>
  <c r="F69" i="2"/>
  <c r="G69" i="2"/>
  <c r="H69" i="2"/>
  <c r="J69" i="2"/>
  <c r="D70" i="2"/>
  <c r="E70" i="2"/>
  <c r="F70" i="2"/>
  <c r="G70" i="2"/>
  <c r="H70" i="2"/>
  <c r="J70" i="2"/>
  <c r="D72" i="2"/>
  <c r="E72" i="2"/>
  <c r="F72" i="2"/>
  <c r="G72" i="2"/>
  <c r="H72" i="2"/>
  <c r="J72" i="2"/>
  <c r="D73" i="2"/>
  <c r="E73" i="2"/>
  <c r="F73" i="2"/>
  <c r="G73" i="2"/>
  <c r="H73" i="2"/>
  <c r="J73" i="2"/>
  <c r="D74" i="2"/>
  <c r="E74" i="2"/>
  <c r="F74" i="2"/>
  <c r="G74" i="2"/>
  <c r="H74" i="2"/>
  <c r="J74" i="2"/>
  <c r="D75" i="2"/>
  <c r="E75" i="2"/>
  <c r="F75" i="2"/>
  <c r="G75" i="2"/>
  <c r="H75" i="2"/>
  <c r="J75" i="2"/>
  <c r="D76" i="2"/>
  <c r="E76" i="2"/>
  <c r="F76" i="2"/>
  <c r="G76" i="2"/>
  <c r="H76" i="2"/>
  <c r="J76" i="2"/>
  <c r="D77" i="2"/>
  <c r="E77" i="2"/>
  <c r="F77" i="2"/>
  <c r="G77" i="2"/>
  <c r="H77" i="2"/>
  <c r="J77" i="2"/>
  <c r="D78" i="2"/>
  <c r="E78" i="2"/>
  <c r="F78" i="2"/>
  <c r="G78" i="2"/>
  <c r="H78" i="2"/>
  <c r="J78" i="2"/>
  <c r="D79" i="2"/>
  <c r="E79" i="2"/>
  <c r="F79" i="2"/>
  <c r="G79" i="2"/>
  <c r="H79" i="2"/>
  <c r="J79" i="2"/>
  <c r="D80" i="2"/>
  <c r="E80" i="2"/>
  <c r="F80" i="2"/>
  <c r="G80" i="2"/>
  <c r="H80" i="2"/>
  <c r="J80" i="2"/>
  <c r="D81" i="2"/>
  <c r="E81" i="2"/>
  <c r="F81" i="2"/>
  <c r="G81" i="2"/>
  <c r="H81" i="2"/>
  <c r="J81" i="2"/>
  <c r="D82" i="2"/>
  <c r="E82" i="2"/>
  <c r="F82" i="2"/>
  <c r="G82" i="2"/>
  <c r="H82" i="2"/>
  <c r="J82" i="2"/>
  <c r="D83" i="2"/>
  <c r="E83" i="2"/>
  <c r="F83" i="2"/>
  <c r="G83" i="2"/>
  <c r="H83" i="2"/>
  <c r="J83" i="2"/>
  <c r="D84" i="2"/>
  <c r="E84" i="2"/>
  <c r="F84" i="2"/>
  <c r="G84" i="2"/>
  <c r="H84" i="2"/>
  <c r="J84" i="2"/>
  <c r="D85" i="2"/>
  <c r="E85" i="2"/>
  <c r="F85" i="2"/>
  <c r="G85" i="2"/>
  <c r="H85" i="2"/>
  <c r="J85" i="2"/>
  <c r="D86" i="2"/>
  <c r="E86" i="2"/>
  <c r="F86" i="2"/>
  <c r="G86" i="2"/>
  <c r="H86" i="2"/>
  <c r="J86" i="2"/>
  <c r="D87" i="2"/>
  <c r="E87" i="2"/>
  <c r="F87" i="2"/>
  <c r="G87" i="2"/>
  <c r="H87" i="2"/>
  <c r="J87" i="2"/>
  <c r="D88" i="2"/>
  <c r="E88" i="2"/>
  <c r="F88" i="2"/>
  <c r="G88" i="2"/>
  <c r="H88" i="2"/>
  <c r="J88" i="2"/>
  <c r="D89" i="2"/>
  <c r="E89" i="2"/>
  <c r="F89" i="2"/>
  <c r="G89" i="2"/>
  <c r="H89" i="2"/>
  <c r="J89" i="2"/>
  <c r="D90" i="2"/>
  <c r="E90" i="2"/>
  <c r="F90" i="2"/>
  <c r="G90" i="2"/>
  <c r="H90" i="2"/>
  <c r="J90" i="2"/>
  <c r="D91" i="2"/>
  <c r="E91" i="2"/>
  <c r="F91" i="2"/>
  <c r="G91" i="2"/>
  <c r="H91" i="2"/>
  <c r="J91" i="2"/>
  <c r="D92" i="2"/>
  <c r="E92" i="2"/>
  <c r="F92" i="2"/>
  <c r="G92" i="2"/>
  <c r="H92" i="2"/>
  <c r="J92" i="2"/>
  <c r="D93" i="2"/>
  <c r="E93" i="2"/>
  <c r="F93" i="2"/>
  <c r="G93" i="2"/>
  <c r="H93" i="2"/>
  <c r="J93" i="2"/>
  <c r="D94" i="2"/>
  <c r="E94" i="2"/>
  <c r="F94" i="2"/>
  <c r="G94" i="2"/>
  <c r="H94" i="2"/>
  <c r="J94" i="2"/>
  <c r="D95" i="2"/>
  <c r="E95" i="2"/>
  <c r="F95" i="2"/>
  <c r="G95" i="2"/>
  <c r="H95" i="2"/>
  <c r="J95" i="2"/>
  <c r="D96" i="2"/>
  <c r="E96" i="2"/>
  <c r="F96" i="2"/>
  <c r="G96" i="2"/>
  <c r="H96" i="2"/>
  <c r="J96" i="2"/>
  <c r="D97" i="2"/>
  <c r="E97" i="2"/>
  <c r="F97" i="2"/>
  <c r="G97" i="2"/>
  <c r="H97" i="2"/>
  <c r="J97" i="2"/>
  <c r="D98" i="2"/>
  <c r="E98" i="2"/>
  <c r="F98" i="2"/>
  <c r="G98" i="2"/>
  <c r="H98" i="2"/>
  <c r="J98" i="2"/>
  <c r="D99" i="2"/>
  <c r="E99" i="2"/>
  <c r="F99" i="2"/>
  <c r="G99" i="2"/>
  <c r="H99" i="2"/>
  <c r="J99" i="2"/>
  <c r="D100" i="2"/>
  <c r="E100" i="2"/>
  <c r="F100" i="2"/>
  <c r="G100" i="2"/>
  <c r="H100" i="2"/>
  <c r="J100" i="2"/>
  <c r="D101" i="2"/>
  <c r="E101" i="2"/>
  <c r="F101" i="2"/>
  <c r="G101" i="2"/>
  <c r="H101" i="2"/>
  <c r="J101" i="2"/>
  <c r="D102" i="2"/>
  <c r="E102" i="2"/>
  <c r="F102" i="2"/>
  <c r="G102" i="2"/>
  <c r="H102" i="2"/>
  <c r="J102" i="2"/>
  <c r="D103" i="2"/>
  <c r="E103" i="2"/>
  <c r="F103" i="2"/>
  <c r="G103" i="2"/>
  <c r="H103" i="2"/>
  <c r="J103" i="2"/>
  <c r="D104" i="2"/>
  <c r="E104" i="2"/>
  <c r="F104" i="2"/>
  <c r="G104" i="2"/>
  <c r="H104" i="2"/>
  <c r="J104" i="2"/>
  <c r="D105" i="2"/>
  <c r="E105" i="2"/>
  <c r="F105" i="2"/>
  <c r="G105" i="2"/>
  <c r="H105" i="2"/>
  <c r="J105" i="2"/>
  <c r="D106" i="2"/>
  <c r="E106" i="2"/>
  <c r="F106" i="2"/>
  <c r="G106" i="2"/>
  <c r="H106" i="2"/>
  <c r="J106" i="2"/>
  <c r="D107" i="2"/>
  <c r="E107" i="2"/>
  <c r="F107" i="2"/>
  <c r="G107" i="2"/>
  <c r="H107" i="2"/>
  <c r="J107" i="2"/>
  <c r="D108" i="2"/>
  <c r="E108" i="2"/>
  <c r="F108" i="2"/>
  <c r="G108" i="2"/>
  <c r="H108" i="2"/>
  <c r="J108" i="2"/>
  <c r="D109" i="2"/>
  <c r="E109" i="2"/>
  <c r="F109" i="2"/>
  <c r="G109" i="2"/>
  <c r="H109" i="2"/>
  <c r="J109" i="2"/>
  <c r="D110" i="2"/>
  <c r="E110" i="2"/>
  <c r="F110" i="2"/>
  <c r="G110" i="2"/>
  <c r="H110" i="2"/>
  <c r="J110" i="2"/>
  <c r="D111" i="2"/>
  <c r="E111" i="2"/>
  <c r="F111" i="2"/>
  <c r="G111" i="2"/>
  <c r="H111" i="2"/>
  <c r="J111" i="2"/>
  <c r="D112" i="2"/>
  <c r="E112" i="2"/>
  <c r="F112" i="2"/>
  <c r="G112" i="2"/>
  <c r="H112" i="2"/>
  <c r="J112" i="2"/>
  <c r="D113" i="2"/>
  <c r="E113" i="2"/>
  <c r="F113" i="2"/>
  <c r="G113" i="2"/>
  <c r="H113" i="2"/>
  <c r="J113" i="2"/>
  <c r="D132" i="2"/>
  <c r="E132" i="2"/>
  <c r="F132" i="2"/>
  <c r="G132" i="2"/>
  <c r="H132" i="2"/>
  <c r="J132" i="2"/>
  <c r="D133" i="2"/>
  <c r="E133" i="2"/>
  <c r="F133" i="2"/>
  <c r="G133" i="2"/>
  <c r="H133" i="2"/>
  <c r="J133" i="2"/>
  <c r="D134" i="2"/>
  <c r="E134" i="2"/>
  <c r="F134" i="2"/>
  <c r="G134" i="2"/>
  <c r="H134" i="2"/>
  <c r="J134" i="2"/>
  <c r="D135" i="2"/>
  <c r="E135" i="2"/>
  <c r="F135" i="2"/>
  <c r="G135" i="2"/>
  <c r="H135" i="2"/>
  <c r="J135" i="2"/>
  <c r="D136" i="2"/>
  <c r="E136" i="2"/>
  <c r="F136" i="2"/>
  <c r="G136" i="2"/>
  <c r="H136" i="2"/>
  <c r="J136" i="2"/>
  <c r="D137" i="2"/>
  <c r="E137" i="2"/>
  <c r="F137" i="2"/>
  <c r="G137" i="2"/>
  <c r="H137" i="2"/>
  <c r="J137" i="2"/>
  <c r="D138" i="2"/>
  <c r="E138" i="2"/>
  <c r="F138" i="2"/>
  <c r="G138" i="2"/>
  <c r="H138" i="2"/>
  <c r="J138" i="2"/>
  <c r="D139" i="2"/>
  <c r="E139" i="2"/>
  <c r="F139" i="2"/>
  <c r="G139" i="2"/>
  <c r="H139" i="2"/>
  <c r="J139" i="2"/>
  <c r="D140" i="2"/>
  <c r="E140" i="2"/>
  <c r="F140" i="2"/>
  <c r="G140" i="2"/>
  <c r="H140" i="2"/>
  <c r="J140" i="2"/>
  <c r="D141" i="2"/>
  <c r="E141" i="2"/>
  <c r="F141" i="2"/>
  <c r="G141" i="2"/>
  <c r="H141" i="2"/>
  <c r="J141" i="2"/>
  <c r="D142" i="2"/>
  <c r="E142" i="2"/>
  <c r="F142" i="2"/>
  <c r="G142" i="2"/>
  <c r="H142" i="2"/>
  <c r="J142" i="2"/>
  <c r="D143" i="2"/>
  <c r="E143" i="2"/>
  <c r="F143" i="2"/>
  <c r="G143" i="2"/>
  <c r="H143" i="2"/>
  <c r="J143" i="2"/>
  <c r="D144" i="2"/>
  <c r="E144" i="2"/>
  <c r="F144" i="2"/>
  <c r="G144" i="2"/>
  <c r="H144" i="2"/>
  <c r="J144" i="2"/>
  <c r="D145" i="2"/>
  <c r="E145" i="2"/>
  <c r="F145" i="2"/>
  <c r="G145" i="2"/>
  <c r="H145" i="2"/>
  <c r="J145" i="2"/>
  <c r="D146" i="2"/>
  <c r="E146" i="2"/>
  <c r="F146" i="2"/>
  <c r="G146" i="2"/>
  <c r="H146" i="2"/>
  <c r="J146" i="2"/>
  <c r="D147" i="2"/>
  <c r="E147" i="2"/>
  <c r="F147" i="2"/>
  <c r="G147" i="2"/>
  <c r="H147" i="2"/>
  <c r="J147" i="2"/>
  <c r="D148" i="2"/>
  <c r="E148" i="2"/>
  <c r="F148" i="2"/>
  <c r="G148" i="2"/>
  <c r="H148" i="2"/>
  <c r="J148" i="2"/>
  <c r="D149" i="2"/>
  <c r="E149" i="2"/>
  <c r="F149" i="2"/>
  <c r="G149" i="2"/>
  <c r="H149" i="2"/>
  <c r="J149" i="2"/>
  <c r="D150" i="2"/>
  <c r="E150" i="2"/>
  <c r="F150" i="2"/>
  <c r="G150" i="2"/>
  <c r="H150" i="2"/>
  <c r="J150" i="2"/>
  <c r="D151" i="2"/>
  <c r="E151" i="2"/>
  <c r="F151" i="2"/>
  <c r="G151" i="2"/>
  <c r="H151" i="2"/>
  <c r="J151" i="2"/>
  <c r="D152" i="2"/>
  <c r="E152" i="2"/>
  <c r="F152" i="2"/>
  <c r="G152" i="2"/>
  <c r="H152" i="2"/>
  <c r="J152" i="2"/>
  <c r="D153" i="2"/>
  <c r="E153" i="2"/>
  <c r="F153" i="2"/>
  <c r="G153" i="2"/>
  <c r="H153" i="2"/>
  <c r="J153" i="2"/>
  <c r="D154" i="2"/>
  <c r="E154" i="2"/>
  <c r="F154" i="2"/>
  <c r="G154" i="2"/>
  <c r="H154" i="2"/>
  <c r="J154" i="2"/>
  <c r="D155" i="2"/>
  <c r="E155" i="2"/>
  <c r="F155" i="2"/>
  <c r="G155" i="2"/>
  <c r="H155" i="2"/>
  <c r="J155" i="2"/>
  <c r="D156" i="2"/>
  <c r="E156" i="2"/>
  <c r="F156" i="2"/>
  <c r="G156" i="2"/>
  <c r="H156" i="2"/>
  <c r="J156" i="2"/>
  <c r="D157" i="2"/>
  <c r="E157" i="2"/>
  <c r="F157" i="2"/>
  <c r="G157" i="2"/>
  <c r="H157" i="2"/>
  <c r="J157" i="2"/>
  <c r="D158" i="2"/>
  <c r="E158" i="2"/>
  <c r="F158" i="2"/>
  <c r="G158" i="2"/>
  <c r="H158" i="2"/>
  <c r="J158" i="2"/>
  <c r="D159" i="2"/>
  <c r="E159" i="2"/>
  <c r="F159" i="2"/>
  <c r="G159" i="2"/>
  <c r="H159" i="2"/>
  <c r="J159" i="2"/>
  <c r="D160" i="2"/>
  <c r="E160" i="2"/>
  <c r="F160" i="2"/>
  <c r="G160" i="2"/>
  <c r="H160" i="2"/>
  <c r="J160" i="2"/>
  <c r="D161" i="2"/>
  <c r="E161" i="2"/>
  <c r="F161" i="2"/>
  <c r="G161" i="2"/>
  <c r="H161" i="2"/>
  <c r="J161" i="2"/>
  <c r="D162" i="2"/>
  <c r="E162" i="2"/>
  <c r="F162" i="2"/>
  <c r="G162" i="2"/>
  <c r="H162" i="2"/>
  <c r="J162" i="2"/>
  <c r="D163" i="2"/>
  <c r="E163" i="2"/>
  <c r="F163" i="2"/>
  <c r="G163" i="2"/>
  <c r="H163" i="2"/>
  <c r="J163" i="2"/>
  <c r="D164" i="2"/>
  <c r="E164" i="2"/>
  <c r="F164" i="2"/>
  <c r="G164" i="2"/>
  <c r="H164" i="2"/>
  <c r="J164" i="2"/>
  <c r="D165" i="2"/>
  <c r="E165" i="2"/>
  <c r="F165" i="2"/>
  <c r="G165" i="2"/>
  <c r="H165" i="2"/>
  <c r="J165" i="2"/>
  <c r="D166" i="2"/>
  <c r="E166" i="2"/>
  <c r="F166" i="2"/>
  <c r="G166" i="2"/>
  <c r="H166" i="2"/>
  <c r="J166" i="2"/>
  <c r="D167" i="2"/>
  <c r="E167" i="2"/>
  <c r="F167" i="2"/>
  <c r="G167" i="2"/>
  <c r="H167" i="2"/>
  <c r="J167" i="2"/>
  <c r="D168" i="2"/>
  <c r="E168" i="2"/>
  <c r="F168" i="2"/>
  <c r="G168" i="2"/>
  <c r="H168" i="2"/>
  <c r="J168" i="2"/>
  <c r="D169" i="2"/>
  <c r="E169" i="2"/>
  <c r="F169" i="2"/>
  <c r="G169" i="2"/>
  <c r="H169" i="2"/>
  <c r="J169" i="2"/>
  <c r="D170" i="2"/>
  <c r="E170" i="2"/>
  <c r="F170" i="2"/>
  <c r="G170" i="2"/>
  <c r="H170" i="2"/>
  <c r="J170" i="2"/>
  <c r="D171" i="2"/>
  <c r="E171" i="2"/>
  <c r="F171" i="2"/>
  <c r="G171" i="2"/>
  <c r="H171" i="2"/>
  <c r="J171" i="2"/>
  <c r="D172" i="2"/>
  <c r="E172" i="2"/>
  <c r="F172" i="2"/>
  <c r="G172" i="2"/>
  <c r="H172" i="2"/>
  <c r="J172" i="2"/>
  <c r="D173" i="2"/>
  <c r="E173" i="2"/>
  <c r="F173" i="2"/>
  <c r="G173" i="2"/>
  <c r="H173" i="2"/>
  <c r="J173" i="2"/>
  <c r="D174" i="2"/>
  <c r="E174" i="2"/>
  <c r="F174" i="2"/>
  <c r="G174" i="2"/>
  <c r="H174" i="2"/>
  <c r="J174" i="2"/>
  <c r="D175" i="2"/>
  <c r="E175" i="2"/>
  <c r="F175" i="2"/>
  <c r="G175" i="2"/>
  <c r="H175" i="2"/>
  <c r="J175" i="2"/>
  <c r="D176" i="2"/>
  <c r="E176" i="2"/>
  <c r="F176" i="2"/>
  <c r="G176" i="2"/>
  <c r="H176" i="2"/>
  <c r="J176" i="2"/>
  <c r="D177" i="2"/>
  <c r="E177" i="2"/>
  <c r="F177" i="2"/>
  <c r="G177" i="2"/>
  <c r="H177" i="2"/>
  <c r="J177" i="2"/>
  <c r="D178" i="2"/>
  <c r="E178" i="2"/>
  <c r="F178" i="2"/>
  <c r="G178" i="2"/>
  <c r="H178" i="2"/>
  <c r="J178" i="2"/>
  <c r="D179" i="2"/>
  <c r="E179" i="2"/>
  <c r="F179" i="2"/>
  <c r="G179" i="2"/>
  <c r="H179" i="2"/>
  <c r="J179" i="2"/>
  <c r="D180" i="2"/>
  <c r="E180" i="2"/>
  <c r="F180" i="2"/>
  <c r="G180" i="2"/>
  <c r="H180" i="2"/>
  <c r="J180" i="2"/>
  <c r="D181" i="2"/>
  <c r="E181" i="2"/>
  <c r="F181" i="2"/>
  <c r="G181" i="2"/>
  <c r="H181" i="2"/>
  <c r="J181" i="2"/>
  <c r="D182" i="2"/>
  <c r="E182" i="2"/>
  <c r="F182" i="2"/>
  <c r="G182" i="2"/>
  <c r="H182" i="2"/>
  <c r="J182" i="2"/>
  <c r="D183" i="2"/>
  <c r="E183" i="2"/>
  <c r="F183" i="2"/>
  <c r="G183" i="2"/>
  <c r="H183" i="2"/>
  <c r="J183" i="2"/>
  <c r="D184" i="2"/>
  <c r="E184" i="2"/>
  <c r="F184" i="2"/>
  <c r="G184" i="2"/>
  <c r="H184" i="2"/>
  <c r="J184" i="2"/>
  <c r="D185" i="2"/>
  <c r="E185" i="2"/>
  <c r="F185" i="2"/>
  <c r="G185" i="2"/>
  <c r="H185" i="2"/>
  <c r="J185" i="2"/>
  <c r="D186" i="2"/>
  <c r="E186" i="2"/>
  <c r="F186" i="2"/>
  <c r="G186" i="2"/>
  <c r="H186" i="2"/>
  <c r="J186" i="2"/>
  <c r="D187" i="2"/>
  <c r="E187" i="2"/>
  <c r="F187" i="2"/>
  <c r="G187" i="2"/>
  <c r="H187" i="2"/>
  <c r="J187" i="2"/>
  <c r="D188" i="2"/>
  <c r="E188" i="2"/>
  <c r="F188" i="2"/>
  <c r="G188" i="2"/>
  <c r="H188" i="2"/>
  <c r="J188" i="2"/>
  <c r="D189" i="2"/>
  <c r="E189" i="2"/>
  <c r="F189" i="2"/>
  <c r="G189" i="2"/>
  <c r="H189" i="2"/>
  <c r="J189" i="2"/>
  <c r="D190" i="2"/>
  <c r="E190" i="2"/>
  <c r="F190" i="2"/>
  <c r="G190" i="2"/>
  <c r="H190" i="2"/>
  <c r="J190" i="2"/>
  <c r="D191" i="2"/>
  <c r="E191" i="2"/>
  <c r="F191" i="2"/>
  <c r="G191" i="2"/>
  <c r="H191" i="2"/>
  <c r="J191" i="2"/>
  <c r="D192" i="2"/>
  <c r="E192" i="2"/>
  <c r="F192" i="2"/>
  <c r="G192" i="2"/>
  <c r="H192" i="2"/>
  <c r="J192" i="2"/>
  <c r="D193" i="2"/>
  <c r="E193" i="2"/>
  <c r="F193" i="2"/>
  <c r="G193" i="2"/>
  <c r="H193" i="2"/>
  <c r="J193" i="2"/>
  <c r="D194" i="2"/>
  <c r="E194" i="2"/>
  <c r="F194" i="2"/>
  <c r="G194" i="2"/>
  <c r="H194" i="2"/>
  <c r="J194" i="2"/>
  <c r="D195" i="2"/>
  <c r="E195" i="2"/>
  <c r="F195" i="2"/>
  <c r="G195" i="2"/>
  <c r="H195" i="2"/>
  <c r="J195" i="2"/>
  <c r="D196" i="2"/>
  <c r="E196" i="2"/>
  <c r="F196" i="2"/>
  <c r="G196" i="2"/>
  <c r="H196" i="2"/>
  <c r="J196" i="2"/>
  <c r="D197" i="2"/>
  <c r="E197" i="2"/>
  <c r="F197" i="2"/>
  <c r="G197" i="2"/>
  <c r="H197" i="2"/>
  <c r="J197" i="2"/>
  <c r="D198" i="2"/>
  <c r="E198" i="2"/>
  <c r="F198" i="2"/>
  <c r="G198" i="2"/>
  <c r="H198" i="2"/>
  <c r="J198" i="2"/>
  <c r="D199" i="2"/>
  <c r="E199" i="2"/>
  <c r="F199" i="2"/>
  <c r="G199" i="2"/>
  <c r="H199" i="2"/>
  <c r="J199" i="2"/>
  <c r="D200" i="2"/>
  <c r="E200" i="2"/>
  <c r="F200" i="2"/>
  <c r="G200" i="2"/>
  <c r="H200" i="2"/>
  <c r="J200" i="2"/>
  <c r="D201" i="2"/>
  <c r="E201" i="2"/>
  <c r="F201" i="2"/>
  <c r="G201" i="2"/>
  <c r="H201" i="2"/>
  <c r="J201" i="2"/>
  <c r="D202" i="2"/>
  <c r="E202" i="2"/>
  <c r="F202" i="2"/>
  <c r="G202" i="2"/>
  <c r="H202" i="2"/>
  <c r="J202" i="2"/>
  <c r="D203" i="2"/>
  <c r="E203" i="2"/>
  <c r="F203" i="2"/>
  <c r="G203" i="2"/>
  <c r="H203" i="2"/>
  <c r="J203" i="2"/>
  <c r="D204" i="2"/>
  <c r="E204" i="2"/>
  <c r="F204" i="2"/>
  <c r="G204" i="2"/>
  <c r="H204" i="2"/>
  <c r="J204" i="2"/>
  <c r="D205" i="2"/>
  <c r="E205" i="2"/>
  <c r="F205" i="2"/>
  <c r="G205" i="2"/>
  <c r="H205" i="2"/>
  <c r="J205" i="2"/>
  <c r="D206" i="2"/>
  <c r="E206" i="2"/>
  <c r="F206" i="2"/>
  <c r="G206" i="2"/>
  <c r="H206" i="2"/>
  <c r="J206" i="2"/>
  <c r="D207" i="2"/>
  <c r="E207" i="2"/>
  <c r="F207" i="2"/>
  <c r="G207" i="2"/>
  <c r="H207" i="2"/>
  <c r="J207" i="2"/>
  <c r="D345" i="2"/>
  <c r="E345" i="2"/>
  <c r="F345" i="2"/>
  <c r="G345" i="2"/>
  <c r="H345" i="2"/>
  <c r="J345" i="2"/>
  <c r="D346" i="2"/>
  <c r="E346" i="2"/>
  <c r="F346" i="2"/>
  <c r="G346" i="2"/>
  <c r="H346" i="2"/>
  <c r="J346" i="2"/>
  <c r="D347" i="2"/>
  <c r="E347" i="2"/>
  <c r="F347" i="2"/>
  <c r="G347" i="2"/>
  <c r="H347" i="2"/>
  <c r="J347" i="2"/>
  <c r="D348" i="2"/>
  <c r="E348" i="2"/>
  <c r="F348" i="2"/>
  <c r="G348" i="2"/>
  <c r="H348" i="2"/>
  <c r="J348" i="2"/>
  <c r="D350" i="2"/>
  <c r="E350" i="2"/>
  <c r="F350" i="2"/>
  <c r="G350" i="2"/>
  <c r="H350" i="2"/>
  <c r="J350" i="2"/>
  <c r="D351" i="2"/>
  <c r="E351" i="2"/>
  <c r="F351" i="2"/>
  <c r="G351" i="2"/>
  <c r="H351" i="2"/>
  <c r="D583" i="2"/>
  <c r="E583" i="2"/>
  <c r="F583" i="2"/>
  <c r="G583" i="2"/>
  <c r="H583" i="2"/>
  <c r="J583" i="2"/>
  <c r="D584" i="2"/>
  <c r="E584" i="2"/>
  <c r="F584" i="2"/>
  <c r="G584" i="2"/>
  <c r="H584" i="2"/>
  <c r="J584" i="2"/>
  <c r="D585" i="2"/>
  <c r="E585" i="2"/>
  <c r="F585" i="2"/>
  <c r="G585" i="2"/>
  <c r="H585" i="2"/>
  <c r="J585" i="2"/>
  <c r="D586" i="2"/>
  <c r="E586" i="2"/>
  <c r="F586" i="2"/>
  <c r="G586" i="2"/>
  <c r="H586" i="2"/>
  <c r="J586" i="2"/>
  <c r="D587" i="2"/>
  <c r="E587" i="2"/>
  <c r="F587" i="2"/>
  <c r="G587" i="2"/>
  <c r="H587" i="2"/>
  <c r="J587" i="2"/>
  <c r="D833" i="2"/>
  <c r="E833" i="2"/>
  <c r="F833" i="2"/>
  <c r="G833" i="2"/>
  <c r="H833" i="2"/>
  <c r="J833" i="2"/>
  <c r="D834" i="2"/>
  <c r="E834" i="2"/>
  <c r="F834" i="2"/>
  <c r="G834" i="2"/>
  <c r="H834" i="2"/>
  <c r="J834" i="2"/>
  <c r="D835" i="2"/>
  <c r="E835" i="2"/>
  <c r="F835" i="2"/>
  <c r="G835" i="2"/>
  <c r="H835" i="2"/>
  <c r="J835" i="2"/>
  <c r="D836" i="2"/>
  <c r="E836" i="2"/>
  <c r="F836" i="2"/>
  <c r="G836" i="2"/>
  <c r="H836" i="2"/>
  <c r="J836" i="2"/>
  <c r="D837" i="2"/>
  <c r="E837" i="2"/>
  <c r="F837" i="2"/>
  <c r="G837" i="2"/>
  <c r="H837" i="2"/>
  <c r="J837" i="2"/>
  <c r="D838" i="2"/>
  <c r="E838" i="2"/>
  <c r="F838" i="2"/>
  <c r="G838" i="2"/>
  <c r="H838" i="2"/>
  <c r="J838" i="2"/>
  <c r="D839" i="2"/>
  <c r="E839" i="2"/>
  <c r="F839" i="2"/>
  <c r="G839" i="2"/>
  <c r="H839" i="2"/>
  <c r="J839" i="2"/>
  <c r="D840" i="2"/>
  <c r="E840" i="2"/>
  <c r="F840" i="2"/>
  <c r="G840" i="2"/>
  <c r="H840" i="2"/>
  <c r="J840" i="2"/>
  <c r="D841" i="2"/>
  <c r="E841" i="2"/>
  <c r="F841" i="2"/>
  <c r="G841" i="2"/>
  <c r="H841" i="2"/>
  <c r="J841" i="2"/>
  <c r="D842" i="2"/>
  <c r="E842" i="2"/>
  <c r="F842" i="2"/>
  <c r="G842" i="2"/>
  <c r="H842" i="2"/>
  <c r="J842" i="2"/>
  <c r="D843" i="2"/>
  <c r="E843" i="2"/>
  <c r="F843" i="2"/>
  <c r="G843" i="2"/>
  <c r="H843" i="2"/>
  <c r="J843" i="2"/>
  <c r="D844" i="2"/>
  <c r="E844" i="2"/>
  <c r="F844" i="2"/>
  <c r="G844" i="2"/>
  <c r="H844" i="2"/>
  <c r="J844" i="2"/>
  <c r="D845" i="2"/>
  <c r="E845" i="2"/>
  <c r="F845" i="2"/>
  <c r="G845" i="2"/>
  <c r="H845" i="2"/>
  <c r="J845" i="2"/>
  <c r="D846" i="2"/>
  <c r="E846" i="2"/>
  <c r="F846" i="2"/>
  <c r="G846" i="2"/>
  <c r="H846" i="2"/>
  <c r="J846" i="2"/>
  <c r="D847" i="2"/>
  <c r="E847" i="2"/>
  <c r="F847" i="2"/>
  <c r="G847" i="2"/>
  <c r="H847" i="2"/>
  <c r="J847" i="2"/>
  <c r="D848" i="2"/>
  <c r="E848" i="2"/>
  <c r="F848" i="2"/>
  <c r="G848" i="2"/>
  <c r="H848" i="2"/>
  <c r="J848" i="2"/>
  <c r="D849" i="2"/>
  <c r="E849" i="2"/>
  <c r="F849" i="2"/>
  <c r="G849" i="2"/>
  <c r="H849" i="2"/>
  <c r="J849" i="2"/>
  <c r="D850" i="2"/>
  <c r="E850" i="2"/>
  <c r="F850" i="2"/>
  <c r="G850" i="2"/>
  <c r="H850" i="2"/>
  <c r="J850" i="2"/>
  <c r="D851" i="2"/>
  <c r="E851" i="2"/>
  <c r="F851" i="2"/>
  <c r="G851" i="2"/>
  <c r="H851" i="2"/>
  <c r="J851" i="2"/>
  <c r="D852" i="2"/>
  <c r="E852" i="2"/>
  <c r="F852" i="2"/>
  <c r="G852" i="2"/>
  <c r="H852" i="2"/>
  <c r="J852" i="2"/>
  <c r="D853" i="2"/>
  <c r="E853" i="2"/>
  <c r="F853" i="2"/>
  <c r="G853" i="2"/>
  <c r="H853" i="2"/>
  <c r="J853" i="2"/>
  <c r="D854" i="2"/>
  <c r="E854" i="2"/>
  <c r="F854" i="2"/>
  <c r="G854" i="2"/>
  <c r="H854" i="2"/>
  <c r="J854" i="2"/>
  <c r="D855" i="2"/>
  <c r="E855" i="2"/>
  <c r="F855" i="2"/>
  <c r="G855" i="2"/>
  <c r="H855" i="2"/>
  <c r="J855" i="2"/>
  <c r="D856" i="2"/>
  <c r="E856" i="2"/>
  <c r="F856" i="2"/>
  <c r="G856" i="2"/>
  <c r="H856" i="2"/>
  <c r="J856" i="2"/>
  <c r="D857" i="2"/>
  <c r="E857" i="2"/>
  <c r="F857" i="2"/>
  <c r="G857" i="2"/>
  <c r="H857" i="2"/>
  <c r="J857" i="2"/>
  <c r="D858" i="2"/>
  <c r="E858" i="2"/>
  <c r="F858" i="2"/>
  <c r="G858" i="2"/>
  <c r="H858" i="2"/>
  <c r="J858" i="2"/>
  <c r="D859" i="2"/>
  <c r="E859" i="2"/>
  <c r="F859" i="2"/>
  <c r="G859" i="2"/>
  <c r="H859" i="2"/>
  <c r="J859" i="2"/>
  <c r="D860" i="2"/>
  <c r="E860" i="2"/>
  <c r="F860" i="2"/>
  <c r="G860" i="2"/>
  <c r="H860" i="2"/>
  <c r="J860" i="2"/>
  <c r="D861" i="2"/>
  <c r="E861" i="2"/>
  <c r="F861" i="2"/>
  <c r="G861" i="2"/>
  <c r="H861" i="2"/>
  <c r="J861" i="2"/>
  <c r="D862" i="2"/>
  <c r="E862" i="2"/>
  <c r="F862" i="2"/>
  <c r="G862" i="2"/>
  <c r="H862" i="2"/>
  <c r="J862" i="2"/>
  <c r="D863" i="2"/>
  <c r="E863" i="2"/>
  <c r="F863" i="2"/>
  <c r="G863" i="2"/>
  <c r="H863" i="2"/>
  <c r="J863" i="2"/>
  <c r="D864" i="2"/>
  <c r="E864" i="2"/>
  <c r="F864" i="2"/>
  <c r="G864" i="2"/>
  <c r="H864" i="2"/>
  <c r="J864" i="2"/>
  <c r="D865" i="2"/>
  <c r="E865" i="2"/>
  <c r="F865" i="2"/>
  <c r="G865" i="2"/>
  <c r="H865" i="2"/>
  <c r="J865" i="2"/>
  <c r="D866" i="2"/>
  <c r="E866" i="2"/>
  <c r="F866" i="2"/>
  <c r="G866" i="2"/>
  <c r="H866" i="2"/>
  <c r="J866" i="2"/>
  <c r="D867" i="2"/>
  <c r="E867" i="2"/>
  <c r="F867" i="2"/>
  <c r="G867" i="2"/>
  <c r="H867" i="2"/>
  <c r="J867" i="2"/>
  <c r="D868" i="2"/>
  <c r="E868" i="2"/>
  <c r="F868" i="2"/>
  <c r="G868" i="2"/>
  <c r="H868" i="2"/>
  <c r="J868" i="2"/>
  <c r="D869" i="2"/>
  <c r="E869" i="2"/>
  <c r="F869" i="2"/>
  <c r="G869" i="2"/>
  <c r="H869" i="2"/>
  <c r="J869" i="2"/>
  <c r="D870" i="2"/>
  <c r="E870" i="2"/>
  <c r="F870" i="2"/>
  <c r="G870" i="2"/>
  <c r="H870" i="2"/>
  <c r="J870" i="2"/>
  <c r="D871" i="2"/>
  <c r="E871" i="2"/>
  <c r="F871" i="2"/>
  <c r="G871" i="2"/>
  <c r="H871" i="2"/>
  <c r="J871" i="2"/>
  <c r="D872" i="2"/>
  <c r="E872" i="2"/>
  <c r="F872" i="2"/>
  <c r="G872" i="2"/>
  <c r="H872" i="2"/>
  <c r="J872" i="2"/>
  <c r="D873" i="2"/>
  <c r="E873" i="2"/>
  <c r="F873" i="2"/>
  <c r="G873" i="2"/>
  <c r="H873" i="2"/>
  <c r="J873" i="2"/>
  <c r="D874" i="2"/>
  <c r="E874" i="2"/>
  <c r="F874" i="2"/>
  <c r="G874" i="2"/>
  <c r="H874" i="2"/>
  <c r="J874" i="2"/>
  <c r="D875" i="2"/>
  <c r="E875" i="2"/>
  <c r="F875" i="2"/>
  <c r="G875" i="2"/>
  <c r="H875" i="2"/>
  <c r="J875" i="2"/>
  <c r="D876" i="2"/>
  <c r="E876" i="2"/>
  <c r="F876" i="2"/>
  <c r="G876" i="2"/>
  <c r="H876" i="2"/>
  <c r="J876" i="2"/>
  <c r="D877" i="2"/>
  <c r="E877" i="2"/>
  <c r="F877" i="2"/>
  <c r="G877" i="2"/>
  <c r="H877" i="2"/>
  <c r="J877" i="2"/>
  <c r="D878" i="2"/>
  <c r="E878" i="2"/>
  <c r="F878" i="2"/>
  <c r="G878" i="2"/>
  <c r="H878" i="2"/>
  <c r="J878" i="2"/>
  <c r="D879" i="2"/>
  <c r="E879" i="2"/>
  <c r="F879" i="2"/>
  <c r="G879" i="2"/>
  <c r="H879" i="2"/>
  <c r="J879" i="2"/>
  <c r="D880" i="2"/>
  <c r="E880" i="2"/>
  <c r="F880" i="2"/>
  <c r="G880" i="2"/>
  <c r="H880" i="2"/>
  <c r="J880" i="2"/>
  <c r="D881" i="2"/>
  <c r="E881" i="2"/>
  <c r="F881" i="2"/>
  <c r="G881" i="2"/>
  <c r="H881" i="2"/>
  <c r="J881" i="2"/>
  <c r="D882" i="2"/>
  <c r="E882" i="2"/>
  <c r="F882" i="2"/>
  <c r="G882" i="2"/>
  <c r="H882" i="2"/>
  <c r="J882" i="2"/>
  <c r="D883" i="2"/>
  <c r="E883" i="2"/>
  <c r="F883" i="2"/>
  <c r="G883" i="2"/>
  <c r="H883" i="2"/>
  <c r="J883" i="2"/>
  <c r="D884" i="2"/>
  <c r="E884" i="2"/>
  <c r="F884" i="2"/>
  <c r="G884" i="2"/>
  <c r="H884" i="2"/>
  <c r="J884" i="2"/>
  <c r="D885" i="2"/>
  <c r="E885" i="2"/>
  <c r="F885" i="2"/>
  <c r="G885" i="2"/>
  <c r="H885" i="2"/>
  <c r="J885" i="2"/>
  <c r="D886" i="2"/>
  <c r="E886" i="2"/>
  <c r="F886" i="2"/>
  <c r="G886" i="2"/>
  <c r="H886" i="2"/>
  <c r="J886" i="2"/>
  <c r="D887" i="2"/>
  <c r="E887" i="2"/>
  <c r="F887" i="2"/>
  <c r="G887" i="2"/>
  <c r="H887" i="2"/>
  <c r="J887" i="2"/>
  <c r="D888" i="2"/>
  <c r="E888" i="2"/>
  <c r="F888" i="2"/>
  <c r="G888" i="2"/>
  <c r="H888" i="2"/>
  <c r="J888" i="2"/>
  <c r="D889" i="2"/>
  <c r="E889" i="2"/>
  <c r="F889" i="2"/>
  <c r="G889" i="2"/>
  <c r="H889" i="2"/>
  <c r="J889" i="2"/>
  <c r="D890" i="2"/>
  <c r="E890" i="2"/>
  <c r="F890" i="2"/>
  <c r="G890" i="2"/>
  <c r="H890" i="2"/>
  <c r="J890" i="2"/>
  <c r="D891" i="2"/>
  <c r="E891" i="2"/>
  <c r="F891" i="2"/>
  <c r="G891" i="2"/>
  <c r="H891" i="2"/>
  <c r="J891" i="2"/>
  <c r="D892" i="2"/>
  <c r="E892" i="2"/>
  <c r="F892" i="2"/>
  <c r="G892" i="2"/>
  <c r="H892" i="2"/>
  <c r="J892" i="2"/>
  <c r="D893" i="2"/>
  <c r="E893" i="2"/>
  <c r="F893" i="2"/>
  <c r="G893" i="2"/>
  <c r="H893" i="2"/>
  <c r="J893" i="2"/>
  <c r="D894" i="2"/>
  <c r="E894" i="2"/>
  <c r="F894" i="2"/>
  <c r="G894" i="2"/>
  <c r="H894" i="2"/>
  <c r="J894" i="2"/>
  <c r="D895" i="2"/>
  <c r="E895" i="2"/>
  <c r="F895" i="2"/>
  <c r="G895" i="2"/>
  <c r="H895" i="2"/>
  <c r="J895" i="2"/>
  <c r="D896" i="2"/>
  <c r="E896" i="2"/>
  <c r="F896" i="2"/>
  <c r="G896" i="2"/>
  <c r="H896" i="2"/>
  <c r="J896" i="2"/>
  <c r="D897" i="2"/>
  <c r="E897" i="2"/>
  <c r="F897" i="2"/>
  <c r="G897" i="2"/>
  <c r="H897" i="2"/>
  <c r="J897" i="2"/>
  <c r="D898" i="2"/>
  <c r="E898" i="2"/>
  <c r="F898" i="2"/>
  <c r="G898" i="2"/>
  <c r="H898" i="2"/>
  <c r="J898" i="2"/>
  <c r="D899" i="2"/>
  <c r="E899" i="2"/>
  <c r="F899" i="2"/>
  <c r="G899" i="2"/>
  <c r="H899" i="2"/>
  <c r="J899" i="2"/>
  <c r="D900" i="2"/>
  <c r="E900" i="2"/>
  <c r="F900" i="2"/>
  <c r="G900" i="2"/>
  <c r="H900" i="2"/>
  <c r="J900" i="2"/>
  <c r="D901" i="2"/>
  <c r="E901" i="2"/>
  <c r="F901" i="2"/>
  <c r="G901" i="2"/>
  <c r="H901" i="2"/>
  <c r="J901" i="2"/>
  <c r="D902" i="2"/>
  <c r="E902" i="2"/>
  <c r="F902" i="2"/>
  <c r="G902" i="2"/>
  <c r="H902" i="2"/>
  <c r="J902" i="2"/>
  <c r="D903" i="2"/>
  <c r="E903" i="2"/>
  <c r="F903" i="2"/>
  <c r="G903" i="2"/>
  <c r="H903" i="2"/>
  <c r="J903" i="2"/>
  <c r="D904" i="2"/>
  <c r="E904" i="2"/>
  <c r="F904" i="2"/>
  <c r="G904" i="2"/>
  <c r="H904" i="2"/>
  <c r="J904" i="2"/>
  <c r="D905" i="2"/>
  <c r="E905" i="2"/>
  <c r="F905" i="2"/>
  <c r="G905" i="2"/>
  <c r="H905" i="2"/>
  <c r="J905" i="2"/>
  <c r="D906" i="2"/>
  <c r="E906" i="2"/>
  <c r="F906" i="2"/>
  <c r="G906" i="2"/>
  <c r="H906" i="2"/>
  <c r="J906" i="2"/>
  <c r="D907" i="2"/>
  <c r="E907" i="2"/>
  <c r="F907" i="2"/>
  <c r="G907" i="2"/>
  <c r="H907" i="2"/>
  <c r="J907" i="2"/>
  <c r="D908" i="2"/>
  <c r="E908" i="2"/>
  <c r="F908" i="2"/>
  <c r="G908" i="2"/>
  <c r="H908" i="2"/>
  <c r="J908" i="2"/>
  <c r="D909" i="2"/>
  <c r="E909" i="2"/>
  <c r="F909" i="2"/>
  <c r="G909" i="2"/>
  <c r="H909" i="2"/>
  <c r="J909" i="2"/>
  <c r="D910" i="2"/>
  <c r="E910" i="2"/>
  <c r="F910" i="2"/>
  <c r="G910" i="2"/>
  <c r="H910" i="2"/>
  <c r="J910" i="2"/>
  <c r="D911" i="2"/>
  <c r="E911" i="2"/>
  <c r="F911" i="2"/>
  <c r="G911" i="2"/>
  <c r="H911" i="2"/>
  <c r="J911" i="2"/>
  <c r="D912" i="2"/>
  <c r="E912" i="2"/>
  <c r="F912" i="2"/>
  <c r="G912" i="2"/>
  <c r="H912" i="2"/>
  <c r="J912" i="2"/>
  <c r="D913" i="2"/>
  <c r="E913" i="2"/>
  <c r="F913" i="2"/>
  <c r="G913" i="2"/>
  <c r="H913" i="2"/>
  <c r="J913" i="2"/>
  <c r="D914" i="2"/>
  <c r="E914" i="2"/>
  <c r="F914" i="2"/>
  <c r="G914" i="2"/>
  <c r="H914" i="2"/>
  <c r="J914" i="2"/>
  <c r="D915" i="2"/>
  <c r="E915" i="2"/>
  <c r="F915" i="2"/>
  <c r="G915" i="2"/>
  <c r="H915" i="2"/>
  <c r="J915" i="2"/>
  <c r="D916" i="2"/>
  <c r="E916" i="2"/>
  <c r="F916" i="2"/>
  <c r="G916" i="2"/>
  <c r="H916" i="2"/>
  <c r="J916" i="2"/>
  <c r="D917" i="2"/>
  <c r="E917" i="2"/>
  <c r="F917" i="2"/>
  <c r="G917" i="2"/>
  <c r="H917" i="2"/>
  <c r="J917" i="2"/>
  <c r="D918" i="2"/>
  <c r="E918" i="2"/>
  <c r="F918" i="2"/>
  <c r="G918" i="2"/>
  <c r="H918" i="2"/>
  <c r="J918" i="2"/>
  <c r="D919" i="2"/>
  <c r="E919" i="2"/>
  <c r="F919" i="2"/>
  <c r="G919" i="2"/>
  <c r="H919" i="2"/>
  <c r="J919" i="2"/>
  <c r="D920" i="2"/>
  <c r="E920" i="2"/>
  <c r="F920" i="2"/>
  <c r="G920" i="2"/>
  <c r="H920" i="2"/>
  <c r="J920" i="2"/>
  <c r="D921" i="2"/>
  <c r="E921" i="2"/>
  <c r="F921" i="2"/>
  <c r="G921" i="2"/>
  <c r="H921" i="2"/>
  <c r="J921" i="2"/>
  <c r="D922" i="2"/>
  <c r="E922" i="2"/>
  <c r="F922" i="2"/>
  <c r="G922" i="2"/>
  <c r="H922" i="2"/>
  <c r="J922" i="2"/>
  <c r="D923" i="2"/>
  <c r="E923" i="2"/>
  <c r="F923" i="2"/>
  <c r="G923" i="2"/>
  <c r="H923" i="2"/>
  <c r="J923" i="2"/>
  <c r="D924" i="2"/>
  <c r="E924" i="2"/>
  <c r="F924" i="2"/>
  <c r="G924" i="2"/>
  <c r="H924" i="2"/>
  <c r="J924" i="2"/>
  <c r="D925" i="2"/>
  <c r="E925" i="2"/>
  <c r="F925" i="2"/>
  <c r="G925" i="2"/>
  <c r="H925" i="2"/>
  <c r="J925" i="2"/>
  <c r="D926" i="2"/>
  <c r="E926" i="2"/>
  <c r="F926" i="2"/>
  <c r="G926" i="2"/>
  <c r="H926" i="2"/>
  <c r="J926" i="2"/>
  <c r="D927" i="2"/>
  <c r="E927" i="2"/>
  <c r="F927" i="2"/>
  <c r="G927" i="2"/>
  <c r="H927" i="2"/>
  <c r="J927" i="2"/>
  <c r="D928" i="2"/>
  <c r="E928" i="2"/>
  <c r="F928" i="2"/>
  <c r="G928" i="2"/>
  <c r="H928" i="2"/>
  <c r="J928" i="2"/>
  <c r="D929" i="2"/>
  <c r="E929" i="2"/>
  <c r="F929" i="2"/>
  <c r="G929" i="2"/>
  <c r="H929" i="2"/>
  <c r="J929" i="2"/>
  <c r="D930" i="2"/>
  <c r="E930" i="2"/>
  <c r="F930" i="2"/>
  <c r="G930" i="2"/>
  <c r="H930" i="2"/>
  <c r="J930" i="2"/>
  <c r="D931" i="2"/>
  <c r="E931" i="2"/>
  <c r="F931" i="2"/>
  <c r="G931" i="2"/>
  <c r="H931" i="2"/>
  <c r="J931" i="2"/>
  <c r="D932" i="2"/>
  <c r="E932" i="2"/>
  <c r="F932" i="2"/>
  <c r="G932" i="2"/>
  <c r="H932" i="2"/>
  <c r="J932" i="2"/>
  <c r="D1163" i="2"/>
  <c r="E1163" i="2"/>
  <c r="F1163" i="2"/>
  <c r="G1163" i="2"/>
  <c r="H1163" i="2"/>
  <c r="J1163" i="2"/>
  <c r="D1164" i="2"/>
  <c r="E1164" i="2"/>
  <c r="F1164" i="2"/>
  <c r="G1164" i="2"/>
  <c r="H1164" i="2"/>
  <c r="J1164" i="2"/>
  <c r="D1165" i="2"/>
  <c r="E1165" i="2"/>
  <c r="F1165" i="2"/>
  <c r="G1165" i="2"/>
  <c r="H1165" i="2"/>
  <c r="J1165" i="2"/>
  <c r="D1166" i="2"/>
  <c r="E1166" i="2"/>
  <c r="F1166" i="2"/>
  <c r="G1166" i="2"/>
  <c r="H1166" i="2"/>
  <c r="J1166" i="2"/>
  <c r="D1167" i="2"/>
  <c r="E1167" i="2"/>
  <c r="F1167" i="2"/>
  <c r="G1167" i="2"/>
  <c r="H1167" i="2"/>
  <c r="J1167" i="2"/>
  <c r="D1168" i="2"/>
  <c r="E1168" i="2"/>
  <c r="F1168" i="2"/>
  <c r="G1168" i="2"/>
  <c r="H1168" i="2"/>
  <c r="J1168" i="2"/>
  <c r="D1169" i="2"/>
  <c r="E1169" i="2"/>
  <c r="F1169" i="2"/>
  <c r="G1169" i="2"/>
  <c r="H1169" i="2"/>
  <c r="J1169" i="2"/>
  <c r="D1170" i="2"/>
  <c r="E1170" i="2"/>
  <c r="F1170" i="2"/>
  <c r="G1170" i="2"/>
  <c r="H1170" i="2"/>
  <c r="J1170" i="2"/>
  <c r="D1171" i="2"/>
  <c r="E1171" i="2"/>
  <c r="F1171" i="2"/>
  <c r="G1171" i="2"/>
  <c r="H1171" i="2"/>
  <c r="J1171" i="2"/>
  <c r="D1172" i="2"/>
  <c r="E1172" i="2"/>
  <c r="F1172" i="2"/>
  <c r="G1172" i="2"/>
  <c r="H1172" i="2"/>
  <c r="J1172" i="2"/>
  <c r="D1173" i="2"/>
  <c r="E1173" i="2"/>
  <c r="F1173" i="2"/>
  <c r="G1173" i="2"/>
  <c r="H1173" i="2"/>
  <c r="J1173" i="2"/>
  <c r="D1174" i="2"/>
  <c r="E1174" i="2"/>
  <c r="F1174" i="2"/>
  <c r="G1174" i="2"/>
  <c r="H1174" i="2"/>
  <c r="J1174" i="2"/>
  <c r="D1175" i="2"/>
  <c r="E1175" i="2"/>
  <c r="F1175" i="2"/>
  <c r="G1175" i="2"/>
  <c r="H1175" i="2"/>
  <c r="J1175" i="2"/>
  <c r="D1176" i="2"/>
  <c r="E1176" i="2"/>
  <c r="F1176" i="2"/>
  <c r="G1176" i="2"/>
  <c r="H1176" i="2"/>
  <c r="J1176" i="2"/>
  <c r="D1177" i="2"/>
  <c r="E1177" i="2"/>
  <c r="F1177" i="2"/>
  <c r="G1177" i="2"/>
  <c r="H1177" i="2"/>
  <c r="J1177" i="2"/>
  <c r="D1178" i="2"/>
  <c r="E1178" i="2"/>
  <c r="F1178" i="2"/>
  <c r="G1178" i="2"/>
  <c r="H1178" i="2"/>
  <c r="J1178" i="2"/>
  <c r="D1179" i="2"/>
  <c r="E1179" i="2"/>
  <c r="F1179" i="2"/>
  <c r="G1179" i="2"/>
  <c r="H1179" i="2"/>
  <c r="J1179" i="2"/>
  <c r="D1180" i="2"/>
  <c r="E1180" i="2"/>
  <c r="F1180" i="2"/>
  <c r="G1180" i="2"/>
  <c r="H1180" i="2"/>
  <c r="J1180" i="2"/>
  <c r="D1181" i="2"/>
  <c r="E1181" i="2"/>
  <c r="F1181" i="2"/>
  <c r="G1181" i="2"/>
  <c r="H1181" i="2"/>
  <c r="J1181" i="2"/>
  <c r="D1182" i="2"/>
  <c r="E1182" i="2"/>
  <c r="F1182" i="2"/>
  <c r="G1182" i="2"/>
  <c r="H1182" i="2"/>
  <c r="J1182" i="2"/>
  <c r="D1183" i="2"/>
  <c r="E1183" i="2"/>
  <c r="F1183" i="2"/>
  <c r="G1183" i="2"/>
  <c r="H1183" i="2"/>
  <c r="J1183" i="2"/>
  <c r="D1184" i="2"/>
  <c r="E1184" i="2"/>
  <c r="F1184" i="2"/>
  <c r="G1184" i="2"/>
  <c r="H1184" i="2"/>
  <c r="J1184" i="2"/>
  <c r="D1185" i="2"/>
  <c r="E1185" i="2"/>
  <c r="F1185" i="2"/>
  <c r="G1185" i="2"/>
  <c r="H1185" i="2"/>
  <c r="J1185" i="2"/>
  <c r="D1186" i="2"/>
  <c r="E1186" i="2"/>
  <c r="F1186" i="2"/>
  <c r="G1186" i="2"/>
  <c r="H1186" i="2"/>
  <c r="J1186" i="2"/>
  <c r="D1187" i="2"/>
  <c r="E1187" i="2"/>
  <c r="F1187" i="2"/>
  <c r="G1187" i="2"/>
  <c r="H1187" i="2"/>
  <c r="J1187" i="2"/>
  <c r="D1188" i="2"/>
  <c r="E1188" i="2"/>
  <c r="F1188" i="2"/>
  <c r="G1188" i="2"/>
  <c r="H1188" i="2"/>
  <c r="J1188" i="2"/>
  <c r="D1189" i="2"/>
  <c r="E1189" i="2"/>
  <c r="F1189" i="2"/>
  <c r="G1189" i="2"/>
  <c r="H1189" i="2"/>
  <c r="J1189" i="2"/>
  <c r="D1190" i="2"/>
  <c r="E1190" i="2"/>
  <c r="F1190" i="2"/>
  <c r="G1190" i="2"/>
  <c r="H1190" i="2"/>
  <c r="J1190" i="2"/>
  <c r="D1191" i="2"/>
  <c r="E1191" i="2"/>
  <c r="F1191" i="2"/>
  <c r="G1191" i="2"/>
  <c r="H1191" i="2"/>
  <c r="J1191" i="2"/>
  <c r="D1192" i="2"/>
  <c r="E1192" i="2"/>
  <c r="F1192" i="2"/>
  <c r="G1192" i="2"/>
  <c r="H1192" i="2"/>
  <c r="J1192" i="2"/>
  <c r="D1193" i="2"/>
  <c r="E1193" i="2"/>
  <c r="F1193" i="2"/>
  <c r="G1193" i="2"/>
  <c r="H1193" i="2"/>
  <c r="J1193" i="2"/>
  <c r="D1194" i="2"/>
  <c r="E1194" i="2"/>
  <c r="F1194" i="2"/>
  <c r="G1194" i="2"/>
  <c r="H1194" i="2"/>
  <c r="J1194" i="2"/>
  <c r="D1195" i="2"/>
  <c r="E1195" i="2"/>
  <c r="F1195" i="2"/>
  <c r="G1195" i="2"/>
  <c r="H1195" i="2"/>
  <c r="J1195" i="2"/>
  <c r="D1196" i="2"/>
  <c r="E1196" i="2"/>
  <c r="F1196" i="2"/>
  <c r="G1196" i="2"/>
  <c r="H1196" i="2"/>
  <c r="J1196" i="2"/>
  <c r="D1197" i="2"/>
  <c r="E1197" i="2"/>
  <c r="F1197" i="2"/>
  <c r="G1197" i="2"/>
  <c r="H1197" i="2"/>
  <c r="J1197" i="2"/>
  <c r="D1198" i="2"/>
  <c r="E1198" i="2"/>
  <c r="F1198" i="2"/>
  <c r="G1198" i="2"/>
  <c r="H1198" i="2"/>
  <c r="J1198" i="2"/>
  <c r="D1199" i="2"/>
  <c r="E1199" i="2"/>
  <c r="F1199" i="2"/>
  <c r="G1199" i="2"/>
  <c r="H1199" i="2"/>
  <c r="J1199" i="2"/>
  <c r="D1200" i="2"/>
  <c r="E1200" i="2"/>
  <c r="F1200" i="2"/>
  <c r="G1200" i="2"/>
  <c r="H1200" i="2"/>
  <c r="J1200" i="2"/>
  <c r="D1201" i="2"/>
  <c r="E1201" i="2"/>
  <c r="F1201" i="2"/>
  <c r="G1201" i="2"/>
  <c r="H1201" i="2"/>
  <c r="J1201" i="2"/>
  <c r="D1202" i="2"/>
  <c r="E1202" i="2"/>
  <c r="F1202" i="2"/>
  <c r="G1202" i="2"/>
  <c r="H1202" i="2"/>
  <c r="J1202" i="2"/>
  <c r="D1203" i="2"/>
  <c r="E1203" i="2"/>
  <c r="F1203" i="2"/>
  <c r="G1203" i="2"/>
  <c r="H1203" i="2"/>
  <c r="J1203" i="2"/>
  <c r="D1204" i="2"/>
  <c r="E1204" i="2"/>
  <c r="F1204" i="2"/>
  <c r="G1204" i="2"/>
  <c r="H1204" i="2"/>
  <c r="J1204" i="2"/>
  <c r="D1205" i="2"/>
  <c r="E1205" i="2"/>
  <c r="F1205" i="2"/>
  <c r="G1205" i="2"/>
  <c r="H1205" i="2"/>
  <c r="J1205" i="2"/>
  <c r="D1206" i="2"/>
  <c r="E1206" i="2"/>
  <c r="F1206" i="2"/>
  <c r="G1206" i="2"/>
  <c r="H1206" i="2"/>
  <c r="J1206" i="2"/>
  <c r="D1207" i="2"/>
  <c r="E1207" i="2"/>
  <c r="F1207" i="2"/>
  <c r="G1207" i="2"/>
  <c r="H1207" i="2"/>
  <c r="J1207" i="2"/>
  <c r="D1208" i="2"/>
  <c r="E1208" i="2"/>
  <c r="F1208" i="2"/>
  <c r="G1208" i="2"/>
  <c r="H1208" i="2"/>
  <c r="J1208" i="2"/>
  <c r="D1209" i="2"/>
  <c r="E1209" i="2"/>
  <c r="F1209" i="2"/>
  <c r="G1209" i="2"/>
  <c r="H1209" i="2"/>
  <c r="J1209" i="2"/>
  <c r="D1210" i="2"/>
  <c r="E1210" i="2"/>
  <c r="F1210" i="2"/>
  <c r="G1210" i="2"/>
  <c r="H1210" i="2"/>
  <c r="J1210" i="2"/>
  <c r="D1211" i="2"/>
  <c r="E1211" i="2"/>
  <c r="F1211" i="2"/>
  <c r="G1211" i="2"/>
  <c r="H1211" i="2"/>
  <c r="J1211" i="2"/>
  <c r="D1212" i="2"/>
  <c r="E1212" i="2"/>
  <c r="F1212" i="2"/>
  <c r="G1212" i="2"/>
  <c r="H1212" i="2"/>
  <c r="J1212" i="2"/>
  <c r="D1213" i="2"/>
  <c r="E1213" i="2"/>
  <c r="F1213" i="2"/>
  <c r="G1213" i="2"/>
  <c r="H1213" i="2"/>
  <c r="J1213" i="2"/>
  <c r="D1214" i="2"/>
  <c r="E1214" i="2"/>
  <c r="F1214" i="2"/>
  <c r="G1214" i="2"/>
  <c r="H1214" i="2"/>
  <c r="J1214" i="2"/>
  <c r="D1215" i="2"/>
  <c r="E1215" i="2"/>
  <c r="F1215" i="2"/>
  <c r="G1215" i="2"/>
  <c r="H1215" i="2"/>
  <c r="J1215" i="2"/>
  <c r="D1216" i="2"/>
  <c r="E1216" i="2"/>
  <c r="F1216" i="2"/>
  <c r="G1216" i="2"/>
  <c r="H1216" i="2"/>
  <c r="J1216" i="2"/>
  <c r="D1217" i="2"/>
  <c r="E1217" i="2"/>
  <c r="F1217" i="2"/>
  <c r="G1217" i="2"/>
  <c r="H1217" i="2"/>
  <c r="J1217" i="2"/>
  <c r="D1218" i="2"/>
  <c r="E1218" i="2"/>
  <c r="F1218" i="2"/>
  <c r="G1218" i="2"/>
  <c r="H1218" i="2"/>
  <c r="J1218" i="2"/>
  <c r="D1219" i="2"/>
  <c r="E1219" i="2"/>
  <c r="F1219" i="2"/>
  <c r="G1219" i="2"/>
  <c r="H1219" i="2"/>
  <c r="J1219" i="2"/>
  <c r="D1220" i="2"/>
  <c r="E1220" i="2"/>
  <c r="F1220" i="2"/>
  <c r="G1220" i="2"/>
  <c r="H1220" i="2"/>
  <c r="J1220" i="2"/>
  <c r="D1221" i="2"/>
  <c r="E1221" i="2"/>
  <c r="F1221" i="2"/>
  <c r="G1221" i="2"/>
  <c r="H1221" i="2"/>
  <c r="J1221" i="2"/>
  <c r="D1222" i="2"/>
  <c r="E1222" i="2"/>
  <c r="F1222" i="2"/>
  <c r="G1222" i="2"/>
  <c r="H1222" i="2"/>
  <c r="J1222" i="2"/>
  <c r="D1223" i="2"/>
  <c r="E1223" i="2"/>
  <c r="F1223" i="2"/>
  <c r="G1223" i="2"/>
  <c r="H1223" i="2"/>
  <c r="J1223" i="2"/>
  <c r="D1224" i="2"/>
  <c r="E1224" i="2"/>
  <c r="F1224" i="2"/>
  <c r="G1224" i="2"/>
  <c r="H1224" i="2"/>
  <c r="J1224" i="2"/>
  <c r="D1225" i="2"/>
  <c r="E1225" i="2"/>
  <c r="F1225" i="2"/>
  <c r="G1225" i="2"/>
  <c r="H1225" i="2"/>
  <c r="J1225" i="2"/>
  <c r="D1226" i="2"/>
  <c r="E1226" i="2"/>
  <c r="F1226" i="2"/>
  <c r="G1226" i="2"/>
  <c r="H1226" i="2"/>
  <c r="J1226" i="2"/>
  <c r="D1227" i="2"/>
  <c r="E1227" i="2"/>
  <c r="F1227" i="2"/>
  <c r="G1227" i="2"/>
  <c r="H1227" i="2"/>
  <c r="J1227" i="2"/>
  <c r="D1248" i="2"/>
  <c r="E1248" i="2"/>
  <c r="F1248" i="2"/>
  <c r="G1248" i="2"/>
  <c r="H1248" i="2"/>
  <c r="J1248" i="2"/>
  <c r="D1249" i="2"/>
  <c r="E1249" i="2"/>
  <c r="F1249" i="2"/>
  <c r="G1249" i="2"/>
  <c r="H1249" i="2"/>
  <c r="J1249" i="2"/>
  <c r="D1250" i="2"/>
  <c r="E1250" i="2"/>
  <c r="F1250" i="2"/>
  <c r="G1250" i="2"/>
  <c r="H1250" i="2"/>
  <c r="J1250" i="2"/>
  <c r="D1251" i="2"/>
  <c r="E1251" i="2"/>
  <c r="F1251" i="2"/>
  <c r="G1251" i="2"/>
  <c r="H1251" i="2"/>
  <c r="J1251" i="2"/>
  <c r="D1252" i="2"/>
  <c r="E1252" i="2"/>
  <c r="F1252" i="2"/>
  <c r="G1252" i="2"/>
  <c r="H1252" i="2"/>
  <c r="J1252" i="2"/>
  <c r="D1253" i="2"/>
  <c r="E1253" i="2"/>
  <c r="F1253" i="2"/>
  <c r="G1253" i="2"/>
  <c r="H1253" i="2"/>
  <c r="J1253" i="2"/>
  <c r="D1254" i="2"/>
  <c r="E1254" i="2"/>
  <c r="F1254" i="2"/>
  <c r="G1254" i="2"/>
  <c r="H1254" i="2"/>
  <c r="J1254" i="2"/>
  <c r="D1255" i="2"/>
  <c r="E1255" i="2"/>
  <c r="F1255" i="2"/>
  <c r="G1255" i="2"/>
  <c r="H1255" i="2"/>
  <c r="J1255" i="2"/>
  <c r="D1256" i="2"/>
  <c r="E1256" i="2"/>
  <c r="F1256" i="2"/>
  <c r="G1256" i="2"/>
  <c r="H1256" i="2"/>
  <c r="J1256" i="2"/>
  <c r="D1257" i="2"/>
  <c r="E1257" i="2"/>
  <c r="F1257" i="2"/>
  <c r="G1257" i="2"/>
  <c r="H1257" i="2"/>
  <c r="J1257" i="2"/>
  <c r="D1258" i="2"/>
  <c r="E1258" i="2"/>
  <c r="F1258" i="2"/>
  <c r="G1258" i="2"/>
  <c r="H1258" i="2"/>
  <c r="J1258" i="2"/>
  <c r="D1259" i="2"/>
  <c r="E1259" i="2"/>
  <c r="F1259" i="2"/>
  <c r="G1259" i="2"/>
  <c r="H1259" i="2"/>
  <c r="J1259" i="2"/>
  <c r="D1260" i="2"/>
  <c r="E1260" i="2"/>
  <c r="F1260" i="2"/>
  <c r="G1260" i="2"/>
  <c r="H1260" i="2"/>
  <c r="J1260" i="2"/>
  <c r="D1261" i="2"/>
  <c r="E1261" i="2"/>
  <c r="F1261" i="2"/>
  <c r="G1261" i="2"/>
  <c r="H1261" i="2"/>
  <c r="J1261" i="2"/>
  <c r="D1262" i="2"/>
  <c r="E1262" i="2"/>
  <c r="F1262" i="2"/>
  <c r="G1262" i="2"/>
  <c r="H1262" i="2"/>
  <c r="J1262" i="2"/>
  <c r="D1263" i="2"/>
  <c r="E1263" i="2"/>
  <c r="F1263" i="2"/>
  <c r="G1263" i="2"/>
  <c r="H1263" i="2"/>
  <c r="J1263" i="2"/>
  <c r="D1264" i="2"/>
  <c r="E1264" i="2"/>
  <c r="F1264" i="2"/>
  <c r="G1264" i="2"/>
  <c r="H1264" i="2"/>
  <c r="J1264" i="2"/>
  <c r="D1265" i="2"/>
  <c r="E1265" i="2"/>
  <c r="F1265" i="2"/>
  <c r="G1265" i="2"/>
  <c r="H1265" i="2"/>
  <c r="J1265" i="2"/>
  <c r="D1266" i="2"/>
  <c r="E1266" i="2"/>
  <c r="F1266" i="2"/>
  <c r="G1266" i="2"/>
  <c r="H1266" i="2"/>
  <c r="J1266" i="2"/>
  <c r="D1267" i="2"/>
  <c r="E1267" i="2"/>
  <c r="F1267" i="2"/>
  <c r="G1267" i="2"/>
  <c r="H1267" i="2"/>
  <c r="J1267" i="2"/>
  <c r="D1268" i="2"/>
  <c r="E1268" i="2"/>
  <c r="F1268" i="2"/>
  <c r="G1268" i="2"/>
  <c r="H1268" i="2"/>
  <c r="J1268" i="2"/>
  <c r="D1269" i="2"/>
  <c r="E1269" i="2"/>
  <c r="F1269" i="2"/>
  <c r="G1269" i="2"/>
  <c r="H1269" i="2"/>
  <c r="J1269" i="2"/>
  <c r="D1270" i="2"/>
  <c r="E1270" i="2"/>
  <c r="F1270" i="2"/>
  <c r="G1270" i="2"/>
  <c r="H1270" i="2"/>
  <c r="J1270" i="2"/>
  <c r="D1271" i="2"/>
  <c r="E1271" i="2"/>
  <c r="F1271" i="2"/>
  <c r="G1271" i="2"/>
  <c r="H1271" i="2"/>
  <c r="J1271" i="2"/>
  <c r="D1272" i="2"/>
  <c r="E1272" i="2"/>
  <c r="F1272" i="2"/>
  <c r="G1272" i="2"/>
  <c r="H1272" i="2"/>
  <c r="J1272" i="2"/>
  <c r="D1375" i="2"/>
  <c r="E1375" i="2"/>
  <c r="F1375" i="2"/>
  <c r="G1375" i="2"/>
  <c r="H1375" i="2"/>
  <c r="J1375" i="2"/>
  <c r="D1376" i="2"/>
  <c r="E1376" i="2"/>
  <c r="F1376" i="2"/>
  <c r="G1376" i="2"/>
  <c r="H1376" i="2"/>
  <c r="J1376" i="2"/>
  <c r="D1377" i="2"/>
  <c r="E1377" i="2"/>
  <c r="F1377" i="2"/>
  <c r="G1377" i="2"/>
  <c r="H1377" i="2"/>
  <c r="J1377" i="2"/>
  <c r="D1378" i="2"/>
  <c r="E1378" i="2"/>
  <c r="F1378" i="2"/>
  <c r="G1378" i="2"/>
  <c r="H1378" i="2"/>
  <c r="J1378" i="2"/>
  <c r="D1379" i="2"/>
  <c r="E1379" i="2"/>
  <c r="F1379" i="2"/>
  <c r="G1379" i="2"/>
  <c r="H1379" i="2"/>
  <c r="J1379" i="2"/>
  <c r="D1380" i="2"/>
  <c r="E1380" i="2"/>
  <c r="F1380" i="2"/>
  <c r="G1380" i="2"/>
  <c r="H1380" i="2"/>
  <c r="J1380" i="2"/>
  <c r="D1381" i="2"/>
  <c r="E1381" i="2"/>
  <c r="F1381" i="2"/>
  <c r="G1381" i="2"/>
  <c r="H1381" i="2"/>
  <c r="J1381" i="2"/>
  <c r="D1382" i="2"/>
  <c r="E1382" i="2"/>
  <c r="F1382" i="2"/>
  <c r="G1382" i="2"/>
  <c r="H1382" i="2"/>
  <c r="J1382" i="2"/>
  <c r="D1383" i="2"/>
  <c r="E1383" i="2"/>
  <c r="F1383" i="2"/>
  <c r="G1383" i="2"/>
  <c r="H1383" i="2"/>
  <c r="J1383" i="2"/>
  <c r="D1384" i="2"/>
  <c r="E1384" i="2"/>
  <c r="F1384" i="2"/>
  <c r="G1384" i="2"/>
  <c r="H1384" i="2"/>
  <c r="J1384" i="2"/>
  <c r="D1385" i="2"/>
  <c r="E1385" i="2"/>
  <c r="F1385" i="2"/>
  <c r="G1385" i="2"/>
  <c r="H1385" i="2"/>
  <c r="J1385" i="2"/>
  <c r="D1386" i="2"/>
  <c r="E1386" i="2"/>
  <c r="F1386" i="2"/>
  <c r="G1386" i="2"/>
  <c r="H1386" i="2"/>
  <c r="J1386" i="2"/>
  <c r="D1387" i="2"/>
  <c r="E1387" i="2"/>
  <c r="F1387" i="2"/>
  <c r="G1387" i="2"/>
  <c r="H1387" i="2"/>
  <c r="J1387" i="2"/>
  <c r="D1388" i="2"/>
  <c r="E1388" i="2"/>
  <c r="F1388" i="2"/>
  <c r="G1388" i="2"/>
  <c r="H1388" i="2"/>
  <c r="J1388" i="2"/>
  <c r="D1389" i="2"/>
  <c r="E1389" i="2"/>
  <c r="F1389" i="2"/>
  <c r="G1389" i="2"/>
  <c r="H1389" i="2"/>
  <c r="J1389" i="2"/>
  <c r="D1390" i="2"/>
  <c r="E1390" i="2"/>
  <c r="F1390" i="2"/>
  <c r="G1390" i="2"/>
  <c r="H1390" i="2"/>
  <c r="J1390" i="2"/>
  <c r="D1391" i="2"/>
  <c r="E1391" i="2"/>
  <c r="F1391" i="2"/>
  <c r="G1391" i="2"/>
  <c r="H1391" i="2"/>
  <c r="J1391" i="2"/>
  <c r="D1392" i="2"/>
  <c r="E1392" i="2"/>
  <c r="F1392" i="2"/>
  <c r="G1392" i="2"/>
  <c r="H1392" i="2"/>
  <c r="J1392" i="2"/>
  <c r="D1393" i="2"/>
  <c r="E1393" i="2"/>
  <c r="F1393" i="2"/>
  <c r="G1393" i="2"/>
  <c r="H1393" i="2"/>
  <c r="J1393" i="2"/>
  <c r="D1394" i="2"/>
  <c r="E1394" i="2"/>
  <c r="F1394" i="2"/>
  <c r="G1394" i="2"/>
  <c r="H1394" i="2"/>
  <c r="J1394" i="2"/>
  <c r="D1395" i="2"/>
  <c r="E1395" i="2"/>
  <c r="F1395" i="2"/>
  <c r="G1395" i="2"/>
  <c r="H1395" i="2"/>
  <c r="J1395" i="2"/>
  <c r="D1396" i="2"/>
  <c r="E1396" i="2"/>
  <c r="F1396" i="2"/>
  <c r="G1396" i="2"/>
  <c r="H1396" i="2"/>
  <c r="J1396" i="2"/>
  <c r="D1397" i="2"/>
  <c r="E1397" i="2"/>
  <c r="F1397" i="2"/>
  <c r="G1397" i="2"/>
  <c r="H1397" i="2"/>
  <c r="J1397" i="2"/>
  <c r="D1398" i="2"/>
  <c r="E1398" i="2"/>
  <c r="F1398" i="2"/>
  <c r="G1398" i="2"/>
  <c r="H1398" i="2"/>
  <c r="J1398" i="2"/>
  <c r="D1399" i="2"/>
  <c r="E1399" i="2"/>
  <c r="F1399" i="2"/>
  <c r="G1399" i="2"/>
  <c r="H1399" i="2"/>
  <c r="J1399" i="2"/>
  <c r="D1400" i="2"/>
  <c r="E1400" i="2"/>
  <c r="F1400" i="2"/>
  <c r="G1400" i="2"/>
  <c r="H1400" i="2"/>
  <c r="J1400" i="2"/>
  <c r="D1401" i="2"/>
  <c r="E1401" i="2"/>
  <c r="F1401" i="2"/>
  <c r="G1401" i="2"/>
  <c r="H1401" i="2"/>
  <c r="J1401" i="2"/>
  <c r="D1402" i="2"/>
  <c r="E1402" i="2"/>
  <c r="F1402" i="2"/>
  <c r="G1402" i="2"/>
  <c r="H1402" i="2"/>
  <c r="J1402" i="2"/>
  <c r="D1403" i="2"/>
  <c r="E1403" i="2"/>
  <c r="F1403" i="2"/>
  <c r="G1403" i="2"/>
  <c r="H1403" i="2"/>
  <c r="J1403" i="2"/>
  <c r="D1404" i="2"/>
  <c r="E1404" i="2"/>
  <c r="F1404" i="2"/>
  <c r="G1404" i="2"/>
  <c r="H1404" i="2"/>
  <c r="J1404" i="2"/>
  <c r="D1405" i="2"/>
  <c r="E1405" i="2"/>
  <c r="F1405" i="2"/>
  <c r="G1405" i="2"/>
  <c r="H1405" i="2"/>
  <c r="J1405" i="2"/>
  <c r="D1406" i="2"/>
  <c r="E1406" i="2"/>
  <c r="F1406" i="2"/>
  <c r="G1406" i="2"/>
  <c r="H1406" i="2"/>
  <c r="J1406" i="2"/>
  <c r="D1407" i="2"/>
  <c r="E1407" i="2"/>
  <c r="F1407" i="2"/>
  <c r="G1407" i="2"/>
  <c r="H1407" i="2"/>
  <c r="J1407" i="2"/>
  <c r="D1408" i="2"/>
  <c r="E1408" i="2"/>
  <c r="F1408" i="2"/>
  <c r="G1408" i="2"/>
  <c r="H1408" i="2"/>
  <c r="J1408" i="2"/>
  <c r="D1409" i="2"/>
  <c r="E1409" i="2"/>
  <c r="F1409" i="2"/>
  <c r="G1409" i="2"/>
  <c r="H1409" i="2"/>
  <c r="J1409" i="2"/>
  <c r="D1410" i="2"/>
  <c r="E1410" i="2"/>
  <c r="F1410" i="2"/>
  <c r="G1410" i="2"/>
  <c r="H1410" i="2"/>
  <c r="J1410" i="2"/>
  <c r="D1411" i="2"/>
  <c r="E1411" i="2"/>
  <c r="F1411" i="2"/>
  <c r="G1411" i="2"/>
  <c r="H1411" i="2"/>
  <c r="J1411" i="2"/>
  <c r="D1412" i="2"/>
  <c r="E1412" i="2"/>
  <c r="F1412" i="2"/>
  <c r="G1412" i="2"/>
  <c r="H1412" i="2"/>
  <c r="J1412" i="2"/>
  <c r="D1413" i="2"/>
  <c r="E1413" i="2"/>
  <c r="F1413" i="2"/>
  <c r="G1413" i="2"/>
  <c r="H1413" i="2"/>
  <c r="J1413" i="2"/>
  <c r="D1414" i="2"/>
  <c r="E1414" i="2"/>
  <c r="F1414" i="2"/>
  <c r="G1414" i="2"/>
  <c r="H1414" i="2"/>
  <c r="J1414" i="2"/>
  <c r="D1415" i="2"/>
  <c r="E1415" i="2"/>
  <c r="F1415" i="2"/>
  <c r="G1415" i="2"/>
  <c r="H1415" i="2"/>
  <c r="J1415" i="2"/>
  <c r="D1416" i="2"/>
  <c r="E1416" i="2"/>
  <c r="F1416" i="2"/>
  <c r="G1416" i="2"/>
  <c r="H1416" i="2"/>
  <c r="J1416" i="2"/>
  <c r="D1417" i="2"/>
  <c r="E1417" i="2"/>
  <c r="F1417" i="2"/>
  <c r="G1417" i="2"/>
  <c r="H1417" i="2"/>
  <c r="J1417" i="2"/>
  <c r="D1418" i="2"/>
  <c r="E1418" i="2"/>
  <c r="F1418" i="2"/>
  <c r="G1418" i="2"/>
  <c r="H1418" i="2"/>
  <c r="J1418" i="2"/>
  <c r="D1419" i="2"/>
  <c r="E1419" i="2"/>
  <c r="F1419" i="2"/>
  <c r="G1419" i="2"/>
  <c r="H1419" i="2"/>
  <c r="J1419" i="2"/>
  <c r="D1420" i="2"/>
  <c r="E1420" i="2"/>
  <c r="F1420" i="2"/>
  <c r="G1420" i="2"/>
  <c r="H1420" i="2"/>
  <c r="J1420" i="2"/>
  <c r="D1421" i="2"/>
  <c r="E1421" i="2"/>
  <c r="F1421" i="2"/>
  <c r="G1421" i="2"/>
  <c r="H1421" i="2"/>
  <c r="J1421" i="2"/>
  <c r="D1422" i="2"/>
  <c r="E1422" i="2"/>
  <c r="F1422" i="2"/>
  <c r="G1422" i="2"/>
  <c r="H1422" i="2"/>
  <c r="J1422" i="2"/>
  <c r="D1423" i="2"/>
  <c r="E1423" i="2"/>
  <c r="F1423" i="2"/>
  <c r="G1423" i="2"/>
  <c r="H1423" i="2"/>
  <c r="J1423" i="2"/>
  <c r="D1424" i="2"/>
  <c r="E1424" i="2"/>
  <c r="F1424" i="2"/>
  <c r="G1424" i="2"/>
  <c r="H1424" i="2"/>
  <c r="J1424" i="2"/>
  <c r="D1425" i="2"/>
  <c r="E1425" i="2"/>
  <c r="F1425" i="2"/>
  <c r="G1425" i="2"/>
  <c r="H1425" i="2"/>
  <c r="J1425" i="2"/>
  <c r="D1426" i="2"/>
  <c r="E1426" i="2"/>
  <c r="F1426" i="2"/>
  <c r="G1426" i="2"/>
  <c r="H1426" i="2"/>
  <c r="J1426" i="2"/>
  <c r="D1427" i="2"/>
  <c r="E1427" i="2"/>
  <c r="F1427" i="2"/>
  <c r="G1427" i="2"/>
  <c r="H1427" i="2"/>
  <c r="J1427" i="2"/>
  <c r="D1428" i="2"/>
  <c r="E1428" i="2"/>
  <c r="F1428" i="2"/>
  <c r="G1428" i="2"/>
  <c r="H1428" i="2"/>
  <c r="J1428" i="2"/>
  <c r="D1429" i="2"/>
  <c r="E1429" i="2"/>
  <c r="F1429" i="2"/>
  <c r="G1429" i="2"/>
  <c r="H1429" i="2"/>
  <c r="J1429" i="2"/>
  <c r="D1430" i="2"/>
  <c r="E1430" i="2"/>
  <c r="F1430" i="2"/>
  <c r="G1430" i="2"/>
  <c r="H1430" i="2"/>
  <c r="J1430" i="2"/>
  <c r="D1431" i="2"/>
  <c r="E1431" i="2"/>
  <c r="F1431" i="2"/>
  <c r="G1431" i="2"/>
  <c r="H1431" i="2"/>
  <c r="J1431" i="2"/>
  <c r="D1432" i="2"/>
  <c r="E1432" i="2"/>
  <c r="F1432" i="2"/>
  <c r="G1432" i="2"/>
  <c r="H1432" i="2"/>
  <c r="J1432" i="2"/>
  <c r="D1433" i="2"/>
  <c r="E1433" i="2"/>
  <c r="F1433" i="2"/>
  <c r="G1433" i="2"/>
  <c r="H1433" i="2"/>
  <c r="J1433" i="2"/>
  <c r="D1434" i="2"/>
  <c r="E1434" i="2"/>
  <c r="F1434" i="2"/>
  <c r="G1434" i="2"/>
  <c r="H1434" i="2"/>
  <c r="J1434" i="2"/>
  <c r="D1435" i="2"/>
  <c r="E1435" i="2"/>
  <c r="F1435" i="2"/>
  <c r="G1435" i="2"/>
  <c r="H1435" i="2"/>
  <c r="J1435" i="2"/>
  <c r="D1436" i="2"/>
  <c r="E1436" i="2"/>
  <c r="F1436" i="2"/>
  <c r="G1436" i="2"/>
  <c r="H1436" i="2"/>
  <c r="J1436" i="2"/>
  <c r="D1437" i="2"/>
  <c r="E1437" i="2"/>
  <c r="F1437" i="2"/>
  <c r="G1437" i="2"/>
  <c r="H1437" i="2"/>
  <c r="J1437" i="2"/>
  <c r="D1438" i="2"/>
  <c r="E1438" i="2"/>
  <c r="F1438" i="2"/>
  <c r="G1438" i="2"/>
  <c r="H1438" i="2"/>
  <c r="J1438" i="2"/>
  <c r="D1439" i="2"/>
  <c r="E1439" i="2"/>
  <c r="F1439" i="2"/>
  <c r="G1439" i="2"/>
  <c r="H1439" i="2"/>
  <c r="J1439" i="2"/>
  <c r="D1440" i="2"/>
  <c r="E1440" i="2"/>
  <c r="F1440" i="2"/>
  <c r="G1440" i="2"/>
  <c r="H1440" i="2"/>
  <c r="J1440" i="2"/>
  <c r="D1441" i="2"/>
  <c r="E1441" i="2"/>
  <c r="F1441" i="2"/>
  <c r="G1441" i="2"/>
  <c r="H1441" i="2"/>
  <c r="J1441" i="2"/>
  <c r="D1442" i="2"/>
  <c r="E1442" i="2"/>
  <c r="F1442" i="2"/>
  <c r="G1442" i="2"/>
  <c r="H1442" i="2"/>
  <c r="J1442" i="2"/>
  <c r="D1443" i="2"/>
  <c r="E1443" i="2"/>
  <c r="F1443" i="2"/>
  <c r="G1443" i="2"/>
  <c r="H1443" i="2"/>
  <c r="J1443" i="2"/>
  <c r="D1444" i="2"/>
  <c r="E1444" i="2"/>
  <c r="F1444" i="2"/>
  <c r="G1444" i="2"/>
  <c r="H1444" i="2"/>
  <c r="J1444" i="2"/>
  <c r="D1445" i="2"/>
  <c r="E1445" i="2"/>
  <c r="F1445" i="2"/>
  <c r="G1445" i="2"/>
  <c r="H1445" i="2"/>
  <c r="J1445" i="2"/>
  <c r="D1446" i="2"/>
  <c r="E1446" i="2"/>
  <c r="F1446" i="2"/>
  <c r="G1446" i="2"/>
  <c r="H1446" i="2"/>
  <c r="J1446" i="2"/>
  <c r="D1447" i="2"/>
  <c r="E1447" i="2"/>
  <c r="F1447" i="2"/>
  <c r="G1447" i="2"/>
  <c r="H1447" i="2"/>
  <c r="J1447" i="2"/>
  <c r="D1448" i="2"/>
  <c r="E1448" i="2"/>
  <c r="F1448" i="2"/>
  <c r="G1448" i="2"/>
  <c r="H1448" i="2"/>
  <c r="J1448" i="2"/>
  <c r="D1449" i="2"/>
  <c r="E1449" i="2"/>
  <c r="F1449" i="2"/>
  <c r="G1449" i="2"/>
  <c r="H1449" i="2"/>
  <c r="J1449" i="2"/>
  <c r="D1450" i="2"/>
  <c r="E1450" i="2"/>
  <c r="F1450" i="2"/>
  <c r="G1450" i="2"/>
  <c r="H1450" i="2"/>
  <c r="J1450" i="2"/>
  <c r="D1451" i="2"/>
  <c r="E1451" i="2"/>
  <c r="F1451" i="2"/>
  <c r="G1451" i="2"/>
  <c r="H1451" i="2"/>
  <c r="J1451" i="2"/>
  <c r="D1452" i="2"/>
  <c r="E1452" i="2"/>
  <c r="F1452" i="2"/>
  <c r="G1452" i="2"/>
  <c r="H1452" i="2"/>
  <c r="J1452" i="2"/>
  <c r="D1453" i="2"/>
  <c r="E1453" i="2"/>
  <c r="F1453" i="2"/>
  <c r="G1453" i="2"/>
  <c r="H1453" i="2"/>
  <c r="J1453" i="2"/>
  <c r="D1454" i="2"/>
  <c r="E1454" i="2"/>
  <c r="F1454" i="2"/>
  <c r="G1454" i="2"/>
  <c r="H1454" i="2"/>
  <c r="J1454" i="2"/>
  <c r="D1455" i="2"/>
  <c r="E1455" i="2"/>
  <c r="F1455" i="2"/>
  <c r="G1455" i="2"/>
  <c r="H1455" i="2"/>
  <c r="J1455" i="2"/>
  <c r="D1456" i="2"/>
  <c r="E1456" i="2"/>
  <c r="F1456" i="2"/>
  <c r="G1456" i="2"/>
  <c r="H1456" i="2"/>
  <c r="J1456" i="2"/>
  <c r="D1457" i="2"/>
  <c r="E1457" i="2"/>
  <c r="F1457" i="2"/>
  <c r="G1457" i="2"/>
  <c r="H1457" i="2"/>
  <c r="J1457" i="2"/>
  <c r="D1458" i="2"/>
  <c r="E1458" i="2"/>
  <c r="F1458" i="2"/>
  <c r="G1458" i="2"/>
  <c r="H1458" i="2"/>
  <c r="J1458" i="2"/>
  <c r="D1459" i="2"/>
  <c r="E1459" i="2"/>
  <c r="F1459" i="2"/>
  <c r="G1459" i="2"/>
  <c r="H1459" i="2"/>
  <c r="J1459" i="2"/>
  <c r="D1460" i="2"/>
  <c r="E1460" i="2"/>
  <c r="F1460" i="2"/>
  <c r="G1460" i="2"/>
  <c r="H1460" i="2"/>
  <c r="J1460" i="2"/>
  <c r="D1461" i="2"/>
  <c r="E1461" i="2"/>
  <c r="F1461" i="2"/>
  <c r="G1461" i="2"/>
  <c r="H1461" i="2"/>
  <c r="J1461" i="2"/>
  <c r="D1462" i="2"/>
  <c r="E1462" i="2"/>
  <c r="F1462" i="2"/>
  <c r="G1462" i="2"/>
  <c r="H1462" i="2"/>
  <c r="J1462" i="2"/>
  <c r="D1723" i="2"/>
  <c r="E1723" i="2"/>
  <c r="F1723" i="2"/>
  <c r="G1723" i="2"/>
  <c r="H1723" i="2"/>
  <c r="J1723" i="2"/>
  <c r="D1724" i="2"/>
  <c r="E1724" i="2"/>
  <c r="F1724" i="2"/>
  <c r="G1724" i="2"/>
  <c r="H1724" i="2"/>
  <c r="J1724" i="2"/>
  <c r="D1725" i="2"/>
  <c r="E1725" i="2"/>
  <c r="F1725" i="2"/>
  <c r="G1725" i="2"/>
  <c r="H1725" i="2"/>
  <c r="J1725" i="2"/>
  <c r="D1726" i="2"/>
  <c r="E1726" i="2"/>
  <c r="F1726" i="2"/>
  <c r="G1726" i="2"/>
  <c r="H1726" i="2"/>
  <c r="J1726" i="2"/>
  <c r="D1727" i="2"/>
  <c r="E1727" i="2"/>
  <c r="F1727" i="2"/>
  <c r="G1727" i="2"/>
  <c r="H1727" i="2"/>
  <c r="J1727" i="2"/>
  <c r="D1728" i="2"/>
  <c r="E1728" i="2"/>
  <c r="F1728" i="2"/>
  <c r="G1728" i="2"/>
  <c r="H1728" i="2"/>
  <c r="J1728" i="2"/>
  <c r="D1729" i="2"/>
  <c r="E1729" i="2"/>
  <c r="F1729" i="2"/>
  <c r="G1729" i="2"/>
  <c r="H1729" i="2"/>
  <c r="J1729" i="2"/>
  <c r="D1730" i="2"/>
  <c r="E1730" i="2"/>
  <c r="F1730" i="2"/>
  <c r="G1730" i="2"/>
  <c r="H1730" i="2"/>
  <c r="J1730" i="2"/>
  <c r="D1731" i="2"/>
  <c r="E1731" i="2"/>
  <c r="F1731" i="2"/>
  <c r="G1731" i="2"/>
  <c r="H1731" i="2"/>
  <c r="J1731" i="2"/>
  <c r="D1732" i="2"/>
  <c r="E1732" i="2"/>
  <c r="F1732" i="2"/>
  <c r="G1732" i="2"/>
  <c r="H1732" i="2"/>
  <c r="J1732" i="2"/>
  <c r="D1733" i="2"/>
  <c r="E1733" i="2"/>
  <c r="F1733" i="2"/>
  <c r="G1733" i="2"/>
  <c r="H1733" i="2"/>
  <c r="J1733" i="2"/>
  <c r="D1734" i="2"/>
  <c r="E1734" i="2"/>
  <c r="F1734" i="2"/>
  <c r="G1734" i="2"/>
  <c r="H1734" i="2"/>
  <c r="J1734" i="2"/>
  <c r="D1735" i="2"/>
  <c r="E1735" i="2"/>
  <c r="F1735" i="2"/>
  <c r="G1735" i="2"/>
  <c r="H1735" i="2"/>
  <c r="J1735" i="2"/>
  <c r="D1736" i="2"/>
  <c r="E1736" i="2"/>
  <c r="F1736" i="2"/>
  <c r="G1736" i="2"/>
  <c r="H1736" i="2"/>
  <c r="J1736" i="2"/>
  <c r="D1737" i="2"/>
  <c r="E1737" i="2"/>
  <c r="F1737" i="2"/>
  <c r="G1737" i="2"/>
  <c r="H1737" i="2"/>
  <c r="J1737" i="2"/>
  <c r="D1738" i="2"/>
  <c r="E1738" i="2"/>
  <c r="F1738" i="2"/>
  <c r="G1738" i="2"/>
  <c r="H1738" i="2"/>
  <c r="J1738" i="2"/>
  <c r="D1739" i="2"/>
  <c r="E1739" i="2"/>
  <c r="F1739" i="2"/>
  <c r="G1739" i="2"/>
  <c r="H1739" i="2"/>
  <c r="J1739" i="2"/>
  <c r="D1740" i="2"/>
  <c r="E1740" i="2"/>
  <c r="F1740" i="2"/>
  <c r="G1740" i="2"/>
  <c r="H1740" i="2"/>
  <c r="J1740" i="2"/>
  <c r="D1741" i="2"/>
  <c r="E1741" i="2"/>
  <c r="F1741" i="2"/>
  <c r="G1741" i="2"/>
  <c r="H1741" i="2"/>
  <c r="J1741" i="2"/>
  <c r="D1742" i="2"/>
  <c r="E1742" i="2"/>
  <c r="F1742" i="2"/>
  <c r="G1742" i="2"/>
  <c r="H1742" i="2"/>
  <c r="J1742" i="2"/>
  <c r="D1743" i="2"/>
  <c r="E1743" i="2"/>
  <c r="F1743" i="2"/>
  <c r="G1743" i="2"/>
  <c r="H1743" i="2"/>
  <c r="J1743" i="2"/>
  <c r="D1744" i="2"/>
  <c r="E1744" i="2"/>
  <c r="F1744" i="2"/>
  <c r="G1744" i="2"/>
  <c r="H1744" i="2"/>
  <c r="J1744" i="2"/>
  <c r="D1745" i="2"/>
  <c r="E1745" i="2"/>
  <c r="F1745" i="2"/>
  <c r="G1745" i="2"/>
  <c r="H1745" i="2"/>
  <c r="J1745" i="2"/>
  <c r="D1746" i="2"/>
  <c r="E1746" i="2"/>
  <c r="F1746" i="2"/>
  <c r="G1746" i="2"/>
  <c r="H1746" i="2"/>
  <c r="J1746" i="2"/>
  <c r="D1747" i="2"/>
  <c r="E1747" i="2"/>
  <c r="F1747" i="2"/>
  <c r="G1747" i="2"/>
  <c r="H1747" i="2"/>
  <c r="J1747" i="2"/>
  <c r="D1748" i="2"/>
  <c r="E1748" i="2"/>
  <c r="F1748" i="2"/>
  <c r="G1748" i="2"/>
  <c r="H1748" i="2"/>
  <c r="J1748" i="2"/>
  <c r="D1749" i="2"/>
  <c r="E1749" i="2"/>
  <c r="F1749" i="2"/>
  <c r="G1749" i="2"/>
  <c r="H1749" i="2"/>
  <c r="J1749" i="2"/>
  <c r="D1750" i="2"/>
  <c r="E1750" i="2"/>
  <c r="F1750" i="2"/>
  <c r="G1750" i="2"/>
  <c r="H1750" i="2"/>
  <c r="J1750" i="2"/>
  <c r="D1751" i="2"/>
  <c r="E1751" i="2"/>
  <c r="F1751" i="2"/>
  <c r="G1751" i="2"/>
  <c r="H1751" i="2"/>
  <c r="J1751" i="2"/>
  <c r="D1752" i="2"/>
  <c r="E1752" i="2"/>
  <c r="F1752" i="2"/>
  <c r="G1752" i="2"/>
  <c r="H1752" i="2"/>
  <c r="J1752" i="2"/>
  <c r="D1753" i="2"/>
  <c r="E1753" i="2"/>
  <c r="F1753" i="2"/>
  <c r="G1753" i="2"/>
  <c r="H1753" i="2"/>
  <c r="J1753" i="2"/>
  <c r="D1754" i="2"/>
  <c r="E1754" i="2"/>
  <c r="F1754" i="2"/>
  <c r="G1754" i="2"/>
  <c r="H1754" i="2"/>
  <c r="J1754" i="2"/>
  <c r="D1755" i="2"/>
  <c r="E1755" i="2"/>
  <c r="F1755" i="2"/>
  <c r="G1755" i="2"/>
  <c r="H1755" i="2"/>
  <c r="J1755" i="2"/>
  <c r="D1756" i="2"/>
  <c r="E1756" i="2"/>
  <c r="F1756" i="2"/>
  <c r="G1756" i="2"/>
  <c r="H1756" i="2"/>
  <c r="J1756" i="2"/>
  <c r="D1757" i="2"/>
  <c r="E1757" i="2"/>
  <c r="F1757" i="2"/>
  <c r="G1757" i="2"/>
  <c r="H1757" i="2"/>
  <c r="J1757" i="2"/>
  <c r="D1758" i="2"/>
  <c r="E1758" i="2"/>
  <c r="F1758" i="2"/>
  <c r="G1758" i="2"/>
  <c r="H1758" i="2"/>
  <c r="J1758" i="2"/>
  <c r="D1759" i="2"/>
  <c r="E1759" i="2"/>
  <c r="F1759" i="2"/>
  <c r="G1759" i="2"/>
  <c r="H1759" i="2"/>
  <c r="J1759" i="2"/>
  <c r="D1760" i="2"/>
  <c r="E1760" i="2"/>
  <c r="F1760" i="2"/>
  <c r="G1760" i="2"/>
  <c r="H1760" i="2"/>
  <c r="J1760" i="2"/>
  <c r="D1761" i="2"/>
  <c r="E1761" i="2"/>
  <c r="F1761" i="2"/>
  <c r="G1761" i="2"/>
  <c r="H1761" i="2"/>
  <c r="J1761" i="2"/>
  <c r="D1762" i="2"/>
  <c r="E1762" i="2"/>
  <c r="F1762" i="2"/>
  <c r="G1762" i="2"/>
  <c r="H1762" i="2"/>
  <c r="J1762" i="2"/>
  <c r="D1763" i="2"/>
  <c r="E1763" i="2"/>
  <c r="F1763" i="2"/>
  <c r="G1763" i="2"/>
  <c r="H1763" i="2"/>
  <c r="J1763" i="2"/>
  <c r="D1764" i="2"/>
  <c r="E1764" i="2"/>
  <c r="F1764" i="2"/>
  <c r="G1764" i="2"/>
  <c r="H1764" i="2"/>
  <c r="J1764" i="2"/>
  <c r="D1765" i="2"/>
  <c r="E1765" i="2"/>
  <c r="F1765" i="2"/>
  <c r="G1765" i="2"/>
  <c r="H1765" i="2"/>
  <c r="J1765" i="2"/>
  <c r="D1766" i="2"/>
  <c r="E1766" i="2"/>
  <c r="F1766" i="2"/>
  <c r="G1766" i="2"/>
  <c r="H1766" i="2"/>
  <c r="J1766" i="2"/>
  <c r="D1767" i="2"/>
  <c r="E1767" i="2"/>
  <c r="F1767" i="2"/>
  <c r="G1767" i="2"/>
  <c r="H1767" i="2"/>
  <c r="J1767" i="2"/>
  <c r="D1768" i="2"/>
  <c r="E1768" i="2"/>
  <c r="F1768" i="2"/>
  <c r="G1768" i="2"/>
  <c r="H1768" i="2"/>
  <c r="J1768" i="2"/>
  <c r="D1769" i="2"/>
  <c r="E1769" i="2"/>
  <c r="F1769" i="2"/>
  <c r="G1769" i="2"/>
  <c r="H1769" i="2"/>
  <c r="J1769" i="2"/>
  <c r="D1770" i="2"/>
  <c r="E1770" i="2"/>
  <c r="F1770" i="2"/>
  <c r="G1770" i="2"/>
  <c r="H1770" i="2"/>
  <c r="J1770" i="2"/>
  <c r="D1771" i="2"/>
  <c r="E1771" i="2"/>
  <c r="F1771" i="2"/>
  <c r="G1771" i="2"/>
  <c r="H1771" i="2"/>
  <c r="J1771" i="2"/>
  <c r="D1772" i="2"/>
  <c r="E1772" i="2"/>
  <c r="F1772" i="2"/>
  <c r="G1772" i="2"/>
  <c r="H1772" i="2"/>
  <c r="J1772" i="2"/>
  <c r="D1773" i="2"/>
  <c r="E1773" i="2"/>
  <c r="F1773" i="2"/>
  <c r="G1773" i="2"/>
  <c r="H1773" i="2"/>
  <c r="J1773" i="2"/>
  <c r="D1774" i="2"/>
  <c r="E1774" i="2"/>
  <c r="F1774" i="2"/>
  <c r="G1774" i="2"/>
  <c r="H1774" i="2"/>
  <c r="J1774" i="2"/>
  <c r="D1775" i="2"/>
  <c r="E1775" i="2"/>
  <c r="F1775" i="2"/>
  <c r="G1775" i="2"/>
  <c r="H1775" i="2"/>
  <c r="J1775" i="2"/>
  <c r="D1776" i="2"/>
  <c r="E1776" i="2"/>
  <c r="F1776" i="2"/>
  <c r="G1776" i="2"/>
  <c r="H1776" i="2"/>
  <c r="J1776" i="2"/>
  <c r="D1777" i="2"/>
  <c r="E1777" i="2"/>
  <c r="F1777" i="2"/>
  <c r="G1777" i="2"/>
  <c r="H1777" i="2"/>
  <c r="J1777" i="2"/>
  <c r="D1778" i="2"/>
  <c r="E1778" i="2"/>
  <c r="F1778" i="2"/>
  <c r="G1778" i="2"/>
  <c r="H1778" i="2"/>
  <c r="J1778" i="2"/>
  <c r="D1779" i="2"/>
  <c r="E1779" i="2"/>
  <c r="F1779" i="2"/>
  <c r="G1779" i="2"/>
  <c r="H1779" i="2"/>
  <c r="J1779" i="2"/>
  <c r="D1780" i="2"/>
  <c r="E1780" i="2"/>
  <c r="F1780" i="2"/>
  <c r="G1780" i="2"/>
  <c r="H1780" i="2"/>
  <c r="J1780" i="2"/>
  <c r="D1781" i="2"/>
  <c r="E1781" i="2"/>
  <c r="F1781" i="2"/>
  <c r="G1781" i="2"/>
  <c r="H1781" i="2"/>
  <c r="J1781" i="2"/>
  <c r="D1782" i="2"/>
  <c r="E1782" i="2"/>
  <c r="F1782" i="2"/>
  <c r="G1782" i="2"/>
  <c r="H1782" i="2"/>
  <c r="J1782" i="2"/>
  <c r="D1783" i="2"/>
  <c r="E1783" i="2"/>
  <c r="F1783" i="2"/>
  <c r="G1783" i="2"/>
  <c r="H1783" i="2"/>
  <c r="J1783" i="2"/>
  <c r="D1784" i="2"/>
  <c r="E1784" i="2"/>
  <c r="F1784" i="2"/>
  <c r="G1784" i="2"/>
  <c r="H1784" i="2"/>
  <c r="J1784" i="2"/>
  <c r="D1785" i="2"/>
  <c r="E1785" i="2"/>
  <c r="F1785" i="2"/>
  <c r="G1785" i="2"/>
  <c r="H1785" i="2"/>
  <c r="J1785" i="2"/>
  <c r="D1786" i="2"/>
  <c r="E1786" i="2"/>
  <c r="F1786" i="2"/>
  <c r="G1786" i="2"/>
  <c r="H1786" i="2"/>
  <c r="J1786" i="2"/>
  <c r="D1787" i="2"/>
  <c r="E1787" i="2"/>
  <c r="F1787" i="2"/>
  <c r="G1787" i="2"/>
  <c r="H1787" i="2"/>
  <c r="J1787" i="2"/>
  <c r="D1788" i="2"/>
  <c r="E1788" i="2"/>
  <c r="F1788" i="2"/>
  <c r="G1788" i="2"/>
  <c r="H1788" i="2"/>
  <c r="J1788" i="2"/>
  <c r="D1789" i="2"/>
  <c r="E1789" i="2"/>
  <c r="F1789" i="2"/>
  <c r="G1789" i="2"/>
  <c r="H1789" i="2"/>
  <c r="J1789" i="2"/>
  <c r="D1790" i="2"/>
  <c r="E1790" i="2"/>
  <c r="F1790" i="2"/>
  <c r="G1790" i="2"/>
  <c r="H1790" i="2"/>
  <c r="J1790" i="2"/>
  <c r="D1791" i="2"/>
  <c r="E1791" i="2"/>
  <c r="F1791" i="2"/>
  <c r="G1791" i="2"/>
  <c r="H1791" i="2"/>
  <c r="J1791" i="2"/>
  <c r="D1792" i="2"/>
  <c r="E1792" i="2"/>
  <c r="F1792" i="2"/>
  <c r="G1792" i="2"/>
  <c r="H1792" i="2"/>
  <c r="J1792" i="2"/>
  <c r="D1793" i="2"/>
  <c r="E1793" i="2"/>
  <c r="F1793" i="2"/>
  <c r="G1793" i="2"/>
  <c r="H1793" i="2"/>
  <c r="J1793" i="2"/>
  <c r="D1794" i="2"/>
  <c r="E1794" i="2"/>
  <c r="F1794" i="2"/>
  <c r="G1794" i="2"/>
  <c r="H1794" i="2"/>
  <c r="J1794" i="2"/>
  <c r="D1795" i="2"/>
  <c r="E1795" i="2"/>
  <c r="F1795" i="2"/>
  <c r="G1795" i="2"/>
  <c r="H1795" i="2"/>
  <c r="J1795" i="2"/>
  <c r="D1796" i="2"/>
  <c r="E1796" i="2"/>
  <c r="F1796" i="2"/>
  <c r="G1796" i="2"/>
  <c r="H1796" i="2"/>
  <c r="J1796" i="2"/>
  <c r="D1797" i="2"/>
  <c r="E1797" i="2"/>
  <c r="F1797" i="2"/>
  <c r="G1797" i="2"/>
  <c r="H1797" i="2"/>
  <c r="J1797" i="2"/>
  <c r="D1798" i="2"/>
  <c r="E1798" i="2"/>
  <c r="F1798" i="2"/>
  <c r="G1798" i="2"/>
  <c r="H1798" i="2"/>
  <c r="J1798" i="2"/>
  <c r="D1799" i="2"/>
  <c r="E1799" i="2"/>
  <c r="F1799" i="2"/>
  <c r="G1799" i="2"/>
  <c r="H1799" i="2"/>
  <c r="J1799" i="2"/>
  <c r="D1800" i="2"/>
  <c r="E1800" i="2"/>
  <c r="F1800" i="2"/>
  <c r="G1800" i="2"/>
  <c r="H1800" i="2"/>
  <c r="J1800" i="2"/>
  <c r="D1801" i="2"/>
  <c r="E1801" i="2"/>
  <c r="F1801" i="2"/>
  <c r="G1801" i="2"/>
  <c r="H1801" i="2"/>
  <c r="J1801" i="2"/>
  <c r="D1802" i="2"/>
  <c r="E1802" i="2"/>
  <c r="F1802" i="2"/>
  <c r="G1802" i="2"/>
  <c r="H1802" i="2"/>
  <c r="J1802" i="2"/>
  <c r="D1803" i="2"/>
  <c r="E1803" i="2"/>
  <c r="F1803" i="2"/>
  <c r="G1803" i="2"/>
  <c r="H1803" i="2"/>
  <c r="J1803" i="2"/>
  <c r="D1804" i="2"/>
  <c r="E1804" i="2"/>
  <c r="F1804" i="2"/>
  <c r="G1804" i="2"/>
  <c r="H1804" i="2"/>
  <c r="J1804" i="2"/>
  <c r="D1805" i="2"/>
  <c r="E1805" i="2"/>
  <c r="F1805" i="2"/>
  <c r="G1805" i="2"/>
  <c r="H1805" i="2"/>
  <c r="J1805" i="2"/>
  <c r="D1806" i="2"/>
  <c r="E1806" i="2"/>
  <c r="F1806" i="2"/>
  <c r="G1806" i="2"/>
  <c r="H1806" i="2"/>
  <c r="J1806" i="2"/>
  <c r="D1807" i="2"/>
  <c r="E1807" i="2"/>
  <c r="F1807" i="2"/>
  <c r="G1807" i="2"/>
  <c r="H1807" i="2"/>
  <c r="J1807" i="2"/>
  <c r="D1808" i="2"/>
  <c r="E1808" i="2"/>
  <c r="F1808" i="2"/>
  <c r="G1808" i="2"/>
  <c r="H1808" i="2"/>
  <c r="J1808" i="2"/>
  <c r="D1809" i="2"/>
  <c r="E1809" i="2"/>
  <c r="F1809" i="2"/>
  <c r="G1809" i="2"/>
  <c r="H1809" i="2"/>
  <c r="J1809" i="2"/>
  <c r="D1810" i="2"/>
  <c r="E1810" i="2"/>
  <c r="F1810" i="2"/>
  <c r="G1810" i="2"/>
  <c r="H1810" i="2"/>
  <c r="J1810" i="2"/>
  <c r="D1811" i="2"/>
  <c r="E1811" i="2"/>
  <c r="F1811" i="2"/>
  <c r="G1811" i="2"/>
  <c r="H1811" i="2"/>
  <c r="J1811" i="2"/>
  <c r="D1812" i="2"/>
  <c r="E1812" i="2"/>
  <c r="F1812" i="2"/>
  <c r="G1812" i="2"/>
  <c r="H1812" i="2"/>
  <c r="J1812" i="2"/>
  <c r="D1813" i="2"/>
  <c r="E1813" i="2"/>
  <c r="F1813" i="2"/>
  <c r="G1813" i="2"/>
  <c r="H1813" i="2"/>
  <c r="J1813" i="2"/>
  <c r="D1814" i="2"/>
  <c r="E1814" i="2"/>
  <c r="F1814" i="2"/>
  <c r="G1814" i="2"/>
  <c r="H1814" i="2"/>
  <c r="J1814" i="2"/>
  <c r="D1815" i="2"/>
  <c r="E1815" i="2"/>
  <c r="F1815" i="2"/>
  <c r="G1815" i="2"/>
  <c r="H1815" i="2"/>
  <c r="J1815" i="2"/>
  <c r="D1816" i="2"/>
  <c r="E1816" i="2"/>
  <c r="F1816" i="2"/>
  <c r="G1816" i="2"/>
  <c r="H1816" i="2"/>
  <c r="J1816" i="2"/>
  <c r="D1818" i="2"/>
  <c r="E1818" i="2"/>
  <c r="F1818" i="2"/>
  <c r="G1818" i="2"/>
  <c r="H1818" i="2"/>
  <c r="J1818" i="2"/>
  <c r="D1819" i="2"/>
  <c r="E1819" i="2"/>
  <c r="F1819" i="2"/>
  <c r="G1819" i="2"/>
  <c r="H1819" i="2"/>
  <c r="J1819" i="2"/>
  <c r="D1820" i="2"/>
  <c r="E1820" i="2"/>
  <c r="F1820" i="2"/>
  <c r="G1820" i="2"/>
  <c r="H1820" i="2"/>
  <c r="J1820" i="2"/>
  <c r="D1821" i="2"/>
  <c r="E1821" i="2"/>
  <c r="F1821" i="2"/>
  <c r="G1821" i="2"/>
  <c r="H1821" i="2"/>
  <c r="J1821" i="2"/>
  <c r="D1822" i="2"/>
  <c r="E1822" i="2"/>
  <c r="F1822" i="2"/>
  <c r="G1822" i="2"/>
  <c r="H1822" i="2"/>
  <c r="J1822" i="2"/>
  <c r="D1823" i="2"/>
  <c r="E1823" i="2"/>
  <c r="F1823" i="2"/>
  <c r="G1823" i="2"/>
  <c r="H1823" i="2"/>
  <c r="J1823" i="2"/>
  <c r="D1824" i="2"/>
  <c r="E1824" i="2"/>
  <c r="F1824" i="2"/>
  <c r="G1824" i="2"/>
  <c r="H1824" i="2"/>
  <c r="J1824" i="2"/>
  <c r="D1825" i="2"/>
  <c r="E1825" i="2"/>
  <c r="F1825" i="2"/>
  <c r="G1825" i="2"/>
  <c r="H1825" i="2"/>
  <c r="J1825" i="2"/>
  <c r="D1826" i="2"/>
  <c r="E1826" i="2"/>
  <c r="F1826" i="2"/>
  <c r="G1826" i="2"/>
  <c r="H1826" i="2"/>
  <c r="J1826" i="2"/>
  <c r="D1827" i="2"/>
  <c r="E1827" i="2"/>
  <c r="F1827" i="2"/>
  <c r="G1827" i="2"/>
  <c r="H1827" i="2"/>
  <c r="J1827" i="2"/>
  <c r="D1828" i="2"/>
  <c r="E1828" i="2"/>
  <c r="F1828" i="2"/>
  <c r="G1828" i="2"/>
  <c r="H1828" i="2"/>
  <c r="J1828" i="2"/>
  <c r="D1829" i="2"/>
  <c r="E1829" i="2"/>
  <c r="F1829" i="2"/>
  <c r="G1829" i="2"/>
  <c r="H1829" i="2"/>
  <c r="J1829" i="2"/>
  <c r="D1830" i="2"/>
  <c r="E1830" i="2"/>
  <c r="F1830" i="2"/>
  <c r="G1830" i="2"/>
  <c r="H1830" i="2"/>
  <c r="J1830" i="2"/>
  <c r="D1831" i="2"/>
  <c r="E1831" i="2"/>
  <c r="F1831" i="2"/>
  <c r="G1831" i="2"/>
  <c r="H1831" i="2"/>
  <c r="J1831" i="2"/>
  <c r="D1832" i="2"/>
  <c r="E1832" i="2"/>
  <c r="F1832" i="2"/>
  <c r="G1832" i="2"/>
  <c r="H1832" i="2"/>
  <c r="J1832" i="2"/>
  <c r="D1833" i="2"/>
  <c r="E1833" i="2"/>
  <c r="F1833" i="2"/>
  <c r="G1833" i="2"/>
  <c r="H1833" i="2"/>
  <c r="J1833" i="2"/>
  <c r="D1834" i="2"/>
  <c r="E1834" i="2"/>
  <c r="F1834" i="2"/>
  <c r="G1834" i="2"/>
  <c r="H1834" i="2"/>
  <c r="J1834" i="2"/>
  <c r="D1835" i="2"/>
  <c r="E1835" i="2"/>
  <c r="F1835" i="2"/>
  <c r="G1835" i="2"/>
  <c r="H1835" i="2"/>
  <c r="J1835" i="2"/>
  <c r="D1872" i="2"/>
  <c r="E1872" i="2"/>
  <c r="F1872" i="2"/>
  <c r="G1872" i="2"/>
  <c r="H1872" i="2"/>
  <c r="J1872" i="2"/>
  <c r="D1873" i="2"/>
  <c r="E1873" i="2"/>
  <c r="F1873" i="2"/>
  <c r="G1873" i="2"/>
  <c r="H1873" i="2"/>
  <c r="J1873" i="2"/>
  <c r="D1874" i="2"/>
  <c r="E1874" i="2"/>
  <c r="F1874" i="2"/>
  <c r="G1874" i="2"/>
  <c r="H1874" i="2"/>
  <c r="J1874" i="2"/>
  <c r="D1875" i="2"/>
  <c r="E1875" i="2"/>
  <c r="F1875" i="2"/>
  <c r="G1875" i="2"/>
  <c r="H1875" i="2"/>
  <c r="J1875" i="2"/>
  <c r="D1876" i="2"/>
  <c r="E1876" i="2"/>
  <c r="F1876" i="2"/>
  <c r="G1876" i="2"/>
  <c r="H1876" i="2"/>
  <c r="J1876" i="2"/>
  <c r="D1877" i="2"/>
  <c r="E1877" i="2"/>
  <c r="F1877" i="2"/>
  <c r="G1877" i="2"/>
  <c r="H1877" i="2"/>
  <c r="J1877" i="2"/>
  <c r="D1878" i="2"/>
  <c r="E1878" i="2"/>
  <c r="F1878" i="2"/>
  <c r="G1878" i="2"/>
  <c r="H1878" i="2"/>
  <c r="J1878" i="2"/>
  <c r="D1879" i="2"/>
  <c r="E1879" i="2"/>
  <c r="F1879" i="2"/>
  <c r="G1879" i="2"/>
  <c r="H1879" i="2"/>
  <c r="J1879" i="2"/>
  <c r="D1880" i="2"/>
  <c r="E1880" i="2"/>
  <c r="F1880" i="2"/>
  <c r="G1880" i="2"/>
  <c r="H1880" i="2"/>
  <c r="J1880" i="2"/>
  <c r="D1881" i="2"/>
  <c r="E1881" i="2"/>
  <c r="F1881" i="2"/>
  <c r="G1881" i="2"/>
  <c r="H1881" i="2"/>
  <c r="J1881" i="2"/>
  <c r="D1882" i="2"/>
  <c r="E1882" i="2"/>
  <c r="F1882" i="2"/>
  <c r="G1882" i="2"/>
  <c r="H1882" i="2"/>
  <c r="J1882" i="2"/>
  <c r="D1883" i="2"/>
  <c r="E1883" i="2"/>
  <c r="F1883" i="2"/>
  <c r="G1883" i="2"/>
  <c r="H1883" i="2"/>
  <c r="J1883" i="2"/>
  <c r="D1884" i="2"/>
  <c r="E1884" i="2"/>
  <c r="F1884" i="2"/>
  <c r="G1884" i="2"/>
  <c r="H1884" i="2"/>
  <c r="J1884" i="2"/>
  <c r="D1885" i="2"/>
  <c r="E1885" i="2"/>
  <c r="F1885" i="2"/>
  <c r="G1885" i="2"/>
  <c r="H1885" i="2"/>
  <c r="J1885" i="2"/>
  <c r="D1886" i="2"/>
  <c r="E1886" i="2"/>
  <c r="F1886" i="2"/>
  <c r="G1886" i="2"/>
  <c r="H1886" i="2"/>
  <c r="J1886" i="2"/>
  <c r="D1887" i="2"/>
  <c r="E1887" i="2"/>
  <c r="F1887" i="2"/>
  <c r="G1887" i="2"/>
  <c r="H1887" i="2"/>
  <c r="J1887" i="2"/>
  <c r="D1888" i="2"/>
  <c r="E1888" i="2"/>
  <c r="F1888" i="2"/>
  <c r="G1888" i="2"/>
  <c r="H1888" i="2"/>
  <c r="J1888" i="2"/>
  <c r="D1889" i="2"/>
  <c r="E1889" i="2"/>
  <c r="F1889" i="2"/>
  <c r="G1889" i="2"/>
  <c r="H1889" i="2"/>
  <c r="J1889" i="2"/>
  <c r="D1890" i="2"/>
  <c r="E1890" i="2"/>
  <c r="F1890" i="2"/>
  <c r="G1890" i="2"/>
  <c r="H1890" i="2"/>
  <c r="J1890" i="2"/>
  <c r="D1891" i="2"/>
  <c r="E1891" i="2"/>
  <c r="F1891" i="2"/>
  <c r="G1891" i="2"/>
  <c r="H1891" i="2"/>
  <c r="J1891" i="2"/>
  <c r="D1892" i="2"/>
  <c r="E1892" i="2"/>
  <c r="F1892" i="2"/>
  <c r="G1892" i="2"/>
  <c r="H1892" i="2"/>
  <c r="J1892" i="2"/>
  <c r="D1893" i="2"/>
  <c r="E1893" i="2"/>
  <c r="F1893" i="2"/>
  <c r="G1893" i="2"/>
  <c r="H1893" i="2"/>
  <c r="J1893" i="2"/>
  <c r="D1894" i="2"/>
  <c r="E1894" i="2"/>
  <c r="F1894" i="2"/>
  <c r="G1894" i="2"/>
  <c r="H1894" i="2"/>
  <c r="J1894" i="2"/>
  <c r="D1895" i="2"/>
  <c r="E1895" i="2"/>
  <c r="F1895" i="2"/>
  <c r="G1895" i="2"/>
  <c r="H1895" i="2"/>
  <c r="J1895" i="2"/>
  <c r="D1896" i="2"/>
  <c r="E1896" i="2"/>
  <c r="F1896" i="2"/>
  <c r="G1896" i="2"/>
  <c r="H1896" i="2"/>
  <c r="J1896" i="2"/>
  <c r="D1897" i="2"/>
  <c r="E1897" i="2"/>
  <c r="F1897" i="2"/>
  <c r="G1897" i="2"/>
  <c r="H1897" i="2"/>
  <c r="J1897" i="2"/>
  <c r="D1898" i="2"/>
  <c r="E1898" i="2"/>
  <c r="F1898" i="2"/>
  <c r="G1898" i="2"/>
  <c r="H1898" i="2"/>
  <c r="J1898" i="2"/>
  <c r="D1899" i="2"/>
  <c r="E1899" i="2"/>
  <c r="F1899" i="2"/>
  <c r="G1899" i="2"/>
  <c r="H1899" i="2"/>
  <c r="J1899" i="2"/>
  <c r="D1900" i="2"/>
  <c r="E1900" i="2"/>
  <c r="F1900" i="2"/>
  <c r="G1900" i="2"/>
  <c r="H1900" i="2"/>
  <c r="J1900" i="2"/>
  <c r="D1901" i="2"/>
  <c r="E1901" i="2"/>
  <c r="F1901" i="2"/>
  <c r="G1901" i="2"/>
  <c r="H1901" i="2"/>
  <c r="J1901" i="2"/>
  <c r="D1902" i="2"/>
  <c r="E1902" i="2"/>
  <c r="F1902" i="2"/>
  <c r="G1902" i="2"/>
  <c r="H1902" i="2"/>
  <c r="J1902" i="2"/>
  <c r="D1903" i="2"/>
  <c r="E1903" i="2"/>
  <c r="F1903" i="2"/>
  <c r="G1903" i="2"/>
  <c r="H1903" i="2"/>
  <c r="J1903" i="2"/>
  <c r="D1904" i="2"/>
  <c r="E1904" i="2"/>
  <c r="F1904" i="2"/>
  <c r="G1904" i="2"/>
  <c r="H1904" i="2"/>
  <c r="J1904" i="2"/>
  <c r="D1905" i="2"/>
  <c r="E1905" i="2"/>
  <c r="F1905" i="2"/>
  <c r="G1905" i="2"/>
  <c r="H1905" i="2"/>
  <c r="J1905" i="2"/>
  <c r="D1907" i="2"/>
  <c r="E1907" i="2"/>
  <c r="F1907" i="2"/>
  <c r="G1907" i="2"/>
  <c r="H1907" i="2"/>
  <c r="J1907" i="2"/>
  <c r="D1908" i="2"/>
  <c r="E1908" i="2"/>
  <c r="F1908" i="2"/>
  <c r="G1908" i="2"/>
  <c r="H1908" i="2"/>
  <c r="J1908" i="2"/>
  <c r="D1909" i="2"/>
  <c r="E1909" i="2"/>
  <c r="F1909" i="2"/>
  <c r="G1909" i="2"/>
  <c r="H1909" i="2"/>
  <c r="J1909" i="2"/>
  <c r="D1910" i="2"/>
  <c r="E1910" i="2"/>
  <c r="F1910" i="2"/>
  <c r="G1910" i="2"/>
  <c r="H1910" i="2"/>
  <c r="J1910" i="2"/>
  <c r="D1911" i="2"/>
  <c r="E1911" i="2"/>
  <c r="F1911" i="2"/>
  <c r="G1911" i="2"/>
  <c r="H1911" i="2"/>
  <c r="J1911" i="2"/>
  <c r="D1912" i="2"/>
  <c r="E1912" i="2"/>
  <c r="F1912" i="2"/>
  <c r="G1912" i="2"/>
  <c r="H1912" i="2"/>
  <c r="J1912" i="2"/>
  <c r="D1913" i="2"/>
  <c r="E1913" i="2"/>
  <c r="F1913" i="2"/>
  <c r="G1913" i="2"/>
  <c r="H1913" i="2"/>
  <c r="J1913" i="2"/>
  <c r="D1914" i="2"/>
  <c r="E1914" i="2"/>
  <c r="F1914" i="2"/>
  <c r="G1914" i="2"/>
  <c r="H1914" i="2"/>
  <c r="J1914" i="2"/>
  <c r="D1915" i="2"/>
  <c r="E1915" i="2"/>
  <c r="F1915" i="2"/>
  <c r="G1915" i="2"/>
  <c r="H1915" i="2"/>
  <c r="J1915" i="2"/>
  <c r="D1916" i="2"/>
  <c r="E1916" i="2"/>
  <c r="F1916" i="2"/>
  <c r="G1916" i="2"/>
  <c r="H1916" i="2"/>
  <c r="J1916" i="2"/>
  <c r="D1917" i="2"/>
  <c r="E1917" i="2"/>
  <c r="F1917" i="2"/>
  <c r="G1917" i="2"/>
  <c r="H1917" i="2"/>
  <c r="J1917" i="2"/>
  <c r="D1918" i="2"/>
  <c r="E1918" i="2"/>
  <c r="F1918" i="2"/>
  <c r="G1918" i="2"/>
  <c r="H1918" i="2"/>
  <c r="J1918" i="2"/>
  <c r="D1919" i="2"/>
  <c r="E1919" i="2"/>
  <c r="F1919" i="2"/>
  <c r="G1919" i="2"/>
  <c r="H1919" i="2"/>
  <c r="J1919" i="2"/>
  <c r="D1920" i="2"/>
  <c r="E1920" i="2"/>
  <c r="F1920" i="2"/>
  <c r="G1920" i="2"/>
  <c r="H1920" i="2"/>
  <c r="J1920" i="2"/>
  <c r="D1921" i="2"/>
  <c r="E1921" i="2"/>
  <c r="F1921" i="2"/>
  <c r="G1921" i="2"/>
  <c r="H1921" i="2"/>
  <c r="J1921" i="2"/>
  <c r="D1922" i="2"/>
  <c r="E1922" i="2"/>
  <c r="F1922" i="2"/>
  <c r="G1922" i="2"/>
  <c r="H1922" i="2"/>
  <c r="J1922" i="2"/>
  <c r="D1923" i="2"/>
  <c r="E1923" i="2"/>
  <c r="F1923" i="2"/>
  <c r="G1923" i="2"/>
  <c r="H1923" i="2"/>
  <c r="J1923" i="2"/>
  <c r="D1924" i="2"/>
  <c r="E1924" i="2"/>
  <c r="F1924" i="2"/>
  <c r="G1924" i="2"/>
  <c r="H1924" i="2"/>
  <c r="J1924" i="2"/>
  <c r="D1925" i="2"/>
  <c r="E1925" i="2"/>
  <c r="F1925" i="2"/>
  <c r="G1925" i="2"/>
  <c r="H1925" i="2"/>
  <c r="J1925" i="2"/>
  <c r="D1926" i="2"/>
  <c r="E1926" i="2"/>
  <c r="F1926" i="2"/>
  <c r="G1926" i="2"/>
  <c r="H1926" i="2"/>
  <c r="J1926" i="2"/>
  <c r="D1927" i="2"/>
  <c r="E1927" i="2"/>
  <c r="F1927" i="2"/>
  <c r="G1927" i="2"/>
  <c r="H1927" i="2"/>
  <c r="J1927" i="2"/>
  <c r="D1928" i="2"/>
  <c r="E1928" i="2"/>
  <c r="F1928" i="2"/>
  <c r="G1928" i="2"/>
  <c r="H1928" i="2"/>
  <c r="J1928" i="2"/>
  <c r="D1929" i="2"/>
  <c r="E1929" i="2"/>
  <c r="F1929" i="2"/>
  <c r="G1929" i="2"/>
  <c r="H1929" i="2"/>
  <c r="J1929" i="2"/>
  <c r="D1930" i="2"/>
  <c r="E1930" i="2"/>
  <c r="F1930" i="2"/>
  <c r="G1930" i="2"/>
  <c r="H1930" i="2"/>
  <c r="J1930" i="2"/>
  <c r="D1931" i="2"/>
  <c r="E1931" i="2"/>
  <c r="F1931" i="2"/>
  <c r="G1931" i="2"/>
  <c r="H1931" i="2"/>
  <c r="J1931" i="2"/>
  <c r="D1932" i="2"/>
  <c r="E1932" i="2"/>
  <c r="F1932" i="2"/>
  <c r="G1932" i="2"/>
  <c r="H1932" i="2"/>
  <c r="J1932" i="2"/>
  <c r="D1933" i="2"/>
  <c r="E1933" i="2"/>
  <c r="F1933" i="2"/>
  <c r="G1933" i="2"/>
  <c r="H1933" i="2"/>
  <c r="J1933" i="2"/>
  <c r="D1934" i="2"/>
  <c r="E1934" i="2"/>
  <c r="F1934" i="2"/>
  <c r="G1934" i="2"/>
  <c r="H1934" i="2"/>
  <c r="J1934" i="2"/>
  <c r="D1935" i="2"/>
  <c r="E1935" i="2"/>
  <c r="F1935" i="2"/>
  <c r="G1935" i="2"/>
  <c r="H1935" i="2"/>
  <c r="J1935" i="2"/>
  <c r="D1936" i="2"/>
  <c r="E1936" i="2"/>
  <c r="F1936" i="2"/>
  <c r="G1936" i="2"/>
  <c r="H1936" i="2"/>
  <c r="J1936" i="2"/>
  <c r="D1937" i="2"/>
  <c r="E1937" i="2"/>
  <c r="F1937" i="2"/>
  <c r="G1937" i="2"/>
  <c r="H1937" i="2"/>
  <c r="J1937" i="2"/>
  <c r="D1938" i="2"/>
  <c r="E1938" i="2"/>
  <c r="F1938" i="2"/>
  <c r="G1938" i="2"/>
  <c r="H1938" i="2"/>
  <c r="J1938" i="2"/>
  <c r="D1939" i="2"/>
  <c r="E1939" i="2"/>
  <c r="F1939" i="2"/>
  <c r="G1939" i="2"/>
  <c r="H1939" i="2"/>
  <c r="J1939" i="2"/>
  <c r="D1940" i="2"/>
  <c r="E1940" i="2"/>
  <c r="F1940" i="2"/>
  <c r="G1940" i="2"/>
  <c r="H1940" i="2"/>
  <c r="J1940" i="2"/>
  <c r="D1941" i="2"/>
  <c r="E1941" i="2"/>
  <c r="F1941" i="2"/>
  <c r="G1941" i="2"/>
  <c r="H1941" i="2"/>
  <c r="J1941" i="2"/>
  <c r="D1942" i="2"/>
  <c r="E1942" i="2"/>
  <c r="F1942" i="2"/>
  <c r="G1942" i="2"/>
  <c r="H1942" i="2"/>
  <c r="J1942" i="2"/>
  <c r="D1943" i="2"/>
  <c r="E1943" i="2"/>
  <c r="F1943" i="2"/>
  <c r="G1943" i="2"/>
  <c r="H1943" i="2"/>
  <c r="J1943" i="2"/>
  <c r="D1944" i="2"/>
  <c r="E1944" i="2"/>
  <c r="F1944" i="2"/>
  <c r="G1944" i="2"/>
  <c r="H1944" i="2"/>
  <c r="J1944" i="2"/>
  <c r="D1945" i="2"/>
  <c r="E1945" i="2"/>
  <c r="F1945" i="2"/>
  <c r="G1945" i="2"/>
  <c r="H1945" i="2"/>
  <c r="J1945" i="2"/>
  <c r="D1946" i="2"/>
  <c r="E1946" i="2"/>
  <c r="F1946" i="2"/>
  <c r="G1946" i="2"/>
  <c r="H1946" i="2"/>
  <c r="J1946" i="2"/>
  <c r="D1947" i="2"/>
  <c r="E1947" i="2"/>
  <c r="F1947" i="2"/>
  <c r="G1947" i="2"/>
  <c r="H1947" i="2"/>
  <c r="J1947" i="2"/>
  <c r="D1948" i="2"/>
  <c r="E1948" i="2"/>
  <c r="F1948" i="2"/>
  <c r="G1948" i="2"/>
  <c r="H1948" i="2"/>
  <c r="J1948" i="2"/>
  <c r="D1949" i="2"/>
  <c r="E1949" i="2"/>
  <c r="F1949" i="2"/>
  <c r="G1949" i="2"/>
  <c r="H1949" i="2"/>
  <c r="J1949" i="2"/>
  <c r="D1950" i="2"/>
  <c r="E1950" i="2"/>
  <c r="F1950" i="2"/>
  <c r="G1950" i="2"/>
  <c r="H1950" i="2"/>
  <c r="J1950" i="2"/>
  <c r="D1951" i="2"/>
  <c r="E1951" i="2"/>
  <c r="F1951" i="2"/>
  <c r="G1951" i="2"/>
  <c r="H1951" i="2"/>
  <c r="J1951" i="2"/>
  <c r="D1952" i="2"/>
  <c r="E1952" i="2"/>
  <c r="F1952" i="2"/>
  <c r="G1952" i="2"/>
  <c r="H1952" i="2"/>
  <c r="J1952" i="2"/>
  <c r="D1953" i="2"/>
  <c r="E1953" i="2"/>
  <c r="F1953" i="2"/>
  <c r="G1953" i="2"/>
  <c r="H1953" i="2"/>
  <c r="J1953" i="2"/>
  <c r="D1954" i="2"/>
  <c r="E1954" i="2"/>
  <c r="F1954" i="2"/>
  <c r="G1954" i="2"/>
  <c r="H1954" i="2"/>
  <c r="J1954" i="2"/>
  <c r="D1955" i="2"/>
  <c r="E1955" i="2"/>
  <c r="F1955" i="2"/>
  <c r="G1955" i="2"/>
  <c r="H1955" i="2"/>
  <c r="J1955" i="2"/>
  <c r="D1956" i="2"/>
  <c r="E1956" i="2"/>
  <c r="F1956" i="2"/>
  <c r="G1956" i="2"/>
  <c r="H1956" i="2"/>
  <c r="J1956" i="2"/>
  <c r="D1957" i="2"/>
  <c r="E1957" i="2"/>
  <c r="F1957" i="2"/>
  <c r="G1957" i="2"/>
  <c r="H1957" i="2"/>
  <c r="J1957" i="2"/>
  <c r="D1958" i="2"/>
  <c r="E1958" i="2"/>
  <c r="F1958" i="2"/>
  <c r="G1958" i="2"/>
  <c r="H1958" i="2"/>
  <c r="J1958" i="2"/>
  <c r="D1959" i="2"/>
  <c r="E1959" i="2"/>
  <c r="F1959" i="2"/>
  <c r="G1959" i="2"/>
  <c r="H1959" i="2"/>
  <c r="J1959" i="2"/>
  <c r="D1960" i="2"/>
  <c r="E1960" i="2"/>
  <c r="F1960" i="2"/>
  <c r="G1960" i="2"/>
  <c r="H1960" i="2"/>
  <c r="J1960" i="2"/>
  <c r="D1961" i="2"/>
  <c r="E1961" i="2"/>
  <c r="F1961" i="2"/>
  <c r="G1961" i="2"/>
  <c r="H1961" i="2"/>
  <c r="J1961" i="2"/>
  <c r="D1962" i="2"/>
  <c r="E1962" i="2"/>
  <c r="F1962" i="2"/>
  <c r="G1962" i="2"/>
  <c r="H1962" i="2"/>
  <c r="J1962" i="2"/>
  <c r="D1963" i="2"/>
  <c r="E1963" i="2"/>
  <c r="F1963" i="2"/>
  <c r="G1963" i="2"/>
  <c r="H1963" i="2"/>
  <c r="J1963" i="2"/>
  <c r="D1964" i="2"/>
  <c r="E1964" i="2"/>
  <c r="F1964" i="2"/>
  <c r="G1964" i="2"/>
  <c r="H1964" i="2"/>
  <c r="J1964" i="2"/>
  <c r="D1965" i="2"/>
  <c r="E1965" i="2"/>
  <c r="F1965" i="2"/>
  <c r="G1965" i="2"/>
  <c r="H1965" i="2"/>
  <c r="J1965" i="2"/>
  <c r="D1966" i="2"/>
  <c r="E1966" i="2"/>
  <c r="F1966" i="2"/>
  <c r="G1966" i="2"/>
  <c r="H1966" i="2"/>
  <c r="J1966" i="2"/>
  <c r="D1967" i="2"/>
  <c r="E1967" i="2"/>
  <c r="F1967" i="2"/>
  <c r="G1967" i="2"/>
  <c r="H1967" i="2"/>
  <c r="J1967" i="2"/>
  <c r="D1968" i="2"/>
  <c r="E1968" i="2"/>
  <c r="F1968" i="2"/>
  <c r="G1968" i="2"/>
  <c r="H1968" i="2"/>
  <c r="J1968" i="2"/>
  <c r="D1969" i="2"/>
  <c r="E1969" i="2"/>
  <c r="F1969" i="2"/>
  <c r="G1969" i="2"/>
  <c r="H1969" i="2"/>
  <c r="J1969" i="2"/>
  <c r="D1971" i="2"/>
  <c r="E1971" i="2"/>
  <c r="F1971" i="2"/>
  <c r="G1971" i="2"/>
  <c r="H1971" i="2"/>
  <c r="J1971" i="2"/>
  <c r="D1972" i="2"/>
  <c r="E1972" i="2"/>
  <c r="F1972" i="2"/>
  <c r="G1972" i="2"/>
  <c r="H1972" i="2"/>
  <c r="J1972" i="2"/>
  <c r="D1973" i="2"/>
  <c r="E1973" i="2"/>
  <c r="F1973" i="2"/>
  <c r="G1973" i="2"/>
  <c r="H1973" i="2"/>
  <c r="J1973" i="2"/>
  <c r="D1974" i="2"/>
  <c r="E1974" i="2"/>
  <c r="F1974" i="2"/>
  <c r="G1974" i="2"/>
  <c r="H1974" i="2"/>
  <c r="J1974" i="2"/>
  <c r="D1975" i="2"/>
  <c r="E1975" i="2"/>
  <c r="F1975" i="2"/>
  <c r="G1975" i="2"/>
  <c r="H1975" i="2"/>
  <c r="J1975" i="2"/>
  <c r="D1976" i="2"/>
  <c r="E1976" i="2"/>
  <c r="F1976" i="2"/>
  <c r="G1976" i="2"/>
  <c r="H1976" i="2"/>
  <c r="J1976" i="2"/>
  <c r="D1977" i="2"/>
  <c r="E1977" i="2"/>
  <c r="F1977" i="2"/>
  <c r="G1977" i="2"/>
  <c r="H1977" i="2"/>
  <c r="J1977" i="2"/>
  <c r="D1978" i="2"/>
  <c r="E1978" i="2"/>
  <c r="F1978" i="2"/>
  <c r="G1978" i="2"/>
  <c r="H1978" i="2"/>
  <c r="J1978" i="2"/>
  <c r="D1979" i="2"/>
  <c r="E1979" i="2"/>
  <c r="F1979" i="2"/>
  <c r="G1979" i="2"/>
  <c r="H1979" i="2"/>
  <c r="J1979" i="2"/>
  <c r="D1980" i="2"/>
  <c r="E1980" i="2"/>
  <c r="F1980" i="2"/>
  <c r="G1980" i="2"/>
  <c r="H1980" i="2"/>
  <c r="J1980" i="2"/>
  <c r="D1981" i="2"/>
  <c r="E1981" i="2"/>
  <c r="F1981" i="2"/>
  <c r="G1981" i="2"/>
  <c r="H1981" i="2"/>
  <c r="J1981" i="2"/>
  <c r="D1982" i="2"/>
  <c r="E1982" i="2"/>
  <c r="F1982" i="2"/>
  <c r="G1982" i="2"/>
  <c r="H1982" i="2"/>
  <c r="J1982" i="2"/>
  <c r="D1983" i="2"/>
  <c r="E1983" i="2"/>
  <c r="F1983" i="2"/>
  <c r="G1983" i="2"/>
  <c r="H1983" i="2"/>
  <c r="J1983" i="2"/>
  <c r="D1984" i="2"/>
  <c r="E1984" i="2"/>
  <c r="F1984" i="2"/>
  <c r="G1984" i="2"/>
  <c r="H1984" i="2"/>
  <c r="J1984" i="2"/>
  <c r="D1985" i="2"/>
  <c r="E1985" i="2"/>
  <c r="F1985" i="2"/>
  <c r="G1985" i="2"/>
  <c r="H1985" i="2"/>
  <c r="J1985" i="2"/>
  <c r="D1986" i="2"/>
  <c r="E1986" i="2"/>
  <c r="F1986" i="2"/>
  <c r="G1986" i="2"/>
  <c r="H1986" i="2"/>
  <c r="J1986" i="2"/>
  <c r="D1987" i="2"/>
  <c r="E1987" i="2"/>
  <c r="F1987" i="2"/>
  <c r="G1987" i="2"/>
  <c r="H1987" i="2"/>
  <c r="J1987" i="2"/>
  <c r="D1988" i="2"/>
  <c r="E1988" i="2"/>
  <c r="F1988" i="2"/>
  <c r="G1988" i="2"/>
  <c r="H1988" i="2"/>
  <c r="J1988" i="2"/>
  <c r="D1989" i="2"/>
  <c r="E1989" i="2"/>
  <c r="F1989" i="2"/>
  <c r="G1989" i="2"/>
  <c r="H1989" i="2"/>
  <c r="J1989" i="2"/>
  <c r="D1990" i="2"/>
  <c r="E1990" i="2"/>
  <c r="F1990" i="2"/>
  <c r="G1990" i="2"/>
  <c r="H1990" i="2"/>
  <c r="J1990" i="2"/>
  <c r="D1991" i="2"/>
  <c r="E1991" i="2"/>
  <c r="F1991" i="2"/>
  <c r="G1991" i="2"/>
  <c r="H1991" i="2"/>
  <c r="J1991" i="2"/>
  <c r="D1992" i="2"/>
  <c r="E1992" i="2"/>
  <c r="F1992" i="2"/>
  <c r="G1992" i="2"/>
  <c r="H1992" i="2"/>
  <c r="J1992" i="2"/>
  <c r="D1993" i="2"/>
  <c r="E1993" i="2"/>
  <c r="F1993" i="2"/>
  <c r="G1993" i="2"/>
  <c r="H1993" i="2"/>
  <c r="J1993" i="2"/>
  <c r="D1994" i="2"/>
  <c r="E1994" i="2"/>
  <c r="F1994" i="2"/>
  <c r="G1994" i="2"/>
  <c r="H1994" i="2"/>
  <c r="J1994" i="2"/>
  <c r="D1995" i="2"/>
  <c r="E1995" i="2"/>
  <c r="F1995" i="2"/>
  <c r="G1995" i="2"/>
  <c r="H1995" i="2"/>
  <c r="J1995" i="2"/>
  <c r="D1996" i="2"/>
  <c r="E1996" i="2"/>
  <c r="F1996" i="2"/>
  <c r="G1996" i="2"/>
  <c r="H1996" i="2"/>
  <c r="J1996" i="2"/>
  <c r="D1997" i="2"/>
  <c r="E1997" i="2"/>
  <c r="F1997" i="2"/>
  <c r="G1997" i="2"/>
  <c r="H1997" i="2"/>
  <c r="J1997" i="2"/>
  <c r="D1998" i="2"/>
  <c r="E1998" i="2"/>
  <c r="F1998" i="2"/>
  <c r="G1998" i="2"/>
  <c r="H1998" i="2"/>
  <c r="J1998" i="2"/>
  <c r="D1999" i="2"/>
  <c r="E1999" i="2"/>
  <c r="F1999" i="2"/>
  <c r="G1999" i="2"/>
  <c r="H1999" i="2"/>
  <c r="J1999" i="2"/>
  <c r="D2000" i="2"/>
  <c r="E2000" i="2"/>
  <c r="F2000" i="2"/>
  <c r="G2000" i="2"/>
  <c r="H2000" i="2"/>
  <c r="J2000" i="2"/>
  <c r="D2001" i="2"/>
  <c r="E2001" i="2"/>
  <c r="F2001" i="2"/>
  <c r="G2001" i="2"/>
  <c r="H2001" i="2"/>
  <c r="J2001" i="2"/>
  <c r="D2002" i="2"/>
  <c r="E2002" i="2"/>
  <c r="F2002" i="2"/>
  <c r="G2002" i="2"/>
  <c r="H2002" i="2"/>
  <c r="J2002" i="2"/>
  <c r="D2003" i="2"/>
  <c r="E2003" i="2"/>
  <c r="F2003" i="2"/>
  <c r="G2003" i="2"/>
  <c r="H2003" i="2"/>
  <c r="J2003" i="2"/>
  <c r="D2004" i="2"/>
  <c r="E2004" i="2"/>
  <c r="F2004" i="2"/>
  <c r="G2004" i="2"/>
  <c r="H2004" i="2"/>
  <c r="J2004" i="2"/>
  <c r="D2005" i="2"/>
  <c r="E2005" i="2"/>
  <c r="F2005" i="2"/>
  <c r="G2005" i="2"/>
  <c r="H2005" i="2"/>
  <c r="J2005" i="2"/>
  <c r="D2006" i="2"/>
  <c r="E2006" i="2"/>
  <c r="F2006" i="2"/>
  <c r="G2006" i="2"/>
  <c r="H2006" i="2"/>
  <c r="J2006" i="2"/>
  <c r="D2007" i="2"/>
  <c r="E2007" i="2"/>
  <c r="F2007" i="2"/>
  <c r="G2007" i="2"/>
  <c r="H2007" i="2"/>
  <c r="J2007" i="2"/>
  <c r="D2008" i="2"/>
  <c r="E2008" i="2"/>
  <c r="F2008" i="2"/>
  <c r="G2008" i="2"/>
  <c r="H2008" i="2"/>
  <c r="J2008" i="2"/>
  <c r="D2009" i="2"/>
  <c r="E2009" i="2"/>
  <c r="F2009" i="2"/>
  <c r="G2009" i="2"/>
  <c r="H2009" i="2"/>
  <c r="J2009" i="2"/>
  <c r="D2010" i="2"/>
  <c r="E2010" i="2"/>
  <c r="F2010" i="2"/>
  <c r="G2010" i="2"/>
  <c r="H2010" i="2"/>
  <c r="J2010" i="2"/>
  <c r="D2011" i="2"/>
  <c r="E2011" i="2"/>
  <c r="F2011" i="2"/>
  <c r="G2011" i="2"/>
  <c r="H2011" i="2"/>
  <c r="J2011" i="2"/>
  <c r="D2012" i="2"/>
  <c r="E2012" i="2"/>
  <c r="F2012" i="2"/>
  <c r="G2012" i="2"/>
  <c r="H2012" i="2"/>
  <c r="J2012" i="2"/>
  <c r="D2013" i="2"/>
  <c r="E2013" i="2"/>
  <c r="F2013" i="2"/>
  <c r="G2013" i="2"/>
  <c r="H2013" i="2"/>
  <c r="J2013" i="2"/>
  <c r="D2014" i="2"/>
  <c r="E2014" i="2"/>
  <c r="F2014" i="2"/>
  <c r="G2014" i="2"/>
  <c r="H2014" i="2"/>
  <c r="J2014" i="2"/>
  <c r="D2015" i="2"/>
  <c r="E2015" i="2"/>
  <c r="F2015" i="2"/>
  <c r="G2015" i="2"/>
  <c r="H2015" i="2"/>
  <c r="J2015" i="2"/>
  <c r="D2016" i="2"/>
  <c r="E2016" i="2"/>
  <c r="F2016" i="2"/>
  <c r="G2016" i="2"/>
  <c r="H2016" i="2"/>
  <c r="J2016" i="2"/>
  <c r="D2017" i="2"/>
  <c r="E2017" i="2"/>
  <c r="F2017" i="2"/>
  <c r="G2017" i="2"/>
  <c r="H2017" i="2"/>
  <c r="J2017" i="2"/>
  <c r="D2018" i="2"/>
  <c r="E2018" i="2"/>
  <c r="F2018" i="2"/>
  <c r="G2018" i="2"/>
  <c r="H2018" i="2"/>
  <c r="J2018" i="2"/>
  <c r="D2019" i="2"/>
  <c r="E2019" i="2"/>
  <c r="F2019" i="2"/>
  <c r="G2019" i="2"/>
  <c r="H2019" i="2"/>
  <c r="J2019" i="2"/>
  <c r="D2020" i="2"/>
  <c r="E2020" i="2"/>
  <c r="F2020" i="2"/>
  <c r="G2020" i="2"/>
  <c r="H2020" i="2"/>
  <c r="J2020" i="2"/>
  <c r="D2021" i="2"/>
  <c r="E2021" i="2"/>
  <c r="F2021" i="2"/>
  <c r="G2021" i="2"/>
  <c r="H2021" i="2"/>
  <c r="J2021" i="2"/>
  <c r="D2022" i="2"/>
  <c r="E2022" i="2"/>
  <c r="F2022" i="2"/>
  <c r="G2022" i="2"/>
  <c r="H2022" i="2"/>
  <c r="J2022" i="2"/>
  <c r="D2023" i="2"/>
  <c r="E2023" i="2"/>
  <c r="F2023" i="2"/>
  <c r="G2023" i="2"/>
  <c r="H2023" i="2"/>
  <c r="J2023" i="2"/>
  <c r="D2024" i="2"/>
  <c r="E2024" i="2"/>
  <c r="F2024" i="2"/>
  <c r="G2024" i="2"/>
  <c r="H2024" i="2"/>
  <c r="J2024" i="2"/>
  <c r="D2025" i="2"/>
  <c r="E2025" i="2"/>
  <c r="F2025" i="2"/>
  <c r="G2025" i="2"/>
  <c r="H2025" i="2"/>
  <c r="J2025" i="2"/>
  <c r="D2026" i="2"/>
  <c r="E2026" i="2"/>
  <c r="F2026" i="2"/>
  <c r="G2026" i="2"/>
  <c r="H2026" i="2"/>
  <c r="J2026" i="2"/>
  <c r="D2027" i="2"/>
  <c r="E2027" i="2"/>
  <c r="F2027" i="2"/>
  <c r="G2027" i="2"/>
  <c r="H2027" i="2"/>
  <c r="J2027" i="2"/>
  <c r="D2028" i="2"/>
  <c r="E2028" i="2"/>
  <c r="F2028" i="2"/>
  <c r="G2028" i="2"/>
  <c r="H2028" i="2"/>
  <c r="J2028" i="2"/>
  <c r="D2029" i="2"/>
  <c r="E2029" i="2"/>
  <c r="F2029" i="2"/>
  <c r="G2029" i="2"/>
  <c r="H2029" i="2"/>
  <c r="J2029" i="2"/>
  <c r="D2030" i="2"/>
  <c r="E2030" i="2"/>
  <c r="F2030" i="2"/>
  <c r="G2030" i="2"/>
  <c r="H2030" i="2"/>
  <c r="J2030" i="2"/>
  <c r="D2031" i="2"/>
  <c r="E2031" i="2"/>
  <c r="F2031" i="2"/>
  <c r="G2031" i="2"/>
  <c r="H2031" i="2"/>
  <c r="J2031" i="2"/>
  <c r="D2032" i="2"/>
  <c r="E2032" i="2"/>
  <c r="F2032" i="2"/>
  <c r="G2032" i="2"/>
  <c r="H2032" i="2"/>
  <c r="J2032" i="2"/>
  <c r="D2033" i="2"/>
  <c r="E2033" i="2"/>
  <c r="F2033" i="2"/>
  <c r="G2033" i="2"/>
  <c r="H2033" i="2"/>
  <c r="J2033" i="2"/>
  <c r="D2034" i="2"/>
  <c r="E2034" i="2"/>
  <c r="F2034" i="2"/>
  <c r="G2034" i="2"/>
  <c r="H2034" i="2"/>
  <c r="J2034" i="2"/>
  <c r="D2035" i="2"/>
  <c r="E2035" i="2"/>
  <c r="F2035" i="2"/>
  <c r="G2035" i="2"/>
  <c r="H2035" i="2"/>
  <c r="J2035" i="2"/>
  <c r="D2036" i="2"/>
  <c r="E2036" i="2"/>
  <c r="F2036" i="2"/>
  <c r="G2036" i="2"/>
  <c r="H2036" i="2"/>
  <c r="J2036" i="2"/>
  <c r="D2037" i="2"/>
  <c r="E2037" i="2"/>
  <c r="F2037" i="2"/>
  <c r="G2037" i="2"/>
  <c r="H2037" i="2"/>
  <c r="J2037" i="2"/>
  <c r="D2038" i="2"/>
  <c r="E2038" i="2"/>
  <c r="F2038" i="2"/>
  <c r="G2038" i="2"/>
  <c r="H2038" i="2"/>
  <c r="J2038" i="2"/>
  <c r="D2039" i="2"/>
  <c r="E2039" i="2"/>
  <c r="F2039" i="2"/>
  <c r="G2039" i="2"/>
  <c r="H2039" i="2"/>
  <c r="J2039" i="2"/>
  <c r="D2040" i="2"/>
  <c r="E2040" i="2"/>
  <c r="F2040" i="2"/>
  <c r="G2040" i="2"/>
  <c r="H2040" i="2"/>
  <c r="J2040" i="2"/>
  <c r="D2041" i="2"/>
  <c r="E2041" i="2"/>
  <c r="F2041" i="2"/>
  <c r="G2041" i="2"/>
  <c r="H2041" i="2"/>
  <c r="J2041" i="2"/>
  <c r="D2042" i="2"/>
  <c r="E2042" i="2"/>
  <c r="F2042" i="2"/>
  <c r="G2042" i="2"/>
  <c r="H2042" i="2"/>
  <c r="J2042" i="2"/>
  <c r="D2043" i="2"/>
  <c r="E2043" i="2"/>
  <c r="F2043" i="2"/>
  <c r="G2043" i="2"/>
  <c r="H2043" i="2"/>
  <c r="J2043" i="2"/>
  <c r="D2044" i="2"/>
  <c r="E2044" i="2"/>
  <c r="F2044" i="2"/>
  <c r="G2044" i="2"/>
  <c r="H2044" i="2"/>
  <c r="J2044" i="2"/>
  <c r="D2045" i="2"/>
  <c r="E2045" i="2"/>
  <c r="F2045" i="2"/>
  <c r="G2045" i="2"/>
  <c r="H2045" i="2"/>
  <c r="J2045" i="2"/>
  <c r="D2046" i="2"/>
  <c r="E2046" i="2"/>
  <c r="F2046" i="2"/>
  <c r="G2046" i="2"/>
  <c r="H2046" i="2"/>
  <c r="J2046" i="2"/>
  <c r="D2047" i="2"/>
  <c r="E2047" i="2"/>
  <c r="F2047" i="2"/>
  <c r="G2047" i="2"/>
  <c r="H2047" i="2"/>
  <c r="J2047" i="2"/>
  <c r="D2048" i="2"/>
  <c r="E2048" i="2"/>
  <c r="F2048" i="2"/>
  <c r="G2048" i="2"/>
  <c r="H2048" i="2"/>
  <c r="J2048" i="2"/>
  <c r="D2049" i="2"/>
  <c r="E2049" i="2"/>
  <c r="F2049" i="2"/>
  <c r="G2049" i="2"/>
  <c r="H2049" i="2"/>
  <c r="J2049" i="2"/>
  <c r="D2050" i="2"/>
  <c r="E2050" i="2"/>
  <c r="F2050" i="2"/>
  <c r="G2050" i="2"/>
  <c r="H2050" i="2"/>
  <c r="J2050" i="2"/>
  <c r="D2051" i="2"/>
  <c r="E2051" i="2"/>
  <c r="F2051" i="2"/>
  <c r="G2051" i="2"/>
  <c r="H2051" i="2"/>
  <c r="J2051" i="2"/>
  <c r="D2052" i="2"/>
  <c r="E2052" i="2"/>
  <c r="F2052" i="2"/>
  <c r="G2052" i="2"/>
  <c r="H2052" i="2"/>
  <c r="J2052" i="2"/>
  <c r="D2053" i="2"/>
  <c r="E2053" i="2"/>
  <c r="F2053" i="2"/>
  <c r="G2053" i="2"/>
  <c r="H2053" i="2"/>
  <c r="J2053" i="2"/>
  <c r="D2054" i="2"/>
  <c r="E2054" i="2"/>
  <c r="F2054" i="2"/>
  <c r="G2054" i="2"/>
  <c r="H2054" i="2"/>
  <c r="J2054" i="2"/>
  <c r="D2055" i="2"/>
  <c r="E2055" i="2"/>
  <c r="F2055" i="2"/>
  <c r="G2055" i="2"/>
  <c r="H2055" i="2"/>
  <c r="J2055" i="2"/>
  <c r="D2056" i="2"/>
  <c r="E2056" i="2"/>
  <c r="F2056" i="2"/>
  <c r="G2056" i="2"/>
  <c r="H2056" i="2"/>
  <c r="J2056" i="2"/>
  <c r="D2057" i="2"/>
  <c r="E2057" i="2"/>
  <c r="F2057" i="2"/>
  <c r="G2057" i="2"/>
  <c r="H2057" i="2"/>
  <c r="J2057" i="2"/>
  <c r="D2058" i="2"/>
  <c r="E2058" i="2"/>
  <c r="F2058" i="2"/>
  <c r="G2058" i="2"/>
  <c r="H2058" i="2"/>
  <c r="J2058" i="2"/>
  <c r="D2059" i="2"/>
  <c r="E2059" i="2"/>
  <c r="F2059" i="2"/>
  <c r="G2059" i="2"/>
  <c r="H2059" i="2"/>
  <c r="J2059" i="2"/>
  <c r="D2060" i="2"/>
  <c r="E2060" i="2"/>
  <c r="F2060" i="2"/>
  <c r="G2060" i="2"/>
  <c r="H2060" i="2"/>
  <c r="J2060" i="2"/>
  <c r="D2061" i="2"/>
  <c r="E2061" i="2"/>
  <c r="F2061" i="2"/>
  <c r="G2061" i="2"/>
  <c r="H2061" i="2"/>
  <c r="J2061" i="2"/>
  <c r="D2062" i="2"/>
  <c r="E2062" i="2"/>
  <c r="F2062" i="2"/>
  <c r="G2062" i="2"/>
  <c r="H2062" i="2"/>
  <c r="J2062" i="2"/>
  <c r="D2063" i="2"/>
  <c r="E2063" i="2"/>
  <c r="F2063" i="2"/>
  <c r="G2063" i="2"/>
  <c r="H2063" i="2"/>
  <c r="J2063" i="2"/>
  <c r="D2064" i="2"/>
  <c r="E2064" i="2"/>
  <c r="F2064" i="2"/>
  <c r="G2064" i="2"/>
  <c r="H2064" i="2"/>
  <c r="J2064" i="2"/>
  <c r="D2065" i="2"/>
  <c r="E2065" i="2"/>
  <c r="F2065" i="2"/>
  <c r="G2065" i="2"/>
  <c r="H2065" i="2"/>
  <c r="J2065" i="2"/>
  <c r="D2066" i="2"/>
  <c r="E2066" i="2"/>
  <c r="F2066" i="2"/>
  <c r="G2066" i="2"/>
  <c r="H2066" i="2"/>
  <c r="J2066" i="2"/>
  <c r="D2067" i="2"/>
  <c r="E2067" i="2"/>
  <c r="F2067" i="2"/>
  <c r="G2067" i="2"/>
  <c r="H2067" i="2"/>
  <c r="J2067" i="2"/>
  <c r="D2068" i="2"/>
  <c r="E2068" i="2"/>
  <c r="F2068" i="2"/>
  <c r="G2068" i="2"/>
  <c r="H2068" i="2"/>
  <c r="J2068" i="2"/>
  <c r="D2069" i="2"/>
  <c r="E2069" i="2"/>
  <c r="F2069" i="2"/>
  <c r="G2069" i="2"/>
  <c r="H2069" i="2"/>
  <c r="J2069" i="2"/>
  <c r="D2070" i="2"/>
  <c r="E2070" i="2"/>
  <c r="F2070" i="2"/>
  <c r="G2070" i="2"/>
  <c r="H2070" i="2"/>
  <c r="J2070" i="2"/>
  <c r="D2071" i="2"/>
  <c r="E2071" i="2"/>
  <c r="F2071" i="2"/>
  <c r="G2071" i="2"/>
  <c r="H2071" i="2"/>
  <c r="J2071" i="2"/>
  <c r="D2073" i="2"/>
  <c r="E2073" i="2"/>
  <c r="F2073" i="2"/>
  <c r="G2073" i="2"/>
  <c r="H2073" i="2"/>
  <c r="J2073" i="2"/>
  <c r="D2074" i="2"/>
  <c r="E2074" i="2"/>
  <c r="F2074" i="2"/>
  <c r="G2074" i="2"/>
  <c r="H2074" i="2"/>
  <c r="J2074" i="2"/>
  <c r="D2075" i="2"/>
  <c r="E2075" i="2"/>
  <c r="F2075" i="2"/>
  <c r="G2075" i="2"/>
  <c r="H2075" i="2"/>
  <c r="J2075" i="2"/>
  <c r="D2076" i="2"/>
  <c r="E2076" i="2"/>
  <c r="F2076" i="2"/>
  <c r="G2076" i="2"/>
  <c r="H2076" i="2"/>
  <c r="J2076" i="2"/>
  <c r="D2077" i="2"/>
  <c r="E2077" i="2"/>
  <c r="F2077" i="2"/>
  <c r="G2077" i="2"/>
  <c r="H2077" i="2"/>
  <c r="J2077" i="2"/>
  <c r="D2078" i="2"/>
  <c r="E2078" i="2"/>
  <c r="F2078" i="2"/>
  <c r="G2078" i="2"/>
  <c r="H2078" i="2"/>
  <c r="J2078" i="2"/>
  <c r="D2079" i="2"/>
  <c r="E2079" i="2"/>
  <c r="F2079" i="2"/>
  <c r="G2079" i="2"/>
  <c r="H2079" i="2"/>
  <c r="J2079" i="2"/>
  <c r="D2080" i="2"/>
  <c r="E2080" i="2"/>
  <c r="F2080" i="2"/>
  <c r="G2080" i="2"/>
  <c r="H2080" i="2"/>
  <c r="J2080" i="2"/>
  <c r="D2081" i="2"/>
  <c r="E2081" i="2"/>
  <c r="F2081" i="2"/>
  <c r="G2081" i="2"/>
  <c r="H2081" i="2"/>
  <c r="J2081" i="2"/>
  <c r="D2082" i="2"/>
  <c r="E2082" i="2"/>
  <c r="F2082" i="2"/>
  <c r="G2082" i="2"/>
  <c r="H2082" i="2"/>
  <c r="J2082" i="2"/>
  <c r="D2083" i="2"/>
  <c r="E2083" i="2"/>
  <c r="F2083" i="2"/>
  <c r="G2083" i="2"/>
  <c r="H2083" i="2"/>
  <c r="J2083" i="2"/>
  <c r="D2084" i="2"/>
  <c r="E2084" i="2"/>
  <c r="F2084" i="2"/>
  <c r="G2084" i="2"/>
  <c r="H2084" i="2"/>
  <c r="J2084" i="2"/>
  <c r="D2085" i="2"/>
  <c r="E2085" i="2"/>
  <c r="F2085" i="2"/>
  <c r="G2085" i="2"/>
  <c r="H2085" i="2"/>
  <c r="J2085" i="2"/>
  <c r="D2086" i="2"/>
  <c r="E2086" i="2"/>
  <c r="F2086" i="2"/>
  <c r="G2086" i="2"/>
  <c r="H2086" i="2"/>
  <c r="J2086" i="2"/>
  <c r="D2087" i="2"/>
  <c r="E2087" i="2"/>
  <c r="F2087" i="2"/>
  <c r="G2087" i="2"/>
  <c r="H2087" i="2"/>
  <c r="J2087" i="2"/>
  <c r="D2088" i="2"/>
  <c r="E2088" i="2"/>
  <c r="F2088" i="2"/>
  <c r="G2088" i="2"/>
  <c r="H2088" i="2"/>
  <c r="J2088" i="2"/>
  <c r="D2089" i="2"/>
  <c r="E2089" i="2"/>
  <c r="F2089" i="2"/>
  <c r="G2089" i="2"/>
  <c r="H2089" i="2"/>
  <c r="J2089" i="2"/>
  <c r="D2090" i="2"/>
  <c r="E2090" i="2"/>
  <c r="F2090" i="2"/>
  <c r="G2090" i="2"/>
  <c r="H2090" i="2"/>
  <c r="J2090" i="2"/>
  <c r="D2091" i="2"/>
  <c r="E2091" i="2"/>
  <c r="F2091" i="2"/>
  <c r="G2091" i="2"/>
  <c r="H2091" i="2"/>
  <c r="J2091" i="2"/>
  <c r="D2092" i="2"/>
  <c r="E2092" i="2"/>
  <c r="F2092" i="2"/>
  <c r="G2092" i="2"/>
  <c r="H2092" i="2"/>
  <c r="J2092" i="2"/>
  <c r="D2093" i="2"/>
  <c r="E2093" i="2"/>
  <c r="F2093" i="2"/>
  <c r="G2093" i="2"/>
  <c r="H2093" i="2"/>
  <c r="J2093" i="2"/>
  <c r="D2094" i="2"/>
  <c r="E2094" i="2"/>
  <c r="F2094" i="2"/>
  <c r="G2094" i="2"/>
  <c r="H2094" i="2"/>
  <c r="J2094" i="2"/>
  <c r="D2095" i="2"/>
  <c r="E2095" i="2"/>
  <c r="F2095" i="2"/>
  <c r="G2095" i="2"/>
  <c r="H2095" i="2"/>
  <c r="J2095" i="2"/>
  <c r="D2096" i="2"/>
  <c r="E2096" i="2"/>
  <c r="F2096" i="2"/>
  <c r="G2096" i="2"/>
  <c r="H2096" i="2"/>
  <c r="J2096" i="2"/>
  <c r="D2097" i="2"/>
  <c r="E2097" i="2"/>
  <c r="F2097" i="2"/>
  <c r="G2097" i="2"/>
  <c r="H2097" i="2"/>
  <c r="J2097" i="2"/>
  <c r="D2098" i="2"/>
  <c r="E2098" i="2"/>
  <c r="F2098" i="2"/>
  <c r="G2098" i="2"/>
  <c r="H2098" i="2"/>
  <c r="J2098" i="2"/>
  <c r="D2099" i="2"/>
  <c r="E2099" i="2"/>
  <c r="F2099" i="2"/>
  <c r="G2099" i="2"/>
  <c r="H2099" i="2"/>
  <c r="J2099" i="2"/>
  <c r="D2100" i="2"/>
  <c r="E2100" i="2"/>
  <c r="F2100" i="2"/>
  <c r="G2100" i="2"/>
  <c r="H2100" i="2"/>
  <c r="J2100" i="2"/>
  <c r="D2101" i="2"/>
  <c r="E2101" i="2"/>
  <c r="F2101" i="2"/>
  <c r="G2101" i="2"/>
  <c r="H2101" i="2"/>
  <c r="J2101" i="2"/>
  <c r="D2102" i="2"/>
  <c r="E2102" i="2"/>
  <c r="F2102" i="2"/>
  <c r="G2102" i="2"/>
  <c r="H2102" i="2"/>
  <c r="J2102" i="2"/>
  <c r="D2103" i="2"/>
  <c r="E2103" i="2"/>
  <c r="F2103" i="2"/>
  <c r="G2103" i="2"/>
  <c r="H2103" i="2"/>
  <c r="J2103" i="2"/>
  <c r="D2104" i="2"/>
  <c r="E2104" i="2"/>
  <c r="F2104" i="2"/>
  <c r="G2104" i="2"/>
  <c r="H2104" i="2"/>
  <c r="J2104" i="2"/>
  <c r="D2105" i="2"/>
  <c r="E2105" i="2"/>
  <c r="F2105" i="2"/>
  <c r="G2105" i="2"/>
  <c r="H2105" i="2"/>
  <c r="J2105" i="2"/>
  <c r="D2106" i="2"/>
  <c r="E2106" i="2"/>
  <c r="F2106" i="2"/>
  <c r="G2106" i="2"/>
  <c r="H2106" i="2"/>
  <c r="J2106" i="2"/>
  <c r="D2107" i="2"/>
  <c r="E2107" i="2"/>
  <c r="F2107" i="2"/>
  <c r="G2107" i="2"/>
  <c r="H2107" i="2"/>
  <c r="J2107" i="2"/>
  <c r="D2108" i="2"/>
  <c r="E2108" i="2"/>
  <c r="F2108" i="2"/>
  <c r="G2108" i="2"/>
  <c r="H2108" i="2"/>
  <c r="J2108" i="2"/>
  <c r="D2109" i="2"/>
  <c r="E2109" i="2"/>
  <c r="F2109" i="2"/>
  <c r="G2109" i="2"/>
  <c r="H2109" i="2"/>
  <c r="J2109" i="2"/>
  <c r="D2110" i="2"/>
  <c r="E2110" i="2"/>
  <c r="F2110" i="2"/>
  <c r="G2110" i="2"/>
  <c r="H2110" i="2"/>
  <c r="J2110" i="2"/>
  <c r="D2111" i="2"/>
  <c r="E2111" i="2"/>
  <c r="F2111" i="2"/>
  <c r="G2111" i="2"/>
  <c r="H2111" i="2"/>
  <c r="J2111" i="2"/>
  <c r="D2112" i="2"/>
  <c r="E2112" i="2"/>
  <c r="F2112" i="2"/>
  <c r="G2112" i="2"/>
  <c r="H2112" i="2"/>
  <c r="J2112" i="2"/>
  <c r="D2113" i="2"/>
  <c r="E2113" i="2"/>
  <c r="F2113" i="2"/>
  <c r="G2113" i="2"/>
  <c r="H2113" i="2"/>
  <c r="J2113" i="2"/>
  <c r="D2114" i="2"/>
  <c r="E2114" i="2"/>
  <c r="F2114" i="2"/>
  <c r="G2114" i="2"/>
  <c r="H2114" i="2"/>
  <c r="J2114" i="2"/>
  <c r="D2115" i="2"/>
  <c r="E2115" i="2"/>
  <c r="F2115" i="2"/>
  <c r="G2115" i="2"/>
  <c r="H2115" i="2"/>
  <c r="J2115" i="2"/>
  <c r="D2116" i="2"/>
  <c r="E2116" i="2"/>
  <c r="F2116" i="2"/>
  <c r="G2116" i="2"/>
  <c r="H2116" i="2"/>
  <c r="J2116" i="2"/>
  <c r="D2117" i="2"/>
  <c r="E2117" i="2"/>
  <c r="F2117" i="2"/>
  <c r="G2117" i="2"/>
  <c r="H2117" i="2"/>
  <c r="J2117" i="2"/>
  <c r="D2118" i="2"/>
  <c r="E2118" i="2"/>
  <c r="F2118" i="2"/>
  <c r="G2118" i="2"/>
  <c r="H2118" i="2"/>
  <c r="J2118" i="2"/>
  <c r="D2119" i="2"/>
  <c r="E2119" i="2"/>
  <c r="F2119" i="2"/>
  <c r="G2119" i="2"/>
  <c r="H2119" i="2"/>
  <c r="J2119" i="2"/>
  <c r="D2120" i="2"/>
  <c r="E2120" i="2"/>
  <c r="F2120" i="2"/>
  <c r="G2120" i="2"/>
  <c r="H2120" i="2"/>
  <c r="J2120" i="2"/>
  <c r="D2121" i="2"/>
  <c r="E2121" i="2"/>
  <c r="F2121" i="2"/>
  <c r="G2121" i="2"/>
  <c r="H2121" i="2"/>
  <c r="J2121" i="2"/>
  <c r="D2122" i="2"/>
  <c r="E2122" i="2"/>
  <c r="F2122" i="2"/>
  <c r="G2122" i="2"/>
  <c r="H2122" i="2"/>
  <c r="J2122" i="2"/>
  <c r="D2123" i="2"/>
  <c r="E2123" i="2"/>
  <c r="F2123" i="2"/>
  <c r="G2123" i="2"/>
  <c r="H2123" i="2"/>
  <c r="J2123" i="2"/>
  <c r="D2124" i="2"/>
  <c r="E2124" i="2"/>
  <c r="F2124" i="2"/>
  <c r="G2124" i="2"/>
  <c r="H2124" i="2"/>
  <c r="J2124" i="2"/>
  <c r="D2125" i="2"/>
  <c r="E2125" i="2"/>
  <c r="F2125" i="2"/>
  <c r="G2125" i="2"/>
  <c r="H2125" i="2"/>
  <c r="J2125" i="2"/>
  <c r="D2126" i="2"/>
  <c r="E2126" i="2"/>
  <c r="F2126" i="2"/>
  <c r="G2126" i="2"/>
  <c r="H2126" i="2"/>
  <c r="J2126" i="2"/>
  <c r="D2218" i="2"/>
  <c r="E2218" i="2"/>
  <c r="F2218" i="2"/>
  <c r="G2218" i="2"/>
  <c r="H2218" i="2"/>
  <c r="J2218" i="2"/>
  <c r="D2219" i="2"/>
  <c r="E2219" i="2"/>
  <c r="F2219" i="2"/>
  <c r="G2219" i="2"/>
  <c r="H2219" i="2"/>
  <c r="J2219" i="2"/>
  <c r="D2220" i="2"/>
  <c r="E2220" i="2"/>
  <c r="F2220" i="2"/>
  <c r="G2220" i="2"/>
  <c r="H2220" i="2"/>
  <c r="J2220" i="2"/>
  <c r="D2221" i="2"/>
  <c r="E2221" i="2"/>
  <c r="F2221" i="2"/>
  <c r="G2221" i="2"/>
  <c r="H2221" i="2"/>
  <c r="J2221" i="2"/>
  <c r="D2222" i="2"/>
  <c r="E2222" i="2"/>
  <c r="F2222" i="2"/>
  <c r="G2222" i="2"/>
  <c r="H2222" i="2"/>
  <c r="J2222" i="2"/>
  <c r="D2223" i="2"/>
  <c r="E2223" i="2"/>
  <c r="F2223" i="2"/>
  <c r="G2223" i="2"/>
  <c r="H2223" i="2"/>
  <c r="J2223" i="2"/>
  <c r="D2224" i="2"/>
  <c r="E2224" i="2"/>
  <c r="F2224" i="2"/>
  <c r="G2224" i="2"/>
  <c r="H2224" i="2"/>
  <c r="J2224" i="2"/>
  <c r="D2225" i="2"/>
  <c r="E2225" i="2"/>
  <c r="F2225" i="2"/>
  <c r="G2225" i="2"/>
  <c r="H2225" i="2"/>
  <c r="J2225" i="2"/>
  <c r="D2226" i="2"/>
  <c r="E2226" i="2"/>
  <c r="F2226" i="2"/>
  <c r="G2226" i="2"/>
  <c r="H2226" i="2"/>
  <c r="J2226" i="2"/>
  <c r="D2227" i="2"/>
  <c r="E2227" i="2"/>
  <c r="F2227" i="2"/>
  <c r="G2227" i="2"/>
  <c r="H2227" i="2"/>
  <c r="J2227" i="2"/>
  <c r="D2228" i="2"/>
  <c r="E2228" i="2"/>
  <c r="F2228" i="2"/>
  <c r="G2228" i="2"/>
  <c r="H2228" i="2"/>
  <c r="J2228" i="2"/>
  <c r="D2229" i="2"/>
  <c r="E2229" i="2"/>
  <c r="F2229" i="2"/>
  <c r="G2229" i="2"/>
  <c r="H2229" i="2"/>
  <c r="J2229" i="2"/>
  <c r="D2230" i="2"/>
  <c r="E2230" i="2"/>
  <c r="F2230" i="2"/>
  <c r="G2230" i="2"/>
  <c r="H2230" i="2"/>
  <c r="J2230" i="2"/>
  <c r="D2231" i="2"/>
  <c r="E2231" i="2"/>
  <c r="F2231" i="2"/>
  <c r="G2231" i="2"/>
  <c r="H2231" i="2"/>
  <c r="J2231" i="2"/>
  <c r="D2232" i="2"/>
  <c r="E2232" i="2"/>
  <c r="F2232" i="2"/>
  <c r="G2232" i="2"/>
  <c r="H2232" i="2"/>
  <c r="J2232" i="2"/>
  <c r="D2233" i="2"/>
  <c r="E2233" i="2"/>
  <c r="F2233" i="2"/>
  <c r="G2233" i="2"/>
  <c r="H2233" i="2"/>
  <c r="J2233" i="2"/>
  <c r="D2234" i="2"/>
  <c r="E2234" i="2"/>
  <c r="F2234" i="2"/>
  <c r="G2234" i="2"/>
  <c r="H2234" i="2"/>
  <c r="J2234" i="2"/>
  <c r="D2235" i="2"/>
  <c r="E2235" i="2"/>
  <c r="F2235" i="2"/>
  <c r="G2235" i="2"/>
  <c r="H2235" i="2"/>
  <c r="J2235" i="2"/>
  <c r="D2236" i="2"/>
  <c r="E2236" i="2"/>
  <c r="F2236" i="2"/>
  <c r="G2236" i="2"/>
  <c r="H2236" i="2"/>
  <c r="J2236" i="2"/>
  <c r="D2237" i="2"/>
  <c r="E2237" i="2"/>
  <c r="F2237" i="2"/>
  <c r="G2237" i="2"/>
  <c r="H2237" i="2"/>
  <c r="J2237" i="2"/>
  <c r="D2238" i="2"/>
  <c r="E2238" i="2"/>
  <c r="F2238" i="2"/>
  <c r="G2238" i="2"/>
  <c r="H2238" i="2"/>
  <c r="J2238" i="2"/>
  <c r="D2239" i="2"/>
  <c r="E2239" i="2"/>
  <c r="F2239" i="2"/>
  <c r="G2239" i="2"/>
  <c r="H2239" i="2"/>
  <c r="J2239" i="2"/>
  <c r="D2240" i="2"/>
  <c r="E2240" i="2"/>
  <c r="F2240" i="2"/>
  <c r="G2240" i="2"/>
  <c r="H2240" i="2"/>
  <c r="J2240" i="2"/>
  <c r="D2241" i="2"/>
  <c r="E2241" i="2"/>
  <c r="F2241" i="2"/>
  <c r="G2241" i="2"/>
  <c r="H2241" i="2"/>
  <c r="J2241" i="2"/>
  <c r="D2242" i="2"/>
  <c r="E2242" i="2"/>
  <c r="F2242" i="2"/>
  <c r="G2242" i="2"/>
  <c r="H2242" i="2"/>
  <c r="J2242" i="2"/>
  <c r="D2243" i="2"/>
  <c r="E2243" i="2"/>
  <c r="F2243" i="2"/>
  <c r="G2243" i="2"/>
  <c r="H2243" i="2"/>
  <c r="J2243" i="2"/>
  <c r="D2244" i="2"/>
  <c r="E2244" i="2"/>
  <c r="F2244" i="2"/>
  <c r="G2244" i="2"/>
  <c r="H2244" i="2"/>
  <c r="J2244" i="2"/>
  <c r="D2245" i="2"/>
  <c r="E2245" i="2"/>
  <c r="F2245" i="2"/>
  <c r="G2245" i="2"/>
  <c r="H2245" i="2"/>
  <c r="J2245" i="2"/>
  <c r="D2246" i="2"/>
  <c r="E2246" i="2"/>
  <c r="F2246" i="2"/>
  <c r="G2246" i="2"/>
  <c r="H2246" i="2"/>
  <c r="J2246" i="2"/>
  <c r="D2247" i="2"/>
  <c r="E2247" i="2"/>
  <c r="F2247" i="2"/>
  <c r="G2247" i="2"/>
  <c r="H2247" i="2"/>
  <c r="J2247" i="2"/>
  <c r="D2248" i="2"/>
  <c r="E2248" i="2"/>
  <c r="F2248" i="2"/>
  <c r="G2248" i="2"/>
  <c r="H2248" i="2"/>
  <c r="J2248" i="2"/>
  <c r="D2249" i="2"/>
  <c r="E2249" i="2"/>
  <c r="F2249" i="2"/>
  <c r="G2249" i="2"/>
  <c r="H2249" i="2"/>
  <c r="J2249" i="2"/>
  <c r="D2250" i="2"/>
  <c r="E2250" i="2"/>
  <c r="F2250" i="2"/>
  <c r="G2250" i="2"/>
  <c r="H2250" i="2"/>
  <c r="J2250" i="2"/>
  <c r="D2251" i="2"/>
  <c r="E2251" i="2"/>
  <c r="F2251" i="2"/>
  <c r="G2251" i="2"/>
  <c r="H2251" i="2"/>
  <c r="J2251" i="2"/>
  <c r="D2252" i="2"/>
  <c r="E2252" i="2"/>
  <c r="F2252" i="2"/>
  <c r="G2252" i="2"/>
  <c r="H2252" i="2"/>
  <c r="J2252" i="2"/>
  <c r="D2253" i="2"/>
  <c r="E2253" i="2"/>
  <c r="F2253" i="2"/>
  <c r="G2253" i="2"/>
  <c r="H2253" i="2"/>
  <c r="J2253" i="2"/>
  <c r="D2254" i="2"/>
  <c r="E2254" i="2"/>
  <c r="F2254" i="2"/>
  <c r="G2254" i="2"/>
  <c r="H2254" i="2"/>
  <c r="J2254" i="2"/>
  <c r="D2255" i="2"/>
  <c r="E2255" i="2"/>
  <c r="F2255" i="2"/>
  <c r="G2255" i="2"/>
  <c r="H2255" i="2"/>
  <c r="J2255" i="2"/>
  <c r="D2256" i="2"/>
  <c r="E2256" i="2"/>
  <c r="F2256" i="2"/>
  <c r="G2256" i="2"/>
  <c r="H2256" i="2"/>
  <c r="J2256" i="2"/>
  <c r="D2257" i="2"/>
  <c r="E2257" i="2"/>
  <c r="F2257" i="2"/>
  <c r="G2257" i="2"/>
  <c r="H2257" i="2"/>
  <c r="J2257" i="2"/>
  <c r="D2258" i="2"/>
  <c r="E2258" i="2"/>
  <c r="F2258" i="2"/>
  <c r="G2258" i="2"/>
  <c r="H2258" i="2"/>
  <c r="J2258" i="2"/>
  <c r="D2259" i="2"/>
  <c r="E2259" i="2"/>
  <c r="F2259" i="2"/>
  <c r="G2259" i="2"/>
  <c r="H2259" i="2"/>
  <c r="J2259" i="2"/>
  <c r="D2260" i="2"/>
  <c r="E2260" i="2"/>
  <c r="F2260" i="2"/>
  <c r="G2260" i="2"/>
  <c r="H2260" i="2"/>
  <c r="J2260" i="2"/>
  <c r="D2261" i="2"/>
  <c r="E2261" i="2"/>
  <c r="F2261" i="2"/>
  <c r="G2261" i="2"/>
  <c r="H2261" i="2"/>
  <c r="J2261" i="2"/>
  <c r="D2262" i="2"/>
  <c r="E2262" i="2"/>
  <c r="F2262" i="2"/>
  <c r="G2262" i="2"/>
  <c r="H2262" i="2"/>
  <c r="J2262" i="2"/>
  <c r="D2263" i="2"/>
  <c r="E2263" i="2"/>
  <c r="F2263" i="2"/>
  <c r="G2263" i="2"/>
  <c r="H2263" i="2"/>
  <c r="J2263" i="2"/>
  <c r="D2264" i="2"/>
  <c r="E2264" i="2"/>
  <c r="F2264" i="2"/>
  <c r="G2264" i="2"/>
  <c r="H2264" i="2"/>
  <c r="J2264" i="2"/>
  <c r="D2265" i="2"/>
  <c r="E2265" i="2"/>
  <c r="F2265" i="2"/>
  <c r="G2265" i="2"/>
  <c r="H2265" i="2"/>
  <c r="J2265" i="2"/>
  <c r="D2266" i="2"/>
  <c r="E2266" i="2"/>
  <c r="F2266" i="2"/>
  <c r="G2266" i="2"/>
  <c r="H2266" i="2"/>
  <c r="J2266" i="2"/>
  <c r="D2267" i="2"/>
  <c r="E2267" i="2"/>
  <c r="F2267" i="2"/>
  <c r="G2267" i="2"/>
  <c r="H2267" i="2"/>
  <c r="J2267" i="2"/>
  <c r="D2268" i="2"/>
  <c r="E2268" i="2"/>
  <c r="F2268" i="2"/>
  <c r="G2268" i="2"/>
  <c r="H2268" i="2"/>
  <c r="J2268" i="2"/>
  <c r="D2269" i="2"/>
  <c r="E2269" i="2"/>
  <c r="F2269" i="2"/>
  <c r="G2269" i="2"/>
  <c r="H2269" i="2"/>
  <c r="J2269" i="2"/>
  <c r="D2270" i="2"/>
  <c r="E2270" i="2"/>
  <c r="F2270" i="2"/>
  <c r="G2270" i="2"/>
  <c r="H2270" i="2"/>
  <c r="J2270" i="2"/>
  <c r="D2271" i="2"/>
  <c r="E2271" i="2"/>
  <c r="F2271" i="2"/>
  <c r="G2271" i="2"/>
  <c r="H2271" i="2"/>
  <c r="J2271" i="2"/>
  <c r="D2272" i="2"/>
  <c r="E2272" i="2"/>
  <c r="F2272" i="2"/>
  <c r="G2272" i="2"/>
  <c r="H2272" i="2"/>
  <c r="J2272" i="2"/>
  <c r="D2273" i="2"/>
  <c r="E2273" i="2"/>
  <c r="F2273" i="2"/>
  <c r="G2273" i="2"/>
  <c r="H2273" i="2"/>
  <c r="J2273" i="2"/>
  <c r="D2274" i="2"/>
  <c r="E2274" i="2"/>
  <c r="F2274" i="2"/>
  <c r="G2274" i="2"/>
  <c r="H2274" i="2"/>
  <c r="J2274" i="2"/>
  <c r="D2275" i="2"/>
  <c r="E2275" i="2"/>
  <c r="F2275" i="2"/>
  <c r="G2275" i="2"/>
  <c r="H2275" i="2"/>
  <c r="J2275" i="2"/>
  <c r="D2276" i="2"/>
  <c r="E2276" i="2"/>
  <c r="F2276" i="2"/>
  <c r="G2276" i="2"/>
  <c r="H2276" i="2"/>
  <c r="J2276" i="2"/>
  <c r="D2277" i="2"/>
  <c r="E2277" i="2"/>
  <c r="F2277" i="2"/>
  <c r="G2277" i="2"/>
  <c r="H2277" i="2"/>
  <c r="J2277" i="2"/>
  <c r="D2278" i="2"/>
  <c r="E2278" i="2"/>
  <c r="F2278" i="2"/>
  <c r="G2278" i="2"/>
  <c r="H2278" i="2"/>
  <c r="J2278" i="2"/>
  <c r="D2279" i="2"/>
  <c r="E2279" i="2"/>
  <c r="F2279" i="2"/>
  <c r="G2279" i="2"/>
  <c r="H2279" i="2"/>
  <c r="J2279" i="2"/>
  <c r="D2280" i="2"/>
  <c r="E2280" i="2"/>
  <c r="F2280" i="2"/>
  <c r="G2280" i="2"/>
  <c r="H2280" i="2"/>
  <c r="J2280" i="2"/>
  <c r="D2281" i="2"/>
  <c r="E2281" i="2"/>
  <c r="F2281" i="2"/>
  <c r="G2281" i="2"/>
  <c r="H2281" i="2"/>
  <c r="J2281" i="2"/>
  <c r="D2282" i="2"/>
  <c r="E2282" i="2"/>
  <c r="F2282" i="2"/>
  <c r="G2282" i="2"/>
  <c r="H2282" i="2"/>
  <c r="J2282" i="2"/>
  <c r="D2283" i="2"/>
  <c r="E2283" i="2"/>
  <c r="F2283" i="2"/>
  <c r="G2283" i="2"/>
  <c r="H2283" i="2"/>
  <c r="J2283" i="2"/>
  <c r="D2284" i="2"/>
  <c r="E2284" i="2"/>
  <c r="F2284" i="2"/>
  <c r="G2284" i="2"/>
  <c r="H2284" i="2"/>
  <c r="J2284" i="2"/>
  <c r="D2285" i="2"/>
  <c r="E2285" i="2"/>
  <c r="F2285" i="2"/>
  <c r="G2285" i="2"/>
  <c r="H2285" i="2"/>
  <c r="J2285" i="2"/>
  <c r="D2286" i="2"/>
  <c r="E2286" i="2"/>
  <c r="F2286" i="2"/>
  <c r="G2286" i="2"/>
  <c r="H2286" i="2"/>
  <c r="J2286" i="2"/>
  <c r="D2287" i="2"/>
  <c r="E2287" i="2"/>
  <c r="F2287" i="2"/>
  <c r="G2287" i="2"/>
  <c r="H2287" i="2"/>
  <c r="J2287" i="2"/>
  <c r="D2288" i="2"/>
  <c r="E2288" i="2"/>
  <c r="F2288" i="2"/>
  <c r="G2288" i="2"/>
  <c r="H2288" i="2"/>
  <c r="J2288" i="2"/>
  <c r="D2289" i="2"/>
  <c r="E2289" i="2"/>
  <c r="F2289" i="2"/>
  <c r="G2289" i="2"/>
  <c r="H2289" i="2"/>
  <c r="J2289" i="2"/>
  <c r="D2290" i="2"/>
  <c r="E2290" i="2"/>
  <c r="F2290" i="2"/>
  <c r="G2290" i="2"/>
  <c r="H2290" i="2"/>
  <c r="J2290" i="2"/>
  <c r="D2291" i="2"/>
  <c r="E2291" i="2"/>
  <c r="F2291" i="2"/>
  <c r="G2291" i="2"/>
  <c r="H2291" i="2"/>
  <c r="J2291" i="2"/>
  <c r="D2292" i="2"/>
  <c r="E2292" i="2"/>
  <c r="F2292" i="2"/>
  <c r="G2292" i="2"/>
  <c r="H2292" i="2"/>
  <c r="J2292" i="2"/>
  <c r="D2293" i="2"/>
  <c r="E2293" i="2"/>
  <c r="F2293" i="2"/>
  <c r="G2293" i="2"/>
  <c r="H2293" i="2"/>
  <c r="J2293" i="2"/>
  <c r="D2294" i="2"/>
  <c r="E2294" i="2"/>
  <c r="F2294" i="2"/>
  <c r="G2294" i="2"/>
  <c r="H2294" i="2"/>
  <c r="J2294" i="2"/>
  <c r="D2295" i="2"/>
  <c r="E2295" i="2"/>
  <c r="F2295" i="2"/>
  <c r="G2295" i="2"/>
  <c r="H2295" i="2"/>
  <c r="J2295" i="2"/>
  <c r="D2297" i="2"/>
  <c r="E2297" i="2"/>
  <c r="F2297" i="2"/>
  <c r="G2297" i="2"/>
  <c r="H2297" i="2"/>
  <c r="J2297" i="2"/>
  <c r="D2298" i="2"/>
  <c r="E2298" i="2"/>
  <c r="F2298" i="2"/>
  <c r="G2298" i="2"/>
  <c r="H2298" i="2"/>
  <c r="J2298" i="2"/>
  <c r="D2299" i="2"/>
  <c r="E2299" i="2"/>
  <c r="F2299" i="2"/>
  <c r="G2299" i="2"/>
  <c r="H2299" i="2"/>
  <c r="J2299" i="2"/>
  <c r="D2300" i="2"/>
  <c r="E2300" i="2"/>
  <c r="F2300" i="2"/>
  <c r="G2300" i="2"/>
  <c r="H2300" i="2"/>
  <c r="J2300" i="2"/>
  <c r="D2301" i="2"/>
  <c r="E2301" i="2"/>
  <c r="F2301" i="2"/>
  <c r="G2301" i="2"/>
  <c r="H2301" i="2"/>
  <c r="J2301" i="2"/>
  <c r="D2302" i="2"/>
  <c r="E2302" i="2"/>
  <c r="F2302" i="2"/>
  <c r="G2302" i="2"/>
  <c r="H2302" i="2"/>
  <c r="J2302" i="2"/>
  <c r="D2303" i="2"/>
  <c r="E2303" i="2"/>
  <c r="F2303" i="2"/>
  <c r="G2303" i="2"/>
  <c r="H2303" i="2"/>
  <c r="J2303" i="2"/>
  <c r="D2304" i="2"/>
  <c r="E2304" i="2"/>
  <c r="F2304" i="2"/>
  <c r="G2304" i="2"/>
  <c r="H2304" i="2"/>
  <c r="J2304" i="2"/>
  <c r="D2305" i="2"/>
  <c r="E2305" i="2"/>
  <c r="F2305" i="2"/>
  <c r="G2305" i="2"/>
  <c r="H2305" i="2"/>
  <c r="J2305" i="2"/>
  <c r="D2306" i="2"/>
  <c r="E2306" i="2"/>
  <c r="F2306" i="2"/>
  <c r="G2306" i="2"/>
  <c r="H2306" i="2"/>
  <c r="J2306" i="2"/>
  <c r="D2307" i="2"/>
  <c r="E2307" i="2"/>
  <c r="F2307" i="2"/>
  <c r="G2307" i="2"/>
  <c r="H2307" i="2"/>
  <c r="J2307" i="2"/>
  <c r="D2308" i="2"/>
  <c r="E2308" i="2"/>
  <c r="F2308" i="2"/>
  <c r="G2308" i="2"/>
  <c r="H2308" i="2"/>
  <c r="J2308" i="2"/>
  <c r="D2309" i="2"/>
  <c r="E2309" i="2"/>
  <c r="F2309" i="2"/>
  <c r="G2309" i="2"/>
  <c r="H2309" i="2"/>
  <c r="J2309" i="2"/>
  <c r="D2310" i="2"/>
  <c r="E2310" i="2"/>
  <c r="F2310" i="2"/>
  <c r="G2310" i="2"/>
  <c r="H2310" i="2"/>
  <c r="J2310" i="2"/>
  <c r="D2311" i="2"/>
  <c r="E2311" i="2"/>
  <c r="F2311" i="2"/>
  <c r="G2311" i="2"/>
  <c r="H2311" i="2"/>
  <c r="J2311" i="2"/>
  <c r="D2312" i="2"/>
  <c r="E2312" i="2"/>
  <c r="F2312" i="2"/>
  <c r="G2312" i="2"/>
  <c r="H2312" i="2"/>
  <c r="J2312" i="2"/>
  <c r="D2313" i="2"/>
  <c r="E2313" i="2"/>
  <c r="F2313" i="2"/>
  <c r="G2313" i="2"/>
  <c r="H2313" i="2"/>
  <c r="J2313" i="2"/>
  <c r="D2314" i="2"/>
  <c r="E2314" i="2"/>
  <c r="F2314" i="2"/>
  <c r="G2314" i="2"/>
  <c r="H2314" i="2"/>
  <c r="J2314" i="2"/>
  <c r="D2315" i="2"/>
  <c r="E2315" i="2"/>
  <c r="F2315" i="2"/>
  <c r="G2315" i="2"/>
  <c r="H2315" i="2"/>
  <c r="J2315" i="2"/>
  <c r="D2316" i="2"/>
  <c r="E2316" i="2"/>
  <c r="F2316" i="2"/>
  <c r="G2316" i="2"/>
  <c r="H2316" i="2"/>
  <c r="J2316" i="2"/>
  <c r="D2317" i="2"/>
  <c r="E2317" i="2"/>
  <c r="F2317" i="2"/>
  <c r="G2317" i="2"/>
  <c r="H2317" i="2"/>
  <c r="J2317" i="2"/>
  <c r="D2318" i="2"/>
  <c r="E2318" i="2"/>
  <c r="F2318" i="2"/>
  <c r="G2318" i="2"/>
  <c r="H2318" i="2"/>
  <c r="J2318" i="2"/>
  <c r="D2319" i="2"/>
  <c r="E2319" i="2"/>
  <c r="F2319" i="2"/>
  <c r="G2319" i="2"/>
  <c r="H2319" i="2"/>
  <c r="J2319" i="2"/>
  <c r="D2320" i="2"/>
  <c r="E2320" i="2"/>
  <c r="F2320" i="2"/>
  <c r="G2320" i="2"/>
  <c r="H2320" i="2"/>
  <c r="J2320" i="2"/>
  <c r="D2321" i="2"/>
  <c r="E2321" i="2"/>
  <c r="F2321" i="2"/>
  <c r="G2321" i="2"/>
  <c r="H2321" i="2"/>
  <c r="J2321" i="2"/>
  <c r="D2322" i="2"/>
  <c r="E2322" i="2"/>
  <c r="F2322" i="2"/>
  <c r="G2322" i="2"/>
  <c r="H2322" i="2"/>
  <c r="J2322" i="2"/>
  <c r="D2323" i="2"/>
  <c r="E2323" i="2"/>
  <c r="F2323" i="2"/>
  <c r="G2323" i="2"/>
  <c r="H2323" i="2"/>
  <c r="J2323" i="2"/>
  <c r="D2324" i="2"/>
  <c r="E2324" i="2"/>
  <c r="F2324" i="2"/>
  <c r="G2324" i="2"/>
  <c r="H2324" i="2"/>
  <c r="J2324" i="2"/>
  <c r="D2325" i="2"/>
  <c r="E2325" i="2"/>
  <c r="F2325" i="2"/>
  <c r="G2325" i="2"/>
  <c r="H2325" i="2"/>
  <c r="J2325" i="2"/>
  <c r="D2326" i="2"/>
  <c r="E2326" i="2"/>
  <c r="F2326" i="2"/>
  <c r="G2326" i="2"/>
  <c r="H2326" i="2"/>
  <c r="J2326" i="2"/>
  <c r="D2327" i="2"/>
  <c r="E2327" i="2"/>
  <c r="F2327" i="2"/>
  <c r="G2327" i="2"/>
  <c r="H2327" i="2"/>
  <c r="J2327" i="2"/>
  <c r="D2328" i="2"/>
  <c r="E2328" i="2"/>
  <c r="F2328" i="2"/>
  <c r="G2328" i="2"/>
  <c r="H2328" i="2"/>
  <c r="J2328" i="2"/>
  <c r="D2329" i="2"/>
  <c r="E2329" i="2"/>
  <c r="F2329" i="2"/>
  <c r="G2329" i="2"/>
  <c r="H2329" i="2"/>
  <c r="J2329" i="2"/>
  <c r="D2330" i="2"/>
  <c r="E2330" i="2"/>
  <c r="F2330" i="2"/>
  <c r="G2330" i="2"/>
  <c r="H2330" i="2"/>
  <c r="J2330" i="2"/>
  <c r="D2331" i="2"/>
  <c r="E2331" i="2"/>
  <c r="F2331" i="2"/>
  <c r="G2331" i="2"/>
  <c r="H2331" i="2"/>
  <c r="J2331" i="2"/>
  <c r="D2332" i="2"/>
  <c r="E2332" i="2"/>
  <c r="F2332" i="2"/>
  <c r="G2332" i="2"/>
  <c r="H2332" i="2"/>
  <c r="J2332" i="2"/>
  <c r="D2333" i="2"/>
  <c r="E2333" i="2"/>
  <c r="F2333" i="2"/>
  <c r="G2333" i="2"/>
  <c r="H2333" i="2"/>
  <c r="J2333" i="2"/>
  <c r="D2412" i="2"/>
  <c r="E2412" i="2"/>
  <c r="F2412" i="2"/>
  <c r="G2412" i="2"/>
  <c r="H2412" i="2"/>
  <c r="J2412" i="2"/>
  <c r="D2413" i="2"/>
  <c r="E2413" i="2"/>
  <c r="F2413" i="2"/>
  <c r="G2413" i="2"/>
  <c r="H2413" i="2"/>
  <c r="J2413" i="2"/>
  <c r="D2414" i="2"/>
  <c r="E2414" i="2"/>
  <c r="F2414" i="2"/>
  <c r="G2414" i="2"/>
  <c r="H2414" i="2"/>
  <c r="J2414" i="2"/>
  <c r="D2415" i="2"/>
  <c r="E2415" i="2"/>
  <c r="F2415" i="2"/>
  <c r="G2415" i="2"/>
  <c r="H2415" i="2"/>
  <c r="J2415" i="2"/>
  <c r="D2416" i="2"/>
  <c r="E2416" i="2"/>
  <c r="F2416" i="2"/>
  <c r="G2416" i="2"/>
  <c r="H2416" i="2"/>
  <c r="J2416" i="2"/>
  <c r="D2417" i="2"/>
  <c r="E2417" i="2"/>
  <c r="F2417" i="2"/>
  <c r="G2417" i="2"/>
  <c r="H2417" i="2"/>
  <c r="J2417" i="2"/>
  <c r="D2418" i="2"/>
  <c r="E2418" i="2"/>
  <c r="F2418" i="2"/>
  <c r="G2418" i="2"/>
  <c r="H2418" i="2"/>
  <c r="J2418" i="2"/>
  <c r="D2419" i="2"/>
  <c r="E2419" i="2"/>
  <c r="F2419" i="2"/>
  <c r="G2419" i="2"/>
  <c r="H2419" i="2"/>
  <c r="J2419" i="2"/>
  <c r="D2420" i="2"/>
  <c r="E2420" i="2"/>
  <c r="F2420" i="2"/>
  <c r="G2420" i="2"/>
  <c r="H2420" i="2"/>
  <c r="J2420" i="2"/>
  <c r="D2421" i="2"/>
  <c r="E2421" i="2"/>
  <c r="F2421" i="2"/>
  <c r="G2421" i="2"/>
  <c r="H2421" i="2"/>
  <c r="J2421" i="2"/>
  <c r="D2422" i="2"/>
  <c r="E2422" i="2"/>
  <c r="F2422" i="2"/>
  <c r="G2422" i="2"/>
  <c r="H2422" i="2"/>
  <c r="J2422" i="2"/>
  <c r="D2423" i="2"/>
  <c r="E2423" i="2"/>
  <c r="F2423" i="2"/>
  <c r="G2423" i="2"/>
  <c r="H2423" i="2"/>
  <c r="J2423" i="2"/>
  <c r="D2424" i="2"/>
  <c r="E2424" i="2"/>
  <c r="F2424" i="2"/>
  <c r="G2424" i="2"/>
  <c r="H2424" i="2"/>
  <c r="J2424" i="2"/>
  <c r="D2425" i="2"/>
  <c r="E2425" i="2"/>
  <c r="F2425" i="2"/>
  <c r="G2425" i="2"/>
  <c r="H2425" i="2"/>
  <c r="J2425" i="2"/>
  <c r="D2426" i="2"/>
  <c r="E2426" i="2"/>
  <c r="F2426" i="2"/>
  <c r="G2426" i="2"/>
  <c r="H2426" i="2"/>
  <c r="J2426" i="2"/>
  <c r="D2427" i="2"/>
  <c r="E2427" i="2"/>
  <c r="F2427" i="2"/>
  <c r="G2427" i="2"/>
  <c r="H2427" i="2"/>
  <c r="J2427" i="2"/>
  <c r="D2428" i="2"/>
  <c r="E2428" i="2"/>
  <c r="F2428" i="2"/>
  <c r="G2428" i="2"/>
  <c r="H2428" i="2"/>
  <c r="J2428" i="2"/>
  <c r="D2429" i="2"/>
  <c r="E2429" i="2"/>
  <c r="F2429" i="2"/>
  <c r="G2429" i="2"/>
  <c r="H2429" i="2"/>
  <c r="J2429" i="2"/>
  <c r="D2430" i="2"/>
  <c r="E2430" i="2"/>
  <c r="F2430" i="2"/>
  <c r="G2430" i="2"/>
  <c r="H2430" i="2"/>
  <c r="J2430" i="2"/>
  <c r="D2431" i="2"/>
  <c r="E2431" i="2"/>
  <c r="F2431" i="2"/>
  <c r="G2431" i="2"/>
  <c r="H2431" i="2"/>
  <c r="J2431" i="2"/>
  <c r="D2432" i="2"/>
  <c r="E2432" i="2"/>
  <c r="F2432" i="2"/>
  <c r="G2432" i="2"/>
  <c r="H2432" i="2"/>
  <c r="J2432" i="2"/>
  <c r="D2433" i="2"/>
  <c r="E2433" i="2"/>
  <c r="F2433" i="2"/>
  <c r="G2433" i="2"/>
  <c r="H2433" i="2"/>
  <c r="J2433" i="2"/>
  <c r="D2434" i="2"/>
  <c r="E2434" i="2"/>
  <c r="F2434" i="2"/>
  <c r="G2434" i="2"/>
  <c r="H2434" i="2"/>
  <c r="J2434" i="2"/>
  <c r="D2435" i="2"/>
  <c r="E2435" i="2"/>
  <c r="F2435" i="2"/>
  <c r="G2435" i="2"/>
  <c r="H2435" i="2"/>
  <c r="J2435" i="2"/>
  <c r="D2436" i="2"/>
  <c r="E2436" i="2"/>
  <c r="F2436" i="2"/>
  <c r="G2436" i="2"/>
  <c r="H2436" i="2"/>
  <c r="J2436" i="2"/>
  <c r="D2437" i="2"/>
  <c r="E2437" i="2"/>
  <c r="F2437" i="2"/>
  <c r="G2437" i="2"/>
  <c r="H2437" i="2"/>
  <c r="J2437" i="2"/>
  <c r="D2438" i="2"/>
  <c r="E2438" i="2"/>
  <c r="F2438" i="2"/>
  <c r="G2438" i="2"/>
  <c r="H2438" i="2"/>
  <c r="J2438" i="2"/>
  <c r="D2439" i="2"/>
  <c r="E2439" i="2"/>
  <c r="F2439" i="2"/>
  <c r="G2439" i="2"/>
  <c r="H2439" i="2"/>
  <c r="J2439" i="2"/>
  <c r="D2440" i="2"/>
  <c r="E2440" i="2"/>
  <c r="F2440" i="2"/>
  <c r="G2440" i="2"/>
  <c r="H2440" i="2"/>
  <c r="J2440" i="2"/>
  <c r="D2441" i="2"/>
  <c r="E2441" i="2"/>
  <c r="F2441" i="2"/>
  <c r="G2441" i="2"/>
  <c r="H2441" i="2"/>
  <c r="J2441" i="2"/>
  <c r="D2442" i="2"/>
  <c r="E2442" i="2"/>
  <c r="F2442" i="2"/>
  <c r="G2442" i="2"/>
  <c r="H2442" i="2"/>
  <c r="J2442" i="2"/>
  <c r="D2443" i="2"/>
  <c r="E2443" i="2"/>
  <c r="F2443" i="2"/>
  <c r="G2443" i="2"/>
  <c r="H2443" i="2"/>
  <c r="J2443" i="2"/>
  <c r="D2444" i="2"/>
  <c r="E2444" i="2"/>
  <c r="F2444" i="2"/>
  <c r="G2444" i="2"/>
  <c r="H2444" i="2"/>
  <c r="J2444" i="2"/>
  <c r="D2445" i="2"/>
  <c r="E2445" i="2"/>
  <c r="F2445" i="2"/>
  <c r="G2445" i="2"/>
  <c r="H2445" i="2"/>
  <c r="J2445" i="2"/>
  <c r="D2446" i="2"/>
  <c r="E2446" i="2"/>
  <c r="F2446" i="2"/>
  <c r="G2446" i="2"/>
  <c r="H2446" i="2"/>
  <c r="J2446" i="2"/>
  <c r="D2447" i="2"/>
  <c r="E2447" i="2"/>
  <c r="F2447" i="2"/>
  <c r="G2447" i="2"/>
  <c r="H2447" i="2"/>
  <c r="J2447" i="2"/>
  <c r="D2448" i="2"/>
  <c r="E2448" i="2"/>
  <c r="F2448" i="2"/>
  <c r="G2448" i="2"/>
  <c r="H2448" i="2"/>
  <c r="J2448" i="2"/>
  <c r="D2449" i="2"/>
  <c r="E2449" i="2"/>
  <c r="F2449" i="2"/>
  <c r="G2449" i="2"/>
  <c r="H2449" i="2"/>
  <c r="J2449" i="2"/>
  <c r="D2450" i="2"/>
  <c r="E2450" i="2"/>
  <c r="F2450" i="2"/>
  <c r="G2450" i="2"/>
  <c r="H2450" i="2"/>
  <c r="J2450" i="2"/>
  <c r="D2451" i="2"/>
  <c r="E2451" i="2"/>
  <c r="F2451" i="2"/>
  <c r="G2451" i="2"/>
  <c r="H2451" i="2"/>
  <c r="J2451" i="2"/>
  <c r="D2452" i="2"/>
  <c r="E2452" i="2"/>
  <c r="F2452" i="2"/>
  <c r="G2452" i="2"/>
  <c r="H2452" i="2"/>
  <c r="J2452" i="2"/>
  <c r="D2453" i="2"/>
  <c r="E2453" i="2"/>
  <c r="F2453" i="2"/>
  <c r="G2453" i="2"/>
  <c r="H2453" i="2"/>
  <c r="J2453" i="2"/>
  <c r="D2454" i="2"/>
  <c r="E2454" i="2"/>
  <c r="F2454" i="2"/>
  <c r="G2454" i="2"/>
  <c r="H2454" i="2"/>
  <c r="J2454" i="2"/>
  <c r="D2455" i="2"/>
  <c r="E2455" i="2"/>
  <c r="F2455" i="2"/>
  <c r="G2455" i="2"/>
  <c r="H2455" i="2"/>
  <c r="J2455" i="2"/>
  <c r="D2456" i="2"/>
  <c r="E2456" i="2"/>
  <c r="F2456" i="2"/>
  <c r="G2456" i="2"/>
  <c r="H2456" i="2"/>
  <c r="J2456" i="2"/>
  <c r="D2457" i="2"/>
  <c r="E2457" i="2"/>
  <c r="F2457" i="2"/>
  <c r="G2457" i="2"/>
  <c r="H2457" i="2"/>
  <c r="J2457" i="2"/>
  <c r="D2458" i="2"/>
  <c r="E2458" i="2"/>
  <c r="F2458" i="2"/>
  <c r="G2458" i="2"/>
  <c r="H2458" i="2"/>
  <c r="J2458" i="2"/>
  <c r="D2460" i="2"/>
  <c r="E2460" i="2"/>
  <c r="F2460" i="2"/>
  <c r="G2460" i="2"/>
  <c r="H2460" i="2"/>
  <c r="J2460" i="2"/>
  <c r="D2461" i="2"/>
  <c r="E2461" i="2"/>
  <c r="F2461" i="2"/>
  <c r="G2461" i="2"/>
  <c r="H2461" i="2"/>
  <c r="J2461" i="2"/>
  <c r="D2462" i="2"/>
  <c r="E2462" i="2"/>
  <c r="F2462" i="2"/>
  <c r="G2462" i="2"/>
  <c r="H2462" i="2"/>
  <c r="J2462" i="2"/>
  <c r="D2463" i="2"/>
  <c r="E2463" i="2"/>
  <c r="F2463" i="2"/>
  <c r="G2463" i="2"/>
  <c r="H2463" i="2"/>
  <c r="J2463" i="2"/>
  <c r="D2464" i="2"/>
  <c r="E2464" i="2"/>
  <c r="F2464" i="2"/>
  <c r="G2464" i="2"/>
  <c r="H2464" i="2"/>
  <c r="J2464" i="2"/>
  <c r="D2465" i="2"/>
  <c r="E2465" i="2"/>
  <c r="F2465" i="2"/>
  <c r="G2465" i="2"/>
  <c r="H2465" i="2"/>
  <c r="J2465" i="2"/>
  <c r="D2466" i="2"/>
  <c r="E2466" i="2"/>
  <c r="F2466" i="2"/>
  <c r="G2466" i="2"/>
  <c r="H2466" i="2"/>
  <c r="J2466" i="2"/>
  <c r="D2467" i="2"/>
  <c r="E2467" i="2"/>
  <c r="F2467" i="2"/>
  <c r="G2467" i="2"/>
  <c r="H2467" i="2"/>
  <c r="J2467" i="2"/>
  <c r="D2468" i="2"/>
  <c r="E2468" i="2"/>
  <c r="F2468" i="2"/>
  <c r="G2468" i="2"/>
  <c r="H2468" i="2"/>
  <c r="J2468" i="2"/>
  <c r="D2469" i="2"/>
  <c r="E2469" i="2"/>
  <c r="F2469" i="2"/>
  <c r="G2469" i="2"/>
  <c r="H2469" i="2"/>
  <c r="J2469" i="2"/>
  <c r="D2470" i="2"/>
  <c r="E2470" i="2"/>
  <c r="F2470" i="2"/>
  <c r="G2470" i="2"/>
  <c r="H2470" i="2"/>
  <c r="J2470" i="2"/>
  <c r="D2471" i="2"/>
  <c r="E2471" i="2"/>
  <c r="F2471" i="2"/>
  <c r="G2471" i="2"/>
  <c r="H2471" i="2"/>
  <c r="J2471" i="2"/>
  <c r="D2472" i="2"/>
  <c r="E2472" i="2"/>
  <c r="F2472" i="2"/>
  <c r="G2472" i="2"/>
  <c r="H2472" i="2"/>
  <c r="J2472" i="2"/>
  <c r="D2473" i="2"/>
  <c r="E2473" i="2"/>
  <c r="F2473" i="2"/>
  <c r="G2473" i="2"/>
  <c r="H2473" i="2"/>
  <c r="J2473" i="2"/>
  <c r="D2474" i="2"/>
  <c r="E2474" i="2"/>
  <c r="F2474" i="2"/>
  <c r="G2474" i="2"/>
  <c r="H2474" i="2"/>
  <c r="J2474" i="2"/>
  <c r="D2475" i="2"/>
  <c r="E2475" i="2"/>
  <c r="F2475" i="2"/>
  <c r="G2475" i="2"/>
  <c r="H2475" i="2"/>
  <c r="J2475" i="2"/>
  <c r="D2476" i="2"/>
  <c r="E2476" i="2"/>
  <c r="F2476" i="2"/>
  <c r="G2476" i="2"/>
  <c r="H2476" i="2"/>
  <c r="J2476" i="2"/>
  <c r="D2477" i="2"/>
  <c r="E2477" i="2"/>
  <c r="F2477" i="2"/>
  <c r="G2477" i="2"/>
  <c r="H2477" i="2"/>
  <c r="J2477" i="2"/>
  <c r="D2478" i="2"/>
  <c r="E2478" i="2"/>
  <c r="F2478" i="2"/>
  <c r="G2478" i="2"/>
  <c r="H2478" i="2"/>
  <c r="J2478" i="2"/>
  <c r="D2479" i="2"/>
  <c r="E2479" i="2"/>
  <c r="F2479" i="2"/>
  <c r="G2479" i="2"/>
  <c r="H2479" i="2"/>
  <c r="J2479" i="2"/>
  <c r="D2480" i="2"/>
  <c r="E2480" i="2"/>
  <c r="F2480" i="2"/>
  <c r="G2480" i="2"/>
  <c r="H2480" i="2"/>
  <c r="J2480" i="2"/>
  <c r="D2481" i="2"/>
  <c r="E2481" i="2"/>
  <c r="F2481" i="2"/>
  <c r="G2481" i="2"/>
  <c r="H2481" i="2"/>
  <c r="J2481" i="2"/>
  <c r="D2482" i="2"/>
  <c r="E2482" i="2"/>
  <c r="F2482" i="2"/>
  <c r="G2482" i="2"/>
  <c r="H2482" i="2"/>
  <c r="J2482" i="2"/>
  <c r="D2483" i="2"/>
  <c r="E2483" i="2"/>
  <c r="F2483" i="2"/>
  <c r="G2483" i="2"/>
  <c r="H2483" i="2"/>
  <c r="J2483" i="2"/>
  <c r="D2484" i="2"/>
  <c r="E2484" i="2"/>
  <c r="F2484" i="2"/>
  <c r="G2484" i="2"/>
  <c r="H2484" i="2"/>
  <c r="J2484" i="2"/>
  <c r="D2485" i="2"/>
  <c r="E2485" i="2"/>
  <c r="F2485" i="2"/>
  <c r="G2485" i="2"/>
  <c r="H2485" i="2"/>
  <c r="J2485" i="2"/>
  <c r="D2486" i="2"/>
  <c r="E2486" i="2"/>
  <c r="F2486" i="2"/>
  <c r="G2486" i="2"/>
  <c r="H2486" i="2"/>
  <c r="J2486" i="2"/>
  <c r="D2487" i="2"/>
  <c r="E2487" i="2"/>
  <c r="F2487" i="2"/>
  <c r="G2487" i="2"/>
  <c r="H2487" i="2"/>
  <c r="J2487" i="2"/>
  <c r="D2488" i="2"/>
  <c r="E2488" i="2"/>
  <c r="F2488" i="2"/>
  <c r="G2488" i="2"/>
  <c r="H2488" i="2"/>
  <c r="J2488" i="2"/>
  <c r="D2489" i="2"/>
  <c r="E2489" i="2"/>
  <c r="F2489" i="2"/>
  <c r="G2489" i="2"/>
  <c r="H2489" i="2"/>
  <c r="J2489" i="2"/>
  <c r="D2490" i="2"/>
  <c r="E2490" i="2"/>
  <c r="F2490" i="2"/>
  <c r="G2490" i="2"/>
  <c r="H2490" i="2"/>
  <c r="J2490" i="2"/>
  <c r="D2491" i="2"/>
  <c r="E2491" i="2"/>
  <c r="F2491" i="2"/>
  <c r="G2491" i="2"/>
  <c r="H2491" i="2"/>
  <c r="J2491" i="2"/>
  <c r="D2492" i="2"/>
  <c r="E2492" i="2"/>
  <c r="F2492" i="2"/>
  <c r="G2492" i="2"/>
  <c r="H2492" i="2"/>
  <c r="J2492" i="2"/>
  <c r="D2493" i="2"/>
  <c r="E2493" i="2"/>
  <c r="F2493" i="2"/>
  <c r="G2493" i="2"/>
  <c r="H2493" i="2"/>
  <c r="J2493" i="2"/>
  <c r="D2494" i="2"/>
  <c r="E2494" i="2"/>
  <c r="F2494" i="2"/>
  <c r="G2494" i="2"/>
  <c r="H2494" i="2"/>
  <c r="J2494" i="2"/>
  <c r="D2495" i="2"/>
  <c r="E2495" i="2"/>
  <c r="F2495" i="2"/>
  <c r="G2495" i="2"/>
  <c r="H2495" i="2"/>
  <c r="J2495" i="2"/>
  <c r="D2496" i="2"/>
  <c r="E2496" i="2"/>
  <c r="F2496" i="2"/>
  <c r="G2496" i="2"/>
  <c r="H2496" i="2"/>
  <c r="J2496" i="2"/>
  <c r="D2497" i="2"/>
  <c r="E2497" i="2"/>
  <c r="F2497" i="2"/>
  <c r="G2497" i="2"/>
  <c r="H2497" i="2"/>
  <c r="J2497" i="2"/>
  <c r="D2498" i="2"/>
  <c r="E2498" i="2"/>
  <c r="F2498" i="2"/>
  <c r="G2498" i="2"/>
  <c r="H2498" i="2"/>
  <c r="J2498" i="2"/>
  <c r="D2499" i="2"/>
  <c r="E2499" i="2"/>
  <c r="F2499" i="2"/>
  <c r="G2499" i="2"/>
  <c r="H2499" i="2"/>
  <c r="J2499" i="2"/>
  <c r="D2500" i="2"/>
  <c r="E2500" i="2"/>
  <c r="F2500" i="2"/>
  <c r="G2500" i="2"/>
  <c r="H2500" i="2"/>
  <c r="J2500" i="2"/>
  <c r="D2501" i="2"/>
  <c r="E2501" i="2"/>
  <c r="F2501" i="2"/>
  <c r="G2501" i="2"/>
  <c r="H2501" i="2"/>
  <c r="J2501" i="2"/>
  <c r="D2502" i="2"/>
  <c r="E2502" i="2"/>
  <c r="F2502" i="2"/>
  <c r="G2502" i="2"/>
  <c r="H2502" i="2"/>
  <c r="J2502" i="2"/>
  <c r="D2503" i="2"/>
  <c r="E2503" i="2"/>
  <c r="F2503" i="2"/>
  <c r="G2503" i="2"/>
  <c r="H2503" i="2"/>
  <c r="J2503" i="2"/>
  <c r="D2504" i="2"/>
  <c r="E2504" i="2"/>
  <c r="F2504" i="2"/>
  <c r="G2504" i="2"/>
  <c r="H2504" i="2"/>
  <c r="J2504" i="2"/>
  <c r="D2505" i="2"/>
  <c r="E2505" i="2"/>
  <c r="F2505" i="2"/>
  <c r="G2505" i="2"/>
  <c r="H2505" i="2"/>
  <c r="J2505" i="2"/>
  <c r="D2506" i="2"/>
  <c r="E2506" i="2"/>
  <c r="F2506" i="2"/>
  <c r="G2506" i="2"/>
  <c r="H2506" i="2"/>
  <c r="J2506" i="2"/>
  <c r="D2507" i="2"/>
  <c r="E2507" i="2"/>
  <c r="F2507" i="2"/>
  <c r="G2507" i="2"/>
  <c r="H2507" i="2"/>
  <c r="J2507" i="2"/>
  <c r="D2508" i="2"/>
  <c r="E2508" i="2"/>
  <c r="F2508" i="2"/>
  <c r="G2508" i="2"/>
  <c r="H2508" i="2"/>
  <c r="J2508" i="2"/>
  <c r="D2509" i="2"/>
  <c r="E2509" i="2"/>
  <c r="F2509" i="2"/>
  <c r="G2509" i="2"/>
  <c r="H2509" i="2"/>
  <c r="J2509" i="2"/>
  <c r="D2510" i="2"/>
  <c r="E2510" i="2"/>
  <c r="F2510" i="2"/>
  <c r="G2510" i="2"/>
  <c r="H2510" i="2"/>
  <c r="J2510" i="2"/>
  <c r="D2511" i="2"/>
  <c r="E2511" i="2"/>
  <c r="F2511" i="2"/>
  <c r="G2511" i="2"/>
  <c r="H2511" i="2"/>
  <c r="J2511" i="2"/>
  <c r="D2512" i="2"/>
  <c r="E2512" i="2"/>
  <c r="F2512" i="2"/>
  <c r="G2512" i="2"/>
  <c r="H2512" i="2"/>
  <c r="J2512" i="2"/>
  <c r="D2513" i="2"/>
  <c r="E2513" i="2"/>
  <c r="F2513" i="2"/>
  <c r="G2513" i="2"/>
  <c r="H2513" i="2"/>
  <c r="J2513" i="2"/>
  <c r="D2514" i="2"/>
  <c r="E2514" i="2"/>
  <c r="F2514" i="2"/>
  <c r="G2514" i="2"/>
  <c r="H2514" i="2"/>
  <c r="J2514" i="2"/>
  <c r="D2515" i="2"/>
  <c r="E2515" i="2"/>
  <c r="F2515" i="2"/>
  <c r="G2515" i="2"/>
  <c r="H2515" i="2"/>
  <c r="J2515" i="2"/>
  <c r="D2516" i="2"/>
  <c r="E2516" i="2"/>
  <c r="F2516" i="2"/>
  <c r="G2516" i="2"/>
  <c r="H2516" i="2"/>
  <c r="J2516" i="2"/>
  <c r="D2517" i="2"/>
  <c r="E2517" i="2"/>
  <c r="F2517" i="2"/>
  <c r="G2517" i="2"/>
  <c r="H2517" i="2"/>
  <c r="J2517" i="2"/>
  <c r="D2518" i="2"/>
  <c r="E2518" i="2"/>
  <c r="F2518" i="2"/>
  <c r="G2518" i="2"/>
  <c r="H2518" i="2"/>
  <c r="J2518" i="2"/>
  <c r="D2519" i="2"/>
  <c r="E2519" i="2"/>
  <c r="F2519" i="2"/>
  <c r="G2519" i="2"/>
  <c r="H2519" i="2"/>
  <c r="J2519" i="2"/>
  <c r="D2520" i="2"/>
  <c r="E2520" i="2"/>
  <c r="F2520" i="2"/>
  <c r="G2520" i="2"/>
  <c r="H2520" i="2"/>
  <c r="J2520" i="2"/>
  <c r="D2521" i="2"/>
  <c r="E2521" i="2"/>
  <c r="F2521" i="2"/>
  <c r="G2521" i="2"/>
  <c r="H2521" i="2"/>
  <c r="J2521" i="2"/>
  <c r="D2522" i="2"/>
  <c r="E2522" i="2"/>
  <c r="F2522" i="2"/>
  <c r="G2522" i="2"/>
  <c r="H2522" i="2"/>
  <c r="J2522" i="2"/>
  <c r="D2523" i="2"/>
  <c r="E2523" i="2"/>
  <c r="F2523" i="2"/>
  <c r="G2523" i="2"/>
  <c r="H2523" i="2"/>
  <c r="J2523" i="2"/>
  <c r="D2524" i="2"/>
  <c r="E2524" i="2"/>
  <c r="F2524" i="2"/>
  <c r="G2524" i="2"/>
  <c r="H2524" i="2"/>
  <c r="J2524" i="2"/>
  <c r="D2525" i="2"/>
  <c r="E2525" i="2"/>
  <c r="F2525" i="2"/>
  <c r="G2525" i="2"/>
  <c r="H2525" i="2"/>
  <c r="J2525" i="2"/>
  <c r="D2526" i="2"/>
  <c r="E2526" i="2"/>
  <c r="F2526" i="2"/>
  <c r="G2526" i="2"/>
  <c r="H2526" i="2"/>
  <c r="J2526" i="2"/>
  <c r="D3161" i="2"/>
  <c r="E3161" i="2"/>
  <c r="F3161" i="2"/>
  <c r="G3161" i="2"/>
  <c r="H3161" i="2"/>
  <c r="J3161" i="2"/>
  <c r="D3162" i="2"/>
  <c r="E3162" i="2"/>
  <c r="F3162" i="2"/>
  <c r="G3162" i="2"/>
  <c r="H3162" i="2"/>
  <c r="J3162" i="2"/>
  <c r="D3163" i="2"/>
  <c r="E3163" i="2"/>
  <c r="F3163" i="2"/>
  <c r="G3163" i="2"/>
  <c r="H3163" i="2"/>
  <c r="J3163" i="2"/>
  <c r="D3164" i="2"/>
  <c r="E3164" i="2"/>
  <c r="F3164" i="2"/>
  <c r="G3164" i="2"/>
  <c r="H3164" i="2"/>
  <c r="J3164" i="2"/>
  <c r="D3165" i="2"/>
  <c r="E3165" i="2"/>
  <c r="F3165" i="2"/>
  <c r="G3165" i="2"/>
  <c r="H3165" i="2"/>
  <c r="J3165" i="2"/>
  <c r="D3166" i="2"/>
  <c r="E3166" i="2"/>
  <c r="F3166" i="2"/>
  <c r="G3166" i="2"/>
  <c r="H3166" i="2"/>
  <c r="J3166" i="2"/>
  <c r="D3167" i="2"/>
  <c r="E3167" i="2"/>
  <c r="F3167" i="2"/>
  <c r="G3167" i="2"/>
  <c r="H3167" i="2"/>
  <c r="J3167" i="2"/>
  <c r="D3168" i="2"/>
  <c r="E3168" i="2"/>
  <c r="F3168" i="2"/>
  <c r="G3168" i="2"/>
  <c r="H3168" i="2"/>
  <c r="J3168" i="2"/>
  <c r="D3169" i="2"/>
  <c r="E3169" i="2"/>
  <c r="F3169" i="2"/>
  <c r="G3169" i="2"/>
  <c r="H3169" i="2"/>
  <c r="J3169" i="2"/>
  <c r="D3170" i="2"/>
  <c r="E3170" i="2"/>
  <c r="F3170" i="2"/>
  <c r="G3170" i="2"/>
  <c r="H3170" i="2"/>
  <c r="J3170" i="2"/>
  <c r="D3171" i="2"/>
  <c r="E3171" i="2"/>
  <c r="F3171" i="2"/>
  <c r="G3171" i="2"/>
  <c r="H3171" i="2"/>
  <c r="J3171" i="2"/>
  <c r="D3172" i="2"/>
  <c r="E3172" i="2"/>
  <c r="F3172" i="2"/>
  <c r="G3172" i="2"/>
  <c r="H3172" i="2"/>
  <c r="J3172" i="2"/>
  <c r="D3173" i="2"/>
  <c r="E3173" i="2"/>
  <c r="F3173" i="2"/>
  <c r="G3173" i="2"/>
  <c r="H3173" i="2"/>
  <c r="J3173" i="2"/>
  <c r="D3174" i="2"/>
  <c r="E3174" i="2"/>
  <c r="F3174" i="2"/>
  <c r="G3174" i="2"/>
  <c r="H3174" i="2"/>
  <c r="J3174" i="2"/>
  <c r="D3175" i="2"/>
  <c r="E3175" i="2"/>
  <c r="F3175" i="2"/>
  <c r="G3175" i="2"/>
  <c r="H3175" i="2"/>
  <c r="J3175" i="2"/>
  <c r="D3176" i="2"/>
  <c r="E3176" i="2"/>
  <c r="F3176" i="2"/>
  <c r="G3176" i="2"/>
  <c r="H3176" i="2"/>
  <c r="J3176" i="2"/>
  <c r="D3177" i="2"/>
  <c r="E3177" i="2"/>
  <c r="F3177" i="2"/>
  <c r="G3177" i="2"/>
  <c r="H3177" i="2"/>
  <c r="J3177" i="2"/>
  <c r="D3178" i="2"/>
  <c r="E3178" i="2"/>
  <c r="F3178" i="2"/>
  <c r="G3178" i="2"/>
  <c r="H3178" i="2"/>
  <c r="J3178" i="2"/>
  <c r="D3179" i="2"/>
  <c r="E3179" i="2"/>
  <c r="F3179" i="2"/>
  <c r="G3179" i="2"/>
  <c r="H3179" i="2"/>
  <c r="J3179" i="2"/>
  <c r="D3180" i="2"/>
  <c r="E3180" i="2"/>
  <c r="F3180" i="2"/>
  <c r="G3180" i="2"/>
  <c r="H3180" i="2"/>
  <c r="J3180" i="2"/>
  <c r="D3181" i="2"/>
  <c r="E3181" i="2"/>
  <c r="F3181" i="2"/>
  <c r="G3181" i="2"/>
  <c r="H3181" i="2"/>
  <c r="J3181" i="2"/>
  <c r="D3182" i="2"/>
  <c r="E3182" i="2"/>
  <c r="F3182" i="2"/>
  <c r="G3182" i="2"/>
  <c r="H3182" i="2"/>
  <c r="J3182" i="2"/>
  <c r="D3183" i="2"/>
  <c r="E3183" i="2"/>
  <c r="F3183" i="2"/>
  <c r="G3183" i="2"/>
  <c r="H3183" i="2"/>
  <c r="J3183" i="2"/>
  <c r="D3184" i="2"/>
  <c r="E3184" i="2"/>
  <c r="F3184" i="2"/>
  <c r="G3184" i="2"/>
  <c r="H3184" i="2"/>
  <c r="J3184" i="2"/>
  <c r="D3185" i="2"/>
  <c r="E3185" i="2"/>
  <c r="F3185" i="2"/>
  <c r="G3185" i="2"/>
  <c r="H3185" i="2"/>
  <c r="J3185" i="2"/>
  <c r="D3186" i="2"/>
  <c r="E3186" i="2"/>
  <c r="F3186" i="2"/>
  <c r="G3186" i="2"/>
  <c r="H3186" i="2"/>
  <c r="J3186" i="2"/>
  <c r="D3187" i="2"/>
  <c r="E3187" i="2"/>
  <c r="F3187" i="2"/>
  <c r="G3187" i="2"/>
  <c r="H3187" i="2"/>
  <c r="J3187" i="2"/>
  <c r="D3188" i="2"/>
  <c r="E3188" i="2"/>
  <c r="F3188" i="2"/>
  <c r="G3188" i="2"/>
  <c r="H3188" i="2"/>
  <c r="J3188" i="2"/>
  <c r="D3189" i="2"/>
  <c r="E3189" i="2"/>
  <c r="F3189" i="2"/>
  <c r="G3189" i="2"/>
  <c r="H3189" i="2"/>
  <c r="J3189" i="2"/>
  <c r="D3190" i="2"/>
  <c r="E3190" i="2"/>
  <c r="F3190" i="2"/>
  <c r="G3190" i="2"/>
  <c r="H3190" i="2"/>
  <c r="J3190" i="2"/>
  <c r="D3191" i="2"/>
  <c r="E3191" i="2"/>
  <c r="F3191" i="2"/>
  <c r="G3191" i="2"/>
  <c r="H3191" i="2"/>
  <c r="J3191" i="2"/>
  <c r="D3192" i="2"/>
  <c r="E3192" i="2"/>
  <c r="F3192" i="2"/>
  <c r="G3192" i="2"/>
  <c r="H3192" i="2"/>
  <c r="J3192" i="2"/>
  <c r="D3193" i="2"/>
  <c r="E3193" i="2"/>
  <c r="F3193" i="2"/>
  <c r="G3193" i="2"/>
  <c r="H3193" i="2"/>
  <c r="J3193" i="2"/>
  <c r="D3194" i="2"/>
  <c r="E3194" i="2"/>
  <c r="F3194" i="2"/>
  <c r="G3194" i="2"/>
  <c r="H3194" i="2"/>
  <c r="J3194" i="2"/>
  <c r="D3195" i="2"/>
  <c r="E3195" i="2"/>
  <c r="F3195" i="2"/>
  <c r="G3195" i="2"/>
  <c r="H3195" i="2"/>
  <c r="J3195" i="2"/>
  <c r="D3196" i="2"/>
  <c r="E3196" i="2"/>
  <c r="F3196" i="2"/>
  <c r="G3196" i="2"/>
  <c r="H3196" i="2"/>
  <c r="J3196" i="2"/>
  <c r="D3197" i="2"/>
  <c r="E3197" i="2"/>
  <c r="F3197" i="2"/>
  <c r="G3197" i="2"/>
  <c r="H3197" i="2"/>
  <c r="J3197" i="2"/>
  <c r="D3198" i="2"/>
  <c r="E3198" i="2"/>
  <c r="F3198" i="2"/>
  <c r="G3198" i="2"/>
  <c r="H3198" i="2"/>
  <c r="J3198" i="2"/>
  <c r="D3199" i="2"/>
  <c r="E3199" i="2"/>
  <c r="F3199" i="2"/>
  <c r="G3199" i="2"/>
  <c r="H3199" i="2"/>
  <c r="J3199" i="2"/>
  <c r="D3200" i="2"/>
  <c r="E3200" i="2"/>
  <c r="F3200" i="2"/>
  <c r="G3200" i="2"/>
  <c r="H3200" i="2"/>
  <c r="J3200" i="2"/>
  <c r="D3201" i="2"/>
  <c r="E3201" i="2"/>
  <c r="F3201" i="2"/>
  <c r="G3201" i="2"/>
  <c r="H3201" i="2"/>
  <c r="J3201" i="2"/>
  <c r="D3202" i="2"/>
  <c r="E3202" i="2"/>
  <c r="F3202" i="2"/>
  <c r="G3202" i="2"/>
  <c r="H3202" i="2"/>
  <c r="J3202" i="2"/>
  <c r="D3203" i="2"/>
  <c r="E3203" i="2"/>
  <c r="F3203" i="2"/>
  <c r="G3203" i="2"/>
  <c r="H3203" i="2"/>
  <c r="J3203" i="2"/>
  <c r="D3204" i="2"/>
  <c r="E3204" i="2"/>
  <c r="F3204" i="2"/>
  <c r="G3204" i="2"/>
  <c r="H3204" i="2"/>
  <c r="J3204" i="2"/>
  <c r="D3205" i="2"/>
  <c r="E3205" i="2"/>
  <c r="F3205" i="2"/>
  <c r="G3205" i="2"/>
  <c r="H3205" i="2"/>
  <c r="J3205" i="2"/>
  <c r="D3206" i="2"/>
  <c r="E3206" i="2"/>
  <c r="F3206" i="2"/>
  <c r="G3206" i="2"/>
  <c r="H3206" i="2"/>
  <c r="J3206" i="2"/>
  <c r="D3207" i="2"/>
  <c r="E3207" i="2"/>
  <c r="F3207" i="2"/>
  <c r="G3207" i="2"/>
  <c r="H3207" i="2"/>
  <c r="J3207" i="2"/>
  <c r="D3208" i="2"/>
  <c r="E3208" i="2"/>
  <c r="F3208" i="2"/>
  <c r="G3208" i="2"/>
  <c r="H3208" i="2"/>
  <c r="J3208" i="2"/>
  <c r="D3209" i="2"/>
  <c r="E3209" i="2"/>
  <c r="F3209" i="2"/>
  <c r="G3209" i="2"/>
  <c r="H3209" i="2"/>
  <c r="J3209" i="2"/>
  <c r="D3210" i="2"/>
  <c r="E3210" i="2"/>
  <c r="F3210" i="2"/>
  <c r="G3210" i="2"/>
  <c r="H3210" i="2"/>
  <c r="J3210" i="2"/>
  <c r="D3211" i="2"/>
  <c r="E3211" i="2"/>
  <c r="F3211" i="2"/>
  <c r="G3211" i="2"/>
  <c r="H3211" i="2"/>
  <c r="J3211" i="2"/>
  <c r="D3212" i="2"/>
  <c r="E3212" i="2"/>
  <c r="F3212" i="2"/>
  <c r="G3212" i="2"/>
  <c r="H3212" i="2"/>
  <c r="J3212" i="2"/>
  <c r="D3213" i="2"/>
  <c r="E3213" i="2"/>
  <c r="F3213" i="2"/>
  <c r="G3213" i="2"/>
  <c r="H3213" i="2"/>
  <c r="J3213" i="2"/>
  <c r="D3214" i="2"/>
  <c r="E3214" i="2"/>
  <c r="F3214" i="2"/>
  <c r="G3214" i="2"/>
  <c r="H3214" i="2"/>
  <c r="J3214" i="2"/>
  <c r="D3215" i="2"/>
  <c r="E3215" i="2"/>
  <c r="F3215" i="2"/>
  <c r="G3215" i="2"/>
  <c r="H3215" i="2"/>
  <c r="J3215" i="2"/>
  <c r="D3216" i="2"/>
  <c r="E3216" i="2"/>
  <c r="F3216" i="2"/>
  <c r="G3216" i="2"/>
  <c r="H3216" i="2"/>
  <c r="J3216" i="2"/>
  <c r="D3217" i="2"/>
  <c r="E3217" i="2"/>
  <c r="F3217" i="2"/>
  <c r="G3217" i="2"/>
  <c r="H3217" i="2"/>
  <c r="J3217" i="2"/>
  <c r="D3218" i="2"/>
  <c r="E3218" i="2"/>
  <c r="F3218" i="2"/>
  <c r="G3218" i="2"/>
  <c r="H3218" i="2"/>
  <c r="J3218" i="2"/>
  <c r="D3219" i="2"/>
  <c r="E3219" i="2"/>
  <c r="F3219" i="2"/>
  <c r="G3219" i="2"/>
  <c r="H3219" i="2"/>
  <c r="J3219" i="2"/>
  <c r="D3220" i="2"/>
  <c r="E3220" i="2"/>
  <c r="F3220" i="2"/>
  <c r="G3220" i="2"/>
  <c r="H3220" i="2"/>
  <c r="J3220" i="2"/>
  <c r="D3221" i="2"/>
  <c r="E3221" i="2"/>
  <c r="F3221" i="2"/>
  <c r="G3221" i="2"/>
  <c r="H3221" i="2"/>
  <c r="J3221" i="2"/>
  <c r="D3222" i="2"/>
  <c r="E3222" i="2"/>
  <c r="F3222" i="2"/>
  <c r="G3222" i="2"/>
  <c r="H3222" i="2"/>
  <c r="J3222" i="2"/>
  <c r="D3223" i="2"/>
  <c r="E3223" i="2"/>
  <c r="F3223" i="2"/>
  <c r="G3223" i="2"/>
  <c r="H3223" i="2"/>
  <c r="J3223" i="2"/>
  <c r="D3224" i="2"/>
  <c r="E3224" i="2"/>
  <c r="F3224" i="2"/>
  <c r="G3224" i="2"/>
  <c r="H3224" i="2"/>
  <c r="J3224" i="2"/>
  <c r="D3225" i="2"/>
  <c r="E3225" i="2"/>
  <c r="F3225" i="2"/>
  <c r="G3225" i="2"/>
  <c r="H3225" i="2"/>
  <c r="J3225" i="2"/>
  <c r="D3226" i="2"/>
  <c r="E3226" i="2"/>
  <c r="F3226" i="2"/>
  <c r="G3226" i="2"/>
  <c r="H3226" i="2"/>
  <c r="J3226" i="2"/>
  <c r="D3227" i="2"/>
  <c r="E3227" i="2"/>
  <c r="F3227" i="2"/>
  <c r="G3227" i="2"/>
  <c r="H3227" i="2"/>
  <c r="J3227" i="2"/>
  <c r="D3228" i="2"/>
  <c r="E3228" i="2"/>
  <c r="F3228" i="2"/>
  <c r="G3228" i="2"/>
  <c r="H3228" i="2"/>
  <c r="J3228" i="2"/>
  <c r="D3229" i="2"/>
  <c r="E3229" i="2"/>
  <c r="F3229" i="2"/>
  <c r="G3229" i="2"/>
  <c r="H3229" i="2"/>
  <c r="J3229" i="2"/>
  <c r="D3230" i="2"/>
  <c r="E3230" i="2"/>
  <c r="F3230" i="2"/>
  <c r="G3230" i="2"/>
  <c r="H3230" i="2"/>
  <c r="J3230" i="2"/>
  <c r="D3231" i="2"/>
  <c r="E3231" i="2"/>
  <c r="F3231" i="2"/>
  <c r="G3231" i="2"/>
  <c r="H3231" i="2"/>
  <c r="J3231" i="2"/>
  <c r="D3232" i="2"/>
  <c r="E3232" i="2"/>
  <c r="F3232" i="2"/>
  <c r="G3232" i="2"/>
  <c r="H3232" i="2"/>
  <c r="J3232" i="2"/>
  <c r="D3233" i="2"/>
  <c r="E3233" i="2"/>
  <c r="F3233" i="2"/>
  <c r="G3233" i="2"/>
  <c r="H3233" i="2"/>
  <c r="J3233" i="2"/>
  <c r="D3235" i="2"/>
  <c r="E3235" i="2"/>
  <c r="F3235" i="2"/>
  <c r="G3235" i="2"/>
  <c r="H3235" i="2"/>
  <c r="J3235" i="2"/>
  <c r="D3236" i="2"/>
  <c r="E3236" i="2"/>
  <c r="F3236" i="2"/>
  <c r="G3236" i="2"/>
  <c r="H3236" i="2"/>
  <c r="J3236" i="2"/>
  <c r="D3237" i="2"/>
  <c r="E3237" i="2"/>
  <c r="F3237" i="2"/>
  <c r="G3237" i="2"/>
  <c r="H3237" i="2"/>
  <c r="J3237" i="2"/>
  <c r="D3238" i="2"/>
  <c r="E3238" i="2"/>
  <c r="F3238" i="2"/>
  <c r="G3238" i="2"/>
  <c r="H3238" i="2"/>
  <c r="J3238" i="2"/>
  <c r="D3239" i="2"/>
  <c r="E3239" i="2"/>
  <c r="F3239" i="2"/>
  <c r="G3239" i="2"/>
  <c r="H3239" i="2"/>
  <c r="J3239" i="2"/>
  <c r="D3240" i="2"/>
  <c r="E3240" i="2"/>
  <c r="F3240" i="2"/>
  <c r="G3240" i="2"/>
  <c r="H3240" i="2"/>
  <c r="J3240" i="2"/>
  <c r="D3241" i="2"/>
  <c r="E3241" i="2"/>
  <c r="F3241" i="2"/>
  <c r="G3241" i="2"/>
  <c r="H3241" i="2"/>
  <c r="J3241" i="2"/>
  <c r="D3242" i="2"/>
  <c r="E3242" i="2"/>
  <c r="F3242" i="2"/>
  <c r="G3242" i="2"/>
  <c r="H3242" i="2"/>
  <c r="J3242" i="2"/>
  <c r="D3243" i="2"/>
  <c r="E3243" i="2"/>
  <c r="F3243" i="2"/>
  <c r="G3243" i="2"/>
  <c r="H3243" i="2"/>
  <c r="J3243" i="2"/>
  <c r="D3244" i="2"/>
  <c r="E3244" i="2"/>
  <c r="F3244" i="2"/>
  <c r="G3244" i="2"/>
  <c r="H3244" i="2"/>
  <c r="J3244" i="2"/>
  <c r="D3245" i="2"/>
  <c r="E3245" i="2"/>
  <c r="F3245" i="2"/>
  <c r="G3245" i="2"/>
  <c r="H3245" i="2"/>
  <c r="J3245" i="2"/>
  <c r="D3246" i="2"/>
  <c r="E3246" i="2"/>
  <c r="F3246" i="2"/>
  <c r="G3246" i="2"/>
  <c r="H3246" i="2"/>
  <c r="J3246" i="2"/>
  <c r="D3247" i="2"/>
  <c r="E3247" i="2"/>
  <c r="F3247" i="2"/>
  <c r="G3247" i="2"/>
  <c r="H3247" i="2"/>
  <c r="J3247" i="2"/>
  <c r="D3248" i="2"/>
  <c r="E3248" i="2"/>
  <c r="F3248" i="2"/>
  <c r="G3248" i="2"/>
  <c r="H3248" i="2"/>
  <c r="J3248" i="2"/>
  <c r="D3249" i="2"/>
  <c r="E3249" i="2"/>
  <c r="F3249" i="2"/>
  <c r="G3249" i="2"/>
  <c r="H3249" i="2"/>
  <c r="J3249" i="2"/>
  <c r="D3250" i="2"/>
  <c r="E3250" i="2"/>
  <c r="F3250" i="2"/>
  <c r="G3250" i="2"/>
  <c r="H3250" i="2"/>
  <c r="J3250" i="2"/>
  <c r="D3251" i="2"/>
  <c r="E3251" i="2"/>
  <c r="F3251" i="2"/>
  <c r="G3251" i="2"/>
  <c r="H3251" i="2"/>
  <c r="J3251" i="2"/>
  <c r="D3252" i="2"/>
  <c r="E3252" i="2"/>
  <c r="F3252" i="2"/>
  <c r="G3252" i="2"/>
  <c r="H3252" i="2"/>
  <c r="J3252" i="2"/>
  <c r="D3253" i="2"/>
  <c r="E3253" i="2"/>
  <c r="F3253" i="2"/>
  <c r="G3253" i="2"/>
  <c r="H3253" i="2"/>
  <c r="J3253" i="2"/>
  <c r="D3254" i="2"/>
  <c r="E3254" i="2"/>
  <c r="F3254" i="2"/>
  <c r="G3254" i="2"/>
  <c r="H3254" i="2"/>
  <c r="J3254" i="2"/>
  <c r="D3255" i="2"/>
  <c r="E3255" i="2"/>
  <c r="F3255" i="2"/>
  <c r="G3255" i="2"/>
  <c r="H3255" i="2"/>
  <c r="J3255" i="2"/>
  <c r="D3256" i="2"/>
  <c r="E3256" i="2"/>
  <c r="F3256" i="2"/>
  <c r="G3256" i="2"/>
  <c r="H3256" i="2"/>
  <c r="J3256" i="2"/>
  <c r="D3257" i="2"/>
  <c r="E3257" i="2"/>
  <c r="F3257" i="2"/>
  <c r="G3257" i="2"/>
  <c r="H3257" i="2"/>
  <c r="J3257" i="2"/>
  <c r="D3258" i="2"/>
  <c r="E3258" i="2"/>
  <c r="F3258" i="2"/>
  <c r="G3258" i="2"/>
  <c r="H3258" i="2"/>
  <c r="J3258" i="2"/>
  <c r="C57" i="8"/>
  <c r="B57" i="8"/>
  <c r="A57" i="8"/>
  <c r="C60" i="8"/>
  <c r="B60" i="8"/>
  <c r="A60" i="8"/>
  <c r="K1" i="2"/>
  <c r="K116" i="2"/>
  <c r="K118" i="2"/>
  <c r="K119" i="2"/>
  <c r="K115" i="2"/>
  <c r="K117" i="2"/>
  <c r="K120" i="2"/>
  <c r="K121" i="2"/>
  <c r="K122" i="2"/>
  <c r="K123" i="2"/>
  <c r="K124" i="2"/>
  <c r="K125" i="2"/>
  <c r="K126" i="2"/>
  <c r="K127" i="2"/>
  <c r="K128" i="2"/>
  <c r="K129" i="2"/>
  <c r="K130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5" i="2"/>
  <c r="K336" i="2"/>
  <c r="K337" i="2"/>
  <c r="K338" i="2"/>
  <c r="K339" i="2"/>
  <c r="K340" i="2"/>
  <c r="K341" i="2"/>
  <c r="K342" i="2"/>
  <c r="K343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837" i="2"/>
  <c r="K1838" i="2"/>
  <c r="K1839" i="2"/>
  <c r="K1840" i="2"/>
  <c r="K1841" i="2"/>
  <c r="K1842" i="2"/>
  <c r="K1843" i="2"/>
  <c r="K1844" i="2"/>
  <c r="K1845" i="2"/>
  <c r="K1846" i="2"/>
  <c r="K1847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4" i="2"/>
  <c r="K2405" i="2"/>
  <c r="K2406" i="2"/>
  <c r="K2407" i="2"/>
  <c r="K2408" i="2"/>
  <c r="K2409" i="2"/>
  <c r="K2410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2928" i="2"/>
  <c r="K2930" i="2"/>
  <c r="K2931" i="2"/>
  <c r="K2932" i="2"/>
  <c r="K2929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345" i="2"/>
  <c r="K346" i="2"/>
  <c r="K347" i="2"/>
  <c r="K348" i="2"/>
  <c r="K350" i="2"/>
  <c r="K583" i="2"/>
  <c r="K584" i="2"/>
  <c r="K585" i="2"/>
  <c r="K586" i="2"/>
  <c r="K587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G60" i="8"/>
  <c r="F60" i="8"/>
  <c r="E60" i="8"/>
  <c r="G57" i="8"/>
  <c r="F57" i="8"/>
  <c r="E57" i="8"/>
  <c r="G54" i="8"/>
  <c r="F54" i="8"/>
  <c r="E54" i="8"/>
  <c r="G53" i="8"/>
  <c r="F53" i="8"/>
  <c r="E53" i="8"/>
  <c r="G52" i="8"/>
  <c r="F52" i="8"/>
  <c r="E52" i="8"/>
  <c r="G51" i="8"/>
  <c r="F51" i="8"/>
  <c r="E51" i="8"/>
  <c r="G50" i="8"/>
  <c r="F50" i="8"/>
  <c r="E50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G47" i="8"/>
  <c r="F47" i="8"/>
  <c r="E47" i="8"/>
  <c r="G46" i="8"/>
  <c r="F46" i="8"/>
  <c r="E46" i="8"/>
  <c r="G45" i="8"/>
  <c r="F45" i="8"/>
  <c r="E45" i="8"/>
  <c r="G44" i="8"/>
  <c r="F44" i="8"/>
  <c r="E44" i="8"/>
  <c r="G43" i="8"/>
  <c r="F43" i="8"/>
  <c r="E43" i="8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5" i="2"/>
  <c r="L336" i="2"/>
  <c r="L337" i="2"/>
  <c r="L338" i="2"/>
  <c r="L339" i="2"/>
  <c r="L340" i="2"/>
  <c r="L341" i="2"/>
  <c r="L342" i="2"/>
  <c r="L343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837" i="2"/>
  <c r="L1838" i="2"/>
  <c r="L1839" i="2"/>
  <c r="L1840" i="2"/>
  <c r="L1841" i="2"/>
  <c r="L1842" i="2"/>
  <c r="L1843" i="2"/>
  <c r="L1844" i="2"/>
  <c r="L1845" i="2"/>
  <c r="L1846" i="2"/>
  <c r="L1847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4" i="2"/>
  <c r="L2405" i="2"/>
  <c r="L2406" i="2"/>
  <c r="L2407" i="2"/>
  <c r="L2408" i="2"/>
  <c r="L2409" i="2"/>
  <c r="L2410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345" i="2"/>
  <c r="L346" i="2"/>
  <c r="L347" i="2"/>
  <c r="L348" i="2"/>
  <c r="L350" i="2"/>
  <c r="L583" i="2"/>
  <c r="L584" i="2"/>
  <c r="L585" i="2"/>
  <c r="L586" i="2"/>
  <c r="L587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K47" i="8"/>
  <c r="L3" i="2"/>
  <c r="L4" i="2"/>
  <c r="J47" i="8"/>
  <c r="I47" i="8"/>
  <c r="K46" i="8"/>
  <c r="J46" i="8"/>
  <c r="I46" i="8"/>
  <c r="K45" i="8"/>
  <c r="J45" i="8"/>
  <c r="I45" i="8"/>
  <c r="L1" i="2"/>
  <c r="K44" i="8"/>
  <c r="J44" i="8"/>
  <c r="I44" i="8"/>
  <c r="K43" i="8"/>
  <c r="I43" i="8"/>
  <c r="J43" i="8"/>
  <c r="W33" i="8"/>
  <c r="U33" i="8"/>
  <c r="W32" i="8"/>
  <c r="U32" i="8"/>
  <c r="W31" i="8"/>
  <c r="U31" i="8"/>
  <c r="W30" i="8"/>
  <c r="U30" i="8"/>
  <c r="W29" i="8"/>
  <c r="U29" i="8"/>
  <c r="S40" i="8"/>
  <c r="Q40" i="8"/>
  <c r="S39" i="8"/>
  <c r="Q39" i="8"/>
  <c r="S38" i="8"/>
  <c r="Q38" i="8"/>
  <c r="S37" i="8"/>
  <c r="Q37" i="8"/>
  <c r="S36" i="8"/>
  <c r="Q36" i="8"/>
  <c r="S33" i="8"/>
  <c r="Q33" i="8"/>
  <c r="S32" i="8"/>
  <c r="Q32" i="8"/>
  <c r="S31" i="8"/>
  <c r="Q31" i="8"/>
  <c r="S30" i="8"/>
  <c r="Q30" i="8"/>
  <c r="S29" i="8"/>
  <c r="Q29" i="8"/>
  <c r="O40" i="8"/>
  <c r="M40" i="8"/>
  <c r="O39" i="8"/>
  <c r="M39" i="8"/>
  <c r="O38" i="8"/>
  <c r="M38" i="8"/>
  <c r="O37" i="8"/>
  <c r="M37" i="8"/>
  <c r="O36" i="8"/>
  <c r="M36" i="8"/>
  <c r="O33" i="8"/>
  <c r="M33" i="8"/>
  <c r="O32" i="8"/>
  <c r="M32" i="8"/>
  <c r="O31" i="8"/>
  <c r="M31" i="8"/>
  <c r="O30" i="8"/>
  <c r="M30" i="8"/>
  <c r="O29" i="8"/>
  <c r="M29" i="8"/>
  <c r="K40" i="8"/>
  <c r="I40" i="8"/>
  <c r="K39" i="8"/>
  <c r="I39" i="8"/>
  <c r="K38" i="8"/>
  <c r="I38" i="8"/>
  <c r="K37" i="8"/>
  <c r="I37" i="8"/>
  <c r="K36" i="8"/>
  <c r="I36" i="8"/>
  <c r="K33" i="8"/>
  <c r="I33" i="8"/>
  <c r="K32" i="8"/>
  <c r="I32" i="8"/>
  <c r="K31" i="8"/>
  <c r="I31" i="8"/>
  <c r="K30" i="8"/>
  <c r="I30" i="8"/>
  <c r="K29" i="8"/>
  <c r="I29" i="8"/>
  <c r="G40" i="8"/>
  <c r="E40" i="8"/>
  <c r="G39" i="8"/>
  <c r="E39" i="8"/>
  <c r="G38" i="8"/>
  <c r="E38" i="8"/>
  <c r="G37" i="8"/>
  <c r="E37" i="8"/>
  <c r="G36" i="8"/>
  <c r="E36" i="8"/>
  <c r="G33" i="8"/>
  <c r="E33" i="8"/>
  <c r="G32" i="8"/>
  <c r="E32" i="8"/>
  <c r="G31" i="8"/>
  <c r="E31" i="8"/>
  <c r="G30" i="8"/>
  <c r="E30" i="8"/>
  <c r="G29" i="8"/>
  <c r="E29" i="8"/>
  <c r="C40" i="8"/>
  <c r="A40" i="8"/>
  <c r="C39" i="8"/>
  <c r="A39" i="8"/>
  <c r="C38" i="8"/>
  <c r="A38" i="8"/>
  <c r="C37" i="8"/>
  <c r="A37" i="8"/>
  <c r="C36" i="8"/>
  <c r="A36" i="8"/>
  <c r="C33" i="8"/>
  <c r="A33" i="8"/>
  <c r="C32" i="8"/>
  <c r="A32" i="8"/>
  <c r="C31" i="8"/>
  <c r="A31" i="8"/>
  <c r="C30" i="8"/>
  <c r="A30" i="8"/>
  <c r="C29" i="8"/>
  <c r="A29" i="8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D25" i="8"/>
  <c r="A25" i="8"/>
  <c r="D24" i="8"/>
  <c r="A24" i="8"/>
  <c r="D23" i="8"/>
  <c r="A23" i="8"/>
  <c r="D22" i="8"/>
  <c r="A22" i="8"/>
  <c r="D21" i="8"/>
  <c r="A21" i="8"/>
  <c r="D20" i="8"/>
  <c r="A20" i="8"/>
  <c r="D19" i="8"/>
  <c r="A19" i="8"/>
  <c r="D18" i="8"/>
  <c r="A18" i="8"/>
  <c r="D17" i="8"/>
  <c r="A17" i="8"/>
  <c r="D16" i="8"/>
  <c r="A16" i="8"/>
  <c r="D12" i="8"/>
  <c r="A12" i="8"/>
  <c r="D11" i="8"/>
  <c r="A11" i="8"/>
  <c r="D10" i="8"/>
  <c r="A10" i="8"/>
  <c r="D9" i="8"/>
  <c r="A9" i="8"/>
  <c r="D8" i="8"/>
  <c r="A8" i="8"/>
  <c r="D7" i="8"/>
  <c r="A7" i="8"/>
  <c r="D6" i="8"/>
  <c r="A6" i="8"/>
  <c r="D5" i="8"/>
  <c r="A5" i="8"/>
  <c r="D4" i="8"/>
  <c r="A4" i="8"/>
  <c r="D3" i="8"/>
  <c r="A3" i="8"/>
  <c r="H14" i="4"/>
  <c r="H46" i="4"/>
  <c r="G46" i="4"/>
  <c r="CA3072" i="2"/>
  <c r="CA3084" i="2"/>
  <c r="CA3086" i="2"/>
  <c r="BL3101" i="2"/>
  <c r="BL3100" i="2"/>
  <c r="BL3099" i="2"/>
  <c r="BL3098" i="2"/>
  <c r="BL3097" i="2"/>
  <c r="BL3096" i="2"/>
  <c r="BL3095" i="2"/>
  <c r="BL3094" i="2"/>
  <c r="BL3093" i="2"/>
  <c r="BL3092" i="2"/>
  <c r="BL3091" i="2"/>
  <c r="BL3090" i="2"/>
  <c r="BL3089" i="2"/>
  <c r="BL3088" i="2"/>
  <c r="BL3087" i="2"/>
  <c r="BL3086" i="2"/>
  <c r="BL3085" i="2"/>
  <c r="BL3084" i="2"/>
  <c r="BL3083" i="2"/>
  <c r="BL3082" i="2"/>
  <c r="BL3081" i="2"/>
  <c r="BL3080" i="2"/>
  <c r="BL3079" i="2"/>
  <c r="BL3078" i="2"/>
  <c r="BL3077" i="2"/>
  <c r="BL3076" i="2"/>
  <c r="BL3075" i="2"/>
  <c r="BL3074" i="2"/>
  <c r="BL3073" i="2"/>
  <c r="BL3072" i="2"/>
  <c r="BL3071" i="2"/>
  <c r="BL3070" i="2"/>
  <c r="BL3069" i="2"/>
  <c r="BL3068" i="2"/>
  <c r="BL3067" i="2"/>
  <c r="BL3066" i="2"/>
  <c r="BL3065" i="2"/>
  <c r="BL3064" i="2"/>
  <c r="BL3063" i="2"/>
  <c r="AQ1608" i="3"/>
  <c r="AN1608" i="3"/>
  <c r="AG1608" i="3"/>
  <c r="AF1608" i="3"/>
  <c r="AE1608" i="3"/>
  <c r="X1608" i="3"/>
  <c r="U1608" i="3"/>
  <c r="CD3071" i="2"/>
  <c r="CD3082" i="2"/>
  <c r="CD3086" i="2"/>
  <c r="CD3102" i="2"/>
  <c r="CD1039" i="2"/>
  <c r="CE1039" i="2"/>
  <c r="CF1039" i="2"/>
  <c r="CI1039" i="2"/>
  <c r="CH1039" i="2"/>
  <c r="CG1039" i="2"/>
  <c r="BY1373" i="2"/>
  <c r="BP726" i="2"/>
  <c r="BO726" i="2"/>
  <c r="BY705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6" i="2"/>
  <c r="BY2335" i="2"/>
  <c r="BY2337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50" i="2"/>
  <c r="BT2300" i="2"/>
  <c r="BT2322" i="2"/>
  <c r="CC3082" i="2"/>
  <c r="CC3071" i="2"/>
  <c r="BD1359" i="3"/>
  <c r="BD1358" i="3"/>
  <c r="BD1357" i="3"/>
  <c r="BD1356" i="3"/>
  <c r="BD1355" i="3"/>
  <c r="BD1354" i="3"/>
  <c r="BD1353" i="3"/>
  <c r="BD1352" i="3"/>
  <c r="BD1351" i="3"/>
  <c r="BD1350" i="3"/>
  <c r="BD1349" i="3"/>
  <c r="BD1348" i="3"/>
  <c r="BD1347" i="3"/>
  <c r="BD1346" i="3"/>
  <c r="BD1345" i="3"/>
  <c r="BD1344" i="3"/>
  <c r="BD1343" i="3"/>
  <c r="BD1342" i="3"/>
  <c r="BD1341" i="3"/>
  <c r="BD1340" i="3"/>
  <c r="BD1339" i="3"/>
  <c r="BD1338" i="3"/>
  <c r="BD1337" i="3"/>
  <c r="BD1336" i="3"/>
  <c r="BD1335" i="3"/>
  <c r="BD1334" i="3"/>
  <c r="BD1333" i="3"/>
  <c r="BD1332" i="3"/>
  <c r="BD1331" i="3"/>
  <c r="BD1330" i="3"/>
  <c r="BD1329" i="3"/>
  <c r="BD1328" i="3"/>
  <c r="BD1327" i="3"/>
  <c r="BD1326" i="3"/>
  <c r="BD1325" i="3"/>
  <c r="BD1324" i="3"/>
  <c r="BD1323" i="3"/>
  <c r="BD1322" i="3"/>
  <c r="BD1321" i="3"/>
  <c r="BD1320" i="3"/>
  <c r="BZ3100" i="2"/>
  <c r="BZ3066" i="2"/>
  <c r="BZ3088" i="2"/>
  <c r="BZ3098" i="2"/>
  <c r="BZ3091" i="2"/>
  <c r="BZ3078" i="2"/>
  <c r="CB348" i="2"/>
  <c r="CK348" i="2"/>
  <c r="CJ348" i="2"/>
  <c r="CI348" i="2"/>
  <c r="CH348" i="2"/>
  <c r="CG348" i="2"/>
  <c r="CF348" i="2"/>
  <c r="CE348" i="2"/>
  <c r="CD348" i="2"/>
  <c r="CA1039" i="2"/>
  <c r="BZ1039" i="2"/>
  <c r="BY1039" i="2"/>
  <c r="BZ1020" i="2"/>
  <c r="M1014" i="2"/>
  <c r="BZ1014" i="2"/>
  <c r="BZ985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1038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CD831" i="2"/>
  <c r="CE831" i="2"/>
  <c r="CF831" i="2"/>
  <c r="CG831" i="2"/>
  <c r="CH831" i="2"/>
  <c r="CI831" i="2"/>
  <c r="CA1546" i="2"/>
  <c r="BZ542" i="2"/>
  <c r="BZ488" i="2"/>
  <c r="BZ454" i="2"/>
  <c r="BZ581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CA3159" i="2"/>
  <c r="BZ209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71" i="2"/>
  <c r="BL2361" i="2"/>
  <c r="BL2382" i="2"/>
  <c r="BL2344" i="2"/>
  <c r="BL1968" i="2"/>
  <c r="BL1967" i="2"/>
  <c r="BL1966" i="2"/>
  <c r="BL1965" i="2"/>
  <c r="BL1964" i="2"/>
  <c r="BL1963" i="2"/>
  <c r="BL1962" i="2"/>
  <c r="BL1961" i="2"/>
  <c r="BL1960" i="2"/>
  <c r="BL1959" i="2"/>
  <c r="BL1958" i="2"/>
  <c r="BL1957" i="2"/>
  <c r="BL1956" i="2"/>
  <c r="BL1955" i="2"/>
  <c r="BL1954" i="2"/>
  <c r="BL1953" i="2"/>
  <c r="BL1952" i="2"/>
  <c r="BL1951" i="2"/>
  <c r="BL1950" i="2"/>
  <c r="BL1949" i="2"/>
  <c r="BL1948" i="2"/>
  <c r="BL1947" i="2"/>
  <c r="BL1946" i="2"/>
  <c r="BL1945" i="2"/>
  <c r="BL1944" i="2"/>
  <c r="BL1943" i="2"/>
  <c r="BL1942" i="2"/>
  <c r="BL1941" i="2"/>
  <c r="BL1940" i="2"/>
  <c r="BL1939" i="2"/>
  <c r="BL1938" i="2"/>
  <c r="BL1937" i="2"/>
  <c r="BL1936" i="2"/>
  <c r="BL1935" i="2"/>
  <c r="BL1934" i="2"/>
  <c r="BL1933" i="2"/>
  <c r="BL1932" i="2"/>
  <c r="BL1931" i="2"/>
  <c r="BL1930" i="2"/>
  <c r="BL1929" i="2"/>
  <c r="BL1928" i="2"/>
  <c r="BL1927" i="2"/>
  <c r="BL1926" i="2"/>
  <c r="BL1925" i="2"/>
  <c r="BL1924" i="2"/>
  <c r="BL1923" i="2"/>
  <c r="BL1922" i="2"/>
  <c r="BL1921" i="2"/>
  <c r="BL1920" i="2"/>
  <c r="BL1919" i="2"/>
  <c r="BL1918" i="2"/>
  <c r="BL1917" i="2"/>
  <c r="BL1916" i="2"/>
  <c r="BL1915" i="2"/>
  <c r="BL1914" i="2"/>
  <c r="BL1913" i="2"/>
  <c r="BL1912" i="2"/>
  <c r="BL1911" i="2"/>
  <c r="BL1910" i="2"/>
  <c r="BL1909" i="2"/>
  <c r="BL1908" i="2"/>
  <c r="BL1907" i="2"/>
  <c r="BL266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1" i="2"/>
  <c r="BL250" i="2"/>
  <c r="BL249" i="2"/>
  <c r="BL248" i="2"/>
  <c r="BL247" i="2"/>
  <c r="BL246" i="2"/>
  <c r="BL245" i="2"/>
  <c r="BL244" i="2"/>
  <c r="BL243" i="2"/>
  <c r="BL242" i="2"/>
  <c r="BL241" i="2"/>
  <c r="BL240" i="2"/>
  <c r="BL239" i="2"/>
  <c r="BL238" i="2"/>
  <c r="BL237" i="2"/>
  <c r="BL236" i="2"/>
  <c r="BL235" i="2"/>
  <c r="BL234" i="2"/>
  <c r="BL233" i="2"/>
  <c r="BL232" i="2"/>
  <c r="BL231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CA1837" i="2"/>
  <c r="CA1838" i="2"/>
  <c r="CA1839" i="2"/>
  <c r="CA1840" i="2"/>
  <c r="CA1841" i="2"/>
  <c r="CA1842" i="2"/>
  <c r="CA1843" i="2"/>
  <c r="CA1844" i="2"/>
  <c r="CA1845" i="2"/>
  <c r="CA1846" i="2"/>
  <c r="CA1847" i="2"/>
  <c r="CA2912" i="2"/>
  <c r="CA2913" i="2"/>
  <c r="CA2914" i="2"/>
  <c r="CA2915" i="2"/>
  <c r="CA2916" i="2"/>
  <c r="CA2917" i="2"/>
  <c r="CA2918" i="2"/>
  <c r="CA2919" i="2"/>
  <c r="CA2920" i="2"/>
  <c r="CA2921" i="2"/>
  <c r="CA2922" i="2"/>
  <c r="CA2923" i="2"/>
  <c r="CA2924" i="2"/>
  <c r="CA2925" i="2"/>
  <c r="CA2926" i="2"/>
  <c r="BP1360" i="3"/>
  <c r="BP1318" i="3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Z242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Z263" i="2"/>
  <c r="BZ258" i="2"/>
  <c r="BZ257" i="2"/>
  <c r="BZ256" i="2"/>
  <c r="BZ228" i="2"/>
  <c r="BZ225" i="2"/>
  <c r="BZ211" i="2"/>
  <c r="CA216" i="2"/>
  <c r="CA217" i="2"/>
  <c r="CA218" i="2"/>
  <c r="CA219" i="2"/>
  <c r="CA220" i="2"/>
  <c r="CA221" i="2"/>
  <c r="CA223" i="2"/>
  <c r="CA226" i="2"/>
  <c r="CA227" i="2"/>
  <c r="CA235" i="2"/>
  <c r="CA236" i="2"/>
  <c r="CA237" i="2"/>
  <c r="CA238" i="2"/>
  <c r="CA239" i="2"/>
  <c r="CA241" i="2"/>
  <c r="CA244" i="2"/>
  <c r="CA245" i="2"/>
  <c r="CA246" i="2"/>
  <c r="CA249" i="2"/>
  <c r="CA251" i="2"/>
  <c r="CA260" i="2"/>
  <c r="CA265" i="2"/>
  <c r="CA267" i="2"/>
  <c r="BY2899" i="2"/>
  <c r="CL2216" i="2"/>
  <c r="CK2216" i="2"/>
  <c r="CJ2216" i="2"/>
  <c r="CI2216" i="2"/>
  <c r="CC1837" i="2"/>
  <c r="CC1838" i="2"/>
  <c r="CC1839" i="2"/>
  <c r="CC1840" i="2"/>
  <c r="CC1841" i="2"/>
  <c r="CC1842" i="2"/>
  <c r="CC1843" i="2"/>
  <c r="CC1844" i="2"/>
  <c r="CC1845" i="2"/>
  <c r="CC1846" i="2"/>
  <c r="CC1847" i="2"/>
  <c r="P1318" i="3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7" i="2"/>
  <c r="BL306" i="2"/>
  <c r="BL305" i="2"/>
  <c r="BL304" i="2"/>
  <c r="BL303" i="2"/>
  <c r="BL302" i="2"/>
  <c r="BL301" i="2"/>
  <c r="BL300" i="2"/>
  <c r="BL299" i="2"/>
  <c r="BL298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4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9" i="2"/>
  <c r="CI333" i="2"/>
  <c r="CH333" i="2"/>
  <c r="CG333" i="2"/>
  <c r="CF333" i="2"/>
  <c r="CE333" i="2"/>
  <c r="CD333" i="2"/>
  <c r="AQ1" i="2"/>
  <c r="AP1" i="2"/>
  <c r="AN1" i="2"/>
  <c r="AO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BL1979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7" i="2"/>
  <c r="BL116" i="2"/>
  <c r="BL115" i="2"/>
  <c r="BO1274" i="2"/>
  <c r="BO1275" i="2"/>
  <c r="BO1276" i="2"/>
  <c r="BO1277" i="2"/>
  <c r="BO1278" i="2"/>
  <c r="BO1279" i="2"/>
  <c r="BO1280" i="2"/>
  <c r="BO1281" i="2"/>
  <c r="BO1282" i="2"/>
  <c r="BO1283" i="2"/>
  <c r="BO1284" i="2"/>
  <c r="BO1285" i="2"/>
  <c r="BO1286" i="2"/>
  <c r="BO1287" i="2"/>
  <c r="BO1288" i="2"/>
  <c r="BS1075" i="3"/>
  <c r="BQ1075" i="3"/>
  <c r="AA1075" i="3"/>
  <c r="AE1075" i="3"/>
  <c r="P1075" i="3"/>
  <c r="BL3232" i="2"/>
  <c r="BL3231" i="2"/>
  <c r="BL3230" i="2"/>
  <c r="BL3229" i="2"/>
  <c r="BL3228" i="2"/>
  <c r="BL3227" i="2"/>
  <c r="BL3226" i="2"/>
  <c r="BL3225" i="2"/>
  <c r="BL3224" i="2"/>
  <c r="BL3223" i="2"/>
  <c r="BL3222" i="2"/>
  <c r="BL3221" i="2"/>
  <c r="BL3220" i="2"/>
  <c r="BL3219" i="2"/>
  <c r="BL3218" i="2"/>
  <c r="BL3217" i="2"/>
  <c r="BL3216" i="2"/>
  <c r="BL3215" i="2"/>
  <c r="BL3214" i="2"/>
  <c r="BL3213" i="2"/>
  <c r="BL3212" i="2"/>
  <c r="BL3211" i="2"/>
  <c r="BL3210" i="2"/>
  <c r="BL3209" i="2"/>
  <c r="BL3208" i="2"/>
  <c r="BL3207" i="2"/>
  <c r="BL3206" i="2"/>
  <c r="BL3205" i="2"/>
  <c r="BL3204" i="2"/>
  <c r="BL3203" i="2"/>
  <c r="BL3202" i="2"/>
  <c r="BL3201" i="2"/>
  <c r="BL3200" i="2"/>
  <c r="BL3199" i="2"/>
  <c r="BL3198" i="2"/>
  <c r="BL3197" i="2"/>
  <c r="BL3196" i="2"/>
  <c r="BL3195" i="2"/>
  <c r="BL3194" i="2"/>
  <c r="BL3193" i="2"/>
  <c r="BL3192" i="2"/>
  <c r="BL3191" i="2"/>
  <c r="BL3190" i="2"/>
  <c r="BL3189" i="2"/>
  <c r="BL3188" i="2"/>
  <c r="BL3187" i="2"/>
  <c r="BL3186" i="2"/>
  <c r="BL3185" i="2"/>
  <c r="BL3184" i="2"/>
  <c r="BL3183" i="2"/>
  <c r="BL3182" i="2"/>
  <c r="BL3181" i="2"/>
  <c r="BL3180" i="2"/>
  <c r="BL3179" i="2"/>
  <c r="BL3178" i="2"/>
  <c r="BL3177" i="2"/>
  <c r="BL3176" i="2"/>
  <c r="BL3175" i="2"/>
  <c r="BL3174" i="2"/>
  <c r="BL3173" i="2"/>
  <c r="BL3172" i="2"/>
  <c r="BL3171" i="2"/>
  <c r="BL3170" i="2"/>
  <c r="BL3169" i="2"/>
  <c r="BL3168" i="2"/>
  <c r="BL3167" i="2"/>
  <c r="BL3166" i="2"/>
  <c r="BL3165" i="2"/>
  <c r="BL3164" i="2"/>
  <c r="BL3163" i="2"/>
  <c r="BL3162" i="2"/>
  <c r="BL3161" i="2"/>
  <c r="CP3233" i="2"/>
  <c r="CO3233" i="2"/>
  <c r="DT3233" i="2"/>
  <c r="DS3233" i="2"/>
  <c r="DQ3233" i="2"/>
  <c r="DO3233" i="2"/>
  <c r="DN3233" i="2"/>
  <c r="DH3233" i="2"/>
  <c r="DF3233" i="2"/>
  <c r="DB3233" i="2"/>
  <c r="CZ3233" i="2"/>
  <c r="CX3161" i="2"/>
  <c r="CX3162" i="2"/>
  <c r="CX3163" i="2"/>
  <c r="CX3164" i="2"/>
  <c r="CX3165" i="2"/>
  <c r="CX3166" i="2"/>
  <c r="CX3167" i="2"/>
  <c r="CX3168" i="2"/>
  <c r="CX3169" i="2"/>
  <c r="CX3170" i="2"/>
  <c r="CX3171" i="2"/>
  <c r="CX3172" i="2"/>
  <c r="CX3173" i="2"/>
  <c r="CX3174" i="2"/>
  <c r="CX3175" i="2"/>
  <c r="CX3176" i="2"/>
  <c r="CX3177" i="2"/>
  <c r="CX3178" i="2"/>
  <c r="CX3179" i="2"/>
  <c r="CX3180" i="2"/>
  <c r="CX3181" i="2"/>
  <c r="CX3182" i="2"/>
  <c r="CX3183" i="2"/>
  <c r="CX3184" i="2"/>
  <c r="CX3185" i="2"/>
  <c r="CX3186" i="2"/>
  <c r="CX3187" i="2"/>
  <c r="CX3188" i="2"/>
  <c r="CX3189" i="2"/>
  <c r="CX3190" i="2"/>
  <c r="CX3191" i="2"/>
  <c r="CX3192" i="2"/>
  <c r="CX3193" i="2"/>
  <c r="CX3194" i="2"/>
  <c r="CX3195" i="2"/>
  <c r="CX3196" i="2"/>
  <c r="CX3197" i="2"/>
  <c r="CX3198" i="2"/>
  <c r="CX3199" i="2"/>
  <c r="CX3200" i="2"/>
  <c r="CX3201" i="2"/>
  <c r="CX3202" i="2"/>
  <c r="CX3203" i="2"/>
  <c r="CX3204" i="2"/>
  <c r="CX3205" i="2"/>
  <c r="CX3206" i="2"/>
  <c r="CX3207" i="2"/>
  <c r="CX3208" i="2"/>
  <c r="CX3209" i="2"/>
  <c r="CX3210" i="2"/>
  <c r="CX3211" i="2"/>
  <c r="CX3212" i="2"/>
  <c r="CX3213" i="2"/>
  <c r="CX3214" i="2"/>
  <c r="CX3215" i="2"/>
  <c r="CX3216" i="2"/>
  <c r="CX3217" i="2"/>
  <c r="CX3218" i="2"/>
  <c r="CX3219" i="2"/>
  <c r="CX3220" i="2"/>
  <c r="CX3221" i="2"/>
  <c r="CX3222" i="2"/>
  <c r="CX3223" i="2"/>
  <c r="CX3224" i="2"/>
  <c r="CX3225" i="2"/>
  <c r="CX3226" i="2"/>
  <c r="CX3227" i="2"/>
  <c r="CX3228" i="2"/>
  <c r="CX3229" i="2"/>
  <c r="CX3230" i="2"/>
  <c r="CX3231" i="2"/>
  <c r="CX3232" i="2"/>
  <c r="CX3233" i="2"/>
  <c r="CV3233" i="2"/>
  <c r="CU3233" i="2"/>
  <c r="CT3233" i="2"/>
  <c r="CS3233" i="2"/>
  <c r="CR3233" i="2"/>
  <c r="CQ3233" i="2"/>
  <c r="CF2623" i="2"/>
  <c r="CE2623" i="2"/>
  <c r="CD2623" i="2"/>
  <c r="CD1229" i="2"/>
  <c r="CD1230" i="2"/>
  <c r="CD1231" i="2"/>
  <c r="CD1232" i="2"/>
  <c r="CD1233" i="2"/>
  <c r="CD1234" i="2"/>
  <c r="CD1235" i="2"/>
  <c r="CD1236" i="2"/>
  <c r="CD1237" i="2"/>
  <c r="CD1238" i="2"/>
  <c r="CD1239" i="2"/>
  <c r="CD1240" i="2"/>
  <c r="CD1241" i="2"/>
  <c r="CD1242" i="2"/>
  <c r="CD1243" i="2"/>
  <c r="CD1244" i="2"/>
  <c r="CD1245" i="2"/>
  <c r="CD1246" i="2"/>
  <c r="BO1229" i="2"/>
  <c r="BO1230" i="2"/>
  <c r="BO1231" i="2"/>
  <c r="BO1232" i="2"/>
  <c r="BO1233" i="2"/>
  <c r="BO1234" i="2"/>
  <c r="BO1235" i="2"/>
  <c r="BO1236" i="2"/>
  <c r="BO1237" i="2"/>
  <c r="BO1238" i="2"/>
  <c r="BO1239" i="2"/>
  <c r="BO1240" i="2"/>
  <c r="BO1241" i="2"/>
  <c r="BO1242" i="2"/>
  <c r="BO1243" i="2"/>
  <c r="BO1244" i="2"/>
  <c r="BO1245" i="2"/>
  <c r="BO1246" i="2"/>
  <c r="BD1607" i="3"/>
  <c r="BD1606" i="3"/>
  <c r="BD1605" i="3"/>
  <c r="BD1604" i="3"/>
  <c r="BD1603" i="3"/>
  <c r="BD1602" i="3"/>
  <c r="BD1601" i="3"/>
  <c r="BD1600" i="3"/>
  <c r="BD1599" i="3"/>
  <c r="BD1598" i="3"/>
  <c r="BD1597" i="3"/>
  <c r="BD1596" i="3"/>
  <c r="BD1595" i="3"/>
  <c r="BD1594" i="3"/>
  <c r="BD1593" i="3"/>
  <c r="BD1592" i="3"/>
  <c r="BD1591" i="3"/>
  <c r="BD1590" i="3"/>
  <c r="BD1589" i="3"/>
  <c r="BD1588" i="3"/>
  <c r="BD1587" i="3"/>
  <c r="BD1586" i="3"/>
  <c r="BD1585" i="3"/>
  <c r="BD1584" i="3"/>
  <c r="BD1583" i="3"/>
  <c r="BD1582" i="3"/>
  <c r="BD1581" i="3"/>
  <c r="BD1580" i="3"/>
  <c r="BD1579" i="3"/>
  <c r="BD1578" i="3"/>
  <c r="BD1577" i="3"/>
  <c r="BD1576" i="3"/>
  <c r="BD1575" i="3"/>
  <c r="BD1574" i="3"/>
  <c r="BD1573" i="3"/>
  <c r="BD1572" i="3"/>
  <c r="BD1571" i="3"/>
  <c r="BD1570" i="3"/>
  <c r="BD1569" i="3"/>
  <c r="BD1568" i="3"/>
  <c r="BD1567" i="3"/>
  <c r="BD1566" i="3"/>
  <c r="BD1565" i="3"/>
  <c r="BD1564" i="3"/>
  <c r="BD1563" i="3"/>
  <c r="BD1562" i="3"/>
  <c r="BD1561" i="3"/>
  <c r="BD1560" i="3"/>
  <c r="BD1559" i="3"/>
  <c r="BD1558" i="3"/>
  <c r="BD1557" i="3"/>
  <c r="BD1556" i="3"/>
  <c r="BD1555" i="3"/>
  <c r="BD1554" i="3"/>
  <c r="BD1553" i="3"/>
  <c r="BD1552" i="3"/>
  <c r="BD1551" i="3"/>
  <c r="BD1550" i="3"/>
  <c r="BD1549" i="3"/>
  <c r="BD1548" i="3"/>
  <c r="BD1547" i="3"/>
  <c r="BD1546" i="3"/>
  <c r="BD1545" i="3"/>
  <c r="BD1544" i="3"/>
  <c r="BD1543" i="3"/>
  <c r="BD1542" i="3"/>
  <c r="BD1541" i="3"/>
  <c r="BD1540" i="3"/>
  <c r="BD1539" i="3"/>
  <c r="BD1538" i="3"/>
  <c r="BD1537" i="3"/>
  <c r="BD1536" i="3"/>
  <c r="BD1535" i="3"/>
  <c r="BD1534" i="3"/>
  <c r="BD1533" i="3"/>
  <c r="BD1532" i="3"/>
  <c r="BD1531" i="3"/>
  <c r="BD1530" i="3"/>
  <c r="BD1529" i="3"/>
  <c r="BD1528" i="3"/>
  <c r="BD1527" i="3"/>
  <c r="BD1526" i="3"/>
  <c r="BD1525" i="3"/>
  <c r="BD1524" i="3"/>
  <c r="BD1523" i="3"/>
  <c r="BD1522" i="3"/>
  <c r="BD1521" i="3"/>
  <c r="BD1520" i="3"/>
  <c r="BD1519" i="3"/>
  <c r="BD1518" i="3"/>
  <c r="BD1517" i="3"/>
  <c r="BD1516" i="3"/>
  <c r="BD1515" i="3"/>
  <c r="BD1514" i="3"/>
  <c r="BD1513" i="3"/>
  <c r="BD1512" i="3"/>
  <c r="BD1511" i="3"/>
  <c r="BD1510" i="3"/>
  <c r="BD1509" i="3"/>
  <c r="BD1508" i="3"/>
  <c r="BD1507" i="3"/>
  <c r="BD1506" i="3"/>
  <c r="BD1505" i="3"/>
  <c r="BD1504" i="3"/>
  <c r="BD1503" i="3"/>
  <c r="BD1502" i="3"/>
  <c r="BD1501" i="3"/>
  <c r="BD1500" i="3"/>
  <c r="BD1499" i="3"/>
  <c r="BD1498" i="3"/>
  <c r="BD1497" i="3"/>
  <c r="BD1496" i="3"/>
  <c r="BD1495" i="3"/>
  <c r="BD1494" i="3"/>
  <c r="BD1493" i="3"/>
  <c r="BD1492" i="3"/>
  <c r="BD1491" i="3"/>
  <c r="BD1490" i="3"/>
  <c r="BD1489" i="3"/>
  <c r="BD1488" i="3"/>
  <c r="BD1487" i="3"/>
  <c r="BD1486" i="3"/>
  <c r="BD1485" i="3"/>
  <c r="BD1484" i="3"/>
  <c r="BD1483" i="3"/>
  <c r="BD1482" i="3"/>
  <c r="BD1481" i="3"/>
  <c r="BD1480" i="3"/>
  <c r="BD1479" i="3"/>
  <c r="BD1478" i="3"/>
  <c r="BD1477" i="3"/>
  <c r="BD1476" i="3"/>
  <c r="BD1475" i="3"/>
  <c r="BD1474" i="3"/>
  <c r="BD1473" i="3"/>
  <c r="BD1472" i="3"/>
  <c r="BD1471" i="3"/>
  <c r="BD1470" i="3"/>
  <c r="BD1469" i="3"/>
  <c r="BD1468" i="3"/>
  <c r="BD1467" i="3"/>
  <c r="BD1466" i="3"/>
  <c r="BD1465" i="3"/>
  <c r="BD1464" i="3"/>
  <c r="BD1463" i="3"/>
  <c r="BD1462" i="3"/>
  <c r="BD1461" i="3"/>
  <c r="BD1460" i="3"/>
  <c r="BD1459" i="3"/>
  <c r="BD1458" i="3"/>
  <c r="BD1457" i="3"/>
  <c r="BD1456" i="3"/>
  <c r="BD1455" i="3"/>
  <c r="BD1454" i="3"/>
  <c r="BD1453" i="3"/>
  <c r="BD1452" i="3"/>
  <c r="BD1451" i="3"/>
  <c r="BD1450" i="3"/>
  <c r="BD1449" i="3"/>
  <c r="BD1448" i="3"/>
  <c r="BD1447" i="3"/>
  <c r="BD1446" i="3"/>
  <c r="BD1445" i="3"/>
  <c r="BD1444" i="3"/>
  <c r="BD1443" i="3"/>
  <c r="BD1442" i="3"/>
  <c r="BD1441" i="3"/>
  <c r="BD1440" i="3"/>
  <c r="BD1439" i="3"/>
  <c r="BD1438" i="3"/>
  <c r="BD1437" i="3"/>
  <c r="BD1436" i="3"/>
  <c r="BD1435" i="3"/>
  <c r="BD1434" i="3"/>
  <c r="BD1433" i="3"/>
  <c r="BD1432" i="3"/>
  <c r="BD1431" i="3"/>
  <c r="BD1430" i="3"/>
  <c r="BD1429" i="3"/>
  <c r="BD1428" i="3"/>
  <c r="BD1427" i="3"/>
  <c r="BD1426" i="3"/>
  <c r="BD1425" i="3"/>
  <c r="BD1424" i="3"/>
  <c r="BD1423" i="3"/>
  <c r="BD1422" i="3"/>
  <c r="BD1421" i="3"/>
  <c r="BD1420" i="3"/>
  <c r="BD1419" i="3"/>
  <c r="BD1418" i="3"/>
  <c r="BD1417" i="3"/>
  <c r="BD1416" i="3"/>
  <c r="BD1415" i="3"/>
  <c r="BD1414" i="3"/>
  <c r="BD1413" i="3"/>
  <c r="BD1412" i="3"/>
  <c r="BD1411" i="3"/>
  <c r="BD1410" i="3"/>
  <c r="BD1409" i="3"/>
  <c r="BD1408" i="3"/>
  <c r="BD1407" i="3"/>
  <c r="BD1406" i="3"/>
  <c r="BD1405" i="3"/>
  <c r="BD1404" i="3"/>
  <c r="BD1403" i="3"/>
  <c r="BD1402" i="3"/>
  <c r="BD1401" i="3"/>
  <c r="BD1400" i="3"/>
  <c r="BD1399" i="3"/>
  <c r="BD1398" i="3"/>
  <c r="BD1397" i="3"/>
  <c r="BD1396" i="3"/>
  <c r="BD1395" i="3"/>
  <c r="BD1394" i="3"/>
  <c r="BD1393" i="3"/>
  <c r="BD1392" i="3"/>
  <c r="BD1391" i="3"/>
  <c r="BD1390" i="3"/>
  <c r="BD1389" i="3"/>
  <c r="BD1388" i="3"/>
  <c r="BD1387" i="3"/>
  <c r="BD1386" i="3"/>
  <c r="BD1385" i="3"/>
  <c r="BD1384" i="3"/>
  <c r="BD1383" i="3"/>
  <c r="BD1382" i="3"/>
  <c r="BD1381" i="3"/>
  <c r="BD1380" i="3"/>
  <c r="BD1379" i="3"/>
  <c r="BD1378" i="3"/>
  <c r="BD1377" i="3"/>
  <c r="BD1376" i="3"/>
  <c r="BD1375" i="3"/>
  <c r="BD1374" i="3"/>
  <c r="BD1373" i="3"/>
  <c r="BD1372" i="3"/>
  <c r="BD1371" i="3"/>
  <c r="BD1370" i="3"/>
  <c r="BD1369" i="3"/>
  <c r="BD1368" i="3"/>
  <c r="BD1367" i="3"/>
  <c r="BD1366" i="3"/>
  <c r="BD1365" i="3"/>
  <c r="BD1364" i="3"/>
  <c r="BD1363" i="3"/>
  <c r="BD1362" i="3"/>
  <c r="BD1317" i="3"/>
  <c r="BD1316" i="3"/>
  <c r="BD1315" i="3"/>
  <c r="BD1314" i="3"/>
  <c r="BD1313" i="3"/>
  <c r="BD1312" i="3"/>
  <c r="BD1311" i="3"/>
  <c r="BD1310" i="3"/>
  <c r="BD1309" i="3"/>
  <c r="BD1308" i="3"/>
  <c r="BD1307" i="3"/>
  <c r="BD1306" i="3"/>
  <c r="BD1305" i="3"/>
  <c r="BD1304" i="3"/>
  <c r="BD1303" i="3"/>
  <c r="BD1302" i="3"/>
  <c r="BD1301" i="3"/>
  <c r="BD1300" i="3"/>
  <c r="BD1299" i="3"/>
  <c r="BD1298" i="3"/>
  <c r="BD1297" i="3"/>
  <c r="BD1296" i="3"/>
  <c r="BD1295" i="3"/>
  <c r="BD1294" i="3"/>
  <c r="BD1293" i="3"/>
  <c r="BD1292" i="3"/>
  <c r="BD1291" i="3"/>
  <c r="BD1290" i="3"/>
  <c r="BD1289" i="3"/>
  <c r="BD1288" i="3"/>
  <c r="BD1287" i="3"/>
  <c r="BD1286" i="3"/>
  <c r="BD1285" i="3"/>
  <c r="BD1284" i="3"/>
  <c r="BD1283" i="3"/>
  <c r="BD1282" i="3"/>
  <c r="BD1281" i="3"/>
  <c r="BD1280" i="3"/>
  <c r="BD1279" i="3"/>
  <c r="BD1278" i="3"/>
  <c r="BD1277" i="3"/>
  <c r="BD1276" i="3"/>
  <c r="BD1275" i="3"/>
  <c r="BD1274" i="3"/>
  <c r="BD1273" i="3"/>
  <c r="BD1272" i="3"/>
  <c r="BD1271" i="3"/>
  <c r="BD1270" i="3"/>
  <c r="BD1269" i="3"/>
  <c r="BD1268" i="3"/>
  <c r="BD1267" i="3"/>
  <c r="BD1266" i="3"/>
  <c r="BD1265" i="3"/>
  <c r="BD1264" i="3"/>
  <c r="BD1263" i="3"/>
  <c r="BD1262" i="3"/>
  <c r="BD1261" i="3"/>
  <c r="BD1260" i="3"/>
  <c r="BD1259" i="3"/>
  <c r="BD1258" i="3"/>
  <c r="BD1257" i="3"/>
  <c r="BD1256" i="3"/>
  <c r="BD1255" i="3"/>
  <c r="BD1254" i="3"/>
  <c r="BD1253" i="3"/>
  <c r="BD1252" i="3"/>
  <c r="BD1251" i="3"/>
  <c r="BD1250" i="3"/>
  <c r="BD1249" i="3"/>
  <c r="BD1248" i="3"/>
  <c r="BD1247" i="3"/>
  <c r="BD1246" i="3"/>
  <c r="BD1245" i="3"/>
  <c r="BD1244" i="3"/>
  <c r="BD1243" i="3"/>
  <c r="BD1242" i="3"/>
  <c r="BD1241" i="3"/>
  <c r="BD1240" i="3"/>
  <c r="BD1239" i="3"/>
  <c r="BD1238" i="3"/>
  <c r="BD1237" i="3"/>
  <c r="BD1236" i="3"/>
  <c r="BD1235" i="3"/>
  <c r="BD1234" i="3"/>
  <c r="BD1233" i="3"/>
  <c r="BD1232" i="3"/>
  <c r="BD1231" i="3"/>
  <c r="BD1230" i="3"/>
  <c r="BD1229" i="3"/>
  <c r="BD1228" i="3"/>
  <c r="BD1227" i="3"/>
  <c r="BD1226" i="3"/>
  <c r="BD1225" i="3"/>
  <c r="BD1224" i="3"/>
  <c r="BD1223" i="3"/>
  <c r="BD1222" i="3"/>
  <c r="BD1221" i="3"/>
  <c r="BD1220" i="3"/>
  <c r="BD1219" i="3"/>
  <c r="BD1218" i="3"/>
  <c r="BD1217" i="3"/>
  <c r="BD1216" i="3"/>
  <c r="BD1215" i="3"/>
  <c r="BD1214" i="3"/>
  <c r="BD1213" i="3"/>
  <c r="BD1212" i="3"/>
  <c r="BD1211" i="3"/>
  <c r="BD1210" i="3"/>
  <c r="BD1209" i="3"/>
  <c r="BD1208" i="3"/>
  <c r="BD1207" i="3"/>
  <c r="BD1206" i="3"/>
  <c r="BD1205" i="3"/>
  <c r="BD1204" i="3"/>
  <c r="BD1203" i="3"/>
  <c r="BD1202" i="3"/>
  <c r="BD1201" i="3"/>
  <c r="BD1200" i="3"/>
  <c r="BD1199" i="3"/>
  <c r="BD1198" i="3"/>
  <c r="BD1197" i="3"/>
  <c r="BD1196" i="3"/>
  <c r="BD1195" i="3"/>
  <c r="BD1194" i="3"/>
  <c r="BD1193" i="3"/>
  <c r="BD1192" i="3"/>
  <c r="BD1191" i="3"/>
  <c r="BD1190" i="3"/>
  <c r="BD1189" i="3"/>
  <c r="BD1188" i="3"/>
  <c r="BD1187" i="3"/>
  <c r="BD1186" i="3"/>
  <c r="BD1185" i="3"/>
  <c r="BD1184" i="3"/>
  <c r="BD1183" i="3"/>
  <c r="BD1182" i="3"/>
  <c r="BD1181" i="3"/>
  <c r="BD1180" i="3"/>
  <c r="BD1179" i="3"/>
  <c r="BD1178" i="3"/>
  <c r="BD1177" i="3"/>
  <c r="BD1176" i="3"/>
  <c r="BD1175" i="3"/>
  <c r="BD1174" i="3"/>
  <c r="BD1173" i="3"/>
  <c r="BD1172" i="3"/>
  <c r="BD1171" i="3"/>
  <c r="BD1170" i="3"/>
  <c r="BD1169" i="3"/>
  <c r="BD1168" i="3"/>
  <c r="BD1167" i="3"/>
  <c r="BD1166" i="3"/>
  <c r="BD1165" i="3"/>
  <c r="BD1164" i="3"/>
  <c r="BD1163" i="3"/>
  <c r="BD1162" i="3"/>
  <c r="BD1161" i="3"/>
  <c r="BD1160" i="3"/>
  <c r="BD1159" i="3"/>
  <c r="BD1158" i="3"/>
  <c r="BD1157" i="3"/>
  <c r="BD1156" i="3"/>
  <c r="BD1155" i="3"/>
  <c r="BD1154" i="3"/>
  <c r="BD1153" i="3"/>
  <c r="BD1152" i="3"/>
  <c r="BD1151" i="3"/>
  <c r="BD1150" i="3"/>
  <c r="BD1149" i="3"/>
  <c r="BD1148" i="3"/>
  <c r="BD1147" i="3"/>
  <c r="BD1146" i="3"/>
  <c r="BD1145" i="3"/>
  <c r="BD1144" i="3"/>
  <c r="BD1143" i="3"/>
  <c r="BD1142" i="3"/>
  <c r="BD1141" i="3"/>
  <c r="BD1140" i="3"/>
  <c r="BD1139" i="3"/>
  <c r="BD1138" i="3"/>
  <c r="BD1137" i="3"/>
  <c r="BD1136" i="3"/>
  <c r="BD1135" i="3"/>
  <c r="BD1134" i="3"/>
  <c r="BD1133" i="3"/>
  <c r="BD1132" i="3"/>
  <c r="BD1131" i="3"/>
  <c r="BD1130" i="3"/>
  <c r="BD1129" i="3"/>
  <c r="BD1128" i="3"/>
  <c r="BD1127" i="3"/>
  <c r="BD1126" i="3"/>
  <c r="BD1125" i="3"/>
  <c r="BD1124" i="3"/>
  <c r="BD1123" i="3"/>
  <c r="BD1122" i="3"/>
  <c r="BD1121" i="3"/>
  <c r="BD1120" i="3"/>
  <c r="BD1119" i="3"/>
  <c r="BD1118" i="3"/>
  <c r="BD1117" i="3"/>
  <c r="BD1116" i="3"/>
  <c r="BD1115" i="3"/>
  <c r="BD1114" i="3"/>
  <c r="BD1113" i="3"/>
  <c r="BD1112" i="3"/>
  <c r="BD1111" i="3"/>
  <c r="BD1110" i="3"/>
  <c r="BD1109" i="3"/>
  <c r="BD1108" i="3"/>
  <c r="BD1107" i="3"/>
  <c r="BD1106" i="3"/>
  <c r="BD1105" i="3"/>
  <c r="BD1104" i="3"/>
  <c r="BD1103" i="3"/>
  <c r="BD1102" i="3"/>
  <c r="BD1101" i="3"/>
  <c r="BD1100" i="3"/>
  <c r="BD1099" i="3"/>
  <c r="BD1098" i="3"/>
  <c r="BD1097" i="3"/>
  <c r="BD1096" i="3"/>
  <c r="BD1095" i="3"/>
  <c r="BD1094" i="3"/>
  <c r="BD1093" i="3"/>
  <c r="BD1092" i="3"/>
  <c r="BD1091" i="3"/>
  <c r="BD1090" i="3"/>
  <c r="BD1089" i="3"/>
  <c r="BD1088" i="3"/>
  <c r="BD1087" i="3"/>
  <c r="BD1086" i="3"/>
  <c r="BD1085" i="3"/>
  <c r="BD1084" i="3"/>
  <c r="BD1083" i="3"/>
  <c r="BD1082" i="3"/>
  <c r="BD1081" i="3"/>
  <c r="BD1080" i="3"/>
  <c r="BD1079" i="3"/>
  <c r="BD1078" i="3"/>
  <c r="BD1077" i="3"/>
  <c r="BD1074" i="3"/>
  <c r="BD1073" i="3"/>
  <c r="BD1072" i="3"/>
  <c r="BD1071" i="3"/>
  <c r="BD1070" i="3"/>
  <c r="BD1069" i="3"/>
  <c r="BD1068" i="3"/>
  <c r="BD1067" i="3"/>
  <c r="BD1066" i="3"/>
  <c r="BD1065" i="3"/>
  <c r="BD1064" i="3"/>
  <c r="BD1063" i="3"/>
  <c r="BD1062" i="3"/>
  <c r="BD1061" i="3"/>
  <c r="BD1060" i="3"/>
  <c r="BD1059" i="3"/>
  <c r="BD1058" i="3"/>
  <c r="BD1057" i="3"/>
  <c r="BD1056" i="3"/>
  <c r="BD1055" i="3"/>
  <c r="BD1054" i="3"/>
  <c r="BD1053" i="3"/>
  <c r="BD1052" i="3"/>
  <c r="BD1051" i="3"/>
  <c r="BD1050" i="3"/>
  <c r="BD1049" i="3"/>
  <c r="BD1048" i="3"/>
  <c r="BD1047" i="3"/>
  <c r="BD1046" i="3"/>
  <c r="BD1045" i="3"/>
  <c r="BD1044" i="3"/>
  <c r="BD1043" i="3"/>
  <c r="BD1042" i="3"/>
  <c r="BD1041" i="3"/>
  <c r="BD1040" i="3"/>
  <c r="BD1039" i="3"/>
  <c r="BD1038" i="3"/>
  <c r="BD1037" i="3"/>
  <c r="BD1036" i="3"/>
  <c r="BD1035" i="3"/>
  <c r="BD1034" i="3"/>
  <c r="BD1033" i="3"/>
  <c r="BD1032" i="3"/>
  <c r="BD1031" i="3"/>
  <c r="BD1030" i="3"/>
  <c r="BD1029" i="3"/>
  <c r="BD1028" i="3"/>
  <c r="BD1027" i="3"/>
  <c r="BD1026" i="3"/>
  <c r="BD1025" i="3"/>
  <c r="BD1024" i="3"/>
  <c r="BD1023" i="3"/>
  <c r="BD1022" i="3"/>
  <c r="BD1021" i="3"/>
  <c r="BD1020" i="3"/>
  <c r="BD1019" i="3"/>
  <c r="BD1018" i="3"/>
  <c r="BD1017" i="3"/>
  <c r="BD1016" i="3"/>
  <c r="BD1015" i="3"/>
  <c r="BD1014" i="3"/>
  <c r="BD1013" i="3"/>
  <c r="BD1012" i="3"/>
  <c r="BD1011" i="3"/>
  <c r="BD1010" i="3"/>
  <c r="BD1009" i="3"/>
  <c r="BD1008" i="3"/>
  <c r="BD1007" i="3"/>
  <c r="BD1006" i="3"/>
  <c r="BD1005" i="3"/>
  <c r="BD1004" i="3"/>
  <c r="BD1003" i="3"/>
  <c r="BD1002" i="3"/>
  <c r="BD1001" i="3"/>
  <c r="BD1000" i="3"/>
  <c r="BD999" i="3"/>
  <c r="BD998" i="3"/>
  <c r="BD997" i="3"/>
  <c r="BD996" i="3"/>
  <c r="BD995" i="3"/>
  <c r="BD994" i="3"/>
  <c r="BD993" i="3"/>
  <c r="BD992" i="3"/>
  <c r="BD991" i="3"/>
  <c r="BD990" i="3"/>
  <c r="BD989" i="3"/>
  <c r="BD988" i="3"/>
  <c r="BD987" i="3"/>
  <c r="BD986" i="3"/>
  <c r="BD985" i="3"/>
  <c r="BD984" i="3"/>
  <c r="BD983" i="3"/>
  <c r="BD982" i="3"/>
  <c r="BD981" i="3"/>
  <c r="BD980" i="3"/>
  <c r="BD979" i="3"/>
  <c r="BD978" i="3"/>
  <c r="BD977" i="3"/>
  <c r="BD976" i="3"/>
  <c r="BD975" i="3"/>
  <c r="BD974" i="3"/>
  <c r="BD973" i="3"/>
  <c r="BD972" i="3"/>
  <c r="BD971" i="3"/>
  <c r="BD970" i="3"/>
  <c r="BD969" i="3"/>
  <c r="BD968" i="3"/>
  <c r="BD967" i="3"/>
  <c r="BD966" i="3"/>
  <c r="BD965" i="3"/>
  <c r="BD964" i="3"/>
  <c r="BD963" i="3"/>
  <c r="BD962" i="3"/>
  <c r="BD961" i="3"/>
  <c r="BD960" i="3"/>
  <c r="BD959" i="3"/>
  <c r="BD958" i="3"/>
  <c r="BD957" i="3"/>
  <c r="BD956" i="3"/>
  <c r="BD955" i="3"/>
  <c r="BD954" i="3"/>
  <c r="BD953" i="3"/>
  <c r="BD952" i="3"/>
  <c r="BD951" i="3"/>
  <c r="BD950" i="3"/>
  <c r="BD949" i="3"/>
  <c r="BD948" i="3"/>
  <c r="BD947" i="3"/>
  <c r="BD946" i="3"/>
  <c r="BD945" i="3"/>
  <c r="BD944" i="3"/>
  <c r="BD943" i="3"/>
  <c r="BD942" i="3"/>
  <c r="BD941" i="3"/>
  <c r="BD940" i="3"/>
  <c r="BD939" i="3"/>
  <c r="BD938" i="3"/>
  <c r="BD937" i="3"/>
  <c r="BD936" i="3"/>
  <c r="BD935" i="3"/>
  <c r="BD934" i="3"/>
  <c r="BD933" i="3"/>
  <c r="BD932" i="3"/>
  <c r="BD931" i="3"/>
  <c r="BD930" i="3"/>
  <c r="BD929" i="3"/>
  <c r="BD928" i="3"/>
  <c r="BD927" i="3"/>
  <c r="BD926" i="3"/>
  <c r="BD925" i="3"/>
  <c r="BD924" i="3"/>
  <c r="BD923" i="3"/>
  <c r="BD922" i="3"/>
  <c r="BD921" i="3"/>
  <c r="BD920" i="3"/>
  <c r="BD919" i="3"/>
  <c r="BD918" i="3"/>
  <c r="BD917" i="3"/>
  <c r="BD916" i="3"/>
  <c r="BD915" i="3"/>
  <c r="BD914" i="3"/>
  <c r="BD913" i="3"/>
  <c r="BD912" i="3"/>
  <c r="BD911" i="3"/>
  <c r="BD910" i="3"/>
  <c r="BD909" i="3"/>
  <c r="BD908" i="3"/>
  <c r="BD907" i="3"/>
  <c r="BD906" i="3"/>
  <c r="BD905" i="3"/>
  <c r="BD904" i="3"/>
  <c r="BD903" i="3"/>
  <c r="BD902" i="3"/>
  <c r="BD901" i="3"/>
  <c r="BD900" i="3"/>
  <c r="BD899" i="3"/>
  <c r="BD898" i="3"/>
  <c r="BD897" i="3"/>
  <c r="BD896" i="3"/>
  <c r="BD895" i="3"/>
  <c r="BD894" i="3"/>
  <c r="BD893" i="3"/>
  <c r="BD892" i="3"/>
  <c r="BD891" i="3"/>
  <c r="BD890" i="3"/>
  <c r="BD889" i="3"/>
  <c r="BD888" i="3"/>
  <c r="BD887" i="3"/>
  <c r="BD886" i="3"/>
  <c r="BD885" i="3"/>
  <c r="BD884" i="3"/>
  <c r="BD883" i="3"/>
  <c r="BD882" i="3"/>
  <c r="BD881" i="3"/>
  <c r="BD880" i="3"/>
  <c r="BD879" i="3"/>
  <c r="BD878" i="3"/>
  <c r="BD877" i="3"/>
  <c r="BD876" i="3"/>
  <c r="BD875" i="3"/>
  <c r="BD874" i="3"/>
  <c r="BD873" i="3"/>
  <c r="BD872" i="3"/>
  <c r="BD871" i="3"/>
  <c r="BD870" i="3"/>
  <c r="BD869" i="3"/>
  <c r="BD868" i="3"/>
  <c r="BD867" i="3"/>
  <c r="BD866" i="3"/>
  <c r="BD865" i="3"/>
  <c r="BD864" i="3"/>
  <c r="BD863" i="3"/>
  <c r="BD862" i="3"/>
  <c r="BD861" i="3"/>
  <c r="BD860" i="3"/>
  <c r="BD859" i="3"/>
  <c r="BD858" i="3"/>
  <c r="BD857" i="3"/>
  <c r="BD856" i="3"/>
  <c r="BD855" i="3"/>
  <c r="BD854" i="3"/>
  <c r="BD853" i="3"/>
  <c r="BD852" i="3"/>
  <c r="BD851" i="3"/>
  <c r="BD850" i="3"/>
  <c r="BD849" i="3"/>
  <c r="BD848" i="3"/>
  <c r="BD847" i="3"/>
  <c r="BD846" i="3"/>
  <c r="BD845" i="3"/>
  <c r="BD844" i="3"/>
  <c r="BD843" i="3"/>
  <c r="BD842" i="3"/>
  <c r="BD841" i="3"/>
  <c r="BD840" i="3"/>
  <c r="BD839" i="3"/>
  <c r="BD838" i="3"/>
  <c r="BD837" i="3"/>
  <c r="BD836" i="3"/>
  <c r="BD835" i="3"/>
  <c r="BD834" i="3"/>
  <c r="BD833" i="3"/>
  <c r="BD832" i="3"/>
  <c r="BD831" i="3"/>
  <c r="BD830" i="3"/>
  <c r="BD829" i="3"/>
  <c r="BD828" i="3"/>
  <c r="BD827" i="3"/>
  <c r="BD826" i="3"/>
  <c r="BD825" i="3"/>
  <c r="BD824" i="3"/>
  <c r="BD823" i="3"/>
  <c r="BD822" i="3"/>
  <c r="BD821" i="3"/>
  <c r="BD820" i="3"/>
  <c r="BD819" i="3"/>
  <c r="BD818" i="3"/>
  <c r="BD817" i="3"/>
  <c r="BD816" i="3"/>
  <c r="BD815" i="3"/>
  <c r="BD814" i="3"/>
  <c r="BD813" i="3"/>
  <c r="BD812" i="3"/>
  <c r="BD811" i="3"/>
  <c r="BD810" i="3"/>
  <c r="BD809" i="3"/>
  <c r="BD808" i="3"/>
  <c r="BD807" i="3"/>
  <c r="BD806" i="3"/>
  <c r="BD805" i="3"/>
  <c r="BD804" i="3"/>
  <c r="BD803" i="3"/>
  <c r="BD802" i="3"/>
  <c r="BD801" i="3"/>
  <c r="BD800" i="3"/>
  <c r="BD799" i="3"/>
  <c r="BD798" i="3"/>
  <c r="BD797" i="3"/>
  <c r="BD796" i="3"/>
  <c r="BD795" i="3"/>
  <c r="BD794" i="3"/>
  <c r="BD793" i="3"/>
  <c r="BD792" i="3"/>
  <c r="BD791" i="3"/>
  <c r="BD790" i="3"/>
  <c r="BD789" i="3"/>
  <c r="BD788" i="3"/>
  <c r="BD787" i="3"/>
  <c r="BD786" i="3"/>
  <c r="BD785" i="3"/>
  <c r="BD784" i="3"/>
  <c r="BD783" i="3"/>
  <c r="BD782" i="3"/>
  <c r="BD781" i="3"/>
  <c r="BD780" i="3"/>
  <c r="BD779" i="3"/>
  <c r="BD778" i="3"/>
  <c r="BD777" i="3"/>
  <c r="BD776" i="3"/>
  <c r="BD775" i="3"/>
  <c r="BD774" i="3"/>
  <c r="BD773" i="3"/>
  <c r="BD772" i="3"/>
  <c r="BD771" i="3"/>
  <c r="BD770" i="3"/>
  <c r="BD769" i="3"/>
  <c r="BD768" i="3"/>
  <c r="BD767" i="3"/>
  <c r="BD766" i="3"/>
  <c r="BD765" i="3"/>
  <c r="BD764" i="3"/>
  <c r="BD763" i="3"/>
  <c r="BD762" i="3"/>
  <c r="BD761" i="3"/>
  <c r="BD760" i="3"/>
  <c r="BD759" i="3"/>
  <c r="BD758" i="3"/>
  <c r="BD757" i="3"/>
  <c r="BD756" i="3"/>
  <c r="BD755" i="3"/>
  <c r="BD754" i="3"/>
  <c r="BD753" i="3"/>
  <c r="BD752" i="3"/>
  <c r="BD751" i="3"/>
  <c r="BD750" i="3"/>
  <c r="BD749" i="3"/>
  <c r="BD748" i="3"/>
  <c r="BD747" i="3"/>
  <c r="BD746" i="3"/>
  <c r="BD745" i="3"/>
  <c r="BD744" i="3"/>
  <c r="BD743" i="3"/>
  <c r="BD742" i="3"/>
  <c r="BD741" i="3"/>
  <c r="BD740" i="3"/>
  <c r="BD739" i="3"/>
  <c r="BD738" i="3"/>
  <c r="BD737" i="3"/>
  <c r="BD736" i="3"/>
  <c r="BD735" i="3"/>
  <c r="BD734" i="3"/>
  <c r="BD733" i="3"/>
  <c r="BD732" i="3"/>
  <c r="BD731" i="3"/>
  <c r="BD730" i="3"/>
  <c r="BD729" i="3"/>
  <c r="BD728" i="3"/>
  <c r="BD727" i="3"/>
  <c r="BD726" i="3"/>
  <c r="BD725" i="3"/>
  <c r="BD724" i="3"/>
  <c r="BD721" i="3"/>
  <c r="BD720" i="3"/>
  <c r="BD719" i="3"/>
  <c r="BD718" i="3"/>
  <c r="BD717" i="3"/>
  <c r="BD716" i="3"/>
  <c r="BD715" i="3"/>
  <c r="BD714" i="3"/>
  <c r="BD713" i="3"/>
  <c r="BD712" i="3"/>
  <c r="BD711" i="3"/>
  <c r="BD710" i="3"/>
  <c r="BD709" i="3"/>
  <c r="BD708" i="3"/>
  <c r="BD707" i="3"/>
  <c r="BD706" i="3"/>
  <c r="BD705" i="3"/>
  <c r="BD704" i="3"/>
  <c r="BD703" i="3"/>
  <c r="BD702" i="3"/>
  <c r="BD701" i="3"/>
  <c r="BD700" i="3"/>
  <c r="BD699" i="3"/>
  <c r="BD698" i="3"/>
  <c r="BD697" i="3"/>
  <c r="BD696" i="3"/>
  <c r="BD695" i="3"/>
  <c r="BD694" i="3"/>
  <c r="BD693" i="3"/>
  <c r="BD692" i="3"/>
  <c r="BD691" i="3"/>
  <c r="BD690" i="3"/>
  <c r="BD689" i="3"/>
  <c r="BD688" i="3"/>
  <c r="BD687" i="3"/>
  <c r="BD686" i="3"/>
  <c r="BD685" i="3"/>
  <c r="BD684" i="3"/>
  <c r="BD683" i="3"/>
  <c r="BD682" i="3"/>
  <c r="BD681" i="3"/>
  <c r="BD680" i="3"/>
  <c r="BD679" i="3"/>
  <c r="BD678" i="3"/>
  <c r="BD677" i="3"/>
  <c r="BD676" i="3"/>
  <c r="BD675" i="3"/>
  <c r="BD674" i="3"/>
  <c r="BD673" i="3"/>
  <c r="BD672" i="3"/>
  <c r="BD671" i="3"/>
  <c r="BD670" i="3"/>
  <c r="BD669" i="3"/>
  <c r="BD668" i="3"/>
  <c r="BD667" i="3"/>
  <c r="BD666" i="3"/>
  <c r="BD665" i="3"/>
  <c r="BD664" i="3"/>
  <c r="BD663" i="3"/>
  <c r="BD662" i="3"/>
  <c r="BD661" i="3"/>
  <c r="BD660" i="3"/>
  <c r="BD659" i="3"/>
  <c r="BD658" i="3"/>
  <c r="BD657" i="3"/>
  <c r="BD656" i="3"/>
  <c r="BD655" i="3"/>
  <c r="BD654" i="3"/>
  <c r="BD653" i="3"/>
  <c r="BD652" i="3"/>
  <c r="BD651" i="3"/>
  <c r="BD650" i="3"/>
  <c r="BD649" i="3"/>
  <c r="BD648" i="3"/>
  <c r="BD647" i="3"/>
  <c r="BD646" i="3"/>
  <c r="BD645" i="3"/>
  <c r="BD644" i="3"/>
  <c r="BD643" i="3"/>
  <c r="BD642" i="3"/>
  <c r="BD641" i="3"/>
  <c r="BD640" i="3"/>
  <c r="BD639" i="3"/>
  <c r="BD638" i="3"/>
  <c r="BD637" i="3"/>
  <c r="BD636" i="3"/>
  <c r="BD635" i="3"/>
  <c r="BD634" i="3"/>
  <c r="BD633" i="3"/>
  <c r="BD632" i="3"/>
  <c r="BD631" i="3"/>
  <c r="BD630" i="3"/>
  <c r="BD629" i="3"/>
  <c r="BD628" i="3"/>
  <c r="BD627" i="3"/>
  <c r="BD626" i="3"/>
  <c r="BD625" i="3"/>
  <c r="BD624" i="3"/>
  <c r="BD623" i="3"/>
  <c r="BD622" i="3"/>
  <c r="BD621" i="3"/>
  <c r="BD620" i="3"/>
  <c r="BD619" i="3"/>
  <c r="BD618" i="3"/>
  <c r="BD617" i="3"/>
  <c r="BD616" i="3"/>
  <c r="BD615" i="3"/>
  <c r="BD614" i="3"/>
  <c r="BD613" i="3"/>
  <c r="BD612" i="3"/>
  <c r="BD611" i="3"/>
  <c r="BD610" i="3"/>
  <c r="BD609" i="3"/>
  <c r="BD608" i="3"/>
  <c r="BD607" i="3"/>
  <c r="BD606" i="3"/>
  <c r="BD605" i="3"/>
  <c r="BD604" i="3"/>
  <c r="BD603" i="3"/>
  <c r="BD602" i="3"/>
  <c r="BD601" i="3"/>
  <c r="BD600" i="3"/>
  <c r="BD599" i="3"/>
  <c r="BD598" i="3"/>
  <c r="BD597" i="3"/>
  <c r="BD596" i="3"/>
  <c r="BD595" i="3"/>
  <c r="BD594" i="3"/>
  <c r="BD593" i="3"/>
  <c r="BD592" i="3"/>
  <c r="BD591" i="3"/>
  <c r="BD590" i="3"/>
  <c r="BD589" i="3"/>
  <c r="BD588" i="3"/>
  <c r="BD587" i="3"/>
  <c r="BD586" i="3"/>
  <c r="BD585" i="3"/>
  <c r="BD584" i="3"/>
  <c r="BD583" i="3"/>
  <c r="BD582" i="3"/>
  <c r="BD581" i="3"/>
  <c r="BD580" i="3"/>
  <c r="BD579" i="3"/>
  <c r="BD578" i="3"/>
  <c r="BD577" i="3"/>
  <c r="BD576" i="3"/>
  <c r="BD575" i="3"/>
  <c r="BD574" i="3"/>
  <c r="BD573" i="3"/>
  <c r="BD572" i="3"/>
  <c r="BD571" i="3"/>
  <c r="BD570" i="3"/>
  <c r="BD569" i="3"/>
  <c r="BD568" i="3"/>
  <c r="BD567" i="3"/>
  <c r="BD566" i="3"/>
  <c r="BD565" i="3"/>
  <c r="BD564" i="3"/>
  <c r="BD563" i="3"/>
  <c r="BD562" i="3"/>
  <c r="BD561" i="3"/>
  <c r="BD560" i="3"/>
  <c r="BD559" i="3"/>
  <c r="BD558" i="3"/>
  <c r="BD557" i="3"/>
  <c r="BD556" i="3"/>
  <c r="BD555" i="3"/>
  <c r="BD554" i="3"/>
  <c r="BD553" i="3"/>
  <c r="BD552" i="3"/>
  <c r="BD551" i="3"/>
  <c r="BD550" i="3"/>
  <c r="BD549" i="3"/>
  <c r="BD548" i="3"/>
  <c r="BD547" i="3"/>
  <c r="BD546" i="3"/>
  <c r="BD545" i="3"/>
  <c r="BD544" i="3"/>
  <c r="BD543" i="3"/>
  <c r="BD542" i="3"/>
  <c r="BD541" i="3"/>
  <c r="BD540" i="3"/>
  <c r="BD539" i="3"/>
  <c r="BD538" i="3"/>
  <c r="BD537" i="3"/>
  <c r="BD536" i="3"/>
  <c r="BD535" i="3"/>
  <c r="BD534" i="3"/>
  <c r="BD533" i="3"/>
  <c r="BD532" i="3"/>
  <c r="BD531" i="3"/>
  <c r="BD530" i="3"/>
  <c r="BD529" i="3"/>
  <c r="BD528" i="3"/>
  <c r="BD527" i="3"/>
  <c r="BD526" i="3"/>
  <c r="BD525" i="3"/>
  <c r="BD524" i="3"/>
  <c r="BD523" i="3"/>
  <c r="BD522" i="3"/>
  <c r="BD521" i="3"/>
  <c r="BD520" i="3"/>
  <c r="BD519" i="3"/>
  <c r="BD518" i="3"/>
  <c r="BD517" i="3"/>
  <c r="BD516" i="3"/>
  <c r="BD515" i="3"/>
  <c r="BD514" i="3"/>
  <c r="BD513" i="3"/>
  <c r="BD512" i="3"/>
  <c r="BD511" i="3"/>
  <c r="BD510" i="3"/>
  <c r="BD509" i="3"/>
  <c r="BD508" i="3"/>
  <c r="BD507" i="3"/>
  <c r="BD506" i="3"/>
  <c r="BD505" i="3"/>
  <c r="BD504" i="3"/>
  <c r="BD503" i="3"/>
  <c r="BD502" i="3"/>
  <c r="BD501" i="3"/>
  <c r="BD500" i="3"/>
  <c r="BD499" i="3"/>
  <c r="BD498" i="3"/>
  <c r="BD497" i="3"/>
  <c r="BD496" i="3"/>
  <c r="BD495" i="3"/>
  <c r="BD494" i="3"/>
  <c r="BD493" i="3"/>
  <c r="BD492" i="3"/>
  <c r="BD491" i="3"/>
  <c r="BD490" i="3"/>
  <c r="BD489" i="3"/>
  <c r="BD488" i="3"/>
  <c r="BD487" i="3"/>
  <c r="BD486" i="3"/>
  <c r="BD485" i="3"/>
  <c r="BD484" i="3"/>
  <c r="BD483" i="3"/>
  <c r="BD482" i="3"/>
  <c r="BD481" i="3"/>
  <c r="BD480" i="3"/>
  <c r="BD479" i="3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N722" i="3"/>
  <c r="O722" i="3"/>
  <c r="P722" i="3"/>
  <c r="Q722" i="3"/>
  <c r="R722" i="3"/>
  <c r="S722" i="3"/>
  <c r="W722" i="3"/>
  <c r="AE722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J721" i="3"/>
  <c r="K721" i="3"/>
  <c r="L721" i="3"/>
  <c r="M721" i="3"/>
  <c r="G721" i="3"/>
  <c r="H721" i="3"/>
  <c r="F721" i="3"/>
  <c r="E721" i="3"/>
  <c r="D721" i="3"/>
  <c r="J720" i="3"/>
  <c r="K720" i="3"/>
  <c r="L720" i="3"/>
  <c r="M720" i="3"/>
  <c r="G720" i="3"/>
  <c r="H720" i="3"/>
  <c r="F720" i="3"/>
  <c r="E720" i="3"/>
  <c r="D720" i="3"/>
  <c r="J719" i="3"/>
  <c r="K719" i="3"/>
  <c r="L719" i="3"/>
  <c r="M719" i="3"/>
  <c r="G719" i="3"/>
  <c r="H719" i="3"/>
  <c r="F719" i="3"/>
  <c r="E719" i="3"/>
  <c r="D719" i="3"/>
  <c r="J718" i="3"/>
  <c r="K718" i="3"/>
  <c r="L718" i="3"/>
  <c r="M718" i="3"/>
  <c r="G718" i="3"/>
  <c r="H718" i="3"/>
  <c r="F718" i="3"/>
  <c r="E718" i="3"/>
  <c r="D718" i="3"/>
  <c r="J717" i="3"/>
  <c r="K717" i="3"/>
  <c r="L717" i="3"/>
  <c r="M717" i="3"/>
  <c r="G717" i="3"/>
  <c r="H717" i="3"/>
  <c r="F717" i="3"/>
  <c r="E717" i="3"/>
  <c r="D717" i="3"/>
  <c r="J716" i="3"/>
  <c r="K716" i="3"/>
  <c r="L716" i="3"/>
  <c r="M716" i="3"/>
  <c r="G716" i="3"/>
  <c r="H716" i="3"/>
  <c r="F716" i="3"/>
  <c r="E716" i="3"/>
  <c r="D716" i="3"/>
  <c r="J715" i="3"/>
  <c r="K715" i="3"/>
  <c r="L715" i="3"/>
  <c r="M715" i="3"/>
  <c r="G715" i="3"/>
  <c r="H715" i="3"/>
  <c r="F715" i="3"/>
  <c r="E715" i="3"/>
  <c r="D715" i="3"/>
  <c r="J714" i="3"/>
  <c r="K714" i="3"/>
  <c r="L714" i="3"/>
  <c r="M714" i="3"/>
  <c r="G714" i="3"/>
  <c r="H714" i="3"/>
  <c r="F714" i="3"/>
  <c r="E714" i="3"/>
  <c r="D714" i="3"/>
  <c r="AT720" i="3"/>
  <c r="AT719" i="3"/>
  <c r="AT718" i="3"/>
  <c r="AT717" i="3"/>
  <c r="AT716" i="3"/>
  <c r="AT715" i="3"/>
  <c r="AT714" i="3"/>
  <c r="AT639" i="3"/>
  <c r="AT641" i="3"/>
  <c r="AT640" i="3"/>
  <c r="AT634" i="3"/>
  <c r="AT632" i="3"/>
  <c r="J639" i="3"/>
  <c r="K639" i="3"/>
  <c r="L639" i="3"/>
  <c r="M639" i="3"/>
  <c r="G639" i="3"/>
  <c r="H639" i="3"/>
  <c r="F639" i="3"/>
  <c r="E639" i="3"/>
  <c r="D639" i="3"/>
  <c r="J640" i="3"/>
  <c r="K640" i="3"/>
  <c r="L640" i="3"/>
  <c r="M640" i="3"/>
  <c r="G640" i="3"/>
  <c r="H640" i="3"/>
  <c r="F640" i="3"/>
  <c r="E640" i="3"/>
  <c r="D640" i="3"/>
  <c r="M638" i="3"/>
  <c r="L638" i="3"/>
  <c r="K638" i="3"/>
  <c r="J638" i="3"/>
  <c r="H638" i="3"/>
  <c r="G638" i="3"/>
  <c r="F638" i="3"/>
  <c r="E638" i="3"/>
  <c r="D638" i="3"/>
  <c r="J637" i="3"/>
  <c r="K637" i="3"/>
  <c r="L637" i="3"/>
  <c r="M637" i="3"/>
  <c r="G637" i="3"/>
  <c r="H637" i="3"/>
  <c r="F637" i="3"/>
  <c r="E637" i="3"/>
  <c r="D637" i="3"/>
  <c r="J636" i="3"/>
  <c r="K636" i="3"/>
  <c r="L636" i="3"/>
  <c r="M636" i="3"/>
  <c r="G636" i="3"/>
  <c r="H636" i="3"/>
  <c r="F636" i="3"/>
  <c r="E636" i="3"/>
  <c r="D636" i="3"/>
  <c r="J635" i="3"/>
  <c r="K635" i="3"/>
  <c r="L635" i="3"/>
  <c r="M635" i="3"/>
  <c r="G635" i="3"/>
  <c r="H635" i="3"/>
  <c r="F635" i="3"/>
  <c r="E635" i="3"/>
  <c r="D635" i="3"/>
  <c r="J634" i="3"/>
  <c r="K634" i="3"/>
  <c r="L634" i="3"/>
  <c r="M634" i="3"/>
  <c r="G634" i="3"/>
  <c r="H634" i="3"/>
  <c r="F634" i="3"/>
  <c r="E634" i="3"/>
  <c r="D634" i="3"/>
  <c r="J633" i="3"/>
  <c r="K633" i="3"/>
  <c r="L633" i="3"/>
  <c r="M633" i="3"/>
  <c r="G633" i="3"/>
  <c r="H633" i="3"/>
  <c r="F633" i="3"/>
  <c r="E633" i="3"/>
  <c r="D633" i="3"/>
  <c r="J632" i="3"/>
  <c r="K632" i="3"/>
  <c r="L632" i="3"/>
  <c r="M632" i="3"/>
  <c r="G632" i="3"/>
  <c r="H632" i="3"/>
  <c r="F632" i="3"/>
  <c r="E632" i="3"/>
  <c r="D632" i="3"/>
  <c r="N1360" i="3"/>
  <c r="O1360" i="3"/>
  <c r="Q1360" i="3"/>
  <c r="R1360" i="3"/>
  <c r="T1360" i="3"/>
  <c r="W1360" i="3"/>
  <c r="N1318" i="3"/>
  <c r="O1318" i="3"/>
  <c r="Q1318" i="3"/>
  <c r="R1318" i="3"/>
  <c r="T1318" i="3"/>
  <c r="W1318" i="3"/>
  <c r="N1075" i="3"/>
  <c r="O1075" i="3"/>
  <c r="Q1075" i="3"/>
  <c r="R1075" i="3"/>
  <c r="W1075" i="3"/>
  <c r="BD174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AT387" i="3"/>
  <c r="J387" i="3"/>
  <c r="K387" i="3"/>
  <c r="L387" i="3"/>
  <c r="M387" i="3"/>
  <c r="G387" i="3"/>
  <c r="H387" i="3"/>
  <c r="F387" i="3"/>
  <c r="E387" i="3"/>
  <c r="D387" i="3"/>
  <c r="AT262" i="3"/>
  <c r="J262" i="3"/>
  <c r="K262" i="3"/>
  <c r="L262" i="3"/>
  <c r="M262" i="3"/>
  <c r="G262" i="3"/>
  <c r="H262" i="3"/>
  <c r="F262" i="3"/>
  <c r="E262" i="3"/>
  <c r="D262" i="3"/>
  <c r="AT288" i="3"/>
  <c r="J288" i="3"/>
  <c r="K288" i="3"/>
  <c r="L288" i="3"/>
  <c r="M288" i="3"/>
  <c r="G288" i="3"/>
  <c r="H288" i="3"/>
  <c r="F288" i="3"/>
  <c r="E288" i="3"/>
  <c r="D288" i="3"/>
  <c r="AT360" i="3"/>
  <c r="J360" i="3"/>
  <c r="K360" i="3"/>
  <c r="L360" i="3"/>
  <c r="M360" i="3"/>
  <c r="G360" i="3"/>
  <c r="H360" i="3"/>
  <c r="F360" i="3"/>
  <c r="E360" i="3"/>
  <c r="D360" i="3"/>
  <c r="AT479" i="3"/>
  <c r="J479" i="3"/>
  <c r="K479" i="3"/>
  <c r="L479" i="3"/>
  <c r="M479" i="3"/>
  <c r="G479" i="3"/>
  <c r="H479" i="3"/>
  <c r="F479" i="3"/>
  <c r="E479" i="3"/>
  <c r="D479" i="3"/>
  <c r="AT673" i="3"/>
  <c r="J673" i="3"/>
  <c r="K673" i="3"/>
  <c r="L673" i="3"/>
  <c r="M673" i="3"/>
  <c r="G673" i="3"/>
  <c r="H673" i="3"/>
  <c r="F673" i="3"/>
  <c r="E673" i="3"/>
  <c r="D673" i="3"/>
  <c r="D711" i="3"/>
  <c r="E711" i="3"/>
  <c r="AT711" i="3"/>
  <c r="J711" i="3"/>
  <c r="K711" i="3"/>
  <c r="L711" i="3"/>
  <c r="M711" i="3"/>
  <c r="G711" i="3"/>
  <c r="H711" i="3"/>
  <c r="F711" i="3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CD1663" i="2"/>
  <c r="BZ1867" i="2"/>
  <c r="BZ1850" i="2"/>
  <c r="BZ1858" i="2"/>
  <c r="BZ1870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0" i="2"/>
  <c r="BY1849" i="2"/>
  <c r="BY1851" i="2"/>
  <c r="CB1272" i="2"/>
  <c r="DO1272" i="2"/>
  <c r="DN1272" i="2"/>
  <c r="DM1272" i="2"/>
  <c r="DL1272" i="2"/>
  <c r="DK1272" i="2"/>
  <c r="DJ1272" i="2"/>
  <c r="DI1272" i="2"/>
  <c r="DH1272" i="2"/>
  <c r="DG1272" i="2"/>
  <c r="DF1272" i="2"/>
  <c r="DE1272" i="2"/>
  <c r="DD1272" i="2"/>
  <c r="DC1272" i="2"/>
  <c r="DB1272" i="2"/>
  <c r="DA1272" i="2"/>
  <c r="CZ1272" i="2"/>
  <c r="BZ3094" i="2"/>
  <c r="BZ3065" i="2"/>
  <c r="BZ3077" i="2"/>
  <c r="BZ3079" i="2"/>
  <c r="BZ3080" i="2"/>
  <c r="BZ3089" i="2"/>
  <c r="BZ3102" i="2"/>
  <c r="BY3102" i="2"/>
  <c r="BY3101" i="2"/>
  <c r="BY3100" i="2"/>
  <c r="BY3099" i="2"/>
  <c r="BY3098" i="2"/>
  <c r="BY3097" i="2"/>
  <c r="BY3096" i="2"/>
  <c r="BY3095" i="2"/>
  <c r="BY3094" i="2"/>
  <c r="BY3093" i="2"/>
  <c r="BY3092" i="2"/>
  <c r="BY3091" i="2"/>
  <c r="BY3090" i="2"/>
  <c r="BY3089" i="2"/>
  <c r="BY3088" i="2"/>
  <c r="BY3087" i="2"/>
  <c r="BY3086" i="2"/>
  <c r="BY3085" i="2"/>
  <c r="BY3084" i="2"/>
  <c r="BY3083" i="2"/>
  <c r="BY3082" i="2"/>
  <c r="BY3081" i="2"/>
  <c r="BY3080" i="2"/>
  <c r="BY3079" i="2"/>
  <c r="BY3078" i="2"/>
  <c r="BY3077" i="2"/>
  <c r="BY3076" i="2"/>
  <c r="BY3075" i="2"/>
  <c r="BY3074" i="2"/>
  <c r="BY3073" i="2"/>
  <c r="BY3072" i="2"/>
  <c r="BY3071" i="2"/>
  <c r="BY3070" i="2"/>
  <c r="BY3069" i="2"/>
  <c r="BY3068" i="2"/>
  <c r="BY3067" i="2"/>
  <c r="BY3066" i="2"/>
  <c r="BY3065" i="2"/>
  <c r="BY3064" i="2"/>
  <c r="BY3063" i="2"/>
  <c r="BY2129" i="2"/>
  <c r="BY2130" i="2"/>
  <c r="BY2131" i="2"/>
  <c r="BY2132" i="2"/>
  <c r="BY2133" i="2"/>
  <c r="BY2134" i="2"/>
  <c r="BY2135" i="2"/>
  <c r="BY2136" i="2"/>
  <c r="BY2137" i="2"/>
  <c r="BY2138" i="2"/>
  <c r="BY2139" i="2"/>
  <c r="BY2140" i="2"/>
  <c r="BY2141" i="2"/>
  <c r="BY2142" i="2"/>
  <c r="BY2143" i="2"/>
  <c r="BY2144" i="2"/>
  <c r="BY2145" i="2"/>
  <c r="BY2146" i="2"/>
  <c r="BY2147" i="2"/>
  <c r="BY2148" i="2"/>
  <c r="BY2149" i="2"/>
  <c r="BY2150" i="2"/>
  <c r="BY2151" i="2"/>
  <c r="BY2152" i="2"/>
  <c r="BY2153" i="2"/>
  <c r="BY2154" i="2"/>
  <c r="BY2155" i="2"/>
  <c r="BY2156" i="2"/>
  <c r="BY2157" i="2"/>
  <c r="BY2158" i="2"/>
  <c r="BY2159" i="2"/>
  <c r="BY2160" i="2"/>
  <c r="BY2161" i="2"/>
  <c r="BY2162" i="2"/>
  <c r="BY2163" i="2"/>
  <c r="BY2164" i="2"/>
  <c r="BY2165" i="2"/>
  <c r="BY2166" i="2"/>
  <c r="BY2167" i="2"/>
  <c r="BY2168" i="2"/>
  <c r="BY2169" i="2"/>
  <c r="BY2170" i="2"/>
  <c r="BY2171" i="2"/>
  <c r="BY2172" i="2"/>
  <c r="BY2173" i="2"/>
  <c r="BY2174" i="2"/>
  <c r="BY2175" i="2"/>
  <c r="BY2176" i="2"/>
  <c r="BY2177" i="2"/>
  <c r="BY2178" i="2"/>
  <c r="BY2179" i="2"/>
  <c r="BY2180" i="2"/>
  <c r="BY2181" i="2"/>
  <c r="BY2182" i="2"/>
  <c r="BY2183" i="2"/>
  <c r="BY2184" i="2"/>
  <c r="BY2185" i="2"/>
  <c r="BY2128" i="2"/>
  <c r="BY2191" i="2"/>
  <c r="CH1721" i="2"/>
  <c r="CG1721" i="2"/>
  <c r="CF1721" i="2"/>
  <c r="BY1345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CA2886" i="2"/>
  <c r="AX333" i="2"/>
  <c r="AW333" i="2"/>
  <c r="AX332" i="2"/>
  <c r="AW332" i="2"/>
  <c r="AX331" i="2"/>
  <c r="AW331" i="2"/>
  <c r="AX330" i="2"/>
  <c r="AW330" i="2"/>
  <c r="AX329" i="2"/>
  <c r="AW329" i="2"/>
  <c r="AX328" i="2"/>
  <c r="AW328" i="2"/>
  <c r="AX327" i="2"/>
  <c r="AW327" i="2"/>
  <c r="AX326" i="2"/>
  <c r="AW326" i="2"/>
  <c r="AX325" i="2"/>
  <c r="AW325" i="2"/>
  <c r="AX324" i="2"/>
  <c r="AW324" i="2"/>
  <c r="AX323" i="2"/>
  <c r="AW323" i="2"/>
  <c r="AX322" i="2"/>
  <c r="AW322" i="2"/>
  <c r="AX321" i="2"/>
  <c r="AW321" i="2"/>
  <c r="AX320" i="2"/>
  <c r="AW320" i="2"/>
  <c r="AX319" i="2"/>
  <c r="AW319" i="2"/>
  <c r="AX318" i="2"/>
  <c r="AW318" i="2"/>
  <c r="AX317" i="2"/>
  <c r="AW317" i="2"/>
  <c r="AX316" i="2"/>
  <c r="AW316" i="2"/>
  <c r="AX315" i="2"/>
  <c r="AW315" i="2"/>
  <c r="AX314" i="2"/>
  <c r="AW314" i="2"/>
  <c r="AX313" i="2"/>
  <c r="AW313" i="2"/>
  <c r="AX312" i="2"/>
  <c r="AW312" i="2"/>
  <c r="AX311" i="2"/>
  <c r="AW311" i="2"/>
  <c r="AX310" i="2"/>
  <c r="AW310" i="2"/>
  <c r="AX309" i="2"/>
  <c r="AW309" i="2"/>
  <c r="AX308" i="2"/>
  <c r="AW308" i="2"/>
  <c r="AX307" i="2"/>
  <c r="AW307" i="2"/>
  <c r="AX306" i="2"/>
  <c r="AW306" i="2"/>
  <c r="AX305" i="2"/>
  <c r="AW305" i="2"/>
  <c r="AX304" i="2"/>
  <c r="AW304" i="2"/>
  <c r="AX303" i="2"/>
  <c r="AW303" i="2"/>
  <c r="AX302" i="2"/>
  <c r="AW302" i="2"/>
  <c r="AX301" i="2"/>
  <c r="AW301" i="2"/>
  <c r="AX300" i="2"/>
  <c r="AW300" i="2"/>
  <c r="AX299" i="2"/>
  <c r="AW299" i="2"/>
  <c r="AX298" i="2"/>
  <c r="AW298" i="2"/>
  <c r="AX297" i="2"/>
  <c r="AW297" i="2"/>
  <c r="AX296" i="2"/>
  <c r="AW296" i="2"/>
  <c r="AX295" i="2"/>
  <c r="AW295" i="2"/>
  <c r="AX294" i="2"/>
  <c r="AW294" i="2"/>
  <c r="AX293" i="2"/>
  <c r="AW293" i="2"/>
  <c r="AX292" i="2"/>
  <c r="AW292" i="2"/>
  <c r="AX291" i="2"/>
  <c r="AW291" i="2"/>
  <c r="AX290" i="2"/>
  <c r="AW290" i="2"/>
  <c r="AX289" i="2"/>
  <c r="AW289" i="2"/>
  <c r="AX288" i="2"/>
  <c r="AW288" i="2"/>
  <c r="AX287" i="2"/>
  <c r="AW287" i="2"/>
  <c r="AX286" i="2"/>
  <c r="AW286" i="2"/>
  <c r="AX285" i="2"/>
  <c r="AW285" i="2"/>
  <c r="AX284" i="2"/>
  <c r="AW284" i="2"/>
  <c r="AX283" i="2"/>
  <c r="AW283" i="2"/>
  <c r="AX282" i="2"/>
  <c r="AW282" i="2"/>
  <c r="AX281" i="2"/>
  <c r="AW281" i="2"/>
  <c r="AX280" i="2"/>
  <c r="AW280" i="2"/>
  <c r="AX279" i="2"/>
  <c r="AW279" i="2"/>
  <c r="AX278" i="2"/>
  <c r="AW278" i="2"/>
  <c r="AX277" i="2"/>
  <c r="AW277" i="2"/>
  <c r="AX276" i="2"/>
  <c r="AW276" i="2"/>
  <c r="AX275" i="2"/>
  <c r="AW275" i="2"/>
  <c r="AX274" i="2"/>
  <c r="AW274" i="2"/>
  <c r="AX273" i="2"/>
  <c r="AW273" i="2"/>
  <c r="AX272" i="2"/>
  <c r="AW272" i="2"/>
  <c r="AX271" i="2"/>
  <c r="AW271" i="2"/>
  <c r="AX270" i="2"/>
  <c r="AW270" i="2"/>
  <c r="AX269" i="2"/>
  <c r="AW269" i="2"/>
  <c r="BP1870" i="2"/>
  <c r="BO1870" i="2"/>
  <c r="CV737" i="2"/>
  <c r="CU737" i="2"/>
  <c r="CT737" i="2"/>
  <c r="CS737" i="2"/>
  <c r="CR737" i="2"/>
  <c r="BZ120" i="2"/>
  <c r="BZ124" i="2"/>
  <c r="CA129" i="2"/>
  <c r="BZ127" i="2"/>
  <c r="BZ115" i="2"/>
  <c r="BZ130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6" i="2"/>
  <c r="BY115" i="2"/>
  <c r="BY117" i="2"/>
  <c r="CL130" i="2"/>
  <c r="CK130" i="2"/>
  <c r="CJ130" i="2"/>
  <c r="CI130" i="2"/>
  <c r="CH130" i="2"/>
  <c r="CG130" i="2"/>
  <c r="CF130" i="2"/>
  <c r="CE130" i="2"/>
  <c r="CM581" i="2"/>
  <c r="CL581" i="2"/>
  <c r="CK581" i="2"/>
  <c r="CJ581" i="2"/>
  <c r="CI581" i="2"/>
  <c r="CH581" i="2"/>
  <c r="CG581" i="2"/>
  <c r="CE3233" i="2"/>
  <c r="CD3233" i="2"/>
  <c r="CB3233" i="2"/>
  <c r="BD481" i="2"/>
  <c r="BD480" i="2"/>
  <c r="BD479" i="2"/>
  <c r="BD478" i="2"/>
  <c r="BD477" i="2"/>
  <c r="BD476" i="2"/>
  <c r="BD475" i="2"/>
  <c r="BD474" i="2"/>
  <c r="BD473" i="2"/>
  <c r="BD472" i="2"/>
  <c r="BD471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1" i="2"/>
  <c r="BD450" i="2"/>
  <c r="BD449" i="2"/>
  <c r="BD448" i="2"/>
  <c r="BD447" i="2"/>
  <c r="BD446" i="2"/>
  <c r="BO2216" i="2"/>
  <c r="BP2216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0" i="2"/>
  <c r="BY2189" i="2"/>
  <c r="BY2188" i="2"/>
  <c r="BY2187" i="2"/>
  <c r="BY2186" i="2"/>
  <c r="CH2216" i="2"/>
  <c r="CG2216" i="2"/>
  <c r="CF2216" i="2"/>
  <c r="BL111" i="2"/>
  <c r="BD111" i="2"/>
  <c r="BC111" i="2"/>
  <c r="BB111" i="2"/>
  <c r="AZ111" i="2"/>
  <c r="AY111" i="2"/>
  <c r="AX111" i="2"/>
  <c r="AW111" i="2"/>
  <c r="M111" i="2"/>
  <c r="CA2898" i="2"/>
  <c r="BL3257" i="2"/>
  <c r="BL3256" i="2"/>
  <c r="BL3255" i="2"/>
  <c r="BL3254" i="2"/>
  <c r="BL3253" i="2"/>
  <c r="BL3252" i="2"/>
  <c r="BL3251" i="2"/>
  <c r="BL3250" i="2"/>
  <c r="BL3249" i="2"/>
  <c r="BL3248" i="2"/>
  <c r="BL3247" i="2"/>
  <c r="BL3246" i="2"/>
  <c r="BL3245" i="2"/>
  <c r="BL3244" i="2"/>
  <c r="BL3243" i="2"/>
  <c r="BL3242" i="2"/>
  <c r="BL3241" i="2"/>
  <c r="BL3240" i="2"/>
  <c r="BL3239" i="2"/>
  <c r="BL3238" i="2"/>
  <c r="BL3237" i="2"/>
  <c r="BL3236" i="2"/>
  <c r="BL3235" i="2"/>
  <c r="BL3158" i="2"/>
  <c r="BL3157" i="2"/>
  <c r="BL3156" i="2"/>
  <c r="BL3155" i="2"/>
  <c r="BL3154" i="2"/>
  <c r="BL3153" i="2"/>
  <c r="BL3152" i="2"/>
  <c r="BL3151" i="2"/>
  <c r="BL3150" i="2"/>
  <c r="BL3149" i="2"/>
  <c r="BL3148" i="2"/>
  <c r="BL3147" i="2"/>
  <c r="BL3146" i="2"/>
  <c r="BL3145" i="2"/>
  <c r="BL3144" i="2"/>
  <c r="BL3143" i="2"/>
  <c r="BL3142" i="2"/>
  <c r="BL3141" i="2"/>
  <c r="BL3140" i="2"/>
  <c r="BL3139" i="2"/>
  <c r="BL3138" i="2"/>
  <c r="BL3137" i="2"/>
  <c r="BL3136" i="2"/>
  <c r="BL3135" i="2"/>
  <c r="BL3134" i="2"/>
  <c r="BL3133" i="2"/>
  <c r="BL3132" i="2"/>
  <c r="BL3131" i="2"/>
  <c r="BL3130" i="2"/>
  <c r="BL3129" i="2"/>
  <c r="BL3128" i="2"/>
  <c r="BL3127" i="2"/>
  <c r="BL3126" i="2"/>
  <c r="BL3125" i="2"/>
  <c r="BL3124" i="2"/>
  <c r="BL3123" i="2"/>
  <c r="BL3122" i="2"/>
  <c r="BL3121" i="2"/>
  <c r="BL3120" i="2"/>
  <c r="BL3119" i="2"/>
  <c r="BL3118" i="2"/>
  <c r="BL3117" i="2"/>
  <c r="BL3116" i="2"/>
  <c r="BL3115" i="2"/>
  <c r="BL3114" i="2"/>
  <c r="BL3113" i="2"/>
  <c r="BL3112" i="2"/>
  <c r="BL3111" i="2"/>
  <c r="BL3110" i="2"/>
  <c r="BL3109" i="2"/>
  <c r="BL3108" i="2"/>
  <c r="BL3107" i="2"/>
  <c r="BL3106" i="2"/>
  <c r="BL3105" i="2"/>
  <c r="BL3104" i="2"/>
  <c r="BL3060" i="2"/>
  <c r="BL3059" i="2"/>
  <c r="BL3058" i="2"/>
  <c r="BL3057" i="2"/>
  <c r="BL3056" i="2"/>
  <c r="BL3055" i="2"/>
  <c r="BL3054" i="2"/>
  <c r="BL3053" i="2"/>
  <c r="BL3052" i="2"/>
  <c r="BL3051" i="2"/>
  <c r="BL3050" i="2"/>
  <c r="BL3049" i="2"/>
  <c r="BL3048" i="2"/>
  <c r="BL3047" i="2"/>
  <c r="BL3046" i="2"/>
  <c r="BL3045" i="2"/>
  <c r="BL3044" i="2"/>
  <c r="BL3043" i="2"/>
  <c r="BL3042" i="2"/>
  <c r="BL3041" i="2"/>
  <c r="BL3040" i="2"/>
  <c r="BL3039" i="2"/>
  <c r="BL3038" i="2"/>
  <c r="BL3037" i="2"/>
  <c r="BL3036" i="2"/>
  <c r="BL3035" i="2"/>
  <c r="BL3034" i="2"/>
  <c r="BL3033" i="2"/>
  <c r="BL3032" i="2"/>
  <c r="BL3031" i="2"/>
  <c r="BL3030" i="2"/>
  <c r="BL3029" i="2"/>
  <c r="BL3028" i="2"/>
  <c r="BL3027" i="2"/>
  <c r="BL3026" i="2"/>
  <c r="BL3025" i="2"/>
  <c r="BL3024" i="2"/>
  <c r="BL3023" i="2"/>
  <c r="BL3022" i="2"/>
  <c r="BL3021" i="2"/>
  <c r="BL3020" i="2"/>
  <c r="BL3019" i="2"/>
  <c r="BL3018" i="2"/>
  <c r="BL3017" i="2"/>
  <c r="BL3016" i="2"/>
  <c r="BL3015" i="2"/>
  <c r="BL3014" i="2"/>
  <c r="BL3013" i="2"/>
  <c r="BL3012" i="2"/>
  <c r="BL3011" i="2"/>
  <c r="BL3010" i="2"/>
  <c r="BL3009" i="2"/>
  <c r="BL3008" i="2"/>
  <c r="BL3007" i="2"/>
  <c r="BL3006" i="2"/>
  <c r="BL3005" i="2"/>
  <c r="BL3004" i="2"/>
  <c r="BL3003" i="2"/>
  <c r="BL3002" i="2"/>
  <c r="BL3001" i="2"/>
  <c r="BL3000" i="2"/>
  <c r="BL2999" i="2"/>
  <c r="BL2998" i="2"/>
  <c r="BL2997" i="2"/>
  <c r="BL2996" i="2"/>
  <c r="BL2995" i="2"/>
  <c r="BL2994" i="2"/>
  <c r="BL2993" i="2"/>
  <c r="BL2992" i="2"/>
  <c r="BL2991" i="2"/>
  <c r="BL2990" i="2"/>
  <c r="BL2989" i="2"/>
  <c r="BL2988" i="2"/>
  <c r="BL2987" i="2"/>
  <c r="BL2986" i="2"/>
  <c r="BL2985" i="2"/>
  <c r="BL2984" i="2"/>
  <c r="BL2983" i="2"/>
  <c r="BL2982" i="2"/>
  <c r="BL2981" i="2"/>
  <c r="BL2980" i="2"/>
  <c r="BL2979" i="2"/>
  <c r="BL2978" i="2"/>
  <c r="BL2977" i="2"/>
  <c r="BL2976" i="2"/>
  <c r="BL2975" i="2"/>
  <c r="BL2974" i="2"/>
  <c r="BL2973" i="2"/>
  <c r="BL2972" i="2"/>
  <c r="BL2971" i="2"/>
  <c r="BL2970" i="2"/>
  <c r="BL2969" i="2"/>
  <c r="BL2968" i="2"/>
  <c r="BL2967" i="2"/>
  <c r="BL2966" i="2"/>
  <c r="BL2965" i="2"/>
  <c r="BL2964" i="2"/>
  <c r="BL2963" i="2"/>
  <c r="BL2962" i="2"/>
  <c r="BL2961" i="2"/>
  <c r="BL2960" i="2"/>
  <c r="BL2959" i="2"/>
  <c r="BL2958" i="2"/>
  <c r="BL2957" i="2"/>
  <c r="BL2956" i="2"/>
  <c r="BL2955" i="2"/>
  <c r="BL2954" i="2"/>
  <c r="BL2953" i="2"/>
  <c r="BL2952" i="2"/>
  <c r="BL2951" i="2"/>
  <c r="BL2950" i="2"/>
  <c r="BL2949" i="2"/>
  <c r="BL2948" i="2"/>
  <c r="BL2947" i="2"/>
  <c r="BL2946" i="2"/>
  <c r="BL2945" i="2"/>
  <c r="BL2944" i="2"/>
  <c r="BL2943" i="2"/>
  <c r="BL2942" i="2"/>
  <c r="BL2941" i="2"/>
  <c r="BL2940" i="2"/>
  <c r="BL2939" i="2"/>
  <c r="BL2938" i="2"/>
  <c r="BL2937" i="2"/>
  <c r="BL2936" i="2"/>
  <c r="BL2935" i="2"/>
  <c r="BL2934" i="2"/>
  <c r="BL2933" i="2"/>
  <c r="BL2932" i="2"/>
  <c r="BL2931" i="2"/>
  <c r="BL2930" i="2"/>
  <c r="BL2929" i="2"/>
  <c r="BL2928" i="2"/>
  <c r="BL2909" i="2"/>
  <c r="BL2908" i="2"/>
  <c r="BL2907" i="2"/>
  <c r="BL2906" i="2"/>
  <c r="BL2905" i="2"/>
  <c r="BL2904" i="2"/>
  <c r="BL2903" i="2"/>
  <c r="BL2902" i="2"/>
  <c r="BL2901" i="2"/>
  <c r="BL2900" i="2"/>
  <c r="BL2899" i="2"/>
  <c r="BL2898" i="2"/>
  <c r="BL2897" i="2"/>
  <c r="BL2896" i="2"/>
  <c r="BL2895" i="2"/>
  <c r="BL2894" i="2"/>
  <c r="BL2893" i="2"/>
  <c r="BL2892" i="2"/>
  <c r="BL2891" i="2"/>
  <c r="BL2890" i="2"/>
  <c r="BL2889" i="2"/>
  <c r="BL2888" i="2"/>
  <c r="BL2887" i="2"/>
  <c r="BL2886" i="2"/>
  <c r="BL2885" i="2"/>
  <c r="BL2884" i="2"/>
  <c r="BL2883" i="2"/>
  <c r="BL2882" i="2"/>
  <c r="BL2881" i="2"/>
  <c r="BL2878" i="2"/>
  <c r="BL2877" i="2"/>
  <c r="BL2876" i="2"/>
  <c r="BL2875" i="2"/>
  <c r="BL2874" i="2"/>
  <c r="BL2873" i="2"/>
  <c r="BL2872" i="2"/>
  <c r="BL2871" i="2"/>
  <c r="BL2870" i="2"/>
  <c r="BL2869" i="2"/>
  <c r="BL2868" i="2"/>
  <c r="BL2867" i="2"/>
  <c r="BL2866" i="2"/>
  <c r="BL2865" i="2"/>
  <c r="BL2864" i="2"/>
  <c r="BL2863" i="2"/>
  <c r="BL2862" i="2"/>
  <c r="BL2861" i="2"/>
  <c r="BL2860" i="2"/>
  <c r="BL2859" i="2"/>
  <c r="BL2858" i="2"/>
  <c r="BL2857" i="2"/>
  <c r="BL2856" i="2"/>
  <c r="BL2855" i="2"/>
  <c r="BL2854" i="2"/>
  <c r="BL2853" i="2"/>
  <c r="BL2852" i="2"/>
  <c r="BL2851" i="2"/>
  <c r="BL2850" i="2"/>
  <c r="BL2849" i="2"/>
  <c r="BL2848" i="2"/>
  <c r="BL2847" i="2"/>
  <c r="BL2846" i="2"/>
  <c r="BL2845" i="2"/>
  <c r="BL2844" i="2"/>
  <c r="BL2843" i="2"/>
  <c r="BL2842" i="2"/>
  <c r="BL2841" i="2"/>
  <c r="BL2840" i="2"/>
  <c r="BL2839" i="2"/>
  <c r="BL2838" i="2"/>
  <c r="BL2837" i="2"/>
  <c r="BL2836" i="2"/>
  <c r="BL2835" i="2"/>
  <c r="BL2834" i="2"/>
  <c r="BL2833" i="2"/>
  <c r="BL2832" i="2"/>
  <c r="BL2831" i="2"/>
  <c r="BL2830" i="2"/>
  <c r="BL2829" i="2"/>
  <c r="BL2828" i="2"/>
  <c r="BL2827" i="2"/>
  <c r="BL2826" i="2"/>
  <c r="BL2825" i="2"/>
  <c r="BL2824" i="2"/>
  <c r="BL2823" i="2"/>
  <c r="BL2822" i="2"/>
  <c r="BL2821" i="2"/>
  <c r="BL2820" i="2"/>
  <c r="BL2819" i="2"/>
  <c r="BL2818" i="2"/>
  <c r="BL2817" i="2"/>
  <c r="BL2816" i="2"/>
  <c r="BL2815" i="2"/>
  <c r="BL2814" i="2"/>
  <c r="BL2813" i="2"/>
  <c r="BL2812" i="2"/>
  <c r="BL2811" i="2"/>
  <c r="BL2810" i="2"/>
  <c r="BL2809" i="2"/>
  <c r="BL2808" i="2"/>
  <c r="BL2807" i="2"/>
  <c r="BL2806" i="2"/>
  <c r="BL2805" i="2"/>
  <c r="BL2804" i="2"/>
  <c r="BL2803" i="2"/>
  <c r="BL2802" i="2"/>
  <c r="BL2801" i="2"/>
  <c r="BL2800" i="2"/>
  <c r="BL2799" i="2"/>
  <c r="BL2798" i="2"/>
  <c r="BL2797" i="2"/>
  <c r="BL2796" i="2"/>
  <c r="BL2795" i="2"/>
  <c r="BL2794" i="2"/>
  <c r="BL2793" i="2"/>
  <c r="BL2792" i="2"/>
  <c r="BL2791" i="2"/>
  <c r="BL2790" i="2"/>
  <c r="BL2789" i="2"/>
  <c r="BL2788" i="2"/>
  <c r="BL2787" i="2"/>
  <c r="BL2786" i="2"/>
  <c r="BL2785" i="2"/>
  <c r="BL2784" i="2"/>
  <c r="BL2783" i="2"/>
  <c r="BL2782" i="2"/>
  <c r="BL2781" i="2"/>
  <c r="BL2780" i="2"/>
  <c r="BL2779" i="2"/>
  <c r="BL2778" i="2"/>
  <c r="BL2777" i="2"/>
  <c r="BL2776" i="2"/>
  <c r="BL2775" i="2"/>
  <c r="BL2774" i="2"/>
  <c r="BL2773" i="2"/>
  <c r="BL2772" i="2"/>
  <c r="BL2771" i="2"/>
  <c r="BL2770" i="2"/>
  <c r="BL2769" i="2"/>
  <c r="BL2768" i="2"/>
  <c r="BL2767" i="2"/>
  <c r="BL2766" i="2"/>
  <c r="BL2765" i="2"/>
  <c r="BL2764" i="2"/>
  <c r="BL2763" i="2"/>
  <c r="BL2762" i="2"/>
  <c r="BL2761" i="2"/>
  <c r="BL2760" i="2"/>
  <c r="BL2759" i="2"/>
  <c r="BL2758" i="2"/>
  <c r="BL2757" i="2"/>
  <c r="BL2756" i="2"/>
  <c r="BL2755" i="2"/>
  <c r="BL2754" i="2"/>
  <c r="BL2753" i="2"/>
  <c r="BL2752" i="2"/>
  <c r="BL2751" i="2"/>
  <c r="BL2750" i="2"/>
  <c r="BL2749" i="2"/>
  <c r="BL2748" i="2"/>
  <c r="BL2747" i="2"/>
  <c r="BL2746" i="2"/>
  <c r="BL2745" i="2"/>
  <c r="BL2744" i="2"/>
  <c r="BL2743" i="2"/>
  <c r="BL2742" i="2"/>
  <c r="BL2741" i="2"/>
  <c r="BL2740" i="2"/>
  <c r="BL2739" i="2"/>
  <c r="BL2738" i="2"/>
  <c r="BL2737" i="2"/>
  <c r="BL2736" i="2"/>
  <c r="BL2735" i="2"/>
  <c r="BL2734" i="2"/>
  <c r="BL2733" i="2"/>
  <c r="BL2732" i="2"/>
  <c r="BL2731" i="2"/>
  <c r="BL2730" i="2"/>
  <c r="BL2729" i="2"/>
  <c r="BL2728" i="2"/>
  <c r="BL2727" i="2"/>
  <c r="BL2726" i="2"/>
  <c r="BL2725" i="2"/>
  <c r="BL2724" i="2"/>
  <c r="BL2723" i="2"/>
  <c r="BL2722" i="2"/>
  <c r="BL2721" i="2"/>
  <c r="BL2720" i="2"/>
  <c r="BL2719" i="2"/>
  <c r="BL2718" i="2"/>
  <c r="BL2717" i="2"/>
  <c r="BL2716" i="2"/>
  <c r="BL2715" i="2"/>
  <c r="BL2714" i="2"/>
  <c r="BL2713" i="2"/>
  <c r="BL2712" i="2"/>
  <c r="BL2711" i="2"/>
  <c r="BL2710" i="2"/>
  <c r="BL2709" i="2"/>
  <c r="BL2708" i="2"/>
  <c r="BL2707" i="2"/>
  <c r="BL2706" i="2"/>
  <c r="BL2705" i="2"/>
  <c r="BL2704" i="2"/>
  <c r="BL2703" i="2"/>
  <c r="BL2702" i="2"/>
  <c r="BL2701" i="2"/>
  <c r="BL2700" i="2"/>
  <c r="BL2699" i="2"/>
  <c r="BL2698" i="2"/>
  <c r="BL2697" i="2"/>
  <c r="BL2696" i="2"/>
  <c r="BL2695" i="2"/>
  <c r="BL2694" i="2"/>
  <c r="BL2693" i="2"/>
  <c r="BL2692" i="2"/>
  <c r="BL2691" i="2"/>
  <c r="BL2690" i="2"/>
  <c r="BL2689" i="2"/>
  <c r="BL2688" i="2"/>
  <c r="BL2687" i="2"/>
  <c r="BL2686" i="2"/>
  <c r="BL2685" i="2"/>
  <c r="BL2684" i="2"/>
  <c r="BL2683" i="2"/>
  <c r="BL2682" i="2"/>
  <c r="BL2681" i="2"/>
  <c r="BL2680" i="2"/>
  <c r="BL2679" i="2"/>
  <c r="BL2678" i="2"/>
  <c r="BL2677" i="2"/>
  <c r="BL2676" i="2"/>
  <c r="BL2675" i="2"/>
  <c r="BL2674" i="2"/>
  <c r="BL2673" i="2"/>
  <c r="BL2672" i="2"/>
  <c r="BL2671" i="2"/>
  <c r="BL2670" i="2"/>
  <c r="BL2669" i="2"/>
  <c r="BL2668" i="2"/>
  <c r="BL2667" i="2"/>
  <c r="BL2666" i="2"/>
  <c r="BL2665" i="2"/>
  <c r="BL2664" i="2"/>
  <c r="BL2663" i="2"/>
  <c r="BL2662" i="2"/>
  <c r="BL2661" i="2"/>
  <c r="BL2660" i="2"/>
  <c r="BL2659" i="2"/>
  <c r="BL2658" i="2"/>
  <c r="BL2657" i="2"/>
  <c r="BL2656" i="2"/>
  <c r="BL2655" i="2"/>
  <c r="BL2654" i="2"/>
  <c r="BL2653" i="2"/>
  <c r="BL2652" i="2"/>
  <c r="BL2651" i="2"/>
  <c r="BL2650" i="2"/>
  <c r="BL2649" i="2"/>
  <c r="BL2648" i="2"/>
  <c r="BL2647" i="2"/>
  <c r="BL2646" i="2"/>
  <c r="BL2645" i="2"/>
  <c r="BL2644" i="2"/>
  <c r="BL2643" i="2"/>
  <c r="BL2642" i="2"/>
  <c r="BL2641" i="2"/>
  <c r="BL2640" i="2"/>
  <c r="BL2639" i="2"/>
  <c r="BL2638" i="2"/>
  <c r="BL2637" i="2"/>
  <c r="BL2636" i="2"/>
  <c r="BL2635" i="2"/>
  <c r="BL2634" i="2"/>
  <c r="BL2633" i="2"/>
  <c r="BL2632" i="2"/>
  <c r="BL2631" i="2"/>
  <c r="BL2630" i="2"/>
  <c r="BL2629" i="2"/>
  <c r="BL2628" i="2"/>
  <c r="BL2627" i="2"/>
  <c r="BL2626" i="2"/>
  <c r="BL2625" i="2"/>
  <c r="BL2622" i="2"/>
  <c r="BL2621" i="2"/>
  <c r="BL2620" i="2"/>
  <c r="BL2619" i="2"/>
  <c r="BL2618" i="2"/>
  <c r="BL2617" i="2"/>
  <c r="BL2616" i="2"/>
  <c r="BL2615" i="2"/>
  <c r="BL2614" i="2"/>
  <c r="BL2613" i="2"/>
  <c r="BL2612" i="2"/>
  <c r="BL2611" i="2"/>
  <c r="BL2610" i="2"/>
  <c r="BL2609" i="2"/>
  <c r="BL2608" i="2"/>
  <c r="BL2607" i="2"/>
  <c r="BL2606" i="2"/>
  <c r="BL2605" i="2"/>
  <c r="BL2604" i="2"/>
  <c r="BL2603" i="2"/>
  <c r="BL2602" i="2"/>
  <c r="BL2601" i="2"/>
  <c r="BL2600" i="2"/>
  <c r="BL2599" i="2"/>
  <c r="BL2598" i="2"/>
  <c r="BL2597" i="2"/>
  <c r="BL2596" i="2"/>
  <c r="BL2595" i="2"/>
  <c r="BL2594" i="2"/>
  <c r="BL2593" i="2"/>
  <c r="BL2592" i="2"/>
  <c r="BL2591" i="2"/>
  <c r="BL2590" i="2"/>
  <c r="BL2589" i="2"/>
  <c r="BL2588" i="2"/>
  <c r="BL2587" i="2"/>
  <c r="BL2586" i="2"/>
  <c r="BL2585" i="2"/>
  <c r="BL2584" i="2"/>
  <c r="BL2583" i="2"/>
  <c r="BL2582" i="2"/>
  <c r="BL2581" i="2"/>
  <c r="BL2580" i="2"/>
  <c r="BL2579" i="2"/>
  <c r="BL2578" i="2"/>
  <c r="BL2577" i="2"/>
  <c r="BL2576" i="2"/>
  <c r="BL2575" i="2"/>
  <c r="BL2574" i="2"/>
  <c r="BL2573" i="2"/>
  <c r="BL2572" i="2"/>
  <c r="BL2571" i="2"/>
  <c r="BL2570" i="2"/>
  <c r="BL2569" i="2"/>
  <c r="BL2568" i="2"/>
  <c r="BL2567" i="2"/>
  <c r="BL2566" i="2"/>
  <c r="BL2565" i="2"/>
  <c r="BL2564" i="2"/>
  <c r="BL2563" i="2"/>
  <c r="BL2562" i="2"/>
  <c r="BL2561" i="2"/>
  <c r="BL2560" i="2"/>
  <c r="BL2559" i="2"/>
  <c r="BL2558" i="2"/>
  <c r="BL2557" i="2"/>
  <c r="BL2556" i="2"/>
  <c r="BL2555" i="2"/>
  <c r="BL2554" i="2"/>
  <c r="BL2553" i="2"/>
  <c r="BL2552" i="2"/>
  <c r="BL2551" i="2"/>
  <c r="BL2550" i="2"/>
  <c r="BL2549" i="2"/>
  <c r="BL2548" i="2"/>
  <c r="BL2547" i="2"/>
  <c r="BL2546" i="2"/>
  <c r="BL2545" i="2"/>
  <c r="BL2544" i="2"/>
  <c r="BL2543" i="2"/>
  <c r="BL2542" i="2"/>
  <c r="BL2541" i="2"/>
  <c r="BL2540" i="2"/>
  <c r="BL2539" i="2"/>
  <c r="BL2538" i="2"/>
  <c r="BL2537" i="2"/>
  <c r="BL2536" i="2"/>
  <c r="BL2535" i="2"/>
  <c r="BL2534" i="2"/>
  <c r="BL2533" i="2"/>
  <c r="BL2532" i="2"/>
  <c r="BL2531" i="2"/>
  <c r="BL2530" i="2"/>
  <c r="BL2529" i="2"/>
  <c r="BL2528" i="2"/>
  <c r="BL2525" i="2"/>
  <c r="BL2524" i="2"/>
  <c r="BL2523" i="2"/>
  <c r="BL2522" i="2"/>
  <c r="BL2521" i="2"/>
  <c r="BL2520" i="2"/>
  <c r="BL2519" i="2"/>
  <c r="BL2518" i="2"/>
  <c r="BL2517" i="2"/>
  <c r="BL2516" i="2"/>
  <c r="BL2515" i="2"/>
  <c r="BL2514" i="2"/>
  <c r="BL2513" i="2"/>
  <c r="BL2512" i="2"/>
  <c r="BL2511" i="2"/>
  <c r="BL2510" i="2"/>
  <c r="BL2509" i="2"/>
  <c r="BL2508" i="2"/>
  <c r="BL2507" i="2"/>
  <c r="BL2506" i="2"/>
  <c r="BL2505" i="2"/>
  <c r="BL2504" i="2"/>
  <c r="BL2503" i="2"/>
  <c r="BL2502" i="2"/>
  <c r="BL2501" i="2"/>
  <c r="BL2500" i="2"/>
  <c r="BL2499" i="2"/>
  <c r="BL2498" i="2"/>
  <c r="BL2497" i="2"/>
  <c r="BL2496" i="2"/>
  <c r="BL2495" i="2"/>
  <c r="BL2494" i="2"/>
  <c r="BL2493" i="2"/>
  <c r="BL2492" i="2"/>
  <c r="BL2491" i="2"/>
  <c r="BL2490" i="2"/>
  <c r="BL2489" i="2"/>
  <c r="BL2488" i="2"/>
  <c r="BL2487" i="2"/>
  <c r="BL2486" i="2"/>
  <c r="BL2485" i="2"/>
  <c r="BL2484" i="2"/>
  <c r="BL2483" i="2"/>
  <c r="BL2482" i="2"/>
  <c r="BL2481" i="2"/>
  <c r="BL2480" i="2"/>
  <c r="BL2479" i="2"/>
  <c r="BL2478" i="2"/>
  <c r="BL2477" i="2"/>
  <c r="BL2476" i="2"/>
  <c r="BL2475" i="2"/>
  <c r="BL2474" i="2"/>
  <c r="BL2473" i="2"/>
  <c r="BL2472" i="2"/>
  <c r="BL2471" i="2"/>
  <c r="BL2470" i="2"/>
  <c r="BL2469" i="2"/>
  <c r="BL2468" i="2"/>
  <c r="BL2467" i="2"/>
  <c r="BL2466" i="2"/>
  <c r="BL2465" i="2"/>
  <c r="BL2464" i="2"/>
  <c r="BL2463" i="2"/>
  <c r="BL2462" i="2"/>
  <c r="BL2461" i="2"/>
  <c r="BL2460" i="2"/>
  <c r="BL2457" i="2"/>
  <c r="BL2456" i="2"/>
  <c r="BL2455" i="2"/>
  <c r="BL2454" i="2"/>
  <c r="BL2453" i="2"/>
  <c r="BL2452" i="2"/>
  <c r="BL2451" i="2"/>
  <c r="BL2450" i="2"/>
  <c r="BL2449" i="2"/>
  <c r="BL2448" i="2"/>
  <c r="BL2447" i="2"/>
  <c r="BL2446" i="2"/>
  <c r="BL2445" i="2"/>
  <c r="BL2444" i="2"/>
  <c r="BL2443" i="2"/>
  <c r="BL2442" i="2"/>
  <c r="BL2441" i="2"/>
  <c r="BL2440" i="2"/>
  <c r="BL2439" i="2"/>
  <c r="BL2438" i="2"/>
  <c r="BL2437" i="2"/>
  <c r="BL2436" i="2"/>
  <c r="BL2435" i="2"/>
  <c r="BL2434" i="2"/>
  <c r="BL2433" i="2"/>
  <c r="BL2432" i="2"/>
  <c r="BL2431" i="2"/>
  <c r="BL2430" i="2"/>
  <c r="BL2429" i="2"/>
  <c r="BL2428" i="2"/>
  <c r="BL2427" i="2"/>
  <c r="BL2426" i="2"/>
  <c r="BL2425" i="2"/>
  <c r="BL2424" i="2"/>
  <c r="BL2423" i="2"/>
  <c r="BL2422" i="2"/>
  <c r="BL2421" i="2"/>
  <c r="BL2420" i="2"/>
  <c r="BL2419" i="2"/>
  <c r="BL2418" i="2"/>
  <c r="BL2417" i="2"/>
  <c r="BL2416" i="2"/>
  <c r="BL2415" i="2"/>
  <c r="BL2414" i="2"/>
  <c r="BL2413" i="2"/>
  <c r="BL2412" i="2"/>
  <c r="BL2401" i="2"/>
  <c r="BL2400" i="2"/>
  <c r="BL2399" i="2"/>
  <c r="BL2398" i="2"/>
  <c r="BL2397" i="2"/>
  <c r="BL2396" i="2"/>
  <c r="BL2395" i="2"/>
  <c r="BL2394" i="2"/>
  <c r="BL2393" i="2"/>
  <c r="BL2392" i="2"/>
  <c r="BL2391" i="2"/>
  <c r="BL2390" i="2"/>
  <c r="BL2389" i="2"/>
  <c r="BL2388" i="2"/>
  <c r="BL2387" i="2"/>
  <c r="BL2386" i="2"/>
  <c r="BL2385" i="2"/>
  <c r="BL2384" i="2"/>
  <c r="BL2383" i="2"/>
  <c r="BL2381" i="2"/>
  <c r="BL2380" i="2"/>
  <c r="BL2379" i="2"/>
  <c r="BL2378" i="2"/>
  <c r="BL2377" i="2"/>
  <c r="BL2376" i="2"/>
  <c r="BL2375" i="2"/>
  <c r="BL2374" i="2"/>
  <c r="BL2373" i="2"/>
  <c r="BL2372" i="2"/>
  <c r="BL2371" i="2"/>
  <c r="BL2370" i="2"/>
  <c r="BL2369" i="2"/>
  <c r="BL2368" i="2"/>
  <c r="BL2367" i="2"/>
  <c r="BL2366" i="2"/>
  <c r="BL2365" i="2"/>
  <c r="BL2364" i="2"/>
  <c r="BL2363" i="2"/>
  <c r="BL2362" i="2"/>
  <c r="BL2360" i="2"/>
  <c r="BL2359" i="2"/>
  <c r="BL2358" i="2"/>
  <c r="BL2357" i="2"/>
  <c r="BL2356" i="2"/>
  <c r="BL2355" i="2"/>
  <c r="BL2354" i="2"/>
  <c r="BL2353" i="2"/>
  <c r="BL2352" i="2"/>
  <c r="BL2351" i="2"/>
  <c r="BL2350" i="2"/>
  <c r="BL2349" i="2"/>
  <c r="BL2348" i="2"/>
  <c r="BL2347" i="2"/>
  <c r="BL2346" i="2"/>
  <c r="BL2345" i="2"/>
  <c r="BL2343" i="2"/>
  <c r="BL2342" i="2"/>
  <c r="BL2341" i="2"/>
  <c r="BL2340" i="2"/>
  <c r="BL2339" i="2"/>
  <c r="BL2338" i="2"/>
  <c r="BL2337" i="2"/>
  <c r="BL2336" i="2"/>
  <c r="BL2335" i="2"/>
  <c r="BL2332" i="2"/>
  <c r="BL2331" i="2"/>
  <c r="BL2330" i="2"/>
  <c r="BL2329" i="2"/>
  <c r="BL2328" i="2"/>
  <c r="BL2327" i="2"/>
  <c r="BL2326" i="2"/>
  <c r="BL2325" i="2"/>
  <c r="BL2324" i="2"/>
  <c r="BL2323" i="2"/>
  <c r="BL2322" i="2"/>
  <c r="BL2321" i="2"/>
  <c r="BL2320" i="2"/>
  <c r="BL2319" i="2"/>
  <c r="BL2318" i="2"/>
  <c r="BL2317" i="2"/>
  <c r="BL2316" i="2"/>
  <c r="BL2315" i="2"/>
  <c r="BL2314" i="2"/>
  <c r="BL2313" i="2"/>
  <c r="BL2312" i="2"/>
  <c r="BL2311" i="2"/>
  <c r="BL2310" i="2"/>
  <c r="BL2309" i="2"/>
  <c r="BL2308" i="2"/>
  <c r="BL2307" i="2"/>
  <c r="BL2306" i="2"/>
  <c r="BL2305" i="2"/>
  <c r="BL2304" i="2"/>
  <c r="BL2303" i="2"/>
  <c r="BL2302" i="2"/>
  <c r="BL2301" i="2"/>
  <c r="BL2300" i="2"/>
  <c r="BL2299" i="2"/>
  <c r="BL2298" i="2"/>
  <c r="BL2297" i="2"/>
  <c r="BL2294" i="2"/>
  <c r="BL2293" i="2"/>
  <c r="BL2292" i="2"/>
  <c r="BL2291" i="2"/>
  <c r="BL2290" i="2"/>
  <c r="BL2289" i="2"/>
  <c r="BL2288" i="2"/>
  <c r="BL2287" i="2"/>
  <c r="BL2286" i="2"/>
  <c r="BL2285" i="2"/>
  <c r="BL2284" i="2"/>
  <c r="BL2283" i="2"/>
  <c r="BL2282" i="2"/>
  <c r="BL2281" i="2"/>
  <c r="BL2280" i="2"/>
  <c r="BL2279" i="2"/>
  <c r="BL2278" i="2"/>
  <c r="BL2277" i="2"/>
  <c r="BL2276" i="2"/>
  <c r="BL2275" i="2"/>
  <c r="BL2274" i="2"/>
  <c r="BL2273" i="2"/>
  <c r="BL2272" i="2"/>
  <c r="BL2271" i="2"/>
  <c r="BL2270" i="2"/>
  <c r="BL2269" i="2"/>
  <c r="BL2268" i="2"/>
  <c r="BL2267" i="2"/>
  <c r="BL2266" i="2"/>
  <c r="BL2265" i="2"/>
  <c r="BL2264" i="2"/>
  <c r="BL2263" i="2"/>
  <c r="BL2262" i="2"/>
  <c r="BL2261" i="2"/>
  <c r="BL2260" i="2"/>
  <c r="BL2259" i="2"/>
  <c r="BL2258" i="2"/>
  <c r="BL2257" i="2"/>
  <c r="BL2256" i="2"/>
  <c r="BL2255" i="2"/>
  <c r="BL2254" i="2"/>
  <c r="BL2253" i="2"/>
  <c r="BL2252" i="2"/>
  <c r="BL2251" i="2"/>
  <c r="BL2250" i="2"/>
  <c r="BL2249" i="2"/>
  <c r="BL2248" i="2"/>
  <c r="BL2247" i="2"/>
  <c r="BL2246" i="2"/>
  <c r="BL2245" i="2"/>
  <c r="BL2244" i="2"/>
  <c r="BL2243" i="2"/>
  <c r="BL2242" i="2"/>
  <c r="BL2241" i="2"/>
  <c r="BL2240" i="2"/>
  <c r="BL2239" i="2"/>
  <c r="BL2238" i="2"/>
  <c r="BL2237" i="2"/>
  <c r="BL2236" i="2"/>
  <c r="BL2235" i="2"/>
  <c r="BL2234" i="2"/>
  <c r="BL2233" i="2"/>
  <c r="BL2232" i="2"/>
  <c r="BL2231" i="2"/>
  <c r="BL2230" i="2"/>
  <c r="BL2229" i="2"/>
  <c r="BL2228" i="2"/>
  <c r="BL2227" i="2"/>
  <c r="BL2226" i="2"/>
  <c r="BL2225" i="2"/>
  <c r="BL2224" i="2"/>
  <c r="BL2223" i="2"/>
  <c r="BL2222" i="2"/>
  <c r="BL2221" i="2"/>
  <c r="BL2220" i="2"/>
  <c r="BL2219" i="2"/>
  <c r="BL2218" i="2"/>
  <c r="BL2215" i="2"/>
  <c r="BL2214" i="2"/>
  <c r="BL2213" i="2"/>
  <c r="BL2212" i="2"/>
  <c r="BL2211" i="2"/>
  <c r="BL2210" i="2"/>
  <c r="BL2209" i="2"/>
  <c r="BL2208" i="2"/>
  <c r="BL2207" i="2"/>
  <c r="BL2206" i="2"/>
  <c r="BL2205" i="2"/>
  <c r="BL2204" i="2"/>
  <c r="BL2203" i="2"/>
  <c r="BL2202" i="2"/>
  <c r="BL2201" i="2"/>
  <c r="BL2200" i="2"/>
  <c r="BL2199" i="2"/>
  <c r="BL2198" i="2"/>
  <c r="BL2197" i="2"/>
  <c r="BL2196" i="2"/>
  <c r="BL2195" i="2"/>
  <c r="BL2194" i="2"/>
  <c r="BL2193" i="2"/>
  <c r="BL2192" i="2"/>
  <c r="BL2191" i="2"/>
  <c r="BL2190" i="2"/>
  <c r="BL2189" i="2"/>
  <c r="BL2188" i="2"/>
  <c r="BL2187" i="2"/>
  <c r="BL2186" i="2"/>
  <c r="BL2185" i="2"/>
  <c r="BL2184" i="2"/>
  <c r="BL2183" i="2"/>
  <c r="BL2182" i="2"/>
  <c r="BL2181" i="2"/>
  <c r="BL2180" i="2"/>
  <c r="BL2179" i="2"/>
  <c r="BL2178" i="2"/>
  <c r="BL2177" i="2"/>
  <c r="BL2176" i="2"/>
  <c r="BL2175" i="2"/>
  <c r="BL2174" i="2"/>
  <c r="BL2173" i="2"/>
  <c r="BL2172" i="2"/>
  <c r="BL2171" i="2"/>
  <c r="BL2170" i="2"/>
  <c r="BL2169" i="2"/>
  <c r="BL2168" i="2"/>
  <c r="BL2167" i="2"/>
  <c r="BL2166" i="2"/>
  <c r="BL2165" i="2"/>
  <c r="BL2164" i="2"/>
  <c r="BL2163" i="2"/>
  <c r="BL2162" i="2"/>
  <c r="BL2161" i="2"/>
  <c r="BL2160" i="2"/>
  <c r="BL2159" i="2"/>
  <c r="BL2158" i="2"/>
  <c r="BL2157" i="2"/>
  <c r="BL2156" i="2"/>
  <c r="BL2155" i="2"/>
  <c r="BL2154" i="2"/>
  <c r="BL2153" i="2"/>
  <c r="BL2152" i="2"/>
  <c r="BL2151" i="2"/>
  <c r="BL2150" i="2"/>
  <c r="BL2149" i="2"/>
  <c r="BL2148" i="2"/>
  <c r="BL2147" i="2"/>
  <c r="BL2146" i="2"/>
  <c r="BL2145" i="2"/>
  <c r="BL2144" i="2"/>
  <c r="BL2143" i="2"/>
  <c r="BL2142" i="2"/>
  <c r="BL2141" i="2"/>
  <c r="BL2140" i="2"/>
  <c r="BL2139" i="2"/>
  <c r="BL2138" i="2"/>
  <c r="BL2137" i="2"/>
  <c r="BL2136" i="2"/>
  <c r="BL2135" i="2"/>
  <c r="BL2134" i="2"/>
  <c r="BL2133" i="2"/>
  <c r="BL2132" i="2"/>
  <c r="BL2131" i="2"/>
  <c r="BL2130" i="2"/>
  <c r="BL2129" i="2"/>
  <c r="BL2128" i="2"/>
  <c r="BL2125" i="2"/>
  <c r="BL2124" i="2"/>
  <c r="BL2123" i="2"/>
  <c r="BL2122" i="2"/>
  <c r="BL2121" i="2"/>
  <c r="BL2120" i="2"/>
  <c r="BL2119" i="2"/>
  <c r="BL2118" i="2"/>
  <c r="BL2117" i="2"/>
  <c r="BL2116" i="2"/>
  <c r="BL2115" i="2"/>
  <c r="BL2114" i="2"/>
  <c r="BL2113" i="2"/>
  <c r="BL2112" i="2"/>
  <c r="BL2111" i="2"/>
  <c r="BL2110" i="2"/>
  <c r="BL2109" i="2"/>
  <c r="BL2108" i="2"/>
  <c r="BL2107" i="2"/>
  <c r="BL2106" i="2"/>
  <c r="BL2105" i="2"/>
  <c r="BL2104" i="2"/>
  <c r="BL2103" i="2"/>
  <c r="BL2102" i="2"/>
  <c r="BL2101" i="2"/>
  <c r="BL2100" i="2"/>
  <c r="BL2099" i="2"/>
  <c r="BL2098" i="2"/>
  <c r="BL2097" i="2"/>
  <c r="BL2096" i="2"/>
  <c r="BL2095" i="2"/>
  <c r="BL2094" i="2"/>
  <c r="BL2093" i="2"/>
  <c r="BL2092" i="2"/>
  <c r="BL2091" i="2"/>
  <c r="BL2090" i="2"/>
  <c r="BL2089" i="2"/>
  <c r="BL2088" i="2"/>
  <c r="BL2087" i="2"/>
  <c r="BL2086" i="2"/>
  <c r="BL2085" i="2"/>
  <c r="BL2084" i="2"/>
  <c r="BL2083" i="2"/>
  <c r="BL2082" i="2"/>
  <c r="BL2081" i="2"/>
  <c r="BL2080" i="2"/>
  <c r="BL2079" i="2"/>
  <c r="BL2078" i="2"/>
  <c r="BL2077" i="2"/>
  <c r="BL2076" i="2"/>
  <c r="BL2075" i="2"/>
  <c r="BL2074" i="2"/>
  <c r="BL2073" i="2"/>
  <c r="BL2070" i="2"/>
  <c r="BL2069" i="2"/>
  <c r="BL2068" i="2"/>
  <c r="BL2067" i="2"/>
  <c r="BL2066" i="2"/>
  <c r="BL2065" i="2"/>
  <c r="BL2064" i="2"/>
  <c r="BL2063" i="2"/>
  <c r="BL2062" i="2"/>
  <c r="BL2061" i="2"/>
  <c r="BL2060" i="2"/>
  <c r="BL2059" i="2"/>
  <c r="BL2058" i="2"/>
  <c r="BL2057" i="2"/>
  <c r="BL2056" i="2"/>
  <c r="BL2055" i="2"/>
  <c r="BL2054" i="2"/>
  <c r="BL2053" i="2"/>
  <c r="BL2052" i="2"/>
  <c r="BL2051" i="2"/>
  <c r="BL2050" i="2"/>
  <c r="BL2049" i="2"/>
  <c r="BL2048" i="2"/>
  <c r="BL2047" i="2"/>
  <c r="BL2046" i="2"/>
  <c r="BL2045" i="2"/>
  <c r="BL2044" i="2"/>
  <c r="BL2043" i="2"/>
  <c r="BL2042" i="2"/>
  <c r="BL2041" i="2"/>
  <c r="BL2040" i="2"/>
  <c r="BL2039" i="2"/>
  <c r="BL2038" i="2"/>
  <c r="BL2037" i="2"/>
  <c r="BL2036" i="2"/>
  <c r="BL2035" i="2"/>
  <c r="BL2034" i="2"/>
  <c r="BL2033" i="2"/>
  <c r="BL2032" i="2"/>
  <c r="BL2031" i="2"/>
  <c r="BL2030" i="2"/>
  <c r="BL2029" i="2"/>
  <c r="BL2028" i="2"/>
  <c r="BL2027" i="2"/>
  <c r="BL2026" i="2"/>
  <c r="BL2025" i="2"/>
  <c r="BL2024" i="2"/>
  <c r="BL2023" i="2"/>
  <c r="BL2022" i="2"/>
  <c r="BL2021" i="2"/>
  <c r="BL2020" i="2"/>
  <c r="BL2019" i="2"/>
  <c r="BL2018" i="2"/>
  <c r="BL2017" i="2"/>
  <c r="BL2016" i="2"/>
  <c r="BL2015" i="2"/>
  <c r="BL2014" i="2"/>
  <c r="BL2013" i="2"/>
  <c r="BL2012" i="2"/>
  <c r="BL2011" i="2"/>
  <c r="BL2010" i="2"/>
  <c r="BL2009" i="2"/>
  <c r="BL2008" i="2"/>
  <c r="BL2007" i="2"/>
  <c r="BL2006" i="2"/>
  <c r="BL2005" i="2"/>
  <c r="BL2004" i="2"/>
  <c r="BL2003" i="2"/>
  <c r="BL2002" i="2"/>
  <c r="BL2001" i="2"/>
  <c r="BL2000" i="2"/>
  <c r="BL1999" i="2"/>
  <c r="BL1998" i="2"/>
  <c r="BL1997" i="2"/>
  <c r="BL1996" i="2"/>
  <c r="BL1995" i="2"/>
  <c r="BL1994" i="2"/>
  <c r="BL1993" i="2"/>
  <c r="BL1992" i="2"/>
  <c r="BL1991" i="2"/>
  <c r="BL1990" i="2"/>
  <c r="BL1989" i="2"/>
  <c r="BL1988" i="2"/>
  <c r="BL1987" i="2"/>
  <c r="BL1986" i="2"/>
  <c r="BL1985" i="2"/>
  <c r="BL1984" i="2"/>
  <c r="BL1983" i="2"/>
  <c r="BL1982" i="2"/>
  <c r="BL1981" i="2"/>
  <c r="BL1980" i="2"/>
  <c r="BL1978" i="2"/>
  <c r="BL1977" i="2"/>
  <c r="BL1976" i="2"/>
  <c r="BL1975" i="2"/>
  <c r="BL1974" i="2"/>
  <c r="BL1973" i="2"/>
  <c r="BL1972" i="2"/>
  <c r="BL1971" i="2"/>
  <c r="BL1904" i="2"/>
  <c r="BL1903" i="2"/>
  <c r="BL1902" i="2"/>
  <c r="BL1901" i="2"/>
  <c r="BL1900" i="2"/>
  <c r="BL1899" i="2"/>
  <c r="BL1898" i="2"/>
  <c r="BL1897" i="2"/>
  <c r="BL1896" i="2"/>
  <c r="BL1895" i="2"/>
  <c r="BL1894" i="2"/>
  <c r="BL1893" i="2"/>
  <c r="BL1892" i="2"/>
  <c r="BL1891" i="2"/>
  <c r="BL1890" i="2"/>
  <c r="BL1889" i="2"/>
  <c r="BL1888" i="2"/>
  <c r="BL1887" i="2"/>
  <c r="BL1886" i="2"/>
  <c r="BL1885" i="2"/>
  <c r="BL1884" i="2"/>
  <c r="BL1883" i="2"/>
  <c r="BL1882" i="2"/>
  <c r="BL1881" i="2"/>
  <c r="BL1880" i="2"/>
  <c r="BL1879" i="2"/>
  <c r="BL1878" i="2"/>
  <c r="BL1877" i="2"/>
  <c r="BL1876" i="2"/>
  <c r="BL1875" i="2"/>
  <c r="BL1874" i="2"/>
  <c r="BL1873" i="2"/>
  <c r="BL1872" i="2"/>
  <c r="BL1869" i="2"/>
  <c r="BL1868" i="2"/>
  <c r="BL1867" i="2"/>
  <c r="BL1866" i="2"/>
  <c r="BL1865" i="2"/>
  <c r="BL1864" i="2"/>
  <c r="BL1863" i="2"/>
  <c r="BL1862" i="2"/>
  <c r="BL1861" i="2"/>
  <c r="BL1860" i="2"/>
  <c r="BL1859" i="2"/>
  <c r="BL1858" i="2"/>
  <c r="BL1857" i="2"/>
  <c r="BL1856" i="2"/>
  <c r="BL1855" i="2"/>
  <c r="BL1854" i="2"/>
  <c r="BL1853" i="2"/>
  <c r="BL1852" i="2"/>
  <c r="BL1851" i="2"/>
  <c r="BL1850" i="2"/>
  <c r="BL1849" i="2"/>
  <c r="BL1834" i="2"/>
  <c r="BL1833" i="2"/>
  <c r="BL1832" i="2"/>
  <c r="BL1831" i="2"/>
  <c r="BL1830" i="2"/>
  <c r="BL1829" i="2"/>
  <c r="BL1828" i="2"/>
  <c r="BL1827" i="2"/>
  <c r="BL1826" i="2"/>
  <c r="BL1825" i="2"/>
  <c r="BL1824" i="2"/>
  <c r="BL1823" i="2"/>
  <c r="BL1822" i="2"/>
  <c r="BL1821" i="2"/>
  <c r="BL1820" i="2"/>
  <c r="BL1819" i="2"/>
  <c r="BL1818" i="2"/>
  <c r="BL1815" i="2"/>
  <c r="BL1814" i="2"/>
  <c r="BL1813" i="2"/>
  <c r="BL1812" i="2"/>
  <c r="BL1811" i="2"/>
  <c r="BL1810" i="2"/>
  <c r="BL1809" i="2"/>
  <c r="BL1808" i="2"/>
  <c r="BL1807" i="2"/>
  <c r="BL1806" i="2"/>
  <c r="BL1805" i="2"/>
  <c r="BL1804" i="2"/>
  <c r="BL1803" i="2"/>
  <c r="BL1802" i="2"/>
  <c r="BL1801" i="2"/>
  <c r="BL1800" i="2"/>
  <c r="BL1799" i="2"/>
  <c r="BL1798" i="2"/>
  <c r="BL1797" i="2"/>
  <c r="BL1796" i="2"/>
  <c r="BL1795" i="2"/>
  <c r="BL1794" i="2"/>
  <c r="BL1793" i="2"/>
  <c r="BL1792" i="2"/>
  <c r="BL1791" i="2"/>
  <c r="BL1790" i="2"/>
  <c r="BL1789" i="2"/>
  <c r="BL1788" i="2"/>
  <c r="BL1787" i="2"/>
  <c r="BL1786" i="2"/>
  <c r="BL1785" i="2"/>
  <c r="BL1784" i="2"/>
  <c r="BL1783" i="2"/>
  <c r="BL1782" i="2"/>
  <c r="BL1781" i="2"/>
  <c r="BL1780" i="2"/>
  <c r="BL1779" i="2"/>
  <c r="BL1778" i="2"/>
  <c r="BL1777" i="2"/>
  <c r="BL1776" i="2"/>
  <c r="BL1775" i="2"/>
  <c r="BL1774" i="2"/>
  <c r="BL1773" i="2"/>
  <c r="BL1772" i="2"/>
  <c r="BL1771" i="2"/>
  <c r="BL1770" i="2"/>
  <c r="BL1769" i="2"/>
  <c r="BL1768" i="2"/>
  <c r="BL1767" i="2"/>
  <c r="BL1766" i="2"/>
  <c r="BL1765" i="2"/>
  <c r="BL1764" i="2"/>
  <c r="BL1763" i="2"/>
  <c r="BL1762" i="2"/>
  <c r="BL1761" i="2"/>
  <c r="BL1760" i="2"/>
  <c r="BL1759" i="2"/>
  <c r="BL1758" i="2"/>
  <c r="BL1757" i="2"/>
  <c r="BL1756" i="2"/>
  <c r="BL1755" i="2"/>
  <c r="BL1754" i="2"/>
  <c r="BL1753" i="2"/>
  <c r="BL1752" i="2"/>
  <c r="BL1751" i="2"/>
  <c r="BL1750" i="2"/>
  <c r="BL1749" i="2"/>
  <c r="BL1748" i="2"/>
  <c r="BL1747" i="2"/>
  <c r="BL1746" i="2"/>
  <c r="BL1745" i="2"/>
  <c r="BL1744" i="2"/>
  <c r="BL1743" i="2"/>
  <c r="BL1742" i="2"/>
  <c r="BL1741" i="2"/>
  <c r="BL1740" i="2"/>
  <c r="BL1739" i="2"/>
  <c r="BL1738" i="2"/>
  <c r="BL1737" i="2"/>
  <c r="BL1736" i="2"/>
  <c r="BL1735" i="2"/>
  <c r="BL1734" i="2"/>
  <c r="BL1733" i="2"/>
  <c r="BL1732" i="2"/>
  <c r="BL1731" i="2"/>
  <c r="BL1730" i="2"/>
  <c r="BL1729" i="2"/>
  <c r="BL1728" i="2"/>
  <c r="BL1727" i="2"/>
  <c r="BL1726" i="2"/>
  <c r="BL1725" i="2"/>
  <c r="BL1724" i="2"/>
  <c r="BL1723" i="2"/>
  <c r="BL1720" i="2"/>
  <c r="BL1719" i="2"/>
  <c r="BL1718" i="2"/>
  <c r="BL1717" i="2"/>
  <c r="BL1716" i="2"/>
  <c r="BL1715" i="2"/>
  <c r="BL1714" i="2"/>
  <c r="BL1713" i="2"/>
  <c r="BL1712" i="2"/>
  <c r="BL1711" i="2"/>
  <c r="BL1710" i="2"/>
  <c r="BL1709" i="2"/>
  <c r="BL1708" i="2"/>
  <c r="BL1707" i="2"/>
  <c r="BL1706" i="2"/>
  <c r="BL1705" i="2"/>
  <c r="BL1704" i="2"/>
  <c r="BL1703" i="2"/>
  <c r="BL1702" i="2"/>
  <c r="BL1701" i="2"/>
  <c r="BL1700" i="2"/>
  <c r="BL1699" i="2"/>
  <c r="BL1698" i="2"/>
  <c r="BL1697" i="2"/>
  <c r="BL1696" i="2"/>
  <c r="BL1695" i="2"/>
  <c r="BL1694" i="2"/>
  <c r="BL1693" i="2"/>
  <c r="BL1692" i="2"/>
  <c r="BL1691" i="2"/>
  <c r="BL1690" i="2"/>
  <c r="BL1689" i="2"/>
  <c r="BL1688" i="2"/>
  <c r="BL1687" i="2"/>
  <c r="BL1686" i="2"/>
  <c r="BL1685" i="2"/>
  <c r="BL1684" i="2"/>
  <c r="BL1683" i="2"/>
  <c r="BL1682" i="2"/>
  <c r="BL1681" i="2"/>
  <c r="BL1680" i="2"/>
  <c r="BL1679" i="2"/>
  <c r="BL1678" i="2"/>
  <c r="BL1677" i="2"/>
  <c r="BL1676" i="2"/>
  <c r="BL1675" i="2"/>
  <c r="BL1674" i="2"/>
  <c r="BL1673" i="2"/>
  <c r="BL1672" i="2"/>
  <c r="BL1671" i="2"/>
  <c r="BL1670" i="2"/>
  <c r="BL1669" i="2"/>
  <c r="BL1668" i="2"/>
  <c r="BL1667" i="2"/>
  <c r="BL1666" i="2"/>
  <c r="BL1665" i="2"/>
  <c r="BL1662" i="2"/>
  <c r="BL1661" i="2"/>
  <c r="BL1660" i="2"/>
  <c r="BL1659" i="2"/>
  <c r="BL1658" i="2"/>
  <c r="BL1657" i="2"/>
  <c r="BL1656" i="2"/>
  <c r="BL1655" i="2"/>
  <c r="BL1654" i="2"/>
  <c r="BL1653" i="2"/>
  <c r="BL1652" i="2"/>
  <c r="BL1651" i="2"/>
  <c r="BL1650" i="2"/>
  <c r="BL1649" i="2"/>
  <c r="BL1648" i="2"/>
  <c r="BL1647" i="2"/>
  <c r="BL1646" i="2"/>
  <c r="BL1645" i="2"/>
  <c r="BL1644" i="2"/>
  <c r="BL1643" i="2"/>
  <c r="BL1642" i="2"/>
  <c r="BL1641" i="2"/>
  <c r="BL1640" i="2"/>
  <c r="BL1639" i="2"/>
  <c r="BL1638" i="2"/>
  <c r="BL1637" i="2"/>
  <c r="BL1636" i="2"/>
  <c r="BL1635" i="2"/>
  <c r="BL1634" i="2"/>
  <c r="BL1633" i="2"/>
  <c r="BL1632" i="2"/>
  <c r="BL1631" i="2"/>
  <c r="BL1630" i="2"/>
  <c r="BL1629" i="2"/>
  <c r="BL1628" i="2"/>
  <c r="BL1627" i="2"/>
  <c r="BL1626" i="2"/>
  <c r="BL1625" i="2"/>
  <c r="BL1624" i="2"/>
  <c r="BL1623" i="2"/>
  <c r="BL1622" i="2"/>
  <c r="BL1621" i="2"/>
  <c r="BL1620" i="2"/>
  <c r="BL1619" i="2"/>
  <c r="BL1618" i="2"/>
  <c r="BL1617" i="2"/>
  <c r="BL1616" i="2"/>
  <c r="BL1615" i="2"/>
  <c r="BL1614" i="2"/>
  <c r="BL1613" i="2"/>
  <c r="BL1612" i="2"/>
  <c r="BL1611" i="2"/>
  <c r="BL1610" i="2"/>
  <c r="BL1609" i="2"/>
  <c r="BL1608" i="2"/>
  <c r="BL1607" i="2"/>
  <c r="BL1606" i="2"/>
  <c r="BL1605" i="2"/>
  <c r="BL1604" i="2"/>
  <c r="BL1603" i="2"/>
  <c r="BL1602" i="2"/>
  <c r="BL1601" i="2"/>
  <c r="BL1600" i="2"/>
  <c r="BL1599" i="2"/>
  <c r="BL1598" i="2"/>
  <c r="BL1597" i="2"/>
  <c r="BL1596" i="2"/>
  <c r="BL1595" i="2"/>
  <c r="BL1594" i="2"/>
  <c r="BL1593" i="2"/>
  <c r="BL1592" i="2"/>
  <c r="BL1591" i="2"/>
  <c r="BL1590" i="2"/>
  <c r="BL1589" i="2"/>
  <c r="BL1588" i="2"/>
  <c r="BL1587" i="2"/>
  <c r="BL1586" i="2"/>
  <c r="BL1585" i="2"/>
  <c r="BL1584" i="2"/>
  <c r="BL1583" i="2"/>
  <c r="BL1582" i="2"/>
  <c r="BL1581" i="2"/>
  <c r="BL1580" i="2"/>
  <c r="BL1579" i="2"/>
  <c r="BL1578" i="2"/>
  <c r="BL1577" i="2"/>
  <c r="BL1576" i="2"/>
  <c r="BL1575" i="2"/>
  <c r="BL1574" i="2"/>
  <c r="BL1573" i="2"/>
  <c r="BL1572" i="2"/>
  <c r="BL1571" i="2"/>
  <c r="BL1570" i="2"/>
  <c r="BL1569" i="2"/>
  <c r="BL1568" i="2"/>
  <c r="BL1567" i="2"/>
  <c r="BL1566" i="2"/>
  <c r="BL1565" i="2"/>
  <c r="BL1564" i="2"/>
  <c r="BL1563" i="2"/>
  <c r="BL1562" i="2"/>
  <c r="BL1561" i="2"/>
  <c r="BL1560" i="2"/>
  <c r="BL1559" i="2"/>
  <c r="BL1558" i="2"/>
  <c r="BL1557" i="2"/>
  <c r="BL1556" i="2"/>
  <c r="BL1555" i="2"/>
  <c r="BL1554" i="2"/>
  <c r="BL1553" i="2"/>
  <c r="BL1552" i="2"/>
  <c r="BL1551" i="2"/>
  <c r="BL1550" i="2"/>
  <c r="BL1549" i="2"/>
  <c r="BL1548" i="2"/>
  <c r="BL1545" i="2"/>
  <c r="BL1544" i="2"/>
  <c r="BL1543" i="2"/>
  <c r="BL1542" i="2"/>
  <c r="BL1541" i="2"/>
  <c r="BL1540" i="2"/>
  <c r="BL1539" i="2"/>
  <c r="BL1538" i="2"/>
  <c r="BL1537" i="2"/>
  <c r="BL1536" i="2"/>
  <c r="BL1535" i="2"/>
  <c r="BL1534" i="2"/>
  <c r="BL1533" i="2"/>
  <c r="BL1532" i="2"/>
  <c r="BL1531" i="2"/>
  <c r="BL1530" i="2"/>
  <c r="BL1529" i="2"/>
  <c r="BL1528" i="2"/>
  <c r="BL1527" i="2"/>
  <c r="BL1526" i="2"/>
  <c r="BL1525" i="2"/>
  <c r="BL1524" i="2"/>
  <c r="BL1523" i="2"/>
  <c r="BL1522" i="2"/>
  <c r="BL1521" i="2"/>
  <c r="BL1520" i="2"/>
  <c r="BL1519" i="2"/>
  <c r="BL1518" i="2"/>
  <c r="BL1517" i="2"/>
  <c r="BL1516" i="2"/>
  <c r="BL1515" i="2"/>
  <c r="BL1514" i="2"/>
  <c r="BL1513" i="2"/>
  <c r="BL1512" i="2"/>
  <c r="BL1511" i="2"/>
  <c r="BL1510" i="2"/>
  <c r="BL1509" i="2"/>
  <c r="BL1508" i="2"/>
  <c r="BL1507" i="2"/>
  <c r="BL1506" i="2"/>
  <c r="BL1505" i="2"/>
  <c r="BL1504" i="2"/>
  <c r="BL1503" i="2"/>
  <c r="BL1502" i="2"/>
  <c r="BL1501" i="2"/>
  <c r="BL1500" i="2"/>
  <c r="BL1499" i="2"/>
  <c r="BL1498" i="2"/>
  <c r="BL1497" i="2"/>
  <c r="BL1496" i="2"/>
  <c r="BL1495" i="2"/>
  <c r="BL1494" i="2"/>
  <c r="BL1493" i="2"/>
  <c r="BL1492" i="2"/>
  <c r="BL1491" i="2"/>
  <c r="BL1490" i="2"/>
  <c r="BL1489" i="2"/>
  <c r="BL1488" i="2"/>
  <c r="BL1487" i="2"/>
  <c r="BL1486" i="2"/>
  <c r="BL1485" i="2"/>
  <c r="BL1484" i="2"/>
  <c r="BL1483" i="2"/>
  <c r="BL1482" i="2"/>
  <c r="BL1481" i="2"/>
  <c r="BL1480" i="2"/>
  <c r="BL1479" i="2"/>
  <c r="BL1478" i="2"/>
  <c r="BL1477" i="2"/>
  <c r="BL1476" i="2"/>
  <c r="BL1475" i="2"/>
  <c r="BL1474" i="2"/>
  <c r="BL1473" i="2"/>
  <c r="BL1472" i="2"/>
  <c r="BL1471" i="2"/>
  <c r="BL1470" i="2"/>
  <c r="BL1469" i="2"/>
  <c r="BL1468" i="2"/>
  <c r="BL1467" i="2"/>
  <c r="BL1466" i="2"/>
  <c r="BL1465" i="2"/>
  <c r="BL1464" i="2"/>
  <c r="BL1461" i="2"/>
  <c r="BL1460" i="2"/>
  <c r="BL1459" i="2"/>
  <c r="BL1458" i="2"/>
  <c r="BL1457" i="2"/>
  <c r="BL1456" i="2"/>
  <c r="BL1455" i="2"/>
  <c r="BL1454" i="2"/>
  <c r="BL1453" i="2"/>
  <c r="BL1452" i="2"/>
  <c r="BL1451" i="2"/>
  <c r="BL1450" i="2"/>
  <c r="BL1449" i="2"/>
  <c r="BL1448" i="2"/>
  <c r="BL1447" i="2"/>
  <c r="BL1446" i="2"/>
  <c r="BL1445" i="2"/>
  <c r="BL1444" i="2"/>
  <c r="BL1443" i="2"/>
  <c r="BL1442" i="2"/>
  <c r="BL1441" i="2"/>
  <c r="BL1440" i="2"/>
  <c r="BL1439" i="2"/>
  <c r="BL1438" i="2"/>
  <c r="BL1437" i="2"/>
  <c r="BL1436" i="2"/>
  <c r="BL1435" i="2"/>
  <c r="BL1434" i="2"/>
  <c r="BL1433" i="2"/>
  <c r="BL1432" i="2"/>
  <c r="BL1431" i="2"/>
  <c r="BL1430" i="2"/>
  <c r="BL1429" i="2"/>
  <c r="BL1428" i="2"/>
  <c r="BL1427" i="2"/>
  <c r="BL1426" i="2"/>
  <c r="BL1425" i="2"/>
  <c r="BL1424" i="2"/>
  <c r="BL1423" i="2"/>
  <c r="BL1422" i="2"/>
  <c r="BL1421" i="2"/>
  <c r="BL1420" i="2"/>
  <c r="BL1419" i="2"/>
  <c r="BL1418" i="2"/>
  <c r="BL1417" i="2"/>
  <c r="BL1416" i="2"/>
  <c r="BL1415" i="2"/>
  <c r="BL1414" i="2"/>
  <c r="BL1413" i="2"/>
  <c r="BL1412" i="2"/>
  <c r="BL1411" i="2"/>
  <c r="BL1410" i="2"/>
  <c r="BL1409" i="2"/>
  <c r="BL1408" i="2"/>
  <c r="BL1407" i="2"/>
  <c r="BL1406" i="2"/>
  <c r="BL1405" i="2"/>
  <c r="BL1404" i="2"/>
  <c r="BL1403" i="2"/>
  <c r="BL1402" i="2"/>
  <c r="BL1401" i="2"/>
  <c r="BL1400" i="2"/>
  <c r="BL1399" i="2"/>
  <c r="BL1398" i="2"/>
  <c r="BL1397" i="2"/>
  <c r="BL1396" i="2"/>
  <c r="BL1395" i="2"/>
  <c r="BL1394" i="2"/>
  <c r="BL1393" i="2"/>
  <c r="BL1392" i="2"/>
  <c r="BL1391" i="2"/>
  <c r="BL1390" i="2"/>
  <c r="BL1389" i="2"/>
  <c r="BL1388" i="2"/>
  <c r="BL1387" i="2"/>
  <c r="BL1386" i="2"/>
  <c r="BL1385" i="2"/>
  <c r="BL1384" i="2"/>
  <c r="BL1383" i="2"/>
  <c r="BL1382" i="2"/>
  <c r="BL1381" i="2"/>
  <c r="BL1380" i="2"/>
  <c r="BL1379" i="2"/>
  <c r="BL1378" i="2"/>
  <c r="BL1377" i="2"/>
  <c r="BL1376" i="2"/>
  <c r="BL1375" i="2"/>
  <c r="BL1372" i="2"/>
  <c r="BL1371" i="2"/>
  <c r="BL1370" i="2"/>
  <c r="BL1369" i="2"/>
  <c r="BL1368" i="2"/>
  <c r="BL1367" i="2"/>
  <c r="BL1366" i="2"/>
  <c r="BL1365" i="2"/>
  <c r="BL1364" i="2"/>
  <c r="BL1363" i="2"/>
  <c r="BL1362" i="2"/>
  <c r="BL1361" i="2"/>
  <c r="BL1360" i="2"/>
  <c r="BL1359" i="2"/>
  <c r="BL1358" i="2"/>
  <c r="BL1357" i="2"/>
  <c r="BL1356" i="2"/>
  <c r="BL1355" i="2"/>
  <c r="BL1354" i="2"/>
  <c r="BL1353" i="2"/>
  <c r="BL1352" i="2"/>
  <c r="BL1351" i="2"/>
  <c r="BL1350" i="2"/>
  <c r="BL1349" i="2"/>
  <c r="BL1348" i="2"/>
  <c r="BL1347" i="2"/>
  <c r="BL1346" i="2"/>
  <c r="BL1345" i="2"/>
  <c r="BL1344" i="2"/>
  <c r="BL1343" i="2"/>
  <c r="BL1342" i="2"/>
  <c r="BL1341" i="2"/>
  <c r="BL1340" i="2"/>
  <c r="BL1339" i="2"/>
  <c r="BL1338" i="2"/>
  <c r="BL1337" i="2"/>
  <c r="BL1336" i="2"/>
  <c r="BL1335" i="2"/>
  <c r="BL1334" i="2"/>
  <c r="BL1333" i="2"/>
  <c r="BL1332" i="2"/>
  <c r="BL1331" i="2"/>
  <c r="BL1330" i="2"/>
  <c r="BL1329" i="2"/>
  <c r="BL1328" i="2"/>
  <c r="BL1327" i="2"/>
  <c r="BL1326" i="2"/>
  <c r="BL1325" i="2"/>
  <c r="BL1324" i="2"/>
  <c r="BL1323" i="2"/>
  <c r="BL1322" i="2"/>
  <c r="BL1321" i="2"/>
  <c r="BL1320" i="2"/>
  <c r="BL1319" i="2"/>
  <c r="BL1318" i="2"/>
  <c r="BL1317" i="2"/>
  <c r="BL1316" i="2"/>
  <c r="BL1315" i="2"/>
  <c r="BL1314" i="2"/>
  <c r="BL1313" i="2"/>
  <c r="BL1312" i="2"/>
  <c r="BL1311" i="2"/>
  <c r="BL1310" i="2"/>
  <c r="BL1309" i="2"/>
  <c r="BL1308" i="2"/>
  <c r="BL1307" i="2"/>
  <c r="BL1306" i="2"/>
  <c r="BL1305" i="2"/>
  <c r="BL1304" i="2"/>
  <c r="BL1303" i="2"/>
  <c r="BL1302" i="2"/>
  <c r="BL1301" i="2"/>
  <c r="BL1300" i="2"/>
  <c r="BL1299" i="2"/>
  <c r="BL1298" i="2"/>
  <c r="BL1297" i="2"/>
  <c r="BL1296" i="2"/>
  <c r="BL1295" i="2"/>
  <c r="BL1294" i="2"/>
  <c r="BL1293" i="2"/>
  <c r="BL1292" i="2"/>
  <c r="BL1291" i="2"/>
  <c r="BL1290" i="2"/>
  <c r="BL1271" i="2"/>
  <c r="BL1270" i="2"/>
  <c r="BL1269" i="2"/>
  <c r="BL1268" i="2"/>
  <c r="BL1267" i="2"/>
  <c r="BL1266" i="2"/>
  <c r="BL1265" i="2"/>
  <c r="BL1264" i="2"/>
  <c r="BL1263" i="2"/>
  <c r="BL1262" i="2"/>
  <c r="BL1261" i="2"/>
  <c r="BL1260" i="2"/>
  <c r="BL1259" i="2"/>
  <c r="BL1258" i="2"/>
  <c r="BL1257" i="2"/>
  <c r="BL1256" i="2"/>
  <c r="BL1255" i="2"/>
  <c r="BL1254" i="2"/>
  <c r="BL1253" i="2"/>
  <c r="BL1252" i="2"/>
  <c r="BL1251" i="2"/>
  <c r="BL1250" i="2"/>
  <c r="BL1249" i="2"/>
  <c r="BL1248" i="2"/>
  <c r="BL1226" i="2"/>
  <c r="BL1225" i="2"/>
  <c r="BL1224" i="2"/>
  <c r="BL1223" i="2"/>
  <c r="BL1222" i="2"/>
  <c r="BL1221" i="2"/>
  <c r="BL1220" i="2"/>
  <c r="BL1219" i="2"/>
  <c r="BL1218" i="2"/>
  <c r="BL1217" i="2"/>
  <c r="BL1216" i="2"/>
  <c r="BL1215" i="2"/>
  <c r="BL1214" i="2"/>
  <c r="BL1213" i="2"/>
  <c r="BL1212" i="2"/>
  <c r="BL1211" i="2"/>
  <c r="BL1210" i="2"/>
  <c r="BL1209" i="2"/>
  <c r="BL1208" i="2"/>
  <c r="BL1207" i="2"/>
  <c r="BL1206" i="2"/>
  <c r="BL1205" i="2"/>
  <c r="BL1204" i="2"/>
  <c r="BL1203" i="2"/>
  <c r="BL1202" i="2"/>
  <c r="BL1201" i="2"/>
  <c r="BL1200" i="2"/>
  <c r="BL1199" i="2"/>
  <c r="BL1198" i="2"/>
  <c r="BL1197" i="2"/>
  <c r="BL1196" i="2"/>
  <c r="BL1195" i="2"/>
  <c r="BL1194" i="2"/>
  <c r="BL1193" i="2"/>
  <c r="BL1192" i="2"/>
  <c r="BL1191" i="2"/>
  <c r="BL1190" i="2"/>
  <c r="BL1189" i="2"/>
  <c r="BL1188" i="2"/>
  <c r="BL1187" i="2"/>
  <c r="BL1186" i="2"/>
  <c r="BL1185" i="2"/>
  <c r="BL1184" i="2"/>
  <c r="BL1183" i="2"/>
  <c r="BL1182" i="2"/>
  <c r="BL1181" i="2"/>
  <c r="BL1180" i="2"/>
  <c r="BL1179" i="2"/>
  <c r="BL1178" i="2"/>
  <c r="BL1177" i="2"/>
  <c r="BL1176" i="2"/>
  <c r="BL1175" i="2"/>
  <c r="BL1174" i="2"/>
  <c r="BL1173" i="2"/>
  <c r="BL1172" i="2"/>
  <c r="BL1171" i="2"/>
  <c r="BL1170" i="2"/>
  <c r="BL1169" i="2"/>
  <c r="BL1168" i="2"/>
  <c r="BL1167" i="2"/>
  <c r="BL1166" i="2"/>
  <c r="BL1165" i="2"/>
  <c r="BL1164" i="2"/>
  <c r="BL1163" i="2"/>
  <c r="BL1160" i="2"/>
  <c r="BL1159" i="2"/>
  <c r="BL1158" i="2"/>
  <c r="BL1157" i="2"/>
  <c r="BL1156" i="2"/>
  <c r="BL1155" i="2"/>
  <c r="BL1154" i="2"/>
  <c r="BL1153" i="2"/>
  <c r="BL1152" i="2"/>
  <c r="BL1151" i="2"/>
  <c r="BL1150" i="2"/>
  <c r="BL1149" i="2"/>
  <c r="BL1148" i="2"/>
  <c r="BL1147" i="2"/>
  <c r="BL1146" i="2"/>
  <c r="BL1145" i="2"/>
  <c r="BL1144" i="2"/>
  <c r="BL1143" i="2"/>
  <c r="BL1142" i="2"/>
  <c r="BL1141" i="2"/>
  <c r="BL1140" i="2"/>
  <c r="BL1139" i="2"/>
  <c r="BL1138" i="2"/>
  <c r="BL1137" i="2"/>
  <c r="BL1136" i="2"/>
  <c r="BL1135" i="2"/>
  <c r="BL1134" i="2"/>
  <c r="BL1133" i="2"/>
  <c r="BL1132" i="2"/>
  <c r="BL1131" i="2"/>
  <c r="BL1130" i="2"/>
  <c r="BL1129" i="2"/>
  <c r="BL1128" i="2"/>
  <c r="BL1127" i="2"/>
  <c r="BL1126" i="2"/>
  <c r="BL1125" i="2"/>
  <c r="BL1124" i="2"/>
  <c r="BL1123" i="2"/>
  <c r="BL1122" i="2"/>
  <c r="BL1121" i="2"/>
  <c r="BL1120" i="2"/>
  <c r="BL1119" i="2"/>
  <c r="BL1118" i="2"/>
  <c r="BL1117" i="2"/>
  <c r="BL1116" i="2"/>
  <c r="BL1115" i="2"/>
  <c r="BL1114" i="2"/>
  <c r="BL1113" i="2"/>
  <c r="BL1112" i="2"/>
  <c r="BL1111" i="2"/>
  <c r="BL1110" i="2"/>
  <c r="BL1109" i="2"/>
  <c r="BL1108" i="2"/>
  <c r="BL1107" i="2"/>
  <c r="BL1106" i="2"/>
  <c r="BL1105" i="2"/>
  <c r="BL1104" i="2"/>
  <c r="BL1103" i="2"/>
  <c r="BL1102" i="2"/>
  <c r="BL1101" i="2"/>
  <c r="BL1100" i="2"/>
  <c r="BL1099" i="2"/>
  <c r="BL1098" i="2"/>
  <c r="BL1097" i="2"/>
  <c r="BL1096" i="2"/>
  <c r="BL1095" i="2"/>
  <c r="BL1094" i="2"/>
  <c r="BL1093" i="2"/>
  <c r="BL1092" i="2"/>
  <c r="BL1091" i="2"/>
  <c r="BL1090" i="2"/>
  <c r="BL1089" i="2"/>
  <c r="BL1088" i="2"/>
  <c r="BL1087" i="2"/>
  <c r="BL1086" i="2"/>
  <c r="BL1085" i="2"/>
  <c r="BL1084" i="2"/>
  <c r="BL1083" i="2"/>
  <c r="BL1082" i="2"/>
  <c r="BL1081" i="2"/>
  <c r="BL1080" i="2"/>
  <c r="BL1079" i="2"/>
  <c r="BL1078" i="2"/>
  <c r="BL1077" i="2"/>
  <c r="BL1076" i="2"/>
  <c r="BL1075" i="2"/>
  <c r="BL1074" i="2"/>
  <c r="BL1073" i="2"/>
  <c r="BL1072" i="2"/>
  <c r="BL1071" i="2"/>
  <c r="BL1070" i="2"/>
  <c r="BL1069" i="2"/>
  <c r="BL1068" i="2"/>
  <c r="BL1067" i="2"/>
  <c r="BL1066" i="2"/>
  <c r="BL1065" i="2"/>
  <c r="BL1064" i="2"/>
  <c r="BL1063" i="2"/>
  <c r="BL1062" i="2"/>
  <c r="BL1061" i="2"/>
  <c r="BL1060" i="2"/>
  <c r="BL1059" i="2"/>
  <c r="BL1058" i="2"/>
  <c r="BL1057" i="2"/>
  <c r="BL1056" i="2"/>
  <c r="BL1055" i="2"/>
  <c r="BL1054" i="2"/>
  <c r="BL1053" i="2"/>
  <c r="BL1052" i="2"/>
  <c r="BL1051" i="2"/>
  <c r="BL1050" i="2"/>
  <c r="BL1049" i="2"/>
  <c r="BL1048" i="2"/>
  <c r="BL1047" i="2"/>
  <c r="BL1046" i="2"/>
  <c r="BL1045" i="2"/>
  <c r="BL1044" i="2"/>
  <c r="BL1043" i="2"/>
  <c r="BL1042" i="2"/>
  <c r="BL1041" i="2"/>
  <c r="BL1038" i="2"/>
  <c r="BL1037" i="2"/>
  <c r="BL1036" i="2"/>
  <c r="BL1035" i="2"/>
  <c r="BL1034" i="2"/>
  <c r="BL1033" i="2"/>
  <c r="BL1032" i="2"/>
  <c r="BL1031" i="2"/>
  <c r="BL1030" i="2"/>
  <c r="BL1029" i="2"/>
  <c r="BL1028" i="2"/>
  <c r="BL1027" i="2"/>
  <c r="BL1026" i="2"/>
  <c r="BL1025" i="2"/>
  <c r="BL1024" i="2"/>
  <c r="BL1023" i="2"/>
  <c r="BL1022" i="2"/>
  <c r="BL1021" i="2"/>
  <c r="BL1020" i="2"/>
  <c r="BL1019" i="2"/>
  <c r="BL1018" i="2"/>
  <c r="BL1017" i="2"/>
  <c r="BL1016" i="2"/>
  <c r="BL1015" i="2"/>
  <c r="BL1014" i="2"/>
  <c r="BL1013" i="2"/>
  <c r="BL1012" i="2"/>
  <c r="BL1011" i="2"/>
  <c r="BL1010" i="2"/>
  <c r="BL1009" i="2"/>
  <c r="BL1008" i="2"/>
  <c r="BL1007" i="2"/>
  <c r="BL1006" i="2"/>
  <c r="BL1005" i="2"/>
  <c r="BL1004" i="2"/>
  <c r="BL1003" i="2"/>
  <c r="BL1002" i="2"/>
  <c r="BL1001" i="2"/>
  <c r="BL1000" i="2"/>
  <c r="BL999" i="2"/>
  <c r="BL998" i="2"/>
  <c r="BL997" i="2"/>
  <c r="BL996" i="2"/>
  <c r="BL995" i="2"/>
  <c r="BL994" i="2"/>
  <c r="BL993" i="2"/>
  <c r="BL992" i="2"/>
  <c r="BL991" i="2"/>
  <c r="BL990" i="2"/>
  <c r="BL989" i="2"/>
  <c r="BL988" i="2"/>
  <c r="BL987" i="2"/>
  <c r="BL986" i="2"/>
  <c r="BL985" i="2"/>
  <c r="BL984" i="2"/>
  <c r="BL983" i="2"/>
  <c r="BL982" i="2"/>
  <c r="BL981" i="2"/>
  <c r="BL980" i="2"/>
  <c r="BL979" i="2"/>
  <c r="BL978" i="2"/>
  <c r="BL977" i="2"/>
  <c r="BL976" i="2"/>
  <c r="BL975" i="2"/>
  <c r="BL974" i="2"/>
  <c r="BL973" i="2"/>
  <c r="BL972" i="2"/>
  <c r="BL971" i="2"/>
  <c r="BL970" i="2"/>
  <c r="BL969" i="2"/>
  <c r="BL968" i="2"/>
  <c r="BL967" i="2"/>
  <c r="BL966" i="2"/>
  <c r="BL965" i="2"/>
  <c r="BL964" i="2"/>
  <c r="BL963" i="2"/>
  <c r="BL962" i="2"/>
  <c r="BL961" i="2"/>
  <c r="BL960" i="2"/>
  <c r="BL959" i="2"/>
  <c r="BL958" i="2"/>
  <c r="BL957" i="2"/>
  <c r="BL956" i="2"/>
  <c r="BL955" i="2"/>
  <c r="BL954" i="2"/>
  <c r="BL953" i="2"/>
  <c r="BL952" i="2"/>
  <c r="BL951" i="2"/>
  <c r="BL950" i="2"/>
  <c r="BL949" i="2"/>
  <c r="BL948" i="2"/>
  <c r="BL947" i="2"/>
  <c r="BL946" i="2"/>
  <c r="BL945" i="2"/>
  <c r="BL944" i="2"/>
  <c r="BL943" i="2"/>
  <c r="BL942" i="2"/>
  <c r="BL941" i="2"/>
  <c r="BL940" i="2"/>
  <c r="BL939" i="2"/>
  <c r="BL938" i="2"/>
  <c r="BL937" i="2"/>
  <c r="BL936" i="2"/>
  <c r="BL935" i="2"/>
  <c r="BL934" i="2"/>
  <c r="BL931" i="2"/>
  <c r="BL930" i="2"/>
  <c r="BL929" i="2"/>
  <c r="BL928" i="2"/>
  <c r="BL927" i="2"/>
  <c r="BL926" i="2"/>
  <c r="BL925" i="2"/>
  <c r="BL924" i="2"/>
  <c r="BL923" i="2"/>
  <c r="BL922" i="2"/>
  <c r="BL921" i="2"/>
  <c r="BL920" i="2"/>
  <c r="BL919" i="2"/>
  <c r="BL918" i="2"/>
  <c r="BL917" i="2"/>
  <c r="BL916" i="2"/>
  <c r="BL915" i="2"/>
  <c r="BL914" i="2"/>
  <c r="BL913" i="2"/>
  <c r="BL912" i="2"/>
  <c r="BL911" i="2"/>
  <c r="BL910" i="2"/>
  <c r="BL909" i="2"/>
  <c r="BL908" i="2"/>
  <c r="BL907" i="2"/>
  <c r="BL906" i="2"/>
  <c r="BL905" i="2"/>
  <c r="BL904" i="2"/>
  <c r="BL903" i="2"/>
  <c r="BL902" i="2"/>
  <c r="BL901" i="2"/>
  <c r="BL900" i="2"/>
  <c r="BL899" i="2"/>
  <c r="BL898" i="2"/>
  <c r="BL897" i="2"/>
  <c r="BL896" i="2"/>
  <c r="BL895" i="2"/>
  <c r="BL894" i="2"/>
  <c r="BL893" i="2"/>
  <c r="BL892" i="2"/>
  <c r="BL891" i="2"/>
  <c r="BL890" i="2"/>
  <c r="BL889" i="2"/>
  <c r="BL888" i="2"/>
  <c r="BL887" i="2"/>
  <c r="BL886" i="2"/>
  <c r="BL885" i="2"/>
  <c r="BL884" i="2"/>
  <c r="BL883" i="2"/>
  <c r="BL882" i="2"/>
  <c r="BL881" i="2"/>
  <c r="BL880" i="2"/>
  <c r="BL879" i="2"/>
  <c r="BL878" i="2"/>
  <c r="BL877" i="2"/>
  <c r="BL876" i="2"/>
  <c r="BL875" i="2"/>
  <c r="BL874" i="2"/>
  <c r="BL873" i="2"/>
  <c r="BL872" i="2"/>
  <c r="BL871" i="2"/>
  <c r="BL870" i="2"/>
  <c r="BL869" i="2"/>
  <c r="BL868" i="2"/>
  <c r="BL867" i="2"/>
  <c r="BL866" i="2"/>
  <c r="BL865" i="2"/>
  <c r="BL864" i="2"/>
  <c r="BL863" i="2"/>
  <c r="BL862" i="2"/>
  <c r="BL861" i="2"/>
  <c r="BL860" i="2"/>
  <c r="BL859" i="2"/>
  <c r="BL858" i="2"/>
  <c r="BL857" i="2"/>
  <c r="BL856" i="2"/>
  <c r="BL855" i="2"/>
  <c r="BL854" i="2"/>
  <c r="BL853" i="2"/>
  <c r="BL852" i="2"/>
  <c r="BL851" i="2"/>
  <c r="BL850" i="2"/>
  <c r="BL849" i="2"/>
  <c r="BL848" i="2"/>
  <c r="BL847" i="2"/>
  <c r="BL846" i="2"/>
  <c r="BL845" i="2"/>
  <c r="BL844" i="2"/>
  <c r="BL843" i="2"/>
  <c r="BL842" i="2"/>
  <c r="BL841" i="2"/>
  <c r="BL840" i="2"/>
  <c r="BL839" i="2"/>
  <c r="BL838" i="2"/>
  <c r="BL837" i="2"/>
  <c r="BL836" i="2"/>
  <c r="BL835" i="2"/>
  <c r="BL834" i="2"/>
  <c r="BL833" i="2"/>
  <c r="BL830" i="2"/>
  <c r="BL829" i="2"/>
  <c r="BL828" i="2"/>
  <c r="BL827" i="2"/>
  <c r="BL826" i="2"/>
  <c r="BL825" i="2"/>
  <c r="BL824" i="2"/>
  <c r="BL823" i="2"/>
  <c r="BL822" i="2"/>
  <c r="BL821" i="2"/>
  <c r="BL820" i="2"/>
  <c r="BL819" i="2"/>
  <c r="BL818" i="2"/>
  <c r="BL817" i="2"/>
  <c r="BL816" i="2"/>
  <c r="BL815" i="2"/>
  <c r="BL814" i="2"/>
  <c r="BL813" i="2"/>
  <c r="BL812" i="2"/>
  <c r="BL811" i="2"/>
  <c r="BL810" i="2"/>
  <c r="BL809" i="2"/>
  <c r="BL808" i="2"/>
  <c r="BL807" i="2"/>
  <c r="BL806" i="2"/>
  <c r="BL805" i="2"/>
  <c r="BL804" i="2"/>
  <c r="BL803" i="2"/>
  <c r="BL802" i="2"/>
  <c r="BL801" i="2"/>
  <c r="BL800" i="2"/>
  <c r="BL799" i="2"/>
  <c r="BL798" i="2"/>
  <c r="BL797" i="2"/>
  <c r="BL796" i="2"/>
  <c r="BL795" i="2"/>
  <c r="BL794" i="2"/>
  <c r="BL793" i="2"/>
  <c r="BL792" i="2"/>
  <c r="BL791" i="2"/>
  <c r="BL790" i="2"/>
  <c r="BL789" i="2"/>
  <c r="BL788" i="2"/>
  <c r="BL787" i="2"/>
  <c r="BL786" i="2"/>
  <c r="BL785" i="2"/>
  <c r="BL784" i="2"/>
  <c r="BL783" i="2"/>
  <c r="BL782" i="2"/>
  <c r="BL781" i="2"/>
  <c r="BL780" i="2"/>
  <c r="BL779" i="2"/>
  <c r="BL778" i="2"/>
  <c r="BL777" i="2"/>
  <c r="BL776" i="2"/>
  <c r="BL775" i="2"/>
  <c r="BL774" i="2"/>
  <c r="BL773" i="2"/>
  <c r="BL772" i="2"/>
  <c r="BL771" i="2"/>
  <c r="BL770" i="2"/>
  <c r="BL769" i="2"/>
  <c r="BL768" i="2"/>
  <c r="BL767" i="2"/>
  <c r="BL766" i="2"/>
  <c r="BL765" i="2"/>
  <c r="BL764" i="2"/>
  <c r="BL763" i="2"/>
  <c r="BL762" i="2"/>
  <c r="BL761" i="2"/>
  <c r="BL760" i="2"/>
  <c r="BL759" i="2"/>
  <c r="BL758" i="2"/>
  <c r="BL757" i="2"/>
  <c r="BL756" i="2"/>
  <c r="BL755" i="2"/>
  <c r="BL754" i="2"/>
  <c r="BL753" i="2"/>
  <c r="BL752" i="2"/>
  <c r="BL751" i="2"/>
  <c r="BL750" i="2"/>
  <c r="BL749" i="2"/>
  <c r="BL748" i="2"/>
  <c r="BL747" i="2"/>
  <c r="BL746" i="2"/>
  <c r="BL745" i="2"/>
  <c r="BL744" i="2"/>
  <c r="BL743" i="2"/>
  <c r="BL742" i="2"/>
  <c r="BL741" i="2"/>
  <c r="BL740" i="2"/>
  <c r="BL739" i="2"/>
  <c r="BL736" i="2"/>
  <c r="BL735" i="2"/>
  <c r="BL734" i="2"/>
  <c r="BL733" i="2"/>
  <c r="BL732" i="2"/>
  <c r="BL731" i="2"/>
  <c r="BL730" i="2"/>
  <c r="BL729" i="2"/>
  <c r="BL728" i="2"/>
  <c r="BL727" i="2"/>
  <c r="BL726" i="2"/>
  <c r="BL725" i="2"/>
  <c r="BL724" i="2"/>
  <c r="BL723" i="2"/>
  <c r="BL722" i="2"/>
  <c r="BL721" i="2"/>
  <c r="BL720" i="2"/>
  <c r="BL719" i="2"/>
  <c r="BL718" i="2"/>
  <c r="BL717" i="2"/>
  <c r="BL716" i="2"/>
  <c r="BL715" i="2"/>
  <c r="BL714" i="2"/>
  <c r="BL713" i="2"/>
  <c r="BL712" i="2"/>
  <c r="BL711" i="2"/>
  <c r="BL710" i="2"/>
  <c r="BL709" i="2"/>
  <c r="BL708" i="2"/>
  <c r="BL707" i="2"/>
  <c r="BL706" i="2"/>
  <c r="BL705" i="2"/>
  <c r="BL704" i="2"/>
  <c r="BL703" i="2"/>
  <c r="BL702" i="2"/>
  <c r="BL701" i="2"/>
  <c r="BL700" i="2"/>
  <c r="BL699" i="2"/>
  <c r="BL698" i="2"/>
  <c r="BL697" i="2"/>
  <c r="BL696" i="2"/>
  <c r="BL695" i="2"/>
  <c r="BL694" i="2"/>
  <c r="BL693" i="2"/>
  <c r="BL692" i="2"/>
  <c r="BL691" i="2"/>
  <c r="BL690" i="2"/>
  <c r="BL689" i="2"/>
  <c r="BL688" i="2"/>
  <c r="BL687" i="2"/>
  <c r="BL686" i="2"/>
  <c r="BL685" i="2"/>
  <c r="BL684" i="2"/>
  <c r="BL683" i="2"/>
  <c r="BL682" i="2"/>
  <c r="BL681" i="2"/>
  <c r="BL680" i="2"/>
  <c r="BL679" i="2"/>
  <c r="BL678" i="2"/>
  <c r="BL677" i="2"/>
  <c r="BL676" i="2"/>
  <c r="BL675" i="2"/>
  <c r="BL674" i="2"/>
  <c r="BL673" i="2"/>
  <c r="BL672" i="2"/>
  <c r="BL671" i="2"/>
  <c r="BL670" i="2"/>
  <c r="BL669" i="2"/>
  <c r="BL668" i="2"/>
  <c r="BL667" i="2"/>
  <c r="BL666" i="2"/>
  <c r="BL665" i="2"/>
  <c r="BL664" i="2"/>
  <c r="BL663" i="2"/>
  <c r="BL662" i="2"/>
  <c r="BL661" i="2"/>
  <c r="BL660" i="2"/>
  <c r="BL659" i="2"/>
  <c r="BL658" i="2"/>
  <c r="BL657" i="2"/>
  <c r="BL656" i="2"/>
  <c r="BL655" i="2"/>
  <c r="BL654" i="2"/>
  <c r="BL653" i="2"/>
  <c r="BL652" i="2"/>
  <c r="BL651" i="2"/>
  <c r="BL650" i="2"/>
  <c r="BL649" i="2"/>
  <c r="BL648" i="2"/>
  <c r="BL647" i="2"/>
  <c r="BL646" i="2"/>
  <c r="BL645" i="2"/>
  <c r="BL644" i="2"/>
  <c r="BL643" i="2"/>
  <c r="BL642" i="2"/>
  <c r="BL641" i="2"/>
  <c r="BL640" i="2"/>
  <c r="BL639" i="2"/>
  <c r="BL638" i="2"/>
  <c r="BL637" i="2"/>
  <c r="BL636" i="2"/>
  <c r="BL635" i="2"/>
  <c r="BL632" i="2"/>
  <c r="BL631" i="2"/>
  <c r="BL630" i="2"/>
  <c r="BL629" i="2"/>
  <c r="BL628" i="2"/>
  <c r="BL627" i="2"/>
  <c r="BL626" i="2"/>
  <c r="BL625" i="2"/>
  <c r="BL624" i="2"/>
  <c r="BL623" i="2"/>
  <c r="BL622" i="2"/>
  <c r="BL621" i="2"/>
  <c r="BL620" i="2"/>
  <c r="BL619" i="2"/>
  <c r="BL618" i="2"/>
  <c r="BL617" i="2"/>
  <c r="BL616" i="2"/>
  <c r="BL615" i="2"/>
  <c r="BL614" i="2"/>
  <c r="BL613" i="2"/>
  <c r="BL612" i="2"/>
  <c r="BL611" i="2"/>
  <c r="BL610" i="2"/>
  <c r="BL609" i="2"/>
  <c r="BL608" i="2"/>
  <c r="BL607" i="2"/>
  <c r="BL606" i="2"/>
  <c r="BL605" i="2"/>
  <c r="BL604" i="2"/>
  <c r="BL603" i="2"/>
  <c r="BL602" i="2"/>
  <c r="BL601" i="2"/>
  <c r="BL600" i="2"/>
  <c r="BL599" i="2"/>
  <c r="BL598" i="2"/>
  <c r="BL597" i="2"/>
  <c r="BL596" i="2"/>
  <c r="BL595" i="2"/>
  <c r="BL594" i="2"/>
  <c r="BL593" i="2"/>
  <c r="BL592" i="2"/>
  <c r="BL591" i="2"/>
  <c r="BL590" i="2"/>
  <c r="BL589" i="2"/>
  <c r="BL586" i="2"/>
  <c r="BL585" i="2"/>
  <c r="BL584" i="2"/>
  <c r="BL583" i="2"/>
  <c r="BL580" i="2"/>
  <c r="BL579" i="2"/>
  <c r="BL578" i="2"/>
  <c r="BL577" i="2"/>
  <c r="BL576" i="2"/>
  <c r="BL575" i="2"/>
  <c r="BL574" i="2"/>
  <c r="BL573" i="2"/>
  <c r="BL572" i="2"/>
  <c r="BL571" i="2"/>
  <c r="BL570" i="2"/>
  <c r="BL569" i="2"/>
  <c r="BL568" i="2"/>
  <c r="BL567" i="2"/>
  <c r="BL566" i="2"/>
  <c r="BL565" i="2"/>
  <c r="BL564" i="2"/>
  <c r="BL563" i="2"/>
  <c r="BL562" i="2"/>
  <c r="BL561" i="2"/>
  <c r="BL560" i="2"/>
  <c r="BL559" i="2"/>
  <c r="BL558" i="2"/>
  <c r="BL557" i="2"/>
  <c r="BL556" i="2"/>
  <c r="BL555" i="2"/>
  <c r="BL554" i="2"/>
  <c r="BL553" i="2"/>
  <c r="BL552" i="2"/>
  <c r="BL551" i="2"/>
  <c r="BL550" i="2"/>
  <c r="BL549" i="2"/>
  <c r="BL548" i="2"/>
  <c r="BL547" i="2"/>
  <c r="BL546" i="2"/>
  <c r="BL545" i="2"/>
  <c r="BL544" i="2"/>
  <c r="BL543" i="2"/>
  <c r="BL542" i="2"/>
  <c r="BL541" i="2"/>
  <c r="BL540" i="2"/>
  <c r="BL539" i="2"/>
  <c r="BL538" i="2"/>
  <c r="BL537" i="2"/>
  <c r="BL536" i="2"/>
  <c r="BL535" i="2"/>
  <c r="BL534" i="2"/>
  <c r="BL533" i="2"/>
  <c r="BL532" i="2"/>
  <c r="BL531" i="2"/>
  <c r="BL530" i="2"/>
  <c r="BL529" i="2"/>
  <c r="BL528" i="2"/>
  <c r="BL527" i="2"/>
  <c r="BL526" i="2"/>
  <c r="BL525" i="2"/>
  <c r="BL524" i="2"/>
  <c r="BL523" i="2"/>
  <c r="BL522" i="2"/>
  <c r="BL521" i="2"/>
  <c r="BL520" i="2"/>
  <c r="BL519" i="2"/>
  <c r="BL518" i="2"/>
  <c r="BL517" i="2"/>
  <c r="BL516" i="2"/>
  <c r="BL515" i="2"/>
  <c r="BL514" i="2"/>
  <c r="BL513" i="2"/>
  <c r="BL512" i="2"/>
  <c r="BL511" i="2"/>
  <c r="BL510" i="2"/>
  <c r="BL509" i="2"/>
  <c r="BL508" i="2"/>
  <c r="BL507" i="2"/>
  <c r="BL506" i="2"/>
  <c r="BL505" i="2"/>
  <c r="BL504" i="2"/>
  <c r="BL503" i="2"/>
  <c r="BL502" i="2"/>
  <c r="BL501" i="2"/>
  <c r="BL500" i="2"/>
  <c r="BL499" i="2"/>
  <c r="BL498" i="2"/>
  <c r="BL497" i="2"/>
  <c r="BL496" i="2"/>
  <c r="BL495" i="2"/>
  <c r="BL494" i="2"/>
  <c r="BL493" i="2"/>
  <c r="BL492" i="2"/>
  <c r="BL491" i="2"/>
  <c r="BL490" i="2"/>
  <c r="BL489" i="2"/>
  <c r="BL488" i="2"/>
  <c r="BL487" i="2"/>
  <c r="BL486" i="2"/>
  <c r="BL485" i="2"/>
  <c r="BL484" i="2"/>
  <c r="BL483" i="2"/>
  <c r="BL482" i="2"/>
  <c r="BL481" i="2"/>
  <c r="BL480" i="2"/>
  <c r="BL479" i="2"/>
  <c r="BL478" i="2"/>
  <c r="BL477" i="2"/>
  <c r="BL476" i="2"/>
  <c r="BL475" i="2"/>
  <c r="BL474" i="2"/>
  <c r="BL473" i="2"/>
  <c r="BL472" i="2"/>
  <c r="BL471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1" i="2"/>
  <c r="BL450" i="2"/>
  <c r="BL449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30" i="2"/>
  <c r="BL429" i="2"/>
  <c r="BL428" i="2"/>
  <c r="BL427" i="2"/>
  <c r="BL426" i="2"/>
  <c r="BL425" i="2"/>
  <c r="BL424" i="2"/>
  <c r="BL423" i="2"/>
  <c r="BL422" i="2"/>
  <c r="BL419" i="2"/>
  <c r="BL418" i="2"/>
  <c r="BL417" i="2"/>
  <c r="BL416" i="2"/>
  <c r="BL415" i="2"/>
  <c r="BL414" i="2"/>
  <c r="BL413" i="2"/>
  <c r="BL412" i="2"/>
  <c r="BL411" i="2"/>
  <c r="BL410" i="2"/>
  <c r="BL409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8" i="2"/>
  <c r="BL357" i="2"/>
  <c r="BL356" i="2"/>
  <c r="BL355" i="2"/>
  <c r="BL354" i="2"/>
  <c r="BL353" i="2"/>
  <c r="BL350" i="2"/>
  <c r="BL347" i="2"/>
  <c r="BL346" i="2"/>
  <c r="BL345" i="2"/>
  <c r="BL206" i="2"/>
  <c r="BL205" i="2"/>
  <c r="BL204" i="2"/>
  <c r="BL203" i="2"/>
  <c r="BL202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9" i="2"/>
  <c r="BL188" i="2"/>
  <c r="BL187" i="2"/>
  <c r="BL186" i="2"/>
  <c r="BL185" i="2"/>
  <c r="BL184" i="2"/>
  <c r="BL183" i="2"/>
  <c r="BL182" i="2"/>
  <c r="BL181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2" i="2"/>
  <c r="BL161" i="2"/>
  <c r="BL160" i="2"/>
  <c r="BL159" i="2"/>
  <c r="BL158" i="2"/>
  <c r="BL157" i="2"/>
  <c r="BL156" i="2"/>
  <c r="BL155" i="2"/>
  <c r="BL154" i="2"/>
  <c r="BL153" i="2"/>
  <c r="BL152" i="2"/>
  <c r="BL151" i="2"/>
  <c r="BL150" i="2"/>
  <c r="BL149" i="2"/>
  <c r="BL148" i="2"/>
  <c r="BL147" i="2"/>
  <c r="BL146" i="2"/>
  <c r="BL145" i="2"/>
  <c r="BL144" i="2"/>
  <c r="BL143" i="2"/>
  <c r="BL142" i="2"/>
  <c r="BL141" i="2"/>
  <c r="BL140" i="2"/>
  <c r="BL139" i="2"/>
  <c r="BL138" i="2"/>
  <c r="BL137" i="2"/>
  <c r="BL136" i="2"/>
  <c r="BL135" i="2"/>
  <c r="BL134" i="2"/>
  <c r="BL133" i="2"/>
  <c r="BL132" i="2"/>
  <c r="BL112" i="2"/>
  <c r="BL110" i="2"/>
  <c r="BL109" i="2"/>
  <c r="BL108" i="2"/>
  <c r="BL107" i="2"/>
  <c r="BL106" i="2"/>
  <c r="BL105" i="2"/>
  <c r="BL104" i="2"/>
  <c r="BL103" i="2"/>
  <c r="BL102" i="2"/>
  <c r="BL101" i="2"/>
  <c r="BL100" i="2"/>
  <c r="BL99" i="2"/>
  <c r="BL98" i="2"/>
  <c r="BL97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50" i="2"/>
  <c r="BL49" i="2"/>
  <c r="BL48" i="2"/>
  <c r="BL47" i="2"/>
  <c r="BL46" i="2"/>
  <c r="BL45" i="2"/>
  <c r="BL44" i="2"/>
  <c r="BL43" i="2"/>
  <c r="BL42" i="2"/>
  <c r="BL41" i="2"/>
  <c r="BL40" i="2"/>
  <c r="BL39" i="2"/>
  <c r="BL38" i="2"/>
  <c r="BL37" i="2"/>
  <c r="BL36" i="2"/>
  <c r="BL35" i="2"/>
  <c r="BL34" i="2"/>
  <c r="BL33" i="2"/>
  <c r="BL32" i="2"/>
  <c r="BL31" i="2"/>
  <c r="BL30" i="2"/>
  <c r="BL29" i="2"/>
  <c r="BL28" i="2"/>
  <c r="BL27" i="2"/>
  <c r="BL26" i="2"/>
  <c r="BL25" i="2"/>
  <c r="BL24" i="2"/>
  <c r="BL23" i="2"/>
  <c r="BL22" i="2"/>
  <c r="BL21" i="2"/>
  <c r="BL20" i="2"/>
  <c r="BL19" i="2"/>
  <c r="BL18" i="2"/>
  <c r="BL17" i="2"/>
  <c r="BL16" i="2"/>
  <c r="BL15" i="2"/>
  <c r="BL14" i="2"/>
  <c r="BL13" i="2"/>
  <c r="BL12" i="2"/>
  <c r="BL11" i="2"/>
  <c r="BL10" i="2"/>
  <c r="BL9" i="2"/>
  <c r="BL8" i="2"/>
  <c r="BL7" i="2"/>
  <c r="BL6" i="2"/>
  <c r="BL5" i="2"/>
  <c r="BL4" i="2"/>
  <c r="BL3" i="2"/>
  <c r="CO335" i="2"/>
  <c r="CO336" i="2"/>
  <c r="CO337" i="2"/>
  <c r="CO338" i="2"/>
  <c r="CO339" i="2"/>
  <c r="CO340" i="2"/>
  <c r="CO341" i="2"/>
  <c r="CO342" i="2"/>
  <c r="CO343" i="2"/>
  <c r="CN335" i="2"/>
  <c r="CN336" i="2"/>
  <c r="CN337" i="2"/>
  <c r="CN338" i="2"/>
  <c r="CN339" i="2"/>
  <c r="CN340" i="2"/>
  <c r="CN341" i="2"/>
  <c r="CN342" i="2"/>
  <c r="CN343" i="2"/>
  <c r="CM335" i="2"/>
  <c r="CM336" i="2"/>
  <c r="CM337" i="2"/>
  <c r="CM338" i="2"/>
  <c r="CM339" i="2"/>
  <c r="CM340" i="2"/>
  <c r="CM341" i="2"/>
  <c r="CM342" i="2"/>
  <c r="CM343" i="2"/>
  <c r="CL335" i="2"/>
  <c r="CL336" i="2"/>
  <c r="CL337" i="2"/>
  <c r="CL338" i="2"/>
  <c r="CL339" i="2"/>
  <c r="CL340" i="2"/>
  <c r="CL341" i="2"/>
  <c r="CL342" i="2"/>
  <c r="CL343" i="2"/>
  <c r="CK335" i="2"/>
  <c r="CK336" i="2"/>
  <c r="CK337" i="2"/>
  <c r="CK338" i="2"/>
  <c r="CK339" i="2"/>
  <c r="CK340" i="2"/>
  <c r="CK341" i="2"/>
  <c r="CK342" i="2"/>
  <c r="CK343" i="2"/>
  <c r="CJ335" i="2"/>
  <c r="CJ336" i="2"/>
  <c r="CJ337" i="2"/>
  <c r="CJ338" i="2"/>
  <c r="CJ339" i="2"/>
  <c r="CJ340" i="2"/>
  <c r="CJ341" i="2"/>
  <c r="CJ342" i="2"/>
  <c r="CJ343" i="2"/>
  <c r="CI335" i="2"/>
  <c r="CI336" i="2"/>
  <c r="CI337" i="2"/>
  <c r="CI338" i="2"/>
  <c r="CI339" i="2"/>
  <c r="CI340" i="2"/>
  <c r="CI341" i="2"/>
  <c r="CI342" i="2"/>
  <c r="CI343" i="2"/>
  <c r="CH335" i="2"/>
  <c r="CH336" i="2"/>
  <c r="CH337" i="2"/>
  <c r="CH338" i="2"/>
  <c r="CH339" i="2"/>
  <c r="CH340" i="2"/>
  <c r="CH341" i="2"/>
  <c r="CH342" i="2"/>
  <c r="CH343" i="2"/>
  <c r="CG335" i="2"/>
  <c r="CG336" i="2"/>
  <c r="CG337" i="2"/>
  <c r="CG338" i="2"/>
  <c r="CG339" i="2"/>
  <c r="CG340" i="2"/>
  <c r="CG341" i="2"/>
  <c r="CG342" i="2"/>
  <c r="CG343" i="2"/>
  <c r="CF335" i="2"/>
  <c r="CF336" i="2"/>
  <c r="CF337" i="2"/>
  <c r="CF338" i="2"/>
  <c r="CF339" i="2"/>
  <c r="CF340" i="2"/>
  <c r="CF341" i="2"/>
  <c r="CF342" i="2"/>
  <c r="CF343" i="2"/>
  <c r="CE335" i="2"/>
  <c r="CE336" i="2"/>
  <c r="CE337" i="2"/>
  <c r="CE338" i="2"/>
  <c r="CE339" i="2"/>
  <c r="CE340" i="2"/>
  <c r="CE341" i="2"/>
  <c r="CE342" i="2"/>
  <c r="CE343" i="2"/>
  <c r="CD342" i="2"/>
  <c r="CD341" i="2"/>
  <c r="CD340" i="2"/>
  <c r="CD339" i="2"/>
  <c r="CD338" i="2"/>
  <c r="CD337" i="2"/>
  <c r="CD336" i="2"/>
  <c r="CD335" i="2"/>
  <c r="CD343" i="2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AQ172" i="3"/>
  <c r="AM172" i="3"/>
  <c r="AE172" i="3"/>
  <c r="W172" i="3"/>
  <c r="Y172" i="3"/>
  <c r="N1608" i="3"/>
  <c r="O1608" i="3"/>
  <c r="P1608" i="3"/>
  <c r="Q1608" i="3"/>
  <c r="R1608" i="3"/>
  <c r="S1608" i="3"/>
  <c r="T1608" i="3"/>
  <c r="V1608" i="3"/>
  <c r="W1608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174" i="3"/>
  <c r="N172" i="3"/>
  <c r="O172" i="3"/>
  <c r="P172" i="3"/>
  <c r="Q172" i="3"/>
  <c r="R172" i="3"/>
  <c r="S172" i="3"/>
  <c r="T172" i="3"/>
  <c r="V172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AR1" i="2"/>
  <c r="AR1" i="3"/>
  <c r="AQ1" i="3"/>
  <c r="AP1" i="3"/>
  <c r="AO1" i="3"/>
  <c r="AN1" i="3"/>
  <c r="AM1" i="3"/>
  <c r="CI2879" i="2"/>
  <c r="CH2879" i="2"/>
  <c r="CG2879" i="2"/>
  <c r="CF2879" i="2"/>
  <c r="BZ2909" i="2"/>
  <c r="BZ2908" i="2"/>
  <c r="BZ2907" i="2"/>
  <c r="BZ2906" i="2"/>
  <c r="BZ2905" i="2"/>
  <c r="BZ2904" i="2"/>
  <c r="BZ2903" i="2"/>
  <c r="BZ2902" i="2"/>
  <c r="BZ2901" i="2"/>
  <c r="BZ2900" i="2"/>
  <c r="BZ2899" i="2"/>
  <c r="BZ2898" i="2"/>
  <c r="BZ2897" i="2"/>
  <c r="BZ2896" i="2"/>
  <c r="BZ2895" i="2"/>
  <c r="BZ2894" i="2"/>
  <c r="BZ2893" i="2"/>
  <c r="BZ2892" i="2"/>
  <c r="BZ2891" i="2"/>
  <c r="BZ2890" i="2"/>
  <c r="BZ2889" i="2"/>
  <c r="BZ2888" i="2"/>
  <c r="BZ2887" i="2"/>
  <c r="BZ2886" i="2"/>
  <c r="BZ2885" i="2"/>
  <c r="BZ2884" i="2"/>
  <c r="BZ2883" i="2"/>
  <c r="BZ2882" i="2"/>
  <c r="BZ2881" i="2"/>
  <c r="CI2910" i="2"/>
  <c r="CH2910" i="2"/>
  <c r="CG2910" i="2"/>
  <c r="CE1373" i="2"/>
  <c r="CD1373" i="2"/>
  <c r="CN633" i="2"/>
  <c r="CM633" i="2"/>
  <c r="CL633" i="2"/>
  <c r="CK633" i="2"/>
  <c r="CJ633" i="2"/>
  <c r="CI633" i="2"/>
  <c r="BY3048" i="4"/>
  <c r="BX3048" i="4"/>
  <c r="BW3048" i="4"/>
  <c r="BV3048" i="4"/>
  <c r="BY3047" i="4"/>
  <c r="BX3047" i="4"/>
  <c r="BW3047" i="4"/>
  <c r="BV3047" i="4"/>
  <c r="BY3046" i="4"/>
  <c r="BX3046" i="4"/>
  <c r="BW3046" i="4"/>
  <c r="BV3046" i="4"/>
  <c r="BY3045" i="4"/>
  <c r="BX3045" i="4"/>
  <c r="BW3045" i="4"/>
  <c r="BV3045" i="4"/>
  <c r="BY3044" i="4"/>
  <c r="BX3044" i="4"/>
  <c r="BW3044" i="4"/>
  <c r="BV3044" i="4"/>
  <c r="BY3043" i="4"/>
  <c r="BX3043" i="4"/>
  <c r="BW3043" i="4"/>
  <c r="BV3043" i="4"/>
  <c r="BY3042" i="4"/>
  <c r="BX3042" i="4"/>
  <c r="BW3042" i="4"/>
  <c r="BV3042" i="4"/>
  <c r="BY3041" i="4"/>
  <c r="BX3041" i="4"/>
  <c r="BW3041" i="4"/>
  <c r="BV3041" i="4"/>
  <c r="BY3040" i="4"/>
  <c r="BX3040" i="4"/>
  <c r="BW3040" i="4"/>
  <c r="BV3040" i="4"/>
  <c r="BY3039" i="4"/>
  <c r="BX3039" i="4"/>
  <c r="BW3039" i="4"/>
  <c r="BV3039" i="4"/>
  <c r="BY3038" i="4"/>
  <c r="BX3038" i="4"/>
  <c r="BW3038" i="4"/>
  <c r="BV3038" i="4"/>
  <c r="BY3037" i="4"/>
  <c r="BX3037" i="4"/>
  <c r="BW3037" i="4"/>
  <c r="BV3037" i="4"/>
  <c r="BY3036" i="4"/>
  <c r="BX3036" i="4"/>
  <c r="BW3036" i="4"/>
  <c r="BV3036" i="4"/>
  <c r="BY3035" i="4"/>
  <c r="BX3035" i="4"/>
  <c r="BW3035" i="4"/>
  <c r="BV3035" i="4"/>
  <c r="BY3034" i="4"/>
  <c r="BX3034" i="4"/>
  <c r="BW3034" i="4"/>
  <c r="BV3034" i="4"/>
  <c r="BY3033" i="4"/>
  <c r="BX3033" i="4"/>
  <c r="BW3033" i="4"/>
  <c r="BV3033" i="4"/>
  <c r="BY3032" i="4"/>
  <c r="BX3032" i="4"/>
  <c r="BW3032" i="4"/>
  <c r="BV3032" i="4"/>
  <c r="BY3031" i="4"/>
  <c r="BX3031" i="4"/>
  <c r="BW3031" i="4"/>
  <c r="BV3031" i="4"/>
  <c r="BY3030" i="4"/>
  <c r="BX3030" i="4"/>
  <c r="BW3030" i="4"/>
  <c r="BV3030" i="4"/>
  <c r="BY3029" i="4"/>
  <c r="BX3029" i="4"/>
  <c r="BW3029" i="4"/>
  <c r="BV3029" i="4"/>
  <c r="BY3028" i="4"/>
  <c r="BX3028" i="4"/>
  <c r="BW3028" i="4"/>
  <c r="BV3028" i="4"/>
  <c r="BY3027" i="4"/>
  <c r="BX3027" i="4"/>
  <c r="BW3027" i="4"/>
  <c r="BV3027" i="4"/>
  <c r="BY3026" i="4"/>
  <c r="BX3026" i="4"/>
  <c r="BW3026" i="4"/>
  <c r="BV3026" i="4"/>
  <c r="BY3025" i="4"/>
  <c r="BX3025" i="4"/>
  <c r="BW3025" i="4"/>
  <c r="BV3025" i="4"/>
  <c r="BY3024" i="4"/>
  <c r="BX3024" i="4"/>
  <c r="BW3024" i="4"/>
  <c r="BV3024" i="4"/>
  <c r="BY3023" i="4"/>
  <c r="BX3023" i="4"/>
  <c r="BW3023" i="4"/>
  <c r="BV3023" i="4"/>
  <c r="BY3022" i="4"/>
  <c r="BX3022" i="4"/>
  <c r="BW3022" i="4"/>
  <c r="BV3022" i="4"/>
  <c r="BY3021" i="4"/>
  <c r="BX3021" i="4"/>
  <c r="BW3021" i="4"/>
  <c r="BV3021" i="4"/>
  <c r="BY3020" i="4"/>
  <c r="BX3020" i="4"/>
  <c r="BW3020" i="4"/>
  <c r="BV3020" i="4"/>
  <c r="BY3019" i="4"/>
  <c r="BX3019" i="4"/>
  <c r="BW3019" i="4"/>
  <c r="BV3019" i="4"/>
  <c r="BY3018" i="4"/>
  <c r="BX3018" i="4"/>
  <c r="BW3018" i="4"/>
  <c r="BV3018" i="4"/>
  <c r="BY3017" i="4"/>
  <c r="BX3017" i="4"/>
  <c r="BW3017" i="4"/>
  <c r="BV3017" i="4"/>
  <c r="BY3016" i="4"/>
  <c r="BX3016" i="4"/>
  <c r="BW3016" i="4"/>
  <c r="BV3016" i="4"/>
  <c r="BY3015" i="4"/>
  <c r="BX3015" i="4"/>
  <c r="BW3015" i="4"/>
  <c r="BV3015" i="4"/>
  <c r="BY3014" i="4"/>
  <c r="BX3014" i="4"/>
  <c r="BW3014" i="4"/>
  <c r="BV3014" i="4"/>
  <c r="BY3013" i="4"/>
  <c r="BX3013" i="4"/>
  <c r="BW3013" i="4"/>
  <c r="BV3013" i="4"/>
  <c r="BY3012" i="4"/>
  <c r="BX3012" i="4"/>
  <c r="BW3012" i="4"/>
  <c r="BV3012" i="4"/>
  <c r="BY3011" i="4"/>
  <c r="BX3011" i="4"/>
  <c r="BW3011" i="4"/>
  <c r="BV3011" i="4"/>
  <c r="BY3010" i="4"/>
  <c r="BX3010" i="4"/>
  <c r="BW3010" i="4"/>
  <c r="BV3010" i="4"/>
  <c r="BY3009" i="4"/>
  <c r="BX3009" i="4"/>
  <c r="BW3009" i="4"/>
  <c r="BV3009" i="4"/>
  <c r="BY3008" i="4"/>
  <c r="BX3008" i="4"/>
  <c r="BW3008" i="4"/>
  <c r="BV3008" i="4"/>
  <c r="BY3007" i="4"/>
  <c r="BX3007" i="4"/>
  <c r="BW3007" i="4"/>
  <c r="BV3007" i="4"/>
  <c r="BY3006" i="4"/>
  <c r="BX3006" i="4"/>
  <c r="BW3006" i="4"/>
  <c r="BV3006" i="4"/>
  <c r="BY3005" i="4"/>
  <c r="BX3005" i="4"/>
  <c r="BW3005" i="4"/>
  <c r="BV3005" i="4"/>
  <c r="BY3004" i="4"/>
  <c r="BX3004" i="4"/>
  <c r="BW3004" i="4"/>
  <c r="BV3004" i="4"/>
  <c r="BY3003" i="4"/>
  <c r="BX3003" i="4"/>
  <c r="BW3003" i="4"/>
  <c r="BV3003" i="4"/>
  <c r="BY3002" i="4"/>
  <c r="BX3002" i="4"/>
  <c r="BW3002" i="4"/>
  <c r="BV3002" i="4"/>
  <c r="BY3001" i="4"/>
  <c r="BX3001" i="4"/>
  <c r="BW3001" i="4"/>
  <c r="BV3001" i="4"/>
  <c r="BY3000" i="4"/>
  <c r="BX3000" i="4"/>
  <c r="BW3000" i="4"/>
  <c r="BV3000" i="4"/>
  <c r="BY2999" i="4"/>
  <c r="BX2999" i="4"/>
  <c r="BW2999" i="4"/>
  <c r="BV2999" i="4"/>
  <c r="BY2998" i="4"/>
  <c r="BX2998" i="4"/>
  <c r="BW2998" i="4"/>
  <c r="BV2998" i="4"/>
  <c r="BY2997" i="4"/>
  <c r="BX2997" i="4"/>
  <c r="BW2997" i="4"/>
  <c r="BV2997" i="4"/>
  <c r="BY2996" i="4"/>
  <c r="BX2996" i="4"/>
  <c r="BW2996" i="4"/>
  <c r="BV2996" i="4"/>
  <c r="BY2995" i="4"/>
  <c r="BX2995" i="4"/>
  <c r="BW2995" i="4"/>
  <c r="BV2995" i="4"/>
  <c r="BY2994" i="4"/>
  <c r="BX2994" i="4"/>
  <c r="BW2994" i="4"/>
  <c r="BV2994" i="4"/>
  <c r="BY2993" i="4"/>
  <c r="BX2993" i="4"/>
  <c r="BW2993" i="4"/>
  <c r="BV2993" i="4"/>
  <c r="BY2992" i="4"/>
  <c r="BX2992" i="4"/>
  <c r="BW2992" i="4"/>
  <c r="BV2992" i="4"/>
  <c r="BY2991" i="4"/>
  <c r="BX2991" i="4"/>
  <c r="BW2991" i="4"/>
  <c r="BV2991" i="4"/>
  <c r="BY2990" i="4"/>
  <c r="BX2990" i="4"/>
  <c r="BW2990" i="4"/>
  <c r="BV2990" i="4"/>
  <c r="BY2989" i="4"/>
  <c r="BX2989" i="4"/>
  <c r="BW2989" i="4"/>
  <c r="BV2989" i="4"/>
  <c r="BY2988" i="4"/>
  <c r="BX2988" i="4"/>
  <c r="BW2988" i="4"/>
  <c r="BV2988" i="4"/>
  <c r="BY2987" i="4"/>
  <c r="BX2987" i="4"/>
  <c r="BW2987" i="4"/>
  <c r="BV2987" i="4"/>
  <c r="BY2986" i="4"/>
  <c r="BX2986" i="4"/>
  <c r="BW2986" i="4"/>
  <c r="BV2986" i="4"/>
  <c r="BY2985" i="4"/>
  <c r="BX2985" i="4"/>
  <c r="BW2985" i="4"/>
  <c r="BV2985" i="4"/>
  <c r="BY2984" i="4"/>
  <c r="BX2984" i="4"/>
  <c r="BW2984" i="4"/>
  <c r="BV2984" i="4"/>
  <c r="BY2983" i="4"/>
  <c r="BX2983" i="4"/>
  <c r="BW2983" i="4"/>
  <c r="BV2983" i="4"/>
  <c r="BY2982" i="4"/>
  <c r="BX2982" i="4"/>
  <c r="BW2982" i="4"/>
  <c r="BV2982" i="4"/>
  <c r="BY2981" i="4"/>
  <c r="BX2981" i="4"/>
  <c r="BW2981" i="4"/>
  <c r="BV2981" i="4"/>
  <c r="BY2980" i="4"/>
  <c r="BX2980" i="4"/>
  <c r="BW2980" i="4"/>
  <c r="BV2980" i="4"/>
  <c r="BY2979" i="4"/>
  <c r="BX2979" i="4"/>
  <c r="BW2979" i="4"/>
  <c r="BV2979" i="4"/>
  <c r="BY2978" i="4"/>
  <c r="BX2978" i="4"/>
  <c r="BW2978" i="4"/>
  <c r="BV2978" i="4"/>
  <c r="BY2977" i="4"/>
  <c r="BX2977" i="4"/>
  <c r="BW2977" i="4"/>
  <c r="BV2977" i="4"/>
  <c r="BY2976" i="4"/>
  <c r="BX2976" i="4"/>
  <c r="BW2976" i="4"/>
  <c r="BV2976" i="4"/>
  <c r="BY2975" i="4"/>
  <c r="BX2975" i="4"/>
  <c r="BW2975" i="4"/>
  <c r="BV2975" i="4"/>
  <c r="BY2974" i="4"/>
  <c r="BX2974" i="4"/>
  <c r="BW2974" i="4"/>
  <c r="BV2974" i="4"/>
  <c r="BY2973" i="4"/>
  <c r="BX2973" i="4"/>
  <c r="BW2973" i="4"/>
  <c r="BV2973" i="4"/>
  <c r="BY2972" i="4"/>
  <c r="BX2972" i="4"/>
  <c r="BW2972" i="4"/>
  <c r="BV2972" i="4"/>
  <c r="BY2971" i="4"/>
  <c r="BX2971" i="4"/>
  <c r="BW2971" i="4"/>
  <c r="BV2971" i="4"/>
  <c r="BY2970" i="4"/>
  <c r="BX2970" i="4"/>
  <c r="BW2970" i="4"/>
  <c r="BV2970" i="4"/>
  <c r="BY2969" i="4"/>
  <c r="BX2969" i="4"/>
  <c r="BW2969" i="4"/>
  <c r="BV2969" i="4"/>
  <c r="BY2968" i="4"/>
  <c r="BX2968" i="4"/>
  <c r="BW2968" i="4"/>
  <c r="BV2968" i="4"/>
  <c r="BY2967" i="4"/>
  <c r="BX2967" i="4"/>
  <c r="BW2967" i="4"/>
  <c r="BV2967" i="4"/>
  <c r="BY2966" i="4"/>
  <c r="BX2966" i="4"/>
  <c r="BW2966" i="4"/>
  <c r="BV2966" i="4"/>
  <c r="BY2965" i="4"/>
  <c r="BX2965" i="4"/>
  <c r="BW2965" i="4"/>
  <c r="BV2965" i="4"/>
  <c r="BY2964" i="4"/>
  <c r="BX2964" i="4"/>
  <c r="BW2964" i="4"/>
  <c r="BV2964" i="4"/>
  <c r="BY2963" i="4"/>
  <c r="BX2963" i="4"/>
  <c r="BW2963" i="4"/>
  <c r="BV2963" i="4"/>
  <c r="BY2962" i="4"/>
  <c r="BX2962" i="4"/>
  <c r="BW2962" i="4"/>
  <c r="BV2962" i="4"/>
  <c r="BY2961" i="4"/>
  <c r="BX2961" i="4"/>
  <c r="BW2961" i="4"/>
  <c r="BV2961" i="4"/>
  <c r="BY2960" i="4"/>
  <c r="BX2960" i="4"/>
  <c r="BW2960" i="4"/>
  <c r="BV2960" i="4"/>
  <c r="BY2959" i="4"/>
  <c r="BX2959" i="4"/>
  <c r="BW2959" i="4"/>
  <c r="BV2959" i="4"/>
  <c r="BY2958" i="4"/>
  <c r="BX2958" i="4"/>
  <c r="BW2958" i="4"/>
  <c r="BV2958" i="4"/>
  <c r="BY2957" i="4"/>
  <c r="BX2957" i="4"/>
  <c r="BW2957" i="4"/>
  <c r="BV2957" i="4"/>
  <c r="BY2956" i="4"/>
  <c r="BX2956" i="4"/>
  <c r="BW2956" i="4"/>
  <c r="BV2956" i="4"/>
  <c r="BY2955" i="4"/>
  <c r="BX2955" i="4"/>
  <c r="BW2955" i="4"/>
  <c r="BV2955" i="4"/>
  <c r="BY2954" i="4"/>
  <c r="BX2954" i="4"/>
  <c r="BW2954" i="4"/>
  <c r="BV2954" i="4"/>
  <c r="BY2953" i="4"/>
  <c r="BX2953" i="4"/>
  <c r="BW2953" i="4"/>
  <c r="BV2953" i="4"/>
  <c r="BY2952" i="4"/>
  <c r="BX2952" i="4"/>
  <c r="BW2952" i="4"/>
  <c r="BV2952" i="4"/>
  <c r="BY2951" i="4"/>
  <c r="BX2951" i="4"/>
  <c r="BW2951" i="4"/>
  <c r="BV2951" i="4"/>
  <c r="BY2950" i="4"/>
  <c r="BX2950" i="4"/>
  <c r="BW2950" i="4"/>
  <c r="BV2950" i="4"/>
  <c r="BY2949" i="4"/>
  <c r="BX2949" i="4"/>
  <c r="BW2949" i="4"/>
  <c r="BV2949" i="4"/>
  <c r="BY2948" i="4"/>
  <c r="BX2948" i="4"/>
  <c r="BW2948" i="4"/>
  <c r="BV2948" i="4"/>
  <c r="BY2947" i="4"/>
  <c r="BX2947" i="4"/>
  <c r="BW2947" i="4"/>
  <c r="BV2947" i="4"/>
  <c r="BY2946" i="4"/>
  <c r="BX2946" i="4"/>
  <c r="BW2946" i="4"/>
  <c r="BV2946" i="4"/>
  <c r="BY2945" i="4"/>
  <c r="BX2945" i="4"/>
  <c r="BW2945" i="4"/>
  <c r="BV2945" i="4"/>
  <c r="BY2944" i="4"/>
  <c r="BX2944" i="4"/>
  <c r="BW2944" i="4"/>
  <c r="BV2944" i="4"/>
  <c r="BY2943" i="4"/>
  <c r="BX2943" i="4"/>
  <c r="BW2943" i="4"/>
  <c r="BV2943" i="4"/>
  <c r="BY2942" i="4"/>
  <c r="BX2942" i="4"/>
  <c r="BW2942" i="4"/>
  <c r="BV2942" i="4"/>
  <c r="BY2941" i="4"/>
  <c r="BX2941" i="4"/>
  <c r="BW2941" i="4"/>
  <c r="BV2941" i="4"/>
  <c r="BY2940" i="4"/>
  <c r="BX2940" i="4"/>
  <c r="BW2940" i="4"/>
  <c r="BV2940" i="4"/>
  <c r="BY2939" i="4"/>
  <c r="BX2939" i="4"/>
  <c r="BW2939" i="4"/>
  <c r="BV2939" i="4"/>
  <c r="BY2938" i="4"/>
  <c r="BX2938" i="4"/>
  <c r="BW2938" i="4"/>
  <c r="BV2938" i="4"/>
  <c r="BY2937" i="4"/>
  <c r="BX2937" i="4"/>
  <c r="BW2937" i="4"/>
  <c r="BV2937" i="4"/>
  <c r="BY2936" i="4"/>
  <c r="BX2936" i="4"/>
  <c r="BW2936" i="4"/>
  <c r="BV2936" i="4"/>
  <c r="BY2935" i="4"/>
  <c r="BX2935" i="4"/>
  <c r="BW2935" i="4"/>
  <c r="BV2935" i="4"/>
  <c r="BY2934" i="4"/>
  <c r="BX2934" i="4"/>
  <c r="BW2934" i="4"/>
  <c r="BV2934" i="4"/>
  <c r="BY2933" i="4"/>
  <c r="BX2933" i="4"/>
  <c r="BW2933" i="4"/>
  <c r="BV2933" i="4"/>
  <c r="BY2932" i="4"/>
  <c r="BX2932" i="4"/>
  <c r="BW2932" i="4"/>
  <c r="BV2932" i="4"/>
  <c r="BY2931" i="4"/>
  <c r="BX2931" i="4"/>
  <c r="BW2931" i="4"/>
  <c r="BV2931" i="4"/>
  <c r="BY2930" i="4"/>
  <c r="BX2930" i="4"/>
  <c r="BW2930" i="4"/>
  <c r="BV2930" i="4"/>
  <c r="BY2929" i="4"/>
  <c r="BX2929" i="4"/>
  <c r="BW2929" i="4"/>
  <c r="BV2929" i="4"/>
  <c r="BY2928" i="4"/>
  <c r="BX2928" i="4"/>
  <c r="BW2928" i="4"/>
  <c r="BY3048" i="6"/>
  <c r="BX3048" i="6"/>
  <c r="BW3048" i="6"/>
  <c r="BV3048" i="6"/>
  <c r="BY3047" i="6"/>
  <c r="BX3047" i="6"/>
  <c r="BW3047" i="6"/>
  <c r="BV3047" i="6"/>
  <c r="BY3046" i="6"/>
  <c r="BX3046" i="6"/>
  <c r="BW3046" i="6"/>
  <c r="BV3046" i="6"/>
  <c r="BY3045" i="6"/>
  <c r="BX3045" i="6"/>
  <c r="BW3045" i="6"/>
  <c r="BV3045" i="6"/>
  <c r="BY3044" i="6"/>
  <c r="BX3044" i="6"/>
  <c r="BW3044" i="6"/>
  <c r="BV3044" i="6"/>
  <c r="BY3043" i="6"/>
  <c r="BX3043" i="6"/>
  <c r="BW3043" i="6"/>
  <c r="BV3043" i="6"/>
  <c r="BY3042" i="6"/>
  <c r="BX3042" i="6"/>
  <c r="BW3042" i="6"/>
  <c r="BV3042" i="6"/>
  <c r="BY3041" i="6"/>
  <c r="BX3041" i="6"/>
  <c r="BW3041" i="6"/>
  <c r="BV3041" i="6"/>
  <c r="BY3040" i="6"/>
  <c r="BX3040" i="6"/>
  <c r="BW3040" i="6"/>
  <c r="BV3040" i="6"/>
  <c r="BY3039" i="6"/>
  <c r="BX3039" i="6"/>
  <c r="BW3039" i="6"/>
  <c r="BV3039" i="6"/>
  <c r="BY3038" i="6"/>
  <c r="BX3038" i="6"/>
  <c r="BW3038" i="6"/>
  <c r="BV3038" i="6"/>
  <c r="BY3037" i="6"/>
  <c r="BX3037" i="6"/>
  <c r="BW3037" i="6"/>
  <c r="BV3037" i="6"/>
  <c r="BY3036" i="6"/>
  <c r="BX3036" i="6"/>
  <c r="BW3036" i="6"/>
  <c r="BV3036" i="6"/>
  <c r="BY3035" i="6"/>
  <c r="BX3035" i="6"/>
  <c r="BW3035" i="6"/>
  <c r="BV3035" i="6"/>
  <c r="BY3034" i="6"/>
  <c r="BX3034" i="6"/>
  <c r="BW3034" i="6"/>
  <c r="BV3034" i="6"/>
  <c r="BY3033" i="6"/>
  <c r="BX3033" i="6"/>
  <c r="BW3033" i="6"/>
  <c r="BV3033" i="6"/>
  <c r="BY3032" i="6"/>
  <c r="BX3032" i="6"/>
  <c r="BW3032" i="6"/>
  <c r="BV3032" i="6"/>
  <c r="BY3031" i="6"/>
  <c r="BX3031" i="6"/>
  <c r="BW3031" i="6"/>
  <c r="BV3031" i="6"/>
  <c r="BY3030" i="6"/>
  <c r="BX3030" i="6"/>
  <c r="BW3030" i="6"/>
  <c r="BV3030" i="6"/>
  <c r="BY3029" i="6"/>
  <c r="BX3029" i="6"/>
  <c r="BW3029" i="6"/>
  <c r="BV3029" i="6"/>
  <c r="BY3028" i="6"/>
  <c r="BX3028" i="6"/>
  <c r="BW3028" i="6"/>
  <c r="BV3028" i="6"/>
  <c r="BY3027" i="6"/>
  <c r="BX3027" i="6"/>
  <c r="BW3027" i="6"/>
  <c r="BV3027" i="6"/>
  <c r="BY3026" i="6"/>
  <c r="BX3026" i="6"/>
  <c r="BW3026" i="6"/>
  <c r="BV3026" i="6"/>
  <c r="BY3025" i="6"/>
  <c r="BX3025" i="6"/>
  <c r="BW3025" i="6"/>
  <c r="BV3025" i="6"/>
  <c r="BY3024" i="6"/>
  <c r="BX3024" i="6"/>
  <c r="BW3024" i="6"/>
  <c r="BV3024" i="6"/>
  <c r="BY3023" i="6"/>
  <c r="BX3023" i="6"/>
  <c r="BW3023" i="6"/>
  <c r="BV3023" i="6"/>
  <c r="BY3022" i="6"/>
  <c r="BX3022" i="6"/>
  <c r="BW3022" i="6"/>
  <c r="BV3022" i="6"/>
  <c r="BY3021" i="6"/>
  <c r="BX3021" i="6"/>
  <c r="BW3021" i="6"/>
  <c r="BV3021" i="6"/>
  <c r="BY3020" i="6"/>
  <c r="BX3020" i="6"/>
  <c r="BW3020" i="6"/>
  <c r="BV3020" i="6"/>
  <c r="BY3019" i="6"/>
  <c r="BX3019" i="6"/>
  <c r="BW3019" i="6"/>
  <c r="BV3019" i="6"/>
  <c r="BY3018" i="6"/>
  <c r="BX3018" i="6"/>
  <c r="BW3018" i="6"/>
  <c r="BV3018" i="6"/>
  <c r="BY3017" i="6"/>
  <c r="BX3017" i="6"/>
  <c r="BW3017" i="6"/>
  <c r="BV3017" i="6"/>
  <c r="BY3016" i="6"/>
  <c r="BX3016" i="6"/>
  <c r="BW3016" i="6"/>
  <c r="BV3016" i="6"/>
  <c r="BY3015" i="6"/>
  <c r="BX3015" i="6"/>
  <c r="BW3015" i="6"/>
  <c r="BV3015" i="6"/>
  <c r="BY3014" i="6"/>
  <c r="BX3014" i="6"/>
  <c r="BW3014" i="6"/>
  <c r="BV3014" i="6"/>
  <c r="BY3013" i="6"/>
  <c r="BX3013" i="6"/>
  <c r="BW3013" i="6"/>
  <c r="BV3013" i="6"/>
  <c r="BY3012" i="6"/>
  <c r="BX3012" i="6"/>
  <c r="BW3012" i="6"/>
  <c r="BV3012" i="6"/>
  <c r="BY3011" i="6"/>
  <c r="BX3011" i="6"/>
  <c r="BW3011" i="6"/>
  <c r="BV3011" i="6"/>
  <c r="BY3010" i="6"/>
  <c r="BX3010" i="6"/>
  <c r="BW3010" i="6"/>
  <c r="BV3010" i="6"/>
  <c r="BY3009" i="6"/>
  <c r="BX3009" i="6"/>
  <c r="BW3009" i="6"/>
  <c r="BV3009" i="6"/>
  <c r="BY3008" i="6"/>
  <c r="BX3008" i="6"/>
  <c r="BW3008" i="6"/>
  <c r="BV3008" i="6"/>
  <c r="BY3007" i="6"/>
  <c r="BX3007" i="6"/>
  <c r="BW3007" i="6"/>
  <c r="BV3007" i="6"/>
  <c r="BY3006" i="6"/>
  <c r="BX3006" i="6"/>
  <c r="BW3006" i="6"/>
  <c r="BV3006" i="6"/>
  <c r="BY3005" i="6"/>
  <c r="BX3005" i="6"/>
  <c r="BW3005" i="6"/>
  <c r="BV3005" i="6"/>
  <c r="BY3004" i="6"/>
  <c r="BX3004" i="6"/>
  <c r="BW3004" i="6"/>
  <c r="BV3004" i="6"/>
  <c r="BY3003" i="6"/>
  <c r="BX3003" i="6"/>
  <c r="BW3003" i="6"/>
  <c r="BV3003" i="6"/>
  <c r="BY3002" i="6"/>
  <c r="BX3002" i="6"/>
  <c r="BW3002" i="6"/>
  <c r="BV3002" i="6"/>
  <c r="BY3001" i="6"/>
  <c r="BX3001" i="6"/>
  <c r="BW3001" i="6"/>
  <c r="BV3001" i="6"/>
  <c r="BY3000" i="6"/>
  <c r="BX3000" i="6"/>
  <c r="BW3000" i="6"/>
  <c r="BV3000" i="6"/>
  <c r="BY2999" i="6"/>
  <c r="BX2999" i="6"/>
  <c r="BW2999" i="6"/>
  <c r="BV2999" i="6"/>
  <c r="BY2998" i="6"/>
  <c r="BX2998" i="6"/>
  <c r="BW2998" i="6"/>
  <c r="BV2998" i="6"/>
  <c r="BY2997" i="6"/>
  <c r="BX2997" i="6"/>
  <c r="BW2997" i="6"/>
  <c r="BV2997" i="6"/>
  <c r="BY2996" i="6"/>
  <c r="BX2996" i="6"/>
  <c r="BW2996" i="6"/>
  <c r="BV2996" i="6"/>
  <c r="BY2995" i="6"/>
  <c r="BX2995" i="6"/>
  <c r="BW2995" i="6"/>
  <c r="BV2995" i="6"/>
  <c r="BY2994" i="6"/>
  <c r="BX2994" i="6"/>
  <c r="BW2994" i="6"/>
  <c r="BV2994" i="6"/>
  <c r="BY2993" i="6"/>
  <c r="BX2993" i="6"/>
  <c r="BW2993" i="6"/>
  <c r="BV2993" i="6"/>
  <c r="BY2992" i="6"/>
  <c r="BX2992" i="6"/>
  <c r="BW2992" i="6"/>
  <c r="BV2992" i="6"/>
  <c r="BY2991" i="6"/>
  <c r="BX2991" i="6"/>
  <c r="BW2991" i="6"/>
  <c r="BV2991" i="6"/>
  <c r="BY2990" i="6"/>
  <c r="BX2990" i="6"/>
  <c r="BW2990" i="6"/>
  <c r="BV2990" i="6"/>
  <c r="BY2989" i="6"/>
  <c r="BX2989" i="6"/>
  <c r="BW2989" i="6"/>
  <c r="BV2989" i="6"/>
  <c r="BY2988" i="6"/>
  <c r="BX2988" i="6"/>
  <c r="BW2988" i="6"/>
  <c r="BV2988" i="6"/>
  <c r="BY2987" i="6"/>
  <c r="BX2987" i="6"/>
  <c r="BW2987" i="6"/>
  <c r="BV2987" i="6"/>
  <c r="BY2986" i="6"/>
  <c r="BX2986" i="6"/>
  <c r="BW2986" i="6"/>
  <c r="BV2986" i="6"/>
  <c r="BY2985" i="6"/>
  <c r="BX2985" i="6"/>
  <c r="BW2985" i="6"/>
  <c r="BV2985" i="6"/>
  <c r="BY2984" i="6"/>
  <c r="BX2984" i="6"/>
  <c r="BW2984" i="6"/>
  <c r="BV2984" i="6"/>
  <c r="BY2983" i="6"/>
  <c r="BX2983" i="6"/>
  <c r="BW2983" i="6"/>
  <c r="BV2983" i="6"/>
  <c r="BY2982" i="6"/>
  <c r="BX2982" i="6"/>
  <c r="BW2982" i="6"/>
  <c r="BV2982" i="6"/>
  <c r="BY2981" i="6"/>
  <c r="BX2981" i="6"/>
  <c r="BW2981" i="6"/>
  <c r="BV2981" i="6"/>
  <c r="BY2980" i="6"/>
  <c r="BX2980" i="6"/>
  <c r="BW2980" i="6"/>
  <c r="BV2980" i="6"/>
  <c r="BY2979" i="6"/>
  <c r="BX2979" i="6"/>
  <c r="BW2979" i="6"/>
  <c r="BV2979" i="6"/>
  <c r="BY2978" i="6"/>
  <c r="BX2978" i="6"/>
  <c r="BW2978" i="6"/>
  <c r="BV2978" i="6"/>
  <c r="BY2977" i="6"/>
  <c r="BX2977" i="6"/>
  <c r="BW2977" i="6"/>
  <c r="BV2977" i="6"/>
  <c r="BY2976" i="6"/>
  <c r="BX2976" i="6"/>
  <c r="BW2976" i="6"/>
  <c r="BV2976" i="6"/>
  <c r="BY2975" i="6"/>
  <c r="BX2975" i="6"/>
  <c r="BW2975" i="6"/>
  <c r="BV2975" i="6"/>
  <c r="BY2974" i="6"/>
  <c r="BX2974" i="6"/>
  <c r="BW2974" i="6"/>
  <c r="BV2974" i="6"/>
  <c r="BY2973" i="6"/>
  <c r="BX2973" i="6"/>
  <c r="BW2973" i="6"/>
  <c r="BV2973" i="6"/>
  <c r="BY2972" i="6"/>
  <c r="BX2972" i="6"/>
  <c r="BW2972" i="6"/>
  <c r="BV2972" i="6"/>
  <c r="BY2971" i="6"/>
  <c r="BX2971" i="6"/>
  <c r="BW2971" i="6"/>
  <c r="BV2971" i="6"/>
  <c r="BY2970" i="6"/>
  <c r="BX2970" i="6"/>
  <c r="BW2970" i="6"/>
  <c r="BV2970" i="6"/>
  <c r="BY2969" i="6"/>
  <c r="BX2969" i="6"/>
  <c r="BW2969" i="6"/>
  <c r="BV2969" i="6"/>
  <c r="BY2968" i="6"/>
  <c r="BX2968" i="6"/>
  <c r="BW2968" i="6"/>
  <c r="BV2968" i="6"/>
  <c r="BY2967" i="6"/>
  <c r="BX2967" i="6"/>
  <c r="BW2967" i="6"/>
  <c r="BV2967" i="6"/>
  <c r="BY2966" i="6"/>
  <c r="BX2966" i="6"/>
  <c r="BW2966" i="6"/>
  <c r="BV2966" i="6"/>
  <c r="BY2965" i="6"/>
  <c r="BX2965" i="6"/>
  <c r="BW2965" i="6"/>
  <c r="BV2965" i="6"/>
  <c r="BY2964" i="6"/>
  <c r="BX2964" i="6"/>
  <c r="BW2964" i="6"/>
  <c r="BV2964" i="6"/>
  <c r="BY2963" i="6"/>
  <c r="BX2963" i="6"/>
  <c r="BW2963" i="6"/>
  <c r="BV2963" i="6"/>
  <c r="BY2962" i="6"/>
  <c r="BX2962" i="6"/>
  <c r="BW2962" i="6"/>
  <c r="BV2962" i="6"/>
  <c r="BY2961" i="6"/>
  <c r="BX2961" i="6"/>
  <c r="BW2961" i="6"/>
  <c r="BV2961" i="6"/>
  <c r="BY2960" i="6"/>
  <c r="BX2960" i="6"/>
  <c r="BW2960" i="6"/>
  <c r="BV2960" i="6"/>
  <c r="BY2959" i="6"/>
  <c r="BX2959" i="6"/>
  <c r="BW2959" i="6"/>
  <c r="BV2959" i="6"/>
  <c r="BY2958" i="6"/>
  <c r="BX2958" i="6"/>
  <c r="BW2958" i="6"/>
  <c r="BV2958" i="6"/>
  <c r="BY2957" i="6"/>
  <c r="BX2957" i="6"/>
  <c r="BW2957" i="6"/>
  <c r="BV2957" i="6"/>
  <c r="BY2956" i="6"/>
  <c r="BX2956" i="6"/>
  <c r="BW2956" i="6"/>
  <c r="BV2956" i="6"/>
  <c r="BY2955" i="6"/>
  <c r="BX2955" i="6"/>
  <c r="BW2955" i="6"/>
  <c r="BV2955" i="6"/>
  <c r="BY2954" i="6"/>
  <c r="BX2954" i="6"/>
  <c r="BW2954" i="6"/>
  <c r="BV2954" i="6"/>
  <c r="BY2953" i="6"/>
  <c r="BX2953" i="6"/>
  <c r="BW2953" i="6"/>
  <c r="BV2953" i="6"/>
  <c r="BY2952" i="6"/>
  <c r="BX2952" i="6"/>
  <c r="BW2952" i="6"/>
  <c r="BV2952" i="6"/>
  <c r="BY2951" i="6"/>
  <c r="BX2951" i="6"/>
  <c r="BW2951" i="6"/>
  <c r="BV2951" i="6"/>
  <c r="BY2950" i="6"/>
  <c r="BX2950" i="6"/>
  <c r="BW2950" i="6"/>
  <c r="BV2950" i="6"/>
  <c r="BY2949" i="6"/>
  <c r="BX2949" i="6"/>
  <c r="BW2949" i="6"/>
  <c r="BV2949" i="6"/>
  <c r="BY2948" i="6"/>
  <c r="BX2948" i="6"/>
  <c r="BW2948" i="6"/>
  <c r="BV2948" i="6"/>
  <c r="BY2947" i="6"/>
  <c r="BX2947" i="6"/>
  <c r="BW2947" i="6"/>
  <c r="BV2947" i="6"/>
  <c r="BY2946" i="6"/>
  <c r="BX2946" i="6"/>
  <c r="BW2946" i="6"/>
  <c r="BV2946" i="6"/>
  <c r="BY2945" i="6"/>
  <c r="BX2945" i="6"/>
  <c r="BW2945" i="6"/>
  <c r="BV2945" i="6"/>
  <c r="BY2944" i="6"/>
  <c r="BX2944" i="6"/>
  <c r="BW2944" i="6"/>
  <c r="BV2944" i="6"/>
  <c r="BY2943" i="6"/>
  <c r="BX2943" i="6"/>
  <c r="BW2943" i="6"/>
  <c r="BV2943" i="6"/>
  <c r="BY2942" i="6"/>
  <c r="BX2942" i="6"/>
  <c r="BW2942" i="6"/>
  <c r="BV2942" i="6"/>
  <c r="BY2941" i="6"/>
  <c r="BX2941" i="6"/>
  <c r="BW2941" i="6"/>
  <c r="BV2941" i="6"/>
  <c r="BY2940" i="6"/>
  <c r="BX2940" i="6"/>
  <c r="BW2940" i="6"/>
  <c r="BV2940" i="6"/>
  <c r="BY2939" i="6"/>
  <c r="BX2939" i="6"/>
  <c r="BW2939" i="6"/>
  <c r="BV2939" i="6"/>
  <c r="BY2938" i="6"/>
  <c r="BX2938" i="6"/>
  <c r="BW2938" i="6"/>
  <c r="BV2938" i="6"/>
  <c r="BY2937" i="6"/>
  <c r="BX2937" i="6"/>
  <c r="BW2937" i="6"/>
  <c r="BV2937" i="6"/>
  <c r="BY2936" i="6"/>
  <c r="BX2936" i="6"/>
  <c r="BW2936" i="6"/>
  <c r="BV2936" i="6"/>
  <c r="BY2935" i="6"/>
  <c r="BX2935" i="6"/>
  <c r="BW2935" i="6"/>
  <c r="BV2935" i="6"/>
  <c r="BY2934" i="6"/>
  <c r="BX2934" i="6"/>
  <c r="BW2934" i="6"/>
  <c r="BV2934" i="6"/>
  <c r="BY2933" i="6"/>
  <c r="BX2933" i="6"/>
  <c r="BW2933" i="6"/>
  <c r="BV2933" i="6"/>
  <c r="BY2932" i="6"/>
  <c r="BX2932" i="6"/>
  <c r="BW2932" i="6"/>
  <c r="BV2932" i="6"/>
  <c r="BY2931" i="6"/>
  <c r="BX2931" i="6"/>
  <c r="BW2931" i="6"/>
  <c r="BV2931" i="6"/>
  <c r="BY2930" i="6"/>
  <c r="BX2930" i="6"/>
  <c r="BW2930" i="6"/>
  <c r="BV2930" i="6"/>
  <c r="BY2929" i="6"/>
  <c r="BX2929" i="6"/>
  <c r="BW2929" i="6"/>
  <c r="BV2929" i="6"/>
  <c r="BY2928" i="6"/>
  <c r="BX2928" i="6"/>
  <c r="BW2928" i="6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V2944" i="15"/>
  <c r="BY2943" i="15"/>
  <c r="BX2943" i="15"/>
  <c r="BW2943" i="15"/>
  <c r="BV2943" i="15"/>
  <c r="BY2942" i="15"/>
  <c r="BX2942" i="15"/>
  <c r="BW2942" i="15"/>
  <c r="BV2942" i="15"/>
  <c r="BY2941" i="15"/>
  <c r="BX2941" i="15"/>
  <c r="BW2941" i="15"/>
  <c r="BV2941" i="15"/>
  <c r="BY2940" i="15"/>
  <c r="BX2940" i="15"/>
  <c r="BW2940" i="15"/>
  <c r="BV2940" i="15"/>
  <c r="BY2939" i="15"/>
  <c r="BX2939" i="15"/>
  <c r="BW2939" i="15"/>
  <c r="BV2939" i="15"/>
  <c r="BY2938" i="15"/>
  <c r="BX2938" i="15"/>
  <c r="BW2938" i="15"/>
  <c r="BV2938" i="15"/>
  <c r="BY2937" i="15"/>
  <c r="BX2937" i="15"/>
  <c r="BW2937" i="15"/>
  <c r="BV2937" i="15"/>
  <c r="BY2936" i="15"/>
  <c r="BX2936" i="15"/>
  <c r="BW2936" i="15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28" i="4"/>
  <c r="BV2928" i="6"/>
  <c r="BV2928" i="14"/>
  <c r="BV2928" i="13"/>
  <c r="BV2936" i="15"/>
  <c r="BV2933" i="16"/>
  <c r="CQ1161" i="2"/>
  <c r="CP1161" i="2"/>
  <c r="CO1161" i="2"/>
  <c r="CM1161" i="2"/>
  <c r="CL1161" i="2"/>
  <c r="CK1161" i="2"/>
  <c r="CJ1161" i="2"/>
  <c r="CI1161" i="2"/>
  <c r="CH1161" i="2"/>
  <c r="CG1161" i="2"/>
  <c r="CF1161" i="2"/>
  <c r="CG420" i="2"/>
  <c r="BD482" i="2"/>
  <c r="BP2912" i="2"/>
  <c r="BP2913" i="2"/>
  <c r="BP2914" i="2"/>
  <c r="BP2915" i="2"/>
  <c r="BP2916" i="2"/>
  <c r="BP2917" i="2"/>
  <c r="BP2918" i="2"/>
  <c r="BP2919" i="2"/>
  <c r="BP2920" i="2"/>
  <c r="BP2921" i="2"/>
  <c r="BP2922" i="2"/>
  <c r="BP2923" i="2"/>
  <c r="BP2924" i="2"/>
  <c r="BP2925" i="2"/>
  <c r="BP2926" i="2"/>
  <c r="BO2912" i="2"/>
  <c r="BO2913" i="2"/>
  <c r="BO2914" i="2"/>
  <c r="BO2915" i="2"/>
  <c r="BO2916" i="2"/>
  <c r="BO2917" i="2"/>
  <c r="BO2918" i="2"/>
  <c r="BO2919" i="2"/>
  <c r="BO2920" i="2"/>
  <c r="BO2921" i="2"/>
  <c r="BO2922" i="2"/>
  <c r="BO2923" i="2"/>
  <c r="BO2924" i="2"/>
  <c r="BO2925" i="2"/>
  <c r="BO2926" i="2"/>
  <c r="BF1608" i="3"/>
  <c r="BE1608" i="3"/>
  <c r="E54" i="1"/>
  <c r="F54" i="1"/>
  <c r="D54" i="1"/>
  <c r="BP2404" i="2"/>
  <c r="BO2404" i="2"/>
  <c r="BP2405" i="2"/>
  <c r="BO2405" i="2"/>
  <c r="BP2406" i="2"/>
  <c r="BO2406" i="2"/>
  <c r="BP2407" i="2"/>
  <c r="BO2407" i="2"/>
  <c r="BP2408" i="2"/>
  <c r="BO2408" i="2"/>
  <c r="AW1905" i="2"/>
  <c r="AY1905" i="2"/>
  <c r="AW1835" i="2"/>
  <c r="AY1835" i="2"/>
  <c r="AW2410" i="2"/>
  <c r="AY2410" i="2"/>
  <c r="AW633" i="2"/>
  <c r="AY633" i="2"/>
  <c r="AW207" i="2"/>
  <c r="AY207" i="2"/>
  <c r="AW581" i="2"/>
  <c r="AY581" i="2"/>
  <c r="AW1161" i="2"/>
  <c r="AY1161" i="2"/>
  <c r="AW2295" i="2"/>
  <c r="AY2295" i="2"/>
  <c r="AW2458" i="2"/>
  <c r="AY2458" i="2"/>
  <c r="AW267" i="2"/>
  <c r="AY267" i="2"/>
  <c r="AW2333" i="2"/>
  <c r="AY2333" i="2"/>
  <c r="AW831" i="2"/>
  <c r="AY831" i="2"/>
  <c r="AW1663" i="2"/>
  <c r="AY1663" i="2"/>
  <c r="AW2623" i="2"/>
  <c r="AY2623" i="2"/>
  <c r="AW1462" i="2"/>
  <c r="AY1462" i="2"/>
  <c r="AW1039" i="2"/>
  <c r="AY1039" i="2"/>
  <c r="AW130" i="2"/>
  <c r="AY130" i="2"/>
  <c r="AW2910" i="2"/>
  <c r="AY2910" i="2"/>
  <c r="AW2926" i="2"/>
  <c r="AY2926" i="2"/>
  <c r="AW737" i="2"/>
  <c r="AY737" i="2"/>
  <c r="AW1721" i="2"/>
  <c r="AY1721" i="2"/>
  <c r="AW1969" i="2"/>
  <c r="AY1969" i="2"/>
  <c r="AW2526" i="2"/>
  <c r="AY2526" i="2"/>
  <c r="AW587" i="2"/>
  <c r="AY587" i="2"/>
  <c r="AW70" i="2"/>
  <c r="AY70" i="2"/>
  <c r="AW343" i="2"/>
  <c r="AY343" i="2"/>
  <c r="AW1816" i="2"/>
  <c r="AY1816" i="2"/>
  <c r="AW1288" i="2"/>
  <c r="AY1288" i="2"/>
  <c r="G34" i="1"/>
  <c r="G31" i="1"/>
  <c r="G42" i="1"/>
  <c r="G15" i="1"/>
  <c r="G6" i="1"/>
  <c r="G13" i="1"/>
  <c r="G20" i="1"/>
  <c r="G39" i="1"/>
  <c r="G43" i="1"/>
  <c r="G7" i="1"/>
  <c r="G40" i="1"/>
  <c r="G17" i="1"/>
  <c r="G28" i="1"/>
  <c r="G45" i="1"/>
  <c r="G26" i="1"/>
  <c r="G19" i="1"/>
  <c r="G5" i="1"/>
  <c r="G47" i="1"/>
  <c r="G48" i="1"/>
  <c r="G16" i="1"/>
  <c r="G29" i="1"/>
  <c r="G35" i="1"/>
  <c r="G44" i="1"/>
  <c r="G14" i="1"/>
  <c r="G3" i="1"/>
  <c r="G9" i="1"/>
  <c r="G30" i="1"/>
  <c r="G24" i="1"/>
  <c r="G4" i="1"/>
  <c r="G8" i="1"/>
  <c r="G10" i="1"/>
  <c r="G11" i="1"/>
  <c r="G18" i="1"/>
  <c r="G21" i="1"/>
  <c r="G22" i="1"/>
  <c r="G23" i="1"/>
  <c r="G25" i="1"/>
  <c r="G27" i="1"/>
  <c r="G32" i="1"/>
  <c r="G33" i="1"/>
  <c r="G36" i="1"/>
  <c r="G37" i="1"/>
  <c r="G38" i="1"/>
  <c r="G41" i="1"/>
  <c r="G46" i="1"/>
  <c r="G49" i="1"/>
  <c r="G50" i="1"/>
  <c r="G51" i="1"/>
  <c r="G52" i="1"/>
  <c r="G53" i="1"/>
  <c r="AU1" i="2"/>
  <c r="AT1" i="2"/>
  <c r="AS1" i="2"/>
  <c r="BD3102" i="2"/>
  <c r="BD3101" i="2"/>
  <c r="BD3100" i="2"/>
  <c r="BD3099" i="2"/>
  <c r="BD3098" i="2"/>
  <c r="BD3097" i="2"/>
  <c r="BD3096" i="2"/>
  <c r="BD3095" i="2"/>
  <c r="BD3094" i="2"/>
  <c r="BD3093" i="2"/>
  <c r="BD3092" i="2"/>
  <c r="BD3091" i="2"/>
  <c r="BD3090" i="2"/>
  <c r="BD3089" i="2"/>
  <c r="BD3088" i="2"/>
  <c r="BD3087" i="2"/>
  <c r="BD3086" i="2"/>
  <c r="BD3085" i="2"/>
  <c r="BD3084" i="2"/>
  <c r="BD3083" i="2"/>
  <c r="BD3082" i="2"/>
  <c r="BD3081" i="2"/>
  <c r="BD3080" i="2"/>
  <c r="BD3079" i="2"/>
  <c r="BD3078" i="2"/>
  <c r="BD3077" i="2"/>
  <c r="BD3076" i="2"/>
  <c r="BD3075" i="2"/>
  <c r="BD3074" i="2"/>
  <c r="BD3073" i="2"/>
  <c r="BD3072" i="2"/>
  <c r="BD3071" i="2"/>
  <c r="BD3070" i="2"/>
  <c r="BD3069" i="2"/>
  <c r="BD3068" i="2"/>
  <c r="BD3067" i="2"/>
  <c r="BD3066" i="2"/>
  <c r="BD3065" i="2"/>
  <c r="BD3064" i="2"/>
  <c r="BD3063" i="2"/>
  <c r="BD1969" i="2"/>
  <c r="BD1968" i="2"/>
  <c r="BD1967" i="2"/>
  <c r="BD1966" i="2"/>
  <c r="BD1965" i="2"/>
  <c r="BD1964" i="2"/>
  <c r="BD1963" i="2"/>
  <c r="BD1962" i="2"/>
  <c r="BD1961" i="2"/>
  <c r="BD1960" i="2"/>
  <c r="BD1959" i="2"/>
  <c r="BD1958" i="2"/>
  <c r="BD1957" i="2"/>
  <c r="BD1956" i="2"/>
  <c r="BD1955" i="2"/>
  <c r="BD1954" i="2"/>
  <c r="BD1953" i="2"/>
  <c r="BD1952" i="2"/>
  <c r="BD1951" i="2"/>
  <c r="BD1950" i="2"/>
  <c r="BD1949" i="2"/>
  <c r="BD1948" i="2"/>
  <c r="BD1947" i="2"/>
  <c r="BD1946" i="2"/>
  <c r="BD1945" i="2"/>
  <c r="BD1944" i="2"/>
  <c r="BD1943" i="2"/>
  <c r="BD1942" i="2"/>
  <c r="BD1941" i="2"/>
  <c r="BD1940" i="2"/>
  <c r="BD1939" i="2"/>
  <c r="BD1938" i="2"/>
  <c r="BD1937" i="2"/>
  <c r="BD1936" i="2"/>
  <c r="BD1935" i="2"/>
  <c r="BD1934" i="2"/>
  <c r="BD1933" i="2"/>
  <c r="BD1932" i="2"/>
  <c r="BD1931" i="2"/>
  <c r="BD1930" i="2"/>
  <c r="BD1929" i="2"/>
  <c r="BD1928" i="2"/>
  <c r="BD1927" i="2"/>
  <c r="BD1926" i="2"/>
  <c r="BD1925" i="2"/>
  <c r="BD1924" i="2"/>
  <c r="BD1923" i="2"/>
  <c r="BD1922" i="2"/>
  <c r="BD1921" i="2"/>
  <c r="BD1920" i="2"/>
  <c r="BD1919" i="2"/>
  <c r="BD1918" i="2"/>
  <c r="BD1917" i="2"/>
  <c r="BD1916" i="2"/>
  <c r="BD1915" i="2"/>
  <c r="BD1914" i="2"/>
  <c r="BD1913" i="2"/>
  <c r="BD1912" i="2"/>
  <c r="BD1911" i="2"/>
  <c r="BD1910" i="2"/>
  <c r="BD1909" i="2"/>
  <c r="BD1908" i="2"/>
  <c r="BD1907" i="2"/>
  <c r="AW3102" i="2"/>
  <c r="AY3102" i="2"/>
  <c r="AW113" i="2"/>
  <c r="AY113" i="2"/>
  <c r="AY333" i="2"/>
  <c r="AW348" i="2"/>
  <c r="AY348" i="2"/>
  <c r="AW350" i="2"/>
  <c r="AY350" i="2"/>
  <c r="AW932" i="2"/>
  <c r="AY932" i="2"/>
  <c r="AW1227" i="2"/>
  <c r="AY1227" i="2"/>
  <c r="AW1246" i="2"/>
  <c r="AY1246" i="2"/>
  <c r="AW1272" i="2"/>
  <c r="AY1272" i="2"/>
  <c r="AW1373" i="2"/>
  <c r="AY1373" i="2"/>
  <c r="AW1546" i="2"/>
  <c r="AY1546" i="2"/>
  <c r="AW1847" i="2"/>
  <c r="AY1847" i="2"/>
  <c r="AW1870" i="2"/>
  <c r="AY1870" i="2"/>
  <c r="AW2071" i="2"/>
  <c r="AY2071" i="2"/>
  <c r="AW2126" i="2"/>
  <c r="AY2126" i="2"/>
  <c r="AW2216" i="2"/>
  <c r="AY2216" i="2"/>
  <c r="AW2402" i="2"/>
  <c r="AY2402" i="2"/>
  <c r="AW2879" i="2"/>
  <c r="AY2879" i="2"/>
  <c r="AW3061" i="2"/>
  <c r="AY3061" i="2"/>
  <c r="AW3159" i="2"/>
  <c r="AY3159" i="2"/>
  <c r="AW3233" i="2"/>
  <c r="AY3233" i="2"/>
  <c r="AW3258" i="2"/>
  <c r="AY3258" i="2"/>
  <c r="BZ1" i="1"/>
  <c r="BZ2" i="1"/>
  <c r="BX2" i="1"/>
  <c r="BV2" i="1"/>
  <c r="BT2" i="1"/>
  <c r="BX1" i="1"/>
  <c r="BV1" i="1"/>
  <c r="BT1" i="1"/>
  <c r="G36" i="13"/>
  <c r="G35" i="13"/>
  <c r="AH9" i="14"/>
  <c r="G34" i="13"/>
  <c r="AG9" i="14"/>
  <c r="G33" i="13"/>
  <c r="AI8" i="14"/>
  <c r="AH8" i="14"/>
  <c r="AA9" i="14"/>
  <c r="AJ8" i="14"/>
  <c r="AJ7" i="14"/>
  <c r="AJ6" i="14"/>
  <c r="AJ5" i="14"/>
  <c r="AJ4" i="14"/>
  <c r="AJ3" i="14"/>
  <c r="AJ1" i="14"/>
  <c r="AJ9" i="14"/>
  <c r="AI9" i="14"/>
  <c r="AF9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F4" i="14"/>
  <c r="AE4" i="14"/>
  <c r="AI3" i="14"/>
  <c r="AH3" i="14"/>
  <c r="AG3" i="14"/>
  <c r="AF3" i="14"/>
  <c r="AE3" i="14"/>
  <c r="AI1" i="14"/>
  <c r="AH1" i="14"/>
  <c r="AG1" i="14"/>
  <c r="AF1" i="14"/>
  <c r="AE1" i="14"/>
  <c r="G32" i="13"/>
  <c r="N9" i="14"/>
  <c r="G14" i="13"/>
  <c r="BF1360" i="3"/>
  <c r="BE1360" i="3"/>
  <c r="BE1075" i="3"/>
  <c r="BE722" i="3"/>
  <c r="BF722" i="3"/>
  <c r="BZ332" i="2"/>
  <c r="BZ330" i="2"/>
  <c r="BZ328" i="2"/>
  <c r="BZ327" i="2"/>
  <c r="BZ326" i="2"/>
  <c r="BZ325" i="2"/>
  <c r="BZ324" i="2"/>
  <c r="BZ323" i="2"/>
  <c r="BZ322" i="2"/>
  <c r="BZ321" i="2"/>
  <c r="BZ320" i="2"/>
  <c r="BZ319" i="2"/>
  <c r="BZ318" i="2"/>
  <c r="BZ317" i="2"/>
  <c r="BZ316" i="2"/>
  <c r="BZ315" i="2"/>
  <c r="BZ314" i="2"/>
  <c r="BZ313" i="2"/>
  <c r="BZ312" i="2"/>
  <c r="BZ311" i="2"/>
  <c r="BZ310" i="2"/>
  <c r="BZ309" i="2"/>
  <c r="BZ308" i="2"/>
  <c r="BZ307" i="2"/>
  <c r="BZ306" i="2"/>
  <c r="BZ305" i="2"/>
  <c r="BZ304" i="2"/>
  <c r="BZ302" i="2"/>
  <c r="BZ301" i="2"/>
  <c r="BZ300" i="2"/>
  <c r="BZ299" i="2"/>
  <c r="BZ298" i="2"/>
  <c r="BZ296" i="2"/>
  <c r="BZ295" i="2"/>
  <c r="BZ294" i="2"/>
  <c r="BZ293" i="2"/>
  <c r="BZ292" i="2"/>
  <c r="BZ291" i="2"/>
  <c r="BZ290" i="2"/>
  <c r="BZ289" i="2"/>
  <c r="BZ288" i="2"/>
  <c r="BZ287" i="2"/>
  <c r="BZ286" i="2"/>
  <c r="BZ284" i="2"/>
  <c r="BZ283" i="2"/>
  <c r="BZ282" i="2"/>
  <c r="BZ281" i="2"/>
  <c r="BZ280" i="2"/>
  <c r="BZ279" i="2"/>
  <c r="BZ278" i="2"/>
  <c r="BZ277" i="2"/>
  <c r="BZ275" i="2"/>
  <c r="BZ274" i="2"/>
  <c r="BZ273" i="2"/>
  <c r="BZ272" i="2"/>
  <c r="BZ271" i="2"/>
  <c r="BZ270" i="2"/>
  <c r="BZ1160" i="2"/>
  <c r="BZ1159" i="2"/>
  <c r="BZ1158" i="2"/>
  <c r="BZ1157" i="2"/>
  <c r="BZ1156" i="2"/>
  <c r="BZ1155" i="2"/>
  <c r="BZ1154" i="2"/>
  <c r="BZ1153" i="2"/>
  <c r="BZ1152" i="2"/>
  <c r="BZ1151" i="2"/>
  <c r="BZ1150" i="2"/>
  <c r="BZ1149" i="2"/>
  <c r="BZ1148" i="2"/>
  <c r="BZ1147" i="2"/>
  <c r="BZ1146" i="2"/>
  <c r="BZ1145" i="2"/>
  <c r="BZ1144" i="2"/>
  <c r="BZ1143" i="2"/>
  <c r="BZ1142" i="2"/>
  <c r="BZ1141" i="2"/>
  <c r="BZ1140" i="2"/>
  <c r="BZ1139" i="2"/>
  <c r="BZ1138" i="2"/>
  <c r="BZ1137" i="2"/>
  <c r="BZ1136" i="2"/>
  <c r="BZ1135" i="2"/>
  <c r="BZ1134" i="2"/>
  <c r="BZ1133" i="2"/>
  <c r="BZ1132" i="2"/>
  <c r="BZ1131" i="2"/>
  <c r="BZ1130" i="2"/>
  <c r="BZ1129" i="2"/>
  <c r="BZ1128" i="2"/>
  <c r="BZ1127" i="2"/>
  <c r="BZ1126" i="2"/>
  <c r="BZ1125" i="2"/>
  <c r="BZ1124" i="2"/>
  <c r="BZ1123" i="2"/>
  <c r="BZ1122" i="2"/>
  <c r="BZ1121" i="2"/>
  <c r="BZ1120" i="2"/>
  <c r="BZ1119" i="2"/>
  <c r="BZ1118" i="2"/>
  <c r="BZ1117" i="2"/>
  <c r="BZ1116" i="2"/>
  <c r="BZ1115" i="2"/>
  <c r="BZ1114" i="2"/>
  <c r="BZ1113" i="2"/>
  <c r="BZ1112" i="2"/>
  <c r="BZ1111" i="2"/>
  <c r="BZ1110" i="2"/>
  <c r="BZ1109" i="2"/>
  <c r="BZ1108" i="2"/>
  <c r="BZ1107" i="2"/>
  <c r="BZ1106" i="2"/>
  <c r="BZ1105" i="2"/>
  <c r="BZ1104" i="2"/>
  <c r="BZ1103" i="2"/>
  <c r="BZ1102" i="2"/>
  <c r="BZ1101" i="2"/>
  <c r="BZ1100" i="2"/>
  <c r="BZ1099" i="2"/>
  <c r="BZ1098" i="2"/>
  <c r="BZ1097" i="2"/>
  <c r="BZ1096" i="2"/>
  <c r="BZ1095" i="2"/>
  <c r="BZ1094" i="2"/>
  <c r="BZ1093" i="2"/>
  <c r="BZ1092" i="2"/>
  <c r="BZ1091" i="2"/>
  <c r="BZ1090" i="2"/>
  <c r="BZ1089" i="2"/>
  <c r="BZ1088" i="2"/>
  <c r="BZ1087" i="2"/>
  <c r="BZ1086" i="2"/>
  <c r="BZ1085" i="2"/>
  <c r="BZ1084" i="2"/>
  <c r="BZ1083" i="2"/>
  <c r="BZ1082" i="2"/>
  <c r="BZ1081" i="2"/>
  <c r="BZ1080" i="2"/>
  <c r="BZ1079" i="2"/>
  <c r="BZ1078" i="2"/>
  <c r="BZ1077" i="2"/>
  <c r="BZ1076" i="2"/>
  <c r="BZ1075" i="2"/>
  <c r="BZ1074" i="2"/>
  <c r="BZ1073" i="2"/>
  <c r="BZ1072" i="2"/>
  <c r="BZ1071" i="2"/>
  <c r="BZ1070" i="2"/>
  <c r="BZ1069" i="2"/>
  <c r="BZ1068" i="2"/>
  <c r="BZ1067" i="2"/>
  <c r="BZ1066" i="2"/>
  <c r="BZ1065" i="2"/>
  <c r="BZ1064" i="2"/>
  <c r="BZ1063" i="2"/>
  <c r="BZ1062" i="2"/>
  <c r="BZ1061" i="2"/>
  <c r="BZ1060" i="2"/>
  <c r="BZ1059" i="2"/>
  <c r="BZ1058" i="2"/>
  <c r="BZ1057" i="2"/>
  <c r="BZ1056" i="2"/>
  <c r="BZ1055" i="2"/>
  <c r="BZ1054" i="2"/>
  <c r="BZ1053" i="2"/>
  <c r="BZ1052" i="2"/>
  <c r="BZ1051" i="2"/>
  <c r="BZ1050" i="2"/>
  <c r="BZ1049" i="2"/>
  <c r="BZ1048" i="2"/>
  <c r="BZ1047" i="2"/>
  <c r="BZ1046" i="2"/>
  <c r="BZ1045" i="2"/>
  <c r="BZ1044" i="2"/>
  <c r="BZ1043" i="2"/>
  <c r="BZ1042" i="2"/>
  <c r="BZ1041" i="2"/>
  <c r="CA1161" i="2"/>
  <c r="BZ3158" i="2"/>
  <c r="BZ3156" i="2"/>
  <c r="BZ3155" i="2"/>
  <c r="BZ3153" i="2"/>
  <c r="BZ3151" i="2"/>
  <c r="BZ3150" i="2"/>
  <c r="BZ3149" i="2"/>
  <c r="BZ3148" i="2"/>
  <c r="BZ3146" i="2"/>
  <c r="BZ3145" i="2"/>
  <c r="BZ3144" i="2"/>
  <c r="BZ3142" i="2"/>
  <c r="BZ3141" i="2"/>
  <c r="BZ3140" i="2"/>
  <c r="BZ3139" i="2"/>
  <c r="BZ3138" i="2"/>
  <c r="BZ3137" i="2"/>
  <c r="BZ3136" i="2"/>
  <c r="BZ3135" i="2"/>
  <c r="BZ3133" i="2"/>
  <c r="BZ3132" i="2"/>
  <c r="BZ3130" i="2"/>
  <c r="BZ3129" i="2"/>
  <c r="BZ3128" i="2"/>
  <c r="BZ3127" i="2"/>
  <c r="BZ3125" i="2"/>
  <c r="BZ3121" i="2"/>
  <c r="BZ3119" i="2"/>
  <c r="BZ3118" i="2"/>
  <c r="BZ3117" i="2"/>
  <c r="BZ3116" i="2"/>
  <c r="BZ3115" i="2"/>
  <c r="BZ3114" i="2"/>
  <c r="BZ3113" i="2"/>
  <c r="BZ3112" i="2"/>
  <c r="BZ3111" i="2"/>
  <c r="BZ3110" i="2"/>
  <c r="BZ3109" i="2"/>
  <c r="BZ3108" i="2"/>
  <c r="BZ3106" i="2"/>
  <c r="BZ3104" i="2"/>
  <c r="CE2216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BQ392" i="2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1458" i="3"/>
  <c r="AT1459" i="3"/>
  <c r="AT1460" i="3"/>
  <c r="AT1461" i="3"/>
  <c r="AT1462" i="3"/>
  <c r="AT1463" i="3"/>
  <c r="AT1464" i="3"/>
  <c r="AT1465" i="3"/>
  <c r="AT1466" i="3"/>
  <c r="AT1467" i="3"/>
  <c r="AT1468" i="3"/>
  <c r="AT1469" i="3"/>
  <c r="AT1470" i="3"/>
  <c r="AT1471" i="3"/>
  <c r="AT1472" i="3"/>
  <c r="AT1473" i="3"/>
  <c r="AT1474" i="3"/>
  <c r="AT1475" i="3"/>
  <c r="AT1476" i="3"/>
  <c r="AT1477" i="3"/>
  <c r="AT1478" i="3"/>
  <c r="AT1479" i="3"/>
  <c r="AT1480" i="3"/>
  <c r="AT1481" i="3"/>
  <c r="AT1482" i="3"/>
  <c r="AT1483" i="3"/>
  <c r="AT1484" i="3"/>
  <c r="AT1485" i="3"/>
  <c r="AT1486" i="3"/>
  <c r="AT1487" i="3"/>
  <c r="AT1488" i="3"/>
  <c r="AT1489" i="3"/>
  <c r="AT1490" i="3"/>
  <c r="AT1491" i="3"/>
  <c r="AT1492" i="3"/>
  <c r="AT1493" i="3"/>
  <c r="AT1494" i="3"/>
  <c r="AT1495" i="3"/>
  <c r="AT1496" i="3"/>
  <c r="AT1497" i="3"/>
  <c r="AT1498" i="3"/>
  <c r="AT1499" i="3"/>
  <c r="AT1500" i="3"/>
  <c r="AT1501" i="3"/>
  <c r="AT1502" i="3"/>
  <c r="AT1503" i="3"/>
  <c r="AT1504" i="3"/>
  <c r="AT1505" i="3"/>
  <c r="AT1506" i="3"/>
  <c r="AT1507" i="3"/>
  <c r="AT1508" i="3"/>
  <c r="AT1509" i="3"/>
  <c r="AT1510" i="3"/>
  <c r="AT1511" i="3"/>
  <c r="AT1512" i="3"/>
  <c r="AT1513" i="3"/>
  <c r="AT1514" i="3"/>
  <c r="AT1515" i="3"/>
  <c r="AT1516" i="3"/>
  <c r="AT1517" i="3"/>
  <c r="AT1518" i="3"/>
  <c r="AT1519" i="3"/>
  <c r="AT1520" i="3"/>
  <c r="AT1521" i="3"/>
  <c r="AT1522" i="3"/>
  <c r="AT1523" i="3"/>
  <c r="AT1524" i="3"/>
  <c r="AT1525" i="3"/>
  <c r="AT1526" i="3"/>
  <c r="AT1527" i="3"/>
  <c r="AT1528" i="3"/>
  <c r="AT1529" i="3"/>
  <c r="AT1530" i="3"/>
  <c r="AT1531" i="3"/>
  <c r="AT1532" i="3"/>
  <c r="AT1533" i="3"/>
  <c r="AT1534" i="3"/>
  <c r="AT1535" i="3"/>
  <c r="AT1536" i="3"/>
  <c r="AT1537" i="3"/>
  <c r="AT1538" i="3"/>
  <c r="AT1539" i="3"/>
  <c r="AT1540" i="3"/>
  <c r="AT1541" i="3"/>
  <c r="AT1542" i="3"/>
  <c r="AT1543" i="3"/>
  <c r="AT1544" i="3"/>
  <c r="AT1545" i="3"/>
  <c r="AT1546" i="3"/>
  <c r="AT1547" i="3"/>
  <c r="AT1548" i="3"/>
  <c r="AT1549" i="3"/>
  <c r="AT1550" i="3"/>
  <c r="AT1551" i="3"/>
  <c r="AT1552" i="3"/>
  <c r="AT1553" i="3"/>
  <c r="AT1554" i="3"/>
  <c r="AT1555" i="3"/>
  <c r="AT1556" i="3"/>
  <c r="AT1557" i="3"/>
  <c r="AT1558" i="3"/>
  <c r="AT1559" i="3"/>
  <c r="AT1560" i="3"/>
  <c r="AT1561" i="3"/>
  <c r="AT1562" i="3"/>
  <c r="AT1563" i="3"/>
  <c r="AT1564" i="3"/>
  <c r="AT1565" i="3"/>
  <c r="AT1566" i="3"/>
  <c r="AT1567" i="3"/>
  <c r="AT1568" i="3"/>
  <c r="AT1569" i="3"/>
  <c r="AT1570" i="3"/>
  <c r="AT1571" i="3"/>
  <c r="AT1572" i="3"/>
  <c r="AT1573" i="3"/>
  <c r="AT1574" i="3"/>
  <c r="AT1575" i="3"/>
  <c r="AT1576" i="3"/>
  <c r="AT1577" i="3"/>
  <c r="AT1578" i="3"/>
  <c r="AT1579" i="3"/>
  <c r="AT1580" i="3"/>
  <c r="AT1581" i="3"/>
  <c r="AT1582" i="3"/>
  <c r="AT1583" i="3"/>
  <c r="AT1584" i="3"/>
  <c r="AT1585" i="3"/>
  <c r="AT1586" i="3"/>
  <c r="AT1587" i="3"/>
  <c r="AT1588" i="3"/>
  <c r="AT1589" i="3"/>
  <c r="AT1590" i="3"/>
  <c r="AT1591" i="3"/>
  <c r="AT1592" i="3"/>
  <c r="AT1593" i="3"/>
  <c r="AT1594" i="3"/>
  <c r="AT1595" i="3"/>
  <c r="AT1596" i="3"/>
  <c r="AT1597" i="3"/>
  <c r="AT1598" i="3"/>
  <c r="AT1599" i="3"/>
  <c r="AT1600" i="3"/>
  <c r="AT1601" i="3"/>
  <c r="AT1602" i="3"/>
  <c r="AT1603" i="3"/>
  <c r="AT1604" i="3"/>
  <c r="AT1605" i="3"/>
  <c r="AT1606" i="3"/>
  <c r="AT1607" i="3"/>
  <c r="BT2332" i="2"/>
  <c r="BT2331" i="2"/>
  <c r="BT2330" i="2"/>
  <c r="BT2329" i="2"/>
  <c r="BT2328" i="2"/>
  <c r="BT2327" i="2"/>
  <c r="BT2326" i="2"/>
  <c r="BT2325" i="2"/>
  <c r="BT2324" i="2"/>
  <c r="BT2323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299" i="2"/>
  <c r="BT2297" i="2"/>
  <c r="BT2298" i="2"/>
  <c r="BQ402" i="2"/>
  <c r="BQ413" i="2"/>
  <c r="BQ371" i="2"/>
  <c r="BQ381" i="2"/>
  <c r="BQ386" i="2"/>
  <c r="BQ353" i="2"/>
  <c r="BQ354" i="2"/>
  <c r="BQ355" i="2"/>
  <c r="BQ356" i="2"/>
  <c r="BQ357" i="2"/>
  <c r="BQ358" i="2"/>
  <c r="BQ359" i="2"/>
  <c r="BQ360" i="2"/>
  <c r="BQ361" i="2"/>
  <c r="BQ362" i="2"/>
  <c r="BQ363" i="2"/>
  <c r="BQ364" i="2"/>
  <c r="BQ365" i="2"/>
  <c r="BQ366" i="2"/>
  <c r="BQ367" i="2"/>
  <c r="BQ368" i="2"/>
  <c r="BQ369" i="2"/>
  <c r="BQ370" i="2"/>
  <c r="BQ372" i="2"/>
  <c r="BQ373" i="2"/>
  <c r="BQ374" i="2"/>
  <c r="BQ375" i="2"/>
  <c r="BQ376" i="2"/>
  <c r="BQ377" i="2"/>
  <c r="BQ378" i="2"/>
  <c r="BQ379" i="2"/>
  <c r="BQ380" i="2"/>
  <c r="BQ382" i="2"/>
  <c r="BQ383" i="2"/>
  <c r="BQ384" i="2"/>
  <c r="BQ385" i="2"/>
  <c r="BQ387" i="2"/>
  <c r="BQ388" i="2"/>
  <c r="BQ389" i="2"/>
  <c r="BQ390" i="2"/>
  <c r="BQ391" i="2"/>
  <c r="BQ393" i="2"/>
  <c r="BQ394" i="2"/>
  <c r="BQ395" i="2"/>
  <c r="BQ396" i="2"/>
  <c r="BQ397" i="2"/>
  <c r="BQ398" i="2"/>
  <c r="BQ399" i="2"/>
  <c r="BQ400" i="2"/>
  <c r="BQ401" i="2"/>
  <c r="BQ403" i="2"/>
  <c r="BQ404" i="2"/>
  <c r="BQ405" i="2"/>
  <c r="BQ406" i="2"/>
  <c r="BQ407" i="2"/>
  <c r="BQ408" i="2"/>
  <c r="BQ409" i="2"/>
  <c r="BQ410" i="2"/>
  <c r="BQ411" i="2"/>
  <c r="BQ412" i="2"/>
  <c r="BQ414" i="2"/>
  <c r="BQ415" i="2"/>
  <c r="BQ416" i="2"/>
  <c r="BQ417" i="2"/>
  <c r="BQ418" i="2"/>
  <c r="BQ419" i="2"/>
  <c r="BQ420" i="2"/>
  <c r="CA3061" i="2"/>
  <c r="CR53" i="1"/>
  <c r="CR52" i="1"/>
  <c r="CR51" i="1"/>
  <c r="CC3102" i="2"/>
  <c r="CR50" i="1"/>
  <c r="CR49" i="1"/>
  <c r="CC2912" i="2"/>
  <c r="CC2913" i="2"/>
  <c r="CC2914" i="2"/>
  <c r="CC2915" i="2"/>
  <c r="CC2916" i="2"/>
  <c r="CC2917" i="2"/>
  <c r="CC2918" i="2"/>
  <c r="CC2919" i="2"/>
  <c r="CC2920" i="2"/>
  <c r="CC2921" i="2"/>
  <c r="CC2922" i="2"/>
  <c r="CC2923" i="2"/>
  <c r="CC2924" i="2"/>
  <c r="CC2925" i="2"/>
  <c r="CC2926" i="2"/>
  <c r="CR48" i="1"/>
  <c r="CR47" i="1"/>
  <c r="CR46" i="1"/>
  <c r="CR45" i="1"/>
  <c r="CR44" i="1"/>
  <c r="CR43" i="1"/>
  <c r="CR42" i="1"/>
  <c r="CR41" i="1"/>
  <c r="CR40" i="1"/>
  <c r="CR39" i="1"/>
  <c r="CR38" i="1"/>
  <c r="CR37" i="1"/>
  <c r="CR36" i="1"/>
  <c r="CR35" i="1"/>
  <c r="CR34" i="1"/>
  <c r="CR33" i="1"/>
  <c r="CR32" i="1"/>
  <c r="CR31" i="1"/>
  <c r="CR30" i="1"/>
  <c r="CR29" i="1"/>
  <c r="CR28" i="1"/>
  <c r="CR27" i="1"/>
  <c r="CR26" i="1"/>
  <c r="CR25" i="1"/>
  <c r="CR24" i="1"/>
  <c r="CR23" i="1"/>
  <c r="CR22" i="1"/>
  <c r="CR21" i="1"/>
  <c r="CR20" i="1"/>
  <c r="CR19" i="1"/>
  <c r="CR18" i="1"/>
  <c r="CR17" i="1"/>
  <c r="CR16" i="1"/>
  <c r="CR15" i="1"/>
  <c r="CR14" i="1"/>
  <c r="CR13" i="1"/>
  <c r="CR12" i="1"/>
  <c r="CR11" i="1"/>
  <c r="CR10" i="1"/>
  <c r="CR9" i="1"/>
  <c r="CR8" i="1"/>
  <c r="CC267" i="2"/>
  <c r="CR7" i="1"/>
  <c r="CR6" i="1"/>
  <c r="CR5" i="1"/>
  <c r="CR4" i="1"/>
  <c r="CR3" i="1"/>
  <c r="CR54" i="1"/>
  <c r="CS53" i="1"/>
  <c r="CS52" i="1"/>
  <c r="CS51" i="1"/>
  <c r="CS50" i="1"/>
  <c r="CS49" i="1"/>
  <c r="CS48" i="1"/>
  <c r="CS47" i="1"/>
  <c r="CS45" i="1"/>
  <c r="CS44" i="1"/>
  <c r="CS43" i="1"/>
  <c r="CS42" i="1"/>
  <c r="CS41" i="1"/>
  <c r="CS40" i="1"/>
  <c r="CS39" i="1"/>
  <c r="CS38" i="1"/>
  <c r="CS37" i="1"/>
  <c r="CS36" i="1"/>
  <c r="CS35" i="1"/>
  <c r="CS34" i="1"/>
  <c r="CS33" i="1"/>
  <c r="CS32" i="1"/>
  <c r="CS31" i="1"/>
  <c r="CS30" i="1"/>
  <c r="CS29" i="1"/>
  <c r="CS28" i="1"/>
  <c r="CS27" i="1"/>
  <c r="CS26" i="1"/>
  <c r="CS25" i="1"/>
  <c r="CS24" i="1"/>
  <c r="CS23" i="1"/>
  <c r="CS22" i="1"/>
  <c r="CS21" i="1"/>
  <c r="CS20" i="1"/>
  <c r="CS19" i="1"/>
  <c r="CS18" i="1"/>
  <c r="CS17" i="1"/>
  <c r="CS16" i="1"/>
  <c r="CS15" i="1"/>
  <c r="CS14" i="1"/>
  <c r="CS13" i="1"/>
  <c r="CS11" i="1"/>
  <c r="CS10" i="1"/>
  <c r="CS9" i="1"/>
  <c r="CS8" i="1"/>
  <c r="CS6" i="1"/>
  <c r="CS5" i="1"/>
  <c r="CS4" i="1"/>
  <c r="CS3" i="1"/>
  <c r="CD2910" i="2"/>
  <c r="CE2910" i="2"/>
  <c r="CF2910" i="2"/>
  <c r="CD2879" i="2"/>
  <c r="CE2879" i="2"/>
  <c r="CD2216" i="2"/>
  <c r="CD1721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D1161" i="2"/>
  <c r="CE1161" i="2"/>
  <c r="CD633" i="2"/>
  <c r="CE633" i="2"/>
  <c r="CF633" i="2"/>
  <c r="CG633" i="2"/>
  <c r="CH633" i="2"/>
  <c r="CD130" i="2"/>
  <c r="CD581" i="2"/>
  <c r="CE581" i="2"/>
  <c r="CF581" i="2"/>
  <c r="CD420" i="2"/>
  <c r="CE420" i="2"/>
  <c r="CF420" i="2"/>
  <c r="BO420" i="2"/>
  <c r="BP420" i="2"/>
  <c r="CA333" i="2"/>
  <c r="BR1608" i="3"/>
  <c r="BP1608" i="3"/>
  <c r="CA1462" i="2"/>
  <c r="BP3102" i="2"/>
  <c r="BO3102" i="2"/>
  <c r="CD267" i="2"/>
  <c r="BR1318" i="3"/>
  <c r="BC114" i="2"/>
  <c r="BD114" i="2"/>
  <c r="CA130" i="2"/>
  <c r="BD1244" i="2"/>
  <c r="BC1244" i="2"/>
  <c r="BB1244" i="2"/>
  <c r="AZ1244" i="2"/>
  <c r="AY1244" i="2"/>
  <c r="AX1244" i="2"/>
  <c r="AW1244" i="2"/>
  <c r="M1244" i="2"/>
  <c r="D713" i="3"/>
  <c r="J713" i="3"/>
  <c r="E713" i="3"/>
  <c r="AT713" i="3"/>
  <c r="K713" i="3"/>
  <c r="L713" i="3"/>
  <c r="M713" i="3"/>
  <c r="G713" i="3"/>
  <c r="H713" i="3"/>
  <c r="F713" i="3"/>
  <c r="BS722" i="3"/>
  <c r="AT475" i="3"/>
  <c r="J643" i="3"/>
  <c r="K643" i="3"/>
  <c r="L643" i="3"/>
  <c r="M643" i="3"/>
  <c r="G643" i="3"/>
  <c r="H643" i="3"/>
  <c r="F643" i="3"/>
  <c r="E643" i="3"/>
  <c r="D643" i="3"/>
  <c r="J611" i="3"/>
  <c r="K611" i="3"/>
  <c r="L611" i="3"/>
  <c r="M611" i="3"/>
  <c r="G611" i="3"/>
  <c r="H611" i="3"/>
  <c r="F611" i="3"/>
  <c r="E611" i="3"/>
  <c r="D611" i="3"/>
  <c r="J523" i="3"/>
  <c r="K523" i="3"/>
  <c r="L523" i="3"/>
  <c r="M523" i="3"/>
  <c r="G523" i="3"/>
  <c r="H523" i="3"/>
  <c r="F523" i="3"/>
  <c r="E523" i="3"/>
  <c r="D523" i="3"/>
  <c r="J475" i="3"/>
  <c r="K475" i="3"/>
  <c r="L475" i="3"/>
  <c r="M475" i="3"/>
  <c r="G475" i="3"/>
  <c r="H475" i="3"/>
  <c r="F475" i="3"/>
  <c r="E475" i="3"/>
  <c r="D475" i="3"/>
  <c r="J474" i="3"/>
  <c r="K474" i="3"/>
  <c r="L474" i="3"/>
  <c r="M474" i="3"/>
  <c r="G474" i="3"/>
  <c r="H474" i="3"/>
  <c r="F474" i="3"/>
  <c r="E474" i="3"/>
  <c r="D474" i="3"/>
  <c r="J461" i="3"/>
  <c r="K461" i="3"/>
  <c r="L461" i="3"/>
  <c r="M461" i="3"/>
  <c r="G461" i="3"/>
  <c r="H461" i="3"/>
  <c r="F461" i="3"/>
  <c r="E461" i="3"/>
  <c r="D461" i="3"/>
  <c r="J421" i="3"/>
  <c r="K421" i="3"/>
  <c r="L421" i="3"/>
  <c r="M421" i="3"/>
  <c r="G421" i="3"/>
  <c r="H421" i="3"/>
  <c r="F421" i="3"/>
  <c r="E421" i="3"/>
  <c r="D421" i="3"/>
  <c r="J367" i="3"/>
  <c r="K367" i="3"/>
  <c r="L367" i="3"/>
  <c r="M367" i="3"/>
  <c r="G367" i="3"/>
  <c r="H367" i="3"/>
  <c r="F367" i="3"/>
  <c r="E367" i="3"/>
  <c r="D367" i="3"/>
  <c r="J326" i="3"/>
  <c r="K326" i="3"/>
  <c r="L326" i="3"/>
  <c r="M326" i="3"/>
  <c r="G326" i="3"/>
  <c r="H326" i="3"/>
  <c r="F326" i="3"/>
  <c r="E326" i="3"/>
  <c r="D326" i="3"/>
  <c r="J314" i="3"/>
  <c r="K314" i="3"/>
  <c r="L314" i="3"/>
  <c r="M314" i="3"/>
  <c r="G314" i="3"/>
  <c r="H314" i="3"/>
  <c r="F314" i="3"/>
  <c r="E314" i="3"/>
  <c r="D314" i="3"/>
  <c r="J287" i="3"/>
  <c r="K287" i="3"/>
  <c r="L287" i="3"/>
  <c r="M287" i="3"/>
  <c r="G287" i="3"/>
  <c r="H287" i="3"/>
  <c r="F287" i="3"/>
  <c r="E287" i="3"/>
  <c r="D287" i="3"/>
  <c r="J277" i="3"/>
  <c r="K277" i="3"/>
  <c r="L277" i="3"/>
  <c r="M277" i="3"/>
  <c r="G277" i="3"/>
  <c r="H277" i="3"/>
  <c r="F277" i="3"/>
  <c r="E277" i="3"/>
  <c r="D277" i="3"/>
  <c r="J189" i="3"/>
  <c r="K189" i="3"/>
  <c r="L189" i="3"/>
  <c r="M189" i="3"/>
  <c r="G189" i="3"/>
  <c r="H189" i="3"/>
  <c r="F189" i="3"/>
  <c r="E189" i="3"/>
  <c r="D189" i="3"/>
  <c r="AT638" i="3"/>
  <c r="AT637" i="3"/>
  <c r="AT636" i="3"/>
  <c r="AT635" i="3"/>
  <c r="AT643" i="3"/>
  <c r="AT633" i="3"/>
  <c r="AT611" i="3"/>
  <c r="AT523" i="3"/>
  <c r="AT474" i="3"/>
  <c r="AT461" i="3"/>
  <c r="AT421" i="3"/>
  <c r="AT367" i="3"/>
  <c r="AT326" i="3"/>
  <c r="AT314" i="3"/>
  <c r="AT287" i="3"/>
  <c r="AT277" i="3"/>
  <c r="AT189" i="3"/>
  <c r="D543" i="3"/>
  <c r="E543" i="3"/>
  <c r="F543" i="3"/>
  <c r="G543" i="3"/>
  <c r="H543" i="3"/>
  <c r="J543" i="3"/>
  <c r="K543" i="3"/>
  <c r="L543" i="3"/>
  <c r="M543" i="3"/>
  <c r="AT543" i="3"/>
  <c r="D414" i="3"/>
  <c r="E414" i="3"/>
  <c r="F414" i="3"/>
  <c r="G414" i="3"/>
  <c r="H414" i="3"/>
  <c r="J414" i="3"/>
  <c r="K414" i="3"/>
  <c r="L414" i="3"/>
  <c r="M414" i="3"/>
  <c r="AT414" i="3"/>
  <c r="CA1870" i="2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BZ632" i="2"/>
  <c r="BZ631" i="2"/>
  <c r="BZ629" i="2"/>
  <c r="BZ628" i="2"/>
  <c r="BZ627" i="2"/>
  <c r="BZ626" i="2"/>
  <c r="BZ625" i="2"/>
  <c r="BZ624" i="2"/>
  <c r="BZ622" i="2"/>
  <c r="BZ621" i="2"/>
  <c r="BZ620" i="2"/>
  <c r="BZ619" i="2"/>
  <c r="BZ618" i="2"/>
  <c r="BZ614" i="2"/>
  <c r="BZ613" i="2"/>
  <c r="BZ612" i="2"/>
  <c r="BZ611" i="2"/>
  <c r="BZ610" i="2"/>
  <c r="BZ609" i="2"/>
  <c r="BZ608" i="2"/>
  <c r="BZ607" i="2"/>
  <c r="BZ606" i="2"/>
  <c r="BZ605" i="2"/>
  <c r="BZ603" i="2"/>
  <c r="BZ601" i="2"/>
  <c r="BZ600" i="2"/>
  <c r="BZ599" i="2"/>
  <c r="BZ598" i="2"/>
  <c r="BZ596" i="2"/>
  <c r="BZ595" i="2"/>
  <c r="BZ593" i="2"/>
  <c r="BZ592" i="2"/>
  <c r="BZ590" i="2"/>
  <c r="BD2408" i="2"/>
  <c r="BC2408" i="2"/>
  <c r="BB2408" i="2"/>
  <c r="AZ2408" i="2"/>
  <c r="AY2408" i="2"/>
  <c r="AX2408" i="2"/>
  <c r="AW2408" i="2"/>
  <c r="M2408" i="2"/>
  <c r="D1358" i="3"/>
  <c r="J1358" i="3"/>
  <c r="E1358" i="3"/>
  <c r="AT1358" i="3"/>
  <c r="K1358" i="3"/>
  <c r="L1358" i="3"/>
  <c r="M1358" i="3"/>
  <c r="G1358" i="3"/>
  <c r="H1358" i="3"/>
  <c r="F1358" i="3"/>
  <c r="BR2" i="1"/>
  <c r="BR1" i="1"/>
  <c r="BP2" i="1"/>
  <c r="BP1" i="1"/>
  <c r="BN2" i="1"/>
  <c r="BN1" i="1"/>
  <c r="BL2" i="1"/>
  <c r="BL1" i="1"/>
  <c r="BJ2" i="1"/>
  <c r="BJ1" i="1"/>
  <c r="V9" i="14"/>
  <c r="G22" i="13"/>
  <c r="AD1" i="14"/>
  <c r="AA1" i="14"/>
  <c r="AE9" i="14"/>
  <c r="AD9" i="14"/>
  <c r="G30" i="13"/>
  <c r="G31" i="13"/>
  <c r="AD8" i="14"/>
  <c r="AD7" i="14"/>
  <c r="AD6" i="14"/>
  <c r="AD5" i="14"/>
  <c r="AD4" i="14"/>
  <c r="AD3" i="14"/>
  <c r="G27" i="13"/>
  <c r="AA8" i="14"/>
  <c r="AA7" i="14"/>
  <c r="AA6" i="14"/>
  <c r="AA5" i="14"/>
  <c r="AA4" i="14"/>
  <c r="AA3" i="14"/>
  <c r="AB3" i="14"/>
  <c r="AC9" i="14"/>
  <c r="G29" i="13"/>
  <c r="AC8" i="14"/>
  <c r="AC7" i="14"/>
  <c r="AC6" i="14"/>
  <c r="AC5" i="14"/>
  <c r="AC4" i="14"/>
  <c r="AC3" i="14"/>
  <c r="AC1" i="14"/>
  <c r="AB8" i="14"/>
  <c r="AB9" i="14"/>
  <c r="G28" i="13"/>
  <c r="AB7" i="14"/>
  <c r="AB6" i="14"/>
  <c r="AB5" i="14"/>
  <c r="AB4" i="14"/>
  <c r="AB1" i="14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CF1" i="1"/>
  <c r="CG1" i="1"/>
  <c r="CH1" i="1"/>
  <c r="CI1" i="1"/>
  <c r="L2" i="1"/>
  <c r="G2" i="1"/>
  <c r="N2" i="1"/>
  <c r="H2" i="1"/>
  <c r="P2" i="1"/>
  <c r="I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E3" i="1"/>
  <c r="CF3" i="1"/>
  <c r="CG3" i="1"/>
  <c r="CH3" i="1"/>
  <c r="CI3" i="1"/>
  <c r="CM3" i="1"/>
  <c r="CO3" i="1"/>
  <c r="CE4" i="1"/>
  <c r="CF4" i="1"/>
  <c r="CG4" i="1"/>
  <c r="CH4" i="1"/>
  <c r="CI4" i="1"/>
  <c r="CM4" i="1"/>
  <c r="CO4" i="1"/>
  <c r="CE5" i="1"/>
  <c r="CF5" i="1"/>
  <c r="CG5" i="1"/>
  <c r="CH5" i="1"/>
  <c r="CI5" i="1"/>
  <c r="BO130" i="2"/>
  <c r="CM5" i="1"/>
  <c r="CO5" i="1"/>
  <c r="CE6" i="1"/>
  <c r="CF6" i="1"/>
  <c r="CG6" i="1"/>
  <c r="CH6" i="1"/>
  <c r="CI6" i="1"/>
  <c r="BO207" i="2"/>
  <c r="CM6" i="1"/>
  <c r="CO6" i="1"/>
  <c r="CE7" i="1"/>
  <c r="BO267" i="2"/>
  <c r="CM7" i="1"/>
  <c r="CO7" i="1"/>
  <c r="CE8" i="1"/>
  <c r="CF8" i="1"/>
  <c r="CG8" i="1"/>
  <c r="CH8" i="1"/>
  <c r="CI8" i="1"/>
  <c r="CM8" i="1"/>
  <c r="CO8" i="1"/>
  <c r="CE9" i="1"/>
  <c r="CF9" i="1"/>
  <c r="CG9" i="1"/>
  <c r="CH9" i="1"/>
  <c r="CI9" i="1"/>
  <c r="CM9" i="1"/>
  <c r="CO9" i="1"/>
  <c r="CE10" i="1"/>
  <c r="CF10" i="1"/>
  <c r="CG10" i="1"/>
  <c r="CH10" i="1"/>
  <c r="CI10" i="1"/>
  <c r="CM10" i="1"/>
  <c r="CO10" i="1"/>
  <c r="CE11" i="1"/>
  <c r="CF11" i="1"/>
  <c r="CG11" i="1"/>
  <c r="CH11" i="1"/>
  <c r="CI11" i="1"/>
  <c r="CM11" i="1"/>
  <c r="CO11" i="1"/>
  <c r="CE12" i="1"/>
  <c r="CM12" i="1"/>
  <c r="CO12" i="1"/>
  <c r="CE13" i="1"/>
  <c r="CF13" i="1"/>
  <c r="CG13" i="1"/>
  <c r="CH13" i="1"/>
  <c r="CI13" i="1"/>
  <c r="CM13" i="1"/>
  <c r="CO13" i="1"/>
  <c r="CE14" i="1"/>
  <c r="CF14" i="1"/>
  <c r="CG14" i="1"/>
  <c r="CH14" i="1"/>
  <c r="CI14" i="1"/>
  <c r="BO587" i="2"/>
  <c r="CM14" i="1"/>
  <c r="CO14" i="1"/>
  <c r="CE15" i="1"/>
  <c r="CF15" i="1"/>
  <c r="CG15" i="1"/>
  <c r="CH15" i="1"/>
  <c r="CI15" i="1"/>
  <c r="CM15" i="1"/>
  <c r="CO15" i="1"/>
  <c r="CE16" i="1"/>
  <c r="CF16" i="1"/>
  <c r="CG16" i="1"/>
  <c r="CH16" i="1"/>
  <c r="CI16" i="1"/>
  <c r="CM16" i="1"/>
  <c r="CO16" i="1"/>
  <c r="CE17" i="1"/>
  <c r="CF17" i="1"/>
  <c r="CG17" i="1"/>
  <c r="CH17" i="1"/>
  <c r="CI17" i="1"/>
  <c r="CM17" i="1"/>
  <c r="CO17" i="1"/>
  <c r="CE18" i="1"/>
  <c r="CF18" i="1"/>
  <c r="CG18" i="1"/>
  <c r="CH18" i="1"/>
  <c r="CI18" i="1"/>
  <c r="BO932" i="2"/>
  <c r="CM18" i="1"/>
  <c r="CO18" i="1"/>
  <c r="CE19" i="1"/>
  <c r="CF19" i="1"/>
  <c r="CG19" i="1"/>
  <c r="CH19" i="1"/>
  <c r="CI19" i="1"/>
  <c r="CM19" i="1"/>
  <c r="CO19" i="1"/>
  <c r="CE20" i="1"/>
  <c r="CF20" i="1"/>
  <c r="CG20" i="1"/>
  <c r="CH20" i="1"/>
  <c r="CI20" i="1"/>
  <c r="CM20" i="1"/>
  <c r="CO20" i="1"/>
  <c r="CE21" i="1"/>
  <c r="CF21" i="1"/>
  <c r="CG21" i="1"/>
  <c r="CH21" i="1"/>
  <c r="CI21" i="1"/>
  <c r="CM21" i="1"/>
  <c r="CO21" i="1"/>
  <c r="CE22" i="1"/>
  <c r="CF22" i="1"/>
  <c r="CG22" i="1"/>
  <c r="CH22" i="1"/>
  <c r="CI22" i="1"/>
  <c r="CM22" i="1"/>
  <c r="CO22" i="1"/>
  <c r="CE23" i="1"/>
  <c r="CF23" i="1"/>
  <c r="CG23" i="1"/>
  <c r="CH23" i="1"/>
  <c r="CI23" i="1"/>
  <c r="CM23" i="1"/>
  <c r="CO23" i="1"/>
  <c r="CE24" i="1"/>
  <c r="CF24" i="1"/>
  <c r="CG24" i="1"/>
  <c r="CH24" i="1"/>
  <c r="CI24" i="1"/>
  <c r="CM24" i="1"/>
  <c r="CO24" i="1"/>
  <c r="CE25" i="1"/>
  <c r="CF25" i="1"/>
  <c r="CG25" i="1"/>
  <c r="CH25" i="1"/>
  <c r="CI25" i="1"/>
  <c r="CM25" i="1"/>
  <c r="CO25" i="1"/>
  <c r="CE26" i="1"/>
  <c r="CF26" i="1"/>
  <c r="CG26" i="1"/>
  <c r="CH26" i="1"/>
  <c r="CI26" i="1"/>
  <c r="CM26" i="1"/>
  <c r="CO26" i="1"/>
  <c r="CE27" i="1"/>
  <c r="CF27" i="1"/>
  <c r="CG27" i="1"/>
  <c r="CH27" i="1"/>
  <c r="CI27" i="1"/>
  <c r="CM27" i="1"/>
  <c r="CO27" i="1"/>
  <c r="CE28" i="1"/>
  <c r="CF28" i="1"/>
  <c r="CG28" i="1"/>
  <c r="CH28" i="1"/>
  <c r="CI28" i="1"/>
  <c r="CM28" i="1"/>
  <c r="CO28" i="1"/>
  <c r="CE29" i="1"/>
  <c r="CF29" i="1"/>
  <c r="CG29" i="1"/>
  <c r="CH29" i="1"/>
  <c r="CI29" i="1"/>
  <c r="CM29" i="1"/>
  <c r="CO29" i="1"/>
  <c r="CE30" i="1"/>
  <c r="CF30" i="1"/>
  <c r="CG30" i="1"/>
  <c r="CH30" i="1"/>
  <c r="CI30" i="1"/>
  <c r="CM30" i="1"/>
  <c r="CO30" i="1"/>
  <c r="CE31" i="1"/>
  <c r="CF31" i="1"/>
  <c r="CG31" i="1"/>
  <c r="CH31" i="1"/>
  <c r="CI31" i="1"/>
  <c r="CM31" i="1"/>
  <c r="CO31" i="1"/>
  <c r="CE32" i="1"/>
  <c r="CF32" i="1"/>
  <c r="CG32" i="1"/>
  <c r="CH32" i="1"/>
  <c r="CI32" i="1"/>
  <c r="CM32" i="1"/>
  <c r="CO32" i="1"/>
  <c r="CE33" i="1"/>
  <c r="CF33" i="1"/>
  <c r="CG33" i="1"/>
  <c r="CH33" i="1"/>
  <c r="CI33" i="1"/>
  <c r="CM33" i="1"/>
  <c r="CO33" i="1"/>
  <c r="CE34" i="1"/>
  <c r="CF34" i="1"/>
  <c r="CG34" i="1"/>
  <c r="CH34" i="1"/>
  <c r="CI34" i="1"/>
  <c r="CM34" i="1"/>
  <c r="CO34" i="1"/>
  <c r="CE35" i="1"/>
  <c r="CF35" i="1"/>
  <c r="CG35" i="1"/>
  <c r="CH35" i="1"/>
  <c r="CI35" i="1"/>
  <c r="CM35" i="1"/>
  <c r="CO35" i="1"/>
  <c r="CE36" i="1"/>
  <c r="CF36" i="1"/>
  <c r="CG36" i="1"/>
  <c r="CH36" i="1"/>
  <c r="CI36" i="1"/>
  <c r="CM36" i="1"/>
  <c r="CO36" i="1"/>
  <c r="CE37" i="1"/>
  <c r="CF37" i="1"/>
  <c r="CG37" i="1"/>
  <c r="CH37" i="1"/>
  <c r="CI37" i="1"/>
  <c r="CM37" i="1"/>
  <c r="CO37" i="1"/>
  <c r="CE38" i="1"/>
  <c r="CM38" i="1"/>
  <c r="CO38" i="1"/>
  <c r="CE39" i="1"/>
  <c r="CF39" i="1"/>
  <c r="CG39" i="1"/>
  <c r="CH39" i="1"/>
  <c r="CI39" i="1"/>
  <c r="BO2295" i="2"/>
  <c r="CM39" i="1"/>
  <c r="CO39" i="1"/>
  <c r="CE40" i="1"/>
  <c r="CF40" i="1"/>
  <c r="CG40" i="1"/>
  <c r="CH40" i="1"/>
  <c r="CI40" i="1"/>
  <c r="BO2333" i="2"/>
  <c r="CM40" i="1"/>
  <c r="CO40" i="1"/>
  <c r="CE41" i="1"/>
  <c r="CF41" i="1"/>
  <c r="CG41" i="1"/>
  <c r="CH41" i="1"/>
  <c r="CI41" i="1"/>
  <c r="CM41" i="1"/>
  <c r="CO41" i="1"/>
  <c r="CE42" i="1"/>
  <c r="CF42" i="1"/>
  <c r="CG42" i="1"/>
  <c r="CH42" i="1"/>
  <c r="CI42" i="1"/>
  <c r="BO2409" i="2"/>
  <c r="BO2410" i="2"/>
  <c r="CM42" i="1"/>
  <c r="CO42" i="1"/>
  <c r="CE43" i="1"/>
  <c r="CF43" i="1"/>
  <c r="CG43" i="1"/>
  <c r="CH43" i="1"/>
  <c r="CI43" i="1"/>
  <c r="CM43" i="1"/>
  <c r="CO43" i="1"/>
  <c r="CE44" i="1"/>
  <c r="CF44" i="1"/>
  <c r="CG44" i="1"/>
  <c r="CH44" i="1"/>
  <c r="CI44" i="1"/>
  <c r="CM44" i="1"/>
  <c r="CO44" i="1"/>
  <c r="CE45" i="1"/>
  <c r="CF45" i="1"/>
  <c r="CG45" i="1"/>
  <c r="CH45" i="1"/>
  <c r="CI45" i="1"/>
  <c r="CM45" i="1"/>
  <c r="CO45" i="1"/>
  <c r="CE46" i="1"/>
  <c r="CM46" i="1"/>
  <c r="CO46" i="1"/>
  <c r="CE47" i="1"/>
  <c r="CF47" i="1"/>
  <c r="CG47" i="1"/>
  <c r="CH47" i="1"/>
  <c r="CI47" i="1"/>
  <c r="CM47" i="1"/>
  <c r="CO47" i="1"/>
  <c r="CE48" i="1"/>
  <c r="CF48" i="1"/>
  <c r="CG48" i="1"/>
  <c r="CH48" i="1"/>
  <c r="CI48" i="1"/>
  <c r="CM48" i="1"/>
  <c r="CO48" i="1"/>
  <c r="CE49" i="1"/>
  <c r="CF49" i="1"/>
  <c r="CG49" i="1"/>
  <c r="CH49" i="1"/>
  <c r="CI49" i="1"/>
  <c r="CM49" i="1"/>
  <c r="CO49" i="1"/>
  <c r="CE50" i="1"/>
  <c r="CF50" i="1"/>
  <c r="CG50" i="1"/>
  <c r="CH50" i="1"/>
  <c r="CI50" i="1"/>
  <c r="CM50" i="1"/>
  <c r="CO50" i="1"/>
  <c r="CE51" i="1"/>
  <c r="CF51" i="1"/>
  <c r="CG51" i="1"/>
  <c r="CH51" i="1"/>
  <c r="CI51" i="1"/>
  <c r="CM51" i="1"/>
  <c r="CO51" i="1"/>
  <c r="CE52" i="1"/>
  <c r="CF52" i="1"/>
  <c r="CG52" i="1"/>
  <c r="CH52" i="1"/>
  <c r="CI52" i="1"/>
  <c r="CM52" i="1"/>
  <c r="CO52" i="1"/>
  <c r="CE53" i="1"/>
  <c r="CF53" i="1"/>
  <c r="CG53" i="1"/>
  <c r="CH53" i="1"/>
  <c r="CI53" i="1"/>
  <c r="BO3258" i="2"/>
  <c r="CM53" i="1"/>
  <c r="CO53" i="1"/>
  <c r="J54" i="1"/>
  <c r="CC54" i="1"/>
  <c r="CE54" i="1"/>
  <c r="CM54" i="1"/>
  <c r="AW1" i="2"/>
  <c r="AX1" i="2"/>
  <c r="AY1" i="2"/>
  <c r="AZ1" i="2"/>
  <c r="BB1" i="2"/>
  <c r="BC1" i="2"/>
  <c r="BD1" i="2"/>
  <c r="M3" i="2"/>
  <c r="AW3" i="2"/>
  <c r="AX3" i="2"/>
  <c r="AY3" i="2"/>
  <c r="AZ3" i="2"/>
  <c r="BB3" i="2"/>
  <c r="BC3" i="2"/>
  <c r="BD3" i="2"/>
  <c r="M4" i="2"/>
  <c r="AW4" i="2"/>
  <c r="AX4" i="2"/>
  <c r="AY4" i="2"/>
  <c r="AZ4" i="2"/>
  <c r="BB4" i="2"/>
  <c r="BC4" i="2"/>
  <c r="BD4" i="2"/>
  <c r="M5" i="2"/>
  <c r="AW5" i="2"/>
  <c r="AX5" i="2"/>
  <c r="AY5" i="2"/>
  <c r="AZ5" i="2"/>
  <c r="BB5" i="2"/>
  <c r="BC5" i="2"/>
  <c r="BD5" i="2"/>
  <c r="M6" i="2"/>
  <c r="AW6" i="2"/>
  <c r="AX6" i="2"/>
  <c r="AY6" i="2"/>
  <c r="AZ6" i="2"/>
  <c r="BB6" i="2"/>
  <c r="BC6" i="2"/>
  <c r="BD6" i="2"/>
  <c r="M7" i="2"/>
  <c r="AW7" i="2"/>
  <c r="AX7" i="2"/>
  <c r="AY7" i="2"/>
  <c r="AZ7" i="2"/>
  <c r="BB7" i="2"/>
  <c r="BC7" i="2"/>
  <c r="BD7" i="2"/>
  <c r="M8" i="2"/>
  <c r="AW8" i="2"/>
  <c r="AX8" i="2"/>
  <c r="AY8" i="2"/>
  <c r="AZ8" i="2"/>
  <c r="BB8" i="2"/>
  <c r="BC8" i="2"/>
  <c r="BD8" i="2"/>
  <c r="M9" i="2"/>
  <c r="AW9" i="2"/>
  <c r="AX9" i="2"/>
  <c r="AY9" i="2"/>
  <c r="AZ9" i="2"/>
  <c r="BB9" i="2"/>
  <c r="BC9" i="2"/>
  <c r="BD9" i="2"/>
  <c r="M10" i="2"/>
  <c r="AW10" i="2"/>
  <c r="AX10" i="2"/>
  <c r="AY10" i="2"/>
  <c r="AZ10" i="2"/>
  <c r="BB10" i="2"/>
  <c r="BC10" i="2"/>
  <c r="BD10" i="2"/>
  <c r="M11" i="2"/>
  <c r="AW11" i="2"/>
  <c r="AX11" i="2"/>
  <c r="AY11" i="2"/>
  <c r="AZ11" i="2"/>
  <c r="BB11" i="2"/>
  <c r="BC11" i="2"/>
  <c r="BD11" i="2"/>
  <c r="M12" i="2"/>
  <c r="AW12" i="2"/>
  <c r="AX12" i="2"/>
  <c r="AY12" i="2"/>
  <c r="AZ12" i="2"/>
  <c r="BB12" i="2"/>
  <c r="BC12" i="2"/>
  <c r="BD12" i="2"/>
  <c r="M13" i="2"/>
  <c r="AW13" i="2"/>
  <c r="AX13" i="2"/>
  <c r="AY13" i="2"/>
  <c r="AZ13" i="2"/>
  <c r="BB13" i="2"/>
  <c r="BC13" i="2"/>
  <c r="BD13" i="2"/>
  <c r="M14" i="2"/>
  <c r="AW14" i="2"/>
  <c r="AX14" i="2"/>
  <c r="AY14" i="2"/>
  <c r="AZ14" i="2"/>
  <c r="BB14" i="2"/>
  <c r="BC14" i="2"/>
  <c r="BD14" i="2"/>
  <c r="M15" i="2"/>
  <c r="AW15" i="2"/>
  <c r="AX15" i="2"/>
  <c r="AY15" i="2"/>
  <c r="AZ15" i="2"/>
  <c r="BB15" i="2"/>
  <c r="BC15" i="2"/>
  <c r="BD15" i="2"/>
  <c r="M16" i="2"/>
  <c r="AW16" i="2"/>
  <c r="AX16" i="2"/>
  <c r="AY16" i="2"/>
  <c r="AZ16" i="2"/>
  <c r="BB16" i="2"/>
  <c r="BC16" i="2"/>
  <c r="BD16" i="2"/>
  <c r="M17" i="2"/>
  <c r="AW17" i="2"/>
  <c r="AX17" i="2"/>
  <c r="AY17" i="2"/>
  <c r="AZ17" i="2"/>
  <c r="BB17" i="2"/>
  <c r="BC17" i="2"/>
  <c r="BD17" i="2"/>
  <c r="M18" i="2"/>
  <c r="AW18" i="2"/>
  <c r="AX18" i="2"/>
  <c r="AY18" i="2"/>
  <c r="AZ18" i="2"/>
  <c r="BB18" i="2"/>
  <c r="BC18" i="2"/>
  <c r="BD18" i="2"/>
  <c r="M19" i="2"/>
  <c r="AW19" i="2"/>
  <c r="AX19" i="2"/>
  <c r="AY19" i="2"/>
  <c r="AZ19" i="2"/>
  <c r="BB19" i="2"/>
  <c r="BC19" i="2"/>
  <c r="BD19" i="2"/>
  <c r="M20" i="2"/>
  <c r="AW20" i="2"/>
  <c r="AX20" i="2"/>
  <c r="AY20" i="2"/>
  <c r="AZ20" i="2"/>
  <c r="BB20" i="2"/>
  <c r="BC20" i="2"/>
  <c r="BD20" i="2"/>
  <c r="M21" i="2"/>
  <c r="AW21" i="2"/>
  <c r="AX21" i="2"/>
  <c r="AY21" i="2"/>
  <c r="AZ21" i="2"/>
  <c r="BB21" i="2"/>
  <c r="BC21" i="2"/>
  <c r="BD21" i="2"/>
  <c r="M22" i="2"/>
  <c r="AW22" i="2"/>
  <c r="AX22" i="2"/>
  <c r="AY22" i="2"/>
  <c r="AZ22" i="2"/>
  <c r="BB22" i="2"/>
  <c r="BC22" i="2"/>
  <c r="BD22" i="2"/>
  <c r="M23" i="2"/>
  <c r="AW23" i="2"/>
  <c r="AX23" i="2"/>
  <c r="AY23" i="2"/>
  <c r="AZ23" i="2"/>
  <c r="BB23" i="2"/>
  <c r="BC23" i="2"/>
  <c r="BD23" i="2"/>
  <c r="M24" i="2"/>
  <c r="AW24" i="2"/>
  <c r="AX24" i="2"/>
  <c r="AY24" i="2"/>
  <c r="AZ24" i="2"/>
  <c r="BB24" i="2"/>
  <c r="BC24" i="2"/>
  <c r="BD24" i="2"/>
  <c r="M25" i="2"/>
  <c r="AW25" i="2"/>
  <c r="AX25" i="2"/>
  <c r="AY25" i="2"/>
  <c r="AZ25" i="2"/>
  <c r="BB25" i="2"/>
  <c r="BC25" i="2"/>
  <c r="BD25" i="2"/>
  <c r="M26" i="2"/>
  <c r="AW26" i="2"/>
  <c r="AX26" i="2"/>
  <c r="AY26" i="2"/>
  <c r="AZ26" i="2"/>
  <c r="BB26" i="2"/>
  <c r="BC26" i="2"/>
  <c r="BD26" i="2"/>
  <c r="M27" i="2"/>
  <c r="AW27" i="2"/>
  <c r="AX27" i="2"/>
  <c r="AY27" i="2"/>
  <c r="AZ27" i="2"/>
  <c r="BB27" i="2"/>
  <c r="BC27" i="2"/>
  <c r="BD27" i="2"/>
  <c r="M28" i="2"/>
  <c r="AW28" i="2"/>
  <c r="AX28" i="2"/>
  <c r="AY28" i="2"/>
  <c r="AZ28" i="2"/>
  <c r="BB28" i="2"/>
  <c r="BC28" i="2"/>
  <c r="BD28" i="2"/>
  <c r="M29" i="2"/>
  <c r="AW29" i="2"/>
  <c r="AX29" i="2"/>
  <c r="AY29" i="2"/>
  <c r="AZ29" i="2"/>
  <c r="BB29" i="2"/>
  <c r="BC29" i="2"/>
  <c r="BD29" i="2"/>
  <c r="M30" i="2"/>
  <c r="AW30" i="2"/>
  <c r="AX30" i="2"/>
  <c r="AY30" i="2"/>
  <c r="AZ30" i="2"/>
  <c r="BB30" i="2"/>
  <c r="BC30" i="2"/>
  <c r="BD30" i="2"/>
  <c r="M31" i="2"/>
  <c r="AW31" i="2"/>
  <c r="AX31" i="2"/>
  <c r="AY31" i="2"/>
  <c r="AZ31" i="2"/>
  <c r="BB31" i="2"/>
  <c r="BC31" i="2"/>
  <c r="BD31" i="2"/>
  <c r="M32" i="2"/>
  <c r="AW32" i="2"/>
  <c r="AX32" i="2"/>
  <c r="AY32" i="2"/>
  <c r="AZ32" i="2"/>
  <c r="BB32" i="2"/>
  <c r="BC32" i="2"/>
  <c r="BD32" i="2"/>
  <c r="M33" i="2"/>
  <c r="AW33" i="2"/>
  <c r="AX33" i="2"/>
  <c r="AY33" i="2"/>
  <c r="AZ33" i="2"/>
  <c r="BB33" i="2"/>
  <c r="BC33" i="2"/>
  <c r="BD33" i="2"/>
  <c r="M34" i="2"/>
  <c r="AW34" i="2"/>
  <c r="AX34" i="2"/>
  <c r="AY34" i="2"/>
  <c r="AZ34" i="2"/>
  <c r="BB34" i="2"/>
  <c r="BC34" i="2"/>
  <c r="BD34" i="2"/>
  <c r="M35" i="2"/>
  <c r="AW35" i="2"/>
  <c r="AX35" i="2"/>
  <c r="AY35" i="2"/>
  <c r="AZ35" i="2"/>
  <c r="BB35" i="2"/>
  <c r="BC35" i="2"/>
  <c r="BD35" i="2"/>
  <c r="M36" i="2"/>
  <c r="AW36" i="2"/>
  <c r="AX36" i="2"/>
  <c r="AY36" i="2"/>
  <c r="AZ36" i="2"/>
  <c r="BB36" i="2"/>
  <c r="BC36" i="2"/>
  <c r="BD36" i="2"/>
  <c r="M37" i="2"/>
  <c r="AW37" i="2"/>
  <c r="AX37" i="2"/>
  <c r="AY37" i="2"/>
  <c r="AZ37" i="2"/>
  <c r="BB37" i="2"/>
  <c r="BC37" i="2"/>
  <c r="BD37" i="2"/>
  <c r="M38" i="2"/>
  <c r="AW38" i="2"/>
  <c r="AX38" i="2"/>
  <c r="AY38" i="2"/>
  <c r="AZ38" i="2"/>
  <c r="BB38" i="2"/>
  <c r="BC38" i="2"/>
  <c r="BD38" i="2"/>
  <c r="M39" i="2"/>
  <c r="AW39" i="2"/>
  <c r="AX39" i="2"/>
  <c r="AY39" i="2"/>
  <c r="AZ39" i="2"/>
  <c r="BB39" i="2"/>
  <c r="BC39" i="2"/>
  <c r="BD39" i="2"/>
  <c r="M40" i="2"/>
  <c r="AW40" i="2"/>
  <c r="AX40" i="2"/>
  <c r="AY40" i="2"/>
  <c r="AZ40" i="2"/>
  <c r="BB40" i="2"/>
  <c r="BC40" i="2"/>
  <c r="BD40" i="2"/>
  <c r="M41" i="2"/>
  <c r="AW41" i="2"/>
  <c r="AX41" i="2"/>
  <c r="AY41" i="2"/>
  <c r="AZ41" i="2"/>
  <c r="BB41" i="2"/>
  <c r="BC41" i="2"/>
  <c r="BD41" i="2"/>
  <c r="M42" i="2"/>
  <c r="AW42" i="2"/>
  <c r="AX42" i="2"/>
  <c r="AY42" i="2"/>
  <c r="AZ42" i="2"/>
  <c r="BB42" i="2"/>
  <c r="BC42" i="2"/>
  <c r="BD42" i="2"/>
  <c r="M43" i="2"/>
  <c r="AW43" i="2"/>
  <c r="AX43" i="2"/>
  <c r="AY43" i="2"/>
  <c r="AZ43" i="2"/>
  <c r="BB43" i="2"/>
  <c r="BC43" i="2"/>
  <c r="BD43" i="2"/>
  <c r="M44" i="2"/>
  <c r="AW44" i="2"/>
  <c r="AX44" i="2"/>
  <c r="AY44" i="2"/>
  <c r="AZ44" i="2"/>
  <c r="BB44" i="2"/>
  <c r="BC44" i="2"/>
  <c r="BD44" i="2"/>
  <c r="M45" i="2"/>
  <c r="AW45" i="2"/>
  <c r="AX45" i="2"/>
  <c r="AY45" i="2"/>
  <c r="AZ45" i="2"/>
  <c r="BB45" i="2"/>
  <c r="BC45" i="2"/>
  <c r="BD45" i="2"/>
  <c r="M46" i="2"/>
  <c r="AW46" i="2"/>
  <c r="AX46" i="2"/>
  <c r="AY46" i="2"/>
  <c r="AZ46" i="2"/>
  <c r="BB46" i="2"/>
  <c r="BC46" i="2"/>
  <c r="BD46" i="2"/>
  <c r="M47" i="2"/>
  <c r="AW47" i="2"/>
  <c r="AX47" i="2"/>
  <c r="AY47" i="2"/>
  <c r="AZ47" i="2"/>
  <c r="BB47" i="2"/>
  <c r="BC47" i="2"/>
  <c r="BD47" i="2"/>
  <c r="M48" i="2"/>
  <c r="AW48" i="2"/>
  <c r="AX48" i="2"/>
  <c r="AY48" i="2"/>
  <c r="AZ48" i="2"/>
  <c r="BB48" i="2"/>
  <c r="BC48" i="2"/>
  <c r="BD48" i="2"/>
  <c r="M49" i="2"/>
  <c r="AW49" i="2"/>
  <c r="AX49" i="2"/>
  <c r="AY49" i="2"/>
  <c r="AZ49" i="2"/>
  <c r="BB49" i="2"/>
  <c r="BC49" i="2"/>
  <c r="BD49" i="2"/>
  <c r="M50" i="2"/>
  <c r="AW50" i="2"/>
  <c r="AX50" i="2"/>
  <c r="AY50" i="2"/>
  <c r="AZ50" i="2"/>
  <c r="BB50" i="2"/>
  <c r="BC50" i="2"/>
  <c r="BD50" i="2"/>
  <c r="M51" i="2"/>
  <c r="AW51" i="2"/>
  <c r="AX51" i="2"/>
  <c r="AY51" i="2"/>
  <c r="AZ51" i="2"/>
  <c r="BB51" i="2"/>
  <c r="BC51" i="2"/>
  <c r="BD51" i="2"/>
  <c r="M52" i="2"/>
  <c r="AW52" i="2"/>
  <c r="AX52" i="2"/>
  <c r="AY52" i="2"/>
  <c r="AZ52" i="2"/>
  <c r="BB52" i="2"/>
  <c r="BC52" i="2"/>
  <c r="BD52" i="2"/>
  <c r="M53" i="2"/>
  <c r="AW53" i="2"/>
  <c r="AX53" i="2"/>
  <c r="AY53" i="2"/>
  <c r="AZ53" i="2"/>
  <c r="BB53" i="2"/>
  <c r="BC53" i="2"/>
  <c r="BD53" i="2"/>
  <c r="M54" i="2"/>
  <c r="AW54" i="2"/>
  <c r="AX54" i="2"/>
  <c r="AY54" i="2"/>
  <c r="AZ54" i="2"/>
  <c r="BB54" i="2"/>
  <c r="BC54" i="2"/>
  <c r="BD54" i="2"/>
  <c r="M55" i="2"/>
  <c r="AW55" i="2"/>
  <c r="AX55" i="2"/>
  <c r="AY55" i="2"/>
  <c r="AZ55" i="2"/>
  <c r="BB55" i="2"/>
  <c r="BC55" i="2"/>
  <c r="BD55" i="2"/>
  <c r="M56" i="2"/>
  <c r="AW56" i="2"/>
  <c r="AX56" i="2"/>
  <c r="AY56" i="2"/>
  <c r="AZ56" i="2"/>
  <c r="BB56" i="2"/>
  <c r="BC56" i="2"/>
  <c r="BD56" i="2"/>
  <c r="M57" i="2"/>
  <c r="AW57" i="2"/>
  <c r="AX57" i="2"/>
  <c r="AY57" i="2"/>
  <c r="AZ57" i="2"/>
  <c r="BB57" i="2"/>
  <c r="BC57" i="2"/>
  <c r="BD57" i="2"/>
  <c r="M58" i="2"/>
  <c r="AW58" i="2"/>
  <c r="AX58" i="2"/>
  <c r="AY58" i="2"/>
  <c r="AZ58" i="2"/>
  <c r="BB58" i="2"/>
  <c r="BC58" i="2"/>
  <c r="BD58" i="2"/>
  <c r="M59" i="2"/>
  <c r="AW59" i="2"/>
  <c r="AX59" i="2"/>
  <c r="AY59" i="2"/>
  <c r="AZ59" i="2"/>
  <c r="BB59" i="2"/>
  <c r="BC59" i="2"/>
  <c r="BD59" i="2"/>
  <c r="M60" i="2"/>
  <c r="AW60" i="2"/>
  <c r="AX60" i="2"/>
  <c r="AY60" i="2"/>
  <c r="AZ60" i="2"/>
  <c r="BB60" i="2"/>
  <c r="BC60" i="2"/>
  <c r="BD60" i="2"/>
  <c r="M61" i="2"/>
  <c r="AW61" i="2"/>
  <c r="AX61" i="2"/>
  <c r="AY61" i="2"/>
  <c r="AZ61" i="2"/>
  <c r="BB61" i="2"/>
  <c r="BC61" i="2"/>
  <c r="BD61" i="2"/>
  <c r="M62" i="2"/>
  <c r="AW62" i="2"/>
  <c r="AX62" i="2"/>
  <c r="AY62" i="2"/>
  <c r="AZ62" i="2"/>
  <c r="BB62" i="2"/>
  <c r="BC62" i="2"/>
  <c r="BD62" i="2"/>
  <c r="M63" i="2"/>
  <c r="AW63" i="2"/>
  <c r="AX63" i="2"/>
  <c r="AY63" i="2"/>
  <c r="AZ63" i="2"/>
  <c r="BB63" i="2"/>
  <c r="BC63" i="2"/>
  <c r="BD63" i="2"/>
  <c r="M64" i="2"/>
  <c r="AW64" i="2"/>
  <c r="AX64" i="2"/>
  <c r="AY64" i="2"/>
  <c r="AZ64" i="2"/>
  <c r="BB64" i="2"/>
  <c r="BC64" i="2"/>
  <c r="BD64" i="2"/>
  <c r="M65" i="2"/>
  <c r="AW65" i="2"/>
  <c r="AX65" i="2"/>
  <c r="AY65" i="2"/>
  <c r="AZ65" i="2"/>
  <c r="BB65" i="2"/>
  <c r="BC65" i="2"/>
  <c r="BD65" i="2"/>
  <c r="M66" i="2"/>
  <c r="AW66" i="2"/>
  <c r="AX66" i="2"/>
  <c r="AY66" i="2"/>
  <c r="AZ66" i="2"/>
  <c r="BB66" i="2"/>
  <c r="BC66" i="2"/>
  <c r="BD66" i="2"/>
  <c r="M67" i="2"/>
  <c r="AW67" i="2"/>
  <c r="AX67" i="2"/>
  <c r="AY67" i="2"/>
  <c r="AZ67" i="2"/>
  <c r="BB67" i="2"/>
  <c r="BC67" i="2"/>
  <c r="BD67" i="2"/>
  <c r="M68" i="2"/>
  <c r="AW68" i="2"/>
  <c r="AX68" i="2"/>
  <c r="AY68" i="2"/>
  <c r="AZ68" i="2"/>
  <c r="BB68" i="2"/>
  <c r="BC68" i="2"/>
  <c r="BD68" i="2"/>
  <c r="M69" i="2"/>
  <c r="AW69" i="2"/>
  <c r="AX69" i="2"/>
  <c r="AY69" i="2"/>
  <c r="AZ69" i="2"/>
  <c r="BB69" i="2"/>
  <c r="BC69" i="2"/>
  <c r="BD69" i="2"/>
  <c r="M70" i="2"/>
  <c r="AX70" i="2"/>
  <c r="AZ70" i="2"/>
  <c r="BB70" i="2"/>
  <c r="BC70" i="2"/>
  <c r="BD70" i="2"/>
  <c r="M72" i="2"/>
  <c r="AW72" i="2"/>
  <c r="AX72" i="2"/>
  <c r="AY72" i="2"/>
  <c r="AZ72" i="2"/>
  <c r="BB72" i="2"/>
  <c r="BC72" i="2"/>
  <c r="BD72" i="2"/>
  <c r="M73" i="2"/>
  <c r="AW73" i="2"/>
  <c r="AX73" i="2"/>
  <c r="AY73" i="2"/>
  <c r="AZ73" i="2"/>
  <c r="BB73" i="2"/>
  <c r="BC73" i="2"/>
  <c r="BD73" i="2"/>
  <c r="M74" i="2"/>
  <c r="AW74" i="2"/>
  <c r="AX74" i="2"/>
  <c r="AY74" i="2"/>
  <c r="AZ74" i="2"/>
  <c r="BB74" i="2"/>
  <c r="BC74" i="2"/>
  <c r="BD74" i="2"/>
  <c r="M75" i="2"/>
  <c r="AW75" i="2"/>
  <c r="AX75" i="2"/>
  <c r="AY75" i="2"/>
  <c r="AZ75" i="2"/>
  <c r="BB75" i="2"/>
  <c r="BC75" i="2"/>
  <c r="BD75" i="2"/>
  <c r="M76" i="2"/>
  <c r="AW76" i="2"/>
  <c r="AX76" i="2"/>
  <c r="AY76" i="2"/>
  <c r="AZ76" i="2"/>
  <c r="BB76" i="2"/>
  <c r="BC76" i="2"/>
  <c r="BD76" i="2"/>
  <c r="M77" i="2"/>
  <c r="AW77" i="2"/>
  <c r="AX77" i="2"/>
  <c r="AY77" i="2"/>
  <c r="AZ77" i="2"/>
  <c r="BB77" i="2"/>
  <c r="BC77" i="2"/>
  <c r="BD77" i="2"/>
  <c r="M78" i="2"/>
  <c r="AW78" i="2"/>
  <c r="AX78" i="2"/>
  <c r="AY78" i="2"/>
  <c r="AZ78" i="2"/>
  <c r="BB78" i="2"/>
  <c r="BC78" i="2"/>
  <c r="BD78" i="2"/>
  <c r="M79" i="2"/>
  <c r="AW79" i="2"/>
  <c r="AX79" i="2"/>
  <c r="AY79" i="2"/>
  <c r="AZ79" i="2"/>
  <c r="BB79" i="2"/>
  <c r="BC79" i="2"/>
  <c r="BD79" i="2"/>
  <c r="M80" i="2"/>
  <c r="AW80" i="2"/>
  <c r="AX80" i="2"/>
  <c r="AY80" i="2"/>
  <c r="AZ80" i="2"/>
  <c r="BB80" i="2"/>
  <c r="BC80" i="2"/>
  <c r="BD80" i="2"/>
  <c r="M81" i="2"/>
  <c r="AW81" i="2"/>
  <c r="AX81" i="2"/>
  <c r="AY81" i="2"/>
  <c r="AZ81" i="2"/>
  <c r="BB81" i="2"/>
  <c r="BC81" i="2"/>
  <c r="BD81" i="2"/>
  <c r="M82" i="2"/>
  <c r="AW82" i="2"/>
  <c r="AX82" i="2"/>
  <c r="AY82" i="2"/>
  <c r="AZ82" i="2"/>
  <c r="BB82" i="2"/>
  <c r="BC82" i="2"/>
  <c r="BD82" i="2"/>
  <c r="M83" i="2"/>
  <c r="AW83" i="2"/>
  <c r="AX83" i="2"/>
  <c r="AY83" i="2"/>
  <c r="AZ83" i="2"/>
  <c r="BB83" i="2"/>
  <c r="BC83" i="2"/>
  <c r="BD83" i="2"/>
  <c r="M84" i="2"/>
  <c r="AW84" i="2"/>
  <c r="AX84" i="2"/>
  <c r="AY84" i="2"/>
  <c r="AZ84" i="2"/>
  <c r="BB84" i="2"/>
  <c r="BC84" i="2"/>
  <c r="BD84" i="2"/>
  <c r="M85" i="2"/>
  <c r="AW85" i="2"/>
  <c r="AX85" i="2"/>
  <c r="AY85" i="2"/>
  <c r="AZ85" i="2"/>
  <c r="BB85" i="2"/>
  <c r="BC85" i="2"/>
  <c r="BD85" i="2"/>
  <c r="M86" i="2"/>
  <c r="AW86" i="2"/>
  <c r="AX86" i="2"/>
  <c r="AY86" i="2"/>
  <c r="AZ86" i="2"/>
  <c r="BB86" i="2"/>
  <c r="BC86" i="2"/>
  <c r="BD86" i="2"/>
  <c r="M87" i="2"/>
  <c r="AW87" i="2"/>
  <c r="AX87" i="2"/>
  <c r="AY87" i="2"/>
  <c r="AZ87" i="2"/>
  <c r="BB87" i="2"/>
  <c r="BC87" i="2"/>
  <c r="BD87" i="2"/>
  <c r="M88" i="2"/>
  <c r="AW88" i="2"/>
  <c r="AX88" i="2"/>
  <c r="AY88" i="2"/>
  <c r="AZ88" i="2"/>
  <c r="BB88" i="2"/>
  <c r="BC88" i="2"/>
  <c r="BD88" i="2"/>
  <c r="M89" i="2"/>
  <c r="AW89" i="2"/>
  <c r="AX89" i="2"/>
  <c r="AY89" i="2"/>
  <c r="AZ89" i="2"/>
  <c r="BB89" i="2"/>
  <c r="BC89" i="2"/>
  <c r="BD89" i="2"/>
  <c r="M90" i="2"/>
  <c r="AW90" i="2"/>
  <c r="AX90" i="2"/>
  <c r="AY90" i="2"/>
  <c r="AZ90" i="2"/>
  <c r="BB90" i="2"/>
  <c r="BC90" i="2"/>
  <c r="BD90" i="2"/>
  <c r="M91" i="2"/>
  <c r="AW91" i="2"/>
  <c r="AX91" i="2"/>
  <c r="AY91" i="2"/>
  <c r="AZ91" i="2"/>
  <c r="BB91" i="2"/>
  <c r="BC91" i="2"/>
  <c r="BD91" i="2"/>
  <c r="M92" i="2"/>
  <c r="AW92" i="2"/>
  <c r="AX92" i="2"/>
  <c r="AY92" i="2"/>
  <c r="AZ92" i="2"/>
  <c r="BB92" i="2"/>
  <c r="BC92" i="2"/>
  <c r="BD92" i="2"/>
  <c r="M93" i="2"/>
  <c r="AW93" i="2"/>
  <c r="AX93" i="2"/>
  <c r="AY93" i="2"/>
  <c r="AZ93" i="2"/>
  <c r="BB93" i="2"/>
  <c r="BC93" i="2"/>
  <c r="BD93" i="2"/>
  <c r="M94" i="2"/>
  <c r="AW94" i="2"/>
  <c r="AX94" i="2"/>
  <c r="AY94" i="2"/>
  <c r="AZ94" i="2"/>
  <c r="BB94" i="2"/>
  <c r="BC94" i="2"/>
  <c r="BD94" i="2"/>
  <c r="M95" i="2"/>
  <c r="AW95" i="2"/>
  <c r="AX95" i="2"/>
  <c r="AY95" i="2"/>
  <c r="AZ95" i="2"/>
  <c r="BB95" i="2"/>
  <c r="BC95" i="2"/>
  <c r="BD95" i="2"/>
  <c r="M96" i="2"/>
  <c r="AW96" i="2"/>
  <c r="AX96" i="2"/>
  <c r="AY96" i="2"/>
  <c r="AZ96" i="2"/>
  <c r="BB96" i="2"/>
  <c r="BC96" i="2"/>
  <c r="BD96" i="2"/>
  <c r="M97" i="2"/>
  <c r="AW97" i="2"/>
  <c r="AX97" i="2"/>
  <c r="AY97" i="2"/>
  <c r="AZ97" i="2"/>
  <c r="BB97" i="2"/>
  <c r="BC97" i="2"/>
  <c r="BD97" i="2"/>
  <c r="M98" i="2"/>
  <c r="AW98" i="2"/>
  <c r="AX98" i="2"/>
  <c r="AY98" i="2"/>
  <c r="AZ98" i="2"/>
  <c r="BB98" i="2"/>
  <c r="BC98" i="2"/>
  <c r="BD98" i="2"/>
  <c r="M99" i="2"/>
  <c r="AW99" i="2"/>
  <c r="AX99" i="2"/>
  <c r="AY99" i="2"/>
  <c r="AZ99" i="2"/>
  <c r="BB99" i="2"/>
  <c r="BC99" i="2"/>
  <c r="BD99" i="2"/>
  <c r="M100" i="2"/>
  <c r="AW100" i="2"/>
  <c r="AX100" i="2"/>
  <c r="AY100" i="2"/>
  <c r="AZ100" i="2"/>
  <c r="BB100" i="2"/>
  <c r="BC100" i="2"/>
  <c r="BD100" i="2"/>
  <c r="M101" i="2"/>
  <c r="AW101" i="2"/>
  <c r="AX101" i="2"/>
  <c r="AY101" i="2"/>
  <c r="AZ101" i="2"/>
  <c r="BB101" i="2"/>
  <c r="BC101" i="2"/>
  <c r="BD101" i="2"/>
  <c r="M102" i="2"/>
  <c r="AW102" i="2"/>
  <c r="AX102" i="2"/>
  <c r="AY102" i="2"/>
  <c r="AZ102" i="2"/>
  <c r="BB102" i="2"/>
  <c r="BC102" i="2"/>
  <c r="BD102" i="2"/>
  <c r="M103" i="2"/>
  <c r="AW103" i="2"/>
  <c r="AX103" i="2"/>
  <c r="AY103" i="2"/>
  <c r="AZ103" i="2"/>
  <c r="BB103" i="2"/>
  <c r="BC103" i="2"/>
  <c r="BD103" i="2"/>
  <c r="M104" i="2"/>
  <c r="AW104" i="2"/>
  <c r="AX104" i="2"/>
  <c r="AY104" i="2"/>
  <c r="AZ104" i="2"/>
  <c r="BB104" i="2"/>
  <c r="BC104" i="2"/>
  <c r="BD104" i="2"/>
  <c r="M105" i="2"/>
  <c r="AW105" i="2"/>
  <c r="AX105" i="2"/>
  <c r="AY105" i="2"/>
  <c r="AZ105" i="2"/>
  <c r="BB105" i="2"/>
  <c r="BC105" i="2"/>
  <c r="BD105" i="2"/>
  <c r="M106" i="2"/>
  <c r="AW106" i="2"/>
  <c r="AX106" i="2"/>
  <c r="AY106" i="2"/>
  <c r="AZ106" i="2"/>
  <c r="BB106" i="2"/>
  <c r="BC106" i="2"/>
  <c r="BD106" i="2"/>
  <c r="M107" i="2"/>
  <c r="AW107" i="2"/>
  <c r="AX107" i="2"/>
  <c r="AY107" i="2"/>
  <c r="AZ107" i="2"/>
  <c r="BB107" i="2"/>
  <c r="BC107" i="2"/>
  <c r="BD107" i="2"/>
  <c r="M108" i="2"/>
  <c r="AW108" i="2"/>
  <c r="AX108" i="2"/>
  <c r="AY108" i="2"/>
  <c r="AZ108" i="2"/>
  <c r="BB108" i="2"/>
  <c r="BC108" i="2"/>
  <c r="BD108" i="2"/>
  <c r="M109" i="2"/>
  <c r="AW109" i="2"/>
  <c r="AX109" i="2"/>
  <c r="AY109" i="2"/>
  <c r="AZ109" i="2"/>
  <c r="BB109" i="2"/>
  <c r="BC109" i="2"/>
  <c r="BD109" i="2"/>
  <c r="M110" i="2"/>
  <c r="AW110" i="2"/>
  <c r="AX110" i="2"/>
  <c r="AY110" i="2"/>
  <c r="AZ110" i="2"/>
  <c r="BB110" i="2"/>
  <c r="BC110" i="2"/>
  <c r="BD110" i="2"/>
  <c r="M112" i="2"/>
  <c r="AW112" i="2"/>
  <c r="AX112" i="2"/>
  <c r="AY112" i="2"/>
  <c r="AZ112" i="2"/>
  <c r="BB112" i="2"/>
  <c r="BC112" i="2"/>
  <c r="BD112" i="2"/>
  <c r="M113" i="2"/>
  <c r="AX113" i="2"/>
  <c r="AZ113" i="2"/>
  <c r="BB113" i="2"/>
  <c r="BC113" i="2"/>
  <c r="BD113" i="2"/>
  <c r="M115" i="2"/>
  <c r="AW115" i="2"/>
  <c r="AX115" i="2"/>
  <c r="AY115" i="2"/>
  <c r="AZ115" i="2"/>
  <c r="BB115" i="2"/>
  <c r="BC115" i="2"/>
  <c r="BD115" i="2"/>
  <c r="M116" i="2"/>
  <c r="AW116" i="2"/>
  <c r="AX116" i="2"/>
  <c r="AY116" i="2"/>
  <c r="AZ116" i="2"/>
  <c r="BB116" i="2"/>
  <c r="BC116" i="2"/>
  <c r="BD116" i="2"/>
  <c r="M117" i="2"/>
  <c r="AW117" i="2"/>
  <c r="AX117" i="2"/>
  <c r="AY117" i="2"/>
  <c r="AZ117" i="2"/>
  <c r="BB117" i="2"/>
  <c r="BC117" i="2"/>
  <c r="BD117" i="2"/>
  <c r="M118" i="2"/>
  <c r="AW118" i="2"/>
  <c r="AX118" i="2"/>
  <c r="AY118" i="2"/>
  <c r="AZ118" i="2"/>
  <c r="BB118" i="2"/>
  <c r="BC118" i="2"/>
  <c r="BD118" i="2"/>
  <c r="M119" i="2"/>
  <c r="AW119" i="2"/>
  <c r="AX119" i="2"/>
  <c r="AY119" i="2"/>
  <c r="AZ119" i="2"/>
  <c r="BB119" i="2"/>
  <c r="BC119" i="2"/>
  <c r="BD119" i="2"/>
  <c r="M120" i="2"/>
  <c r="AW120" i="2"/>
  <c r="AX120" i="2"/>
  <c r="AY120" i="2"/>
  <c r="AZ120" i="2"/>
  <c r="BB120" i="2"/>
  <c r="BC120" i="2"/>
  <c r="BD120" i="2"/>
  <c r="M121" i="2"/>
  <c r="AW121" i="2"/>
  <c r="AX121" i="2"/>
  <c r="AY121" i="2"/>
  <c r="AZ121" i="2"/>
  <c r="BB121" i="2"/>
  <c r="BC121" i="2"/>
  <c r="BD121" i="2"/>
  <c r="M122" i="2"/>
  <c r="AW122" i="2"/>
  <c r="AX122" i="2"/>
  <c r="AY122" i="2"/>
  <c r="AZ122" i="2"/>
  <c r="BB122" i="2"/>
  <c r="BC122" i="2"/>
  <c r="BD122" i="2"/>
  <c r="M123" i="2"/>
  <c r="AW123" i="2"/>
  <c r="AX123" i="2"/>
  <c r="AY123" i="2"/>
  <c r="AZ123" i="2"/>
  <c r="BB123" i="2"/>
  <c r="BC123" i="2"/>
  <c r="BD123" i="2"/>
  <c r="M124" i="2"/>
  <c r="AW124" i="2"/>
  <c r="AX124" i="2"/>
  <c r="AY124" i="2"/>
  <c r="AZ124" i="2"/>
  <c r="BB124" i="2"/>
  <c r="BC124" i="2"/>
  <c r="BD124" i="2"/>
  <c r="M125" i="2"/>
  <c r="AW125" i="2"/>
  <c r="AX125" i="2"/>
  <c r="AY125" i="2"/>
  <c r="AZ125" i="2"/>
  <c r="BB125" i="2"/>
  <c r="BC125" i="2"/>
  <c r="BD125" i="2"/>
  <c r="M126" i="2"/>
  <c r="AW126" i="2"/>
  <c r="AX126" i="2"/>
  <c r="AY126" i="2"/>
  <c r="AZ126" i="2"/>
  <c r="BB126" i="2"/>
  <c r="BC126" i="2"/>
  <c r="BD126" i="2"/>
  <c r="M127" i="2"/>
  <c r="AW127" i="2"/>
  <c r="AX127" i="2"/>
  <c r="AY127" i="2"/>
  <c r="AZ127" i="2"/>
  <c r="BB127" i="2"/>
  <c r="BC127" i="2"/>
  <c r="BD127" i="2"/>
  <c r="M128" i="2"/>
  <c r="AW128" i="2"/>
  <c r="AX128" i="2"/>
  <c r="AY128" i="2"/>
  <c r="AZ128" i="2"/>
  <c r="BB128" i="2"/>
  <c r="BC128" i="2"/>
  <c r="BD128" i="2"/>
  <c r="M129" i="2"/>
  <c r="AW129" i="2"/>
  <c r="AX129" i="2"/>
  <c r="AY129" i="2"/>
  <c r="AZ129" i="2"/>
  <c r="BB129" i="2"/>
  <c r="BC129" i="2"/>
  <c r="BD129" i="2"/>
  <c r="M130" i="2"/>
  <c r="AX130" i="2"/>
  <c r="AZ130" i="2"/>
  <c r="BB130" i="2"/>
  <c r="BC130" i="2"/>
  <c r="BD130" i="2"/>
  <c r="BP130" i="2"/>
  <c r="M132" i="2"/>
  <c r="AW132" i="2"/>
  <c r="AX132" i="2"/>
  <c r="AY132" i="2"/>
  <c r="AZ132" i="2"/>
  <c r="BB132" i="2"/>
  <c r="BC132" i="2"/>
  <c r="BD132" i="2"/>
  <c r="M133" i="2"/>
  <c r="AW133" i="2"/>
  <c r="AX133" i="2"/>
  <c r="AY133" i="2"/>
  <c r="AZ133" i="2"/>
  <c r="BB133" i="2"/>
  <c r="BC133" i="2"/>
  <c r="BD133" i="2"/>
  <c r="M134" i="2"/>
  <c r="AW134" i="2"/>
  <c r="AX134" i="2"/>
  <c r="AY134" i="2"/>
  <c r="AZ134" i="2"/>
  <c r="BB134" i="2"/>
  <c r="BC134" i="2"/>
  <c r="BD134" i="2"/>
  <c r="M135" i="2"/>
  <c r="AW135" i="2"/>
  <c r="AX135" i="2"/>
  <c r="AY135" i="2"/>
  <c r="AZ135" i="2"/>
  <c r="BB135" i="2"/>
  <c r="BC135" i="2"/>
  <c r="BD135" i="2"/>
  <c r="M136" i="2"/>
  <c r="AW136" i="2"/>
  <c r="AX136" i="2"/>
  <c r="AY136" i="2"/>
  <c r="AZ136" i="2"/>
  <c r="BB136" i="2"/>
  <c r="BC136" i="2"/>
  <c r="BD136" i="2"/>
  <c r="M137" i="2"/>
  <c r="AW137" i="2"/>
  <c r="AX137" i="2"/>
  <c r="AY137" i="2"/>
  <c r="AZ137" i="2"/>
  <c r="BB137" i="2"/>
  <c r="BC137" i="2"/>
  <c r="BD137" i="2"/>
  <c r="M138" i="2"/>
  <c r="AW138" i="2"/>
  <c r="AX138" i="2"/>
  <c r="AY138" i="2"/>
  <c r="AZ138" i="2"/>
  <c r="BB138" i="2"/>
  <c r="BC138" i="2"/>
  <c r="BD138" i="2"/>
  <c r="M139" i="2"/>
  <c r="AW139" i="2"/>
  <c r="AX139" i="2"/>
  <c r="AY139" i="2"/>
  <c r="AZ139" i="2"/>
  <c r="BB139" i="2"/>
  <c r="BC139" i="2"/>
  <c r="BD139" i="2"/>
  <c r="M140" i="2"/>
  <c r="AW140" i="2"/>
  <c r="AX140" i="2"/>
  <c r="AY140" i="2"/>
  <c r="AZ140" i="2"/>
  <c r="BB140" i="2"/>
  <c r="BC140" i="2"/>
  <c r="BD140" i="2"/>
  <c r="M141" i="2"/>
  <c r="AW141" i="2"/>
  <c r="AX141" i="2"/>
  <c r="AY141" i="2"/>
  <c r="AZ141" i="2"/>
  <c r="BB141" i="2"/>
  <c r="BC141" i="2"/>
  <c r="BD141" i="2"/>
  <c r="M142" i="2"/>
  <c r="AW142" i="2"/>
  <c r="AX142" i="2"/>
  <c r="AY142" i="2"/>
  <c r="AZ142" i="2"/>
  <c r="BB142" i="2"/>
  <c r="BC142" i="2"/>
  <c r="BD142" i="2"/>
  <c r="M143" i="2"/>
  <c r="AW143" i="2"/>
  <c r="AX143" i="2"/>
  <c r="AY143" i="2"/>
  <c r="AZ143" i="2"/>
  <c r="BB143" i="2"/>
  <c r="BC143" i="2"/>
  <c r="BD143" i="2"/>
  <c r="M144" i="2"/>
  <c r="AW144" i="2"/>
  <c r="AX144" i="2"/>
  <c r="AY144" i="2"/>
  <c r="AZ144" i="2"/>
  <c r="BB144" i="2"/>
  <c r="BC144" i="2"/>
  <c r="BD144" i="2"/>
  <c r="M145" i="2"/>
  <c r="AW145" i="2"/>
  <c r="AX145" i="2"/>
  <c r="AY145" i="2"/>
  <c r="AZ145" i="2"/>
  <c r="BB145" i="2"/>
  <c r="BC145" i="2"/>
  <c r="BD145" i="2"/>
  <c r="M146" i="2"/>
  <c r="AW146" i="2"/>
  <c r="AX146" i="2"/>
  <c r="AY146" i="2"/>
  <c r="AZ146" i="2"/>
  <c r="BB146" i="2"/>
  <c r="BC146" i="2"/>
  <c r="BD146" i="2"/>
  <c r="M147" i="2"/>
  <c r="AW147" i="2"/>
  <c r="AX147" i="2"/>
  <c r="AY147" i="2"/>
  <c r="AZ147" i="2"/>
  <c r="BB147" i="2"/>
  <c r="BC147" i="2"/>
  <c r="BD147" i="2"/>
  <c r="M148" i="2"/>
  <c r="AW148" i="2"/>
  <c r="AX148" i="2"/>
  <c r="AY148" i="2"/>
  <c r="AZ148" i="2"/>
  <c r="BB148" i="2"/>
  <c r="BC148" i="2"/>
  <c r="BD148" i="2"/>
  <c r="M149" i="2"/>
  <c r="AW149" i="2"/>
  <c r="AX149" i="2"/>
  <c r="AY149" i="2"/>
  <c r="AZ149" i="2"/>
  <c r="BB149" i="2"/>
  <c r="BC149" i="2"/>
  <c r="BD149" i="2"/>
  <c r="M150" i="2"/>
  <c r="AW150" i="2"/>
  <c r="AX150" i="2"/>
  <c r="AY150" i="2"/>
  <c r="AZ150" i="2"/>
  <c r="BB150" i="2"/>
  <c r="BC150" i="2"/>
  <c r="BD150" i="2"/>
  <c r="M151" i="2"/>
  <c r="AW151" i="2"/>
  <c r="AX151" i="2"/>
  <c r="AY151" i="2"/>
  <c r="AZ151" i="2"/>
  <c r="BB151" i="2"/>
  <c r="BC151" i="2"/>
  <c r="BD151" i="2"/>
  <c r="M152" i="2"/>
  <c r="AW152" i="2"/>
  <c r="AX152" i="2"/>
  <c r="AY152" i="2"/>
  <c r="AZ152" i="2"/>
  <c r="BB152" i="2"/>
  <c r="BC152" i="2"/>
  <c r="BD152" i="2"/>
  <c r="M153" i="2"/>
  <c r="AW153" i="2"/>
  <c r="AX153" i="2"/>
  <c r="AY153" i="2"/>
  <c r="AZ153" i="2"/>
  <c r="BB153" i="2"/>
  <c r="BC153" i="2"/>
  <c r="BD153" i="2"/>
  <c r="M154" i="2"/>
  <c r="AW154" i="2"/>
  <c r="AX154" i="2"/>
  <c r="AY154" i="2"/>
  <c r="AZ154" i="2"/>
  <c r="BB154" i="2"/>
  <c r="BC154" i="2"/>
  <c r="BD154" i="2"/>
  <c r="M155" i="2"/>
  <c r="AW155" i="2"/>
  <c r="AX155" i="2"/>
  <c r="AY155" i="2"/>
  <c r="AZ155" i="2"/>
  <c r="BB155" i="2"/>
  <c r="BC155" i="2"/>
  <c r="BD155" i="2"/>
  <c r="M156" i="2"/>
  <c r="AW156" i="2"/>
  <c r="AX156" i="2"/>
  <c r="AY156" i="2"/>
  <c r="AZ156" i="2"/>
  <c r="BB156" i="2"/>
  <c r="BC156" i="2"/>
  <c r="BD156" i="2"/>
  <c r="M157" i="2"/>
  <c r="AW157" i="2"/>
  <c r="AX157" i="2"/>
  <c r="AY157" i="2"/>
  <c r="AZ157" i="2"/>
  <c r="BB157" i="2"/>
  <c r="BC157" i="2"/>
  <c r="BD157" i="2"/>
  <c r="M158" i="2"/>
  <c r="AW158" i="2"/>
  <c r="AX158" i="2"/>
  <c r="AY158" i="2"/>
  <c r="AZ158" i="2"/>
  <c r="BB158" i="2"/>
  <c r="BC158" i="2"/>
  <c r="BD158" i="2"/>
  <c r="M159" i="2"/>
  <c r="AW159" i="2"/>
  <c r="AX159" i="2"/>
  <c r="AY159" i="2"/>
  <c r="AZ159" i="2"/>
  <c r="BB159" i="2"/>
  <c r="BC159" i="2"/>
  <c r="BD159" i="2"/>
  <c r="M160" i="2"/>
  <c r="AW160" i="2"/>
  <c r="AX160" i="2"/>
  <c r="AY160" i="2"/>
  <c r="AZ160" i="2"/>
  <c r="BB160" i="2"/>
  <c r="BC160" i="2"/>
  <c r="BD160" i="2"/>
  <c r="M161" i="2"/>
  <c r="AW161" i="2"/>
  <c r="AX161" i="2"/>
  <c r="AY161" i="2"/>
  <c r="AZ161" i="2"/>
  <c r="BB161" i="2"/>
  <c r="BC161" i="2"/>
  <c r="BD161" i="2"/>
  <c r="M162" i="2"/>
  <c r="AW162" i="2"/>
  <c r="AX162" i="2"/>
  <c r="AY162" i="2"/>
  <c r="AZ162" i="2"/>
  <c r="BB162" i="2"/>
  <c r="BC162" i="2"/>
  <c r="BD162" i="2"/>
  <c r="M163" i="2"/>
  <c r="AW163" i="2"/>
  <c r="AX163" i="2"/>
  <c r="AY163" i="2"/>
  <c r="AZ163" i="2"/>
  <c r="BB163" i="2"/>
  <c r="BC163" i="2"/>
  <c r="BD163" i="2"/>
  <c r="M164" i="2"/>
  <c r="AW164" i="2"/>
  <c r="AX164" i="2"/>
  <c r="AY164" i="2"/>
  <c r="AZ164" i="2"/>
  <c r="BB164" i="2"/>
  <c r="BC164" i="2"/>
  <c r="BD164" i="2"/>
  <c r="M165" i="2"/>
  <c r="AW165" i="2"/>
  <c r="AX165" i="2"/>
  <c r="AY165" i="2"/>
  <c r="AZ165" i="2"/>
  <c r="BB165" i="2"/>
  <c r="BC165" i="2"/>
  <c r="BD165" i="2"/>
  <c r="M166" i="2"/>
  <c r="AW166" i="2"/>
  <c r="AX166" i="2"/>
  <c r="AY166" i="2"/>
  <c r="AZ166" i="2"/>
  <c r="BB166" i="2"/>
  <c r="BC166" i="2"/>
  <c r="BD166" i="2"/>
  <c r="M167" i="2"/>
  <c r="AW167" i="2"/>
  <c r="AX167" i="2"/>
  <c r="AY167" i="2"/>
  <c r="AZ167" i="2"/>
  <c r="BB167" i="2"/>
  <c r="BC167" i="2"/>
  <c r="BD167" i="2"/>
  <c r="M168" i="2"/>
  <c r="AW168" i="2"/>
  <c r="AX168" i="2"/>
  <c r="AY168" i="2"/>
  <c r="AZ168" i="2"/>
  <c r="BB168" i="2"/>
  <c r="BC168" i="2"/>
  <c r="BD168" i="2"/>
  <c r="M169" i="2"/>
  <c r="AW169" i="2"/>
  <c r="AX169" i="2"/>
  <c r="AY169" i="2"/>
  <c r="AZ169" i="2"/>
  <c r="BB169" i="2"/>
  <c r="BC169" i="2"/>
  <c r="BD169" i="2"/>
  <c r="M170" i="2"/>
  <c r="AW170" i="2"/>
  <c r="AX170" i="2"/>
  <c r="AY170" i="2"/>
  <c r="AZ170" i="2"/>
  <c r="BB170" i="2"/>
  <c r="BC170" i="2"/>
  <c r="BD170" i="2"/>
  <c r="M171" i="2"/>
  <c r="AW171" i="2"/>
  <c r="AX171" i="2"/>
  <c r="AY171" i="2"/>
  <c r="AZ171" i="2"/>
  <c r="BB171" i="2"/>
  <c r="BC171" i="2"/>
  <c r="BD171" i="2"/>
  <c r="M172" i="2"/>
  <c r="AW172" i="2"/>
  <c r="AX172" i="2"/>
  <c r="AY172" i="2"/>
  <c r="AZ172" i="2"/>
  <c r="BB172" i="2"/>
  <c r="BC172" i="2"/>
  <c r="BD172" i="2"/>
  <c r="M173" i="2"/>
  <c r="AW173" i="2"/>
  <c r="AX173" i="2"/>
  <c r="AY173" i="2"/>
  <c r="AZ173" i="2"/>
  <c r="BB173" i="2"/>
  <c r="BC173" i="2"/>
  <c r="BD173" i="2"/>
  <c r="M174" i="2"/>
  <c r="AW174" i="2"/>
  <c r="AX174" i="2"/>
  <c r="AY174" i="2"/>
  <c r="AZ174" i="2"/>
  <c r="BB174" i="2"/>
  <c r="BC174" i="2"/>
  <c r="BD174" i="2"/>
  <c r="M175" i="2"/>
  <c r="AW175" i="2"/>
  <c r="AX175" i="2"/>
  <c r="AY175" i="2"/>
  <c r="AZ175" i="2"/>
  <c r="BB175" i="2"/>
  <c r="BC175" i="2"/>
  <c r="BD175" i="2"/>
  <c r="M176" i="2"/>
  <c r="AW176" i="2"/>
  <c r="AX176" i="2"/>
  <c r="AY176" i="2"/>
  <c r="AZ176" i="2"/>
  <c r="BB176" i="2"/>
  <c r="BC176" i="2"/>
  <c r="BD176" i="2"/>
  <c r="M177" i="2"/>
  <c r="AW177" i="2"/>
  <c r="AX177" i="2"/>
  <c r="AY177" i="2"/>
  <c r="AZ177" i="2"/>
  <c r="BB177" i="2"/>
  <c r="BC177" i="2"/>
  <c r="BD177" i="2"/>
  <c r="M178" i="2"/>
  <c r="AW178" i="2"/>
  <c r="AX178" i="2"/>
  <c r="AY178" i="2"/>
  <c r="AZ178" i="2"/>
  <c r="BB178" i="2"/>
  <c r="BC178" i="2"/>
  <c r="BD178" i="2"/>
  <c r="M179" i="2"/>
  <c r="AW179" i="2"/>
  <c r="AX179" i="2"/>
  <c r="AY179" i="2"/>
  <c r="AZ179" i="2"/>
  <c r="BB179" i="2"/>
  <c r="BC179" i="2"/>
  <c r="BD179" i="2"/>
  <c r="M180" i="2"/>
  <c r="AW180" i="2"/>
  <c r="AX180" i="2"/>
  <c r="AY180" i="2"/>
  <c r="AZ180" i="2"/>
  <c r="BB180" i="2"/>
  <c r="BC180" i="2"/>
  <c r="BD180" i="2"/>
  <c r="M181" i="2"/>
  <c r="AW181" i="2"/>
  <c r="AX181" i="2"/>
  <c r="AY181" i="2"/>
  <c r="AZ181" i="2"/>
  <c r="BB181" i="2"/>
  <c r="BC181" i="2"/>
  <c r="BD181" i="2"/>
  <c r="M182" i="2"/>
  <c r="AW182" i="2"/>
  <c r="AX182" i="2"/>
  <c r="AY182" i="2"/>
  <c r="AZ182" i="2"/>
  <c r="BB182" i="2"/>
  <c r="BC182" i="2"/>
  <c r="BD182" i="2"/>
  <c r="M183" i="2"/>
  <c r="AW183" i="2"/>
  <c r="AX183" i="2"/>
  <c r="AY183" i="2"/>
  <c r="AZ183" i="2"/>
  <c r="BB183" i="2"/>
  <c r="BC183" i="2"/>
  <c r="BD183" i="2"/>
  <c r="M184" i="2"/>
  <c r="AW184" i="2"/>
  <c r="AX184" i="2"/>
  <c r="AY184" i="2"/>
  <c r="AZ184" i="2"/>
  <c r="BB184" i="2"/>
  <c r="BC184" i="2"/>
  <c r="BD184" i="2"/>
  <c r="M185" i="2"/>
  <c r="AW185" i="2"/>
  <c r="AX185" i="2"/>
  <c r="AY185" i="2"/>
  <c r="AZ185" i="2"/>
  <c r="BB185" i="2"/>
  <c r="BC185" i="2"/>
  <c r="BD185" i="2"/>
  <c r="M186" i="2"/>
  <c r="AW186" i="2"/>
  <c r="AX186" i="2"/>
  <c r="AY186" i="2"/>
  <c r="AZ186" i="2"/>
  <c r="BB186" i="2"/>
  <c r="BC186" i="2"/>
  <c r="BD186" i="2"/>
  <c r="M187" i="2"/>
  <c r="AW187" i="2"/>
  <c r="AX187" i="2"/>
  <c r="AY187" i="2"/>
  <c r="AZ187" i="2"/>
  <c r="BB187" i="2"/>
  <c r="BC187" i="2"/>
  <c r="BD187" i="2"/>
  <c r="M188" i="2"/>
  <c r="AW188" i="2"/>
  <c r="AX188" i="2"/>
  <c r="AY188" i="2"/>
  <c r="AZ188" i="2"/>
  <c r="BB188" i="2"/>
  <c r="BC188" i="2"/>
  <c r="BD188" i="2"/>
  <c r="M189" i="2"/>
  <c r="AW189" i="2"/>
  <c r="AX189" i="2"/>
  <c r="AY189" i="2"/>
  <c r="AZ189" i="2"/>
  <c r="BB189" i="2"/>
  <c r="BC189" i="2"/>
  <c r="BD189" i="2"/>
  <c r="M190" i="2"/>
  <c r="AW190" i="2"/>
  <c r="AX190" i="2"/>
  <c r="AY190" i="2"/>
  <c r="AZ190" i="2"/>
  <c r="BB190" i="2"/>
  <c r="BC190" i="2"/>
  <c r="BD190" i="2"/>
  <c r="M191" i="2"/>
  <c r="AW191" i="2"/>
  <c r="AX191" i="2"/>
  <c r="AY191" i="2"/>
  <c r="AZ191" i="2"/>
  <c r="BB191" i="2"/>
  <c r="BC191" i="2"/>
  <c r="BD191" i="2"/>
  <c r="M192" i="2"/>
  <c r="AW192" i="2"/>
  <c r="AX192" i="2"/>
  <c r="AY192" i="2"/>
  <c r="AZ192" i="2"/>
  <c r="BB192" i="2"/>
  <c r="BC192" i="2"/>
  <c r="BD192" i="2"/>
  <c r="M193" i="2"/>
  <c r="AW193" i="2"/>
  <c r="AX193" i="2"/>
  <c r="AY193" i="2"/>
  <c r="AZ193" i="2"/>
  <c r="BB193" i="2"/>
  <c r="BC193" i="2"/>
  <c r="BD193" i="2"/>
  <c r="M194" i="2"/>
  <c r="AW194" i="2"/>
  <c r="AX194" i="2"/>
  <c r="AY194" i="2"/>
  <c r="AZ194" i="2"/>
  <c r="BB194" i="2"/>
  <c r="BC194" i="2"/>
  <c r="BD194" i="2"/>
  <c r="M195" i="2"/>
  <c r="AW195" i="2"/>
  <c r="AX195" i="2"/>
  <c r="AY195" i="2"/>
  <c r="AZ195" i="2"/>
  <c r="BB195" i="2"/>
  <c r="BC195" i="2"/>
  <c r="BD195" i="2"/>
  <c r="M196" i="2"/>
  <c r="AW196" i="2"/>
  <c r="AX196" i="2"/>
  <c r="AY196" i="2"/>
  <c r="AZ196" i="2"/>
  <c r="BB196" i="2"/>
  <c r="BC196" i="2"/>
  <c r="BD196" i="2"/>
  <c r="M197" i="2"/>
  <c r="AW197" i="2"/>
  <c r="AX197" i="2"/>
  <c r="AY197" i="2"/>
  <c r="AZ197" i="2"/>
  <c r="BB197" i="2"/>
  <c r="BC197" i="2"/>
  <c r="BD197" i="2"/>
  <c r="M198" i="2"/>
  <c r="AW198" i="2"/>
  <c r="AX198" i="2"/>
  <c r="AY198" i="2"/>
  <c r="AZ198" i="2"/>
  <c r="BB198" i="2"/>
  <c r="BC198" i="2"/>
  <c r="BD198" i="2"/>
  <c r="M199" i="2"/>
  <c r="AW199" i="2"/>
  <c r="AX199" i="2"/>
  <c r="AY199" i="2"/>
  <c r="AZ199" i="2"/>
  <c r="BB199" i="2"/>
  <c r="BC199" i="2"/>
  <c r="BD199" i="2"/>
  <c r="M200" i="2"/>
  <c r="AW200" i="2"/>
  <c r="AX200" i="2"/>
  <c r="AY200" i="2"/>
  <c r="AZ200" i="2"/>
  <c r="BB200" i="2"/>
  <c r="BC200" i="2"/>
  <c r="BD200" i="2"/>
  <c r="M201" i="2"/>
  <c r="AW201" i="2"/>
  <c r="AX201" i="2"/>
  <c r="AY201" i="2"/>
  <c r="AZ201" i="2"/>
  <c r="BB201" i="2"/>
  <c r="BC201" i="2"/>
  <c r="BD201" i="2"/>
  <c r="M202" i="2"/>
  <c r="AW202" i="2"/>
  <c r="AX202" i="2"/>
  <c r="AY202" i="2"/>
  <c r="AZ202" i="2"/>
  <c r="BB202" i="2"/>
  <c r="BC202" i="2"/>
  <c r="BD202" i="2"/>
  <c r="M203" i="2"/>
  <c r="AW203" i="2"/>
  <c r="AX203" i="2"/>
  <c r="AY203" i="2"/>
  <c r="AZ203" i="2"/>
  <c r="BB203" i="2"/>
  <c r="BC203" i="2"/>
  <c r="BD203" i="2"/>
  <c r="M204" i="2"/>
  <c r="AW204" i="2"/>
  <c r="AX204" i="2"/>
  <c r="AY204" i="2"/>
  <c r="AZ204" i="2"/>
  <c r="BB204" i="2"/>
  <c r="BC204" i="2"/>
  <c r="BD204" i="2"/>
  <c r="M205" i="2"/>
  <c r="AW205" i="2"/>
  <c r="AX205" i="2"/>
  <c r="AY205" i="2"/>
  <c r="AZ205" i="2"/>
  <c r="BB205" i="2"/>
  <c r="BC205" i="2"/>
  <c r="BD205" i="2"/>
  <c r="M206" i="2"/>
  <c r="AW206" i="2"/>
  <c r="AX206" i="2"/>
  <c r="AY206" i="2"/>
  <c r="AZ206" i="2"/>
  <c r="BB206" i="2"/>
  <c r="BC206" i="2"/>
  <c r="BD206" i="2"/>
  <c r="M207" i="2"/>
  <c r="AX207" i="2"/>
  <c r="AZ207" i="2"/>
  <c r="BB207" i="2"/>
  <c r="BC207" i="2"/>
  <c r="BD207" i="2"/>
  <c r="BP207" i="2"/>
  <c r="M209" i="2"/>
  <c r="AW209" i="2"/>
  <c r="AX209" i="2"/>
  <c r="AY209" i="2"/>
  <c r="AZ209" i="2"/>
  <c r="BB209" i="2"/>
  <c r="BC209" i="2"/>
  <c r="BD209" i="2"/>
  <c r="M210" i="2"/>
  <c r="AW210" i="2"/>
  <c r="AX210" i="2"/>
  <c r="AY210" i="2"/>
  <c r="AZ210" i="2"/>
  <c r="BB210" i="2"/>
  <c r="BC210" i="2"/>
  <c r="BD210" i="2"/>
  <c r="M211" i="2"/>
  <c r="AW211" i="2"/>
  <c r="AX211" i="2"/>
  <c r="AY211" i="2"/>
  <c r="AZ211" i="2"/>
  <c r="BB211" i="2"/>
  <c r="BC211" i="2"/>
  <c r="BD211" i="2"/>
  <c r="M212" i="2"/>
  <c r="AW212" i="2"/>
  <c r="AX212" i="2"/>
  <c r="AY212" i="2"/>
  <c r="AZ212" i="2"/>
  <c r="BB212" i="2"/>
  <c r="BC212" i="2"/>
  <c r="BD212" i="2"/>
  <c r="M213" i="2"/>
  <c r="AW213" i="2"/>
  <c r="AX213" i="2"/>
  <c r="AY213" i="2"/>
  <c r="AZ213" i="2"/>
  <c r="BB213" i="2"/>
  <c r="BC213" i="2"/>
  <c r="BD213" i="2"/>
  <c r="M214" i="2"/>
  <c r="AW214" i="2"/>
  <c r="AX214" i="2"/>
  <c r="AY214" i="2"/>
  <c r="AZ214" i="2"/>
  <c r="BB214" i="2"/>
  <c r="BC214" i="2"/>
  <c r="BD214" i="2"/>
  <c r="M215" i="2"/>
  <c r="AW215" i="2"/>
  <c r="AX215" i="2"/>
  <c r="AY215" i="2"/>
  <c r="AZ215" i="2"/>
  <c r="BB215" i="2"/>
  <c r="BC215" i="2"/>
  <c r="BD215" i="2"/>
  <c r="M216" i="2"/>
  <c r="AW216" i="2"/>
  <c r="AX216" i="2"/>
  <c r="AY216" i="2"/>
  <c r="AZ216" i="2"/>
  <c r="BB216" i="2"/>
  <c r="BC216" i="2"/>
  <c r="BD216" i="2"/>
  <c r="M217" i="2"/>
  <c r="AW217" i="2"/>
  <c r="AX217" i="2"/>
  <c r="AY217" i="2"/>
  <c r="AZ217" i="2"/>
  <c r="BB217" i="2"/>
  <c r="BC217" i="2"/>
  <c r="BD217" i="2"/>
  <c r="M218" i="2"/>
  <c r="AW218" i="2"/>
  <c r="AX218" i="2"/>
  <c r="AY218" i="2"/>
  <c r="AZ218" i="2"/>
  <c r="BB218" i="2"/>
  <c r="BC218" i="2"/>
  <c r="BD218" i="2"/>
  <c r="M219" i="2"/>
  <c r="AW219" i="2"/>
  <c r="AX219" i="2"/>
  <c r="AY219" i="2"/>
  <c r="AZ219" i="2"/>
  <c r="BB219" i="2"/>
  <c r="BC219" i="2"/>
  <c r="BD219" i="2"/>
  <c r="M220" i="2"/>
  <c r="AW220" i="2"/>
  <c r="AX220" i="2"/>
  <c r="AY220" i="2"/>
  <c r="AZ220" i="2"/>
  <c r="BB220" i="2"/>
  <c r="BC220" i="2"/>
  <c r="BD220" i="2"/>
  <c r="M221" i="2"/>
  <c r="AW221" i="2"/>
  <c r="AX221" i="2"/>
  <c r="AY221" i="2"/>
  <c r="AZ221" i="2"/>
  <c r="BB221" i="2"/>
  <c r="BC221" i="2"/>
  <c r="BD221" i="2"/>
  <c r="M222" i="2"/>
  <c r="AW222" i="2"/>
  <c r="AX222" i="2"/>
  <c r="AY222" i="2"/>
  <c r="AZ222" i="2"/>
  <c r="BB222" i="2"/>
  <c r="BC222" i="2"/>
  <c r="BD222" i="2"/>
  <c r="M223" i="2"/>
  <c r="AW223" i="2"/>
  <c r="AX223" i="2"/>
  <c r="AY223" i="2"/>
  <c r="AZ223" i="2"/>
  <c r="BB223" i="2"/>
  <c r="BC223" i="2"/>
  <c r="BD223" i="2"/>
  <c r="M224" i="2"/>
  <c r="AW224" i="2"/>
  <c r="AX224" i="2"/>
  <c r="AY224" i="2"/>
  <c r="AZ224" i="2"/>
  <c r="BB224" i="2"/>
  <c r="BC224" i="2"/>
  <c r="BD224" i="2"/>
  <c r="M225" i="2"/>
  <c r="AW225" i="2"/>
  <c r="AX225" i="2"/>
  <c r="AY225" i="2"/>
  <c r="AZ225" i="2"/>
  <c r="BB225" i="2"/>
  <c r="BC225" i="2"/>
  <c r="BD225" i="2"/>
  <c r="M226" i="2"/>
  <c r="AW226" i="2"/>
  <c r="AX226" i="2"/>
  <c r="AY226" i="2"/>
  <c r="AZ226" i="2"/>
  <c r="BB226" i="2"/>
  <c r="BC226" i="2"/>
  <c r="BD226" i="2"/>
  <c r="M227" i="2"/>
  <c r="AW227" i="2"/>
  <c r="AX227" i="2"/>
  <c r="AY227" i="2"/>
  <c r="AZ227" i="2"/>
  <c r="BB227" i="2"/>
  <c r="BC227" i="2"/>
  <c r="BD227" i="2"/>
  <c r="M228" i="2"/>
  <c r="AW228" i="2"/>
  <c r="AX228" i="2"/>
  <c r="AY228" i="2"/>
  <c r="AZ228" i="2"/>
  <c r="BB228" i="2"/>
  <c r="BC228" i="2"/>
  <c r="BD228" i="2"/>
  <c r="M229" i="2"/>
  <c r="AW229" i="2"/>
  <c r="AX229" i="2"/>
  <c r="AY229" i="2"/>
  <c r="AZ229" i="2"/>
  <c r="BB229" i="2"/>
  <c r="BC229" i="2"/>
  <c r="BD229" i="2"/>
  <c r="M230" i="2"/>
  <c r="AW230" i="2"/>
  <c r="AX230" i="2"/>
  <c r="AY230" i="2"/>
  <c r="AZ230" i="2"/>
  <c r="BB230" i="2"/>
  <c r="BC230" i="2"/>
  <c r="BD230" i="2"/>
  <c r="M231" i="2"/>
  <c r="AW231" i="2"/>
  <c r="AX231" i="2"/>
  <c r="AY231" i="2"/>
  <c r="AZ231" i="2"/>
  <c r="BB231" i="2"/>
  <c r="BC231" i="2"/>
  <c r="BD231" i="2"/>
  <c r="M232" i="2"/>
  <c r="AW232" i="2"/>
  <c r="AX232" i="2"/>
  <c r="AY232" i="2"/>
  <c r="AZ232" i="2"/>
  <c r="BB232" i="2"/>
  <c r="BC232" i="2"/>
  <c r="BD232" i="2"/>
  <c r="M233" i="2"/>
  <c r="AW233" i="2"/>
  <c r="AX233" i="2"/>
  <c r="AY233" i="2"/>
  <c r="AZ233" i="2"/>
  <c r="BB233" i="2"/>
  <c r="BC233" i="2"/>
  <c r="BD233" i="2"/>
  <c r="M234" i="2"/>
  <c r="AW234" i="2"/>
  <c r="AX234" i="2"/>
  <c r="AY234" i="2"/>
  <c r="AZ234" i="2"/>
  <c r="BB234" i="2"/>
  <c r="BC234" i="2"/>
  <c r="BD234" i="2"/>
  <c r="M235" i="2"/>
  <c r="AW235" i="2"/>
  <c r="AX235" i="2"/>
  <c r="AY235" i="2"/>
  <c r="AZ235" i="2"/>
  <c r="BB235" i="2"/>
  <c r="BC235" i="2"/>
  <c r="BD235" i="2"/>
  <c r="M236" i="2"/>
  <c r="AW236" i="2"/>
  <c r="AX236" i="2"/>
  <c r="AY236" i="2"/>
  <c r="AZ236" i="2"/>
  <c r="BB236" i="2"/>
  <c r="BC236" i="2"/>
  <c r="BD236" i="2"/>
  <c r="M237" i="2"/>
  <c r="AW237" i="2"/>
  <c r="AX237" i="2"/>
  <c r="AY237" i="2"/>
  <c r="AZ237" i="2"/>
  <c r="BB237" i="2"/>
  <c r="BC237" i="2"/>
  <c r="BD237" i="2"/>
  <c r="M238" i="2"/>
  <c r="AW238" i="2"/>
  <c r="AX238" i="2"/>
  <c r="AY238" i="2"/>
  <c r="AZ238" i="2"/>
  <c r="BB238" i="2"/>
  <c r="BC238" i="2"/>
  <c r="BD238" i="2"/>
  <c r="M239" i="2"/>
  <c r="AW239" i="2"/>
  <c r="AX239" i="2"/>
  <c r="AY239" i="2"/>
  <c r="AZ239" i="2"/>
  <c r="BB239" i="2"/>
  <c r="BC239" i="2"/>
  <c r="BD239" i="2"/>
  <c r="M240" i="2"/>
  <c r="AW240" i="2"/>
  <c r="AX240" i="2"/>
  <c r="AY240" i="2"/>
  <c r="AZ240" i="2"/>
  <c r="BB240" i="2"/>
  <c r="BC240" i="2"/>
  <c r="BD240" i="2"/>
  <c r="M241" i="2"/>
  <c r="AW241" i="2"/>
  <c r="AX241" i="2"/>
  <c r="AY241" i="2"/>
  <c r="AZ241" i="2"/>
  <c r="BB241" i="2"/>
  <c r="BC241" i="2"/>
  <c r="BD241" i="2"/>
  <c r="M242" i="2"/>
  <c r="AW242" i="2"/>
  <c r="AX242" i="2"/>
  <c r="AY242" i="2"/>
  <c r="AZ242" i="2"/>
  <c r="BB242" i="2"/>
  <c r="BC242" i="2"/>
  <c r="BD242" i="2"/>
  <c r="M243" i="2"/>
  <c r="AW243" i="2"/>
  <c r="AX243" i="2"/>
  <c r="AY243" i="2"/>
  <c r="AZ243" i="2"/>
  <c r="BB243" i="2"/>
  <c r="BC243" i="2"/>
  <c r="BD243" i="2"/>
  <c r="M244" i="2"/>
  <c r="AW244" i="2"/>
  <c r="AX244" i="2"/>
  <c r="AY244" i="2"/>
  <c r="AZ244" i="2"/>
  <c r="BB244" i="2"/>
  <c r="BC244" i="2"/>
  <c r="BD244" i="2"/>
  <c r="M245" i="2"/>
  <c r="AW245" i="2"/>
  <c r="AX245" i="2"/>
  <c r="AY245" i="2"/>
  <c r="AZ245" i="2"/>
  <c r="BB245" i="2"/>
  <c r="BC245" i="2"/>
  <c r="BD245" i="2"/>
  <c r="M246" i="2"/>
  <c r="AW246" i="2"/>
  <c r="AX246" i="2"/>
  <c r="AY246" i="2"/>
  <c r="AZ246" i="2"/>
  <c r="BB246" i="2"/>
  <c r="BC246" i="2"/>
  <c r="BD246" i="2"/>
  <c r="M247" i="2"/>
  <c r="AW247" i="2"/>
  <c r="AX247" i="2"/>
  <c r="AY247" i="2"/>
  <c r="AZ247" i="2"/>
  <c r="BB247" i="2"/>
  <c r="BC247" i="2"/>
  <c r="BD247" i="2"/>
  <c r="M248" i="2"/>
  <c r="AW248" i="2"/>
  <c r="AX248" i="2"/>
  <c r="AY248" i="2"/>
  <c r="AZ248" i="2"/>
  <c r="BB248" i="2"/>
  <c r="BC248" i="2"/>
  <c r="BD248" i="2"/>
  <c r="M249" i="2"/>
  <c r="AW249" i="2"/>
  <c r="AX249" i="2"/>
  <c r="AY249" i="2"/>
  <c r="AZ249" i="2"/>
  <c r="BB249" i="2"/>
  <c r="BC249" i="2"/>
  <c r="BD249" i="2"/>
  <c r="M251" i="2"/>
  <c r="AW251" i="2"/>
  <c r="AX251" i="2"/>
  <c r="AY251" i="2"/>
  <c r="AZ251" i="2"/>
  <c r="BB251" i="2"/>
  <c r="BC251" i="2"/>
  <c r="BD251" i="2"/>
  <c r="M252" i="2"/>
  <c r="AW252" i="2"/>
  <c r="AX252" i="2"/>
  <c r="AY252" i="2"/>
  <c r="AZ252" i="2"/>
  <c r="BB252" i="2"/>
  <c r="BC252" i="2"/>
  <c r="BD252" i="2"/>
  <c r="M253" i="2"/>
  <c r="AW253" i="2"/>
  <c r="AX253" i="2"/>
  <c r="AY253" i="2"/>
  <c r="AZ253" i="2"/>
  <c r="BB253" i="2"/>
  <c r="BC253" i="2"/>
  <c r="BD253" i="2"/>
  <c r="M254" i="2"/>
  <c r="AW254" i="2"/>
  <c r="AX254" i="2"/>
  <c r="AY254" i="2"/>
  <c r="AZ254" i="2"/>
  <c r="BB254" i="2"/>
  <c r="BC254" i="2"/>
  <c r="BD254" i="2"/>
  <c r="M255" i="2"/>
  <c r="AW255" i="2"/>
  <c r="AX255" i="2"/>
  <c r="AY255" i="2"/>
  <c r="AZ255" i="2"/>
  <c r="BB255" i="2"/>
  <c r="BC255" i="2"/>
  <c r="BD255" i="2"/>
  <c r="M256" i="2"/>
  <c r="AW256" i="2"/>
  <c r="AX256" i="2"/>
  <c r="AY256" i="2"/>
  <c r="AZ256" i="2"/>
  <c r="BB256" i="2"/>
  <c r="BC256" i="2"/>
  <c r="BD256" i="2"/>
  <c r="M257" i="2"/>
  <c r="AW257" i="2"/>
  <c r="AX257" i="2"/>
  <c r="AY257" i="2"/>
  <c r="AZ257" i="2"/>
  <c r="BB257" i="2"/>
  <c r="BC257" i="2"/>
  <c r="BD257" i="2"/>
  <c r="M258" i="2"/>
  <c r="AW258" i="2"/>
  <c r="AX258" i="2"/>
  <c r="AY258" i="2"/>
  <c r="AZ258" i="2"/>
  <c r="BB258" i="2"/>
  <c r="BC258" i="2"/>
  <c r="BD258" i="2"/>
  <c r="M259" i="2"/>
  <c r="AW259" i="2"/>
  <c r="AX259" i="2"/>
  <c r="AY259" i="2"/>
  <c r="AZ259" i="2"/>
  <c r="BB259" i="2"/>
  <c r="BC259" i="2"/>
  <c r="BD259" i="2"/>
  <c r="M260" i="2"/>
  <c r="AW260" i="2"/>
  <c r="AX260" i="2"/>
  <c r="AY260" i="2"/>
  <c r="AZ260" i="2"/>
  <c r="BB260" i="2"/>
  <c r="BC260" i="2"/>
  <c r="BD260" i="2"/>
  <c r="M261" i="2"/>
  <c r="AW261" i="2"/>
  <c r="AX261" i="2"/>
  <c r="AY261" i="2"/>
  <c r="AZ261" i="2"/>
  <c r="BB261" i="2"/>
  <c r="BC261" i="2"/>
  <c r="BD261" i="2"/>
  <c r="M262" i="2"/>
  <c r="AW262" i="2"/>
  <c r="AX262" i="2"/>
  <c r="AY262" i="2"/>
  <c r="AZ262" i="2"/>
  <c r="BB262" i="2"/>
  <c r="BC262" i="2"/>
  <c r="BD262" i="2"/>
  <c r="M263" i="2"/>
  <c r="AW263" i="2"/>
  <c r="AX263" i="2"/>
  <c r="AY263" i="2"/>
  <c r="AZ263" i="2"/>
  <c r="BB263" i="2"/>
  <c r="BC263" i="2"/>
  <c r="BD263" i="2"/>
  <c r="M264" i="2"/>
  <c r="AW264" i="2"/>
  <c r="AX264" i="2"/>
  <c r="AY264" i="2"/>
  <c r="AZ264" i="2"/>
  <c r="BB264" i="2"/>
  <c r="BC264" i="2"/>
  <c r="BD264" i="2"/>
  <c r="M265" i="2"/>
  <c r="AW265" i="2"/>
  <c r="AX265" i="2"/>
  <c r="AY265" i="2"/>
  <c r="AZ265" i="2"/>
  <c r="BB265" i="2"/>
  <c r="BC265" i="2"/>
  <c r="BD265" i="2"/>
  <c r="M266" i="2"/>
  <c r="AW266" i="2"/>
  <c r="AX266" i="2"/>
  <c r="AY266" i="2"/>
  <c r="AZ266" i="2"/>
  <c r="BB266" i="2"/>
  <c r="BC266" i="2"/>
  <c r="BD266" i="2"/>
  <c r="BP267" i="2"/>
  <c r="BQ267" i="2"/>
  <c r="M269" i="2"/>
  <c r="AY269" i="2"/>
  <c r="AZ269" i="2"/>
  <c r="BB269" i="2"/>
  <c r="BC269" i="2"/>
  <c r="BD269" i="2"/>
  <c r="M270" i="2"/>
  <c r="AY270" i="2"/>
  <c r="AZ270" i="2"/>
  <c r="BB270" i="2"/>
  <c r="BC270" i="2"/>
  <c r="BD270" i="2"/>
  <c r="M271" i="2"/>
  <c r="AY271" i="2"/>
  <c r="AZ271" i="2"/>
  <c r="BB271" i="2"/>
  <c r="BC271" i="2"/>
  <c r="BD271" i="2"/>
  <c r="M272" i="2"/>
  <c r="AY272" i="2"/>
  <c r="AZ272" i="2"/>
  <c r="BB272" i="2"/>
  <c r="BC272" i="2"/>
  <c r="BD272" i="2"/>
  <c r="M273" i="2"/>
  <c r="AY273" i="2"/>
  <c r="AZ273" i="2"/>
  <c r="BB273" i="2"/>
  <c r="BC273" i="2"/>
  <c r="BD273" i="2"/>
  <c r="M274" i="2"/>
  <c r="AY274" i="2"/>
  <c r="AZ274" i="2"/>
  <c r="BB274" i="2"/>
  <c r="BC274" i="2"/>
  <c r="BD274" i="2"/>
  <c r="M275" i="2"/>
  <c r="AY275" i="2"/>
  <c r="AZ275" i="2"/>
  <c r="BB275" i="2"/>
  <c r="BC275" i="2"/>
  <c r="BD275" i="2"/>
  <c r="M276" i="2"/>
  <c r="AY276" i="2"/>
  <c r="AZ276" i="2"/>
  <c r="BB276" i="2"/>
  <c r="BC276" i="2"/>
  <c r="BD276" i="2"/>
  <c r="M277" i="2"/>
  <c r="AY277" i="2"/>
  <c r="AZ277" i="2"/>
  <c r="BB277" i="2"/>
  <c r="BC277" i="2"/>
  <c r="BD277" i="2"/>
  <c r="M278" i="2"/>
  <c r="AY278" i="2"/>
  <c r="AZ278" i="2"/>
  <c r="BB278" i="2"/>
  <c r="BC278" i="2"/>
  <c r="BD278" i="2"/>
  <c r="M279" i="2"/>
  <c r="AY279" i="2"/>
  <c r="AZ279" i="2"/>
  <c r="BB279" i="2"/>
  <c r="BC279" i="2"/>
  <c r="BD279" i="2"/>
  <c r="M280" i="2"/>
  <c r="AY280" i="2"/>
  <c r="AZ280" i="2"/>
  <c r="BB280" i="2"/>
  <c r="BC280" i="2"/>
  <c r="BD280" i="2"/>
  <c r="M281" i="2"/>
  <c r="AY281" i="2"/>
  <c r="AZ281" i="2"/>
  <c r="BB281" i="2"/>
  <c r="BC281" i="2"/>
  <c r="BD281" i="2"/>
  <c r="M282" i="2"/>
  <c r="AY282" i="2"/>
  <c r="AZ282" i="2"/>
  <c r="BB282" i="2"/>
  <c r="BC282" i="2"/>
  <c r="BD282" i="2"/>
  <c r="M283" i="2"/>
  <c r="AY283" i="2"/>
  <c r="AZ283" i="2"/>
  <c r="BB283" i="2"/>
  <c r="BC283" i="2"/>
  <c r="BD283" i="2"/>
  <c r="M284" i="2"/>
  <c r="AY284" i="2"/>
  <c r="AZ284" i="2"/>
  <c r="BB284" i="2"/>
  <c r="BC284" i="2"/>
  <c r="BD284" i="2"/>
  <c r="M285" i="2"/>
  <c r="AY285" i="2"/>
  <c r="AZ285" i="2"/>
  <c r="BB285" i="2"/>
  <c r="BC285" i="2"/>
  <c r="BD285" i="2"/>
  <c r="M286" i="2"/>
  <c r="AY286" i="2"/>
  <c r="AZ286" i="2"/>
  <c r="BB286" i="2"/>
  <c r="BC286" i="2"/>
  <c r="BD286" i="2"/>
  <c r="M287" i="2"/>
  <c r="AY287" i="2"/>
  <c r="AZ287" i="2"/>
  <c r="BB287" i="2"/>
  <c r="BC287" i="2"/>
  <c r="BD287" i="2"/>
  <c r="M288" i="2"/>
  <c r="AY288" i="2"/>
  <c r="AZ288" i="2"/>
  <c r="BB288" i="2"/>
  <c r="BC288" i="2"/>
  <c r="BD288" i="2"/>
  <c r="M289" i="2"/>
  <c r="AY289" i="2"/>
  <c r="AZ289" i="2"/>
  <c r="BB289" i="2"/>
  <c r="BC289" i="2"/>
  <c r="BD289" i="2"/>
  <c r="M290" i="2"/>
  <c r="AY290" i="2"/>
  <c r="AZ290" i="2"/>
  <c r="BB290" i="2"/>
  <c r="BC290" i="2"/>
  <c r="BD290" i="2"/>
  <c r="M291" i="2"/>
  <c r="AY291" i="2"/>
  <c r="AZ291" i="2"/>
  <c r="BB291" i="2"/>
  <c r="BC291" i="2"/>
  <c r="BD291" i="2"/>
  <c r="M292" i="2"/>
  <c r="AY292" i="2"/>
  <c r="AZ292" i="2"/>
  <c r="BB292" i="2"/>
  <c r="BC292" i="2"/>
  <c r="BD292" i="2"/>
  <c r="M293" i="2"/>
  <c r="AY293" i="2"/>
  <c r="AZ293" i="2"/>
  <c r="BB293" i="2"/>
  <c r="BC293" i="2"/>
  <c r="BD293" i="2"/>
  <c r="M294" i="2"/>
  <c r="AY294" i="2"/>
  <c r="AZ294" i="2"/>
  <c r="BB294" i="2"/>
  <c r="BC294" i="2"/>
  <c r="BD294" i="2"/>
  <c r="M295" i="2"/>
  <c r="AY295" i="2"/>
  <c r="AZ295" i="2"/>
  <c r="BB295" i="2"/>
  <c r="BC295" i="2"/>
  <c r="BD295" i="2"/>
  <c r="M296" i="2"/>
  <c r="AY296" i="2"/>
  <c r="AZ296" i="2"/>
  <c r="BB296" i="2"/>
  <c r="BC296" i="2"/>
  <c r="BD296" i="2"/>
  <c r="M297" i="2"/>
  <c r="AY297" i="2"/>
  <c r="AZ297" i="2"/>
  <c r="BB297" i="2"/>
  <c r="BC297" i="2"/>
  <c r="BD297" i="2"/>
  <c r="M298" i="2"/>
  <c r="AY298" i="2"/>
  <c r="AZ298" i="2"/>
  <c r="BB298" i="2"/>
  <c r="BC298" i="2"/>
  <c r="BD298" i="2"/>
  <c r="M299" i="2"/>
  <c r="AY299" i="2"/>
  <c r="AZ299" i="2"/>
  <c r="BB299" i="2"/>
  <c r="BC299" i="2"/>
  <c r="BD299" i="2"/>
  <c r="M300" i="2"/>
  <c r="AY300" i="2"/>
  <c r="AZ300" i="2"/>
  <c r="BB300" i="2"/>
  <c r="BC300" i="2"/>
  <c r="BD300" i="2"/>
  <c r="M301" i="2"/>
  <c r="AY301" i="2"/>
  <c r="AZ301" i="2"/>
  <c r="BB301" i="2"/>
  <c r="BC301" i="2"/>
  <c r="BD301" i="2"/>
  <c r="M302" i="2"/>
  <c r="AY302" i="2"/>
  <c r="AZ302" i="2"/>
  <c r="BB302" i="2"/>
  <c r="BC302" i="2"/>
  <c r="BD302" i="2"/>
  <c r="M303" i="2"/>
  <c r="AY303" i="2"/>
  <c r="AZ303" i="2"/>
  <c r="BB303" i="2"/>
  <c r="BC303" i="2"/>
  <c r="BD303" i="2"/>
  <c r="M304" i="2"/>
  <c r="AY304" i="2"/>
  <c r="AZ304" i="2"/>
  <c r="BB304" i="2"/>
  <c r="BC304" i="2"/>
  <c r="BD304" i="2"/>
  <c r="M305" i="2"/>
  <c r="AY305" i="2"/>
  <c r="AZ305" i="2"/>
  <c r="BB305" i="2"/>
  <c r="BC305" i="2"/>
  <c r="BD305" i="2"/>
  <c r="M306" i="2"/>
  <c r="AY306" i="2"/>
  <c r="AZ306" i="2"/>
  <c r="BB306" i="2"/>
  <c r="BC306" i="2"/>
  <c r="BD306" i="2"/>
  <c r="M307" i="2"/>
  <c r="AY307" i="2"/>
  <c r="AZ307" i="2"/>
  <c r="BB307" i="2"/>
  <c r="BC307" i="2"/>
  <c r="BD307" i="2"/>
  <c r="M308" i="2"/>
  <c r="AY308" i="2"/>
  <c r="AZ308" i="2"/>
  <c r="BB308" i="2"/>
  <c r="BC308" i="2"/>
  <c r="BD308" i="2"/>
  <c r="M309" i="2"/>
  <c r="AY309" i="2"/>
  <c r="AZ309" i="2"/>
  <c r="BB309" i="2"/>
  <c r="BC309" i="2"/>
  <c r="BD309" i="2"/>
  <c r="M310" i="2"/>
  <c r="AY310" i="2"/>
  <c r="AZ310" i="2"/>
  <c r="BB310" i="2"/>
  <c r="BC310" i="2"/>
  <c r="BD310" i="2"/>
  <c r="M311" i="2"/>
  <c r="AY311" i="2"/>
  <c r="AZ311" i="2"/>
  <c r="BB311" i="2"/>
  <c r="BC311" i="2"/>
  <c r="BD311" i="2"/>
  <c r="M312" i="2"/>
  <c r="AY312" i="2"/>
  <c r="AZ312" i="2"/>
  <c r="BB312" i="2"/>
  <c r="BC312" i="2"/>
  <c r="BD312" i="2"/>
  <c r="M313" i="2"/>
  <c r="AY313" i="2"/>
  <c r="AZ313" i="2"/>
  <c r="BB313" i="2"/>
  <c r="BC313" i="2"/>
  <c r="BD313" i="2"/>
  <c r="M314" i="2"/>
  <c r="AY314" i="2"/>
  <c r="AZ314" i="2"/>
  <c r="BB314" i="2"/>
  <c r="BC314" i="2"/>
  <c r="BD314" i="2"/>
  <c r="M315" i="2"/>
  <c r="AY315" i="2"/>
  <c r="AZ315" i="2"/>
  <c r="BB315" i="2"/>
  <c r="BC315" i="2"/>
  <c r="BD315" i="2"/>
  <c r="M316" i="2"/>
  <c r="AY316" i="2"/>
  <c r="AZ316" i="2"/>
  <c r="BB316" i="2"/>
  <c r="BC316" i="2"/>
  <c r="BD316" i="2"/>
  <c r="M317" i="2"/>
  <c r="AY317" i="2"/>
  <c r="AZ317" i="2"/>
  <c r="BB317" i="2"/>
  <c r="BC317" i="2"/>
  <c r="BD317" i="2"/>
  <c r="M318" i="2"/>
  <c r="AY318" i="2"/>
  <c r="AZ318" i="2"/>
  <c r="BB318" i="2"/>
  <c r="BC318" i="2"/>
  <c r="BD318" i="2"/>
  <c r="M319" i="2"/>
  <c r="AY319" i="2"/>
  <c r="AZ319" i="2"/>
  <c r="BB319" i="2"/>
  <c r="BC319" i="2"/>
  <c r="BD319" i="2"/>
  <c r="M320" i="2"/>
  <c r="AY320" i="2"/>
  <c r="AZ320" i="2"/>
  <c r="BB320" i="2"/>
  <c r="BC320" i="2"/>
  <c r="BD320" i="2"/>
  <c r="M321" i="2"/>
  <c r="AY321" i="2"/>
  <c r="AZ321" i="2"/>
  <c r="BB321" i="2"/>
  <c r="BC321" i="2"/>
  <c r="BD321" i="2"/>
  <c r="M322" i="2"/>
  <c r="AY322" i="2"/>
  <c r="AZ322" i="2"/>
  <c r="BB322" i="2"/>
  <c r="BC322" i="2"/>
  <c r="BD322" i="2"/>
  <c r="M323" i="2"/>
  <c r="AY323" i="2"/>
  <c r="AZ323" i="2"/>
  <c r="BB323" i="2"/>
  <c r="BC323" i="2"/>
  <c r="BD323" i="2"/>
  <c r="M324" i="2"/>
  <c r="AY324" i="2"/>
  <c r="AZ324" i="2"/>
  <c r="BB324" i="2"/>
  <c r="BC324" i="2"/>
  <c r="BD324" i="2"/>
  <c r="M325" i="2"/>
  <c r="AY325" i="2"/>
  <c r="AZ325" i="2"/>
  <c r="BB325" i="2"/>
  <c r="BC325" i="2"/>
  <c r="BD325" i="2"/>
  <c r="M326" i="2"/>
  <c r="AY326" i="2"/>
  <c r="AZ326" i="2"/>
  <c r="BB326" i="2"/>
  <c r="BC326" i="2"/>
  <c r="BD326" i="2"/>
  <c r="M327" i="2"/>
  <c r="AY327" i="2"/>
  <c r="AZ327" i="2"/>
  <c r="BB327" i="2"/>
  <c r="BC327" i="2"/>
  <c r="BD327" i="2"/>
  <c r="M328" i="2"/>
  <c r="AY328" i="2"/>
  <c r="AZ328" i="2"/>
  <c r="BB328" i="2"/>
  <c r="BC328" i="2"/>
  <c r="BD328" i="2"/>
  <c r="M329" i="2"/>
  <c r="AY329" i="2"/>
  <c r="AZ329" i="2"/>
  <c r="BB329" i="2"/>
  <c r="BC329" i="2"/>
  <c r="BD329" i="2"/>
  <c r="M330" i="2"/>
  <c r="AY330" i="2"/>
  <c r="AZ330" i="2"/>
  <c r="BB330" i="2"/>
  <c r="BC330" i="2"/>
  <c r="BD330" i="2"/>
  <c r="M331" i="2"/>
  <c r="AY331" i="2"/>
  <c r="AZ331" i="2"/>
  <c r="BB331" i="2"/>
  <c r="BC331" i="2"/>
  <c r="BD331" i="2"/>
  <c r="M332" i="2"/>
  <c r="AY332" i="2"/>
  <c r="AZ332" i="2"/>
  <c r="BB332" i="2"/>
  <c r="BC332" i="2"/>
  <c r="BD332" i="2"/>
  <c r="M333" i="2"/>
  <c r="AZ333" i="2"/>
  <c r="BB333" i="2"/>
  <c r="BC333" i="2"/>
  <c r="BD333" i="2"/>
  <c r="M335" i="2"/>
  <c r="AW335" i="2"/>
  <c r="AX335" i="2"/>
  <c r="AY335" i="2"/>
  <c r="AZ335" i="2"/>
  <c r="BB335" i="2"/>
  <c r="BC335" i="2"/>
  <c r="BD335" i="2"/>
  <c r="M336" i="2"/>
  <c r="AW336" i="2"/>
  <c r="AX336" i="2"/>
  <c r="AY336" i="2"/>
  <c r="AZ336" i="2"/>
  <c r="BB336" i="2"/>
  <c r="BC336" i="2"/>
  <c r="BD336" i="2"/>
  <c r="M337" i="2"/>
  <c r="AW337" i="2"/>
  <c r="AX337" i="2"/>
  <c r="AY337" i="2"/>
  <c r="AZ337" i="2"/>
  <c r="BB337" i="2"/>
  <c r="BC337" i="2"/>
  <c r="BD337" i="2"/>
  <c r="M338" i="2"/>
  <c r="AW338" i="2"/>
  <c r="AX338" i="2"/>
  <c r="AY338" i="2"/>
  <c r="AZ338" i="2"/>
  <c r="BB338" i="2"/>
  <c r="BC338" i="2"/>
  <c r="BD338" i="2"/>
  <c r="M339" i="2"/>
  <c r="AW339" i="2"/>
  <c r="AX339" i="2"/>
  <c r="AY339" i="2"/>
  <c r="AZ339" i="2"/>
  <c r="BB339" i="2"/>
  <c r="BC339" i="2"/>
  <c r="BD339" i="2"/>
  <c r="M340" i="2"/>
  <c r="AW340" i="2"/>
  <c r="AX340" i="2"/>
  <c r="AY340" i="2"/>
  <c r="AZ340" i="2"/>
  <c r="BB340" i="2"/>
  <c r="BC340" i="2"/>
  <c r="BD340" i="2"/>
  <c r="M341" i="2"/>
  <c r="AW341" i="2"/>
  <c r="AX341" i="2"/>
  <c r="AY341" i="2"/>
  <c r="AZ341" i="2"/>
  <c r="BB341" i="2"/>
  <c r="BC341" i="2"/>
  <c r="BD341" i="2"/>
  <c r="M342" i="2"/>
  <c r="AW342" i="2"/>
  <c r="AX342" i="2"/>
  <c r="AY342" i="2"/>
  <c r="AZ342" i="2"/>
  <c r="BB342" i="2"/>
  <c r="BC342" i="2"/>
  <c r="BD342" i="2"/>
  <c r="M343" i="2"/>
  <c r="AX343" i="2"/>
  <c r="AZ343" i="2"/>
  <c r="BB343" i="2"/>
  <c r="BC343" i="2"/>
  <c r="BD343" i="2"/>
  <c r="M345" i="2"/>
  <c r="AW345" i="2"/>
  <c r="AX345" i="2"/>
  <c r="AY345" i="2"/>
  <c r="AZ345" i="2"/>
  <c r="BB345" i="2"/>
  <c r="BC345" i="2"/>
  <c r="BD345" i="2"/>
  <c r="M346" i="2"/>
  <c r="AW346" i="2"/>
  <c r="AX346" i="2"/>
  <c r="AY346" i="2"/>
  <c r="AZ346" i="2"/>
  <c r="BB346" i="2"/>
  <c r="BC346" i="2"/>
  <c r="BD346" i="2"/>
  <c r="M347" i="2"/>
  <c r="AW347" i="2"/>
  <c r="AX347" i="2"/>
  <c r="AY347" i="2"/>
  <c r="AZ347" i="2"/>
  <c r="BB347" i="2"/>
  <c r="BC347" i="2"/>
  <c r="BD347" i="2"/>
  <c r="M348" i="2"/>
  <c r="AX348" i="2"/>
  <c r="AZ348" i="2"/>
  <c r="BB348" i="2"/>
  <c r="BC348" i="2"/>
  <c r="BD348" i="2"/>
  <c r="CA348" i="2"/>
  <c r="M350" i="2"/>
  <c r="AX350" i="2"/>
  <c r="AZ350" i="2"/>
  <c r="BB350" i="2"/>
  <c r="BC350" i="2"/>
  <c r="BD350" i="2"/>
  <c r="AW351" i="2"/>
  <c r="AX351" i="2"/>
  <c r="AY351" i="2"/>
  <c r="AZ351" i="2"/>
  <c r="BB351" i="2"/>
  <c r="BC351" i="2"/>
  <c r="BD351" i="2"/>
  <c r="BO351" i="2"/>
  <c r="BP351" i="2"/>
  <c r="M361" i="2"/>
  <c r="AW361" i="2"/>
  <c r="AX361" i="2"/>
  <c r="AY361" i="2"/>
  <c r="AZ361" i="2"/>
  <c r="BB361" i="2"/>
  <c r="BC361" i="2"/>
  <c r="BD361" i="2"/>
  <c r="M366" i="2"/>
  <c r="AW366" i="2"/>
  <c r="AX366" i="2"/>
  <c r="AY366" i="2"/>
  <c r="AZ366" i="2"/>
  <c r="BB366" i="2"/>
  <c r="BC366" i="2"/>
  <c r="BD366" i="2"/>
  <c r="M380" i="2"/>
  <c r="AW380" i="2"/>
  <c r="AX380" i="2"/>
  <c r="AY380" i="2"/>
  <c r="AZ380" i="2"/>
  <c r="BB380" i="2"/>
  <c r="BC380" i="2"/>
  <c r="BD380" i="2"/>
  <c r="M386" i="2"/>
  <c r="AW386" i="2"/>
  <c r="AX386" i="2"/>
  <c r="AY386" i="2"/>
  <c r="AZ386" i="2"/>
  <c r="BB386" i="2"/>
  <c r="BC386" i="2"/>
  <c r="BD386" i="2"/>
  <c r="AY390" i="2"/>
  <c r="M414" i="2"/>
  <c r="AW414" i="2"/>
  <c r="AX414" i="2"/>
  <c r="AY414" i="2"/>
  <c r="AZ414" i="2"/>
  <c r="BB414" i="2"/>
  <c r="BC414" i="2"/>
  <c r="BD414" i="2"/>
  <c r="M422" i="2"/>
  <c r="AW422" i="2"/>
  <c r="AX422" i="2"/>
  <c r="AY422" i="2"/>
  <c r="AZ422" i="2"/>
  <c r="BB422" i="2"/>
  <c r="BC422" i="2"/>
  <c r="BD422" i="2"/>
  <c r="M423" i="2"/>
  <c r="AW423" i="2"/>
  <c r="AX423" i="2"/>
  <c r="AY423" i="2"/>
  <c r="AZ423" i="2"/>
  <c r="BB423" i="2"/>
  <c r="BC423" i="2"/>
  <c r="BD423" i="2"/>
  <c r="M424" i="2"/>
  <c r="AW424" i="2"/>
  <c r="AX424" i="2"/>
  <c r="AY424" i="2"/>
  <c r="AZ424" i="2"/>
  <c r="BB424" i="2"/>
  <c r="BC424" i="2"/>
  <c r="BD424" i="2"/>
  <c r="M425" i="2"/>
  <c r="AW425" i="2"/>
  <c r="AX425" i="2"/>
  <c r="AY425" i="2"/>
  <c r="AZ425" i="2"/>
  <c r="BB425" i="2"/>
  <c r="BC425" i="2"/>
  <c r="BD425" i="2"/>
  <c r="M426" i="2"/>
  <c r="AW426" i="2"/>
  <c r="AX426" i="2"/>
  <c r="AY426" i="2"/>
  <c r="AZ426" i="2"/>
  <c r="BB426" i="2"/>
  <c r="BC426" i="2"/>
  <c r="BD426" i="2"/>
  <c r="M427" i="2"/>
  <c r="AW427" i="2"/>
  <c r="AX427" i="2"/>
  <c r="AY427" i="2"/>
  <c r="AZ427" i="2"/>
  <c r="BB427" i="2"/>
  <c r="BC427" i="2"/>
  <c r="BD427" i="2"/>
  <c r="M428" i="2"/>
  <c r="AW428" i="2"/>
  <c r="AX428" i="2"/>
  <c r="AY428" i="2"/>
  <c r="AZ428" i="2"/>
  <c r="BB428" i="2"/>
  <c r="BC428" i="2"/>
  <c r="BD428" i="2"/>
  <c r="M429" i="2"/>
  <c r="AW429" i="2"/>
  <c r="AX429" i="2"/>
  <c r="AY429" i="2"/>
  <c r="AZ429" i="2"/>
  <c r="BB429" i="2"/>
  <c r="BC429" i="2"/>
  <c r="BD429" i="2"/>
  <c r="M430" i="2"/>
  <c r="AW430" i="2"/>
  <c r="AX430" i="2"/>
  <c r="AY430" i="2"/>
  <c r="AZ430" i="2"/>
  <c r="BB430" i="2"/>
  <c r="BC430" i="2"/>
  <c r="BD430" i="2"/>
  <c r="M431" i="2"/>
  <c r="AW431" i="2"/>
  <c r="AX431" i="2"/>
  <c r="AY431" i="2"/>
  <c r="AZ431" i="2"/>
  <c r="BB431" i="2"/>
  <c r="BC431" i="2"/>
  <c r="BD431" i="2"/>
  <c r="M432" i="2"/>
  <c r="AW432" i="2"/>
  <c r="AX432" i="2"/>
  <c r="AY432" i="2"/>
  <c r="AZ432" i="2"/>
  <c r="BB432" i="2"/>
  <c r="BC432" i="2"/>
  <c r="BD432" i="2"/>
  <c r="M433" i="2"/>
  <c r="AW433" i="2"/>
  <c r="AX433" i="2"/>
  <c r="AY433" i="2"/>
  <c r="AZ433" i="2"/>
  <c r="BB433" i="2"/>
  <c r="BC433" i="2"/>
  <c r="BD433" i="2"/>
  <c r="M434" i="2"/>
  <c r="AW434" i="2"/>
  <c r="AX434" i="2"/>
  <c r="AY434" i="2"/>
  <c r="AZ434" i="2"/>
  <c r="BB434" i="2"/>
  <c r="BC434" i="2"/>
  <c r="BD434" i="2"/>
  <c r="M435" i="2"/>
  <c r="AW435" i="2"/>
  <c r="AX435" i="2"/>
  <c r="AY435" i="2"/>
  <c r="AZ435" i="2"/>
  <c r="BB435" i="2"/>
  <c r="BC435" i="2"/>
  <c r="BD435" i="2"/>
  <c r="M436" i="2"/>
  <c r="AW436" i="2"/>
  <c r="AX436" i="2"/>
  <c r="AY436" i="2"/>
  <c r="AZ436" i="2"/>
  <c r="BB436" i="2"/>
  <c r="BC436" i="2"/>
  <c r="BD436" i="2"/>
  <c r="M437" i="2"/>
  <c r="AW437" i="2"/>
  <c r="AX437" i="2"/>
  <c r="AY437" i="2"/>
  <c r="AZ437" i="2"/>
  <c r="BB437" i="2"/>
  <c r="BC437" i="2"/>
  <c r="BD437" i="2"/>
  <c r="M438" i="2"/>
  <c r="AW438" i="2"/>
  <c r="AX438" i="2"/>
  <c r="AY438" i="2"/>
  <c r="AZ438" i="2"/>
  <c r="BB438" i="2"/>
  <c r="BC438" i="2"/>
  <c r="BD438" i="2"/>
  <c r="M439" i="2"/>
  <c r="AW439" i="2"/>
  <c r="AX439" i="2"/>
  <c r="AY439" i="2"/>
  <c r="AZ439" i="2"/>
  <c r="BB439" i="2"/>
  <c r="BC439" i="2"/>
  <c r="BD439" i="2"/>
  <c r="M440" i="2"/>
  <c r="AW440" i="2"/>
  <c r="AX440" i="2"/>
  <c r="AY440" i="2"/>
  <c r="AZ440" i="2"/>
  <c r="BB440" i="2"/>
  <c r="BC440" i="2"/>
  <c r="BD440" i="2"/>
  <c r="M441" i="2"/>
  <c r="AW441" i="2"/>
  <c r="AX441" i="2"/>
  <c r="AY441" i="2"/>
  <c r="AZ441" i="2"/>
  <c r="BB441" i="2"/>
  <c r="BC441" i="2"/>
  <c r="BD441" i="2"/>
  <c r="M442" i="2"/>
  <c r="AW442" i="2"/>
  <c r="AX442" i="2"/>
  <c r="AY442" i="2"/>
  <c r="AZ442" i="2"/>
  <c r="BB442" i="2"/>
  <c r="BC442" i="2"/>
  <c r="BD442" i="2"/>
  <c r="M443" i="2"/>
  <c r="AW443" i="2"/>
  <c r="AX443" i="2"/>
  <c r="AY443" i="2"/>
  <c r="AZ443" i="2"/>
  <c r="BB443" i="2"/>
  <c r="BC443" i="2"/>
  <c r="BD443" i="2"/>
  <c r="M444" i="2"/>
  <c r="AW444" i="2"/>
  <c r="AX444" i="2"/>
  <c r="AY444" i="2"/>
  <c r="AZ444" i="2"/>
  <c r="BB444" i="2"/>
  <c r="BC444" i="2"/>
  <c r="BD444" i="2"/>
  <c r="M445" i="2"/>
  <c r="AW445" i="2"/>
  <c r="AX445" i="2"/>
  <c r="AY445" i="2"/>
  <c r="AZ445" i="2"/>
  <c r="BB445" i="2"/>
  <c r="BC445" i="2"/>
  <c r="BD445" i="2"/>
  <c r="M446" i="2"/>
  <c r="AW446" i="2"/>
  <c r="AX446" i="2"/>
  <c r="AY446" i="2"/>
  <c r="AZ446" i="2"/>
  <c r="BB446" i="2"/>
  <c r="BC446" i="2"/>
  <c r="M447" i="2"/>
  <c r="AW447" i="2"/>
  <c r="AX447" i="2"/>
  <c r="AY447" i="2"/>
  <c r="AZ447" i="2"/>
  <c r="BB447" i="2"/>
  <c r="BC447" i="2"/>
  <c r="M448" i="2"/>
  <c r="AW448" i="2"/>
  <c r="AX448" i="2"/>
  <c r="AY448" i="2"/>
  <c r="AZ448" i="2"/>
  <c r="BB448" i="2"/>
  <c r="BC448" i="2"/>
  <c r="M449" i="2"/>
  <c r="AW449" i="2"/>
  <c r="AX449" i="2"/>
  <c r="AY449" i="2"/>
  <c r="AZ449" i="2"/>
  <c r="BB449" i="2"/>
  <c r="BC449" i="2"/>
  <c r="M450" i="2"/>
  <c r="AW450" i="2"/>
  <c r="AX450" i="2"/>
  <c r="AY450" i="2"/>
  <c r="AZ450" i="2"/>
  <c r="BB450" i="2"/>
  <c r="BC450" i="2"/>
  <c r="M451" i="2"/>
  <c r="AW451" i="2"/>
  <c r="AX451" i="2"/>
  <c r="AY451" i="2"/>
  <c r="AZ451" i="2"/>
  <c r="BB451" i="2"/>
  <c r="BC451" i="2"/>
  <c r="M452" i="2"/>
  <c r="AW452" i="2"/>
  <c r="AX452" i="2"/>
  <c r="AY452" i="2"/>
  <c r="AZ452" i="2"/>
  <c r="BB452" i="2"/>
  <c r="BC452" i="2"/>
  <c r="M453" i="2"/>
  <c r="AW453" i="2"/>
  <c r="AX453" i="2"/>
  <c r="AY453" i="2"/>
  <c r="AZ453" i="2"/>
  <c r="BB453" i="2"/>
  <c r="BC453" i="2"/>
  <c r="M454" i="2"/>
  <c r="AW454" i="2"/>
  <c r="AX454" i="2"/>
  <c r="AY454" i="2"/>
  <c r="AZ454" i="2"/>
  <c r="BB454" i="2"/>
  <c r="BC454" i="2"/>
  <c r="M455" i="2"/>
  <c r="AW455" i="2"/>
  <c r="AX455" i="2"/>
  <c r="AY455" i="2"/>
  <c r="AZ455" i="2"/>
  <c r="BB455" i="2"/>
  <c r="BC455" i="2"/>
  <c r="M456" i="2"/>
  <c r="AW456" i="2"/>
  <c r="AX456" i="2"/>
  <c r="AY456" i="2"/>
  <c r="AZ456" i="2"/>
  <c r="BB456" i="2"/>
  <c r="BC456" i="2"/>
  <c r="M457" i="2"/>
  <c r="AW457" i="2"/>
  <c r="AX457" i="2"/>
  <c r="AY457" i="2"/>
  <c r="AZ457" i="2"/>
  <c r="BB457" i="2"/>
  <c r="BC457" i="2"/>
  <c r="M458" i="2"/>
  <c r="AW458" i="2"/>
  <c r="AX458" i="2"/>
  <c r="AY458" i="2"/>
  <c r="AZ458" i="2"/>
  <c r="BB458" i="2"/>
  <c r="BC458" i="2"/>
  <c r="M459" i="2"/>
  <c r="AW459" i="2"/>
  <c r="AX459" i="2"/>
  <c r="AY459" i="2"/>
  <c r="AZ459" i="2"/>
  <c r="BB459" i="2"/>
  <c r="BC459" i="2"/>
  <c r="M460" i="2"/>
  <c r="AW460" i="2"/>
  <c r="AX460" i="2"/>
  <c r="AY460" i="2"/>
  <c r="AZ460" i="2"/>
  <c r="BB460" i="2"/>
  <c r="BC460" i="2"/>
  <c r="M461" i="2"/>
  <c r="AW461" i="2"/>
  <c r="AX461" i="2"/>
  <c r="AY461" i="2"/>
  <c r="AZ461" i="2"/>
  <c r="BB461" i="2"/>
  <c r="BC461" i="2"/>
  <c r="M462" i="2"/>
  <c r="AW462" i="2"/>
  <c r="AX462" i="2"/>
  <c r="AY462" i="2"/>
  <c r="AZ462" i="2"/>
  <c r="BB462" i="2"/>
  <c r="BC462" i="2"/>
  <c r="M463" i="2"/>
  <c r="AW463" i="2"/>
  <c r="AX463" i="2"/>
  <c r="AY463" i="2"/>
  <c r="AZ463" i="2"/>
  <c r="BB463" i="2"/>
  <c r="BC463" i="2"/>
  <c r="M464" i="2"/>
  <c r="AW464" i="2"/>
  <c r="AX464" i="2"/>
  <c r="AY464" i="2"/>
  <c r="AZ464" i="2"/>
  <c r="BB464" i="2"/>
  <c r="BC464" i="2"/>
  <c r="M465" i="2"/>
  <c r="AW465" i="2"/>
  <c r="AX465" i="2"/>
  <c r="AY465" i="2"/>
  <c r="AZ465" i="2"/>
  <c r="BB465" i="2"/>
  <c r="BC465" i="2"/>
  <c r="M466" i="2"/>
  <c r="AW466" i="2"/>
  <c r="AX466" i="2"/>
  <c r="AY466" i="2"/>
  <c r="AZ466" i="2"/>
  <c r="BB466" i="2"/>
  <c r="BC466" i="2"/>
  <c r="M467" i="2"/>
  <c r="AW467" i="2"/>
  <c r="AX467" i="2"/>
  <c r="AY467" i="2"/>
  <c r="AZ467" i="2"/>
  <c r="BB467" i="2"/>
  <c r="BC467" i="2"/>
  <c r="M468" i="2"/>
  <c r="AW468" i="2"/>
  <c r="AX468" i="2"/>
  <c r="AY468" i="2"/>
  <c r="AZ468" i="2"/>
  <c r="BB468" i="2"/>
  <c r="BC468" i="2"/>
  <c r="M469" i="2"/>
  <c r="AW469" i="2"/>
  <c r="AX469" i="2"/>
  <c r="AY469" i="2"/>
  <c r="AZ469" i="2"/>
  <c r="BB469" i="2"/>
  <c r="BC469" i="2"/>
  <c r="M470" i="2"/>
  <c r="AW470" i="2"/>
  <c r="AX470" i="2"/>
  <c r="AY470" i="2"/>
  <c r="AZ470" i="2"/>
  <c r="BB470" i="2"/>
  <c r="BC470" i="2"/>
  <c r="M471" i="2"/>
  <c r="AW471" i="2"/>
  <c r="AX471" i="2"/>
  <c r="AY471" i="2"/>
  <c r="AZ471" i="2"/>
  <c r="BB471" i="2"/>
  <c r="BC471" i="2"/>
  <c r="M472" i="2"/>
  <c r="AW472" i="2"/>
  <c r="AX472" i="2"/>
  <c r="AY472" i="2"/>
  <c r="AZ472" i="2"/>
  <c r="BB472" i="2"/>
  <c r="BC472" i="2"/>
  <c r="M473" i="2"/>
  <c r="AW473" i="2"/>
  <c r="AX473" i="2"/>
  <c r="AY473" i="2"/>
  <c r="AZ473" i="2"/>
  <c r="BB473" i="2"/>
  <c r="BC473" i="2"/>
  <c r="M474" i="2"/>
  <c r="AW474" i="2"/>
  <c r="AX474" i="2"/>
  <c r="AY474" i="2"/>
  <c r="AZ474" i="2"/>
  <c r="BB474" i="2"/>
  <c r="BC474" i="2"/>
  <c r="M475" i="2"/>
  <c r="AW475" i="2"/>
  <c r="AX475" i="2"/>
  <c r="AY475" i="2"/>
  <c r="AZ475" i="2"/>
  <c r="BB475" i="2"/>
  <c r="BC475" i="2"/>
  <c r="M476" i="2"/>
  <c r="AW476" i="2"/>
  <c r="AX476" i="2"/>
  <c r="AY476" i="2"/>
  <c r="AZ476" i="2"/>
  <c r="BB476" i="2"/>
  <c r="BC476" i="2"/>
  <c r="M477" i="2"/>
  <c r="AW477" i="2"/>
  <c r="AX477" i="2"/>
  <c r="AY477" i="2"/>
  <c r="AZ477" i="2"/>
  <c r="BB477" i="2"/>
  <c r="BC477" i="2"/>
  <c r="M478" i="2"/>
  <c r="AW478" i="2"/>
  <c r="AX478" i="2"/>
  <c r="AY478" i="2"/>
  <c r="AZ478" i="2"/>
  <c r="BB478" i="2"/>
  <c r="BC478" i="2"/>
  <c r="M479" i="2"/>
  <c r="AW479" i="2"/>
  <c r="AX479" i="2"/>
  <c r="AY479" i="2"/>
  <c r="AZ479" i="2"/>
  <c r="BB479" i="2"/>
  <c r="BC479" i="2"/>
  <c r="M480" i="2"/>
  <c r="AW480" i="2"/>
  <c r="AX480" i="2"/>
  <c r="AY480" i="2"/>
  <c r="AZ480" i="2"/>
  <c r="BB480" i="2"/>
  <c r="BC480" i="2"/>
  <c r="M481" i="2"/>
  <c r="AW481" i="2"/>
  <c r="AX481" i="2"/>
  <c r="AY481" i="2"/>
  <c r="AZ481" i="2"/>
  <c r="BB481" i="2"/>
  <c r="BC481" i="2"/>
  <c r="M482" i="2"/>
  <c r="AW482" i="2"/>
  <c r="AX482" i="2"/>
  <c r="AY482" i="2"/>
  <c r="AZ482" i="2"/>
  <c r="BB482" i="2"/>
  <c r="BC482" i="2"/>
  <c r="M483" i="2"/>
  <c r="AW483" i="2"/>
  <c r="AX483" i="2"/>
  <c r="AY483" i="2"/>
  <c r="AZ483" i="2"/>
  <c r="BB483" i="2"/>
  <c r="BC483" i="2"/>
  <c r="BD483" i="2"/>
  <c r="M484" i="2"/>
  <c r="AW484" i="2"/>
  <c r="AX484" i="2"/>
  <c r="AY484" i="2"/>
  <c r="AZ484" i="2"/>
  <c r="BB484" i="2"/>
  <c r="BC484" i="2"/>
  <c r="BD484" i="2"/>
  <c r="M485" i="2"/>
  <c r="AW485" i="2"/>
  <c r="AX485" i="2"/>
  <c r="AY485" i="2"/>
  <c r="AZ485" i="2"/>
  <c r="BB485" i="2"/>
  <c r="BC485" i="2"/>
  <c r="BD485" i="2"/>
  <c r="M486" i="2"/>
  <c r="AW486" i="2"/>
  <c r="AX486" i="2"/>
  <c r="AY486" i="2"/>
  <c r="AZ486" i="2"/>
  <c r="BB486" i="2"/>
  <c r="BC486" i="2"/>
  <c r="BD486" i="2"/>
  <c r="M487" i="2"/>
  <c r="AW487" i="2"/>
  <c r="AX487" i="2"/>
  <c r="AY487" i="2"/>
  <c r="AZ487" i="2"/>
  <c r="BB487" i="2"/>
  <c r="BC487" i="2"/>
  <c r="BD487" i="2"/>
  <c r="M488" i="2"/>
  <c r="AW488" i="2"/>
  <c r="AX488" i="2"/>
  <c r="AY488" i="2"/>
  <c r="AZ488" i="2"/>
  <c r="BB488" i="2"/>
  <c r="BC488" i="2"/>
  <c r="BD488" i="2"/>
  <c r="M489" i="2"/>
  <c r="AW489" i="2"/>
  <c r="AX489" i="2"/>
  <c r="AY489" i="2"/>
  <c r="AZ489" i="2"/>
  <c r="BB489" i="2"/>
  <c r="BC489" i="2"/>
  <c r="BD489" i="2"/>
  <c r="M490" i="2"/>
  <c r="AW490" i="2"/>
  <c r="AX490" i="2"/>
  <c r="AY490" i="2"/>
  <c r="AZ490" i="2"/>
  <c r="BB490" i="2"/>
  <c r="BC490" i="2"/>
  <c r="BD490" i="2"/>
  <c r="M491" i="2"/>
  <c r="AW491" i="2"/>
  <c r="AX491" i="2"/>
  <c r="AY491" i="2"/>
  <c r="AZ491" i="2"/>
  <c r="BB491" i="2"/>
  <c r="BC491" i="2"/>
  <c r="BD491" i="2"/>
  <c r="M492" i="2"/>
  <c r="AW492" i="2"/>
  <c r="AX492" i="2"/>
  <c r="AY492" i="2"/>
  <c r="AZ492" i="2"/>
  <c r="BB492" i="2"/>
  <c r="BC492" i="2"/>
  <c r="BD492" i="2"/>
  <c r="M493" i="2"/>
  <c r="AW493" i="2"/>
  <c r="AX493" i="2"/>
  <c r="AY493" i="2"/>
  <c r="AZ493" i="2"/>
  <c r="BB493" i="2"/>
  <c r="BC493" i="2"/>
  <c r="BD493" i="2"/>
  <c r="M494" i="2"/>
  <c r="AW494" i="2"/>
  <c r="AX494" i="2"/>
  <c r="AY494" i="2"/>
  <c r="AZ494" i="2"/>
  <c r="BB494" i="2"/>
  <c r="BC494" i="2"/>
  <c r="BD494" i="2"/>
  <c r="M495" i="2"/>
  <c r="AW495" i="2"/>
  <c r="AX495" i="2"/>
  <c r="AY495" i="2"/>
  <c r="AZ495" i="2"/>
  <c r="BB495" i="2"/>
  <c r="BC495" i="2"/>
  <c r="BD495" i="2"/>
  <c r="M496" i="2"/>
  <c r="AW496" i="2"/>
  <c r="AX496" i="2"/>
  <c r="AY496" i="2"/>
  <c r="AZ496" i="2"/>
  <c r="BB496" i="2"/>
  <c r="BC496" i="2"/>
  <c r="BD496" i="2"/>
  <c r="M497" i="2"/>
  <c r="AW497" i="2"/>
  <c r="AX497" i="2"/>
  <c r="AY497" i="2"/>
  <c r="AZ497" i="2"/>
  <c r="BB497" i="2"/>
  <c r="BC497" i="2"/>
  <c r="BD497" i="2"/>
  <c r="M498" i="2"/>
  <c r="AW498" i="2"/>
  <c r="AX498" i="2"/>
  <c r="AY498" i="2"/>
  <c r="AZ498" i="2"/>
  <c r="BB498" i="2"/>
  <c r="BC498" i="2"/>
  <c r="BD498" i="2"/>
  <c r="M499" i="2"/>
  <c r="AW499" i="2"/>
  <c r="AX499" i="2"/>
  <c r="AY499" i="2"/>
  <c r="AZ499" i="2"/>
  <c r="BB499" i="2"/>
  <c r="BC499" i="2"/>
  <c r="BD499" i="2"/>
  <c r="M500" i="2"/>
  <c r="AW500" i="2"/>
  <c r="AX500" i="2"/>
  <c r="AY500" i="2"/>
  <c r="AZ500" i="2"/>
  <c r="BB500" i="2"/>
  <c r="BC500" i="2"/>
  <c r="BD500" i="2"/>
  <c r="M501" i="2"/>
  <c r="AW501" i="2"/>
  <c r="AX501" i="2"/>
  <c r="AY501" i="2"/>
  <c r="AZ501" i="2"/>
  <c r="BB501" i="2"/>
  <c r="BC501" i="2"/>
  <c r="BD501" i="2"/>
  <c r="M502" i="2"/>
  <c r="AW502" i="2"/>
  <c r="AX502" i="2"/>
  <c r="AY502" i="2"/>
  <c r="AZ502" i="2"/>
  <c r="BB502" i="2"/>
  <c r="BC502" i="2"/>
  <c r="BD502" i="2"/>
  <c r="M503" i="2"/>
  <c r="AW503" i="2"/>
  <c r="AX503" i="2"/>
  <c r="AY503" i="2"/>
  <c r="AZ503" i="2"/>
  <c r="BB503" i="2"/>
  <c r="BC503" i="2"/>
  <c r="BD503" i="2"/>
  <c r="M504" i="2"/>
  <c r="AW504" i="2"/>
  <c r="AX504" i="2"/>
  <c r="AY504" i="2"/>
  <c r="AZ504" i="2"/>
  <c r="BB504" i="2"/>
  <c r="BC504" i="2"/>
  <c r="BD504" i="2"/>
  <c r="M505" i="2"/>
  <c r="AW505" i="2"/>
  <c r="AX505" i="2"/>
  <c r="AY505" i="2"/>
  <c r="AZ505" i="2"/>
  <c r="BB505" i="2"/>
  <c r="BC505" i="2"/>
  <c r="BD505" i="2"/>
  <c r="M506" i="2"/>
  <c r="AW506" i="2"/>
  <c r="AX506" i="2"/>
  <c r="AY506" i="2"/>
  <c r="AZ506" i="2"/>
  <c r="BB506" i="2"/>
  <c r="BC506" i="2"/>
  <c r="BD506" i="2"/>
  <c r="M507" i="2"/>
  <c r="AW507" i="2"/>
  <c r="AX507" i="2"/>
  <c r="AY507" i="2"/>
  <c r="AZ507" i="2"/>
  <c r="BB507" i="2"/>
  <c r="BC507" i="2"/>
  <c r="BD507" i="2"/>
  <c r="M508" i="2"/>
  <c r="AW508" i="2"/>
  <c r="AX508" i="2"/>
  <c r="AY508" i="2"/>
  <c r="AZ508" i="2"/>
  <c r="BB508" i="2"/>
  <c r="BC508" i="2"/>
  <c r="BD508" i="2"/>
  <c r="M509" i="2"/>
  <c r="AW509" i="2"/>
  <c r="AX509" i="2"/>
  <c r="AY509" i="2"/>
  <c r="AZ509" i="2"/>
  <c r="BB509" i="2"/>
  <c r="BC509" i="2"/>
  <c r="BD509" i="2"/>
  <c r="M510" i="2"/>
  <c r="AW510" i="2"/>
  <c r="AX510" i="2"/>
  <c r="AY510" i="2"/>
  <c r="AZ510" i="2"/>
  <c r="BB510" i="2"/>
  <c r="BC510" i="2"/>
  <c r="BD510" i="2"/>
  <c r="M511" i="2"/>
  <c r="AW511" i="2"/>
  <c r="AX511" i="2"/>
  <c r="AY511" i="2"/>
  <c r="AZ511" i="2"/>
  <c r="BB511" i="2"/>
  <c r="BC511" i="2"/>
  <c r="BD511" i="2"/>
  <c r="M512" i="2"/>
  <c r="AW512" i="2"/>
  <c r="AX512" i="2"/>
  <c r="AY512" i="2"/>
  <c r="AZ512" i="2"/>
  <c r="BB512" i="2"/>
  <c r="BC512" i="2"/>
  <c r="BD512" i="2"/>
  <c r="M513" i="2"/>
  <c r="AW513" i="2"/>
  <c r="AX513" i="2"/>
  <c r="AY513" i="2"/>
  <c r="AZ513" i="2"/>
  <c r="BB513" i="2"/>
  <c r="BC513" i="2"/>
  <c r="BD513" i="2"/>
  <c r="M514" i="2"/>
  <c r="AW514" i="2"/>
  <c r="AX514" i="2"/>
  <c r="AY514" i="2"/>
  <c r="AZ514" i="2"/>
  <c r="BB514" i="2"/>
  <c r="BC514" i="2"/>
  <c r="BD514" i="2"/>
  <c r="M515" i="2"/>
  <c r="AW515" i="2"/>
  <c r="AX515" i="2"/>
  <c r="AY515" i="2"/>
  <c r="AZ515" i="2"/>
  <c r="BB515" i="2"/>
  <c r="BC515" i="2"/>
  <c r="BD515" i="2"/>
  <c r="M516" i="2"/>
  <c r="AW516" i="2"/>
  <c r="AX516" i="2"/>
  <c r="AY516" i="2"/>
  <c r="AZ516" i="2"/>
  <c r="BB516" i="2"/>
  <c r="BC516" i="2"/>
  <c r="BD516" i="2"/>
  <c r="M517" i="2"/>
  <c r="AW517" i="2"/>
  <c r="AX517" i="2"/>
  <c r="AY517" i="2"/>
  <c r="AZ517" i="2"/>
  <c r="BB517" i="2"/>
  <c r="BC517" i="2"/>
  <c r="BD517" i="2"/>
  <c r="M518" i="2"/>
  <c r="AW518" i="2"/>
  <c r="AX518" i="2"/>
  <c r="AY518" i="2"/>
  <c r="AZ518" i="2"/>
  <c r="BB518" i="2"/>
  <c r="BC518" i="2"/>
  <c r="BD518" i="2"/>
  <c r="M519" i="2"/>
  <c r="AW519" i="2"/>
  <c r="AX519" i="2"/>
  <c r="AY519" i="2"/>
  <c r="AZ519" i="2"/>
  <c r="BB519" i="2"/>
  <c r="BC519" i="2"/>
  <c r="BD519" i="2"/>
  <c r="M520" i="2"/>
  <c r="AW520" i="2"/>
  <c r="AX520" i="2"/>
  <c r="AY520" i="2"/>
  <c r="AZ520" i="2"/>
  <c r="BB520" i="2"/>
  <c r="BC520" i="2"/>
  <c r="BD520" i="2"/>
  <c r="M521" i="2"/>
  <c r="AW521" i="2"/>
  <c r="AX521" i="2"/>
  <c r="AY521" i="2"/>
  <c r="AZ521" i="2"/>
  <c r="BB521" i="2"/>
  <c r="BC521" i="2"/>
  <c r="BD521" i="2"/>
  <c r="M522" i="2"/>
  <c r="AW522" i="2"/>
  <c r="AX522" i="2"/>
  <c r="AY522" i="2"/>
  <c r="AZ522" i="2"/>
  <c r="BB522" i="2"/>
  <c r="BC522" i="2"/>
  <c r="BD522" i="2"/>
  <c r="M523" i="2"/>
  <c r="AW523" i="2"/>
  <c r="AX523" i="2"/>
  <c r="AY523" i="2"/>
  <c r="AZ523" i="2"/>
  <c r="BB523" i="2"/>
  <c r="BC523" i="2"/>
  <c r="BD523" i="2"/>
  <c r="M524" i="2"/>
  <c r="AW524" i="2"/>
  <c r="AX524" i="2"/>
  <c r="AY524" i="2"/>
  <c r="AZ524" i="2"/>
  <c r="BB524" i="2"/>
  <c r="BC524" i="2"/>
  <c r="BD524" i="2"/>
  <c r="M525" i="2"/>
  <c r="AW525" i="2"/>
  <c r="AX525" i="2"/>
  <c r="AY525" i="2"/>
  <c r="AZ525" i="2"/>
  <c r="BB525" i="2"/>
  <c r="BC525" i="2"/>
  <c r="BD525" i="2"/>
  <c r="M526" i="2"/>
  <c r="AW526" i="2"/>
  <c r="AX526" i="2"/>
  <c r="AY526" i="2"/>
  <c r="AZ526" i="2"/>
  <c r="BB526" i="2"/>
  <c r="BC526" i="2"/>
  <c r="BD526" i="2"/>
  <c r="M527" i="2"/>
  <c r="AW527" i="2"/>
  <c r="AX527" i="2"/>
  <c r="AY527" i="2"/>
  <c r="AZ527" i="2"/>
  <c r="BB527" i="2"/>
  <c r="BC527" i="2"/>
  <c r="BD527" i="2"/>
  <c r="M528" i="2"/>
  <c r="AW528" i="2"/>
  <c r="AX528" i="2"/>
  <c r="AY528" i="2"/>
  <c r="AZ528" i="2"/>
  <c r="BB528" i="2"/>
  <c r="BC528" i="2"/>
  <c r="BD528" i="2"/>
  <c r="M529" i="2"/>
  <c r="AW529" i="2"/>
  <c r="AX529" i="2"/>
  <c r="AY529" i="2"/>
  <c r="AZ529" i="2"/>
  <c r="BB529" i="2"/>
  <c r="BC529" i="2"/>
  <c r="BD529" i="2"/>
  <c r="M530" i="2"/>
  <c r="AW530" i="2"/>
  <c r="AX530" i="2"/>
  <c r="AY530" i="2"/>
  <c r="AZ530" i="2"/>
  <c r="BB530" i="2"/>
  <c r="BC530" i="2"/>
  <c r="BD530" i="2"/>
  <c r="M531" i="2"/>
  <c r="AW531" i="2"/>
  <c r="AX531" i="2"/>
  <c r="AY531" i="2"/>
  <c r="AZ531" i="2"/>
  <c r="BB531" i="2"/>
  <c r="BC531" i="2"/>
  <c r="BD531" i="2"/>
  <c r="M532" i="2"/>
  <c r="AW532" i="2"/>
  <c r="AX532" i="2"/>
  <c r="AY532" i="2"/>
  <c r="AZ532" i="2"/>
  <c r="BB532" i="2"/>
  <c r="BC532" i="2"/>
  <c r="BD532" i="2"/>
  <c r="M533" i="2"/>
  <c r="AW533" i="2"/>
  <c r="AX533" i="2"/>
  <c r="AY533" i="2"/>
  <c r="AZ533" i="2"/>
  <c r="BB533" i="2"/>
  <c r="BC533" i="2"/>
  <c r="BD533" i="2"/>
  <c r="M534" i="2"/>
  <c r="AW534" i="2"/>
  <c r="AX534" i="2"/>
  <c r="AY534" i="2"/>
  <c r="AZ534" i="2"/>
  <c r="BB534" i="2"/>
  <c r="BC534" i="2"/>
  <c r="BD534" i="2"/>
  <c r="M535" i="2"/>
  <c r="AW535" i="2"/>
  <c r="AX535" i="2"/>
  <c r="AY535" i="2"/>
  <c r="AZ535" i="2"/>
  <c r="BB535" i="2"/>
  <c r="BC535" i="2"/>
  <c r="BD535" i="2"/>
  <c r="M536" i="2"/>
  <c r="AW536" i="2"/>
  <c r="AX536" i="2"/>
  <c r="AY536" i="2"/>
  <c r="AZ536" i="2"/>
  <c r="BB536" i="2"/>
  <c r="BC536" i="2"/>
  <c r="BD536" i="2"/>
  <c r="M537" i="2"/>
  <c r="AW537" i="2"/>
  <c r="AX537" i="2"/>
  <c r="AY537" i="2"/>
  <c r="AZ537" i="2"/>
  <c r="BB537" i="2"/>
  <c r="BC537" i="2"/>
  <c r="BD537" i="2"/>
  <c r="M538" i="2"/>
  <c r="AW538" i="2"/>
  <c r="AX538" i="2"/>
  <c r="AY538" i="2"/>
  <c r="AZ538" i="2"/>
  <c r="BB538" i="2"/>
  <c r="BC538" i="2"/>
  <c r="BD538" i="2"/>
  <c r="M539" i="2"/>
  <c r="AW539" i="2"/>
  <c r="AX539" i="2"/>
  <c r="AY539" i="2"/>
  <c r="AZ539" i="2"/>
  <c r="BB539" i="2"/>
  <c r="BC539" i="2"/>
  <c r="BD539" i="2"/>
  <c r="M540" i="2"/>
  <c r="AW540" i="2"/>
  <c r="AX540" i="2"/>
  <c r="AY540" i="2"/>
  <c r="AZ540" i="2"/>
  <c r="BB540" i="2"/>
  <c r="BC540" i="2"/>
  <c r="BD540" i="2"/>
  <c r="M541" i="2"/>
  <c r="AW541" i="2"/>
  <c r="AX541" i="2"/>
  <c r="AY541" i="2"/>
  <c r="AZ541" i="2"/>
  <c r="BB541" i="2"/>
  <c r="BC541" i="2"/>
  <c r="BD541" i="2"/>
  <c r="M542" i="2"/>
  <c r="AW542" i="2"/>
  <c r="AX542" i="2"/>
  <c r="AY542" i="2"/>
  <c r="AZ542" i="2"/>
  <c r="BB542" i="2"/>
  <c r="BC542" i="2"/>
  <c r="BD542" i="2"/>
  <c r="M543" i="2"/>
  <c r="AW543" i="2"/>
  <c r="AX543" i="2"/>
  <c r="AY543" i="2"/>
  <c r="AZ543" i="2"/>
  <c r="BB543" i="2"/>
  <c r="BC543" i="2"/>
  <c r="BD543" i="2"/>
  <c r="M544" i="2"/>
  <c r="AW544" i="2"/>
  <c r="AX544" i="2"/>
  <c r="AY544" i="2"/>
  <c r="AZ544" i="2"/>
  <c r="BB544" i="2"/>
  <c r="BC544" i="2"/>
  <c r="BD544" i="2"/>
  <c r="M545" i="2"/>
  <c r="AW545" i="2"/>
  <c r="AX545" i="2"/>
  <c r="AY545" i="2"/>
  <c r="AZ545" i="2"/>
  <c r="BB545" i="2"/>
  <c r="BC545" i="2"/>
  <c r="BD545" i="2"/>
  <c r="M546" i="2"/>
  <c r="AW546" i="2"/>
  <c r="AX546" i="2"/>
  <c r="AY546" i="2"/>
  <c r="AZ546" i="2"/>
  <c r="BB546" i="2"/>
  <c r="BC546" i="2"/>
  <c r="BD546" i="2"/>
  <c r="M547" i="2"/>
  <c r="AW547" i="2"/>
  <c r="AX547" i="2"/>
  <c r="AY547" i="2"/>
  <c r="AZ547" i="2"/>
  <c r="BB547" i="2"/>
  <c r="BC547" i="2"/>
  <c r="BD547" i="2"/>
  <c r="M548" i="2"/>
  <c r="AW548" i="2"/>
  <c r="AX548" i="2"/>
  <c r="AY548" i="2"/>
  <c r="AZ548" i="2"/>
  <c r="BB548" i="2"/>
  <c r="BC548" i="2"/>
  <c r="BD548" i="2"/>
  <c r="M549" i="2"/>
  <c r="AW549" i="2"/>
  <c r="AX549" i="2"/>
  <c r="AY549" i="2"/>
  <c r="AZ549" i="2"/>
  <c r="BB549" i="2"/>
  <c r="BC549" i="2"/>
  <c r="BD549" i="2"/>
  <c r="M550" i="2"/>
  <c r="AW550" i="2"/>
  <c r="AX550" i="2"/>
  <c r="AY550" i="2"/>
  <c r="AZ550" i="2"/>
  <c r="BB550" i="2"/>
  <c r="BC550" i="2"/>
  <c r="BD550" i="2"/>
  <c r="M551" i="2"/>
  <c r="AW551" i="2"/>
  <c r="AX551" i="2"/>
  <c r="AY551" i="2"/>
  <c r="AZ551" i="2"/>
  <c r="BB551" i="2"/>
  <c r="BC551" i="2"/>
  <c r="BD551" i="2"/>
  <c r="M552" i="2"/>
  <c r="AW552" i="2"/>
  <c r="AX552" i="2"/>
  <c r="AY552" i="2"/>
  <c r="AZ552" i="2"/>
  <c r="BB552" i="2"/>
  <c r="BC552" i="2"/>
  <c r="BD552" i="2"/>
  <c r="M553" i="2"/>
  <c r="AW553" i="2"/>
  <c r="AX553" i="2"/>
  <c r="AY553" i="2"/>
  <c r="AZ553" i="2"/>
  <c r="BB553" i="2"/>
  <c r="BC553" i="2"/>
  <c r="BD553" i="2"/>
  <c r="M554" i="2"/>
  <c r="AW554" i="2"/>
  <c r="AX554" i="2"/>
  <c r="AY554" i="2"/>
  <c r="AZ554" i="2"/>
  <c r="BB554" i="2"/>
  <c r="BC554" i="2"/>
  <c r="BD554" i="2"/>
  <c r="M555" i="2"/>
  <c r="AW555" i="2"/>
  <c r="AX555" i="2"/>
  <c r="AY555" i="2"/>
  <c r="AZ555" i="2"/>
  <c r="BB555" i="2"/>
  <c r="BC555" i="2"/>
  <c r="BD555" i="2"/>
  <c r="M556" i="2"/>
  <c r="AW556" i="2"/>
  <c r="AX556" i="2"/>
  <c r="AY556" i="2"/>
  <c r="AZ556" i="2"/>
  <c r="BB556" i="2"/>
  <c r="BC556" i="2"/>
  <c r="BD556" i="2"/>
  <c r="M557" i="2"/>
  <c r="AW557" i="2"/>
  <c r="AX557" i="2"/>
  <c r="AY557" i="2"/>
  <c r="AZ557" i="2"/>
  <c r="BB557" i="2"/>
  <c r="BC557" i="2"/>
  <c r="BD557" i="2"/>
  <c r="M558" i="2"/>
  <c r="AW558" i="2"/>
  <c r="AX558" i="2"/>
  <c r="AY558" i="2"/>
  <c r="AZ558" i="2"/>
  <c r="BB558" i="2"/>
  <c r="BC558" i="2"/>
  <c r="BD558" i="2"/>
  <c r="M559" i="2"/>
  <c r="AW559" i="2"/>
  <c r="AX559" i="2"/>
  <c r="AY559" i="2"/>
  <c r="AZ559" i="2"/>
  <c r="BB559" i="2"/>
  <c r="BC559" i="2"/>
  <c r="BD559" i="2"/>
  <c r="M560" i="2"/>
  <c r="AW560" i="2"/>
  <c r="AX560" i="2"/>
  <c r="AY560" i="2"/>
  <c r="AZ560" i="2"/>
  <c r="BB560" i="2"/>
  <c r="BC560" i="2"/>
  <c r="BD560" i="2"/>
  <c r="M561" i="2"/>
  <c r="AW561" i="2"/>
  <c r="AX561" i="2"/>
  <c r="AY561" i="2"/>
  <c r="AZ561" i="2"/>
  <c r="BB561" i="2"/>
  <c r="BC561" i="2"/>
  <c r="BD561" i="2"/>
  <c r="M562" i="2"/>
  <c r="AW562" i="2"/>
  <c r="AX562" i="2"/>
  <c r="AY562" i="2"/>
  <c r="AZ562" i="2"/>
  <c r="BB562" i="2"/>
  <c r="BC562" i="2"/>
  <c r="BD562" i="2"/>
  <c r="M563" i="2"/>
  <c r="AW563" i="2"/>
  <c r="AX563" i="2"/>
  <c r="AY563" i="2"/>
  <c r="AZ563" i="2"/>
  <c r="BB563" i="2"/>
  <c r="BC563" i="2"/>
  <c r="BD563" i="2"/>
  <c r="M564" i="2"/>
  <c r="AW564" i="2"/>
  <c r="AX564" i="2"/>
  <c r="AY564" i="2"/>
  <c r="AZ564" i="2"/>
  <c r="BB564" i="2"/>
  <c r="BC564" i="2"/>
  <c r="BD564" i="2"/>
  <c r="M565" i="2"/>
  <c r="AW565" i="2"/>
  <c r="AX565" i="2"/>
  <c r="AY565" i="2"/>
  <c r="AZ565" i="2"/>
  <c r="BB565" i="2"/>
  <c r="BC565" i="2"/>
  <c r="BD565" i="2"/>
  <c r="M566" i="2"/>
  <c r="AW566" i="2"/>
  <c r="AX566" i="2"/>
  <c r="AY566" i="2"/>
  <c r="AZ566" i="2"/>
  <c r="BB566" i="2"/>
  <c r="BC566" i="2"/>
  <c r="BD566" i="2"/>
  <c r="M567" i="2"/>
  <c r="AW567" i="2"/>
  <c r="AX567" i="2"/>
  <c r="AY567" i="2"/>
  <c r="AZ567" i="2"/>
  <c r="BB567" i="2"/>
  <c r="BC567" i="2"/>
  <c r="BD567" i="2"/>
  <c r="M568" i="2"/>
  <c r="AW568" i="2"/>
  <c r="AX568" i="2"/>
  <c r="AY568" i="2"/>
  <c r="AZ568" i="2"/>
  <c r="BB568" i="2"/>
  <c r="BC568" i="2"/>
  <c r="BD568" i="2"/>
  <c r="M569" i="2"/>
  <c r="AW569" i="2"/>
  <c r="AX569" i="2"/>
  <c r="AY569" i="2"/>
  <c r="AZ569" i="2"/>
  <c r="BB569" i="2"/>
  <c r="BC569" i="2"/>
  <c r="BD569" i="2"/>
  <c r="M570" i="2"/>
  <c r="AW570" i="2"/>
  <c r="AX570" i="2"/>
  <c r="AY570" i="2"/>
  <c r="AZ570" i="2"/>
  <c r="BB570" i="2"/>
  <c r="BC570" i="2"/>
  <c r="BD570" i="2"/>
  <c r="M571" i="2"/>
  <c r="AW571" i="2"/>
  <c r="AX571" i="2"/>
  <c r="AY571" i="2"/>
  <c r="AZ571" i="2"/>
  <c r="BB571" i="2"/>
  <c r="BC571" i="2"/>
  <c r="BD571" i="2"/>
  <c r="M572" i="2"/>
  <c r="AW572" i="2"/>
  <c r="AX572" i="2"/>
  <c r="AY572" i="2"/>
  <c r="AZ572" i="2"/>
  <c r="BB572" i="2"/>
  <c r="BC572" i="2"/>
  <c r="BD572" i="2"/>
  <c r="M573" i="2"/>
  <c r="AW573" i="2"/>
  <c r="AX573" i="2"/>
  <c r="AY573" i="2"/>
  <c r="AZ573" i="2"/>
  <c r="BB573" i="2"/>
  <c r="BC573" i="2"/>
  <c r="BD573" i="2"/>
  <c r="M574" i="2"/>
  <c r="AW574" i="2"/>
  <c r="AX574" i="2"/>
  <c r="AY574" i="2"/>
  <c r="AZ574" i="2"/>
  <c r="BB574" i="2"/>
  <c r="BC574" i="2"/>
  <c r="BD574" i="2"/>
  <c r="M575" i="2"/>
  <c r="AW575" i="2"/>
  <c r="AX575" i="2"/>
  <c r="AY575" i="2"/>
  <c r="AZ575" i="2"/>
  <c r="BB575" i="2"/>
  <c r="BC575" i="2"/>
  <c r="BD575" i="2"/>
  <c r="M576" i="2"/>
  <c r="AW576" i="2"/>
  <c r="AX576" i="2"/>
  <c r="AY576" i="2"/>
  <c r="AZ576" i="2"/>
  <c r="BB576" i="2"/>
  <c r="BC576" i="2"/>
  <c r="BD576" i="2"/>
  <c r="M577" i="2"/>
  <c r="AW577" i="2"/>
  <c r="AX577" i="2"/>
  <c r="AY577" i="2"/>
  <c r="AZ577" i="2"/>
  <c r="BB577" i="2"/>
  <c r="BC577" i="2"/>
  <c r="BD577" i="2"/>
  <c r="M578" i="2"/>
  <c r="AW578" i="2"/>
  <c r="AX578" i="2"/>
  <c r="AY578" i="2"/>
  <c r="AZ578" i="2"/>
  <c r="BB578" i="2"/>
  <c r="BC578" i="2"/>
  <c r="BD578" i="2"/>
  <c r="M579" i="2"/>
  <c r="AW579" i="2"/>
  <c r="AX579" i="2"/>
  <c r="AY579" i="2"/>
  <c r="AZ579" i="2"/>
  <c r="BB579" i="2"/>
  <c r="BC579" i="2"/>
  <c r="BD579" i="2"/>
  <c r="M580" i="2"/>
  <c r="AW580" i="2"/>
  <c r="AX580" i="2"/>
  <c r="AY580" i="2"/>
  <c r="AZ580" i="2"/>
  <c r="BB580" i="2"/>
  <c r="BC580" i="2"/>
  <c r="BD580" i="2"/>
  <c r="M581" i="2"/>
  <c r="AX581" i="2"/>
  <c r="AZ581" i="2"/>
  <c r="BB581" i="2"/>
  <c r="BC581" i="2"/>
  <c r="BD581" i="2"/>
  <c r="CA581" i="2"/>
  <c r="M583" i="2"/>
  <c r="AW583" i="2"/>
  <c r="AX583" i="2"/>
  <c r="AY583" i="2"/>
  <c r="AZ583" i="2"/>
  <c r="BB583" i="2"/>
  <c r="BC583" i="2"/>
  <c r="BD583" i="2"/>
  <c r="M584" i="2"/>
  <c r="AW584" i="2"/>
  <c r="AX584" i="2"/>
  <c r="AY584" i="2"/>
  <c r="AZ584" i="2"/>
  <c r="BB584" i="2"/>
  <c r="BC584" i="2"/>
  <c r="BD584" i="2"/>
  <c r="M585" i="2"/>
  <c r="AW585" i="2"/>
  <c r="AX585" i="2"/>
  <c r="AY585" i="2"/>
  <c r="AZ585" i="2"/>
  <c r="BB585" i="2"/>
  <c r="BC585" i="2"/>
  <c r="BD585" i="2"/>
  <c r="M586" i="2"/>
  <c r="AW586" i="2"/>
  <c r="AX586" i="2"/>
  <c r="AY586" i="2"/>
  <c r="AZ586" i="2"/>
  <c r="BB586" i="2"/>
  <c r="BC586" i="2"/>
  <c r="BD586" i="2"/>
  <c r="M587" i="2"/>
  <c r="AX587" i="2"/>
  <c r="AZ587" i="2"/>
  <c r="BB587" i="2"/>
  <c r="BC587" i="2"/>
  <c r="BD587" i="2"/>
  <c r="BP587" i="2"/>
  <c r="BC588" i="2"/>
  <c r="M589" i="2"/>
  <c r="AW589" i="2"/>
  <c r="AX589" i="2"/>
  <c r="AY589" i="2"/>
  <c r="AZ589" i="2"/>
  <c r="BB589" i="2"/>
  <c r="BC589" i="2"/>
  <c r="BD589" i="2"/>
  <c r="M590" i="2"/>
  <c r="AW590" i="2"/>
  <c r="AX590" i="2"/>
  <c r="AY590" i="2"/>
  <c r="AZ590" i="2"/>
  <c r="BB590" i="2"/>
  <c r="BC590" i="2"/>
  <c r="BD590" i="2"/>
  <c r="M591" i="2"/>
  <c r="AW591" i="2"/>
  <c r="AX591" i="2"/>
  <c r="AY591" i="2"/>
  <c r="AZ591" i="2"/>
  <c r="BB591" i="2"/>
  <c r="BC591" i="2"/>
  <c r="BD591" i="2"/>
  <c r="M592" i="2"/>
  <c r="AW592" i="2"/>
  <c r="AX592" i="2"/>
  <c r="AY592" i="2"/>
  <c r="AZ592" i="2"/>
  <c r="BB592" i="2"/>
  <c r="BC592" i="2"/>
  <c r="BD592" i="2"/>
  <c r="M593" i="2"/>
  <c r="AW593" i="2"/>
  <c r="AX593" i="2"/>
  <c r="AY593" i="2"/>
  <c r="AZ593" i="2"/>
  <c r="BB593" i="2"/>
  <c r="BC593" i="2"/>
  <c r="BD593" i="2"/>
  <c r="M594" i="2"/>
  <c r="AW594" i="2"/>
  <c r="AX594" i="2"/>
  <c r="AY594" i="2"/>
  <c r="AZ594" i="2"/>
  <c r="BB594" i="2"/>
  <c r="BC594" i="2"/>
  <c r="BD594" i="2"/>
  <c r="M595" i="2"/>
  <c r="AW595" i="2"/>
  <c r="AX595" i="2"/>
  <c r="AY595" i="2"/>
  <c r="AZ595" i="2"/>
  <c r="BB595" i="2"/>
  <c r="BC595" i="2"/>
  <c r="BD595" i="2"/>
  <c r="M596" i="2"/>
  <c r="AW596" i="2"/>
  <c r="AX596" i="2"/>
  <c r="AY596" i="2"/>
  <c r="AZ596" i="2"/>
  <c r="BB596" i="2"/>
  <c r="BC596" i="2"/>
  <c r="BD596" i="2"/>
  <c r="M597" i="2"/>
  <c r="AW597" i="2"/>
  <c r="AX597" i="2"/>
  <c r="AY597" i="2"/>
  <c r="AZ597" i="2"/>
  <c r="BB597" i="2"/>
  <c r="BC597" i="2"/>
  <c r="BD597" i="2"/>
  <c r="M598" i="2"/>
  <c r="AW598" i="2"/>
  <c r="AX598" i="2"/>
  <c r="AY598" i="2"/>
  <c r="AZ598" i="2"/>
  <c r="BB598" i="2"/>
  <c r="BC598" i="2"/>
  <c r="BD598" i="2"/>
  <c r="M599" i="2"/>
  <c r="AW599" i="2"/>
  <c r="AX599" i="2"/>
  <c r="AY599" i="2"/>
  <c r="AZ599" i="2"/>
  <c r="BB599" i="2"/>
  <c r="BC599" i="2"/>
  <c r="BD599" i="2"/>
  <c r="M600" i="2"/>
  <c r="AW600" i="2"/>
  <c r="AX600" i="2"/>
  <c r="AY600" i="2"/>
  <c r="AZ600" i="2"/>
  <c r="BB600" i="2"/>
  <c r="BC600" i="2"/>
  <c r="BD600" i="2"/>
  <c r="M601" i="2"/>
  <c r="AW601" i="2"/>
  <c r="AX601" i="2"/>
  <c r="AY601" i="2"/>
  <c r="AZ601" i="2"/>
  <c r="BB601" i="2"/>
  <c r="BC601" i="2"/>
  <c r="BD601" i="2"/>
  <c r="M602" i="2"/>
  <c r="AW602" i="2"/>
  <c r="AX602" i="2"/>
  <c r="AY602" i="2"/>
  <c r="AZ602" i="2"/>
  <c r="BB602" i="2"/>
  <c r="BC602" i="2"/>
  <c r="BD602" i="2"/>
  <c r="M603" i="2"/>
  <c r="AW603" i="2"/>
  <c r="AX603" i="2"/>
  <c r="AY603" i="2"/>
  <c r="AZ603" i="2"/>
  <c r="BB603" i="2"/>
  <c r="BC603" i="2"/>
  <c r="BD603" i="2"/>
  <c r="M604" i="2"/>
  <c r="AW604" i="2"/>
  <c r="AX604" i="2"/>
  <c r="AY604" i="2"/>
  <c r="AZ604" i="2"/>
  <c r="BB604" i="2"/>
  <c r="BC604" i="2"/>
  <c r="BD604" i="2"/>
  <c r="M605" i="2"/>
  <c r="AW605" i="2"/>
  <c r="AX605" i="2"/>
  <c r="AY605" i="2"/>
  <c r="AZ605" i="2"/>
  <c r="BB605" i="2"/>
  <c r="BC605" i="2"/>
  <c r="BD605" i="2"/>
  <c r="M606" i="2"/>
  <c r="AW606" i="2"/>
  <c r="AX606" i="2"/>
  <c r="AY606" i="2"/>
  <c r="AZ606" i="2"/>
  <c r="BB606" i="2"/>
  <c r="BC606" i="2"/>
  <c r="BD606" i="2"/>
  <c r="M607" i="2"/>
  <c r="AW607" i="2"/>
  <c r="AX607" i="2"/>
  <c r="AY607" i="2"/>
  <c r="AZ607" i="2"/>
  <c r="BB607" i="2"/>
  <c r="BC607" i="2"/>
  <c r="BD607" i="2"/>
  <c r="M608" i="2"/>
  <c r="AW608" i="2"/>
  <c r="AX608" i="2"/>
  <c r="AY608" i="2"/>
  <c r="AZ608" i="2"/>
  <c r="BB608" i="2"/>
  <c r="BC608" i="2"/>
  <c r="BD608" i="2"/>
  <c r="M609" i="2"/>
  <c r="AW609" i="2"/>
  <c r="AX609" i="2"/>
  <c r="AY609" i="2"/>
  <c r="AZ609" i="2"/>
  <c r="BB609" i="2"/>
  <c r="BC609" i="2"/>
  <c r="BD609" i="2"/>
  <c r="M610" i="2"/>
  <c r="AW610" i="2"/>
  <c r="AX610" i="2"/>
  <c r="AY610" i="2"/>
  <c r="AZ610" i="2"/>
  <c r="BB610" i="2"/>
  <c r="BC610" i="2"/>
  <c r="BD610" i="2"/>
  <c r="M611" i="2"/>
  <c r="AW611" i="2"/>
  <c r="AX611" i="2"/>
  <c r="AY611" i="2"/>
  <c r="AZ611" i="2"/>
  <c r="BB611" i="2"/>
  <c r="BC611" i="2"/>
  <c r="BD611" i="2"/>
  <c r="M612" i="2"/>
  <c r="AW612" i="2"/>
  <c r="AX612" i="2"/>
  <c r="AY612" i="2"/>
  <c r="AZ612" i="2"/>
  <c r="BB612" i="2"/>
  <c r="BC612" i="2"/>
  <c r="BD612" i="2"/>
  <c r="M613" i="2"/>
  <c r="AW613" i="2"/>
  <c r="AX613" i="2"/>
  <c r="AY613" i="2"/>
  <c r="AZ613" i="2"/>
  <c r="BB613" i="2"/>
  <c r="BC613" i="2"/>
  <c r="BD613" i="2"/>
  <c r="M614" i="2"/>
  <c r="AW614" i="2"/>
  <c r="AX614" i="2"/>
  <c r="AY614" i="2"/>
  <c r="AZ614" i="2"/>
  <c r="BB614" i="2"/>
  <c r="BC614" i="2"/>
  <c r="BD614" i="2"/>
  <c r="M615" i="2"/>
  <c r="AW615" i="2"/>
  <c r="AX615" i="2"/>
  <c r="AY615" i="2"/>
  <c r="AZ615" i="2"/>
  <c r="BB615" i="2"/>
  <c r="BC615" i="2"/>
  <c r="BD615" i="2"/>
  <c r="M616" i="2"/>
  <c r="AW616" i="2"/>
  <c r="AX616" i="2"/>
  <c r="AY616" i="2"/>
  <c r="AZ616" i="2"/>
  <c r="BB616" i="2"/>
  <c r="BC616" i="2"/>
  <c r="BD616" i="2"/>
  <c r="M617" i="2"/>
  <c r="AW617" i="2"/>
  <c r="AX617" i="2"/>
  <c r="AY617" i="2"/>
  <c r="AZ617" i="2"/>
  <c r="BB617" i="2"/>
  <c r="BC617" i="2"/>
  <c r="BD617" i="2"/>
  <c r="M618" i="2"/>
  <c r="AW618" i="2"/>
  <c r="AX618" i="2"/>
  <c r="AY618" i="2"/>
  <c r="AZ618" i="2"/>
  <c r="BB618" i="2"/>
  <c r="BC618" i="2"/>
  <c r="BD618" i="2"/>
  <c r="M619" i="2"/>
  <c r="AW619" i="2"/>
  <c r="AX619" i="2"/>
  <c r="AY619" i="2"/>
  <c r="AZ619" i="2"/>
  <c r="BB619" i="2"/>
  <c r="BC619" i="2"/>
  <c r="BD619" i="2"/>
  <c r="M620" i="2"/>
  <c r="AW620" i="2"/>
  <c r="AX620" i="2"/>
  <c r="AY620" i="2"/>
  <c r="AZ620" i="2"/>
  <c r="BB620" i="2"/>
  <c r="BC620" i="2"/>
  <c r="BD620" i="2"/>
  <c r="M621" i="2"/>
  <c r="AW621" i="2"/>
  <c r="AX621" i="2"/>
  <c r="AY621" i="2"/>
  <c r="AZ621" i="2"/>
  <c r="BB621" i="2"/>
  <c r="BC621" i="2"/>
  <c r="BD621" i="2"/>
  <c r="M622" i="2"/>
  <c r="AW622" i="2"/>
  <c r="AX622" i="2"/>
  <c r="AY622" i="2"/>
  <c r="AZ622" i="2"/>
  <c r="BB622" i="2"/>
  <c r="BC622" i="2"/>
  <c r="BD622" i="2"/>
  <c r="M623" i="2"/>
  <c r="AW623" i="2"/>
  <c r="AX623" i="2"/>
  <c r="AY623" i="2"/>
  <c r="AZ623" i="2"/>
  <c r="BB623" i="2"/>
  <c r="BC623" i="2"/>
  <c r="BD623" i="2"/>
  <c r="M624" i="2"/>
  <c r="AW624" i="2"/>
  <c r="AX624" i="2"/>
  <c r="AY624" i="2"/>
  <c r="AZ624" i="2"/>
  <c r="BB624" i="2"/>
  <c r="BC624" i="2"/>
  <c r="BD624" i="2"/>
  <c r="M625" i="2"/>
  <c r="AW625" i="2"/>
  <c r="AX625" i="2"/>
  <c r="AY625" i="2"/>
  <c r="AZ625" i="2"/>
  <c r="BB625" i="2"/>
  <c r="BC625" i="2"/>
  <c r="BD625" i="2"/>
  <c r="M626" i="2"/>
  <c r="AW626" i="2"/>
  <c r="AX626" i="2"/>
  <c r="AY626" i="2"/>
  <c r="AZ626" i="2"/>
  <c r="BB626" i="2"/>
  <c r="BC626" i="2"/>
  <c r="BD626" i="2"/>
  <c r="M627" i="2"/>
  <c r="AW627" i="2"/>
  <c r="AX627" i="2"/>
  <c r="AY627" i="2"/>
  <c r="AZ627" i="2"/>
  <c r="BB627" i="2"/>
  <c r="BC627" i="2"/>
  <c r="BD627" i="2"/>
  <c r="M628" i="2"/>
  <c r="AW628" i="2"/>
  <c r="AX628" i="2"/>
  <c r="AY628" i="2"/>
  <c r="AZ628" i="2"/>
  <c r="BB628" i="2"/>
  <c r="BC628" i="2"/>
  <c r="BD628" i="2"/>
  <c r="M629" i="2"/>
  <c r="AW629" i="2"/>
  <c r="AX629" i="2"/>
  <c r="AY629" i="2"/>
  <c r="AZ629" i="2"/>
  <c r="BB629" i="2"/>
  <c r="BC629" i="2"/>
  <c r="BD629" i="2"/>
  <c r="M630" i="2"/>
  <c r="AW630" i="2"/>
  <c r="AX630" i="2"/>
  <c r="AY630" i="2"/>
  <c r="AZ630" i="2"/>
  <c r="BB630" i="2"/>
  <c r="BC630" i="2"/>
  <c r="BD630" i="2"/>
  <c r="M631" i="2"/>
  <c r="AW631" i="2"/>
  <c r="AX631" i="2"/>
  <c r="AY631" i="2"/>
  <c r="AZ631" i="2"/>
  <c r="BB631" i="2"/>
  <c r="BC631" i="2"/>
  <c r="BD631" i="2"/>
  <c r="M632" i="2"/>
  <c r="AW632" i="2"/>
  <c r="AX632" i="2"/>
  <c r="AY632" i="2"/>
  <c r="AZ632" i="2"/>
  <c r="BB632" i="2"/>
  <c r="BC632" i="2"/>
  <c r="BD632" i="2"/>
  <c r="M633" i="2"/>
  <c r="AX633" i="2"/>
  <c r="AZ633" i="2"/>
  <c r="BB633" i="2"/>
  <c r="BC633" i="2"/>
  <c r="BD633" i="2"/>
  <c r="CA633" i="2"/>
  <c r="M635" i="2"/>
  <c r="AW635" i="2"/>
  <c r="AX635" i="2"/>
  <c r="AY635" i="2"/>
  <c r="AZ635" i="2"/>
  <c r="BB635" i="2"/>
  <c r="BC635" i="2"/>
  <c r="BD635" i="2"/>
  <c r="M636" i="2"/>
  <c r="AW636" i="2"/>
  <c r="AX636" i="2"/>
  <c r="AY636" i="2"/>
  <c r="AZ636" i="2"/>
  <c r="BB636" i="2"/>
  <c r="BC636" i="2"/>
  <c r="BD636" i="2"/>
  <c r="M637" i="2"/>
  <c r="AW637" i="2"/>
  <c r="AX637" i="2"/>
  <c r="AY637" i="2"/>
  <c r="AZ637" i="2"/>
  <c r="BB637" i="2"/>
  <c r="BC637" i="2"/>
  <c r="BD637" i="2"/>
  <c r="M638" i="2"/>
  <c r="AW638" i="2"/>
  <c r="AX638" i="2"/>
  <c r="AY638" i="2"/>
  <c r="AZ638" i="2"/>
  <c r="BB638" i="2"/>
  <c r="BC638" i="2"/>
  <c r="BD638" i="2"/>
  <c r="M639" i="2"/>
  <c r="AW639" i="2"/>
  <c r="AX639" i="2"/>
  <c r="AY639" i="2"/>
  <c r="AZ639" i="2"/>
  <c r="BB639" i="2"/>
  <c r="BC639" i="2"/>
  <c r="BD639" i="2"/>
  <c r="M640" i="2"/>
  <c r="AW640" i="2"/>
  <c r="AX640" i="2"/>
  <c r="AY640" i="2"/>
  <c r="AZ640" i="2"/>
  <c r="BB640" i="2"/>
  <c r="BC640" i="2"/>
  <c r="BD640" i="2"/>
  <c r="M641" i="2"/>
  <c r="AW641" i="2"/>
  <c r="AX641" i="2"/>
  <c r="AY641" i="2"/>
  <c r="AZ641" i="2"/>
  <c r="BB641" i="2"/>
  <c r="BC641" i="2"/>
  <c r="BD641" i="2"/>
  <c r="M642" i="2"/>
  <c r="AW642" i="2"/>
  <c r="AX642" i="2"/>
  <c r="AY642" i="2"/>
  <c r="AZ642" i="2"/>
  <c r="BB642" i="2"/>
  <c r="BC642" i="2"/>
  <c r="BD642" i="2"/>
  <c r="M643" i="2"/>
  <c r="AW643" i="2"/>
  <c r="AX643" i="2"/>
  <c r="AY643" i="2"/>
  <c r="AZ643" i="2"/>
  <c r="BB643" i="2"/>
  <c r="BC643" i="2"/>
  <c r="BD643" i="2"/>
  <c r="M644" i="2"/>
  <c r="AW644" i="2"/>
  <c r="AX644" i="2"/>
  <c r="AY644" i="2"/>
  <c r="AZ644" i="2"/>
  <c r="BB644" i="2"/>
  <c r="BC644" i="2"/>
  <c r="BD644" i="2"/>
  <c r="M645" i="2"/>
  <c r="AW645" i="2"/>
  <c r="AX645" i="2"/>
  <c r="AY645" i="2"/>
  <c r="AZ645" i="2"/>
  <c r="BB645" i="2"/>
  <c r="BC645" i="2"/>
  <c r="BD645" i="2"/>
  <c r="M646" i="2"/>
  <c r="AW646" i="2"/>
  <c r="AX646" i="2"/>
  <c r="AY646" i="2"/>
  <c r="AZ646" i="2"/>
  <c r="BB646" i="2"/>
  <c r="BC646" i="2"/>
  <c r="BD646" i="2"/>
  <c r="M647" i="2"/>
  <c r="AW647" i="2"/>
  <c r="AX647" i="2"/>
  <c r="AY647" i="2"/>
  <c r="AZ647" i="2"/>
  <c r="BB647" i="2"/>
  <c r="BC647" i="2"/>
  <c r="BD647" i="2"/>
  <c r="M648" i="2"/>
  <c r="AW648" i="2"/>
  <c r="AX648" i="2"/>
  <c r="AY648" i="2"/>
  <c r="AZ648" i="2"/>
  <c r="BB648" i="2"/>
  <c r="BC648" i="2"/>
  <c r="BD648" i="2"/>
  <c r="M649" i="2"/>
  <c r="AW649" i="2"/>
  <c r="AX649" i="2"/>
  <c r="AY649" i="2"/>
  <c r="AZ649" i="2"/>
  <c r="BB649" i="2"/>
  <c r="BC649" i="2"/>
  <c r="BD649" i="2"/>
  <c r="M650" i="2"/>
  <c r="AW650" i="2"/>
  <c r="AX650" i="2"/>
  <c r="AY650" i="2"/>
  <c r="AZ650" i="2"/>
  <c r="BB650" i="2"/>
  <c r="BC650" i="2"/>
  <c r="BD650" i="2"/>
  <c r="M651" i="2"/>
  <c r="AW651" i="2"/>
  <c r="AX651" i="2"/>
  <c r="AY651" i="2"/>
  <c r="AZ651" i="2"/>
  <c r="BB651" i="2"/>
  <c r="BC651" i="2"/>
  <c r="BD651" i="2"/>
  <c r="M652" i="2"/>
  <c r="AW652" i="2"/>
  <c r="AX652" i="2"/>
  <c r="AY652" i="2"/>
  <c r="AZ652" i="2"/>
  <c r="BB652" i="2"/>
  <c r="BC652" i="2"/>
  <c r="BD652" i="2"/>
  <c r="M653" i="2"/>
  <c r="AW653" i="2"/>
  <c r="AX653" i="2"/>
  <c r="AY653" i="2"/>
  <c r="AZ653" i="2"/>
  <c r="BB653" i="2"/>
  <c r="BC653" i="2"/>
  <c r="BD653" i="2"/>
  <c r="M654" i="2"/>
  <c r="AW654" i="2"/>
  <c r="AX654" i="2"/>
  <c r="AY654" i="2"/>
  <c r="AZ654" i="2"/>
  <c r="BB654" i="2"/>
  <c r="BC654" i="2"/>
  <c r="BD654" i="2"/>
  <c r="M655" i="2"/>
  <c r="AW655" i="2"/>
  <c r="AX655" i="2"/>
  <c r="AY655" i="2"/>
  <c r="AZ655" i="2"/>
  <c r="BB655" i="2"/>
  <c r="BC655" i="2"/>
  <c r="BD655" i="2"/>
  <c r="M656" i="2"/>
  <c r="AW656" i="2"/>
  <c r="AX656" i="2"/>
  <c r="AY656" i="2"/>
  <c r="AZ656" i="2"/>
  <c r="BB656" i="2"/>
  <c r="BC656" i="2"/>
  <c r="BD656" i="2"/>
  <c r="M657" i="2"/>
  <c r="AW657" i="2"/>
  <c r="AX657" i="2"/>
  <c r="AY657" i="2"/>
  <c r="AZ657" i="2"/>
  <c r="BB657" i="2"/>
  <c r="BC657" i="2"/>
  <c r="BD657" i="2"/>
  <c r="M658" i="2"/>
  <c r="AW658" i="2"/>
  <c r="AX658" i="2"/>
  <c r="AY658" i="2"/>
  <c r="AZ658" i="2"/>
  <c r="BB658" i="2"/>
  <c r="BC658" i="2"/>
  <c r="BD658" i="2"/>
  <c r="M659" i="2"/>
  <c r="AW659" i="2"/>
  <c r="AX659" i="2"/>
  <c r="AY659" i="2"/>
  <c r="AZ659" i="2"/>
  <c r="BB659" i="2"/>
  <c r="BC659" i="2"/>
  <c r="BD659" i="2"/>
  <c r="M660" i="2"/>
  <c r="AW660" i="2"/>
  <c r="AX660" i="2"/>
  <c r="AY660" i="2"/>
  <c r="AZ660" i="2"/>
  <c r="BB660" i="2"/>
  <c r="BC660" i="2"/>
  <c r="BD660" i="2"/>
  <c r="M661" i="2"/>
  <c r="AW661" i="2"/>
  <c r="AX661" i="2"/>
  <c r="AY661" i="2"/>
  <c r="AZ661" i="2"/>
  <c r="BB661" i="2"/>
  <c r="BC661" i="2"/>
  <c r="BD661" i="2"/>
  <c r="M662" i="2"/>
  <c r="AW662" i="2"/>
  <c r="AX662" i="2"/>
  <c r="AY662" i="2"/>
  <c r="AZ662" i="2"/>
  <c r="BB662" i="2"/>
  <c r="BC662" i="2"/>
  <c r="BD662" i="2"/>
  <c r="M663" i="2"/>
  <c r="AW663" i="2"/>
  <c r="AX663" i="2"/>
  <c r="AY663" i="2"/>
  <c r="AZ663" i="2"/>
  <c r="BB663" i="2"/>
  <c r="BC663" i="2"/>
  <c r="BD663" i="2"/>
  <c r="M664" i="2"/>
  <c r="AW664" i="2"/>
  <c r="AX664" i="2"/>
  <c r="AY664" i="2"/>
  <c r="AZ664" i="2"/>
  <c r="BB664" i="2"/>
  <c r="BC664" i="2"/>
  <c r="BD664" i="2"/>
  <c r="M665" i="2"/>
  <c r="AW665" i="2"/>
  <c r="AX665" i="2"/>
  <c r="AY665" i="2"/>
  <c r="AZ665" i="2"/>
  <c r="BB665" i="2"/>
  <c r="BC665" i="2"/>
  <c r="BD665" i="2"/>
  <c r="M666" i="2"/>
  <c r="AW666" i="2"/>
  <c r="AX666" i="2"/>
  <c r="AY666" i="2"/>
  <c r="AZ666" i="2"/>
  <c r="BB666" i="2"/>
  <c r="BC666" i="2"/>
  <c r="BD666" i="2"/>
  <c r="M667" i="2"/>
  <c r="AW667" i="2"/>
  <c r="AX667" i="2"/>
  <c r="AY667" i="2"/>
  <c r="AZ667" i="2"/>
  <c r="BB667" i="2"/>
  <c r="BC667" i="2"/>
  <c r="BD667" i="2"/>
  <c r="M668" i="2"/>
  <c r="AW668" i="2"/>
  <c r="AX668" i="2"/>
  <c r="AY668" i="2"/>
  <c r="AZ668" i="2"/>
  <c r="BB668" i="2"/>
  <c r="BC668" i="2"/>
  <c r="BD668" i="2"/>
  <c r="M669" i="2"/>
  <c r="AW669" i="2"/>
  <c r="AX669" i="2"/>
  <c r="AY669" i="2"/>
  <c r="AZ669" i="2"/>
  <c r="BB669" i="2"/>
  <c r="BC669" i="2"/>
  <c r="BD669" i="2"/>
  <c r="M670" i="2"/>
  <c r="AW670" i="2"/>
  <c r="AX670" i="2"/>
  <c r="AY670" i="2"/>
  <c r="AZ670" i="2"/>
  <c r="BB670" i="2"/>
  <c r="BC670" i="2"/>
  <c r="BD670" i="2"/>
  <c r="M671" i="2"/>
  <c r="AW671" i="2"/>
  <c r="AX671" i="2"/>
  <c r="AY671" i="2"/>
  <c r="AZ671" i="2"/>
  <c r="BB671" i="2"/>
  <c r="BC671" i="2"/>
  <c r="BD671" i="2"/>
  <c r="M672" i="2"/>
  <c r="AW672" i="2"/>
  <c r="AX672" i="2"/>
  <c r="AY672" i="2"/>
  <c r="AZ672" i="2"/>
  <c r="BB672" i="2"/>
  <c r="BC672" i="2"/>
  <c r="BD672" i="2"/>
  <c r="M673" i="2"/>
  <c r="AW673" i="2"/>
  <c r="AX673" i="2"/>
  <c r="AY673" i="2"/>
  <c r="AZ673" i="2"/>
  <c r="BB673" i="2"/>
  <c r="BC673" i="2"/>
  <c r="BD673" i="2"/>
  <c r="M674" i="2"/>
  <c r="AW674" i="2"/>
  <c r="AX674" i="2"/>
  <c r="AY674" i="2"/>
  <c r="AZ674" i="2"/>
  <c r="BB674" i="2"/>
  <c r="BC674" i="2"/>
  <c r="BD674" i="2"/>
  <c r="M675" i="2"/>
  <c r="AW675" i="2"/>
  <c r="AX675" i="2"/>
  <c r="AY675" i="2"/>
  <c r="AZ675" i="2"/>
  <c r="BB675" i="2"/>
  <c r="BC675" i="2"/>
  <c r="BD675" i="2"/>
  <c r="M676" i="2"/>
  <c r="AW676" i="2"/>
  <c r="AX676" i="2"/>
  <c r="AY676" i="2"/>
  <c r="AZ676" i="2"/>
  <c r="BB676" i="2"/>
  <c r="BC676" i="2"/>
  <c r="BD676" i="2"/>
  <c r="M677" i="2"/>
  <c r="AW677" i="2"/>
  <c r="AX677" i="2"/>
  <c r="AY677" i="2"/>
  <c r="AZ677" i="2"/>
  <c r="BB677" i="2"/>
  <c r="BC677" i="2"/>
  <c r="BD677" i="2"/>
  <c r="M678" i="2"/>
  <c r="AW678" i="2"/>
  <c r="AX678" i="2"/>
  <c r="AY678" i="2"/>
  <c r="AZ678" i="2"/>
  <c r="BB678" i="2"/>
  <c r="BC678" i="2"/>
  <c r="BD678" i="2"/>
  <c r="M679" i="2"/>
  <c r="AW679" i="2"/>
  <c r="AX679" i="2"/>
  <c r="AY679" i="2"/>
  <c r="AZ679" i="2"/>
  <c r="BB679" i="2"/>
  <c r="BC679" i="2"/>
  <c r="BD679" i="2"/>
  <c r="M680" i="2"/>
  <c r="AW680" i="2"/>
  <c r="AX680" i="2"/>
  <c r="AY680" i="2"/>
  <c r="AZ680" i="2"/>
  <c r="BB680" i="2"/>
  <c r="BC680" i="2"/>
  <c r="BD680" i="2"/>
  <c r="M681" i="2"/>
  <c r="AW681" i="2"/>
  <c r="AX681" i="2"/>
  <c r="AY681" i="2"/>
  <c r="AZ681" i="2"/>
  <c r="BB681" i="2"/>
  <c r="BC681" i="2"/>
  <c r="BD681" i="2"/>
  <c r="M682" i="2"/>
  <c r="AW682" i="2"/>
  <c r="AX682" i="2"/>
  <c r="AY682" i="2"/>
  <c r="AZ682" i="2"/>
  <c r="BB682" i="2"/>
  <c r="BC682" i="2"/>
  <c r="BD682" i="2"/>
  <c r="M683" i="2"/>
  <c r="AW683" i="2"/>
  <c r="AX683" i="2"/>
  <c r="AY683" i="2"/>
  <c r="AZ683" i="2"/>
  <c r="BB683" i="2"/>
  <c r="BC683" i="2"/>
  <c r="BD683" i="2"/>
  <c r="M684" i="2"/>
  <c r="AW684" i="2"/>
  <c r="AX684" i="2"/>
  <c r="AY684" i="2"/>
  <c r="AZ684" i="2"/>
  <c r="BB684" i="2"/>
  <c r="BC684" i="2"/>
  <c r="BD684" i="2"/>
  <c r="M685" i="2"/>
  <c r="AW685" i="2"/>
  <c r="AX685" i="2"/>
  <c r="AY685" i="2"/>
  <c r="AZ685" i="2"/>
  <c r="BB685" i="2"/>
  <c r="BC685" i="2"/>
  <c r="BD685" i="2"/>
  <c r="M686" i="2"/>
  <c r="AW686" i="2"/>
  <c r="AX686" i="2"/>
  <c r="AY686" i="2"/>
  <c r="AZ686" i="2"/>
  <c r="BB686" i="2"/>
  <c r="BC686" i="2"/>
  <c r="BD686" i="2"/>
  <c r="M687" i="2"/>
  <c r="AW687" i="2"/>
  <c r="AX687" i="2"/>
  <c r="AY687" i="2"/>
  <c r="AZ687" i="2"/>
  <c r="BB687" i="2"/>
  <c r="BC687" i="2"/>
  <c r="BD687" i="2"/>
  <c r="M688" i="2"/>
  <c r="AW688" i="2"/>
  <c r="AX688" i="2"/>
  <c r="AY688" i="2"/>
  <c r="AZ688" i="2"/>
  <c r="BB688" i="2"/>
  <c r="BC688" i="2"/>
  <c r="BD688" i="2"/>
  <c r="M689" i="2"/>
  <c r="AW689" i="2"/>
  <c r="AX689" i="2"/>
  <c r="AY689" i="2"/>
  <c r="AZ689" i="2"/>
  <c r="BB689" i="2"/>
  <c r="BC689" i="2"/>
  <c r="BD689" i="2"/>
  <c r="M690" i="2"/>
  <c r="AW690" i="2"/>
  <c r="AX690" i="2"/>
  <c r="AY690" i="2"/>
  <c r="AZ690" i="2"/>
  <c r="BB690" i="2"/>
  <c r="BC690" i="2"/>
  <c r="BD690" i="2"/>
  <c r="M691" i="2"/>
  <c r="AW691" i="2"/>
  <c r="AX691" i="2"/>
  <c r="AY691" i="2"/>
  <c r="AZ691" i="2"/>
  <c r="BB691" i="2"/>
  <c r="BC691" i="2"/>
  <c r="BD691" i="2"/>
  <c r="M692" i="2"/>
  <c r="AW692" i="2"/>
  <c r="AX692" i="2"/>
  <c r="AY692" i="2"/>
  <c r="AZ692" i="2"/>
  <c r="BB692" i="2"/>
  <c r="BC692" i="2"/>
  <c r="BD692" i="2"/>
  <c r="M693" i="2"/>
  <c r="AW693" i="2"/>
  <c r="AX693" i="2"/>
  <c r="AY693" i="2"/>
  <c r="AZ693" i="2"/>
  <c r="BB693" i="2"/>
  <c r="BC693" i="2"/>
  <c r="BD693" i="2"/>
  <c r="M694" i="2"/>
  <c r="AW694" i="2"/>
  <c r="AX694" i="2"/>
  <c r="AY694" i="2"/>
  <c r="AZ694" i="2"/>
  <c r="BB694" i="2"/>
  <c r="BC694" i="2"/>
  <c r="BD694" i="2"/>
  <c r="M695" i="2"/>
  <c r="AW695" i="2"/>
  <c r="AX695" i="2"/>
  <c r="AY695" i="2"/>
  <c r="AZ695" i="2"/>
  <c r="BB695" i="2"/>
  <c r="BC695" i="2"/>
  <c r="BD695" i="2"/>
  <c r="M696" i="2"/>
  <c r="AW696" i="2"/>
  <c r="AX696" i="2"/>
  <c r="AY696" i="2"/>
  <c r="AZ696" i="2"/>
  <c r="BB696" i="2"/>
  <c r="BC696" i="2"/>
  <c r="BD696" i="2"/>
  <c r="M697" i="2"/>
  <c r="AW697" i="2"/>
  <c r="AX697" i="2"/>
  <c r="AY697" i="2"/>
  <c r="AZ697" i="2"/>
  <c r="BB697" i="2"/>
  <c r="BC697" i="2"/>
  <c r="BD697" i="2"/>
  <c r="M698" i="2"/>
  <c r="AW698" i="2"/>
  <c r="AX698" i="2"/>
  <c r="AY698" i="2"/>
  <c r="AZ698" i="2"/>
  <c r="BB698" i="2"/>
  <c r="BC698" i="2"/>
  <c r="BD698" i="2"/>
  <c r="M699" i="2"/>
  <c r="AW699" i="2"/>
  <c r="AX699" i="2"/>
  <c r="AY699" i="2"/>
  <c r="AZ699" i="2"/>
  <c r="BB699" i="2"/>
  <c r="BC699" i="2"/>
  <c r="BD699" i="2"/>
  <c r="M700" i="2"/>
  <c r="AW700" i="2"/>
  <c r="AX700" i="2"/>
  <c r="AY700" i="2"/>
  <c r="AZ700" i="2"/>
  <c r="BB700" i="2"/>
  <c r="BC700" i="2"/>
  <c r="BD700" i="2"/>
  <c r="M701" i="2"/>
  <c r="AW701" i="2"/>
  <c r="AX701" i="2"/>
  <c r="AY701" i="2"/>
  <c r="AZ701" i="2"/>
  <c r="BB701" i="2"/>
  <c r="BC701" i="2"/>
  <c r="BD701" i="2"/>
  <c r="M702" i="2"/>
  <c r="AW702" i="2"/>
  <c r="AX702" i="2"/>
  <c r="AY702" i="2"/>
  <c r="AZ702" i="2"/>
  <c r="BB702" i="2"/>
  <c r="BC702" i="2"/>
  <c r="BD702" i="2"/>
  <c r="M703" i="2"/>
  <c r="AW703" i="2"/>
  <c r="AX703" i="2"/>
  <c r="AY703" i="2"/>
  <c r="AZ703" i="2"/>
  <c r="BB703" i="2"/>
  <c r="BC703" i="2"/>
  <c r="BD703" i="2"/>
  <c r="M704" i="2"/>
  <c r="AW704" i="2"/>
  <c r="AX704" i="2"/>
  <c r="AY704" i="2"/>
  <c r="AZ704" i="2"/>
  <c r="BB704" i="2"/>
  <c r="BC704" i="2"/>
  <c r="BD704" i="2"/>
  <c r="M705" i="2"/>
  <c r="AW705" i="2"/>
  <c r="AX705" i="2"/>
  <c r="AY705" i="2"/>
  <c r="AZ705" i="2"/>
  <c r="BB705" i="2"/>
  <c r="BC705" i="2"/>
  <c r="BD705" i="2"/>
  <c r="M706" i="2"/>
  <c r="AW706" i="2"/>
  <c r="AX706" i="2"/>
  <c r="AY706" i="2"/>
  <c r="AZ706" i="2"/>
  <c r="BB706" i="2"/>
  <c r="BC706" i="2"/>
  <c r="BD706" i="2"/>
  <c r="M707" i="2"/>
  <c r="AW707" i="2"/>
  <c r="AX707" i="2"/>
  <c r="AY707" i="2"/>
  <c r="AZ707" i="2"/>
  <c r="BB707" i="2"/>
  <c r="BC707" i="2"/>
  <c r="BD707" i="2"/>
  <c r="M708" i="2"/>
  <c r="AW708" i="2"/>
  <c r="AX708" i="2"/>
  <c r="AY708" i="2"/>
  <c r="AZ708" i="2"/>
  <c r="BB708" i="2"/>
  <c r="BC708" i="2"/>
  <c r="BD708" i="2"/>
  <c r="M709" i="2"/>
  <c r="AW709" i="2"/>
  <c r="AX709" i="2"/>
  <c r="AY709" i="2"/>
  <c r="AZ709" i="2"/>
  <c r="BB709" i="2"/>
  <c r="BC709" i="2"/>
  <c r="BD709" i="2"/>
  <c r="M710" i="2"/>
  <c r="AW710" i="2"/>
  <c r="AX710" i="2"/>
  <c r="AY710" i="2"/>
  <c r="AZ710" i="2"/>
  <c r="BB710" i="2"/>
  <c r="BC710" i="2"/>
  <c r="BD710" i="2"/>
  <c r="M711" i="2"/>
  <c r="AW711" i="2"/>
  <c r="AX711" i="2"/>
  <c r="AY711" i="2"/>
  <c r="AZ711" i="2"/>
  <c r="BB711" i="2"/>
  <c r="BC711" i="2"/>
  <c r="BD711" i="2"/>
  <c r="M712" i="2"/>
  <c r="AW712" i="2"/>
  <c r="AX712" i="2"/>
  <c r="AY712" i="2"/>
  <c r="AZ712" i="2"/>
  <c r="BB712" i="2"/>
  <c r="BC712" i="2"/>
  <c r="BD712" i="2"/>
  <c r="M713" i="2"/>
  <c r="AW713" i="2"/>
  <c r="AX713" i="2"/>
  <c r="AY713" i="2"/>
  <c r="AZ713" i="2"/>
  <c r="BB713" i="2"/>
  <c r="BC713" i="2"/>
  <c r="BD713" i="2"/>
  <c r="M714" i="2"/>
  <c r="AW714" i="2"/>
  <c r="AX714" i="2"/>
  <c r="AY714" i="2"/>
  <c r="AZ714" i="2"/>
  <c r="BB714" i="2"/>
  <c r="BC714" i="2"/>
  <c r="BD714" i="2"/>
  <c r="M715" i="2"/>
  <c r="AW715" i="2"/>
  <c r="AX715" i="2"/>
  <c r="AY715" i="2"/>
  <c r="AZ715" i="2"/>
  <c r="BB715" i="2"/>
  <c r="BC715" i="2"/>
  <c r="BD715" i="2"/>
  <c r="M716" i="2"/>
  <c r="AW716" i="2"/>
  <c r="AX716" i="2"/>
  <c r="AY716" i="2"/>
  <c r="AZ716" i="2"/>
  <c r="BB716" i="2"/>
  <c r="BC716" i="2"/>
  <c r="BD716" i="2"/>
  <c r="M717" i="2"/>
  <c r="AW717" i="2"/>
  <c r="AX717" i="2"/>
  <c r="AY717" i="2"/>
  <c r="AZ717" i="2"/>
  <c r="BB717" i="2"/>
  <c r="BC717" i="2"/>
  <c r="BD717" i="2"/>
  <c r="M718" i="2"/>
  <c r="AW718" i="2"/>
  <c r="AX718" i="2"/>
  <c r="AY718" i="2"/>
  <c r="AZ718" i="2"/>
  <c r="BB718" i="2"/>
  <c r="BC718" i="2"/>
  <c r="BD718" i="2"/>
  <c r="M719" i="2"/>
  <c r="AW719" i="2"/>
  <c r="AX719" i="2"/>
  <c r="AY719" i="2"/>
  <c r="AZ719" i="2"/>
  <c r="BB719" i="2"/>
  <c r="BC719" i="2"/>
  <c r="BD719" i="2"/>
  <c r="M720" i="2"/>
  <c r="AW720" i="2"/>
  <c r="AX720" i="2"/>
  <c r="AY720" i="2"/>
  <c r="AZ720" i="2"/>
  <c r="BB720" i="2"/>
  <c r="BC720" i="2"/>
  <c r="BD720" i="2"/>
  <c r="M721" i="2"/>
  <c r="AW721" i="2"/>
  <c r="AX721" i="2"/>
  <c r="AY721" i="2"/>
  <c r="AZ721" i="2"/>
  <c r="BB721" i="2"/>
  <c r="BC721" i="2"/>
  <c r="BD721" i="2"/>
  <c r="M722" i="2"/>
  <c r="AW722" i="2"/>
  <c r="AX722" i="2"/>
  <c r="AY722" i="2"/>
  <c r="AZ722" i="2"/>
  <c r="BB722" i="2"/>
  <c r="BC722" i="2"/>
  <c r="BD722" i="2"/>
  <c r="M723" i="2"/>
  <c r="AW723" i="2"/>
  <c r="AX723" i="2"/>
  <c r="AY723" i="2"/>
  <c r="AZ723" i="2"/>
  <c r="BB723" i="2"/>
  <c r="BC723" i="2"/>
  <c r="BD723" i="2"/>
  <c r="M724" i="2"/>
  <c r="AW724" i="2"/>
  <c r="AX724" i="2"/>
  <c r="AY724" i="2"/>
  <c r="AZ724" i="2"/>
  <c r="BB724" i="2"/>
  <c r="BC724" i="2"/>
  <c r="BD724" i="2"/>
  <c r="M725" i="2"/>
  <c r="AW725" i="2"/>
  <c r="AX725" i="2"/>
  <c r="AY725" i="2"/>
  <c r="AZ725" i="2"/>
  <c r="BB725" i="2"/>
  <c r="BC725" i="2"/>
  <c r="BD725" i="2"/>
  <c r="M726" i="2"/>
  <c r="AW726" i="2"/>
  <c r="AX726" i="2"/>
  <c r="AY726" i="2"/>
  <c r="AZ726" i="2"/>
  <c r="BB726" i="2"/>
  <c r="BC726" i="2"/>
  <c r="BD726" i="2"/>
  <c r="M727" i="2"/>
  <c r="AW727" i="2"/>
  <c r="AX727" i="2"/>
  <c r="AY727" i="2"/>
  <c r="AZ727" i="2"/>
  <c r="BB727" i="2"/>
  <c r="BC727" i="2"/>
  <c r="BD727" i="2"/>
  <c r="M728" i="2"/>
  <c r="AW728" i="2"/>
  <c r="AX728" i="2"/>
  <c r="AY728" i="2"/>
  <c r="AZ728" i="2"/>
  <c r="BB728" i="2"/>
  <c r="BC728" i="2"/>
  <c r="BD728" i="2"/>
  <c r="M729" i="2"/>
  <c r="AW729" i="2"/>
  <c r="AX729" i="2"/>
  <c r="AY729" i="2"/>
  <c r="AZ729" i="2"/>
  <c r="BB729" i="2"/>
  <c r="BC729" i="2"/>
  <c r="BD729" i="2"/>
  <c r="M730" i="2"/>
  <c r="AW730" i="2"/>
  <c r="AX730" i="2"/>
  <c r="AY730" i="2"/>
  <c r="AZ730" i="2"/>
  <c r="BB730" i="2"/>
  <c r="BC730" i="2"/>
  <c r="BD730" i="2"/>
  <c r="M731" i="2"/>
  <c r="AW731" i="2"/>
  <c r="AX731" i="2"/>
  <c r="AY731" i="2"/>
  <c r="AZ731" i="2"/>
  <c r="BB731" i="2"/>
  <c r="BC731" i="2"/>
  <c r="BD731" i="2"/>
  <c r="M732" i="2"/>
  <c r="AW732" i="2"/>
  <c r="AX732" i="2"/>
  <c r="AY732" i="2"/>
  <c r="AZ732" i="2"/>
  <c r="BB732" i="2"/>
  <c r="BC732" i="2"/>
  <c r="BD732" i="2"/>
  <c r="M733" i="2"/>
  <c r="AW733" i="2"/>
  <c r="AX733" i="2"/>
  <c r="AY733" i="2"/>
  <c r="AZ733" i="2"/>
  <c r="BB733" i="2"/>
  <c r="BC733" i="2"/>
  <c r="BD733" i="2"/>
  <c r="M734" i="2"/>
  <c r="AW734" i="2"/>
  <c r="AX734" i="2"/>
  <c r="AY734" i="2"/>
  <c r="AZ734" i="2"/>
  <c r="BB734" i="2"/>
  <c r="BC734" i="2"/>
  <c r="BD734" i="2"/>
  <c r="M735" i="2"/>
  <c r="AW735" i="2"/>
  <c r="AX735" i="2"/>
  <c r="AY735" i="2"/>
  <c r="AZ735" i="2"/>
  <c r="BB735" i="2"/>
  <c r="BC735" i="2"/>
  <c r="BD735" i="2"/>
  <c r="M736" i="2"/>
  <c r="AW736" i="2"/>
  <c r="AX736" i="2"/>
  <c r="AY736" i="2"/>
  <c r="AZ736" i="2"/>
  <c r="BB736" i="2"/>
  <c r="BC736" i="2"/>
  <c r="BD736" i="2"/>
  <c r="M737" i="2"/>
  <c r="AX737" i="2"/>
  <c r="AZ737" i="2"/>
  <c r="BB737" i="2"/>
  <c r="BC737" i="2"/>
  <c r="BD737" i="2"/>
  <c r="M739" i="2"/>
  <c r="AW739" i="2"/>
  <c r="AX739" i="2"/>
  <c r="AY739" i="2"/>
  <c r="AZ739" i="2"/>
  <c r="BB739" i="2"/>
  <c r="BC739" i="2"/>
  <c r="BD739" i="2"/>
  <c r="M740" i="2"/>
  <c r="AW740" i="2"/>
  <c r="AX740" i="2"/>
  <c r="AY740" i="2"/>
  <c r="AZ740" i="2"/>
  <c r="BB740" i="2"/>
  <c r="BC740" i="2"/>
  <c r="BD740" i="2"/>
  <c r="M741" i="2"/>
  <c r="AW741" i="2"/>
  <c r="AX741" i="2"/>
  <c r="AY741" i="2"/>
  <c r="AZ741" i="2"/>
  <c r="BB741" i="2"/>
  <c r="BC741" i="2"/>
  <c r="BD741" i="2"/>
  <c r="M742" i="2"/>
  <c r="AW742" i="2"/>
  <c r="AX742" i="2"/>
  <c r="AY742" i="2"/>
  <c r="AZ742" i="2"/>
  <c r="BB742" i="2"/>
  <c r="BC742" i="2"/>
  <c r="BD742" i="2"/>
  <c r="M743" i="2"/>
  <c r="AW743" i="2"/>
  <c r="AX743" i="2"/>
  <c r="AY743" i="2"/>
  <c r="AZ743" i="2"/>
  <c r="BB743" i="2"/>
  <c r="BC743" i="2"/>
  <c r="BD743" i="2"/>
  <c r="M744" i="2"/>
  <c r="AW744" i="2"/>
  <c r="AX744" i="2"/>
  <c r="AY744" i="2"/>
  <c r="AZ744" i="2"/>
  <c r="BB744" i="2"/>
  <c r="BC744" i="2"/>
  <c r="BD744" i="2"/>
  <c r="M745" i="2"/>
  <c r="AW745" i="2"/>
  <c r="AX745" i="2"/>
  <c r="AY745" i="2"/>
  <c r="AZ745" i="2"/>
  <c r="BB745" i="2"/>
  <c r="BC745" i="2"/>
  <c r="BD745" i="2"/>
  <c r="M746" i="2"/>
  <c r="AW746" i="2"/>
  <c r="AX746" i="2"/>
  <c r="AY746" i="2"/>
  <c r="AZ746" i="2"/>
  <c r="BB746" i="2"/>
  <c r="BC746" i="2"/>
  <c r="BD746" i="2"/>
  <c r="M747" i="2"/>
  <c r="AW747" i="2"/>
  <c r="AX747" i="2"/>
  <c r="AY747" i="2"/>
  <c r="AZ747" i="2"/>
  <c r="BB747" i="2"/>
  <c r="BC747" i="2"/>
  <c r="BD747" i="2"/>
  <c r="M748" i="2"/>
  <c r="AW748" i="2"/>
  <c r="AX748" i="2"/>
  <c r="AY748" i="2"/>
  <c r="AZ748" i="2"/>
  <c r="BB748" i="2"/>
  <c r="BC748" i="2"/>
  <c r="BD748" i="2"/>
  <c r="M749" i="2"/>
  <c r="AW749" i="2"/>
  <c r="AX749" i="2"/>
  <c r="AY749" i="2"/>
  <c r="AZ749" i="2"/>
  <c r="BB749" i="2"/>
  <c r="BC749" i="2"/>
  <c r="BD749" i="2"/>
  <c r="M750" i="2"/>
  <c r="AW750" i="2"/>
  <c r="AX750" i="2"/>
  <c r="AY750" i="2"/>
  <c r="AZ750" i="2"/>
  <c r="BB750" i="2"/>
  <c r="BC750" i="2"/>
  <c r="BD750" i="2"/>
  <c r="M751" i="2"/>
  <c r="AW751" i="2"/>
  <c r="AX751" i="2"/>
  <c r="AY751" i="2"/>
  <c r="AZ751" i="2"/>
  <c r="BB751" i="2"/>
  <c r="BC751" i="2"/>
  <c r="BD751" i="2"/>
  <c r="M752" i="2"/>
  <c r="AW752" i="2"/>
  <c r="AX752" i="2"/>
  <c r="AY752" i="2"/>
  <c r="AZ752" i="2"/>
  <c r="BB752" i="2"/>
  <c r="BC752" i="2"/>
  <c r="BD752" i="2"/>
  <c r="M753" i="2"/>
  <c r="AW753" i="2"/>
  <c r="AX753" i="2"/>
  <c r="AY753" i="2"/>
  <c r="AZ753" i="2"/>
  <c r="BB753" i="2"/>
  <c r="BC753" i="2"/>
  <c r="BD753" i="2"/>
  <c r="M754" i="2"/>
  <c r="AW754" i="2"/>
  <c r="AX754" i="2"/>
  <c r="AY754" i="2"/>
  <c r="AZ754" i="2"/>
  <c r="BB754" i="2"/>
  <c r="BC754" i="2"/>
  <c r="BD754" i="2"/>
  <c r="M755" i="2"/>
  <c r="AW755" i="2"/>
  <c r="AX755" i="2"/>
  <c r="AY755" i="2"/>
  <c r="AZ755" i="2"/>
  <c r="BB755" i="2"/>
  <c r="BC755" i="2"/>
  <c r="BD755" i="2"/>
  <c r="M756" i="2"/>
  <c r="AW756" i="2"/>
  <c r="AX756" i="2"/>
  <c r="AY756" i="2"/>
  <c r="AZ756" i="2"/>
  <c r="BB756" i="2"/>
  <c r="BC756" i="2"/>
  <c r="BD756" i="2"/>
  <c r="M757" i="2"/>
  <c r="AW757" i="2"/>
  <c r="AX757" i="2"/>
  <c r="AY757" i="2"/>
  <c r="AZ757" i="2"/>
  <c r="BB757" i="2"/>
  <c r="BC757" i="2"/>
  <c r="BD757" i="2"/>
  <c r="M758" i="2"/>
  <c r="AW758" i="2"/>
  <c r="AX758" i="2"/>
  <c r="AY758" i="2"/>
  <c r="AZ758" i="2"/>
  <c r="BB758" i="2"/>
  <c r="BC758" i="2"/>
  <c r="BD758" i="2"/>
  <c r="M759" i="2"/>
  <c r="AW759" i="2"/>
  <c r="AX759" i="2"/>
  <c r="AY759" i="2"/>
  <c r="AZ759" i="2"/>
  <c r="BB759" i="2"/>
  <c r="BC759" i="2"/>
  <c r="BD759" i="2"/>
  <c r="M760" i="2"/>
  <c r="AW760" i="2"/>
  <c r="AX760" i="2"/>
  <c r="AY760" i="2"/>
  <c r="AZ760" i="2"/>
  <c r="BB760" i="2"/>
  <c r="BC760" i="2"/>
  <c r="BD760" i="2"/>
  <c r="M761" i="2"/>
  <c r="AW761" i="2"/>
  <c r="AX761" i="2"/>
  <c r="AY761" i="2"/>
  <c r="AZ761" i="2"/>
  <c r="BB761" i="2"/>
  <c r="BC761" i="2"/>
  <c r="BD761" i="2"/>
  <c r="M762" i="2"/>
  <c r="AW762" i="2"/>
  <c r="AX762" i="2"/>
  <c r="AY762" i="2"/>
  <c r="AZ762" i="2"/>
  <c r="BB762" i="2"/>
  <c r="BC762" i="2"/>
  <c r="BD762" i="2"/>
  <c r="M763" i="2"/>
  <c r="AW763" i="2"/>
  <c r="AX763" i="2"/>
  <c r="AY763" i="2"/>
  <c r="AZ763" i="2"/>
  <c r="BB763" i="2"/>
  <c r="BC763" i="2"/>
  <c r="BD763" i="2"/>
  <c r="M764" i="2"/>
  <c r="AW764" i="2"/>
  <c r="AX764" i="2"/>
  <c r="AY764" i="2"/>
  <c r="AZ764" i="2"/>
  <c r="BB764" i="2"/>
  <c r="BC764" i="2"/>
  <c r="BD764" i="2"/>
  <c r="M765" i="2"/>
  <c r="AW765" i="2"/>
  <c r="AX765" i="2"/>
  <c r="AY765" i="2"/>
  <c r="AZ765" i="2"/>
  <c r="BB765" i="2"/>
  <c r="BC765" i="2"/>
  <c r="BD765" i="2"/>
  <c r="M766" i="2"/>
  <c r="AW766" i="2"/>
  <c r="AX766" i="2"/>
  <c r="AY766" i="2"/>
  <c r="AZ766" i="2"/>
  <c r="BB766" i="2"/>
  <c r="BC766" i="2"/>
  <c r="BD766" i="2"/>
  <c r="M767" i="2"/>
  <c r="AW767" i="2"/>
  <c r="AX767" i="2"/>
  <c r="AY767" i="2"/>
  <c r="AZ767" i="2"/>
  <c r="BB767" i="2"/>
  <c r="BC767" i="2"/>
  <c r="BD767" i="2"/>
  <c r="M768" i="2"/>
  <c r="AW768" i="2"/>
  <c r="AX768" i="2"/>
  <c r="AY768" i="2"/>
  <c r="AZ768" i="2"/>
  <c r="BB768" i="2"/>
  <c r="BC768" i="2"/>
  <c r="BD768" i="2"/>
  <c r="M769" i="2"/>
  <c r="AW769" i="2"/>
  <c r="AX769" i="2"/>
  <c r="AY769" i="2"/>
  <c r="AZ769" i="2"/>
  <c r="BB769" i="2"/>
  <c r="BC769" i="2"/>
  <c r="BD769" i="2"/>
  <c r="M770" i="2"/>
  <c r="AW770" i="2"/>
  <c r="AX770" i="2"/>
  <c r="AY770" i="2"/>
  <c r="AZ770" i="2"/>
  <c r="BB770" i="2"/>
  <c r="BC770" i="2"/>
  <c r="BD770" i="2"/>
  <c r="M771" i="2"/>
  <c r="AW771" i="2"/>
  <c r="AX771" i="2"/>
  <c r="AY771" i="2"/>
  <c r="AZ771" i="2"/>
  <c r="BB771" i="2"/>
  <c r="BC771" i="2"/>
  <c r="BD771" i="2"/>
  <c r="M772" i="2"/>
  <c r="AW772" i="2"/>
  <c r="AX772" i="2"/>
  <c r="AY772" i="2"/>
  <c r="AZ772" i="2"/>
  <c r="BB772" i="2"/>
  <c r="BC772" i="2"/>
  <c r="BD772" i="2"/>
  <c r="M773" i="2"/>
  <c r="AW773" i="2"/>
  <c r="AX773" i="2"/>
  <c r="AY773" i="2"/>
  <c r="AZ773" i="2"/>
  <c r="BB773" i="2"/>
  <c r="BC773" i="2"/>
  <c r="BD773" i="2"/>
  <c r="M774" i="2"/>
  <c r="AW774" i="2"/>
  <c r="AX774" i="2"/>
  <c r="AY774" i="2"/>
  <c r="AZ774" i="2"/>
  <c r="BB774" i="2"/>
  <c r="BC774" i="2"/>
  <c r="BD774" i="2"/>
  <c r="M775" i="2"/>
  <c r="AW775" i="2"/>
  <c r="AX775" i="2"/>
  <c r="AY775" i="2"/>
  <c r="AZ775" i="2"/>
  <c r="BB775" i="2"/>
  <c r="BC775" i="2"/>
  <c r="BD775" i="2"/>
  <c r="M776" i="2"/>
  <c r="AW776" i="2"/>
  <c r="AX776" i="2"/>
  <c r="AY776" i="2"/>
  <c r="AZ776" i="2"/>
  <c r="BB776" i="2"/>
  <c r="BC776" i="2"/>
  <c r="BD776" i="2"/>
  <c r="M777" i="2"/>
  <c r="AW777" i="2"/>
  <c r="AX777" i="2"/>
  <c r="AY777" i="2"/>
  <c r="AZ777" i="2"/>
  <c r="BB777" i="2"/>
  <c r="BC777" i="2"/>
  <c r="BD777" i="2"/>
  <c r="M778" i="2"/>
  <c r="AW778" i="2"/>
  <c r="AX778" i="2"/>
  <c r="AY778" i="2"/>
  <c r="AZ778" i="2"/>
  <c r="BB778" i="2"/>
  <c r="BC778" i="2"/>
  <c r="BD778" i="2"/>
  <c r="M779" i="2"/>
  <c r="AW779" i="2"/>
  <c r="AX779" i="2"/>
  <c r="AY779" i="2"/>
  <c r="AZ779" i="2"/>
  <c r="BB779" i="2"/>
  <c r="BC779" i="2"/>
  <c r="BD779" i="2"/>
  <c r="M780" i="2"/>
  <c r="AW780" i="2"/>
  <c r="AX780" i="2"/>
  <c r="AY780" i="2"/>
  <c r="AZ780" i="2"/>
  <c r="BB780" i="2"/>
  <c r="BC780" i="2"/>
  <c r="BD780" i="2"/>
  <c r="M781" i="2"/>
  <c r="AW781" i="2"/>
  <c r="AX781" i="2"/>
  <c r="AY781" i="2"/>
  <c r="AZ781" i="2"/>
  <c r="BB781" i="2"/>
  <c r="BC781" i="2"/>
  <c r="BD781" i="2"/>
  <c r="M782" i="2"/>
  <c r="AW782" i="2"/>
  <c r="AX782" i="2"/>
  <c r="AY782" i="2"/>
  <c r="AZ782" i="2"/>
  <c r="BB782" i="2"/>
  <c r="BC782" i="2"/>
  <c r="BD782" i="2"/>
  <c r="M783" i="2"/>
  <c r="AW783" i="2"/>
  <c r="AX783" i="2"/>
  <c r="AY783" i="2"/>
  <c r="AZ783" i="2"/>
  <c r="BB783" i="2"/>
  <c r="BC783" i="2"/>
  <c r="BD783" i="2"/>
  <c r="M784" i="2"/>
  <c r="AW784" i="2"/>
  <c r="AX784" i="2"/>
  <c r="AY784" i="2"/>
  <c r="AZ784" i="2"/>
  <c r="BB784" i="2"/>
  <c r="BC784" i="2"/>
  <c r="BD784" i="2"/>
  <c r="M785" i="2"/>
  <c r="AW785" i="2"/>
  <c r="AX785" i="2"/>
  <c r="AY785" i="2"/>
  <c r="AZ785" i="2"/>
  <c r="BB785" i="2"/>
  <c r="BC785" i="2"/>
  <c r="BD785" i="2"/>
  <c r="M786" i="2"/>
  <c r="AW786" i="2"/>
  <c r="AX786" i="2"/>
  <c r="AY786" i="2"/>
  <c r="AZ786" i="2"/>
  <c r="BB786" i="2"/>
  <c r="BC786" i="2"/>
  <c r="BD786" i="2"/>
  <c r="M787" i="2"/>
  <c r="AW787" i="2"/>
  <c r="AX787" i="2"/>
  <c r="AY787" i="2"/>
  <c r="AZ787" i="2"/>
  <c r="BB787" i="2"/>
  <c r="BC787" i="2"/>
  <c r="BD787" i="2"/>
  <c r="M788" i="2"/>
  <c r="AW788" i="2"/>
  <c r="AX788" i="2"/>
  <c r="AY788" i="2"/>
  <c r="AZ788" i="2"/>
  <c r="BB788" i="2"/>
  <c r="BC788" i="2"/>
  <c r="BD788" i="2"/>
  <c r="M789" i="2"/>
  <c r="AW789" i="2"/>
  <c r="AX789" i="2"/>
  <c r="AY789" i="2"/>
  <c r="AZ789" i="2"/>
  <c r="BB789" i="2"/>
  <c r="BC789" i="2"/>
  <c r="BD789" i="2"/>
  <c r="M790" i="2"/>
  <c r="AW790" i="2"/>
  <c r="AX790" i="2"/>
  <c r="AY790" i="2"/>
  <c r="AZ790" i="2"/>
  <c r="BB790" i="2"/>
  <c r="BC790" i="2"/>
  <c r="BD790" i="2"/>
  <c r="M791" i="2"/>
  <c r="AW791" i="2"/>
  <c r="AX791" i="2"/>
  <c r="AY791" i="2"/>
  <c r="AZ791" i="2"/>
  <c r="BB791" i="2"/>
  <c r="BC791" i="2"/>
  <c r="BD791" i="2"/>
  <c r="M792" i="2"/>
  <c r="AW792" i="2"/>
  <c r="AX792" i="2"/>
  <c r="AY792" i="2"/>
  <c r="AZ792" i="2"/>
  <c r="BB792" i="2"/>
  <c r="BC792" i="2"/>
  <c r="BD792" i="2"/>
  <c r="M793" i="2"/>
  <c r="AW793" i="2"/>
  <c r="AX793" i="2"/>
  <c r="AY793" i="2"/>
  <c r="AZ793" i="2"/>
  <c r="BB793" i="2"/>
  <c r="BC793" i="2"/>
  <c r="BD793" i="2"/>
  <c r="M794" i="2"/>
  <c r="AW794" i="2"/>
  <c r="AX794" i="2"/>
  <c r="AY794" i="2"/>
  <c r="AZ794" i="2"/>
  <c r="BB794" i="2"/>
  <c r="BC794" i="2"/>
  <c r="BD794" i="2"/>
  <c r="M795" i="2"/>
  <c r="AW795" i="2"/>
  <c r="AX795" i="2"/>
  <c r="AY795" i="2"/>
  <c r="AZ795" i="2"/>
  <c r="BB795" i="2"/>
  <c r="BC795" i="2"/>
  <c r="BD795" i="2"/>
  <c r="M796" i="2"/>
  <c r="AW796" i="2"/>
  <c r="AX796" i="2"/>
  <c r="AY796" i="2"/>
  <c r="AZ796" i="2"/>
  <c r="BB796" i="2"/>
  <c r="BC796" i="2"/>
  <c r="BD796" i="2"/>
  <c r="M797" i="2"/>
  <c r="AW797" i="2"/>
  <c r="AX797" i="2"/>
  <c r="AY797" i="2"/>
  <c r="AZ797" i="2"/>
  <c r="BB797" i="2"/>
  <c r="BC797" i="2"/>
  <c r="BD797" i="2"/>
  <c r="M798" i="2"/>
  <c r="AW798" i="2"/>
  <c r="AX798" i="2"/>
  <c r="AY798" i="2"/>
  <c r="AZ798" i="2"/>
  <c r="BB798" i="2"/>
  <c r="BC798" i="2"/>
  <c r="BD798" i="2"/>
  <c r="M799" i="2"/>
  <c r="AW799" i="2"/>
  <c r="AX799" i="2"/>
  <c r="AY799" i="2"/>
  <c r="AZ799" i="2"/>
  <c r="BB799" i="2"/>
  <c r="BC799" i="2"/>
  <c r="BD799" i="2"/>
  <c r="M800" i="2"/>
  <c r="AW800" i="2"/>
  <c r="AX800" i="2"/>
  <c r="AY800" i="2"/>
  <c r="AZ800" i="2"/>
  <c r="BB800" i="2"/>
  <c r="BC800" i="2"/>
  <c r="BD800" i="2"/>
  <c r="M801" i="2"/>
  <c r="AW801" i="2"/>
  <c r="AX801" i="2"/>
  <c r="AY801" i="2"/>
  <c r="AZ801" i="2"/>
  <c r="BB801" i="2"/>
  <c r="BC801" i="2"/>
  <c r="BD801" i="2"/>
  <c r="M802" i="2"/>
  <c r="AW802" i="2"/>
  <c r="AX802" i="2"/>
  <c r="AY802" i="2"/>
  <c r="AZ802" i="2"/>
  <c r="BB802" i="2"/>
  <c r="BC802" i="2"/>
  <c r="BD802" i="2"/>
  <c r="M803" i="2"/>
  <c r="AW803" i="2"/>
  <c r="AX803" i="2"/>
  <c r="AY803" i="2"/>
  <c r="AZ803" i="2"/>
  <c r="BB803" i="2"/>
  <c r="BC803" i="2"/>
  <c r="BD803" i="2"/>
  <c r="M804" i="2"/>
  <c r="AW804" i="2"/>
  <c r="AX804" i="2"/>
  <c r="AY804" i="2"/>
  <c r="AZ804" i="2"/>
  <c r="BB804" i="2"/>
  <c r="BC804" i="2"/>
  <c r="BD804" i="2"/>
  <c r="M805" i="2"/>
  <c r="AW805" i="2"/>
  <c r="AX805" i="2"/>
  <c r="AY805" i="2"/>
  <c r="AZ805" i="2"/>
  <c r="BB805" i="2"/>
  <c r="BC805" i="2"/>
  <c r="BD805" i="2"/>
  <c r="M806" i="2"/>
  <c r="AW806" i="2"/>
  <c r="AX806" i="2"/>
  <c r="AY806" i="2"/>
  <c r="AZ806" i="2"/>
  <c r="BB806" i="2"/>
  <c r="BC806" i="2"/>
  <c r="BD806" i="2"/>
  <c r="M807" i="2"/>
  <c r="AW807" i="2"/>
  <c r="AX807" i="2"/>
  <c r="AY807" i="2"/>
  <c r="AZ807" i="2"/>
  <c r="BB807" i="2"/>
  <c r="BC807" i="2"/>
  <c r="BD807" i="2"/>
  <c r="M808" i="2"/>
  <c r="AW808" i="2"/>
  <c r="AX808" i="2"/>
  <c r="AY808" i="2"/>
  <c r="AZ808" i="2"/>
  <c r="BB808" i="2"/>
  <c r="BC808" i="2"/>
  <c r="BD808" i="2"/>
  <c r="M809" i="2"/>
  <c r="AW809" i="2"/>
  <c r="AX809" i="2"/>
  <c r="AY809" i="2"/>
  <c r="AZ809" i="2"/>
  <c r="BB809" i="2"/>
  <c r="BC809" i="2"/>
  <c r="BD809" i="2"/>
  <c r="M810" i="2"/>
  <c r="AW810" i="2"/>
  <c r="AX810" i="2"/>
  <c r="AY810" i="2"/>
  <c r="AZ810" i="2"/>
  <c r="BB810" i="2"/>
  <c r="BC810" i="2"/>
  <c r="BD810" i="2"/>
  <c r="M811" i="2"/>
  <c r="AW811" i="2"/>
  <c r="AX811" i="2"/>
  <c r="AY811" i="2"/>
  <c r="AZ811" i="2"/>
  <c r="BB811" i="2"/>
  <c r="BC811" i="2"/>
  <c r="BD811" i="2"/>
  <c r="M812" i="2"/>
  <c r="AW812" i="2"/>
  <c r="AX812" i="2"/>
  <c r="AY812" i="2"/>
  <c r="AZ812" i="2"/>
  <c r="BB812" i="2"/>
  <c r="BC812" i="2"/>
  <c r="BD812" i="2"/>
  <c r="M813" i="2"/>
  <c r="AW813" i="2"/>
  <c r="AX813" i="2"/>
  <c r="AY813" i="2"/>
  <c r="AZ813" i="2"/>
  <c r="BB813" i="2"/>
  <c r="BC813" i="2"/>
  <c r="BD813" i="2"/>
  <c r="M814" i="2"/>
  <c r="AW814" i="2"/>
  <c r="AX814" i="2"/>
  <c r="AY814" i="2"/>
  <c r="AZ814" i="2"/>
  <c r="BB814" i="2"/>
  <c r="BC814" i="2"/>
  <c r="BD814" i="2"/>
  <c r="M815" i="2"/>
  <c r="AW815" i="2"/>
  <c r="AX815" i="2"/>
  <c r="AY815" i="2"/>
  <c r="AZ815" i="2"/>
  <c r="BB815" i="2"/>
  <c r="BC815" i="2"/>
  <c r="BD815" i="2"/>
  <c r="M816" i="2"/>
  <c r="AW816" i="2"/>
  <c r="AX816" i="2"/>
  <c r="AY816" i="2"/>
  <c r="AZ816" i="2"/>
  <c r="BB816" i="2"/>
  <c r="BC816" i="2"/>
  <c r="BD816" i="2"/>
  <c r="M817" i="2"/>
  <c r="AW817" i="2"/>
  <c r="AX817" i="2"/>
  <c r="AY817" i="2"/>
  <c r="AZ817" i="2"/>
  <c r="BB817" i="2"/>
  <c r="BC817" i="2"/>
  <c r="BD817" i="2"/>
  <c r="M818" i="2"/>
  <c r="AW818" i="2"/>
  <c r="AX818" i="2"/>
  <c r="AY818" i="2"/>
  <c r="AZ818" i="2"/>
  <c r="BB818" i="2"/>
  <c r="BC818" i="2"/>
  <c r="BD818" i="2"/>
  <c r="M819" i="2"/>
  <c r="AW819" i="2"/>
  <c r="AX819" i="2"/>
  <c r="AY819" i="2"/>
  <c r="AZ819" i="2"/>
  <c r="BB819" i="2"/>
  <c r="BC819" i="2"/>
  <c r="BD819" i="2"/>
  <c r="M820" i="2"/>
  <c r="AW820" i="2"/>
  <c r="AX820" i="2"/>
  <c r="AY820" i="2"/>
  <c r="AZ820" i="2"/>
  <c r="BB820" i="2"/>
  <c r="BC820" i="2"/>
  <c r="BD820" i="2"/>
  <c r="M821" i="2"/>
  <c r="AW821" i="2"/>
  <c r="AX821" i="2"/>
  <c r="AY821" i="2"/>
  <c r="AZ821" i="2"/>
  <c r="BB821" i="2"/>
  <c r="BC821" i="2"/>
  <c r="BD821" i="2"/>
  <c r="M822" i="2"/>
  <c r="AW822" i="2"/>
  <c r="AX822" i="2"/>
  <c r="AY822" i="2"/>
  <c r="AZ822" i="2"/>
  <c r="BB822" i="2"/>
  <c r="BC822" i="2"/>
  <c r="BD822" i="2"/>
  <c r="M823" i="2"/>
  <c r="AW823" i="2"/>
  <c r="AX823" i="2"/>
  <c r="AY823" i="2"/>
  <c r="AZ823" i="2"/>
  <c r="BB823" i="2"/>
  <c r="BC823" i="2"/>
  <c r="BD823" i="2"/>
  <c r="M824" i="2"/>
  <c r="AW824" i="2"/>
  <c r="AX824" i="2"/>
  <c r="AY824" i="2"/>
  <c r="AZ824" i="2"/>
  <c r="BB824" i="2"/>
  <c r="BC824" i="2"/>
  <c r="BD824" i="2"/>
  <c r="M825" i="2"/>
  <c r="AW825" i="2"/>
  <c r="AX825" i="2"/>
  <c r="AY825" i="2"/>
  <c r="AZ825" i="2"/>
  <c r="BB825" i="2"/>
  <c r="BC825" i="2"/>
  <c r="BD825" i="2"/>
  <c r="M826" i="2"/>
  <c r="AW826" i="2"/>
  <c r="AX826" i="2"/>
  <c r="AY826" i="2"/>
  <c r="AZ826" i="2"/>
  <c r="BB826" i="2"/>
  <c r="BC826" i="2"/>
  <c r="BD826" i="2"/>
  <c r="M827" i="2"/>
  <c r="AW827" i="2"/>
  <c r="AX827" i="2"/>
  <c r="AY827" i="2"/>
  <c r="AZ827" i="2"/>
  <c r="BB827" i="2"/>
  <c r="BC827" i="2"/>
  <c r="BD827" i="2"/>
  <c r="M828" i="2"/>
  <c r="AW828" i="2"/>
  <c r="AX828" i="2"/>
  <c r="AY828" i="2"/>
  <c r="AZ828" i="2"/>
  <c r="BB828" i="2"/>
  <c r="BC828" i="2"/>
  <c r="BD828" i="2"/>
  <c r="M829" i="2"/>
  <c r="AW829" i="2"/>
  <c r="AX829" i="2"/>
  <c r="AY829" i="2"/>
  <c r="AZ829" i="2"/>
  <c r="BB829" i="2"/>
  <c r="BC829" i="2"/>
  <c r="BD829" i="2"/>
  <c r="M830" i="2"/>
  <c r="AW830" i="2"/>
  <c r="AX830" i="2"/>
  <c r="AY830" i="2"/>
  <c r="AZ830" i="2"/>
  <c r="BB830" i="2"/>
  <c r="BC830" i="2"/>
  <c r="BD830" i="2"/>
  <c r="M831" i="2"/>
  <c r="AX831" i="2"/>
  <c r="AZ831" i="2"/>
  <c r="BB831" i="2"/>
  <c r="BC831" i="2"/>
  <c r="BD831" i="2"/>
  <c r="M833" i="2"/>
  <c r="AW833" i="2"/>
  <c r="AX833" i="2"/>
  <c r="AY833" i="2"/>
  <c r="AZ833" i="2"/>
  <c r="BB833" i="2"/>
  <c r="BC833" i="2"/>
  <c r="BD833" i="2"/>
  <c r="M834" i="2"/>
  <c r="AW834" i="2"/>
  <c r="AX834" i="2"/>
  <c r="AY834" i="2"/>
  <c r="AZ834" i="2"/>
  <c r="BB834" i="2"/>
  <c r="BC834" i="2"/>
  <c r="BD834" i="2"/>
  <c r="M835" i="2"/>
  <c r="AW835" i="2"/>
  <c r="AX835" i="2"/>
  <c r="AY835" i="2"/>
  <c r="AZ835" i="2"/>
  <c r="BB835" i="2"/>
  <c r="BC835" i="2"/>
  <c r="BD835" i="2"/>
  <c r="M836" i="2"/>
  <c r="AW836" i="2"/>
  <c r="AX836" i="2"/>
  <c r="AY836" i="2"/>
  <c r="AZ836" i="2"/>
  <c r="BB836" i="2"/>
  <c r="BC836" i="2"/>
  <c r="BD836" i="2"/>
  <c r="M837" i="2"/>
  <c r="AW837" i="2"/>
  <c r="AX837" i="2"/>
  <c r="AY837" i="2"/>
  <c r="AZ837" i="2"/>
  <c r="BB837" i="2"/>
  <c r="BC837" i="2"/>
  <c r="BD837" i="2"/>
  <c r="M838" i="2"/>
  <c r="AW838" i="2"/>
  <c r="AX838" i="2"/>
  <c r="AY838" i="2"/>
  <c r="AZ838" i="2"/>
  <c r="BB838" i="2"/>
  <c r="BC838" i="2"/>
  <c r="BD838" i="2"/>
  <c r="M839" i="2"/>
  <c r="AW839" i="2"/>
  <c r="AX839" i="2"/>
  <c r="AY839" i="2"/>
  <c r="AZ839" i="2"/>
  <c r="BB839" i="2"/>
  <c r="BC839" i="2"/>
  <c r="BD839" i="2"/>
  <c r="M840" i="2"/>
  <c r="AW840" i="2"/>
  <c r="AX840" i="2"/>
  <c r="AY840" i="2"/>
  <c r="AZ840" i="2"/>
  <c r="BB840" i="2"/>
  <c r="BC840" i="2"/>
  <c r="BD840" i="2"/>
  <c r="M841" i="2"/>
  <c r="AW841" i="2"/>
  <c r="AX841" i="2"/>
  <c r="AY841" i="2"/>
  <c r="AZ841" i="2"/>
  <c r="BB841" i="2"/>
  <c r="BC841" i="2"/>
  <c r="BD841" i="2"/>
  <c r="M842" i="2"/>
  <c r="AW842" i="2"/>
  <c r="AX842" i="2"/>
  <c r="AY842" i="2"/>
  <c r="AZ842" i="2"/>
  <c r="BB842" i="2"/>
  <c r="BC842" i="2"/>
  <c r="BD842" i="2"/>
  <c r="M843" i="2"/>
  <c r="AW843" i="2"/>
  <c r="AX843" i="2"/>
  <c r="AY843" i="2"/>
  <c r="AZ843" i="2"/>
  <c r="BB843" i="2"/>
  <c r="BC843" i="2"/>
  <c r="BD843" i="2"/>
  <c r="M844" i="2"/>
  <c r="AW844" i="2"/>
  <c r="AX844" i="2"/>
  <c r="AY844" i="2"/>
  <c r="AZ844" i="2"/>
  <c r="BB844" i="2"/>
  <c r="BC844" i="2"/>
  <c r="BD844" i="2"/>
  <c r="M845" i="2"/>
  <c r="AW845" i="2"/>
  <c r="AX845" i="2"/>
  <c r="AY845" i="2"/>
  <c r="AZ845" i="2"/>
  <c r="BB845" i="2"/>
  <c r="BC845" i="2"/>
  <c r="BD845" i="2"/>
  <c r="M846" i="2"/>
  <c r="AW846" i="2"/>
  <c r="AX846" i="2"/>
  <c r="AY846" i="2"/>
  <c r="AZ846" i="2"/>
  <c r="BB846" i="2"/>
  <c r="BC846" i="2"/>
  <c r="BD846" i="2"/>
  <c r="M847" i="2"/>
  <c r="AW847" i="2"/>
  <c r="AX847" i="2"/>
  <c r="AY847" i="2"/>
  <c r="AZ847" i="2"/>
  <c r="BB847" i="2"/>
  <c r="BC847" i="2"/>
  <c r="BD847" i="2"/>
  <c r="M848" i="2"/>
  <c r="AW848" i="2"/>
  <c r="AX848" i="2"/>
  <c r="AY848" i="2"/>
  <c r="AZ848" i="2"/>
  <c r="BB848" i="2"/>
  <c r="BC848" i="2"/>
  <c r="BD848" i="2"/>
  <c r="M849" i="2"/>
  <c r="AW849" i="2"/>
  <c r="AX849" i="2"/>
  <c r="AY849" i="2"/>
  <c r="AZ849" i="2"/>
  <c r="BB849" i="2"/>
  <c r="BC849" i="2"/>
  <c r="BD849" i="2"/>
  <c r="M850" i="2"/>
  <c r="AW850" i="2"/>
  <c r="AX850" i="2"/>
  <c r="AY850" i="2"/>
  <c r="AZ850" i="2"/>
  <c r="BB850" i="2"/>
  <c r="BC850" i="2"/>
  <c r="BD850" i="2"/>
  <c r="M851" i="2"/>
  <c r="AW851" i="2"/>
  <c r="AX851" i="2"/>
  <c r="AY851" i="2"/>
  <c r="AZ851" i="2"/>
  <c r="BB851" i="2"/>
  <c r="BC851" i="2"/>
  <c r="BD851" i="2"/>
  <c r="M852" i="2"/>
  <c r="AW852" i="2"/>
  <c r="AX852" i="2"/>
  <c r="AY852" i="2"/>
  <c r="AZ852" i="2"/>
  <c r="BB852" i="2"/>
  <c r="BC852" i="2"/>
  <c r="BD852" i="2"/>
  <c r="M853" i="2"/>
  <c r="AW853" i="2"/>
  <c r="AX853" i="2"/>
  <c r="AY853" i="2"/>
  <c r="AZ853" i="2"/>
  <c r="BB853" i="2"/>
  <c r="BC853" i="2"/>
  <c r="BD853" i="2"/>
  <c r="M854" i="2"/>
  <c r="AW854" i="2"/>
  <c r="AX854" i="2"/>
  <c r="AY854" i="2"/>
  <c r="AZ854" i="2"/>
  <c r="BB854" i="2"/>
  <c r="BC854" i="2"/>
  <c r="BD854" i="2"/>
  <c r="M855" i="2"/>
  <c r="AW855" i="2"/>
  <c r="AX855" i="2"/>
  <c r="AY855" i="2"/>
  <c r="AZ855" i="2"/>
  <c r="BB855" i="2"/>
  <c r="BC855" i="2"/>
  <c r="BD855" i="2"/>
  <c r="M856" i="2"/>
  <c r="AW856" i="2"/>
  <c r="AX856" i="2"/>
  <c r="AY856" i="2"/>
  <c r="AZ856" i="2"/>
  <c r="BB856" i="2"/>
  <c r="BC856" i="2"/>
  <c r="BD856" i="2"/>
  <c r="M857" i="2"/>
  <c r="AW857" i="2"/>
  <c r="AX857" i="2"/>
  <c r="AY857" i="2"/>
  <c r="AZ857" i="2"/>
  <c r="BB857" i="2"/>
  <c r="BC857" i="2"/>
  <c r="BD857" i="2"/>
  <c r="M858" i="2"/>
  <c r="AW858" i="2"/>
  <c r="AX858" i="2"/>
  <c r="AY858" i="2"/>
  <c r="AZ858" i="2"/>
  <c r="BB858" i="2"/>
  <c r="BC858" i="2"/>
  <c r="BD858" i="2"/>
  <c r="M859" i="2"/>
  <c r="AW859" i="2"/>
  <c r="AX859" i="2"/>
  <c r="AY859" i="2"/>
  <c r="AZ859" i="2"/>
  <c r="BB859" i="2"/>
  <c r="BC859" i="2"/>
  <c r="BD859" i="2"/>
  <c r="M860" i="2"/>
  <c r="AW860" i="2"/>
  <c r="AX860" i="2"/>
  <c r="AY860" i="2"/>
  <c r="AZ860" i="2"/>
  <c r="BB860" i="2"/>
  <c r="BC860" i="2"/>
  <c r="BD860" i="2"/>
  <c r="M861" i="2"/>
  <c r="AW861" i="2"/>
  <c r="AX861" i="2"/>
  <c r="AY861" i="2"/>
  <c r="AZ861" i="2"/>
  <c r="BB861" i="2"/>
  <c r="BC861" i="2"/>
  <c r="BD861" i="2"/>
  <c r="M862" i="2"/>
  <c r="AW862" i="2"/>
  <c r="AX862" i="2"/>
  <c r="AY862" i="2"/>
  <c r="AZ862" i="2"/>
  <c r="BB862" i="2"/>
  <c r="BC862" i="2"/>
  <c r="BD862" i="2"/>
  <c r="M863" i="2"/>
  <c r="AW863" i="2"/>
  <c r="AX863" i="2"/>
  <c r="AY863" i="2"/>
  <c r="AZ863" i="2"/>
  <c r="BB863" i="2"/>
  <c r="BC863" i="2"/>
  <c r="BD863" i="2"/>
  <c r="M864" i="2"/>
  <c r="AW864" i="2"/>
  <c r="AX864" i="2"/>
  <c r="AY864" i="2"/>
  <c r="AZ864" i="2"/>
  <c r="BB864" i="2"/>
  <c r="BC864" i="2"/>
  <c r="BD864" i="2"/>
  <c r="M865" i="2"/>
  <c r="AW865" i="2"/>
  <c r="AX865" i="2"/>
  <c r="AY865" i="2"/>
  <c r="AZ865" i="2"/>
  <c r="BB865" i="2"/>
  <c r="BC865" i="2"/>
  <c r="BD865" i="2"/>
  <c r="M866" i="2"/>
  <c r="AW866" i="2"/>
  <c r="AX866" i="2"/>
  <c r="AY866" i="2"/>
  <c r="AZ866" i="2"/>
  <c r="BB866" i="2"/>
  <c r="BC866" i="2"/>
  <c r="BD866" i="2"/>
  <c r="M867" i="2"/>
  <c r="AW867" i="2"/>
  <c r="AX867" i="2"/>
  <c r="AY867" i="2"/>
  <c r="AZ867" i="2"/>
  <c r="BB867" i="2"/>
  <c r="BC867" i="2"/>
  <c r="BD867" i="2"/>
  <c r="M868" i="2"/>
  <c r="AW868" i="2"/>
  <c r="AX868" i="2"/>
  <c r="AY868" i="2"/>
  <c r="AZ868" i="2"/>
  <c r="BB868" i="2"/>
  <c r="BC868" i="2"/>
  <c r="BD868" i="2"/>
  <c r="M869" i="2"/>
  <c r="AW869" i="2"/>
  <c r="AX869" i="2"/>
  <c r="AY869" i="2"/>
  <c r="AZ869" i="2"/>
  <c r="BB869" i="2"/>
  <c r="BC869" i="2"/>
  <c r="BD869" i="2"/>
  <c r="M870" i="2"/>
  <c r="AW870" i="2"/>
  <c r="AX870" i="2"/>
  <c r="AY870" i="2"/>
  <c r="AZ870" i="2"/>
  <c r="BB870" i="2"/>
  <c r="BC870" i="2"/>
  <c r="BD870" i="2"/>
  <c r="M871" i="2"/>
  <c r="AW871" i="2"/>
  <c r="AX871" i="2"/>
  <c r="AY871" i="2"/>
  <c r="AZ871" i="2"/>
  <c r="BB871" i="2"/>
  <c r="BC871" i="2"/>
  <c r="BD871" i="2"/>
  <c r="M872" i="2"/>
  <c r="AW872" i="2"/>
  <c r="AX872" i="2"/>
  <c r="AY872" i="2"/>
  <c r="AZ872" i="2"/>
  <c r="BB872" i="2"/>
  <c r="BC872" i="2"/>
  <c r="BD872" i="2"/>
  <c r="M873" i="2"/>
  <c r="AW873" i="2"/>
  <c r="AX873" i="2"/>
  <c r="AY873" i="2"/>
  <c r="AZ873" i="2"/>
  <c r="BB873" i="2"/>
  <c r="BC873" i="2"/>
  <c r="BD873" i="2"/>
  <c r="M874" i="2"/>
  <c r="AW874" i="2"/>
  <c r="AX874" i="2"/>
  <c r="AY874" i="2"/>
  <c r="AZ874" i="2"/>
  <c r="BB874" i="2"/>
  <c r="BC874" i="2"/>
  <c r="BD874" i="2"/>
  <c r="M875" i="2"/>
  <c r="AW875" i="2"/>
  <c r="AX875" i="2"/>
  <c r="AY875" i="2"/>
  <c r="AZ875" i="2"/>
  <c r="BB875" i="2"/>
  <c r="BC875" i="2"/>
  <c r="BD875" i="2"/>
  <c r="M876" i="2"/>
  <c r="AW876" i="2"/>
  <c r="AX876" i="2"/>
  <c r="AY876" i="2"/>
  <c r="AZ876" i="2"/>
  <c r="BB876" i="2"/>
  <c r="BC876" i="2"/>
  <c r="BD876" i="2"/>
  <c r="M877" i="2"/>
  <c r="AW877" i="2"/>
  <c r="AX877" i="2"/>
  <c r="AY877" i="2"/>
  <c r="AZ877" i="2"/>
  <c r="BB877" i="2"/>
  <c r="BC877" i="2"/>
  <c r="BD877" i="2"/>
  <c r="M878" i="2"/>
  <c r="AW878" i="2"/>
  <c r="AX878" i="2"/>
  <c r="AY878" i="2"/>
  <c r="AZ878" i="2"/>
  <c r="BB878" i="2"/>
  <c r="BC878" i="2"/>
  <c r="BD878" i="2"/>
  <c r="M879" i="2"/>
  <c r="AW879" i="2"/>
  <c r="AX879" i="2"/>
  <c r="AY879" i="2"/>
  <c r="AZ879" i="2"/>
  <c r="BB879" i="2"/>
  <c r="BC879" i="2"/>
  <c r="BD879" i="2"/>
  <c r="M880" i="2"/>
  <c r="AW880" i="2"/>
  <c r="AX880" i="2"/>
  <c r="AY880" i="2"/>
  <c r="AZ880" i="2"/>
  <c r="BB880" i="2"/>
  <c r="BC880" i="2"/>
  <c r="BD880" i="2"/>
  <c r="M881" i="2"/>
  <c r="AW881" i="2"/>
  <c r="AX881" i="2"/>
  <c r="AY881" i="2"/>
  <c r="AZ881" i="2"/>
  <c r="BB881" i="2"/>
  <c r="BC881" i="2"/>
  <c r="BD881" i="2"/>
  <c r="M882" i="2"/>
  <c r="AW882" i="2"/>
  <c r="AX882" i="2"/>
  <c r="AY882" i="2"/>
  <c r="AZ882" i="2"/>
  <c r="BB882" i="2"/>
  <c r="BC882" i="2"/>
  <c r="BD882" i="2"/>
  <c r="M883" i="2"/>
  <c r="AW883" i="2"/>
  <c r="AX883" i="2"/>
  <c r="AY883" i="2"/>
  <c r="AZ883" i="2"/>
  <c r="BB883" i="2"/>
  <c r="BC883" i="2"/>
  <c r="BD883" i="2"/>
  <c r="M884" i="2"/>
  <c r="AW884" i="2"/>
  <c r="AX884" i="2"/>
  <c r="AY884" i="2"/>
  <c r="AZ884" i="2"/>
  <c r="BB884" i="2"/>
  <c r="BC884" i="2"/>
  <c r="BD884" i="2"/>
  <c r="M885" i="2"/>
  <c r="AW885" i="2"/>
  <c r="AX885" i="2"/>
  <c r="AY885" i="2"/>
  <c r="AZ885" i="2"/>
  <c r="BB885" i="2"/>
  <c r="BC885" i="2"/>
  <c r="BD885" i="2"/>
  <c r="M886" i="2"/>
  <c r="AW886" i="2"/>
  <c r="AX886" i="2"/>
  <c r="AY886" i="2"/>
  <c r="AZ886" i="2"/>
  <c r="BB886" i="2"/>
  <c r="BC886" i="2"/>
  <c r="BD886" i="2"/>
  <c r="M887" i="2"/>
  <c r="AW887" i="2"/>
  <c r="AX887" i="2"/>
  <c r="AY887" i="2"/>
  <c r="AZ887" i="2"/>
  <c r="BB887" i="2"/>
  <c r="BC887" i="2"/>
  <c r="BD887" i="2"/>
  <c r="M888" i="2"/>
  <c r="AW888" i="2"/>
  <c r="AX888" i="2"/>
  <c r="AY888" i="2"/>
  <c r="AZ888" i="2"/>
  <c r="BB888" i="2"/>
  <c r="BC888" i="2"/>
  <c r="BD888" i="2"/>
  <c r="M889" i="2"/>
  <c r="AW889" i="2"/>
  <c r="AX889" i="2"/>
  <c r="AY889" i="2"/>
  <c r="AZ889" i="2"/>
  <c r="BB889" i="2"/>
  <c r="BC889" i="2"/>
  <c r="BD889" i="2"/>
  <c r="M890" i="2"/>
  <c r="AW890" i="2"/>
  <c r="AX890" i="2"/>
  <c r="AY890" i="2"/>
  <c r="AZ890" i="2"/>
  <c r="BB890" i="2"/>
  <c r="BC890" i="2"/>
  <c r="BD890" i="2"/>
  <c r="M891" i="2"/>
  <c r="AW891" i="2"/>
  <c r="AX891" i="2"/>
  <c r="AY891" i="2"/>
  <c r="AZ891" i="2"/>
  <c r="BB891" i="2"/>
  <c r="BC891" i="2"/>
  <c r="BD891" i="2"/>
  <c r="M892" i="2"/>
  <c r="AW892" i="2"/>
  <c r="AX892" i="2"/>
  <c r="AY892" i="2"/>
  <c r="AZ892" i="2"/>
  <c r="BB892" i="2"/>
  <c r="BC892" i="2"/>
  <c r="BD892" i="2"/>
  <c r="M893" i="2"/>
  <c r="AW893" i="2"/>
  <c r="AX893" i="2"/>
  <c r="AY893" i="2"/>
  <c r="AZ893" i="2"/>
  <c r="BB893" i="2"/>
  <c r="BC893" i="2"/>
  <c r="BD893" i="2"/>
  <c r="M894" i="2"/>
  <c r="AW894" i="2"/>
  <c r="AX894" i="2"/>
  <c r="AY894" i="2"/>
  <c r="AZ894" i="2"/>
  <c r="BB894" i="2"/>
  <c r="BC894" i="2"/>
  <c r="BD894" i="2"/>
  <c r="M895" i="2"/>
  <c r="AW895" i="2"/>
  <c r="AX895" i="2"/>
  <c r="AY895" i="2"/>
  <c r="AZ895" i="2"/>
  <c r="BB895" i="2"/>
  <c r="BC895" i="2"/>
  <c r="BD895" i="2"/>
  <c r="M896" i="2"/>
  <c r="AW896" i="2"/>
  <c r="AX896" i="2"/>
  <c r="AY896" i="2"/>
  <c r="AZ896" i="2"/>
  <c r="BB896" i="2"/>
  <c r="BC896" i="2"/>
  <c r="BD896" i="2"/>
  <c r="M897" i="2"/>
  <c r="AW897" i="2"/>
  <c r="AX897" i="2"/>
  <c r="AY897" i="2"/>
  <c r="AZ897" i="2"/>
  <c r="BB897" i="2"/>
  <c r="BC897" i="2"/>
  <c r="BD897" i="2"/>
  <c r="M898" i="2"/>
  <c r="AW898" i="2"/>
  <c r="AX898" i="2"/>
  <c r="AY898" i="2"/>
  <c r="AZ898" i="2"/>
  <c r="BB898" i="2"/>
  <c r="BC898" i="2"/>
  <c r="BD898" i="2"/>
  <c r="M899" i="2"/>
  <c r="AW899" i="2"/>
  <c r="AX899" i="2"/>
  <c r="AY899" i="2"/>
  <c r="AZ899" i="2"/>
  <c r="BB899" i="2"/>
  <c r="BC899" i="2"/>
  <c r="BD899" i="2"/>
  <c r="M900" i="2"/>
  <c r="AW900" i="2"/>
  <c r="AX900" i="2"/>
  <c r="AY900" i="2"/>
  <c r="AZ900" i="2"/>
  <c r="BB900" i="2"/>
  <c r="BC900" i="2"/>
  <c r="BD900" i="2"/>
  <c r="M901" i="2"/>
  <c r="AW901" i="2"/>
  <c r="AX901" i="2"/>
  <c r="AY901" i="2"/>
  <c r="AZ901" i="2"/>
  <c r="BB901" i="2"/>
  <c r="BC901" i="2"/>
  <c r="BD901" i="2"/>
  <c r="M902" i="2"/>
  <c r="AW902" i="2"/>
  <c r="AX902" i="2"/>
  <c r="AY902" i="2"/>
  <c r="AZ902" i="2"/>
  <c r="BB902" i="2"/>
  <c r="BC902" i="2"/>
  <c r="BD902" i="2"/>
  <c r="M903" i="2"/>
  <c r="AW903" i="2"/>
  <c r="AX903" i="2"/>
  <c r="AY903" i="2"/>
  <c r="AZ903" i="2"/>
  <c r="BB903" i="2"/>
  <c r="BC903" i="2"/>
  <c r="BD903" i="2"/>
  <c r="M904" i="2"/>
  <c r="AW904" i="2"/>
  <c r="AX904" i="2"/>
  <c r="AY904" i="2"/>
  <c r="AZ904" i="2"/>
  <c r="BB904" i="2"/>
  <c r="BC904" i="2"/>
  <c r="BD904" i="2"/>
  <c r="M905" i="2"/>
  <c r="AW905" i="2"/>
  <c r="AX905" i="2"/>
  <c r="AY905" i="2"/>
  <c r="AZ905" i="2"/>
  <c r="BB905" i="2"/>
  <c r="BC905" i="2"/>
  <c r="BD905" i="2"/>
  <c r="M906" i="2"/>
  <c r="AW906" i="2"/>
  <c r="AX906" i="2"/>
  <c r="AY906" i="2"/>
  <c r="AZ906" i="2"/>
  <c r="BB906" i="2"/>
  <c r="BC906" i="2"/>
  <c r="BD906" i="2"/>
  <c r="M907" i="2"/>
  <c r="AW907" i="2"/>
  <c r="AX907" i="2"/>
  <c r="AY907" i="2"/>
  <c r="AZ907" i="2"/>
  <c r="BB907" i="2"/>
  <c r="BC907" i="2"/>
  <c r="BD907" i="2"/>
  <c r="M908" i="2"/>
  <c r="AW908" i="2"/>
  <c r="AX908" i="2"/>
  <c r="AY908" i="2"/>
  <c r="AZ908" i="2"/>
  <c r="BB908" i="2"/>
  <c r="BC908" i="2"/>
  <c r="BD908" i="2"/>
  <c r="M909" i="2"/>
  <c r="AW909" i="2"/>
  <c r="AX909" i="2"/>
  <c r="AY909" i="2"/>
  <c r="AZ909" i="2"/>
  <c r="BB909" i="2"/>
  <c r="BC909" i="2"/>
  <c r="BD909" i="2"/>
  <c r="M910" i="2"/>
  <c r="AW910" i="2"/>
  <c r="AX910" i="2"/>
  <c r="AY910" i="2"/>
  <c r="AZ910" i="2"/>
  <c r="BB910" i="2"/>
  <c r="BC910" i="2"/>
  <c r="BD910" i="2"/>
  <c r="M911" i="2"/>
  <c r="AW911" i="2"/>
  <c r="AX911" i="2"/>
  <c r="AY911" i="2"/>
  <c r="AZ911" i="2"/>
  <c r="BB911" i="2"/>
  <c r="BC911" i="2"/>
  <c r="BD911" i="2"/>
  <c r="M912" i="2"/>
  <c r="AW912" i="2"/>
  <c r="AX912" i="2"/>
  <c r="AY912" i="2"/>
  <c r="AZ912" i="2"/>
  <c r="BB912" i="2"/>
  <c r="BC912" i="2"/>
  <c r="BD912" i="2"/>
  <c r="M913" i="2"/>
  <c r="AW913" i="2"/>
  <c r="AX913" i="2"/>
  <c r="AY913" i="2"/>
  <c r="AZ913" i="2"/>
  <c r="BB913" i="2"/>
  <c r="BC913" i="2"/>
  <c r="BD913" i="2"/>
  <c r="M914" i="2"/>
  <c r="AW914" i="2"/>
  <c r="AX914" i="2"/>
  <c r="AY914" i="2"/>
  <c r="AZ914" i="2"/>
  <c r="BB914" i="2"/>
  <c r="BC914" i="2"/>
  <c r="BD914" i="2"/>
  <c r="M915" i="2"/>
  <c r="AW915" i="2"/>
  <c r="AX915" i="2"/>
  <c r="AY915" i="2"/>
  <c r="AZ915" i="2"/>
  <c r="BB915" i="2"/>
  <c r="BC915" i="2"/>
  <c r="BD915" i="2"/>
  <c r="M916" i="2"/>
  <c r="AW916" i="2"/>
  <c r="AX916" i="2"/>
  <c r="AY916" i="2"/>
  <c r="AZ916" i="2"/>
  <c r="BB916" i="2"/>
  <c r="BC916" i="2"/>
  <c r="BD916" i="2"/>
  <c r="M917" i="2"/>
  <c r="AW917" i="2"/>
  <c r="AX917" i="2"/>
  <c r="AY917" i="2"/>
  <c r="AZ917" i="2"/>
  <c r="BB917" i="2"/>
  <c r="BC917" i="2"/>
  <c r="BD917" i="2"/>
  <c r="M918" i="2"/>
  <c r="AW918" i="2"/>
  <c r="AX918" i="2"/>
  <c r="AY918" i="2"/>
  <c r="AZ918" i="2"/>
  <c r="BB918" i="2"/>
  <c r="BC918" i="2"/>
  <c r="BD918" i="2"/>
  <c r="M919" i="2"/>
  <c r="AW919" i="2"/>
  <c r="AX919" i="2"/>
  <c r="AY919" i="2"/>
  <c r="AZ919" i="2"/>
  <c r="BB919" i="2"/>
  <c r="BC919" i="2"/>
  <c r="BD919" i="2"/>
  <c r="M920" i="2"/>
  <c r="AW920" i="2"/>
  <c r="AX920" i="2"/>
  <c r="AY920" i="2"/>
  <c r="AZ920" i="2"/>
  <c r="BB920" i="2"/>
  <c r="BC920" i="2"/>
  <c r="BD920" i="2"/>
  <c r="M921" i="2"/>
  <c r="AW921" i="2"/>
  <c r="AX921" i="2"/>
  <c r="AY921" i="2"/>
  <c r="AZ921" i="2"/>
  <c r="BB921" i="2"/>
  <c r="BC921" i="2"/>
  <c r="BD921" i="2"/>
  <c r="M922" i="2"/>
  <c r="AW922" i="2"/>
  <c r="AX922" i="2"/>
  <c r="AY922" i="2"/>
  <c r="AZ922" i="2"/>
  <c r="BB922" i="2"/>
  <c r="BC922" i="2"/>
  <c r="BD922" i="2"/>
  <c r="M923" i="2"/>
  <c r="AW923" i="2"/>
  <c r="AX923" i="2"/>
  <c r="AY923" i="2"/>
  <c r="AZ923" i="2"/>
  <c r="BB923" i="2"/>
  <c r="BC923" i="2"/>
  <c r="BD923" i="2"/>
  <c r="M924" i="2"/>
  <c r="AW924" i="2"/>
  <c r="AX924" i="2"/>
  <c r="AY924" i="2"/>
  <c r="AZ924" i="2"/>
  <c r="BB924" i="2"/>
  <c r="BC924" i="2"/>
  <c r="BD924" i="2"/>
  <c r="M925" i="2"/>
  <c r="AW925" i="2"/>
  <c r="AX925" i="2"/>
  <c r="AY925" i="2"/>
  <c r="AZ925" i="2"/>
  <c r="BB925" i="2"/>
  <c r="BC925" i="2"/>
  <c r="BD925" i="2"/>
  <c r="M926" i="2"/>
  <c r="AW926" i="2"/>
  <c r="AX926" i="2"/>
  <c r="AY926" i="2"/>
  <c r="AZ926" i="2"/>
  <c r="BB926" i="2"/>
  <c r="BC926" i="2"/>
  <c r="BD926" i="2"/>
  <c r="M927" i="2"/>
  <c r="AW927" i="2"/>
  <c r="AX927" i="2"/>
  <c r="AY927" i="2"/>
  <c r="AZ927" i="2"/>
  <c r="BB927" i="2"/>
  <c r="BC927" i="2"/>
  <c r="BD927" i="2"/>
  <c r="M928" i="2"/>
  <c r="AW928" i="2"/>
  <c r="AX928" i="2"/>
  <c r="AY928" i="2"/>
  <c r="AZ928" i="2"/>
  <c r="BB928" i="2"/>
  <c r="BC928" i="2"/>
  <c r="BD928" i="2"/>
  <c r="M929" i="2"/>
  <c r="AW929" i="2"/>
  <c r="AX929" i="2"/>
  <c r="AY929" i="2"/>
  <c r="AZ929" i="2"/>
  <c r="BB929" i="2"/>
  <c r="BC929" i="2"/>
  <c r="BD929" i="2"/>
  <c r="M930" i="2"/>
  <c r="AW930" i="2"/>
  <c r="AX930" i="2"/>
  <c r="AY930" i="2"/>
  <c r="AZ930" i="2"/>
  <c r="BB930" i="2"/>
  <c r="BC930" i="2"/>
  <c r="BD930" i="2"/>
  <c r="M931" i="2"/>
  <c r="AW931" i="2"/>
  <c r="AX931" i="2"/>
  <c r="AY931" i="2"/>
  <c r="AZ931" i="2"/>
  <c r="BB931" i="2"/>
  <c r="BC931" i="2"/>
  <c r="BD931" i="2"/>
  <c r="M932" i="2"/>
  <c r="AX932" i="2"/>
  <c r="AZ932" i="2"/>
  <c r="BB932" i="2"/>
  <c r="BC932" i="2"/>
  <c r="BD932" i="2"/>
  <c r="BP932" i="2"/>
  <c r="M934" i="2"/>
  <c r="AW934" i="2"/>
  <c r="AX934" i="2"/>
  <c r="AY934" i="2"/>
  <c r="AZ934" i="2"/>
  <c r="BB934" i="2"/>
  <c r="BC934" i="2"/>
  <c r="BD934" i="2"/>
  <c r="M935" i="2"/>
  <c r="AW935" i="2"/>
  <c r="AX935" i="2"/>
  <c r="AY935" i="2"/>
  <c r="AZ935" i="2"/>
  <c r="BB935" i="2"/>
  <c r="BC935" i="2"/>
  <c r="BD935" i="2"/>
  <c r="M936" i="2"/>
  <c r="AW936" i="2"/>
  <c r="AX936" i="2"/>
  <c r="AY936" i="2"/>
  <c r="AZ936" i="2"/>
  <c r="BB936" i="2"/>
  <c r="BC936" i="2"/>
  <c r="BD936" i="2"/>
  <c r="M937" i="2"/>
  <c r="AW937" i="2"/>
  <c r="AX937" i="2"/>
  <c r="AY937" i="2"/>
  <c r="AZ937" i="2"/>
  <c r="BB937" i="2"/>
  <c r="BC937" i="2"/>
  <c r="BD937" i="2"/>
  <c r="M938" i="2"/>
  <c r="AW938" i="2"/>
  <c r="AX938" i="2"/>
  <c r="AY938" i="2"/>
  <c r="AZ938" i="2"/>
  <c r="BB938" i="2"/>
  <c r="BC938" i="2"/>
  <c r="BD938" i="2"/>
  <c r="M939" i="2"/>
  <c r="AW939" i="2"/>
  <c r="AX939" i="2"/>
  <c r="AY939" i="2"/>
  <c r="AZ939" i="2"/>
  <c r="BB939" i="2"/>
  <c r="BC939" i="2"/>
  <c r="BD939" i="2"/>
  <c r="M940" i="2"/>
  <c r="AW940" i="2"/>
  <c r="AX940" i="2"/>
  <c r="AY940" i="2"/>
  <c r="AZ940" i="2"/>
  <c r="BB940" i="2"/>
  <c r="BC940" i="2"/>
  <c r="BD940" i="2"/>
  <c r="M941" i="2"/>
  <c r="AW941" i="2"/>
  <c r="AX941" i="2"/>
  <c r="AY941" i="2"/>
  <c r="AZ941" i="2"/>
  <c r="BB941" i="2"/>
  <c r="BC941" i="2"/>
  <c r="BD941" i="2"/>
  <c r="M942" i="2"/>
  <c r="AW942" i="2"/>
  <c r="AX942" i="2"/>
  <c r="AY942" i="2"/>
  <c r="AZ942" i="2"/>
  <c r="BB942" i="2"/>
  <c r="BC942" i="2"/>
  <c r="BD942" i="2"/>
  <c r="M943" i="2"/>
  <c r="AW943" i="2"/>
  <c r="AX943" i="2"/>
  <c r="AY943" i="2"/>
  <c r="AZ943" i="2"/>
  <c r="BB943" i="2"/>
  <c r="BC943" i="2"/>
  <c r="BD943" i="2"/>
  <c r="M944" i="2"/>
  <c r="AW944" i="2"/>
  <c r="AX944" i="2"/>
  <c r="AY944" i="2"/>
  <c r="AZ944" i="2"/>
  <c r="BB944" i="2"/>
  <c r="BC944" i="2"/>
  <c r="BD944" i="2"/>
  <c r="M945" i="2"/>
  <c r="AW945" i="2"/>
  <c r="AX945" i="2"/>
  <c r="AY945" i="2"/>
  <c r="AZ945" i="2"/>
  <c r="BB945" i="2"/>
  <c r="BC945" i="2"/>
  <c r="BD945" i="2"/>
  <c r="M946" i="2"/>
  <c r="AW946" i="2"/>
  <c r="AX946" i="2"/>
  <c r="AY946" i="2"/>
  <c r="AZ946" i="2"/>
  <c r="BB946" i="2"/>
  <c r="BC946" i="2"/>
  <c r="BD946" i="2"/>
  <c r="M947" i="2"/>
  <c r="AW947" i="2"/>
  <c r="AX947" i="2"/>
  <c r="AY947" i="2"/>
  <c r="AZ947" i="2"/>
  <c r="BB947" i="2"/>
  <c r="BC947" i="2"/>
  <c r="BD947" i="2"/>
  <c r="M948" i="2"/>
  <c r="AW948" i="2"/>
  <c r="AX948" i="2"/>
  <c r="AY948" i="2"/>
  <c r="AZ948" i="2"/>
  <c r="BB948" i="2"/>
  <c r="BC948" i="2"/>
  <c r="BD948" i="2"/>
  <c r="M949" i="2"/>
  <c r="AW949" i="2"/>
  <c r="AX949" i="2"/>
  <c r="AY949" i="2"/>
  <c r="AZ949" i="2"/>
  <c r="BB949" i="2"/>
  <c r="BC949" i="2"/>
  <c r="BD949" i="2"/>
  <c r="M950" i="2"/>
  <c r="AW950" i="2"/>
  <c r="AX950" i="2"/>
  <c r="AY950" i="2"/>
  <c r="AZ950" i="2"/>
  <c r="BB950" i="2"/>
  <c r="BC950" i="2"/>
  <c r="BD950" i="2"/>
  <c r="M951" i="2"/>
  <c r="AW951" i="2"/>
  <c r="AX951" i="2"/>
  <c r="AY951" i="2"/>
  <c r="AZ951" i="2"/>
  <c r="BB951" i="2"/>
  <c r="BC951" i="2"/>
  <c r="BD951" i="2"/>
  <c r="M952" i="2"/>
  <c r="AW952" i="2"/>
  <c r="AX952" i="2"/>
  <c r="AY952" i="2"/>
  <c r="AZ952" i="2"/>
  <c r="BB952" i="2"/>
  <c r="BC952" i="2"/>
  <c r="BD952" i="2"/>
  <c r="M953" i="2"/>
  <c r="AW953" i="2"/>
  <c r="AX953" i="2"/>
  <c r="AY953" i="2"/>
  <c r="AZ953" i="2"/>
  <c r="BB953" i="2"/>
  <c r="BC953" i="2"/>
  <c r="BD953" i="2"/>
  <c r="M954" i="2"/>
  <c r="AW954" i="2"/>
  <c r="AX954" i="2"/>
  <c r="AY954" i="2"/>
  <c r="AZ954" i="2"/>
  <c r="BB954" i="2"/>
  <c r="BC954" i="2"/>
  <c r="BD954" i="2"/>
  <c r="M955" i="2"/>
  <c r="AW955" i="2"/>
  <c r="AX955" i="2"/>
  <c r="AY955" i="2"/>
  <c r="AZ955" i="2"/>
  <c r="BB955" i="2"/>
  <c r="BC955" i="2"/>
  <c r="BD955" i="2"/>
  <c r="M956" i="2"/>
  <c r="AW956" i="2"/>
  <c r="AX956" i="2"/>
  <c r="AY956" i="2"/>
  <c r="AZ956" i="2"/>
  <c r="BB956" i="2"/>
  <c r="BC956" i="2"/>
  <c r="BD956" i="2"/>
  <c r="M957" i="2"/>
  <c r="AW957" i="2"/>
  <c r="AX957" i="2"/>
  <c r="AY957" i="2"/>
  <c r="AZ957" i="2"/>
  <c r="BB957" i="2"/>
  <c r="BC957" i="2"/>
  <c r="BD957" i="2"/>
  <c r="M958" i="2"/>
  <c r="AW958" i="2"/>
  <c r="AX958" i="2"/>
  <c r="AY958" i="2"/>
  <c r="AZ958" i="2"/>
  <c r="BB958" i="2"/>
  <c r="BC958" i="2"/>
  <c r="BD958" i="2"/>
  <c r="M959" i="2"/>
  <c r="AW959" i="2"/>
  <c r="AX959" i="2"/>
  <c r="AY959" i="2"/>
  <c r="AZ959" i="2"/>
  <c r="BB959" i="2"/>
  <c r="BC959" i="2"/>
  <c r="BD959" i="2"/>
  <c r="M960" i="2"/>
  <c r="AW960" i="2"/>
  <c r="AX960" i="2"/>
  <c r="AY960" i="2"/>
  <c r="AZ960" i="2"/>
  <c r="BB960" i="2"/>
  <c r="BC960" i="2"/>
  <c r="BD960" i="2"/>
  <c r="M961" i="2"/>
  <c r="AW961" i="2"/>
  <c r="AX961" i="2"/>
  <c r="AY961" i="2"/>
  <c r="AZ961" i="2"/>
  <c r="BB961" i="2"/>
  <c r="BC961" i="2"/>
  <c r="BD961" i="2"/>
  <c r="M962" i="2"/>
  <c r="AW962" i="2"/>
  <c r="AX962" i="2"/>
  <c r="AY962" i="2"/>
  <c r="AZ962" i="2"/>
  <c r="BB962" i="2"/>
  <c r="BC962" i="2"/>
  <c r="BD962" i="2"/>
  <c r="M963" i="2"/>
  <c r="AW963" i="2"/>
  <c r="AX963" i="2"/>
  <c r="AY963" i="2"/>
  <c r="AZ963" i="2"/>
  <c r="BB963" i="2"/>
  <c r="BC963" i="2"/>
  <c r="BD963" i="2"/>
  <c r="M964" i="2"/>
  <c r="AW964" i="2"/>
  <c r="AX964" i="2"/>
  <c r="AY964" i="2"/>
  <c r="AZ964" i="2"/>
  <c r="BB964" i="2"/>
  <c r="BC964" i="2"/>
  <c r="BD964" i="2"/>
  <c r="M965" i="2"/>
  <c r="AW965" i="2"/>
  <c r="AX965" i="2"/>
  <c r="AY965" i="2"/>
  <c r="AZ965" i="2"/>
  <c r="BB965" i="2"/>
  <c r="BC965" i="2"/>
  <c r="BD965" i="2"/>
  <c r="M966" i="2"/>
  <c r="AW966" i="2"/>
  <c r="AX966" i="2"/>
  <c r="AY966" i="2"/>
  <c r="AZ966" i="2"/>
  <c r="BB966" i="2"/>
  <c r="BC966" i="2"/>
  <c r="BD966" i="2"/>
  <c r="M967" i="2"/>
  <c r="AW967" i="2"/>
  <c r="AX967" i="2"/>
  <c r="AY967" i="2"/>
  <c r="AZ967" i="2"/>
  <c r="BB967" i="2"/>
  <c r="BC967" i="2"/>
  <c r="BD967" i="2"/>
  <c r="M968" i="2"/>
  <c r="AW968" i="2"/>
  <c r="AX968" i="2"/>
  <c r="AY968" i="2"/>
  <c r="AZ968" i="2"/>
  <c r="BB968" i="2"/>
  <c r="BC968" i="2"/>
  <c r="BD968" i="2"/>
  <c r="M969" i="2"/>
  <c r="AW969" i="2"/>
  <c r="AX969" i="2"/>
  <c r="AY969" i="2"/>
  <c r="AZ969" i="2"/>
  <c r="BB969" i="2"/>
  <c r="BC969" i="2"/>
  <c r="BD969" i="2"/>
  <c r="M970" i="2"/>
  <c r="AW970" i="2"/>
  <c r="AX970" i="2"/>
  <c r="AY970" i="2"/>
  <c r="AZ970" i="2"/>
  <c r="BB970" i="2"/>
  <c r="BC970" i="2"/>
  <c r="BD970" i="2"/>
  <c r="M971" i="2"/>
  <c r="AW971" i="2"/>
  <c r="AX971" i="2"/>
  <c r="AY971" i="2"/>
  <c r="AZ971" i="2"/>
  <c r="BB971" i="2"/>
  <c r="BC971" i="2"/>
  <c r="BD971" i="2"/>
  <c r="M972" i="2"/>
  <c r="AW972" i="2"/>
  <c r="AX972" i="2"/>
  <c r="AY972" i="2"/>
  <c r="AZ972" i="2"/>
  <c r="BB972" i="2"/>
  <c r="BC972" i="2"/>
  <c r="BD972" i="2"/>
  <c r="M973" i="2"/>
  <c r="AW973" i="2"/>
  <c r="AX973" i="2"/>
  <c r="AY973" i="2"/>
  <c r="AZ973" i="2"/>
  <c r="BB973" i="2"/>
  <c r="BC973" i="2"/>
  <c r="BD973" i="2"/>
  <c r="M974" i="2"/>
  <c r="AW974" i="2"/>
  <c r="AX974" i="2"/>
  <c r="AY974" i="2"/>
  <c r="AZ974" i="2"/>
  <c r="BB974" i="2"/>
  <c r="BC974" i="2"/>
  <c r="BD974" i="2"/>
  <c r="M975" i="2"/>
  <c r="AW975" i="2"/>
  <c r="AX975" i="2"/>
  <c r="AY975" i="2"/>
  <c r="AZ975" i="2"/>
  <c r="BB975" i="2"/>
  <c r="BC975" i="2"/>
  <c r="BD975" i="2"/>
  <c r="M976" i="2"/>
  <c r="AW976" i="2"/>
  <c r="AX976" i="2"/>
  <c r="AY976" i="2"/>
  <c r="AZ976" i="2"/>
  <c r="BB976" i="2"/>
  <c r="BC976" i="2"/>
  <c r="BD976" i="2"/>
  <c r="M977" i="2"/>
  <c r="AW977" i="2"/>
  <c r="AX977" i="2"/>
  <c r="AY977" i="2"/>
  <c r="AZ977" i="2"/>
  <c r="BB977" i="2"/>
  <c r="BC977" i="2"/>
  <c r="BD977" i="2"/>
  <c r="M978" i="2"/>
  <c r="AW978" i="2"/>
  <c r="AX978" i="2"/>
  <c r="AY978" i="2"/>
  <c r="AZ978" i="2"/>
  <c r="BB978" i="2"/>
  <c r="BC978" i="2"/>
  <c r="BD978" i="2"/>
  <c r="M979" i="2"/>
  <c r="AW979" i="2"/>
  <c r="AX979" i="2"/>
  <c r="AY979" i="2"/>
  <c r="AZ979" i="2"/>
  <c r="BB979" i="2"/>
  <c r="BC979" i="2"/>
  <c r="BD979" i="2"/>
  <c r="M980" i="2"/>
  <c r="AW980" i="2"/>
  <c r="AX980" i="2"/>
  <c r="AY980" i="2"/>
  <c r="AZ980" i="2"/>
  <c r="BB980" i="2"/>
  <c r="BC980" i="2"/>
  <c r="BD980" i="2"/>
  <c r="M981" i="2"/>
  <c r="AW981" i="2"/>
  <c r="AX981" i="2"/>
  <c r="AY981" i="2"/>
  <c r="AZ981" i="2"/>
  <c r="BB981" i="2"/>
  <c r="BC981" i="2"/>
  <c r="BD981" i="2"/>
  <c r="M982" i="2"/>
  <c r="AW982" i="2"/>
  <c r="AX982" i="2"/>
  <c r="AY982" i="2"/>
  <c r="AZ982" i="2"/>
  <c r="BB982" i="2"/>
  <c r="BC982" i="2"/>
  <c r="BD982" i="2"/>
  <c r="M983" i="2"/>
  <c r="AW983" i="2"/>
  <c r="AX983" i="2"/>
  <c r="AY983" i="2"/>
  <c r="AZ983" i="2"/>
  <c r="BB983" i="2"/>
  <c r="BC983" i="2"/>
  <c r="BD983" i="2"/>
  <c r="M984" i="2"/>
  <c r="AW984" i="2"/>
  <c r="AX984" i="2"/>
  <c r="AY984" i="2"/>
  <c r="AZ984" i="2"/>
  <c r="BB984" i="2"/>
  <c r="BC984" i="2"/>
  <c r="BD984" i="2"/>
  <c r="M985" i="2"/>
  <c r="AW985" i="2"/>
  <c r="AX985" i="2"/>
  <c r="AY985" i="2"/>
  <c r="AZ985" i="2"/>
  <c r="BB985" i="2"/>
  <c r="BC985" i="2"/>
  <c r="BD985" i="2"/>
  <c r="M986" i="2"/>
  <c r="AW986" i="2"/>
  <c r="AX986" i="2"/>
  <c r="AY986" i="2"/>
  <c r="AZ986" i="2"/>
  <c r="BB986" i="2"/>
  <c r="BC986" i="2"/>
  <c r="BD986" i="2"/>
  <c r="M987" i="2"/>
  <c r="AW987" i="2"/>
  <c r="AX987" i="2"/>
  <c r="AY987" i="2"/>
  <c r="AZ987" i="2"/>
  <c r="BB987" i="2"/>
  <c r="BC987" i="2"/>
  <c r="BD987" i="2"/>
  <c r="M988" i="2"/>
  <c r="AW988" i="2"/>
  <c r="AX988" i="2"/>
  <c r="AY988" i="2"/>
  <c r="AZ988" i="2"/>
  <c r="BB988" i="2"/>
  <c r="BC988" i="2"/>
  <c r="BD988" i="2"/>
  <c r="M989" i="2"/>
  <c r="AW989" i="2"/>
  <c r="AX989" i="2"/>
  <c r="AY989" i="2"/>
  <c r="AZ989" i="2"/>
  <c r="BB989" i="2"/>
  <c r="BC989" i="2"/>
  <c r="BD989" i="2"/>
  <c r="M990" i="2"/>
  <c r="AW990" i="2"/>
  <c r="AX990" i="2"/>
  <c r="AY990" i="2"/>
  <c r="AZ990" i="2"/>
  <c r="BB990" i="2"/>
  <c r="BC990" i="2"/>
  <c r="BD990" i="2"/>
  <c r="M991" i="2"/>
  <c r="AW991" i="2"/>
  <c r="AX991" i="2"/>
  <c r="AY991" i="2"/>
  <c r="AZ991" i="2"/>
  <c r="BB991" i="2"/>
  <c r="BC991" i="2"/>
  <c r="BD991" i="2"/>
  <c r="M992" i="2"/>
  <c r="AW992" i="2"/>
  <c r="AX992" i="2"/>
  <c r="AY992" i="2"/>
  <c r="AZ992" i="2"/>
  <c r="BB992" i="2"/>
  <c r="BC992" i="2"/>
  <c r="BD992" i="2"/>
  <c r="M993" i="2"/>
  <c r="AW993" i="2"/>
  <c r="AX993" i="2"/>
  <c r="AY993" i="2"/>
  <c r="AZ993" i="2"/>
  <c r="BB993" i="2"/>
  <c r="BC993" i="2"/>
  <c r="BD993" i="2"/>
  <c r="M994" i="2"/>
  <c r="AW994" i="2"/>
  <c r="AX994" i="2"/>
  <c r="AY994" i="2"/>
  <c r="AZ994" i="2"/>
  <c r="BB994" i="2"/>
  <c r="BC994" i="2"/>
  <c r="BD994" i="2"/>
  <c r="M995" i="2"/>
  <c r="AW995" i="2"/>
  <c r="AX995" i="2"/>
  <c r="AY995" i="2"/>
  <c r="AZ995" i="2"/>
  <c r="BB995" i="2"/>
  <c r="BC995" i="2"/>
  <c r="BD995" i="2"/>
  <c r="M996" i="2"/>
  <c r="AW996" i="2"/>
  <c r="AX996" i="2"/>
  <c r="AY996" i="2"/>
  <c r="AZ996" i="2"/>
  <c r="BB996" i="2"/>
  <c r="BC996" i="2"/>
  <c r="BD996" i="2"/>
  <c r="M997" i="2"/>
  <c r="AW997" i="2"/>
  <c r="AX997" i="2"/>
  <c r="AY997" i="2"/>
  <c r="AZ997" i="2"/>
  <c r="BB997" i="2"/>
  <c r="BC997" i="2"/>
  <c r="BD997" i="2"/>
  <c r="M998" i="2"/>
  <c r="AW998" i="2"/>
  <c r="AX998" i="2"/>
  <c r="AY998" i="2"/>
  <c r="AZ998" i="2"/>
  <c r="BB998" i="2"/>
  <c r="BC998" i="2"/>
  <c r="BD998" i="2"/>
  <c r="M999" i="2"/>
  <c r="AW999" i="2"/>
  <c r="AX999" i="2"/>
  <c r="AY999" i="2"/>
  <c r="AZ999" i="2"/>
  <c r="BB999" i="2"/>
  <c r="BC999" i="2"/>
  <c r="BD999" i="2"/>
  <c r="M1000" i="2"/>
  <c r="AW1000" i="2"/>
  <c r="AX1000" i="2"/>
  <c r="AY1000" i="2"/>
  <c r="AZ1000" i="2"/>
  <c r="BB1000" i="2"/>
  <c r="BC1000" i="2"/>
  <c r="BD1000" i="2"/>
  <c r="M1001" i="2"/>
  <c r="AW1001" i="2"/>
  <c r="AX1001" i="2"/>
  <c r="AY1001" i="2"/>
  <c r="AZ1001" i="2"/>
  <c r="BB1001" i="2"/>
  <c r="BC1001" i="2"/>
  <c r="BD1001" i="2"/>
  <c r="M1002" i="2"/>
  <c r="AW1002" i="2"/>
  <c r="AX1002" i="2"/>
  <c r="AY1002" i="2"/>
  <c r="AZ1002" i="2"/>
  <c r="BB1002" i="2"/>
  <c r="BC1002" i="2"/>
  <c r="BD1002" i="2"/>
  <c r="M1003" i="2"/>
  <c r="AW1003" i="2"/>
  <c r="AX1003" i="2"/>
  <c r="AY1003" i="2"/>
  <c r="AZ1003" i="2"/>
  <c r="BB1003" i="2"/>
  <c r="BC1003" i="2"/>
  <c r="BD1003" i="2"/>
  <c r="M1004" i="2"/>
  <c r="AW1004" i="2"/>
  <c r="AX1004" i="2"/>
  <c r="AY1004" i="2"/>
  <c r="AZ1004" i="2"/>
  <c r="BB1004" i="2"/>
  <c r="BC1004" i="2"/>
  <c r="BD1004" i="2"/>
  <c r="M1005" i="2"/>
  <c r="AW1005" i="2"/>
  <c r="AX1005" i="2"/>
  <c r="AY1005" i="2"/>
  <c r="AZ1005" i="2"/>
  <c r="BB1005" i="2"/>
  <c r="BC1005" i="2"/>
  <c r="BD1005" i="2"/>
  <c r="M1006" i="2"/>
  <c r="AW1006" i="2"/>
  <c r="AX1006" i="2"/>
  <c r="AY1006" i="2"/>
  <c r="AZ1006" i="2"/>
  <c r="BB1006" i="2"/>
  <c r="BC1006" i="2"/>
  <c r="BD1006" i="2"/>
  <c r="M1007" i="2"/>
  <c r="AW1007" i="2"/>
  <c r="AX1007" i="2"/>
  <c r="AY1007" i="2"/>
  <c r="AZ1007" i="2"/>
  <c r="BB1007" i="2"/>
  <c r="BC1007" i="2"/>
  <c r="BD1007" i="2"/>
  <c r="M1008" i="2"/>
  <c r="AW1008" i="2"/>
  <c r="AX1008" i="2"/>
  <c r="AY1008" i="2"/>
  <c r="AZ1008" i="2"/>
  <c r="BB1008" i="2"/>
  <c r="BC1008" i="2"/>
  <c r="BD1008" i="2"/>
  <c r="M1009" i="2"/>
  <c r="AW1009" i="2"/>
  <c r="AX1009" i="2"/>
  <c r="AY1009" i="2"/>
  <c r="AZ1009" i="2"/>
  <c r="BB1009" i="2"/>
  <c r="BC1009" i="2"/>
  <c r="BD1009" i="2"/>
  <c r="M1010" i="2"/>
  <c r="AW1010" i="2"/>
  <c r="AX1010" i="2"/>
  <c r="AY1010" i="2"/>
  <c r="AZ1010" i="2"/>
  <c r="BB1010" i="2"/>
  <c r="BC1010" i="2"/>
  <c r="BD1010" i="2"/>
  <c r="M1011" i="2"/>
  <c r="AW1011" i="2"/>
  <c r="AX1011" i="2"/>
  <c r="AY1011" i="2"/>
  <c r="AZ1011" i="2"/>
  <c r="BB1011" i="2"/>
  <c r="BC1011" i="2"/>
  <c r="BD1011" i="2"/>
  <c r="M1012" i="2"/>
  <c r="AW1012" i="2"/>
  <c r="AX1012" i="2"/>
  <c r="AY1012" i="2"/>
  <c r="AZ1012" i="2"/>
  <c r="BB1012" i="2"/>
  <c r="BC1012" i="2"/>
  <c r="BD1012" i="2"/>
  <c r="M1013" i="2"/>
  <c r="AW1013" i="2"/>
  <c r="AX1013" i="2"/>
  <c r="AY1013" i="2"/>
  <c r="AZ1013" i="2"/>
  <c r="BB1013" i="2"/>
  <c r="BC1013" i="2"/>
  <c r="BD1013" i="2"/>
  <c r="AW1014" i="2"/>
  <c r="AX1014" i="2"/>
  <c r="AY1014" i="2"/>
  <c r="AZ1014" i="2"/>
  <c r="BB1014" i="2"/>
  <c r="BC1014" i="2"/>
  <c r="BD1014" i="2"/>
  <c r="M1015" i="2"/>
  <c r="AW1015" i="2"/>
  <c r="AX1015" i="2"/>
  <c r="AY1015" i="2"/>
  <c r="AZ1015" i="2"/>
  <c r="BB1015" i="2"/>
  <c r="BC1015" i="2"/>
  <c r="BD1015" i="2"/>
  <c r="M1016" i="2"/>
  <c r="AW1016" i="2"/>
  <c r="AX1016" i="2"/>
  <c r="AY1016" i="2"/>
  <c r="AZ1016" i="2"/>
  <c r="BB1016" i="2"/>
  <c r="BC1016" i="2"/>
  <c r="BD1016" i="2"/>
  <c r="M1017" i="2"/>
  <c r="AW1017" i="2"/>
  <c r="AX1017" i="2"/>
  <c r="AY1017" i="2"/>
  <c r="AZ1017" i="2"/>
  <c r="BB1017" i="2"/>
  <c r="BC1017" i="2"/>
  <c r="BD1017" i="2"/>
  <c r="M1018" i="2"/>
  <c r="AW1018" i="2"/>
  <c r="AX1018" i="2"/>
  <c r="AY1018" i="2"/>
  <c r="AZ1018" i="2"/>
  <c r="BB1018" i="2"/>
  <c r="BC1018" i="2"/>
  <c r="BD1018" i="2"/>
  <c r="M1019" i="2"/>
  <c r="AW1019" i="2"/>
  <c r="AX1019" i="2"/>
  <c r="AY1019" i="2"/>
  <c r="AZ1019" i="2"/>
  <c r="BB1019" i="2"/>
  <c r="BC1019" i="2"/>
  <c r="BD1019" i="2"/>
  <c r="M1020" i="2"/>
  <c r="AW1020" i="2"/>
  <c r="AX1020" i="2"/>
  <c r="AY1020" i="2"/>
  <c r="AZ1020" i="2"/>
  <c r="BB1020" i="2"/>
  <c r="BC1020" i="2"/>
  <c r="BD1020" i="2"/>
  <c r="M1021" i="2"/>
  <c r="AW1021" i="2"/>
  <c r="AX1021" i="2"/>
  <c r="AY1021" i="2"/>
  <c r="AZ1021" i="2"/>
  <c r="BB1021" i="2"/>
  <c r="BC1021" i="2"/>
  <c r="BD1021" i="2"/>
  <c r="M1022" i="2"/>
  <c r="AW1022" i="2"/>
  <c r="AX1022" i="2"/>
  <c r="AY1022" i="2"/>
  <c r="AZ1022" i="2"/>
  <c r="BB1022" i="2"/>
  <c r="BC1022" i="2"/>
  <c r="BD1022" i="2"/>
  <c r="M1023" i="2"/>
  <c r="AW1023" i="2"/>
  <c r="AX1023" i="2"/>
  <c r="AY1023" i="2"/>
  <c r="AZ1023" i="2"/>
  <c r="BB1023" i="2"/>
  <c r="BC1023" i="2"/>
  <c r="BD1023" i="2"/>
  <c r="M1024" i="2"/>
  <c r="AW1024" i="2"/>
  <c r="AX1024" i="2"/>
  <c r="AY1024" i="2"/>
  <c r="AZ1024" i="2"/>
  <c r="BB1024" i="2"/>
  <c r="BC1024" i="2"/>
  <c r="BD1024" i="2"/>
  <c r="M1025" i="2"/>
  <c r="AW1025" i="2"/>
  <c r="AX1025" i="2"/>
  <c r="AY1025" i="2"/>
  <c r="AZ1025" i="2"/>
  <c r="BB1025" i="2"/>
  <c r="BC1025" i="2"/>
  <c r="BD1025" i="2"/>
  <c r="M1026" i="2"/>
  <c r="AW1026" i="2"/>
  <c r="AX1026" i="2"/>
  <c r="AY1026" i="2"/>
  <c r="AZ1026" i="2"/>
  <c r="BB1026" i="2"/>
  <c r="BC1026" i="2"/>
  <c r="BD1026" i="2"/>
  <c r="M1027" i="2"/>
  <c r="AW1027" i="2"/>
  <c r="AX1027" i="2"/>
  <c r="AY1027" i="2"/>
  <c r="AZ1027" i="2"/>
  <c r="BB1027" i="2"/>
  <c r="BC1027" i="2"/>
  <c r="BD1027" i="2"/>
  <c r="M1028" i="2"/>
  <c r="AW1028" i="2"/>
  <c r="AX1028" i="2"/>
  <c r="AY1028" i="2"/>
  <c r="AZ1028" i="2"/>
  <c r="BB1028" i="2"/>
  <c r="BC1028" i="2"/>
  <c r="BD1028" i="2"/>
  <c r="M1029" i="2"/>
  <c r="AW1029" i="2"/>
  <c r="AX1029" i="2"/>
  <c r="AY1029" i="2"/>
  <c r="AZ1029" i="2"/>
  <c r="BB1029" i="2"/>
  <c r="BC1029" i="2"/>
  <c r="BD1029" i="2"/>
  <c r="M1030" i="2"/>
  <c r="AW1030" i="2"/>
  <c r="AX1030" i="2"/>
  <c r="AY1030" i="2"/>
  <c r="AZ1030" i="2"/>
  <c r="BB1030" i="2"/>
  <c r="BC1030" i="2"/>
  <c r="BD1030" i="2"/>
  <c r="M1031" i="2"/>
  <c r="AW1031" i="2"/>
  <c r="AX1031" i="2"/>
  <c r="AY1031" i="2"/>
  <c r="AZ1031" i="2"/>
  <c r="BB1031" i="2"/>
  <c r="BC1031" i="2"/>
  <c r="BD1031" i="2"/>
  <c r="M1032" i="2"/>
  <c r="AW1032" i="2"/>
  <c r="AX1032" i="2"/>
  <c r="AY1032" i="2"/>
  <c r="AZ1032" i="2"/>
  <c r="BB1032" i="2"/>
  <c r="BC1032" i="2"/>
  <c r="BD1032" i="2"/>
  <c r="M1033" i="2"/>
  <c r="AW1033" i="2"/>
  <c r="AX1033" i="2"/>
  <c r="AY1033" i="2"/>
  <c r="AZ1033" i="2"/>
  <c r="BB1033" i="2"/>
  <c r="BC1033" i="2"/>
  <c r="BD1033" i="2"/>
  <c r="M1034" i="2"/>
  <c r="AW1034" i="2"/>
  <c r="AX1034" i="2"/>
  <c r="AY1034" i="2"/>
  <c r="AZ1034" i="2"/>
  <c r="BB1034" i="2"/>
  <c r="BC1034" i="2"/>
  <c r="BD1034" i="2"/>
  <c r="M1035" i="2"/>
  <c r="AW1035" i="2"/>
  <c r="AX1035" i="2"/>
  <c r="AY1035" i="2"/>
  <c r="AZ1035" i="2"/>
  <c r="BB1035" i="2"/>
  <c r="BC1035" i="2"/>
  <c r="BD1035" i="2"/>
  <c r="M1036" i="2"/>
  <c r="AW1036" i="2"/>
  <c r="AX1036" i="2"/>
  <c r="AY1036" i="2"/>
  <c r="AZ1036" i="2"/>
  <c r="BB1036" i="2"/>
  <c r="BC1036" i="2"/>
  <c r="BD1036" i="2"/>
  <c r="M1037" i="2"/>
  <c r="AW1037" i="2"/>
  <c r="AX1037" i="2"/>
  <c r="AY1037" i="2"/>
  <c r="AZ1037" i="2"/>
  <c r="BB1037" i="2"/>
  <c r="BC1037" i="2"/>
  <c r="BD1037" i="2"/>
  <c r="M1038" i="2"/>
  <c r="AW1038" i="2"/>
  <c r="AX1038" i="2"/>
  <c r="AY1038" i="2"/>
  <c r="AZ1038" i="2"/>
  <c r="BB1038" i="2"/>
  <c r="BC1038" i="2"/>
  <c r="BD1038" i="2"/>
  <c r="M1039" i="2"/>
  <c r="AX1039" i="2"/>
  <c r="AZ1039" i="2"/>
  <c r="BB1039" i="2"/>
  <c r="BC1039" i="2"/>
  <c r="BD1039" i="2"/>
  <c r="M1041" i="2"/>
  <c r="AW1041" i="2"/>
  <c r="AX1041" i="2"/>
  <c r="AY1041" i="2"/>
  <c r="AZ1041" i="2"/>
  <c r="BB1041" i="2"/>
  <c r="BC1041" i="2"/>
  <c r="BD1041" i="2"/>
  <c r="M1042" i="2"/>
  <c r="AW1042" i="2"/>
  <c r="AX1042" i="2"/>
  <c r="AY1042" i="2"/>
  <c r="AZ1042" i="2"/>
  <c r="BB1042" i="2"/>
  <c r="BC1042" i="2"/>
  <c r="BD1042" i="2"/>
  <c r="M1043" i="2"/>
  <c r="AW1043" i="2"/>
  <c r="AX1043" i="2"/>
  <c r="AY1043" i="2"/>
  <c r="AZ1043" i="2"/>
  <c r="BB1043" i="2"/>
  <c r="BC1043" i="2"/>
  <c r="BD1043" i="2"/>
  <c r="M1044" i="2"/>
  <c r="AW1044" i="2"/>
  <c r="AX1044" i="2"/>
  <c r="AY1044" i="2"/>
  <c r="AZ1044" i="2"/>
  <c r="BB1044" i="2"/>
  <c r="BC1044" i="2"/>
  <c r="BD1044" i="2"/>
  <c r="M1045" i="2"/>
  <c r="AW1045" i="2"/>
  <c r="AX1045" i="2"/>
  <c r="AY1045" i="2"/>
  <c r="AZ1045" i="2"/>
  <c r="BB1045" i="2"/>
  <c r="BC1045" i="2"/>
  <c r="BD1045" i="2"/>
  <c r="M1046" i="2"/>
  <c r="AW1046" i="2"/>
  <c r="AX1046" i="2"/>
  <c r="AY1046" i="2"/>
  <c r="AZ1046" i="2"/>
  <c r="BB1046" i="2"/>
  <c r="BC1046" i="2"/>
  <c r="BD1046" i="2"/>
  <c r="M1047" i="2"/>
  <c r="AW1047" i="2"/>
  <c r="AX1047" i="2"/>
  <c r="AY1047" i="2"/>
  <c r="AZ1047" i="2"/>
  <c r="BB1047" i="2"/>
  <c r="BC1047" i="2"/>
  <c r="BD1047" i="2"/>
  <c r="M1048" i="2"/>
  <c r="AW1048" i="2"/>
  <c r="AX1048" i="2"/>
  <c r="AY1048" i="2"/>
  <c r="AZ1048" i="2"/>
  <c r="BB1048" i="2"/>
  <c r="BC1048" i="2"/>
  <c r="BD1048" i="2"/>
  <c r="M1049" i="2"/>
  <c r="AW1049" i="2"/>
  <c r="AX1049" i="2"/>
  <c r="AY1049" i="2"/>
  <c r="AZ1049" i="2"/>
  <c r="BB1049" i="2"/>
  <c r="BC1049" i="2"/>
  <c r="BD1049" i="2"/>
  <c r="M1050" i="2"/>
  <c r="AW1050" i="2"/>
  <c r="AX1050" i="2"/>
  <c r="AY1050" i="2"/>
  <c r="AZ1050" i="2"/>
  <c r="BB1050" i="2"/>
  <c r="BC1050" i="2"/>
  <c r="BD1050" i="2"/>
  <c r="M1051" i="2"/>
  <c r="AW1051" i="2"/>
  <c r="AX1051" i="2"/>
  <c r="AY1051" i="2"/>
  <c r="AZ1051" i="2"/>
  <c r="BB1051" i="2"/>
  <c r="BC1051" i="2"/>
  <c r="BD1051" i="2"/>
  <c r="M1052" i="2"/>
  <c r="AW1052" i="2"/>
  <c r="AX1052" i="2"/>
  <c r="AY1052" i="2"/>
  <c r="AZ1052" i="2"/>
  <c r="BB1052" i="2"/>
  <c r="BC1052" i="2"/>
  <c r="BD1052" i="2"/>
  <c r="M1053" i="2"/>
  <c r="AW1053" i="2"/>
  <c r="AX1053" i="2"/>
  <c r="AY1053" i="2"/>
  <c r="AZ1053" i="2"/>
  <c r="BB1053" i="2"/>
  <c r="BC1053" i="2"/>
  <c r="BD1053" i="2"/>
  <c r="M1054" i="2"/>
  <c r="AW1054" i="2"/>
  <c r="AX1054" i="2"/>
  <c r="AY1054" i="2"/>
  <c r="AZ1054" i="2"/>
  <c r="BB1054" i="2"/>
  <c r="BC1054" i="2"/>
  <c r="BD1054" i="2"/>
  <c r="M1055" i="2"/>
  <c r="AW1055" i="2"/>
  <c r="AX1055" i="2"/>
  <c r="AY1055" i="2"/>
  <c r="AZ1055" i="2"/>
  <c r="BB1055" i="2"/>
  <c r="BC1055" i="2"/>
  <c r="BD1055" i="2"/>
  <c r="M1056" i="2"/>
  <c r="AW1056" i="2"/>
  <c r="AX1056" i="2"/>
  <c r="AY1056" i="2"/>
  <c r="AZ1056" i="2"/>
  <c r="BB1056" i="2"/>
  <c r="BC1056" i="2"/>
  <c r="BD1056" i="2"/>
  <c r="M1057" i="2"/>
  <c r="AW1057" i="2"/>
  <c r="AX1057" i="2"/>
  <c r="AY1057" i="2"/>
  <c r="AZ1057" i="2"/>
  <c r="BB1057" i="2"/>
  <c r="BC1057" i="2"/>
  <c r="BD1057" i="2"/>
  <c r="M1058" i="2"/>
  <c r="AW1058" i="2"/>
  <c r="AX1058" i="2"/>
  <c r="AY1058" i="2"/>
  <c r="AZ1058" i="2"/>
  <c r="BB1058" i="2"/>
  <c r="BC1058" i="2"/>
  <c r="BD1058" i="2"/>
  <c r="M1059" i="2"/>
  <c r="AW1059" i="2"/>
  <c r="AX1059" i="2"/>
  <c r="AY1059" i="2"/>
  <c r="AZ1059" i="2"/>
  <c r="BB1059" i="2"/>
  <c r="BC1059" i="2"/>
  <c r="BD1059" i="2"/>
  <c r="M1060" i="2"/>
  <c r="AW1060" i="2"/>
  <c r="AX1060" i="2"/>
  <c r="AY1060" i="2"/>
  <c r="AZ1060" i="2"/>
  <c r="BB1060" i="2"/>
  <c r="BC1060" i="2"/>
  <c r="BD1060" i="2"/>
  <c r="M1061" i="2"/>
  <c r="AW1061" i="2"/>
  <c r="AX1061" i="2"/>
  <c r="AY1061" i="2"/>
  <c r="AZ1061" i="2"/>
  <c r="BB1061" i="2"/>
  <c r="BC1061" i="2"/>
  <c r="BD1061" i="2"/>
  <c r="M1062" i="2"/>
  <c r="AW1062" i="2"/>
  <c r="AX1062" i="2"/>
  <c r="AY1062" i="2"/>
  <c r="AZ1062" i="2"/>
  <c r="BB1062" i="2"/>
  <c r="BC1062" i="2"/>
  <c r="BD1062" i="2"/>
  <c r="M1063" i="2"/>
  <c r="AW1063" i="2"/>
  <c r="AX1063" i="2"/>
  <c r="AY1063" i="2"/>
  <c r="AZ1063" i="2"/>
  <c r="BB1063" i="2"/>
  <c r="BC1063" i="2"/>
  <c r="BD1063" i="2"/>
  <c r="M1064" i="2"/>
  <c r="AW1064" i="2"/>
  <c r="AX1064" i="2"/>
  <c r="AY1064" i="2"/>
  <c r="AZ1064" i="2"/>
  <c r="BB1064" i="2"/>
  <c r="BC1064" i="2"/>
  <c r="BD1064" i="2"/>
  <c r="M1065" i="2"/>
  <c r="AW1065" i="2"/>
  <c r="AX1065" i="2"/>
  <c r="AY1065" i="2"/>
  <c r="AZ1065" i="2"/>
  <c r="BB1065" i="2"/>
  <c r="BC1065" i="2"/>
  <c r="BD1065" i="2"/>
  <c r="M1066" i="2"/>
  <c r="AW1066" i="2"/>
  <c r="AX1066" i="2"/>
  <c r="AY1066" i="2"/>
  <c r="AZ1066" i="2"/>
  <c r="BB1066" i="2"/>
  <c r="BC1066" i="2"/>
  <c r="BD1066" i="2"/>
  <c r="M1067" i="2"/>
  <c r="AW1067" i="2"/>
  <c r="AX1067" i="2"/>
  <c r="AY1067" i="2"/>
  <c r="AZ1067" i="2"/>
  <c r="BB1067" i="2"/>
  <c r="BC1067" i="2"/>
  <c r="BD1067" i="2"/>
  <c r="M1068" i="2"/>
  <c r="AW1068" i="2"/>
  <c r="AX1068" i="2"/>
  <c r="AY1068" i="2"/>
  <c r="AZ1068" i="2"/>
  <c r="BB1068" i="2"/>
  <c r="BC1068" i="2"/>
  <c r="BD1068" i="2"/>
  <c r="M1069" i="2"/>
  <c r="AW1069" i="2"/>
  <c r="AX1069" i="2"/>
  <c r="AY1069" i="2"/>
  <c r="AZ1069" i="2"/>
  <c r="BB1069" i="2"/>
  <c r="BC1069" i="2"/>
  <c r="BD1069" i="2"/>
  <c r="M1070" i="2"/>
  <c r="AW1070" i="2"/>
  <c r="AX1070" i="2"/>
  <c r="AY1070" i="2"/>
  <c r="AZ1070" i="2"/>
  <c r="BB1070" i="2"/>
  <c r="BC1070" i="2"/>
  <c r="BD1070" i="2"/>
  <c r="M1071" i="2"/>
  <c r="AW1071" i="2"/>
  <c r="AX1071" i="2"/>
  <c r="AY1071" i="2"/>
  <c r="AZ1071" i="2"/>
  <c r="BB1071" i="2"/>
  <c r="BC1071" i="2"/>
  <c r="BD1071" i="2"/>
  <c r="M1072" i="2"/>
  <c r="AW1072" i="2"/>
  <c r="AX1072" i="2"/>
  <c r="AY1072" i="2"/>
  <c r="AZ1072" i="2"/>
  <c r="BB1072" i="2"/>
  <c r="BC1072" i="2"/>
  <c r="BD1072" i="2"/>
  <c r="M1073" i="2"/>
  <c r="AW1073" i="2"/>
  <c r="AX1073" i="2"/>
  <c r="AY1073" i="2"/>
  <c r="AZ1073" i="2"/>
  <c r="BB1073" i="2"/>
  <c r="BC1073" i="2"/>
  <c r="BD1073" i="2"/>
  <c r="M1074" i="2"/>
  <c r="AW1074" i="2"/>
  <c r="AX1074" i="2"/>
  <c r="AY1074" i="2"/>
  <c r="AZ1074" i="2"/>
  <c r="BB1074" i="2"/>
  <c r="BC1074" i="2"/>
  <c r="BD1074" i="2"/>
  <c r="M1075" i="2"/>
  <c r="AW1075" i="2"/>
  <c r="AX1075" i="2"/>
  <c r="AY1075" i="2"/>
  <c r="AZ1075" i="2"/>
  <c r="BB1075" i="2"/>
  <c r="BC1075" i="2"/>
  <c r="BD1075" i="2"/>
  <c r="M1076" i="2"/>
  <c r="AW1076" i="2"/>
  <c r="AX1076" i="2"/>
  <c r="AY1076" i="2"/>
  <c r="AZ1076" i="2"/>
  <c r="BB1076" i="2"/>
  <c r="BC1076" i="2"/>
  <c r="BD1076" i="2"/>
  <c r="M1077" i="2"/>
  <c r="AW1077" i="2"/>
  <c r="AX1077" i="2"/>
  <c r="AY1077" i="2"/>
  <c r="AZ1077" i="2"/>
  <c r="BB1077" i="2"/>
  <c r="BC1077" i="2"/>
  <c r="BD1077" i="2"/>
  <c r="M1078" i="2"/>
  <c r="AW1078" i="2"/>
  <c r="AX1078" i="2"/>
  <c r="AY1078" i="2"/>
  <c r="AZ1078" i="2"/>
  <c r="BB1078" i="2"/>
  <c r="BC1078" i="2"/>
  <c r="BD1078" i="2"/>
  <c r="M1079" i="2"/>
  <c r="AW1079" i="2"/>
  <c r="AX1079" i="2"/>
  <c r="AY1079" i="2"/>
  <c r="AZ1079" i="2"/>
  <c r="BB1079" i="2"/>
  <c r="BC1079" i="2"/>
  <c r="BD1079" i="2"/>
  <c r="M1080" i="2"/>
  <c r="AW1080" i="2"/>
  <c r="AX1080" i="2"/>
  <c r="AY1080" i="2"/>
  <c r="AZ1080" i="2"/>
  <c r="BB1080" i="2"/>
  <c r="BC1080" i="2"/>
  <c r="BD1080" i="2"/>
  <c r="M1081" i="2"/>
  <c r="AW1081" i="2"/>
  <c r="AX1081" i="2"/>
  <c r="AY1081" i="2"/>
  <c r="AZ1081" i="2"/>
  <c r="BB1081" i="2"/>
  <c r="BC1081" i="2"/>
  <c r="BD1081" i="2"/>
  <c r="M1082" i="2"/>
  <c r="AW1082" i="2"/>
  <c r="AX1082" i="2"/>
  <c r="AY1082" i="2"/>
  <c r="AZ1082" i="2"/>
  <c r="BB1082" i="2"/>
  <c r="BC1082" i="2"/>
  <c r="BD1082" i="2"/>
  <c r="M1083" i="2"/>
  <c r="AW1083" i="2"/>
  <c r="AX1083" i="2"/>
  <c r="AY1083" i="2"/>
  <c r="AZ1083" i="2"/>
  <c r="BB1083" i="2"/>
  <c r="BC1083" i="2"/>
  <c r="BD1083" i="2"/>
  <c r="M1084" i="2"/>
  <c r="AW1084" i="2"/>
  <c r="AX1084" i="2"/>
  <c r="AY1084" i="2"/>
  <c r="AZ1084" i="2"/>
  <c r="BB1084" i="2"/>
  <c r="BC1084" i="2"/>
  <c r="BD1084" i="2"/>
  <c r="M1085" i="2"/>
  <c r="AW1085" i="2"/>
  <c r="AX1085" i="2"/>
  <c r="AY1085" i="2"/>
  <c r="AZ1085" i="2"/>
  <c r="BB1085" i="2"/>
  <c r="BC1085" i="2"/>
  <c r="BD1085" i="2"/>
  <c r="M1086" i="2"/>
  <c r="AW1086" i="2"/>
  <c r="AX1086" i="2"/>
  <c r="AY1086" i="2"/>
  <c r="AZ1086" i="2"/>
  <c r="BB1086" i="2"/>
  <c r="BC1086" i="2"/>
  <c r="BD1086" i="2"/>
  <c r="M1087" i="2"/>
  <c r="AW1087" i="2"/>
  <c r="AX1087" i="2"/>
  <c r="AY1087" i="2"/>
  <c r="AZ1087" i="2"/>
  <c r="BB1087" i="2"/>
  <c r="BC1087" i="2"/>
  <c r="BD1087" i="2"/>
  <c r="M1088" i="2"/>
  <c r="AW1088" i="2"/>
  <c r="AX1088" i="2"/>
  <c r="AY1088" i="2"/>
  <c r="AZ1088" i="2"/>
  <c r="BB1088" i="2"/>
  <c r="BC1088" i="2"/>
  <c r="BD1088" i="2"/>
  <c r="M1089" i="2"/>
  <c r="AW1089" i="2"/>
  <c r="AX1089" i="2"/>
  <c r="AY1089" i="2"/>
  <c r="AZ1089" i="2"/>
  <c r="BB1089" i="2"/>
  <c r="BC1089" i="2"/>
  <c r="BD1089" i="2"/>
  <c r="M1090" i="2"/>
  <c r="AW1090" i="2"/>
  <c r="AX1090" i="2"/>
  <c r="AY1090" i="2"/>
  <c r="AZ1090" i="2"/>
  <c r="BB1090" i="2"/>
  <c r="BC1090" i="2"/>
  <c r="BD1090" i="2"/>
  <c r="M1091" i="2"/>
  <c r="AW1091" i="2"/>
  <c r="AX1091" i="2"/>
  <c r="AY1091" i="2"/>
  <c r="AZ1091" i="2"/>
  <c r="BB1091" i="2"/>
  <c r="BC1091" i="2"/>
  <c r="BD1091" i="2"/>
  <c r="M1092" i="2"/>
  <c r="AW1092" i="2"/>
  <c r="AX1092" i="2"/>
  <c r="AY1092" i="2"/>
  <c r="AZ1092" i="2"/>
  <c r="BB1092" i="2"/>
  <c r="BC1092" i="2"/>
  <c r="BD1092" i="2"/>
  <c r="M1093" i="2"/>
  <c r="AW1093" i="2"/>
  <c r="AX1093" i="2"/>
  <c r="AY1093" i="2"/>
  <c r="AZ1093" i="2"/>
  <c r="BB1093" i="2"/>
  <c r="BC1093" i="2"/>
  <c r="BD1093" i="2"/>
  <c r="M1094" i="2"/>
  <c r="AW1094" i="2"/>
  <c r="AX1094" i="2"/>
  <c r="AY1094" i="2"/>
  <c r="AZ1094" i="2"/>
  <c r="BB1094" i="2"/>
  <c r="BC1094" i="2"/>
  <c r="BD1094" i="2"/>
  <c r="M1095" i="2"/>
  <c r="AW1095" i="2"/>
  <c r="AX1095" i="2"/>
  <c r="AY1095" i="2"/>
  <c r="AZ1095" i="2"/>
  <c r="BB1095" i="2"/>
  <c r="BC1095" i="2"/>
  <c r="BD1095" i="2"/>
  <c r="M1096" i="2"/>
  <c r="AW1096" i="2"/>
  <c r="AX1096" i="2"/>
  <c r="AY1096" i="2"/>
  <c r="AZ1096" i="2"/>
  <c r="BB1096" i="2"/>
  <c r="BC1096" i="2"/>
  <c r="BD1096" i="2"/>
  <c r="M1097" i="2"/>
  <c r="AW1097" i="2"/>
  <c r="AX1097" i="2"/>
  <c r="AY1097" i="2"/>
  <c r="AZ1097" i="2"/>
  <c r="BB1097" i="2"/>
  <c r="BC1097" i="2"/>
  <c r="BD1097" i="2"/>
  <c r="M1098" i="2"/>
  <c r="AW1098" i="2"/>
  <c r="AX1098" i="2"/>
  <c r="AY1098" i="2"/>
  <c r="AZ1098" i="2"/>
  <c r="BB1098" i="2"/>
  <c r="BC1098" i="2"/>
  <c r="BD1098" i="2"/>
  <c r="M1099" i="2"/>
  <c r="AW1099" i="2"/>
  <c r="AX1099" i="2"/>
  <c r="AY1099" i="2"/>
  <c r="AZ1099" i="2"/>
  <c r="BB1099" i="2"/>
  <c r="BC1099" i="2"/>
  <c r="BD1099" i="2"/>
  <c r="M1100" i="2"/>
  <c r="AW1100" i="2"/>
  <c r="AX1100" i="2"/>
  <c r="AY1100" i="2"/>
  <c r="AZ1100" i="2"/>
  <c r="BB1100" i="2"/>
  <c r="BC1100" i="2"/>
  <c r="BD1100" i="2"/>
  <c r="M1101" i="2"/>
  <c r="AW1101" i="2"/>
  <c r="AX1101" i="2"/>
  <c r="AY1101" i="2"/>
  <c r="AZ1101" i="2"/>
  <c r="BB1101" i="2"/>
  <c r="BC1101" i="2"/>
  <c r="BD1101" i="2"/>
  <c r="M1102" i="2"/>
  <c r="AW1102" i="2"/>
  <c r="AX1102" i="2"/>
  <c r="AY1102" i="2"/>
  <c r="AZ1102" i="2"/>
  <c r="BB1102" i="2"/>
  <c r="BC1102" i="2"/>
  <c r="BD1102" i="2"/>
  <c r="M1103" i="2"/>
  <c r="AW1103" i="2"/>
  <c r="AX1103" i="2"/>
  <c r="AY1103" i="2"/>
  <c r="AZ1103" i="2"/>
  <c r="BB1103" i="2"/>
  <c r="BC1103" i="2"/>
  <c r="BD1103" i="2"/>
  <c r="M1104" i="2"/>
  <c r="AW1104" i="2"/>
  <c r="AX1104" i="2"/>
  <c r="AY1104" i="2"/>
  <c r="AZ1104" i="2"/>
  <c r="BB1104" i="2"/>
  <c r="BC1104" i="2"/>
  <c r="BD1104" i="2"/>
  <c r="M1105" i="2"/>
  <c r="AW1105" i="2"/>
  <c r="AX1105" i="2"/>
  <c r="AY1105" i="2"/>
  <c r="AZ1105" i="2"/>
  <c r="BB1105" i="2"/>
  <c r="BC1105" i="2"/>
  <c r="BD1105" i="2"/>
  <c r="M1106" i="2"/>
  <c r="AW1106" i="2"/>
  <c r="AX1106" i="2"/>
  <c r="AY1106" i="2"/>
  <c r="AZ1106" i="2"/>
  <c r="BB1106" i="2"/>
  <c r="BC1106" i="2"/>
  <c r="BD1106" i="2"/>
  <c r="M1107" i="2"/>
  <c r="AW1107" i="2"/>
  <c r="AX1107" i="2"/>
  <c r="AY1107" i="2"/>
  <c r="AZ1107" i="2"/>
  <c r="BB1107" i="2"/>
  <c r="BC1107" i="2"/>
  <c r="BD1107" i="2"/>
  <c r="M1108" i="2"/>
  <c r="AW1108" i="2"/>
  <c r="AX1108" i="2"/>
  <c r="AY1108" i="2"/>
  <c r="AZ1108" i="2"/>
  <c r="BB1108" i="2"/>
  <c r="BC1108" i="2"/>
  <c r="BD1108" i="2"/>
  <c r="M1109" i="2"/>
  <c r="AW1109" i="2"/>
  <c r="AX1109" i="2"/>
  <c r="AY1109" i="2"/>
  <c r="AZ1109" i="2"/>
  <c r="BB1109" i="2"/>
  <c r="BC1109" i="2"/>
  <c r="BD1109" i="2"/>
  <c r="M1110" i="2"/>
  <c r="AW1110" i="2"/>
  <c r="AX1110" i="2"/>
  <c r="AY1110" i="2"/>
  <c r="AZ1110" i="2"/>
  <c r="BB1110" i="2"/>
  <c r="BC1110" i="2"/>
  <c r="BD1110" i="2"/>
  <c r="M1111" i="2"/>
  <c r="AW1111" i="2"/>
  <c r="AX1111" i="2"/>
  <c r="AY1111" i="2"/>
  <c r="AZ1111" i="2"/>
  <c r="BB1111" i="2"/>
  <c r="BC1111" i="2"/>
  <c r="BD1111" i="2"/>
  <c r="M1112" i="2"/>
  <c r="AW1112" i="2"/>
  <c r="AX1112" i="2"/>
  <c r="AY1112" i="2"/>
  <c r="AZ1112" i="2"/>
  <c r="BB1112" i="2"/>
  <c r="BC1112" i="2"/>
  <c r="BD1112" i="2"/>
  <c r="M1113" i="2"/>
  <c r="AW1113" i="2"/>
  <c r="AX1113" i="2"/>
  <c r="AY1113" i="2"/>
  <c r="AZ1113" i="2"/>
  <c r="BB1113" i="2"/>
  <c r="BC1113" i="2"/>
  <c r="BD1113" i="2"/>
  <c r="M1114" i="2"/>
  <c r="AW1114" i="2"/>
  <c r="AX1114" i="2"/>
  <c r="AY1114" i="2"/>
  <c r="AZ1114" i="2"/>
  <c r="BB1114" i="2"/>
  <c r="BC1114" i="2"/>
  <c r="BD1114" i="2"/>
  <c r="M1115" i="2"/>
  <c r="AW1115" i="2"/>
  <c r="AX1115" i="2"/>
  <c r="AY1115" i="2"/>
  <c r="AZ1115" i="2"/>
  <c r="BB1115" i="2"/>
  <c r="BC1115" i="2"/>
  <c r="BD1115" i="2"/>
  <c r="M1116" i="2"/>
  <c r="AW1116" i="2"/>
  <c r="AX1116" i="2"/>
  <c r="AY1116" i="2"/>
  <c r="AZ1116" i="2"/>
  <c r="BB1116" i="2"/>
  <c r="BC1116" i="2"/>
  <c r="BD1116" i="2"/>
  <c r="M1117" i="2"/>
  <c r="AW1117" i="2"/>
  <c r="AX1117" i="2"/>
  <c r="AY1117" i="2"/>
  <c r="AZ1117" i="2"/>
  <c r="BB1117" i="2"/>
  <c r="BC1117" i="2"/>
  <c r="BD1117" i="2"/>
  <c r="M1118" i="2"/>
  <c r="AW1118" i="2"/>
  <c r="AX1118" i="2"/>
  <c r="AY1118" i="2"/>
  <c r="AZ1118" i="2"/>
  <c r="BB1118" i="2"/>
  <c r="BC1118" i="2"/>
  <c r="BD1118" i="2"/>
  <c r="M1119" i="2"/>
  <c r="AW1119" i="2"/>
  <c r="AX1119" i="2"/>
  <c r="AY1119" i="2"/>
  <c r="AZ1119" i="2"/>
  <c r="BB1119" i="2"/>
  <c r="BC1119" i="2"/>
  <c r="BD1119" i="2"/>
  <c r="M1120" i="2"/>
  <c r="AW1120" i="2"/>
  <c r="AX1120" i="2"/>
  <c r="AY1120" i="2"/>
  <c r="AZ1120" i="2"/>
  <c r="BB1120" i="2"/>
  <c r="BC1120" i="2"/>
  <c r="BD1120" i="2"/>
  <c r="M1121" i="2"/>
  <c r="AW1121" i="2"/>
  <c r="AX1121" i="2"/>
  <c r="AY1121" i="2"/>
  <c r="AZ1121" i="2"/>
  <c r="BB1121" i="2"/>
  <c r="BC1121" i="2"/>
  <c r="BD1121" i="2"/>
  <c r="M1122" i="2"/>
  <c r="AW1122" i="2"/>
  <c r="AX1122" i="2"/>
  <c r="AY1122" i="2"/>
  <c r="AZ1122" i="2"/>
  <c r="BB1122" i="2"/>
  <c r="BC1122" i="2"/>
  <c r="BD1122" i="2"/>
  <c r="M1123" i="2"/>
  <c r="AW1123" i="2"/>
  <c r="AX1123" i="2"/>
  <c r="AY1123" i="2"/>
  <c r="AZ1123" i="2"/>
  <c r="BB1123" i="2"/>
  <c r="BC1123" i="2"/>
  <c r="BD1123" i="2"/>
  <c r="M1124" i="2"/>
  <c r="AW1124" i="2"/>
  <c r="AX1124" i="2"/>
  <c r="AY1124" i="2"/>
  <c r="AZ1124" i="2"/>
  <c r="BB1124" i="2"/>
  <c r="BC1124" i="2"/>
  <c r="BD1124" i="2"/>
  <c r="M1125" i="2"/>
  <c r="AW1125" i="2"/>
  <c r="AX1125" i="2"/>
  <c r="AY1125" i="2"/>
  <c r="AZ1125" i="2"/>
  <c r="BB1125" i="2"/>
  <c r="BC1125" i="2"/>
  <c r="BD1125" i="2"/>
  <c r="M1126" i="2"/>
  <c r="AW1126" i="2"/>
  <c r="AX1126" i="2"/>
  <c r="AY1126" i="2"/>
  <c r="AZ1126" i="2"/>
  <c r="BB1126" i="2"/>
  <c r="BC1126" i="2"/>
  <c r="BD1126" i="2"/>
  <c r="M1127" i="2"/>
  <c r="AW1127" i="2"/>
  <c r="AX1127" i="2"/>
  <c r="AY1127" i="2"/>
  <c r="AZ1127" i="2"/>
  <c r="BB1127" i="2"/>
  <c r="BC1127" i="2"/>
  <c r="BD1127" i="2"/>
  <c r="M1128" i="2"/>
  <c r="AW1128" i="2"/>
  <c r="AX1128" i="2"/>
  <c r="AY1128" i="2"/>
  <c r="AZ1128" i="2"/>
  <c r="BB1128" i="2"/>
  <c r="BC1128" i="2"/>
  <c r="BD1128" i="2"/>
  <c r="M1129" i="2"/>
  <c r="AW1129" i="2"/>
  <c r="AX1129" i="2"/>
  <c r="AY1129" i="2"/>
  <c r="AZ1129" i="2"/>
  <c r="BB1129" i="2"/>
  <c r="BC1129" i="2"/>
  <c r="BD1129" i="2"/>
  <c r="M1130" i="2"/>
  <c r="AW1130" i="2"/>
  <c r="AX1130" i="2"/>
  <c r="AY1130" i="2"/>
  <c r="AZ1130" i="2"/>
  <c r="BB1130" i="2"/>
  <c r="BC1130" i="2"/>
  <c r="BD1130" i="2"/>
  <c r="M1131" i="2"/>
  <c r="AW1131" i="2"/>
  <c r="AX1131" i="2"/>
  <c r="AY1131" i="2"/>
  <c r="AZ1131" i="2"/>
  <c r="BB1131" i="2"/>
  <c r="BC1131" i="2"/>
  <c r="BD1131" i="2"/>
  <c r="M1132" i="2"/>
  <c r="AW1132" i="2"/>
  <c r="AX1132" i="2"/>
  <c r="AY1132" i="2"/>
  <c r="AZ1132" i="2"/>
  <c r="BB1132" i="2"/>
  <c r="BC1132" i="2"/>
  <c r="BD1132" i="2"/>
  <c r="M1133" i="2"/>
  <c r="AW1133" i="2"/>
  <c r="AX1133" i="2"/>
  <c r="AY1133" i="2"/>
  <c r="AZ1133" i="2"/>
  <c r="BB1133" i="2"/>
  <c r="BC1133" i="2"/>
  <c r="BD1133" i="2"/>
  <c r="M1134" i="2"/>
  <c r="AW1134" i="2"/>
  <c r="AX1134" i="2"/>
  <c r="AY1134" i="2"/>
  <c r="AZ1134" i="2"/>
  <c r="BB1134" i="2"/>
  <c r="BC1134" i="2"/>
  <c r="BD1134" i="2"/>
  <c r="M1135" i="2"/>
  <c r="AW1135" i="2"/>
  <c r="AX1135" i="2"/>
  <c r="AY1135" i="2"/>
  <c r="AZ1135" i="2"/>
  <c r="BB1135" i="2"/>
  <c r="BC1135" i="2"/>
  <c r="BD1135" i="2"/>
  <c r="M1136" i="2"/>
  <c r="AW1136" i="2"/>
  <c r="AX1136" i="2"/>
  <c r="AY1136" i="2"/>
  <c r="AZ1136" i="2"/>
  <c r="BB1136" i="2"/>
  <c r="BC1136" i="2"/>
  <c r="BD1136" i="2"/>
  <c r="M1137" i="2"/>
  <c r="AW1137" i="2"/>
  <c r="AX1137" i="2"/>
  <c r="AY1137" i="2"/>
  <c r="AZ1137" i="2"/>
  <c r="BB1137" i="2"/>
  <c r="BC1137" i="2"/>
  <c r="BD1137" i="2"/>
  <c r="M1138" i="2"/>
  <c r="AW1138" i="2"/>
  <c r="AX1138" i="2"/>
  <c r="AY1138" i="2"/>
  <c r="AZ1138" i="2"/>
  <c r="BB1138" i="2"/>
  <c r="BC1138" i="2"/>
  <c r="BD1138" i="2"/>
  <c r="M1139" i="2"/>
  <c r="AW1139" i="2"/>
  <c r="AX1139" i="2"/>
  <c r="AY1139" i="2"/>
  <c r="AZ1139" i="2"/>
  <c r="BB1139" i="2"/>
  <c r="BC1139" i="2"/>
  <c r="BD1139" i="2"/>
  <c r="M1140" i="2"/>
  <c r="AW1140" i="2"/>
  <c r="AX1140" i="2"/>
  <c r="AY1140" i="2"/>
  <c r="AZ1140" i="2"/>
  <c r="BB1140" i="2"/>
  <c r="BC1140" i="2"/>
  <c r="BD1140" i="2"/>
  <c r="M1141" i="2"/>
  <c r="AW1141" i="2"/>
  <c r="AX1141" i="2"/>
  <c r="AY1141" i="2"/>
  <c r="AZ1141" i="2"/>
  <c r="BB1141" i="2"/>
  <c r="BC1141" i="2"/>
  <c r="BD1141" i="2"/>
  <c r="M1142" i="2"/>
  <c r="AW1142" i="2"/>
  <c r="AX1142" i="2"/>
  <c r="AY1142" i="2"/>
  <c r="AZ1142" i="2"/>
  <c r="BB1142" i="2"/>
  <c r="BC1142" i="2"/>
  <c r="BD1142" i="2"/>
  <c r="M1143" i="2"/>
  <c r="AW1143" i="2"/>
  <c r="AX1143" i="2"/>
  <c r="AY1143" i="2"/>
  <c r="AZ1143" i="2"/>
  <c r="BB1143" i="2"/>
  <c r="BC1143" i="2"/>
  <c r="BD1143" i="2"/>
  <c r="M1144" i="2"/>
  <c r="AW1144" i="2"/>
  <c r="AX1144" i="2"/>
  <c r="AY1144" i="2"/>
  <c r="AZ1144" i="2"/>
  <c r="BB1144" i="2"/>
  <c r="BC1144" i="2"/>
  <c r="BD1144" i="2"/>
  <c r="M1145" i="2"/>
  <c r="AW1145" i="2"/>
  <c r="AX1145" i="2"/>
  <c r="AY1145" i="2"/>
  <c r="AZ1145" i="2"/>
  <c r="BB1145" i="2"/>
  <c r="BC1145" i="2"/>
  <c r="BD1145" i="2"/>
  <c r="M1146" i="2"/>
  <c r="AW1146" i="2"/>
  <c r="AX1146" i="2"/>
  <c r="AY1146" i="2"/>
  <c r="AZ1146" i="2"/>
  <c r="BB1146" i="2"/>
  <c r="BC1146" i="2"/>
  <c r="BD1146" i="2"/>
  <c r="M1147" i="2"/>
  <c r="AW1147" i="2"/>
  <c r="AX1147" i="2"/>
  <c r="AY1147" i="2"/>
  <c r="AZ1147" i="2"/>
  <c r="BB1147" i="2"/>
  <c r="BC1147" i="2"/>
  <c r="BD1147" i="2"/>
  <c r="M1148" i="2"/>
  <c r="AW1148" i="2"/>
  <c r="AX1148" i="2"/>
  <c r="AY1148" i="2"/>
  <c r="AZ1148" i="2"/>
  <c r="BB1148" i="2"/>
  <c r="BC1148" i="2"/>
  <c r="BD1148" i="2"/>
  <c r="M1149" i="2"/>
  <c r="AW1149" i="2"/>
  <c r="AX1149" i="2"/>
  <c r="AY1149" i="2"/>
  <c r="AZ1149" i="2"/>
  <c r="BB1149" i="2"/>
  <c r="BC1149" i="2"/>
  <c r="BD1149" i="2"/>
  <c r="M1150" i="2"/>
  <c r="AW1150" i="2"/>
  <c r="AX1150" i="2"/>
  <c r="AY1150" i="2"/>
  <c r="AZ1150" i="2"/>
  <c r="BB1150" i="2"/>
  <c r="BC1150" i="2"/>
  <c r="BD1150" i="2"/>
  <c r="M1151" i="2"/>
  <c r="AW1151" i="2"/>
  <c r="AX1151" i="2"/>
  <c r="AY1151" i="2"/>
  <c r="AZ1151" i="2"/>
  <c r="BB1151" i="2"/>
  <c r="BC1151" i="2"/>
  <c r="BD1151" i="2"/>
  <c r="M1152" i="2"/>
  <c r="AW1152" i="2"/>
  <c r="AX1152" i="2"/>
  <c r="AY1152" i="2"/>
  <c r="AZ1152" i="2"/>
  <c r="BB1152" i="2"/>
  <c r="BC1152" i="2"/>
  <c r="BD1152" i="2"/>
  <c r="M1153" i="2"/>
  <c r="AW1153" i="2"/>
  <c r="AX1153" i="2"/>
  <c r="AY1153" i="2"/>
  <c r="AZ1153" i="2"/>
  <c r="BB1153" i="2"/>
  <c r="BC1153" i="2"/>
  <c r="BD1153" i="2"/>
  <c r="M1154" i="2"/>
  <c r="AW1154" i="2"/>
  <c r="AX1154" i="2"/>
  <c r="AY1154" i="2"/>
  <c r="AZ1154" i="2"/>
  <c r="BB1154" i="2"/>
  <c r="BC1154" i="2"/>
  <c r="BD1154" i="2"/>
  <c r="M1155" i="2"/>
  <c r="AW1155" i="2"/>
  <c r="AX1155" i="2"/>
  <c r="AY1155" i="2"/>
  <c r="AZ1155" i="2"/>
  <c r="BB1155" i="2"/>
  <c r="BC1155" i="2"/>
  <c r="BD1155" i="2"/>
  <c r="M1156" i="2"/>
  <c r="AW1156" i="2"/>
  <c r="AX1156" i="2"/>
  <c r="AY1156" i="2"/>
  <c r="AZ1156" i="2"/>
  <c r="BB1156" i="2"/>
  <c r="BC1156" i="2"/>
  <c r="BD1156" i="2"/>
  <c r="M1157" i="2"/>
  <c r="AW1157" i="2"/>
  <c r="AX1157" i="2"/>
  <c r="AY1157" i="2"/>
  <c r="AZ1157" i="2"/>
  <c r="BB1157" i="2"/>
  <c r="BC1157" i="2"/>
  <c r="BD1157" i="2"/>
  <c r="M1158" i="2"/>
  <c r="AW1158" i="2"/>
  <c r="AX1158" i="2"/>
  <c r="AY1158" i="2"/>
  <c r="AZ1158" i="2"/>
  <c r="BB1158" i="2"/>
  <c r="BC1158" i="2"/>
  <c r="BD1158" i="2"/>
  <c r="M1159" i="2"/>
  <c r="AW1159" i="2"/>
  <c r="AX1159" i="2"/>
  <c r="AY1159" i="2"/>
  <c r="AZ1159" i="2"/>
  <c r="BB1159" i="2"/>
  <c r="BC1159" i="2"/>
  <c r="BD1159" i="2"/>
  <c r="M1160" i="2"/>
  <c r="AW1160" i="2"/>
  <c r="AX1160" i="2"/>
  <c r="AY1160" i="2"/>
  <c r="AZ1160" i="2"/>
  <c r="BB1160" i="2"/>
  <c r="BC1160" i="2"/>
  <c r="BD1160" i="2"/>
  <c r="M1161" i="2"/>
  <c r="AX1161" i="2"/>
  <c r="AZ1161" i="2"/>
  <c r="BB1161" i="2"/>
  <c r="BC1161" i="2"/>
  <c r="BD1161" i="2"/>
  <c r="M1163" i="2"/>
  <c r="AW1163" i="2"/>
  <c r="AX1163" i="2"/>
  <c r="AY1163" i="2"/>
  <c r="AZ1163" i="2"/>
  <c r="BB1163" i="2"/>
  <c r="BC1163" i="2"/>
  <c r="BD1163" i="2"/>
  <c r="M1164" i="2"/>
  <c r="AW1164" i="2"/>
  <c r="AX1164" i="2"/>
  <c r="AY1164" i="2"/>
  <c r="AZ1164" i="2"/>
  <c r="BB1164" i="2"/>
  <c r="BC1164" i="2"/>
  <c r="BD1164" i="2"/>
  <c r="M1165" i="2"/>
  <c r="AW1165" i="2"/>
  <c r="AX1165" i="2"/>
  <c r="AY1165" i="2"/>
  <c r="AZ1165" i="2"/>
  <c r="BB1165" i="2"/>
  <c r="BC1165" i="2"/>
  <c r="BD1165" i="2"/>
  <c r="M1166" i="2"/>
  <c r="AW1166" i="2"/>
  <c r="AX1166" i="2"/>
  <c r="AY1166" i="2"/>
  <c r="AZ1166" i="2"/>
  <c r="BB1166" i="2"/>
  <c r="BC1166" i="2"/>
  <c r="BD1166" i="2"/>
  <c r="M1167" i="2"/>
  <c r="AW1167" i="2"/>
  <c r="AX1167" i="2"/>
  <c r="AY1167" i="2"/>
  <c r="AZ1167" i="2"/>
  <c r="BB1167" i="2"/>
  <c r="BC1167" i="2"/>
  <c r="BD1167" i="2"/>
  <c r="M1168" i="2"/>
  <c r="AW1168" i="2"/>
  <c r="AX1168" i="2"/>
  <c r="AY1168" i="2"/>
  <c r="AZ1168" i="2"/>
  <c r="BB1168" i="2"/>
  <c r="BC1168" i="2"/>
  <c r="BD1168" i="2"/>
  <c r="M1169" i="2"/>
  <c r="AW1169" i="2"/>
  <c r="AX1169" i="2"/>
  <c r="AY1169" i="2"/>
  <c r="AZ1169" i="2"/>
  <c r="BB1169" i="2"/>
  <c r="BC1169" i="2"/>
  <c r="BD1169" i="2"/>
  <c r="M1170" i="2"/>
  <c r="AW1170" i="2"/>
  <c r="AX1170" i="2"/>
  <c r="AY1170" i="2"/>
  <c r="AZ1170" i="2"/>
  <c r="BB1170" i="2"/>
  <c r="BC1170" i="2"/>
  <c r="BD1170" i="2"/>
  <c r="M1171" i="2"/>
  <c r="AW1171" i="2"/>
  <c r="AX1171" i="2"/>
  <c r="AY1171" i="2"/>
  <c r="AZ1171" i="2"/>
  <c r="BB1171" i="2"/>
  <c r="BC1171" i="2"/>
  <c r="BD1171" i="2"/>
  <c r="M1172" i="2"/>
  <c r="AW1172" i="2"/>
  <c r="AX1172" i="2"/>
  <c r="AY1172" i="2"/>
  <c r="AZ1172" i="2"/>
  <c r="BB1172" i="2"/>
  <c r="BC1172" i="2"/>
  <c r="BD1172" i="2"/>
  <c r="M1173" i="2"/>
  <c r="AW1173" i="2"/>
  <c r="AX1173" i="2"/>
  <c r="AY1173" i="2"/>
  <c r="AZ1173" i="2"/>
  <c r="BB1173" i="2"/>
  <c r="BC1173" i="2"/>
  <c r="BD1173" i="2"/>
  <c r="M1174" i="2"/>
  <c r="AW1174" i="2"/>
  <c r="AX1174" i="2"/>
  <c r="AY1174" i="2"/>
  <c r="AZ1174" i="2"/>
  <c r="BB1174" i="2"/>
  <c r="BC1174" i="2"/>
  <c r="BD1174" i="2"/>
  <c r="M1175" i="2"/>
  <c r="AW1175" i="2"/>
  <c r="AX1175" i="2"/>
  <c r="AY1175" i="2"/>
  <c r="AZ1175" i="2"/>
  <c r="BB1175" i="2"/>
  <c r="BC1175" i="2"/>
  <c r="BD1175" i="2"/>
  <c r="M1176" i="2"/>
  <c r="AW1176" i="2"/>
  <c r="AX1176" i="2"/>
  <c r="AY1176" i="2"/>
  <c r="AZ1176" i="2"/>
  <c r="BB1176" i="2"/>
  <c r="BC1176" i="2"/>
  <c r="BD1176" i="2"/>
  <c r="M1177" i="2"/>
  <c r="AW1177" i="2"/>
  <c r="AX1177" i="2"/>
  <c r="AY1177" i="2"/>
  <c r="AZ1177" i="2"/>
  <c r="BB1177" i="2"/>
  <c r="BC1177" i="2"/>
  <c r="BD1177" i="2"/>
  <c r="M1178" i="2"/>
  <c r="AW1178" i="2"/>
  <c r="AX1178" i="2"/>
  <c r="AY1178" i="2"/>
  <c r="AZ1178" i="2"/>
  <c r="BB1178" i="2"/>
  <c r="BC1178" i="2"/>
  <c r="BD1178" i="2"/>
  <c r="M1179" i="2"/>
  <c r="AW1179" i="2"/>
  <c r="AX1179" i="2"/>
  <c r="AY1179" i="2"/>
  <c r="AZ1179" i="2"/>
  <c r="BB1179" i="2"/>
  <c r="BC1179" i="2"/>
  <c r="BD1179" i="2"/>
  <c r="M1180" i="2"/>
  <c r="AW1180" i="2"/>
  <c r="AX1180" i="2"/>
  <c r="AY1180" i="2"/>
  <c r="AZ1180" i="2"/>
  <c r="BB1180" i="2"/>
  <c r="BC1180" i="2"/>
  <c r="BD1180" i="2"/>
  <c r="M1181" i="2"/>
  <c r="AW1181" i="2"/>
  <c r="AX1181" i="2"/>
  <c r="AY1181" i="2"/>
  <c r="AZ1181" i="2"/>
  <c r="BB1181" i="2"/>
  <c r="BC1181" i="2"/>
  <c r="BD1181" i="2"/>
  <c r="M1182" i="2"/>
  <c r="AW1182" i="2"/>
  <c r="AX1182" i="2"/>
  <c r="AY1182" i="2"/>
  <c r="AZ1182" i="2"/>
  <c r="BB1182" i="2"/>
  <c r="BC1182" i="2"/>
  <c r="BD1182" i="2"/>
  <c r="M1183" i="2"/>
  <c r="AW1183" i="2"/>
  <c r="AX1183" i="2"/>
  <c r="AY1183" i="2"/>
  <c r="AZ1183" i="2"/>
  <c r="BB1183" i="2"/>
  <c r="BC1183" i="2"/>
  <c r="BD1183" i="2"/>
  <c r="M1184" i="2"/>
  <c r="AW1184" i="2"/>
  <c r="AX1184" i="2"/>
  <c r="AY1184" i="2"/>
  <c r="AZ1184" i="2"/>
  <c r="BB1184" i="2"/>
  <c r="BC1184" i="2"/>
  <c r="BD1184" i="2"/>
  <c r="M1185" i="2"/>
  <c r="AW1185" i="2"/>
  <c r="AX1185" i="2"/>
  <c r="AY1185" i="2"/>
  <c r="AZ1185" i="2"/>
  <c r="BB1185" i="2"/>
  <c r="BC1185" i="2"/>
  <c r="BD1185" i="2"/>
  <c r="M1186" i="2"/>
  <c r="AW1186" i="2"/>
  <c r="AX1186" i="2"/>
  <c r="AY1186" i="2"/>
  <c r="AZ1186" i="2"/>
  <c r="BB1186" i="2"/>
  <c r="BC1186" i="2"/>
  <c r="BD1186" i="2"/>
  <c r="M1187" i="2"/>
  <c r="AW1187" i="2"/>
  <c r="AX1187" i="2"/>
  <c r="AY1187" i="2"/>
  <c r="AZ1187" i="2"/>
  <c r="BB1187" i="2"/>
  <c r="BC1187" i="2"/>
  <c r="BD1187" i="2"/>
  <c r="M1188" i="2"/>
  <c r="AW1188" i="2"/>
  <c r="AX1188" i="2"/>
  <c r="AY1188" i="2"/>
  <c r="AZ1188" i="2"/>
  <c r="BB1188" i="2"/>
  <c r="BC1188" i="2"/>
  <c r="BD1188" i="2"/>
  <c r="M1189" i="2"/>
  <c r="AW1189" i="2"/>
  <c r="AX1189" i="2"/>
  <c r="AY1189" i="2"/>
  <c r="AZ1189" i="2"/>
  <c r="BB1189" i="2"/>
  <c r="BC1189" i="2"/>
  <c r="BD1189" i="2"/>
  <c r="M1190" i="2"/>
  <c r="AW1190" i="2"/>
  <c r="AX1190" i="2"/>
  <c r="AY1190" i="2"/>
  <c r="AZ1190" i="2"/>
  <c r="BB1190" i="2"/>
  <c r="BC1190" i="2"/>
  <c r="BD1190" i="2"/>
  <c r="M1191" i="2"/>
  <c r="AW1191" i="2"/>
  <c r="AX1191" i="2"/>
  <c r="AY1191" i="2"/>
  <c r="AZ1191" i="2"/>
  <c r="BB1191" i="2"/>
  <c r="BC1191" i="2"/>
  <c r="BD1191" i="2"/>
  <c r="M1192" i="2"/>
  <c r="AW1192" i="2"/>
  <c r="AX1192" i="2"/>
  <c r="AY1192" i="2"/>
  <c r="AZ1192" i="2"/>
  <c r="BB1192" i="2"/>
  <c r="BC1192" i="2"/>
  <c r="BD1192" i="2"/>
  <c r="M1193" i="2"/>
  <c r="AW1193" i="2"/>
  <c r="AX1193" i="2"/>
  <c r="AY1193" i="2"/>
  <c r="AZ1193" i="2"/>
  <c r="BB1193" i="2"/>
  <c r="BC1193" i="2"/>
  <c r="BD1193" i="2"/>
  <c r="M1194" i="2"/>
  <c r="AW1194" i="2"/>
  <c r="AX1194" i="2"/>
  <c r="AY1194" i="2"/>
  <c r="AZ1194" i="2"/>
  <c r="BB1194" i="2"/>
  <c r="BC1194" i="2"/>
  <c r="BD1194" i="2"/>
  <c r="M1195" i="2"/>
  <c r="AW1195" i="2"/>
  <c r="AX1195" i="2"/>
  <c r="AY1195" i="2"/>
  <c r="AZ1195" i="2"/>
  <c r="BB1195" i="2"/>
  <c r="BC1195" i="2"/>
  <c r="BD1195" i="2"/>
  <c r="M1196" i="2"/>
  <c r="AW1196" i="2"/>
  <c r="AX1196" i="2"/>
  <c r="AY1196" i="2"/>
  <c r="AZ1196" i="2"/>
  <c r="BB1196" i="2"/>
  <c r="BC1196" i="2"/>
  <c r="BD1196" i="2"/>
  <c r="M1197" i="2"/>
  <c r="AW1197" i="2"/>
  <c r="AX1197" i="2"/>
  <c r="AY1197" i="2"/>
  <c r="AZ1197" i="2"/>
  <c r="BB1197" i="2"/>
  <c r="BC1197" i="2"/>
  <c r="BD1197" i="2"/>
  <c r="M1198" i="2"/>
  <c r="AW1198" i="2"/>
  <c r="AX1198" i="2"/>
  <c r="AY1198" i="2"/>
  <c r="AZ1198" i="2"/>
  <c r="BB1198" i="2"/>
  <c r="BC1198" i="2"/>
  <c r="BD1198" i="2"/>
  <c r="M1199" i="2"/>
  <c r="AW1199" i="2"/>
  <c r="AX1199" i="2"/>
  <c r="AY1199" i="2"/>
  <c r="AZ1199" i="2"/>
  <c r="BB1199" i="2"/>
  <c r="BC1199" i="2"/>
  <c r="BD1199" i="2"/>
  <c r="M1200" i="2"/>
  <c r="AW1200" i="2"/>
  <c r="AX1200" i="2"/>
  <c r="AY1200" i="2"/>
  <c r="AZ1200" i="2"/>
  <c r="BB1200" i="2"/>
  <c r="BC1200" i="2"/>
  <c r="BD1200" i="2"/>
  <c r="M1201" i="2"/>
  <c r="AW1201" i="2"/>
  <c r="AX1201" i="2"/>
  <c r="AY1201" i="2"/>
  <c r="AZ1201" i="2"/>
  <c r="BB1201" i="2"/>
  <c r="BC1201" i="2"/>
  <c r="BD1201" i="2"/>
  <c r="M1202" i="2"/>
  <c r="AW1202" i="2"/>
  <c r="AX1202" i="2"/>
  <c r="AY1202" i="2"/>
  <c r="AZ1202" i="2"/>
  <c r="BB1202" i="2"/>
  <c r="BC1202" i="2"/>
  <c r="BD1202" i="2"/>
  <c r="M1203" i="2"/>
  <c r="AW1203" i="2"/>
  <c r="AX1203" i="2"/>
  <c r="AY1203" i="2"/>
  <c r="AZ1203" i="2"/>
  <c r="BB1203" i="2"/>
  <c r="BC1203" i="2"/>
  <c r="BD1203" i="2"/>
  <c r="M1204" i="2"/>
  <c r="AW1204" i="2"/>
  <c r="AX1204" i="2"/>
  <c r="AY1204" i="2"/>
  <c r="AZ1204" i="2"/>
  <c r="BB1204" i="2"/>
  <c r="BC1204" i="2"/>
  <c r="BD1204" i="2"/>
  <c r="M1205" i="2"/>
  <c r="AW1205" i="2"/>
  <c r="AX1205" i="2"/>
  <c r="AY1205" i="2"/>
  <c r="AZ1205" i="2"/>
  <c r="BB1205" i="2"/>
  <c r="BC1205" i="2"/>
  <c r="BD1205" i="2"/>
  <c r="M1206" i="2"/>
  <c r="AW1206" i="2"/>
  <c r="AX1206" i="2"/>
  <c r="AY1206" i="2"/>
  <c r="AZ1206" i="2"/>
  <c r="BB1206" i="2"/>
  <c r="BC1206" i="2"/>
  <c r="BD1206" i="2"/>
  <c r="M1207" i="2"/>
  <c r="AW1207" i="2"/>
  <c r="AX1207" i="2"/>
  <c r="AY1207" i="2"/>
  <c r="AZ1207" i="2"/>
  <c r="BB1207" i="2"/>
  <c r="BC1207" i="2"/>
  <c r="BD1207" i="2"/>
  <c r="M1208" i="2"/>
  <c r="AW1208" i="2"/>
  <c r="AX1208" i="2"/>
  <c r="AY1208" i="2"/>
  <c r="AZ1208" i="2"/>
  <c r="BB1208" i="2"/>
  <c r="BC1208" i="2"/>
  <c r="BD1208" i="2"/>
  <c r="M1209" i="2"/>
  <c r="AW1209" i="2"/>
  <c r="AX1209" i="2"/>
  <c r="AY1209" i="2"/>
  <c r="AZ1209" i="2"/>
  <c r="BB1209" i="2"/>
  <c r="BC1209" i="2"/>
  <c r="BD1209" i="2"/>
  <c r="M1210" i="2"/>
  <c r="AW1210" i="2"/>
  <c r="AX1210" i="2"/>
  <c r="AY1210" i="2"/>
  <c r="AZ1210" i="2"/>
  <c r="BB1210" i="2"/>
  <c r="BC1210" i="2"/>
  <c r="BD1210" i="2"/>
  <c r="M1211" i="2"/>
  <c r="AW1211" i="2"/>
  <c r="AX1211" i="2"/>
  <c r="AY1211" i="2"/>
  <c r="AZ1211" i="2"/>
  <c r="BB1211" i="2"/>
  <c r="BC1211" i="2"/>
  <c r="BD1211" i="2"/>
  <c r="M1212" i="2"/>
  <c r="AW1212" i="2"/>
  <c r="AX1212" i="2"/>
  <c r="AY1212" i="2"/>
  <c r="AZ1212" i="2"/>
  <c r="BB1212" i="2"/>
  <c r="BC1212" i="2"/>
  <c r="BD1212" i="2"/>
  <c r="M1213" i="2"/>
  <c r="AW1213" i="2"/>
  <c r="AX1213" i="2"/>
  <c r="AY1213" i="2"/>
  <c r="AZ1213" i="2"/>
  <c r="BB1213" i="2"/>
  <c r="BC1213" i="2"/>
  <c r="BD1213" i="2"/>
  <c r="M1214" i="2"/>
  <c r="AW1214" i="2"/>
  <c r="AX1214" i="2"/>
  <c r="AY1214" i="2"/>
  <c r="AZ1214" i="2"/>
  <c r="BB1214" i="2"/>
  <c r="BC1214" i="2"/>
  <c r="BD1214" i="2"/>
  <c r="M1215" i="2"/>
  <c r="AW1215" i="2"/>
  <c r="AX1215" i="2"/>
  <c r="AY1215" i="2"/>
  <c r="AZ1215" i="2"/>
  <c r="BB1215" i="2"/>
  <c r="BC1215" i="2"/>
  <c r="BD1215" i="2"/>
  <c r="M1216" i="2"/>
  <c r="AW1216" i="2"/>
  <c r="AX1216" i="2"/>
  <c r="AY1216" i="2"/>
  <c r="AZ1216" i="2"/>
  <c r="BB1216" i="2"/>
  <c r="BC1216" i="2"/>
  <c r="BD1216" i="2"/>
  <c r="M1217" i="2"/>
  <c r="AW1217" i="2"/>
  <c r="AX1217" i="2"/>
  <c r="AY1217" i="2"/>
  <c r="AZ1217" i="2"/>
  <c r="BB1217" i="2"/>
  <c r="BC1217" i="2"/>
  <c r="BD1217" i="2"/>
  <c r="M1218" i="2"/>
  <c r="AW1218" i="2"/>
  <c r="AX1218" i="2"/>
  <c r="AY1218" i="2"/>
  <c r="AZ1218" i="2"/>
  <c r="BB1218" i="2"/>
  <c r="BC1218" i="2"/>
  <c r="BD1218" i="2"/>
  <c r="M1219" i="2"/>
  <c r="AW1219" i="2"/>
  <c r="AX1219" i="2"/>
  <c r="AY1219" i="2"/>
  <c r="AZ1219" i="2"/>
  <c r="BB1219" i="2"/>
  <c r="BC1219" i="2"/>
  <c r="BD1219" i="2"/>
  <c r="M1220" i="2"/>
  <c r="AW1220" i="2"/>
  <c r="AX1220" i="2"/>
  <c r="AY1220" i="2"/>
  <c r="AZ1220" i="2"/>
  <c r="BB1220" i="2"/>
  <c r="BC1220" i="2"/>
  <c r="BD1220" i="2"/>
  <c r="M1221" i="2"/>
  <c r="AW1221" i="2"/>
  <c r="AX1221" i="2"/>
  <c r="AY1221" i="2"/>
  <c r="AZ1221" i="2"/>
  <c r="BB1221" i="2"/>
  <c r="BC1221" i="2"/>
  <c r="BD1221" i="2"/>
  <c r="M1222" i="2"/>
  <c r="AW1222" i="2"/>
  <c r="AX1222" i="2"/>
  <c r="AY1222" i="2"/>
  <c r="AZ1222" i="2"/>
  <c r="BB1222" i="2"/>
  <c r="BC1222" i="2"/>
  <c r="BD1222" i="2"/>
  <c r="M1223" i="2"/>
  <c r="AW1223" i="2"/>
  <c r="AX1223" i="2"/>
  <c r="AY1223" i="2"/>
  <c r="AZ1223" i="2"/>
  <c r="BB1223" i="2"/>
  <c r="BC1223" i="2"/>
  <c r="BD1223" i="2"/>
  <c r="M1224" i="2"/>
  <c r="AW1224" i="2"/>
  <c r="AX1224" i="2"/>
  <c r="AY1224" i="2"/>
  <c r="AZ1224" i="2"/>
  <c r="BB1224" i="2"/>
  <c r="BC1224" i="2"/>
  <c r="BD1224" i="2"/>
  <c r="M1225" i="2"/>
  <c r="AW1225" i="2"/>
  <c r="AX1225" i="2"/>
  <c r="AY1225" i="2"/>
  <c r="AZ1225" i="2"/>
  <c r="BB1225" i="2"/>
  <c r="BC1225" i="2"/>
  <c r="BD1225" i="2"/>
  <c r="M1226" i="2"/>
  <c r="AW1226" i="2"/>
  <c r="AX1226" i="2"/>
  <c r="AY1226" i="2"/>
  <c r="AZ1226" i="2"/>
  <c r="BB1226" i="2"/>
  <c r="BC1226" i="2"/>
  <c r="BD1226" i="2"/>
  <c r="M1227" i="2"/>
  <c r="AX1227" i="2"/>
  <c r="AZ1227" i="2"/>
  <c r="BB1227" i="2"/>
  <c r="BC1227" i="2"/>
  <c r="BD1227" i="2"/>
  <c r="M1229" i="2"/>
  <c r="AW1229" i="2"/>
  <c r="AX1229" i="2"/>
  <c r="AY1229" i="2"/>
  <c r="AZ1229" i="2"/>
  <c r="BB1229" i="2"/>
  <c r="BC1229" i="2"/>
  <c r="BD1229" i="2"/>
  <c r="M1230" i="2"/>
  <c r="AW1230" i="2"/>
  <c r="AX1230" i="2"/>
  <c r="AY1230" i="2"/>
  <c r="AZ1230" i="2"/>
  <c r="BB1230" i="2"/>
  <c r="BC1230" i="2"/>
  <c r="BD1230" i="2"/>
  <c r="M1231" i="2"/>
  <c r="AW1231" i="2"/>
  <c r="AX1231" i="2"/>
  <c r="AY1231" i="2"/>
  <c r="AZ1231" i="2"/>
  <c r="BB1231" i="2"/>
  <c r="BC1231" i="2"/>
  <c r="BD1231" i="2"/>
  <c r="M1232" i="2"/>
  <c r="AW1232" i="2"/>
  <c r="AX1232" i="2"/>
  <c r="AY1232" i="2"/>
  <c r="AZ1232" i="2"/>
  <c r="BB1232" i="2"/>
  <c r="BC1232" i="2"/>
  <c r="BD1232" i="2"/>
  <c r="M1233" i="2"/>
  <c r="AW1233" i="2"/>
  <c r="AX1233" i="2"/>
  <c r="AY1233" i="2"/>
  <c r="AZ1233" i="2"/>
  <c r="BB1233" i="2"/>
  <c r="BC1233" i="2"/>
  <c r="BD1233" i="2"/>
  <c r="M1234" i="2"/>
  <c r="AW1234" i="2"/>
  <c r="AX1234" i="2"/>
  <c r="AY1234" i="2"/>
  <c r="AZ1234" i="2"/>
  <c r="BB1234" i="2"/>
  <c r="BC1234" i="2"/>
  <c r="BD1234" i="2"/>
  <c r="M1235" i="2"/>
  <c r="AW1235" i="2"/>
  <c r="AX1235" i="2"/>
  <c r="AY1235" i="2"/>
  <c r="AZ1235" i="2"/>
  <c r="BB1235" i="2"/>
  <c r="BC1235" i="2"/>
  <c r="BD1235" i="2"/>
  <c r="M1236" i="2"/>
  <c r="AW1236" i="2"/>
  <c r="AX1236" i="2"/>
  <c r="AY1236" i="2"/>
  <c r="AZ1236" i="2"/>
  <c r="BB1236" i="2"/>
  <c r="BC1236" i="2"/>
  <c r="BD1236" i="2"/>
  <c r="M1237" i="2"/>
  <c r="AW1237" i="2"/>
  <c r="AX1237" i="2"/>
  <c r="AY1237" i="2"/>
  <c r="AZ1237" i="2"/>
  <c r="BB1237" i="2"/>
  <c r="BC1237" i="2"/>
  <c r="BD1237" i="2"/>
  <c r="M1238" i="2"/>
  <c r="AW1238" i="2"/>
  <c r="AX1238" i="2"/>
  <c r="AY1238" i="2"/>
  <c r="AZ1238" i="2"/>
  <c r="BB1238" i="2"/>
  <c r="BC1238" i="2"/>
  <c r="BD1238" i="2"/>
  <c r="M1239" i="2"/>
  <c r="AW1239" i="2"/>
  <c r="AX1239" i="2"/>
  <c r="AY1239" i="2"/>
  <c r="AZ1239" i="2"/>
  <c r="BB1239" i="2"/>
  <c r="BC1239" i="2"/>
  <c r="BD1239" i="2"/>
  <c r="M1240" i="2"/>
  <c r="AW1240" i="2"/>
  <c r="AX1240" i="2"/>
  <c r="AY1240" i="2"/>
  <c r="AZ1240" i="2"/>
  <c r="BB1240" i="2"/>
  <c r="BC1240" i="2"/>
  <c r="BD1240" i="2"/>
  <c r="M1241" i="2"/>
  <c r="AW1241" i="2"/>
  <c r="AX1241" i="2"/>
  <c r="AY1241" i="2"/>
  <c r="AZ1241" i="2"/>
  <c r="BB1241" i="2"/>
  <c r="BC1241" i="2"/>
  <c r="BD1241" i="2"/>
  <c r="M1242" i="2"/>
  <c r="AW1242" i="2"/>
  <c r="AX1242" i="2"/>
  <c r="AY1242" i="2"/>
  <c r="AZ1242" i="2"/>
  <c r="BB1242" i="2"/>
  <c r="BC1242" i="2"/>
  <c r="BD1242" i="2"/>
  <c r="M1243" i="2"/>
  <c r="AW1243" i="2"/>
  <c r="AX1243" i="2"/>
  <c r="AY1243" i="2"/>
  <c r="AZ1243" i="2"/>
  <c r="BB1243" i="2"/>
  <c r="BC1243" i="2"/>
  <c r="BD1243" i="2"/>
  <c r="M1245" i="2"/>
  <c r="AW1245" i="2"/>
  <c r="AX1245" i="2"/>
  <c r="AY1245" i="2"/>
  <c r="AZ1245" i="2"/>
  <c r="BB1245" i="2"/>
  <c r="BC1245" i="2"/>
  <c r="BD1245" i="2"/>
  <c r="M1246" i="2"/>
  <c r="AX1246" i="2"/>
  <c r="AZ1246" i="2"/>
  <c r="BB1246" i="2"/>
  <c r="BC1246" i="2"/>
  <c r="BD1246" i="2"/>
  <c r="M1248" i="2"/>
  <c r="AW1248" i="2"/>
  <c r="AX1248" i="2"/>
  <c r="AY1248" i="2"/>
  <c r="AZ1248" i="2"/>
  <c r="BB1248" i="2"/>
  <c r="BC1248" i="2"/>
  <c r="BD1248" i="2"/>
  <c r="M1249" i="2"/>
  <c r="AW1249" i="2"/>
  <c r="AX1249" i="2"/>
  <c r="AY1249" i="2"/>
  <c r="AZ1249" i="2"/>
  <c r="BB1249" i="2"/>
  <c r="BC1249" i="2"/>
  <c r="BD1249" i="2"/>
  <c r="M1250" i="2"/>
  <c r="AW1250" i="2"/>
  <c r="AX1250" i="2"/>
  <c r="AY1250" i="2"/>
  <c r="AZ1250" i="2"/>
  <c r="BB1250" i="2"/>
  <c r="BC1250" i="2"/>
  <c r="BD1250" i="2"/>
  <c r="M1251" i="2"/>
  <c r="AW1251" i="2"/>
  <c r="AX1251" i="2"/>
  <c r="AY1251" i="2"/>
  <c r="AZ1251" i="2"/>
  <c r="BB1251" i="2"/>
  <c r="BC1251" i="2"/>
  <c r="BD1251" i="2"/>
  <c r="M1252" i="2"/>
  <c r="AW1252" i="2"/>
  <c r="AX1252" i="2"/>
  <c r="AY1252" i="2"/>
  <c r="AZ1252" i="2"/>
  <c r="BB1252" i="2"/>
  <c r="BC1252" i="2"/>
  <c r="BD1252" i="2"/>
  <c r="M1253" i="2"/>
  <c r="AW1253" i="2"/>
  <c r="AX1253" i="2"/>
  <c r="AY1253" i="2"/>
  <c r="AZ1253" i="2"/>
  <c r="BB1253" i="2"/>
  <c r="BC1253" i="2"/>
  <c r="BD1253" i="2"/>
  <c r="M1254" i="2"/>
  <c r="AW1254" i="2"/>
  <c r="AX1254" i="2"/>
  <c r="AY1254" i="2"/>
  <c r="AZ1254" i="2"/>
  <c r="BB1254" i="2"/>
  <c r="BC1254" i="2"/>
  <c r="BD1254" i="2"/>
  <c r="M1255" i="2"/>
  <c r="AW1255" i="2"/>
  <c r="AX1255" i="2"/>
  <c r="AY1255" i="2"/>
  <c r="AZ1255" i="2"/>
  <c r="BB1255" i="2"/>
  <c r="BC1255" i="2"/>
  <c r="BD1255" i="2"/>
  <c r="M1256" i="2"/>
  <c r="AW1256" i="2"/>
  <c r="AX1256" i="2"/>
  <c r="AY1256" i="2"/>
  <c r="AZ1256" i="2"/>
  <c r="BB1256" i="2"/>
  <c r="BC1256" i="2"/>
  <c r="BD1256" i="2"/>
  <c r="M1257" i="2"/>
  <c r="AW1257" i="2"/>
  <c r="AX1257" i="2"/>
  <c r="AY1257" i="2"/>
  <c r="AZ1257" i="2"/>
  <c r="BB1257" i="2"/>
  <c r="BC1257" i="2"/>
  <c r="BD1257" i="2"/>
  <c r="M1258" i="2"/>
  <c r="AW1258" i="2"/>
  <c r="AX1258" i="2"/>
  <c r="AY1258" i="2"/>
  <c r="AZ1258" i="2"/>
  <c r="BB1258" i="2"/>
  <c r="BC1258" i="2"/>
  <c r="BD1258" i="2"/>
  <c r="M1259" i="2"/>
  <c r="AW1259" i="2"/>
  <c r="AX1259" i="2"/>
  <c r="AY1259" i="2"/>
  <c r="AZ1259" i="2"/>
  <c r="BB1259" i="2"/>
  <c r="BC1259" i="2"/>
  <c r="BD1259" i="2"/>
  <c r="M1260" i="2"/>
  <c r="AW1260" i="2"/>
  <c r="AX1260" i="2"/>
  <c r="AY1260" i="2"/>
  <c r="AZ1260" i="2"/>
  <c r="BB1260" i="2"/>
  <c r="BC1260" i="2"/>
  <c r="BD1260" i="2"/>
  <c r="M1261" i="2"/>
  <c r="AW1261" i="2"/>
  <c r="AX1261" i="2"/>
  <c r="AY1261" i="2"/>
  <c r="AZ1261" i="2"/>
  <c r="BB1261" i="2"/>
  <c r="BC1261" i="2"/>
  <c r="BD1261" i="2"/>
  <c r="M1262" i="2"/>
  <c r="AW1262" i="2"/>
  <c r="AX1262" i="2"/>
  <c r="AY1262" i="2"/>
  <c r="AZ1262" i="2"/>
  <c r="BB1262" i="2"/>
  <c r="BC1262" i="2"/>
  <c r="BD1262" i="2"/>
  <c r="M1263" i="2"/>
  <c r="AW1263" i="2"/>
  <c r="AX1263" i="2"/>
  <c r="AY1263" i="2"/>
  <c r="AZ1263" i="2"/>
  <c r="BB1263" i="2"/>
  <c r="BC1263" i="2"/>
  <c r="BD1263" i="2"/>
  <c r="M1264" i="2"/>
  <c r="AW1264" i="2"/>
  <c r="AX1264" i="2"/>
  <c r="AY1264" i="2"/>
  <c r="AZ1264" i="2"/>
  <c r="BB1264" i="2"/>
  <c r="BC1264" i="2"/>
  <c r="BD1264" i="2"/>
  <c r="M1265" i="2"/>
  <c r="AW1265" i="2"/>
  <c r="AX1265" i="2"/>
  <c r="AY1265" i="2"/>
  <c r="AZ1265" i="2"/>
  <c r="BB1265" i="2"/>
  <c r="BC1265" i="2"/>
  <c r="BD1265" i="2"/>
  <c r="M1266" i="2"/>
  <c r="AW1266" i="2"/>
  <c r="AX1266" i="2"/>
  <c r="AY1266" i="2"/>
  <c r="AZ1266" i="2"/>
  <c r="BB1266" i="2"/>
  <c r="BC1266" i="2"/>
  <c r="BD1266" i="2"/>
  <c r="M1267" i="2"/>
  <c r="AW1267" i="2"/>
  <c r="AX1267" i="2"/>
  <c r="AY1267" i="2"/>
  <c r="AZ1267" i="2"/>
  <c r="BB1267" i="2"/>
  <c r="BC1267" i="2"/>
  <c r="BD1267" i="2"/>
  <c r="M1268" i="2"/>
  <c r="AW1268" i="2"/>
  <c r="AX1268" i="2"/>
  <c r="AY1268" i="2"/>
  <c r="AZ1268" i="2"/>
  <c r="BB1268" i="2"/>
  <c r="BC1268" i="2"/>
  <c r="BD1268" i="2"/>
  <c r="M1269" i="2"/>
  <c r="AW1269" i="2"/>
  <c r="AX1269" i="2"/>
  <c r="AY1269" i="2"/>
  <c r="AZ1269" i="2"/>
  <c r="BB1269" i="2"/>
  <c r="BC1269" i="2"/>
  <c r="BD1269" i="2"/>
  <c r="M1270" i="2"/>
  <c r="AW1270" i="2"/>
  <c r="AX1270" i="2"/>
  <c r="AY1270" i="2"/>
  <c r="AZ1270" i="2"/>
  <c r="BB1270" i="2"/>
  <c r="BC1270" i="2"/>
  <c r="BD1270" i="2"/>
  <c r="M1271" i="2"/>
  <c r="AW1271" i="2"/>
  <c r="AX1271" i="2"/>
  <c r="AY1271" i="2"/>
  <c r="AZ1271" i="2"/>
  <c r="BB1271" i="2"/>
  <c r="BC1271" i="2"/>
  <c r="BD1271" i="2"/>
  <c r="M1272" i="2"/>
  <c r="AX1272" i="2"/>
  <c r="AZ1272" i="2"/>
  <c r="BB1272" i="2"/>
  <c r="BC1272" i="2"/>
  <c r="BD1272" i="2"/>
  <c r="CA1272" i="2"/>
  <c r="M1274" i="2"/>
  <c r="AW1274" i="2"/>
  <c r="AX1274" i="2"/>
  <c r="AY1274" i="2"/>
  <c r="AZ1274" i="2"/>
  <c r="BB1274" i="2"/>
  <c r="BC1274" i="2"/>
  <c r="BD1274" i="2"/>
  <c r="M1275" i="2"/>
  <c r="AW1275" i="2"/>
  <c r="AX1275" i="2"/>
  <c r="AY1275" i="2"/>
  <c r="AZ1275" i="2"/>
  <c r="BB1275" i="2"/>
  <c r="BC1275" i="2"/>
  <c r="BD1275" i="2"/>
  <c r="M1276" i="2"/>
  <c r="AW1276" i="2"/>
  <c r="AX1276" i="2"/>
  <c r="AY1276" i="2"/>
  <c r="AZ1276" i="2"/>
  <c r="BB1276" i="2"/>
  <c r="BC1276" i="2"/>
  <c r="BD1276" i="2"/>
  <c r="M1277" i="2"/>
  <c r="AW1277" i="2"/>
  <c r="AX1277" i="2"/>
  <c r="AY1277" i="2"/>
  <c r="AZ1277" i="2"/>
  <c r="BB1277" i="2"/>
  <c r="BC1277" i="2"/>
  <c r="BD1277" i="2"/>
  <c r="M1278" i="2"/>
  <c r="AW1278" i="2"/>
  <c r="AX1278" i="2"/>
  <c r="AY1278" i="2"/>
  <c r="AZ1278" i="2"/>
  <c r="BB1278" i="2"/>
  <c r="BC1278" i="2"/>
  <c r="BD1278" i="2"/>
  <c r="M1279" i="2"/>
  <c r="AW1279" i="2"/>
  <c r="AX1279" i="2"/>
  <c r="AY1279" i="2"/>
  <c r="AZ1279" i="2"/>
  <c r="BB1279" i="2"/>
  <c r="BC1279" i="2"/>
  <c r="BD1279" i="2"/>
  <c r="M1280" i="2"/>
  <c r="AW1280" i="2"/>
  <c r="AX1280" i="2"/>
  <c r="AY1280" i="2"/>
  <c r="AZ1280" i="2"/>
  <c r="BB1280" i="2"/>
  <c r="BC1280" i="2"/>
  <c r="BD1280" i="2"/>
  <c r="M1281" i="2"/>
  <c r="AW1281" i="2"/>
  <c r="AX1281" i="2"/>
  <c r="AY1281" i="2"/>
  <c r="AZ1281" i="2"/>
  <c r="BB1281" i="2"/>
  <c r="BC1281" i="2"/>
  <c r="BD1281" i="2"/>
  <c r="M1282" i="2"/>
  <c r="AW1282" i="2"/>
  <c r="AX1282" i="2"/>
  <c r="AY1282" i="2"/>
  <c r="AZ1282" i="2"/>
  <c r="BB1282" i="2"/>
  <c r="BC1282" i="2"/>
  <c r="BD1282" i="2"/>
  <c r="M1283" i="2"/>
  <c r="AW1283" i="2"/>
  <c r="AX1283" i="2"/>
  <c r="AY1283" i="2"/>
  <c r="AZ1283" i="2"/>
  <c r="BB1283" i="2"/>
  <c r="BC1283" i="2"/>
  <c r="BD1283" i="2"/>
  <c r="M1284" i="2"/>
  <c r="AW1284" i="2"/>
  <c r="AX1284" i="2"/>
  <c r="AY1284" i="2"/>
  <c r="AZ1284" i="2"/>
  <c r="BB1284" i="2"/>
  <c r="BC1284" i="2"/>
  <c r="BD1284" i="2"/>
  <c r="M1285" i="2"/>
  <c r="AW1285" i="2"/>
  <c r="AX1285" i="2"/>
  <c r="AY1285" i="2"/>
  <c r="AZ1285" i="2"/>
  <c r="BB1285" i="2"/>
  <c r="BC1285" i="2"/>
  <c r="BD1285" i="2"/>
  <c r="M1286" i="2"/>
  <c r="AW1286" i="2"/>
  <c r="AX1286" i="2"/>
  <c r="AY1286" i="2"/>
  <c r="AZ1286" i="2"/>
  <c r="BB1286" i="2"/>
  <c r="BC1286" i="2"/>
  <c r="BD1286" i="2"/>
  <c r="M1287" i="2"/>
  <c r="AW1287" i="2"/>
  <c r="AX1287" i="2"/>
  <c r="AY1287" i="2"/>
  <c r="AZ1287" i="2"/>
  <c r="BB1287" i="2"/>
  <c r="BC1287" i="2"/>
  <c r="BD1287" i="2"/>
  <c r="M1288" i="2"/>
  <c r="AX1288" i="2"/>
  <c r="AZ1288" i="2"/>
  <c r="BB1288" i="2"/>
  <c r="BC1288" i="2"/>
  <c r="BD1288" i="2"/>
  <c r="M1290" i="2"/>
  <c r="AW1290" i="2"/>
  <c r="AX1290" i="2"/>
  <c r="AY1290" i="2"/>
  <c r="AZ1290" i="2"/>
  <c r="BB1290" i="2"/>
  <c r="BC1290" i="2"/>
  <c r="BD1290" i="2"/>
  <c r="M1291" i="2"/>
  <c r="AW1291" i="2"/>
  <c r="AX1291" i="2"/>
  <c r="AY1291" i="2"/>
  <c r="AZ1291" i="2"/>
  <c r="BB1291" i="2"/>
  <c r="BC1291" i="2"/>
  <c r="BD1291" i="2"/>
  <c r="M1292" i="2"/>
  <c r="AW1292" i="2"/>
  <c r="AX1292" i="2"/>
  <c r="AY1292" i="2"/>
  <c r="AZ1292" i="2"/>
  <c r="BB1292" i="2"/>
  <c r="BC1292" i="2"/>
  <c r="BD1292" i="2"/>
  <c r="M1293" i="2"/>
  <c r="AW1293" i="2"/>
  <c r="AX1293" i="2"/>
  <c r="AY1293" i="2"/>
  <c r="AZ1293" i="2"/>
  <c r="BB1293" i="2"/>
  <c r="BC1293" i="2"/>
  <c r="BD1293" i="2"/>
  <c r="M1294" i="2"/>
  <c r="AW1294" i="2"/>
  <c r="AX1294" i="2"/>
  <c r="AY1294" i="2"/>
  <c r="AZ1294" i="2"/>
  <c r="BB1294" i="2"/>
  <c r="BC1294" i="2"/>
  <c r="BD1294" i="2"/>
  <c r="M1295" i="2"/>
  <c r="AW1295" i="2"/>
  <c r="AX1295" i="2"/>
  <c r="AY1295" i="2"/>
  <c r="AZ1295" i="2"/>
  <c r="BB1295" i="2"/>
  <c r="BC1295" i="2"/>
  <c r="BD1295" i="2"/>
  <c r="M1296" i="2"/>
  <c r="AW1296" i="2"/>
  <c r="AX1296" i="2"/>
  <c r="AY1296" i="2"/>
  <c r="AZ1296" i="2"/>
  <c r="BB1296" i="2"/>
  <c r="BC1296" i="2"/>
  <c r="BD1296" i="2"/>
  <c r="M1297" i="2"/>
  <c r="AW1297" i="2"/>
  <c r="AX1297" i="2"/>
  <c r="AY1297" i="2"/>
  <c r="AZ1297" i="2"/>
  <c r="BB1297" i="2"/>
  <c r="BC1297" i="2"/>
  <c r="BD1297" i="2"/>
  <c r="M1298" i="2"/>
  <c r="AW1298" i="2"/>
  <c r="AX1298" i="2"/>
  <c r="AY1298" i="2"/>
  <c r="AZ1298" i="2"/>
  <c r="BB1298" i="2"/>
  <c r="BC1298" i="2"/>
  <c r="BD1298" i="2"/>
  <c r="M1299" i="2"/>
  <c r="AW1299" i="2"/>
  <c r="AX1299" i="2"/>
  <c r="AY1299" i="2"/>
  <c r="AZ1299" i="2"/>
  <c r="BB1299" i="2"/>
  <c r="BC1299" i="2"/>
  <c r="BD1299" i="2"/>
  <c r="M1300" i="2"/>
  <c r="AW1300" i="2"/>
  <c r="AX1300" i="2"/>
  <c r="AY1300" i="2"/>
  <c r="AZ1300" i="2"/>
  <c r="BB1300" i="2"/>
  <c r="BC1300" i="2"/>
  <c r="BD1300" i="2"/>
  <c r="M1301" i="2"/>
  <c r="AW1301" i="2"/>
  <c r="AX1301" i="2"/>
  <c r="AY1301" i="2"/>
  <c r="AZ1301" i="2"/>
  <c r="BB1301" i="2"/>
  <c r="BC1301" i="2"/>
  <c r="BD1301" i="2"/>
  <c r="M1302" i="2"/>
  <c r="AW1302" i="2"/>
  <c r="AX1302" i="2"/>
  <c r="AY1302" i="2"/>
  <c r="AZ1302" i="2"/>
  <c r="BB1302" i="2"/>
  <c r="BC1302" i="2"/>
  <c r="BD1302" i="2"/>
  <c r="M1303" i="2"/>
  <c r="AW1303" i="2"/>
  <c r="AX1303" i="2"/>
  <c r="AY1303" i="2"/>
  <c r="AZ1303" i="2"/>
  <c r="BB1303" i="2"/>
  <c r="BC1303" i="2"/>
  <c r="BD1303" i="2"/>
  <c r="M1304" i="2"/>
  <c r="AW1304" i="2"/>
  <c r="AX1304" i="2"/>
  <c r="AY1304" i="2"/>
  <c r="AZ1304" i="2"/>
  <c r="BB1304" i="2"/>
  <c r="BC1304" i="2"/>
  <c r="BD1304" i="2"/>
  <c r="M1305" i="2"/>
  <c r="AW1305" i="2"/>
  <c r="AX1305" i="2"/>
  <c r="AY1305" i="2"/>
  <c r="AZ1305" i="2"/>
  <c r="BB1305" i="2"/>
  <c r="BC1305" i="2"/>
  <c r="BD1305" i="2"/>
  <c r="M1306" i="2"/>
  <c r="AW1306" i="2"/>
  <c r="AX1306" i="2"/>
  <c r="AY1306" i="2"/>
  <c r="AZ1306" i="2"/>
  <c r="BB1306" i="2"/>
  <c r="BC1306" i="2"/>
  <c r="BD1306" i="2"/>
  <c r="M1307" i="2"/>
  <c r="AW1307" i="2"/>
  <c r="AX1307" i="2"/>
  <c r="AY1307" i="2"/>
  <c r="AZ1307" i="2"/>
  <c r="BB1307" i="2"/>
  <c r="BC1307" i="2"/>
  <c r="BD1307" i="2"/>
  <c r="M1308" i="2"/>
  <c r="AW1308" i="2"/>
  <c r="AX1308" i="2"/>
  <c r="AY1308" i="2"/>
  <c r="AZ1308" i="2"/>
  <c r="BB1308" i="2"/>
  <c r="BC1308" i="2"/>
  <c r="BD1308" i="2"/>
  <c r="M1309" i="2"/>
  <c r="AW1309" i="2"/>
  <c r="AX1309" i="2"/>
  <c r="AY1309" i="2"/>
  <c r="AZ1309" i="2"/>
  <c r="BB1309" i="2"/>
  <c r="BC1309" i="2"/>
  <c r="BD1309" i="2"/>
  <c r="M1310" i="2"/>
  <c r="AW1310" i="2"/>
  <c r="AX1310" i="2"/>
  <c r="AY1310" i="2"/>
  <c r="AZ1310" i="2"/>
  <c r="BB1310" i="2"/>
  <c r="BC1310" i="2"/>
  <c r="BD1310" i="2"/>
  <c r="M1311" i="2"/>
  <c r="AW1311" i="2"/>
  <c r="AX1311" i="2"/>
  <c r="AY1311" i="2"/>
  <c r="AZ1311" i="2"/>
  <c r="BB1311" i="2"/>
  <c r="BC1311" i="2"/>
  <c r="BD1311" i="2"/>
  <c r="M1312" i="2"/>
  <c r="AW1312" i="2"/>
  <c r="AX1312" i="2"/>
  <c r="AY1312" i="2"/>
  <c r="AZ1312" i="2"/>
  <c r="BB1312" i="2"/>
  <c r="BC1312" i="2"/>
  <c r="BD1312" i="2"/>
  <c r="M1313" i="2"/>
  <c r="AW1313" i="2"/>
  <c r="AX1313" i="2"/>
  <c r="AY1313" i="2"/>
  <c r="AZ1313" i="2"/>
  <c r="BB1313" i="2"/>
  <c r="BC1313" i="2"/>
  <c r="BD1313" i="2"/>
  <c r="M1314" i="2"/>
  <c r="AW1314" i="2"/>
  <c r="AX1314" i="2"/>
  <c r="AY1314" i="2"/>
  <c r="AZ1314" i="2"/>
  <c r="BB1314" i="2"/>
  <c r="BC1314" i="2"/>
  <c r="BD1314" i="2"/>
  <c r="M1315" i="2"/>
  <c r="AW1315" i="2"/>
  <c r="AX1315" i="2"/>
  <c r="AY1315" i="2"/>
  <c r="AZ1315" i="2"/>
  <c r="BB1315" i="2"/>
  <c r="BC1315" i="2"/>
  <c r="BD1315" i="2"/>
  <c r="M1316" i="2"/>
  <c r="AW1316" i="2"/>
  <c r="AX1316" i="2"/>
  <c r="AY1316" i="2"/>
  <c r="AZ1316" i="2"/>
  <c r="BB1316" i="2"/>
  <c r="BC1316" i="2"/>
  <c r="BD1316" i="2"/>
  <c r="M1317" i="2"/>
  <c r="AW1317" i="2"/>
  <c r="AX1317" i="2"/>
  <c r="AY1317" i="2"/>
  <c r="AZ1317" i="2"/>
  <c r="BB1317" i="2"/>
  <c r="BC1317" i="2"/>
  <c r="BD1317" i="2"/>
  <c r="M1318" i="2"/>
  <c r="AW1318" i="2"/>
  <c r="AX1318" i="2"/>
  <c r="AY1318" i="2"/>
  <c r="AZ1318" i="2"/>
  <c r="BB1318" i="2"/>
  <c r="BC1318" i="2"/>
  <c r="BD1318" i="2"/>
  <c r="M1319" i="2"/>
  <c r="AW1319" i="2"/>
  <c r="AX1319" i="2"/>
  <c r="AY1319" i="2"/>
  <c r="AZ1319" i="2"/>
  <c r="BB1319" i="2"/>
  <c r="BC1319" i="2"/>
  <c r="BD1319" i="2"/>
  <c r="M1320" i="2"/>
  <c r="AW1320" i="2"/>
  <c r="AX1320" i="2"/>
  <c r="AY1320" i="2"/>
  <c r="AZ1320" i="2"/>
  <c r="BB1320" i="2"/>
  <c r="BC1320" i="2"/>
  <c r="BD1320" i="2"/>
  <c r="M1321" i="2"/>
  <c r="AW1321" i="2"/>
  <c r="AX1321" i="2"/>
  <c r="AY1321" i="2"/>
  <c r="AZ1321" i="2"/>
  <c r="BB1321" i="2"/>
  <c r="BC1321" i="2"/>
  <c r="BD1321" i="2"/>
  <c r="M1322" i="2"/>
  <c r="AW1322" i="2"/>
  <c r="AX1322" i="2"/>
  <c r="AY1322" i="2"/>
  <c r="AZ1322" i="2"/>
  <c r="BB1322" i="2"/>
  <c r="BC1322" i="2"/>
  <c r="BD1322" i="2"/>
  <c r="M1323" i="2"/>
  <c r="AW1323" i="2"/>
  <c r="AX1323" i="2"/>
  <c r="AY1323" i="2"/>
  <c r="AZ1323" i="2"/>
  <c r="BB1323" i="2"/>
  <c r="BC1323" i="2"/>
  <c r="BD1323" i="2"/>
  <c r="M1324" i="2"/>
  <c r="AW1324" i="2"/>
  <c r="AX1324" i="2"/>
  <c r="AY1324" i="2"/>
  <c r="AZ1324" i="2"/>
  <c r="BB1324" i="2"/>
  <c r="BC1324" i="2"/>
  <c r="BD1324" i="2"/>
  <c r="M1325" i="2"/>
  <c r="AW1325" i="2"/>
  <c r="AX1325" i="2"/>
  <c r="AY1325" i="2"/>
  <c r="AZ1325" i="2"/>
  <c r="BB1325" i="2"/>
  <c r="BC1325" i="2"/>
  <c r="BD1325" i="2"/>
  <c r="M1326" i="2"/>
  <c r="AW1326" i="2"/>
  <c r="AX1326" i="2"/>
  <c r="AY1326" i="2"/>
  <c r="AZ1326" i="2"/>
  <c r="BB1326" i="2"/>
  <c r="BC1326" i="2"/>
  <c r="BD1326" i="2"/>
  <c r="M1327" i="2"/>
  <c r="AW1327" i="2"/>
  <c r="AX1327" i="2"/>
  <c r="AY1327" i="2"/>
  <c r="AZ1327" i="2"/>
  <c r="BB1327" i="2"/>
  <c r="BC1327" i="2"/>
  <c r="BD1327" i="2"/>
  <c r="M1328" i="2"/>
  <c r="AW1328" i="2"/>
  <c r="AX1328" i="2"/>
  <c r="AY1328" i="2"/>
  <c r="AZ1328" i="2"/>
  <c r="BB1328" i="2"/>
  <c r="BC1328" i="2"/>
  <c r="BD1328" i="2"/>
  <c r="M1329" i="2"/>
  <c r="AW1329" i="2"/>
  <c r="AX1329" i="2"/>
  <c r="AY1329" i="2"/>
  <c r="AZ1329" i="2"/>
  <c r="BB1329" i="2"/>
  <c r="BC1329" i="2"/>
  <c r="BD1329" i="2"/>
  <c r="M1330" i="2"/>
  <c r="AW1330" i="2"/>
  <c r="AX1330" i="2"/>
  <c r="AY1330" i="2"/>
  <c r="AZ1330" i="2"/>
  <c r="BB1330" i="2"/>
  <c r="BC1330" i="2"/>
  <c r="BD1330" i="2"/>
  <c r="M1331" i="2"/>
  <c r="AW1331" i="2"/>
  <c r="AX1331" i="2"/>
  <c r="AY1331" i="2"/>
  <c r="AZ1331" i="2"/>
  <c r="BB1331" i="2"/>
  <c r="BC1331" i="2"/>
  <c r="BD1331" i="2"/>
  <c r="M1332" i="2"/>
  <c r="AW1332" i="2"/>
  <c r="AX1332" i="2"/>
  <c r="AY1332" i="2"/>
  <c r="AZ1332" i="2"/>
  <c r="BB1332" i="2"/>
  <c r="BC1332" i="2"/>
  <c r="BD1332" i="2"/>
  <c r="M1333" i="2"/>
  <c r="AW1333" i="2"/>
  <c r="AX1333" i="2"/>
  <c r="AY1333" i="2"/>
  <c r="AZ1333" i="2"/>
  <c r="BB1333" i="2"/>
  <c r="BC1333" i="2"/>
  <c r="BD1333" i="2"/>
  <c r="M1334" i="2"/>
  <c r="AW1334" i="2"/>
  <c r="AX1334" i="2"/>
  <c r="AY1334" i="2"/>
  <c r="AZ1334" i="2"/>
  <c r="BB1334" i="2"/>
  <c r="BC1334" i="2"/>
  <c r="BD1334" i="2"/>
  <c r="M1335" i="2"/>
  <c r="AW1335" i="2"/>
  <c r="AX1335" i="2"/>
  <c r="AY1335" i="2"/>
  <c r="AZ1335" i="2"/>
  <c r="BB1335" i="2"/>
  <c r="BC1335" i="2"/>
  <c r="BD1335" i="2"/>
  <c r="M1336" i="2"/>
  <c r="AW1336" i="2"/>
  <c r="AX1336" i="2"/>
  <c r="AY1336" i="2"/>
  <c r="AZ1336" i="2"/>
  <c r="BB1336" i="2"/>
  <c r="BC1336" i="2"/>
  <c r="BD1336" i="2"/>
  <c r="M1337" i="2"/>
  <c r="AW1337" i="2"/>
  <c r="AX1337" i="2"/>
  <c r="AY1337" i="2"/>
  <c r="AZ1337" i="2"/>
  <c r="BB1337" i="2"/>
  <c r="BC1337" i="2"/>
  <c r="BD1337" i="2"/>
  <c r="M1338" i="2"/>
  <c r="AW1338" i="2"/>
  <c r="AX1338" i="2"/>
  <c r="AY1338" i="2"/>
  <c r="AZ1338" i="2"/>
  <c r="BB1338" i="2"/>
  <c r="BC1338" i="2"/>
  <c r="BD1338" i="2"/>
  <c r="M1339" i="2"/>
  <c r="AW1339" i="2"/>
  <c r="AX1339" i="2"/>
  <c r="AY1339" i="2"/>
  <c r="AZ1339" i="2"/>
  <c r="BB1339" i="2"/>
  <c r="BC1339" i="2"/>
  <c r="BD1339" i="2"/>
  <c r="M1340" i="2"/>
  <c r="AW1340" i="2"/>
  <c r="AX1340" i="2"/>
  <c r="AY1340" i="2"/>
  <c r="AZ1340" i="2"/>
  <c r="BB1340" i="2"/>
  <c r="BC1340" i="2"/>
  <c r="BD1340" i="2"/>
  <c r="M1341" i="2"/>
  <c r="AW1341" i="2"/>
  <c r="AX1341" i="2"/>
  <c r="AY1341" i="2"/>
  <c r="AZ1341" i="2"/>
  <c r="BB1341" i="2"/>
  <c r="BC1341" i="2"/>
  <c r="BD1341" i="2"/>
  <c r="M1342" i="2"/>
  <c r="AW1342" i="2"/>
  <c r="AX1342" i="2"/>
  <c r="AY1342" i="2"/>
  <c r="AZ1342" i="2"/>
  <c r="BB1342" i="2"/>
  <c r="BC1342" i="2"/>
  <c r="BD1342" i="2"/>
  <c r="M1343" i="2"/>
  <c r="AW1343" i="2"/>
  <c r="AX1343" i="2"/>
  <c r="AY1343" i="2"/>
  <c r="AZ1343" i="2"/>
  <c r="BB1343" i="2"/>
  <c r="BC1343" i="2"/>
  <c r="BD1343" i="2"/>
  <c r="M1344" i="2"/>
  <c r="AW1344" i="2"/>
  <c r="AX1344" i="2"/>
  <c r="AY1344" i="2"/>
  <c r="AZ1344" i="2"/>
  <c r="BB1344" i="2"/>
  <c r="BC1344" i="2"/>
  <c r="BD1344" i="2"/>
  <c r="M1345" i="2"/>
  <c r="AW1345" i="2"/>
  <c r="AX1345" i="2"/>
  <c r="AY1345" i="2"/>
  <c r="AZ1345" i="2"/>
  <c r="BB1345" i="2"/>
  <c r="BC1345" i="2"/>
  <c r="BD1345" i="2"/>
  <c r="M1346" i="2"/>
  <c r="AW1346" i="2"/>
  <c r="AX1346" i="2"/>
  <c r="AY1346" i="2"/>
  <c r="AZ1346" i="2"/>
  <c r="BB1346" i="2"/>
  <c r="BC1346" i="2"/>
  <c r="BD1346" i="2"/>
  <c r="M1347" i="2"/>
  <c r="AW1347" i="2"/>
  <c r="AX1347" i="2"/>
  <c r="AY1347" i="2"/>
  <c r="AZ1347" i="2"/>
  <c r="BB1347" i="2"/>
  <c r="BC1347" i="2"/>
  <c r="BD1347" i="2"/>
  <c r="M1348" i="2"/>
  <c r="AW1348" i="2"/>
  <c r="AX1348" i="2"/>
  <c r="AY1348" i="2"/>
  <c r="AZ1348" i="2"/>
  <c r="BB1348" i="2"/>
  <c r="BC1348" i="2"/>
  <c r="BD1348" i="2"/>
  <c r="M1349" i="2"/>
  <c r="AW1349" i="2"/>
  <c r="AX1349" i="2"/>
  <c r="AY1349" i="2"/>
  <c r="AZ1349" i="2"/>
  <c r="BB1349" i="2"/>
  <c r="BC1349" i="2"/>
  <c r="BD1349" i="2"/>
  <c r="M1350" i="2"/>
  <c r="AW1350" i="2"/>
  <c r="AX1350" i="2"/>
  <c r="AY1350" i="2"/>
  <c r="AZ1350" i="2"/>
  <c r="BB1350" i="2"/>
  <c r="BC1350" i="2"/>
  <c r="BD1350" i="2"/>
  <c r="M1351" i="2"/>
  <c r="AW1351" i="2"/>
  <c r="AX1351" i="2"/>
  <c r="AY1351" i="2"/>
  <c r="AZ1351" i="2"/>
  <c r="BB1351" i="2"/>
  <c r="BC1351" i="2"/>
  <c r="BD1351" i="2"/>
  <c r="M1352" i="2"/>
  <c r="AW1352" i="2"/>
  <c r="AX1352" i="2"/>
  <c r="AY1352" i="2"/>
  <c r="AZ1352" i="2"/>
  <c r="BB1352" i="2"/>
  <c r="BC1352" i="2"/>
  <c r="BD1352" i="2"/>
  <c r="M1353" i="2"/>
  <c r="AW1353" i="2"/>
  <c r="AX1353" i="2"/>
  <c r="AY1353" i="2"/>
  <c r="AZ1353" i="2"/>
  <c r="BB1353" i="2"/>
  <c r="BC1353" i="2"/>
  <c r="BD1353" i="2"/>
  <c r="M1354" i="2"/>
  <c r="AW1354" i="2"/>
  <c r="AX1354" i="2"/>
  <c r="AY1354" i="2"/>
  <c r="AZ1354" i="2"/>
  <c r="BB1354" i="2"/>
  <c r="BC1354" i="2"/>
  <c r="BD1354" i="2"/>
  <c r="M1355" i="2"/>
  <c r="AW1355" i="2"/>
  <c r="AX1355" i="2"/>
  <c r="AY1355" i="2"/>
  <c r="AZ1355" i="2"/>
  <c r="BB1355" i="2"/>
  <c r="BC1355" i="2"/>
  <c r="BD1355" i="2"/>
  <c r="M1356" i="2"/>
  <c r="AW1356" i="2"/>
  <c r="AX1356" i="2"/>
  <c r="AY1356" i="2"/>
  <c r="AZ1356" i="2"/>
  <c r="BB1356" i="2"/>
  <c r="BC1356" i="2"/>
  <c r="BD1356" i="2"/>
  <c r="M1357" i="2"/>
  <c r="AW1357" i="2"/>
  <c r="AX1357" i="2"/>
  <c r="AY1357" i="2"/>
  <c r="AZ1357" i="2"/>
  <c r="BB1357" i="2"/>
  <c r="BC1357" i="2"/>
  <c r="BD1357" i="2"/>
  <c r="M1358" i="2"/>
  <c r="AW1358" i="2"/>
  <c r="AX1358" i="2"/>
  <c r="AY1358" i="2"/>
  <c r="AZ1358" i="2"/>
  <c r="BB1358" i="2"/>
  <c r="BC1358" i="2"/>
  <c r="BD1358" i="2"/>
  <c r="M1359" i="2"/>
  <c r="AW1359" i="2"/>
  <c r="AX1359" i="2"/>
  <c r="AY1359" i="2"/>
  <c r="AZ1359" i="2"/>
  <c r="BB1359" i="2"/>
  <c r="BC1359" i="2"/>
  <c r="BD1359" i="2"/>
  <c r="M1360" i="2"/>
  <c r="AW1360" i="2"/>
  <c r="AX1360" i="2"/>
  <c r="AY1360" i="2"/>
  <c r="AZ1360" i="2"/>
  <c r="BB1360" i="2"/>
  <c r="BC1360" i="2"/>
  <c r="BD1360" i="2"/>
  <c r="M1361" i="2"/>
  <c r="AW1361" i="2"/>
  <c r="AX1361" i="2"/>
  <c r="AY1361" i="2"/>
  <c r="AZ1361" i="2"/>
  <c r="BB1361" i="2"/>
  <c r="BC1361" i="2"/>
  <c r="BD1361" i="2"/>
  <c r="M1362" i="2"/>
  <c r="AW1362" i="2"/>
  <c r="AX1362" i="2"/>
  <c r="AY1362" i="2"/>
  <c r="AZ1362" i="2"/>
  <c r="BB1362" i="2"/>
  <c r="BC1362" i="2"/>
  <c r="BD1362" i="2"/>
  <c r="M1363" i="2"/>
  <c r="AW1363" i="2"/>
  <c r="AX1363" i="2"/>
  <c r="AY1363" i="2"/>
  <c r="AZ1363" i="2"/>
  <c r="BB1363" i="2"/>
  <c r="BC1363" i="2"/>
  <c r="BD1363" i="2"/>
  <c r="M1364" i="2"/>
  <c r="AW1364" i="2"/>
  <c r="AX1364" i="2"/>
  <c r="AY1364" i="2"/>
  <c r="AZ1364" i="2"/>
  <c r="BB1364" i="2"/>
  <c r="BC1364" i="2"/>
  <c r="BD1364" i="2"/>
  <c r="M1365" i="2"/>
  <c r="AW1365" i="2"/>
  <c r="AX1365" i="2"/>
  <c r="AY1365" i="2"/>
  <c r="AZ1365" i="2"/>
  <c r="BB1365" i="2"/>
  <c r="BC1365" i="2"/>
  <c r="BD1365" i="2"/>
  <c r="M1366" i="2"/>
  <c r="AW1366" i="2"/>
  <c r="AX1366" i="2"/>
  <c r="AY1366" i="2"/>
  <c r="AZ1366" i="2"/>
  <c r="BB1366" i="2"/>
  <c r="BC1366" i="2"/>
  <c r="BD1366" i="2"/>
  <c r="M1367" i="2"/>
  <c r="AW1367" i="2"/>
  <c r="AX1367" i="2"/>
  <c r="AY1367" i="2"/>
  <c r="AZ1367" i="2"/>
  <c r="BB1367" i="2"/>
  <c r="BC1367" i="2"/>
  <c r="BD1367" i="2"/>
  <c r="M1368" i="2"/>
  <c r="AW1368" i="2"/>
  <c r="AX1368" i="2"/>
  <c r="AY1368" i="2"/>
  <c r="AZ1368" i="2"/>
  <c r="BB1368" i="2"/>
  <c r="BC1368" i="2"/>
  <c r="BD1368" i="2"/>
  <c r="M1369" i="2"/>
  <c r="AW1369" i="2"/>
  <c r="AX1369" i="2"/>
  <c r="AY1369" i="2"/>
  <c r="AZ1369" i="2"/>
  <c r="BB1369" i="2"/>
  <c r="BC1369" i="2"/>
  <c r="BD1369" i="2"/>
  <c r="M1370" i="2"/>
  <c r="AW1370" i="2"/>
  <c r="AX1370" i="2"/>
  <c r="AY1370" i="2"/>
  <c r="AZ1370" i="2"/>
  <c r="BB1370" i="2"/>
  <c r="BC1370" i="2"/>
  <c r="BD1370" i="2"/>
  <c r="M1371" i="2"/>
  <c r="AW1371" i="2"/>
  <c r="AX1371" i="2"/>
  <c r="AY1371" i="2"/>
  <c r="AZ1371" i="2"/>
  <c r="BB1371" i="2"/>
  <c r="BC1371" i="2"/>
  <c r="BD1371" i="2"/>
  <c r="M1372" i="2"/>
  <c r="AW1372" i="2"/>
  <c r="AX1372" i="2"/>
  <c r="AY1372" i="2"/>
  <c r="AZ1372" i="2"/>
  <c r="BB1372" i="2"/>
  <c r="BC1372" i="2"/>
  <c r="BD1372" i="2"/>
  <c r="M1373" i="2"/>
  <c r="AX1373" i="2"/>
  <c r="AZ1373" i="2"/>
  <c r="BB1373" i="2"/>
  <c r="BC1373" i="2"/>
  <c r="BD1373" i="2"/>
  <c r="M1375" i="2"/>
  <c r="AW1375" i="2"/>
  <c r="AX1375" i="2"/>
  <c r="AY1375" i="2"/>
  <c r="AZ1375" i="2"/>
  <c r="BB1375" i="2"/>
  <c r="BC1375" i="2"/>
  <c r="BD1375" i="2"/>
  <c r="M1376" i="2"/>
  <c r="AW1376" i="2"/>
  <c r="AX1376" i="2"/>
  <c r="AY1376" i="2"/>
  <c r="AZ1376" i="2"/>
  <c r="BB1376" i="2"/>
  <c r="BC1376" i="2"/>
  <c r="BD1376" i="2"/>
  <c r="M1377" i="2"/>
  <c r="AW1377" i="2"/>
  <c r="AX1377" i="2"/>
  <c r="AY1377" i="2"/>
  <c r="AZ1377" i="2"/>
  <c r="BB1377" i="2"/>
  <c r="BC1377" i="2"/>
  <c r="BD1377" i="2"/>
  <c r="M1378" i="2"/>
  <c r="AW1378" i="2"/>
  <c r="AX1378" i="2"/>
  <c r="AY1378" i="2"/>
  <c r="AZ1378" i="2"/>
  <c r="BB1378" i="2"/>
  <c r="BC1378" i="2"/>
  <c r="BD1378" i="2"/>
  <c r="M1379" i="2"/>
  <c r="AW1379" i="2"/>
  <c r="AX1379" i="2"/>
  <c r="AY1379" i="2"/>
  <c r="AZ1379" i="2"/>
  <c r="BB1379" i="2"/>
  <c r="BC1379" i="2"/>
  <c r="BD1379" i="2"/>
  <c r="M1380" i="2"/>
  <c r="AW1380" i="2"/>
  <c r="AX1380" i="2"/>
  <c r="AY1380" i="2"/>
  <c r="AZ1380" i="2"/>
  <c r="BB1380" i="2"/>
  <c r="BC1380" i="2"/>
  <c r="BD1380" i="2"/>
  <c r="M1381" i="2"/>
  <c r="AW1381" i="2"/>
  <c r="AX1381" i="2"/>
  <c r="AY1381" i="2"/>
  <c r="AZ1381" i="2"/>
  <c r="BB1381" i="2"/>
  <c r="BC1381" i="2"/>
  <c r="BD1381" i="2"/>
  <c r="M1382" i="2"/>
  <c r="AW1382" i="2"/>
  <c r="AX1382" i="2"/>
  <c r="AY1382" i="2"/>
  <c r="AZ1382" i="2"/>
  <c r="BB1382" i="2"/>
  <c r="BC1382" i="2"/>
  <c r="BD1382" i="2"/>
  <c r="M1383" i="2"/>
  <c r="AW1383" i="2"/>
  <c r="AX1383" i="2"/>
  <c r="AY1383" i="2"/>
  <c r="AZ1383" i="2"/>
  <c r="BB1383" i="2"/>
  <c r="BC1383" i="2"/>
  <c r="BD1383" i="2"/>
  <c r="M1384" i="2"/>
  <c r="AW1384" i="2"/>
  <c r="AX1384" i="2"/>
  <c r="AY1384" i="2"/>
  <c r="AZ1384" i="2"/>
  <c r="BB1384" i="2"/>
  <c r="BC1384" i="2"/>
  <c r="BD1384" i="2"/>
  <c r="M1385" i="2"/>
  <c r="AW1385" i="2"/>
  <c r="AX1385" i="2"/>
  <c r="AY1385" i="2"/>
  <c r="AZ1385" i="2"/>
  <c r="BB1385" i="2"/>
  <c r="BC1385" i="2"/>
  <c r="BD1385" i="2"/>
  <c r="M1386" i="2"/>
  <c r="AW1386" i="2"/>
  <c r="AX1386" i="2"/>
  <c r="AY1386" i="2"/>
  <c r="AZ1386" i="2"/>
  <c r="BB1386" i="2"/>
  <c r="BC1386" i="2"/>
  <c r="BD1386" i="2"/>
  <c r="M1387" i="2"/>
  <c r="AW1387" i="2"/>
  <c r="AX1387" i="2"/>
  <c r="AY1387" i="2"/>
  <c r="AZ1387" i="2"/>
  <c r="BB1387" i="2"/>
  <c r="BC1387" i="2"/>
  <c r="BD1387" i="2"/>
  <c r="M1388" i="2"/>
  <c r="AW1388" i="2"/>
  <c r="AX1388" i="2"/>
  <c r="AY1388" i="2"/>
  <c r="AZ1388" i="2"/>
  <c r="BB1388" i="2"/>
  <c r="BC1388" i="2"/>
  <c r="BD1388" i="2"/>
  <c r="M1389" i="2"/>
  <c r="AW1389" i="2"/>
  <c r="AX1389" i="2"/>
  <c r="AY1389" i="2"/>
  <c r="AZ1389" i="2"/>
  <c r="BB1389" i="2"/>
  <c r="BC1389" i="2"/>
  <c r="BD1389" i="2"/>
  <c r="M1390" i="2"/>
  <c r="AW1390" i="2"/>
  <c r="AX1390" i="2"/>
  <c r="AY1390" i="2"/>
  <c r="AZ1390" i="2"/>
  <c r="BB1390" i="2"/>
  <c r="BC1390" i="2"/>
  <c r="BD1390" i="2"/>
  <c r="M1391" i="2"/>
  <c r="AW1391" i="2"/>
  <c r="AX1391" i="2"/>
  <c r="AY1391" i="2"/>
  <c r="AZ1391" i="2"/>
  <c r="BB1391" i="2"/>
  <c r="BC1391" i="2"/>
  <c r="BD1391" i="2"/>
  <c r="M1392" i="2"/>
  <c r="AW1392" i="2"/>
  <c r="AX1392" i="2"/>
  <c r="AY1392" i="2"/>
  <c r="AZ1392" i="2"/>
  <c r="BB1392" i="2"/>
  <c r="BC1392" i="2"/>
  <c r="BD1392" i="2"/>
  <c r="M1393" i="2"/>
  <c r="AW1393" i="2"/>
  <c r="AX1393" i="2"/>
  <c r="AY1393" i="2"/>
  <c r="AZ1393" i="2"/>
  <c r="BB1393" i="2"/>
  <c r="BC1393" i="2"/>
  <c r="BD1393" i="2"/>
  <c r="M1394" i="2"/>
  <c r="AW1394" i="2"/>
  <c r="AX1394" i="2"/>
  <c r="AY1394" i="2"/>
  <c r="AZ1394" i="2"/>
  <c r="BB1394" i="2"/>
  <c r="BC1394" i="2"/>
  <c r="BD1394" i="2"/>
  <c r="M1395" i="2"/>
  <c r="AW1395" i="2"/>
  <c r="AX1395" i="2"/>
  <c r="AY1395" i="2"/>
  <c r="AZ1395" i="2"/>
  <c r="BB1395" i="2"/>
  <c r="BC1395" i="2"/>
  <c r="BD1395" i="2"/>
  <c r="M1396" i="2"/>
  <c r="AW1396" i="2"/>
  <c r="AX1396" i="2"/>
  <c r="AY1396" i="2"/>
  <c r="AZ1396" i="2"/>
  <c r="BB1396" i="2"/>
  <c r="BC1396" i="2"/>
  <c r="BD1396" i="2"/>
  <c r="M1397" i="2"/>
  <c r="AW1397" i="2"/>
  <c r="AX1397" i="2"/>
  <c r="AY1397" i="2"/>
  <c r="AZ1397" i="2"/>
  <c r="BB1397" i="2"/>
  <c r="BC1397" i="2"/>
  <c r="BD1397" i="2"/>
  <c r="M1398" i="2"/>
  <c r="AW1398" i="2"/>
  <c r="AX1398" i="2"/>
  <c r="AY1398" i="2"/>
  <c r="AZ1398" i="2"/>
  <c r="BB1398" i="2"/>
  <c r="BC1398" i="2"/>
  <c r="BD1398" i="2"/>
  <c r="M1399" i="2"/>
  <c r="AW1399" i="2"/>
  <c r="AX1399" i="2"/>
  <c r="AY1399" i="2"/>
  <c r="AZ1399" i="2"/>
  <c r="BB1399" i="2"/>
  <c r="BC1399" i="2"/>
  <c r="BD1399" i="2"/>
  <c r="M1400" i="2"/>
  <c r="AW1400" i="2"/>
  <c r="AX1400" i="2"/>
  <c r="AY1400" i="2"/>
  <c r="AZ1400" i="2"/>
  <c r="BB1400" i="2"/>
  <c r="BC1400" i="2"/>
  <c r="BD1400" i="2"/>
  <c r="M1401" i="2"/>
  <c r="AW1401" i="2"/>
  <c r="AX1401" i="2"/>
  <c r="AY1401" i="2"/>
  <c r="AZ1401" i="2"/>
  <c r="BB1401" i="2"/>
  <c r="BC1401" i="2"/>
  <c r="BD1401" i="2"/>
  <c r="M1402" i="2"/>
  <c r="AW1402" i="2"/>
  <c r="AX1402" i="2"/>
  <c r="AY1402" i="2"/>
  <c r="AZ1402" i="2"/>
  <c r="BB1402" i="2"/>
  <c r="BC1402" i="2"/>
  <c r="BD1402" i="2"/>
  <c r="M1403" i="2"/>
  <c r="AW1403" i="2"/>
  <c r="AX1403" i="2"/>
  <c r="AY1403" i="2"/>
  <c r="AZ1403" i="2"/>
  <c r="BB1403" i="2"/>
  <c r="BC1403" i="2"/>
  <c r="BD1403" i="2"/>
  <c r="M1404" i="2"/>
  <c r="AW1404" i="2"/>
  <c r="AX1404" i="2"/>
  <c r="AY1404" i="2"/>
  <c r="AZ1404" i="2"/>
  <c r="BB1404" i="2"/>
  <c r="BC1404" i="2"/>
  <c r="BD1404" i="2"/>
  <c r="M1405" i="2"/>
  <c r="AW1405" i="2"/>
  <c r="AX1405" i="2"/>
  <c r="AY1405" i="2"/>
  <c r="AZ1405" i="2"/>
  <c r="BB1405" i="2"/>
  <c r="BC1405" i="2"/>
  <c r="BD1405" i="2"/>
  <c r="M1406" i="2"/>
  <c r="AW1406" i="2"/>
  <c r="AX1406" i="2"/>
  <c r="AY1406" i="2"/>
  <c r="AZ1406" i="2"/>
  <c r="BB1406" i="2"/>
  <c r="BC1406" i="2"/>
  <c r="BD1406" i="2"/>
  <c r="M1407" i="2"/>
  <c r="AW1407" i="2"/>
  <c r="AX1407" i="2"/>
  <c r="AY1407" i="2"/>
  <c r="AZ1407" i="2"/>
  <c r="BB1407" i="2"/>
  <c r="BC1407" i="2"/>
  <c r="BD1407" i="2"/>
  <c r="M1408" i="2"/>
  <c r="AW1408" i="2"/>
  <c r="AX1408" i="2"/>
  <c r="AY1408" i="2"/>
  <c r="AZ1408" i="2"/>
  <c r="BB1408" i="2"/>
  <c r="BC1408" i="2"/>
  <c r="BD1408" i="2"/>
  <c r="M1409" i="2"/>
  <c r="AW1409" i="2"/>
  <c r="AX1409" i="2"/>
  <c r="AY1409" i="2"/>
  <c r="AZ1409" i="2"/>
  <c r="BB1409" i="2"/>
  <c r="BC1409" i="2"/>
  <c r="BD1409" i="2"/>
  <c r="M1410" i="2"/>
  <c r="AW1410" i="2"/>
  <c r="AX1410" i="2"/>
  <c r="AY1410" i="2"/>
  <c r="AZ1410" i="2"/>
  <c r="BB1410" i="2"/>
  <c r="BC1410" i="2"/>
  <c r="BD1410" i="2"/>
  <c r="M1411" i="2"/>
  <c r="AW1411" i="2"/>
  <c r="AX1411" i="2"/>
  <c r="AY1411" i="2"/>
  <c r="AZ1411" i="2"/>
  <c r="BB1411" i="2"/>
  <c r="BC1411" i="2"/>
  <c r="BD1411" i="2"/>
  <c r="M1412" i="2"/>
  <c r="AW1412" i="2"/>
  <c r="AX1412" i="2"/>
  <c r="AY1412" i="2"/>
  <c r="AZ1412" i="2"/>
  <c r="BB1412" i="2"/>
  <c r="BC1412" i="2"/>
  <c r="BD1412" i="2"/>
  <c r="M1413" i="2"/>
  <c r="AW1413" i="2"/>
  <c r="AX1413" i="2"/>
  <c r="AY1413" i="2"/>
  <c r="AZ1413" i="2"/>
  <c r="BB1413" i="2"/>
  <c r="BC1413" i="2"/>
  <c r="BD1413" i="2"/>
  <c r="M1414" i="2"/>
  <c r="AW1414" i="2"/>
  <c r="AX1414" i="2"/>
  <c r="AY1414" i="2"/>
  <c r="AZ1414" i="2"/>
  <c r="BB1414" i="2"/>
  <c r="BC1414" i="2"/>
  <c r="BD1414" i="2"/>
  <c r="M1415" i="2"/>
  <c r="AW1415" i="2"/>
  <c r="AX1415" i="2"/>
  <c r="AY1415" i="2"/>
  <c r="AZ1415" i="2"/>
  <c r="BB1415" i="2"/>
  <c r="BC1415" i="2"/>
  <c r="BD1415" i="2"/>
  <c r="M1416" i="2"/>
  <c r="AW1416" i="2"/>
  <c r="AX1416" i="2"/>
  <c r="AY1416" i="2"/>
  <c r="AZ1416" i="2"/>
  <c r="BB1416" i="2"/>
  <c r="BC1416" i="2"/>
  <c r="BD1416" i="2"/>
  <c r="M1417" i="2"/>
  <c r="AW1417" i="2"/>
  <c r="AX1417" i="2"/>
  <c r="AY1417" i="2"/>
  <c r="AZ1417" i="2"/>
  <c r="BB1417" i="2"/>
  <c r="BC1417" i="2"/>
  <c r="BD1417" i="2"/>
  <c r="M1418" i="2"/>
  <c r="AW1418" i="2"/>
  <c r="AX1418" i="2"/>
  <c r="AY1418" i="2"/>
  <c r="AZ1418" i="2"/>
  <c r="BB1418" i="2"/>
  <c r="BC1418" i="2"/>
  <c r="BD1418" i="2"/>
  <c r="M1419" i="2"/>
  <c r="AW1419" i="2"/>
  <c r="AX1419" i="2"/>
  <c r="AY1419" i="2"/>
  <c r="AZ1419" i="2"/>
  <c r="BB1419" i="2"/>
  <c r="BC1419" i="2"/>
  <c r="BD1419" i="2"/>
  <c r="M1420" i="2"/>
  <c r="AW1420" i="2"/>
  <c r="AX1420" i="2"/>
  <c r="AY1420" i="2"/>
  <c r="AZ1420" i="2"/>
  <c r="BB1420" i="2"/>
  <c r="BC1420" i="2"/>
  <c r="BD1420" i="2"/>
  <c r="M1421" i="2"/>
  <c r="AW1421" i="2"/>
  <c r="AX1421" i="2"/>
  <c r="AY1421" i="2"/>
  <c r="AZ1421" i="2"/>
  <c r="BB1421" i="2"/>
  <c r="BC1421" i="2"/>
  <c r="BD1421" i="2"/>
  <c r="M1422" i="2"/>
  <c r="AW1422" i="2"/>
  <c r="AX1422" i="2"/>
  <c r="AY1422" i="2"/>
  <c r="AZ1422" i="2"/>
  <c r="BB1422" i="2"/>
  <c r="BC1422" i="2"/>
  <c r="BD1422" i="2"/>
  <c r="M1423" i="2"/>
  <c r="AW1423" i="2"/>
  <c r="AX1423" i="2"/>
  <c r="AY1423" i="2"/>
  <c r="AZ1423" i="2"/>
  <c r="BB1423" i="2"/>
  <c r="BC1423" i="2"/>
  <c r="BD1423" i="2"/>
  <c r="M1424" i="2"/>
  <c r="AW1424" i="2"/>
  <c r="AX1424" i="2"/>
  <c r="AY1424" i="2"/>
  <c r="AZ1424" i="2"/>
  <c r="BB1424" i="2"/>
  <c r="BC1424" i="2"/>
  <c r="BD1424" i="2"/>
  <c r="M1425" i="2"/>
  <c r="AW1425" i="2"/>
  <c r="AX1425" i="2"/>
  <c r="AY1425" i="2"/>
  <c r="AZ1425" i="2"/>
  <c r="BB1425" i="2"/>
  <c r="BC1425" i="2"/>
  <c r="BD1425" i="2"/>
  <c r="M1426" i="2"/>
  <c r="AW1426" i="2"/>
  <c r="AX1426" i="2"/>
  <c r="AY1426" i="2"/>
  <c r="AZ1426" i="2"/>
  <c r="BB1426" i="2"/>
  <c r="BC1426" i="2"/>
  <c r="BD1426" i="2"/>
  <c r="M1427" i="2"/>
  <c r="AW1427" i="2"/>
  <c r="AX1427" i="2"/>
  <c r="AY1427" i="2"/>
  <c r="AZ1427" i="2"/>
  <c r="BB1427" i="2"/>
  <c r="BC1427" i="2"/>
  <c r="BD1427" i="2"/>
  <c r="M1428" i="2"/>
  <c r="AW1428" i="2"/>
  <c r="AX1428" i="2"/>
  <c r="AY1428" i="2"/>
  <c r="AZ1428" i="2"/>
  <c r="BB1428" i="2"/>
  <c r="BC1428" i="2"/>
  <c r="BD1428" i="2"/>
  <c r="M1429" i="2"/>
  <c r="AW1429" i="2"/>
  <c r="AX1429" i="2"/>
  <c r="AY1429" i="2"/>
  <c r="AZ1429" i="2"/>
  <c r="BB1429" i="2"/>
  <c r="BC1429" i="2"/>
  <c r="BD1429" i="2"/>
  <c r="M1430" i="2"/>
  <c r="AW1430" i="2"/>
  <c r="AX1430" i="2"/>
  <c r="AY1430" i="2"/>
  <c r="AZ1430" i="2"/>
  <c r="BB1430" i="2"/>
  <c r="BC1430" i="2"/>
  <c r="BD1430" i="2"/>
  <c r="M1431" i="2"/>
  <c r="AW1431" i="2"/>
  <c r="AX1431" i="2"/>
  <c r="AY1431" i="2"/>
  <c r="AZ1431" i="2"/>
  <c r="BB1431" i="2"/>
  <c r="BC1431" i="2"/>
  <c r="BD1431" i="2"/>
  <c r="M1432" i="2"/>
  <c r="AW1432" i="2"/>
  <c r="AX1432" i="2"/>
  <c r="AY1432" i="2"/>
  <c r="AZ1432" i="2"/>
  <c r="BB1432" i="2"/>
  <c r="BC1432" i="2"/>
  <c r="BD1432" i="2"/>
  <c r="M1433" i="2"/>
  <c r="AW1433" i="2"/>
  <c r="AX1433" i="2"/>
  <c r="AY1433" i="2"/>
  <c r="AZ1433" i="2"/>
  <c r="BB1433" i="2"/>
  <c r="BC1433" i="2"/>
  <c r="BD1433" i="2"/>
  <c r="M1434" i="2"/>
  <c r="AW1434" i="2"/>
  <c r="AX1434" i="2"/>
  <c r="AY1434" i="2"/>
  <c r="AZ1434" i="2"/>
  <c r="BB1434" i="2"/>
  <c r="BC1434" i="2"/>
  <c r="BD1434" i="2"/>
  <c r="M1435" i="2"/>
  <c r="AW1435" i="2"/>
  <c r="AX1435" i="2"/>
  <c r="AY1435" i="2"/>
  <c r="AZ1435" i="2"/>
  <c r="BB1435" i="2"/>
  <c r="BC1435" i="2"/>
  <c r="BD1435" i="2"/>
  <c r="M1436" i="2"/>
  <c r="AW1436" i="2"/>
  <c r="AX1436" i="2"/>
  <c r="AY1436" i="2"/>
  <c r="AZ1436" i="2"/>
  <c r="BB1436" i="2"/>
  <c r="BC1436" i="2"/>
  <c r="BD1436" i="2"/>
  <c r="M1437" i="2"/>
  <c r="AW1437" i="2"/>
  <c r="AX1437" i="2"/>
  <c r="AY1437" i="2"/>
  <c r="AZ1437" i="2"/>
  <c r="BB1437" i="2"/>
  <c r="BC1437" i="2"/>
  <c r="BD1437" i="2"/>
  <c r="M1438" i="2"/>
  <c r="AW1438" i="2"/>
  <c r="AX1438" i="2"/>
  <c r="AY1438" i="2"/>
  <c r="AZ1438" i="2"/>
  <c r="BB1438" i="2"/>
  <c r="BC1438" i="2"/>
  <c r="BD1438" i="2"/>
  <c r="M1439" i="2"/>
  <c r="AW1439" i="2"/>
  <c r="AX1439" i="2"/>
  <c r="AY1439" i="2"/>
  <c r="AZ1439" i="2"/>
  <c r="BB1439" i="2"/>
  <c r="BC1439" i="2"/>
  <c r="BD1439" i="2"/>
  <c r="M1440" i="2"/>
  <c r="AW1440" i="2"/>
  <c r="AX1440" i="2"/>
  <c r="AY1440" i="2"/>
  <c r="AZ1440" i="2"/>
  <c r="BB1440" i="2"/>
  <c r="BC1440" i="2"/>
  <c r="BD1440" i="2"/>
  <c r="M1441" i="2"/>
  <c r="AW1441" i="2"/>
  <c r="AX1441" i="2"/>
  <c r="AY1441" i="2"/>
  <c r="AZ1441" i="2"/>
  <c r="BB1441" i="2"/>
  <c r="BC1441" i="2"/>
  <c r="BD1441" i="2"/>
  <c r="M1442" i="2"/>
  <c r="AW1442" i="2"/>
  <c r="AX1442" i="2"/>
  <c r="AY1442" i="2"/>
  <c r="AZ1442" i="2"/>
  <c r="BB1442" i="2"/>
  <c r="BC1442" i="2"/>
  <c r="BD1442" i="2"/>
  <c r="M1443" i="2"/>
  <c r="AW1443" i="2"/>
  <c r="AX1443" i="2"/>
  <c r="AY1443" i="2"/>
  <c r="AZ1443" i="2"/>
  <c r="BB1443" i="2"/>
  <c r="BC1443" i="2"/>
  <c r="BD1443" i="2"/>
  <c r="M1444" i="2"/>
  <c r="AW1444" i="2"/>
  <c r="AX1444" i="2"/>
  <c r="AY1444" i="2"/>
  <c r="AZ1444" i="2"/>
  <c r="BB1444" i="2"/>
  <c r="BC1444" i="2"/>
  <c r="BD1444" i="2"/>
  <c r="M1445" i="2"/>
  <c r="AW1445" i="2"/>
  <c r="AX1445" i="2"/>
  <c r="AY1445" i="2"/>
  <c r="AZ1445" i="2"/>
  <c r="BB1445" i="2"/>
  <c r="BC1445" i="2"/>
  <c r="BD1445" i="2"/>
  <c r="M1446" i="2"/>
  <c r="AW1446" i="2"/>
  <c r="AX1446" i="2"/>
  <c r="AY1446" i="2"/>
  <c r="AZ1446" i="2"/>
  <c r="BB1446" i="2"/>
  <c r="BC1446" i="2"/>
  <c r="BD1446" i="2"/>
  <c r="M1447" i="2"/>
  <c r="AW1447" i="2"/>
  <c r="AX1447" i="2"/>
  <c r="AY1447" i="2"/>
  <c r="AZ1447" i="2"/>
  <c r="BB1447" i="2"/>
  <c r="BC1447" i="2"/>
  <c r="BD1447" i="2"/>
  <c r="M1448" i="2"/>
  <c r="AW1448" i="2"/>
  <c r="AX1448" i="2"/>
  <c r="AY1448" i="2"/>
  <c r="AZ1448" i="2"/>
  <c r="BB1448" i="2"/>
  <c r="BC1448" i="2"/>
  <c r="BD1448" i="2"/>
  <c r="M1449" i="2"/>
  <c r="AW1449" i="2"/>
  <c r="AX1449" i="2"/>
  <c r="AY1449" i="2"/>
  <c r="AZ1449" i="2"/>
  <c r="BB1449" i="2"/>
  <c r="BC1449" i="2"/>
  <c r="BD1449" i="2"/>
  <c r="M1450" i="2"/>
  <c r="AW1450" i="2"/>
  <c r="AX1450" i="2"/>
  <c r="AY1450" i="2"/>
  <c r="AZ1450" i="2"/>
  <c r="BB1450" i="2"/>
  <c r="BC1450" i="2"/>
  <c r="BD1450" i="2"/>
  <c r="M1451" i="2"/>
  <c r="AW1451" i="2"/>
  <c r="AX1451" i="2"/>
  <c r="AY1451" i="2"/>
  <c r="AZ1451" i="2"/>
  <c r="BB1451" i="2"/>
  <c r="BC1451" i="2"/>
  <c r="BD1451" i="2"/>
  <c r="M1452" i="2"/>
  <c r="AW1452" i="2"/>
  <c r="AX1452" i="2"/>
  <c r="AY1452" i="2"/>
  <c r="AZ1452" i="2"/>
  <c r="BB1452" i="2"/>
  <c r="BC1452" i="2"/>
  <c r="BD1452" i="2"/>
  <c r="M1453" i="2"/>
  <c r="AW1453" i="2"/>
  <c r="AX1453" i="2"/>
  <c r="AY1453" i="2"/>
  <c r="AZ1453" i="2"/>
  <c r="BB1453" i="2"/>
  <c r="BC1453" i="2"/>
  <c r="BD1453" i="2"/>
  <c r="M1454" i="2"/>
  <c r="AW1454" i="2"/>
  <c r="AX1454" i="2"/>
  <c r="AY1454" i="2"/>
  <c r="AZ1454" i="2"/>
  <c r="BB1454" i="2"/>
  <c r="BC1454" i="2"/>
  <c r="BD1454" i="2"/>
  <c r="M1455" i="2"/>
  <c r="AW1455" i="2"/>
  <c r="AX1455" i="2"/>
  <c r="AY1455" i="2"/>
  <c r="AZ1455" i="2"/>
  <c r="BB1455" i="2"/>
  <c r="BC1455" i="2"/>
  <c r="BD1455" i="2"/>
  <c r="M1456" i="2"/>
  <c r="AW1456" i="2"/>
  <c r="AX1456" i="2"/>
  <c r="AY1456" i="2"/>
  <c r="AZ1456" i="2"/>
  <c r="BB1456" i="2"/>
  <c r="BC1456" i="2"/>
  <c r="BD1456" i="2"/>
  <c r="M1457" i="2"/>
  <c r="AW1457" i="2"/>
  <c r="AX1457" i="2"/>
  <c r="AY1457" i="2"/>
  <c r="AZ1457" i="2"/>
  <c r="BB1457" i="2"/>
  <c r="BC1457" i="2"/>
  <c r="BD1457" i="2"/>
  <c r="M1458" i="2"/>
  <c r="AW1458" i="2"/>
  <c r="AX1458" i="2"/>
  <c r="AY1458" i="2"/>
  <c r="AZ1458" i="2"/>
  <c r="BB1458" i="2"/>
  <c r="BC1458" i="2"/>
  <c r="BD1458" i="2"/>
  <c r="M1459" i="2"/>
  <c r="AW1459" i="2"/>
  <c r="AX1459" i="2"/>
  <c r="AY1459" i="2"/>
  <c r="AZ1459" i="2"/>
  <c r="BB1459" i="2"/>
  <c r="BC1459" i="2"/>
  <c r="BD1459" i="2"/>
  <c r="M1460" i="2"/>
  <c r="AW1460" i="2"/>
  <c r="AX1460" i="2"/>
  <c r="AY1460" i="2"/>
  <c r="AZ1460" i="2"/>
  <c r="BB1460" i="2"/>
  <c r="BC1460" i="2"/>
  <c r="BD1460" i="2"/>
  <c r="M1461" i="2"/>
  <c r="AW1461" i="2"/>
  <c r="AX1461" i="2"/>
  <c r="AY1461" i="2"/>
  <c r="AZ1461" i="2"/>
  <c r="BB1461" i="2"/>
  <c r="BC1461" i="2"/>
  <c r="BD1461" i="2"/>
  <c r="M1462" i="2"/>
  <c r="AX1462" i="2"/>
  <c r="AZ1462" i="2"/>
  <c r="BB1462" i="2"/>
  <c r="BC1462" i="2"/>
  <c r="BD1462" i="2"/>
  <c r="M1464" i="2"/>
  <c r="AW1464" i="2"/>
  <c r="AX1464" i="2"/>
  <c r="AY1464" i="2"/>
  <c r="AZ1464" i="2"/>
  <c r="BB1464" i="2"/>
  <c r="BC1464" i="2"/>
  <c r="BD1464" i="2"/>
  <c r="M1465" i="2"/>
  <c r="AW1465" i="2"/>
  <c r="AX1465" i="2"/>
  <c r="AY1465" i="2"/>
  <c r="AZ1465" i="2"/>
  <c r="BB1465" i="2"/>
  <c r="BC1465" i="2"/>
  <c r="BD1465" i="2"/>
  <c r="M1466" i="2"/>
  <c r="AW1466" i="2"/>
  <c r="AX1466" i="2"/>
  <c r="AY1466" i="2"/>
  <c r="AZ1466" i="2"/>
  <c r="BB1466" i="2"/>
  <c r="BC1466" i="2"/>
  <c r="BD1466" i="2"/>
  <c r="M1467" i="2"/>
  <c r="AW1467" i="2"/>
  <c r="AX1467" i="2"/>
  <c r="AY1467" i="2"/>
  <c r="AZ1467" i="2"/>
  <c r="BB1467" i="2"/>
  <c r="BC1467" i="2"/>
  <c r="BD1467" i="2"/>
  <c r="M1468" i="2"/>
  <c r="AW1468" i="2"/>
  <c r="AX1468" i="2"/>
  <c r="AY1468" i="2"/>
  <c r="AZ1468" i="2"/>
  <c r="BB1468" i="2"/>
  <c r="BC1468" i="2"/>
  <c r="BD1468" i="2"/>
  <c r="M1469" i="2"/>
  <c r="AW1469" i="2"/>
  <c r="AX1469" i="2"/>
  <c r="AY1469" i="2"/>
  <c r="AZ1469" i="2"/>
  <c r="BB1469" i="2"/>
  <c r="BC1469" i="2"/>
  <c r="BD1469" i="2"/>
  <c r="M1470" i="2"/>
  <c r="AW1470" i="2"/>
  <c r="AX1470" i="2"/>
  <c r="AY1470" i="2"/>
  <c r="AZ1470" i="2"/>
  <c r="BB1470" i="2"/>
  <c r="BC1470" i="2"/>
  <c r="BD1470" i="2"/>
  <c r="M1471" i="2"/>
  <c r="AW1471" i="2"/>
  <c r="AX1471" i="2"/>
  <c r="AY1471" i="2"/>
  <c r="AZ1471" i="2"/>
  <c r="BB1471" i="2"/>
  <c r="BC1471" i="2"/>
  <c r="BD1471" i="2"/>
  <c r="M1472" i="2"/>
  <c r="AW1472" i="2"/>
  <c r="AX1472" i="2"/>
  <c r="AY1472" i="2"/>
  <c r="AZ1472" i="2"/>
  <c r="BB1472" i="2"/>
  <c r="BC1472" i="2"/>
  <c r="BD1472" i="2"/>
  <c r="M1473" i="2"/>
  <c r="AW1473" i="2"/>
  <c r="AX1473" i="2"/>
  <c r="AY1473" i="2"/>
  <c r="AZ1473" i="2"/>
  <c r="BB1473" i="2"/>
  <c r="BC1473" i="2"/>
  <c r="BD1473" i="2"/>
  <c r="M1474" i="2"/>
  <c r="AW1474" i="2"/>
  <c r="AX1474" i="2"/>
  <c r="AY1474" i="2"/>
  <c r="AZ1474" i="2"/>
  <c r="BB1474" i="2"/>
  <c r="BC1474" i="2"/>
  <c r="BD1474" i="2"/>
  <c r="M1475" i="2"/>
  <c r="AW1475" i="2"/>
  <c r="AX1475" i="2"/>
  <c r="AY1475" i="2"/>
  <c r="AZ1475" i="2"/>
  <c r="BB1475" i="2"/>
  <c r="BC1475" i="2"/>
  <c r="BD1475" i="2"/>
  <c r="M1476" i="2"/>
  <c r="AW1476" i="2"/>
  <c r="AX1476" i="2"/>
  <c r="AY1476" i="2"/>
  <c r="AZ1476" i="2"/>
  <c r="BB1476" i="2"/>
  <c r="BC1476" i="2"/>
  <c r="BD1476" i="2"/>
  <c r="M1477" i="2"/>
  <c r="AW1477" i="2"/>
  <c r="AX1477" i="2"/>
  <c r="AY1477" i="2"/>
  <c r="AZ1477" i="2"/>
  <c r="BB1477" i="2"/>
  <c r="BC1477" i="2"/>
  <c r="BD1477" i="2"/>
  <c r="M1478" i="2"/>
  <c r="AW1478" i="2"/>
  <c r="AX1478" i="2"/>
  <c r="AY1478" i="2"/>
  <c r="AZ1478" i="2"/>
  <c r="BB1478" i="2"/>
  <c r="BC1478" i="2"/>
  <c r="BD1478" i="2"/>
  <c r="M1479" i="2"/>
  <c r="AW1479" i="2"/>
  <c r="AX1479" i="2"/>
  <c r="AY1479" i="2"/>
  <c r="AZ1479" i="2"/>
  <c r="BB1479" i="2"/>
  <c r="BC1479" i="2"/>
  <c r="BD1479" i="2"/>
  <c r="M1480" i="2"/>
  <c r="AW1480" i="2"/>
  <c r="AX1480" i="2"/>
  <c r="AY1480" i="2"/>
  <c r="AZ1480" i="2"/>
  <c r="BB1480" i="2"/>
  <c r="BC1480" i="2"/>
  <c r="BD1480" i="2"/>
  <c r="M1481" i="2"/>
  <c r="AW1481" i="2"/>
  <c r="AX1481" i="2"/>
  <c r="AY1481" i="2"/>
  <c r="AZ1481" i="2"/>
  <c r="BB1481" i="2"/>
  <c r="BC1481" i="2"/>
  <c r="BD1481" i="2"/>
  <c r="M1482" i="2"/>
  <c r="AW1482" i="2"/>
  <c r="AX1482" i="2"/>
  <c r="AY1482" i="2"/>
  <c r="AZ1482" i="2"/>
  <c r="BB1482" i="2"/>
  <c r="BC1482" i="2"/>
  <c r="BD1482" i="2"/>
  <c r="M1483" i="2"/>
  <c r="AW1483" i="2"/>
  <c r="AX1483" i="2"/>
  <c r="AY1483" i="2"/>
  <c r="AZ1483" i="2"/>
  <c r="BB1483" i="2"/>
  <c r="BC1483" i="2"/>
  <c r="BD1483" i="2"/>
  <c r="M1484" i="2"/>
  <c r="AW1484" i="2"/>
  <c r="AX1484" i="2"/>
  <c r="AY1484" i="2"/>
  <c r="AZ1484" i="2"/>
  <c r="BB1484" i="2"/>
  <c r="BC1484" i="2"/>
  <c r="BD1484" i="2"/>
  <c r="M1485" i="2"/>
  <c r="AW1485" i="2"/>
  <c r="AX1485" i="2"/>
  <c r="AY1485" i="2"/>
  <c r="AZ1485" i="2"/>
  <c r="BB1485" i="2"/>
  <c r="BC1485" i="2"/>
  <c r="BD1485" i="2"/>
  <c r="M1486" i="2"/>
  <c r="AW1486" i="2"/>
  <c r="AX1486" i="2"/>
  <c r="AY1486" i="2"/>
  <c r="AZ1486" i="2"/>
  <c r="BB1486" i="2"/>
  <c r="BC1486" i="2"/>
  <c r="BD1486" i="2"/>
  <c r="M1487" i="2"/>
  <c r="AW1487" i="2"/>
  <c r="AX1487" i="2"/>
  <c r="AY1487" i="2"/>
  <c r="AZ1487" i="2"/>
  <c r="BB1487" i="2"/>
  <c r="BC1487" i="2"/>
  <c r="BD1487" i="2"/>
  <c r="M1488" i="2"/>
  <c r="AW1488" i="2"/>
  <c r="AX1488" i="2"/>
  <c r="AY1488" i="2"/>
  <c r="AZ1488" i="2"/>
  <c r="BB1488" i="2"/>
  <c r="BC1488" i="2"/>
  <c r="BD1488" i="2"/>
  <c r="M1489" i="2"/>
  <c r="AW1489" i="2"/>
  <c r="AX1489" i="2"/>
  <c r="AY1489" i="2"/>
  <c r="AZ1489" i="2"/>
  <c r="BB1489" i="2"/>
  <c r="BC1489" i="2"/>
  <c r="BD1489" i="2"/>
  <c r="M1490" i="2"/>
  <c r="AW1490" i="2"/>
  <c r="AX1490" i="2"/>
  <c r="AY1490" i="2"/>
  <c r="AZ1490" i="2"/>
  <c r="BB1490" i="2"/>
  <c r="BC1490" i="2"/>
  <c r="BD1490" i="2"/>
  <c r="M1491" i="2"/>
  <c r="AW1491" i="2"/>
  <c r="AX1491" i="2"/>
  <c r="AY1491" i="2"/>
  <c r="AZ1491" i="2"/>
  <c r="BB1491" i="2"/>
  <c r="BC1491" i="2"/>
  <c r="BD1491" i="2"/>
  <c r="M1492" i="2"/>
  <c r="AW1492" i="2"/>
  <c r="AX1492" i="2"/>
  <c r="AY1492" i="2"/>
  <c r="AZ1492" i="2"/>
  <c r="BB1492" i="2"/>
  <c r="BC1492" i="2"/>
  <c r="BD1492" i="2"/>
  <c r="M1493" i="2"/>
  <c r="AW1493" i="2"/>
  <c r="AX1493" i="2"/>
  <c r="AY1493" i="2"/>
  <c r="AZ1493" i="2"/>
  <c r="BB1493" i="2"/>
  <c r="BC1493" i="2"/>
  <c r="BD1493" i="2"/>
  <c r="M1494" i="2"/>
  <c r="AW1494" i="2"/>
  <c r="AX1494" i="2"/>
  <c r="AY1494" i="2"/>
  <c r="AZ1494" i="2"/>
  <c r="BB1494" i="2"/>
  <c r="BC1494" i="2"/>
  <c r="BD1494" i="2"/>
  <c r="M1495" i="2"/>
  <c r="AW1495" i="2"/>
  <c r="AX1495" i="2"/>
  <c r="AY1495" i="2"/>
  <c r="AZ1495" i="2"/>
  <c r="BB1495" i="2"/>
  <c r="BC1495" i="2"/>
  <c r="BD1495" i="2"/>
  <c r="M1496" i="2"/>
  <c r="AW1496" i="2"/>
  <c r="AX1496" i="2"/>
  <c r="AY1496" i="2"/>
  <c r="AZ1496" i="2"/>
  <c r="BB1496" i="2"/>
  <c r="BC1496" i="2"/>
  <c r="BD1496" i="2"/>
  <c r="M1497" i="2"/>
  <c r="AW1497" i="2"/>
  <c r="AX1497" i="2"/>
  <c r="AY1497" i="2"/>
  <c r="AZ1497" i="2"/>
  <c r="BB1497" i="2"/>
  <c r="BC1497" i="2"/>
  <c r="BD1497" i="2"/>
  <c r="M1498" i="2"/>
  <c r="AW1498" i="2"/>
  <c r="AX1498" i="2"/>
  <c r="AY1498" i="2"/>
  <c r="AZ1498" i="2"/>
  <c r="BB1498" i="2"/>
  <c r="BC1498" i="2"/>
  <c r="BD1498" i="2"/>
  <c r="M1499" i="2"/>
  <c r="AW1499" i="2"/>
  <c r="AX1499" i="2"/>
  <c r="AY1499" i="2"/>
  <c r="AZ1499" i="2"/>
  <c r="BB1499" i="2"/>
  <c r="BC1499" i="2"/>
  <c r="BD1499" i="2"/>
  <c r="M1500" i="2"/>
  <c r="AW1500" i="2"/>
  <c r="AX1500" i="2"/>
  <c r="AY1500" i="2"/>
  <c r="AZ1500" i="2"/>
  <c r="BB1500" i="2"/>
  <c r="BC1500" i="2"/>
  <c r="BD1500" i="2"/>
  <c r="M1501" i="2"/>
  <c r="AW1501" i="2"/>
  <c r="AX1501" i="2"/>
  <c r="AY1501" i="2"/>
  <c r="AZ1501" i="2"/>
  <c r="BB1501" i="2"/>
  <c r="BC1501" i="2"/>
  <c r="BD1501" i="2"/>
  <c r="M1502" i="2"/>
  <c r="AW1502" i="2"/>
  <c r="AX1502" i="2"/>
  <c r="AY1502" i="2"/>
  <c r="AZ1502" i="2"/>
  <c r="BB1502" i="2"/>
  <c r="BC1502" i="2"/>
  <c r="BD1502" i="2"/>
  <c r="M1503" i="2"/>
  <c r="AW1503" i="2"/>
  <c r="AX1503" i="2"/>
  <c r="AY1503" i="2"/>
  <c r="AZ1503" i="2"/>
  <c r="BB1503" i="2"/>
  <c r="BC1503" i="2"/>
  <c r="BD1503" i="2"/>
  <c r="M1504" i="2"/>
  <c r="AW1504" i="2"/>
  <c r="AX1504" i="2"/>
  <c r="AY1504" i="2"/>
  <c r="AZ1504" i="2"/>
  <c r="BB1504" i="2"/>
  <c r="BC1504" i="2"/>
  <c r="BD1504" i="2"/>
  <c r="M1505" i="2"/>
  <c r="AW1505" i="2"/>
  <c r="AX1505" i="2"/>
  <c r="AY1505" i="2"/>
  <c r="AZ1505" i="2"/>
  <c r="BB1505" i="2"/>
  <c r="BC1505" i="2"/>
  <c r="BD1505" i="2"/>
  <c r="M1506" i="2"/>
  <c r="AW1506" i="2"/>
  <c r="AX1506" i="2"/>
  <c r="AY1506" i="2"/>
  <c r="AZ1506" i="2"/>
  <c r="BB1506" i="2"/>
  <c r="BC1506" i="2"/>
  <c r="BD1506" i="2"/>
  <c r="M1507" i="2"/>
  <c r="AW1507" i="2"/>
  <c r="AX1507" i="2"/>
  <c r="AY1507" i="2"/>
  <c r="AZ1507" i="2"/>
  <c r="BB1507" i="2"/>
  <c r="BC1507" i="2"/>
  <c r="BD1507" i="2"/>
  <c r="M1508" i="2"/>
  <c r="AW1508" i="2"/>
  <c r="AX1508" i="2"/>
  <c r="AY1508" i="2"/>
  <c r="AZ1508" i="2"/>
  <c r="BB1508" i="2"/>
  <c r="BC1508" i="2"/>
  <c r="BD1508" i="2"/>
  <c r="M1509" i="2"/>
  <c r="AW1509" i="2"/>
  <c r="AX1509" i="2"/>
  <c r="AY1509" i="2"/>
  <c r="AZ1509" i="2"/>
  <c r="BB1509" i="2"/>
  <c r="BC1509" i="2"/>
  <c r="BD1509" i="2"/>
  <c r="M1510" i="2"/>
  <c r="AW1510" i="2"/>
  <c r="AX1510" i="2"/>
  <c r="AY1510" i="2"/>
  <c r="AZ1510" i="2"/>
  <c r="BB1510" i="2"/>
  <c r="BC1510" i="2"/>
  <c r="BD1510" i="2"/>
  <c r="M1511" i="2"/>
  <c r="AW1511" i="2"/>
  <c r="AX1511" i="2"/>
  <c r="AY1511" i="2"/>
  <c r="AZ1511" i="2"/>
  <c r="BB1511" i="2"/>
  <c r="BC1511" i="2"/>
  <c r="BD1511" i="2"/>
  <c r="M1512" i="2"/>
  <c r="AW1512" i="2"/>
  <c r="AX1512" i="2"/>
  <c r="AY1512" i="2"/>
  <c r="AZ1512" i="2"/>
  <c r="BB1512" i="2"/>
  <c r="BC1512" i="2"/>
  <c r="BD1512" i="2"/>
  <c r="M1513" i="2"/>
  <c r="AW1513" i="2"/>
  <c r="AX1513" i="2"/>
  <c r="AY1513" i="2"/>
  <c r="AZ1513" i="2"/>
  <c r="BB1513" i="2"/>
  <c r="BC1513" i="2"/>
  <c r="BD1513" i="2"/>
  <c r="M1514" i="2"/>
  <c r="AW1514" i="2"/>
  <c r="AX1514" i="2"/>
  <c r="AY1514" i="2"/>
  <c r="AZ1514" i="2"/>
  <c r="BB1514" i="2"/>
  <c r="BC1514" i="2"/>
  <c r="BD1514" i="2"/>
  <c r="M1515" i="2"/>
  <c r="AW1515" i="2"/>
  <c r="AX1515" i="2"/>
  <c r="AY1515" i="2"/>
  <c r="AZ1515" i="2"/>
  <c r="BB1515" i="2"/>
  <c r="BC1515" i="2"/>
  <c r="BD1515" i="2"/>
  <c r="M1516" i="2"/>
  <c r="AW1516" i="2"/>
  <c r="AX1516" i="2"/>
  <c r="AY1516" i="2"/>
  <c r="AZ1516" i="2"/>
  <c r="BB1516" i="2"/>
  <c r="BC1516" i="2"/>
  <c r="BD1516" i="2"/>
  <c r="M1517" i="2"/>
  <c r="AW1517" i="2"/>
  <c r="AX1517" i="2"/>
  <c r="AY1517" i="2"/>
  <c r="AZ1517" i="2"/>
  <c r="BB1517" i="2"/>
  <c r="BC1517" i="2"/>
  <c r="BD1517" i="2"/>
  <c r="M1518" i="2"/>
  <c r="AW1518" i="2"/>
  <c r="AX1518" i="2"/>
  <c r="AY1518" i="2"/>
  <c r="AZ1518" i="2"/>
  <c r="BB1518" i="2"/>
  <c r="BC1518" i="2"/>
  <c r="BD1518" i="2"/>
  <c r="M1519" i="2"/>
  <c r="AW1519" i="2"/>
  <c r="AX1519" i="2"/>
  <c r="AY1519" i="2"/>
  <c r="AZ1519" i="2"/>
  <c r="BB1519" i="2"/>
  <c r="BC1519" i="2"/>
  <c r="BD1519" i="2"/>
  <c r="M1520" i="2"/>
  <c r="AW1520" i="2"/>
  <c r="AX1520" i="2"/>
  <c r="AY1520" i="2"/>
  <c r="AZ1520" i="2"/>
  <c r="BB1520" i="2"/>
  <c r="BC1520" i="2"/>
  <c r="BD1520" i="2"/>
  <c r="M1521" i="2"/>
  <c r="AW1521" i="2"/>
  <c r="AX1521" i="2"/>
  <c r="AY1521" i="2"/>
  <c r="AZ1521" i="2"/>
  <c r="BB1521" i="2"/>
  <c r="BC1521" i="2"/>
  <c r="BD1521" i="2"/>
  <c r="M1522" i="2"/>
  <c r="AW1522" i="2"/>
  <c r="AX1522" i="2"/>
  <c r="AY1522" i="2"/>
  <c r="AZ1522" i="2"/>
  <c r="BB1522" i="2"/>
  <c r="BC1522" i="2"/>
  <c r="BD1522" i="2"/>
  <c r="M1523" i="2"/>
  <c r="AW1523" i="2"/>
  <c r="AX1523" i="2"/>
  <c r="AY1523" i="2"/>
  <c r="AZ1523" i="2"/>
  <c r="BB1523" i="2"/>
  <c r="BC1523" i="2"/>
  <c r="BD1523" i="2"/>
  <c r="M1524" i="2"/>
  <c r="AW1524" i="2"/>
  <c r="AX1524" i="2"/>
  <c r="AY1524" i="2"/>
  <c r="AZ1524" i="2"/>
  <c r="BB1524" i="2"/>
  <c r="BC1524" i="2"/>
  <c r="BD1524" i="2"/>
  <c r="M1525" i="2"/>
  <c r="AW1525" i="2"/>
  <c r="AX1525" i="2"/>
  <c r="AY1525" i="2"/>
  <c r="AZ1525" i="2"/>
  <c r="BB1525" i="2"/>
  <c r="BC1525" i="2"/>
  <c r="BD1525" i="2"/>
  <c r="M1526" i="2"/>
  <c r="AW1526" i="2"/>
  <c r="AX1526" i="2"/>
  <c r="AY1526" i="2"/>
  <c r="AZ1526" i="2"/>
  <c r="BB1526" i="2"/>
  <c r="BC1526" i="2"/>
  <c r="BD1526" i="2"/>
  <c r="M1527" i="2"/>
  <c r="AW1527" i="2"/>
  <c r="AX1527" i="2"/>
  <c r="AY1527" i="2"/>
  <c r="AZ1527" i="2"/>
  <c r="BB1527" i="2"/>
  <c r="BC1527" i="2"/>
  <c r="BD1527" i="2"/>
  <c r="M1528" i="2"/>
  <c r="AW1528" i="2"/>
  <c r="AX1528" i="2"/>
  <c r="AY1528" i="2"/>
  <c r="AZ1528" i="2"/>
  <c r="BB1528" i="2"/>
  <c r="BC1528" i="2"/>
  <c r="BD1528" i="2"/>
  <c r="M1529" i="2"/>
  <c r="AW1529" i="2"/>
  <c r="AX1529" i="2"/>
  <c r="AY1529" i="2"/>
  <c r="AZ1529" i="2"/>
  <c r="BB1529" i="2"/>
  <c r="BC1529" i="2"/>
  <c r="BD1529" i="2"/>
  <c r="M1530" i="2"/>
  <c r="AW1530" i="2"/>
  <c r="AX1530" i="2"/>
  <c r="AY1530" i="2"/>
  <c r="AZ1530" i="2"/>
  <c r="BB1530" i="2"/>
  <c r="BC1530" i="2"/>
  <c r="BD1530" i="2"/>
  <c r="M1531" i="2"/>
  <c r="AW1531" i="2"/>
  <c r="AX1531" i="2"/>
  <c r="AY1531" i="2"/>
  <c r="AZ1531" i="2"/>
  <c r="BB1531" i="2"/>
  <c r="BC1531" i="2"/>
  <c r="BD1531" i="2"/>
  <c r="M1532" i="2"/>
  <c r="AW1532" i="2"/>
  <c r="AX1532" i="2"/>
  <c r="AY1532" i="2"/>
  <c r="AZ1532" i="2"/>
  <c r="BB1532" i="2"/>
  <c r="BC1532" i="2"/>
  <c r="BD1532" i="2"/>
  <c r="M1533" i="2"/>
  <c r="AW1533" i="2"/>
  <c r="AX1533" i="2"/>
  <c r="AY1533" i="2"/>
  <c r="AZ1533" i="2"/>
  <c r="BB1533" i="2"/>
  <c r="BC1533" i="2"/>
  <c r="BD1533" i="2"/>
  <c r="M1534" i="2"/>
  <c r="AW1534" i="2"/>
  <c r="AX1534" i="2"/>
  <c r="AY1534" i="2"/>
  <c r="AZ1534" i="2"/>
  <c r="BB1534" i="2"/>
  <c r="BC1534" i="2"/>
  <c r="BD1534" i="2"/>
  <c r="M1535" i="2"/>
  <c r="AW1535" i="2"/>
  <c r="AX1535" i="2"/>
  <c r="AY1535" i="2"/>
  <c r="AZ1535" i="2"/>
  <c r="BB1535" i="2"/>
  <c r="BC1535" i="2"/>
  <c r="BD1535" i="2"/>
  <c r="M1536" i="2"/>
  <c r="AW1536" i="2"/>
  <c r="AX1536" i="2"/>
  <c r="AY1536" i="2"/>
  <c r="AZ1536" i="2"/>
  <c r="BB1536" i="2"/>
  <c r="BC1536" i="2"/>
  <c r="BD1536" i="2"/>
  <c r="M1537" i="2"/>
  <c r="AW1537" i="2"/>
  <c r="AX1537" i="2"/>
  <c r="AY1537" i="2"/>
  <c r="AZ1537" i="2"/>
  <c r="BB1537" i="2"/>
  <c r="BC1537" i="2"/>
  <c r="BD1537" i="2"/>
  <c r="M1538" i="2"/>
  <c r="AW1538" i="2"/>
  <c r="AX1538" i="2"/>
  <c r="AY1538" i="2"/>
  <c r="AZ1538" i="2"/>
  <c r="BB1538" i="2"/>
  <c r="BC1538" i="2"/>
  <c r="BD1538" i="2"/>
  <c r="M1539" i="2"/>
  <c r="AW1539" i="2"/>
  <c r="AX1539" i="2"/>
  <c r="AY1539" i="2"/>
  <c r="AZ1539" i="2"/>
  <c r="BB1539" i="2"/>
  <c r="BC1539" i="2"/>
  <c r="BD1539" i="2"/>
  <c r="M1540" i="2"/>
  <c r="AW1540" i="2"/>
  <c r="AX1540" i="2"/>
  <c r="AY1540" i="2"/>
  <c r="AZ1540" i="2"/>
  <c r="BB1540" i="2"/>
  <c r="BC1540" i="2"/>
  <c r="BD1540" i="2"/>
  <c r="M1541" i="2"/>
  <c r="AW1541" i="2"/>
  <c r="AX1541" i="2"/>
  <c r="AY1541" i="2"/>
  <c r="AZ1541" i="2"/>
  <c r="BB1541" i="2"/>
  <c r="BC1541" i="2"/>
  <c r="BD1541" i="2"/>
  <c r="M1542" i="2"/>
  <c r="AW1542" i="2"/>
  <c r="AX1542" i="2"/>
  <c r="AY1542" i="2"/>
  <c r="AZ1542" i="2"/>
  <c r="BB1542" i="2"/>
  <c r="BC1542" i="2"/>
  <c r="BD1542" i="2"/>
  <c r="M1543" i="2"/>
  <c r="AW1543" i="2"/>
  <c r="AX1543" i="2"/>
  <c r="AY1543" i="2"/>
  <c r="AZ1543" i="2"/>
  <c r="BB1543" i="2"/>
  <c r="BC1543" i="2"/>
  <c r="BD1543" i="2"/>
  <c r="M1544" i="2"/>
  <c r="AW1544" i="2"/>
  <c r="AX1544" i="2"/>
  <c r="AY1544" i="2"/>
  <c r="AZ1544" i="2"/>
  <c r="BB1544" i="2"/>
  <c r="BC1544" i="2"/>
  <c r="BD1544" i="2"/>
  <c r="M1545" i="2"/>
  <c r="AW1545" i="2"/>
  <c r="AX1545" i="2"/>
  <c r="AY1545" i="2"/>
  <c r="AZ1545" i="2"/>
  <c r="BB1545" i="2"/>
  <c r="BC1545" i="2"/>
  <c r="BD1545" i="2"/>
  <c r="M1546" i="2"/>
  <c r="AX1546" i="2"/>
  <c r="AZ1546" i="2"/>
  <c r="BB1546" i="2"/>
  <c r="BC1546" i="2"/>
  <c r="BD1546" i="2"/>
  <c r="M1548" i="2"/>
  <c r="AW1548" i="2"/>
  <c r="AX1548" i="2"/>
  <c r="AY1548" i="2"/>
  <c r="AZ1548" i="2"/>
  <c r="BB1548" i="2"/>
  <c r="BC1548" i="2"/>
  <c r="BD1548" i="2"/>
  <c r="M1549" i="2"/>
  <c r="AW1549" i="2"/>
  <c r="AX1549" i="2"/>
  <c r="AY1549" i="2"/>
  <c r="AZ1549" i="2"/>
  <c r="BB1549" i="2"/>
  <c r="BC1549" i="2"/>
  <c r="BD1549" i="2"/>
  <c r="M1550" i="2"/>
  <c r="AW1550" i="2"/>
  <c r="AX1550" i="2"/>
  <c r="AY1550" i="2"/>
  <c r="AZ1550" i="2"/>
  <c r="BB1550" i="2"/>
  <c r="BC1550" i="2"/>
  <c r="BD1550" i="2"/>
  <c r="M1551" i="2"/>
  <c r="AW1551" i="2"/>
  <c r="AX1551" i="2"/>
  <c r="AY1551" i="2"/>
  <c r="AZ1551" i="2"/>
  <c r="BB1551" i="2"/>
  <c r="BC1551" i="2"/>
  <c r="BD1551" i="2"/>
  <c r="M1552" i="2"/>
  <c r="AW1552" i="2"/>
  <c r="AX1552" i="2"/>
  <c r="AY1552" i="2"/>
  <c r="AZ1552" i="2"/>
  <c r="BB1552" i="2"/>
  <c r="BC1552" i="2"/>
  <c r="BD1552" i="2"/>
  <c r="M1553" i="2"/>
  <c r="AW1553" i="2"/>
  <c r="AX1553" i="2"/>
  <c r="AY1553" i="2"/>
  <c r="AZ1553" i="2"/>
  <c r="BB1553" i="2"/>
  <c r="BC1553" i="2"/>
  <c r="BD1553" i="2"/>
  <c r="M1554" i="2"/>
  <c r="AW1554" i="2"/>
  <c r="AX1554" i="2"/>
  <c r="AY1554" i="2"/>
  <c r="AZ1554" i="2"/>
  <c r="BB1554" i="2"/>
  <c r="BC1554" i="2"/>
  <c r="BD1554" i="2"/>
  <c r="M1555" i="2"/>
  <c r="AW1555" i="2"/>
  <c r="AX1555" i="2"/>
  <c r="AY1555" i="2"/>
  <c r="AZ1555" i="2"/>
  <c r="BB1555" i="2"/>
  <c r="BC1555" i="2"/>
  <c r="BD1555" i="2"/>
  <c r="M1556" i="2"/>
  <c r="AW1556" i="2"/>
  <c r="AX1556" i="2"/>
  <c r="AY1556" i="2"/>
  <c r="AZ1556" i="2"/>
  <c r="BB1556" i="2"/>
  <c r="BC1556" i="2"/>
  <c r="BD1556" i="2"/>
  <c r="M1557" i="2"/>
  <c r="AW1557" i="2"/>
  <c r="AX1557" i="2"/>
  <c r="AY1557" i="2"/>
  <c r="AZ1557" i="2"/>
  <c r="BB1557" i="2"/>
  <c r="BC1557" i="2"/>
  <c r="BD1557" i="2"/>
  <c r="M1558" i="2"/>
  <c r="AW1558" i="2"/>
  <c r="AX1558" i="2"/>
  <c r="AY1558" i="2"/>
  <c r="AZ1558" i="2"/>
  <c r="BB1558" i="2"/>
  <c r="BC1558" i="2"/>
  <c r="BD1558" i="2"/>
  <c r="M1559" i="2"/>
  <c r="AW1559" i="2"/>
  <c r="AX1559" i="2"/>
  <c r="AY1559" i="2"/>
  <c r="AZ1559" i="2"/>
  <c r="BB1559" i="2"/>
  <c r="BC1559" i="2"/>
  <c r="BD1559" i="2"/>
  <c r="M1560" i="2"/>
  <c r="AW1560" i="2"/>
  <c r="AX1560" i="2"/>
  <c r="AY1560" i="2"/>
  <c r="AZ1560" i="2"/>
  <c r="BB1560" i="2"/>
  <c r="BC1560" i="2"/>
  <c r="BD1560" i="2"/>
  <c r="M1561" i="2"/>
  <c r="AW1561" i="2"/>
  <c r="AX1561" i="2"/>
  <c r="AY1561" i="2"/>
  <c r="AZ1561" i="2"/>
  <c r="BB1561" i="2"/>
  <c r="BC1561" i="2"/>
  <c r="BD1561" i="2"/>
  <c r="M1562" i="2"/>
  <c r="AW1562" i="2"/>
  <c r="AX1562" i="2"/>
  <c r="AY1562" i="2"/>
  <c r="AZ1562" i="2"/>
  <c r="BB1562" i="2"/>
  <c r="BC1562" i="2"/>
  <c r="BD1562" i="2"/>
  <c r="M1563" i="2"/>
  <c r="AW1563" i="2"/>
  <c r="AX1563" i="2"/>
  <c r="AY1563" i="2"/>
  <c r="AZ1563" i="2"/>
  <c r="BB1563" i="2"/>
  <c r="BC1563" i="2"/>
  <c r="BD1563" i="2"/>
  <c r="M1564" i="2"/>
  <c r="AW1564" i="2"/>
  <c r="AX1564" i="2"/>
  <c r="AY1564" i="2"/>
  <c r="AZ1564" i="2"/>
  <c r="BB1564" i="2"/>
  <c r="BC1564" i="2"/>
  <c r="BD1564" i="2"/>
  <c r="M1565" i="2"/>
  <c r="AW1565" i="2"/>
  <c r="AX1565" i="2"/>
  <c r="AY1565" i="2"/>
  <c r="AZ1565" i="2"/>
  <c r="BB1565" i="2"/>
  <c r="BC1565" i="2"/>
  <c r="BD1565" i="2"/>
  <c r="M1566" i="2"/>
  <c r="AW1566" i="2"/>
  <c r="AX1566" i="2"/>
  <c r="AY1566" i="2"/>
  <c r="AZ1566" i="2"/>
  <c r="BB1566" i="2"/>
  <c r="BC1566" i="2"/>
  <c r="BD1566" i="2"/>
  <c r="M1567" i="2"/>
  <c r="AW1567" i="2"/>
  <c r="AX1567" i="2"/>
  <c r="AY1567" i="2"/>
  <c r="AZ1567" i="2"/>
  <c r="BB1567" i="2"/>
  <c r="BC1567" i="2"/>
  <c r="BD1567" i="2"/>
  <c r="M1568" i="2"/>
  <c r="AW1568" i="2"/>
  <c r="AX1568" i="2"/>
  <c r="AY1568" i="2"/>
  <c r="AZ1568" i="2"/>
  <c r="BB1568" i="2"/>
  <c r="BC1568" i="2"/>
  <c r="BD1568" i="2"/>
  <c r="M1569" i="2"/>
  <c r="AW1569" i="2"/>
  <c r="AX1569" i="2"/>
  <c r="AY1569" i="2"/>
  <c r="AZ1569" i="2"/>
  <c r="BB1569" i="2"/>
  <c r="BC1569" i="2"/>
  <c r="BD1569" i="2"/>
  <c r="M1570" i="2"/>
  <c r="AW1570" i="2"/>
  <c r="AX1570" i="2"/>
  <c r="AY1570" i="2"/>
  <c r="AZ1570" i="2"/>
  <c r="BB1570" i="2"/>
  <c r="BC1570" i="2"/>
  <c r="BD1570" i="2"/>
  <c r="M1571" i="2"/>
  <c r="AW1571" i="2"/>
  <c r="AX1571" i="2"/>
  <c r="AY1571" i="2"/>
  <c r="AZ1571" i="2"/>
  <c r="BB1571" i="2"/>
  <c r="BC1571" i="2"/>
  <c r="BD1571" i="2"/>
  <c r="M1572" i="2"/>
  <c r="AW1572" i="2"/>
  <c r="AX1572" i="2"/>
  <c r="AY1572" i="2"/>
  <c r="AZ1572" i="2"/>
  <c r="BB1572" i="2"/>
  <c r="BC1572" i="2"/>
  <c r="BD1572" i="2"/>
  <c r="M1573" i="2"/>
  <c r="AW1573" i="2"/>
  <c r="AX1573" i="2"/>
  <c r="AY1573" i="2"/>
  <c r="AZ1573" i="2"/>
  <c r="BB1573" i="2"/>
  <c r="BC1573" i="2"/>
  <c r="BD1573" i="2"/>
  <c r="M1574" i="2"/>
  <c r="AW1574" i="2"/>
  <c r="AX1574" i="2"/>
  <c r="AY1574" i="2"/>
  <c r="AZ1574" i="2"/>
  <c r="BB1574" i="2"/>
  <c r="BC1574" i="2"/>
  <c r="BD1574" i="2"/>
  <c r="M1575" i="2"/>
  <c r="AW1575" i="2"/>
  <c r="AX1575" i="2"/>
  <c r="AY1575" i="2"/>
  <c r="AZ1575" i="2"/>
  <c r="BB1575" i="2"/>
  <c r="BC1575" i="2"/>
  <c r="BD1575" i="2"/>
  <c r="M1576" i="2"/>
  <c r="AW1576" i="2"/>
  <c r="AX1576" i="2"/>
  <c r="AY1576" i="2"/>
  <c r="AZ1576" i="2"/>
  <c r="BB1576" i="2"/>
  <c r="BC1576" i="2"/>
  <c r="BD1576" i="2"/>
  <c r="M1577" i="2"/>
  <c r="AW1577" i="2"/>
  <c r="AX1577" i="2"/>
  <c r="AY1577" i="2"/>
  <c r="AZ1577" i="2"/>
  <c r="BB1577" i="2"/>
  <c r="BC1577" i="2"/>
  <c r="BD1577" i="2"/>
  <c r="M1578" i="2"/>
  <c r="AW1578" i="2"/>
  <c r="AX1578" i="2"/>
  <c r="AY1578" i="2"/>
  <c r="AZ1578" i="2"/>
  <c r="BB1578" i="2"/>
  <c r="BC1578" i="2"/>
  <c r="BD1578" i="2"/>
  <c r="M1579" i="2"/>
  <c r="AW1579" i="2"/>
  <c r="AX1579" i="2"/>
  <c r="AY1579" i="2"/>
  <c r="AZ1579" i="2"/>
  <c r="BB1579" i="2"/>
  <c r="BC1579" i="2"/>
  <c r="BD1579" i="2"/>
  <c r="M1580" i="2"/>
  <c r="AW1580" i="2"/>
  <c r="AX1580" i="2"/>
  <c r="AY1580" i="2"/>
  <c r="AZ1580" i="2"/>
  <c r="BB1580" i="2"/>
  <c r="BC1580" i="2"/>
  <c r="BD1580" i="2"/>
  <c r="M1581" i="2"/>
  <c r="AW1581" i="2"/>
  <c r="AX1581" i="2"/>
  <c r="AY1581" i="2"/>
  <c r="AZ1581" i="2"/>
  <c r="BB1581" i="2"/>
  <c r="BC1581" i="2"/>
  <c r="BD1581" i="2"/>
  <c r="M1582" i="2"/>
  <c r="AW1582" i="2"/>
  <c r="AX1582" i="2"/>
  <c r="AY1582" i="2"/>
  <c r="AZ1582" i="2"/>
  <c r="BB1582" i="2"/>
  <c r="BC1582" i="2"/>
  <c r="BD1582" i="2"/>
  <c r="M1583" i="2"/>
  <c r="AW1583" i="2"/>
  <c r="AX1583" i="2"/>
  <c r="AY1583" i="2"/>
  <c r="AZ1583" i="2"/>
  <c r="BB1583" i="2"/>
  <c r="BC1583" i="2"/>
  <c r="BD1583" i="2"/>
  <c r="M1584" i="2"/>
  <c r="AW1584" i="2"/>
  <c r="AX1584" i="2"/>
  <c r="AY1584" i="2"/>
  <c r="AZ1584" i="2"/>
  <c r="BB1584" i="2"/>
  <c r="BC1584" i="2"/>
  <c r="BD1584" i="2"/>
  <c r="M1585" i="2"/>
  <c r="AW1585" i="2"/>
  <c r="AX1585" i="2"/>
  <c r="AY1585" i="2"/>
  <c r="AZ1585" i="2"/>
  <c r="BB1585" i="2"/>
  <c r="BC1585" i="2"/>
  <c r="BD1585" i="2"/>
  <c r="M1586" i="2"/>
  <c r="AW1586" i="2"/>
  <c r="AX1586" i="2"/>
  <c r="AY1586" i="2"/>
  <c r="AZ1586" i="2"/>
  <c r="BB1586" i="2"/>
  <c r="BC1586" i="2"/>
  <c r="BD1586" i="2"/>
  <c r="M1587" i="2"/>
  <c r="AW1587" i="2"/>
  <c r="AX1587" i="2"/>
  <c r="AY1587" i="2"/>
  <c r="AZ1587" i="2"/>
  <c r="BB1587" i="2"/>
  <c r="BC1587" i="2"/>
  <c r="BD1587" i="2"/>
  <c r="M1588" i="2"/>
  <c r="AW1588" i="2"/>
  <c r="AX1588" i="2"/>
  <c r="AY1588" i="2"/>
  <c r="AZ1588" i="2"/>
  <c r="BB1588" i="2"/>
  <c r="BC1588" i="2"/>
  <c r="BD1588" i="2"/>
  <c r="M1589" i="2"/>
  <c r="AW1589" i="2"/>
  <c r="AX1589" i="2"/>
  <c r="AY1589" i="2"/>
  <c r="AZ1589" i="2"/>
  <c r="BB1589" i="2"/>
  <c r="BC1589" i="2"/>
  <c r="BD1589" i="2"/>
  <c r="M1590" i="2"/>
  <c r="AW1590" i="2"/>
  <c r="AX1590" i="2"/>
  <c r="AY1590" i="2"/>
  <c r="AZ1590" i="2"/>
  <c r="BB1590" i="2"/>
  <c r="BC1590" i="2"/>
  <c r="BD1590" i="2"/>
  <c r="M1591" i="2"/>
  <c r="AW1591" i="2"/>
  <c r="AX1591" i="2"/>
  <c r="AY1591" i="2"/>
  <c r="AZ1591" i="2"/>
  <c r="BB1591" i="2"/>
  <c r="BC1591" i="2"/>
  <c r="BD1591" i="2"/>
  <c r="M1592" i="2"/>
  <c r="AW1592" i="2"/>
  <c r="AX1592" i="2"/>
  <c r="AY1592" i="2"/>
  <c r="AZ1592" i="2"/>
  <c r="BB1592" i="2"/>
  <c r="BC1592" i="2"/>
  <c r="BD1592" i="2"/>
  <c r="M1593" i="2"/>
  <c r="AW1593" i="2"/>
  <c r="AX1593" i="2"/>
  <c r="AY1593" i="2"/>
  <c r="AZ1593" i="2"/>
  <c r="BB1593" i="2"/>
  <c r="BC1593" i="2"/>
  <c r="BD1593" i="2"/>
  <c r="M1594" i="2"/>
  <c r="AW1594" i="2"/>
  <c r="AX1594" i="2"/>
  <c r="AY1594" i="2"/>
  <c r="AZ1594" i="2"/>
  <c r="BB1594" i="2"/>
  <c r="BC1594" i="2"/>
  <c r="BD1594" i="2"/>
  <c r="M1595" i="2"/>
  <c r="AW1595" i="2"/>
  <c r="AX1595" i="2"/>
  <c r="AY1595" i="2"/>
  <c r="AZ1595" i="2"/>
  <c r="BB1595" i="2"/>
  <c r="BC1595" i="2"/>
  <c r="BD1595" i="2"/>
  <c r="M1596" i="2"/>
  <c r="AW1596" i="2"/>
  <c r="AX1596" i="2"/>
  <c r="AY1596" i="2"/>
  <c r="AZ1596" i="2"/>
  <c r="BB1596" i="2"/>
  <c r="BC1596" i="2"/>
  <c r="BD1596" i="2"/>
  <c r="M1597" i="2"/>
  <c r="AW1597" i="2"/>
  <c r="AX1597" i="2"/>
  <c r="AY1597" i="2"/>
  <c r="AZ1597" i="2"/>
  <c r="BB1597" i="2"/>
  <c r="BC1597" i="2"/>
  <c r="BD1597" i="2"/>
  <c r="M1598" i="2"/>
  <c r="AW1598" i="2"/>
  <c r="AX1598" i="2"/>
  <c r="AY1598" i="2"/>
  <c r="AZ1598" i="2"/>
  <c r="BB1598" i="2"/>
  <c r="BC1598" i="2"/>
  <c r="BD1598" i="2"/>
  <c r="M1599" i="2"/>
  <c r="AW1599" i="2"/>
  <c r="AX1599" i="2"/>
  <c r="AY1599" i="2"/>
  <c r="AZ1599" i="2"/>
  <c r="BB1599" i="2"/>
  <c r="BC1599" i="2"/>
  <c r="BD1599" i="2"/>
  <c r="M1600" i="2"/>
  <c r="AW1600" i="2"/>
  <c r="AX1600" i="2"/>
  <c r="AY1600" i="2"/>
  <c r="AZ1600" i="2"/>
  <c r="BB1600" i="2"/>
  <c r="BC1600" i="2"/>
  <c r="BD1600" i="2"/>
  <c r="M1601" i="2"/>
  <c r="AW1601" i="2"/>
  <c r="AX1601" i="2"/>
  <c r="AY1601" i="2"/>
  <c r="AZ1601" i="2"/>
  <c r="BB1601" i="2"/>
  <c r="BC1601" i="2"/>
  <c r="BD1601" i="2"/>
  <c r="M1602" i="2"/>
  <c r="AW1602" i="2"/>
  <c r="AX1602" i="2"/>
  <c r="AY1602" i="2"/>
  <c r="AZ1602" i="2"/>
  <c r="BB1602" i="2"/>
  <c r="BC1602" i="2"/>
  <c r="BD1602" i="2"/>
  <c r="M1603" i="2"/>
  <c r="AW1603" i="2"/>
  <c r="AX1603" i="2"/>
  <c r="AY1603" i="2"/>
  <c r="AZ1603" i="2"/>
  <c r="BB1603" i="2"/>
  <c r="BC1603" i="2"/>
  <c r="BD1603" i="2"/>
  <c r="M1604" i="2"/>
  <c r="AW1604" i="2"/>
  <c r="AX1604" i="2"/>
  <c r="AY1604" i="2"/>
  <c r="AZ1604" i="2"/>
  <c r="BB1604" i="2"/>
  <c r="BC1604" i="2"/>
  <c r="BD1604" i="2"/>
  <c r="M1605" i="2"/>
  <c r="AW1605" i="2"/>
  <c r="AX1605" i="2"/>
  <c r="AY1605" i="2"/>
  <c r="AZ1605" i="2"/>
  <c r="BB1605" i="2"/>
  <c r="BC1605" i="2"/>
  <c r="BD1605" i="2"/>
  <c r="M1606" i="2"/>
  <c r="AW1606" i="2"/>
  <c r="AX1606" i="2"/>
  <c r="AY1606" i="2"/>
  <c r="AZ1606" i="2"/>
  <c r="BB1606" i="2"/>
  <c r="BC1606" i="2"/>
  <c r="BD1606" i="2"/>
  <c r="M1607" i="2"/>
  <c r="AW1607" i="2"/>
  <c r="AX1607" i="2"/>
  <c r="AY1607" i="2"/>
  <c r="AZ1607" i="2"/>
  <c r="BB1607" i="2"/>
  <c r="BC1607" i="2"/>
  <c r="BD1607" i="2"/>
  <c r="M1608" i="2"/>
  <c r="AW1608" i="2"/>
  <c r="AX1608" i="2"/>
  <c r="AY1608" i="2"/>
  <c r="AZ1608" i="2"/>
  <c r="BB1608" i="2"/>
  <c r="BC1608" i="2"/>
  <c r="BD1608" i="2"/>
  <c r="M1609" i="2"/>
  <c r="AW1609" i="2"/>
  <c r="AX1609" i="2"/>
  <c r="AY1609" i="2"/>
  <c r="AZ1609" i="2"/>
  <c r="BB1609" i="2"/>
  <c r="BC1609" i="2"/>
  <c r="BD1609" i="2"/>
  <c r="M1610" i="2"/>
  <c r="AW1610" i="2"/>
  <c r="AX1610" i="2"/>
  <c r="AY1610" i="2"/>
  <c r="AZ1610" i="2"/>
  <c r="BB1610" i="2"/>
  <c r="BC1610" i="2"/>
  <c r="BD1610" i="2"/>
  <c r="M1611" i="2"/>
  <c r="AW1611" i="2"/>
  <c r="AX1611" i="2"/>
  <c r="AY1611" i="2"/>
  <c r="AZ1611" i="2"/>
  <c r="BB1611" i="2"/>
  <c r="BC1611" i="2"/>
  <c r="BD1611" i="2"/>
  <c r="M1612" i="2"/>
  <c r="AW1612" i="2"/>
  <c r="AX1612" i="2"/>
  <c r="AY1612" i="2"/>
  <c r="AZ1612" i="2"/>
  <c r="BB1612" i="2"/>
  <c r="BC1612" i="2"/>
  <c r="BD1612" i="2"/>
  <c r="M1613" i="2"/>
  <c r="AW1613" i="2"/>
  <c r="AX1613" i="2"/>
  <c r="AY1613" i="2"/>
  <c r="AZ1613" i="2"/>
  <c r="BB1613" i="2"/>
  <c r="BC1613" i="2"/>
  <c r="BD1613" i="2"/>
  <c r="M1614" i="2"/>
  <c r="AW1614" i="2"/>
  <c r="AX1614" i="2"/>
  <c r="AY1614" i="2"/>
  <c r="AZ1614" i="2"/>
  <c r="BB1614" i="2"/>
  <c r="BC1614" i="2"/>
  <c r="BD1614" i="2"/>
  <c r="M1615" i="2"/>
  <c r="AW1615" i="2"/>
  <c r="AX1615" i="2"/>
  <c r="AY1615" i="2"/>
  <c r="AZ1615" i="2"/>
  <c r="BB1615" i="2"/>
  <c r="BC1615" i="2"/>
  <c r="BD1615" i="2"/>
  <c r="M1616" i="2"/>
  <c r="AW1616" i="2"/>
  <c r="AX1616" i="2"/>
  <c r="AY1616" i="2"/>
  <c r="AZ1616" i="2"/>
  <c r="BB1616" i="2"/>
  <c r="BC1616" i="2"/>
  <c r="BD1616" i="2"/>
  <c r="M1617" i="2"/>
  <c r="AW1617" i="2"/>
  <c r="AX1617" i="2"/>
  <c r="AY1617" i="2"/>
  <c r="AZ1617" i="2"/>
  <c r="BB1617" i="2"/>
  <c r="BC1617" i="2"/>
  <c r="BD1617" i="2"/>
  <c r="M1618" i="2"/>
  <c r="AW1618" i="2"/>
  <c r="AX1618" i="2"/>
  <c r="AY1618" i="2"/>
  <c r="AZ1618" i="2"/>
  <c r="BB1618" i="2"/>
  <c r="BC1618" i="2"/>
  <c r="BD1618" i="2"/>
  <c r="M1619" i="2"/>
  <c r="AW1619" i="2"/>
  <c r="AX1619" i="2"/>
  <c r="AY1619" i="2"/>
  <c r="AZ1619" i="2"/>
  <c r="BB1619" i="2"/>
  <c r="BC1619" i="2"/>
  <c r="BD1619" i="2"/>
  <c r="M1620" i="2"/>
  <c r="AW1620" i="2"/>
  <c r="AX1620" i="2"/>
  <c r="AY1620" i="2"/>
  <c r="AZ1620" i="2"/>
  <c r="BB1620" i="2"/>
  <c r="BC1620" i="2"/>
  <c r="BD1620" i="2"/>
  <c r="M1621" i="2"/>
  <c r="AW1621" i="2"/>
  <c r="AX1621" i="2"/>
  <c r="AY1621" i="2"/>
  <c r="AZ1621" i="2"/>
  <c r="BB1621" i="2"/>
  <c r="BC1621" i="2"/>
  <c r="BD1621" i="2"/>
  <c r="M1622" i="2"/>
  <c r="AW1622" i="2"/>
  <c r="AX1622" i="2"/>
  <c r="AY1622" i="2"/>
  <c r="AZ1622" i="2"/>
  <c r="BB1622" i="2"/>
  <c r="BC1622" i="2"/>
  <c r="BD1622" i="2"/>
  <c r="M1623" i="2"/>
  <c r="AW1623" i="2"/>
  <c r="AX1623" i="2"/>
  <c r="AY1623" i="2"/>
  <c r="AZ1623" i="2"/>
  <c r="BB1623" i="2"/>
  <c r="BC1623" i="2"/>
  <c r="BD1623" i="2"/>
  <c r="M1624" i="2"/>
  <c r="AW1624" i="2"/>
  <c r="AX1624" i="2"/>
  <c r="AY1624" i="2"/>
  <c r="AZ1624" i="2"/>
  <c r="BB1624" i="2"/>
  <c r="BC1624" i="2"/>
  <c r="BD1624" i="2"/>
  <c r="M1625" i="2"/>
  <c r="AW1625" i="2"/>
  <c r="AX1625" i="2"/>
  <c r="AY1625" i="2"/>
  <c r="AZ1625" i="2"/>
  <c r="BB1625" i="2"/>
  <c r="BC1625" i="2"/>
  <c r="BD1625" i="2"/>
  <c r="M1626" i="2"/>
  <c r="AW1626" i="2"/>
  <c r="AX1626" i="2"/>
  <c r="AY1626" i="2"/>
  <c r="AZ1626" i="2"/>
  <c r="BB1626" i="2"/>
  <c r="BC1626" i="2"/>
  <c r="BD1626" i="2"/>
  <c r="M1627" i="2"/>
  <c r="AW1627" i="2"/>
  <c r="AX1627" i="2"/>
  <c r="AY1627" i="2"/>
  <c r="AZ1627" i="2"/>
  <c r="BB1627" i="2"/>
  <c r="BC1627" i="2"/>
  <c r="BD1627" i="2"/>
  <c r="M1628" i="2"/>
  <c r="AW1628" i="2"/>
  <c r="AX1628" i="2"/>
  <c r="AY1628" i="2"/>
  <c r="AZ1628" i="2"/>
  <c r="BB1628" i="2"/>
  <c r="BC1628" i="2"/>
  <c r="BD1628" i="2"/>
  <c r="M1629" i="2"/>
  <c r="AW1629" i="2"/>
  <c r="AX1629" i="2"/>
  <c r="AY1629" i="2"/>
  <c r="AZ1629" i="2"/>
  <c r="BB1629" i="2"/>
  <c r="BC1629" i="2"/>
  <c r="BD1629" i="2"/>
  <c r="M1630" i="2"/>
  <c r="AW1630" i="2"/>
  <c r="AX1630" i="2"/>
  <c r="AY1630" i="2"/>
  <c r="AZ1630" i="2"/>
  <c r="BB1630" i="2"/>
  <c r="BC1630" i="2"/>
  <c r="BD1630" i="2"/>
  <c r="M1631" i="2"/>
  <c r="AW1631" i="2"/>
  <c r="AX1631" i="2"/>
  <c r="AY1631" i="2"/>
  <c r="AZ1631" i="2"/>
  <c r="BB1631" i="2"/>
  <c r="BC1631" i="2"/>
  <c r="BD1631" i="2"/>
  <c r="M1632" i="2"/>
  <c r="AW1632" i="2"/>
  <c r="AX1632" i="2"/>
  <c r="AY1632" i="2"/>
  <c r="AZ1632" i="2"/>
  <c r="BB1632" i="2"/>
  <c r="BC1632" i="2"/>
  <c r="BD1632" i="2"/>
  <c r="M1633" i="2"/>
  <c r="AW1633" i="2"/>
  <c r="AX1633" i="2"/>
  <c r="AY1633" i="2"/>
  <c r="AZ1633" i="2"/>
  <c r="BB1633" i="2"/>
  <c r="BC1633" i="2"/>
  <c r="BD1633" i="2"/>
  <c r="M1634" i="2"/>
  <c r="AW1634" i="2"/>
  <c r="AX1634" i="2"/>
  <c r="AY1634" i="2"/>
  <c r="AZ1634" i="2"/>
  <c r="BB1634" i="2"/>
  <c r="BC1634" i="2"/>
  <c r="BD1634" i="2"/>
  <c r="M1635" i="2"/>
  <c r="AW1635" i="2"/>
  <c r="AX1635" i="2"/>
  <c r="AY1635" i="2"/>
  <c r="AZ1635" i="2"/>
  <c r="BB1635" i="2"/>
  <c r="BC1635" i="2"/>
  <c r="BD1635" i="2"/>
  <c r="M1636" i="2"/>
  <c r="AW1636" i="2"/>
  <c r="AX1636" i="2"/>
  <c r="AY1636" i="2"/>
  <c r="AZ1636" i="2"/>
  <c r="BB1636" i="2"/>
  <c r="BC1636" i="2"/>
  <c r="BD1636" i="2"/>
  <c r="M1637" i="2"/>
  <c r="AW1637" i="2"/>
  <c r="AX1637" i="2"/>
  <c r="AY1637" i="2"/>
  <c r="AZ1637" i="2"/>
  <c r="BB1637" i="2"/>
  <c r="BC1637" i="2"/>
  <c r="BD1637" i="2"/>
  <c r="M1638" i="2"/>
  <c r="AW1638" i="2"/>
  <c r="AX1638" i="2"/>
  <c r="AY1638" i="2"/>
  <c r="AZ1638" i="2"/>
  <c r="BB1638" i="2"/>
  <c r="BC1638" i="2"/>
  <c r="BD1638" i="2"/>
  <c r="M1639" i="2"/>
  <c r="AW1639" i="2"/>
  <c r="AX1639" i="2"/>
  <c r="AY1639" i="2"/>
  <c r="AZ1639" i="2"/>
  <c r="BB1639" i="2"/>
  <c r="BC1639" i="2"/>
  <c r="BD1639" i="2"/>
  <c r="M1640" i="2"/>
  <c r="AW1640" i="2"/>
  <c r="AX1640" i="2"/>
  <c r="AY1640" i="2"/>
  <c r="AZ1640" i="2"/>
  <c r="BB1640" i="2"/>
  <c r="BC1640" i="2"/>
  <c r="BD1640" i="2"/>
  <c r="M1641" i="2"/>
  <c r="AW1641" i="2"/>
  <c r="AX1641" i="2"/>
  <c r="AY1641" i="2"/>
  <c r="AZ1641" i="2"/>
  <c r="BB1641" i="2"/>
  <c r="BC1641" i="2"/>
  <c r="BD1641" i="2"/>
  <c r="M1642" i="2"/>
  <c r="AW1642" i="2"/>
  <c r="AX1642" i="2"/>
  <c r="AY1642" i="2"/>
  <c r="AZ1642" i="2"/>
  <c r="BB1642" i="2"/>
  <c r="BC1642" i="2"/>
  <c r="BD1642" i="2"/>
  <c r="M1643" i="2"/>
  <c r="AW1643" i="2"/>
  <c r="AX1643" i="2"/>
  <c r="AY1643" i="2"/>
  <c r="AZ1643" i="2"/>
  <c r="BB1643" i="2"/>
  <c r="BC1643" i="2"/>
  <c r="BD1643" i="2"/>
  <c r="M1644" i="2"/>
  <c r="AW1644" i="2"/>
  <c r="AX1644" i="2"/>
  <c r="AY1644" i="2"/>
  <c r="AZ1644" i="2"/>
  <c r="BB1644" i="2"/>
  <c r="BC1644" i="2"/>
  <c r="BD1644" i="2"/>
  <c r="M1645" i="2"/>
  <c r="AW1645" i="2"/>
  <c r="AX1645" i="2"/>
  <c r="AY1645" i="2"/>
  <c r="AZ1645" i="2"/>
  <c r="BB1645" i="2"/>
  <c r="BC1645" i="2"/>
  <c r="BD1645" i="2"/>
  <c r="M1646" i="2"/>
  <c r="AW1646" i="2"/>
  <c r="AX1646" i="2"/>
  <c r="AY1646" i="2"/>
  <c r="AZ1646" i="2"/>
  <c r="BB1646" i="2"/>
  <c r="BC1646" i="2"/>
  <c r="BD1646" i="2"/>
  <c r="M1647" i="2"/>
  <c r="AW1647" i="2"/>
  <c r="AX1647" i="2"/>
  <c r="AY1647" i="2"/>
  <c r="AZ1647" i="2"/>
  <c r="BB1647" i="2"/>
  <c r="BC1647" i="2"/>
  <c r="BD1647" i="2"/>
  <c r="M1648" i="2"/>
  <c r="AW1648" i="2"/>
  <c r="AX1648" i="2"/>
  <c r="AY1648" i="2"/>
  <c r="AZ1648" i="2"/>
  <c r="BB1648" i="2"/>
  <c r="BC1648" i="2"/>
  <c r="BD1648" i="2"/>
  <c r="M1649" i="2"/>
  <c r="AW1649" i="2"/>
  <c r="AX1649" i="2"/>
  <c r="AY1649" i="2"/>
  <c r="AZ1649" i="2"/>
  <c r="BB1649" i="2"/>
  <c r="BC1649" i="2"/>
  <c r="BD1649" i="2"/>
  <c r="M1650" i="2"/>
  <c r="AW1650" i="2"/>
  <c r="AX1650" i="2"/>
  <c r="AY1650" i="2"/>
  <c r="AZ1650" i="2"/>
  <c r="BB1650" i="2"/>
  <c r="BC1650" i="2"/>
  <c r="BD1650" i="2"/>
  <c r="M1651" i="2"/>
  <c r="AW1651" i="2"/>
  <c r="AX1651" i="2"/>
  <c r="AY1651" i="2"/>
  <c r="AZ1651" i="2"/>
  <c r="BB1651" i="2"/>
  <c r="BC1651" i="2"/>
  <c r="BD1651" i="2"/>
  <c r="M1652" i="2"/>
  <c r="AW1652" i="2"/>
  <c r="AX1652" i="2"/>
  <c r="AY1652" i="2"/>
  <c r="AZ1652" i="2"/>
  <c r="BB1652" i="2"/>
  <c r="BC1652" i="2"/>
  <c r="BD1652" i="2"/>
  <c r="M1653" i="2"/>
  <c r="AW1653" i="2"/>
  <c r="AX1653" i="2"/>
  <c r="AY1653" i="2"/>
  <c r="AZ1653" i="2"/>
  <c r="BB1653" i="2"/>
  <c r="BC1653" i="2"/>
  <c r="BD1653" i="2"/>
  <c r="M1654" i="2"/>
  <c r="AW1654" i="2"/>
  <c r="AX1654" i="2"/>
  <c r="AY1654" i="2"/>
  <c r="AZ1654" i="2"/>
  <c r="BB1654" i="2"/>
  <c r="BC1654" i="2"/>
  <c r="BD1654" i="2"/>
  <c r="M1655" i="2"/>
  <c r="AW1655" i="2"/>
  <c r="AX1655" i="2"/>
  <c r="AY1655" i="2"/>
  <c r="AZ1655" i="2"/>
  <c r="BB1655" i="2"/>
  <c r="BC1655" i="2"/>
  <c r="BD1655" i="2"/>
  <c r="M1656" i="2"/>
  <c r="AW1656" i="2"/>
  <c r="AX1656" i="2"/>
  <c r="AY1656" i="2"/>
  <c r="AZ1656" i="2"/>
  <c r="BB1656" i="2"/>
  <c r="BC1656" i="2"/>
  <c r="BD1656" i="2"/>
  <c r="M1657" i="2"/>
  <c r="AW1657" i="2"/>
  <c r="AX1657" i="2"/>
  <c r="AY1657" i="2"/>
  <c r="AZ1657" i="2"/>
  <c r="BB1657" i="2"/>
  <c r="BC1657" i="2"/>
  <c r="BD1657" i="2"/>
  <c r="M1658" i="2"/>
  <c r="AW1658" i="2"/>
  <c r="AX1658" i="2"/>
  <c r="AY1658" i="2"/>
  <c r="AZ1658" i="2"/>
  <c r="BB1658" i="2"/>
  <c r="BC1658" i="2"/>
  <c r="BD1658" i="2"/>
  <c r="M1659" i="2"/>
  <c r="AW1659" i="2"/>
  <c r="AX1659" i="2"/>
  <c r="AY1659" i="2"/>
  <c r="AZ1659" i="2"/>
  <c r="BB1659" i="2"/>
  <c r="BC1659" i="2"/>
  <c r="BD1659" i="2"/>
  <c r="M1660" i="2"/>
  <c r="AW1660" i="2"/>
  <c r="AX1660" i="2"/>
  <c r="AY1660" i="2"/>
  <c r="AZ1660" i="2"/>
  <c r="BB1660" i="2"/>
  <c r="BC1660" i="2"/>
  <c r="BD1660" i="2"/>
  <c r="M1661" i="2"/>
  <c r="AW1661" i="2"/>
  <c r="AX1661" i="2"/>
  <c r="AY1661" i="2"/>
  <c r="AZ1661" i="2"/>
  <c r="BB1661" i="2"/>
  <c r="BC1661" i="2"/>
  <c r="BD1661" i="2"/>
  <c r="M1662" i="2"/>
  <c r="AW1662" i="2"/>
  <c r="AX1662" i="2"/>
  <c r="AY1662" i="2"/>
  <c r="AZ1662" i="2"/>
  <c r="BB1662" i="2"/>
  <c r="BC1662" i="2"/>
  <c r="BD1662" i="2"/>
  <c r="M1663" i="2"/>
  <c r="AX1663" i="2"/>
  <c r="AZ1663" i="2"/>
  <c r="BB1663" i="2"/>
  <c r="BC1663" i="2"/>
  <c r="BD1663" i="2"/>
  <c r="M1665" i="2"/>
  <c r="AW1665" i="2"/>
  <c r="AX1665" i="2"/>
  <c r="AY1665" i="2"/>
  <c r="AZ1665" i="2"/>
  <c r="BB1665" i="2"/>
  <c r="BC1665" i="2"/>
  <c r="BD1665" i="2"/>
  <c r="M1666" i="2"/>
  <c r="AW1666" i="2"/>
  <c r="AX1666" i="2"/>
  <c r="AY1666" i="2"/>
  <c r="AZ1666" i="2"/>
  <c r="BB1666" i="2"/>
  <c r="BC1666" i="2"/>
  <c r="BD1666" i="2"/>
  <c r="M1667" i="2"/>
  <c r="AW1667" i="2"/>
  <c r="AX1667" i="2"/>
  <c r="AY1667" i="2"/>
  <c r="AZ1667" i="2"/>
  <c r="BB1667" i="2"/>
  <c r="BC1667" i="2"/>
  <c r="BD1667" i="2"/>
  <c r="M1668" i="2"/>
  <c r="AW1668" i="2"/>
  <c r="AX1668" i="2"/>
  <c r="AY1668" i="2"/>
  <c r="AZ1668" i="2"/>
  <c r="BB1668" i="2"/>
  <c r="BC1668" i="2"/>
  <c r="BD1668" i="2"/>
  <c r="M1669" i="2"/>
  <c r="AW1669" i="2"/>
  <c r="AX1669" i="2"/>
  <c r="AY1669" i="2"/>
  <c r="AZ1669" i="2"/>
  <c r="BB1669" i="2"/>
  <c r="BC1669" i="2"/>
  <c r="BD1669" i="2"/>
  <c r="M1670" i="2"/>
  <c r="AW1670" i="2"/>
  <c r="AX1670" i="2"/>
  <c r="AY1670" i="2"/>
  <c r="AZ1670" i="2"/>
  <c r="BB1670" i="2"/>
  <c r="BC1670" i="2"/>
  <c r="BD1670" i="2"/>
  <c r="M1671" i="2"/>
  <c r="AW1671" i="2"/>
  <c r="AX1671" i="2"/>
  <c r="AY1671" i="2"/>
  <c r="AZ1671" i="2"/>
  <c r="BB1671" i="2"/>
  <c r="BC1671" i="2"/>
  <c r="BD1671" i="2"/>
  <c r="M1672" i="2"/>
  <c r="AW1672" i="2"/>
  <c r="AX1672" i="2"/>
  <c r="AY1672" i="2"/>
  <c r="AZ1672" i="2"/>
  <c r="BB1672" i="2"/>
  <c r="BC1672" i="2"/>
  <c r="BD1672" i="2"/>
  <c r="M1673" i="2"/>
  <c r="AW1673" i="2"/>
  <c r="AX1673" i="2"/>
  <c r="AY1673" i="2"/>
  <c r="AZ1673" i="2"/>
  <c r="BB1673" i="2"/>
  <c r="BC1673" i="2"/>
  <c r="BD1673" i="2"/>
  <c r="M1674" i="2"/>
  <c r="AW1674" i="2"/>
  <c r="AX1674" i="2"/>
  <c r="AY1674" i="2"/>
  <c r="AZ1674" i="2"/>
  <c r="BB1674" i="2"/>
  <c r="BC1674" i="2"/>
  <c r="BD1674" i="2"/>
  <c r="M1675" i="2"/>
  <c r="AW1675" i="2"/>
  <c r="AX1675" i="2"/>
  <c r="AY1675" i="2"/>
  <c r="AZ1675" i="2"/>
  <c r="BB1675" i="2"/>
  <c r="BC1675" i="2"/>
  <c r="BD1675" i="2"/>
  <c r="M1676" i="2"/>
  <c r="AW1676" i="2"/>
  <c r="AX1676" i="2"/>
  <c r="AY1676" i="2"/>
  <c r="AZ1676" i="2"/>
  <c r="BB1676" i="2"/>
  <c r="BC1676" i="2"/>
  <c r="BD1676" i="2"/>
  <c r="M1677" i="2"/>
  <c r="AW1677" i="2"/>
  <c r="AX1677" i="2"/>
  <c r="AY1677" i="2"/>
  <c r="AZ1677" i="2"/>
  <c r="BB1677" i="2"/>
  <c r="BC1677" i="2"/>
  <c r="BD1677" i="2"/>
  <c r="M1678" i="2"/>
  <c r="AW1678" i="2"/>
  <c r="AX1678" i="2"/>
  <c r="AY1678" i="2"/>
  <c r="AZ1678" i="2"/>
  <c r="BB1678" i="2"/>
  <c r="BC1678" i="2"/>
  <c r="BD1678" i="2"/>
  <c r="M1679" i="2"/>
  <c r="AW1679" i="2"/>
  <c r="AX1679" i="2"/>
  <c r="AY1679" i="2"/>
  <c r="AZ1679" i="2"/>
  <c r="BB1679" i="2"/>
  <c r="BC1679" i="2"/>
  <c r="BD1679" i="2"/>
  <c r="M1680" i="2"/>
  <c r="AW1680" i="2"/>
  <c r="AX1680" i="2"/>
  <c r="AY1680" i="2"/>
  <c r="AZ1680" i="2"/>
  <c r="BB1680" i="2"/>
  <c r="BC1680" i="2"/>
  <c r="BD1680" i="2"/>
  <c r="M1681" i="2"/>
  <c r="AW1681" i="2"/>
  <c r="AX1681" i="2"/>
  <c r="AY1681" i="2"/>
  <c r="AZ1681" i="2"/>
  <c r="BB1681" i="2"/>
  <c r="BC1681" i="2"/>
  <c r="BD1681" i="2"/>
  <c r="M1682" i="2"/>
  <c r="AW1682" i="2"/>
  <c r="AX1682" i="2"/>
  <c r="AY1682" i="2"/>
  <c r="AZ1682" i="2"/>
  <c r="BB1682" i="2"/>
  <c r="BC1682" i="2"/>
  <c r="BD1682" i="2"/>
  <c r="M1683" i="2"/>
  <c r="AW1683" i="2"/>
  <c r="AX1683" i="2"/>
  <c r="AY1683" i="2"/>
  <c r="AZ1683" i="2"/>
  <c r="BB1683" i="2"/>
  <c r="BC1683" i="2"/>
  <c r="BD1683" i="2"/>
  <c r="M1684" i="2"/>
  <c r="AW1684" i="2"/>
  <c r="AX1684" i="2"/>
  <c r="AY1684" i="2"/>
  <c r="AZ1684" i="2"/>
  <c r="BB1684" i="2"/>
  <c r="BC1684" i="2"/>
  <c r="BD1684" i="2"/>
  <c r="M1685" i="2"/>
  <c r="AW1685" i="2"/>
  <c r="AX1685" i="2"/>
  <c r="AY1685" i="2"/>
  <c r="AZ1685" i="2"/>
  <c r="BB1685" i="2"/>
  <c r="BC1685" i="2"/>
  <c r="BD1685" i="2"/>
  <c r="M1686" i="2"/>
  <c r="AW1686" i="2"/>
  <c r="AX1686" i="2"/>
  <c r="AY1686" i="2"/>
  <c r="AZ1686" i="2"/>
  <c r="BB1686" i="2"/>
  <c r="BC1686" i="2"/>
  <c r="BD1686" i="2"/>
  <c r="M1687" i="2"/>
  <c r="AW1687" i="2"/>
  <c r="AX1687" i="2"/>
  <c r="AY1687" i="2"/>
  <c r="AZ1687" i="2"/>
  <c r="BB1687" i="2"/>
  <c r="BC1687" i="2"/>
  <c r="BD1687" i="2"/>
  <c r="M1688" i="2"/>
  <c r="AW1688" i="2"/>
  <c r="AX1688" i="2"/>
  <c r="AY1688" i="2"/>
  <c r="AZ1688" i="2"/>
  <c r="BB1688" i="2"/>
  <c r="BC1688" i="2"/>
  <c r="BD1688" i="2"/>
  <c r="M1689" i="2"/>
  <c r="AW1689" i="2"/>
  <c r="AX1689" i="2"/>
  <c r="AY1689" i="2"/>
  <c r="AZ1689" i="2"/>
  <c r="BB1689" i="2"/>
  <c r="BC1689" i="2"/>
  <c r="BD1689" i="2"/>
  <c r="M1690" i="2"/>
  <c r="AW1690" i="2"/>
  <c r="AX1690" i="2"/>
  <c r="AY1690" i="2"/>
  <c r="AZ1690" i="2"/>
  <c r="BB1690" i="2"/>
  <c r="BC1690" i="2"/>
  <c r="BD1690" i="2"/>
  <c r="M1691" i="2"/>
  <c r="AW1691" i="2"/>
  <c r="AX1691" i="2"/>
  <c r="AY1691" i="2"/>
  <c r="AZ1691" i="2"/>
  <c r="BB1691" i="2"/>
  <c r="BC1691" i="2"/>
  <c r="BD1691" i="2"/>
  <c r="M1692" i="2"/>
  <c r="AW1692" i="2"/>
  <c r="AX1692" i="2"/>
  <c r="AY1692" i="2"/>
  <c r="AZ1692" i="2"/>
  <c r="BB1692" i="2"/>
  <c r="BC1692" i="2"/>
  <c r="BD1692" i="2"/>
  <c r="M1693" i="2"/>
  <c r="AW1693" i="2"/>
  <c r="AX1693" i="2"/>
  <c r="AY1693" i="2"/>
  <c r="AZ1693" i="2"/>
  <c r="BB1693" i="2"/>
  <c r="BC1693" i="2"/>
  <c r="BD1693" i="2"/>
  <c r="M1694" i="2"/>
  <c r="AW1694" i="2"/>
  <c r="AX1694" i="2"/>
  <c r="AY1694" i="2"/>
  <c r="AZ1694" i="2"/>
  <c r="BB1694" i="2"/>
  <c r="BC1694" i="2"/>
  <c r="BD1694" i="2"/>
  <c r="M1695" i="2"/>
  <c r="AW1695" i="2"/>
  <c r="AX1695" i="2"/>
  <c r="AY1695" i="2"/>
  <c r="AZ1695" i="2"/>
  <c r="BB1695" i="2"/>
  <c r="BC1695" i="2"/>
  <c r="BD1695" i="2"/>
  <c r="M1696" i="2"/>
  <c r="AW1696" i="2"/>
  <c r="AX1696" i="2"/>
  <c r="AY1696" i="2"/>
  <c r="AZ1696" i="2"/>
  <c r="BB1696" i="2"/>
  <c r="BC1696" i="2"/>
  <c r="BD1696" i="2"/>
  <c r="M1697" i="2"/>
  <c r="AW1697" i="2"/>
  <c r="AX1697" i="2"/>
  <c r="AY1697" i="2"/>
  <c r="AZ1697" i="2"/>
  <c r="BB1697" i="2"/>
  <c r="BC1697" i="2"/>
  <c r="BD1697" i="2"/>
  <c r="M1698" i="2"/>
  <c r="AW1698" i="2"/>
  <c r="AX1698" i="2"/>
  <c r="AY1698" i="2"/>
  <c r="AZ1698" i="2"/>
  <c r="BB1698" i="2"/>
  <c r="BC1698" i="2"/>
  <c r="BD1698" i="2"/>
  <c r="M1699" i="2"/>
  <c r="AW1699" i="2"/>
  <c r="AX1699" i="2"/>
  <c r="AY1699" i="2"/>
  <c r="AZ1699" i="2"/>
  <c r="BB1699" i="2"/>
  <c r="BC1699" i="2"/>
  <c r="BD1699" i="2"/>
  <c r="M1700" i="2"/>
  <c r="AW1700" i="2"/>
  <c r="AX1700" i="2"/>
  <c r="AY1700" i="2"/>
  <c r="AZ1700" i="2"/>
  <c r="BB1700" i="2"/>
  <c r="BC1700" i="2"/>
  <c r="BD1700" i="2"/>
  <c r="M1701" i="2"/>
  <c r="AW1701" i="2"/>
  <c r="AX1701" i="2"/>
  <c r="AY1701" i="2"/>
  <c r="AZ1701" i="2"/>
  <c r="BB1701" i="2"/>
  <c r="BC1701" i="2"/>
  <c r="BD1701" i="2"/>
  <c r="M1702" i="2"/>
  <c r="AW1702" i="2"/>
  <c r="AX1702" i="2"/>
  <c r="AY1702" i="2"/>
  <c r="AZ1702" i="2"/>
  <c r="BB1702" i="2"/>
  <c r="BC1702" i="2"/>
  <c r="BD1702" i="2"/>
  <c r="M1703" i="2"/>
  <c r="AW1703" i="2"/>
  <c r="AX1703" i="2"/>
  <c r="AY1703" i="2"/>
  <c r="AZ1703" i="2"/>
  <c r="BB1703" i="2"/>
  <c r="BC1703" i="2"/>
  <c r="BD1703" i="2"/>
  <c r="M1704" i="2"/>
  <c r="AW1704" i="2"/>
  <c r="AX1704" i="2"/>
  <c r="AY1704" i="2"/>
  <c r="AZ1704" i="2"/>
  <c r="BB1704" i="2"/>
  <c r="BC1704" i="2"/>
  <c r="BD1704" i="2"/>
  <c r="M1705" i="2"/>
  <c r="AW1705" i="2"/>
  <c r="AX1705" i="2"/>
  <c r="AY1705" i="2"/>
  <c r="AZ1705" i="2"/>
  <c r="BB1705" i="2"/>
  <c r="BC1705" i="2"/>
  <c r="BD1705" i="2"/>
  <c r="M1706" i="2"/>
  <c r="AW1706" i="2"/>
  <c r="AX1706" i="2"/>
  <c r="AY1706" i="2"/>
  <c r="AZ1706" i="2"/>
  <c r="BB1706" i="2"/>
  <c r="BC1706" i="2"/>
  <c r="BD1706" i="2"/>
  <c r="M1707" i="2"/>
  <c r="AW1707" i="2"/>
  <c r="AX1707" i="2"/>
  <c r="AY1707" i="2"/>
  <c r="AZ1707" i="2"/>
  <c r="BB1707" i="2"/>
  <c r="BC1707" i="2"/>
  <c r="BD1707" i="2"/>
  <c r="M1708" i="2"/>
  <c r="AW1708" i="2"/>
  <c r="AX1708" i="2"/>
  <c r="AY1708" i="2"/>
  <c r="AZ1708" i="2"/>
  <c r="BB1708" i="2"/>
  <c r="BC1708" i="2"/>
  <c r="BD1708" i="2"/>
  <c r="M1709" i="2"/>
  <c r="AW1709" i="2"/>
  <c r="AX1709" i="2"/>
  <c r="AY1709" i="2"/>
  <c r="AZ1709" i="2"/>
  <c r="BB1709" i="2"/>
  <c r="BC1709" i="2"/>
  <c r="BD1709" i="2"/>
  <c r="M1710" i="2"/>
  <c r="AW1710" i="2"/>
  <c r="AX1710" i="2"/>
  <c r="AY1710" i="2"/>
  <c r="AZ1710" i="2"/>
  <c r="BB1710" i="2"/>
  <c r="BC1710" i="2"/>
  <c r="BD1710" i="2"/>
  <c r="M1711" i="2"/>
  <c r="AW1711" i="2"/>
  <c r="AX1711" i="2"/>
  <c r="AY1711" i="2"/>
  <c r="AZ1711" i="2"/>
  <c r="BB1711" i="2"/>
  <c r="BC1711" i="2"/>
  <c r="BD1711" i="2"/>
  <c r="M1712" i="2"/>
  <c r="AW1712" i="2"/>
  <c r="AX1712" i="2"/>
  <c r="AY1712" i="2"/>
  <c r="AZ1712" i="2"/>
  <c r="BB1712" i="2"/>
  <c r="BC1712" i="2"/>
  <c r="BD1712" i="2"/>
  <c r="M1713" i="2"/>
  <c r="AW1713" i="2"/>
  <c r="AX1713" i="2"/>
  <c r="AY1713" i="2"/>
  <c r="AZ1713" i="2"/>
  <c r="BB1713" i="2"/>
  <c r="BC1713" i="2"/>
  <c r="BD1713" i="2"/>
  <c r="M1714" i="2"/>
  <c r="AW1714" i="2"/>
  <c r="AX1714" i="2"/>
  <c r="AY1714" i="2"/>
  <c r="AZ1714" i="2"/>
  <c r="BB1714" i="2"/>
  <c r="BC1714" i="2"/>
  <c r="BD1714" i="2"/>
  <c r="M1715" i="2"/>
  <c r="AW1715" i="2"/>
  <c r="AX1715" i="2"/>
  <c r="AY1715" i="2"/>
  <c r="AZ1715" i="2"/>
  <c r="BB1715" i="2"/>
  <c r="BC1715" i="2"/>
  <c r="BD1715" i="2"/>
  <c r="M1716" i="2"/>
  <c r="AW1716" i="2"/>
  <c r="AX1716" i="2"/>
  <c r="AY1716" i="2"/>
  <c r="AZ1716" i="2"/>
  <c r="BB1716" i="2"/>
  <c r="BC1716" i="2"/>
  <c r="BD1716" i="2"/>
  <c r="M1717" i="2"/>
  <c r="AW1717" i="2"/>
  <c r="AX1717" i="2"/>
  <c r="AY1717" i="2"/>
  <c r="AZ1717" i="2"/>
  <c r="BB1717" i="2"/>
  <c r="BC1717" i="2"/>
  <c r="BD1717" i="2"/>
  <c r="M1718" i="2"/>
  <c r="AW1718" i="2"/>
  <c r="AX1718" i="2"/>
  <c r="AY1718" i="2"/>
  <c r="AZ1718" i="2"/>
  <c r="BB1718" i="2"/>
  <c r="BC1718" i="2"/>
  <c r="BD1718" i="2"/>
  <c r="M1719" i="2"/>
  <c r="AW1719" i="2"/>
  <c r="AX1719" i="2"/>
  <c r="AY1719" i="2"/>
  <c r="AZ1719" i="2"/>
  <c r="BB1719" i="2"/>
  <c r="BC1719" i="2"/>
  <c r="BD1719" i="2"/>
  <c r="M1720" i="2"/>
  <c r="AW1720" i="2"/>
  <c r="AX1720" i="2"/>
  <c r="AY1720" i="2"/>
  <c r="AZ1720" i="2"/>
  <c r="BB1720" i="2"/>
  <c r="BC1720" i="2"/>
  <c r="BD1720" i="2"/>
  <c r="M1721" i="2"/>
  <c r="AX1721" i="2"/>
  <c r="AZ1721" i="2"/>
  <c r="BB1721" i="2"/>
  <c r="BC1721" i="2"/>
  <c r="BD1721" i="2"/>
  <c r="CA1721" i="2"/>
  <c r="CE1721" i="2"/>
  <c r="M1723" i="2"/>
  <c r="AW1723" i="2"/>
  <c r="AX1723" i="2"/>
  <c r="AY1723" i="2"/>
  <c r="AZ1723" i="2"/>
  <c r="BB1723" i="2"/>
  <c r="BC1723" i="2"/>
  <c r="BD1723" i="2"/>
  <c r="M1724" i="2"/>
  <c r="AW1724" i="2"/>
  <c r="AX1724" i="2"/>
  <c r="AY1724" i="2"/>
  <c r="AZ1724" i="2"/>
  <c r="BB1724" i="2"/>
  <c r="BC1724" i="2"/>
  <c r="BD1724" i="2"/>
  <c r="M1725" i="2"/>
  <c r="AW1725" i="2"/>
  <c r="AX1725" i="2"/>
  <c r="AY1725" i="2"/>
  <c r="AZ1725" i="2"/>
  <c r="BB1725" i="2"/>
  <c r="BC1725" i="2"/>
  <c r="BD1725" i="2"/>
  <c r="M1726" i="2"/>
  <c r="AW1726" i="2"/>
  <c r="AX1726" i="2"/>
  <c r="AY1726" i="2"/>
  <c r="AZ1726" i="2"/>
  <c r="BB1726" i="2"/>
  <c r="BC1726" i="2"/>
  <c r="BD1726" i="2"/>
  <c r="M1727" i="2"/>
  <c r="AW1727" i="2"/>
  <c r="AX1727" i="2"/>
  <c r="AY1727" i="2"/>
  <c r="AZ1727" i="2"/>
  <c r="BB1727" i="2"/>
  <c r="BC1727" i="2"/>
  <c r="BD1727" i="2"/>
  <c r="M1728" i="2"/>
  <c r="AW1728" i="2"/>
  <c r="AX1728" i="2"/>
  <c r="AY1728" i="2"/>
  <c r="AZ1728" i="2"/>
  <c r="BB1728" i="2"/>
  <c r="BC1728" i="2"/>
  <c r="BD1728" i="2"/>
  <c r="M1729" i="2"/>
  <c r="AW1729" i="2"/>
  <c r="AX1729" i="2"/>
  <c r="AY1729" i="2"/>
  <c r="AZ1729" i="2"/>
  <c r="BB1729" i="2"/>
  <c r="BC1729" i="2"/>
  <c r="BD1729" i="2"/>
  <c r="M1730" i="2"/>
  <c r="AW1730" i="2"/>
  <c r="AX1730" i="2"/>
  <c r="AY1730" i="2"/>
  <c r="AZ1730" i="2"/>
  <c r="BB1730" i="2"/>
  <c r="BC1730" i="2"/>
  <c r="BD1730" i="2"/>
  <c r="M1731" i="2"/>
  <c r="AW1731" i="2"/>
  <c r="AX1731" i="2"/>
  <c r="AY1731" i="2"/>
  <c r="AZ1731" i="2"/>
  <c r="BB1731" i="2"/>
  <c r="BC1731" i="2"/>
  <c r="BD1731" i="2"/>
  <c r="M1732" i="2"/>
  <c r="AW1732" i="2"/>
  <c r="AX1732" i="2"/>
  <c r="AY1732" i="2"/>
  <c r="AZ1732" i="2"/>
  <c r="BB1732" i="2"/>
  <c r="BC1732" i="2"/>
  <c r="BD1732" i="2"/>
  <c r="M1733" i="2"/>
  <c r="AW1733" i="2"/>
  <c r="AX1733" i="2"/>
  <c r="AY1733" i="2"/>
  <c r="AZ1733" i="2"/>
  <c r="BB1733" i="2"/>
  <c r="BC1733" i="2"/>
  <c r="BD1733" i="2"/>
  <c r="M1734" i="2"/>
  <c r="AW1734" i="2"/>
  <c r="AX1734" i="2"/>
  <c r="AY1734" i="2"/>
  <c r="AZ1734" i="2"/>
  <c r="BB1734" i="2"/>
  <c r="BC1734" i="2"/>
  <c r="BD1734" i="2"/>
  <c r="M1735" i="2"/>
  <c r="AW1735" i="2"/>
  <c r="AX1735" i="2"/>
  <c r="AY1735" i="2"/>
  <c r="AZ1735" i="2"/>
  <c r="BB1735" i="2"/>
  <c r="BC1735" i="2"/>
  <c r="BD1735" i="2"/>
  <c r="M1736" i="2"/>
  <c r="AW1736" i="2"/>
  <c r="AX1736" i="2"/>
  <c r="AY1736" i="2"/>
  <c r="AZ1736" i="2"/>
  <c r="BB1736" i="2"/>
  <c r="BC1736" i="2"/>
  <c r="BD1736" i="2"/>
  <c r="M1737" i="2"/>
  <c r="AW1737" i="2"/>
  <c r="AX1737" i="2"/>
  <c r="AY1737" i="2"/>
  <c r="AZ1737" i="2"/>
  <c r="BB1737" i="2"/>
  <c r="BC1737" i="2"/>
  <c r="BD1737" i="2"/>
  <c r="M1738" i="2"/>
  <c r="AW1738" i="2"/>
  <c r="AX1738" i="2"/>
  <c r="AY1738" i="2"/>
  <c r="AZ1738" i="2"/>
  <c r="BB1738" i="2"/>
  <c r="BC1738" i="2"/>
  <c r="BD1738" i="2"/>
  <c r="M1739" i="2"/>
  <c r="AW1739" i="2"/>
  <c r="AX1739" i="2"/>
  <c r="AY1739" i="2"/>
  <c r="AZ1739" i="2"/>
  <c r="BB1739" i="2"/>
  <c r="BC1739" i="2"/>
  <c r="BD1739" i="2"/>
  <c r="M1740" i="2"/>
  <c r="AW1740" i="2"/>
  <c r="AX1740" i="2"/>
  <c r="AY1740" i="2"/>
  <c r="AZ1740" i="2"/>
  <c r="BB1740" i="2"/>
  <c r="BC1740" i="2"/>
  <c r="BD1740" i="2"/>
  <c r="M1741" i="2"/>
  <c r="AW1741" i="2"/>
  <c r="AX1741" i="2"/>
  <c r="AY1741" i="2"/>
  <c r="AZ1741" i="2"/>
  <c r="BB1741" i="2"/>
  <c r="BC1741" i="2"/>
  <c r="BD1741" i="2"/>
  <c r="M1742" i="2"/>
  <c r="AW1742" i="2"/>
  <c r="AX1742" i="2"/>
  <c r="AY1742" i="2"/>
  <c r="AZ1742" i="2"/>
  <c r="BB1742" i="2"/>
  <c r="BC1742" i="2"/>
  <c r="BD1742" i="2"/>
  <c r="M1743" i="2"/>
  <c r="AW1743" i="2"/>
  <c r="AX1743" i="2"/>
  <c r="AY1743" i="2"/>
  <c r="AZ1743" i="2"/>
  <c r="BB1743" i="2"/>
  <c r="BC1743" i="2"/>
  <c r="BD1743" i="2"/>
  <c r="M1744" i="2"/>
  <c r="AW1744" i="2"/>
  <c r="AX1744" i="2"/>
  <c r="AY1744" i="2"/>
  <c r="AZ1744" i="2"/>
  <c r="BB1744" i="2"/>
  <c r="BC1744" i="2"/>
  <c r="BD1744" i="2"/>
  <c r="M1745" i="2"/>
  <c r="AW1745" i="2"/>
  <c r="AX1745" i="2"/>
  <c r="AY1745" i="2"/>
  <c r="AZ1745" i="2"/>
  <c r="BB1745" i="2"/>
  <c r="BC1745" i="2"/>
  <c r="BD1745" i="2"/>
  <c r="M1746" i="2"/>
  <c r="AW1746" i="2"/>
  <c r="AX1746" i="2"/>
  <c r="AY1746" i="2"/>
  <c r="AZ1746" i="2"/>
  <c r="BB1746" i="2"/>
  <c r="BC1746" i="2"/>
  <c r="BD1746" i="2"/>
  <c r="M1747" i="2"/>
  <c r="AW1747" i="2"/>
  <c r="AX1747" i="2"/>
  <c r="AY1747" i="2"/>
  <c r="AZ1747" i="2"/>
  <c r="BB1747" i="2"/>
  <c r="BC1747" i="2"/>
  <c r="BD1747" i="2"/>
  <c r="M1748" i="2"/>
  <c r="AW1748" i="2"/>
  <c r="AX1748" i="2"/>
  <c r="AY1748" i="2"/>
  <c r="AZ1748" i="2"/>
  <c r="BB1748" i="2"/>
  <c r="BC1748" i="2"/>
  <c r="BD1748" i="2"/>
  <c r="M1749" i="2"/>
  <c r="AW1749" i="2"/>
  <c r="AX1749" i="2"/>
  <c r="AY1749" i="2"/>
  <c r="AZ1749" i="2"/>
  <c r="BB1749" i="2"/>
  <c r="BC1749" i="2"/>
  <c r="BD1749" i="2"/>
  <c r="M1750" i="2"/>
  <c r="AW1750" i="2"/>
  <c r="AX1750" i="2"/>
  <c r="AY1750" i="2"/>
  <c r="AZ1750" i="2"/>
  <c r="BB1750" i="2"/>
  <c r="BC1750" i="2"/>
  <c r="BD1750" i="2"/>
  <c r="M1751" i="2"/>
  <c r="AW1751" i="2"/>
  <c r="AX1751" i="2"/>
  <c r="AY1751" i="2"/>
  <c r="AZ1751" i="2"/>
  <c r="BB1751" i="2"/>
  <c r="BC1751" i="2"/>
  <c r="BD1751" i="2"/>
  <c r="M1752" i="2"/>
  <c r="AW1752" i="2"/>
  <c r="AX1752" i="2"/>
  <c r="AY1752" i="2"/>
  <c r="AZ1752" i="2"/>
  <c r="BB1752" i="2"/>
  <c r="BC1752" i="2"/>
  <c r="BD1752" i="2"/>
  <c r="M1753" i="2"/>
  <c r="AW1753" i="2"/>
  <c r="AX1753" i="2"/>
  <c r="AY1753" i="2"/>
  <c r="AZ1753" i="2"/>
  <c r="BB1753" i="2"/>
  <c r="BC1753" i="2"/>
  <c r="BD1753" i="2"/>
  <c r="M1754" i="2"/>
  <c r="AW1754" i="2"/>
  <c r="AX1754" i="2"/>
  <c r="AY1754" i="2"/>
  <c r="AZ1754" i="2"/>
  <c r="BB1754" i="2"/>
  <c r="BC1754" i="2"/>
  <c r="BD1754" i="2"/>
  <c r="M1755" i="2"/>
  <c r="AW1755" i="2"/>
  <c r="AX1755" i="2"/>
  <c r="AY1755" i="2"/>
  <c r="AZ1755" i="2"/>
  <c r="BB1755" i="2"/>
  <c r="BC1755" i="2"/>
  <c r="BD1755" i="2"/>
  <c r="M1756" i="2"/>
  <c r="AW1756" i="2"/>
  <c r="AX1756" i="2"/>
  <c r="AY1756" i="2"/>
  <c r="AZ1756" i="2"/>
  <c r="BB1756" i="2"/>
  <c r="BC1756" i="2"/>
  <c r="BD1756" i="2"/>
  <c r="M1757" i="2"/>
  <c r="AW1757" i="2"/>
  <c r="AX1757" i="2"/>
  <c r="AY1757" i="2"/>
  <c r="AZ1757" i="2"/>
  <c r="BB1757" i="2"/>
  <c r="BC1757" i="2"/>
  <c r="BD1757" i="2"/>
  <c r="M1758" i="2"/>
  <c r="AW1758" i="2"/>
  <c r="AX1758" i="2"/>
  <c r="AY1758" i="2"/>
  <c r="AZ1758" i="2"/>
  <c r="BB1758" i="2"/>
  <c r="BC1758" i="2"/>
  <c r="BD1758" i="2"/>
  <c r="M1759" i="2"/>
  <c r="AW1759" i="2"/>
  <c r="AX1759" i="2"/>
  <c r="AY1759" i="2"/>
  <c r="AZ1759" i="2"/>
  <c r="BB1759" i="2"/>
  <c r="BC1759" i="2"/>
  <c r="BD1759" i="2"/>
  <c r="M1760" i="2"/>
  <c r="AW1760" i="2"/>
  <c r="AX1760" i="2"/>
  <c r="AY1760" i="2"/>
  <c r="AZ1760" i="2"/>
  <c r="BB1760" i="2"/>
  <c r="BC1760" i="2"/>
  <c r="BD1760" i="2"/>
  <c r="M1761" i="2"/>
  <c r="AW1761" i="2"/>
  <c r="AX1761" i="2"/>
  <c r="AY1761" i="2"/>
  <c r="AZ1761" i="2"/>
  <c r="BB1761" i="2"/>
  <c r="BC1761" i="2"/>
  <c r="BD1761" i="2"/>
  <c r="M1762" i="2"/>
  <c r="AW1762" i="2"/>
  <c r="AX1762" i="2"/>
  <c r="AY1762" i="2"/>
  <c r="AZ1762" i="2"/>
  <c r="BB1762" i="2"/>
  <c r="BC1762" i="2"/>
  <c r="BD1762" i="2"/>
  <c r="M1763" i="2"/>
  <c r="AW1763" i="2"/>
  <c r="AX1763" i="2"/>
  <c r="AY1763" i="2"/>
  <c r="AZ1763" i="2"/>
  <c r="BB1763" i="2"/>
  <c r="BC1763" i="2"/>
  <c r="BD1763" i="2"/>
  <c r="M1764" i="2"/>
  <c r="AW1764" i="2"/>
  <c r="AX1764" i="2"/>
  <c r="AY1764" i="2"/>
  <c r="AZ1764" i="2"/>
  <c r="BB1764" i="2"/>
  <c r="BC1764" i="2"/>
  <c r="BD1764" i="2"/>
  <c r="M1765" i="2"/>
  <c r="AW1765" i="2"/>
  <c r="AX1765" i="2"/>
  <c r="AY1765" i="2"/>
  <c r="AZ1765" i="2"/>
  <c r="BB1765" i="2"/>
  <c r="BC1765" i="2"/>
  <c r="BD1765" i="2"/>
  <c r="M1766" i="2"/>
  <c r="AW1766" i="2"/>
  <c r="AX1766" i="2"/>
  <c r="AY1766" i="2"/>
  <c r="AZ1766" i="2"/>
  <c r="BB1766" i="2"/>
  <c r="BC1766" i="2"/>
  <c r="BD1766" i="2"/>
  <c r="M1767" i="2"/>
  <c r="AW1767" i="2"/>
  <c r="AX1767" i="2"/>
  <c r="AY1767" i="2"/>
  <c r="AZ1767" i="2"/>
  <c r="BB1767" i="2"/>
  <c r="BC1767" i="2"/>
  <c r="BD1767" i="2"/>
  <c r="M1768" i="2"/>
  <c r="AW1768" i="2"/>
  <c r="AX1768" i="2"/>
  <c r="AY1768" i="2"/>
  <c r="AZ1768" i="2"/>
  <c r="BB1768" i="2"/>
  <c r="BC1768" i="2"/>
  <c r="BD1768" i="2"/>
  <c r="M1769" i="2"/>
  <c r="AW1769" i="2"/>
  <c r="AX1769" i="2"/>
  <c r="AY1769" i="2"/>
  <c r="AZ1769" i="2"/>
  <c r="BB1769" i="2"/>
  <c r="BC1769" i="2"/>
  <c r="BD1769" i="2"/>
  <c r="M1770" i="2"/>
  <c r="AW1770" i="2"/>
  <c r="AX1770" i="2"/>
  <c r="AY1770" i="2"/>
  <c r="AZ1770" i="2"/>
  <c r="BB1770" i="2"/>
  <c r="BC1770" i="2"/>
  <c r="BD1770" i="2"/>
  <c r="M1771" i="2"/>
  <c r="AW1771" i="2"/>
  <c r="AX1771" i="2"/>
  <c r="AY1771" i="2"/>
  <c r="AZ1771" i="2"/>
  <c r="BB1771" i="2"/>
  <c r="BC1771" i="2"/>
  <c r="BD1771" i="2"/>
  <c r="M1772" i="2"/>
  <c r="AW1772" i="2"/>
  <c r="AX1772" i="2"/>
  <c r="AY1772" i="2"/>
  <c r="AZ1772" i="2"/>
  <c r="BB1772" i="2"/>
  <c r="BC1772" i="2"/>
  <c r="BD1772" i="2"/>
  <c r="M1773" i="2"/>
  <c r="AW1773" i="2"/>
  <c r="AX1773" i="2"/>
  <c r="AY1773" i="2"/>
  <c r="AZ1773" i="2"/>
  <c r="BB1773" i="2"/>
  <c r="BC1773" i="2"/>
  <c r="BD1773" i="2"/>
  <c r="M1774" i="2"/>
  <c r="AW1774" i="2"/>
  <c r="AX1774" i="2"/>
  <c r="AY1774" i="2"/>
  <c r="AZ1774" i="2"/>
  <c r="BB1774" i="2"/>
  <c r="BC1774" i="2"/>
  <c r="BD1774" i="2"/>
  <c r="M1775" i="2"/>
  <c r="AW1775" i="2"/>
  <c r="AX1775" i="2"/>
  <c r="AY1775" i="2"/>
  <c r="AZ1775" i="2"/>
  <c r="BB1775" i="2"/>
  <c r="BC1775" i="2"/>
  <c r="BD1775" i="2"/>
  <c r="M1776" i="2"/>
  <c r="AW1776" i="2"/>
  <c r="AX1776" i="2"/>
  <c r="AY1776" i="2"/>
  <c r="AZ1776" i="2"/>
  <c r="BB1776" i="2"/>
  <c r="BC1776" i="2"/>
  <c r="BD1776" i="2"/>
  <c r="M1777" i="2"/>
  <c r="AW1777" i="2"/>
  <c r="AX1777" i="2"/>
  <c r="AY1777" i="2"/>
  <c r="AZ1777" i="2"/>
  <c r="BB1777" i="2"/>
  <c r="BC1777" i="2"/>
  <c r="BD1777" i="2"/>
  <c r="M1778" i="2"/>
  <c r="AW1778" i="2"/>
  <c r="AX1778" i="2"/>
  <c r="AY1778" i="2"/>
  <c r="AZ1778" i="2"/>
  <c r="BB1778" i="2"/>
  <c r="BC1778" i="2"/>
  <c r="BD1778" i="2"/>
  <c r="M1779" i="2"/>
  <c r="AW1779" i="2"/>
  <c r="AX1779" i="2"/>
  <c r="AY1779" i="2"/>
  <c r="AZ1779" i="2"/>
  <c r="BB1779" i="2"/>
  <c r="BC1779" i="2"/>
  <c r="BD1779" i="2"/>
  <c r="M1780" i="2"/>
  <c r="AW1780" i="2"/>
  <c r="AX1780" i="2"/>
  <c r="AY1780" i="2"/>
  <c r="AZ1780" i="2"/>
  <c r="BB1780" i="2"/>
  <c r="BC1780" i="2"/>
  <c r="BD1780" i="2"/>
  <c r="M1781" i="2"/>
  <c r="AW1781" i="2"/>
  <c r="AX1781" i="2"/>
  <c r="AY1781" i="2"/>
  <c r="AZ1781" i="2"/>
  <c r="BB1781" i="2"/>
  <c r="BC1781" i="2"/>
  <c r="BD1781" i="2"/>
  <c r="M1782" i="2"/>
  <c r="AW1782" i="2"/>
  <c r="AX1782" i="2"/>
  <c r="AY1782" i="2"/>
  <c r="AZ1782" i="2"/>
  <c r="BB1782" i="2"/>
  <c r="BC1782" i="2"/>
  <c r="BD1782" i="2"/>
  <c r="M1783" i="2"/>
  <c r="AW1783" i="2"/>
  <c r="AX1783" i="2"/>
  <c r="AY1783" i="2"/>
  <c r="AZ1783" i="2"/>
  <c r="BB1783" i="2"/>
  <c r="BC1783" i="2"/>
  <c r="BD1783" i="2"/>
  <c r="M1784" i="2"/>
  <c r="AW1784" i="2"/>
  <c r="AX1784" i="2"/>
  <c r="AY1784" i="2"/>
  <c r="AZ1784" i="2"/>
  <c r="BB1784" i="2"/>
  <c r="BC1784" i="2"/>
  <c r="BD1784" i="2"/>
  <c r="M1785" i="2"/>
  <c r="AW1785" i="2"/>
  <c r="AX1785" i="2"/>
  <c r="AY1785" i="2"/>
  <c r="AZ1785" i="2"/>
  <c r="BB1785" i="2"/>
  <c r="BC1785" i="2"/>
  <c r="BD1785" i="2"/>
  <c r="M1786" i="2"/>
  <c r="AW1786" i="2"/>
  <c r="AX1786" i="2"/>
  <c r="AY1786" i="2"/>
  <c r="AZ1786" i="2"/>
  <c r="BB1786" i="2"/>
  <c r="BC1786" i="2"/>
  <c r="BD1786" i="2"/>
  <c r="M1787" i="2"/>
  <c r="AW1787" i="2"/>
  <c r="AX1787" i="2"/>
  <c r="AY1787" i="2"/>
  <c r="AZ1787" i="2"/>
  <c r="BB1787" i="2"/>
  <c r="BC1787" i="2"/>
  <c r="BD1787" i="2"/>
  <c r="M1788" i="2"/>
  <c r="AW1788" i="2"/>
  <c r="AX1788" i="2"/>
  <c r="AY1788" i="2"/>
  <c r="AZ1788" i="2"/>
  <c r="BB1788" i="2"/>
  <c r="BC1788" i="2"/>
  <c r="BD1788" i="2"/>
  <c r="M1789" i="2"/>
  <c r="AW1789" i="2"/>
  <c r="AX1789" i="2"/>
  <c r="AY1789" i="2"/>
  <c r="AZ1789" i="2"/>
  <c r="BB1789" i="2"/>
  <c r="BC1789" i="2"/>
  <c r="BD1789" i="2"/>
  <c r="M1790" i="2"/>
  <c r="AW1790" i="2"/>
  <c r="AX1790" i="2"/>
  <c r="AY1790" i="2"/>
  <c r="AZ1790" i="2"/>
  <c r="BB1790" i="2"/>
  <c r="BC1790" i="2"/>
  <c r="BD1790" i="2"/>
  <c r="M1791" i="2"/>
  <c r="AW1791" i="2"/>
  <c r="AX1791" i="2"/>
  <c r="AY1791" i="2"/>
  <c r="AZ1791" i="2"/>
  <c r="BB1791" i="2"/>
  <c r="BC1791" i="2"/>
  <c r="BD1791" i="2"/>
  <c r="M1792" i="2"/>
  <c r="AW1792" i="2"/>
  <c r="AX1792" i="2"/>
  <c r="AY1792" i="2"/>
  <c r="AZ1792" i="2"/>
  <c r="BB1792" i="2"/>
  <c r="BC1792" i="2"/>
  <c r="BD1792" i="2"/>
  <c r="M1793" i="2"/>
  <c r="AW1793" i="2"/>
  <c r="AX1793" i="2"/>
  <c r="AY1793" i="2"/>
  <c r="AZ1793" i="2"/>
  <c r="BB1793" i="2"/>
  <c r="BC1793" i="2"/>
  <c r="BD1793" i="2"/>
  <c r="M1794" i="2"/>
  <c r="AW1794" i="2"/>
  <c r="AX1794" i="2"/>
  <c r="AY1794" i="2"/>
  <c r="AZ1794" i="2"/>
  <c r="BB1794" i="2"/>
  <c r="BC1794" i="2"/>
  <c r="BD1794" i="2"/>
  <c r="M1795" i="2"/>
  <c r="AW1795" i="2"/>
  <c r="AX1795" i="2"/>
  <c r="AY1795" i="2"/>
  <c r="AZ1795" i="2"/>
  <c r="BB1795" i="2"/>
  <c r="BC1795" i="2"/>
  <c r="BD1795" i="2"/>
  <c r="M1796" i="2"/>
  <c r="AW1796" i="2"/>
  <c r="AX1796" i="2"/>
  <c r="AY1796" i="2"/>
  <c r="AZ1796" i="2"/>
  <c r="BB1796" i="2"/>
  <c r="BC1796" i="2"/>
  <c r="BD1796" i="2"/>
  <c r="M1797" i="2"/>
  <c r="AW1797" i="2"/>
  <c r="AX1797" i="2"/>
  <c r="AY1797" i="2"/>
  <c r="AZ1797" i="2"/>
  <c r="BB1797" i="2"/>
  <c r="BC1797" i="2"/>
  <c r="BD1797" i="2"/>
  <c r="M1798" i="2"/>
  <c r="AW1798" i="2"/>
  <c r="AX1798" i="2"/>
  <c r="AY1798" i="2"/>
  <c r="AZ1798" i="2"/>
  <c r="BB1798" i="2"/>
  <c r="BC1798" i="2"/>
  <c r="BD1798" i="2"/>
  <c r="M1799" i="2"/>
  <c r="AW1799" i="2"/>
  <c r="AX1799" i="2"/>
  <c r="AY1799" i="2"/>
  <c r="AZ1799" i="2"/>
  <c r="BB1799" i="2"/>
  <c r="BC1799" i="2"/>
  <c r="BD1799" i="2"/>
  <c r="M1800" i="2"/>
  <c r="AW1800" i="2"/>
  <c r="AX1800" i="2"/>
  <c r="AY1800" i="2"/>
  <c r="AZ1800" i="2"/>
  <c r="BB1800" i="2"/>
  <c r="BC1800" i="2"/>
  <c r="BD1800" i="2"/>
  <c r="M1801" i="2"/>
  <c r="AW1801" i="2"/>
  <c r="AX1801" i="2"/>
  <c r="AY1801" i="2"/>
  <c r="AZ1801" i="2"/>
  <c r="BB1801" i="2"/>
  <c r="BC1801" i="2"/>
  <c r="BD1801" i="2"/>
  <c r="M1802" i="2"/>
  <c r="AW1802" i="2"/>
  <c r="AX1802" i="2"/>
  <c r="AY1802" i="2"/>
  <c r="AZ1802" i="2"/>
  <c r="BB1802" i="2"/>
  <c r="BC1802" i="2"/>
  <c r="BD1802" i="2"/>
  <c r="M1803" i="2"/>
  <c r="AW1803" i="2"/>
  <c r="AX1803" i="2"/>
  <c r="AY1803" i="2"/>
  <c r="AZ1803" i="2"/>
  <c r="BB1803" i="2"/>
  <c r="BC1803" i="2"/>
  <c r="BD1803" i="2"/>
  <c r="M1804" i="2"/>
  <c r="AW1804" i="2"/>
  <c r="AX1804" i="2"/>
  <c r="AY1804" i="2"/>
  <c r="AZ1804" i="2"/>
  <c r="BB1804" i="2"/>
  <c r="BC1804" i="2"/>
  <c r="BD1804" i="2"/>
  <c r="M1805" i="2"/>
  <c r="AW1805" i="2"/>
  <c r="AX1805" i="2"/>
  <c r="AY1805" i="2"/>
  <c r="AZ1805" i="2"/>
  <c r="BB1805" i="2"/>
  <c r="BC1805" i="2"/>
  <c r="BD1805" i="2"/>
  <c r="M1806" i="2"/>
  <c r="AW1806" i="2"/>
  <c r="AX1806" i="2"/>
  <c r="AY1806" i="2"/>
  <c r="AZ1806" i="2"/>
  <c r="BB1806" i="2"/>
  <c r="BC1806" i="2"/>
  <c r="BD1806" i="2"/>
  <c r="M1807" i="2"/>
  <c r="AW1807" i="2"/>
  <c r="AX1807" i="2"/>
  <c r="AY1807" i="2"/>
  <c r="AZ1807" i="2"/>
  <c r="BB1807" i="2"/>
  <c r="BC1807" i="2"/>
  <c r="BD1807" i="2"/>
  <c r="M1808" i="2"/>
  <c r="AW1808" i="2"/>
  <c r="AX1808" i="2"/>
  <c r="AY1808" i="2"/>
  <c r="AZ1808" i="2"/>
  <c r="BB1808" i="2"/>
  <c r="BC1808" i="2"/>
  <c r="BD1808" i="2"/>
  <c r="M1809" i="2"/>
  <c r="AW1809" i="2"/>
  <c r="AX1809" i="2"/>
  <c r="AY1809" i="2"/>
  <c r="AZ1809" i="2"/>
  <c r="BB1809" i="2"/>
  <c r="BC1809" i="2"/>
  <c r="BD1809" i="2"/>
  <c r="M1810" i="2"/>
  <c r="AW1810" i="2"/>
  <c r="AX1810" i="2"/>
  <c r="AY1810" i="2"/>
  <c r="AZ1810" i="2"/>
  <c r="BB1810" i="2"/>
  <c r="BC1810" i="2"/>
  <c r="BD1810" i="2"/>
  <c r="M1811" i="2"/>
  <c r="AW1811" i="2"/>
  <c r="AX1811" i="2"/>
  <c r="AY1811" i="2"/>
  <c r="AZ1811" i="2"/>
  <c r="BB1811" i="2"/>
  <c r="BC1811" i="2"/>
  <c r="BD1811" i="2"/>
  <c r="M1812" i="2"/>
  <c r="AW1812" i="2"/>
  <c r="AX1812" i="2"/>
  <c r="AY1812" i="2"/>
  <c r="AZ1812" i="2"/>
  <c r="BB1812" i="2"/>
  <c r="BC1812" i="2"/>
  <c r="BD1812" i="2"/>
  <c r="M1813" i="2"/>
  <c r="AW1813" i="2"/>
  <c r="AX1813" i="2"/>
  <c r="AY1813" i="2"/>
  <c r="AZ1813" i="2"/>
  <c r="BB1813" i="2"/>
  <c r="BC1813" i="2"/>
  <c r="BD1813" i="2"/>
  <c r="M1814" i="2"/>
  <c r="AW1814" i="2"/>
  <c r="AX1814" i="2"/>
  <c r="AY1814" i="2"/>
  <c r="AZ1814" i="2"/>
  <c r="BB1814" i="2"/>
  <c r="BC1814" i="2"/>
  <c r="BD1814" i="2"/>
  <c r="M1815" i="2"/>
  <c r="AW1815" i="2"/>
  <c r="AX1815" i="2"/>
  <c r="AY1815" i="2"/>
  <c r="AZ1815" i="2"/>
  <c r="BB1815" i="2"/>
  <c r="BC1815" i="2"/>
  <c r="BD1815" i="2"/>
  <c r="M1816" i="2"/>
  <c r="AX1816" i="2"/>
  <c r="AZ1816" i="2"/>
  <c r="BB1816" i="2"/>
  <c r="BC1816" i="2"/>
  <c r="BD1816" i="2"/>
  <c r="M1818" i="2"/>
  <c r="AW1818" i="2"/>
  <c r="AX1818" i="2"/>
  <c r="AY1818" i="2"/>
  <c r="AZ1818" i="2"/>
  <c r="BB1818" i="2"/>
  <c r="BC1818" i="2"/>
  <c r="BD1818" i="2"/>
  <c r="M1819" i="2"/>
  <c r="AW1819" i="2"/>
  <c r="AX1819" i="2"/>
  <c r="AY1819" i="2"/>
  <c r="AZ1819" i="2"/>
  <c r="BB1819" i="2"/>
  <c r="BC1819" i="2"/>
  <c r="BD1819" i="2"/>
  <c r="M1820" i="2"/>
  <c r="AW1820" i="2"/>
  <c r="AX1820" i="2"/>
  <c r="AY1820" i="2"/>
  <c r="AZ1820" i="2"/>
  <c r="BB1820" i="2"/>
  <c r="BC1820" i="2"/>
  <c r="BD1820" i="2"/>
  <c r="M1821" i="2"/>
  <c r="AW1821" i="2"/>
  <c r="AX1821" i="2"/>
  <c r="AY1821" i="2"/>
  <c r="AZ1821" i="2"/>
  <c r="BB1821" i="2"/>
  <c r="BC1821" i="2"/>
  <c r="BD1821" i="2"/>
  <c r="M1822" i="2"/>
  <c r="AW1822" i="2"/>
  <c r="AX1822" i="2"/>
  <c r="AY1822" i="2"/>
  <c r="AZ1822" i="2"/>
  <c r="BB1822" i="2"/>
  <c r="BC1822" i="2"/>
  <c r="BD1822" i="2"/>
  <c r="M1823" i="2"/>
  <c r="AW1823" i="2"/>
  <c r="AX1823" i="2"/>
  <c r="AY1823" i="2"/>
  <c r="AZ1823" i="2"/>
  <c r="BB1823" i="2"/>
  <c r="BC1823" i="2"/>
  <c r="BD1823" i="2"/>
  <c r="M1824" i="2"/>
  <c r="AW1824" i="2"/>
  <c r="AX1824" i="2"/>
  <c r="AY1824" i="2"/>
  <c r="AZ1824" i="2"/>
  <c r="BB1824" i="2"/>
  <c r="BC1824" i="2"/>
  <c r="BD1824" i="2"/>
  <c r="M1825" i="2"/>
  <c r="AW1825" i="2"/>
  <c r="AX1825" i="2"/>
  <c r="AY1825" i="2"/>
  <c r="AZ1825" i="2"/>
  <c r="BB1825" i="2"/>
  <c r="BC1825" i="2"/>
  <c r="BD1825" i="2"/>
  <c r="M1826" i="2"/>
  <c r="AW1826" i="2"/>
  <c r="AX1826" i="2"/>
  <c r="AY1826" i="2"/>
  <c r="AZ1826" i="2"/>
  <c r="BB1826" i="2"/>
  <c r="BC1826" i="2"/>
  <c r="BD1826" i="2"/>
  <c r="M1827" i="2"/>
  <c r="AW1827" i="2"/>
  <c r="AX1827" i="2"/>
  <c r="AY1827" i="2"/>
  <c r="AZ1827" i="2"/>
  <c r="BB1827" i="2"/>
  <c r="BC1827" i="2"/>
  <c r="BD1827" i="2"/>
  <c r="M1828" i="2"/>
  <c r="AW1828" i="2"/>
  <c r="AX1828" i="2"/>
  <c r="AY1828" i="2"/>
  <c r="AZ1828" i="2"/>
  <c r="BB1828" i="2"/>
  <c r="BC1828" i="2"/>
  <c r="BD1828" i="2"/>
  <c r="M1829" i="2"/>
  <c r="AW1829" i="2"/>
  <c r="AX1829" i="2"/>
  <c r="AY1829" i="2"/>
  <c r="AZ1829" i="2"/>
  <c r="BB1829" i="2"/>
  <c r="BC1829" i="2"/>
  <c r="BD1829" i="2"/>
  <c r="M1830" i="2"/>
  <c r="AW1830" i="2"/>
  <c r="AX1830" i="2"/>
  <c r="AY1830" i="2"/>
  <c r="AZ1830" i="2"/>
  <c r="BB1830" i="2"/>
  <c r="BC1830" i="2"/>
  <c r="BD1830" i="2"/>
  <c r="M1831" i="2"/>
  <c r="AW1831" i="2"/>
  <c r="AX1831" i="2"/>
  <c r="AY1831" i="2"/>
  <c r="AZ1831" i="2"/>
  <c r="BB1831" i="2"/>
  <c r="BC1831" i="2"/>
  <c r="BD1831" i="2"/>
  <c r="M1832" i="2"/>
  <c r="AW1832" i="2"/>
  <c r="AX1832" i="2"/>
  <c r="AY1832" i="2"/>
  <c r="AZ1832" i="2"/>
  <c r="BB1832" i="2"/>
  <c r="BC1832" i="2"/>
  <c r="BD1832" i="2"/>
  <c r="M1833" i="2"/>
  <c r="AW1833" i="2"/>
  <c r="AX1833" i="2"/>
  <c r="AY1833" i="2"/>
  <c r="AZ1833" i="2"/>
  <c r="BB1833" i="2"/>
  <c r="BC1833" i="2"/>
  <c r="BD1833" i="2"/>
  <c r="M1834" i="2"/>
  <c r="AW1834" i="2"/>
  <c r="AX1834" i="2"/>
  <c r="AY1834" i="2"/>
  <c r="AZ1834" i="2"/>
  <c r="BB1834" i="2"/>
  <c r="BC1834" i="2"/>
  <c r="BD1834" i="2"/>
  <c r="M1835" i="2"/>
  <c r="AX1835" i="2"/>
  <c r="AZ1835" i="2"/>
  <c r="BB1835" i="2"/>
  <c r="BC1835" i="2"/>
  <c r="BD1835" i="2"/>
  <c r="M1837" i="2"/>
  <c r="AW1837" i="2"/>
  <c r="AX1837" i="2"/>
  <c r="AY1837" i="2"/>
  <c r="AZ1837" i="2"/>
  <c r="BB1837" i="2"/>
  <c r="BC1837" i="2"/>
  <c r="BD1837" i="2"/>
  <c r="M1838" i="2"/>
  <c r="AW1838" i="2"/>
  <c r="AX1838" i="2"/>
  <c r="AY1838" i="2"/>
  <c r="AZ1838" i="2"/>
  <c r="BB1838" i="2"/>
  <c r="BC1838" i="2"/>
  <c r="BD1838" i="2"/>
  <c r="M1839" i="2"/>
  <c r="AW1839" i="2"/>
  <c r="AX1839" i="2"/>
  <c r="AY1839" i="2"/>
  <c r="AZ1839" i="2"/>
  <c r="BB1839" i="2"/>
  <c r="BC1839" i="2"/>
  <c r="BD1839" i="2"/>
  <c r="M1840" i="2"/>
  <c r="AW1840" i="2"/>
  <c r="AX1840" i="2"/>
  <c r="AY1840" i="2"/>
  <c r="AZ1840" i="2"/>
  <c r="BB1840" i="2"/>
  <c r="BC1840" i="2"/>
  <c r="BD1840" i="2"/>
  <c r="M1841" i="2"/>
  <c r="AW1841" i="2"/>
  <c r="AX1841" i="2"/>
  <c r="AY1841" i="2"/>
  <c r="AZ1841" i="2"/>
  <c r="BB1841" i="2"/>
  <c r="BC1841" i="2"/>
  <c r="BD1841" i="2"/>
  <c r="M1842" i="2"/>
  <c r="AW1842" i="2"/>
  <c r="AX1842" i="2"/>
  <c r="AY1842" i="2"/>
  <c r="AZ1842" i="2"/>
  <c r="BB1842" i="2"/>
  <c r="BC1842" i="2"/>
  <c r="BD1842" i="2"/>
  <c r="M1843" i="2"/>
  <c r="AW1843" i="2"/>
  <c r="AX1843" i="2"/>
  <c r="AY1843" i="2"/>
  <c r="AZ1843" i="2"/>
  <c r="BB1843" i="2"/>
  <c r="BC1843" i="2"/>
  <c r="BD1843" i="2"/>
  <c r="M1844" i="2"/>
  <c r="AW1844" i="2"/>
  <c r="AX1844" i="2"/>
  <c r="AY1844" i="2"/>
  <c r="AZ1844" i="2"/>
  <c r="BB1844" i="2"/>
  <c r="BC1844" i="2"/>
  <c r="BD1844" i="2"/>
  <c r="M1845" i="2"/>
  <c r="AW1845" i="2"/>
  <c r="AX1845" i="2"/>
  <c r="AY1845" i="2"/>
  <c r="AZ1845" i="2"/>
  <c r="BB1845" i="2"/>
  <c r="BC1845" i="2"/>
  <c r="BD1845" i="2"/>
  <c r="M1846" i="2"/>
  <c r="AW1846" i="2"/>
  <c r="AX1846" i="2"/>
  <c r="AY1846" i="2"/>
  <c r="AZ1846" i="2"/>
  <c r="BB1846" i="2"/>
  <c r="BC1846" i="2"/>
  <c r="BD1846" i="2"/>
  <c r="M1847" i="2"/>
  <c r="AX1847" i="2"/>
  <c r="AZ1847" i="2"/>
  <c r="BB1847" i="2"/>
  <c r="BC1847" i="2"/>
  <c r="BD1847" i="2"/>
  <c r="M1849" i="2"/>
  <c r="AW1849" i="2"/>
  <c r="AX1849" i="2"/>
  <c r="AY1849" i="2"/>
  <c r="AZ1849" i="2"/>
  <c r="BB1849" i="2"/>
  <c r="BC1849" i="2"/>
  <c r="BD1849" i="2"/>
  <c r="M1850" i="2"/>
  <c r="AW1850" i="2"/>
  <c r="AX1850" i="2"/>
  <c r="AY1850" i="2"/>
  <c r="AZ1850" i="2"/>
  <c r="BB1850" i="2"/>
  <c r="BC1850" i="2"/>
  <c r="BD1850" i="2"/>
  <c r="M1851" i="2"/>
  <c r="AW1851" i="2"/>
  <c r="AX1851" i="2"/>
  <c r="AY1851" i="2"/>
  <c r="AZ1851" i="2"/>
  <c r="BB1851" i="2"/>
  <c r="BC1851" i="2"/>
  <c r="BD1851" i="2"/>
  <c r="M1852" i="2"/>
  <c r="AW1852" i="2"/>
  <c r="AX1852" i="2"/>
  <c r="AY1852" i="2"/>
  <c r="AZ1852" i="2"/>
  <c r="BB1852" i="2"/>
  <c r="BC1852" i="2"/>
  <c r="BD1852" i="2"/>
  <c r="M1853" i="2"/>
  <c r="AW1853" i="2"/>
  <c r="AX1853" i="2"/>
  <c r="AY1853" i="2"/>
  <c r="AZ1853" i="2"/>
  <c r="BB1853" i="2"/>
  <c r="BC1853" i="2"/>
  <c r="BD1853" i="2"/>
  <c r="M1854" i="2"/>
  <c r="AW1854" i="2"/>
  <c r="AX1854" i="2"/>
  <c r="AY1854" i="2"/>
  <c r="AZ1854" i="2"/>
  <c r="BB1854" i="2"/>
  <c r="BC1854" i="2"/>
  <c r="BD1854" i="2"/>
  <c r="M1855" i="2"/>
  <c r="AW1855" i="2"/>
  <c r="AX1855" i="2"/>
  <c r="AY1855" i="2"/>
  <c r="AZ1855" i="2"/>
  <c r="BB1855" i="2"/>
  <c r="BC1855" i="2"/>
  <c r="BD1855" i="2"/>
  <c r="M1856" i="2"/>
  <c r="AW1856" i="2"/>
  <c r="AX1856" i="2"/>
  <c r="AY1856" i="2"/>
  <c r="AZ1856" i="2"/>
  <c r="BB1856" i="2"/>
  <c r="BC1856" i="2"/>
  <c r="BD1856" i="2"/>
  <c r="M1857" i="2"/>
  <c r="AW1857" i="2"/>
  <c r="AX1857" i="2"/>
  <c r="AY1857" i="2"/>
  <c r="AZ1857" i="2"/>
  <c r="BB1857" i="2"/>
  <c r="BC1857" i="2"/>
  <c r="BD1857" i="2"/>
  <c r="M1858" i="2"/>
  <c r="AW1858" i="2"/>
  <c r="AX1858" i="2"/>
  <c r="AY1858" i="2"/>
  <c r="AZ1858" i="2"/>
  <c r="BB1858" i="2"/>
  <c r="BC1858" i="2"/>
  <c r="BD1858" i="2"/>
  <c r="M1859" i="2"/>
  <c r="AW1859" i="2"/>
  <c r="AX1859" i="2"/>
  <c r="AY1859" i="2"/>
  <c r="AZ1859" i="2"/>
  <c r="BB1859" i="2"/>
  <c r="BC1859" i="2"/>
  <c r="BD1859" i="2"/>
  <c r="M1860" i="2"/>
  <c r="AW1860" i="2"/>
  <c r="AX1860" i="2"/>
  <c r="AY1860" i="2"/>
  <c r="AZ1860" i="2"/>
  <c r="BB1860" i="2"/>
  <c r="BC1860" i="2"/>
  <c r="BD1860" i="2"/>
  <c r="M1861" i="2"/>
  <c r="AW1861" i="2"/>
  <c r="AX1861" i="2"/>
  <c r="AY1861" i="2"/>
  <c r="AZ1861" i="2"/>
  <c r="BB1861" i="2"/>
  <c r="BC1861" i="2"/>
  <c r="BD1861" i="2"/>
  <c r="M1862" i="2"/>
  <c r="AW1862" i="2"/>
  <c r="AX1862" i="2"/>
  <c r="AY1862" i="2"/>
  <c r="AZ1862" i="2"/>
  <c r="BB1862" i="2"/>
  <c r="BC1862" i="2"/>
  <c r="BD1862" i="2"/>
  <c r="M1863" i="2"/>
  <c r="AW1863" i="2"/>
  <c r="AX1863" i="2"/>
  <c r="AY1863" i="2"/>
  <c r="AZ1863" i="2"/>
  <c r="BB1863" i="2"/>
  <c r="BC1863" i="2"/>
  <c r="BD1863" i="2"/>
  <c r="M1864" i="2"/>
  <c r="AW1864" i="2"/>
  <c r="AX1864" i="2"/>
  <c r="AY1864" i="2"/>
  <c r="AZ1864" i="2"/>
  <c r="BB1864" i="2"/>
  <c r="BC1864" i="2"/>
  <c r="BD1864" i="2"/>
  <c r="M1865" i="2"/>
  <c r="AW1865" i="2"/>
  <c r="AX1865" i="2"/>
  <c r="AY1865" i="2"/>
  <c r="AZ1865" i="2"/>
  <c r="BB1865" i="2"/>
  <c r="BC1865" i="2"/>
  <c r="BD1865" i="2"/>
  <c r="M1866" i="2"/>
  <c r="AW1866" i="2"/>
  <c r="AX1866" i="2"/>
  <c r="AY1866" i="2"/>
  <c r="AZ1866" i="2"/>
  <c r="BB1866" i="2"/>
  <c r="BC1866" i="2"/>
  <c r="BD1866" i="2"/>
  <c r="M1867" i="2"/>
  <c r="AW1867" i="2"/>
  <c r="AX1867" i="2"/>
  <c r="AY1867" i="2"/>
  <c r="AZ1867" i="2"/>
  <c r="BB1867" i="2"/>
  <c r="BC1867" i="2"/>
  <c r="BD1867" i="2"/>
  <c r="M1868" i="2"/>
  <c r="AW1868" i="2"/>
  <c r="AX1868" i="2"/>
  <c r="AY1868" i="2"/>
  <c r="AZ1868" i="2"/>
  <c r="BB1868" i="2"/>
  <c r="BC1868" i="2"/>
  <c r="BD1868" i="2"/>
  <c r="M1869" i="2"/>
  <c r="AW1869" i="2"/>
  <c r="AX1869" i="2"/>
  <c r="AY1869" i="2"/>
  <c r="AZ1869" i="2"/>
  <c r="BB1869" i="2"/>
  <c r="BC1869" i="2"/>
  <c r="BD1869" i="2"/>
  <c r="M1870" i="2"/>
  <c r="AX1870" i="2"/>
  <c r="AZ1870" i="2"/>
  <c r="BB1870" i="2"/>
  <c r="BC1870" i="2"/>
  <c r="BD1870" i="2"/>
  <c r="M1872" i="2"/>
  <c r="AW1872" i="2"/>
  <c r="AX1872" i="2"/>
  <c r="AY1872" i="2"/>
  <c r="AZ1872" i="2"/>
  <c r="BB1872" i="2"/>
  <c r="BC1872" i="2"/>
  <c r="BD1872" i="2"/>
  <c r="M1873" i="2"/>
  <c r="AW1873" i="2"/>
  <c r="AX1873" i="2"/>
  <c r="AY1873" i="2"/>
  <c r="AZ1873" i="2"/>
  <c r="BB1873" i="2"/>
  <c r="BC1873" i="2"/>
  <c r="BD1873" i="2"/>
  <c r="M1874" i="2"/>
  <c r="AW1874" i="2"/>
  <c r="AX1874" i="2"/>
  <c r="AY1874" i="2"/>
  <c r="AZ1874" i="2"/>
  <c r="BB1874" i="2"/>
  <c r="BC1874" i="2"/>
  <c r="BD1874" i="2"/>
  <c r="M1875" i="2"/>
  <c r="AW1875" i="2"/>
  <c r="AX1875" i="2"/>
  <c r="AY1875" i="2"/>
  <c r="AZ1875" i="2"/>
  <c r="BB1875" i="2"/>
  <c r="BC1875" i="2"/>
  <c r="BD1875" i="2"/>
  <c r="M1876" i="2"/>
  <c r="AW1876" i="2"/>
  <c r="AX1876" i="2"/>
  <c r="AY1876" i="2"/>
  <c r="AZ1876" i="2"/>
  <c r="BB1876" i="2"/>
  <c r="BC1876" i="2"/>
  <c r="BD1876" i="2"/>
  <c r="M1877" i="2"/>
  <c r="AW1877" i="2"/>
  <c r="AX1877" i="2"/>
  <c r="AY1877" i="2"/>
  <c r="AZ1877" i="2"/>
  <c r="BB1877" i="2"/>
  <c r="BC1877" i="2"/>
  <c r="BD1877" i="2"/>
  <c r="M1878" i="2"/>
  <c r="AW1878" i="2"/>
  <c r="AX1878" i="2"/>
  <c r="AY1878" i="2"/>
  <c r="AZ1878" i="2"/>
  <c r="BB1878" i="2"/>
  <c r="BC1878" i="2"/>
  <c r="BD1878" i="2"/>
  <c r="M1879" i="2"/>
  <c r="AW1879" i="2"/>
  <c r="AX1879" i="2"/>
  <c r="AY1879" i="2"/>
  <c r="AZ1879" i="2"/>
  <c r="BB1879" i="2"/>
  <c r="BC1879" i="2"/>
  <c r="BD1879" i="2"/>
  <c r="M1880" i="2"/>
  <c r="AW1880" i="2"/>
  <c r="AX1880" i="2"/>
  <c r="AY1880" i="2"/>
  <c r="AZ1880" i="2"/>
  <c r="BB1880" i="2"/>
  <c r="BC1880" i="2"/>
  <c r="BD1880" i="2"/>
  <c r="M1881" i="2"/>
  <c r="AW1881" i="2"/>
  <c r="AX1881" i="2"/>
  <c r="AY1881" i="2"/>
  <c r="AZ1881" i="2"/>
  <c r="BB1881" i="2"/>
  <c r="BC1881" i="2"/>
  <c r="BD1881" i="2"/>
  <c r="M1882" i="2"/>
  <c r="AW1882" i="2"/>
  <c r="AX1882" i="2"/>
  <c r="AY1882" i="2"/>
  <c r="AZ1882" i="2"/>
  <c r="BB1882" i="2"/>
  <c r="BC1882" i="2"/>
  <c r="BD1882" i="2"/>
  <c r="M1883" i="2"/>
  <c r="AW1883" i="2"/>
  <c r="AX1883" i="2"/>
  <c r="AY1883" i="2"/>
  <c r="AZ1883" i="2"/>
  <c r="BB1883" i="2"/>
  <c r="BC1883" i="2"/>
  <c r="BD1883" i="2"/>
  <c r="M1884" i="2"/>
  <c r="AW1884" i="2"/>
  <c r="AX1884" i="2"/>
  <c r="AY1884" i="2"/>
  <c r="AZ1884" i="2"/>
  <c r="BB1884" i="2"/>
  <c r="BC1884" i="2"/>
  <c r="BD1884" i="2"/>
  <c r="M1885" i="2"/>
  <c r="AW1885" i="2"/>
  <c r="AX1885" i="2"/>
  <c r="AY1885" i="2"/>
  <c r="AZ1885" i="2"/>
  <c r="BB1885" i="2"/>
  <c r="BC1885" i="2"/>
  <c r="BD1885" i="2"/>
  <c r="M1886" i="2"/>
  <c r="AW1886" i="2"/>
  <c r="AX1886" i="2"/>
  <c r="AY1886" i="2"/>
  <c r="AZ1886" i="2"/>
  <c r="BB1886" i="2"/>
  <c r="BC1886" i="2"/>
  <c r="BD1886" i="2"/>
  <c r="M1887" i="2"/>
  <c r="AW1887" i="2"/>
  <c r="AX1887" i="2"/>
  <c r="AY1887" i="2"/>
  <c r="AZ1887" i="2"/>
  <c r="BB1887" i="2"/>
  <c r="BC1887" i="2"/>
  <c r="BD1887" i="2"/>
  <c r="M1888" i="2"/>
  <c r="AW1888" i="2"/>
  <c r="AX1888" i="2"/>
  <c r="AY1888" i="2"/>
  <c r="AZ1888" i="2"/>
  <c r="BB1888" i="2"/>
  <c r="BC1888" i="2"/>
  <c r="BD1888" i="2"/>
  <c r="M1889" i="2"/>
  <c r="AW1889" i="2"/>
  <c r="AX1889" i="2"/>
  <c r="AY1889" i="2"/>
  <c r="AZ1889" i="2"/>
  <c r="BB1889" i="2"/>
  <c r="BC1889" i="2"/>
  <c r="BD1889" i="2"/>
  <c r="M1890" i="2"/>
  <c r="AW1890" i="2"/>
  <c r="AX1890" i="2"/>
  <c r="AY1890" i="2"/>
  <c r="AZ1890" i="2"/>
  <c r="BB1890" i="2"/>
  <c r="BC1890" i="2"/>
  <c r="BD1890" i="2"/>
  <c r="M1891" i="2"/>
  <c r="AW1891" i="2"/>
  <c r="AX1891" i="2"/>
  <c r="AY1891" i="2"/>
  <c r="AZ1891" i="2"/>
  <c r="BB1891" i="2"/>
  <c r="BC1891" i="2"/>
  <c r="BD1891" i="2"/>
  <c r="M1892" i="2"/>
  <c r="AW1892" i="2"/>
  <c r="AX1892" i="2"/>
  <c r="AY1892" i="2"/>
  <c r="AZ1892" i="2"/>
  <c r="BB1892" i="2"/>
  <c r="BC1892" i="2"/>
  <c r="BD1892" i="2"/>
  <c r="M1893" i="2"/>
  <c r="AW1893" i="2"/>
  <c r="AX1893" i="2"/>
  <c r="AY1893" i="2"/>
  <c r="AZ1893" i="2"/>
  <c r="BB1893" i="2"/>
  <c r="BC1893" i="2"/>
  <c r="BD1893" i="2"/>
  <c r="M1894" i="2"/>
  <c r="AW1894" i="2"/>
  <c r="AX1894" i="2"/>
  <c r="AY1894" i="2"/>
  <c r="AZ1894" i="2"/>
  <c r="BB1894" i="2"/>
  <c r="BC1894" i="2"/>
  <c r="BD1894" i="2"/>
  <c r="M1895" i="2"/>
  <c r="AW1895" i="2"/>
  <c r="AX1895" i="2"/>
  <c r="AY1895" i="2"/>
  <c r="AZ1895" i="2"/>
  <c r="BB1895" i="2"/>
  <c r="BC1895" i="2"/>
  <c r="BD1895" i="2"/>
  <c r="M1896" i="2"/>
  <c r="AW1896" i="2"/>
  <c r="AX1896" i="2"/>
  <c r="AY1896" i="2"/>
  <c r="AZ1896" i="2"/>
  <c r="BB1896" i="2"/>
  <c r="BC1896" i="2"/>
  <c r="BD1896" i="2"/>
  <c r="M1897" i="2"/>
  <c r="AW1897" i="2"/>
  <c r="AX1897" i="2"/>
  <c r="AY1897" i="2"/>
  <c r="AZ1897" i="2"/>
  <c r="BB1897" i="2"/>
  <c r="BC1897" i="2"/>
  <c r="BD1897" i="2"/>
  <c r="M1898" i="2"/>
  <c r="AW1898" i="2"/>
  <c r="AX1898" i="2"/>
  <c r="AY1898" i="2"/>
  <c r="AZ1898" i="2"/>
  <c r="BB1898" i="2"/>
  <c r="BC1898" i="2"/>
  <c r="BD1898" i="2"/>
  <c r="M1899" i="2"/>
  <c r="AW1899" i="2"/>
  <c r="AX1899" i="2"/>
  <c r="AY1899" i="2"/>
  <c r="AZ1899" i="2"/>
  <c r="BB1899" i="2"/>
  <c r="BC1899" i="2"/>
  <c r="BD1899" i="2"/>
  <c r="M1900" i="2"/>
  <c r="AW1900" i="2"/>
  <c r="AX1900" i="2"/>
  <c r="AY1900" i="2"/>
  <c r="AZ1900" i="2"/>
  <c r="BB1900" i="2"/>
  <c r="BC1900" i="2"/>
  <c r="BD1900" i="2"/>
  <c r="M1901" i="2"/>
  <c r="AW1901" i="2"/>
  <c r="AX1901" i="2"/>
  <c r="AY1901" i="2"/>
  <c r="AZ1901" i="2"/>
  <c r="BB1901" i="2"/>
  <c r="BC1901" i="2"/>
  <c r="BD1901" i="2"/>
  <c r="M1902" i="2"/>
  <c r="AW1902" i="2"/>
  <c r="AX1902" i="2"/>
  <c r="AY1902" i="2"/>
  <c r="AZ1902" i="2"/>
  <c r="BB1902" i="2"/>
  <c r="BC1902" i="2"/>
  <c r="BD1902" i="2"/>
  <c r="M1903" i="2"/>
  <c r="AW1903" i="2"/>
  <c r="AX1903" i="2"/>
  <c r="AY1903" i="2"/>
  <c r="AZ1903" i="2"/>
  <c r="BB1903" i="2"/>
  <c r="BC1903" i="2"/>
  <c r="BD1903" i="2"/>
  <c r="M1904" i="2"/>
  <c r="AW1904" i="2"/>
  <c r="AX1904" i="2"/>
  <c r="AY1904" i="2"/>
  <c r="AZ1904" i="2"/>
  <c r="BB1904" i="2"/>
  <c r="BC1904" i="2"/>
  <c r="BD1904" i="2"/>
  <c r="M1905" i="2"/>
  <c r="AX1905" i="2"/>
  <c r="AZ1905" i="2"/>
  <c r="BB1905" i="2"/>
  <c r="BC1905" i="2"/>
  <c r="BD1905" i="2"/>
  <c r="M1907" i="2"/>
  <c r="AW1907" i="2"/>
  <c r="AX1907" i="2"/>
  <c r="AY1907" i="2"/>
  <c r="AZ1907" i="2"/>
  <c r="BB1907" i="2"/>
  <c r="BC1907" i="2"/>
  <c r="M1908" i="2"/>
  <c r="AW1908" i="2"/>
  <c r="AX1908" i="2"/>
  <c r="AY1908" i="2"/>
  <c r="AZ1908" i="2"/>
  <c r="BB1908" i="2"/>
  <c r="BC1908" i="2"/>
  <c r="M1909" i="2"/>
  <c r="AW1909" i="2"/>
  <c r="AX1909" i="2"/>
  <c r="AY1909" i="2"/>
  <c r="AZ1909" i="2"/>
  <c r="BB1909" i="2"/>
  <c r="BC1909" i="2"/>
  <c r="M1910" i="2"/>
  <c r="AW1910" i="2"/>
  <c r="AX1910" i="2"/>
  <c r="AY1910" i="2"/>
  <c r="AZ1910" i="2"/>
  <c r="BB1910" i="2"/>
  <c r="BC1910" i="2"/>
  <c r="M1911" i="2"/>
  <c r="AW1911" i="2"/>
  <c r="AX1911" i="2"/>
  <c r="AY1911" i="2"/>
  <c r="AZ1911" i="2"/>
  <c r="BB1911" i="2"/>
  <c r="BC1911" i="2"/>
  <c r="M1912" i="2"/>
  <c r="AW1912" i="2"/>
  <c r="AX1912" i="2"/>
  <c r="AY1912" i="2"/>
  <c r="AZ1912" i="2"/>
  <c r="BB1912" i="2"/>
  <c r="BC1912" i="2"/>
  <c r="M1913" i="2"/>
  <c r="AW1913" i="2"/>
  <c r="AX1913" i="2"/>
  <c r="AY1913" i="2"/>
  <c r="AZ1913" i="2"/>
  <c r="BB1913" i="2"/>
  <c r="BC1913" i="2"/>
  <c r="M1914" i="2"/>
  <c r="AW1914" i="2"/>
  <c r="AX1914" i="2"/>
  <c r="AY1914" i="2"/>
  <c r="AZ1914" i="2"/>
  <c r="BB1914" i="2"/>
  <c r="BC1914" i="2"/>
  <c r="M1915" i="2"/>
  <c r="AW1915" i="2"/>
  <c r="AX1915" i="2"/>
  <c r="AY1915" i="2"/>
  <c r="AZ1915" i="2"/>
  <c r="BB1915" i="2"/>
  <c r="BC1915" i="2"/>
  <c r="M1916" i="2"/>
  <c r="AW1916" i="2"/>
  <c r="AX1916" i="2"/>
  <c r="AY1916" i="2"/>
  <c r="AZ1916" i="2"/>
  <c r="BB1916" i="2"/>
  <c r="BC1916" i="2"/>
  <c r="M1917" i="2"/>
  <c r="AW1917" i="2"/>
  <c r="AX1917" i="2"/>
  <c r="AY1917" i="2"/>
  <c r="AZ1917" i="2"/>
  <c r="BB1917" i="2"/>
  <c r="BC1917" i="2"/>
  <c r="M1918" i="2"/>
  <c r="AW1918" i="2"/>
  <c r="AX1918" i="2"/>
  <c r="AY1918" i="2"/>
  <c r="AZ1918" i="2"/>
  <c r="BB1918" i="2"/>
  <c r="BC1918" i="2"/>
  <c r="M1919" i="2"/>
  <c r="AW1919" i="2"/>
  <c r="AX1919" i="2"/>
  <c r="AY1919" i="2"/>
  <c r="AZ1919" i="2"/>
  <c r="BB1919" i="2"/>
  <c r="BC1919" i="2"/>
  <c r="M1920" i="2"/>
  <c r="AW1920" i="2"/>
  <c r="AX1920" i="2"/>
  <c r="AY1920" i="2"/>
  <c r="AZ1920" i="2"/>
  <c r="BB1920" i="2"/>
  <c r="BC1920" i="2"/>
  <c r="M1921" i="2"/>
  <c r="AW1921" i="2"/>
  <c r="AX1921" i="2"/>
  <c r="AY1921" i="2"/>
  <c r="AZ1921" i="2"/>
  <c r="BB1921" i="2"/>
  <c r="BC1921" i="2"/>
  <c r="M1922" i="2"/>
  <c r="AW1922" i="2"/>
  <c r="AX1922" i="2"/>
  <c r="AY1922" i="2"/>
  <c r="AZ1922" i="2"/>
  <c r="BB1922" i="2"/>
  <c r="BC1922" i="2"/>
  <c r="M1923" i="2"/>
  <c r="AW1923" i="2"/>
  <c r="AX1923" i="2"/>
  <c r="AY1923" i="2"/>
  <c r="AZ1923" i="2"/>
  <c r="BB1923" i="2"/>
  <c r="BC1923" i="2"/>
  <c r="M1924" i="2"/>
  <c r="AW1924" i="2"/>
  <c r="AX1924" i="2"/>
  <c r="AY1924" i="2"/>
  <c r="AZ1924" i="2"/>
  <c r="BB1924" i="2"/>
  <c r="BC1924" i="2"/>
  <c r="M1925" i="2"/>
  <c r="AW1925" i="2"/>
  <c r="AX1925" i="2"/>
  <c r="AY1925" i="2"/>
  <c r="AZ1925" i="2"/>
  <c r="BB1925" i="2"/>
  <c r="BC1925" i="2"/>
  <c r="M1926" i="2"/>
  <c r="AW1926" i="2"/>
  <c r="AX1926" i="2"/>
  <c r="AY1926" i="2"/>
  <c r="AZ1926" i="2"/>
  <c r="BB1926" i="2"/>
  <c r="BC1926" i="2"/>
  <c r="M1927" i="2"/>
  <c r="AW1927" i="2"/>
  <c r="AX1927" i="2"/>
  <c r="AY1927" i="2"/>
  <c r="AZ1927" i="2"/>
  <c r="BB1927" i="2"/>
  <c r="BC1927" i="2"/>
  <c r="M1928" i="2"/>
  <c r="AW1928" i="2"/>
  <c r="AX1928" i="2"/>
  <c r="AY1928" i="2"/>
  <c r="AZ1928" i="2"/>
  <c r="BB1928" i="2"/>
  <c r="BC1928" i="2"/>
  <c r="M1929" i="2"/>
  <c r="AW1929" i="2"/>
  <c r="AX1929" i="2"/>
  <c r="AY1929" i="2"/>
  <c r="AZ1929" i="2"/>
  <c r="BB1929" i="2"/>
  <c r="BC1929" i="2"/>
  <c r="M1930" i="2"/>
  <c r="AW1930" i="2"/>
  <c r="AX1930" i="2"/>
  <c r="AY1930" i="2"/>
  <c r="AZ1930" i="2"/>
  <c r="BB1930" i="2"/>
  <c r="BC1930" i="2"/>
  <c r="M1931" i="2"/>
  <c r="AW1931" i="2"/>
  <c r="AX1931" i="2"/>
  <c r="AY1931" i="2"/>
  <c r="AZ1931" i="2"/>
  <c r="BB1931" i="2"/>
  <c r="BC1931" i="2"/>
  <c r="M1932" i="2"/>
  <c r="AW1932" i="2"/>
  <c r="AX1932" i="2"/>
  <c r="AY1932" i="2"/>
  <c r="AZ1932" i="2"/>
  <c r="BB1932" i="2"/>
  <c r="BC1932" i="2"/>
  <c r="M1933" i="2"/>
  <c r="AW1933" i="2"/>
  <c r="AX1933" i="2"/>
  <c r="AY1933" i="2"/>
  <c r="AZ1933" i="2"/>
  <c r="BB1933" i="2"/>
  <c r="BC1933" i="2"/>
  <c r="M1934" i="2"/>
  <c r="AW1934" i="2"/>
  <c r="AX1934" i="2"/>
  <c r="AY1934" i="2"/>
  <c r="AZ1934" i="2"/>
  <c r="BB1934" i="2"/>
  <c r="BC1934" i="2"/>
  <c r="M1935" i="2"/>
  <c r="AW1935" i="2"/>
  <c r="AX1935" i="2"/>
  <c r="AY1935" i="2"/>
  <c r="AZ1935" i="2"/>
  <c r="BB1935" i="2"/>
  <c r="BC1935" i="2"/>
  <c r="M1936" i="2"/>
  <c r="AW1936" i="2"/>
  <c r="AX1936" i="2"/>
  <c r="AY1936" i="2"/>
  <c r="AZ1936" i="2"/>
  <c r="BB1936" i="2"/>
  <c r="BC1936" i="2"/>
  <c r="M1937" i="2"/>
  <c r="AW1937" i="2"/>
  <c r="AX1937" i="2"/>
  <c r="AY1937" i="2"/>
  <c r="AZ1937" i="2"/>
  <c r="BB1937" i="2"/>
  <c r="BC1937" i="2"/>
  <c r="M1938" i="2"/>
  <c r="AW1938" i="2"/>
  <c r="AX1938" i="2"/>
  <c r="AY1938" i="2"/>
  <c r="AZ1938" i="2"/>
  <c r="BB1938" i="2"/>
  <c r="BC1938" i="2"/>
  <c r="M1939" i="2"/>
  <c r="AW1939" i="2"/>
  <c r="AX1939" i="2"/>
  <c r="AY1939" i="2"/>
  <c r="AZ1939" i="2"/>
  <c r="BB1939" i="2"/>
  <c r="BC1939" i="2"/>
  <c r="M1940" i="2"/>
  <c r="AW1940" i="2"/>
  <c r="AX1940" i="2"/>
  <c r="AY1940" i="2"/>
  <c r="AZ1940" i="2"/>
  <c r="BB1940" i="2"/>
  <c r="BC1940" i="2"/>
  <c r="M1941" i="2"/>
  <c r="AW1941" i="2"/>
  <c r="AX1941" i="2"/>
  <c r="AY1941" i="2"/>
  <c r="AZ1941" i="2"/>
  <c r="BB1941" i="2"/>
  <c r="BC1941" i="2"/>
  <c r="M1942" i="2"/>
  <c r="AW1942" i="2"/>
  <c r="AX1942" i="2"/>
  <c r="AY1942" i="2"/>
  <c r="AZ1942" i="2"/>
  <c r="BB1942" i="2"/>
  <c r="BC1942" i="2"/>
  <c r="M1943" i="2"/>
  <c r="AW1943" i="2"/>
  <c r="AX1943" i="2"/>
  <c r="AY1943" i="2"/>
  <c r="AZ1943" i="2"/>
  <c r="BB1943" i="2"/>
  <c r="BC1943" i="2"/>
  <c r="M1944" i="2"/>
  <c r="AW1944" i="2"/>
  <c r="AX1944" i="2"/>
  <c r="AY1944" i="2"/>
  <c r="AZ1944" i="2"/>
  <c r="BB1944" i="2"/>
  <c r="BC1944" i="2"/>
  <c r="M1945" i="2"/>
  <c r="AW1945" i="2"/>
  <c r="AX1945" i="2"/>
  <c r="AY1945" i="2"/>
  <c r="AZ1945" i="2"/>
  <c r="BB1945" i="2"/>
  <c r="BC1945" i="2"/>
  <c r="M1946" i="2"/>
  <c r="AW1946" i="2"/>
  <c r="AX1946" i="2"/>
  <c r="AY1946" i="2"/>
  <c r="AZ1946" i="2"/>
  <c r="BB1946" i="2"/>
  <c r="BC1946" i="2"/>
  <c r="M1947" i="2"/>
  <c r="AW1947" i="2"/>
  <c r="AX1947" i="2"/>
  <c r="AY1947" i="2"/>
  <c r="AZ1947" i="2"/>
  <c r="BB1947" i="2"/>
  <c r="BC1947" i="2"/>
  <c r="M1948" i="2"/>
  <c r="AW1948" i="2"/>
  <c r="AX1948" i="2"/>
  <c r="AY1948" i="2"/>
  <c r="AZ1948" i="2"/>
  <c r="BB1948" i="2"/>
  <c r="BC1948" i="2"/>
  <c r="M1949" i="2"/>
  <c r="AW1949" i="2"/>
  <c r="AX1949" i="2"/>
  <c r="AY1949" i="2"/>
  <c r="AZ1949" i="2"/>
  <c r="BB1949" i="2"/>
  <c r="BC1949" i="2"/>
  <c r="M1950" i="2"/>
  <c r="AW1950" i="2"/>
  <c r="AX1950" i="2"/>
  <c r="AY1950" i="2"/>
  <c r="AZ1950" i="2"/>
  <c r="BB1950" i="2"/>
  <c r="BC1950" i="2"/>
  <c r="M1951" i="2"/>
  <c r="AW1951" i="2"/>
  <c r="AX1951" i="2"/>
  <c r="AY1951" i="2"/>
  <c r="AZ1951" i="2"/>
  <c r="BB1951" i="2"/>
  <c r="BC1951" i="2"/>
  <c r="M1952" i="2"/>
  <c r="AW1952" i="2"/>
  <c r="AX1952" i="2"/>
  <c r="AY1952" i="2"/>
  <c r="AZ1952" i="2"/>
  <c r="BB1952" i="2"/>
  <c r="BC1952" i="2"/>
  <c r="M1953" i="2"/>
  <c r="AW1953" i="2"/>
  <c r="AX1953" i="2"/>
  <c r="AY1953" i="2"/>
  <c r="AZ1953" i="2"/>
  <c r="BB1953" i="2"/>
  <c r="BC1953" i="2"/>
  <c r="M1954" i="2"/>
  <c r="AW1954" i="2"/>
  <c r="AX1954" i="2"/>
  <c r="AY1954" i="2"/>
  <c r="AZ1954" i="2"/>
  <c r="BB1954" i="2"/>
  <c r="BC1954" i="2"/>
  <c r="M1955" i="2"/>
  <c r="AW1955" i="2"/>
  <c r="AX1955" i="2"/>
  <c r="AY1955" i="2"/>
  <c r="AZ1955" i="2"/>
  <c r="BB1955" i="2"/>
  <c r="BC1955" i="2"/>
  <c r="M1956" i="2"/>
  <c r="AW1956" i="2"/>
  <c r="AX1956" i="2"/>
  <c r="AY1956" i="2"/>
  <c r="AZ1956" i="2"/>
  <c r="BB1956" i="2"/>
  <c r="BC1956" i="2"/>
  <c r="M1957" i="2"/>
  <c r="AW1957" i="2"/>
  <c r="AX1957" i="2"/>
  <c r="AY1957" i="2"/>
  <c r="AZ1957" i="2"/>
  <c r="BB1957" i="2"/>
  <c r="BC1957" i="2"/>
  <c r="M1958" i="2"/>
  <c r="AW1958" i="2"/>
  <c r="AX1958" i="2"/>
  <c r="AY1958" i="2"/>
  <c r="AZ1958" i="2"/>
  <c r="BB1958" i="2"/>
  <c r="BC1958" i="2"/>
  <c r="M1959" i="2"/>
  <c r="AW1959" i="2"/>
  <c r="AX1959" i="2"/>
  <c r="AY1959" i="2"/>
  <c r="AZ1959" i="2"/>
  <c r="BB1959" i="2"/>
  <c r="BC1959" i="2"/>
  <c r="M1960" i="2"/>
  <c r="AW1960" i="2"/>
  <c r="AX1960" i="2"/>
  <c r="AY1960" i="2"/>
  <c r="AZ1960" i="2"/>
  <c r="BB1960" i="2"/>
  <c r="BC1960" i="2"/>
  <c r="M1961" i="2"/>
  <c r="AW1961" i="2"/>
  <c r="AX1961" i="2"/>
  <c r="AY1961" i="2"/>
  <c r="AZ1961" i="2"/>
  <c r="BB1961" i="2"/>
  <c r="BC1961" i="2"/>
  <c r="M1962" i="2"/>
  <c r="AW1962" i="2"/>
  <c r="AX1962" i="2"/>
  <c r="AY1962" i="2"/>
  <c r="AZ1962" i="2"/>
  <c r="BB1962" i="2"/>
  <c r="BC1962" i="2"/>
  <c r="M1963" i="2"/>
  <c r="AW1963" i="2"/>
  <c r="AX1963" i="2"/>
  <c r="AY1963" i="2"/>
  <c r="AZ1963" i="2"/>
  <c r="BB1963" i="2"/>
  <c r="BC1963" i="2"/>
  <c r="M1964" i="2"/>
  <c r="AW1964" i="2"/>
  <c r="AX1964" i="2"/>
  <c r="AY1964" i="2"/>
  <c r="AZ1964" i="2"/>
  <c r="BB1964" i="2"/>
  <c r="BC1964" i="2"/>
  <c r="M1965" i="2"/>
  <c r="AW1965" i="2"/>
  <c r="AX1965" i="2"/>
  <c r="AY1965" i="2"/>
  <c r="AZ1965" i="2"/>
  <c r="BB1965" i="2"/>
  <c r="BC1965" i="2"/>
  <c r="M1966" i="2"/>
  <c r="AW1966" i="2"/>
  <c r="AX1966" i="2"/>
  <c r="AY1966" i="2"/>
  <c r="AZ1966" i="2"/>
  <c r="BB1966" i="2"/>
  <c r="BC1966" i="2"/>
  <c r="M1967" i="2"/>
  <c r="AW1967" i="2"/>
  <c r="AX1967" i="2"/>
  <c r="AY1967" i="2"/>
  <c r="AZ1967" i="2"/>
  <c r="BB1967" i="2"/>
  <c r="BC1967" i="2"/>
  <c r="M1968" i="2"/>
  <c r="AW1968" i="2"/>
  <c r="AX1968" i="2"/>
  <c r="AY1968" i="2"/>
  <c r="AZ1968" i="2"/>
  <c r="BB1968" i="2"/>
  <c r="BC1968" i="2"/>
  <c r="M1969" i="2"/>
  <c r="AX1969" i="2"/>
  <c r="AZ1969" i="2"/>
  <c r="BB1969" i="2"/>
  <c r="BC1969" i="2"/>
  <c r="M1971" i="2"/>
  <c r="AW1971" i="2"/>
  <c r="AX1971" i="2"/>
  <c r="AY1971" i="2"/>
  <c r="AZ1971" i="2"/>
  <c r="BB1971" i="2"/>
  <c r="BC1971" i="2"/>
  <c r="BD1971" i="2"/>
  <c r="M1972" i="2"/>
  <c r="AW1972" i="2"/>
  <c r="AX1972" i="2"/>
  <c r="AY1972" i="2"/>
  <c r="AZ1972" i="2"/>
  <c r="BB1972" i="2"/>
  <c r="BC1972" i="2"/>
  <c r="BD1972" i="2"/>
  <c r="M1973" i="2"/>
  <c r="AW1973" i="2"/>
  <c r="AX1973" i="2"/>
  <c r="AY1973" i="2"/>
  <c r="AZ1973" i="2"/>
  <c r="BB1973" i="2"/>
  <c r="BC1973" i="2"/>
  <c r="BD1973" i="2"/>
  <c r="M1974" i="2"/>
  <c r="AW1974" i="2"/>
  <c r="AX1974" i="2"/>
  <c r="AY1974" i="2"/>
  <c r="AZ1974" i="2"/>
  <c r="BB1974" i="2"/>
  <c r="BC1974" i="2"/>
  <c r="BD1974" i="2"/>
  <c r="M1975" i="2"/>
  <c r="AW1975" i="2"/>
  <c r="AX1975" i="2"/>
  <c r="AY1975" i="2"/>
  <c r="AZ1975" i="2"/>
  <c r="BB1975" i="2"/>
  <c r="BC1975" i="2"/>
  <c r="BD1975" i="2"/>
  <c r="M1976" i="2"/>
  <c r="AW1976" i="2"/>
  <c r="AX1976" i="2"/>
  <c r="AY1976" i="2"/>
  <c r="AZ1976" i="2"/>
  <c r="BB1976" i="2"/>
  <c r="BC1976" i="2"/>
  <c r="BD1976" i="2"/>
  <c r="M1977" i="2"/>
  <c r="AW1977" i="2"/>
  <c r="AX1977" i="2"/>
  <c r="AY1977" i="2"/>
  <c r="AZ1977" i="2"/>
  <c r="BB1977" i="2"/>
  <c r="BC1977" i="2"/>
  <c r="BD1977" i="2"/>
  <c r="M1978" i="2"/>
  <c r="AW1978" i="2"/>
  <c r="AX1978" i="2"/>
  <c r="AY1978" i="2"/>
  <c r="AZ1978" i="2"/>
  <c r="BB1978" i="2"/>
  <c r="BC1978" i="2"/>
  <c r="BD1978" i="2"/>
  <c r="M1979" i="2"/>
  <c r="AW1979" i="2"/>
  <c r="AX1979" i="2"/>
  <c r="AY1979" i="2"/>
  <c r="AZ1979" i="2"/>
  <c r="BB1979" i="2"/>
  <c r="BC1979" i="2"/>
  <c r="BD1979" i="2"/>
  <c r="M1980" i="2"/>
  <c r="AW1980" i="2"/>
  <c r="AX1980" i="2"/>
  <c r="AY1980" i="2"/>
  <c r="AZ1980" i="2"/>
  <c r="BB1980" i="2"/>
  <c r="BC1980" i="2"/>
  <c r="BD1980" i="2"/>
  <c r="M1981" i="2"/>
  <c r="AW1981" i="2"/>
  <c r="AX1981" i="2"/>
  <c r="AY1981" i="2"/>
  <c r="AZ1981" i="2"/>
  <c r="BB1981" i="2"/>
  <c r="BC1981" i="2"/>
  <c r="BD1981" i="2"/>
  <c r="M1982" i="2"/>
  <c r="AW1982" i="2"/>
  <c r="AX1982" i="2"/>
  <c r="AY1982" i="2"/>
  <c r="AZ1982" i="2"/>
  <c r="BB1982" i="2"/>
  <c r="BC1982" i="2"/>
  <c r="BD1982" i="2"/>
  <c r="M1983" i="2"/>
  <c r="AW1983" i="2"/>
  <c r="AX1983" i="2"/>
  <c r="AY1983" i="2"/>
  <c r="AZ1983" i="2"/>
  <c r="BB1983" i="2"/>
  <c r="BC1983" i="2"/>
  <c r="BD1983" i="2"/>
  <c r="M1984" i="2"/>
  <c r="AW1984" i="2"/>
  <c r="AX1984" i="2"/>
  <c r="AY1984" i="2"/>
  <c r="AZ1984" i="2"/>
  <c r="BB1984" i="2"/>
  <c r="BC1984" i="2"/>
  <c r="BD1984" i="2"/>
  <c r="M1985" i="2"/>
  <c r="AW1985" i="2"/>
  <c r="AX1985" i="2"/>
  <c r="AY1985" i="2"/>
  <c r="AZ1985" i="2"/>
  <c r="BB1985" i="2"/>
  <c r="BC1985" i="2"/>
  <c r="BD1985" i="2"/>
  <c r="M1986" i="2"/>
  <c r="AW1986" i="2"/>
  <c r="AX1986" i="2"/>
  <c r="AY1986" i="2"/>
  <c r="AZ1986" i="2"/>
  <c r="BB1986" i="2"/>
  <c r="BC1986" i="2"/>
  <c r="BD1986" i="2"/>
  <c r="M1987" i="2"/>
  <c r="AW1987" i="2"/>
  <c r="AX1987" i="2"/>
  <c r="AY1987" i="2"/>
  <c r="AZ1987" i="2"/>
  <c r="BB1987" i="2"/>
  <c r="BC1987" i="2"/>
  <c r="BD1987" i="2"/>
  <c r="M1988" i="2"/>
  <c r="AW1988" i="2"/>
  <c r="AX1988" i="2"/>
  <c r="AY1988" i="2"/>
  <c r="AZ1988" i="2"/>
  <c r="BB1988" i="2"/>
  <c r="BC1988" i="2"/>
  <c r="BD1988" i="2"/>
  <c r="M1989" i="2"/>
  <c r="AW1989" i="2"/>
  <c r="AX1989" i="2"/>
  <c r="AY1989" i="2"/>
  <c r="AZ1989" i="2"/>
  <c r="BB1989" i="2"/>
  <c r="BC1989" i="2"/>
  <c r="BD1989" i="2"/>
  <c r="M1990" i="2"/>
  <c r="AW1990" i="2"/>
  <c r="AX1990" i="2"/>
  <c r="AY1990" i="2"/>
  <c r="AZ1990" i="2"/>
  <c r="BB1990" i="2"/>
  <c r="BC1990" i="2"/>
  <c r="BD1990" i="2"/>
  <c r="M1991" i="2"/>
  <c r="AW1991" i="2"/>
  <c r="AX1991" i="2"/>
  <c r="AY1991" i="2"/>
  <c r="AZ1991" i="2"/>
  <c r="BB1991" i="2"/>
  <c r="BC1991" i="2"/>
  <c r="BD1991" i="2"/>
  <c r="M1992" i="2"/>
  <c r="AW1992" i="2"/>
  <c r="AX1992" i="2"/>
  <c r="AY1992" i="2"/>
  <c r="AZ1992" i="2"/>
  <c r="BB1992" i="2"/>
  <c r="BC1992" i="2"/>
  <c r="BD1992" i="2"/>
  <c r="M1993" i="2"/>
  <c r="AW1993" i="2"/>
  <c r="AX1993" i="2"/>
  <c r="AY1993" i="2"/>
  <c r="AZ1993" i="2"/>
  <c r="BB1993" i="2"/>
  <c r="BC1993" i="2"/>
  <c r="BD1993" i="2"/>
  <c r="M1994" i="2"/>
  <c r="AW1994" i="2"/>
  <c r="AX1994" i="2"/>
  <c r="AY1994" i="2"/>
  <c r="AZ1994" i="2"/>
  <c r="BB1994" i="2"/>
  <c r="BC1994" i="2"/>
  <c r="BD1994" i="2"/>
  <c r="M1995" i="2"/>
  <c r="AW1995" i="2"/>
  <c r="AX1995" i="2"/>
  <c r="AY1995" i="2"/>
  <c r="AZ1995" i="2"/>
  <c r="BB1995" i="2"/>
  <c r="BC1995" i="2"/>
  <c r="BD1995" i="2"/>
  <c r="M1996" i="2"/>
  <c r="AW1996" i="2"/>
  <c r="AX1996" i="2"/>
  <c r="AY1996" i="2"/>
  <c r="AZ1996" i="2"/>
  <c r="BB1996" i="2"/>
  <c r="BC1996" i="2"/>
  <c r="BD1996" i="2"/>
  <c r="M1997" i="2"/>
  <c r="AW1997" i="2"/>
  <c r="AX1997" i="2"/>
  <c r="AY1997" i="2"/>
  <c r="AZ1997" i="2"/>
  <c r="BB1997" i="2"/>
  <c r="BC1997" i="2"/>
  <c r="BD1997" i="2"/>
  <c r="M1998" i="2"/>
  <c r="AW1998" i="2"/>
  <c r="AX1998" i="2"/>
  <c r="AY1998" i="2"/>
  <c r="AZ1998" i="2"/>
  <c r="BB1998" i="2"/>
  <c r="BC1998" i="2"/>
  <c r="BD1998" i="2"/>
  <c r="M1999" i="2"/>
  <c r="AW1999" i="2"/>
  <c r="AX1999" i="2"/>
  <c r="AY1999" i="2"/>
  <c r="AZ1999" i="2"/>
  <c r="BB1999" i="2"/>
  <c r="BC1999" i="2"/>
  <c r="BD1999" i="2"/>
  <c r="M2000" i="2"/>
  <c r="AW2000" i="2"/>
  <c r="AX2000" i="2"/>
  <c r="AY2000" i="2"/>
  <c r="AZ2000" i="2"/>
  <c r="BB2000" i="2"/>
  <c r="BC2000" i="2"/>
  <c r="BD2000" i="2"/>
  <c r="M2001" i="2"/>
  <c r="AW2001" i="2"/>
  <c r="AX2001" i="2"/>
  <c r="AY2001" i="2"/>
  <c r="AZ2001" i="2"/>
  <c r="BB2001" i="2"/>
  <c r="BC2001" i="2"/>
  <c r="BD2001" i="2"/>
  <c r="M2002" i="2"/>
  <c r="AW2002" i="2"/>
  <c r="AX2002" i="2"/>
  <c r="AY2002" i="2"/>
  <c r="AZ2002" i="2"/>
  <c r="BB2002" i="2"/>
  <c r="BC2002" i="2"/>
  <c r="BD2002" i="2"/>
  <c r="M2003" i="2"/>
  <c r="AW2003" i="2"/>
  <c r="AX2003" i="2"/>
  <c r="AY2003" i="2"/>
  <c r="AZ2003" i="2"/>
  <c r="BB2003" i="2"/>
  <c r="BC2003" i="2"/>
  <c r="BD2003" i="2"/>
  <c r="M2004" i="2"/>
  <c r="AW2004" i="2"/>
  <c r="AX2004" i="2"/>
  <c r="AY2004" i="2"/>
  <c r="AZ2004" i="2"/>
  <c r="BB2004" i="2"/>
  <c r="BC2004" i="2"/>
  <c r="BD2004" i="2"/>
  <c r="M2005" i="2"/>
  <c r="AW2005" i="2"/>
  <c r="AX2005" i="2"/>
  <c r="AY2005" i="2"/>
  <c r="AZ2005" i="2"/>
  <c r="BB2005" i="2"/>
  <c r="BC2005" i="2"/>
  <c r="BD2005" i="2"/>
  <c r="M2006" i="2"/>
  <c r="AW2006" i="2"/>
  <c r="AX2006" i="2"/>
  <c r="AY2006" i="2"/>
  <c r="AZ2006" i="2"/>
  <c r="BB2006" i="2"/>
  <c r="BC2006" i="2"/>
  <c r="BD2006" i="2"/>
  <c r="M2007" i="2"/>
  <c r="AW2007" i="2"/>
  <c r="AX2007" i="2"/>
  <c r="AY2007" i="2"/>
  <c r="AZ2007" i="2"/>
  <c r="BB2007" i="2"/>
  <c r="BC2007" i="2"/>
  <c r="BD2007" i="2"/>
  <c r="M2008" i="2"/>
  <c r="AW2008" i="2"/>
  <c r="AX2008" i="2"/>
  <c r="AY2008" i="2"/>
  <c r="AZ2008" i="2"/>
  <c r="BB2008" i="2"/>
  <c r="BC2008" i="2"/>
  <c r="BD2008" i="2"/>
  <c r="M2009" i="2"/>
  <c r="AW2009" i="2"/>
  <c r="AX2009" i="2"/>
  <c r="AY2009" i="2"/>
  <c r="AZ2009" i="2"/>
  <c r="BB2009" i="2"/>
  <c r="BC2009" i="2"/>
  <c r="BD2009" i="2"/>
  <c r="M2010" i="2"/>
  <c r="AW2010" i="2"/>
  <c r="AX2010" i="2"/>
  <c r="AY2010" i="2"/>
  <c r="AZ2010" i="2"/>
  <c r="BB2010" i="2"/>
  <c r="BC2010" i="2"/>
  <c r="BD2010" i="2"/>
  <c r="M2011" i="2"/>
  <c r="AW2011" i="2"/>
  <c r="AX2011" i="2"/>
  <c r="AY2011" i="2"/>
  <c r="AZ2011" i="2"/>
  <c r="BB2011" i="2"/>
  <c r="BC2011" i="2"/>
  <c r="BD2011" i="2"/>
  <c r="M2012" i="2"/>
  <c r="AW2012" i="2"/>
  <c r="AX2012" i="2"/>
  <c r="AY2012" i="2"/>
  <c r="AZ2012" i="2"/>
  <c r="BB2012" i="2"/>
  <c r="BC2012" i="2"/>
  <c r="BD2012" i="2"/>
  <c r="M2013" i="2"/>
  <c r="AW2013" i="2"/>
  <c r="AX2013" i="2"/>
  <c r="AY2013" i="2"/>
  <c r="AZ2013" i="2"/>
  <c r="BB2013" i="2"/>
  <c r="BC2013" i="2"/>
  <c r="BD2013" i="2"/>
  <c r="M2014" i="2"/>
  <c r="AW2014" i="2"/>
  <c r="AX2014" i="2"/>
  <c r="AY2014" i="2"/>
  <c r="AZ2014" i="2"/>
  <c r="BB2014" i="2"/>
  <c r="BC2014" i="2"/>
  <c r="BD2014" i="2"/>
  <c r="M2015" i="2"/>
  <c r="AW2015" i="2"/>
  <c r="AX2015" i="2"/>
  <c r="AY2015" i="2"/>
  <c r="AZ2015" i="2"/>
  <c r="BB2015" i="2"/>
  <c r="BC2015" i="2"/>
  <c r="BD2015" i="2"/>
  <c r="M2016" i="2"/>
  <c r="AW2016" i="2"/>
  <c r="AX2016" i="2"/>
  <c r="AY2016" i="2"/>
  <c r="AZ2016" i="2"/>
  <c r="BB2016" i="2"/>
  <c r="BC2016" i="2"/>
  <c r="BD2016" i="2"/>
  <c r="M2017" i="2"/>
  <c r="AW2017" i="2"/>
  <c r="AX2017" i="2"/>
  <c r="AY2017" i="2"/>
  <c r="AZ2017" i="2"/>
  <c r="BB2017" i="2"/>
  <c r="BC2017" i="2"/>
  <c r="BD2017" i="2"/>
  <c r="M2018" i="2"/>
  <c r="AW2018" i="2"/>
  <c r="AX2018" i="2"/>
  <c r="AY2018" i="2"/>
  <c r="AZ2018" i="2"/>
  <c r="BB2018" i="2"/>
  <c r="BC2018" i="2"/>
  <c r="BD2018" i="2"/>
  <c r="M2019" i="2"/>
  <c r="AW2019" i="2"/>
  <c r="AX2019" i="2"/>
  <c r="AY2019" i="2"/>
  <c r="AZ2019" i="2"/>
  <c r="BB2019" i="2"/>
  <c r="BC2019" i="2"/>
  <c r="BD2019" i="2"/>
  <c r="M2020" i="2"/>
  <c r="AW2020" i="2"/>
  <c r="AX2020" i="2"/>
  <c r="AY2020" i="2"/>
  <c r="AZ2020" i="2"/>
  <c r="BB2020" i="2"/>
  <c r="BC2020" i="2"/>
  <c r="BD2020" i="2"/>
  <c r="M2021" i="2"/>
  <c r="AW2021" i="2"/>
  <c r="AX2021" i="2"/>
  <c r="AY2021" i="2"/>
  <c r="AZ2021" i="2"/>
  <c r="BB2021" i="2"/>
  <c r="BC2021" i="2"/>
  <c r="BD2021" i="2"/>
  <c r="M2022" i="2"/>
  <c r="AW2022" i="2"/>
  <c r="AX2022" i="2"/>
  <c r="AY2022" i="2"/>
  <c r="AZ2022" i="2"/>
  <c r="BB2022" i="2"/>
  <c r="BC2022" i="2"/>
  <c r="BD2022" i="2"/>
  <c r="M2023" i="2"/>
  <c r="AW2023" i="2"/>
  <c r="AX2023" i="2"/>
  <c r="AY2023" i="2"/>
  <c r="AZ2023" i="2"/>
  <c r="BB2023" i="2"/>
  <c r="BC2023" i="2"/>
  <c r="BD2023" i="2"/>
  <c r="M2024" i="2"/>
  <c r="AW2024" i="2"/>
  <c r="AX2024" i="2"/>
  <c r="AY2024" i="2"/>
  <c r="AZ2024" i="2"/>
  <c r="BB2024" i="2"/>
  <c r="BC2024" i="2"/>
  <c r="BD2024" i="2"/>
  <c r="M2025" i="2"/>
  <c r="AW2025" i="2"/>
  <c r="AX2025" i="2"/>
  <c r="AY2025" i="2"/>
  <c r="AZ2025" i="2"/>
  <c r="BB2025" i="2"/>
  <c r="BC2025" i="2"/>
  <c r="BD2025" i="2"/>
  <c r="M2026" i="2"/>
  <c r="AW2026" i="2"/>
  <c r="AX2026" i="2"/>
  <c r="AY2026" i="2"/>
  <c r="AZ2026" i="2"/>
  <c r="BB2026" i="2"/>
  <c r="BC2026" i="2"/>
  <c r="BD2026" i="2"/>
  <c r="M2027" i="2"/>
  <c r="AW2027" i="2"/>
  <c r="AX2027" i="2"/>
  <c r="AY2027" i="2"/>
  <c r="AZ2027" i="2"/>
  <c r="BB2027" i="2"/>
  <c r="BC2027" i="2"/>
  <c r="BD2027" i="2"/>
  <c r="M2028" i="2"/>
  <c r="AW2028" i="2"/>
  <c r="AX2028" i="2"/>
  <c r="AY2028" i="2"/>
  <c r="AZ2028" i="2"/>
  <c r="BB2028" i="2"/>
  <c r="BC2028" i="2"/>
  <c r="BD2028" i="2"/>
  <c r="M2029" i="2"/>
  <c r="AW2029" i="2"/>
  <c r="AX2029" i="2"/>
  <c r="AY2029" i="2"/>
  <c r="AZ2029" i="2"/>
  <c r="BB2029" i="2"/>
  <c r="BC2029" i="2"/>
  <c r="BD2029" i="2"/>
  <c r="M2030" i="2"/>
  <c r="AW2030" i="2"/>
  <c r="AX2030" i="2"/>
  <c r="AY2030" i="2"/>
  <c r="AZ2030" i="2"/>
  <c r="BB2030" i="2"/>
  <c r="BC2030" i="2"/>
  <c r="BD2030" i="2"/>
  <c r="M2031" i="2"/>
  <c r="AW2031" i="2"/>
  <c r="AX2031" i="2"/>
  <c r="AY2031" i="2"/>
  <c r="AZ2031" i="2"/>
  <c r="BB2031" i="2"/>
  <c r="BC2031" i="2"/>
  <c r="BD2031" i="2"/>
  <c r="M2032" i="2"/>
  <c r="AW2032" i="2"/>
  <c r="AX2032" i="2"/>
  <c r="AY2032" i="2"/>
  <c r="AZ2032" i="2"/>
  <c r="BB2032" i="2"/>
  <c r="BC2032" i="2"/>
  <c r="BD2032" i="2"/>
  <c r="M2033" i="2"/>
  <c r="AW2033" i="2"/>
  <c r="AX2033" i="2"/>
  <c r="AY2033" i="2"/>
  <c r="AZ2033" i="2"/>
  <c r="BB2033" i="2"/>
  <c r="BC2033" i="2"/>
  <c r="BD2033" i="2"/>
  <c r="M2034" i="2"/>
  <c r="AW2034" i="2"/>
  <c r="AX2034" i="2"/>
  <c r="AY2034" i="2"/>
  <c r="AZ2034" i="2"/>
  <c r="BB2034" i="2"/>
  <c r="BC2034" i="2"/>
  <c r="BD2034" i="2"/>
  <c r="M2035" i="2"/>
  <c r="AW2035" i="2"/>
  <c r="AX2035" i="2"/>
  <c r="AY2035" i="2"/>
  <c r="AZ2035" i="2"/>
  <c r="BB2035" i="2"/>
  <c r="BC2035" i="2"/>
  <c r="BD2035" i="2"/>
  <c r="M2036" i="2"/>
  <c r="AW2036" i="2"/>
  <c r="AX2036" i="2"/>
  <c r="AY2036" i="2"/>
  <c r="AZ2036" i="2"/>
  <c r="BB2036" i="2"/>
  <c r="BC2036" i="2"/>
  <c r="BD2036" i="2"/>
  <c r="M2037" i="2"/>
  <c r="AW2037" i="2"/>
  <c r="AX2037" i="2"/>
  <c r="AY2037" i="2"/>
  <c r="AZ2037" i="2"/>
  <c r="BB2037" i="2"/>
  <c r="BC2037" i="2"/>
  <c r="BD2037" i="2"/>
  <c r="M2038" i="2"/>
  <c r="AW2038" i="2"/>
  <c r="AX2038" i="2"/>
  <c r="AY2038" i="2"/>
  <c r="AZ2038" i="2"/>
  <c r="BB2038" i="2"/>
  <c r="BC2038" i="2"/>
  <c r="BD2038" i="2"/>
  <c r="M2039" i="2"/>
  <c r="AW2039" i="2"/>
  <c r="AX2039" i="2"/>
  <c r="AY2039" i="2"/>
  <c r="AZ2039" i="2"/>
  <c r="BB2039" i="2"/>
  <c r="BC2039" i="2"/>
  <c r="BD2039" i="2"/>
  <c r="M2040" i="2"/>
  <c r="AW2040" i="2"/>
  <c r="AX2040" i="2"/>
  <c r="AY2040" i="2"/>
  <c r="AZ2040" i="2"/>
  <c r="BB2040" i="2"/>
  <c r="BC2040" i="2"/>
  <c r="BD2040" i="2"/>
  <c r="M2041" i="2"/>
  <c r="AW2041" i="2"/>
  <c r="AX2041" i="2"/>
  <c r="AY2041" i="2"/>
  <c r="AZ2041" i="2"/>
  <c r="BB2041" i="2"/>
  <c r="BC2041" i="2"/>
  <c r="BD2041" i="2"/>
  <c r="M2042" i="2"/>
  <c r="AW2042" i="2"/>
  <c r="AX2042" i="2"/>
  <c r="AY2042" i="2"/>
  <c r="AZ2042" i="2"/>
  <c r="BB2042" i="2"/>
  <c r="BC2042" i="2"/>
  <c r="BD2042" i="2"/>
  <c r="M2043" i="2"/>
  <c r="AW2043" i="2"/>
  <c r="AX2043" i="2"/>
  <c r="AY2043" i="2"/>
  <c r="AZ2043" i="2"/>
  <c r="BB2043" i="2"/>
  <c r="BC2043" i="2"/>
  <c r="BD2043" i="2"/>
  <c r="M2044" i="2"/>
  <c r="AW2044" i="2"/>
  <c r="AX2044" i="2"/>
  <c r="AY2044" i="2"/>
  <c r="AZ2044" i="2"/>
  <c r="BB2044" i="2"/>
  <c r="BC2044" i="2"/>
  <c r="BD2044" i="2"/>
  <c r="M2045" i="2"/>
  <c r="AW2045" i="2"/>
  <c r="AX2045" i="2"/>
  <c r="AY2045" i="2"/>
  <c r="AZ2045" i="2"/>
  <c r="BB2045" i="2"/>
  <c r="BC2045" i="2"/>
  <c r="BD2045" i="2"/>
  <c r="M2046" i="2"/>
  <c r="AW2046" i="2"/>
  <c r="AX2046" i="2"/>
  <c r="AY2046" i="2"/>
  <c r="AZ2046" i="2"/>
  <c r="BB2046" i="2"/>
  <c r="BC2046" i="2"/>
  <c r="BD2046" i="2"/>
  <c r="M2047" i="2"/>
  <c r="AW2047" i="2"/>
  <c r="AX2047" i="2"/>
  <c r="AY2047" i="2"/>
  <c r="AZ2047" i="2"/>
  <c r="BB2047" i="2"/>
  <c r="BC2047" i="2"/>
  <c r="BD2047" i="2"/>
  <c r="M2048" i="2"/>
  <c r="AW2048" i="2"/>
  <c r="AX2048" i="2"/>
  <c r="AY2048" i="2"/>
  <c r="AZ2048" i="2"/>
  <c r="BB2048" i="2"/>
  <c r="BC2048" i="2"/>
  <c r="BD2048" i="2"/>
  <c r="M2049" i="2"/>
  <c r="AW2049" i="2"/>
  <c r="AX2049" i="2"/>
  <c r="AY2049" i="2"/>
  <c r="AZ2049" i="2"/>
  <c r="BB2049" i="2"/>
  <c r="BC2049" i="2"/>
  <c r="BD2049" i="2"/>
  <c r="M2050" i="2"/>
  <c r="AW2050" i="2"/>
  <c r="AX2050" i="2"/>
  <c r="AY2050" i="2"/>
  <c r="AZ2050" i="2"/>
  <c r="BB2050" i="2"/>
  <c r="BC2050" i="2"/>
  <c r="BD2050" i="2"/>
  <c r="M2051" i="2"/>
  <c r="AW2051" i="2"/>
  <c r="AX2051" i="2"/>
  <c r="AY2051" i="2"/>
  <c r="AZ2051" i="2"/>
  <c r="BB2051" i="2"/>
  <c r="BC2051" i="2"/>
  <c r="BD2051" i="2"/>
  <c r="M2052" i="2"/>
  <c r="AW2052" i="2"/>
  <c r="AX2052" i="2"/>
  <c r="AY2052" i="2"/>
  <c r="AZ2052" i="2"/>
  <c r="BB2052" i="2"/>
  <c r="BC2052" i="2"/>
  <c r="BD2052" i="2"/>
  <c r="M2053" i="2"/>
  <c r="AW2053" i="2"/>
  <c r="AX2053" i="2"/>
  <c r="AY2053" i="2"/>
  <c r="AZ2053" i="2"/>
  <c r="BB2053" i="2"/>
  <c r="BC2053" i="2"/>
  <c r="BD2053" i="2"/>
  <c r="M2054" i="2"/>
  <c r="AW2054" i="2"/>
  <c r="AX2054" i="2"/>
  <c r="AY2054" i="2"/>
  <c r="AZ2054" i="2"/>
  <c r="BB2054" i="2"/>
  <c r="BC2054" i="2"/>
  <c r="BD2054" i="2"/>
  <c r="M2055" i="2"/>
  <c r="AW2055" i="2"/>
  <c r="AX2055" i="2"/>
  <c r="AY2055" i="2"/>
  <c r="AZ2055" i="2"/>
  <c r="BB2055" i="2"/>
  <c r="BC2055" i="2"/>
  <c r="BD2055" i="2"/>
  <c r="M2056" i="2"/>
  <c r="AW2056" i="2"/>
  <c r="AX2056" i="2"/>
  <c r="AY2056" i="2"/>
  <c r="AZ2056" i="2"/>
  <c r="BB2056" i="2"/>
  <c r="BC2056" i="2"/>
  <c r="BD2056" i="2"/>
  <c r="M2057" i="2"/>
  <c r="AW2057" i="2"/>
  <c r="AX2057" i="2"/>
  <c r="AY2057" i="2"/>
  <c r="AZ2057" i="2"/>
  <c r="BB2057" i="2"/>
  <c r="BC2057" i="2"/>
  <c r="BD2057" i="2"/>
  <c r="M2058" i="2"/>
  <c r="AW2058" i="2"/>
  <c r="AX2058" i="2"/>
  <c r="AY2058" i="2"/>
  <c r="AZ2058" i="2"/>
  <c r="BB2058" i="2"/>
  <c r="BC2058" i="2"/>
  <c r="BD2058" i="2"/>
  <c r="M2059" i="2"/>
  <c r="AW2059" i="2"/>
  <c r="AX2059" i="2"/>
  <c r="AY2059" i="2"/>
  <c r="AZ2059" i="2"/>
  <c r="BB2059" i="2"/>
  <c r="BC2059" i="2"/>
  <c r="BD2059" i="2"/>
  <c r="M2060" i="2"/>
  <c r="AW2060" i="2"/>
  <c r="AX2060" i="2"/>
  <c r="AY2060" i="2"/>
  <c r="AZ2060" i="2"/>
  <c r="BB2060" i="2"/>
  <c r="BC2060" i="2"/>
  <c r="BD2060" i="2"/>
  <c r="M2061" i="2"/>
  <c r="AW2061" i="2"/>
  <c r="AX2061" i="2"/>
  <c r="AY2061" i="2"/>
  <c r="AZ2061" i="2"/>
  <c r="BB2061" i="2"/>
  <c r="BC2061" i="2"/>
  <c r="BD2061" i="2"/>
  <c r="M2062" i="2"/>
  <c r="AW2062" i="2"/>
  <c r="AX2062" i="2"/>
  <c r="AY2062" i="2"/>
  <c r="AZ2062" i="2"/>
  <c r="BB2062" i="2"/>
  <c r="BC2062" i="2"/>
  <c r="BD2062" i="2"/>
  <c r="M2063" i="2"/>
  <c r="AW2063" i="2"/>
  <c r="AX2063" i="2"/>
  <c r="AY2063" i="2"/>
  <c r="AZ2063" i="2"/>
  <c r="BB2063" i="2"/>
  <c r="BC2063" i="2"/>
  <c r="BD2063" i="2"/>
  <c r="M2064" i="2"/>
  <c r="AW2064" i="2"/>
  <c r="AX2064" i="2"/>
  <c r="AY2064" i="2"/>
  <c r="AZ2064" i="2"/>
  <c r="BB2064" i="2"/>
  <c r="BC2064" i="2"/>
  <c r="BD2064" i="2"/>
  <c r="M2065" i="2"/>
  <c r="AW2065" i="2"/>
  <c r="AX2065" i="2"/>
  <c r="AY2065" i="2"/>
  <c r="AZ2065" i="2"/>
  <c r="BB2065" i="2"/>
  <c r="BC2065" i="2"/>
  <c r="BD2065" i="2"/>
  <c r="M2066" i="2"/>
  <c r="AW2066" i="2"/>
  <c r="AX2066" i="2"/>
  <c r="AY2066" i="2"/>
  <c r="AZ2066" i="2"/>
  <c r="BB2066" i="2"/>
  <c r="BC2066" i="2"/>
  <c r="BD2066" i="2"/>
  <c r="M2067" i="2"/>
  <c r="AW2067" i="2"/>
  <c r="AX2067" i="2"/>
  <c r="AY2067" i="2"/>
  <c r="AZ2067" i="2"/>
  <c r="BB2067" i="2"/>
  <c r="BC2067" i="2"/>
  <c r="BD2067" i="2"/>
  <c r="M2068" i="2"/>
  <c r="AW2068" i="2"/>
  <c r="AX2068" i="2"/>
  <c r="AY2068" i="2"/>
  <c r="AZ2068" i="2"/>
  <c r="BB2068" i="2"/>
  <c r="BC2068" i="2"/>
  <c r="BD2068" i="2"/>
  <c r="M2069" i="2"/>
  <c r="AW2069" i="2"/>
  <c r="AX2069" i="2"/>
  <c r="AY2069" i="2"/>
  <c r="AZ2069" i="2"/>
  <c r="BB2069" i="2"/>
  <c r="BC2069" i="2"/>
  <c r="BD2069" i="2"/>
  <c r="M2070" i="2"/>
  <c r="AW2070" i="2"/>
  <c r="AX2070" i="2"/>
  <c r="AY2070" i="2"/>
  <c r="AZ2070" i="2"/>
  <c r="BB2070" i="2"/>
  <c r="BC2070" i="2"/>
  <c r="BD2070" i="2"/>
  <c r="M2071" i="2"/>
  <c r="AX2071" i="2"/>
  <c r="AZ2071" i="2"/>
  <c r="BB2071" i="2"/>
  <c r="BC2071" i="2"/>
  <c r="BD2071" i="2"/>
  <c r="M2073" i="2"/>
  <c r="AW2073" i="2"/>
  <c r="AX2073" i="2"/>
  <c r="AY2073" i="2"/>
  <c r="AZ2073" i="2"/>
  <c r="BB2073" i="2"/>
  <c r="BC2073" i="2"/>
  <c r="BD2073" i="2"/>
  <c r="M2074" i="2"/>
  <c r="AW2074" i="2"/>
  <c r="AX2074" i="2"/>
  <c r="AY2074" i="2"/>
  <c r="AZ2074" i="2"/>
  <c r="BB2074" i="2"/>
  <c r="BC2074" i="2"/>
  <c r="BD2074" i="2"/>
  <c r="M2075" i="2"/>
  <c r="AW2075" i="2"/>
  <c r="AX2075" i="2"/>
  <c r="AY2075" i="2"/>
  <c r="AZ2075" i="2"/>
  <c r="BB2075" i="2"/>
  <c r="BC2075" i="2"/>
  <c r="BD2075" i="2"/>
  <c r="M2076" i="2"/>
  <c r="AW2076" i="2"/>
  <c r="AX2076" i="2"/>
  <c r="AY2076" i="2"/>
  <c r="AZ2076" i="2"/>
  <c r="BB2076" i="2"/>
  <c r="BC2076" i="2"/>
  <c r="BD2076" i="2"/>
  <c r="M2077" i="2"/>
  <c r="AW2077" i="2"/>
  <c r="AX2077" i="2"/>
  <c r="AY2077" i="2"/>
  <c r="AZ2077" i="2"/>
  <c r="BB2077" i="2"/>
  <c r="BC2077" i="2"/>
  <c r="BD2077" i="2"/>
  <c r="M2078" i="2"/>
  <c r="AW2078" i="2"/>
  <c r="AX2078" i="2"/>
  <c r="AY2078" i="2"/>
  <c r="AZ2078" i="2"/>
  <c r="BB2078" i="2"/>
  <c r="BC2078" i="2"/>
  <c r="BD2078" i="2"/>
  <c r="M2079" i="2"/>
  <c r="AW2079" i="2"/>
  <c r="AX2079" i="2"/>
  <c r="AY2079" i="2"/>
  <c r="AZ2079" i="2"/>
  <c r="BB2079" i="2"/>
  <c r="BC2079" i="2"/>
  <c r="BD2079" i="2"/>
  <c r="M2080" i="2"/>
  <c r="AW2080" i="2"/>
  <c r="AX2080" i="2"/>
  <c r="AY2080" i="2"/>
  <c r="AZ2080" i="2"/>
  <c r="BB2080" i="2"/>
  <c r="BC2080" i="2"/>
  <c r="BD2080" i="2"/>
  <c r="M2081" i="2"/>
  <c r="AW2081" i="2"/>
  <c r="AX2081" i="2"/>
  <c r="AY2081" i="2"/>
  <c r="AZ2081" i="2"/>
  <c r="BB2081" i="2"/>
  <c r="BC2081" i="2"/>
  <c r="BD2081" i="2"/>
  <c r="M2082" i="2"/>
  <c r="AW2082" i="2"/>
  <c r="AX2082" i="2"/>
  <c r="AY2082" i="2"/>
  <c r="AZ2082" i="2"/>
  <c r="BB2082" i="2"/>
  <c r="BC2082" i="2"/>
  <c r="BD2082" i="2"/>
  <c r="M2083" i="2"/>
  <c r="AW2083" i="2"/>
  <c r="AX2083" i="2"/>
  <c r="AY2083" i="2"/>
  <c r="AZ2083" i="2"/>
  <c r="BB2083" i="2"/>
  <c r="BC2083" i="2"/>
  <c r="BD2083" i="2"/>
  <c r="M2084" i="2"/>
  <c r="AW2084" i="2"/>
  <c r="AX2084" i="2"/>
  <c r="AY2084" i="2"/>
  <c r="AZ2084" i="2"/>
  <c r="BB2084" i="2"/>
  <c r="BC2084" i="2"/>
  <c r="BD2084" i="2"/>
  <c r="M2085" i="2"/>
  <c r="AW2085" i="2"/>
  <c r="AX2085" i="2"/>
  <c r="AY2085" i="2"/>
  <c r="AZ2085" i="2"/>
  <c r="BB2085" i="2"/>
  <c r="BC2085" i="2"/>
  <c r="BD2085" i="2"/>
  <c r="M2086" i="2"/>
  <c r="AW2086" i="2"/>
  <c r="AX2086" i="2"/>
  <c r="AY2086" i="2"/>
  <c r="AZ2086" i="2"/>
  <c r="BB2086" i="2"/>
  <c r="BC2086" i="2"/>
  <c r="BD2086" i="2"/>
  <c r="M2087" i="2"/>
  <c r="AW2087" i="2"/>
  <c r="AX2087" i="2"/>
  <c r="AY2087" i="2"/>
  <c r="AZ2087" i="2"/>
  <c r="BB2087" i="2"/>
  <c r="BC2087" i="2"/>
  <c r="BD2087" i="2"/>
  <c r="M2088" i="2"/>
  <c r="AW2088" i="2"/>
  <c r="AX2088" i="2"/>
  <c r="AY2088" i="2"/>
  <c r="AZ2088" i="2"/>
  <c r="BB2088" i="2"/>
  <c r="BC2088" i="2"/>
  <c r="BD2088" i="2"/>
  <c r="M2089" i="2"/>
  <c r="AW2089" i="2"/>
  <c r="AX2089" i="2"/>
  <c r="AY2089" i="2"/>
  <c r="AZ2089" i="2"/>
  <c r="BB2089" i="2"/>
  <c r="BC2089" i="2"/>
  <c r="BD2089" i="2"/>
  <c r="M2090" i="2"/>
  <c r="AW2090" i="2"/>
  <c r="AX2090" i="2"/>
  <c r="AY2090" i="2"/>
  <c r="AZ2090" i="2"/>
  <c r="BB2090" i="2"/>
  <c r="BC2090" i="2"/>
  <c r="BD2090" i="2"/>
  <c r="M2091" i="2"/>
  <c r="AW2091" i="2"/>
  <c r="AX2091" i="2"/>
  <c r="AY2091" i="2"/>
  <c r="AZ2091" i="2"/>
  <c r="BB2091" i="2"/>
  <c r="BC2091" i="2"/>
  <c r="BD2091" i="2"/>
  <c r="M2092" i="2"/>
  <c r="AW2092" i="2"/>
  <c r="AX2092" i="2"/>
  <c r="AY2092" i="2"/>
  <c r="AZ2092" i="2"/>
  <c r="BB2092" i="2"/>
  <c r="BC2092" i="2"/>
  <c r="BD2092" i="2"/>
  <c r="M2093" i="2"/>
  <c r="AW2093" i="2"/>
  <c r="AX2093" i="2"/>
  <c r="AY2093" i="2"/>
  <c r="AZ2093" i="2"/>
  <c r="BB2093" i="2"/>
  <c r="BC2093" i="2"/>
  <c r="BD2093" i="2"/>
  <c r="M2094" i="2"/>
  <c r="AW2094" i="2"/>
  <c r="AX2094" i="2"/>
  <c r="AY2094" i="2"/>
  <c r="AZ2094" i="2"/>
  <c r="BB2094" i="2"/>
  <c r="BC2094" i="2"/>
  <c r="BD2094" i="2"/>
  <c r="M2095" i="2"/>
  <c r="AW2095" i="2"/>
  <c r="AX2095" i="2"/>
  <c r="AY2095" i="2"/>
  <c r="AZ2095" i="2"/>
  <c r="BB2095" i="2"/>
  <c r="BC2095" i="2"/>
  <c r="BD2095" i="2"/>
  <c r="M2096" i="2"/>
  <c r="AW2096" i="2"/>
  <c r="AX2096" i="2"/>
  <c r="AY2096" i="2"/>
  <c r="AZ2096" i="2"/>
  <c r="BB2096" i="2"/>
  <c r="BC2096" i="2"/>
  <c r="BD2096" i="2"/>
  <c r="M2097" i="2"/>
  <c r="AW2097" i="2"/>
  <c r="AX2097" i="2"/>
  <c r="AY2097" i="2"/>
  <c r="AZ2097" i="2"/>
  <c r="BB2097" i="2"/>
  <c r="BC2097" i="2"/>
  <c r="BD2097" i="2"/>
  <c r="M2098" i="2"/>
  <c r="AW2098" i="2"/>
  <c r="AX2098" i="2"/>
  <c r="AY2098" i="2"/>
  <c r="AZ2098" i="2"/>
  <c r="BB2098" i="2"/>
  <c r="BC2098" i="2"/>
  <c r="BD2098" i="2"/>
  <c r="M2099" i="2"/>
  <c r="AW2099" i="2"/>
  <c r="AX2099" i="2"/>
  <c r="AY2099" i="2"/>
  <c r="AZ2099" i="2"/>
  <c r="BB2099" i="2"/>
  <c r="BC2099" i="2"/>
  <c r="BD2099" i="2"/>
  <c r="M2100" i="2"/>
  <c r="AW2100" i="2"/>
  <c r="AX2100" i="2"/>
  <c r="AY2100" i="2"/>
  <c r="AZ2100" i="2"/>
  <c r="BB2100" i="2"/>
  <c r="BC2100" i="2"/>
  <c r="BD2100" i="2"/>
  <c r="M2101" i="2"/>
  <c r="AW2101" i="2"/>
  <c r="AX2101" i="2"/>
  <c r="AY2101" i="2"/>
  <c r="AZ2101" i="2"/>
  <c r="BB2101" i="2"/>
  <c r="BC2101" i="2"/>
  <c r="BD2101" i="2"/>
  <c r="M2102" i="2"/>
  <c r="AW2102" i="2"/>
  <c r="AX2102" i="2"/>
  <c r="AY2102" i="2"/>
  <c r="AZ2102" i="2"/>
  <c r="BB2102" i="2"/>
  <c r="BC2102" i="2"/>
  <c r="BD2102" i="2"/>
  <c r="M2103" i="2"/>
  <c r="AW2103" i="2"/>
  <c r="AX2103" i="2"/>
  <c r="AY2103" i="2"/>
  <c r="AZ2103" i="2"/>
  <c r="BB2103" i="2"/>
  <c r="BC2103" i="2"/>
  <c r="BD2103" i="2"/>
  <c r="M2104" i="2"/>
  <c r="AW2104" i="2"/>
  <c r="AX2104" i="2"/>
  <c r="AY2104" i="2"/>
  <c r="AZ2104" i="2"/>
  <c r="BB2104" i="2"/>
  <c r="BC2104" i="2"/>
  <c r="BD2104" i="2"/>
  <c r="M2105" i="2"/>
  <c r="AW2105" i="2"/>
  <c r="AX2105" i="2"/>
  <c r="AY2105" i="2"/>
  <c r="AZ2105" i="2"/>
  <c r="BB2105" i="2"/>
  <c r="BC2105" i="2"/>
  <c r="BD2105" i="2"/>
  <c r="M2106" i="2"/>
  <c r="AW2106" i="2"/>
  <c r="AX2106" i="2"/>
  <c r="AY2106" i="2"/>
  <c r="AZ2106" i="2"/>
  <c r="BB2106" i="2"/>
  <c r="BC2106" i="2"/>
  <c r="BD2106" i="2"/>
  <c r="M2107" i="2"/>
  <c r="AW2107" i="2"/>
  <c r="AX2107" i="2"/>
  <c r="AY2107" i="2"/>
  <c r="AZ2107" i="2"/>
  <c r="BB2107" i="2"/>
  <c r="BC2107" i="2"/>
  <c r="BD2107" i="2"/>
  <c r="M2108" i="2"/>
  <c r="AW2108" i="2"/>
  <c r="AX2108" i="2"/>
  <c r="AY2108" i="2"/>
  <c r="AZ2108" i="2"/>
  <c r="BB2108" i="2"/>
  <c r="BC2108" i="2"/>
  <c r="BD2108" i="2"/>
  <c r="M2109" i="2"/>
  <c r="AW2109" i="2"/>
  <c r="AX2109" i="2"/>
  <c r="AY2109" i="2"/>
  <c r="AZ2109" i="2"/>
  <c r="BB2109" i="2"/>
  <c r="BC2109" i="2"/>
  <c r="BD2109" i="2"/>
  <c r="M2110" i="2"/>
  <c r="AW2110" i="2"/>
  <c r="AX2110" i="2"/>
  <c r="AY2110" i="2"/>
  <c r="AZ2110" i="2"/>
  <c r="BB2110" i="2"/>
  <c r="BC2110" i="2"/>
  <c r="BD2110" i="2"/>
  <c r="M2111" i="2"/>
  <c r="AW2111" i="2"/>
  <c r="AX2111" i="2"/>
  <c r="AY2111" i="2"/>
  <c r="AZ2111" i="2"/>
  <c r="BB2111" i="2"/>
  <c r="BC2111" i="2"/>
  <c r="BD2111" i="2"/>
  <c r="M2112" i="2"/>
  <c r="AW2112" i="2"/>
  <c r="AX2112" i="2"/>
  <c r="AY2112" i="2"/>
  <c r="AZ2112" i="2"/>
  <c r="BB2112" i="2"/>
  <c r="BC2112" i="2"/>
  <c r="BD2112" i="2"/>
  <c r="M2113" i="2"/>
  <c r="AW2113" i="2"/>
  <c r="AX2113" i="2"/>
  <c r="AY2113" i="2"/>
  <c r="AZ2113" i="2"/>
  <c r="BB2113" i="2"/>
  <c r="BC2113" i="2"/>
  <c r="BD2113" i="2"/>
  <c r="M2114" i="2"/>
  <c r="AW2114" i="2"/>
  <c r="AX2114" i="2"/>
  <c r="AY2114" i="2"/>
  <c r="AZ2114" i="2"/>
  <c r="BB2114" i="2"/>
  <c r="BC2114" i="2"/>
  <c r="BD2114" i="2"/>
  <c r="M2115" i="2"/>
  <c r="AW2115" i="2"/>
  <c r="AX2115" i="2"/>
  <c r="AY2115" i="2"/>
  <c r="AZ2115" i="2"/>
  <c r="BB2115" i="2"/>
  <c r="BC2115" i="2"/>
  <c r="BD2115" i="2"/>
  <c r="M2116" i="2"/>
  <c r="AW2116" i="2"/>
  <c r="AX2116" i="2"/>
  <c r="AY2116" i="2"/>
  <c r="AZ2116" i="2"/>
  <c r="BB2116" i="2"/>
  <c r="BC2116" i="2"/>
  <c r="BD2116" i="2"/>
  <c r="M2117" i="2"/>
  <c r="AW2117" i="2"/>
  <c r="AX2117" i="2"/>
  <c r="AY2117" i="2"/>
  <c r="AZ2117" i="2"/>
  <c r="BB2117" i="2"/>
  <c r="BC2117" i="2"/>
  <c r="BD2117" i="2"/>
  <c r="M2118" i="2"/>
  <c r="AW2118" i="2"/>
  <c r="AX2118" i="2"/>
  <c r="AY2118" i="2"/>
  <c r="AZ2118" i="2"/>
  <c r="BB2118" i="2"/>
  <c r="BC2118" i="2"/>
  <c r="BD2118" i="2"/>
  <c r="M2119" i="2"/>
  <c r="AW2119" i="2"/>
  <c r="AX2119" i="2"/>
  <c r="AY2119" i="2"/>
  <c r="AZ2119" i="2"/>
  <c r="BB2119" i="2"/>
  <c r="BC2119" i="2"/>
  <c r="BD2119" i="2"/>
  <c r="M2120" i="2"/>
  <c r="AW2120" i="2"/>
  <c r="AX2120" i="2"/>
  <c r="AY2120" i="2"/>
  <c r="AZ2120" i="2"/>
  <c r="BB2120" i="2"/>
  <c r="BC2120" i="2"/>
  <c r="BD2120" i="2"/>
  <c r="M2121" i="2"/>
  <c r="AW2121" i="2"/>
  <c r="AX2121" i="2"/>
  <c r="AY2121" i="2"/>
  <c r="AZ2121" i="2"/>
  <c r="BB2121" i="2"/>
  <c r="BC2121" i="2"/>
  <c r="BD2121" i="2"/>
  <c r="M2122" i="2"/>
  <c r="AW2122" i="2"/>
  <c r="AX2122" i="2"/>
  <c r="AY2122" i="2"/>
  <c r="AZ2122" i="2"/>
  <c r="BB2122" i="2"/>
  <c r="BC2122" i="2"/>
  <c r="BD2122" i="2"/>
  <c r="M2123" i="2"/>
  <c r="AW2123" i="2"/>
  <c r="AX2123" i="2"/>
  <c r="AY2123" i="2"/>
  <c r="AZ2123" i="2"/>
  <c r="BB2123" i="2"/>
  <c r="BC2123" i="2"/>
  <c r="BD2123" i="2"/>
  <c r="M2124" i="2"/>
  <c r="AW2124" i="2"/>
  <c r="AX2124" i="2"/>
  <c r="AY2124" i="2"/>
  <c r="AZ2124" i="2"/>
  <c r="BB2124" i="2"/>
  <c r="BC2124" i="2"/>
  <c r="BD2124" i="2"/>
  <c r="M2125" i="2"/>
  <c r="AW2125" i="2"/>
  <c r="AX2125" i="2"/>
  <c r="AY2125" i="2"/>
  <c r="AZ2125" i="2"/>
  <c r="BB2125" i="2"/>
  <c r="BC2125" i="2"/>
  <c r="BD2125" i="2"/>
  <c r="M2126" i="2"/>
  <c r="AX2126" i="2"/>
  <c r="AZ2126" i="2"/>
  <c r="BB2126" i="2"/>
  <c r="BC2126" i="2"/>
  <c r="BD2126" i="2"/>
  <c r="M2128" i="2"/>
  <c r="AW2128" i="2"/>
  <c r="AX2128" i="2"/>
  <c r="AY2128" i="2"/>
  <c r="AZ2128" i="2"/>
  <c r="BB2128" i="2"/>
  <c r="BC2128" i="2"/>
  <c r="BD2128" i="2"/>
  <c r="M2129" i="2"/>
  <c r="AW2129" i="2"/>
  <c r="AX2129" i="2"/>
  <c r="AY2129" i="2"/>
  <c r="AZ2129" i="2"/>
  <c r="BB2129" i="2"/>
  <c r="BC2129" i="2"/>
  <c r="BD2129" i="2"/>
  <c r="M2130" i="2"/>
  <c r="AW2130" i="2"/>
  <c r="AX2130" i="2"/>
  <c r="AY2130" i="2"/>
  <c r="AZ2130" i="2"/>
  <c r="BB2130" i="2"/>
  <c r="BC2130" i="2"/>
  <c r="BD2130" i="2"/>
  <c r="M2131" i="2"/>
  <c r="AW2131" i="2"/>
  <c r="AX2131" i="2"/>
  <c r="AY2131" i="2"/>
  <c r="AZ2131" i="2"/>
  <c r="BB2131" i="2"/>
  <c r="BC2131" i="2"/>
  <c r="BD2131" i="2"/>
  <c r="M2132" i="2"/>
  <c r="AW2132" i="2"/>
  <c r="AX2132" i="2"/>
  <c r="AY2132" i="2"/>
  <c r="AZ2132" i="2"/>
  <c r="BB2132" i="2"/>
  <c r="BC2132" i="2"/>
  <c r="BD2132" i="2"/>
  <c r="M2133" i="2"/>
  <c r="AW2133" i="2"/>
  <c r="AX2133" i="2"/>
  <c r="AY2133" i="2"/>
  <c r="AZ2133" i="2"/>
  <c r="BB2133" i="2"/>
  <c r="BC2133" i="2"/>
  <c r="BD2133" i="2"/>
  <c r="M2134" i="2"/>
  <c r="AW2134" i="2"/>
  <c r="AX2134" i="2"/>
  <c r="AY2134" i="2"/>
  <c r="AZ2134" i="2"/>
  <c r="BB2134" i="2"/>
  <c r="BC2134" i="2"/>
  <c r="BD2134" i="2"/>
  <c r="M2135" i="2"/>
  <c r="AW2135" i="2"/>
  <c r="AX2135" i="2"/>
  <c r="AY2135" i="2"/>
  <c r="AZ2135" i="2"/>
  <c r="BB2135" i="2"/>
  <c r="BC2135" i="2"/>
  <c r="BD2135" i="2"/>
  <c r="M2136" i="2"/>
  <c r="AW2136" i="2"/>
  <c r="AX2136" i="2"/>
  <c r="AY2136" i="2"/>
  <c r="AZ2136" i="2"/>
  <c r="BB2136" i="2"/>
  <c r="BC2136" i="2"/>
  <c r="BD2136" i="2"/>
  <c r="M2137" i="2"/>
  <c r="AW2137" i="2"/>
  <c r="AX2137" i="2"/>
  <c r="AY2137" i="2"/>
  <c r="AZ2137" i="2"/>
  <c r="BB2137" i="2"/>
  <c r="BC2137" i="2"/>
  <c r="BD2137" i="2"/>
  <c r="M2138" i="2"/>
  <c r="AW2138" i="2"/>
  <c r="AX2138" i="2"/>
  <c r="AY2138" i="2"/>
  <c r="AZ2138" i="2"/>
  <c r="BB2138" i="2"/>
  <c r="BC2138" i="2"/>
  <c r="BD2138" i="2"/>
  <c r="M2139" i="2"/>
  <c r="AW2139" i="2"/>
  <c r="AX2139" i="2"/>
  <c r="AY2139" i="2"/>
  <c r="AZ2139" i="2"/>
  <c r="BB2139" i="2"/>
  <c r="BC2139" i="2"/>
  <c r="BD2139" i="2"/>
  <c r="M2140" i="2"/>
  <c r="AW2140" i="2"/>
  <c r="AX2140" i="2"/>
  <c r="AY2140" i="2"/>
  <c r="AZ2140" i="2"/>
  <c r="BB2140" i="2"/>
  <c r="BC2140" i="2"/>
  <c r="BD2140" i="2"/>
  <c r="M2141" i="2"/>
  <c r="AW2141" i="2"/>
  <c r="AX2141" i="2"/>
  <c r="AY2141" i="2"/>
  <c r="AZ2141" i="2"/>
  <c r="BB2141" i="2"/>
  <c r="BC2141" i="2"/>
  <c r="BD2141" i="2"/>
  <c r="M2142" i="2"/>
  <c r="AW2142" i="2"/>
  <c r="AX2142" i="2"/>
  <c r="AY2142" i="2"/>
  <c r="AZ2142" i="2"/>
  <c r="BB2142" i="2"/>
  <c r="BC2142" i="2"/>
  <c r="BD2142" i="2"/>
  <c r="M2143" i="2"/>
  <c r="AW2143" i="2"/>
  <c r="AX2143" i="2"/>
  <c r="AY2143" i="2"/>
  <c r="AZ2143" i="2"/>
  <c r="BB2143" i="2"/>
  <c r="BC2143" i="2"/>
  <c r="BD2143" i="2"/>
  <c r="M2144" i="2"/>
  <c r="AW2144" i="2"/>
  <c r="AX2144" i="2"/>
  <c r="AY2144" i="2"/>
  <c r="AZ2144" i="2"/>
  <c r="BB2144" i="2"/>
  <c r="BC2144" i="2"/>
  <c r="BD2144" i="2"/>
  <c r="M2145" i="2"/>
  <c r="AW2145" i="2"/>
  <c r="AX2145" i="2"/>
  <c r="AY2145" i="2"/>
  <c r="AZ2145" i="2"/>
  <c r="BB2145" i="2"/>
  <c r="BC2145" i="2"/>
  <c r="BD2145" i="2"/>
  <c r="M2146" i="2"/>
  <c r="AW2146" i="2"/>
  <c r="AX2146" i="2"/>
  <c r="AY2146" i="2"/>
  <c r="AZ2146" i="2"/>
  <c r="BB2146" i="2"/>
  <c r="BC2146" i="2"/>
  <c r="BD2146" i="2"/>
  <c r="M2147" i="2"/>
  <c r="AW2147" i="2"/>
  <c r="AX2147" i="2"/>
  <c r="AY2147" i="2"/>
  <c r="AZ2147" i="2"/>
  <c r="BB2147" i="2"/>
  <c r="BC2147" i="2"/>
  <c r="BD2147" i="2"/>
  <c r="M2148" i="2"/>
  <c r="AW2148" i="2"/>
  <c r="AX2148" i="2"/>
  <c r="AY2148" i="2"/>
  <c r="AZ2148" i="2"/>
  <c r="BB2148" i="2"/>
  <c r="BC2148" i="2"/>
  <c r="BD2148" i="2"/>
  <c r="M2149" i="2"/>
  <c r="AW2149" i="2"/>
  <c r="AX2149" i="2"/>
  <c r="AY2149" i="2"/>
  <c r="AZ2149" i="2"/>
  <c r="BB2149" i="2"/>
  <c r="BC2149" i="2"/>
  <c r="BD2149" i="2"/>
  <c r="M2150" i="2"/>
  <c r="AW2150" i="2"/>
  <c r="AX2150" i="2"/>
  <c r="AY2150" i="2"/>
  <c r="AZ2150" i="2"/>
  <c r="BB2150" i="2"/>
  <c r="BC2150" i="2"/>
  <c r="BD2150" i="2"/>
  <c r="M2151" i="2"/>
  <c r="AW2151" i="2"/>
  <c r="AX2151" i="2"/>
  <c r="AY2151" i="2"/>
  <c r="AZ2151" i="2"/>
  <c r="BB2151" i="2"/>
  <c r="BC2151" i="2"/>
  <c r="BD2151" i="2"/>
  <c r="M2152" i="2"/>
  <c r="AW2152" i="2"/>
  <c r="AX2152" i="2"/>
  <c r="AY2152" i="2"/>
  <c r="AZ2152" i="2"/>
  <c r="BB2152" i="2"/>
  <c r="BC2152" i="2"/>
  <c r="BD2152" i="2"/>
  <c r="M2153" i="2"/>
  <c r="AW2153" i="2"/>
  <c r="AX2153" i="2"/>
  <c r="AY2153" i="2"/>
  <c r="AZ2153" i="2"/>
  <c r="BB2153" i="2"/>
  <c r="BC2153" i="2"/>
  <c r="BD2153" i="2"/>
  <c r="M2154" i="2"/>
  <c r="AW2154" i="2"/>
  <c r="AX2154" i="2"/>
  <c r="AY2154" i="2"/>
  <c r="AZ2154" i="2"/>
  <c r="BB2154" i="2"/>
  <c r="BC2154" i="2"/>
  <c r="BD2154" i="2"/>
  <c r="M2155" i="2"/>
  <c r="AW2155" i="2"/>
  <c r="AX2155" i="2"/>
  <c r="AY2155" i="2"/>
  <c r="AZ2155" i="2"/>
  <c r="BB2155" i="2"/>
  <c r="BC2155" i="2"/>
  <c r="BD2155" i="2"/>
  <c r="M2156" i="2"/>
  <c r="AW2156" i="2"/>
  <c r="AX2156" i="2"/>
  <c r="AY2156" i="2"/>
  <c r="AZ2156" i="2"/>
  <c r="BB2156" i="2"/>
  <c r="BC2156" i="2"/>
  <c r="BD2156" i="2"/>
  <c r="M2157" i="2"/>
  <c r="AW2157" i="2"/>
  <c r="AX2157" i="2"/>
  <c r="AY2157" i="2"/>
  <c r="AZ2157" i="2"/>
  <c r="BB2157" i="2"/>
  <c r="BC2157" i="2"/>
  <c r="BD2157" i="2"/>
  <c r="M2158" i="2"/>
  <c r="AW2158" i="2"/>
  <c r="AX2158" i="2"/>
  <c r="AY2158" i="2"/>
  <c r="AZ2158" i="2"/>
  <c r="BB2158" i="2"/>
  <c r="BC2158" i="2"/>
  <c r="BD2158" i="2"/>
  <c r="M2159" i="2"/>
  <c r="AW2159" i="2"/>
  <c r="AX2159" i="2"/>
  <c r="AY2159" i="2"/>
  <c r="AZ2159" i="2"/>
  <c r="BB2159" i="2"/>
  <c r="BC2159" i="2"/>
  <c r="BD2159" i="2"/>
  <c r="M2160" i="2"/>
  <c r="AW2160" i="2"/>
  <c r="AX2160" i="2"/>
  <c r="AY2160" i="2"/>
  <c r="AZ2160" i="2"/>
  <c r="BB2160" i="2"/>
  <c r="BC2160" i="2"/>
  <c r="BD2160" i="2"/>
  <c r="M2161" i="2"/>
  <c r="AW2161" i="2"/>
  <c r="AX2161" i="2"/>
  <c r="AY2161" i="2"/>
  <c r="AZ2161" i="2"/>
  <c r="BB2161" i="2"/>
  <c r="BC2161" i="2"/>
  <c r="BD2161" i="2"/>
  <c r="M2162" i="2"/>
  <c r="AW2162" i="2"/>
  <c r="AX2162" i="2"/>
  <c r="AY2162" i="2"/>
  <c r="AZ2162" i="2"/>
  <c r="BB2162" i="2"/>
  <c r="BC2162" i="2"/>
  <c r="BD2162" i="2"/>
  <c r="M2163" i="2"/>
  <c r="AW2163" i="2"/>
  <c r="AX2163" i="2"/>
  <c r="AY2163" i="2"/>
  <c r="AZ2163" i="2"/>
  <c r="BB2163" i="2"/>
  <c r="BC2163" i="2"/>
  <c r="BD2163" i="2"/>
  <c r="M2164" i="2"/>
  <c r="AW2164" i="2"/>
  <c r="AX2164" i="2"/>
  <c r="AY2164" i="2"/>
  <c r="AZ2164" i="2"/>
  <c r="BB2164" i="2"/>
  <c r="BC2164" i="2"/>
  <c r="BD2164" i="2"/>
  <c r="M2165" i="2"/>
  <c r="AW2165" i="2"/>
  <c r="AX2165" i="2"/>
  <c r="AY2165" i="2"/>
  <c r="AZ2165" i="2"/>
  <c r="BB2165" i="2"/>
  <c r="BC2165" i="2"/>
  <c r="BD2165" i="2"/>
  <c r="M2166" i="2"/>
  <c r="AW2166" i="2"/>
  <c r="AX2166" i="2"/>
  <c r="AY2166" i="2"/>
  <c r="AZ2166" i="2"/>
  <c r="BB2166" i="2"/>
  <c r="BC2166" i="2"/>
  <c r="BD2166" i="2"/>
  <c r="M2167" i="2"/>
  <c r="AW2167" i="2"/>
  <c r="AX2167" i="2"/>
  <c r="AY2167" i="2"/>
  <c r="AZ2167" i="2"/>
  <c r="BB2167" i="2"/>
  <c r="BC2167" i="2"/>
  <c r="BD2167" i="2"/>
  <c r="M2168" i="2"/>
  <c r="AW2168" i="2"/>
  <c r="AX2168" i="2"/>
  <c r="AY2168" i="2"/>
  <c r="AZ2168" i="2"/>
  <c r="BB2168" i="2"/>
  <c r="BC2168" i="2"/>
  <c r="BD2168" i="2"/>
  <c r="M2169" i="2"/>
  <c r="AW2169" i="2"/>
  <c r="AX2169" i="2"/>
  <c r="AY2169" i="2"/>
  <c r="AZ2169" i="2"/>
  <c r="BB2169" i="2"/>
  <c r="BC2169" i="2"/>
  <c r="BD2169" i="2"/>
  <c r="M2170" i="2"/>
  <c r="AW2170" i="2"/>
  <c r="AX2170" i="2"/>
  <c r="AY2170" i="2"/>
  <c r="AZ2170" i="2"/>
  <c r="BB2170" i="2"/>
  <c r="BC2170" i="2"/>
  <c r="BD2170" i="2"/>
  <c r="M2171" i="2"/>
  <c r="AW2171" i="2"/>
  <c r="AX2171" i="2"/>
  <c r="AY2171" i="2"/>
  <c r="AZ2171" i="2"/>
  <c r="BB2171" i="2"/>
  <c r="BC2171" i="2"/>
  <c r="BD2171" i="2"/>
  <c r="M2172" i="2"/>
  <c r="AW2172" i="2"/>
  <c r="AX2172" i="2"/>
  <c r="AY2172" i="2"/>
  <c r="AZ2172" i="2"/>
  <c r="BB2172" i="2"/>
  <c r="BC2172" i="2"/>
  <c r="BD2172" i="2"/>
  <c r="M2173" i="2"/>
  <c r="AW2173" i="2"/>
  <c r="AX2173" i="2"/>
  <c r="AY2173" i="2"/>
  <c r="AZ2173" i="2"/>
  <c r="BB2173" i="2"/>
  <c r="BC2173" i="2"/>
  <c r="BD2173" i="2"/>
  <c r="M2174" i="2"/>
  <c r="AW2174" i="2"/>
  <c r="AX2174" i="2"/>
  <c r="AY2174" i="2"/>
  <c r="AZ2174" i="2"/>
  <c r="BB2174" i="2"/>
  <c r="BC2174" i="2"/>
  <c r="BD2174" i="2"/>
  <c r="M2175" i="2"/>
  <c r="AW2175" i="2"/>
  <c r="AX2175" i="2"/>
  <c r="AY2175" i="2"/>
  <c r="AZ2175" i="2"/>
  <c r="BB2175" i="2"/>
  <c r="BC2175" i="2"/>
  <c r="BD2175" i="2"/>
  <c r="M2176" i="2"/>
  <c r="AW2176" i="2"/>
  <c r="AX2176" i="2"/>
  <c r="AY2176" i="2"/>
  <c r="AZ2176" i="2"/>
  <c r="BB2176" i="2"/>
  <c r="BC2176" i="2"/>
  <c r="BD2176" i="2"/>
  <c r="M2177" i="2"/>
  <c r="AW2177" i="2"/>
  <c r="AX2177" i="2"/>
  <c r="AY2177" i="2"/>
  <c r="AZ2177" i="2"/>
  <c r="BB2177" i="2"/>
  <c r="BC2177" i="2"/>
  <c r="BD2177" i="2"/>
  <c r="M2178" i="2"/>
  <c r="AW2178" i="2"/>
  <c r="AX2178" i="2"/>
  <c r="AY2178" i="2"/>
  <c r="AZ2178" i="2"/>
  <c r="BB2178" i="2"/>
  <c r="BC2178" i="2"/>
  <c r="BD2178" i="2"/>
  <c r="AY2179" i="2"/>
  <c r="M2180" i="2"/>
  <c r="AW2180" i="2"/>
  <c r="AX2180" i="2"/>
  <c r="AY2180" i="2"/>
  <c r="AZ2180" i="2"/>
  <c r="BB2180" i="2"/>
  <c r="BC2180" i="2"/>
  <c r="BD2180" i="2"/>
  <c r="M2181" i="2"/>
  <c r="AW2181" i="2"/>
  <c r="AX2181" i="2"/>
  <c r="AY2181" i="2"/>
  <c r="AZ2181" i="2"/>
  <c r="BB2181" i="2"/>
  <c r="BC2181" i="2"/>
  <c r="BD2181" i="2"/>
  <c r="M2182" i="2"/>
  <c r="AW2182" i="2"/>
  <c r="AX2182" i="2"/>
  <c r="AY2182" i="2"/>
  <c r="AZ2182" i="2"/>
  <c r="BB2182" i="2"/>
  <c r="BC2182" i="2"/>
  <c r="BD2182" i="2"/>
  <c r="M2183" i="2"/>
  <c r="AW2183" i="2"/>
  <c r="AX2183" i="2"/>
  <c r="AY2183" i="2"/>
  <c r="AZ2183" i="2"/>
  <c r="BB2183" i="2"/>
  <c r="BC2183" i="2"/>
  <c r="BD2183" i="2"/>
  <c r="M2184" i="2"/>
  <c r="AW2184" i="2"/>
  <c r="AX2184" i="2"/>
  <c r="AY2184" i="2"/>
  <c r="AZ2184" i="2"/>
  <c r="BB2184" i="2"/>
  <c r="BC2184" i="2"/>
  <c r="BD2184" i="2"/>
  <c r="M2185" i="2"/>
  <c r="AW2185" i="2"/>
  <c r="AX2185" i="2"/>
  <c r="AY2185" i="2"/>
  <c r="AZ2185" i="2"/>
  <c r="BB2185" i="2"/>
  <c r="BC2185" i="2"/>
  <c r="BD2185" i="2"/>
  <c r="M2186" i="2"/>
  <c r="AW2186" i="2"/>
  <c r="AX2186" i="2"/>
  <c r="AY2186" i="2"/>
  <c r="AZ2186" i="2"/>
  <c r="BB2186" i="2"/>
  <c r="BC2186" i="2"/>
  <c r="BD2186" i="2"/>
  <c r="M2187" i="2"/>
  <c r="AW2187" i="2"/>
  <c r="AX2187" i="2"/>
  <c r="AY2187" i="2"/>
  <c r="AZ2187" i="2"/>
  <c r="BB2187" i="2"/>
  <c r="BC2187" i="2"/>
  <c r="BD2187" i="2"/>
  <c r="M2188" i="2"/>
  <c r="AW2188" i="2"/>
  <c r="AX2188" i="2"/>
  <c r="AY2188" i="2"/>
  <c r="AZ2188" i="2"/>
  <c r="BB2188" i="2"/>
  <c r="BC2188" i="2"/>
  <c r="BD2188" i="2"/>
  <c r="M2189" i="2"/>
  <c r="AW2189" i="2"/>
  <c r="AX2189" i="2"/>
  <c r="AY2189" i="2"/>
  <c r="AZ2189" i="2"/>
  <c r="BB2189" i="2"/>
  <c r="BC2189" i="2"/>
  <c r="BD2189" i="2"/>
  <c r="M2190" i="2"/>
  <c r="AW2190" i="2"/>
  <c r="AX2190" i="2"/>
  <c r="AY2190" i="2"/>
  <c r="AZ2190" i="2"/>
  <c r="BB2190" i="2"/>
  <c r="BC2190" i="2"/>
  <c r="BD2190" i="2"/>
  <c r="M2191" i="2"/>
  <c r="AW2191" i="2"/>
  <c r="AX2191" i="2"/>
  <c r="AY2191" i="2"/>
  <c r="AZ2191" i="2"/>
  <c r="BB2191" i="2"/>
  <c r="BC2191" i="2"/>
  <c r="BD2191" i="2"/>
  <c r="M2192" i="2"/>
  <c r="AW2192" i="2"/>
  <c r="AX2192" i="2"/>
  <c r="AY2192" i="2"/>
  <c r="AZ2192" i="2"/>
  <c r="BB2192" i="2"/>
  <c r="BC2192" i="2"/>
  <c r="BD2192" i="2"/>
  <c r="M2193" i="2"/>
  <c r="AW2193" i="2"/>
  <c r="AX2193" i="2"/>
  <c r="AY2193" i="2"/>
  <c r="AZ2193" i="2"/>
  <c r="BB2193" i="2"/>
  <c r="BC2193" i="2"/>
  <c r="BD2193" i="2"/>
  <c r="M2194" i="2"/>
  <c r="AW2194" i="2"/>
  <c r="AX2194" i="2"/>
  <c r="AY2194" i="2"/>
  <c r="AZ2194" i="2"/>
  <c r="BB2194" i="2"/>
  <c r="BC2194" i="2"/>
  <c r="BD2194" i="2"/>
  <c r="M2195" i="2"/>
  <c r="AW2195" i="2"/>
  <c r="AX2195" i="2"/>
  <c r="AY2195" i="2"/>
  <c r="AZ2195" i="2"/>
  <c r="BB2195" i="2"/>
  <c r="BC2195" i="2"/>
  <c r="BD2195" i="2"/>
  <c r="M2196" i="2"/>
  <c r="AW2196" i="2"/>
  <c r="AX2196" i="2"/>
  <c r="AY2196" i="2"/>
  <c r="AZ2196" i="2"/>
  <c r="BB2196" i="2"/>
  <c r="BC2196" i="2"/>
  <c r="BD2196" i="2"/>
  <c r="M2197" i="2"/>
  <c r="AW2197" i="2"/>
  <c r="AX2197" i="2"/>
  <c r="AY2197" i="2"/>
  <c r="AZ2197" i="2"/>
  <c r="BB2197" i="2"/>
  <c r="BC2197" i="2"/>
  <c r="BD2197" i="2"/>
  <c r="M2198" i="2"/>
  <c r="AW2198" i="2"/>
  <c r="AX2198" i="2"/>
  <c r="AY2198" i="2"/>
  <c r="AZ2198" i="2"/>
  <c r="BB2198" i="2"/>
  <c r="BC2198" i="2"/>
  <c r="BD2198" i="2"/>
  <c r="M2199" i="2"/>
  <c r="AW2199" i="2"/>
  <c r="AX2199" i="2"/>
  <c r="AY2199" i="2"/>
  <c r="AZ2199" i="2"/>
  <c r="BB2199" i="2"/>
  <c r="BC2199" i="2"/>
  <c r="BD2199" i="2"/>
  <c r="M2200" i="2"/>
  <c r="AW2200" i="2"/>
  <c r="AX2200" i="2"/>
  <c r="AY2200" i="2"/>
  <c r="AZ2200" i="2"/>
  <c r="BB2200" i="2"/>
  <c r="BC2200" i="2"/>
  <c r="BD2200" i="2"/>
  <c r="M2201" i="2"/>
  <c r="AW2201" i="2"/>
  <c r="AX2201" i="2"/>
  <c r="AY2201" i="2"/>
  <c r="AZ2201" i="2"/>
  <c r="BB2201" i="2"/>
  <c r="BC2201" i="2"/>
  <c r="BD2201" i="2"/>
  <c r="M2202" i="2"/>
  <c r="AW2202" i="2"/>
  <c r="AX2202" i="2"/>
  <c r="AY2202" i="2"/>
  <c r="AZ2202" i="2"/>
  <c r="BB2202" i="2"/>
  <c r="BC2202" i="2"/>
  <c r="BD2202" i="2"/>
  <c r="M2203" i="2"/>
  <c r="AW2203" i="2"/>
  <c r="AX2203" i="2"/>
  <c r="AY2203" i="2"/>
  <c r="AZ2203" i="2"/>
  <c r="BB2203" i="2"/>
  <c r="BC2203" i="2"/>
  <c r="BD2203" i="2"/>
  <c r="M2204" i="2"/>
  <c r="AW2204" i="2"/>
  <c r="AX2204" i="2"/>
  <c r="AY2204" i="2"/>
  <c r="AZ2204" i="2"/>
  <c r="BB2204" i="2"/>
  <c r="BC2204" i="2"/>
  <c r="BD2204" i="2"/>
  <c r="M2205" i="2"/>
  <c r="AW2205" i="2"/>
  <c r="AX2205" i="2"/>
  <c r="AY2205" i="2"/>
  <c r="AZ2205" i="2"/>
  <c r="BB2205" i="2"/>
  <c r="BC2205" i="2"/>
  <c r="BD2205" i="2"/>
  <c r="M2206" i="2"/>
  <c r="AW2206" i="2"/>
  <c r="AX2206" i="2"/>
  <c r="AY2206" i="2"/>
  <c r="AZ2206" i="2"/>
  <c r="BB2206" i="2"/>
  <c r="BC2206" i="2"/>
  <c r="BD2206" i="2"/>
  <c r="M2207" i="2"/>
  <c r="AW2207" i="2"/>
  <c r="AX2207" i="2"/>
  <c r="AY2207" i="2"/>
  <c r="AZ2207" i="2"/>
  <c r="BB2207" i="2"/>
  <c r="BC2207" i="2"/>
  <c r="BD2207" i="2"/>
  <c r="M2208" i="2"/>
  <c r="AW2208" i="2"/>
  <c r="AX2208" i="2"/>
  <c r="AY2208" i="2"/>
  <c r="AZ2208" i="2"/>
  <c r="BB2208" i="2"/>
  <c r="BC2208" i="2"/>
  <c r="BD2208" i="2"/>
  <c r="M2209" i="2"/>
  <c r="AW2209" i="2"/>
  <c r="AX2209" i="2"/>
  <c r="AY2209" i="2"/>
  <c r="AZ2209" i="2"/>
  <c r="BB2209" i="2"/>
  <c r="BC2209" i="2"/>
  <c r="BD2209" i="2"/>
  <c r="M2210" i="2"/>
  <c r="AW2210" i="2"/>
  <c r="AX2210" i="2"/>
  <c r="AY2210" i="2"/>
  <c r="AZ2210" i="2"/>
  <c r="BB2210" i="2"/>
  <c r="BC2210" i="2"/>
  <c r="BD2210" i="2"/>
  <c r="M2211" i="2"/>
  <c r="AW2211" i="2"/>
  <c r="AX2211" i="2"/>
  <c r="AY2211" i="2"/>
  <c r="AZ2211" i="2"/>
  <c r="BB2211" i="2"/>
  <c r="BC2211" i="2"/>
  <c r="BD2211" i="2"/>
  <c r="M2212" i="2"/>
  <c r="AW2212" i="2"/>
  <c r="AX2212" i="2"/>
  <c r="AY2212" i="2"/>
  <c r="AZ2212" i="2"/>
  <c r="BB2212" i="2"/>
  <c r="BC2212" i="2"/>
  <c r="BD2212" i="2"/>
  <c r="M2213" i="2"/>
  <c r="AW2213" i="2"/>
  <c r="AX2213" i="2"/>
  <c r="AY2213" i="2"/>
  <c r="AZ2213" i="2"/>
  <c r="BB2213" i="2"/>
  <c r="BC2213" i="2"/>
  <c r="BD2213" i="2"/>
  <c r="M2214" i="2"/>
  <c r="AW2214" i="2"/>
  <c r="AX2214" i="2"/>
  <c r="AY2214" i="2"/>
  <c r="AZ2214" i="2"/>
  <c r="BB2214" i="2"/>
  <c r="BC2214" i="2"/>
  <c r="BD2214" i="2"/>
  <c r="M2215" i="2"/>
  <c r="AW2215" i="2"/>
  <c r="AX2215" i="2"/>
  <c r="AY2215" i="2"/>
  <c r="AZ2215" i="2"/>
  <c r="BB2215" i="2"/>
  <c r="BC2215" i="2"/>
  <c r="BD2215" i="2"/>
  <c r="M2218" i="2"/>
  <c r="AW2218" i="2"/>
  <c r="AX2218" i="2"/>
  <c r="AY2218" i="2"/>
  <c r="AZ2218" i="2"/>
  <c r="BB2218" i="2"/>
  <c r="BC2218" i="2"/>
  <c r="BD2218" i="2"/>
  <c r="M2219" i="2"/>
  <c r="AW2219" i="2"/>
  <c r="AX2219" i="2"/>
  <c r="AY2219" i="2"/>
  <c r="AZ2219" i="2"/>
  <c r="BB2219" i="2"/>
  <c r="BC2219" i="2"/>
  <c r="BD2219" i="2"/>
  <c r="M2220" i="2"/>
  <c r="AW2220" i="2"/>
  <c r="AX2220" i="2"/>
  <c r="AY2220" i="2"/>
  <c r="AZ2220" i="2"/>
  <c r="BB2220" i="2"/>
  <c r="BC2220" i="2"/>
  <c r="BD2220" i="2"/>
  <c r="M2221" i="2"/>
  <c r="AW2221" i="2"/>
  <c r="AX2221" i="2"/>
  <c r="AY2221" i="2"/>
  <c r="AZ2221" i="2"/>
  <c r="BB2221" i="2"/>
  <c r="BC2221" i="2"/>
  <c r="BD2221" i="2"/>
  <c r="M2222" i="2"/>
  <c r="AW2222" i="2"/>
  <c r="AX2222" i="2"/>
  <c r="AY2222" i="2"/>
  <c r="AZ2222" i="2"/>
  <c r="BB2222" i="2"/>
  <c r="BC2222" i="2"/>
  <c r="BD2222" i="2"/>
  <c r="M2223" i="2"/>
  <c r="AW2223" i="2"/>
  <c r="AX2223" i="2"/>
  <c r="AY2223" i="2"/>
  <c r="AZ2223" i="2"/>
  <c r="BB2223" i="2"/>
  <c r="BC2223" i="2"/>
  <c r="BD2223" i="2"/>
  <c r="M2224" i="2"/>
  <c r="AW2224" i="2"/>
  <c r="AX2224" i="2"/>
  <c r="AY2224" i="2"/>
  <c r="AZ2224" i="2"/>
  <c r="BB2224" i="2"/>
  <c r="BC2224" i="2"/>
  <c r="BD2224" i="2"/>
  <c r="M2225" i="2"/>
  <c r="AW2225" i="2"/>
  <c r="AX2225" i="2"/>
  <c r="AY2225" i="2"/>
  <c r="AZ2225" i="2"/>
  <c r="BB2225" i="2"/>
  <c r="BC2225" i="2"/>
  <c r="BD2225" i="2"/>
  <c r="M2226" i="2"/>
  <c r="AW2226" i="2"/>
  <c r="AX2226" i="2"/>
  <c r="AY2226" i="2"/>
  <c r="AZ2226" i="2"/>
  <c r="BB2226" i="2"/>
  <c r="BC2226" i="2"/>
  <c r="BD2226" i="2"/>
  <c r="M2227" i="2"/>
  <c r="AW2227" i="2"/>
  <c r="AX2227" i="2"/>
  <c r="AY2227" i="2"/>
  <c r="AZ2227" i="2"/>
  <c r="BB2227" i="2"/>
  <c r="BC2227" i="2"/>
  <c r="BD2227" i="2"/>
  <c r="M2228" i="2"/>
  <c r="AW2228" i="2"/>
  <c r="AX2228" i="2"/>
  <c r="AY2228" i="2"/>
  <c r="AZ2228" i="2"/>
  <c r="BB2228" i="2"/>
  <c r="BC2228" i="2"/>
  <c r="BD2228" i="2"/>
  <c r="M2229" i="2"/>
  <c r="AW2229" i="2"/>
  <c r="AX2229" i="2"/>
  <c r="AY2229" i="2"/>
  <c r="AZ2229" i="2"/>
  <c r="BB2229" i="2"/>
  <c r="BC2229" i="2"/>
  <c r="BD2229" i="2"/>
  <c r="M2230" i="2"/>
  <c r="AW2230" i="2"/>
  <c r="AX2230" i="2"/>
  <c r="AY2230" i="2"/>
  <c r="AZ2230" i="2"/>
  <c r="BB2230" i="2"/>
  <c r="BC2230" i="2"/>
  <c r="BD2230" i="2"/>
  <c r="M2231" i="2"/>
  <c r="AW2231" i="2"/>
  <c r="AX2231" i="2"/>
  <c r="AY2231" i="2"/>
  <c r="AZ2231" i="2"/>
  <c r="BB2231" i="2"/>
  <c r="BC2231" i="2"/>
  <c r="BD2231" i="2"/>
  <c r="M2232" i="2"/>
  <c r="AW2232" i="2"/>
  <c r="AX2232" i="2"/>
  <c r="AY2232" i="2"/>
  <c r="AZ2232" i="2"/>
  <c r="BB2232" i="2"/>
  <c r="BC2232" i="2"/>
  <c r="BD2232" i="2"/>
  <c r="M2233" i="2"/>
  <c r="AW2233" i="2"/>
  <c r="AX2233" i="2"/>
  <c r="AY2233" i="2"/>
  <c r="AZ2233" i="2"/>
  <c r="BB2233" i="2"/>
  <c r="BC2233" i="2"/>
  <c r="BD2233" i="2"/>
  <c r="M2234" i="2"/>
  <c r="AW2234" i="2"/>
  <c r="AX2234" i="2"/>
  <c r="AY2234" i="2"/>
  <c r="AZ2234" i="2"/>
  <c r="BB2234" i="2"/>
  <c r="BC2234" i="2"/>
  <c r="BD2234" i="2"/>
  <c r="M2235" i="2"/>
  <c r="AW2235" i="2"/>
  <c r="AX2235" i="2"/>
  <c r="AY2235" i="2"/>
  <c r="AZ2235" i="2"/>
  <c r="BB2235" i="2"/>
  <c r="BC2235" i="2"/>
  <c r="BD2235" i="2"/>
  <c r="M2236" i="2"/>
  <c r="AW2236" i="2"/>
  <c r="AX2236" i="2"/>
  <c r="AY2236" i="2"/>
  <c r="AZ2236" i="2"/>
  <c r="BB2236" i="2"/>
  <c r="BC2236" i="2"/>
  <c r="BD2236" i="2"/>
  <c r="M2237" i="2"/>
  <c r="AW2237" i="2"/>
  <c r="AX2237" i="2"/>
  <c r="AY2237" i="2"/>
  <c r="AZ2237" i="2"/>
  <c r="BB2237" i="2"/>
  <c r="BC2237" i="2"/>
  <c r="BD2237" i="2"/>
  <c r="M2238" i="2"/>
  <c r="AW2238" i="2"/>
  <c r="AX2238" i="2"/>
  <c r="AY2238" i="2"/>
  <c r="AZ2238" i="2"/>
  <c r="BB2238" i="2"/>
  <c r="BC2238" i="2"/>
  <c r="BD2238" i="2"/>
  <c r="M2239" i="2"/>
  <c r="AW2239" i="2"/>
  <c r="AX2239" i="2"/>
  <c r="AY2239" i="2"/>
  <c r="AZ2239" i="2"/>
  <c r="BB2239" i="2"/>
  <c r="BC2239" i="2"/>
  <c r="BD2239" i="2"/>
  <c r="M2240" i="2"/>
  <c r="AW2240" i="2"/>
  <c r="AX2240" i="2"/>
  <c r="AY2240" i="2"/>
  <c r="AZ2240" i="2"/>
  <c r="BB2240" i="2"/>
  <c r="BC2240" i="2"/>
  <c r="BD2240" i="2"/>
  <c r="M2241" i="2"/>
  <c r="AW2241" i="2"/>
  <c r="AX2241" i="2"/>
  <c r="AY2241" i="2"/>
  <c r="AZ2241" i="2"/>
  <c r="BB2241" i="2"/>
  <c r="BC2241" i="2"/>
  <c r="BD2241" i="2"/>
  <c r="M2242" i="2"/>
  <c r="AW2242" i="2"/>
  <c r="AX2242" i="2"/>
  <c r="AY2242" i="2"/>
  <c r="AZ2242" i="2"/>
  <c r="BB2242" i="2"/>
  <c r="BC2242" i="2"/>
  <c r="BD2242" i="2"/>
  <c r="M2243" i="2"/>
  <c r="AW2243" i="2"/>
  <c r="AX2243" i="2"/>
  <c r="AY2243" i="2"/>
  <c r="AZ2243" i="2"/>
  <c r="BB2243" i="2"/>
  <c r="BC2243" i="2"/>
  <c r="BD2243" i="2"/>
  <c r="M2244" i="2"/>
  <c r="AW2244" i="2"/>
  <c r="AX2244" i="2"/>
  <c r="AY2244" i="2"/>
  <c r="AZ2244" i="2"/>
  <c r="BB2244" i="2"/>
  <c r="BC2244" i="2"/>
  <c r="BD2244" i="2"/>
  <c r="M2245" i="2"/>
  <c r="AW2245" i="2"/>
  <c r="AX2245" i="2"/>
  <c r="AY2245" i="2"/>
  <c r="AZ2245" i="2"/>
  <c r="BB2245" i="2"/>
  <c r="BC2245" i="2"/>
  <c r="BD2245" i="2"/>
  <c r="M2246" i="2"/>
  <c r="AW2246" i="2"/>
  <c r="AX2246" i="2"/>
  <c r="AY2246" i="2"/>
  <c r="AZ2246" i="2"/>
  <c r="BB2246" i="2"/>
  <c r="BC2246" i="2"/>
  <c r="BD2246" i="2"/>
  <c r="M2247" i="2"/>
  <c r="AW2247" i="2"/>
  <c r="AX2247" i="2"/>
  <c r="AY2247" i="2"/>
  <c r="AZ2247" i="2"/>
  <c r="BB2247" i="2"/>
  <c r="BC2247" i="2"/>
  <c r="BD2247" i="2"/>
  <c r="M2248" i="2"/>
  <c r="AW2248" i="2"/>
  <c r="AX2248" i="2"/>
  <c r="AY2248" i="2"/>
  <c r="AZ2248" i="2"/>
  <c r="BB2248" i="2"/>
  <c r="BC2248" i="2"/>
  <c r="BD2248" i="2"/>
  <c r="M2249" i="2"/>
  <c r="AW2249" i="2"/>
  <c r="AX2249" i="2"/>
  <c r="AY2249" i="2"/>
  <c r="AZ2249" i="2"/>
  <c r="BB2249" i="2"/>
  <c r="BC2249" i="2"/>
  <c r="BD2249" i="2"/>
  <c r="M2250" i="2"/>
  <c r="AW2250" i="2"/>
  <c r="AX2250" i="2"/>
  <c r="AY2250" i="2"/>
  <c r="AZ2250" i="2"/>
  <c r="BB2250" i="2"/>
  <c r="BC2250" i="2"/>
  <c r="BD2250" i="2"/>
  <c r="M2251" i="2"/>
  <c r="AW2251" i="2"/>
  <c r="AX2251" i="2"/>
  <c r="AY2251" i="2"/>
  <c r="AZ2251" i="2"/>
  <c r="BB2251" i="2"/>
  <c r="BC2251" i="2"/>
  <c r="BD2251" i="2"/>
  <c r="M2252" i="2"/>
  <c r="AW2252" i="2"/>
  <c r="AX2252" i="2"/>
  <c r="AY2252" i="2"/>
  <c r="AZ2252" i="2"/>
  <c r="BB2252" i="2"/>
  <c r="BC2252" i="2"/>
  <c r="BD2252" i="2"/>
  <c r="M2253" i="2"/>
  <c r="AW2253" i="2"/>
  <c r="AX2253" i="2"/>
  <c r="AY2253" i="2"/>
  <c r="AZ2253" i="2"/>
  <c r="BB2253" i="2"/>
  <c r="BC2253" i="2"/>
  <c r="BD2253" i="2"/>
  <c r="M2254" i="2"/>
  <c r="AW2254" i="2"/>
  <c r="AX2254" i="2"/>
  <c r="AY2254" i="2"/>
  <c r="AZ2254" i="2"/>
  <c r="BB2254" i="2"/>
  <c r="BC2254" i="2"/>
  <c r="BD2254" i="2"/>
  <c r="M2255" i="2"/>
  <c r="AW2255" i="2"/>
  <c r="AX2255" i="2"/>
  <c r="AY2255" i="2"/>
  <c r="AZ2255" i="2"/>
  <c r="BB2255" i="2"/>
  <c r="BC2255" i="2"/>
  <c r="BD2255" i="2"/>
  <c r="M2256" i="2"/>
  <c r="AW2256" i="2"/>
  <c r="AX2256" i="2"/>
  <c r="AY2256" i="2"/>
  <c r="AZ2256" i="2"/>
  <c r="BB2256" i="2"/>
  <c r="BC2256" i="2"/>
  <c r="BD2256" i="2"/>
  <c r="M2257" i="2"/>
  <c r="AW2257" i="2"/>
  <c r="AX2257" i="2"/>
  <c r="AY2257" i="2"/>
  <c r="AZ2257" i="2"/>
  <c r="BB2257" i="2"/>
  <c r="BC2257" i="2"/>
  <c r="BD2257" i="2"/>
  <c r="M2258" i="2"/>
  <c r="AW2258" i="2"/>
  <c r="AX2258" i="2"/>
  <c r="AY2258" i="2"/>
  <c r="AZ2258" i="2"/>
  <c r="BB2258" i="2"/>
  <c r="BC2258" i="2"/>
  <c r="BD2258" i="2"/>
  <c r="M2259" i="2"/>
  <c r="AW2259" i="2"/>
  <c r="AX2259" i="2"/>
  <c r="AY2259" i="2"/>
  <c r="AZ2259" i="2"/>
  <c r="BB2259" i="2"/>
  <c r="BC2259" i="2"/>
  <c r="BD2259" i="2"/>
  <c r="M2260" i="2"/>
  <c r="AW2260" i="2"/>
  <c r="AX2260" i="2"/>
  <c r="AY2260" i="2"/>
  <c r="AZ2260" i="2"/>
  <c r="BB2260" i="2"/>
  <c r="BC2260" i="2"/>
  <c r="BD2260" i="2"/>
  <c r="M2261" i="2"/>
  <c r="AW2261" i="2"/>
  <c r="AX2261" i="2"/>
  <c r="AY2261" i="2"/>
  <c r="AZ2261" i="2"/>
  <c r="BB2261" i="2"/>
  <c r="BC2261" i="2"/>
  <c r="BD2261" i="2"/>
  <c r="M2262" i="2"/>
  <c r="AW2262" i="2"/>
  <c r="AX2262" i="2"/>
  <c r="AY2262" i="2"/>
  <c r="AZ2262" i="2"/>
  <c r="BB2262" i="2"/>
  <c r="BC2262" i="2"/>
  <c r="BD2262" i="2"/>
  <c r="M2263" i="2"/>
  <c r="AW2263" i="2"/>
  <c r="AX2263" i="2"/>
  <c r="AY2263" i="2"/>
  <c r="AZ2263" i="2"/>
  <c r="BB2263" i="2"/>
  <c r="BC2263" i="2"/>
  <c r="BD2263" i="2"/>
  <c r="M2264" i="2"/>
  <c r="AW2264" i="2"/>
  <c r="AX2264" i="2"/>
  <c r="AY2264" i="2"/>
  <c r="AZ2264" i="2"/>
  <c r="BB2264" i="2"/>
  <c r="BC2264" i="2"/>
  <c r="BD2264" i="2"/>
  <c r="M2265" i="2"/>
  <c r="AW2265" i="2"/>
  <c r="AX2265" i="2"/>
  <c r="AY2265" i="2"/>
  <c r="AZ2265" i="2"/>
  <c r="BB2265" i="2"/>
  <c r="BC2265" i="2"/>
  <c r="BD2265" i="2"/>
  <c r="M2266" i="2"/>
  <c r="AW2266" i="2"/>
  <c r="AX2266" i="2"/>
  <c r="AY2266" i="2"/>
  <c r="AZ2266" i="2"/>
  <c r="BB2266" i="2"/>
  <c r="BC2266" i="2"/>
  <c r="BD2266" i="2"/>
  <c r="M2267" i="2"/>
  <c r="AW2267" i="2"/>
  <c r="AX2267" i="2"/>
  <c r="AY2267" i="2"/>
  <c r="AZ2267" i="2"/>
  <c r="BB2267" i="2"/>
  <c r="BC2267" i="2"/>
  <c r="BD2267" i="2"/>
  <c r="M2268" i="2"/>
  <c r="AW2268" i="2"/>
  <c r="AX2268" i="2"/>
  <c r="AY2268" i="2"/>
  <c r="AZ2268" i="2"/>
  <c r="BB2268" i="2"/>
  <c r="BC2268" i="2"/>
  <c r="BD2268" i="2"/>
  <c r="M2269" i="2"/>
  <c r="AW2269" i="2"/>
  <c r="AX2269" i="2"/>
  <c r="AY2269" i="2"/>
  <c r="AZ2269" i="2"/>
  <c r="BB2269" i="2"/>
  <c r="BC2269" i="2"/>
  <c r="BD2269" i="2"/>
  <c r="M2270" i="2"/>
  <c r="AW2270" i="2"/>
  <c r="AX2270" i="2"/>
  <c r="AY2270" i="2"/>
  <c r="AZ2270" i="2"/>
  <c r="BB2270" i="2"/>
  <c r="BC2270" i="2"/>
  <c r="BD2270" i="2"/>
  <c r="M2271" i="2"/>
  <c r="AW2271" i="2"/>
  <c r="AX2271" i="2"/>
  <c r="AY2271" i="2"/>
  <c r="AZ2271" i="2"/>
  <c r="BB2271" i="2"/>
  <c r="BC2271" i="2"/>
  <c r="BD2271" i="2"/>
  <c r="M2272" i="2"/>
  <c r="AW2272" i="2"/>
  <c r="AX2272" i="2"/>
  <c r="AY2272" i="2"/>
  <c r="AZ2272" i="2"/>
  <c r="BB2272" i="2"/>
  <c r="BC2272" i="2"/>
  <c r="BD2272" i="2"/>
  <c r="M2273" i="2"/>
  <c r="AW2273" i="2"/>
  <c r="AX2273" i="2"/>
  <c r="AY2273" i="2"/>
  <c r="AZ2273" i="2"/>
  <c r="BB2273" i="2"/>
  <c r="BC2273" i="2"/>
  <c r="BD2273" i="2"/>
  <c r="M2274" i="2"/>
  <c r="AW2274" i="2"/>
  <c r="AX2274" i="2"/>
  <c r="AY2274" i="2"/>
  <c r="AZ2274" i="2"/>
  <c r="BB2274" i="2"/>
  <c r="BC2274" i="2"/>
  <c r="BD2274" i="2"/>
  <c r="M2275" i="2"/>
  <c r="AW2275" i="2"/>
  <c r="AX2275" i="2"/>
  <c r="AY2275" i="2"/>
  <c r="AZ2275" i="2"/>
  <c r="BB2275" i="2"/>
  <c r="BC2275" i="2"/>
  <c r="BD2275" i="2"/>
  <c r="M2276" i="2"/>
  <c r="AW2276" i="2"/>
  <c r="AX2276" i="2"/>
  <c r="AY2276" i="2"/>
  <c r="AZ2276" i="2"/>
  <c r="BB2276" i="2"/>
  <c r="BC2276" i="2"/>
  <c r="BD2276" i="2"/>
  <c r="M2277" i="2"/>
  <c r="AW2277" i="2"/>
  <c r="AX2277" i="2"/>
  <c r="AY2277" i="2"/>
  <c r="AZ2277" i="2"/>
  <c r="BB2277" i="2"/>
  <c r="BC2277" i="2"/>
  <c r="BD2277" i="2"/>
  <c r="M2278" i="2"/>
  <c r="AW2278" i="2"/>
  <c r="AX2278" i="2"/>
  <c r="AY2278" i="2"/>
  <c r="AZ2278" i="2"/>
  <c r="BB2278" i="2"/>
  <c r="BC2278" i="2"/>
  <c r="BD2278" i="2"/>
  <c r="M2279" i="2"/>
  <c r="AW2279" i="2"/>
  <c r="AX2279" i="2"/>
  <c r="AY2279" i="2"/>
  <c r="AZ2279" i="2"/>
  <c r="BB2279" i="2"/>
  <c r="BC2279" i="2"/>
  <c r="BD2279" i="2"/>
  <c r="M2280" i="2"/>
  <c r="AW2280" i="2"/>
  <c r="AX2280" i="2"/>
  <c r="AY2280" i="2"/>
  <c r="AZ2280" i="2"/>
  <c r="BB2280" i="2"/>
  <c r="BC2280" i="2"/>
  <c r="BD2280" i="2"/>
  <c r="M2281" i="2"/>
  <c r="AW2281" i="2"/>
  <c r="AX2281" i="2"/>
  <c r="AY2281" i="2"/>
  <c r="AZ2281" i="2"/>
  <c r="BB2281" i="2"/>
  <c r="BC2281" i="2"/>
  <c r="BD2281" i="2"/>
  <c r="M2282" i="2"/>
  <c r="AW2282" i="2"/>
  <c r="AX2282" i="2"/>
  <c r="AY2282" i="2"/>
  <c r="AZ2282" i="2"/>
  <c r="BB2282" i="2"/>
  <c r="BC2282" i="2"/>
  <c r="BD2282" i="2"/>
  <c r="M2283" i="2"/>
  <c r="AW2283" i="2"/>
  <c r="AX2283" i="2"/>
  <c r="AY2283" i="2"/>
  <c r="AZ2283" i="2"/>
  <c r="BB2283" i="2"/>
  <c r="BC2283" i="2"/>
  <c r="BD2283" i="2"/>
  <c r="M2284" i="2"/>
  <c r="AW2284" i="2"/>
  <c r="AX2284" i="2"/>
  <c r="AY2284" i="2"/>
  <c r="AZ2284" i="2"/>
  <c r="BB2284" i="2"/>
  <c r="BC2284" i="2"/>
  <c r="BD2284" i="2"/>
  <c r="M2285" i="2"/>
  <c r="AW2285" i="2"/>
  <c r="AX2285" i="2"/>
  <c r="AY2285" i="2"/>
  <c r="AZ2285" i="2"/>
  <c r="BB2285" i="2"/>
  <c r="BC2285" i="2"/>
  <c r="BD2285" i="2"/>
  <c r="M2286" i="2"/>
  <c r="AW2286" i="2"/>
  <c r="AX2286" i="2"/>
  <c r="AY2286" i="2"/>
  <c r="AZ2286" i="2"/>
  <c r="BB2286" i="2"/>
  <c r="BC2286" i="2"/>
  <c r="BD2286" i="2"/>
  <c r="M2287" i="2"/>
  <c r="AW2287" i="2"/>
  <c r="AX2287" i="2"/>
  <c r="AY2287" i="2"/>
  <c r="AZ2287" i="2"/>
  <c r="BB2287" i="2"/>
  <c r="BC2287" i="2"/>
  <c r="BD2287" i="2"/>
  <c r="M2288" i="2"/>
  <c r="AW2288" i="2"/>
  <c r="AX2288" i="2"/>
  <c r="AY2288" i="2"/>
  <c r="AZ2288" i="2"/>
  <c r="BB2288" i="2"/>
  <c r="BC2288" i="2"/>
  <c r="BD2288" i="2"/>
  <c r="M2289" i="2"/>
  <c r="AW2289" i="2"/>
  <c r="AX2289" i="2"/>
  <c r="AY2289" i="2"/>
  <c r="AZ2289" i="2"/>
  <c r="BB2289" i="2"/>
  <c r="BC2289" i="2"/>
  <c r="BD2289" i="2"/>
  <c r="M2290" i="2"/>
  <c r="AW2290" i="2"/>
  <c r="AX2290" i="2"/>
  <c r="AY2290" i="2"/>
  <c r="AZ2290" i="2"/>
  <c r="BB2290" i="2"/>
  <c r="BC2290" i="2"/>
  <c r="BD2290" i="2"/>
  <c r="M2291" i="2"/>
  <c r="AW2291" i="2"/>
  <c r="AX2291" i="2"/>
  <c r="AY2291" i="2"/>
  <c r="AZ2291" i="2"/>
  <c r="BB2291" i="2"/>
  <c r="BC2291" i="2"/>
  <c r="BD2291" i="2"/>
  <c r="M2292" i="2"/>
  <c r="AW2292" i="2"/>
  <c r="AX2292" i="2"/>
  <c r="AY2292" i="2"/>
  <c r="AZ2292" i="2"/>
  <c r="BB2292" i="2"/>
  <c r="BC2292" i="2"/>
  <c r="BD2292" i="2"/>
  <c r="M2293" i="2"/>
  <c r="AW2293" i="2"/>
  <c r="AX2293" i="2"/>
  <c r="AY2293" i="2"/>
  <c r="AZ2293" i="2"/>
  <c r="BB2293" i="2"/>
  <c r="BC2293" i="2"/>
  <c r="BD2293" i="2"/>
  <c r="M2294" i="2"/>
  <c r="AW2294" i="2"/>
  <c r="AX2294" i="2"/>
  <c r="AY2294" i="2"/>
  <c r="AZ2294" i="2"/>
  <c r="BB2294" i="2"/>
  <c r="BC2294" i="2"/>
  <c r="BD2294" i="2"/>
  <c r="M2295" i="2"/>
  <c r="AX2295" i="2"/>
  <c r="AZ2295" i="2"/>
  <c r="BB2295" i="2"/>
  <c r="BC2295" i="2"/>
  <c r="BD2295" i="2"/>
  <c r="BP2295" i="2"/>
  <c r="BQ2295" i="2"/>
  <c r="M2297" i="2"/>
  <c r="AW2297" i="2"/>
  <c r="AX2297" i="2"/>
  <c r="AY2297" i="2"/>
  <c r="AZ2297" i="2"/>
  <c r="BB2297" i="2"/>
  <c r="BC2297" i="2"/>
  <c r="BD2297" i="2"/>
  <c r="M2298" i="2"/>
  <c r="AW2298" i="2"/>
  <c r="AX2298" i="2"/>
  <c r="AY2298" i="2"/>
  <c r="AZ2298" i="2"/>
  <c r="BB2298" i="2"/>
  <c r="BC2298" i="2"/>
  <c r="BD2298" i="2"/>
  <c r="M2299" i="2"/>
  <c r="AW2299" i="2"/>
  <c r="AX2299" i="2"/>
  <c r="AY2299" i="2"/>
  <c r="AZ2299" i="2"/>
  <c r="BB2299" i="2"/>
  <c r="BC2299" i="2"/>
  <c r="BD2299" i="2"/>
  <c r="M2300" i="2"/>
  <c r="AW2300" i="2"/>
  <c r="AX2300" i="2"/>
  <c r="AY2300" i="2"/>
  <c r="AZ2300" i="2"/>
  <c r="BB2300" i="2"/>
  <c r="BC2300" i="2"/>
  <c r="BD2300" i="2"/>
  <c r="M2301" i="2"/>
  <c r="AW2301" i="2"/>
  <c r="AX2301" i="2"/>
  <c r="AY2301" i="2"/>
  <c r="AZ2301" i="2"/>
  <c r="BB2301" i="2"/>
  <c r="BC2301" i="2"/>
  <c r="BD2301" i="2"/>
  <c r="M2302" i="2"/>
  <c r="AW2302" i="2"/>
  <c r="AX2302" i="2"/>
  <c r="AY2302" i="2"/>
  <c r="AZ2302" i="2"/>
  <c r="BB2302" i="2"/>
  <c r="BC2302" i="2"/>
  <c r="BD2302" i="2"/>
  <c r="M2303" i="2"/>
  <c r="AW2303" i="2"/>
  <c r="AX2303" i="2"/>
  <c r="AY2303" i="2"/>
  <c r="AZ2303" i="2"/>
  <c r="BB2303" i="2"/>
  <c r="BC2303" i="2"/>
  <c r="BD2303" i="2"/>
  <c r="M2304" i="2"/>
  <c r="AW2304" i="2"/>
  <c r="AX2304" i="2"/>
  <c r="AY2304" i="2"/>
  <c r="AZ2304" i="2"/>
  <c r="BB2304" i="2"/>
  <c r="BC2304" i="2"/>
  <c r="BD2304" i="2"/>
  <c r="M2305" i="2"/>
  <c r="AW2305" i="2"/>
  <c r="AX2305" i="2"/>
  <c r="AY2305" i="2"/>
  <c r="AZ2305" i="2"/>
  <c r="BB2305" i="2"/>
  <c r="BC2305" i="2"/>
  <c r="BD2305" i="2"/>
  <c r="M2306" i="2"/>
  <c r="AW2306" i="2"/>
  <c r="AX2306" i="2"/>
  <c r="AY2306" i="2"/>
  <c r="AZ2306" i="2"/>
  <c r="BB2306" i="2"/>
  <c r="BC2306" i="2"/>
  <c r="BD2306" i="2"/>
  <c r="M2307" i="2"/>
  <c r="AW2307" i="2"/>
  <c r="AX2307" i="2"/>
  <c r="AY2307" i="2"/>
  <c r="AZ2307" i="2"/>
  <c r="BB2307" i="2"/>
  <c r="BC2307" i="2"/>
  <c r="BD2307" i="2"/>
  <c r="M2308" i="2"/>
  <c r="AW2308" i="2"/>
  <c r="AX2308" i="2"/>
  <c r="AY2308" i="2"/>
  <c r="AZ2308" i="2"/>
  <c r="BB2308" i="2"/>
  <c r="BC2308" i="2"/>
  <c r="BD2308" i="2"/>
  <c r="M2309" i="2"/>
  <c r="AW2309" i="2"/>
  <c r="AX2309" i="2"/>
  <c r="AY2309" i="2"/>
  <c r="AZ2309" i="2"/>
  <c r="BB2309" i="2"/>
  <c r="BC2309" i="2"/>
  <c r="BD2309" i="2"/>
  <c r="M2310" i="2"/>
  <c r="AW2310" i="2"/>
  <c r="AX2310" i="2"/>
  <c r="AY2310" i="2"/>
  <c r="AZ2310" i="2"/>
  <c r="BB2310" i="2"/>
  <c r="BC2310" i="2"/>
  <c r="BD2310" i="2"/>
  <c r="M2311" i="2"/>
  <c r="AW2311" i="2"/>
  <c r="AX2311" i="2"/>
  <c r="AY2311" i="2"/>
  <c r="AZ2311" i="2"/>
  <c r="BB2311" i="2"/>
  <c r="BC2311" i="2"/>
  <c r="BD2311" i="2"/>
  <c r="M2312" i="2"/>
  <c r="AW2312" i="2"/>
  <c r="AX2312" i="2"/>
  <c r="AY2312" i="2"/>
  <c r="AZ2312" i="2"/>
  <c r="BB2312" i="2"/>
  <c r="BC2312" i="2"/>
  <c r="BD2312" i="2"/>
  <c r="M2313" i="2"/>
  <c r="AW2313" i="2"/>
  <c r="AX2313" i="2"/>
  <c r="AY2313" i="2"/>
  <c r="AZ2313" i="2"/>
  <c r="BB2313" i="2"/>
  <c r="BC2313" i="2"/>
  <c r="BD2313" i="2"/>
  <c r="M2314" i="2"/>
  <c r="AW2314" i="2"/>
  <c r="AX2314" i="2"/>
  <c r="AY2314" i="2"/>
  <c r="AZ2314" i="2"/>
  <c r="BB2314" i="2"/>
  <c r="BC2314" i="2"/>
  <c r="BD2314" i="2"/>
  <c r="M2315" i="2"/>
  <c r="AW2315" i="2"/>
  <c r="AX2315" i="2"/>
  <c r="AY2315" i="2"/>
  <c r="AZ2315" i="2"/>
  <c r="BB2315" i="2"/>
  <c r="BC2315" i="2"/>
  <c r="BD2315" i="2"/>
  <c r="M2316" i="2"/>
  <c r="AW2316" i="2"/>
  <c r="AX2316" i="2"/>
  <c r="AY2316" i="2"/>
  <c r="AZ2316" i="2"/>
  <c r="BB2316" i="2"/>
  <c r="BC2316" i="2"/>
  <c r="BD2316" i="2"/>
  <c r="M2317" i="2"/>
  <c r="AW2317" i="2"/>
  <c r="AX2317" i="2"/>
  <c r="AY2317" i="2"/>
  <c r="AZ2317" i="2"/>
  <c r="BB2317" i="2"/>
  <c r="BC2317" i="2"/>
  <c r="BD2317" i="2"/>
  <c r="M2318" i="2"/>
  <c r="AW2318" i="2"/>
  <c r="AX2318" i="2"/>
  <c r="AY2318" i="2"/>
  <c r="AZ2318" i="2"/>
  <c r="BB2318" i="2"/>
  <c r="BC2318" i="2"/>
  <c r="BD2318" i="2"/>
  <c r="M2319" i="2"/>
  <c r="AW2319" i="2"/>
  <c r="AX2319" i="2"/>
  <c r="AY2319" i="2"/>
  <c r="AZ2319" i="2"/>
  <c r="BB2319" i="2"/>
  <c r="BC2319" i="2"/>
  <c r="BD2319" i="2"/>
  <c r="M2320" i="2"/>
  <c r="AW2320" i="2"/>
  <c r="AX2320" i="2"/>
  <c r="AY2320" i="2"/>
  <c r="AZ2320" i="2"/>
  <c r="BB2320" i="2"/>
  <c r="BC2320" i="2"/>
  <c r="BD2320" i="2"/>
  <c r="M2321" i="2"/>
  <c r="AW2321" i="2"/>
  <c r="AX2321" i="2"/>
  <c r="AY2321" i="2"/>
  <c r="AZ2321" i="2"/>
  <c r="BB2321" i="2"/>
  <c r="BC2321" i="2"/>
  <c r="BD2321" i="2"/>
  <c r="M2322" i="2"/>
  <c r="AW2322" i="2"/>
  <c r="AX2322" i="2"/>
  <c r="AY2322" i="2"/>
  <c r="AZ2322" i="2"/>
  <c r="BB2322" i="2"/>
  <c r="BC2322" i="2"/>
  <c r="BD2322" i="2"/>
  <c r="M2323" i="2"/>
  <c r="AW2323" i="2"/>
  <c r="AX2323" i="2"/>
  <c r="AY2323" i="2"/>
  <c r="AZ2323" i="2"/>
  <c r="BB2323" i="2"/>
  <c r="BC2323" i="2"/>
  <c r="BD2323" i="2"/>
  <c r="M2324" i="2"/>
  <c r="AW2324" i="2"/>
  <c r="AX2324" i="2"/>
  <c r="AY2324" i="2"/>
  <c r="AZ2324" i="2"/>
  <c r="BB2324" i="2"/>
  <c r="BC2324" i="2"/>
  <c r="BD2324" i="2"/>
  <c r="M2325" i="2"/>
  <c r="AW2325" i="2"/>
  <c r="AX2325" i="2"/>
  <c r="AY2325" i="2"/>
  <c r="AZ2325" i="2"/>
  <c r="BB2325" i="2"/>
  <c r="BC2325" i="2"/>
  <c r="BD2325" i="2"/>
  <c r="M2326" i="2"/>
  <c r="AW2326" i="2"/>
  <c r="AX2326" i="2"/>
  <c r="AY2326" i="2"/>
  <c r="AZ2326" i="2"/>
  <c r="BB2326" i="2"/>
  <c r="BC2326" i="2"/>
  <c r="BD2326" i="2"/>
  <c r="M2327" i="2"/>
  <c r="AW2327" i="2"/>
  <c r="AX2327" i="2"/>
  <c r="AY2327" i="2"/>
  <c r="AZ2327" i="2"/>
  <c r="BB2327" i="2"/>
  <c r="BC2327" i="2"/>
  <c r="BD2327" i="2"/>
  <c r="M2328" i="2"/>
  <c r="AW2328" i="2"/>
  <c r="AX2328" i="2"/>
  <c r="AY2328" i="2"/>
  <c r="AZ2328" i="2"/>
  <c r="BB2328" i="2"/>
  <c r="BC2328" i="2"/>
  <c r="BD2328" i="2"/>
  <c r="M2329" i="2"/>
  <c r="AW2329" i="2"/>
  <c r="AX2329" i="2"/>
  <c r="AY2329" i="2"/>
  <c r="AZ2329" i="2"/>
  <c r="BB2329" i="2"/>
  <c r="BC2329" i="2"/>
  <c r="BD2329" i="2"/>
  <c r="M2330" i="2"/>
  <c r="AW2330" i="2"/>
  <c r="AX2330" i="2"/>
  <c r="AY2330" i="2"/>
  <c r="AZ2330" i="2"/>
  <c r="BB2330" i="2"/>
  <c r="BC2330" i="2"/>
  <c r="BD2330" i="2"/>
  <c r="M2331" i="2"/>
  <c r="AW2331" i="2"/>
  <c r="AX2331" i="2"/>
  <c r="AY2331" i="2"/>
  <c r="AZ2331" i="2"/>
  <c r="BB2331" i="2"/>
  <c r="BC2331" i="2"/>
  <c r="BD2331" i="2"/>
  <c r="M2332" i="2"/>
  <c r="AW2332" i="2"/>
  <c r="AX2332" i="2"/>
  <c r="AY2332" i="2"/>
  <c r="AZ2332" i="2"/>
  <c r="BB2332" i="2"/>
  <c r="BC2332" i="2"/>
  <c r="BD2332" i="2"/>
  <c r="M2333" i="2"/>
  <c r="AX2333" i="2"/>
  <c r="AZ2333" i="2"/>
  <c r="BB2333" i="2"/>
  <c r="BC2333" i="2"/>
  <c r="BD2333" i="2"/>
  <c r="BP2333" i="2"/>
  <c r="M2335" i="2"/>
  <c r="AW2335" i="2"/>
  <c r="AX2335" i="2"/>
  <c r="AY2335" i="2"/>
  <c r="AZ2335" i="2"/>
  <c r="BB2335" i="2"/>
  <c r="BC2335" i="2"/>
  <c r="BD2335" i="2"/>
  <c r="M2336" i="2"/>
  <c r="AW2336" i="2"/>
  <c r="AX2336" i="2"/>
  <c r="AY2336" i="2"/>
  <c r="AZ2336" i="2"/>
  <c r="BB2336" i="2"/>
  <c r="BC2336" i="2"/>
  <c r="BD2336" i="2"/>
  <c r="M2337" i="2"/>
  <c r="AW2337" i="2"/>
  <c r="AX2337" i="2"/>
  <c r="AY2337" i="2"/>
  <c r="AZ2337" i="2"/>
  <c r="BB2337" i="2"/>
  <c r="BC2337" i="2"/>
  <c r="BD2337" i="2"/>
  <c r="M2338" i="2"/>
  <c r="AW2338" i="2"/>
  <c r="AX2338" i="2"/>
  <c r="AY2338" i="2"/>
  <c r="AZ2338" i="2"/>
  <c r="BB2338" i="2"/>
  <c r="BC2338" i="2"/>
  <c r="BD2338" i="2"/>
  <c r="M2339" i="2"/>
  <c r="AW2339" i="2"/>
  <c r="AX2339" i="2"/>
  <c r="AY2339" i="2"/>
  <c r="AZ2339" i="2"/>
  <c r="BB2339" i="2"/>
  <c r="BC2339" i="2"/>
  <c r="BD2339" i="2"/>
  <c r="M2340" i="2"/>
  <c r="AW2340" i="2"/>
  <c r="AX2340" i="2"/>
  <c r="AY2340" i="2"/>
  <c r="AZ2340" i="2"/>
  <c r="BB2340" i="2"/>
  <c r="BC2340" i="2"/>
  <c r="BD2340" i="2"/>
  <c r="M2341" i="2"/>
  <c r="AW2341" i="2"/>
  <c r="AX2341" i="2"/>
  <c r="AY2341" i="2"/>
  <c r="AZ2341" i="2"/>
  <c r="BB2341" i="2"/>
  <c r="BC2341" i="2"/>
  <c r="BD2341" i="2"/>
  <c r="M2342" i="2"/>
  <c r="AW2342" i="2"/>
  <c r="AX2342" i="2"/>
  <c r="AY2342" i="2"/>
  <c r="AZ2342" i="2"/>
  <c r="BB2342" i="2"/>
  <c r="BC2342" i="2"/>
  <c r="BD2342" i="2"/>
  <c r="M2343" i="2"/>
  <c r="AW2343" i="2"/>
  <c r="AX2343" i="2"/>
  <c r="AY2343" i="2"/>
  <c r="AZ2343" i="2"/>
  <c r="BB2343" i="2"/>
  <c r="BC2343" i="2"/>
  <c r="BD2343" i="2"/>
  <c r="M2344" i="2"/>
  <c r="AW2344" i="2"/>
  <c r="AX2344" i="2"/>
  <c r="AY2344" i="2"/>
  <c r="AZ2344" i="2"/>
  <c r="BB2344" i="2"/>
  <c r="BC2344" i="2"/>
  <c r="BD2344" i="2"/>
  <c r="M2345" i="2"/>
  <c r="AW2345" i="2"/>
  <c r="AX2345" i="2"/>
  <c r="AY2345" i="2"/>
  <c r="AZ2345" i="2"/>
  <c r="BB2345" i="2"/>
  <c r="BC2345" i="2"/>
  <c r="BD2345" i="2"/>
  <c r="M2346" i="2"/>
  <c r="AW2346" i="2"/>
  <c r="AX2346" i="2"/>
  <c r="AY2346" i="2"/>
  <c r="AZ2346" i="2"/>
  <c r="BB2346" i="2"/>
  <c r="BC2346" i="2"/>
  <c r="BD2346" i="2"/>
  <c r="M2347" i="2"/>
  <c r="AW2347" i="2"/>
  <c r="AX2347" i="2"/>
  <c r="AY2347" i="2"/>
  <c r="AZ2347" i="2"/>
  <c r="BB2347" i="2"/>
  <c r="BC2347" i="2"/>
  <c r="BD2347" i="2"/>
  <c r="M2348" i="2"/>
  <c r="AW2348" i="2"/>
  <c r="AX2348" i="2"/>
  <c r="AY2348" i="2"/>
  <c r="AZ2348" i="2"/>
  <c r="BB2348" i="2"/>
  <c r="BC2348" i="2"/>
  <c r="BD2348" i="2"/>
  <c r="M2349" i="2"/>
  <c r="AW2349" i="2"/>
  <c r="AX2349" i="2"/>
  <c r="AY2349" i="2"/>
  <c r="AZ2349" i="2"/>
  <c r="BB2349" i="2"/>
  <c r="BC2349" i="2"/>
  <c r="BD2349" i="2"/>
  <c r="M2350" i="2"/>
  <c r="AW2350" i="2"/>
  <c r="AX2350" i="2"/>
  <c r="AY2350" i="2"/>
  <c r="AZ2350" i="2"/>
  <c r="BB2350" i="2"/>
  <c r="BC2350" i="2"/>
  <c r="BD2350" i="2"/>
  <c r="M2351" i="2"/>
  <c r="AW2351" i="2"/>
  <c r="AX2351" i="2"/>
  <c r="AY2351" i="2"/>
  <c r="AZ2351" i="2"/>
  <c r="BB2351" i="2"/>
  <c r="BC2351" i="2"/>
  <c r="BD2351" i="2"/>
  <c r="M2352" i="2"/>
  <c r="AW2352" i="2"/>
  <c r="AX2352" i="2"/>
  <c r="AY2352" i="2"/>
  <c r="AZ2352" i="2"/>
  <c r="BB2352" i="2"/>
  <c r="BC2352" i="2"/>
  <c r="BD2352" i="2"/>
  <c r="M2353" i="2"/>
  <c r="AW2353" i="2"/>
  <c r="AX2353" i="2"/>
  <c r="AY2353" i="2"/>
  <c r="AZ2353" i="2"/>
  <c r="BB2353" i="2"/>
  <c r="BC2353" i="2"/>
  <c r="BD2353" i="2"/>
  <c r="M2354" i="2"/>
  <c r="AW2354" i="2"/>
  <c r="AX2354" i="2"/>
  <c r="AY2354" i="2"/>
  <c r="AZ2354" i="2"/>
  <c r="BB2354" i="2"/>
  <c r="BC2354" i="2"/>
  <c r="BD2354" i="2"/>
  <c r="M2355" i="2"/>
  <c r="AW2355" i="2"/>
  <c r="AX2355" i="2"/>
  <c r="AY2355" i="2"/>
  <c r="AZ2355" i="2"/>
  <c r="BB2355" i="2"/>
  <c r="BC2355" i="2"/>
  <c r="BD2355" i="2"/>
  <c r="M2356" i="2"/>
  <c r="AW2356" i="2"/>
  <c r="AX2356" i="2"/>
  <c r="AY2356" i="2"/>
  <c r="AZ2356" i="2"/>
  <c r="BB2356" i="2"/>
  <c r="BC2356" i="2"/>
  <c r="BD2356" i="2"/>
  <c r="M2357" i="2"/>
  <c r="AW2357" i="2"/>
  <c r="AX2357" i="2"/>
  <c r="AY2357" i="2"/>
  <c r="AZ2357" i="2"/>
  <c r="BB2357" i="2"/>
  <c r="BC2357" i="2"/>
  <c r="BD2357" i="2"/>
  <c r="M2358" i="2"/>
  <c r="AW2358" i="2"/>
  <c r="AX2358" i="2"/>
  <c r="AY2358" i="2"/>
  <c r="AZ2358" i="2"/>
  <c r="BB2358" i="2"/>
  <c r="BC2358" i="2"/>
  <c r="BD2358" i="2"/>
  <c r="M2359" i="2"/>
  <c r="AW2359" i="2"/>
  <c r="AX2359" i="2"/>
  <c r="AY2359" i="2"/>
  <c r="AZ2359" i="2"/>
  <c r="BB2359" i="2"/>
  <c r="BC2359" i="2"/>
  <c r="BD2359" i="2"/>
  <c r="M2360" i="2"/>
  <c r="AW2360" i="2"/>
  <c r="AX2360" i="2"/>
  <c r="AY2360" i="2"/>
  <c r="AZ2360" i="2"/>
  <c r="BB2360" i="2"/>
  <c r="BC2360" i="2"/>
  <c r="BD2360" i="2"/>
  <c r="M2361" i="2"/>
  <c r="AW2361" i="2"/>
  <c r="AX2361" i="2"/>
  <c r="AY2361" i="2"/>
  <c r="AZ2361" i="2"/>
  <c r="BB2361" i="2"/>
  <c r="BC2361" i="2"/>
  <c r="BD2361" i="2"/>
  <c r="M2362" i="2"/>
  <c r="AW2362" i="2"/>
  <c r="AX2362" i="2"/>
  <c r="AY2362" i="2"/>
  <c r="AZ2362" i="2"/>
  <c r="BB2362" i="2"/>
  <c r="BC2362" i="2"/>
  <c r="BD2362" i="2"/>
  <c r="M2363" i="2"/>
  <c r="AW2363" i="2"/>
  <c r="AX2363" i="2"/>
  <c r="AY2363" i="2"/>
  <c r="AZ2363" i="2"/>
  <c r="BB2363" i="2"/>
  <c r="BC2363" i="2"/>
  <c r="BD2363" i="2"/>
  <c r="M2364" i="2"/>
  <c r="AW2364" i="2"/>
  <c r="AX2364" i="2"/>
  <c r="AY2364" i="2"/>
  <c r="AZ2364" i="2"/>
  <c r="BB2364" i="2"/>
  <c r="BC2364" i="2"/>
  <c r="BD2364" i="2"/>
  <c r="M2365" i="2"/>
  <c r="AW2365" i="2"/>
  <c r="AX2365" i="2"/>
  <c r="AY2365" i="2"/>
  <c r="AZ2365" i="2"/>
  <c r="BB2365" i="2"/>
  <c r="BC2365" i="2"/>
  <c r="BD2365" i="2"/>
  <c r="M2366" i="2"/>
  <c r="AW2366" i="2"/>
  <c r="AX2366" i="2"/>
  <c r="AY2366" i="2"/>
  <c r="AZ2366" i="2"/>
  <c r="BB2366" i="2"/>
  <c r="BC2366" i="2"/>
  <c r="BD2366" i="2"/>
  <c r="M2367" i="2"/>
  <c r="AW2367" i="2"/>
  <c r="AX2367" i="2"/>
  <c r="AY2367" i="2"/>
  <c r="AZ2367" i="2"/>
  <c r="BB2367" i="2"/>
  <c r="BC2367" i="2"/>
  <c r="BD2367" i="2"/>
  <c r="M2368" i="2"/>
  <c r="AW2368" i="2"/>
  <c r="AX2368" i="2"/>
  <c r="AY2368" i="2"/>
  <c r="AZ2368" i="2"/>
  <c r="BB2368" i="2"/>
  <c r="BC2368" i="2"/>
  <c r="BD2368" i="2"/>
  <c r="M2369" i="2"/>
  <c r="AW2369" i="2"/>
  <c r="AX2369" i="2"/>
  <c r="AY2369" i="2"/>
  <c r="AZ2369" i="2"/>
  <c r="BB2369" i="2"/>
  <c r="BC2369" i="2"/>
  <c r="BD2369" i="2"/>
  <c r="M2370" i="2"/>
  <c r="AW2370" i="2"/>
  <c r="AX2370" i="2"/>
  <c r="AY2370" i="2"/>
  <c r="AZ2370" i="2"/>
  <c r="BB2370" i="2"/>
  <c r="BC2370" i="2"/>
  <c r="BD2370" i="2"/>
  <c r="M2371" i="2"/>
  <c r="AW2371" i="2"/>
  <c r="AX2371" i="2"/>
  <c r="AY2371" i="2"/>
  <c r="AZ2371" i="2"/>
  <c r="BB2371" i="2"/>
  <c r="BC2371" i="2"/>
  <c r="BD2371" i="2"/>
  <c r="M2372" i="2"/>
  <c r="AW2372" i="2"/>
  <c r="AX2372" i="2"/>
  <c r="AY2372" i="2"/>
  <c r="AZ2372" i="2"/>
  <c r="BB2372" i="2"/>
  <c r="BC2372" i="2"/>
  <c r="BD2372" i="2"/>
  <c r="M2373" i="2"/>
  <c r="AW2373" i="2"/>
  <c r="AX2373" i="2"/>
  <c r="AY2373" i="2"/>
  <c r="AZ2373" i="2"/>
  <c r="BB2373" i="2"/>
  <c r="BC2373" i="2"/>
  <c r="BD2373" i="2"/>
  <c r="M2374" i="2"/>
  <c r="AW2374" i="2"/>
  <c r="AX2374" i="2"/>
  <c r="AY2374" i="2"/>
  <c r="AZ2374" i="2"/>
  <c r="BB2374" i="2"/>
  <c r="BC2374" i="2"/>
  <c r="BD2374" i="2"/>
  <c r="M2375" i="2"/>
  <c r="AW2375" i="2"/>
  <c r="AX2375" i="2"/>
  <c r="AY2375" i="2"/>
  <c r="AZ2375" i="2"/>
  <c r="BB2375" i="2"/>
  <c r="BC2375" i="2"/>
  <c r="BD2375" i="2"/>
  <c r="M2376" i="2"/>
  <c r="AW2376" i="2"/>
  <c r="AX2376" i="2"/>
  <c r="AY2376" i="2"/>
  <c r="AZ2376" i="2"/>
  <c r="BB2376" i="2"/>
  <c r="BC2376" i="2"/>
  <c r="BD2376" i="2"/>
  <c r="M2377" i="2"/>
  <c r="AW2377" i="2"/>
  <c r="AX2377" i="2"/>
  <c r="AY2377" i="2"/>
  <c r="AZ2377" i="2"/>
  <c r="BB2377" i="2"/>
  <c r="BC2377" i="2"/>
  <c r="BD2377" i="2"/>
  <c r="M2378" i="2"/>
  <c r="AW2378" i="2"/>
  <c r="AX2378" i="2"/>
  <c r="AY2378" i="2"/>
  <c r="AZ2378" i="2"/>
  <c r="BB2378" i="2"/>
  <c r="BC2378" i="2"/>
  <c r="BD2378" i="2"/>
  <c r="M2379" i="2"/>
  <c r="AW2379" i="2"/>
  <c r="AX2379" i="2"/>
  <c r="AY2379" i="2"/>
  <c r="AZ2379" i="2"/>
  <c r="BB2379" i="2"/>
  <c r="BC2379" i="2"/>
  <c r="BD2379" i="2"/>
  <c r="M2380" i="2"/>
  <c r="AW2380" i="2"/>
  <c r="AX2380" i="2"/>
  <c r="AY2380" i="2"/>
  <c r="AZ2380" i="2"/>
  <c r="BB2380" i="2"/>
  <c r="BC2380" i="2"/>
  <c r="BD2380" i="2"/>
  <c r="M2381" i="2"/>
  <c r="AW2381" i="2"/>
  <c r="AX2381" i="2"/>
  <c r="AY2381" i="2"/>
  <c r="AZ2381" i="2"/>
  <c r="BB2381" i="2"/>
  <c r="BC2381" i="2"/>
  <c r="BD2381" i="2"/>
  <c r="M2382" i="2"/>
  <c r="AW2382" i="2"/>
  <c r="AX2382" i="2"/>
  <c r="AY2382" i="2"/>
  <c r="AZ2382" i="2"/>
  <c r="BB2382" i="2"/>
  <c r="BC2382" i="2"/>
  <c r="BD2382" i="2"/>
  <c r="M2383" i="2"/>
  <c r="AW2383" i="2"/>
  <c r="AX2383" i="2"/>
  <c r="AY2383" i="2"/>
  <c r="AZ2383" i="2"/>
  <c r="BB2383" i="2"/>
  <c r="BC2383" i="2"/>
  <c r="BD2383" i="2"/>
  <c r="M2384" i="2"/>
  <c r="AW2384" i="2"/>
  <c r="AX2384" i="2"/>
  <c r="AY2384" i="2"/>
  <c r="AZ2384" i="2"/>
  <c r="BB2384" i="2"/>
  <c r="BC2384" i="2"/>
  <c r="BD2384" i="2"/>
  <c r="M2385" i="2"/>
  <c r="AW2385" i="2"/>
  <c r="AX2385" i="2"/>
  <c r="AY2385" i="2"/>
  <c r="AZ2385" i="2"/>
  <c r="BB2385" i="2"/>
  <c r="BC2385" i="2"/>
  <c r="BD2385" i="2"/>
  <c r="M2386" i="2"/>
  <c r="AW2386" i="2"/>
  <c r="AX2386" i="2"/>
  <c r="AY2386" i="2"/>
  <c r="AZ2386" i="2"/>
  <c r="BB2386" i="2"/>
  <c r="BC2386" i="2"/>
  <c r="BD2386" i="2"/>
  <c r="M2387" i="2"/>
  <c r="AW2387" i="2"/>
  <c r="AX2387" i="2"/>
  <c r="AY2387" i="2"/>
  <c r="AZ2387" i="2"/>
  <c r="BB2387" i="2"/>
  <c r="BC2387" i="2"/>
  <c r="BD2387" i="2"/>
  <c r="M2388" i="2"/>
  <c r="AW2388" i="2"/>
  <c r="AX2388" i="2"/>
  <c r="AY2388" i="2"/>
  <c r="AZ2388" i="2"/>
  <c r="BB2388" i="2"/>
  <c r="BC2388" i="2"/>
  <c r="BD2388" i="2"/>
  <c r="M2389" i="2"/>
  <c r="AW2389" i="2"/>
  <c r="AX2389" i="2"/>
  <c r="AY2389" i="2"/>
  <c r="AZ2389" i="2"/>
  <c r="BB2389" i="2"/>
  <c r="BC2389" i="2"/>
  <c r="BD2389" i="2"/>
  <c r="M2390" i="2"/>
  <c r="AW2390" i="2"/>
  <c r="AX2390" i="2"/>
  <c r="AY2390" i="2"/>
  <c r="AZ2390" i="2"/>
  <c r="BB2390" i="2"/>
  <c r="BC2390" i="2"/>
  <c r="BD2390" i="2"/>
  <c r="M2391" i="2"/>
  <c r="AW2391" i="2"/>
  <c r="AX2391" i="2"/>
  <c r="AY2391" i="2"/>
  <c r="AZ2391" i="2"/>
  <c r="BB2391" i="2"/>
  <c r="BC2391" i="2"/>
  <c r="BD2391" i="2"/>
  <c r="M2392" i="2"/>
  <c r="AW2392" i="2"/>
  <c r="AX2392" i="2"/>
  <c r="AY2392" i="2"/>
  <c r="AZ2392" i="2"/>
  <c r="BB2392" i="2"/>
  <c r="BC2392" i="2"/>
  <c r="BD2392" i="2"/>
  <c r="M2393" i="2"/>
  <c r="AW2393" i="2"/>
  <c r="AX2393" i="2"/>
  <c r="AY2393" i="2"/>
  <c r="AZ2393" i="2"/>
  <c r="BB2393" i="2"/>
  <c r="BC2393" i="2"/>
  <c r="BD2393" i="2"/>
  <c r="M2394" i="2"/>
  <c r="AW2394" i="2"/>
  <c r="AX2394" i="2"/>
  <c r="AY2394" i="2"/>
  <c r="AZ2394" i="2"/>
  <c r="BB2394" i="2"/>
  <c r="BC2394" i="2"/>
  <c r="BD2394" i="2"/>
  <c r="M2395" i="2"/>
  <c r="AW2395" i="2"/>
  <c r="AX2395" i="2"/>
  <c r="AY2395" i="2"/>
  <c r="AZ2395" i="2"/>
  <c r="BB2395" i="2"/>
  <c r="BC2395" i="2"/>
  <c r="BD2395" i="2"/>
  <c r="M2396" i="2"/>
  <c r="AW2396" i="2"/>
  <c r="AX2396" i="2"/>
  <c r="AY2396" i="2"/>
  <c r="AZ2396" i="2"/>
  <c r="BB2396" i="2"/>
  <c r="BC2396" i="2"/>
  <c r="BD2396" i="2"/>
  <c r="M2397" i="2"/>
  <c r="AW2397" i="2"/>
  <c r="AX2397" i="2"/>
  <c r="AY2397" i="2"/>
  <c r="AZ2397" i="2"/>
  <c r="BB2397" i="2"/>
  <c r="BC2397" i="2"/>
  <c r="BD2397" i="2"/>
  <c r="M2398" i="2"/>
  <c r="AW2398" i="2"/>
  <c r="AX2398" i="2"/>
  <c r="AY2398" i="2"/>
  <c r="AZ2398" i="2"/>
  <c r="BB2398" i="2"/>
  <c r="BC2398" i="2"/>
  <c r="BD2398" i="2"/>
  <c r="M2399" i="2"/>
  <c r="AW2399" i="2"/>
  <c r="AX2399" i="2"/>
  <c r="AY2399" i="2"/>
  <c r="AZ2399" i="2"/>
  <c r="BB2399" i="2"/>
  <c r="BC2399" i="2"/>
  <c r="BD2399" i="2"/>
  <c r="M2400" i="2"/>
  <c r="AW2400" i="2"/>
  <c r="AX2400" i="2"/>
  <c r="AY2400" i="2"/>
  <c r="AZ2400" i="2"/>
  <c r="BB2400" i="2"/>
  <c r="BC2400" i="2"/>
  <c r="BD2400" i="2"/>
  <c r="M2401" i="2"/>
  <c r="AW2401" i="2"/>
  <c r="AX2401" i="2"/>
  <c r="AY2401" i="2"/>
  <c r="AZ2401" i="2"/>
  <c r="BB2401" i="2"/>
  <c r="BC2401" i="2"/>
  <c r="BD2401" i="2"/>
  <c r="M2402" i="2"/>
  <c r="AX2402" i="2"/>
  <c r="AZ2402" i="2"/>
  <c r="BB2402" i="2"/>
  <c r="BC2402" i="2"/>
  <c r="BD2402" i="2"/>
  <c r="M2404" i="2"/>
  <c r="AW2404" i="2"/>
  <c r="AX2404" i="2"/>
  <c r="AY2404" i="2"/>
  <c r="AZ2404" i="2"/>
  <c r="BB2404" i="2"/>
  <c r="BC2404" i="2"/>
  <c r="BD2404" i="2"/>
  <c r="M2405" i="2"/>
  <c r="AW2405" i="2"/>
  <c r="AX2405" i="2"/>
  <c r="AY2405" i="2"/>
  <c r="AZ2405" i="2"/>
  <c r="BB2405" i="2"/>
  <c r="BC2405" i="2"/>
  <c r="BD2405" i="2"/>
  <c r="M2406" i="2"/>
  <c r="AW2406" i="2"/>
  <c r="AX2406" i="2"/>
  <c r="AY2406" i="2"/>
  <c r="AZ2406" i="2"/>
  <c r="BB2406" i="2"/>
  <c r="BC2406" i="2"/>
  <c r="BD2406" i="2"/>
  <c r="M2407" i="2"/>
  <c r="AW2407" i="2"/>
  <c r="AX2407" i="2"/>
  <c r="AY2407" i="2"/>
  <c r="AZ2407" i="2"/>
  <c r="BB2407" i="2"/>
  <c r="BC2407" i="2"/>
  <c r="BD2407" i="2"/>
  <c r="M2409" i="2"/>
  <c r="AW2409" i="2"/>
  <c r="AX2409" i="2"/>
  <c r="AY2409" i="2"/>
  <c r="AZ2409" i="2"/>
  <c r="BB2409" i="2"/>
  <c r="BC2409" i="2"/>
  <c r="BD2409" i="2"/>
  <c r="BP2409" i="2"/>
  <c r="M2410" i="2"/>
  <c r="AX2410" i="2"/>
  <c r="AZ2410" i="2"/>
  <c r="BB2410" i="2"/>
  <c r="BC2410" i="2"/>
  <c r="BD2410" i="2"/>
  <c r="BP2410" i="2"/>
  <c r="M2412" i="2"/>
  <c r="AW2412" i="2"/>
  <c r="AX2412" i="2"/>
  <c r="AY2412" i="2"/>
  <c r="AZ2412" i="2"/>
  <c r="BB2412" i="2"/>
  <c r="BC2412" i="2"/>
  <c r="BD2412" i="2"/>
  <c r="M2413" i="2"/>
  <c r="AW2413" i="2"/>
  <c r="AX2413" i="2"/>
  <c r="AY2413" i="2"/>
  <c r="AZ2413" i="2"/>
  <c r="BB2413" i="2"/>
  <c r="BC2413" i="2"/>
  <c r="BD2413" i="2"/>
  <c r="M2414" i="2"/>
  <c r="AW2414" i="2"/>
  <c r="AX2414" i="2"/>
  <c r="AY2414" i="2"/>
  <c r="AZ2414" i="2"/>
  <c r="BB2414" i="2"/>
  <c r="BC2414" i="2"/>
  <c r="BD2414" i="2"/>
  <c r="M2415" i="2"/>
  <c r="AW2415" i="2"/>
  <c r="AX2415" i="2"/>
  <c r="AY2415" i="2"/>
  <c r="AZ2415" i="2"/>
  <c r="BB2415" i="2"/>
  <c r="BC2415" i="2"/>
  <c r="BD2415" i="2"/>
  <c r="M2416" i="2"/>
  <c r="AW2416" i="2"/>
  <c r="AX2416" i="2"/>
  <c r="AY2416" i="2"/>
  <c r="AZ2416" i="2"/>
  <c r="BB2416" i="2"/>
  <c r="BC2416" i="2"/>
  <c r="BD2416" i="2"/>
  <c r="M2417" i="2"/>
  <c r="AW2417" i="2"/>
  <c r="AX2417" i="2"/>
  <c r="AY2417" i="2"/>
  <c r="AZ2417" i="2"/>
  <c r="BB2417" i="2"/>
  <c r="BC2417" i="2"/>
  <c r="BD2417" i="2"/>
  <c r="M2418" i="2"/>
  <c r="AW2418" i="2"/>
  <c r="AX2418" i="2"/>
  <c r="AY2418" i="2"/>
  <c r="AZ2418" i="2"/>
  <c r="BB2418" i="2"/>
  <c r="BC2418" i="2"/>
  <c r="BD2418" i="2"/>
  <c r="M2419" i="2"/>
  <c r="AW2419" i="2"/>
  <c r="AX2419" i="2"/>
  <c r="AY2419" i="2"/>
  <c r="AZ2419" i="2"/>
  <c r="BB2419" i="2"/>
  <c r="BC2419" i="2"/>
  <c r="BD2419" i="2"/>
  <c r="M2420" i="2"/>
  <c r="AW2420" i="2"/>
  <c r="AX2420" i="2"/>
  <c r="AY2420" i="2"/>
  <c r="AZ2420" i="2"/>
  <c r="BB2420" i="2"/>
  <c r="BC2420" i="2"/>
  <c r="BD2420" i="2"/>
  <c r="M2421" i="2"/>
  <c r="AW2421" i="2"/>
  <c r="AX2421" i="2"/>
  <c r="AY2421" i="2"/>
  <c r="AZ2421" i="2"/>
  <c r="BB2421" i="2"/>
  <c r="BC2421" i="2"/>
  <c r="BD2421" i="2"/>
  <c r="M2422" i="2"/>
  <c r="AW2422" i="2"/>
  <c r="AX2422" i="2"/>
  <c r="AY2422" i="2"/>
  <c r="AZ2422" i="2"/>
  <c r="BB2422" i="2"/>
  <c r="BC2422" i="2"/>
  <c r="BD2422" i="2"/>
  <c r="M2423" i="2"/>
  <c r="AW2423" i="2"/>
  <c r="AX2423" i="2"/>
  <c r="AY2423" i="2"/>
  <c r="AZ2423" i="2"/>
  <c r="BB2423" i="2"/>
  <c r="BC2423" i="2"/>
  <c r="BD2423" i="2"/>
  <c r="M2424" i="2"/>
  <c r="AW2424" i="2"/>
  <c r="AX2424" i="2"/>
  <c r="AY2424" i="2"/>
  <c r="AZ2424" i="2"/>
  <c r="BB2424" i="2"/>
  <c r="BC2424" i="2"/>
  <c r="BD2424" i="2"/>
  <c r="M2425" i="2"/>
  <c r="AW2425" i="2"/>
  <c r="AX2425" i="2"/>
  <c r="AY2425" i="2"/>
  <c r="AZ2425" i="2"/>
  <c r="BB2425" i="2"/>
  <c r="BC2425" i="2"/>
  <c r="BD2425" i="2"/>
  <c r="M2426" i="2"/>
  <c r="AW2426" i="2"/>
  <c r="AX2426" i="2"/>
  <c r="AY2426" i="2"/>
  <c r="AZ2426" i="2"/>
  <c r="BB2426" i="2"/>
  <c r="BC2426" i="2"/>
  <c r="BD2426" i="2"/>
  <c r="M2427" i="2"/>
  <c r="AW2427" i="2"/>
  <c r="AX2427" i="2"/>
  <c r="AY2427" i="2"/>
  <c r="AZ2427" i="2"/>
  <c r="BB2427" i="2"/>
  <c r="BC2427" i="2"/>
  <c r="BD2427" i="2"/>
  <c r="M2428" i="2"/>
  <c r="AW2428" i="2"/>
  <c r="AX2428" i="2"/>
  <c r="AY2428" i="2"/>
  <c r="AZ2428" i="2"/>
  <c r="BB2428" i="2"/>
  <c r="BC2428" i="2"/>
  <c r="BD2428" i="2"/>
  <c r="M2429" i="2"/>
  <c r="AW2429" i="2"/>
  <c r="AX2429" i="2"/>
  <c r="AY2429" i="2"/>
  <c r="AZ2429" i="2"/>
  <c r="BB2429" i="2"/>
  <c r="BC2429" i="2"/>
  <c r="BD2429" i="2"/>
  <c r="M2430" i="2"/>
  <c r="AW2430" i="2"/>
  <c r="AX2430" i="2"/>
  <c r="AY2430" i="2"/>
  <c r="AZ2430" i="2"/>
  <c r="BB2430" i="2"/>
  <c r="BC2430" i="2"/>
  <c r="BD2430" i="2"/>
  <c r="M2431" i="2"/>
  <c r="AW2431" i="2"/>
  <c r="AX2431" i="2"/>
  <c r="AY2431" i="2"/>
  <c r="AZ2431" i="2"/>
  <c r="BB2431" i="2"/>
  <c r="BC2431" i="2"/>
  <c r="BD2431" i="2"/>
  <c r="M2432" i="2"/>
  <c r="AW2432" i="2"/>
  <c r="AX2432" i="2"/>
  <c r="AY2432" i="2"/>
  <c r="AZ2432" i="2"/>
  <c r="BB2432" i="2"/>
  <c r="BC2432" i="2"/>
  <c r="BD2432" i="2"/>
  <c r="M2433" i="2"/>
  <c r="AW2433" i="2"/>
  <c r="AX2433" i="2"/>
  <c r="AY2433" i="2"/>
  <c r="AZ2433" i="2"/>
  <c r="BB2433" i="2"/>
  <c r="BC2433" i="2"/>
  <c r="BD2433" i="2"/>
  <c r="M2434" i="2"/>
  <c r="AW2434" i="2"/>
  <c r="AX2434" i="2"/>
  <c r="AY2434" i="2"/>
  <c r="AZ2434" i="2"/>
  <c r="BB2434" i="2"/>
  <c r="BC2434" i="2"/>
  <c r="BD2434" i="2"/>
  <c r="M2435" i="2"/>
  <c r="AW2435" i="2"/>
  <c r="AX2435" i="2"/>
  <c r="AY2435" i="2"/>
  <c r="AZ2435" i="2"/>
  <c r="BB2435" i="2"/>
  <c r="BC2435" i="2"/>
  <c r="BD2435" i="2"/>
  <c r="M2436" i="2"/>
  <c r="AW2436" i="2"/>
  <c r="AX2436" i="2"/>
  <c r="AY2436" i="2"/>
  <c r="AZ2436" i="2"/>
  <c r="BB2436" i="2"/>
  <c r="BC2436" i="2"/>
  <c r="BD2436" i="2"/>
  <c r="M2437" i="2"/>
  <c r="AW2437" i="2"/>
  <c r="AX2437" i="2"/>
  <c r="AY2437" i="2"/>
  <c r="AZ2437" i="2"/>
  <c r="BB2437" i="2"/>
  <c r="BC2437" i="2"/>
  <c r="BD2437" i="2"/>
  <c r="M2438" i="2"/>
  <c r="AW2438" i="2"/>
  <c r="AX2438" i="2"/>
  <c r="AY2438" i="2"/>
  <c r="AZ2438" i="2"/>
  <c r="BB2438" i="2"/>
  <c r="BC2438" i="2"/>
  <c r="BD2438" i="2"/>
  <c r="M2439" i="2"/>
  <c r="AW2439" i="2"/>
  <c r="AX2439" i="2"/>
  <c r="AY2439" i="2"/>
  <c r="AZ2439" i="2"/>
  <c r="BB2439" i="2"/>
  <c r="BC2439" i="2"/>
  <c r="BD2439" i="2"/>
  <c r="M2440" i="2"/>
  <c r="AW2440" i="2"/>
  <c r="AX2440" i="2"/>
  <c r="AY2440" i="2"/>
  <c r="AZ2440" i="2"/>
  <c r="BB2440" i="2"/>
  <c r="BC2440" i="2"/>
  <c r="BD2440" i="2"/>
  <c r="M2441" i="2"/>
  <c r="AW2441" i="2"/>
  <c r="AX2441" i="2"/>
  <c r="AY2441" i="2"/>
  <c r="AZ2441" i="2"/>
  <c r="BB2441" i="2"/>
  <c r="BC2441" i="2"/>
  <c r="BD2441" i="2"/>
  <c r="M2442" i="2"/>
  <c r="AW2442" i="2"/>
  <c r="AX2442" i="2"/>
  <c r="AY2442" i="2"/>
  <c r="AZ2442" i="2"/>
  <c r="BB2442" i="2"/>
  <c r="BC2442" i="2"/>
  <c r="BD2442" i="2"/>
  <c r="M2443" i="2"/>
  <c r="AW2443" i="2"/>
  <c r="AX2443" i="2"/>
  <c r="AY2443" i="2"/>
  <c r="AZ2443" i="2"/>
  <c r="BB2443" i="2"/>
  <c r="BC2443" i="2"/>
  <c r="BD2443" i="2"/>
  <c r="M2444" i="2"/>
  <c r="AW2444" i="2"/>
  <c r="AX2444" i="2"/>
  <c r="AY2444" i="2"/>
  <c r="AZ2444" i="2"/>
  <c r="BB2444" i="2"/>
  <c r="BC2444" i="2"/>
  <c r="BD2444" i="2"/>
  <c r="M2445" i="2"/>
  <c r="AW2445" i="2"/>
  <c r="AX2445" i="2"/>
  <c r="AY2445" i="2"/>
  <c r="AZ2445" i="2"/>
  <c r="BB2445" i="2"/>
  <c r="BC2445" i="2"/>
  <c r="BD2445" i="2"/>
  <c r="M2446" i="2"/>
  <c r="AW2446" i="2"/>
  <c r="AX2446" i="2"/>
  <c r="AY2446" i="2"/>
  <c r="AZ2446" i="2"/>
  <c r="BB2446" i="2"/>
  <c r="BC2446" i="2"/>
  <c r="BD2446" i="2"/>
  <c r="M2447" i="2"/>
  <c r="AW2447" i="2"/>
  <c r="AX2447" i="2"/>
  <c r="AY2447" i="2"/>
  <c r="AZ2447" i="2"/>
  <c r="BB2447" i="2"/>
  <c r="BC2447" i="2"/>
  <c r="BD2447" i="2"/>
  <c r="M2448" i="2"/>
  <c r="AW2448" i="2"/>
  <c r="AX2448" i="2"/>
  <c r="AY2448" i="2"/>
  <c r="AZ2448" i="2"/>
  <c r="BB2448" i="2"/>
  <c r="BC2448" i="2"/>
  <c r="BD2448" i="2"/>
  <c r="M2449" i="2"/>
  <c r="AW2449" i="2"/>
  <c r="AX2449" i="2"/>
  <c r="AY2449" i="2"/>
  <c r="AZ2449" i="2"/>
  <c r="BB2449" i="2"/>
  <c r="BC2449" i="2"/>
  <c r="BD2449" i="2"/>
  <c r="M2450" i="2"/>
  <c r="AW2450" i="2"/>
  <c r="AX2450" i="2"/>
  <c r="AY2450" i="2"/>
  <c r="AZ2450" i="2"/>
  <c r="BB2450" i="2"/>
  <c r="BC2450" i="2"/>
  <c r="BD2450" i="2"/>
  <c r="M2451" i="2"/>
  <c r="AW2451" i="2"/>
  <c r="AX2451" i="2"/>
  <c r="AY2451" i="2"/>
  <c r="AZ2451" i="2"/>
  <c r="BB2451" i="2"/>
  <c r="BC2451" i="2"/>
  <c r="BD2451" i="2"/>
  <c r="M2452" i="2"/>
  <c r="AW2452" i="2"/>
  <c r="AX2452" i="2"/>
  <c r="AY2452" i="2"/>
  <c r="AZ2452" i="2"/>
  <c r="BB2452" i="2"/>
  <c r="BC2452" i="2"/>
  <c r="BD2452" i="2"/>
  <c r="M2453" i="2"/>
  <c r="AW2453" i="2"/>
  <c r="AX2453" i="2"/>
  <c r="AY2453" i="2"/>
  <c r="AZ2453" i="2"/>
  <c r="BB2453" i="2"/>
  <c r="BC2453" i="2"/>
  <c r="BD2453" i="2"/>
  <c r="M2454" i="2"/>
  <c r="AW2454" i="2"/>
  <c r="AX2454" i="2"/>
  <c r="AY2454" i="2"/>
  <c r="AZ2454" i="2"/>
  <c r="BB2454" i="2"/>
  <c r="BC2454" i="2"/>
  <c r="BD2454" i="2"/>
  <c r="M2455" i="2"/>
  <c r="AW2455" i="2"/>
  <c r="AX2455" i="2"/>
  <c r="AY2455" i="2"/>
  <c r="AZ2455" i="2"/>
  <c r="BB2455" i="2"/>
  <c r="BC2455" i="2"/>
  <c r="BD2455" i="2"/>
  <c r="M2456" i="2"/>
  <c r="AW2456" i="2"/>
  <c r="AX2456" i="2"/>
  <c r="AY2456" i="2"/>
  <c r="AZ2456" i="2"/>
  <c r="BB2456" i="2"/>
  <c r="BC2456" i="2"/>
  <c r="BD2456" i="2"/>
  <c r="M2457" i="2"/>
  <c r="AW2457" i="2"/>
  <c r="AX2457" i="2"/>
  <c r="AY2457" i="2"/>
  <c r="AZ2457" i="2"/>
  <c r="BB2457" i="2"/>
  <c r="BC2457" i="2"/>
  <c r="BD2457" i="2"/>
  <c r="M2458" i="2"/>
  <c r="AX2458" i="2"/>
  <c r="AZ2458" i="2"/>
  <c r="BB2458" i="2"/>
  <c r="BC2458" i="2"/>
  <c r="BD2458" i="2"/>
  <c r="M2460" i="2"/>
  <c r="AW2460" i="2"/>
  <c r="AX2460" i="2"/>
  <c r="AY2460" i="2"/>
  <c r="AZ2460" i="2"/>
  <c r="BB2460" i="2"/>
  <c r="BC2460" i="2"/>
  <c r="BD2460" i="2"/>
  <c r="M2461" i="2"/>
  <c r="AW2461" i="2"/>
  <c r="AX2461" i="2"/>
  <c r="AY2461" i="2"/>
  <c r="AZ2461" i="2"/>
  <c r="BB2461" i="2"/>
  <c r="BC2461" i="2"/>
  <c r="BD2461" i="2"/>
  <c r="M2462" i="2"/>
  <c r="AW2462" i="2"/>
  <c r="AX2462" i="2"/>
  <c r="AY2462" i="2"/>
  <c r="AZ2462" i="2"/>
  <c r="BB2462" i="2"/>
  <c r="BC2462" i="2"/>
  <c r="BD2462" i="2"/>
  <c r="M2463" i="2"/>
  <c r="AW2463" i="2"/>
  <c r="AX2463" i="2"/>
  <c r="AY2463" i="2"/>
  <c r="AZ2463" i="2"/>
  <c r="BB2463" i="2"/>
  <c r="BC2463" i="2"/>
  <c r="BD2463" i="2"/>
  <c r="M2464" i="2"/>
  <c r="AW2464" i="2"/>
  <c r="AX2464" i="2"/>
  <c r="AY2464" i="2"/>
  <c r="AZ2464" i="2"/>
  <c r="BB2464" i="2"/>
  <c r="BC2464" i="2"/>
  <c r="BD2464" i="2"/>
  <c r="M2465" i="2"/>
  <c r="AW2465" i="2"/>
  <c r="AX2465" i="2"/>
  <c r="AY2465" i="2"/>
  <c r="AZ2465" i="2"/>
  <c r="BB2465" i="2"/>
  <c r="BC2465" i="2"/>
  <c r="BD2465" i="2"/>
  <c r="M2466" i="2"/>
  <c r="AW2466" i="2"/>
  <c r="AX2466" i="2"/>
  <c r="AY2466" i="2"/>
  <c r="AZ2466" i="2"/>
  <c r="BB2466" i="2"/>
  <c r="BC2466" i="2"/>
  <c r="BD2466" i="2"/>
  <c r="M2467" i="2"/>
  <c r="AW2467" i="2"/>
  <c r="AX2467" i="2"/>
  <c r="AY2467" i="2"/>
  <c r="AZ2467" i="2"/>
  <c r="BB2467" i="2"/>
  <c r="BC2467" i="2"/>
  <c r="BD2467" i="2"/>
  <c r="M2468" i="2"/>
  <c r="AW2468" i="2"/>
  <c r="AX2468" i="2"/>
  <c r="AY2468" i="2"/>
  <c r="AZ2468" i="2"/>
  <c r="BB2468" i="2"/>
  <c r="BC2468" i="2"/>
  <c r="BD2468" i="2"/>
  <c r="M2469" i="2"/>
  <c r="AW2469" i="2"/>
  <c r="AX2469" i="2"/>
  <c r="AY2469" i="2"/>
  <c r="AZ2469" i="2"/>
  <c r="BB2469" i="2"/>
  <c r="BC2469" i="2"/>
  <c r="BD2469" i="2"/>
  <c r="M2470" i="2"/>
  <c r="AW2470" i="2"/>
  <c r="AX2470" i="2"/>
  <c r="AY2470" i="2"/>
  <c r="AZ2470" i="2"/>
  <c r="BB2470" i="2"/>
  <c r="BC2470" i="2"/>
  <c r="BD2470" i="2"/>
  <c r="M2471" i="2"/>
  <c r="AW2471" i="2"/>
  <c r="AX2471" i="2"/>
  <c r="AY2471" i="2"/>
  <c r="AZ2471" i="2"/>
  <c r="BB2471" i="2"/>
  <c r="BC2471" i="2"/>
  <c r="BD2471" i="2"/>
  <c r="M2472" i="2"/>
  <c r="AW2472" i="2"/>
  <c r="AX2472" i="2"/>
  <c r="AY2472" i="2"/>
  <c r="AZ2472" i="2"/>
  <c r="BB2472" i="2"/>
  <c r="BC2472" i="2"/>
  <c r="BD2472" i="2"/>
  <c r="M2473" i="2"/>
  <c r="AW2473" i="2"/>
  <c r="AX2473" i="2"/>
  <c r="AY2473" i="2"/>
  <c r="AZ2473" i="2"/>
  <c r="BB2473" i="2"/>
  <c r="BC2473" i="2"/>
  <c r="BD2473" i="2"/>
  <c r="M2474" i="2"/>
  <c r="AW2474" i="2"/>
  <c r="AX2474" i="2"/>
  <c r="AY2474" i="2"/>
  <c r="AZ2474" i="2"/>
  <c r="BB2474" i="2"/>
  <c r="BC2474" i="2"/>
  <c r="BD2474" i="2"/>
  <c r="M2475" i="2"/>
  <c r="AW2475" i="2"/>
  <c r="AX2475" i="2"/>
  <c r="AY2475" i="2"/>
  <c r="AZ2475" i="2"/>
  <c r="BB2475" i="2"/>
  <c r="BC2475" i="2"/>
  <c r="BD2475" i="2"/>
  <c r="M2476" i="2"/>
  <c r="AW2476" i="2"/>
  <c r="AX2476" i="2"/>
  <c r="AY2476" i="2"/>
  <c r="AZ2476" i="2"/>
  <c r="BB2476" i="2"/>
  <c r="BC2476" i="2"/>
  <c r="BD2476" i="2"/>
  <c r="M2477" i="2"/>
  <c r="AW2477" i="2"/>
  <c r="AX2477" i="2"/>
  <c r="AY2477" i="2"/>
  <c r="AZ2477" i="2"/>
  <c r="BB2477" i="2"/>
  <c r="BC2477" i="2"/>
  <c r="BD2477" i="2"/>
  <c r="M2478" i="2"/>
  <c r="AW2478" i="2"/>
  <c r="AX2478" i="2"/>
  <c r="AY2478" i="2"/>
  <c r="AZ2478" i="2"/>
  <c r="BB2478" i="2"/>
  <c r="BC2478" i="2"/>
  <c r="BD2478" i="2"/>
  <c r="M2479" i="2"/>
  <c r="AW2479" i="2"/>
  <c r="AX2479" i="2"/>
  <c r="AY2479" i="2"/>
  <c r="AZ2479" i="2"/>
  <c r="BB2479" i="2"/>
  <c r="BC2479" i="2"/>
  <c r="BD2479" i="2"/>
  <c r="M2480" i="2"/>
  <c r="AW2480" i="2"/>
  <c r="AX2480" i="2"/>
  <c r="AY2480" i="2"/>
  <c r="AZ2480" i="2"/>
  <c r="BB2480" i="2"/>
  <c r="BC2480" i="2"/>
  <c r="BD2480" i="2"/>
  <c r="M2481" i="2"/>
  <c r="AW2481" i="2"/>
  <c r="AX2481" i="2"/>
  <c r="AY2481" i="2"/>
  <c r="AZ2481" i="2"/>
  <c r="BB2481" i="2"/>
  <c r="BC2481" i="2"/>
  <c r="BD2481" i="2"/>
  <c r="M2482" i="2"/>
  <c r="AW2482" i="2"/>
  <c r="AX2482" i="2"/>
  <c r="AY2482" i="2"/>
  <c r="AZ2482" i="2"/>
  <c r="BB2482" i="2"/>
  <c r="BC2482" i="2"/>
  <c r="BD2482" i="2"/>
  <c r="M2483" i="2"/>
  <c r="AW2483" i="2"/>
  <c r="AX2483" i="2"/>
  <c r="AY2483" i="2"/>
  <c r="AZ2483" i="2"/>
  <c r="BB2483" i="2"/>
  <c r="BC2483" i="2"/>
  <c r="BD2483" i="2"/>
  <c r="M2484" i="2"/>
  <c r="AW2484" i="2"/>
  <c r="AX2484" i="2"/>
  <c r="AY2484" i="2"/>
  <c r="AZ2484" i="2"/>
  <c r="BB2484" i="2"/>
  <c r="BC2484" i="2"/>
  <c r="BD2484" i="2"/>
  <c r="M2485" i="2"/>
  <c r="AW2485" i="2"/>
  <c r="AX2485" i="2"/>
  <c r="AY2485" i="2"/>
  <c r="AZ2485" i="2"/>
  <c r="BB2485" i="2"/>
  <c r="BC2485" i="2"/>
  <c r="BD2485" i="2"/>
  <c r="M2486" i="2"/>
  <c r="AW2486" i="2"/>
  <c r="AX2486" i="2"/>
  <c r="AY2486" i="2"/>
  <c r="AZ2486" i="2"/>
  <c r="BB2486" i="2"/>
  <c r="BC2486" i="2"/>
  <c r="BD2486" i="2"/>
  <c r="M2487" i="2"/>
  <c r="AW2487" i="2"/>
  <c r="AX2487" i="2"/>
  <c r="AY2487" i="2"/>
  <c r="AZ2487" i="2"/>
  <c r="BB2487" i="2"/>
  <c r="BC2487" i="2"/>
  <c r="BD2487" i="2"/>
  <c r="M2488" i="2"/>
  <c r="AW2488" i="2"/>
  <c r="AX2488" i="2"/>
  <c r="AY2488" i="2"/>
  <c r="AZ2488" i="2"/>
  <c r="BB2488" i="2"/>
  <c r="BC2488" i="2"/>
  <c r="BD2488" i="2"/>
  <c r="M2489" i="2"/>
  <c r="AW2489" i="2"/>
  <c r="AX2489" i="2"/>
  <c r="AY2489" i="2"/>
  <c r="AZ2489" i="2"/>
  <c r="BB2489" i="2"/>
  <c r="BC2489" i="2"/>
  <c r="BD2489" i="2"/>
  <c r="M2490" i="2"/>
  <c r="AW2490" i="2"/>
  <c r="AX2490" i="2"/>
  <c r="AY2490" i="2"/>
  <c r="AZ2490" i="2"/>
  <c r="BB2490" i="2"/>
  <c r="BC2490" i="2"/>
  <c r="BD2490" i="2"/>
  <c r="M2491" i="2"/>
  <c r="AW2491" i="2"/>
  <c r="AX2491" i="2"/>
  <c r="AY2491" i="2"/>
  <c r="AZ2491" i="2"/>
  <c r="BB2491" i="2"/>
  <c r="BC2491" i="2"/>
  <c r="BD2491" i="2"/>
  <c r="M2492" i="2"/>
  <c r="AW2492" i="2"/>
  <c r="AX2492" i="2"/>
  <c r="AY2492" i="2"/>
  <c r="AZ2492" i="2"/>
  <c r="BB2492" i="2"/>
  <c r="BC2492" i="2"/>
  <c r="BD2492" i="2"/>
  <c r="M2493" i="2"/>
  <c r="AW2493" i="2"/>
  <c r="AX2493" i="2"/>
  <c r="AY2493" i="2"/>
  <c r="AZ2493" i="2"/>
  <c r="BB2493" i="2"/>
  <c r="BC2493" i="2"/>
  <c r="BD2493" i="2"/>
  <c r="M2494" i="2"/>
  <c r="AW2494" i="2"/>
  <c r="AX2494" i="2"/>
  <c r="AY2494" i="2"/>
  <c r="AZ2494" i="2"/>
  <c r="BB2494" i="2"/>
  <c r="BC2494" i="2"/>
  <c r="BD2494" i="2"/>
  <c r="M2495" i="2"/>
  <c r="AW2495" i="2"/>
  <c r="AX2495" i="2"/>
  <c r="AY2495" i="2"/>
  <c r="AZ2495" i="2"/>
  <c r="BB2495" i="2"/>
  <c r="BC2495" i="2"/>
  <c r="BD2495" i="2"/>
  <c r="M2496" i="2"/>
  <c r="AW2496" i="2"/>
  <c r="AX2496" i="2"/>
  <c r="AY2496" i="2"/>
  <c r="AZ2496" i="2"/>
  <c r="BB2496" i="2"/>
  <c r="BC2496" i="2"/>
  <c r="BD2496" i="2"/>
  <c r="M2497" i="2"/>
  <c r="AW2497" i="2"/>
  <c r="AX2497" i="2"/>
  <c r="AY2497" i="2"/>
  <c r="AZ2497" i="2"/>
  <c r="BB2497" i="2"/>
  <c r="BC2497" i="2"/>
  <c r="BD2497" i="2"/>
  <c r="M2498" i="2"/>
  <c r="AW2498" i="2"/>
  <c r="AX2498" i="2"/>
  <c r="AY2498" i="2"/>
  <c r="AZ2498" i="2"/>
  <c r="BB2498" i="2"/>
  <c r="BC2498" i="2"/>
  <c r="BD2498" i="2"/>
  <c r="M2499" i="2"/>
  <c r="AW2499" i="2"/>
  <c r="AX2499" i="2"/>
  <c r="AY2499" i="2"/>
  <c r="AZ2499" i="2"/>
  <c r="BB2499" i="2"/>
  <c r="BC2499" i="2"/>
  <c r="BD2499" i="2"/>
  <c r="M2500" i="2"/>
  <c r="AW2500" i="2"/>
  <c r="AX2500" i="2"/>
  <c r="AY2500" i="2"/>
  <c r="AZ2500" i="2"/>
  <c r="BB2500" i="2"/>
  <c r="BC2500" i="2"/>
  <c r="BD2500" i="2"/>
  <c r="M2501" i="2"/>
  <c r="AW2501" i="2"/>
  <c r="AX2501" i="2"/>
  <c r="AY2501" i="2"/>
  <c r="AZ2501" i="2"/>
  <c r="BB2501" i="2"/>
  <c r="BC2501" i="2"/>
  <c r="BD2501" i="2"/>
  <c r="M2502" i="2"/>
  <c r="AW2502" i="2"/>
  <c r="AX2502" i="2"/>
  <c r="AY2502" i="2"/>
  <c r="AZ2502" i="2"/>
  <c r="BB2502" i="2"/>
  <c r="BC2502" i="2"/>
  <c r="BD2502" i="2"/>
  <c r="M2503" i="2"/>
  <c r="AW2503" i="2"/>
  <c r="AX2503" i="2"/>
  <c r="AY2503" i="2"/>
  <c r="AZ2503" i="2"/>
  <c r="BB2503" i="2"/>
  <c r="BC2503" i="2"/>
  <c r="BD2503" i="2"/>
  <c r="M2504" i="2"/>
  <c r="AW2504" i="2"/>
  <c r="AX2504" i="2"/>
  <c r="AY2504" i="2"/>
  <c r="AZ2504" i="2"/>
  <c r="BB2504" i="2"/>
  <c r="BC2504" i="2"/>
  <c r="BD2504" i="2"/>
  <c r="M2505" i="2"/>
  <c r="AW2505" i="2"/>
  <c r="AX2505" i="2"/>
  <c r="AY2505" i="2"/>
  <c r="AZ2505" i="2"/>
  <c r="BB2505" i="2"/>
  <c r="BC2505" i="2"/>
  <c r="BD2505" i="2"/>
  <c r="M2506" i="2"/>
  <c r="AW2506" i="2"/>
  <c r="AX2506" i="2"/>
  <c r="AY2506" i="2"/>
  <c r="AZ2506" i="2"/>
  <c r="BB2506" i="2"/>
  <c r="BC2506" i="2"/>
  <c r="BD2506" i="2"/>
  <c r="M2507" i="2"/>
  <c r="AW2507" i="2"/>
  <c r="AX2507" i="2"/>
  <c r="AY2507" i="2"/>
  <c r="AZ2507" i="2"/>
  <c r="BB2507" i="2"/>
  <c r="BC2507" i="2"/>
  <c r="BD2507" i="2"/>
  <c r="M2508" i="2"/>
  <c r="AW2508" i="2"/>
  <c r="AX2508" i="2"/>
  <c r="AY2508" i="2"/>
  <c r="AZ2508" i="2"/>
  <c r="BB2508" i="2"/>
  <c r="BC2508" i="2"/>
  <c r="BD2508" i="2"/>
  <c r="M2509" i="2"/>
  <c r="AW2509" i="2"/>
  <c r="AX2509" i="2"/>
  <c r="AY2509" i="2"/>
  <c r="AZ2509" i="2"/>
  <c r="BB2509" i="2"/>
  <c r="BC2509" i="2"/>
  <c r="BD2509" i="2"/>
  <c r="M2511" i="2"/>
  <c r="AW2511" i="2"/>
  <c r="AX2511" i="2"/>
  <c r="AY2511" i="2"/>
  <c r="AZ2511" i="2"/>
  <c r="BB2511" i="2"/>
  <c r="BC2511" i="2"/>
  <c r="BD2511" i="2"/>
  <c r="M2512" i="2"/>
  <c r="AW2512" i="2"/>
  <c r="AX2512" i="2"/>
  <c r="AY2512" i="2"/>
  <c r="AZ2512" i="2"/>
  <c r="BB2512" i="2"/>
  <c r="BC2512" i="2"/>
  <c r="BD2512" i="2"/>
  <c r="M2513" i="2"/>
  <c r="AW2513" i="2"/>
  <c r="AX2513" i="2"/>
  <c r="AY2513" i="2"/>
  <c r="AZ2513" i="2"/>
  <c r="BB2513" i="2"/>
  <c r="BC2513" i="2"/>
  <c r="BD2513" i="2"/>
  <c r="M2514" i="2"/>
  <c r="AW2514" i="2"/>
  <c r="AX2514" i="2"/>
  <c r="AY2514" i="2"/>
  <c r="AZ2514" i="2"/>
  <c r="BB2514" i="2"/>
  <c r="BC2514" i="2"/>
  <c r="BD2514" i="2"/>
  <c r="M2515" i="2"/>
  <c r="AW2515" i="2"/>
  <c r="AX2515" i="2"/>
  <c r="AY2515" i="2"/>
  <c r="AZ2515" i="2"/>
  <c r="BB2515" i="2"/>
  <c r="BC2515" i="2"/>
  <c r="BD2515" i="2"/>
  <c r="M2510" i="2"/>
  <c r="AW2510" i="2"/>
  <c r="AX2510" i="2"/>
  <c r="AY2510" i="2"/>
  <c r="AZ2510" i="2"/>
  <c r="BB2510" i="2"/>
  <c r="BC2510" i="2"/>
  <c r="BD2510" i="2"/>
  <c r="M2516" i="2"/>
  <c r="AW2516" i="2"/>
  <c r="AX2516" i="2"/>
  <c r="AY2516" i="2"/>
  <c r="AZ2516" i="2"/>
  <c r="BB2516" i="2"/>
  <c r="BC2516" i="2"/>
  <c r="BD2516" i="2"/>
  <c r="M2517" i="2"/>
  <c r="AW2517" i="2"/>
  <c r="AX2517" i="2"/>
  <c r="AY2517" i="2"/>
  <c r="AZ2517" i="2"/>
  <c r="BB2517" i="2"/>
  <c r="BC2517" i="2"/>
  <c r="BD2517" i="2"/>
  <c r="M2518" i="2"/>
  <c r="AW2518" i="2"/>
  <c r="AX2518" i="2"/>
  <c r="AY2518" i="2"/>
  <c r="AZ2518" i="2"/>
  <c r="BB2518" i="2"/>
  <c r="BC2518" i="2"/>
  <c r="BD2518" i="2"/>
  <c r="M2519" i="2"/>
  <c r="AW2519" i="2"/>
  <c r="AX2519" i="2"/>
  <c r="AY2519" i="2"/>
  <c r="AZ2519" i="2"/>
  <c r="BB2519" i="2"/>
  <c r="BC2519" i="2"/>
  <c r="BD2519" i="2"/>
  <c r="M2520" i="2"/>
  <c r="AW2520" i="2"/>
  <c r="AX2520" i="2"/>
  <c r="AY2520" i="2"/>
  <c r="AZ2520" i="2"/>
  <c r="BB2520" i="2"/>
  <c r="BC2520" i="2"/>
  <c r="BD2520" i="2"/>
  <c r="M2521" i="2"/>
  <c r="AW2521" i="2"/>
  <c r="AX2521" i="2"/>
  <c r="AY2521" i="2"/>
  <c r="AZ2521" i="2"/>
  <c r="BB2521" i="2"/>
  <c r="BC2521" i="2"/>
  <c r="BD2521" i="2"/>
  <c r="M2522" i="2"/>
  <c r="AW2522" i="2"/>
  <c r="AX2522" i="2"/>
  <c r="AY2522" i="2"/>
  <c r="AZ2522" i="2"/>
  <c r="BB2522" i="2"/>
  <c r="BC2522" i="2"/>
  <c r="BD2522" i="2"/>
  <c r="M2523" i="2"/>
  <c r="AW2523" i="2"/>
  <c r="AX2523" i="2"/>
  <c r="AY2523" i="2"/>
  <c r="AZ2523" i="2"/>
  <c r="BB2523" i="2"/>
  <c r="BC2523" i="2"/>
  <c r="BD2523" i="2"/>
  <c r="M2524" i="2"/>
  <c r="AW2524" i="2"/>
  <c r="AX2524" i="2"/>
  <c r="AY2524" i="2"/>
  <c r="AZ2524" i="2"/>
  <c r="BB2524" i="2"/>
  <c r="BC2524" i="2"/>
  <c r="BD2524" i="2"/>
  <c r="M2525" i="2"/>
  <c r="AW2525" i="2"/>
  <c r="AX2525" i="2"/>
  <c r="AY2525" i="2"/>
  <c r="AZ2525" i="2"/>
  <c r="BB2525" i="2"/>
  <c r="BC2525" i="2"/>
  <c r="BD2525" i="2"/>
  <c r="M2526" i="2"/>
  <c r="AX2526" i="2"/>
  <c r="AZ2526" i="2"/>
  <c r="BB2526" i="2"/>
  <c r="BC2526" i="2"/>
  <c r="BD2526" i="2"/>
  <c r="M2528" i="2"/>
  <c r="AW2528" i="2"/>
  <c r="AX2528" i="2"/>
  <c r="AY2528" i="2"/>
  <c r="AZ2528" i="2"/>
  <c r="BB2528" i="2"/>
  <c r="BC2528" i="2"/>
  <c r="BD2528" i="2"/>
  <c r="M2529" i="2"/>
  <c r="AW2529" i="2"/>
  <c r="AX2529" i="2"/>
  <c r="AY2529" i="2"/>
  <c r="AZ2529" i="2"/>
  <c r="BB2529" i="2"/>
  <c r="BC2529" i="2"/>
  <c r="BD2529" i="2"/>
  <c r="M2530" i="2"/>
  <c r="AW2530" i="2"/>
  <c r="AX2530" i="2"/>
  <c r="AY2530" i="2"/>
  <c r="AZ2530" i="2"/>
  <c r="BB2530" i="2"/>
  <c r="BC2530" i="2"/>
  <c r="BD2530" i="2"/>
  <c r="M2531" i="2"/>
  <c r="AW2531" i="2"/>
  <c r="AX2531" i="2"/>
  <c r="AY2531" i="2"/>
  <c r="AZ2531" i="2"/>
  <c r="BB2531" i="2"/>
  <c r="BC2531" i="2"/>
  <c r="BD2531" i="2"/>
  <c r="M2532" i="2"/>
  <c r="AW2532" i="2"/>
  <c r="AX2532" i="2"/>
  <c r="AY2532" i="2"/>
  <c r="AZ2532" i="2"/>
  <c r="BB2532" i="2"/>
  <c r="BC2532" i="2"/>
  <c r="BD2532" i="2"/>
  <c r="M2533" i="2"/>
  <c r="AW2533" i="2"/>
  <c r="AX2533" i="2"/>
  <c r="AY2533" i="2"/>
  <c r="AZ2533" i="2"/>
  <c r="BB2533" i="2"/>
  <c r="BC2533" i="2"/>
  <c r="BD2533" i="2"/>
  <c r="M2534" i="2"/>
  <c r="AW2534" i="2"/>
  <c r="AX2534" i="2"/>
  <c r="AY2534" i="2"/>
  <c r="AZ2534" i="2"/>
  <c r="BB2534" i="2"/>
  <c r="BC2534" i="2"/>
  <c r="BD2534" i="2"/>
  <c r="M2535" i="2"/>
  <c r="AW2535" i="2"/>
  <c r="AX2535" i="2"/>
  <c r="AY2535" i="2"/>
  <c r="AZ2535" i="2"/>
  <c r="BB2535" i="2"/>
  <c r="BC2535" i="2"/>
  <c r="BD2535" i="2"/>
  <c r="M2536" i="2"/>
  <c r="AW2536" i="2"/>
  <c r="AX2536" i="2"/>
  <c r="AY2536" i="2"/>
  <c r="AZ2536" i="2"/>
  <c r="BB2536" i="2"/>
  <c r="BC2536" i="2"/>
  <c r="BD2536" i="2"/>
  <c r="M2537" i="2"/>
  <c r="AW2537" i="2"/>
  <c r="AX2537" i="2"/>
  <c r="AY2537" i="2"/>
  <c r="AZ2537" i="2"/>
  <c r="BB2537" i="2"/>
  <c r="BC2537" i="2"/>
  <c r="BD2537" i="2"/>
  <c r="M2538" i="2"/>
  <c r="AW2538" i="2"/>
  <c r="AX2538" i="2"/>
  <c r="AY2538" i="2"/>
  <c r="AZ2538" i="2"/>
  <c r="BB2538" i="2"/>
  <c r="BC2538" i="2"/>
  <c r="BD2538" i="2"/>
  <c r="M2539" i="2"/>
  <c r="AW2539" i="2"/>
  <c r="AX2539" i="2"/>
  <c r="AY2539" i="2"/>
  <c r="AZ2539" i="2"/>
  <c r="BB2539" i="2"/>
  <c r="BC2539" i="2"/>
  <c r="BD2539" i="2"/>
  <c r="M2540" i="2"/>
  <c r="AW2540" i="2"/>
  <c r="AX2540" i="2"/>
  <c r="AY2540" i="2"/>
  <c r="AZ2540" i="2"/>
  <c r="BB2540" i="2"/>
  <c r="BC2540" i="2"/>
  <c r="BD2540" i="2"/>
  <c r="M2541" i="2"/>
  <c r="AW2541" i="2"/>
  <c r="AX2541" i="2"/>
  <c r="AY2541" i="2"/>
  <c r="AZ2541" i="2"/>
  <c r="BB2541" i="2"/>
  <c r="BC2541" i="2"/>
  <c r="BD2541" i="2"/>
  <c r="M2542" i="2"/>
  <c r="AW2542" i="2"/>
  <c r="AX2542" i="2"/>
  <c r="AY2542" i="2"/>
  <c r="AZ2542" i="2"/>
  <c r="BB2542" i="2"/>
  <c r="BC2542" i="2"/>
  <c r="BD2542" i="2"/>
  <c r="M2543" i="2"/>
  <c r="AW2543" i="2"/>
  <c r="AX2543" i="2"/>
  <c r="AY2543" i="2"/>
  <c r="AZ2543" i="2"/>
  <c r="BB2543" i="2"/>
  <c r="BC2543" i="2"/>
  <c r="BD2543" i="2"/>
  <c r="M2544" i="2"/>
  <c r="AW2544" i="2"/>
  <c r="AX2544" i="2"/>
  <c r="AY2544" i="2"/>
  <c r="AZ2544" i="2"/>
  <c r="BB2544" i="2"/>
  <c r="BC2544" i="2"/>
  <c r="BD2544" i="2"/>
  <c r="M2545" i="2"/>
  <c r="AW2545" i="2"/>
  <c r="AX2545" i="2"/>
  <c r="AY2545" i="2"/>
  <c r="AZ2545" i="2"/>
  <c r="BB2545" i="2"/>
  <c r="BC2545" i="2"/>
  <c r="BD2545" i="2"/>
  <c r="M2546" i="2"/>
  <c r="AW2546" i="2"/>
  <c r="AX2546" i="2"/>
  <c r="AY2546" i="2"/>
  <c r="AZ2546" i="2"/>
  <c r="BB2546" i="2"/>
  <c r="BC2546" i="2"/>
  <c r="BD2546" i="2"/>
  <c r="M2547" i="2"/>
  <c r="AW2547" i="2"/>
  <c r="AX2547" i="2"/>
  <c r="AY2547" i="2"/>
  <c r="AZ2547" i="2"/>
  <c r="BB2547" i="2"/>
  <c r="BC2547" i="2"/>
  <c r="BD2547" i="2"/>
  <c r="M2548" i="2"/>
  <c r="AW2548" i="2"/>
  <c r="AX2548" i="2"/>
  <c r="AY2548" i="2"/>
  <c r="AZ2548" i="2"/>
  <c r="BB2548" i="2"/>
  <c r="BC2548" i="2"/>
  <c r="BD2548" i="2"/>
  <c r="M2549" i="2"/>
  <c r="AW2549" i="2"/>
  <c r="AX2549" i="2"/>
  <c r="AY2549" i="2"/>
  <c r="AZ2549" i="2"/>
  <c r="BB2549" i="2"/>
  <c r="BC2549" i="2"/>
  <c r="BD2549" i="2"/>
  <c r="M2550" i="2"/>
  <c r="AW2550" i="2"/>
  <c r="AX2550" i="2"/>
  <c r="AY2550" i="2"/>
  <c r="AZ2550" i="2"/>
  <c r="BB2550" i="2"/>
  <c r="BC2550" i="2"/>
  <c r="BD2550" i="2"/>
  <c r="M2551" i="2"/>
  <c r="AW2551" i="2"/>
  <c r="AX2551" i="2"/>
  <c r="AY2551" i="2"/>
  <c r="AZ2551" i="2"/>
  <c r="BB2551" i="2"/>
  <c r="BC2551" i="2"/>
  <c r="BD2551" i="2"/>
  <c r="M2552" i="2"/>
  <c r="AW2552" i="2"/>
  <c r="AX2552" i="2"/>
  <c r="AY2552" i="2"/>
  <c r="AZ2552" i="2"/>
  <c r="BB2552" i="2"/>
  <c r="BC2552" i="2"/>
  <c r="BD2552" i="2"/>
  <c r="M2553" i="2"/>
  <c r="AW2553" i="2"/>
  <c r="AX2553" i="2"/>
  <c r="AY2553" i="2"/>
  <c r="AZ2553" i="2"/>
  <c r="BB2553" i="2"/>
  <c r="BC2553" i="2"/>
  <c r="BD2553" i="2"/>
  <c r="M2554" i="2"/>
  <c r="AW2554" i="2"/>
  <c r="AX2554" i="2"/>
  <c r="AY2554" i="2"/>
  <c r="AZ2554" i="2"/>
  <c r="BB2554" i="2"/>
  <c r="BC2554" i="2"/>
  <c r="BD2554" i="2"/>
  <c r="M2555" i="2"/>
  <c r="AW2555" i="2"/>
  <c r="AX2555" i="2"/>
  <c r="AY2555" i="2"/>
  <c r="AZ2555" i="2"/>
  <c r="BB2555" i="2"/>
  <c r="BC2555" i="2"/>
  <c r="BD2555" i="2"/>
  <c r="M2556" i="2"/>
  <c r="AW2556" i="2"/>
  <c r="AX2556" i="2"/>
  <c r="AY2556" i="2"/>
  <c r="AZ2556" i="2"/>
  <c r="BB2556" i="2"/>
  <c r="BC2556" i="2"/>
  <c r="BD2556" i="2"/>
  <c r="M2557" i="2"/>
  <c r="AW2557" i="2"/>
  <c r="AX2557" i="2"/>
  <c r="AY2557" i="2"/>
  <c r="AZ2557" i="2"/>
  <c r="BB2557" i="2"/>
  <c r="BC2557" i="2"/>
  <c r="BD2557" i="2"/>
  <c r="M2558" i="2"/>
  <c r="AW2558" i="2"/>
  <c r="AX2558" i="2"/>
  <c r="AY2558" i="2"/>
  <c r="AZ2558" i="2"/>
  <c r="BB2558" i="2"/>
  <c r="BC2558" i="2"/>
  <c r="BD2558" i="2"/>
  <c r="M2559" i="2"/>
  <c r="AW2559" i="2"/>
  <c r="AX2559" i="2"/>
  <c r="AY2559" i="2"/>
  <c r="AZ2559" i="2"/>
  <c r="BB2559" i="2"/>
  <c r="BC2559" i="2"/>
  <c r="BD2559" i="2"/>
  <c r="M2560" i="2"/>
  <c r="AW2560" i="2"/>
  <c r="AX2560" i="2"/>
  <c r="AY2560" i="2"/>
  <c r="AZ2560" i="2"/>
  <c r="BB2560" i="2"/>
  <c r="BC2560" i="2"/>
  <c r="BD2560" i="2"/>
  <c r="M2561" i="2"/>
  <c r="AW2561" i="2"/>
  <c r="AX2561" i="2"/>
  <c r="AY2561" i="2"/>
  <c r="AZ2561" i="2"/>
  <c r="BB2561" i="2"/>
  <c r="BC2561" i="2"/>
  <c r="BD2561" i="2"/>
  <c r="M2562" i="2"/>
  <c r="AW2562" i="2"/>
  <c r="AX2562" i="2"/>
  <c r="AY2562" i="2"/>
  <c r="AZ2562" i="2"/>
  <c r="BB2562" i="2"/>
  <c r="BC2562" i="2"/>
  <c r="BD2562" i="2"/>
  <c r="M2563" i="2"/>
  <c r="AW2563" i="2"/>
  <c r="AX2563" i="2"/>
  <c r="AY2563" i="2"/>
  <c r="AZ2563" i="2"/>
  <c r="BB2563" i="2"/>
  <c r="BC2563" i="2"/>
  <c r="BD2563" i="2"/>
  <c r="M2564" i="2"/>
  <c r="AW2564" i="2"/>
  <c r="AX2564" i="2"/>
  <c r="AY2564" i="2"/>
  <c r="AZ2564" i="2"/>
  <c r="BB2564" i="2"/>
  <c r="BC2564" i="2"/>
  <c r="BD2564" i="2"/>
  <c r="M2565" i="2"/>
  <c r="AW2565" i="2"/>
  <c r="AX2565" i="2"/>
  <c r="AY2565" i="2"/>
  <c r="AZ2565" i="2"/>
  <c r="BB2565" i="2"/>
  <c r="BC2565" i="2"/>
  <c r="BD2565" i="2"/>
  <c r="M2566" i="2"/>
  <c r="AW2566" i="2"/>
  <c r="AX2566" i="2"/>
  <c r="AY2566" i="2"/>
  <c r="AZ2566" i="2"/>
  <c r="BB2566" i="2"/>
  <c r="BC2566" i="2"/>
  <c r="BD2566" i="2"/>
  <c r="M2567" i="2"/>
  <c r="AW2567" i="2"/>
  <c r="AX2567" i="2"/>
  <c r="AY2567" i="2"/>
  <c r="AZ2567" i="2"/>
  <c r="BB2567" i="2"/>
  <c r="BC2567" i="2"/>
  <c r="BD2567" i="2"/>
  <c r="M2568" i="2"/>
  <c r="AW2568" i="2"/>
  <c r="AX2568" i="2"/>
  <c r="AY2568" i="2"/>
  <c r="AZ2568" i="2"/>
  <c r="BB2568" i="2"/>
  <c r="BC2568" i="2"/>
  <c r="BD2568" i="2"/>
  <c r="M2569" i="2"/>
  <c r="AW2569" i="2"/>
  <c r="AX2569" i="2"/>
  <c r="AY2569" i="2"/>
  <c r="AZ2569" i="2"/>
  <c r="BB2569" i="2"/>
  <c r="BC2569" i="2"/>
  <c r="BD2569" i="2"/>
  <c r="M2570" i="2"/>
  <c r="AW2570" i="2"/>
  <c r="AX2570" i="2"/>
  <c r="AY2570" i="2"/>
  <c r="AZ2570" i="2"/>
  <c r="BB2570" i="2"/>
  <c r="BC2570" i="2"/>
  <c r="BD2570" i="2"/>
  <c r="M2571" i="2"/>
  <c r="AW2571" i="2"/>
  <c r="AX2571" i="2"/>
  <c r="AY2571" i="2"/>
  <c r="AZ2571" i="2"/>
  <c r="BB2571" i="2"/>
  <c r="BC2571" i="2"/>
  <c r="BD2571" i="2"/>
  <c r="M2572" i="2"/>
  <c r="AW2572" i="2"/>
  <c r="AX2572" i="2"/>
  <c r="AY2572" i="2"/>
  <c r="AZ2572" i="2"/>
  <c r="BB2572" i="2"/>
  <c r="BC2572" i="2"/>
  <c r="BD2572" i="2"/>
  <c r="M2573" i="2"/>
  <c r="AW2573" i="2"/>
  <c r="AX2573" i="2"/>
  <c r="AY2573" i="2"/>
  <c r="AZ2573" i="2"/>
  <c r="BB2573" i="2"/>
  <c r="BC2573" i="2"/>
  <c r="BD2573" i="2"/>
  <c r="M2574" i="2"/>
  <c r="AW2574" i="2"/>
  <c r="AX2574" i="2"/>
  <c r="AY2574" i="2"/>
  <c r="AZ2574" i="2"/>
  <c r="BB2574" i="2"/>
  <c r="BC2574" i="2"/>
  <c r="BD2574" i="2"/>
  <c r="M2575" i="2"/>
  <c r="AW2575" i="2"/>
  <c r="AX2575" i="2"/>
  <c r="AY2575" i="2"/>
  <c r="AZ2575" i="2"/>
  <c r="BB2575" i="2"/>
  <c r="BC2575" i="2"/>
  <c r="BD2575" i="2"/>
  <c r="M2576" i="2"/>
  <c r="AW2576" i="2"/>
  <c r="AX2576" i="2"/>
  <c r="AY2576" i="2"/>
  <c r="AZ2576" i="2"/>
  <c r="BB2576" i="2"/>
  <c r="BC2576" i="2"/>
  <c r="BD2576" i="2"/>
  <c r="M2577" i="2"/>
  <c r="AW2577" i="2"/>
  <c r="AX2577" i="2"/>
  <c r="AY2577" i="2"/>
  <c r="AZ2577" i="2"/>
  <c r="BB2577" i="2"/>
  <c r="BC2577" i="2"/>
  <c r="BD2577" i="2"/>
  <c r="M2578" i="2"/>
  <c r="AW2578" i="2"/>
  <c r="AX2578" i="2"/>
  <c r="AY2578" i="2"/>
  <c r="AZ2578" i="2"/>
  <c r="BB2578" i="2"/>
  <c r="BC2578" i="2"/>
  <c r="BD2578" i="2"/>
  <c r="M2579" i="2"/>
  <c r="AW2579" i="2"/>
  <c r="AX2579" i="2"/>
  <c r="AY2579" i="2"/>
  <c r="AZ2579" i="2"/>
  <c r="BB2579" i="2"/>
  <c r="BC2579" i="2"/>
  <c r="BD2579" i="2"/>
  <c r="M2580" i="2"/>
  <c r="AW2580" i="2"/>
  <c r="AX2580" i="2"/>
  <c r="AY2580" i="2"/>
  <c r="AZ2580" i="2"/>
  <c r="BB2580" i="2"/>
  <c r="BC2580" i="2"/>
  <c r="BD2580" i="2"/>
  <c r="M2581" i="2"/>
  <c r="AW2581" i="2"/>
  <c r="AX2581" i="2"/>
  <c r="AY2581" i="2"/>
  <c r="AZ2581" i="2"/>
  <c r="BB2581" i="2"/>
  <c r="BC2581" i="2"/>
  <c r="BD2581" i="2"/>
  <c r="M2582" i="2"/>
  <c r="AW2582" i="2"/>
  <c r="AX2582" i="2"/>
  <c r="AY2582" i="2"/>
  <c r="AZ2582" i="2"/>
  <c r="BB2582" i="2"/>
  <c r="BC2582" i="2"/>
  <c r="BD2582" i="2"/>
  <c r="M2583" i="2"/>
  <c r="AW2583" i="2"/>
  <c r="AX2583" i="2"/>
  <c r="AY2583" i="2"/>
  <c r="AZ2583" i="2"/>
  <c r="BB2583" i="2"/>
  <c r="BC2583" i="2"/>
  <c r="BD2583" i="2"/>
  <c r="M2584" i="2"/>
  <c r="AW2584" i="2"/>
  <c r="AX2584" i="2"/>
  <c r="AY2584" i="2"/>
  <c r="AZ2584" i="2"/>
  <c r="BB2584" i="2"/>
  <c r="BC2584" i="2"/>
  <c r="BD2584" i="2"/>
  <c r="M2585" i="2"/>
  <c r="AW2585" i="2"/>
  <c r="AX2585" i="2"/>
  <c r="AY2585" i="2"/>
  <c r="AZ2585" i="2"/>
  <c r="BB2585" i="2"/>
  <c r="BC2585" i="2"/>
  <c r="BD2585" i="2"/>
  <c r="M2586" i="2"/>
  <c r="AW2586" i="2"/>
  <c r="AX2586" i="2"/>
  <c r="AY2586" i="2"/>
  <c r="AZ2586" i="2"/>
  <c r="BB2586" i="2"/>
  <c r="BC2586" i="2"/>
  <c r="BD2586" i="2"/>
  <c r="M2587" i="2"/>
  <c r="AW2587" i="2"/>
  <c r="AX2587" i="2"/>
  <c r="AY2587" i="2"/>
  <c r="AZ2587" i="2"/>
  <c r="BB2587" i="2"/>
  <c r="BC2587" i="2"/>
  <c r="BD2587" i="2"/>
  <c r="M2588" i="2"/>
  <c r="AW2588" i="2"/>
  <c r="AX2588" i="2"/>
  <c r="AY2588" i="2"/>
  <c r="AZ2588" i="2"/>
  <c r="BB2588" i="2"/>
  <c r="BC2588" i="2"/>
  <c r="BD2588" i="2"/>
  <c r="M2589" i="2"/>
  <c r="AW2589" i="2"/>
  <c r="AX2589" i="2"/>
  <c r="AY2589" i="2"/>
  <c r="AZ2589" i="2"/>
  <c r="BB2589" i="2"/>
  <c r="BC2589" i="2"/>
  <c r="BD2589" i="2"/>
  <c r="M2590" i="2"/>
  <c r="AW2590" i="2"/>
  <c r="AX2590" i="2"/>
  <c r="AY2590" i="2"/>
  <c r="AZ2590" i="2"/>
  <c r="BB2590" i="2"/>
  <c r="BC2590" i="2"/>
  <c r="BD2590" i="2"/>
  <c r="M2591" i="2"/>
  <c r="AW2591" i="2"/>
  <c r="AX2591" i="2"/>
  <c r="AY2591" i="2"/>
  <c r="AZ2591" i="2"/>
  <c r="BB2591" i="2"/>
  <c r="BC2591" i="2"/>
  <c r="BD2591" i="2"/>
  <c r="M2592" i="2"/>
  <c r="AW2592" i="2"/>
  <c r="AX2592" i="2"/>
  <c r="AY2592" i="2"/>
  <c r="AZ2592" i="2"/>
  <c r="BB2592" i="2"/>
  <c r="BC2592" i="2"/>
  <c r="BD2592" i="2"/>
  <c r="M2593" i="2"/>
  <c r="AW2593" i="2"/>
  <c r="AX2593" i="2"/>
  <c r="AY2593" i="2"/>
  <c r="AZ2593" i="2"/>
  <c r="BB2593" i="2"/>
  <c r="BC2593" i="2"/>
  <c r="BD2593" i="2"/>
  <c r="M2594" i="2"/>
  <c r="AW2594" i="2"/>
  <c r="AX2594" i="2"/>
  <c r="AY2594" i="2"/>
  <c r="AZ2594" i="2"/>
  <c r="BB2594" i="2"/>
  <c r="BC2594" i="2"/>
  <c r="BD2594" i="2"/>
  <c r="M2595" i="2"/>
  <c r="AW2595" i="2"/>
  <c r="AX2595" i="2"/>
  <c r="AY2595" i="2"/>
  <c r="AZ2595" i="2"/>
  <c r="BB2595" i="2"/>
  <c r="BC2595" i="2"/>
  <c r="BD2595" i="2"/>
  <c r="M2596" i="2"/>
  <c r="AW2596" i="2"/>
  <c r="AX2596" i="2"/>
  <c r="AY2596" i="2"/>
  <c r="AZ2596" i="2"/>
  <c r="BB2596" i="2"/>
  <c r="BC2596" i="2"/>
  <c r="BD2596" i="2"/>
  <c r="M2597" i="2"/>
  <c r="AW2597" i="2"/>
  <c r="AX2597" i="2"/>
  <c r="AY2597" i="2"/>
  <c r="AZ2597" i="2"/>
  <c r="BB2597" i="2"/>
  <c r="BC2597" i="2"/>
  <c r="BD2597" i="2"/>
  <c r="M2598" i="2"/>
  <c r="AW2598" i="2"/>
  <c r="AX2598" i="2"/>
  <c r="AY2598" i="2"/>
  <c r="AZ2598" i="2"/>
  <c r="BB2598" i="2"/>
  <c r="BC2598" i="2"/>
  <c r="BD2598" i="2"/>
  <c r="M2599" i="2"/>
  <c r="AW2599" i="2"/>
  <c r="AX2599" i="2"/>
  <c r="AY2599" i="2"/>
  <c r="AZ2599" i="2"/>
  <c r="BB2599" i="2"/>
  <c r="BC2599" i="2"/>
  <c r="BD2599" i="2"/>
  <c r="M2600" i="2"/>
  <c r="AW2600" i="2"/>
  <c r="AX2600" i="2"/>
  <c r="AY2600" i="2"/>
  <c r="AZ2600" i="2"/>
  <c r="BB2600" i="2"/>
  <c r="BC2600" i="2"/>
  <c r="BD2600" i="2"/>
  <c r="M2601" i="2"/>
  <c r="AW2601" i="2"/>
  <c r="AX2601" i="2"/>
  <c r="AY2601" i="2"/>
  <c r="AZ2601" i="2"/>
  <c r="BB2601" i="2"/>
  <c r="BC2601" i="2"/>
  <c r="BD2601" i="2"/>
  <c r="M2602" i="2"/>
  <c r="AW2602" i="2"/>
  <c r="AX2602" i="2"/>
  <c r="AY2602" i="2"/>
  <c r="AZ2602" i="2"/>
  <c r="BB2602" i="2"/>
  <c r="BC2602" i="2"/>
  <c r="BD2602" i="2"/>
  <c r="M2603" i="2"/>
  <c r="AW2603" i="2"/>
  <c r="AX2603" i="2"/>
  <c r="AY2603" i="2"/>
  <c r="AZ2603" i="2"/>
  <c r="BB2603" i="2"/>
  <c r="BC2603" i="2"/>
  <c r="BD2603" i="2"/>
  <c r="M2604" i="2"/>
  <c r="AW2604" i="2"/>
  <c r="AX2604" i="2"/>
  <c r="AY2604" i="2"/>
  <c r="AZ2604" i="2"/>
  <c r="BB2604" i="2"/>
  <c r="BC2604" i="2"/>
  <c r="BD2604" i="2"/>
  <c r="M2605" i="2"/>
  <c r="AW2605" i="2"/>
  <c r="AX2605" i="2"/>
  <c r="AY2605" i="2"/>
  <c r="AZ2605" i="2"/>
  <c r="BB2605" i="2"/>
  <c r="BC2605" i="2"/>
  <c r="BD2605" i="2"/>
  <c r="M2606" i="2"/>
  <c r="AW2606" i="2"/>
  <c r="AX2606" i="2"/>
  <c r="AY2606" i="2"/>
  <c r="AZ2606" i="2"/>
  <c r="BB2606" i="2"/>
  <c r="BC2606" i="2"/>
  <c r="BD2606" i="2"/>
  <c r="M2607" i="2"/>
  <c r="AW2607" i="2"/>
  <c r="AX2607" i="2"/>
  <c r="AY2607" i="2"/>
  <c r="AZ2607" i="2"/>
  <c r="BB2607" i="2"/>
  <c r="BC2607" i="2"/>
  <c r="BD2607" i="2"/>
  <c r="M2608" i="2"/>
  <c r="AW2608" i="2"/>
  <c r="AX2608" i="2"/>
  <c r="AY2608" i="2"/>
  <c r="AZ2608" i="2"/>
  <c r="BB2608" i="2"/>
  <c r="BC2608" i="2"/>
  <c r="BD2608" i="2"/>
  <c r="M2609" i="2"/>
  <c r="AW2609" i="2"/>
  <c r="AX2609" i="2"/>
  <c r="AY2609" i="2"/>
  <c r="AZ2609" i="2"/>
  <c r="BB2609" i="2"/>
  <c r="BC2609" i="2"/>
  <c r="BD2609" i="2"/>
  <c r="M2610" i="2"/>
  <c r="AW2610" i="2"/>
  <c r="AX2610" i="2"/>
  <c r="AY2610" i="2"/>
  <c r="AZ2610" i="2"/>
  <c r="BB2610" i="2"/>
  <c r="BC2610" i="2"/>
  <c r="BD2610" i="2"/>
  <c r="M2611" i="2"/>
  <c r="AW2611" i="2"/>
  <c r="AX2611" i="2"/>
  <c r="AY2611" i="2"/>
  <c r="AZ2611" i="2"/>
  <c r="BB2611" i="2"/>
  <c r="BC2611" i="2"/>
  <c r="BD2611" i="2"/>
  <c r="M2612" i="2"/>
  <c r="AW2612" i="2"/>
  <c r="AX2612" i="2"/>
  <c r="AY2612" i="2"/>
  <c r="AZ2612" i="2"/>
  <c r="BB2612" i="2"/>
  <c r="BC2612" i="2"/>
  <c r="BD2612" i="2"/>
  <c r="M2613" i="2"/>
  <c r="AW2613" i="2"/>
  <c r="AX2613" i="2"/>
  <c r="AY2613" i="2"/>
  <c r="AZ2613" i="2"/>
  <c r="BB2613" i="2"/>
  <c r="BC2613" i="2"/>
  <c r="BD2613" i="2"/>
  <c r="M2614" i="2"/>
  <c r="AW2614" i="2"/>
  <c r="AX2614" i="2"/>
  <c r="AY2614" i="2"/>
  <c r="AZ2614" i="2"/>
  <c r="BB2614" i="2"/>
  <c r="BC2614" i="2"/>
  <c r="BD2614" i="2"/>
  <c r="M2615" i="2"/>
  <c r="AW2615" i="2"/>
  <c r="AX2615" i="2"/>
  <c r="AY2615" i="2"/>
  <c r="AZ2615" i="2"/>
  <c r="BB2615" i="2"/>
  <c r="BC2615" i="2"/>
  <c r="BD2615" i="2"/>
  <c r="M2616" i="2"/>
  <c r="AW2616" i="2"/>
  <c r="AX2616" i="2"/>
  <c r="AY2616" i="2"/>
  <c r="AZ2616" i="2"/>
  <c r="BB2616" i="2"/>
  <c r="BC2616" i="2"/>
  <c r="BD2616" i="2"/>
  <c r="M2617" i="2"/>
  <c r="AW2617" i="2"/>
  <c r="AX2617" i="2"/>
  <c r="AY2617" i="2"/>
  <c r="AZ2617" i="2"/>
  <c r="BB2617" i="2"/>
  <c r="BC2617" i="2"/>
  <c r="BD2617" i="2"/>
  <c r="M2618" i="2"/>
  <c r="AW2618" i="2"/>
  <c r="AX2618" i="2"/>
  <c r="AY2618" i="2"/>
  <c r="AZ2618" i="2"/>
  <c r="BB2618" i="2"/>
  <c r="BC2618" i="2"/>
  <c r="BD2618" i="2"/>
  <c r="M2619" i="2"/>
  <c r="AW2619" i="2"/>
  <c r="AX2619" i="2"/>
  <c r="AY2619" i="2"/>
  <c r="AZ2619" i="2"/>
  <c r="BB2619" i="2"/>
  <c r="BC2619" i="2"/>
  <c r="BD2619" i="2"/>
  <c r="M2620" i="2"/>
  <c r="AW2620" i="2"/>
  <c r="AX2620" i="2"/>
  <c r="AY2620" i="2"/>
  <c r="AZ2620" i="2"/>
  <c r="BB2620" i="2"/>
  <c r="BC2620" i="2"/>
  <c r="BD2620" i="2"/>
  <c r="M2621" i="2"/>
  <c r="AW2621" i="2"/>
  <c r="AX2621" i="2"/>
  <c r="AY2621" i="2"/>
  <c r="AZ2621" i="2"/>
  <c r="BB2621" i="2"/>
  <c r="BC2621" i="2"/>
  <c r="BD2621" i="2"/>
  <c r="M2622" i="2"/>
  <c r="AW2622" i="2"/>
  <c r="AX2622" i="2"/>
  <c r="AY2622" i="2"/>
  <c r="AZ2622" i="2"/>
  <c r="BB2622" i="2"/>
  <c r="BC2622" i="2"/>
  <c r="BD2622" i="2"/>
  <c r="M2623" i="2"/>
  <c r="AX2623" i="2"/>
  <c r="AZ2623" i="2"/>
  <c r="BB2623" i="2"/>
  <c r="BC2623" i="2"/>
  <c r="BD2623" i="2"/>
  <c r="CA2623" i="2"/>
  <c r="AY2625" i="2"/>
  <c r="M2626" i="2"/>
  <c r="AW2626" i="2"/>
  <c r="AX2626" i="2"/>
  <c r="AY2626" i="2"/>
  <c r="AZ2626" i="2"/>
  <c r="BB2626" i="2"/>
  <c r="BC2626" i="2"/>
  <c r="BD2626" i="2"/>
  <c r="M2627" i="2"/>
  <c r="AW2627" i="2"/>
  <c r="AX2627" i="2"/>
  <c r="AY2627" i="2"/>
  <c r="AZ2627" i="2"/>
  <c r="BB2627" i="2"/>
  <c r="BC2627" i="2"/>
  <c r="BD2627" i="2"/>
  <c r="M2628" i="2"/>
  <c r="AW2628" i="2"/>
  <c r="AX2628" i="2"/>
  <c r="AY2628" i="2"/>
  <c r="AZ2628" i="2"/>
  <c r="BB2628" i="2"/>
  <c r="BC2628" i="2"/>
  <c r="BD2628" i="2"/>
  <c r="M2629" i="2"/>
  <c r="AW2629" i="2"/>
  <c r="AX2629" i="2"/>
  <c r="AY2629" i="2"/>
  <c r="AZ2629" i="2"/>
  <c r="BB2629" i="2"/>
  <c r="BC2629" i="2"/>
  <c r="BD2629" i="2"/>
  <c r="M2630" i="2"/>
  <c r="AW2630" i="2"/>
  <c r="AX2630" i="2"/>
  <c r="AY2630" i="2"/>
  <c r="AZ2630" i="2"/>
  <c r="BB2630" i="2"/>
  <c r="BC2630" i="2"/>
  <c r="BD2630" i="2"/>
  <c r="M2631" i="2"/>
  <c r="AW2631" i="2"/>
  <c r="AX2631" i="2"/>
  <c r="AY2631" i="2"/>
  <c r="AZ2631" i="2"/>
  <c r="BB2631" i="2"/>
  <c r="BC2631" i="2"/>
  <c r="BD2631" i="2"/>
  <c r="M2632" i="2"/>
  <c r="AW2632" i="2"/>
  <c r="AX2632" i="2"/>
  <c r="AY2632" i="2"/>
  <c r="AZ2632" i="2"/>
  <c r="BB2632" i="2"/>
  <c r="BC2632" i="2"/>
  <c r="BD2632" i="2"/>
  <c r="M2633" i="2"/>
  <c r="AW2633" i="2"/>
  <c r="AX2633" i="2"/>
  <c r="AY2633" i="2"/>
  <c r="AZ2633" i="2"/>
  <c r="BB2633" i="2"/>
  <c r="BC2633" i="2"/>
  <c r="BD2633" i="2"/>
  <c r="M2634" i="2"/>
  <c r="AW2634" i="2"/>
  <c r="AX2634" i="2"/>
  <c r="AY2634" i="2"/>
  <c r="AZ2634" i="2"/>
  <c r="BB2634" i="2"/>
  <c r="BC2634" i="2"/>
  <c r="BD2634" i="2"/>
  <c r="M2635" i="2"/>
  <c r="AW2635" i="2"/>
  <c r="AX2635" i="2"/>
  <c r="AY2635" i="2"/>
  <c r="AZ2635" i="2"/>
  <c r="BB2635" i="2"/>
  <c r="BC2635" i="2"/>
  <c r="BD2635" i="2"/>
  <c r="M2636" i="2"/>
  <c r="AW2636" i="2"/>
  <c r="AX2636" i="2"/>
  <c r="AY2636" i="2"/>
  <c r="AZ2636" i="2"/>
  <c r="BB2636" i="2"/>
  <c r="BC2636" i="2"/>
  <c r="BD2636" i="2"/>
  <c r="M2637" i="2"/>
  <c r="AW2637" i="2"/>
  <c r="AX2637" i="2"/>
  <c r="AY2637" i="2"/>
  <c r="AZ2637" i="2"/>
  <c r="BB2637" i="2"/>
  <c r="BC2637" i="2"/>
  <c r="BD2637" i="2"/>
  <c r="M2638" i="2"/>
  <c r="AW2638" i="2"/>
  <c r="AX2638" i="2"/>
  <c r="AY2638" i="2"/>
  <c r="AZ2638" i="2"/>
  <c r="BB2638" i="2"/>
  <c r="BC2638" i="2"/>
  <c r="BD2638" i="2"/>
  <c r="M2639" i="2"/>
  <c r="AW2639" i="2"/>
  <c r="AX2639" i="2"/>
  <c r="AY2639" i="2"/>
  <c r="AZ2639" i="2"/>
  <c r="BB2639" i="2"/>
  <c r="BC2639" i="2"/>
  <c r="BD2639" i="2"/>
  <c r="M2640" i="2"/>
  <c r="AW2640" i="2"/>
  <c r="AX2640" i="2"/>
  <c r="AY2640" i="2"/>
  <c r="AZ2640" i="2"/>
  <c r="BB2640" i="2"/>
  <c r="BC2640" i="2"/>
  <c r="BD2640" i="2"/>
  <c r="M2641" i="2"/>
  <c r="AW2641" i="2"/>
  <c r="AX2641" i="2"/>
  <c r="AY2641" i="2"/>
  <c r="AZ2641" i="2"/>
  <c r="BB2641" i="2"/>
  <c r="BC2641" i="2"/>
  <c r="BD2641" i="2"/>
  <c r="M2642" i="2"/>
  <c r="AW2642" i="2"/>
  <c r="AX2642" i="2"/>
  <c r="AY2642" i="2"/>
  <c r="AZ2642" i="2"/>
  <c r="BB2642" i="2"/>
  <c r="BC2642" i="2"/>
  <c r="BD2642" i="2"/>
  <c r="M2643" i="2"/>
  <c r="AW2643" i="2"/>
  <c r="AX2643" i="2"/>
  <c r="AY2643" i="2"/>
  <c r="AZ2643" i="2"/>
  <c r="BB2643" i="2"/>
  <c r="BC2643" i="2"/>
  <c r="BD2643" i="2"/>
  <c r="M2644" i="2"/>
  <c r="AW2644" i="2"/>
  <c r="AX2644" i="2"/>
  <c r="AY2644" i="2"/>
  <c r="AZ2644" i="2"/>
  <c r="BB2644" i="2"/>
  <c r="BC2644" i="2"/>
  <c r="BD2644" i="2"/>
  <c r="M2645" i="2"/>
  <c r="AW2645" i="2"/>
  <c r="AX2645" i="2"/>
  <c r="AY2645" i="2"/>
  <c r="AZ2645" i="2"/>
  <c r="BB2645" i="2"/>
  <c r="BC2645" i="2"/>
  <c r="BD2645" i="2"/>
  <c r="M2646" i="2"/>
  <c r="AW2646" i="2"/>
  <c r="AX2646" i="2"/>
  <c r="AY2646" i="2"/>
  <c r="AZ2646" i="2"/>
  <c r="BB2646" i="2"/>
  <c r="BC2646" i="2"/>
  <c r="BD2646" i="2"/>
  <c r="M2647" i="2"/>
  <c r="AW2647" i="2"/>
  <c r="AX2647" i="2"/>
  <c r="AY2647" i="2"/>
  <c r="AZ2647" i="2"/>
  <c r="BB2647" i="2"/>
  <c r="BC2647" i="2"/>
  <c r="BD2647" i="2"/>
  <c r="M2648" i="2"/>
  <c r="AW2648" i="2"/>
  <c r="AX2648" i="2"/>
  <c r="AY2648" i="2"/>
  <c r="AZ2648" i="2"/>
  <c r="BB2648" i="2"/>
  <c r="BC2648" i="2"/>
  <c r="BD2648" i="2"/>
  <c r="M2649" i="2"/>
  <c r="AW2649" i="2"/>
  <c r="AX2649" i="2"/>
  <c r="AY2649" i="2"/>
  <c r="AZ2649" i="2"/>
  <c r="BB2649" i="2"/>
  <c r="BC2649" i="2"/>
  <c r="BD2649" i="2"/>
  <c r="M2650" i="2"/>
  <c r="AW2650" i="2"/>
  <c r="AX2650" i="2"/>
  <c r="AY2650" i="2"/>
  <c r="AZ2650" i="2"/>
  <c r="BB2650" i="2"/>
  <c r="BC2650" i="2"/>
  <c r="BD2650" i="2"/>
  <c r="M2651" i="2"/>
  <c r="AW2651" i="2"/>
  <c r="AX2651" i="2"/>
  <c r="AY2651" i="2"/>
  <c r="AZ2651" i="2"/>
  <c r="BB2651" i="2"/>
  <c r="BC2651" i="2"/>
  <c r="BD2651" i="2"/>
  <c r="M2652" i="2"/>
  <c r="AW2652" i="2"/>
  <c r="AX2652" i="2"/>
  <c r="AY2652" i="2"/>
  <c r="AZ2652" i="2"/>
  <c r="BB2652" i="2"/>
  <c r="BC2652" i="2"/>
  <c r="BD2652" i="2"/>
  <c r="M2653" i="2"/>
  <c r="AW2653" i="2"/>
  <c r="AX2653" i="2"/>
  <c r="AY2653" i="2"/>
  <c r="AZ2653" i="2"/>
  <c r="BB2653" i="2"/>
  <c r="BC2653" i="2"/>
  <c r="BD2653" i="2"/>
  <c r="M2654" i="2"/>
  <c r="AW2654" i="2"/>
  <c r="AX2654" i="2"/>
  <c r="AY2654" i="2"/>
  <c r="AZ2654" i="2"/>
  <c r="BB2654" i="2"/>
  <c r="BC2654" i="2"/>
  <c r="BD2654" i="2"/>
  <c r="M2655" i="2"/>
  <c r="AW2655" i="2"/>
  <c r="AX2655" i="2"/>
  <c r="AY2655" i="2"/>
  <c r="AZ2655" i="2"/>
  <c r="BB2655" i="2"/>
  <c r="BC2655" i="2"/>
  <c r="BD2655" i="2"/>
  <c r="M2656" i="2"/>
  <c r="AW2656" i="2"/>
  <c r="AX2656" i="2"/>
  <c r="AY2656" i="2"/>
  <c r="AZ2656" i="2"/>
  <c r="BB2656" i="2"/>
  <c r="BC2656" i="2"/>
  <c r="BD2656" i="2"/>
  <c r="M2657" i="2"/>
  <c r="AW2657" i="2"/>
  <c r="AX2657" i="2"/>
  <c r="AY2657" i="2"/>
  <c r="AZ2657" i="2"/>
  <c r="BB2657" i="2"/>
  <c r="BC2657" i="2"/>
  <c r="BD2657" i="2"/>
  <c r="M2658" i="2"/>
  <c r="AW2658" i="2"/>
  <c r="AX2658" i="2"/>
  <c r="AY2658" i="2"/>
  <c r="AZ2658" i="2"/>
  <c r="BB2658" i="2"/>
  <c r="BC2658" i="2"/>
  <c r="BD2658" i="2"/>
  <c r="M2659" i="2"/>
  <c r="AW2659" i="2"/>
  <c r="AX2659" i="2"/>
  <c r="AY2659" i="2"/>
  <c r="AZ2659" i="2"/>
  <c r="BB2659" i="2"/>
  <c r="BC2659" i="2"/>
  <c r="BD2659" i="2"/>
  <c r="M2660" i="2"/>
  <c r="AW2660" i="2"/>
  <c r="AX2660" i="2"/>
  <c r="AY2660" i="2"/>
  <c r="AZ2660" i="2"/>
  <c r="BB2660" i="2"/>
  <c r="BC2660" i="2"/>
  <c r="BD2660" i="2"/>
  <c r="M2661" i="2"/>
  <c r="AW2661" i="2"/>
  <c r="AX2661" i="2"/>
  <c r="AY2661" i="2"/>
  <c r="AZ2661" i="2"/>
  <c r="BB2661" i="2"/>
  <c r="BC2661" i="2"/>
  <c r="BD2661" i="2"/>
  <c r="M2662" i="2"/>
  <c r="AW2662" i="2"/>
  <c r="AX2662" i="2"/>
  <c r="AY2662" i="2"/>
  <c r="AZ2662" i="2"/>
  <c r="BB2662" i="2"/>
  <c r="BC2662" i="2"/>
  <c r="BD2662" i="2"/>
  <c r="M2663" i="2"/>
  <c r="AW2663" i="2"/>
  <c r="AX2663" i="2"/>
  <c r="AY2663" i="2"/>
  <c r="AZ2663" i="2"/>
  <c r="BB2663" i="2"/>
  <c r="BC2663" i="2"/>
  <c r="BD2663" i="2"/>
  <c r="M2664" i="2"/>
  <c r="AW2664" i="2"/>
  <c r="AX2664" i="2"/>
  <c r="AY2664" i="2"/>
  <c r="AZ2664" i="2"/>
  <c r="BB2664" i="2"/>
  <c r="BC2664" i="2"/>
  <c r="BD2664" i="2"/>
  <c r="M2665" i="2"/>
  <c r="AW2665" i="2"/>
  <c r="AX2665" i="2"/>
  <c r="AY2665" i="2"/>
  <c r="AZ2665" i="2"/>
  <c r="BB2665" i="2"/>
  <c r="BC2665" i="2"/>
  <c r="BD2665" i="2"/>
  <c r="M2666" i="2"/>
  <c r="AW2666" i="2"/>
  <c r="AX2666" i="2"/>
  <c r="AY2666" i="2"/>
  <c r="AZ2666" i="2"/>
  <c r="BB2666" i="2"/>
  <c r="BC2666" i="2"/>
  <c r="BD2666" i="2"/>
  <c r="M2667" i="2"/>
  <c r="AW2667" i="2"/>
  <c r="AX2667" i="2"/>
  <c r="AY2667" i="2"/>
  <c r="AZ2667" i="2"/>
  <c r="BB2667" i="2"/>
  <c r="BC2667" i="2"/>
  <c r="BD2667" i="2"/>
  <c r="M2668" i="2"/>
  <c r="AW2668" i="2"/>
  <c r="AX2668" i="2"/>
  <c r="AY2668" i="2"/>
  <c r="AZ2668" i="2"/>
  <c r="BB2668" i="2"/>
  <c r="BC2668" i="2"/>
  <c r="BD2668" i="2"/>
  <c r="M2669" i="2"/>
  <c r="AW2669" i="2"/>
  <c r="AX2669" i="2"/>
  <c r="AY2669" i="2"/>
  <c r="AZ2669" i="2"/>
  <c r="BB2669" i="2"/>
  <c r="BC2669" i="2"/>
  <c r="BD2669" i="2"/>
  <c r="M2670" i="2"/>
  <c r="AW2670" i="2"/>
  <c r="AX2670" i="2"/>
  <c r="AY2670" i="2"/>
  <c r="AZ2670" i="2"/>
  <c r="BB2670" i="2"/>
  <c r="BC2670" i="2"/>
  <c r="BD2670" i="2"/>
  <c r="M2671" i="2"/>
  <c r="AW2671" i="2"/>
  <c r="AX2671" i="2"/>
  <c r="AY2671" i="2"/>
  <c r="AZ2671" i="2"/>
  <c r="BB2671" i="2"/>
  <c r="BC2671" i="2"/>
  <c r="BD2671" i="2"/>
  <c r="M2672" i="2"/>
  <c r="AW2672" i="2"/>
  <c r="AX2672" i="2"/>
  <c r="AY2672" i="2"/>
  <c r="AZ2672" i="2"/>
  <c r="BB2672" i="2"/>
  <c r="BC2672" i="2"/>
  <c r="BD2672" i="2"/>
  <c r="M2673" i="2"/>
  <c r="AW2673" i="2"/>
  <c r="AX2673" i="2"/>
  <c r="AY2673" i="2"/>
  <c r="AZ2673" i="2"/>
  <c r="BB2673" i="2"/>
  <c r="BC2673" i="2"/>
  <c r="BD2673" i="2"/>
  <c r="M2674" i="2"/>
  <c r="AW2674" i="2"/>
  <c r="AX2674" i="2"/>
  <c r="AY2674" i="2"/>
  <c r="AZ2674" i="2"/>
  <c r="BB2674" i="2"/>
  <c r="BC2674" i="2"/>
  <c r="BD2674" i="2"/>
  <c r="M2675" i="2"/>
  <c r="AW2675" i="2"/>
  <c r="AX2675" i="2"/>
  <c r="AY2675" i="2"/>
  <c r="AZ2675" i="2"/>
  <c r="BB2675" i="2"/>
  <c r="BC2675" i="2"/>
  <c r="BD2675" i="2"/>
  <c r="M2676" i="2"/>
  <c r="AW2676" i="2"/>
  <c r="AX2676" i="2"/>
  <c r="AY2676" i="2"/>
  <c r="AZ2676" i="2"/>
  <c r="BB2676" i="2"/>
  <c r="BC2676" i="2"/>
  <c r="BD2676" i="2"/>
  <c r="M2677" i="2"/>
  <c r="AW2677" i="2"/>
  <c r="AX2677" i="2"/>
  <c r="AY2677" i="2"/>
  <c r="AZ2677" i="2"/>
  <c r="BB2677" i="2"/>
  <c r="BC2677" i="2"/>
  <c r="BD2677" i="2"/>
  <c r="M2678" i="2"/>
  <c r="AW2678" i="2"/>
  <c r="AX2678" i="2"/>
  <c r="AY2678" i="2"/>
  <c r="AZ2678" i="2"/>
  <c r="BB2678" i="2"/>
  <c r="BC2678" i="2"/>
  <c r="BD2678" i="2"/>
  <c r="M2679" i="2"/>
  <c r="AW2679" i="2"/>
  <c r="AX2679" i="2"/>
  <c r="AY2679" i="2"/>
  <c r="AZ2679" i="2"/>
  <c r="BB2679" i="2"/>
  <c r="BC2679" i="2"/>
  <c r="BD2679" i="2"/>
  <c r="M2680" i="2"/>
  <c r="AW2680" i="2"/>
  <c r="AX2680" i="2"/>
  <c r="AY2680" i="2"/>
  <c r="AZ2680" i="2"/>
  <c r="BB2680" i="2"/>
  <c r="BC2680" i="2"/>
  <c r="BD2680" i="2"/>
  <c r="M2681" i="2"/>
  <c r="AW2681" i="2"/>
  <c r="AX2681" i="2"/>
  <c r="AY2681" i="2"/>
  <c r="AZ2681" i="2"/>
  <c r="BB2681" i="2"/>
  <c r="BC2681" i="2"/>
  <c r="BD2681" i="2"/>
  <c r="M2682" i="2"/>
  <c r="AW2682" i="2"/>
  <c r="AX2682" i="2"/>
  <c r="AY2682" i="2"/>
  <c r="AZ2682" i="2"/>
  <c r="BB2682" i="2"/>
  <c r="BC2682" i="2"/>
  <c r="BD2682" i="2"/>
  <c r="M2683" i="2"/>
  <c r="AW2683" i="2"/>
  <c r="AX2683" i="2"/>
  <c r="AY2683" i="2"/>
  <c r="AZ2683" i="2"/>
  <c r="BB2683" i="2"/>
  <c r="BC2683" i="2"/>
  <c r="BD2683" i="2"/>
  <c r="M2684" i="2"/>
  <c r="AW2684" i="2"/>
  <c r="AX2684" i="2"/>
  <c r="AY2684" i="2"/>
  <c r="AZ2684" i="2"/>
  <c r="BB2684" i="2"/>
  <c r="BC2684" i="2"/>
  <c r="BD2684" i="2"/>
  <c r="M2685" i="2"/>
  <c r="AW2685" i="2"/>
  <c r="AX2685" i="2"/>
  <c r="AY2685" i="2"/>
  <c r="AZ2685" i="2"/>
  <c r="BB2685" i="2"/>
  <c r="BC2685" i="2"/>
  <c r="BD2685" i="2"/>
  <c r="M2686" i="2"/>
  <c r="AW2686" i="2"/>
  <c r="AX2686" i="2"/>
  <c r="AY2686" i="2"/>
  <c r="AZ2686" i="2"/>
  <c r="BB2686" i="2"/>
  <c r="BC2686" i="2"/>
  <c r="BD2686" i="2"/>
  <c r="M2687" i="2"/>
  <c r="AW2687" i="2"/>
  <c r="AX2687" i="2"/>
  <c r="AY2687" i="2"/>
  <c r="AZ2687" i="2"/>
  <c r="BB2687" i="2"/>
  <c r="BC2687" i="2"/>
  <c r="BD2687" i="2"/>
  <c r="M2688" i="2"/>
  <c r="AW2688" i="2"/>
  <c r="AX2688" i="2"/>
  <c r="AY2688" i="2"/>
  <c r="AZ2688" i="2"/>
  <c r="BB2688" i="2"/>
  <c r="BC2688" i="2"/>
  <c r="BD2688" i="2"/>
  <c r="M2689" i="2"/>
  <c r="AW2689" i="2"/>
  <c r="AX2689" i="2"/>
  <c r="AY2689" i="2"/>
  <c r="AZ2689" i="2"/>
  <c r="BB2689" i="2"/>
  <c r="BC2689" i="2"/>
  <c r="BD2689" i="2"/>
  <c r="M2690" i="2"/>
  <c r="AW2690" i="2"/>
  <c r="AX2690" i="2"/>
  <c r="AY2690" i="2"/>
  <c r="AZ2690" i="2"/>
  <c r="BB2690" i="2"/>
  <c r="BC2690" i="2"/>
  <c r="BD2690" i="2"/>
  <c r="M2691" i="2"/>
  <c r="AW2691" i="2"/>
  <c r="AX2691" i="2"/>
  <c r="AY2691" i="2"/>
  <c r="AZ2691" i="2"/>
  <c r="BB2691" i="2"/>
  <c r="BC2691" i="2"/>
  <c r="BD2691" i="2"/>
  <c r="M2692" i="2"/>
  <c r="AW2692" i="2"/>
  <c r="AX2692" i="2"/>
  <c r="AY2692" i="2"/>
  <c r="AZ2692" i="2"/>
  <c r="BB2692" i="2"/>
  <c r="BC2692" i="2"/>
  <c r="BD2692" i="2"/>
  <c r="M2693" i="2"/>
  <c r="AW2693" i="2"/>
  <c r="AX2693" i="2"/>
  <c r="AY2693" i="2"/>
  <c r="AZ2693" i="2"/>
  <c r="BB2693" i="2"/>
  <c r="BC2693" i="2"/>
  <c r="BD2693" i="2"/>
  <c r="M2694" i="2"/>
  <c r="AW2694" i="2"/>
  <c r="AX2694" i="2"/>
  <c r="AY2694" i="2"/>
  <c r="AZ2694" i="2"/>
  <c r="BB2694" i="2"/>
  <c r="BC2694" i="2"/>
  <c r="BD2694" i="2"/>
  <c r="M2695" i="2"/>
  <c r="AW2695" i="2"/>
  <c r="AX2695" i="2"/>
  <c r="AY2695" i="2"/>
  <c r="AZ2695" i="2"/>
  <c r="BB2695" i="2"/>
  <c r="BC2695" i="2"/>
  <c r="BD2695" i="2"/>
  <c r="M2696" i="2"/>
  <c r="AW2696" i="2"/>
  <c r="AX2696" i="2"/>
  <c r="AY2696" i="2"/>
  <c r="AZ2696" i="2"/>
  <c r="BB2696" i="2"/>
  <c r="BC2696" i="2"/>
  <c r="BD2696" i="2"/>
  <c r="M2697" i="2"/>
  <c r="AW2697" i="2"/>
  <c r="AX2697" i="2"/>
  <c r="AY2697" i="2"/>
  <c r="AZ2697" i="2"/>
  <c r="BB2697" i="2"/>
  <c r="BC2697" i="2"/>
  <c r="BD2697" i="2"/>
  <c r="M2698" i="2"/>
  <c r="AW2698" i="2"/>
  <c r="AX2698" i="2"/>
  <c r="AY2698" i="2"/>
  <c r="AZ2698" i="2"/>
  <c r="BB2698" i="2"/>
  <c r="BC2698" i="2"/>
  <c r="BD2698" i="2"/>
  <c r="M2699" i="2"/>
  <c r="AW2699" i="2"/>
  <c r="AX2699" i="2"/>
  <c r="AY2699" i="2"/>
  <c r="AZ2699" i="2"/>
  <c r="BB2699" i="2"/>
  <c r="BC2699" i="2"/>
  <c r="BD2699" i="2"/>
  <c r="M2700" i="2"/>
  <c r="AW2700" i="2"/>
  <c r="AX2700" i="2"/>
  <c r="AY2700" i="2"/>
  <c r="AZ2700" i="2"/>
  <c r="BB2700" i="2"/>
  <c r="BC2700" i="2"/>
  <c r="BD2700" i="2"/>
  <c r="M2701" i="2"/>
  <c r="AW2701" i="2"/>
  <c r="AX2701" i="2"/>
  <c r="AY2701" i="2"/>
  <c r="AZ2701" i="2"/>
  <c r="BB2701" i="2"/>
  <c r="BC2701" i="2"/>
  <c r="BD2701" i="2"/>
  <c r="M2702" i="2"/>
  <c r="AW2702" i="2"/>
  <c r="AX2702" i="2"/>
  <c r="AY2702" i="2"/>
  <c r="AZ2702" i="2"/>
  <c r="BB2702" i="2"/>
  <c r="BC2702" i="2"/>
  <c r="BD2702" i="2"/>
  <c r="M2703" i="2"/>
  <c r="AW2703" i="2"/>
  <c r="AX2703" i="2"/>
  <c r="AY2703" i="2"/>
  <c r="AZ2703" i="2"/>
  <c r="BB2703" i="2"/>
  <c r="BC2703" i="2"/>
  <c r="BD2703" i="2"/>
  <c r="M2704" i="2"/>
  <c r="AW2704" i="2"/>
  <c r="AX2704" i="2"/>
  <c r="AY2704" i="2"/>
  <c r="AZ2704" i="2"/>
  <c r="BB2704" i="2"/>
  <c r="BC2704" i="2"/>
  <c r="BD2704" i="2"/>
  <c r="M2705" i="2"/>
  <c r="AW2705" i="2"/>
  <c r="AX2705" i="2"/>
  <c r="AY2705" i="2"/>
  <c r="AZ2705" i="2"/>
  <c r="BB2705" i="2"/>
  <c r="BC2705" i="2"/>
  <c r="BD2705" i="2"/>
  <c r="M2706" i="2"/>
  <c r="AW2706" i="2"/>
  <c r="AX2706" i="2"/>
  <c r="AY2706" i="2"/>
  <c r="AZ2706" i="2"/>
  <c r="BB2706" i="2"/>
  <c r="BC2706" i="2"/>
  <c r="BD2706" i="2"/>
  <c r="M2707" i="2"/>
  <c r="AW2707" i="2"/>
  <c r="AX2707" i="2"/>
  <c r="AY2707" i="2"/>
  <c r="AZ2707" i="2"/>
  <c r="BB2707" i="2"/>
  <c r="BC2707" i="2"/>
  <c r="BD2707" i="2"/>
  <c r="M2708" i="2"/>
  <c r="AW2708" i="2"/>
  <c r="AX2708" i="2"/>
  <c r="AY2708" i="2"/>
  <c r="AZ2708" i="2"/>
  <c r="BB2708" i="2"/>
  <c r="BC2708" i="2"/>
  <c r="BD2708" i="2"/>
  <c r="M2709" i="2"/>
  <c r="AW2709" i="2"/>
  <c r="AX2709" i="2"/>
  <c r="AY2709" i="2"/>
  <c r="AZ2709" i="2"/>
  <c r="BB2709" i="2"/>
  <c r="BC2709" i="2"/>
  <c r="BD2709" i="2"/>
  <c r="M2710" i="2"/>
  <c r="AW2710" i="2"/>
  <c r="AX2710" i="2"/>
  <c r="AY2710" i="2"/>
  <c r="AZ2710" i="2"/>
  <c r="BB2710" i="2"/>
  <c r="BC2710" i="2"/>
  <c r="BD2710" i="2"/>
  <c r="M2711" i="2"/>
  <c r="AW2711" i="2"/>
  <c r="AX2711" i="2"/>
  <c r="AY2711" i="2"/>
  <c r="AZ2711" i="2"/>
  <c r="BB2711" i="2"/>
  <c r="BC2711" i="2"/>
  <c r="BD2711" i="2"/>
  <c r="M2712" i="2"/>
  <c r="AW2712" i="2"/>
  <c r="AX2712" i="2"/>
  <c r="AY2712" i="2"/>
  <c r="AZ2712" i="2"/>
  <c r="BB2712" i="2"/>
  <c r="BC2712" i="2"/>
  <c r="BD2712" i="2"/>
  <c r="M2713" i="2"/>
  <c r="AW2713" i="2"/>
  <c r="AX2713" i="2"/>
  <c r="AY2713" i="2"/>
  <c r="AZ2713" i="2"/>
  <c r="BB2713" i="2"/>
  <c r="BC2713" i="2"/>
  <c r="BD2713" i="2"/>
  <c r="M2714" i="2"/>
  <c r="AW2714" i="2"/>
  <c r="AX2714" i="2"/>
  <c r="AY2714" i="2"/>
  <c r="AZ2714" i="2"/>
  <c r="BB2714" i="2"/>
  <c r="BC2714" i="2"/>
  <c r="BD2714" i="2"/>
  <c r="M2715" i="2"/>
  <c r="AW2715" i="2"/>
  <c r="AX2715" i="2"/>
  <c r="AY2715" i="2"/>
  <c r="AZ2715" i="2"/>
  <c r="BB2715" i="2"/>
  <c r="BC2715" i="2"/>
  <c r="BD2715" i="2"/>
  <c r="M2716" i="2"/>
  <c r="AW2716" i="2"/>
  <c r="AX2716" i="2"/>
  <c r="AY2716" i="2"/>
  <c r="AZ2716" i="2"/>
  <c r="BB2716" i="2"/>
  <c r="BC2716" i="2"/>
  <c r="BD2716" i="2"/>
  <c r="M2717" i="2"/>
  <c r="AW2717" i="2"/>
  <c r="AX2717" i="2"/>
  <c r="AY2717" i="2"/>
  <c r="AZ2717" i="2"/>
  <c r="BB2717" i="2"/>
  <c r="BC2717" i="2"/>
  <c r="BD2717" i="2"/>
  <c r="M2718" i="2"/>
  <c r="AW2718" i="2"/>
  <c r="AX2718" i="2"/>
  <c r="AY2718" i="2"/>
  <c r="AZ2718" i="2"/>
  <c r="BB2718" i="2"/>
  <c r="BC2718" i="2"/>
  <c r="BD2718" i="2"/>
  <c r="M2719" i="2"/>
  <c r="AW2719" i="2"/>
  <c r="AX2719" i="2"/>
  <c r="AY2719" i="2"/>
  <c r="AZ2719" i="2"/>
  <c r="BB2719" i="2"/>
  <c r="BC2719" i="2"/>
  <c r="BD2719" i="2"/>
  <c r="M2720" i="2"/>
  <c r="AW2720" i="2"/>
  <c r="AX2720" i="2"/>
  <c r="AY2720" i="2"/>
  <c r="AZ2720" i="2"/>
  <c r="BB2720" i="2"/>
  <c r="BC2720" i="2"/>
  <c r="BD2720" i="2"/>
  <c r="M2721" i="2"/>
  <c r="AW2721" i="2"/>
  <c r="AX2721" i="2"/>
  <c r="AY2721" i="2"/>
  <c r="AZ2721" i="2"/>
  <c r="BB2721" i="2"/>
  <c r="BC2721" i="2"/>
  <c r="BD2721" i="2"/>
  <c r="M2722" i="2"/>
  <c r="AW2722" i="2"/>
  <c r="AX2722" i="2"/>
  <c r="AY2722" i="2"/>
  <c r="AZ2722" i="2"/>
  <c r="BB2722" i="2"/>
  <c r="BC2722" i="2"/>
  <c r="BD2722" i="2"/>
  <c r="M2723" i="2"/>
  <c r="AW2723" i="2"/>
  <c r="AX2723" i="2"/>
  <c r="AY2723" i="2"/>
  <c r="AZ2723" i="2"/>
  <c r="BB2723" i="2"/>
  <c r="BC2723" i="2"/>
  <c r="BD2723" i="2"/>
  <c r="M2724" i="2"/>
  <c r="AW2724" i="2"/>
  <c r="AX2724" i="2"/>
  <c r="AY2724" i="2"/>
  <c r="AZ2724" i="2"/>
  <c r="BB2724" i="2"/>
  <c r="BC2724" i="2"/>
  <c r="BD2724" i="2"/>
  <c r="M2725" i="2"/>
  <c r="AW2725" i="2"/>
  <c r="AX2725" i="2"/>
  <c r="AY2725" i="2"/>
  <c r="AZ2725" i="2"/>
  <c r="BB2725" i="2"/>
  <c r="BC2725" i="2"/>
  <c r="BD2725" i="2"/>
  <c r="M2726" i="2"/>
  <c r="AW2726" i="2"/>
  <c r="AX2726" i="2"/>
  <c r="AY2726" i="2"/>
  <c r="AZ2726" i="2"/>
  <c r="BB2726" i="2"/>
  <c r="BC2726" i="2"/>
  <c r="BD2726" i="2"/>
  <c r="M2727" i="2"/>
  <c r="AW2727" i="2"/>
  <c r="AX2727" i="2"/>
  <c r="AY2727" i="2"/>
  <c r="AZ2727" i="2"/>
  <c r="BB2727" i="2"/>
  <c r="BC2727" i="2"/>
  <c r="BD2727" i="2"/>
  <c r="M2728" i="2"/>
  <c r="AW2728" i="2"/>
  <c r="AX2728" i="2"/>
  <c r="AY2728" i="2"/>
  <c r="AZ2728" i="2"/>
  <c r="BB2728" i="2"/>
  <c r="BC2728" i="2"/>
  <c r="BD2728" i="2"/>
  <c r="M2729" i="2"/>
  <c r="AW2729" i="2"/>
  <c r="AX2729" i="2"/>
  <c r="AY2729" i="2"/>
  <c r="AZ2729" i="2"/>
  <c r="BB2729" i="2"/>
  <c r="BC2729" i="2"/>
  <c r="BD2729" i="2"/>
  <c r="M2730" i="2"/>
  <c r="AW2730" i="2"/>
  <c r="AX2730" i="2"/>
  <c r="AY2730" i="2"/>
  <c r="AZ2730" i="2"/>
  <c r="BB2730" i="2"/>
  <c r="BC2730" i="2"/>
  <c r="BD2730" i="2"/>
  <c r="M2731" i="2"/>
  <c r="AW2731" i="2"/>
  <c r="AX2731" i="2"/>
  <c r="AY2731" i="2"/>
  <c r="AZ2731" i="2"/>
  <c r="BB2731" i="2"/>
  <c r="BC2731" i="2"/>
  <c r="BD2731" i="2"/>
  <c r="M2732" i="2"/>
  <c r="AW2732" i="2"/>
  <c r="AX2732" i="2"/>
  <c r="AY2732" i="2"/>
  <c r="AZ2732" i="2"/>
  <c r="BB2732" i="2"/>
  <c r="BC2732" i="2"/>
  <c r="BD2732" i="2"/>
  <c r="M2733" i="2"/>
  <c r="AW2733" i="2"/>
  <c r="AX2733" i="2"/>
  <c r="AY2733" i="2"/>
  <c r="AZ2733" i="2"/>
  <c r="BB2733" i="2"/>
  <c r="BC2733" i="2"/>
  <c r="BD2733" i="2"/>
  <c r="M2734" i="2"/>
  <c r="AW2734" i="2"/>
  <c r="AX2734" i="2"/>
  <c r="AY2734" i="2"/>
  <c r="AZ2734" i="2"/>
  <c r="BB2734" i="2"/>
  <c r="BC2734" i="2"/>
  <c r="BD2734" i="2"/>
  <c r="M2735" i="2"/>
  <c r="AW2735" i="2"/>
  <c r="AX2735" i="2"/>
  <c r="AY2735" i="2"/>
  <c r="AZ2735" i="2"/>
  <c r="BB2735" i="2"/>
  <c r="BC2735" i="2"/>
  <c r="BD2735" i="2"/>
  <c r="M2736" i="2"/>
  <c r="AW2736" i="2"/>
  <c r="AX2736" i="2"/>
  <c r="AY2736" i="2"/>
  <c r="AZ2736" i="2"/>
  <c r="BB2736" i="2"/>
  <c r="BC2736" i="2"/>
  <c r="BD2736" i="2"/>
  <c r="M2737" i="2"/>
  <c r="AW2737" i="2"/>
  <c r="AX2737" i="2"/>
  <c r="AY2737" i="2"/>
  <c r="AZ2737" i="2"/>
  <c r="BB2737" i="2"/>
  <c r="BC2737" i="2"/>
  <c r="BD2737" i="2"/>
  <c r="M2738" i="2"/>
  <c r="AW2738" i="2"/>
  <c r="AX2738" i="2"/>
  <c r="AY2738" i="2"/>
  <c r="AZ2738" i="2"/>
  <c r="BB2738" i="2"/>
  <c r="BC2738" i="2"/>
  <c r="BD2738" i="2"/>
  <c r="M2739" i="2"/>
  <c r="AW2739" i="2"/>
  <c r="AX2739" i="2"/>
  <c r="AY2739" i="2"/>
  <c r="AZ2739" i="2"/>
  <c r="BB2739" i="2"/>
  <c r="BC2739" i="2"/>
  <c r="BD2739" i="2"/>
  <c r="M2740" i="2"/>
  <c r="AW2740" i="2"/>
  <c r="AX2740" i="2"/>
  <c r="AY2740" i="2"/>
  <c r="AZ2740" i="2"/>
  <c r="BB2740" i="2"/>
  <c r="BC2740" i="2"/>
  <c r="BD2740" i="2"/>
  <c r="M2741" i="2"/>
  <c r="AW2741" i="2"/>
  <c r="AX2741" i="2"/>
  <c r="AY2741" i="2"/>
  <c r="AZ2741" i="2"/>
  <c r="BB2741" i="2"/>
  <c r="BC2741" i="2"/>
  <c r="BD2741" i="2"/>
  <c r="M2742" i="2"/>
  <c r="AW2742" i="2"/>
  <c r="AX2742" i="2"/>
  <c r="AY2742" i="2"/>
  <c r="AZ2742" i="2"/>
  <c r="BB2742" i="2"/>
  <c r="BC2742" i="2"/>
  <c r="BD2742" i="2"/>
  <c r="M2743" i="2"/>
  <c r="AW2743" i="2"/>
  <c r="AX2743" i="2"/>
  <c r="AY2743" i="2"/>
  <c r="AZ2743" i="2"/>
  <c r="BB2743" i="2"/>
  <c r="BC2743" i="2"/>
  <c r="BD2743" i="2"/>
  <c r="M2744" i="2"/>
  <c r="AW2744" i="2"/>
  <c r="AX2744" i="2"/>
  <c r="AY2744" i="2"/>
  <c r="AZ2744" i="2"/>
  <c r="BB2744" i="2"/>
  <c r="BC2744" i="2"/>
  <c r="BD2744" i="2"/>
  <c r="M2745" i="2"/>
  <c r="AW2745" i="2"/>
  <c r="AX2745" i="2"/>
  <c r="AY2745" i="2"/>
  <c r="AZ2745" i="2"/>
  <c r="BB2745" i="2"/>
  <c r="BC2745" i="2"/>
  <c r="BD2745" i="2"/>
  <c r="M2746" i="2"/>
  <c r="AW2746" i="2"/>
  <c r="AX2746" i="2"/>
  <c r="AY2746" i="2"/>
  <c r="AZ2746" i="2"/>
  <c r="BB2746" i="2"/>
  <c r="BC2746" i="2"/>
  <c r="BD2746" i="2"/>
  <c r="M2747" i="2"/>
  <c r="AW2747" i="2"/>
  <c r="AX2747" i="2"/>
  <c r="AY2747" i="2"/>
  <c r="AZ2747" i="2"/>
  <c r="BB2747" i="2"/>
  <c r="BC2747" i="2"/>
  <c r="BD2747" i="2"/>
  <c r="M2748" i="2"/>
  <c r="AW2748" i="2"/>
  <c r="AX2748" i="2"/>
  <c r="AY2748" i="2"/>
  <c r="AZ2748" i="2"/>
  <c r="BB2748" i="2"/>
  <c r="BC2748" i="2"/>
  <c r="BD2748" i="2"/>
  <c r="M2749" i="2"/>
  <c r="AW2749" i="2"/>
  <c r="AX2749" i="2"/>
  <c r="AY2749" i="2"/>
  <c r="AZ2749" i="2"/>
  <c r="BB2749" i="2"/>
  <c r="BC2749" i="2"/>
  <c r="BD2749" i="2"/>
  <c r="M2750" i="2"/>
  <c r="AW2750" i="2"/>
  <c r="AX2750" i="2"/>
  <c r="AY2750" i="2"/>
  <c r="AZ2750" i="2"/>
  <c r="BB2750" i="2"/>
  <c r="BC2750" i="2"/>
  <c r="BD2750" i="2"/>
  <c r="M2751" i="2"/>
  <c r="AW2751" i="2"/>
  <c r="AX2751" i="2"/>
  <c r="AY2751" i="2"/>
  <c r="AZ2751" i="2"/>
  <c r="BB2751" i="2"/>
  <c r="BC2751" i="2"/>
  <c r="BD2751" i="2"/>
  <c r="M2752" i="2"/>
  <c r="AW2752" i="2"/>
  <c r="AX2752" i="2"/>
  <c r="AY2752" i="2"/>
  <c r="AZ2752" i="2"/>
  <c r="BB2752" i="2"/>
  <c r="BC2752" i="2"/>
  <c r="BD2752" i="2"/>
  <c r="M2753" i="2"/>
  <c r="AW2753" i="2"/>
  <c r="AX2753" i="2"/>
  <c r="AY2753" i="2"/>
  <c r="AZ2753" i="2"/>
  <c r="BB2753" i="2"/>
  <c r="BC2753" i="2"/>
  <c r="BD2753" i="2"/>
  <c r="M2754" i="2"/>
  <c r="AW2754" i="2"/>
  <c r="AX2754" i="2"/>
  <c r="AY2754" i="2"/>
  <c r="AZ2754" i="2"/>
  <c r="BB2754" i="2"/>
  <c r="BC2754" i="2"/>
  <c r="BD2754" i="2"/>
  <c r="M2755" i="2"/>
  <c r="AW2755" i="2"/>
  <c r="AX2755" i="2"/>
  <c r="AY2755" i="2"/>
  <c r="AZ2755" i="2"/>
  <c r="BB2755" i="2"/>
  <c r="BC2755" i="2"/>
  <c r="BD2755" i="2"/>
  <c r="M2756" i="2"/>
  <c r="AW2756" i="2"/>
  <c r="AX2756" i="2"/>
  <c r="AY2756" i="2"/>
  <c r="AZ2756" i="2"/>
  <c r="BB2756" i="2"/>
  <c r="BC2756" i="2"/>
  <c r="BD2756" i="2"/>
  <c r="M2757" i="2"/>
  <c r="AW2757" i="2"/>
  <c r="AX2757" i="2"/>
  <c r="AY2757" i="2"/>
  <c r="AZ2757" i="2"/>
  <c r="BB2757" i="2"/>
  <c r="BC2757" i="2"/>
  <c r="BD2757" i="2"/>
  <c r="M2758" i="2"/>
  <c r="AW2758" i="2"/>
  <c r="AX2758" i="2"/>
  <c r="AY2758" i="2"/>
  <c r="AZ2758" i="2"/>
  <c r="BB2758" i="2"/>
  <c r="BC2758" i="2"/>
  <c r="BD2758" i="2"/>
  <c r="M2759" i="2"/>
  <c r="AW2759" i="2"/>
  <c r="AX2759" i="2"/>
  <c r="AY2759" i="2"/>
  <c r="AZ2759" i="2"/>
  <c r="BB2759" i="2"/>
  <c r="BC2759" i="2"/>
  <c r="BD2759" i="2"/>
  <c r="M2760" i="2"/>
  <c r="AW2760" i="2"/>
  <c r="AX2760" i="2"/>
  <c r="AY2760" i="2"/>
  <c r="AZ2760" i="2"/>
  <c r="BB2760" i="2"/>
  <c r="BC2760" i="2"/>
  <c r="BD2760" i="2"/>
  <c r="M2761" i="2"/>
  <c r="AW2761" i="2"/>
  <c r="AX2761" i="2"/>
  <c r="AY2761" i="2"/>
  <c r="AZ2761" i="2"/>
  <c r="BB2761" i="2"/>
  <c r="BC2761" i="2"/>
  <c r="BD2761" i="2"/>
  <c r="M2762" i="2"/>
  <c r="AW2762" i="2"/>
  <c r="AX2762" i="2"/>
  <c r="AY2762" i="2"/>
  <c r="AZ2762" i="2"/>
  <c r="BB2762" i="2"/>
  <c r="BC2762" i="2"/>
  <c r="BD2762" i="2"/>
  <c r="M2763" i="2"/>
  <c r="AW2763" i="2"/>
  <c r="AX2763" i="2"/>
  <c r="AY2763" i="2"/>
  <c r="AZ2763" i="2"/>
  <c r="BB2763" i="2"/>
  <c r="BC2763" i="2"/>
  <c r="BD2763" i="2"/>
  <c r="M2764" i="2"/>
  <c r="AW2764" i="2"/>
  <c r="AX2764" i="2"/>
  <c r="AY2764" i="2"/>
  <c r="AZ2764" i="2"/>
  <c r="BB2764" i="2"/>
  <c r="BC2764" i="2"/>
  <c r="BD2764" i="2"/>
  <c r="M2765" i="2"/>
  <c r="AW2765" i="2"/>
  <c r="AX2765" i="2"/>
  <c r="AY2765" i="2"/>
  <c r="AZ2765" i="2"/>
  <c r="BB2765" i="2"/>
  <c r="BC2765" i="2"/>
  <c r="BD2765" i="2"/>
  <c r="M2766" i="2"/>
  <c r="AW2766" i="2"/>
  <c r="AX2766" i="2"/>
  <c r="AY2766" i="2"/>
  <c r="AZ2766" i="2"/>
  <c r="BB2766" i="2"/>
  <c r="BC2766" i="2"/>
  <c r="BD2766" i="2"/>
  <c r="M2767" i="2"/>
  <c r="AW2767" i="2"/>
  <c r="AX2767" i="2"/>
  <c r="AY2767" i="2"/>
  <c r="AZ2767" i="2"/>
  <c r="BB2767" i="2"/>
  <c r="BC2767" i="2"/>
  <c r="BD2767" i="2"/>
  <c r="M2768" i="2"/>
  <c r="AW2768" i="2"/>
  <c r="AX2768" i="2"/>
  <c r="AY2768" i="2"/>
  <c r="AZ2768" i="2"/>
  <c r="BB2768" i="2"/>
  <c r="BC2768" i="2"/>
  <c r="BD2768" i="2"/>
  <c r="M2769" i="2"/>
  <c r="AW2769" i="2"/>
  <c r="AX2769" i="2"/>
  <c r="AY2769" i="2"/>
  <c r="AZ2769" i="2"/>
  <c r="BB2769" i="2"/>
  <c r="BC2769" i="2"/>
  <c r="BD2769" i="2"/>
  <c r="M2770" i="2"/>
  <c r="AW2770" i="2"/>
  <c r="AX2770" i="2"/>
  <c r="AY2770" i="2"/>
  <c r="AZ2770" i="2"/>
  <c r="BB2770" i="2"/>
  <c r="BC2770" i="2"/>
  <c r="BD2770" i="2"/>
  <c r="M2771" i="2"/>
  <c r="AW2771" i="2"/>
  <c r="AX2771" i="2"/>
  <c r="AY2771" i="2"/>
  <c r="AZ2771" i="2"/>
  <c r="BB2771" i="2"/>
  <c r="BC2771" i="2"/>
  <c r="BD2771" i="2"/>
  <c r="M2772" i="2"/>
  <c r="AW2772" i="2"/>
  <c r="AX2772" i="2"/>
  <c r="AY2772" i="2"/>
  <c r="AZ2772" i="2"/>
  <c r="BB2772" i="2"/>
  <c r="BC2772" i="2"/>
  <c r="BD2772" i="2"/>
  <c r="M2773" i="2"/>
  <c r="AW2773" i="2"/>
  <c r="AX2773" i="2"/>
  <c r="AY2773" i="2"/>
  <c r="AZ2773" i="2"/>
  <c r="BB2773" i="2"/>
  <c r="BC2773" i="2"/>
  <c r="BD2773" i="2"/>
  <c r="M2774" i="2"/>
  <c r="AW2774" i="2"/>
  <c r="AX2774" i="2"/>
  <c r="AY2774" i="2"/>
  <c r="AZ2774" i="2"/>
  <c r="BB2774" i="2"/>
  <c r="BC2774" i="2"/>
  <c r="BD2774" i="2"/>
  <c r="M2775" i="2"/>
  <c r="AW2775" i="2"/>
  <c r="AX2775" i="2"/>
  <c r="AY2775" i="2"/>
  <c r="AZ2775" i="2"/>
  <c r="BB2775" i="2"/>
  <c r="BC2775" i="2"/>
  <c r="BD2775" i="2"/>
  <c r="M2776" i="2"/>
  <c r="AW2776" i="2"/>
  <c r="AX2776" i="2"/>
  <c r="AY2776" i="2"/>
  <c r="AZ2776" i="2"/>
  <c r="BB2776" i="2"/>
  <c r="BC2776" i="2"/>
  <c r="BD2776" i="2"/>
  <c r="M2777" i="2"/>
  <c r="AW2777" i="2"/>
  <c r="AX2777" i="2"/>
  <c r="AY2777" i="2"/>
  <c r="AZ2777" i="2"/>
  <c r="BB2777" i="2"/>
  <c r="BC2777" i="2"/>
  <c r="BD2777" i="2"/>
  <c r="M2778" i="2"/>
  <c r="AW2778" i="2"/>
  <c r="AX2778" i="2"/>
  <c r="AY2778" i="2"/>
  <c r="AZ2778" i="2"/>
  <c r="BB2778" i="2"/>
  <c r="BC2778" i="2"/>
  <c r="BD2778" i="2"/>
  <c r="M2779" i="2"/>
  <c r="AW2779" i="2"/>
  <c r="AX2779" i="2"/>
  <c r="AY2779" i="2"/>
  <c r="AZ2779" i="2"/>
  <c r="BB2779" i="2"/>
  <c r="BC2779" i="2"/>
  <c r="BD2779" i="2"/>
  <c r="M2780" i="2"/>
  <c r="AW2780" i="2"/>
  <c r="AX2780" i="2"/>
  <c r="AY2780" i="2"/>
  <c r="AZ2780" i="2"/>
  <c r="BB2780" i="2"/>
  <c r="BC2780" i="2"/>
  <c r="BD2780" i="2"/>
  <c r="M2781" i="2"/>
  <c r="AW2781" i="2"/>
  <c r="AX2781" i="2"/>
  <c r="AY2781" i="2"/>
  <c r="AZ2781" i="2"/>
  <c r="BB2781" i="2"/>
  <c r="BC2781" i="2"/>
  <c r="BD2781" i="2"/>
  <c r="M2782" i="2"/>
  <c r="AW2782" i="2"/>
  <c r="AX2782" i="2"/>
  <c r="AY2782" i="2"/>
  <c r="AZ2782" i="2"/>
  <c r="BB2782" i="2"/>
  <c r="BC2782" i="2"/>
  <c r="BD2782" i="2"/>
  <c r="M2783" i="2"/>
  <c r="AW2783" i="2"/>
  <c r="AX2783" i="2"/>
  <c r="AY2783" i="2"/>
  <c r="AZ2783" i="2"/>
  <c r="BB2783" i="2"/>
  <c r="BC2783" i="2"/>
  <c r="BD2783" i="2"/>
  <c r="M2784" i="2"/>
  <c r="AW2784" i="2"/>
  <c r="AX2784" i="2"/>
  <c r="AY2784" i="2"/>
  <c r="AZ2784" i="2"/>
  <c r="BB2784" i="2"/>
  <c r="BC2784" i="2"/>
  <c r="BD2784" i="2"/>
  <c r="M2785" i="2"/>
  <c r="AW2785" i="2"/>
  <c r="AX2785" i="2"/>
  <c r="AY2785" i="2"/>
  <c r="AZ2785" i="2"/>
  <c r="BB2785" i="2"/>
  <c r="BC2785" i="2"/>
  <c r="BD2785" i="2"/>
  <c r="M2786" i="2"/>
  <c r="AW2786" i="2"/>
  <c r="AX2786" i="2"/>
  <c r="AY2786" i="2"/>
  <c r="AZ2786" i="2"/>
  <c r="BB2786" i="2"/>
  <c r="BC2786" i="2"/>
  <c r="BD2786" i="2"/>
  <c r="M2787" i="2"/>
  <c r="AW2787" i="2"/>
  <c r="AX2787" i="2"/>
  <c r="AY2787" i="2"/>
  <c r="AZ2787" i="2"/>
  <c r="BB2787" i="2"/>
  <c r="BC2787" i="2"/>
  <c r="BD2787" i="2"/>
  <c r="M2788" i="2"/>
  <c r="AW2788" i="2"/>
  <c r="AX2788" i="2"/>
  <c r="AY2788" i="2"/>
  <c r="AZ2788" i="2"/>
  <c r="BB2788" i="2"/>
  <c r="BC2788" i="2"/>
  <c r="BD2788" i="2"/>
  <c r="M2789" i="2"/>
  <c r="AW2789" i="2"/>
  <c r="AX2789" i="2"/>
  <c r="AY2789" i="2"/>
  <c r="AZ2789" i="2"/>
  <c r="BB2789" i="2"/>
  <c r="BC2789" i="2"/>
  <c r="BD2789" i="2"/>
  <c r="M2790" i="2"/>
  <c r="AW2790" i="2"/>
  <c r="AX2790" i="2"/>
  <c r="AY2790" i="2"/>
  <c r="AZ2790" i="2"/>
  <c r="BB2790" i="2"/>
  <c r="BC2790" i="2"/>
  <c r="BD2790" i="2"/>
  <c r="M2791" i="2"/>
  <c r="AW2791" i="2"/>
  <c r="AX2791" i="2"/>
  <c r="AY2791" i="2"/>
  <c r="AZ2791" i="2"/>
  <c r="BB2791" i="2"/>
  <c r="BC2791" i="2"/>
  <c r="BD2791" i="2"/>
  <c r="M2792" i="2"/>
  <c r="AW2792" i="2"/>
  <c r="AX2792" i="2"/>
  <c r="AY2792" i="2"/>
  <c r="AZ2792" i="2"/>
  <c r="BB2792" i="2"/>
  <c r="BC2792" i="2"/>
  <c r="BD2792" i="2"/>
  <c r="M2793" i="2"/>
  <c r="AW2793" i="2"/>
  <c r="AX2793" i="2"/>
  <c r="AY2793" i="2"/>
  <c r="AZ2793" i="2"/>
  <c r="BB2793" i="2"/>
  <c r="BC2793" i="2"/>
  <c r="BD2793" i="2"/>
  <c r="M2794" i="2"/>
  <c r="AW2794" i="2"/>
  <c r="AX2794" i="2"/>
  <c r="AY2794" i="2"/>
  <c r="AZ2794" i="2"/>
  <c r="BB2794" i="2"/>
  <c r="BC2794" i="2"/>
  <c r="BD2794" i="2"/>
  <c r="M2795" i="2"/>
  <c r="AW2795" i="2"/>
  <c r="AX2795" i="2"/>
  <c r="AY2795" i="2"/>
  <c r="AZ2795" i="2"/>
  <c r="BB2795" i="2"/>
  <c r="BC2795" i="2"/>
  <c r="BD2795" i="2"/>
  <c r="M2796" i="2"/>
  <c r="AW2796" i="2"/>
  <c r="AX2796" i="2"/>
  <c r="AY2796" i="2"/>
  <c r="AZ2796" i="2"/>
  <c r="BB2796" i="2"/>
  <c r="BC2796" i="2"/>
  <c r="BD2796" i="2"/>
  <c r="M2797" i="2"/>
  <c r="AW2797" i="2"/>
  <c r="AX2797" i="2"/>
  <c r="AY2797" i="2"/>
  <c r="AZ2797" i="2"/>
  <c r="BB2797" i="2"/>
  <c r="BC2797" i="2"/>
  <c r="BD2797" i="2"/>
  <c r="M2798" i="2"/>
  <c r="AW2798" i="2"/>
  <c r="AX2798" i="2"/>
  <c r="AY2798" i="2"/>
  <c r="AZ2798" i="2"/>
  <c r="BB2798" i="2"/>
  <c r="BC2798" i="2"/>
  <c r="BD2798" i="2"/>
  <c r="M2799" i="2"/>
  <c r="AW2799" i="2"/>
  <c r="AX2799" i="2"/>
  <c r="AY2799" i="2"/>
  <c r="AZ2799" i="2"/>
  <c r="BB2799" i="2"/>
  <c r="BC2799" i="2"/>
  <c r="BD2799" i="2"/>
  <c r="M2800" i="2"/>
  <c r="AW2800" i="2"/>
  <c r="AX2800" i="2"/>
  <c r="AY2800" i="2"/>
  <c r="AZ2800" i="2"/>
  <c r="BB2800" i="2"/>
  <c r="BC2800" i="2"/>
  <c r="BD2800" i="2"/>
  <c r="M2801" i="2"/>
  <c r="AW2801" i="2"/>
  <c r="AX2801" i="2"/>
  <c r="AY2801" i="2"/>
  <c r="AZ2801" i="2"/>
  <c r="BB2801" i="2"/>
  <c r="BC2801" i="2"/>
  <c r="BD2801" i="2"/>
  <c r="M2802" i="2"/>
  <c r="AW2802" i="2"/>
  <c r="AX2802" i="2"/>
  <c r="AY2802" i="2"/>
  <c r="AZ2802" i="2"/>
  <c r="BB2802" i="2"/>
  <c r="BC2802" i="2"/>
  <c r="BD2802" i="2"/>
  <c r="M2803" i="2"/>
  <c r="AW2803" i="2"/>
  <c r="AX2803" i="2"/>
  <c r="AY2803" i="2"/>
  <c r="AZ2803" i="2"/>
  <c r="BB2803" i="2"/>
  <c r="BC2803" i="2"/>
  <c r="BD2803" i="2"/>
  <c r="M2804" i="2"/>
  <c r="AW2804" i="2"/>
  <c r="AX2804" i="2"/>
  <c r="AY2804" i="2"/>
  <c r="AZ2804" i="2"/>
  <c r="BB2804" i="2"/>
  <c r="BC2804" i="2"/>
  <c r="BD2804" i="2"/>
  <c r="M2805" i="2"/>
  <c r="AW2805" i="2"/>
  <c r="AX2805" i="2"/>
  <c r="AY2805" i="2"/>
  <c r="AZ2805" i="2"/>
  <c r="BB2805" i="2"/>
  <c r="BC2805" i="2"/>
  <c r="BD2805" i="2"/>
  <c r="M2806" i="2"/>
  <c r="AW2806" i="2"/>
  <c r="AX2806" i="2"/>
  <c r="AY2806" i="2"/>
  <c r="AZ2806" i="2"/>
  <c r="BB2806" i="2"/>
  <c r="BC2806" i="2"/>
  <c r="BD2806" i="2"/>
  <c r="M2807" i="2"/>
  <c r="AW2807" i="2"/>
  <c r="AX2807" i="2"/>
  <c r="AY2807" i="2"/>
  <c r="AZ2807" i="2"/>
  <c r="BB2807" i="2"/>
  <c r="BC2807" i="2"/>
  <c r="BD2807" i="2"/>
  <c r="M2808" i="2"/>
  <c r="AW2808" i="2"/>
  <c r="AX2808" i="2"/>
  <c r="AY2808" i="2"/>
  <c r="AZ2808" i="2"/>
  <c r="BB2808" i="2"/>
  <c r="BC2808" i="2"/>
  <c r="BD2808" i="2"/>
  <c r="M2809" i="2"/>
  <c r="AW2809" i="2"/>
  <c r="AX2809" i="2"/>
  <c r="AY2809" i="2"/>
  <c r="AZ2809" i="2"/>
  <c r="BB2809" i="2"/>
  <c r="BC2809" i="2"/>
  <c r="BD2809" i="2"/>
  <c r="M2810" i="2"/>
  <c r="AW2810" i="2"/>
  <c r="AX2810" i="2"/>
  <c r="AY2810" i="2"/>
  <c r="AZ2810" i="2"/>
  <c r="BB2810" i="2"/>
  <c r="BC2810" i="2"/>
  <c r="BD2810" i="2"/>
  <c r="M2811" i="2"/>
  <c r="AW2811" i="2"/>
  <c r="AX2811" i="2"/>
  <c r="AY2811" i="2"/>
  <c r="AZ2811" i="2"/>
  <c r="BB2811" i="2"/>
  <c r="BC2811" i="2"/>
  <c r="BD2811" i="2"/>
  <c r="M2812" i="2"/>
  <c r="AW2812" i="2"/>
  <c r="AX2812" i="2"/>
  <c r="AY2812" i="2"/>
  <c r="AZ2812" i="2"/>
  <c r="BB2812" i="2"/>
  <c r="BC2812" i="2"/>
  <c r="BD2812" i="2"/>
  <c r="M2813" i="2"/>
  <c r="AW2813" i="2"/>
  <c r="AX2813" i="2"/>
  <c r="AY2813" i="2"/>
  <c r="AZ2813" i="2"/>
  <c r="BB2813" i="2"/>
  <c r="BC2813" i="2"/>
  <c r="BD2813" i="2"/>
  <c r="M2814" i="2"/>
  <c r="AW2814" i="2"/>
  <c r="AX2814" i="2"/>
  <c r="AY2814" i="2"/>
  <c r="AZ2814" i="2"/>
  <c r="BB2814" i="2"/>
  <c r="BC2814" i="2"/>
  <c r="BD2814" i="2"/>
  <c r="M2815" i="2"/>
  <c r="AW2815" i="2"/>
  <c r="AX2815" i="2"/>
  <c r="AY2815" i="2"/>
  <c r="AZ2815" i="2"/>
  <c r="BB2815" i="2"/>
  <c r="BC2815" i="2"/>
  <c r="BD2815" i="2"/>
  <c r="M2816" i="2"/>
  <c r="AW2816" i="2"/>
  <c r="AX2816" i="2"/>
  <c r="AY2816" i="2"/>
  <c r="AZ2816" i="2"/>
  <c r="BB2816" i="2"/>
  <c r="BC2816" i="2"/>
  <c r="BD2816" i="2"/>
  <c r="M2817" i="2"/>
  <c r="AW2817" i="2"/>
  <c r="AX2817" i="2"/>
  <c r="AY2817" i="2"/>
  <c r="AZ2817" i="2"/>
  <c r="BB2817" i="2"/>
  <c r="BC2817" i="2"/>
  <c r="BD2817" i="2"/>
  <c r="M2818" i="2"/>
  <c r="AW2818" i="2"/>
  <c r="AX2818" i="2"/>
  <c r="AY2818" i="2"/>
  <c r="AZ2818" i="2"/>
  <c r="BB2818" i="2"/>
  <c r="BC2818" i="2"/>
  <c r="BD2818" i="2"/>
  <c r="M2819" i="2"/>
  <c r="AW2819" i="2"/>
  <c r="AX2819" i="2"/>
  <c r="AY2819" i="2"/>
  <c r="AZ2819" i="2"/>
  <c r="BB2819" i="2"/>
  <c r="BC2819" i="2"/>
  <c r="BD2819" i="2"/>
  <c r="M2820" i="2"/>
  <c r="AW2820" i="2"/>
  <c r="AX2820" i="2"/>
  <c r="AY2820" i="2"/>
  <c r="AZ2820" i="2"/>
  <c r="BB2820" i="2"/>
  <c r="BC2820" i="2"/>
  <c r="BD2820" i="2"/>
  <c r="M2821" i="2"/>
  <c r="AW2821" i="2"/>
  <c r="AX2821" i="2"/>
  <c r="AY2821" i="2"/>
  <c r="AZ2821" i="2"/>
  <c r="BB2821" i="2"/>
  <c r="BC2821" i="2"/>
  <c r="BD2821" i="2"/>
  <c r="M2822" i="2"/>
  <c r="AW2822" i="2"/>
  <c r="AX2822" i="2"/>
  <c r="AY2822" i="2"/>
  <c r="AZ2822" i="2"/>
  <c r="BB2822" i="2"/>
  <c r="BC2822" i="2"/>
  <c r="BD2822" i="2"/>
  <c r="M2823" i="2"/>
  <c r="AW2823" i="2"/>
  <c r="AX2823" i="2"/>
  <c r="AY2823" i="2"/>
  <c r="AZ2823" i="2"/>
  <c r="BB2823" i="2"/>
  <c r="BC2823" i="2"/>
  <c r="BD2823" i="2"/>
  <c r="M2824" i="2"/>
  <c r="AW2824" i="2"/>
  <c r="AX2824" i="2"/>
  <c r="AY2824" i="2"/>
  <c r="AZ2824" i="2"/>
  <c r="BB2824" i="2"/>
  <c r="BC2824" i="2"/>
  <c r="BD2824" i="2"/>
  <c r="M2825" i="2"/>
  <c r="AW2825" i="2"/>
  <c r="AX2825" i="2"/>
  <c r="AY2825" i="2"/>
  <c r="AZ2825" i="2"/>
  <c r="BB2825" i="2"/>
  <c r="BC2825" i="2"/>
  <c r="BD2825" i="2"/>
  <c r="M2826" i="2"/>
  <c r="AW2826" i="2"/>
  <c r="AX2826" i="2"/>
  <c r="AY2826" i="2"/>
  <c r="AZ2826" i="2"/>
  <c r="BB2826" i="2"/>
  <c r="BC2826" i="2"/>
  <c r="BD2826" i="2"/>
  <c r="M2827" i="2"/>
  <c r="AW2827" i="2"/>
  <c r="AX2827" i="2"/>
  <c r="AY2827" i="2"/>
  <c r="AZ2827" i="2"/>
  <c r="BB2827" i="2"/>
  <c r="BC2827" i="2"/>
  <c r="BD2827" i="2"/>
  <c r="M2828" i="2"/>
  <c r="AW2828" i="2"/>
  <c r="AX2828" i="2"/>
  <c r="AY2828" i="2"/>
  <c r="AZ2828" i="2"/>
  <c r="BB2828" i="2"/>
  <c r="BC2828" i="2"/>
  <c r="BD2828" i="2"/>
  <c r="M2829" i="2"/>
  <c r="AW2829" i="2"/>
  <c r="AX2829" i="2"/>
  <c r="AY2829" i="2"/>
  <c r="AZ2829" i="2"/>
  <c r="BB2829" i="2"/>
  <c r="BC2829" i="2"/>
  <c r="BD2829" i="2"/>
  <c r="M2830" i="2"/>
  <c r="AW2830" i="2"/>
  <c r="AX2830" i="2"/>
  <c r="AY2830" i="2"/>
  <c r="AZ2830" i="2"/>
  <c r="BB2830" i="2"/>
  <c r="BC2830" i="2"/>
  <c r="BD2830" i="2"/>
  <c r="M2831" i="2"/>
  <c r="AW2831" i="2"/>
  <c r="AX2831" i="2"/>
  <c r="AY2831" i="2"/>
  <c r="AZ2831" i="2"/>
  <c r="BB2831" i="2"/>
  <c r="BC2831" i="2"/>
  <c r="BD2831" i="2"/>
  <c r="M2832" i="2"/>
  <c r="AW2832" i="2"/>
  <c r="AX2832" i="2"/>
  <c r="AY2832" i="2"/>
  <c r="AZ2832" i="2"/>
  <c r="BB2832" i="2"/>
  <c r="BC2832" i="2"/>
  <c r="BD2832" i="2"/>
  <c r="M2833" i="2"/>
  <c r="AW2833" i="2"/>
  <c r="AX2833" i="2"/>
  <c r="AY2833" i="2"/>
  <c r="AZ2833" i="2"/>
  <c r="BB2833" i="2"/>
  <c r="BC2833" i="2"/>
  <c r="BD2833" i="2"/>
  <c r="M2834" i="2"/>
  <c r="AW2834" i="2"/>
  <c r="AX2834" i="2"/>
  <c r="AY2834" i="2"/>
  <c r="AZ2834" i="2"/>
  <c r="BB2834" i="2"/>
  <c r="BC2834" i="2"/>
  <c r="BD2834" i="2"/>
  <c r="M2835" i="2"/>
  <c r="AW2835" i="2"/>
  <c r="AX2835" i="2"/>
  <c r="AY2835" i="2"/>
  <c r="AZ2835" i="2"/>
  <c r="BB2835" i="2"/>
  <c r="BC2835" i="2"/>
  <c r="BD2835" i="2"/>
  <c r="M2836" i="2"/>
  <c r="AW2836" i="2"/>
  <c r="AX2836" i="2"/>
  <c r="AY2836" i="2"/>
  <c r="AZ2836" i="2"/>
  <c r="BB2836" i="2"/>
  <c r="BC2836" i="2"/>
  <c r="BD2836" i="2"/>
  <c r="M2837" i="2"/>
  <c r="AW2837" i="2"/>
  <c r="AX2837" i="2"/>
  <c r="AY2837" i="2"/>
  <c r="AZ2837" i="2"/>
  <c r="BB2837" i="2"/>
  <c r="BC2837" i="2"/>
  <c r="BD2837" i="2"/>
  <c r="M2838" i="2"/>
  <c r="AW2838" i="2"/>
  <c r="AX2838" i="2"/>
  <c r="AY2838" i="2"/>
  <c r="AZ2838" i="2"/>
  <c r="BB2838" i="2"/>
  <c r="BC2838" i="2"/>
  <c r="BD2838" i="2"/>
  <c r="M2839" i="2"/>
  <c r="AW2839" i="2"/>
  <c r="AX2839" i="2"/>
  <c r="AY2839" i="2"/>
  <c r="AZ2839" i="2"/>
  <c r="BB2839" i="2"/>
  <c r="BC2839" i="2"/>
  <c r="BD2839" i="2"/>
  <c r="M2840" i="2"/>
  <c r="AW2840" i="2"/>
  <c r="AX2840" i="2"/>
  <c r="AY2840" i="2"/>
  <c r="AZ2840" i="2"/>
  <c r="BB2840" i="2"/>
  <c r="BC2840" i="2"/>
  <c r="BD2840" i="2"/>
  <c r="M2841" i="2"/>
  <c r="AW2841" i="2"/>
  <c r="AX2841" i="2"/>
  <c r="AY2841" i="2"/>
  <c r="AZ2841" i="2"/>
  <c r="BB2841" i="2"/>
  <c r="BC2841" i="2"/>
  <c r="BD2841" i="2"/>
  <c r="M2842" i="2"/>
  <c r="AW2842" i="2"/>
  <c r="AX2842" i="2"/>
  <c r="AY2842" i="2"/>
  <c r="AZ2842" i="2"/>
  <c r="BB2842" i="2"/>
  <c r="BC2842" i="2"/>
  <c r="BD2842" i="2"/>
  <c r="M2843" i="2"/>
  <c r="AW2843" i="2"/>
  <c r="AX2843" i="2"/>
  <c r="AY2843" i="2"/>
  <c r="AZ2843" i="2"/>
  <c r="BB2843" i="2"/>
  <c r="BC2843" i="2"/>
  <c r="BD2843" i="2"/>
  <c r="M2844" i="2"/>
  <c r="AW2844" i="2"/>
  <c r="AX2844" i="2"/>
  <c r="AY2844" i="2"/>
  <c r="AZ2844" i="2"/>
  <c r="BB2844" i="2"/>
  <c r="BC2844" i="2"/>
  <c r="BD2844" i="2"/>
  <c r="M2845" i="2"/>
  <c r="AW2845" i="2"/>
  <c r="AX2845" i="2"/>
  <c r="AY2845" i="2"/>
  <c r="AZ2845" i="2"/>
  <c r="BB2845" i="2"/>
  <c r="BC2845" i="2"/>
  <c r="BD2845" i="2"/>
  <c r="M2846" i="2"/>
  <c r="AW2846" i="2"/>
  <c r="AX2846" i="2"/>
  <c r="AY2846" i="2"/>
  <c r="AZ2846" i="2"/>
  <c r="BB2846" i="2"/>
  <c r="BC2846" i="2"/>
  <c r="BD2846" i="2"/>
  <c r="M2847" i="2"/>
  <c r="AW2847" i="2"/>
  <c r="AX2847" i="2"/>
  <c r="AY2847" i="2"/>
  <c r="AZ2847" i="2"/>
  <c r="BB2847" i="2"/>
  <c r="BC2847" i="2"/>
  <c r="BD2847" i="2"/>
  <c r="M2848" i="2"/>
  <c r="AW2848" i="2"/>
  <c r="AX2848" i="2"/>
  <c r="AY2848" i="2"/>
  <c r="AZ2848" i="2"/>
  <c r="BB2848" i="2"/>
  <c r="BC2848" i="2"/>
  <c r="BD2848" i="2"/>
  <c r="M2849" i="2"/>
  <c r="AW2849" i="2"/>
  <c r="AX2849" i="2"/>
  <c r="AY2849" i="2"/>
  <c r="AZ2849" i="2"/>
  <c r="BB2849" i="2"/>
  <c r="BC2849" i="2"/>
  <c r="BD2849" i="2"/>
  <c r="M2850" i="2"/>
  <c r="AW2850" i="2"/>
  <c r="AX2850" i="2"/>
  <c r="AY2850" i="2"/>
  <c r="AZ2850" i="2"/>
  <c r="BB2850" i="2"/>
  <c r="BC2850" i="2"/>
  <c r="BD2850" i="2"/>
  <c r="M2851" i="2"/>
  <c r="AW2851" i="2"/>
  <c r="AX2851" i="2"/>
  <c r="AY2851" i="2"/>
  <c r="AZ2851" i="2"/>
  <c r="BB2851" i="2"/>
  <c r="BC2851" i="2"/>
  <c r="BD2851" i="2"/>
  <c r="M2852" i="2"/>
  <c r="AW2852" i="2"/>
  <c r="AX2852" i="2"/>
  <c r="AY2852" i="2"/>
  <c r="AZ2852" i="2"/>
  <c r="BB2852" i="2"/>
  <c r="BC2852" i="2"/>
  <c r="BD2852" i="2"/>
  <c r="M2853" i="2"/>
  <c r="AW2853" i="2"/>
  <c r="AX2853" i="2"/>
  <c r="AY2853" i="2"/>
  <c r="AZ2853" i="2"/>
  <c r="BB2853" i="2"/>
  <c r="BC2853" i="2"/>
  <c r="BD2853" i="2"/>
  <c r="M2854" i="2"/>
  <c r="AW2854" i="2"/>
  <c r="AX2854" i="2"/>
  <c r="AY2854" i="2"/>
  <c r="AZ2854" i="2"/>
  <c r="BB2854" i="2"/>
  <c r="BC2854" i="2"/>
  <c r="BD2854" i="2"/>
  <c r="M2855" i="2"/>
  <c r="AW2855" i="2"/>
  <c r="AX2855" i="2"/>
  <c r="AY2855" i="2"/>
  <c r="AZ2855" i="2"/>
  <c r="BB2855" i="2"/>
  <c r="BC2855" i="2"/>
  <c r="BD2855" i="2"/>
  <c r="M2856" i="2"/>
  <c r="AW2856" i="2"/>
  <c r="AX2856" i="2"/>
  <c r="AY2856" i="2"/>
  <c r="AZ2856" i="2"/>
  <c r="BB2856" i="2"/>
  <c r="BC2856" i="2"/>
  <c r="BD2856" i="2"/>
  <c r="M2857" i="2"/>
  <c r="AW2857" i="2"/>
  <c r="AX2857" i="2"/>
  <c r="AY2857" i="2"/>
  <c r="AZ2857" i="2"/>
  <c r="BB2857" i="2"/>
  <c r="BC2857" i="2"/>
  <c r="BD2857" i="2"/>
  <c r="M2858" i="2"/>
  <c r="AW2858" i="2"/>
  <c r="AX2858" i="2"/>
  <c r="AY2858" i="2"/>
  <c r="AZ2858" i="2"/>
  <c r="BB2858" i="2"/>
  <c r="BC2858" i="2"/>
  <c r="BD2858" i="2"/>
  <c r="M2859" i="2"/>
  <c r="AW2859" i="2"/>
  <c r="AX2859" i="2"/>
  <c r="AY2859" i="2"/>
  <c r="AZ2859" i="2"/>
  <c r="BB2859" i="2"/>
  <c r="BC2859" i="2"/>
  <c r="BD2859" i="2"/>
  <c r="M2860" i="2"/>
  <c r="AW2860" i="2"/>
  <c r="AX2860" i="2"/>
  <c r="AY2860" i="2"/>
  <c r="AZ2860" i="2"/>
  <c r="BB2860" i="2"/>
  <c r="BC2860" i="2"/>
  <c r="BD2860" i="2"/>
  <c r="M2861" i="2"/>
  <c r="AW2861" i="2"/>
  <c r="AX2861" i="2"/>
  <c r="AY2861" i="2"/>
  <c r="AZ2861" i="2"/>
  <c r="BB2861" i="2"/>
  <c r="BC2861" i="2"/>
  <c r="BD2861" i="2"/>
  <c r="M2862" i="2"/>
  <c r="AW2862" i="2"/>
  <c r="AX2862" i="2"/>
  <c r="AY2862" i="2"/>
  <c r="AZ2862" i="2"/>
  <c r="BB2862" i="2"/>
  <c r="BC2862" i="2"/>
  <c r="BD2862" i="2"/>
  <c r="M2863" i="2"/>
  <c r="AW2863" i="2"/>
  <c r="AX2863" i="2"/>
  <c r="AY2863" i="2"/>
  <c r="AZ2863" i="2"/>
  <c r="BB2863" i="2"/>
  <c r="BC2863" i="2"/>
  <c r="BD2863" i="2"/>
  <c r="M2864" i="2"/>
  <c r="AW2864" i="2"/>
  <c r="AX2864" i="2"/>
  <c r="AY2864" i="2"/>
  <c r="AZ2864" i="2"/>
  <c r="BB2864" i="2"/>
  <c r="BC2864" i="2"/>
  <c r="BD2864" i="2"/>
  <c r="M2865" i="2"/>
  <c r="AW2865" i="2"/>
  <c r="AX2865" i="2"/>
  <c r="AY2865" i="2"/>
  <c r="AZ2865" i="2"/>
  <c r="BB2865" i="2"/>
  <c r="BC2865" i="2"/>
  <c r="BD2865" i="2"/>
  <c r="M2866" i="2"/>
  <c r="AW2866" i="2"/>
  <c r="AX2866" i="2"/>
  <c r="AY2866" i="2"/>
  <c r="AZ2866" i="2"/>
  <c r="BB2866" i="2"/>
  <c r="BC2866" i="2"/>
  <c r="BD2866" i="2"/>
  <c r="M2867" i="2"/>
  <c r="AW2867" i="2"/>
  <c r="AX2867" i="2"/>
  <c r="AY2867" i="2"/>
  <c r="AZ2867" i="2"/>
  <c r="BB2867" i="2"/>
  <c r="BC2867" i="2"/>
  <c r="BD2867" i="2"/>
  <c r="M2868" i="2"/>
  <c r="AW2868" i="2"/>
  <c r="AX2868" i="2"/>
  <c r="AY2868" i="2"/>
  <c r="AZ2868" i="2"/>
  <c r="BB2868" i="2"/>
  <c r="BC2868" i="2"/>
  <c r="BD2868" i="2"/>
  <c r="M2869" i="2"/>
  <c r="AW2869" i="2"/>
  <c r="AX2869" i="2"/>
  <c r="AY2869" i="2"/>
  <c r="AZ2869" i="2"/>
  <c r="BB2869" i="2"/>
  <c r="BC2869" i="2"/>
  <c r="BD2869" i="2"/>
  <c r="M2870" i="2"/>
  <c r="AW2870" i="2"/>
  <c r="AX2870" i="2"/>
  <c r="AY2870" i="2"/>
  <c r="AZ2870" i="2"/>
  <c r="BB2870" i="2"/>
  <c r="BC2870" i="2"/>
  <c r="BD2870" i="2"/>
  <c r="M2871" i="2"/>
  <c r="AW2871" i="2"/>
  <c r="AX2871" i="2"/>
  <c r="AY2871" i="2"/>
  <c r="AZ2871" i="2"/>
  <c r="BB2871" i="2"/>
  <c r="BC2871" i="2"/>
  <c r="BD2871" i="2"/>
  <c r="M2872" i="2"/>
  <c r="AW2872" i="2"/>
  <c r="AX2872" i="2"/>
  <c r="AY2872" i="2"/>
  <c r="AZ2872" i="2"/>
  <c r="BB2872" i="2"/>
  <c r="BC2872" i="2"/>
  <c r="BD2872" i="2"/>
  <c r="M2873" i="2"/>
  <c r="AW2873" i="2"/>
  <c r="AX2873" i="2"/>
  <c r="AY2873" i="2"/>
  <c r="AZ2873" i="2"/>
  <c r="BB2873" i="2"/>
  <c r="BC2873" i="2"/>
  <c r="BD2873" i="2"/>
  <c r="M2874" i="2"/>
  <c r="AW2874" i="2"/>
  <c r="AX2874" i="2"/>
  <c r="AY2874" i="2"/>
  <c r="AZ2874" i="2"/>
  <c r="BB2874" i="2"/>
  <c r="BC2874" i="2"/>
  <c r="BD2874" i="2"/>
  <c r="M2875" i="2"/>
  <c r="AW2875" i="2"/>
  <c r="AX2875" i="2"/>
  <c r="AY2875" i="2"/>
  <c r="AZ2875" i="2"/>
  <c r="BB2875" i="2"/>
  <c r="BC2875" i="2"/>
  <c r="BD2875" i="2"/>
  <c r="M2876" i="2"/>
  <c r="AW2876" i="2"/>
  <c r="AX2876" i="2"/>
  <c r="AY2876" i="2"/>
  <c r="AZ2876" i="2"/>
  <c r="BB2876" i="2"/>
  <c r="BC2876" i="2"/>
  <c r="BD2876" i="2"/>
  <c r="M2877" i="2"/>
  <c r="AW2877" i="2"/>
  <c r="AX2877" i="2"/>
  <c r="AY2877" i="2"/>
  <c r="AZ2877" i="2"/>
  <c r="BB2877" i="2"/>
  <c r="BC2877" i="2"/>
  <c r="BD2877" i="2"/>
  <c r="AY2878" i="2"/>
  <c r="AZ2878" i="2"/>
  <c r="M2881" i="2"/>
  <c r="AW2881" i="2"/>
  <c r="AX2881" i="2"/>
  <c r="AY2881" i="2"/>
  <c r="AZ2881" i="2"/>
  <c r="BB2881" i="2"/>
  <c r="BC2881" i="2"/>
  <c r="BD2881" i="2"/>
  <c r="M2882" i="2"/>
  <c r="AW2882" i="2"/>
  <c r="AX2882" i="2"/>
  <c r="AY2882" i="2"/>
  <c r="AZ2882" i="2"/>
  <c r="BB2882" i="2"/>
  <c r="BC2882" i="2"/>
  <c r="BD2882" i="2"/>
  <c r="M2883" i="2"/>
  <c r="AW2883" i="2"/>
  <c r="AX2883" i="2"/>
  <c r="AY2883" i="2"/>
  <c r="AZ2883" i="2"/>
  <c r="BB2883" i="2"/>
  <c r="BC2883" i="2"/>
  <c r="BD2883" i="2"/>
  <c r="M2884" i="2"/>
  <c r="AW2884" i="2"/>
  <c r="AX2884" i="2"/>
  <c r="AY2884" i="2"/>
  <c r="AZ2884" i="2"/>
  <c r="BB2884" i="2"/>
  <c r="BC2884" i="2"/>
  <c r="BD2884" i="2"/>
  <c r="M2885" i="2"/>
  <c r="AW2885" i="2"/>
  <c r="AX2885" i="2"/>
  <c r="AY2885" i="2"/>
  <c r="AZ2885" i="2"/>
  <c r="BB2885" i="2"/>
  <c r="BC2885" i="2"/>
  <c r="BD2885" i="2"/>
  <c r="M2886" i="2"/>
  <c r="AW2886" i="2"/>
  <c r="AX2886" i="2"/>
  <c r="AY2886" i="2"/>
  <c r="AZ2886" i="2"/>
  <c r="BB2886" i="2"/>
  <c r="BC2886" i="2"/>
  <c r="BD2886" i="2"/>
  <c r="M2887" i="2"/>
  <c r="AW2887" i="2"/>
  <c r="AX2887" i="2"/>
  <c r="AY2887" i="2"/>
  <c r="AZ2887" i="2"/>
  <c r="BB2887" i="2"/>
  <c r="BC2887" i="2"/>
  <c r="BD2887" i="2"/>
  <c r="M2888" i="2"/>
  <c r="AW2888" i="2"/>
  <c r="AX2888" i="2"/>
  <c r="AY2888" i="2"/>
  <c r="AZ2888" i="2"/>
  <c r="BB2888" i="2"/>
  <c r="BC2888" i="2"/>
  <c r="BD2888" i="2"/>
  <c r="M2889" i="2"/>
  <c r="AW2889" i="2"/>
  <c r="AX2889" i="2"/>
  <c r="AY2889" i="2"/>
  <c r="AZ2889" i="2"/>
  <c r="BB2889" i="2"/>
  <c r="BC2889" i="2"/>
  <c r="BD2889" i="2"/>
  <c r="M2890" i="2"/>
  <c r="AW2890" i="2"/>
  <c r="AX2890" i="2"/>
  <c r="AY2890" i="2"/>
  <c r="AZ2890" i="2"/>
  <c r="BB2890" i="2"/>
  <c r="BC2890" i="2"/>
  <c r="BD2890" i="2"/>
  <c r="M2891" i="2"/>
  <c r="AW2891" i="2"/>
  <c r="AX2891" i="2"/>
  <c r="AY2891" i="2"/>
  <c r="AZ2891" i="2"/>
  <c r="BB2891" i="2"/>
  <c r="BC2891" i="2"/>
  <c r="BD2891" i="2"/>
  <c r="M2892" i="2"/>
  <c r="AW2892" i="2"/>
  <c r="AX2892" i="2"/>
  <c r="AY2892" i="2"/>
  <c r="AZ2892" i="2"/>
  <c r="BB2892" i="2"/>
  <c r="BC2892" i="2"/>
  <c r="BD2892" i="2"/>
  <c r="M2893" i="2"/>
  <c r="AW2893" i="2"/>
  <c r="AX2893" i="2"/>
  <c r="AY2893" i="2"/>
  <c r="AZ2893" i="2"/>
  <c r="BB2893" i="2"/>
  <c r="BC2893" i="2"/>
  <c r="BD2893" i="2"/>
  <c r="M2894" i="2"/>
  <c r="AW2894" i="2"/>
  <c r="AX2894" i="2"/>
  <c r="AY2894" i="2"/>
  <c r="AZ2894" i="2"/>
  <c r="BB2894" i="2"/>
  <c r="BC2894" i="2"/>
  <c r="BD2894" i="2"/>
  <c r="M2895" i="2"/>
  <c r="AW2895" i="2"/>
  <c r="AX2895" i="2"/>
  <c r="AY2895" i="2"/>
  <c r="AZ2895" i="2"/>
  <c r="BB2895" i="2"/>
  <c r="BC2895" i="2"/>
  <c r="BD2895" i="2"/>
  <c r="M2896" i="2"/>
  <c r="AW2896" i="2"/>
  <c r="AX2896" i="2"/>
  <c r="AY2896" i="2"/>
  <c r="AZ2896" i="2"/>
  <c r="BB2896" i="2"/>
  <c r="BC2896" i="2"/>
  <c r="BD2896" i="2"/>
  <c r="M2897" i="2"/>
  <c r="AW2897" i="2"/>
  <c r="AX2897" i="2"/>
  <c r="AY2897" i="2"/>
  <c r="AZ2897" i="2"/>
  <c r="BB2897" i="2"/>
  <c r="BC2897" i="2"/>
  <c r="BD2897" i="2"/>
  <c r="M2898" i="2"/>
  <c r="AW2898" i="2"/>
  <c r="AX2898" i="2"/>
  <c r="AY2898" i="2"/>
  <c r="AZ2898" i="2"/>
  <c r="BB2898" i="2"/>
  <c r="BC2898" i="2"/>
  <c r="BD2898" i="2"/>
  <c r="M2899" i="2"/>
  <c r="AW2899" i="2"/>
  <c r="AX2899" i="2"/>
  <c r="AY2899" i="2"/>
  <c r="AZ2899" i="2"/>
  <c r="BB2899" i="2"/>
  <c r="BC2899" i="2"/>
  <c r="BD2899" i="2"/>
  <c r="M2900" i="2"/>
  <c r="AW2900" i="2"/>
  <c r="AX2900" i="2"/>
  <c r="AY2900" i="2"/>
  <c r="AZ2900" i="2"/>
  <c r="BB2900" i="2"/>
  <c r="BC2900" i="2"/>
  <c r="BD2900" i="2"/>
  <c r="M2901" i="2"/>
  <c r="AW2901" i="2"/>
  <c r="AX2901" i="2"/>
  <c r="AY2901" i="2"/>
  <c r="AZ2901" i="2"/>
  <c r="BB2901" i="2"/>
  <c r="BC2901" i="2"/>
  <c r="BD2901" i="2"/>
  <c r="M2902" i="2"/>
  <c r="AW2902" i="2"/>
  <c r="AX2902" i="2"/>
  <c r="AY2902" i="2"/>
  <c r="AZ2902" i="2"/>
  <c r="BB2902" i="2"/>
  <c r="BC2902" i="2"/>
  <c r="BD2902" i="2"/>
  <c r="M2903" i="2"/>
  <c r="AW2903" i="2"/>
  <c r="AX2903" i="2"/>
  <c r="AY2903" i="2"/>
  <c r="AZ2903" i="2"/>
  <c r="BB2903" i="2"/>
  <c r="BC2903" i="2"/>
  <c r="BD2903" i="2"/>
  <c r="M2904" i="2"/>
  <c r="AW2904" i="2"/>
  <c r="AX2904" i="2"/>
  <c r="AY2904" i="2"/>
  <c r="AZ2904" i="2"/>
  <c r="BB2904" i="2"/>
  <c r="BC2904" i="2"/>
  <c r="BD2904" i="2"/>
  <c r="M2905" i="2"/>
  <c r="AW2905" i="2"/>
  <c r="AX2905" i="2"/>
  <c r="AY2905" i="2"/>
  <c r="AZ2905" i="2"/>
  <c r="BB2905" i="2"/>
  <c r="BC2905" i="2"/>
  <c r="BD2905" i="2"/>
  <c r="M2906" i="2"/>
  <c r="AW2906" i="2"/>
  <c r="AX2906" i="2"/>
  <c r="AY2906" i="2"/>
  <c r="AZ2906" i="2"/>
  <c r="BB2906" i="2"/>
  <c r="BC2906" i="2"/>
  <c r="BD2906" i="2"/>
  <c r="M2907" i="2"/>
  <c r="AW2907" i="2"/>
  <c r="AX2907" i="2"/>
  <c r="AY2907" i="2"/>
  <c r="AZ2907" i="2"/>
  <c r="BB2907" i="2"/>
  <c r="BC2907" i="2"/>
  <c r="BD2907" i="2"/>
  <c r="M2908" i="2"/>
  <c r="AW2908" i="2"/>
  <c r="AX2908" i="2"/>
  <c r="AY2908" i="2"/>
  <c r="AZ2908" i="2"/>
  <c r="BB2908" i="2"/>
  <c r="BC2908" i="2"/>
  <c r="BD2908" i="2"/>
  <c r="M2909" i="2"/>
  <c r="AW2909" i="2"/>
  <c r="AX2909" i="2"/>
  <c r="AY2909" i="2"/>
  <c r="AZ2909" i="2"/>
  <c r="BB2909" i="2"/>
  <c r="BC2909" i="2"/>
  <c r="BD2909" i="2"/>
  <c r="M2910" i="2"/>
  <c r="AX2910" i="2"/>
  <c r="AZ2910" i="2"/>
  <c r="BB2910" i="2"/>
  <c r="BC2910" i="2"/>
  <c r="BD2910" i="2"/>
  <c r="CA2910" i="2"/>
  <c r="M2912" i="2"/>
  <c r="AW2912" i="2"/>
  <c r="AX2912" i="2"/>
  <c r="AY2912" i="2"/>
  <c r="AZ2912" i="2"/>
  <c r="BB2912" i="2"/>
  <c r="BC2912" i="2"/>
  <c r="BD2912" i="2"/>
  <c r="M2913" i="2"/>
  <c r="AW2913" i="2"/>
  <c r="AX2913" i="2"/>
  <c r="AY2913" i="2"/>
  <c r="AZ2913" i="2"/>
  <c r="BB2913" i="2"/>
  <c r="BC2913" i="2"/>
  <c r="BD2913" i="2"/>
  <c r="M2914" i="2"/>
  <c r="AW2914" i="2"/>
  <c r="AX2914" i="2"/>
  <c r="AY2914" i="2"/>
  <c r="AZ2914" i="2"/>
  <c r="BB2914" i="2"/>
  <c r="BC2914" i="2"/>
  <c r="BD2914" i="2"/>
  <c r="M2915" i="2"/>
  <c r="AW2915" i="2"/>
  <c r="AX2915" i="2"/>
  <c r="AY2915" i="2"/>
  <c r="AZ2915" i="2"/>
  <c r="BB2915" i="2"/>
  <c r="BC2915" i="2"/>
  <c r="BD2915" i="2"/>
  <c r="M2916" i="2"/>
  <c r="AW2916" i="2"/>
  <c r="AX2916" i="2"/>
  <c r="AY2916" i="2"/>
  <c r="AZ2916" i="2"/>
  <c r="BB2916" i="2"/>
  <c r="BC2916" i="2"/>
  <c r="BD2916" i="2"/>
  <c r="M2917" i="2"/>
  <c r="AW2917" i="2"/>
  <c r="AX2917" i="2"/>
  <c r="AY2917" i="2"/>
  <c r="AZ2917" i="2"/>
  <c r="BB2917" i="2"/>
  <c r="BC2917" i="2"/>
  <c r="BD2917" i="2"/>
  <c r="M2918" i="2"/>
  <c r="AW2918" i="2"/>
  <c r="AX2918" i="2"/>
  <c r="AY2918" i="2"/>
  <c r="AZ2918" i="2"/>
  <c r="BB2918" i="2"/>
  <c r="BC2918" i="2"/>
  <c r="BD2918" i="2"/>
  <c r="M2919" i="2"/>
  <c r="AW2919" i="2"/>
  <c r="AX2919" i="2"/>
  <c r="AY2919" i="2"/>
  <c r="AZ2919" i="2"/>
  <c r="BB2919" i="2"/>
  <c r="BC2919" i="2"/>
  <c r="BD2919" i="2"/>
  <c r="M2920" i="2"/>
  <c r="AW2920" i="2"/>
  <c r="AX2920" i="2"/>
  <c r="AY2920" i="2"/>
  <c r="AZ2920" i="2"/>
  <c r="BB2920" i="2"/>
  <c r="BC2920" i="2"/>
  <c r="BD2920" i="2"/>
  <c r="M2921" i="2"/>
  <c r="AW2921" i="2"/>
  <c r="AX2921" i="2"/>
  <c r="AY2921" i="2"/>
  <c r="AZ2921" i="2"/>
  <c r="BB2921" i="2"/>
  <c r="BC2921" i="2"/>
  <c r="BD2921" i="2"/>
  <c r="M2922" i="2"/>
  <c r="AW2922" i="2"/>
  <c r="AX2922" i="2"/>
  <c r="AY2922" i="2"/>
  <c r="AZ2922" i="2"/>
  <c r="BB2922" i="2"/>
  <c r="BC2922" i="2"/>
  <c r="BD2922" i="2"/>
  <c r="M2923" i="2"/>
  <c r="AW2923" i="2"/>
  <c r="AX2923" i="2"/>
  <c r="AY2923" i="2"/>
  <c r="AZ2923" i="2"/>
  <c r="BB2923" i="2"/>
  <c r="BC2923" i="2"/>
  <c r="BD2923" i="2"/>
  <c r="M2924" i="2"/>
  <c r="AW2924" i="2"/>
  <c r="AX2924" i="2"/>
  <c r="AY2924" i="2"/>
  <c r="AZ2924" i="2"/>
  <c r="BB2924" i="2"/>
  <c r="BC2924" i="2"/>
  <c r="BD2924" i="2"/>
  <c r="M2925" i="2"/>
  <c r="AW2925" i="2"/>
  <c r="AX2925" i="2"/>
  <c r="AY2925" i="2"/>
  <c r="AZ2925" i="2"/>
  <c r="BB2925" i="2"/>
  <c r="BC2925" i="2"/>
  <c r="BD2925" i="2"/>
  <c r="M2926" i="2"/>
  <c r="AX2926" i="2"/>
  <c r="AZ2926" i="2"/>
  <c r="BB2926" i="2"/>
  <c r="BC2926" i="2"/>
  <c r="BD2926" i="2"/>
  <c r="M2928" i="2"/>
  <c r="AW2928" i="2"/>
  <c r="AX2928" i="2"/>
  <c r="AY2928" i="2"/>
  <c r="AZ2928" i="2"/>
  <c r="BB2928" i="2"/>
  <c r="BC2928" i="2"/>
  <c r="BD2928" i="2"/>
  <c r="M2929" i="2"/>
  <c r="AW2929" i="2"/>
  <c r="AX2929" i="2"/>
  <c r="AY2929" i="2"/>
  <c r="AZ2929" i="2"/>
  <c r="BB2929" i="2"/>
  <c r="BC2929" i="2"/>
  <c r="BD2929" i="2"/>
  <c r="M2930" i="2"/>
  <c r="AW2930" i="2"/>
  <c r="AX2930" i="2"/>
  <c r="AY2930" i="2"/>
  <c r="AZ2930" i="2"/>
  <c r="BB2930" i="2"/>
  <c r="BC2930" i="2"/>
  <c r="BD2930" i="2"/>
  <c r="M2931" i="2"/>
  <c r="AW2931" i="2"/>
  <c r="AX2931" i="2"/>
  <c r="AY2931" i="2"/>
  <c r="AZ2931" i="2"/>
  <c r="BB2931" i="2"/>
  <c r="BC2931" i="2"/>
  <c r="BD2931" i="2"/>
  <c r="M2932" i="2"/>
  <c r="AW2932" i="2"/>
  <c r="AX2932" i="2"/>
  <c r="AY2932" i="2"/>
  <c r="AZ2932" i="2"/>
  <c r="BB2932" i="2"/>
  <c r="BC2932" i="2"/>
  <c r="BD2932" i="2"/>
  <c r="M2933" i="2"/>
  <c r="AW2933" i="2"/>
  <c r="AX2933" i="2"/>
  <c r="AY2933" i="2"/>
  <c r="AZ2933" i="2"/>
  <c r="BB2933" i="2"/>
  <c r="BC2933" i="2"/>
  <c r="BD2933" i="2"/>
  <c r="M2934" i="2"/>
  <c r="AW2934" i="2"/>
  <c r="AX2934" i="2"/>
  <c r="AY2934" i="2"/>
  <c r="AZ2934" i="2"/>
  <c r="BB2934" i="2"/>
  <c r="BC2934" i="2"/>
  <c r="BD2934" i="2"/>
  <c r="M2935" i="2"/>
  <c r="AW2935" i="2"/>
  <c r="AX2935" i="2"/>
  <c r="AY2935" i="2"/>
  <c r="AZ2935" i="2"/>
  <c r="BB2935" i="2"/>
  <c r="BC2935" i="2"/>
  <c r="BD2935" i="2"/>
  <c r="M2936" i="2"/>
  <c r="AW2936" i="2"/>
  <c r="AX2936" i="2"/>
  <c r="AY2936" i="2"/>
  <c r="AZ2936" i="2"/>
  <c r="BB2936" i="2"/>
  <c r="BC2936" i="2"/>
  <c r="BD2936" i="2"/>
  <c r="M2937" i="2"/>
  <c r="AW2937" i="2"/>
  <c r="AX2937" i="2"/>
  <c r="AY2937" i="2"/>
  <c r="AZ2937" i="2"/>
  <c r="BB2937" i="2"/>
  <c r="BC2937" i="2"/>
  <c r="BD2937" i="2"/>
  <c r="M2938" i="2"/>
  <c r="AW2938" i="2"/>
  <c r="AX2938" i="2"/>
  <c r="AY2938" i="2"/>
  <c r="AZ2938" i="2"/>
  <c r="BB2938" i="2"/>
  <c r="BC2938" i="2"/>
  <c r="BD2938" i="2"/>
  <c r="M2939" i="2"/>
  <c r="AW2939" i="2"/>
  <c r="AX2939" i="2"/>
  <c r="AY2939" i="2"/>
  <c r="AZ2939" i="2"/>
  <c r="BB2939" i="2"/>
  <c r="BC2939" i="2"/>
  <c r="BD2939" i="2"/>
  <c r="M2940" i="2"/>
  <c r="AW2940" i="2"/>
  <c r="AX2940" i="2"/>
  <c r="AY2940" i="2"/>
  <c r="AZ2940" i="2"/>
  <c r="BB2940" i="2"/>
  <c r="BC2940" i="2"/>
  <c r="BD2940" i="2"/>
  <c r="M2941" i="2"/>
  <c r="AW2941" i="2"/>
  <c r="AX2941" i="2"/>
  <c r="AY2941" i="2"/>
  <c r="AZ2941" i="2"/>
  <c r="BB2941" i="2"/>
  <c r="BC2941" i="2"/>
  <c r="BD2941" i="2"/>
  <c r="M2942" i="2"/>
  <c r="AW2942" i="2"/>
  <c r="AX2942" i="2"/>
  <c r="AY2942" i="2"/>
  <c r="AZ2942" i="2"/>
  <c r="BB2942" i="2"/>
  <c r="BC2942" i="2"/>
  <c r="BD2942" i="2"/>
  <c r="M2943" i="2"/>
  <c r="AW2943" i="2"/>
  <c r="AX2943" i="2"/>
  <c r="AY2943" i="2"/>
  <c r="AZ2943" i="2"/>
  <c r="BB2943" i="2"/>
  <c r="BC2943" i="2"/>
  <c r="BD2943" i="2"/>
  <c r="M2944" i="2"/>
  <c r="AW2944" i="2"/>
  <c r="AX2944" i="2"/>
  <c r="AY2944" i="2"/>
  <c r="AZ2944" i="2"/>
  <c r="BB2944" i="2"/>
  <c r="BC2944" i="2"/>
  <c r="BD2944" i="2"/>
  <c r="M2945" i="2"/>
  <c r="AW2945" i="2"/>
  <c r="AX2945" i="2"/>
  <c r="AY2945" i="2"/>
  <c r="AZ2945" i="2"/>
  <c r="BB2945" i="2"/>
  <c r="BC2945" i="2"/>
  <c r="BD2945" i="2"/>
  <c r="M2946" i="2"/>
  <c r="AW2946" i="2"/>
  <c r="AX2946" i="2"/>
  <c r="AY2946" i="2"/>
  <c r="AZ2946" i="2"/>
  <c r="BB2946" i="2"/>
  <c r="BC2946" i="2"/>
  <c r="BD2946" i="2"/>
  <c r="M2947" i="2"/>
  <c r="AW2947" i="2"/>
  <c r="AX2947" i="2"/>
  <c r="AY2947" i="2"/>
  <c r="AZ2947" i="2"/>
  <c r="BB2947" i="2"/>
  <c r="BC2947" i="2"/>
  <c r="BD2947" i="2"/>
  <c r="M2948" i="2"/>
  <c r="AW2948" i="2"/>
  <c r="AX2948" i="2"/>
  <c r="AY2948" i="2"/>
  <c r="AZ2948" i="2"/>
  <c r="BB2948" i="2"/>
  <c r="BC2948" i="2"/>
  <c r="BD2948" i="2"/>
  <c r="M2949" i="2"/>
  <c r="AW2949" i="2"/>
  <c r="AX2949" i="2"/>
  <c r="AY2949" i="2"/>
  <c r="AZ2949" i="2"/>
  <c r="BB2949" i="2"/>
  <c r="BC2949" i="2"/>
  <c r="BD2949" i="2"/>
  <c r="M2950" i="2"/>
  <c r="AW2950" i="2"/>
  <c r="AX2950" i="2"/>
  <c r="AY2950" i="2"/>
  <c r="AZ2950" i="2"/>
  <c r="BB2950" i="2"/>
  <c r="BC2950" i="2"/>
  <c r="BD2950" i="2"/>
  <c r="M2951" i="2"/>
  <c r="AW2951" i="2"/>
  <c r="AX2951" i="2"/>
  <c r="AY2951" i="2"/>
  <c r="AZ2951" i="2"/>
  <c r="BB2951" i="2"/>
  <c r="BC2951" i="2"/>
  <c r="BD2951" i="2"/>
  <c r="M2952" i="2"/>
  <c r="AW2952" i="2"/>
  <c r="AX2952" i="2"/>
  <c r="AY2952" i="2"/>
  <c r="AZ2952" i="2"/>
  <c r="BB2952" i="2"/>
  <c r="BC2952" i="2"/>
  <c r="BD2952" i="2"/>
  <c r="M2953" i="2"/>
  <c r="AW2953" i="2"/>
  <c r="AX2953" i="2"/>
  <c r="AY2953" i="2"/>
  <c r="AZ2953" i="2"/>
  <c r="BB2953" i="2"/>
  <c r="BC2953" i="2"/>
  <c r="BD2953" i="2"/>
  <c r="M2954" i="2"/>
  <c r="AW2954" i="2"/>
  <c r="AX2954" i="2"/>
  <c r="AY2954" i="2"/>
  <c r="AZ2954" i="2"/>
  <c r="BB2954" i="2"/>
  <c r="BC2954" i="2"/>
  <c r="BD2954" i="2"/>
  <c r="M2955" i="2"/>
  <c r="AW2955" i="2"/>
  <c r="AX2955" i="2"/>
  <c r="AY2955" i="2"/>
  <c r="AZ2955" i="2"/>
  <c r="BB2955" i="2"/>
  <c r="BC2955" i="2"/>
  <c r="BD2955" i="2"/>
  <c r="M2956" i="2"/>
  <c r="AW2956" i="2"/>
  <c r="AX2956" i="2"/>
  <c r="AY2956" i="2"/>
  <c r="AZ2956" i="2"/>
  <c r="BB2956" i="2"/>
  <c r="BC2956" i="2"/>
  <c r="BD2956" i="2"/>
  <c r="M2957" i="2"/>
  <c r="AW2957" i="2"/>
  <c r="AX2957" i="2"/>
  <c r="AY2957" i="2"/>
  <c r="AZ2957" i="2"/>
  <c r="BB2957" i="2"/>
  <c r="BC2957" i="2"/>
  <c r="BD2957" i="2"/>
  <c r="M2958" i="2"/>
  <c r="AW2958" i="2"/>
  <c r="AX2958" i="2"/>
  <c r="AY2958" i="2"/>
  <c r="AZ2958" i="2"/>
  <c r="BB2958" i="2"/>
  <c r="BC2958" i="2"/>
  <c r="BD2958" i="2"/>
  <c r="M2959" i="2"/>
  <c r="AW2959" i="2"/>
  <c r="AX2959" i="2"/>
  <c r="AY2959" i="2"/>
  <c r="AZ2959" i="2"/>
  <c r="BB2959" i="2"/>
  <c r="BC2959" i="2"/>
  <c r="BD2959" i="2"/>
  <c r="M2960" i="2"/>
  <c r="AW2960" i="2"/>
  <c r="AX2960" i="2"/>
  <c r="AY2960" i="2"/>
  <c r="AZ2960" i="2"/>
  <c r="BB2960" i="2"/>
  <c r="BC2960" i="2"/>
  <c r="BD2960" i="2"/>
  <c r="M2961" i="2"/>
  <c r="AW2961" i="2"/>
  <c r="AX2961" i="2"/>
  <c r="AY2961" i="2"/>
  <c r="AZ2961" i="2"/>
  <c r="BB2961" i="2"/>
  <c r="BC2961" i="2"/>
  <c r="BD2961" i="2"/>
  <c r="M2962" i="2"/>
  <c r="AW2962" i="2"/>
  <c r="AX2962" i="2"/>
  <c r="AY2962" i="2"/>
  <c r="AZ2962" i="2"/>
  <c r="BB2962" i="2"/>
  <c r="BC2962" i="2"/>
  <c r="BD2962" i="2"/>
  <c r="M2963" i="2"/>
  <c r="AW2963" i="2"/>
  <c r="AX2963" i="2"/>
  <c r="AY2963" i="2"/>
  <c r="AZ2963" i="2"/>
  <c r="BB2963" i="2"/>
  <c r="BC2963" i="2"/>
  <c r="BD2963" i="2"/>
  <c r="M2964" i="2"/>
  <c r="AW2964" i="2"/>
  <c r="AX2964" i="2"/>
  <c r="AY2964" i="2"/>
  <c r="AZ2964" i="2"/>
  <c r="BB2964" i="2"/>
  <c r="BC2964" i="2"/>
  <c r="BD2964" i="2"/>
  <c r="M2965" i="2"/>
  <c r="AW2965" i="2"/>
  <c r="AX2965" i="2"/>
  <c r="AY2965" i="2"/>
  <c r="AZ2965" i="2"/>
  <c r="BB2965" i="2"/>
  <c r="BC2965" i="2"/>
  <c r="BD2965" i="2"/>
  <c r="M2966" i="2"/>
  <c r="AW2966" i="2"/>
  <c r="AX2966" i="2"/>
  <c r="AY2966" i="2"/>
  <c r="AZ2966" i="2"/>
  <c r="BB2966" i="2"/>
  <c r="BC2966" i="2"/>
  <c r="BD2966" i="2"/>
  <c r="M2967" i="2"/>
  <c r="AW2967" i="2"/>
  <c r="AX2967" i="2"/>
  <c r="AY2967" i="2"/>
  <c r="AZ2967" i="2"/>
  <c r="BB2967" i="2"/>
  <c r="BC2967" i="2"/>
  <c r="BD2967" i="2"/>
  <c r="M2968" i="2"/>
  <c r="AW2968" i="2"/>
  <c r="AX2968" i="2"/>
  <c r="AY2968" i="2"/>
  <c r="AZ2968" i="2"/>
  <c r="BB2968" i="2"/>
  <c r="BC2968" i="2"/>
  <c r="BD2968" i="2"/>
  <c r="M2969" i="2"/>
  <c r="AW2969" i="2"/>
  <c r="AX2969" i="2"/>
  <c r="AY2969" i="2"/>
  <c r="AZ2969" i="2"/>
  <c r="BB2969" i="2"/>
  <c r="BC2969" i="2"/>
  <c r="BD2969" i="2"/>
  <c r="M2970" i="2"/>
  <c r="AW2970" i="2"/>
  <c r="AX2970" i="2"/>
  <c r="AY2970" i="2"/>
  <c r="AZ2970" i="2"/>
  <c r="BB2970" i="2"/>
  <c r="BC2970" i="2"/>
  <c r="BD2970" i="2"/>
  <c r="M2971" i="2"/>
  <c r="AW2971" i="2"/>
  <c r="AX2971" i="2"/>
  <c r="AY2971" i="2"/>
  <c r="AZ2971" i="2"/>
  <c r="BB2971" i="2"/>
  <c r="BC2971" i="2"/>
  <c r="BD2971" i="2"/>
  <c r="M2972" i="2"/>
  <c r="AW2972" i="2"/>
  <c r="AX2972" i="2"/>
  <c r="AY2972" i="2"/>
  <c r="AZ2972" i="2"/>
  <c r="BB2972" i="2"/>
  <c r="BC2972" i="2"/>
  <c r="BD2972" i="2"/>
  <c r="M2973" i="2"/>
  <c r="AW2973" i="2"/>
  <c r="AX2973" i="2"/>
  <c r="AY2973" i="2"/>
  <c r="AZ2973" i="2"/>
  <c r="BB2973" i="2"/>
  <c r="BC2973" i="2"/>
  <c r="BD2973" i="2"/>
  <c r="M2974" i="2"/>
  <c r="AW2974" i="2"/>
  <c r="AX2974" i="2"/>
  <c r="AY2974" i="2"/>
  <c r="AZ2974" i="2"/>
  <c r="BB2974" i="2"/>
  <c r="BC2974" i="2"/>
  <c r="BD2974" i="2"/>
  <c r="M2975" i="2"/>
  <c r="AW2975" i="2"/>
  <c r="AX2975" i="2"/>
  <c r="AY2975" i="2"/>
  <c r="AZ2975" i="2"/>
  <c r="BB2975" i="2"/>
  <c r="BC2975" i="2"/>
  <c r="BD2975" i="2"/>
  <c r="M2976" i="2"/>
  <c r="AW2976" i="2"/>
  <c r="AX2976" i="2"/>
  <c r="AY2976" i="2"/>
  <c r="AZ2976" i="2"/>
  <c r="BB2976" i="2"/>
  <c r="BC2976" i="2"/>
  <c r="BD2976" i="2"/>
  <c r="M2977" i="2"/>
  <c r="AW2977" i="2"/>
  <c r="AX2977" i="2"/>
  <c r="AY2977" i="2"/>
  <c r="AZ2977" i="2"/>
  <c r="BB2977" i="2"/>
  <c r="BC2977" i="2"/>
  <c r="BD2977" i="2"/>
  <c r="M2978" i="2"/>
  <c r="AW2978" i="2"/>
  <c r="AX2978" i="2"/>
  <c r="AY2978" i="2"/>
  <c r="AZ2978" i="2"/>
  <c r="BB2978" i="2"/>
  <c r="BC2978" i="2"/>
  <c r="BD2978" i="2"/>
  <c r="M2979" i="2"/>
  <c r="AW2979" i="2"/>
  <c r="AX2979" i="2"/>
  <c r="AY2979" i="2"/>
  <c r="AZ2979" i="2"/>
  <c r="BB2979" i="2"/>
  <c r="BC2979" i="2"/>
  <c r="BD2979" i="2"/>
  <c r="M2980" i="2"/>
  <c r="AW2980" i="2"/>
  <c r="AX2980" i="2"/>
  <c r="AY2980" i="2"/>
  <c r="AZ2980" i="2"/>
  <c r="BB2980" i="2"/>
  <c r="BC2980" i="2"/>
  <c r="BD2980" i="2"/>
  <c r="M2981" i="2"/>
  <c r="AW2981" i="2"/>
  <c r="AX2981" i="2"/>
  <c r="AY2981" i="2"/>
  <c r="AZ2981" i="2"/>
  <c r="BB2981" i="2"/>
  <c r="BC2981" i="2"/>
  <c r="BD2981" i="2"/>
  <c r="M2982" i="2"/>
  <c r="AW2982" i="2"/>
  <c r="AX2982" i="2"/>
  <c r="AY2982" i="2"/>
  <c r="AZ2982" i="2"/>
  <c r="BB2982" i="2"/>
  <c r="BC2982" i="2"/>
  <c r="BD2982" i="2"/>
  <c r="M2983" i="2"/>
  <c r="AW2983" i="2"/>
  <c r="AX2983" i="2"/>
  <c r="AY2983" i="2"/>
  <c r="AZ2983" i="2"/>
  <c r="BB2983" i="2"/>
  <c r="BC2983" i="2"/>
  <c r="BD2983" i="2"/>
  <c r="M2984" i="2"/>
  <c r="AW2984" i="2"/>
  <c r="AX2984" i="2"/>
  <c r="AY2984" i="2"/>
  <c r="AZ2984" i="2"/>
  <c r="BB2984" i="2"/>
  <c r="BC2984" i="2"/>
  <c r="BD2984" i="2"/>
  <c r="M2985" i="2"/>
  <c r="AW2985" i="2"/>
  <c r="AX2985" i="2"/>
  <c r="AY2985" i="2"/>
  <c r="AZ2985" i="2"/>
  <c r="BB2985" i="2"/>
  <c r="BC2985" i="2"/>
  <c r="BD2985" i="2"/>
  <c r="M2986" i="2"/>
  <c r="AW2986" i="2"/>
  <c r="AX2986" i="2"/>
  <c r="AY2986" i="2"/>
  <c r="AZ2986" i="2"/>
  <c r="BB2986" i="2"/>
  <c r="BC2986" i="2"/>
  <c r="BD2986" i="2"/>
  <c r="M2987" i="2"/>
  <c r="AW2987" i="2"/>
  <c r="AX2987" i="2"/>
  <c r="AY2987" i="2"/>
  <c r="AZ2987" i="2"/>
  <c r="BB2987" i="2"/>
  <c r="BC2987" i="2"/>
  <c r="BD2987" i="2"/>
  <c r="M2988" i="2"/>
  <c r="AW2988" i="2"/>
  <c r="AX2988" i="2"/>
  <c r="AY2988" i="2"/>
  <c r="AZ2988" i="2"/>
  <c r="BB2988" i="2"/>
  <c r="BC2988" i="2"/>
  <c r="BD2988" i="2"/>
  <c r="M2989" i="2"/>
  <c r="AW2989" i="2"/>
  <c r="AX2989" i="2"/>
  <c r="AY2989" i="2"/>
  <c r="AZ2989" i="2"/>
  <c r="BB2989" i="2"/>
  <c r="BC2989" i="2"/>
  <c r="BD2989" i="2"/>
  <c r="M2990" i="2"/>
  <c r="AW2990" i="2"/>
  <c r="AX2990" i="2"/>
  <c r="AY2990" i="2"/>
  <c r="AZ2990" i="2"/>
  <c r="BB2990" i="2"/>
  <c r="BC2990" i="2"/>
  <c r="BD2990" i="2"/>
  <c r="M2991" i="2"/>
  <c r="AW2991" i="2"/>
  <c r="AX2991" i="2"/>
  <c r="AY2991" i="2"/>
  <c r="AZ2991" i="2"/>
  <c r="BB2991" i="2"/>
  <c r="BC2991" i="2"/>
  <c r="BD2991" i="2"/>
  <c r="M2992" i="2"/>
  <c r="AW2992" i="2"/>
  <c r="AX2992" i="2"/>
  <c r="AY2992" i="2"/>
  <c r="AZ2992" i="2"/>
  <c r="BB2992" i="2"/>
  <c r="BC2992" i="2"/>
  <c r="BD2992" i="2"/>
  <c r="M2993" i="2"/>
  <c r="AW2993" i="2"/>
  <c r="AX2993" i="2"/>
  <c r="AY2993" i="2"/>
  <c r="AZ2993" i="2"/>
  <c r="BB2993" i="2"/>
  <c r="BC2993" i="2"/>
  <c r="BD2993" i="2"/>
  <c r="M2994" i="2"/>
  <c r="AW2994" i="2"/>
  <c r="AX2994" i="2"/>
  <c r="AY2994" i="2"/>
  <c r="AZ2994" i="2"/>
  <c r="BB2994" i="2"/>
  <c r="BC2994" i="2"/>
  <c r="BD2994" i="2"/>
  <c r="M2995" i="2"/>
  <c r="AW2995" i="2"/>
  <c r="AX2995" i="2"/>
  <c r="AY2995" i="2"/>
  <c r="AZ2995" i="2"/>
  <c r="BB2995" i="2"/>
  <c r="BC2995" i="2"/>
  <c r="BD2995" i="2"/>
  <c r="M2996" i="2"/>
  <c r="AW2996" i="2"/>
  <c r="AX2996" i="2"/>
  <c r="AY2996" i="2"/>
  <c r="AZ2996" i="2"/>
  <c r="BB2996" i="2"/>
  <c r="BC2996" i="2"/>
  <c r="BD2996" i="2"/>
  <c r="M2997" i="2"/>
  <c r="AW2997" i="2"/>
  <c r="AX2997" i="2"/>
  <c r="AY2997" i="2"/>
  <c r="AZ2997" i="2"/>
  <c r="BB2997" i="2"/>
  <c r="BC2997" i="2"/>
  <c r="BD2997" i="2"/>
  <c r="M2998" i="2"/>
  <c r="AW2998" i="2"/>
  <c r="AX2998" i="2"/>
  <c r="AY2998" i="2"/>
  <c r="AZ2998" i="2"/>
  <c r="BB2998" i="2"/>
  <c r="BC2998" i="2"/>
  <c r="BD2998" i="2"/>
  <c r="M2999" i="2"/>
  <c r="AW2999" i="2"/>
  <c r="AX2999" i="2"/>
  <c r="AY2999" i="2"/>
  <c r="AZ2999" i="2"/>
  <c r="BB2999" i="2"/>
  <c r="BC2999" i="2"/>
  <c r="BD2999" i="2"/>
  <c r="M3000" i="2"/>
  <c r="AW3000" i="2"/>
  <c r="AX3000" i="2"/>
  <c r="AY3000" i="2"/>
  <c r="AZ3000" i="2"/>
  <c r="BB3000" i="2"/>
  <c r="BC3000" i="2"/>
  <c r="BD3000" i="2"/>
  <c r="M3001" i="2"/>
  <c r="AW3001" i="2"/>
  <c r="AX3001" i="2"/>
  <c r="AY3001" i="2"/>
  <c r="AZ3001" i="2"/>
  <c r="BB3001" i="2"/>
  <c r="BC3001" i="2"/>
  <c r="BD3001" i="2"/>
  <c r="M3002" i="2"/>
  <c r="AW3002" i="2"/>
  <c r="AX3002" i="2"/>
  <c r="AY3002" i="2"/>
  <c r="AZ3002" i="2"/>
  <c r="BB3002" i="2"/>
  <c r="BC3002" i="2"/>
  <c r="BD3002" i="2"/>
  <c r="M3003" i="2"/>
  <c r="AW3003" i="2"/>
  <c r="AX3003" i="2"/>
  <c r="AY3003" i="2"/>
  <c r="AZ3003" i="2"/>
  <c r="BB3003" i="2"/>
  <c r="BC3003" i="2"/>
  <c r="BD3003" i="2"/>
  <c r="M3004" i="2"/>
  <c r="AW3004" i="2"/>
  <c r="AX3004" i="2"/>
  <c r="AY3004" i="2"/>
  <c r="AZ3004" i="2"/>
  <c r="BB3004" i="2"/>
  <c r="BC3004" i="2"/>
  <c r="BD3004" i="2"/>
  <c r="M3005" i="2"/>
  <c r="AW3005" i="2"/>
  <c r="AX3005" i="2"/>
  <c r="AY3005" i="2"/>
  <c r="AZ3005" i="2"/>
  <c r="BB3005" i="2"/>
  <c r="BC3005" i="2"/>
  <c r="BD3005" i="2"/>
  <c r="M3006" i="2"/>
  <c r="AW3006" i="2"/>
  <c r="AX3006" i="2"/>
  <c r="AY3006" i="2"/>
  <c r="AZ3006" i="2"/>
  <c r="BB3006" i="2"/>
  <c r="BC3006" i="2"/>
  <c r="BD3006" i="2"/>
  <c r="M3007" i="2"/>
  <c r="AW3007" i="2"/>
  <c r="AX3007" i="2"/>
  <c r="AY3007" i="2"/>
  <c r="AZ3007" i="2"/>
  <c r="BB3007" i="2"/>
  <c r="BC3007" i="2"/>
  <c r="BD3007" i="2"/>
  <c r="M3008" i="2"/>
  <c r="AW3008" i="2"/>
  <c r="AX3008" i="2"/>
  <c r="AY3008" i="2"/>
  <c r="AZ3008" i="2"/>
  <c r="BB3008" i="2"/>
  <c r="BC3008" i="2"/>
  <c r="BD3008" i="2"/>
  <c r="M3009" i="2"/>
  <c r="AW3009" i="2"/>
  <c r="AX3009" i="2"/>
  <c r="AY3009" i="2"/>
  <c r="AZ3009" i="2"/>
  <c r="BB3009" i="2"/>
  <c r="BC3009" i="2"/>
  <c r="BD3009" i="2"/>
  <c r="M3010" i="2"/>
  <c r="AW3010" i="2"/>
  <c r="AX3010" i="2"/>
  <c r="AY3010" i="2"/>
  <c r="AZ3010" i="2"/>
  <c r="BB3010" i="2"/>
  <c r="BC3010" i="2"/>
  <c r="BD3010" i="2"/>
  <c r="M3011" i="2"/>
  <c r="AW3011" i="2"/>
  <c r="AX3011" i="2"/>
  <c r="AY3011" i="2"/>
  <c r="AZ3011" i="2"/>
  <c r="BB3011" i="2"/>
  <c r="BC3011" i="2"/>
  <c r="BD3011" i="2"/>
  <c r="M3012" i="2"/>
  <c r="AW3012" i="2"/>
  <c r="AX3012" i="2"/>
  <c r="AY3012" i="2"/>
  <c r="AZ3012" i="2"/>
  <c r="BB3012" i="2"/>
  <c r="BC3012" i="2"/>
  <c r="BD3012" i="2"/>
  <c r="M3013" i="2"/>
  <c r="AW3013" i="2"/>
  <c r="AX3013" i="2"/>
  <c r="AY3013" i="2"/>
  <c r="AZ3013" i="2"/>
  <c r="BB3013" i="2"/>
  <c r="BC3013" i="2"/>
  <c r="BD3013" i="2"/>
  <c r="M3014" i="2"/>
  <c r="AW3014" i="2"/>
  <c r="AX3014" i="2"/>
  <c r="AY3014" i="2"/>
  <c r="AZ3014" i="2"/>
  <c r="BB3014" i="2"/>
  <c r="BC3014" i="2"/>
  <c r="BD3014" i="2"/>
  <c r="M3015" i="2"/>
  <c r="AW3015" i="2"/>
  <c r="AX3015" i="2"/>
  <c r="AY3015" i="2"/>
  <c r="AZ3015" i="2"/>
  <c r="BB3015" i="2"/>
  <c r="BC3015" i="2"/>
  <c r="BD3015" i="2"/>
  <c r="M3016" i="2"/>
  <c r="AW3016" i="2"/>
  <c r="AX3016" i="2"/>
  <c r="AY3016" i="2"/>
  <c r="AZ3016" i="2"/>
  <c r="BB3016" i="2"/>
  <c r="BC3016" i="2"/>
  <c r="BD3016" i="2"/>
  <c r="M3017" i="2"/>
  <c r="AW3017" i="2"/>
  <c r="AX3017" i="2"/>
  <c r="AY3017" i="2"/>
  <c r="AZ3017" i="2"/>
  <c r="BB3017" i="2"/>
  <c r="BC3017" i="2"/>
  <c r="BD3017" i="2"/>
  <c r="M3018" i="2"/>
  <c r="AW3018" i="2"/>
  <c r="AX3018" i="2"/>
  <c r="AY3018" i="2"/>
  <c r="AZ3018" i="2"/>
  <c r="BB3018" i="2"/>
  <c r="BC3018" i="2"/>
  <c r="BD3018" i="2"/>
  <c r="M3019" i="2"/>
  <c r="AW3019" i="2"/>
  <c r="AX3019" i="2"/>
  <c r="AY3019" i="2"/>
  <c r="AZ3019" i="2"/>
  <c r="BB3019" i="2"/>
  <c r="BC3019" i="2"/>
  <c r="BD3019" i="2"/>
  <c r="M3020" i="2"/>
  <c r="AW3020" i="2"/>
  <c r="AX3020" i="2"/>
  <c r="AY3020" i="2"/>
  <c r="AZ3020" i="2"/>
  <c r="BB3020" i="2"/>
  <c r="BC3020" i="2"/>
  <c r="BD3020" i="2"/>
  <c r="M3021" i="2"/>
  <c r="AW3021" i="2"/>
  <c r="AX3021" i="2"/>
  <c r="AY3021" i="2"/>
  <c r="AZ3021" i="2"/>
  <c r="BB3021" i="2"/>
  <c r="BC3021" i="2"/>
  <c r="BD3021" i="2"/>
  <c r="M3022" i="2"/>
  <c r="AW3022" i="2"/>
  <c r="AX3022" i="2"/>
  <c r="AY3022" i="2"/>
  <c r="AZ3022" i="2"/>
  <c r="BB3022" i="2"/>
  <c r="BC3022" i="2"/>
  <c r="BD3022" i="2"/>
  <c r="M3023" i="2"/>
  <c r="AW3023" i="2"/>
  <c r="AX3023" i="2"/>
  <c r="AY3023" i="2"/>
  <c r="AZ3023" i="2"/>
  <c r="BB3023" i="2"/>
  <c r="BC3023" i="2"/>
  <c r="BD3023" i="2"/>
  <c r="M3024" i="2"/>
  <c r="AW3024" i="2"/>
  <c r="AX3024" i="2"/>
  <c r="AY3024" i="2"/>
  <c r="AZ3024" i="2"/>
  <c r="BB3024" i="2"/>
  <c r="BC3024" i="2"/>
  <c r="BD3024" i="2"/>
  <c r="M3025" i="2"/>
  <c r="AW3025" i="2"/>
  <c r="AX3025" i="2"/>
  <c r="AY3025" i="2"/>
  <c r="AZ3025" i="2"/>
  <c r="BB3025" i="2"/>
  <c r="BC3025" i="2"/>
  <c r="BD3025" i="2"/>
  <c r="M3026" i="2"/>
  <c r="AW3026" i="2"/>
  <c r="AX3026" i="2"/>
  <c r="AY3026" i="2"/>
  <c r="AZ3026" i="2"/>
  <c r="BB3026" i="2"/>
  <c r="BC3026" i="2"/>
  <c r="BD3026" i="2"/>
  <c r="M3027" i="2"/>
  <c r="AW3027" i="2"/>
  <c r="AX3027" i="2"/>
  <c r="AY3027" i="2"/>
  <c r="AZ3027" i="2"/>
  <c r="BB3027" i="2"/>
  <c r="BC3027" i="2"/>
  <c r="BD3027" i="2"/>
  <c r="M3028" i="2"/>
  <c r="AW3028" i="2"/>
  <c r="AX3028" i="2"/>
  <c r="AY3028" i="2"/>
  <c r="AZ3028" i="2"/>
  <c r="BB3028" i="2"/>
  <c r="BC3028" i="2"/>
  <c r="BD3028" i="2"/>
  <c r="M3029" i="2"/>
  <c r="AW3029" i="2"/>
  <c r="AX3029" i="2"/>
  <c r="AY3029" i="2"/>
  <c r="AZ3029" i="2"/>
  <c r="BB3029" i="2"/>
  <c r="BC3029" i="2"/>
  <c r="BD3029" i="2"/>
  <c r="M3030" i="2"/>
  <c r="AW3030" i="2"/>
  <c r="AX3030" i="2"/>
  <c r="AY3030" i="2"/>
  <c r="AZ3030" i="2"/>
  <c r="BB3030" i="2"/>
  <c r="BC3030" i="2"/>
  <c r="BD3030" i="2"/>
  <c r="M3031" i="2"/>
  <c r="AW3031" i="2"/>
  <c r="AX3031" i="2"/>
  <c r="AY3031" i="2"/>
  <c r="AZ3031" i="2"/>
  <c r="BB3031" i="2"/>
  <c r="BC3031" i="2"/>
  <c r="BD3031" i="2"/>
  <c r="M3032" i="2"/>
  <c r="AW3032" i="2"/>
  <c r="AX3032" i="2"/>
  <c r="AY3032" i="2"/>
  <c r="AZ3032" i="2"/>
  <c r="BB3032" i="2"/>
  <c r="BC3032" i="2"/>
  <c r="BD3032" i="2"/>
  <c r="M3033" i="2"/>
  <c r="AW3033" i="2"/>
  <c r="AX3033" i="2"/>
  <c r="AY3033" i="2"/>
  <c r="AZ3033" i="2"/>
  <c r="BB3033" i="2"/>
  <c r="BC3033" i="2"/>
  <c r="BD3033" i="2"/>
  <c r="M3034" i="2"/>
  <c r="AW3034" i="2"/>
  <c r="AX3034" i="2"/>
  <c r="AY3034" i="2"/>
  <c r="AZ3034" i="2"/>
  <c r="BB3034" i="2"/>
  <c r="BC3034" i="2"/>
  <c r="BD3034" i="2"/>
  <c r="M3035" i="2"/>
  <c r="AW3035" i="2"/>
  <c r="AX3035" i="2"/>
  <c r="AY3035" i="2"/>
  <c r="AZ3035" i="2"/>
  <c r="BB3035" i="2"/>
  <c r="BC3035" i="2"/>
  <c r="BD3035" i="2"/>
  <c r="M3036" i="2"/>
  <c r="AW3036" i="2"/>
  <c r="AX3036" i="2"/>
  <c r="AY3036" i="2"/>
  <c r="AZ3036" i="2"/>
  <c r="BB3036" i="2"/>
  <c r="BC3036" i="2"/>
  <c r="BD3036" i="2"/>
  <c r="M3037" i="2"/>
  <c r="AW3037" i="2"/>
  <c r="AX3037" i="2"/>
  <c r="AY3037" i="2"/>
  <c r="AZ3037" i="2"/>
  <c r="BB3037" i="2"/>
  <c r="BC3037" i="2"/>
  <c r="BD3037" i="2"/>
  <c r="M3038" i="2"/>
  <c r="AW3038" i="2"/>
  <c r="AX3038" i="2"/>
  <c r="AY3038" i="2"/>
  <c r="AZ3038" i="2"/>
  <c r="BB3038" i="2"/>
  <c r="BC3038" i="2"/>
  <c r="BD3038" i="2"/>
  <c r="M3039" i="2"/>
  <c r="AW3039" i="2"/>
  <c r="AX3039" i="2"/>
  <c r="AY3039" i="2"/>
  <c r="AZ3039" i="2"/>
  <c r="BB3039" i="2"/>
  <c r="BC3039" i="2"/>
  <c r="BD3039" i="2"/>
  <c r="M3040" i="2"/>
  <c r="AW3040" i="2"/>
  <c r="AX3040" i="2"/>
  <c r="AY3040" i="2"/>
  <c r="AZ3040" i="2"/>
  <c r="BB3040" i="2"/>
  <c r="BC3040" i="2"/>
  <c r="BD3040" i="2"/>
  <c r="M3041" i="2"/>
  <c r="AW3041" i="2"/>
  <c r="AX3041" i="2"/>
  <c r="AY3041" i="2"/>
  <c r="AZ3041" i="2"/>
  <c r="BB3041" i="2"/>
  <c r="BC3041" i="2"/>
  <c r="BD3041" i="2"/>
  <c r="M3042" i="2"/>
  <c r="AW3042" i="2"/>
  <c r="AX3042" i="2"/>
  <c r="AY3042" i="2"/>
  <c r="AZ3042" i="2"/>
  <c r="BB3042" i="2"/>
  <c r="BC3042" i="2"/>
  <c r="BD3042" i="2"/>
  <c r="M3043" i="2"/>
  <c r="AW3043" i="2"/>
  <c r="AX3043" i="2"/>
  <c r="AY3043" i="2"/>
  <c r="AZ3043" i="2"/>
  <c r="BB3043" i="2"/>
  <c r="BC3043" i="2"/>
  <c r="BD3043" i="2"/>
  <c r="M3044" i="2"/>
  <c r="AW3044" i="2"/>
  <c r="AX3044" i="2"/>
  <c r="AY3044" i="2"/>
  <c r="AZ3044" i="2"/>
  <c r="BB3044" i="2"/>
  <c r="BC3044" i="2"/>
  <c r="BD3044" i="2"/>
  <c r="M3045" i="2"/>
  <c r="AW3045" i="2"/>
  <c r="AX3045" i="2"/>
  <c r="AY3045" i="2"/>
  <c r="AZ3045" i="2"/>
  <c r="BB3045" i="2"/>
  <c r="BC3045" i="2"/>
  <c r="BD3045" i="2"/>
  <c r="M3046" i="2"/>
  <c r="AW3046" i="2"/>
  <c r="AX3046" i="2"/>
  <c r="AY3046" i="2"/>
  <c r="AZ3046" i="2"/>
  <c r="BB3046" i="2"/>
  <c r="BC3046" i="2"/>
  <c r="BD3046" i="2"/>
  <c r="M3047" i="2"/>
  <c r="AW3047" i="2"/>
  <c r="AX3047" i="2"/>
  <c r="AY3047" i="2"/>
  <c r="AZ3047" i="2"/>
  <c r="BB3047" i="2"/>
  <c r="BC3047" i="2"/>
  <c r="BD3047" i="2"/>
  <c r="M3048" i="2"/>
  <c r="AW3048" i="2"/>
  <c r="AX3048" i="2"/>
  <c r="AY3048" i="2"/>
  <c r="AZ3048" i="2"/>
  <c r="BB3048" i="2"/>
  <c r="BC3048" i="2"/>
  <c r="BD3048" i="2"/>
  <c r="M3049" i="2"/>
  <c r="AW3049" i="2"/>
  <c r="AX3049" i="2"/>
  <c r="AY3049" i="2"/>
  <c r="AZ3049" i="2"/>
  <c r="BB3049" i="2"/>
  <c r="BC3049" i="2"/>
  <c r="BD3049" i="2"/>
  <c r="M3050" i="2"/>
  <c r="AW3050" i="2"/>
  <c r="AX3050" i="2"/>
  <c r="AY3050" i="2"/>
  <c r="AZ3050" i="2"/>
  <c r="BB3050" i="2"/>
  <c r="BC3050" i="2"/>
  <c r="BD3050" i="2"/>
  <c r="M3051" i="2"/>
  <c r="AW3051" i="2"/>
  <c r="AX3051" i="2"/>
  <c r="AY3051" i="2"/>
  <c r="AZ3051" i="2"/>
  <c r="BB3051" i="2"/>
  <c r="BC3051" i="2"/>
  <c r="BD3051" i="2"/>
  <c r="M3052" i="2"/>
  <c r="AW3052" i="2"/>
  <c r="AX3052" i="2"/>
  <c r="AY3052" i="2"/>
  <c r="AZ3052" i="2"/>
  <c r="BB3052" i="2"/>
  <c r="BC3052" i="2"/>
  <c r="BD3052" i="2"/>
  <c r="M3053" i="2"/>
  <c r="AW3053" i="2"/>
  <c r="AX3053" i="2"/>
  <c r="AY3053" i="2"/>
  <c r="AZ3053" i="2"/>
  <c r="BB3053" i="2"/>
  <c r="BC3053" i="2"/>
  <c r="BD3053" i="2"/>
  <c r="M3054" i="2"/>
  <c r="AW3054" i="2"/>
  <c r="AX3054" i="2"/>
  <c r="AY3054" i="2"/>
  <c r="AZ3054" i="2"/>
  <c r="BB3054" i="2"/>
  <c r="BC3054" i="2"/>
  <c r="BD3054" i="2"/>
  <c r="M3055" i="2"/>
  <c r="AW3055" i="2"/>
  <c r="AX3055" i="2"/>
  <c r="AY3055" i="2"/>
  <c r="AZ3055" i="2"/>
  <c r="BB3055" i="2"/>
  <c r="BC3055" i="2"/>
  <c r="BD3055" i="2"/>
  <c r="M3056" i="2"/>
  <c r="AW3056" i="2"/>
  <c r="AX3056" i="2"/>
  <c r="AY3056" i="2"/>
  <c r="AZ3056" i="2"/>
  <c r="BB3056" i="2"/>
  <c r="BC3056" i="2"/>
  <c r="BD3056" i="2"/>
  <c r="M3057" i="2"/>
  <c r="AW3057" i="2"/>
  <c r="AX3057" i="2"/>
  <c r="AY3057" i="2"/>
  <c r="AZ3057" i="2"/>
  <c r="BB3057" i="2"/>
  <c r="BC3057" i="2"/>
  <c r="BD3057" i="2"/>
  <c r="M3058" i="2"/>
  <c r="AW3058" i="2"/>
  <c r="AX3058" i="2"/>
  <c r="AY3058" i="2"/>
  <c r="AZ3058" i="2"/>
  <c r="BB3058" i="2"/>
  <c r="BC3058" i="2"/>
  <c r="BD3058" i="2"/>
  <c r="M3059" i="2"/>
  <c r="AW3059" i="2"/>
  <c r="AX3059" i="2"/>
  <c r="AY3059" i="2"/>
  <c r="AZ3059" i="2"/>
  <c r="BB3059" i="2"/>
  <c r="BC3059" i="2"/>
  <c r="BD3059" i="2"/>
  <c r="M3060" i="2"/>
  <c r="AW3060" i="2"/>
  <c r="AX3060" i="2"/>
  <c r="AY3060" i="2"/>
  <c r="AZ3060" i="2"/>
  <c r="BB3060" i="2"/>
  <c r="BC3060" i="2"/>
  <c r="BD3060" i="2"/>
  <c r="M3061" i="2"/>
  <c r="AX3061" i="2"/>
  <c r="AZ3061" i="2"/>
  <c r="BB3061" i="2"/>
  <c r="BC3061" i="2"/>
  <c r="BD3061" i="2"/>
  <c r="M3063" i="2"/>
  <c r="AW3063" i="2"/>
  <c r="AX3063" i="2"/>
  <c r="AY3063" i="2"/>
  <c r="AZ3063" i="2"/>
  <c r="BB3063" i="2"/>
  <c r="BC3063" i="2"/>
  <c r="M3064" i="2"/>
  <c r="AW3064" i="2"/>
  <c r="AX3064" i="2"/>
  <c r="AY3064" i="2"/>
  <c r="AZ3064" i="2"/>
  <c r="BB3064" i="2"/>
  <c r="BC3064" i="2"/>
  <c r="M3065" i="2"/>
  <c r="AW3065" i="2"/>
  <c r="AX3065" i="2"/>
  <c r="AY3065" i="2"/>
  <c r="AZ3065" i="2"/>
  <c r="BB3065" i="2"/>
  <c r="BC3065" i="2"/>
  <c r="M3066" i="2"/>
  <c r="AW3066" i="2"/>
  <c r="AX3066" i="2"/>
  <c r="AY3066" i="2"/>
  <c r="AZ3066" i="2"/>
  <c r="BB3066" i="2"/>
  <c r="BC3066" i="2"/>
  <c r="M3067" i="2"/>
  <c r="AW3067" i="2"/>
  <c r="AX3067" i="2"/>
  <c r="AY3067" i="2"/>
  <c r="AZ3067" i="2"/>
  <c r="BB3067" i="2"/>
  <c r="BC3067" i="2"/>
  <c r="M3068" i="2"/>
  <c r="AW3068" i="2"/>
  <c r="AX3068" i="2"/>
  <c r="AY3068" i="2"/>
  <c r="AZ3068" i="2"/>
  <c r="BB3068" i="2"/>
  <c r="BC3068" i="2"/>
  <c r="M3069" i="2"/>
  <c r="AW3069" i="2"/>
  <c r="AX3069" i="2"/>
  <c r="AY3069" i="2"/>
  <c r="AZ3069" i="2"/>
  <c r="BB3069" i="2"/>
  <c r="BC3069" i="2"/>
  <c r="M3070" i="2"/>
  <c r="AW3070" i="2"/>
  <c r="AX3070" i="2"/>
  <c r="AY3070" i="2"/>
  <c r="AZ3070" i="2"/>
  <c r="BB3070" i="2"/>
  <c r="BC3070" i="2"/>
  <c r="M3071" i="2"/>
  <c r="AW3071" i="2"/>
  <c r="AX3071" i="2"/>
  <c r="AY3071" i="2"/>
  <c r="AZ3071" i="2"/>
  <c r="BB3071" i="2"/>
  <c r="BC3071" i="2"/>
  <c r="M3072" i="2"/>
  <c r="AW3072" i="2"/>
  <c r="AX3072" i="2"/>
  <c r="AY3072" i="2"/>
  <c r="AZ3072" i="2"/>
  <c r="BB3072" i="2"/>
  <c r="BC3072" i="2"/>
  <c r="M3073" i="2"/>
  <c r="AW3073" i="2"/>
  <c r="AX3073" i="2"/>
  <c r="AY3073" i="2"/>
  <c r="AZ3073" i="2"/>
  <c r="BB3073" i="2"/>
  <c r="BC3073" i="2"/>
  <c r="M3074" i="2"/>
  <c r="AW3074" i="2"/>
  <c r="AX3074" i="2"/>
  <c r="AY3074" i="2"/>
  <c r="AZ3074" i="2"/>
  <c r="BB3074" i="2"/>
  <c r="BC3074" i="2"/>
  <c r="M3075" i="2"/>
  <c r="AW3075" i="2"/>
  <c r="AX3075" i="2"/>
  <c r="AY3075" i="2"/>
  <c r="AZ3075" i="2"/>
  <c r="BB3075" i="2"/>
  <c r="BC3075" i="2"/>
  <c r="M3076" i="2"/>
  <c r="AW3076" i="2"/>
  <c r="AX3076" i="2"/>
  <c r="AY3076" i="2"/>
  <c r="AZ3076" i="2"/>
  <c r="BB3076" i="2"/>
  <c r="BC3076" i="2"/>
  <c r="M3077" i="2"/>
  <c r="AW3077" i="2"/>
  <c r="AX3077" i="2"/>
  <c r="AY3077" i="2"/>
  <c r="AZ3077" i="2"/>
  <c r="BB3077" i="2"/>
  <c r="BC3077" i="2"/>
  <c r="M3078" i="2"/>
  <c r="AW3078" i="2"/>
  <c r="AX3078" i="2"/>
  <c r="AY3078" i="2"/>
  <c r="AZ3078" i="2"/>
  <c r="BB3078" i="2"/>
  <c r="BC3078" i="2"/>
  <c r="M3079" i="2"/>
  <c r="AW3079" i="2"/>
  <c r="AX3079" i="2"/>
  <c r="AY3079" i="2"/>
  <c r="AZ3079" i="2"/>
  <c r="BB3079" i="2"/>
  <c r="BC3079" i="2"/>
  <c r="M3080" i="2"/>
  <c r="AW3080" i="2"/>
  <c r="AX3080" i="2"/>
  <c r="AY3080" i="2"/>
  <c r="AZ3080" i="2"/>
  <c r="BB3080" i="2"/>
  <c r="BC3080" i="2"/>
  <c r="M3081" i="2"/>
  <c r="AW3081" i="2"/>
  <c r="AX3081" i="2"/>
  <c r="AY3081" i="2"/>
  <c r="AZ3081" i="2"/>
  <c r="BB3081" i="2"/>
  <c r="BC3081" i="2"/>
  <c r="M3082" i="2"/>
  <c r="AW3082" i="2"/>
  <c r="AX3082" i="2"/>
  <c r="AY3082" i="2"/>
  <c r="AZ3082" i="2"/>
  <c r="BB3082" i="2"/>
  <c r="BC3082" i="2"/>
  <c r="M3083" i="2"/>
  <c r="AW3083" i="2"/>
  <c r="AX3083" i="2"/>
  <c r="AY3083" i="2"/>
  <c r="AZ3083" i="2"/>
  <c r="BB3083" i="2"/>
  <c r="BC3083" i="2"/>
  <c r="M3084" i="2"/>
  <c r="AW3084" i="2"/>
  <c r="AX3084" i="2"/>
  <c r="AY3084" i="2"/>
  <c r="AZ3084" i="2"/>
  <c r="BB3084" i="2"/>
  <c r="BC3084" i="2"/>
  <c r="M3085" i="2"/>
  <c r="AW3085" i="2"/>
  <c r="AX3085" i="2"/>
  <c r="AY3085" i="2"/>
  <c r="AZ3085" i="2"/>
  <c r="BB3085" i="2"/>
  <c r="BC3085" i="2"/>
  <c r="M3086" i="2"/>
  <c r="AW3086" i="2"/>
  <c r="AX3086" i="2"/>
  <c r="AY3086" i="2"/>
  <c r="AZ3086" i="2"/>
  <c r="BB3086" i="2"/>
  <c r="BC3086" i="2"/>
  <c r="M3087" i="2"/>
  <c r="AW3087" i="2"/>
  <c r="AX3087" i="2"/>
  <c r="AY3087" i="2"/>
  <c r="AZ3087" i="2"/>
  <c r="BB3087" i="2"/>
  <c r="BC3087" i="2"/>
  <c r="M3088" i="2"/>
  <c r="AW3088" i="2"/>
  <c r="AX3088" i="2"/>
  <c r="AY3088" i="2"/>
  <c r="AZ3088" i="2"/>
  <c r="BB3088" i="2"/>
  <c r="BC3088" i="2"/>
  <c r="M3089" i="2"/>
  <c r="AW3089" i="2"/>
  <c r="AX3089" i="2"/>
  <c r="AY3089" i="2"/>
  <c r="AZ3089" i="2"/>
  <c r="BB3089" i="2"/>
  <c r="BC3089" i="2"/>
  <c r="M3090" i="2"/>
  <c r="AW3090" i="2"/>
  <c r="AX3090" i="2"/>
  <c r="AY3090" i="2"/>
  <c r="AZ3090" i="2"/>
  <c r="BB3090" i="2"/>
  <c r="BC3090" i="2"/>
  <c r="M3091" i="2"/>
  <c r="AW3091" i="2"/>
  <c r="AX3091" i="2"/>
  <c r="AY3091" i="2"/>
  <c r="AZ3091" i="2"/>
  <c r="BB3091" i="2"/>
  <c r="BC3091" i="2"/>
  <c r="M3092" i="2"/>
  <c r="AW3092" i="2"/>
  <c r="AX3092" i="2"/>
  <c r="AY3092" i="2"/>
  <c r="AZ3092" i="2"/>
  <c r="BB3092" i="2"/>
  <c r="BC3092" i="2"/>
  <c r="M3093" i="2"/>
  <c r="AW3093" i="2"/>
  <c r="AX3093" i="2"/>
  <c r="AY3093" i="2"/>
  <c r="AZ3093" i="2"/>
  <c r="BB3093" i="2"/>
  <c r="BC3093" i="2"/>
  <c r="M3094" i="2"/>
  <c r="AW3094" i="2"/>
  <c r="AX3094" i="2"/>
  <c r="AY3094" i="2"/>
  <c r="AZ3094" i="2"/>
  <c r="BB3094" i="2"/>
  <c r="BC3094" i="2"/>
  <c r="M3095" i="2"/>
  <c r="AW3095" i="2"/>
  <c r="AX3095" i="2"/>
  <c r="AY3095" i="2"/>
  <c r="AZ3095" i="2"/>
  <c r="BB3095" i="2"/>
  <c r="BC3095" i="2"/>
  <c r="M3096" i="2"/>
  <c r="AW3096" i="2"/>
  <c r="AX3096" i="2"/>
  <c r="AY3096" i="2"/>
  <c r="AZ3096" i="2"/>
  <c r="BB3096" i="2"/>
  <c r="BC3096" i="2"/>
  <c r="M3097" i="2"/>
  <c r="AW3097" i="2"/>
  <c r="AX3097" i="2"/>
  <c r="AY3097" i="2"/>
  <c r="AZ3097" i="2"/>
  <c r="BB3097" i="2"/>
  <c r="BC3097" i="2"/>
  <c r="M3098" i="2"/>
  <c r="AW3098" i="2"/>
  <c r="AX3098" i="2"/>
  <c r="AY3098" i="2"/>
  <c r="AZ3098" i="2"/>
  <c r="BB3098" i="2"/>
  <c r="BC3098" i="2"/>
  <c r="M3099" i="2"/>
  <c r="AW3099" i="2"/>
  <c r="AX3099" i="2"/>
  <c r="AY3099" i="2"/>
  <c r="AZ3099" i="2"/>
  <c r="BB3099" i="2"/>
  <c r="BC3099" i="2"/>
  <c r="M3100" i="2"/>
  <c r="AW3100" i="2"/>
  <c r="AX3100" i="2"/>
  <c r="AY3100" i="2"/>
  <c r="AZ3100" i="2"/>
  <c r="BB3100" i="2"/>
  <c r="BC3100" i="2"/>
  <c r="M3101" i="2"/>
  <c r="AW3101" i="2"/>
  <c r="AX3101" i="2"/>
  <c r="AY3101" i="2"/>
  <c r="AZ3101" i="2"/>
  <c r="BB3101" i="2"/>
  <c r="BC3101" i="2"/>
  <c r="M3102" i="2"/>
  <c r="AX3102" i="2"/>
  <c r="AZ3102" i="2"/>
  <c r="BB3102" i="2"/>
  <c r="BC3102" i="2"/>
  <c r="CA3102" i="2"/>
  <c r="M3104" i="2"/>
  <c r="AW3104" i="2"/>
  <c r="AX3104" i="2"/>
  <c r="AY3104" i="2"/>
  <c r="AZ3104" i="2"/>
  <c r="BB3104" i="2"/>
  <c r="BC3104" i="2"/>
  <c r="BD3104" i="2"/>
  <c r="M3105" i="2"/>
  <c r="AW3105" i="2"/>
  <c r="AX3105" i="2"/>
  <c r="AY3105" i="2"/>
  <c r="AZ3105" i="2"/>
  <c r="BB3105" i="2"/>
  <c r="BC3105" i="2"/>
  <c r="BD3105" i="2"/>
  <c r="M3106" i="2"/>
  <c r="AW3106" i="2"/>
  <c r="AX3106" i="2"/>
  <c r="AY3106" i="2"/>
  <c r="AZ3106" i="2"/>
  <c r="BB3106" i="2"/>
  <c r="BC3106" i="2"/>
  <c r="BD3106" i="2"/>
  <c r="M3107" i="2"/>
  <c r="AW3107" i="2"/>
  <c r="AX3107" i="2"/>
  <c r="AY3107" i="2"/>
  <c r="AZ3107" i="2"/>
  <c r="BB3107" i="2"/>
  <c r="BC3107" i="2"/>
  <c r="BD3107" i="2"/>
  <c r="M3108" i="2"/>
  <c r="AW3108" i="2"/>
  <c r="AX3108" i="2"/>
  <c r="AY3108" i="2"/>
  <c r="AZ3108" i="2"/>
  <c r="BB3108" i="2"/>
  <c r="BC3108" i="2"/>
  <c r="BD3108" i="2"/>
  <c r="M3109" i="2"/>
  <c r="AW3109" i="2"/>
  <c r="AX3109" i="2"/>
  <c r="AY3109" i="2"/>
  <c r="AZ3109" i="2"/>
  <c r="BB3109" i="2"/>
  <c r="BC3109" i="2"/>
  <c r="BD3109" i="2"/>
  <c r="M3110" i="2"/>
  <c r="AW3110" i="2"/>
  <c r="AX3110" i="2"/>
  <c r="AY3110" i="2"/>
  <c r="AZ3110" i="2"/>
  <c r="BB3110" i="2"/>
  <c r="BC3110" i="2"/>
  <c r="BD3110" i="2"/>
  <c r="M3111" i="2"/>
  <c r="AW3111" i="2"/>
  <c r="AX3111" i="2"/>
  <c r="AY3111" i="2"/>
  <c r="AZ3111" i="2"/>
  <c r="BB3111" i="2"/>
  <c r="BC3111" i="2"/>
  <c r="BD3111" i="2"/>
  <c r="M3112" i="2"/>
  <c r="AW3112" i="2"/>
  <c r="AX3112" i="2"/>
  <c r="AY3112" i="2"/>
  <c r="AZ3112" i="2"/>
  <c r="BB3112" i="2"/>
  <c r="BC3112" i="2"/>
  <c r="BD3112" i="2"/>
  <c r="M3113" i="2"/>
  <c r="AW3113" i="2"/>
  <c r="AX3113" i="2"/>
  <c r="AY3113" i="2"/>
  <c r="AZ3113" i="2"/>
  <c r="BB3113" i="2"/>
  <c r="BC3113" i="2"/>
  <c r="BD3113" i="2"/>
  <c r="M3114" i="2"/>
  <c r="AW3114" i="2"/>
  <c r="AX3114" i="2"/>
  <c r="AY3114" i="2"/>
  <c r="AZ3114" i="2"/>
  <c r="BB3114" i="2"/>
  <c r="BC3114" i="2"/>
  <c r="BD3114" i="2"/>
  <c r="M3115" i="2"/>
  <c r="AW3115" i="2"/>
  <c r="AX3115" i="2"/>
  <c r="AY3115" i="2"/>
  <c r="AZ3115" i="2"/>
  <c r="BB3115" i="2"/>
  <c r="BC3115" i="2"/>
  <c r="BD3115" i="2"/>
  <c r="M3116" i="2"/>
  <c r="AW3116" i="2"/>
  <c r="AX3116" i="2"/>
  <c r="AY3116" i="2"/>
  <c r="AZ3116" i="2"/>
  <c r="BB3116" i="2"/>
  <c r="BC3116" i="2"/>
  <c r="BD3116" i="2"/>
  <c r="M3117" i="2"/>
  <c r="AW3117" i="2"/>
  <c r="AX3117" i="2"/>
  <c r="AY3117" i="2"/>
  <c r="AZ3117" i="2"/>
  <c r="BB3117" i="2"/>
  <c r="BC3117" i="2"/>
  <c r="BD3117" i="2"/>
  <c r="M3118" i="2"/>
  <c r="AW3118" i="2"/>
  <c r="AX3118" i="2"/>
  <c r="AY3118" i="2"/>
  <c r="AZ3118" i="2"/>
  <c r="BB3118" i="2"/>
  <c r="BC3118" i="2"/>
  <c r="BD3118" i="2"/>
  <c r="M3119" i="2"/>
  <c r="AW3119" i="2"/>
  <c r="AX3119" i="2"/>
  <c r="AY3119" i="2"/>
  <c r="AZ3119" i="2"/>
  <c r="BB3119" i="2"/>
  <c r="BC3119" i="2"/>
  <c r="BD3119" i="2"/>
  <c r="M3120" i="2"/>
  <c r="AW3120" i="2"/>
  <c r="AX3120" i="2"/>
  <c r="AY3120" i="2"/>
  <c r="AZ3120" i="2"/>
  <c r="BB3120" i="2"/>
  <c r="BC3120" i="2"/>
  <c r="BD3120" i="2"/>
  <c r="M3121" i="2"/>
  <c r="AW3121" i="2"/>
  <c r="AX3121" i="2"/>
  <c r="AY3121" i="2"/>
  <c r="AZ3121" i="2"/>
  <c r="BB3121" i="2"/>
  <c r="BC3121" i="2"/>
  <c r="BD3121" i="2"/>
  <c r="M3122" i="2"/>
  <c r="AW3122" i="2"/>
  <c r="AX3122" i="2"/>
  <c r="AY3122" i="2"/>
  <c r="AZ3122" i="2"/>
  <c r="BB3122" i="2"/>
  <c r="BC3122" i="2"/>
  <c r="BD3122" i="2"/>
  <c r="M3123" i="2"/>
  <c r="AW3123" i="2"/>
  <c r="AX3123" i="2"/>
  <c r="AY3123" i="2"/>
  <c r="AZ3123" i="2"/>
  <c r="BB3123" i="2"/>
  <c r="BC3123" i="2"/>
  <c r="BD3123" i="2"/>
  <c r="M3124" i="2"/>
  <c r="AW3124" i="2"/>
  <c r="AX3124" i="2"/>
  <c r="AY3124" i="2"/>
  <c r="AZ3124" i="2"/>
  <c r="BB3124" i="2"/>
  <c r="BC3124" i="2"/>
  <c r="BD3124" i="2"/>
  <c r="M3125" i="2"/>
  <c r="AW3125" i="2"/>
  <c r="AX3125" i="2"/>
  <c r="AY3125" i="2"/>
  <c r="AZ3125" i="2"/>
  <c r="BB3125" i="2"/>
  <c r="BC3125" i="2"/>
  <c r="BD3125" i="2"/>
  <c r="M3126" i="2"/>
  <c r="AW3126" i="2"/>
  <c r="AX3126" i="2"/>
  <c r="AY3126" i="2"/>
  <c r="AZ3126" i="2"/>
  <c r="BB3126" i="2"/>
  <c r="BC3126" i="2"/>
  <c r="BD3126" i="2"/>
  <c r="M3127" i="2"/>
  <c r="AW3127" i="2"/>
  <c r="AX3127" i="2"/>
  <c r="AY3127" i="2"/>
  <c r="AZ3127" i="2"/>
  <c r="BB3127" i="2"/>
  <c r="BC3127" i="2"/>
  <c r="BD3127" i="2"/>
  <c r="M3128" i="2"/>
  <c r="AW3128" i="2"/>
  <c r="AX3128" i="2"/>
  <c r="AY3128" i="2"/>
  <c r="AZ3128" i="2"/>
  <c r="BB3128" i="2"/>
  <c r="BC3128" i="2"/>
  <c r="BD3128" i="2"/>
  <c r="M3129" i="2"/>
  <c r="AW3129" i="2"/>
  <c r="AX3129" i="2"/>
  <c r="AY3129" i="2"/>
  <c r="AZ3129" i="2"/>
  <c r="BB3129" i="2"/>
  <c r="BC3129" i="2"/>
  <c r="BD3129" i="2"/>
  <c r="M3130" i="2"/>
  <c r="AW3130" i="2"/>
  <c r="AX3130" i="2"/>
  <c r="AY3130" i="2"/>
  <c r="AZ3130" i="2"/>
  <c r="BB3130" i="2"/>
  <c r="BC3130" i="2"/>
  <c r="BD3130" i="2"/>
  <c r="M3131" i="2"/>
  <c r="AW3131" i="2"/>
  <c r="AX3131" i="2"/>
  <c r="AY3131" i="2"/>
  <c r="AZ3131" i="2"/>
  <c r="BB3131" i="2"/>
  <c r="BC3131" i="2"/>
  <c r="BD3131" i="2"/>
  <c r="M3132" i="2"/>
  <c r="AW3132" i="2"/>
  <c r="AX3132" i="2"/>
  <c r="AY3132" i="2"/>
  <c r="AZ3132" i="2"/>
  <c r="BB3132" i="2"/>
  <c r="BC3132" i="2"/>
  <c r="BD3132" i="2"/>
  <c r="M3133" i="2"/>
  <c r="AW3133" i="2"/>
  <c r="AX3133" i="2"/>
  <c r="AY3133" i="2"/>
  <c r="AZ3133" i="2"/>
  <c r="BB3133" i="2"/>
  <c r="BC3133" i="2"/>
  <c r="BD3133" i="2"/>
  <c r="M3134" i="2"/>
  <c r="AW3134" i="2"/>
  <c r="AX3134" i="2"/>
  <c r="AY3134" i="2"/>
  <c r="AZ3134" i="2"/>
  <c r="BB3134" i="2"/>
  <c r="BC3134" i="2"/>
  <c r="BD3134" i="2"/>
  <c r="M3135" i="2"/>
  <c r="AW3135" i="2"/>
  <c r="AX3135" i="2"/>
  <c r="AY3135" i="2"/>
  <c r="AZ3135" i="2"/>
  <c r="BB3135" i="2"/>
  <c r="BC3135" i="2"/>
  <c r="BD3135" i="2"/>
  <c r="M3136" i="2"/>
  <c r="AW3136" i="2"/>
  <c r="AX3136" i="2"/>
  <c r="AY3136" i="2"/>
  <c r="AZ3136" i="2"/>
  <c r="BB3136" i="2"/>
  <c r="BC3136" i="2"/>
  <c r="BD3136" i="2"/>
  <c r="M3137" i="2"/>
  <c r="AW3137" i="2"/>
  <c r="AX3137" i="2"/>
  <c r="AY3137" i="2"/>
  <c r="AZ3137" i="2"/>
  <c r="BB3137" i="2"/>
  <c r="BC3137" i="2"/>
  <c r="BD3137" i="2"/>
  <c r="M3138" i="2"/>
  <c r="AW3138" i="2"/>
  <c r="AX3138" i="2"/>
  <c r="AY3138" i="2"/>
  <c r="AZ3138" i="2"/>
  <c r="BB3138" i="2"/>
  <c r="BC3138" i="2"/>
  <c r="BD3138" i="2"/>
  <c r="M3139" i="2"/>
  <c r="AW3139" i="2"/>
  <c r="AX3139" i="2"/>
  <c r="AY3139" i="2"/>
  <c r="AZ3139" i="2"/>
  <c r="BB3139" i="2"/>
  <c r="BC3139" i="2"/>
  <c r="BD3139" i="2"/>
  <c r="M3140" i="2"/>
  <c r="AW3140" i="2"/>
  <c r="AX3140" i="2"/>
  <c r="AY3140" i="2"/>
  <c r="AZ3140" i="2"/>
  <c r="BB3140" i="2"/>
  <c r="BC3140" i="2"/>
  <c r="BD3140" i="2"/>
  <c r="M3141" i="2"/>
  <c r="AW3141" i="2"/>
  <c r="AX3141" i="2"/>
  <c r="AY3141" i="2"/>
  <c r="AZ3141" i="2"/>
  <c r="BB3141" i="2"/>
  <c r="BC3141" i="2"/>
  <c r="BD3141" i="2"/>
  <c r="M3142" i="2"/>
  <c r="AW3142" i="2"/>
  <c r="AX3142" i="2"/>
  <c r="AY3142" i="2"/>
  <c r="AZ3142" i="2"/>
  <c r="BB3142" i="2"/>
  <c r="BC3142" i="2"/>
  <c r="BD3142" i="2"/>
  <c r="M3143" i="2"/>
  <c r="AW3143" i="2"/>
  <c r="AX3143" i="2"/>
  <c r="AY3143" i="2"/>
  <c r="AZ3143" i="2"/>
  <c r="BB3143" i="2"/>
  <c r="BC3143" i="2"/>
  <c r="BD3143" i="2"/>
  <c r="M3144" i="2"/>
  <c r="AW3144" i="2"/>
  <c r="AX3144" i="2"/>
  <c r="AY3144" i="2"/>
  <c r="AZ3144" i="2"/>
  <c r="BB3144" i="2"/>
  <c r="BC3144" i="2"/>
  <c r="BD3144" i="2"/>
  <c r="M3145" i="2"/>
  <c r="AW3145" i="2"/>
  <c r="AX3145" i="2"/>
  <c r="AY3145" i="2"/>
  <c r="AZ3145" i="2"/>
  <c r="BB3145" i="2"/>
  <c r="BC3145" i="2"/>
  <c r="BD3145" i="2"/>
  <c r="M3146" i="2"/>
  <c r="AW3146" i="2"/>
  <c r="AX3146" i="2"/>
  <c r="AY3146" i="2"/>
  <c r="AZ3146" i="2"/>
  <c r="BB3146" i="2"/>
  <c r="BC3146" i="2"/>
  <c r="BD3146" i="2"/>
  <c r="M3147" i="2"/>
  <c r="AW3147" i="2"/>
  <c r="AX3147" i="2"/>
  <c r="AY3147" i="2"/>
  <c r="AZ3147" i="2"/>
  <c r="BB3147" i="2"/>
  <c r="BC3147" i="2"/>
  <c r="BD3147" i="2"/>
  <c r="M3148" i="2"/>
  <c r="AW3148" i="2"/>
  <c r="AX3148" i="2"/>
  <c r="AY3148" i="2"/>
  <c r="AZ3148" i="2"/>
  <c r="BB3148" i="2"/>
  <c r="BC3148" i="2"/>
  <c r="BD3148" i="2"/>
  <c r="M3149" i="2"/>
  <c r="AW3149" i="2"/>
  <c r="AX3149" i="2"/>
  <c r="AY3149" i="2"/>
  <c r="AZ3149" i="2"/>
  <c r="BB3149" i="2"/>
  <c r="BC3149" i="2"/>
  <c r="BD3149" i="2"/>
  <c r="M3150" i="2"/>
  <c r="AW3150" i="2"/>
  <c r="AX3150" i="2"/>
  <c r="AY3150" i="2"/>
  <c r="AZ3150" i="2"/>
  <c r="BB3150" i="2"/>
  <c r="BC3150" i="2"/>
  <c r="BD3150" i="2"/>
  <c r="M3151" i="2"/>
  <c r="AW3151" i="2"/>
  <c r="AX3151" i="2"/>
  <c r="AY3151" i="2"/>
  <c r="AZ3151" i="2"/>
  <c r="BB3151" i="2"/>
  <c r="BC3151" i="2"/>
  <c r="BD3151" i="2"/>
  <c r="M3152" i="2"/>
  <c r="AW3152" i="2"/>
  <c r="AX3152" i="2"/>
  <c r="AY3152" i="2"/>
  <c r="AZ3152" i="2"/>
  <c r="BB3152" i="2"/>
  <c r="BC3152" i="2"/>
  <c r="BD3152" i="2"/>
  <c r="M3153" i="2"/>
  <c r="AW3153" i="2"/>
  <c r="AX3153" i="2"/>
  <c r="AY3153" i="2"/>
  <c r="AZ3153" i="2"/>
  <c r="BB3153" i="2"/>
  <c r="BC3153" i="2"/>
  <c r="BD3153" i="2"/>
  <c r="M3154" i="2"/>
  <c r="AW3154" i="2"/>
  <c r="AX3154" i="2"/>
  <c r="AY3154" i="2"/>
  <c r="AZ3154" i="2"/>
  <c r="BB3154" i="2"/>
  <c r="BC3154" i="2"/>
  <c r="BD3154" i="2"/>
  <c r="M3155" i="2"/>
  <c r="AW3155" i="2"/>
  <c r="AX3155" i="2"/>
  <c r="AY3155" i="2"/>
  <c r="AZ3155" i="2"/>
  <c r="BB3155" i="2"/>
  <c r="BC3155" i="2"/>
  <c r="BD3155" i="2"/>
  <c r="M3156" i="2"/>
  <c r="AW3156" i="2"/>
  <c r="AX3156" i="2"/>
  <c r="AY3156" i="2"/>
  <c r="AZ3156" i="2"/>
  <c r="BB3156" i="2"/>
  <c r="BC3156" i="2"/>
  <c r="BD3156" i="2"/>
  <c r="M3157" i="2"/>
  <c r="AW3157" i="2"/>
  <c r="AX3157" i="2"/>
  <c r="AY3157" i="2"/>
  <c r="AZ3157" i="2"/>
  <c r="BB3157" i="2"/>
  <c r="BC3157" i="2"/>
  <c r="BD3157" i="2"/>
  <c r="M3158" i="2"/>
  <c r="AW3158" i="2"/>
  <c r="AX3158" i="2"/>
  <c r="AY3158" i="2"/>
  <c r="AZ3158" i="2"/>
  <c r="BB3158" i="2"/>
  <c r="BC3158" i="2"/>
  <c r="BD3158" i="2"/>
  <c r="M3159" i="2"/>
  <c r="AX3159" i="2"/>
  <c r="AZ3159" i="2"/>
  <c r="BB3159" i="2"/>
  <c r="BC3159" i="2"/>
  <c r="BD3159" i="2"/>
  <c r="M3161" i="2"/>
  <c r="AW3161" i="2"/>
  <c r="AX3161" i="2"/>
  <c r="AY3161" i="2"/>
  <c r="AZ3161" i="2"/>
  <c r="BB3161" i="2"/>
  <c r="BC3161" i="2"/>
  <c r="BD3161" i="2"/>
  <c r="M3162" i="2"/>
  <c r="AW3162" i="2"/>
  <c r="AX3162" i="2"/>
  <c r="AY3162" i="2"/>
  <c r="AZ3162" i="2"/>
  <c r="BB3162" i="2"/>
  <c r="BC3162" i="2"/>
  <c r="BD3162" i="2"/>
  <c r="M3163" i="2"/>
  <c r="AW3163" i="2"/>
  <c r="AX3163" i="2"/>
  <c r="AY3163" i="2"/>
  <c r="AZ3163" i="2"/>
  <c r="BB3163" i="2"/>
  <c r="BC3163" i="2"/>
  <c r="BD3163" i="2"/>
  <c r="M3164" i="2"/>
  <c r="AW3164" i="2"/>
  <c r="AX3164" i="2"/>
  <c r="AY3164" i="2"/>
  <c r="AZ3164" i="2"/>
  <c r="BB3164" i="2"/>
  <c r="BC3164" i="2"/>
  <c r="BD3164" i="2"/>
  <c r="M3165" i="2"/>
  <c r="AW3165" i="2"/>
  <c r="AX3165" i="2"/>
  <c r="AY3165" i="2"/>
  <c r="AZ3165" i="2"/>
  <c r="BB3165" i="2"/>
  <c r="BC3165" i="2"/>
  <c r="BD3165" i="2"/>
  <c r="M3166" i="2"/>
  <c r="AW3166" i="2"/>
  <c r="AX3166" i="2"/>
  <c r="AY3166" i="2"/>
  <c r="AZ3166" i="2"/>
  <c r="BB3166" i="2"/>
  <c r="BC3166" i="2"/>
  <c r="BD3166" i="2"/>
  <c r="M3167" i="2"/>
  <c r="AW3167" i="2"/>
  <c r="AX3167" i="2"/>
  <c r="AY3167" i="2"/>
  <c r="AZ3167" i="2"/>
  <c r="BB3167" i="2"/>
  <c r="BC3167" i="2"/>
  <c r="BD3167" i="2"/>
  <c r="M3168" i="2"/>
  <c r="AW3168" i="2"/>
  <c r="AX3168" i="2"/>
  <c r="AY3168" i="2"/>
  <c r="AZ3168" i="2"/>
  <c r="BB3168" i="2"/>
  <c r="BC3168" i="2"/>
  <c r="BD3168" i="2"/>
  <c r="M3169" i="2"/>
  <c r="AW3169" i="2"/>
  <c r="AX3169" i="2"/>
  <c r="AY3169" i="2"/>
  <c r="AZ3169" i="2"/>
  <c r="BB3169" i="2"/>
  <c r="BC3169" i="2"/>
  <c r="BD3169" i="2"/>
  <c r="M3170" i="2"/>
  <c r="AW3170" i="2"/>
  <c r="AX3170" i="2"/>
  <c r="AY3170" i="2"/>
  <c r="AZ3170" i="2"/>
  <c r="BB3170" i="2"/>
  <c r="BC3170" i="2"/>
  <c r="BD3170" i="2"/>
  <c r="M3171" i="2"/>
  <c r="AW3171" i="2"/>
  <c r="AX3171" i="2"/>
  <c r="AY3171" i="2"/>
  <c r="AZ3171" i="2"/>
  <c r="BB3171" i="2"/>
  <c r="BC3171" i="2"/>
  <c r="BD3171" i="2"/>
  <c r="M3172" i="2"/>
  <c r="AW3172" i="2"/>
  <c r="AX3172" i="2"/>
  <c r="AY3172" i="2"/>
  <c r="AZ3172" i="2"/>
  <c r="BB3172" i="2"/>
  <c r="BC3172" i="2"/>
  <c r="BD3172" i="2"/>
  <c r="M3173" i="2"/>
  <c r="AW3173" i="2"/>
  <c r="AX3173" i="2"/>
  <c r="AY3173" i="2"/>
  <c r="AZ3173" i="2"/>
  <c r="BB3173" i="2"/>
  <c r="BC3173" i="2"/>
  <c r="BD3173" i="2"/>
  <c r="M3174" i="2"/>
  <c r="AW3174" i="2"/>
  <c r="AX3174" i="2"/>
  <c r="AY3174" i="2"/>
  <c r="AZ3174" i="2"/>
  <c r="BB3174" i="2"/>
  <c r="BC3174" i="2"/>
  <c r="BD3174" i="2"/>
  <c r="M3175" i="2"/>
  <c r="AW3175" i="2"/>
  <c r="AX3175" i="2"/>
  <c r="AY3175" i="2"/>
  <c r="AZ3175" i="2"/>
  <c r="BB3175" i="2"/>
  <c r="BC3175" i="2"/>
  <c r="BD3175" i="2"/>
  <c r="M3176" i="2"/>
  <c r="AW3176" i="2"/>
  <c r="AX3176" i="2"/>
  <c r="AY3176" i="2"/>
  <c r="AZ3176" i="2"/>
  <c r="BB3176" i="2"/>
  <c r="BC3176" i="2"/>
  <c r="BD3176" i="2"/>
  <c r="M3177" i="2"/>
  <c r="AW3177" i="2"/>
  <c r="AX3177" i="2"/>
  <c r="AY3177" i="2"/>
  <c r="AZ3177" i="2"/>
  <c r="BB3177" i="2"/>
  <c r="BC3177" i="2"/>
  <c r="BD3177" i="2"/>
  <c r="M3178" i="2"/>
  <c r="AW3178" i="2"/>
  <c r="AX3178" i="2"/>
  <c r="AY3178" i="2"/>
  <c r="AZ3178" i="2"/>
  <c r="BB3178" i="2"/>
  <c r="BC3178" i="2"/>
  <c r="BD3178" i="2"/>
  <c r="M3179" i="2"/>
  <c r="AW3179" i="2"/>
  <c r="AX3179" i="2"/>
  <c r="AY3179" i="2"/>
  <c r="AZ3179" i="2"/>
  <c r="BB3179" i="2"/>
  <c r="BC3179" i="2"/>
  <c r="BD3179" i="2"/>
  <c r="M3180" i="2"/>
  <c r="AW3180" i="2"/>
  <c r="AX3180" i="2"/>
  <c r="AY3180" i="2"/>
  <c r="AZ3180" i="2"/>
  <c r="BB3180" i="2"/>
  <c r="BC3180" i="2"/>
  <c r="BD3180" i="2"/>
  <c r="M3181" i="2"/>
  <c r="AW3181" i="2"/>
  <c r="AX3181" i="2"/>
  <c r="AY3181" i="2"/>
  <c r="AZ3181" i="2"/>
  <c r="BB3181" i="2"/>
  <c r="BC3181" i="2"/>
  <c r="BD3181" i="2"/>
  <c r="M3182" i="2"/>
  <c r="AW3182" i="2"/>
  <c r="AX3182" i="2"/>
  <c r="AY3182" i="2"/>
  <c r="AZ3182" i="2"/>
  <c r="BB3182" i="2"/>
  <c r="BC3182" i="2"/>
  <c r="BD3182" i="2"/>
  <c r="M3183" i="2"/>
  <c r="AW3183" i="2"/>
  <c r="AX3183" i="2"/>
  <c r="AY3183" i="2"/>
  <c r="AZ3183" i="2"/>
  <c r="BB3183" i="2"/>
  <c r="BC3183" i="2"/>
  <c r="BD3183" i="2"/>
  <c r="M3184" i="2"/>
  <c r="AW3184" i="2"/>
  <c r="AX3184" i="2"/>
  <c r="AY3184" i="2"/>
  <c r="AZ3184" i="2"/>
  <c r="BB3184" i="2"/>
  <c r="BC3184" i="2"/>
  <c r="BD3184" i="2"/>
  <c r="M3185" i="2"/>
  <c r="AW3185" i="2"/>
  <c r="AX3185" i="2"/>
  <c r="AY3185" i="2"/>
  <c r="AZ3185" i="2"/>
  <c r="BB3185" i="2"/>
  <c r="BC3185" i="2"/>
  <c r="BD3185" i="2"/>
  <c r="M3186" i="2"/>
  <c r="AW3186" i="2"/>
  <c r="AX3186" i="2"/>
  <c r="AY3186" i="2"/>
  <c r="AZ3186" i="2"/>
  <c r="BB3186" i="2"/>
  <c r="BC3186" i="2"/>
  <c r="BD3186" i="2"/>
  <c r="M3187" i="2"/>
  <c r="AW3187" i="2"/>
  <c r="AX3187" i="2"/>
  <c r="AY3187" i="2"/>
  <c r="AZ3187" i="2"/>
  <c r="BB3187" i="2"/>
  <c r="BC3187" i="2"/>
  <c r="BD3187" i="2"/>
  <c r="M3188" i="2"/>
  <c r="AW3188" i="2"/>
  <c r="AX3188" i="2"/>
  <c r="AY3188" i="2"/>
  <c r="AZ3188" i="2"/>
  <c r="BB3188" i="2"/>
  <c r="BC3188" i="2"/>
  <c r="BD3188" i="2"/>
  <c r="M3189" i="2"/>
  <c r="AW3189" i="2"/>
  <c r="AX3189" i="2"/>
  <c r="AY3189" i="2"/>
  <c r="AZ3189" i="2"/>
  <c r="BB3189" i="2"/>
  <c r="BC3189" i="2"/>
  <c r="BD3189" i="2"/>
  <c r="M3190" i="2"/>
  <c r="AW3190" i="2"/>
  <c r="AX3190" i="2"/>
  <c r="AY3190" i="2"/>
  <c r="AZ3190" i="2"/>
  <c r="BB3190" i="2"/>
  <c r="BC3190" i="2"/>
  <c r="BD3190" i="2"/>
  <c r="M3191" i="2"/>
  <c r="AW3191" i="2"/>
  <c r="AX3191" i="2"/>
  <c r="AY3191" i="2"/>
  <c r="AZ3191" i="2"/>
  <c r="BB3191" i="2"/>
  <c r="BC3191" i="2"/>
  <c r="BD3191" i="2"/>
  <c r="M3192" i="2"/>
  <c r="AW3192" i="2"/>
  <c r="AX3192" i="2"/>
  <c r="AY3192" i="2"/>
  <c r="AZ3192" i="2"/>
  <c r="BB3192" i="2"/>
  <c r="BC3192" i="2"/>
  <c r="BD3192" i="2"/>
  <c r="M3193" i="2"/>
  <c r="AW3193" i="2"/>
  <c r="AX3193" i="2"/>
  <c r="AY3193" i="2"/>
  <c r="AZ3193" i="2"/>
  <c r="BB3193" i="2"/>
  <c r="BC3193" i="2"/>
  <c r="BD3193" i="2"/>
  <c r="M3194" i="2"/>
  <c r="AW3194" i="2"/>
  <c r="AX3194" i="2"/>
  <c r="AY3194" i="2"/>
  <c r="AZ3194" i="2"/>
  <c r="BB3194" i="2"/>
  <c r="BC3194" i="2"/>
  <c r="BD3194" i="2"/>
  <c r="M3195" i="2"/>
  <c r="AW3195" i="2"/>
  <c r="AX3195" i="2"/>
  <c r="AY3195" i="2"/>
  <c r="AZ3195" i="2"/>
  <c r="BB3195" i="2"/>
  <c r="BC3195" i="2"/>
  <c r="BD3195" i="2"/>
  <c r="M3196" i="2"/>
  <c r="AW3196" i="2"/>
  <c r="AX3196" i="2"/>
  <c r="AY3196" i="2"/>
  <c r="AZ3196" i="2"/>
  <c r="BB3196" i="2"/>
  <c r="BC3196" i="2"/>
  <c r="BD3196" i="2"/>
  <c r="M3197" i="2"/>
  <c r="AW3197" i="2"/>
  <c r="AX3197" i="2"/>
  <c r="AY3197" i="2"/>
  <c r="AZ3197" i="2"/>
  <c r="BB3197" i="2"/>
  <c r="BC3197" i="2"/>
  <c r="BD3197" i="2"/>
  <c r="M3198" i="2"/>
  <c r="AW3198" i="2"/>
  <c r="AX3198" i="2"/>
  <c r="AY3198" i="2"/>
  <c r="AZ3198" i="2"/>
  <c r="BB3198" i="2"/>
  <c r="BC3198" i="2"/>
  <c r="BD3198" i="2"/>
  <c r="M3199" i="2"/>
  <c r="AW3199" i="2"/>
  <c r="AX3199" i="2"/>
  <c r="AY3199" i="2"/>
  <c r="AZ3199" i="2"/>
  <c r="BB3199" i="2"/>
  <c r="BC3199" i="2"/>
  <c r="BD3199" i="2"/>
  <c r="M3200" i="2"/>
  <c r="AW3200" i="2"/>
  <c r="AX3200" i="2"/>
  <c r="AY3200" i="2"/>
  <c r="AZ3200" i="2"/>
  <c r="BB3200" i="2"/>
  <c r="BC3200" i="2"/>
  <c r="BD3200" i="2"/>
  <c r="M3201" i="2"/>
  <c r="AW3201" i="2"/>
  <c r="AX3201" i="2"/>
  <c r="AY3201" i="2"/>
  <c r="AZ3201" i="2"/>
  <c r="BB3201" i="2"/>
  <c r="BC3201" i="2"/>
  <c r="BD3201" i="2"/>
  <c r="M3202" i="2"/>
  <c r="AW3202" i="2"/>
  <c r="AX3202" i="2"/>
  <c r="AY3202" i="2"/>
  <c r="AZ3202" i="2"/>
  <c r="BB3202" i="2"/>
  <c r="BC3202" i="2"/>
  <c r="BD3202" i="2"/>
  <c r="M3203" i="2"/>
  <c r="AW3203" i="2"/>
  <c r="AX3203" i="2"/>
  <c r="AY3203" i="2"/>
  <c r="AZ3203" i="2"/>
  <c r="BB3203" i="2"/>
  <c r="BC3203" i="2"/>
  <c r="BD3203" i="2"/>
  <c r="M3204" i="2"/>
  <c r="AW3204" i="2"/>
  <c r="AX3204" i="2"/>
  <c r="AY3204" i="2"/>
  <c r="AZ3204" i="2"/>
  <c r="BB3204" i="2"/>
  <c r="BC3204" i="2"/>
  <c r="BD3204" i="2"/>
  <c r="M3205" i="2"/>
  <c r="AW3205" i="2"/>
  <c r="AX3205" i="2"/>
  <c r="AY3205" i="2"/>
  <c r="AZ3205" i="2"/>
  <c r="BB3205" i="2"/>
  <c r="BC3205" i="2"/>
  <c r="BD3205" i="2"/>
  <c r="M3206" i="2"/>
  <c r="AW3206" i="2"/>
  <c r="AX3206" i="2"/>
  <c r="AY3206" i="2"/>
  <c r="AZ3206" i="2"/>
  <c r="BB3206" i="2"/>
  <c r="BC3206" i="2"/>
  <c r="BD3206" i="2"/>
  <c r="M3207" i="2"/>
  <c r="AW3207" i="2"/>
  <c r="AX3207" i="2"/>
  <c r="AY3207" i="2"/>
  <c r="AZ3207" i="2"/>
  <c r="BB3207" i="2"/>
  <c r="BC3207" i="2"/>
  <c r="BD3207" i="2"/>
  <c r="M3208" i="2"/>
  <c r="AW3208" i="2"/>
  <c r="AX3208" i="2"/>
  <c r="AY3208" i="2"/>
  <c r="AZ3208" i="2"/>
  <c r="BB3208" i="2"/>
  <c r="BC3208" i="2"/>
  <c r="BD3208" i="2"/>
  <c r="M3209" i="2"/>
  <c r="AW3209" i="2"/>
  <c r="AX3209" i="2"/>
  <c r="AY3209" i="2"/>
  <c r="AZ3209" i="2"/>
  <c r="BB3209" i="2"/>
  <c r="BC3209" i="2"/>
  <c r="BD3209" i="2"/>
  <c r="M3210" i="2"/>
  <c r="AW3210" i="2"/>
  <c r="AX3210" i="2"/>
  <c r="AY3210" i="2"/>
  <c r="AZ3210" i="2"/>
  <c r="BB3210" i="2"/>
  <c r="BC3210" i="2"/>
  <c r="BD3210" i="2"/>
  <c r="M3211" i="2"/>
  <c r="AW3211" i="2"/>
  <c r="AX3211" i="2"/>
  <c r="AY3211" i="2"/>
  <c r="AZ3211" i="2"/>
  <c r="BB3211" i="2"/>
  <c r="BC3211" i="2"/>
  <c r="BD3211" i="2"/>
  <c r="M3212" i="2"/>
  <c r="AW3212" i="2"/>
  <c r="AX3212" i="2"/>
  <c r="AY3212" i="2"/>
  <c r="AZ3212" i="2"/>
  <c r="BB3212" i="2"/>
  <c r="BC3212" i="2"/>
  <c r="BD3212" i="2"/>
  <c r="M3213" i="2"/>
  <c r="AW3213" i="2"/>
  <c r="AX3213" i="2"/>
  <c r="AY3213" i="2"/>
  <c r="AZ3213" i="2"/>
  <c r="BB3213" i="2"/>
  <c r="BC3213" i="2"/>
  <c r="BD3213" i="2"/>
  <c r="M3214" i="2"/>
  <c r="AW3214" i="2"/>
  <c r="AX3214" i="2"/>
  <c r="AY3214" i="2"/>
  <c r="AZ3214" i="2"/>
  <c r="BB3214" i="2"/>
  <c r="BC3214" i="2"/>
  <c r="BD3214" i="2"/>
  <c r="M3215" i="2"/>
  <c r="AW3215" i="2"/>
  <c r="AX3215" i="2"/>
  <c r="AY3215" i="2"/>
  <c r="AZ3215" i="2"/>
  <c r="BB3215" i="2"/>
  <c r="BC3215" i="2"/>
  <c r="BD3215" i="2"/>
  <c r="M3216" i="2"/>
  <c r="AW3216" i="2"/>
  <c r="AX3216" i="2"/>
  <c r="AY3216" i="2"/>
  <c r="AZ3216" i="2"/>
  <c r="BB3216" i="2"/>
  <c r="BC3216" i="2"/>
  <c r="BD3216" i="2"/>
  <c r="M3217" i="2"/>
  <c r="AW3217" i="2"/>
  <c r="AX3217" i="2"/>
  <c r="AY3217" i="2"/>
  <c r="AZ3217" i="2"/>
  <c r="BB3217" i="2"/>
  <c r="BC3217" i="2"/>
  <c r="BD3217" i="2"/>
  <c r="M3218" i="2"/>
  <c r="AW3218" i="2"/>
  <c r="AX3218" i="2"/>
  <c r="AY3218" i="2"/>
  <c r="AZ3218" i="2"/>
  <c r="BB3218" i="2"/>
  <c r="BC3218" i="2"/>
  <c r="BD3218" i="2"/>
  <c r="M3219" i="2"/>
  <c r="AW3219" i="2"/>
  <c r="AX3219" i="2"/>
  <c r="AY3219" i="2"/>
  <c r="AZ3219" i="2"/>
  <c r="BB3219" i="2"/>
  <c r="BC3219" i="2"/>
  <c r="BD3219" i="2"/>
  <c r="M3220" i="2"/>
  <c r="AW3220" i="2"/>
  <c r="AX3220" i="2"/>
  <c r="AY3220" i="2"/>
  <c r="AZ3220" i="2"/>
  <c r="BB3220" i="2"/>
  <c r="BC3220" i="2"/>
  <c r="BD3220" i="2"/>
  <c r="M3221" i="2"/>
  <c r="AW3221" i="2"/>
  <c r="AX3221" i="2"/>
  <c r="AY3221" i="2"/>
  <c r="AZ3221" i="2"/>
  <c r="BB3221" i="2"/>
  <c r="BC3221" i="2"/>
  <c r="BD3221" i="2"/>
  <c r="M3222" i="2"/>
  <c r="AW3222" i="2"/>
  <c r="AX3222" i="2"/>
  <c r="AY3222" i="2"/>
  <c r="AZ3222" i="2"/>
  <c r="BB3222" i="2"/>
  <c r="BC3222" i="2"/>
  <c r="BD3222" i="2"/>
  <c r="M3223" i="2"/>
  <c r="AW3223" i="2"/>
  <c r="AX3223" i="2"/>
  <c r="AY3223" i="2"/>
  <c r="AZ3223" i="2"/>
  <c r="BB3223" i="2"/>
  <c r="BC3223" i="2"/>
  <c r="BD3223" i="2"/>
  <c r="M3224" i="2"/>
  <c r="AW3224" i="2"/>
  <c r="AX3224" i="2"/>
  <c r="AY3224" i="2"/>
  <c r="AZ3224" i="2"/>
  <c r="BB3224" i="2"/>
  <c r="BC3224" i="2"/>
  <c r="BD3224" i="2"/>
  <c r="M3225" i="2"/>
  <c r="AW3225" i="2"/>
  <c r="AX3225" i="2"/>
  <c r="AY3225" i="2"/>
  <c r="AZ3225" i="2"/>
  <c r="BB3225" i="2"/>
  <c r="BC3225" i="2"/>
  <c r="BD3225" i="2"/>
  <c r="M3226" i="2"/>
  <c r="AW3226" i="2"/>
  <c r="AX3226" i="2"/>
  <c r="AY3226" i="2"/>
  <c r="AZ3226" i="2"/>
  <c r="BB3226" i="2"/>
  <c r="BC3226" i="2"/>
  <c r="BD3226" i="2"/>
  <c r="M3227" i="2"/>
  <c r="AW3227" i="2"/>
  <c r="AX3227" i="2"/>
  <c r="AY3227" i="2"/>
  <c r="AZ3227" i="2"/>
  <c r="BB3227" i="2"/>
  <c r="BC3227" i="2"/>
  <c r="BD3227" i="2"/>
  <c r="M3228" i="2"/>
  <c r="AW3228" i="2"/>
  <c r="AX3228" i="2"/>
  <c r="AY3228" i="2"/>
  <c r="AZ3228" i="2"/>
  <c r="BB3228" i="2"/>
  <c r="BC3228" i="2"/>
  <c r="BD3228" i="2"/>
  <c r="M3229" i="2"/>
  <c r="AW3229" i="2"/>
  <c r="AX3229" i="2"/>
  <c r="AY3229" i="2"/>
  <c r="AZ3229" i="2"/>
  <c r="BB3229" i="2"/>
  <c r="BC3229" i="2"/>
  <c r="BD3229" i="2"/>
  <c r="M3230" i="2"/>
  <c r="AW3230" i="2"/>
  <c r="AX3230" i="2"/>
  <c r="AY3230" i="2"/>
  <c r="AZ3230" i="2"/>
  <c r="BB3230" i="2"/>
  <c r="BC3230" i="2"/>
  <c r="BD3230" i="2"/>
  <c r="M3231" i="2"/>
  <c r="AW3231" i="2"/>
  <c r="AX3231" i="2"/>
  <c r="AY3231" i="2"/>
  <c r="AZ3231" i="2"/>
  <c r="BB3231" i="2"/>
  <c r="BC3231" i="2"/>
  <c r="BD3231" i="2"/>
  <c r="M3232" i="2"/>
  <c r="AW3232" i="2"/>
  <c r="AX3232" i="2"/>
  <c r="AY3232" i="2"/>
  <c r="AZ3232" i="2"/>
  <c r="BB3232" i="2"/>
  <c r="BC3232" i="2"/>
  <c r="BD3232" i="2"/>
  <c r="M3233" i="2"/>
  <c r="AX3233" i="2"/>
  <c r="AZ3233" i="2"/>
  <c r="BB3233" i="2"/>
  <c r="BC3233" i="2"/>
  <c r="BD3233" i="2"/>
  <c r="M3235" i="2"/>
  <c r="AW3235" i="2"/>
  <c r="AX3235" i="2"/>
  <c r="AY3235" i="2"/>
  <c r="AZ3235" i="2"/>
  <c r="BB3235" i="2"/>
  <c r="BC3235" i="2"/>
  <c r="BD3235" i="2"/>
  <c r="M3236" i="2"/>
  <c r="AW3236" i="2"/>
  <c r="AX3236" i="2"/>
  <c r="AY3236" i="2"/>
  <c r="AZ3236" i="2"/>
  <c r="BB3236" i="2"/>
  <c r="BC3236" i="2"/>
  <c r="BD3236" i="2"/>
  <c r="M3237" i="2"/>
  <c r="AW3237" i="2"/>
  <c r="AX3237" i="2"/>
  <c r="AY3237" i="2"/>
  <c r="AZ3237" i="2"/>
  <c r="BB3237" i="2"/>
  <c r="BC3237" i="2"/>
  <c r="BD3237" i="2"/>
  <c r="M3238" i="2"/>
  <c r="AW3238" i="2"/>
  <c r="AX3238" i="2"/>
  <c r="AY3238" i="2"/>
  <c r="AZ3238" i="2"/>
  <c r="BB3238" i="2"/>
  <c r="BC3238" i="2"/>
  <c r="BD3238" i="2"/>
  <c r="M3239" i="2"/>
  <c r="AW3239" i="2"/>
  <c r="AX3239" i="2"/>
  <c r="AY3239" i="2"/>
  <c r="AZ3239" i="2"/>
  <c r="BB3239" i="2"/>
  <c r="BC3239" i="2"/>
  <c r="BD3239" i="2"/>
  <c r="M3240" i="2"/>
  <c r="AW3240" i="2"/>
  <c r="AX3240" i="2"/>
  <c r="AY3240" i="2"/>
  <c r="AZ3240" i="2"/>
  <c r="BB3240" i="2"/>
  <c r="BC3240" i="2"/>
  <c r="BD3240" i="2"/>
  <c r="M3241" i="2"/>
  <c r="AW3241" i="2"/>
  <c r="AX3241" i="2"/>
  <c r="AY3241" i="2"/>
  <c r="AZ3241" i="2"/>
  <c r="BB3241" i="2"/>
  <c r="BC3241" i="2"/>
  <c r="BD3241" i="2"/>
  <c r="M3242" i="2"/>
  <c r="AW3242" i="2"/>
  <c r="AX3242" i="2"/>
  <c r="AY3242" i="2"/>
  <c r="AZ3242" i="2"/>
  <c r="BB3242" i="2"/>
  <c r="BC3242" i="2"/>
  <c r="BD3242" i="2"/>
  <c r="M3243" i="2"/>
  <c r="AW3243" i="2"/>
  <c r="AX3243" i="2"/>
  <c r="AY3243" i="2"/>
  <c r="AZ3243" i="2"/>
  <c r="BB3243" i="2"/>
  <c r="BC3243" i="2"/>
  <c r="BD3243" i="2"/>
  <c r="M3244" i="2"/>
  <c r="AW3244" i="2"/>
  <c r="AX3244" i="2"/>
  <c r="AY3244" i="2"/>
  <c r="AZ3244" i="2"/>
  <c r="BB3244" i="2"/>
  <c r="BC3244" i="2"/>
  <c r="BD3244" i="2"/>
  <c r="M3245" i="2"/>
  <c r="AW3245" i="2"/>
  <c r="AX3245" i="2"/>
  <c r="AY3245" i="2"/>
  <c r="AZ3245" i="2"/>
  <c r="BB3245" i="2"/>
  <c r="BC3245" i="2"/>
  <c r="BD3245" i="2"/>
  <c r="M3246" i="2"/>
  <c r="AW3246" i="2"/>
  <c r="AX3246" i="2"/>
  <c r="AY3246" i="2"/>
  <c r="AZ3246" i="2"/>
  <c r="BB3246" i="2"/>
  <c r="BC3246" i="2"/>
  <c r="BD3246" i="2"/>
  <c r="M3247" i="2"/>
  <c r="AW3247" i="2"/>
  <c r="AX3247" i="2"/>
  <c r="AY3247" i="2"/>
  <c r="AZ3247" i="2"/>
  <c r="BB3247" i="2"/>
  <c r="BC3247" i="2"/>
  <c r="BD3247" i="2"/>
  <c r="M3248" i="2"/>
  <c r="AW3248" i="2"/>
  <c r="AX3248" i="2"/>
  <c r="AY3248" i="2"/>
  <c r="AZ3248" i="2"/>
  <c r="BB3248" i="2"/>
  <c r="BC3248" i="2"/>
  <c r="BD3248" i="2"/>
  <c r="M3249" i="2"/>
  <c r="AW3249" i="2"/>
  <c r="AX3249" i="2"/>
  <c r="AY3249" i="2"/>
  <c r="AZ3249" i="2"/>
  <c r="BB3249" i="2"/>
  <c r="BC3249" i="2"/>
  <c r="BD3249" i="2"/>
  <c r="M3250" i="2"/>
  <c r="AW3250" i="2"/>
  <c r="AX3250" i="2"/>
  <c r="AY3250" i="2"/>
  <c r="AZ3250" i="2"/>
  <c r="BB3250" i="2"/>
  <c r="BC3250" i="2"/>
  <c r="BD3250" i="2"/>
  <c r="M3251" i="2"/>
  <c r="AW3251" i="2"/>
  <c r="AX3251" i="2"/>
  <c r="AY3251" i="2"/>
  <c r="AZ3251" i="2"/>
  <c r="BB3251" i="2"/>
  <c r="BC3251" i="2"/>
  <c r="BD3251" i="2"/>
  <c r="M3252" i="2"/>
  <c r="AW3252" i="2"/>
  <c r="AX3252" i="2"/>
  <c r="AY3252" i="2"/>
  <c r="AZ3252" i="2"/>
  <c r="BB3252" i="2"/>
  <c r="BC3252" i="2"/>
  <c r="BD3252" i="2"/>
  <c r="M3253" i="2"/>
  <c r="AW3253" i="2"/>
  <c r="AX3253" i="2"/>
  <c r="AY3253" i="2"/>
  <c r="AZ3253" i="2"/>
  <c r="BB3253" i="2"/>
  <c r="BC3253" i="2"/>
  <c r="BD3253" i="2"/>
  <c r="M3254" i="2"/>
  <c r="AW3254" i="2"/>
  <c r="AX3254" i="2"/>
  <c r="AY3254" i="2"/>
  <c r="AZ3254" i="2"/>
  <c r="BB3254" i="2"/>
  <c r="BC3254" i="2"/>
  <c r="BD3254" i="2"/>
  <c r="M3255" i="2"/>
  <c r="AW3255" i="2"/>
  <c r="AX3255" i="2"/>
  <c r="AY3255" i="2"/>
  <c r="AZ3255" i="2"/>
  <c r="BB3255" i="2"/>
  <c r="BC3255" i="2"/>
  <c r="BD3255" i="2"/>
  <c r="M3256" i="2"/>
  <c r="AW3256" i="2"/>
  <c r="AX3256" i="2"/>
  <c r="AY3256" i="2"/>
  <c r="AZ3256" i="2"/>
  <c r="BB3256" i="2"/>
  <c r="BC3256" i="2"/>
  <c r="BD3256" i="2"/>
  <c r="M3257" i="2"/>
  <c r="AW3257" i="2"/>
  <c r="AX3257" i="2"/>
  <c r="AY3257" i="2"/>
  <c r="AZ3257" i="2"/>
  <c r="BB3257" i="2"/>
  <c r="BC3257" i="2"/>
  <c r="BD3257" i="2"/>
  <c r="M3258" i="2"/>
  <c r="AX3258" i="2"/>
  <c r="AZ3258" i="2"/>
  <c r="BB3258" i="2"/>
  <c r="BC3258" i="2"/>
  <c r="BD3258" i="2"/>
  <c r="BP3258" i="2"/>
  <c r="BL3344" i="2"/>
  <c r="BL3345" i="2"/>
  <c r="BL3346" i="2"/>
  <c r="BL3347" i="2"/>
  <c r="BL3348" i="2"/>
  <c r="BL3349" i="2"/>
  <c r="BL3350" i="2"/>
  <c r="BL3351" i="2"/>
  <c r="BL3352" i="2"/>
  <c r="BL3353" i="2"/>
  <c r="BL3354" i="2"/>
  <c r="BL3355" i="2"/>
  <c r="BL3356" i="2"/>
  <c r="BL3357" i="2"/>
  <c r="BL3358" i="2"/>
  <c r="BL3359" i="2"/>
  <c r="BL3360" i="2"/>
  <c r="BL3361" i="2"/>
  <c r="BL3362" i="2"/>
  <c r="BL3363" i="2"/>
  <c r="BL3364" i="2"/>
  <c r="BL3365" i="2"/>
  <c r="BL3366" i="2"/>
  <c r="BL3367" i="2"/>
  <c r="BL3368" i="2"/>
  <c r="BL3369" i="2"/>
  <c r="BL3370" i="2"/>
  <c r="BL3371" i="2"/>
  <c r="BL3372" i="2"/>
  <c r="BL3373" i="2"/>
  <c r="BL3374" i="2"/>
  <c r="BL3375" i="2"/>
  <c r="BL3376" i="2"/>
  <c r="BL3377" i="2"/>
  <c r="BL3378" i="2"/>
  <c r="BL3379" i="2"/>
  <c r="BL3380" i="2"/>
  <c r="BL3381" i="2"/>
  <c r="BL3382" i="2"/>
  <c r="BL3383" i="2"/>
  <c r="BL3384" i="2"/>
  <c r="BL3385" i="2"/>
  <c r="BL3386" i="2"/>
  <c r="BL3387" i="2"/>
  <c r="BL3388" i="2"/>
  <c r="BL3389" i="2"/>
  <c r="BL3390" i="2"/>
  <c r="BL3391" i="2"/>
  <c r="BL3392" i="2"/>
  <c r="BL3393" i="2"/>
  <c r="BL3394" i="2"/>
  <c r="BL3395" i="2"/>
  <c r="BL3396" i="2"/>
  <c r="BL3397" i="2"/>
  <c r="BL3398" i="2"/>
  <c r="BL3399" i="2"/>
  <c r="BL3400" i="2"/>
  <c r="BL3401" i="2"/>
  <c r="BL3402" i="2"/>
  <c r="BL3403" i="2"/>
  <c r="BL3404" i="2"/>
  <c r="BL3405" i="2"/>
  <c r="BL3406" i="2"/>
  <c r="BL3407" i="2"/>
  <c r="BL3408" i="2"/>
  <c r="BL3409" i="2"/>
  <c r="BL3410" i="2"/>
  <c r="BL3411" i="2"/>
  <c r="BL3412" i="2"/>
  <c r="BL3413" i="2"/>
  <c r="BL3414" i="2"/>
  <c r="BL3415" i="2"/>
  <c r="BL3416" i="2"/>
  <c r="BL3417" i="2"/>
  <c r="BL3418" i="2"/>
  <c r="BL3419" i="2"/>
  <c r="BL3420" i="2"/>
  <c r="BL3421" i="2"/>
  <c r="BL3422" i="2"/>
  <c r="BL3423" i="2"/>
  <c r="BL3424" i="2"/>
  <c r="BL3425" i="2"/>
  <c r="BL3426" i="2"/>
  <c r="BL3427" i="2"/>
  <c r="BL3428" i="2"/>
  <c r="BL3429" i="2"/>
  <c r="BL3430" i="2"/>
  <c r="BL3431" i="2"/>
  <c r="BL3432" i="2"/>
  <c r="BL3433" i="2"/>
  <c r="BL3434" i="2"/>
  <c r="BL3435" i="2"/>
  <c r="BL3436" i="2"/>
  <c r="BL3437" i="2"/>
  <c r="BL3438" i="2"/>
  <c r="BL3439" i="2"/>
  <c r="BL3440" i="2"/>
  <c r="BL3441" i="2"/>
  <c r="BL3442" i="2"/>
  <c r="BL3443" i="2"/>
  <c r="BL3444" i="2"/>
  <c r="BL3445" i="2"/>
  <c r="BL3446" i="2"/>
  <c r="BL3447" i="2"/>
  <c r="BL3448" i="2"/>
  <c r="BL3449" i="2"/>
  <c r="BL3450" i="2"/>
  <c r="BL3451" i="2"/>
  <c r="BL3452" i="2"/>
  <c r="BL3453" i="2"/>
  <c r="BL3454" i="2"/>
  <c r="BL3455" i="2"/>
  <c r="BL3456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D3" i="3"/>
  <c r="E3" i="3"/>
  <c r="F3" i="3"/>
  <c r="G3" i="3"/>
  <c r="H3" i="3"/>
  <c r="J3" i="3"/>
  <c r="K3" i="3"/>
  <c r="L3" i="3"/>
  <c r="M3" i="3"/>
  <c r="AT3" i="3"/>
  <c r="D4" i="3"/>
  <c r="E4" i="3"/>
  <c r="F4" i="3"/>
  <c r="G4" i="3"/>
  <c r="H4" i="3"/>
  <c r="J4" i="3"/>
  <c r="K4" i="3"/>
  <c r="L4" i="3"/>
  <c r="M4" i="3"/>
  <c r="AT4" i="3"/>
  <c r="D5" i="3"/>
  <c r="E5" i="3"/>
  <c r="F5" i="3"/>
  <c r="G5" i="3"/>
  <c r="H5" i="3"/>
  <c r="J5" i="3"/>
  <c r="K5" i="3"/>
  <c r="L5" i="3"/>
  <c r="M5" i="3"/>
  <c r="AT5" i="3"/>
  <c r="D6" i="3"/>
  <c r="E6" i="3"/>
  <c r="F6" i="3"/>
  <c r="G6" i="3"/>
  <c r="H6" i="3"/>
  <c r="J6" i="3"/>
  <c r="K6" i="3"/>
  <c r="L6" i="3"/>
  <c r="M6" i="3"/>
  <c r="AT6" i="3"/>
  <c r="D7" i="3"/>
  <c r="E7" i="3"/>
  <c r="F7" i="3"/>
  <c r="G7" i="3"/>
  <c r="H7" i="3"/>
  <c r="J7" i="3"/>
  <c r="K7" i="3"/>
  <c r="L7" i="3"/>
  <c r="M7" i="3"/>
  <c r="AT7" i="3"/>
  <c r="D8" i="3"/>
  <c r="E8" i="3"/>
  <c r="F8" i="3"/>
  <c r="G8" i="3"/>
  <c r="H8" i="3"/>
  <c r="J8" i="3"/>
  <c r="K8" i="3"/>
  <c r="L8" i="3"/>
  <c r="M8" i="3"/>
  <c r="AT8" i="3"/>
  <c r="D9" i="3"/>
  <c r="E9" i="3"/>
  <c r="F9" i="3"/>
  <c r="G9" i="3"/>
  <c r="H9" i="3"/>
  <c r="J9" i="3"/>
  <c r="K9" i="3"/>
  <c r="L9" i="3"/>
  <c r="M9" i="3"/>
  <c r="AT9" i="3"/>
  <c r="D10" i="3"/>
  <c r="E10" i="3"/>
  <c r="F10" i="3"/>
  <c r="G10" i="3"/>
  <c r="H10" i="3"/>
  <c r="J10" i="3"/>
  <c r="K10" i="3"/>
  <c r="L10" i="3"/>
  <c r="M10" i="3"/>
  <c r="AT10" i="3"/>
  <c r="D11" i="3"/>
  <c r="E11" i="3"/>
  <c r="F11" i="3"/>
  <c r="G11" i="3"/>
  <c r="H11" i="3"/>
  <c r="J11" i="3"/>
  <c r="K11" i="3"/>
  <c r="L11" i="3"/>
  <c r="M11" i="3"/>
  <c r="AT11" i="3"/>
  <c r="D12" i="3"/>
  <c r="E12" i="3"/>
  <c r="F12" i="3"/>
  <c r="G12" i="3"/>
  <c r="H12" i="3"/>
  <c r="J12" i="3"/>
  <c r="K12" i="3"/>
  <c r="L12" i="3"/>
  <c r="M12" i="3"/>
  <c r="AT12" i="3"/>
  <c r="D13" i="3"/>
  <c r="E13" i="3"/>
  <c r="F13" i="3"/>
  <c r="G13" i="3"/>
  <c r="H13" i="3"/>
  <c r="J13" i="3"/>
  <c r="K13" i="3"/>
  <c r="L13" i="3"/>
  <c r="M13" i="3"/>
  <c r="AT13" i="3"/>
  <c r="D14" i="3"/>
  <c r="E14" i="3"/>
  <c r="F14" i="3"/>
  <c r="G14" i="3"/>
  <c r="H14" i="3"/>
  <c r="J14" i="3"/>
  <c r="K14" i="3"/>
  <c r="L14" i="3"/>
  <c r="M14" i="3"/>
  <c r="AT14" i="3"/>
  <c r="D15" i="3"/>
  <c r="E15" i="3"/>
  <c r="F15" i="3"/>
  <c r="G15" i="3"/>
  <c r="H15" i="3"/>
  <c r="J15" i="3"/>
  <c r="K15" i="3"/>
  <c r="L15" i="3"/>
  <c r="M15" i="3"/>
  <c r="AT15" i="3"/>
  <c r="D16" i="3"/>
  <c r="E16" i="3"/>
  <c r="F16" i="3"/>
  <c r="G16" i="3"/>
  <c r="H16" i="3"/>
  <c r="J16" i="3"/>
  <c r="K16" i="3"/>
  <c r="L16" i="3"/>
  <c r="M16" i="3"/>
  <c r="AT16" i="3"/>
  <c r="D17" i="3"/>
  <c r="E17" i="3"/>
  <c r="F17" i="3"/>
  <c r="G17" i="3"/>
  <c r="H17" i="3"/>
  <c r="J17" i="3"/>
  <c r="K17" i="3"/>
  <c r="L17" i="3"/>
  <c r="M17" i="3"/>
  <c r="AT17" i="3"/>
  <c r="D18" i="3"/>
  <c r="E18" i="3"/>
  <c r="F18" i="3"/>
  <c r="G18" i="3"/>
  <c r="H18" i="3"/>
  <c r="J18" i="3"/>
  <c r="K18" i="3"/>
  <c r="L18" i="3"/>
  <c r="M18" i="3"/>
  <c r="AT18" i="3"/>
  <c r="D19" i="3"/>
  <c r="E19" i="3"/>
  <c r="F19" i="3"/>
  <c r="G19" i="3"/>
  <c r="H19" i="3"/>
  <c r="J19" i="3"/>
  <c r="K19" i="3"/>
  <c r="L19" i="3"/>
  <c r="M19" i="3"/>
  <c r="AT19" i="3"/>
  <c r="D20" i="3"/>
  <c r="E20" i="3"/>
  <c r="F20" i="3"/>
  <c r="G20" i="3"/>
  <c r="H20" i="3"/>
  <c r="J20" i="3"/>
  <c r="K20" i="3"/>
  <c r="L20" i="3"/>
  <c r="M20" i="3"/>
  <c r="AT20" i="3"/>
  <c r="D21" i="3"/>
  <c r="E21" i="3"/>
  <c r="F21" i="3"/>
  <c r="G21" i="3"/>
  <c r="H21" i="3"/>
  <c r="J21" i="3"/>
  <c r="K21" i="3"/>
  <c r="L21" i="3"/>
  <c r="M21" i="3"/>
  <c r="AT21" i="3"/>
  <c r="D22" i="3"/>
  <c r="E22" i="3"/>
  <c r="F22" i="3"/>
  <c r="G22" i="3"/>
  <c r="H22" i="3"/>
  <c r="J22" i="3"/>
  <c r="K22" i="3"/>
  <c r="L22" i="3"/>
  <c r="M22" i="3"/>
  <c r="AT22" i="3"/>
  <c r="D23" i="3"/>
  <c r="E23" i="3"/>
  <c r="F23" i="3"/>
  <c r="G23" i="3"/>
  <c r="H23" i="3"/>
  <c r="J23" i="3"/>
  <c r="K23" i="3"/>
  <c r="L23" i="3"/>
  <c r="M23" i="3"/>
  <c r="AT23" i="3"/>
  <c r="D24" i="3"/>
  <c r="E24" i="3"/>
  <c r="F24" i="3"/>
  <c r="G24" i="3"/>
  <c r="H24" i="3"/>
  <c r="J24" i="3"/>
  <c r="K24" i="3"/>
  <c r="L24" i="3"/>
  <c r="M24" i="3"/>
  <c r="AT24" i="3"/>
  <c r="D25" i="3"/>
  <c r="E25" i="3"/>
  <c r="F25" i="3"/>
  <c r="G25" i="3"/>
  <c r="H25" i="3"/>
  <c r="J25" i="3"/>
  <c r="K25" i="3"/>
  <c r="L25" i="3"/>
  <c r="M25" i="3"/>
  <c r="AT25" i="3"/>
  <c r="D26" i="3"/>
  <c r="E26" i="3"/>
  <c r="F26" i="3"/>
  <c r="G26" i="3"/>
  <c r="H26" i="3"/>
  <c r="J26" i="3"/>
  <c r="K26" i="3"/>
  <c r="L26" i="3"/>
  <c r="M26" i="3"/>
  <c r="AT26" i="3"/>
  <c r="D27" i="3"/>
  <c r="E27" i="3"/>
  <c r="F27" i="3"/>
  <c r="G27" i="3"/>
  <c r="H27" i="3"/>
  <c r="J27" i="3"/>
  <c r="K27" i="3"/>
  <c r="L27" i="3"/>
  <c r="M27" i="3"/>
  <c r="AT27" i="3"/>
  <c r="D28" i="3"/>
  <c r="E28" i="3"/>
  <c r="F28" i="3"/>
  <c r="G28" i="3"/>
  <c r="H28" i="3"/>
  <c r="J28" i="3"/>
  <c r="K28" i="3"/>
  <c r="L28" i="3"/>
  <c r="M28" i="3"/>
  <c r="AT28" i="3"/>
  <c r="D29" i="3"/>
  <c r="E29" i="3"/>
  <c r="F29" i="3"/>
  <c r="G29" i="3"/>
  <c r="H29" i="3"/>
  <c r="J29" i="3"/>
  <c r="K29" i="3"/>
  <c r="L29" i="3"/>
  <c r="M29" i="3"/>
  <c r="AT29" i="3"/>
  <c r="D30" i="3"/>
  <c r="E30" i="3"/>
  <c r="F30" i="3"/>
  <c r="G30" i="3"/>
  <c r="H30" i="3"/>
  <c r="J30" i="3"/>
  <c r="K30" i="3"/>
  <c r="L30" i="3"/>
  <c r="M30" i="3"/>
  <c r="AT30" i="3"/>
  <c r="D31" i="3"/>
  <c r="E31" i="3"/>
  <c r="F31" i="3"/>
  <c r="G31" i="3"/>
  <c r="H31" i="3"/>
  <c r="J31" i="3"/>
  <c r="K31" i="3"/>
  <c r="L31" i="3"/>
  <c r="M31" i="3"/>
  <c r="AT31" i="3"/>
  <c r="D32" i="3"/>
  <c r="E32" i="3"/>
  <c r="F32" i="3"/>
  <c r="G32" i="3"/>
  <c r="H32" i="3"/>
  <c r="J32" i="3"/>
  <c r="K32" i="3"/>
  <c r="L32" i="3"/>
  <c r="M32" i="3"/>
  <c r="AT32" i="3"/>
  <c r="D33" i="3"/>
  <c r="E33" i="3"/>
  <c r="F33" i="3"/>
  <c r="G33" i="3"/>
  <c r="H33" i="3"/>
  <c r="J33" i="3"/>
  <c r="K33" i="3"/>
  <c r="L33" i="3"/>
  <c r="M33" i="3"/>
  <c r="AT33" i="3"/>
  <c r="D34" i="3"/>
  <c r="E34" i="3"/>
  <c r="F34" i="3"/>
  <c r="G34" i="3"/>
  <c r="H34" i="3"/>
  <c r="J34" i="3"/>
  <c r="K34" i="3"/>
  <c r="L34" i="3"/>
  <c r="M34" i="3"/>
  <c r="AT34" i="3"/>
  <c r="D35" i="3"/>
  <c r="E35" i="3"/>
  <c r="F35" i="3"/>
  <c r="G35" i="3"/>
  <c r="H35" i="3"/>
  <c r="J35" i="3"/>
  <c r="K35" i="3"/>
  <c r="L35" i="3"/>
  <c r="M35" i="3"/>
  <c r="AT35" i="3"/>
  <c r="D36" i="3"/>
  <c r="E36" i="3"/>
  <c r="F36" i="3"/>
  <c r="G36" i="3"/>
  <c r="H36" i="3"/>
  <c r="J36" i="3"/>
  <c r="K36" i="3"/>
  <c r="L36" i="3"/>
  <c r="M36" i="3"/>
  <c r="AT36" i="3"/>
  <c r="D37" i="3"/>
  <c r="E37" i="3"/>
  <c r="F37" i="3"/>
  <c r="G37" i="3"/>
  <c r="H37" i="3"/>
  <c r="J37" i="3"/>
  <c r="K37" i="3"/>
  <c r="L37" i="3"/>
  <c r="M37" i="3"/>
  <c r="AT37" i="3"/>
  <c r="D38" i="3"/>
  <c r="E38" i="3"/>
  <c r="F38" i="3"/>
  <c r="G38" i="3"/>
  <c r="H38" i="3"/>
  <c r="J38" i="3"/>
  <c r="K38" i="3"/>
  <c r="L38" i="3"/>
  <c r="M38" i="3"/>
  <c r="AT38" i="3"/>
  <c r="D39" i="3"/>
  <c r="E39" i="3"/>
  <c r="F39" i="3"/>
  <c r="G39" i="3"/>
  <c r="H39" i="3"/>
  <c r="J39" i="3"/>
  <c r="K39" i="3"/>
  <c r="L39" i="3"/>
  <c r="M39" i="3"/>
  <c r="AT39" i="3"/>
  <c r="D40" i="3"/>
  <c r="E40" i="3"/>
  <c r="F40" i="3"/>
  <c r="G40" i="3"/>
  <c r="H40" i="3"/>
  <c r="J40" i="3"/>
  <c r="K40" i="3"/>
  <c r="L40" i="3"/>
  <c r="M40" i="3"/>
  <c r="AT40" i="3"/>
  <c r="D41" i="3"/>
  <c r="E41" i="3"/>
  <c r="F41" i="3"/>
  <c r="G41" i="3"/>
  <c r="H41" i="3"/>
  <c r="J41" i="3"/>
  <c r="K41" i="3"/>
  <c r="L41" i="3"/>
  <c r="M41" i="3"/>
  <c r="AT41" i="3"/>
  <c r="D42" i="3"/>
  <c r="E42" i="3"/>
  <c r="F42" i="3"/>
  <c r="G42" i="3"/>
  <c r="H42" i="3"/>
  <c r="J42" i="3"/>
  <c r="K42" i="3"/>
  <c r="L42" i="3"/>
  <c r="M42" i="3"/>
  <c r="AT42" i="3"/>
  <c r="D43" i="3"/>
  <c r="E43" i="3"/>
  <c r="F43" i="3"/>
  <c r="G43" i="3"/>
  <c r="H43" i="3"/>
  <c r="J43" i="3"/>
  <c r="K43" i="3"/>
  <c r="L43" i="3"/>
  <c r="M43" i="3"/>
  <c r="AT43" i="3"/>
  <c r="D44" i="3"/>
  <c r="E44" i="3"/>
  <c r="F44" i="3"/>
  <c r="G44" i="3"/>
  <c r="H44" i="3"/>
  <c r="J44" i="3"/>
  <c r="K44" i="3"/>
  <c r="L44" i="3"/>
  <c r="M44" i="3"/>
  <c r="AT44" i="3"/>
  <c r="D45" i="3"/>
  <c r="E45" i="3"/>
  <c r="F45" i="3"/>
  <c r="G45" i="3"/>
  <c r="H45" i="3"/>
  <c r="J45" i="3"/>
  <c r="K45" i="3"/>
  <c r="L45" i="3"/>
  <c r="M45" i="3"/>
  <c r="AT45" i="3"/>
  <c r="D46" i="3"/>
  <c r="E46" i="3"/>
  <c r="F46" i="3"/>
  <c r="G46" i="3"/>
  <c r="H46" i="3"/>
  <c r="J46" i="3"/>
  <c r="K46" i="3"/>
  <c r="L46" i="3"/>
  <c r="M46" i="3"/>
  <c r="AT46" i="3"/>
  <c r="D47" i="3"/>
  <c r="E47" i="3"/>
  <c r="F47" i="3"/>
  <c r="G47" i="3"/>
  <c r="H47" i="3"/>
  <c r="J47" i="3"/>
  <c r="K47" i="3"/>
  <c r="L47" i="3"/>
  <c r="M47" i="3"/>
  <c r="AT47" i="3"/>
  <c r="D48" i="3"/>
  <c r="E48" i="3"/>
  <c r="F48" i="3"/>
  <c r="G48" i="3"/>
  <c r="H48" i="3"/>
  <c r="J48" i="3"/>
  <c r="K48" i="3"/>
  <c r="L48" i="3"/>
  <c r="M48" i="3"/>
  <c r="AT48" i="3"/>
  <c r="D49" i="3"/>
  <c r="E49" i="3"/>
  <c r="F49" i="3"/>
  <c r="G49" i="3"/>
  <c r="H49" i="3"/>
  <c r="J49" i="3"/>
  <c r="K49" i="3"/>
  <c r="L49" i="3"/>
  <c r="M49" i="3"/>
  <c r="AT49" i="3"/>
  <c r="D50" i="3"/>
  <c r="E50" i="3"/>
  <c r="F50" i="3"/>
  <c r="G50" i="3"/>
  <c r="H50" i="3"/>
  <c r="J50" i="3"/>
  <c r="K50" i="3"/>
  <c r="L50" i="3"/>
  <c r="M50" i="3"/>
  <c r="AT50" i="3"/>
  <c r="D51" i="3"/>
  <c r="E51" i="3"/>
  <c r="F51" i="3"/>
  <c r="G51" i="3"/>
  <c r="H51" i="3"/>
  <c r="J51" i="3"/>
  <c r="K51" i="3"/>
  <c r="L51" i="3"/>
  <c r="M51" i="3"/>
  <c r="AT51" i="3"/>
  <c r="D52" i="3"/>
  <c r="E52" i="3"/>
  <c r="F52" i="3"/>
  <c r="G52" i="3"/>
  <c r="H52" i="3"/>
  <c r="J52" i="3"/>
  <c r="K52" i="3"/>
  <c r="L52" i="3"/>
  <c r="M52" i="3"/>
  <c r="AT52" i="3"/>
  <c r="D53" i="3"/>
  <c r="E53" i="3"/>
  <c r="F53" i="3"/>
  <c r="G53" i="3"/>
  <c r="H53" i="3"/>
  <c r="J53" i="3"/>
  <c r="K53" i="3"/>
  <c r="L53" i="3"/>
  <c r="M53" i="3"/>
  <c r="AT53" i="3"/>
  <c r="D54" i="3"/>
  <c r="E54" i="3"/>
  <c r="F54" i="3"/>
  <c r="G54" i="3"/>
  <c r="H54" i="3"/>
  <c r="J54" i="3"/>
  <c r="K54" i="3"/>
  <c r="L54" i="3"/>
  <c r="M54" i="3"/>
  <c r="AT54" i="3"/>
  <c r="D55" i="3"/>
  <c r="E55" i="3"/>
  <c r="F55" i="3"/>
  <c r="G55" i="3"/>
  <c r="H55" i="3"/>
  <c r="J55" i="3"/>
  <c r="K55" i="3"/>
  <c r="L55" i="3"/>
  <c r="M55" i="3"/>
  <c r="AT55" i="3"/>
  <c r="D56" i="3"/>
  <c r="E56" i="3"/>
  <c r="F56" i="3"/>
  <c r="G56" i="3"/>
  <c r="H56" i="3"/>
  <c r="J56" i="3"/>
  <c r="K56" i="3"/>
  <c r="L56" i="3"/>
  <c r="M56" i="3"/>
  <c r="AT56" i="3"/>
  <c r="D57" i="3"/>
  <c r="E57" i="3"/>
  <c r="F57" i="3"/>
  <c r="G57" i="3"/>
  <c r="H57" i="3"/>
  <c r="J57" i="3"/>
  <c r="K57" i="3"/>
  <c r="L57" i="3"/>
  <c r="M57" i="3"/>
  <c r="AT57" i="3"/>
  <c r="D58" i="3"/>
  <c r="E58" i="3"/>
  <c r="F58" i="3"/>
  <c r="G58" i="3"/>
  <c r="H58" i="3"/>
  <c r="J58" i="3"/>
  <c r="K58" i="3"/>
  <c r="L58" i="3"/>
  <c r="M58" i="3"/>
  <c r="AT58" i="3"/>
  <c r="D59" i="3"/>
  <c r="E59" i="3"/>
  <c r="F59" i="3"/>
  <c r="G59" i="3"/>
  <c r="H59" i="3"/>
  <c r="J59" i="3"/>
  <c r="K59" i="3"/>
  <c r="L59" i="3"/>
  <c r="M59" i="3"/>
  <c r="AT59" i="3"/>
  <c r="D60" i="3"/>
  <c r="E60" i="3"/>
  <c r="F60" i="3"/>
  <c r="G60" i="3"/>
  <c r="H60" i="3"/>
  <c r="J60" i="3"/>
  <c r="K60" i="3"/>
  <c r="L60" i="3"/>
  <c r="M60" i="3"/>
  <c r="AT60" i="3"/>
  <c r="D61" i="3"/>
  <c r="E61" i="3"/>
  <c r="F61" i="3"/>
  <c r="G61" i="3"/>
  <c r="H61" i="3"/>
  <c r="J61" i="3"/>
  <c r="K61" i="3"/>
  <c r="L61" i="3"/>
  <c r="M61" i="3"/>
  <c r="AT61" i="3"/>
  <c r="D62" i="3"/>
  <c r="E62" i="3"/>
  <c r="F62" i="3"/>
  <c r="G62" i="3"/>
  <c r="H62" i="3"/>
  <c r="J62" i="3"/>
  <c r="K62" i="3"/>
  <c r="L62" i="3"/>
  <c r="M62" i="3"/>
  <c r="AT62" i="3"/>
  <c r="D63" i="3"/>
  <c r="E63" i="3"/>
  <c r="F63" i="3"/>
  <c r="G63" i="3"/>
  <c r="H63" i="3"/>
  <c r="J63" i="3"/>
  <c r="K63" i="3"/>
  <c r="L63" i="3"/>
  <c r="M63" i="3"/>
  <c r="AT63" i="3"/>
  <c r="D64" i="3"/>
  <c r="E64" i="3"/>
  <c r="F64" i="3"/>
  <c r="G64" i="3"/>
  <c r="H64" i="3"/>
  <c r="J64" i="3"/>
  <c r="K64" i="3"/>
  <c r="L64" i="3"/>
  <c r="M64" i="3"/>
  <c r="AT64" i="3"/>
  <c r="D65" i="3"/>
  <c r="E65" i="3"/>
  <c r="F65" i="3"/>
  <c r="G65" i="3"/>
  <c r="H65" i="3"/>
  <c r="J65" i="3"/>
  <c r="K65" i="3"/>
  <c r="L65" i="3"/>
  <c r="M65" i="3"/>
  <c r="AT65" i="3"/>
  <c r="D66" i="3"/>
  <c r="E66" i="3"/>
  <c r="F66" i="3"/>
  <c r="G66" i="3"/>
  <c r="H66" i="3"/>
  <c r="J66" i="3"/>
  <c r="K66" i="3"/>
  <c r="L66" i="3"/>
  <c r="M66" i="3"/>
  <c r="AT66" i="3"/>
  <c r="D67" i="3"/>
  <c r="E67" i="3"/>
  <c r="F67" i="3"/>
  <c r="G67" i="3"/>
  <c r="H67" i="3"/>
  <c r="J67" i="3"/>
  <c r="K67" i="3"/>
  <c r="L67" i="3"/>
  <c r="M67" i="3"/>
  <c r="AT67" i="3"/>
  <c r="D68" i="3"/>
  <c r="E68" i="3"/>
  <c r="F68" i="3"/>
  <c r="G68" i="3"/>
  <c r="H68" i="3"/>
  <c r="J68" i="3"/>
  <c r="K68" i="3"/>
  <c r="L68" i="3"/>
  <c r="M68" i="3"/>
  <c r="AT68" i="3"/>
  <c r="D69" i="3"/>
  <c r="E69" i="3"/>
  <c r="F69" i="3"/>
  <c r="G69" i="3"/>
  <c r="H69" i="3"/>
  <c r="J69" i="3"/>
  <c r="K69" i="3"/>
  <c r="L69" i="3"/>
  <c r="M69" i="3"/>
  <c r="AT69" i="3"/>
  <c r="D70" i="3"/>
  <c r="E70" i="3"/>
  <c r="F70" i="3"/>
  <c r="G70" i="3"/>
  <c r="H70" i="3"/>
  <c r="J70" i="3"/>
  <c r="K70" i="3"/>
  <c r="L70" i="3"/>
  <c r="M70" i="3"/>
  <c r="AT70" i="3"/>
  <c r="D71" i="3"/>
  <c r="E71" i="3"/>
  <c r="F71" i="3"/>
  <c r="G71" i="3"/>
  <c r="H71" i="3"/>
  <c r="J71" i="3"/>
  <c r="K71" i="3"/>
  <c r="L71" i="3"/>
  <c r="M71" i="3"/>
  <c r="AT71" i="3"/>
  <c r="D72" i="3"/>
  <c r="E72" i="3"/>
  <c r="F72" i="3"/>
  <c r="G72" i="3"/>
  <c r="H72" i="3"/>
  <c r="J72" i="3"/>
  <c r="K72" i="3"/>
  <c r="L72" i="3"/>
  <c r="M72" i="3"/>
  <c r="AT72" i="3"/>
  <c r="D73" i="3"/>
  <c r="E73" i="3"/>
  <c r="F73" i="3"/>
  <c r="G73" i="3"/>
  <c r="H73" i="3"/>
  <c r="J73" i="3"/>
  <c r="K73" i="3"/>
  <c r="L73" i="3"/>
  <c r="M73" i="3"/>
  <c r="AT73" i="3"/>
  <c r="D74" i="3"/>
  <c r="E74" i="3"/>
  <c r="F74" i="3"/>
  <c r="G74" i="3"/>
  <c r="H74" i="3"/>
  <c r="J74" i="3"/>
  <c r="K74" i="3"/>
  <c r="L74" i="3"/>
  <c r="M74" i="3"/>
  <c r="AT74" i="3"/>
  <c r="D75" i="3"/>
  <c r="E75" i="3"/>
  <c r="F75" i="3"/>
  <c r="G75" i="3"/>
  <c r="H75" i="3"/>
  <c r="J75" i="3"/>
  <c r="K75" i="3"/>
  <c r="L75" i="3"/>
  <c r="M75" i="3"/>
  <c r="AT75" i="3"/>
  <c r="D76" i="3"/>
  <c r="E76" i="3"/>
  <c r="F76" i="3"/>
  <c r="G76" i="3"/>
  <c r="H76" i="3"/>
  <c r="J76" i="3"/>
  <c r="K76" i="3"/>
  <c r="L76" i="3"/>
  <c r="M76" i="3"/>
  <c r="AT76" i="3"/>
  <c r="D77" i="3"/>
  <c r="E77" i="3"/>
  <c r="F77" i="3"/>
  <c r="G77" i="3"/>
  <c r="H77" i="3"/>
  <c r="J77" i="3"/>
  <c r="K77" i="3"/>
  <c r="L77" i="3"/>
  <c r="M77" i="3"/>
  <c r="AT77" i="3"/>
  <c r="D78" i="3"/>
  <c r="E78" i="3"/>
  <c r="F78" i="3"/>
  <c r="G78" i="3"/>
  <c r="H78" i="3"/>
  <c r="J78" i="3"/>
  <c r="K78" i="3"/>
  <c r="L78" i="3"/>
  <c r="M78" i="3"/>
  <c r="AT78" i="3"/>
  <c r="D79" i="3"/>
  <c r="E79" i="3"/>
  <c r="F79" i="3"/>
  <c r="G79" i="3"/>
  <c r="H79" i="3"/>
  <c r="J79" i="3"/>
  <c r="K79" i="3"/>
  <c r="L79" i="3"/>
  <c r="M79" i="3"/>
  <c r="AT79" i="3"/>
  <c r="D80" i="3"/>
  <c r="E80" i="3"/>
  <c r="F80" i="3"/>
  <c r="G80" i="3"/>
  <c r="H80" i="3"/>
  <c r="J80" i="3"/>
  <c r="K80" i="3"/>
  <c r="L80" i="3"/>
  <c r="M80" i="3"/>
  <c r="AT80" i="3"/>
  <c r="D81" i="3"/>
  <c r="E81" i="3"/>
  <c r="F81" i="3"/>
  <c r="G81" i="3"/>
  <c r="H81" i="3"/>
  <c r="J81" i="3"/>
  <c r="K81" i="3"/>
  <c r="L81" i="3"/>
  <c r="M81" i="3"/>
  <c r="AT81" i="3"/>
  <c r="D82" i="3"/>
  <c r="E82" i="3"/>
  <c r="F82" i="3"/>
  <c r="G82" i="3"/>
  <c r="H82" i="3"/>
  <c r="J82" i="3"/>
  <c r="K82" i="3"/>
  <c r="L82" i="3"/>
  <c r="M82" i="3"/>
  <c r="AT82" i="3"/>
  <c r="D83" i="3"/>
  <c r="E83" i="3"/>
  <c r="F83" i="3"/>
  <c r="G83" i="3"/>
  <c r="H83" i="3"/>
  <c r="J83" i="3"/>
  <c r="K83" i="3"/>
  <c r="L83" i="3"/>
  <c r="M83" i="3"/>
  <c r="AT83" i="3"/>
  <c r="D84" i="3"/>
  <c r="E84" i="3"/>
  <c r="F84" i="3"/>
  <c r="G84" i="3"/>
  <c r="H84" i="3"/>
  <c r="J84" i="3"/>
  <c r="K84" i="3"/>
  <c r="L84" i="3"/>
  <c r="M84" i="3"/>
  <c r="AT84" i="3"/>
  <c r="D85" i="3"/>
  <c r="E85" i="3"/>
  <c r="F85" i="3"/>
  <c r="G85" i="3"/>
  <c r="H85" i="3"/>
  <c r="J85" i="3"/>
  <c r="K85" i="3"/>
  <c r="L85" i="3"/>
  <c r="M85" i="3"/>
  <c r="AT85" i="3"/>
  <c r="D86" i="3"/>
  <c r="E86" i="3"/>
  <c r="F86" i="3"/>
  <c r="G86" i="3"/>
  <c r="H86" i="3"/>
  <c r="J86" i="3"/>
  <c r="K86" i="3"/>
  <c r="L86" i="3"/>
  <c r="M86" i="3"/>
  <c r="AT86" i="3"/>
  <c r="D87" i="3"/>
  <c r="E87" i="3"/>
  <c r="F87" i="3"/>
  <c r="G87" i="3"/>
  <c r="H87" i="3"/>
  <c r="J87" i="3"/>
  <c r="K87" i="3"/>
  <c r="L87" i="3"/>
  <c r="M87" i="3"/>
  <c r="AT87" i="3"/>
  <c r="D88" i="3"/>
  <c r="E88" i="3"/>
  <c r="F88" i="3"/>
  <c r="G88" i="3"/>
  <c r="H88" i="3"/>
  <c r="J88" i="3"/>
  <c r="K88" i="3"/>
  <c r="L88" i="3"/>
  <c r="M88" i="3"/>
  <c r="AT88" i="3"/>
  <c r="D89" i="3"/>
  <c r="E89" i="3"/>
  <c r="F89" i="3"/>
  <c r="G89" i="3"/>
  <c r="H89" i="3"/>
  <c r="J89" i="3"/>
  <c r="K89" i="3"/>
  <c r="L89" i="3"/>
  <c r="M89" i="3"/>
  <c r="AT89" i="3"/>
  <c r="D90" i="3"/>
  <c r="E90" i="3"/>
  <c r="F90" i="3"/>
  <c r="G90" i="3"/>
  <c r="H90" i="3"/>
  <c r="J90" i="3"/>
  <c r="K90" i="3"/>
  <c r="L90" i="3"/>
  <c r="M90" i="3"/>
  <c r="AT90" i="3"/>
  <c r="D91" i="3"/>
  <c r="E91" i="3"/>
  <c r="F91" i="3"/>
  <c r="G91" i="3"/>
  <c r="H91" i="3"/>
  <c r="J91" i="3"/>
  <c r="K91" i="3"/>
  <c r="L91" i="3"/>
  <c r="M91" i="3"/>
  <c r="AT91" i="3"/>
  <c r="D92" i="3"/>
  <c r="E92" i="3"/>
  <c r="F92" i="3"/>
  <c r="G92" i="3"/>
  <c r="H92" i="3"/>
  <c r="J92" i="3"/>
  <c r="K92" i="3"/>
  <c r="L92" i="3"/>
  <c r="M92" i="3"/>
  <c r="AT92" i="3"/>
  <c r="D93" i="3"/>
  <c r="E93" i="3"/>
  <c r="F93" i="3"/>
  <c r="G93" i="3"/>
  <c r="H93" i="3"/>
  <c r="J93" i="3"/>
  <c r="K93" i="3"/>
  <c r="L93" i="3"/>
  <c r="M93" i="3"/>
  <c r="AT93" i="3"/>
  <c r="D94" i="3"/>
  <c r="E94" i="3"/>
  <c r="F94" i="3"/>
  <c r="G94" i="3"/>
  <c r="H94" i="3"/>
  <c r="J94" i="3"/>
  <c r="K94" i="3"/>
  <c r="L94" i="3"/>
  <c r="M94" i="3"/>
  <c r="AT94" i="3"/>
  <c r="D95" i="3"/>
  <c r="E95" i="3"/>
  <c r="F95" i="3"/>
  <c r="G95" i="3"/>
  <c r="H95" i="3"/>
  <c r="J95" i="3"/>
  <c r="K95" i="3"/>
  <c r="L95" i="3"/>
  <c r="M95" i="3"/>
  <c r="AT95" i="3"/>
  <c r="D96" i="3"/>
  <c r="E96" i="3"/>
  <c r="F96" i="3"/>
  <c r="G96" i="3"/>
  <c r="H96" i="3"/>
  <c r="J96" i="3"/>
  <c r="K96" i="3"/>
  <c r="L96" i="3"/>
  <c r="M96" i="3"/>
  <c r="AT96" i="3"/>
  <c r="D97" i="3"/>
  <c r="E97" i="3"/>
  <c r="F97" i="3"/>
  <c r="G97" i="3"/>
  <c r="H97" i="3"/>
  <c r="J97" i="3"/>
  <c r="K97" i="3"/>
  <c r="L97" i="3"/>
  <c r="M97" i="3"/>
  <c r="AT97" i="3"/>
  <c r="D98" i="3"/>
  <c r="E98" i="3"/>
  <c r="F98" i="3"/>
  <c r="G98" i="3"/>
  <c r="H98" i="3"/>
  <c r="J98" i="3"/>
  <c r="K98" i="3"/>
  <c r="L98" i="3"/>
  <c r="M98" i="3"/>
  <c r="AT98" i="3"/>
  <c r="D99" i="3"/>
  <c r="E99" i="3"/>
  <c r="F99" i="3"/>
  <c r="G99" i="3"/>
  <c r="H99" i="3"/>
  <c r="J99" i="3"/>
  <c r="K99" i="3"/>
  <c r="L99" i="3"/>
  <c r="M99" i="3"/>
  <c r="AT99" i="3"/>
  <c r="D100" i="3"/>
  <c r="E100" i="3"/>
  <c r="F100" i="3"/>
  <c r="G100" i="3"/>
  <c r="H100" i="3"/>
  <c r="J100" i="3"/>
  <c r="K100" i="3"/>
  <c r="L100" i="3"/>
  <c r="M100" i="3"/>
  <c r="AT100" i="3"/>
  <c r="D101" i="3"/>
  <c r="E101" i="3"/>
  <c r="F101" i="3"/>
  <c r="G101" i="3"/>
  <c r="H101" i="3"/>
  <c r="J101" i="3"/>
  <c r="K101" i="3"/>
  <c r="L101" i="3"/>
  <c r="M101" i="3"/>
  <c r="AT101" i="3"/>
  <c r="D102" i="3"/>
  <c r="E102" i="3"/>
  <c r="F102" i="3"/>
  <c r="G102" i="3"/>
  <c r="H102" i="3"/>
  <c r="J102" i="3"/>
  <c r="K102" i="3"/>
  <c r="L102" i="3"/>
  <c r="M102" i="3"/>
  <c r="AT102" i="3"/>
  <c r="D103" i="3"/>
  <c r="E103" i="3"/>
  <c r="F103" i="3"/>
  <c r="G103" i="3"/>
  <c r="H103" i="3"/>
  <c r="J103" i="3"/>
  <c r="K103" i="3"/>
  <c r="L103" i="3"/>
  <c r="M103" i="3"/>
  <c r="AT103" i="3"/>
  <c r="D104" i="3"/>
  <c r="E104" i="3"/>
  <c r="F104" i="3"/>
  <c r="G104" i="3"/>
  <c r="H104" i="3"/>
  <c r="J104" i="3"/>
  <c r="K104" i="3"/>
  <c r="L104" i="3"/>
  <c r="M104" i="3"/>
  <c r="AT104" i="3"/>
  <c r="D105" i="3"/>
  <c r="E105" i="3"/>
  <c r="F105" i="3"/>
  <c r="G105" i="3"/>
  <c r="H105" i="3"/>
  <c r="J105" i="3"/>
  <c r="K105" i="3"/>
  <c r="L105" i="3"/>
  <c r="M105" i="3"/>
  <c r="AT105" i="3"/>
  <c r="D106" i="3"/>
  <c r="E106" i="3"/>
  <c r="F106" i="3"/>
  <c r="G106" i="3"/>
  <c r="H106" i="3"/>
  <c r="J106" i="3"/>
  <c r="K106" i="3"/>
  <c r="L106" i="3"/>
  <c r="M106" i="3"/>
  <c r="AT106" i="3"/>
  <c r="D107" i="3"/>
  <c r="E107" i="3"/>
  <c r="F107" i="3"/>
  <c r="G107" i="3"/>
  <c r="H107" i="3"/>
  <c r="J107" i="3"/>
  <c r="K107" i="3"/>
  <c r="L107" i="3"/>
  <c r="M107" i="3"/>
  <c r="AT107" i="3"/>
  <c r="D108" i="3"/>
  <c r="E108" i="3"/>
  <c r="F108" i="3"/>
  <c r="G108" i="3"/>
  <c r="H108" i="3"/>
  <c r="J108" i="3"/>
  <c r="K108" i="3"/>
  <c r="L108" i="3"/>
  <c r="M108" i="3"/>
  <c r="AT108" i="3"/>
  <c r="D109" i="3"/>
  <c r="E109" i="3"/>
  <c r="F109" i="3"/>
  <c r="G109" i="3"/>
  <c r="H109" i="3"/>
  <c r="J109" i="3"/>
  <c r="K109" i="3"/>
  <c r="L109" i="3"/>
  <c r="M109" i="3"/>
  <c r="AT109" i="3"/>
  <c r="D110" i="3"/>
  <c r="E110" i="3"/>
  <c r="F110" i="3"/>
  <c r="G110" i="3"/>
  <c r="H110" i="3"/>
  <c r="J110" i="3"/>
  <c r="K110" i="3"/>
  <c r="L110" i="3"/>
  <c r="M110" i="3"/>
  <c r="AT110" i="3"/>
  <c r="D111" i="3"/>
  <c r="E111" i="3"/>
  <c r="F111" i="3"/>
  <c r="G111" i="3"/>
  <c r="H111" i="3"/>
  <c r="J111" i="3"/>
  <c r="K111" i="3"/>
  <c r="L111" i="3"/>
  <c r="M111" i="3"/>
  <c r="AT111" i="3"/>
  <c r="D112" i="3"/>
  <c r="E112" i="3"/>
  <c r="F112" i="3"/>
  <c r="G112" i="3"/>
  <c r="H112" i="3"/>
  <c r="J112" i="3"/>
  <c r="K112" i="3"/>
  <c r="L112" i="3"/>
  <c r="M112" i="3"/>
  <c r="AT112" i="3"/>
  <c r="D113" i="3"/>
  <c r="E113" i="3"/>
  <c r="F113" i="3"/>
  <c r="G113" i="3"/>
  <c r="H113" i="3"/>
  <c r="J113" i="3"/>
  <c r="K113" i="3"/>
  <c r="L113" i="3"/>
  <c r="M113" i="3"/>
  <c r="AT113" i="3"/>
  <c r="D114" i="3"/>
  <c r="E114" i="3"/>
  <c r="F114" i="3"/>
  <c r="G114" i="3"/>
  <c r="H114" i="3"/>
  <c r="J114" i="3"/>
  <c r="K114" i="3"/>
  <c r="L114" i="3"/>
  <c r="M114" i="3"/>
  <c r="AT114" i="3"/>
  <c r="D115" i="3"/>
  <c r="E115" i="3"/>
  <c r="F115" i="3"/>
  <c r="G115" i="3"/>
  <c r="H115" i="3"/>
  <c r="J115" i="3"/>
  <c r="K115" i="3"/>
  <c r="L115" i="3"/>
  <c r="M115" i="3"/>
  <c r="AT115" i="3"/>
  <c r="D116" i="3"/>
  <c r="E116" i="3"/>
  <c r="F116" i="3"/>
  <c r="G116" i="3"/>
  <c r="H116" i="3"/>
  <c r="J116" i="3"/>
  <c r="K116" i="3"/>
  <c r="L116" i="3"/>
  <c r="M116" i="3"/>
  <c r="AT116" i="3"/>
  <c r="D117" i="3"/>
  <c r="E117" i="3"/>
  <c r="F117" i="3"/>
  <c r="G117" i="3"/>
  <c r="H117" i="3"/>
  <c r="J117" i="3"/>
  <c r="K117" i="3"/>
  <c r="L117" i="3"/>
  <c r="M117" i="3"/>
  <c r="AT117" i="3"/>
  <c r="D118" i="3"/>
  <c r="E118" i="3"/>
  <c r="F118" i="3"/>
  <c r="G118" i="3"/>
  <c r="H118" i="3"/>
  <c r="J118" i="3"/>
  <c r="K118" i="3"/>
  <c r="L118" i="3"/>
  <c r="M118" i="3"/>
  <c r="AT118" i="3"/>
  <c r="D119" i="3"/>
  <c r="E119" i="3"/>
  <c r="F119" i="3"/>
  <c r="G119" i="3"/>
  <c r="H119" i="3"/>
  <c r="J119" i="3"/>
  <c r="K119" i="3"/>
  <c r="L119" i="3"/>
  <c r="M119" i="3"/>
  <c r="AT119" i="3"/>
  <c r="D120" i="3"/>
  <c r="E120" i="3"/>
  <c r="F120" i="3"/>
  <c r="G120" i="3"/>
  <c r="H120" i="3"/>
  <c r="J120" i="3"/>
  <c r="K120" i="3"/>
  <c r="L120" i="3"/>
  <c r="M120" i="3"/>
  <c r="AT120" i="3"/>
  <c r="D121" i="3"/>
  <c r="E121" i="3"/>
  <c r="F121" i="3"/>
  <c r="G121" i="3"/>
  <c r="H121" i="3"/>
  <c r="J121" i="3"/>
  <c r="K121" i="3"/>
  <c r="L121" i="3"/>
  <c r="M121" i="3"/>
  <c r="AT121" i="3"/>
  <c r="D122" i="3"/>
  <c r="E122" i="3"/>
  <c r="F122" i="3"/>
  <c r="G122" i="3"/>
  <c r="H122" i="3"/>
  <c r="J122" i="3"/>
  <c r="K122" i="3"/>
  <c r="L122" i="3"/>
  <c r="M122" i="3"/>
  <c r="AT122" i="3"/>
  <c r="D123" i="3"/>
  <c r="E123" i="3"/>
  <c r="F123" i="3"/>
  <c r="G123" i="3"/>
  <c r="H123" i="3"/>
  <c r="J123" i="3"/>
  <c r="K123" i="3"/>
  <c r="L123" i="3"/>
  <c r="M123" i="3"/>
  <c r="AT123" i="3"/>
  <c r="D124" i="3"/>
  <c r="E124" i="3"/>
  <c r="F124" i="3"/>
  <c r="G124" i="3"/>
  <c r="H124" i="3"/>
  <c r="J124" i="3"/>
  <c r="K124" i="3"/>
  <c r="L124" i="3"/>
  <c r="M124" i="3"/>
  <c r="AT124" i="3"/>
  <c r="D125" i="3"/>
  <c r="E125" i="3"/>
  <c r="F125" i="3"/>
  <c r="G125" i="3"/>
  <c r="H125" i="3"/>
  <c r="J125" i="3"/>
  <c r="K125" i="3"/>
  <c r="L125" i="3"/>
  <c r="M125" i="3"/>
  <c r="AT125" i="3"/>
  <c r="D126" i="3"/>
  <c r="E126" i="3"/>
  <c r="F126" i="3"/>
  <c r="G126" i="3"/>
  <c r="H126" i="3"/>
  <c r="J126" i="3"/>
  <c r="K126" i="3"/>
  <c r="L126" i="3"/>
  <c r="M126" i="3"/>
  <c r="AT126" i="3"/>
  <c r="D127" i="3"/>
  <c r="E127" i="3"/>
  <c r="F127" i="3"/>
  <c r="G127" i="3"/>
  <c r="H127" i="3"/>
  <c r="J127" i="3"/>
  <c r="K127" i="3"/>
  <c r="L127" i="3"/>
  <c r="M127" i="3"/>
  <c r="AT127" i="3"/>
  <c r="D128" i="3"/>
  <c r="E128" i="3"/>
  <c r="F128" i="3"/>
  <c r="G128" i="3"/>
  <c r="H128" i="3"/>
  <c r="J128" i="3"/>
  <c r="K128" i="3"/>
  <c r="L128" i="3"/>
  <c r="M128" i="3"/>
  <c r="AT128" i="3"/>
  <c r="D129" i="3"/>
  <c r="E129" i="3"/>
  <c r="F129" i="3"/>
  <c r="G129" i="3"/>
  <c r="H129" i="3"/>
  <c r="J129" i="3"/>
  <c r="K129" i="3"/>
  <c r="L129" i="3"/>
  <c r="M129" i="3"/>
  <c r="AT129" i="3"/>
  <c r="D130" i="3"/>
  <c r="E130" i="3"/>
  <c r="F130" i="3"/>
  <c r="G130" i="3"/>
  <c r="H130" i="3"/>
  <c r="J130" i="3"/>
  <c r="K130" i="3"/>
  <c r="L130" i="3"/>
  <c r="M130" i="3"/>
  <c r="AT130" i="3"/>
  <c r="D131" i="3"/>
  <c r="E131" i="3"/>
  <c r="F131" i="3"/>
  <c r="G131" i="3"/>
  <c r="H131" i="3"/>
  <c r="J131" i="3"/>
  <c r="K131" i="3"/>
  <c r="L131" i="3"/>
  <c r="M131" i="3"/>
  <c r="AT131" i="3"/>
  <c r="D132" i="3"/>
  <c r="E132" i="3"/>
  <c r="F132" i="3"/>
  <c r="G132" i="3"/>
  <c r="H132" i="3"/>
  <c r="J132" i="3"/>
  <c r="K132" i="3"/>
  <c r="L132" i="3"/>
  <c r="M132" i="3"/>
  <c r="AT132" i="3"/>
  <c r="D133" i="3"/>
  <c r="E133" i="3"/>
  <c r="F133" i="3"/>
  <c r="G133" i="3"/>
  <c r="H133" i="3"/>
  <c r="J133" i="3"/>
  <c r="K133" i="3"/>
  <c r="L133" i="3"/>
  <c r="M133" i="3"/>
  <c r="AT133" i="3"/>
  <c r="D134" i="3"/>
  <c r="E134" i="3"/>
  <c r="F134" i="3"/>
  <c r="G134" i="3"/>
  <c r="H134" i="3"/>
  <c r="J134" i="3"/>
  <c r="K134" i="3"/>
  <c r="L134" i="3"/>
  <c r="M134" i="3"/>
  <c r="AT134" i="3"/>
  <c r="D135" i="3"/>
  <c r="E135" i="3"/>
  <c r="F135" i="3"/>
  <c r="G135" i="3"/>
  <c r="H135" i="3"/>
  <c r="J135" i="3"/>
  <c r="K135" i="3"/>
  <c r="L135" i="3"/>
  <c r="M135" i="3"/>
  <c r="AT135" i="3"/>
  <c r="D136" i="3"/>
  <c r="E136" i="3"/>
  <c r="F136" i="3"/>
  <c r="G136" i="3"/>
  <c r="H136" i="3"/>
  <c r="J136" i="3"/>
  <c r="K136" i="3"/>
  <c r="L136" i="3"/>
  <c r="M136" i="3"/>
  <c r="AT136" i="3"/>
  <c r="D137" i="3"/>
  <c r="E137" i="3"/>
  <c r="F137" i="3"/>
  <c r="G137" i="3"/>
  <c r="H137" i="3"/>
  <c r="J137" i="3"/>
  <c r="K137" i="3"/>
  <c r="L137" i="3"/>
  <c r="M137" i="3"/>
  <c r="AT137" i="3"/>
  <c r="D138" i="3"/>
  <c r="E138" i="3"/>
  <c r="F138" i="3"/>
  <c r="G138" i="3"/>
  <c r="H138" i="3"/>
  <c r="J138" i="3"/>
  <c r="K138" i="3"/>
  <c r="L138" i="3"/>
  <c r="M138" i="3"/>
  <c r="AT138" i="3"/>
  <c r="D139" i="3"/>
  <c r="E139" i="3"/>
  <c r="F139" i="3"/>
  <c r="G139" i="3"/>
  <c r="H139" i="3"/>
  <c r="J139" i="3"/>
  <c r="K139" i="3"/>
  <c r="L139" i="3"/>
  <c r="M139" i="3"/>
  <c r="AT139" i="3"/>
  <c r="D140" i="3"/>
  <c r="E140" i="3"/>
  <c r="F140" i="3"/>
  <c r="G140" i="3"/>
  <c r="H140" i="3"/>
  <c r="J140" i="3"/>
  <c r="K140" i="3"/>
  <c r="L140" i="3"/>
  <c r="M140" i="3"/>
  <c r="AT140" i="3"/>
  <c r="D141" i="3"/>
  <c r="E141" i="3"/>
  <c r="F141" i="3"/>
  <c r="G141" i="3"/>
  <c r="H141" i="3"/>
  <c r="J141" i="3"/>
  <c r="K141" i="3"/>
  <c r="L141" i="3"/>
  <c r="M141" i="3"/>
  <c r="AT141" i="3"/>
  <c r="D142" i="3"/>
  <c r="E142" i="3"/>
  <c r="F142" i="3"/>
  <c r="G142" i="3"/>
  <c r="H142" i="3"/>
  <c r="J142" i="3"/>
  <c r="K142" i="3"/>
  <c r="L142" i="3"/>
  <c r="M142" i="3"/>
  <c r="AT142" i="3"/>
  <c r="D143" i="3"/>
  <c r="E143" i="3"/>
  <c r="F143" i="3"/>
  <c r="G143" i="3"/>
  <c r="H143" i="3"/>
  <c r="J143" i="3"/>
  <c r="K143" i="3"/>
  <c r="L143" i="3"/>
  <c r="M143" i="3"/>
  <c r="AT143" i="3"/>
  <c r="D144" i="3"/>
  <c r="E144" i="3"/>
  <c r="F144" i="3"/>
  <c r="G144" i="3"/>
  <c r="H144" i="3"/>
  <c r="J144" i="3"/>
  <c r="K144" i="3"/>
  <c r="L144" i="3"/>
  <c r="M144" i="3"/>
  <c r="AT144" i="3"/>
  <c r="D145" i="3"/>
  <c r="E145" i="3"/>
  <c r="F145" i="3"/>
  <c r="G145" i="3"/>
  <c r="H145" i="3"/>
  <c r="J145" i="3"/>
  <c r="K145" i="3"/>
  <c r="L145" i="3"/>
  <c r="M145" i="3"/>
  <c r="AT145" i="3"/>
  <c r="D146" i="3"/>
  <c r="E146" i="3"/>
  <c r="F146" i="3"/>
  <c r="G146" i="3"/>
  <c r="H146" i="3"/>
  <c r="J146" i="3"/>
  <c r="K146" i="3"/>
  <c r="L146" i="3"/>
  <c r="M146" i="3"/>
  <c r="AT146" i="3"/>
  <c r="D147" i="3"/>
  <c r="E147" i="3"/>
  <c r="F147" i="3"/>
  <c r="G147" i="3"/>
  <c r="H147" i="3"/>
  <c r="J147" i="3"/>
  <c r="K147" i="3"/>
  <c r="L147" i="3"/>
  <c r="M147" i="3"/>
  <c r="AT147" i="3"/>
  <c r="D148" i="3"/>
  <c r="E148" i="3"/>
  <c r="F148" i="3"/>
  <c r="G148" i="3"/>
  <c r="H148" i="3"/>
  <c r="J148" i="3"/>
  <c r="K148" i="3"/>
  <c r="L148" i="3"/>
  <c r="M148" i="3"/>
  <c r="AT148" i="3"/>
  <c r="D149" i="3"/>
  <c r="E149" i="3"/>
  <c r="F149" i="3"/>
  <c r="G149" i="3"/>
  <c r="H149" i="3"/>
  <c r="J149" i="3"/>
  <c r="K149" i="3"/>
  <c r="L149" i="3"/>
  <c r="M149" i="3"/>
  <c r="AT149" i="3"/>
  <c r="D150" i="3"/>
  <c r="E150" i="3"/>
  <c r="F150" i="3"/>
  <c r="G150" i="3"/>
  <c r="H150" i="3"/>
  <c r="J150" i="3"/>
  <c r="K150" i="3"/>
  <c r="L150" i="3"/>
  <c r="M150" i="3"/>
  <c r="AT150" i="3"/>
  <c r="D151" i="3"/>
  <c r="E151" i="3"/>
  <c r="F151" i="3"/>
  <c r="G151" i="3"/>
  <c r="H151" i="3"/>
  <c r="J151" i="3"/>
  <c r="K151" i="3"/>
  <c r="L151" i="3"/>
  <c r="M151" i="3"/>
  <c r="AT151" i="3"/>
  <c r="D152" i="3"/>
  <c r="E152" i="3"/>
  <c r="F152" i="3"/>
  <c r="G152" i="3"/>
  <c r="H152" i="3"/>
  <c r="J152" i="3"/>
  <c r="K152" i="3"/>
  <c r="L152" i="3"/>
  <c r="M152" i="3"/>
  <c r="AT152" i="3"/>
  <c r="D153" i="3"/>
  <c r="E153" i="3"/>
  <c r="F153" i="3"/>
  <c r="G153" i="3"/>
  <c r="H153" i="3"/>
  <c r="J153" i="3"/>
  <c r="K153" i="3"/>
  <c r="L153" i="3"/>
  <c r="M153" i="3"/>
  <c r="AT153" i="3"/>
  <c r="D154" i="3"/>
  <c r="E154" i="3"/>
  <c r="F154" i="3"/>
  <c r="G154" i="3"/>
  <c r="H154" i="3"/>
  <c r="J154" i="3"/>
  <c r="K154" i="3"/>
  <c r="L154" i="3"/>
  <c r="M154" i="3"/>
  <c r="AT154" i="3"/>
  <c r="D155" i="3"/>
  <c r="E155" i="3"/>
  <c r="F155" i="3"/>
  <c r="G155" i="3"/>
  <c r="H155" i="3"/>
  <c r="J155" i="3"/>
  <c r="K155" i="3"/>
  <c r="L155" i="3"/>
  <c r="M155" i="3"/>
  <c r="AT155" i="3"/>
  <c r="D156" i="3"/>
  <c r="E156" i="3"/>
  <c r="F156" i="3"/>
  <c r="G156" i="3"/>
  <c r="H156" i="3"/>
  <c r="J156" i="3"/>
  <c r="K156" i="3"/>
  <c r="L156" i="3"/>
  <c r="M156" i="3"/>
  <c r="AT156" i="3"/>
  <c r="D157" i="3"/>
  <c r="E157" i="3"/>
  <c r="F157" i="3"/>
  <c r="G157" i="3"/>
  <c r="H157" i="3"/>
  <c r="J157" i="3"/>
  <c r="K157" i="3"/>
  <c r="L157" i="3"/>
  <c r="M157" i="3"/>
  <c r="AT157" i="3"/>
  <c r="D158" i="3"/>
  <c r="E158" i="3"/>
  <c r="F158" i="3"/>
  <c r="G158" i="3"/>
  <c r="H158" i="3"/>
  <c r="J158" i="3"/>
  <c r="K158" i="3"/>
  <c r="L158" i="3"/>
  <c r="M158" i="3"/>
  <c r="AT158" i="3"/>
  <c r="D159" i="3"/>
  <c r="E159" i="3"/>
  <c r="F159" i="3"/>
  <c r="G159" i="3"/>
  <c r="H159" i="3"/>
  <c r="J159" i="3"/>
  <c r="K159" i="3"/>
  <c r="L159" i="3"/>
  <c r="M159" i="3"/>
  <c r="AT159" i="3"/>
  <c r="D160" i="3"/>
  <c r="E160" i="3"/>
  <c r="F160" i="3"/>
  <c r="G160" i="3"/>
  <c r="H160" i="3"/>
  <c r="J160" i="3"/>
  <c r="K160" i="3"/>
  <c r="L160" i="3"/>
  <c r="M160" i="3"/>
  <c r="AT160" i="3"/>
  <c r="D161" i="3"/>
  <c r="E161" i="3"/>
  <c r="F161" i="3"/>
  <c r="G161" i="3"/>
  <c r="H161" i="3"/>
  <c r="J161" i="3"/>
  <c r="K161" i="3"/>
  <c r="L161" i="3"/>
  <c r="M161" i="3"/>
  <c r="AT161" i="3"/>
  <c r="D162" i="3"/>
  <c r="E162" i="3"/>
  <c r="F162" i="3"/>
  <c r="G162" i="3"/>
  <c r="H162" i="3"/>
  <c r="J162" i="3"/>
  <c r="K162" i="3"/>
  <c r="L162" i="3"/>
  <c r="M162" i="3"/>
  <c r="AT162" i="3"/>
  <c r="D163" i="3"/>
  <c r="E163" i="3"/>
  <c r="F163" i="3"/>
  <c r="G163" i="3"/>
  <c r="H163" i="3"/>
  <c r="J163" i="3"/>
  <c r="K163" i="3"/>
  <c r="L163" i="3"/>
  <c r="M163" i="3"/>
  <c r="AT163" i="3"/>
  <c r="D164" i="3"/>
  <c r="E164" i="3"/>
  <c r="F164" i="3"/>
  <c r="G164" i="3"/>
  <c r="H164" i="3"/>
  <c r="J164" i="3"/>
  <c r="K164" i="3"/>
  <c r="L164" i="3"/>
  <c r="M164" i="3"/>
  <c r="AT164" i="3"/>
  <c r="D165" i="3"/>
  <c r="E165" i="3"/>
  <c r="F165" i="3"/>
  <c r="G165" i="3"/>
  <c r="H165" i="3"/>
  <c r="J165" i="3"/>
  <c r="K165" i="3"/>
  <c r="L165" i="3"/>
  <c r="M165" i="3"/>
  <c r="AT165" i="3"/>
  <c r="D166" i="3"/>
  <c r="E166" i="3"/>
  <c r="F166" i="3"/>
  <c r="G166" i="3"/>
  <c r="H166" i="3"/>
  <c r="J166" i="3"/>
  <c r="K166" i="3"/>
  <c r="L166" i="3"/>
  <c r="M166" i="3"/>
  <c r="AT166" i="3"/>
  <c r="D167" i="3"/>
  <c r="E167" i="3"/>
  <c r="F167" i="3"/>
  <c r="G167" i="3"/>
  <c r="H167" i="3"/>
  <c r="J167" i="3"/>
  <c r="K167" i="3"/>
  <c r="L167" i="3"/>
  <c r="M167" i="3"/>
  <c r="AT167" i="3"/>
  <c r="D168" i="3"/>
  <c r="E168" i="3"/>
  <c r="F168" i="3"/>
  <c r="G168" i="3"/>
  <c r="H168" i="3"/>
  <c r="J168" i="3"/>
  <c r="K168" i="3"/>
  <c r="L168" i="3"/>
  <c r="M168" i="3"/>
  <c r="AT168" i="3"/>
  <c r="D169" i="3"/>
  <c r="E169" i="3"/>
  <c r="F169" i="3"/>
  <c r="G169" i="3"/>
  <c r="H169" i="3"/>
  <c r="J169" i="3"/>
  <c r="K169" i="3"/>
  <c r="L169" i="3"/>
  <c r="M169" i="3"/>
  <c r="AT169" i="3"/>
  <c r="D170" i="3"/>
  <c r="E170" i="3"/>
  <c r="F170" i="3"/>
  <c r="G170" i="3"/>
  <c r="H170" i="3"/>
  <c r="J170" i="3"/>
  <c r="K170" i="3"/>
  <c r="L170" i="3"/>
  <c r="M170" i="3"/>
  <c r="AT170" i="3"/>
  <c r="D171" i="3"/>
  <c r="E171" i="3"/>
  <c r="F171" i="3"/>
  <c r="G171" i="3"/>
  <c r="H171" i="3"/>
  <c r="J171" i="3"/>
  <c r="K171" i="3"/>
  <c r="L171" i="3"/>
  <c r="M171" i="3"/>
  <c r="AT171" i="3"/>
  <c r="D172" i="3"/>
  <c r="E172" i="3"/>
  <c r="F172" i="3"/>
  <c r="G172" i="3"/>
  <c r="H172" i="3"/>
  <c r="J172" i="3"/>
  <c r="K172" i="3"/>
  <c r="L172" i="3"/>
  <c r="M172" i="3"/>
  <c r="AT172" i="3"/>
  <c r="D174" i="3"/>
  <c r="E174" i="3"/>
  <c r="F174" i="3"/>
  <c r="G174" i="3"/>
  <c r="H174" i="3"/>
  <c r="J174" i="3"/>
  <c r="K174" i="3"/>
  <c r="L174" i="3"/>
  <c r="M174" i="3"/>
  <c r="AT174" i="3"/>
  <c r="D175" i="3"/>
  <c r="E175" i="3"/>
  <c r="F175" i="3"/>
  <c r="G175" i="3"/>
  <c r="H175" i="3"/>
  <c r="J175" i="3"/>
  <c r="K175" i="3"/>
  <c r="L175" i="3"/>
  <c r="M175" i="3"/>
  <c r="AT175" i="3"/>
  <c r="D176" i="3"/>
  <c r="E176" i="3"/>
  <c r="F176" i="3"/>
  <c r="G176" i="3"/>
  <c r="H176" i="3"/>
  <c r="J176" i="3"/>
  <c r="K176" i="3"/>
  <c r="L176" i="3"/>
  <c r="M176" i="3"/>
  <c r="AT176" i="3"/>
  <c r="D177" i="3"/>
  <c r="E177" i="3"/>
  <c r="F177" i="3"/>
  <c r="G177" i="3"/>
  <c r="H177" i="3"/>
  <c r="J177" i="3"/>
  <c r="K177" i="3"/>
  <c r="L177" i="3"/>
  <c r="M177" i="3"/>
  <c r="AT177" i="3"/>
  <c r="D178" i="3"/>
  <c r="E178" i="3"/>
  <c r="F178" i="3"/>
  <c r="G178" i="3"/>
  <c r="H178" i="3"/>
  <c r="J178" i="3"/>
  <c r="K178" i="3"/>
  <c r="L178" i="3"/>
  <c r="M178" i="3"/>
  <c r="AT178" i="3"/>
  <c r="D179" i="3"/>
  <c r="E179" i="3"/>
  <c r="F179" i="3"/>
  <c r="G179" i="3"/>
  <c r="H179" i="3"/>
  <c r="J179" i="3"/>
  <c r="K179" i="3"/>
  <c r="L179" i="3"/>
  <c r="M179" i="3"/>
  <c r="AT179" i="3"/>
  <c r="D180" i="3"/>
  <c r="E180" i="3"/>
  <c r="F180" i="3"/>
  <c r="G180" i="3"/>
  <c r="H180" i="3"/>
  <c r="J180" i="3"/>
  <c r="K180" i="3"/>
  <c r="L180" i="3"/>
  <c r="M180" i="3"/>
  <c r="AT180" i="3"/>
  <c r="D181" i="3"/>
  <c r="E181" i="3"/>
  <c r="F181" i="3"/>
  <c r="G181" i="3"/>
  <c r="H181" i="3"/>
  <c r="J181" i="3"/>
  <c r="K181" i="3"/>
  <c r="L181" i="3"/>
  <c r="M181" i="3"/>
  <c r="AT181" i="3"/>
  <c r="D182" i="3"/>
  <c r="E182" i="3"/>
  <c r="F182" i="3"/>
  <c r="G182" i="3"/>
  <c r="H182" i="3"/>
  <c r="J182" i="3"/>
  <c r="K182" i="3"/>
  <c r="L182" i="3"/>
  <c r="M182" i="3"/>
  <c r="AT182" i="3"/>
  <c r="D183" i="3"/>
  <c r="E183" i="3"/>
  <c r="F183" i="3"/>
  <c r="G183" i="3"/>
  <c r="H183" i="3"/>
  <c r="J183" i="3"/>
  <c r="K183" i="3"/>
  <c r="L183" i="3"/>
  <c r="M183" i="3"/>
  <c r="AT183" i="3"/>
  <c r="D184" i="3"/>
  <c r="E184" i="3"/>
  <c r="F184" i="3"/>
  <c r="G184" i="3"/>
  <c r="H184" i="3"/>
  <c r="J184" i="3"/>
  <c r="K184" i="3"/>
  <c r="L184" i="3"/>
  <c r="M184" i="3"/>
  <c r="AT184" i="3"/>
  <c r="D185" i="3"/>
  <c r="E185" i="3"/>
  <c r="F185" i="3"/>
  <c r="G185" i="3"/>
  <c r="H185" i="3"/>
  <c r="J185" i="3"/>
  <c r="K185" i="3"/>
  <c r="L185" i="3"/>
  <c r="M185" i="3"/>
  <c r="AT185" i="3"/>
  <c r="D186" i="3"/>
  <c r="E186" i="3"/>
  <c r="F186" i="3"/>
  <c r="G186" i="3"/>
  <c r="H186" i="3"/>
  <c r="J186" i="3"/>
  <c r="K186" i="3"/>
  <c r="L186" i="3"/>
  <c r="M186" i="3"/>
  <c r="AT186" i="3"/>
  <c r="D187" i="3"/>
  <c r="E187" i="3"/>
  <c r="F187" i="3"/>
  <c r="G187" i="3"/>
  <c r="H187" i="3"/>
  <c r="J187" i="3"/>
  <c r="K187" i="3"/>
  <c r="L187" i="3"/>
  <c r="M187" i="3"/>
  <c r="AT187" i="3"/>
  <c r="D188" i="3"/>
  <c r="E188" i="3"/>
  <c r="F188" i="3"/>
  <c r="G188" i="3"/>
  <c r="H188" i="3"/>
  <c r="J188" i="3"/>
  <c r="K188" i="3"/>
  <c r="L188" i="3"/>
  <c r="M188" i="3"/>
  <c r="AT188" i="3"/>
  <c r="D190" i="3"/>
  <c r="E190" i="3"/>
  <c r="F190" i="3"/>
  <c r="G190" i="3"/>
  <c r="H190" i="3"/>
  <c r="J190" i="3"/>
  <c r="K190" i="3"/>
  <c r="L190" i="3"/>
  <c r="M190" i="3"/>
  <c r="AT190" i="3"/>
  <c r="D191" i="3"/>
  <c r="E191" i="3"/>
  <c r="F191" i="3"/>
  <c r="G191" i="3"/>
  <c r="H191" i="3"/>
  <c r="J191" i="3"/>
  <c r="K191" i="3"/>
  <c r="L191" i="3"/>
  <c r="M191" i="3"/>
  <c r="AT191" i="3"/>
  <c r="D192" i="3"/>
  <c r="E192" i="3"/>
  <c r="F192" i="3"/>
  <c r="G192" i="3"/>
  <c r="H192" i="3"/>
  <c r="J192" i="3"/>
  <c r="K192" i="3"/>
  <c r="L192" i="3"/>
  <c r="M192" i="3"/>
  <c r="AT192" i="3"/>
  <c r="D193" i="3"/>
  <c r="E193" i="3"/>
  <c r="F193" i="3"/>
  <c r="G193" i="3"/>
  <c r="H193" i="3"/>
  <c r="J193" i="3"/>
  <c r="K193" i="3"/>
  <c r="L193" i="3"/>
  <c r="M193" i="3"/>
  <c r="AT193" i="3"/>
  <c r="D194" i="3"/>
  <c r="E194" i="3"/>
  <c r="F194" i="3"/>
  <c r="G194" i="3"/>
  <c r="H194" i="3"/>
  <c r="J194" i="3"/>
  <c r="K194" i="3"/>
  <c r="L194" i="3"/>
  <c r="M194" i="3"/>
  <c r="AT194" i="3"/>
  <c r="D195" i="3"/>
  <c r="E195" i="3"/>
  <c r="F195" i="3"/>
  <c r="G195" i="3"/>
  <c r="H195" i="3"/>
  <c r="J195" i="3"/>
  <c r="K195" i="3"/>
  <c r="L195" i="3"/>
  <c r="M195" i="3"/>
  <c r="AT195" i="3"/>
  <c r="D196" i="3"/>
  <c r="E196" i="3"/>
  <c r="F196" i="3"/>
  <c r="G196" i="3"/>
  <c r="H196" i="3"/>
  <c r="J196" i="3"/>
  <c r="K196" i="3"/>
  <c r="L196" i="3"/>
  <c r="M196" i="3"/>
  <c r="AT196" i="3"/>
  <c r="D197" i="3"/>
  <c r="E197" i="3"/>
  <c r="F197" i="3"/>
  <c r="G197" i="3"/>
  <c r="H197" i="3"/>
  <c r="J197" i="3"/>
  <c r="K197" i="3"/>
  <c r="L197" i="3"/>
  <c r="M197" i="3"/>
  <c r="AT197" i="3"/>
  <c r="D198" i="3"/>
  <c r="E198" i="3"/>
  <c r="F198" i="3"/>
  <c r="G198" i="3"/>
  <c r="H198" i="3"/>
  <c r="J198" i="3"/>
  <c r="K198" i="3"/>
  <c r="L198" i="3"/>
  <c r="M198" i="3"/>
  <c r="AT198" i="3"/>
  <c r="D199" i="3"/>
  <c r="E199" i="3"/>
  <c r="F199" i="3"/>
  <c r="G199" i="3"/>
  <c r="H199" i="3"/>
  <c r="J199" i="3"/>
  <c r="K199" i="3"/>
  <c r="L199" i="3"/>
  <c r="M199" i="3"/>
  <c r="AT199" i="3"/>
  <c r="D200" i="3"/>
  <c r="E200" i="3"/>
  <c r="F200" i="3"/>
  <c r="G200" i="3"/>
  <c r="H200" i="3"/>
  <c r="J200" i="3"/>
  <c r="K200" i="3"/>
  <c r="L200" i="3"/>
  <c r="M200" i="3"/>
  <c r="AT200" i="3"/>
  <c r="D201" i="3"/>
  <c r="E201" i="3"/>
  <c r="F201" i="3"/>
  <c r="G201" i="3"/>
  <c r="H201" i="3"/>
  <c r="J201" i="3"/>
  <c r="K201" i="3"/>
  <c r="L201" i="3"/>
  <c r="M201" i="3"/>
  <c r="AT201" i="3"/>
  <c r="D202" i="3"/>
  <c r="E202" i="3"/>
  <c r="F202" i="3"/>
  <c r="G202" i="3"/>
  <c r="H202" i="3"/>
  <c r="J202" i="3"/>
  <c r="K202" i="3"/>
  <c r="L202" i="3"/>
  <c r="M202" i="3"/>
  <c r="AT202" i="3"/>
  <c r="D203" i="3"/>
  <c r="E203" i="3"/>
  <c r="F203" i="3"/>
  <c r="G203" i="3"/>
  <c r="H203" i="3"/>
  <c r="J203" i="3"/>
  <c r="K203" i="3"/>
  <c r="L203" i="3"/>
  <c r="M203" i="3"/>
  <c r="AT203" i="3"/>
  <c r="D204" i="3"/>
  <c r="E204" i="3"/>
  <c r="F204" i="3"/>
  <c r="G204" i="3"/>
  <c r="H204" i="3"/>
  <c r="J204" i="3"/>
  <c r="K204" i="3"/>
  <c r="L204" i="3"/>
  <c r="M204" i="3"/>
  <c r="AT204" i="3"/>
  <c r="D205" i="3"/>
  <c r="E205" i="3"/>
  <c r="F205" i="3"/>
  <c r="G205" i="3"/>
  <c r="H205" i="3"/>
  <c r="J205" i="3"/>
  <c r="K205" i="3"/>
  <c r="L205" i="3"/>
  <c r="M205" i="3"/>
  <c r="AT205" i="3"/>
  <c r="D206" i="3"/>
  <c r="E206" i="3"/>
  <c r="F206" i="3"/>
  <c r="G206" i="3"/>
  <c r="H206" i="3"/>
  <c r="J206" i="3"/>
  <c r="K206" i="3"/>
  <c r="L206" i="3"/>
  <c r="M206" i="3"/>
  <c r="AT206" i="3"/>
  <c r="D207" i="3"/>
  <c r="E207" i="3"/>
  <c r="F207" i="3"/>
  <c r="G207" i="3"/>
  <c r="H207" i="3"/>
  <c r="J207" i="3"/>
  <c r="K207" i="3"/>
  <c r="L207" i="3"/>
  <c r="M207" i="3"/>
  <c r="AT207" i="3"/>
  <c r="D208" i="3"/>
  <c r="E208" i="3"/>
  <c r="F208" i="3"/>
  <c r="G208" i="3"/>
  <c r="H208" i="3"/>
  <c r="J208" i="3"/>
  <c r="K208" i="3"/>
  <c r="L208" i="3"/>
  <c r="M208" i="3"/>
  <c r="AT208" i="3"/>
  <c r="D209" i="3"/>
  <c r="E209" i="3"/>
  <c r="F209" i="3"/>
  <c r="G209" i="3"/>
  <c r="H209" i="3"/>
  <c r="J209" i="3"/>
  <c r="K209" i="3"/>
  <c r="L209" i="3"/>
  <c r="M209" i="3"/>
  <c r="AT209" i="3"/>
  <c r="D210" i="3"/>
  <c r="E210" i="3"/>
  <c r="F210" i="3"/>
  <c r="G210" i="3"/>
  <c r="H210" i="3"/>
  <c r="J210" i="3"/>
  <c r="K210" i="3"/>
  <c r="L210" i="3"/>
  <c r="M210" i="3"/>
  <c r="AT210" i="3"/>
  <c r="D211" i="3"/>
  <c r="E211" i="3"/>
  <c r="F211" i="3"/>
  <c r="G211" i="3"/>
  <c r="H211" i="3"/>
  <c r="J211" i="3"/>
  <c r="K211" i="3"/>
  <c r="L211" i="3"/>
  <c r="M211" i="3"/>
  <c r="AT211" i="3"/>
  <c r="D212" i="3"/>
  <c r="E212" i="3"/>
  <c r="F212" i="3"/>
  <c r="G212" i="3"/>
  <c r="H212" i="3"/>
  <c r="J212" i="3"/>
  <c r="K212" i="3"/>
  <c r="L212" i="3"/>
  <c r="M212" i="3"/>
  <c r="AT212" i="3"/>
  <c r="D213" i="3"/>
  <c r="E213" i="3"/>
  <c r="F213" i="3"/>
  <c r="G213" i="3"/>
  <c r="H213" i="3"/>
  <c r="J213" i="3"/>
  <c r="K213" i="3"/>
  <c r="L213" i="3"/>
  <c r="M213" i="3"/>
  <c r="AT213" i="3"/>
  <c r="D214" i="3"/>
  <c r="E214" i="3"/>
  <c r="F214" i="3"/>
  <c r="G214" i="3"/>
  <c r="H214" i="3"/>
  <c r="J214" i="3"/>
  <c r="K214" i="3"/>
  <c r="L214" i="3"/>
  <c r="M214" i="3"/>
  <c r="AT214" i="3"/>
  <c r="D215" i="3"/>
  <c r="E215" i="3"/>
  <c r="F215" i="3"/>
  <c r="G215" i="3"/>
  <c r="H215" i="3"/>
  <c r="J215" i="3"/>
  <c r="K215" i="3"/>
  <c r="L215" i="3"/>
  <c r="M215" i="3"/>
  <c r="AT215" i="3"/>
  <c r="D216" i="3"/>
  <c r="E216" i="3"/>
  <c r="F216" i="3"/>
  <c r="G216" i="3"/>
  <c r="H216" i="3"/>
  <c r="J216" i="3"/>
  <c r="K216" i="3"/>
  <c r="L216" i="3"/>
  <c r="M216" i="3"/>
  <c r="AT216" i="3"/>
  <c r="D217" i="3"/>
  <c r="E217" i="3"/>
  <c r="F217" i="3"/>
  <c r="G217" i="3"/>
  <c r="H217" i="3"/>
  <c r="J217" i="3"/>
  <c r="K217" i="3"/>
  <c r="L217" i="3"/>
  <c r="M217" i="3"/>
  <c r="AT217" i="3"/>
  <c r="D218" i="3"/>
  <c r="E218" i="3"/>
  <c r="F218" i="3"/>
  <c r="G218" i="3"/>
  <c r="H218" i="3"/>
  <c r="J218" i="3"/>
  <c r="K218" i="3"/>
  <c r="L218" i="3"/>
  <c r="M218" i="3"/>
  <c r="AT218" i="3"/>
  <c r="D219" i="3"/>
  <c r="E219" i="3"/>
  <c r="F219" i="3"/>
  <c r="G219" i="3"/>
  <c r="H219" i="3"/>
  <c r="J219" i="3"/>
  <c r="K219" i="3"/>
  <c r="L219" i="3"/>
  <c r="M219" i="3"/>
  <c r="AT219" i="3"/>
  <c r="D220" i="3"/>
  <c r="E220" i="3"/>
  <c r="F220" i="3"/>
  <c r="G220" i="3"/>
  <c r="H220" i="3"/>
  <c r="J220" i="3"/>
  <c r="K220" i="3"/>
  <c r="L220" i="3"/>
  <c r="M220" i="3"/>
  <c r="AT220" i="3"/>
  <c r="D221" i="3"/>
  <c r="E221" i="3"/>
  <c r="F221" i="3"/>
  <c r="G221" i="3"/>
  <c r="H221" i="3"/>
  <c r="J221" i="3"/>
  <c r="K221" i="3"/>
  <c r="L221" i="3"/>
  <c r="M221" i="3"/>
  <c r="AT221" i="3"/>
  <c r="D222" i="3"/>
  <c r="E222" i="3"/>
  <c r="F222" i="3"/>
  <c r="G222" i="3"/>
  <c r="H222" i="3"/>
  <c r="J222" i="3"/>
  <c r="K222" i="3"/>
  <c r="L222" i="3"/>
  <c r="M222" i="3"/>
  <c r="AT222" i="3"/>
  <c r="D223" i="3"/>
  <c r="E223" i="3"/>
  <c r="F223" i="3"/>
  <c r="G223" i="3"/>
  <c r="H223" i="3"/>
  <c r="J223" i="3"/>
  <c r="K223" i="3"/>
  <c r="L223" i="3"/>
  <c r="M223" i="3"/>
  <c r="AT223" i="3"/>
  <c r="D224" i="3"/>
  <c r="E224" i="3"/>
  <c r="F224" i="3"/>
  <c r="G224" i="3"/>
  <c r="H224" i="3"/>
  <c r="J224" i="3"/>
  <c r="K224" i="3"/>
  <c r="L224" i="3"/>
  <c r="M224" i="3"/>
  <c r="AT224" i="3"/>
  <c r="D225" i="3"/>
  <c r="E225" i="3"/>
  <c r="F225" i="3"/>
  <c r="G225" i="3"/>
  <c r="H225" i="3"/>
  <c r="J225" i="3"/>
  <c r="K225" i="3"/>
  <c r="L225" i="3"/>
  <c r="M225" i="3"/>
  <c r="AT225" i="3"/>
  <c r="D226" i="3"/>
  <c r="E226" i="3"/>
  <c r="F226" i="3"/>
  <c r="G226" i="3"/>
  <c r="H226" i="3"/>
  <c r="J226" i="3"/>
  <c r="K226" i="3"/>
  <c r="L226" i="3"/>
  <c r="M226" i="3"/>
  <c r="AT226" i="3"/>
  <c r="D227" i="3"/>
  <c r="E227" i="3"/>
  <c r="F227" i="3"/>
  <c r="G227" i="3"/>
  <c r="H227" i="3"/>
  <c r="J227" i="3"/>
  <c r="K227" i="3"/>
  <c r="L227" i="3"/>
  <c r="M227" i="3"/>
  <c r="AT227" i="3"/>
  <c r="D228" i="3"/>
  <c r="E228" i="3"/>
  <c r="F228" i="3"/>
  <c r="G228" i="3"/>
  <c r="H228" i="3"/>
  <c r="J228" i="3"/>
  <c r="K228" i="3"/>
  <c r="L228" i="3"/>
  <c r="M228" i="3"/>
  <c r="AT228" i="3"/>
  <c r="D229" i="3"/>
  <c r="E229" i="3"/>
  <c r="F229" i="3"/>
  <c r="G229" i="3"/>
  <c r="H229" i="3"/>
  <c r="J229" i="3"/>
  <c r="K229" i="3"/>
  <c r="L229" i="3"/>
  <c r="M229" i="3"/>
  <c r="AT229" i="3"/>
  <c r="D230" i="3"/>
  <c r="E230" i="3"/>
  <c r="F230" i="3"/>
  <c r="G230" i="3"/>
  <c r="H230" i="3"/>
  <c r="J230" i="3"/>
  <c r="K230" i="3"/>
  <c r="L230" i="3"/>
  <c r="M230" i="3"/>
  <c r="AT230" i="3"/>
  <c r="D231" i="3"/>
  <c r="E231" i="3"/>
  <c r="F231" i="3"/>
  <c r="G231" i="3"/>
  <c r="H231" i="3"/>
  <c r="J231" i="3"/>
  <c r="K231" i="3"/>
  <c r="L231" i="3"/>
  <c r="M231" i="3"/>
  <c r="AT231" i="3"/>
  <c r="D232" i="3"/>
  <c r="E232" i="3"/>
  <c r="F232" i="3"/>
  <c r="G232" i="3"/>
  <c r="H232" i="3"/>
  <c r="J232" i="3"/>
  <c r="K232" i="3"/>
  <c r="L232" i="3"/>
  <c r="M232" i="3"/>
  <c r="AT232" i="3"/>
  <c r="D233" i="3"/>
  <c r="E233" i="3"/>
  <c r="F233" i="3"/>
  <c r="G233" i="3"/>
  <c r="H233" i="3"/>
  <c r="J233" i="3"/>
  <c r="K233" i="3"/>
  <c r="L233" i="3"/>
  <c r="M233" i="3"/>
  <c r="AT233" i="3"/>
  <c r="D234" i="3"/>
  <c r="E234" i="3"/>
  <c r="F234" i="3"/>
  <c r="G234" i="3"/>
  <c r="H234" i="3"/>
  <c r="J234" i="3"/>
  <c r="K234" i="3"/>
  <c r="L234" i="3"/>
  <c r="M234" i="3"/>
  <c r="AT234" i="3"/>
  <c r="D235" i="3"/>
  <c r="E235" i="3"/>
  <c r="F235" i="3"/>
  <c r="G235" i="3"/>
  <c r="H235" i="3"/>
  <c r="J235" i="3"/>
  <c r="K235" i="3"/>
  <c r="L235" i="3"/>
  <c r="M235" i="3"/>
  <c r="AT235" i="3"/>
  <c r="D236" i="3"/>
  <c r="E236" i="3"/>
  <c r="F236" i="3"/>
  <c r="G236" i="3"/>
  <c r="H236" i="3"/>
  <c r="J236" i="3"/>
  <c r="K236" i="3"/>
  <c r="L236" i="3"/>
  <c r="M236" i="3"/>
  <c r="AT236" i="3"/>
  <c r="D237" i="3"/>
  <c r="E237" i="3"/>
  <c r="F237" i="3"/>
  <c r="G237" i="3"/>
  <c r="H237" i="3"/>
  <c r="J237" i="3"/>
  <c r="K237" i="3"/>
  <c r="L237" i="3"/>
  <c r="M237" i="3"/>
  <c r="AT237" i="3"/>
  <c r="D238" i="3"/>
  <c r="E238" i="3"/>
  <c r="F238" i="3"/>
  <c r="G238" i="3"/>
  <c r="H238" i="3"/>
  <c r="J238" i="3"/>
  <c r="K238" i="3"/>
  <c r="L238" i="3"/>
  <c r="M238" i="3"/>
  <c r="AT238" i="3"/>
  <c r="D239" i="3"/>
  <c r="E239" i="3"/>
  <c r="F239" i="3"/>
  <c r="G239" i="3"/>
  <c r="H239" i="3"/>
  <c r="J239" i="3"/>
  <c r="K239" i="3"/>
  <c r="L239" i="3"/>
  <c r="M239" i="3"/>
  <c r="AT239" i="3"/>
  <c r="D240" i="3"/>
  <c r="E240" i="3"/>
  <c r="F240" i="3"/>
  <c r="G240" i="3"/>
  <c r="H240" i="3"/>
  <c r="J240" i="3"/>
  <c r="K240" i="3"/>
  <c r="L240" i="3"/>
  <c r="M240" i="3"/>
  <c r="AT240" i="3"/>
  <c r="D241" i="3"/>
  <c r="E241" i="3"/>
  <c r="F241" i="3"/>
  <c r="G241" i="3"/>
  <c r="H241" i="3"/>
  <c r="J241" i="3"/>
  <c r="K241" i="3"/>
  <c r="L241" i="3"/>
  <c r="M241" i="3"/>
  <c r="AT241" i="3"/>
  <c r="D242" i="3"/>
  <c r="E242" i="3"/>
  <c r="F242" i="3"/>
  <c r="G242" i="3"/>
  <c r="H242" i="3"/>
  <c r="J242" i="3"/>
  <c r="K242" i="3"/>
  <c r="L242" i="3"/>
  <c r="M242" i="3"/>
  <c r="AT242" i="3"/>
  <c r="D243" i="3"/>
  <c r="E243" i="3"/>
  <c r="F243" i="3"/>
  <c r="G243" i="3"/>
  <c r="H243" i="3"/>
  <c r="J243" i="3"/>
  <c r="K243" i="3"/>
  <c r="L243" i="3"/>
  <c r="M243" i="3"/>
  <c r="AT243" i="3"/>
  <c r="D244" i="3"/>
  <c r="E244" i="3"/>
  <c r="F244" i="3"/>
  <c r="G244" i="3"/>
  <c r="H244" i="3"/>
  <c r="J244" i="3"/>
  <c r="K244" i="3"/>
  <c r="L244" i="3"/>
  <c r="M244" i="3"/>
  <c r="AT244" i="3"/>
  <c r="D245" i="3"/>
  <c r="E245" i="3"/>
  <c r="F245" i="3"/>
  <c r="G245" i="3"/>
  <c r="H245" i="3"/>
  <c r="J245" i="3"/>
  <c r="K245" i="3"/>
  <c r="L245" i="3"/>
  <c r="M245" i="3"/>
  <c r="AT245" i="3"/>
  <c r="D246" i="3"/>
  <c r="E246" i="3"/>
  <c r="F246" i="3"/>
  <c r="G246" i="3"/>
  <c r="H246" i="3"/>
  <c r="J246" i="3"/>
  <c r="K246" i="3"/>
  <c r="L246" i="3"/>
  <c r="M246" i="3"/>
  <c r="AT246" i="3"/>
  <c r="D247" i="3"/>
  <c r="E247" i="3"/>
  <c r="F247" i="3"/>
  <c r="G247" i="3"/>
  <c r="H247" i="3"/>
  <c r="J247" i="3"/>
  <c r="K247" i="3"/>
  <c r="L247" i="3"/>
  <c r="M247" i="3"/>
  <c r="AT247" i="3"/>
  <c r="D248" i="3"/>
  <c r="E248" i="3"/>
  <c r="F248" i="3"/>
  <c r="G248" i="3"/>
  <c r="H248" i="3"/>
  <c r="J248" i="3"/>
  <c r="K248" i="3"/>
  <c r="L248" i="3"/>
  <c r="M248" i="3"/>
  <c r="AT248" i="3"/>
  <c r="D249" i="3"/>
  <c r="E249" i="3"/>
  <c r="F249" i="3"/>
  <c r="G249" i="3"/>
  <c r="H249" i="3"/>
  <c r="J249" i="3"/>
  <c r="K249" i="3"/>
  <c r="L249" i="3"/>
  <c r="M249" i="3"/>
  <c r="AT249" i="3"/>
  <c r="D250" i="3"/>
  <c r="E250" i="3"/>
  <c r="F250" i="3"/>
  <c r="G250" i="3"/>
  <c r="H250" i="3"/>
  <c r="J250" i="3"/>
  <c r="K250" i="3"/>
  <c r="L250" i="3"/>
  <c r="M250" i="3"/>
  <c r="AT250" i="3"/>
  <c r="D251" i="3"/>
  <c r="E251" i="3"/>
  <c r="F251" i="3"/>
  <c r="G251" i="3"/>
  <c r="H251" i="3"/>
  <c r="J251" i="3"/>
  <c r="K251" i="3"/>
  <c r="L251" i="3"/>
  <c r="M251" i="3"/>
  <c r="AT251" i="3"/>
  <c r="D252" i="3"/>
  <c r="E252" i="3"/>
  <c r="F252" i="3"/>
  <c r="G252" i="3"/>
  <c r="H252" i="3"/>
  <c r="J252" i="3"/>
  <c r="K252" i="3"/>
  <c r="L252" i="3"/>
  <c r="M252" i="3"/>
  <c r="AT252" i="3"/>
  <c r="D253" i="3"/>
  <c r="E253" i="3"/>
  <c r="F253" i="3"/>
  <c r="G253" i="3"/>
  <c r="H253" i="3"/>
  <c r="J253" i="3"/>
  <c r="K253" i="3"/>
  <c r="L253" i="3"/>
  <c r="M253" i="3"/>
  <c r="AT253" i="3"/>
  <c r="D254" i="3"/>
  <c r="E254" i="3"/>
  <c r="F254" i="3"/>
  <c r="G254" i="3"/>
  <c r="H254" i="3"/>
  <c r="J254" i="3"/>
  <c r="K254" i="3"/>
  <c r="L254" i="3"/>
  <c r="M254" i="3"/>
  <c r="AT254" i="3"/>
  <c r="D255" i="3"/>
  <c r="E255" i="3"/>
  <c r="F255" i="3"/>
  <c r="G255" i="3"/>
  <c r="H255" i="3"/>
  <c r="J255" i="3"/>
  <c r="K255" i="3"/>
  <c r="L255" i="3"/>
  <c r="M255" i="3"/>
  <c r="AT255" i="3"/>
  <c r="D256" i="3"/>
  <c r="E256" i="3"/>
  <c r="F256" i="3"/>
  <c r="G256" i="3"/>
  <c r="H256" i="3"/>
  <c r="J256" i="3"/>
  <c r="K256" i="3"/>
  <c r="L256" i="3"/>
  <c r="M256" i="3"/>
  <c r="AT256" i="3"/>
  <c r="D257" i="3"/>
  <c r="E257" i="3"/>
  <c r="F257" i="3"/>
  <c r="G257" i="3"/>
  <c r="H257" i="3"/>
  <c r="J257" i="3"/>
  <c r="K257" i="3"/>
  <c r="L257" i="3"/>
  <c r="M257" i="3"/>
  <c r="AT257" i="3"/>
  <c r="D258" i="3"/>
  <c r="E258" i="3"/>
  <c r="F258" i="3"/>
  <c r="G258" i="3"/>
  <c r="H258" i="3"/>
  <c r="J258" i="3"/>
  <c r="K258" i="3"/>
  <c r="L258" i="3"/>
  <c r="M258" i="3"/>
  <c r="AT258" i="3"/>
  <c r="D259" i="3"/>
  <c r="E259" i="3"/>
  <c r="F259" i="3"/>
  <c r="G259" i="3"/>
  <c r="H259" i="3"/>
  <c r="J259" i="3"/>
  <c r="K259" i="3"/>
  <c r="L259" i="3"/>
  <c r="M259" i="3"/>
  <c r="AT259" i="3"/>
  <c r="D260" i="3"/>
  <c r="E260" i="3"/>
  <c r="F260" i="3"/>
  <c r="G260" i="3"/>
  <c r="H260" i="3"/>
  <c r="J260" i="3"/>
  <c r="K260" i="3"/>
  <c r="L260" i="3"/>
  <c r="M260" i="3"/>
  <c r="AT260" i="3"/>
  <c r="D261" i="3"/>
  <c r="E261" i="3"/>
  <c r="F261" i="3"/>
  <c r="G261" i="3"/>
  <c r="H261" i="3"/>
  <c r="J261" i="3"/>
  <c r="K261" i="3"/>
  <c r="L261" i="3"/>
  <c r="M261" i="3"/>
  <c r="AT261" i="3"/>
  <c r="D263" i="3"/>
  <c r="E263" i="3"/>
  <c r="F263" i="3"/>
  <c r="G263" i="3"/>
  <c r="H263" i="3"/>
  <c r="J263" i="3"/>
  <c r="K263" i="3"/>
  <c r="L263" i="3"/>
  <c r="M263" i="3"/>
  <c r="AT263" i="3"/>
  <c r="D264" i="3"/>
  <c r="E264" i="3"/>
  <c r="F264" i="3"/>
  <c r="G264" i="3"/>
  <c r="H264" i="3"/>
  <c r="J264" i="3"/>
  <c r="K264" i="3"/>
  <c r="L264" i="3"/>
  <c r="M264" i="3"/>
  <c r="AT264" i="3"/>
  <c r="D265" i="3"/>
  <c r="E265" i="3"/>
  <c r="F265" i="3"/>
  <c r="G265" i="3"/>
  <c r="H265" i="3"/>
  <c r="J265" i="3"/>
  <c r="K265" i="3"/>
  <c r="L265" i="3"/>
  <c r="M265" i="3"/>
  <c r="AT265" i="3"/>
  <c r="D266" i="3"/>
  <c r="E266" i="3"/>
  <c r="F266" i="3"/>
  <c r="G266" i="3"/>
  <c r="H266" i="3"/>
  <c r="J266" i="3"/>
  <c r="K266" i="3"/>
  <c r="L266" i="3"/>
  <c r="M266" i="3"/>
  <c r="AT266" i="3"/>
  <c r="D267" i="3"/>
  <c r="E267" i="3"/>
  <c r="F267" i="3"/>
  <c r="G267" i="3"/>
  <c r="H267" i="3"/>
  <c r="J267" i="3"/>
  <c r="K267" i="3"/>
  <c r="L267" i="3"/>
  <c r="M267" i="3"/>
  <c r="AT267" i="3"/>
  <c r="D268" i="3"/>
  <c r="E268" i="3"/>
  <c r="F268" i="3"/>
  <c r="G268" i="3"/>
  <c r="H268" i="3"/>
  <c r="J268" i="3"/>
  <c r="K268" i="3"/>
  <c r="L268" i="3"/>
  <c r="M268" i="3"/>
  <c r="AT268" i="3"/>
  <c r="D269" i="3"/>
  <c r="E269" i="3"/>
  <c r="F269" i="3"/>
  <c r="G269" i="3"/>
  <c r="H269" i="3"/>
  <c r="J269" i="3"/>
  <c r="K269" i="3"/>
  <c r="L269" i="3"/>
  <c r="M269" i="3"/>
  <c r="AT269" i="3"/>
  <c r="D270" i="3"/>
  <c r="E270" i="3"/>
  <c r="F270" i="3"/>
  <c r="G270" i="3"/>
  <c r="H270" i="3"/>
  <c r="J270" i="3"/>
  <c r="K270" i="3"/>
  <c r="L270" i="3"/>
  <c r="M270" i="3"/>
  <c r="AT270" i="3"/>
  <c r="D271" i="3"/>
  <c r="E271" i="3"/>
  <c r="F271" i="3"/>
  <c r="G271" i="3"/>
  <c r="H271" i="3"/>
  <c r="J271" i="3"/>
  <c r="K271" i="3"/>
  <c r="L271" i="3"/>
  <c r="M271" i="3"/>
  <c r="AT271" i="3"/>
  <c r="D272" i="3"/>
  <c r="E272" i="3"/>
  <c r="F272" i="3"/>
  <c r="G272" i="3"/>
  <c r="H272" i="3"/>
  <c r="J272" i="3"/>
  <c r="K272" i="3"/>
  <c r="L272" i="3"/>
  <c r="M272" i="3"/>
  <c r="AT272" i="3"/>
  <c r="D273" i="3"/>
  <c r="E273" i="3"/>
  <c r="F273" i="3"/>
  <c r="G273" i="3"/>
  <c r="H273" i="3"/>
  <c r="J273" i="3"/>
  <c r="K273" i="3"/>
  <c r="L273" i="3"/>
  <c r="M273" i="3"/>
  <c r="AT273" i="3"/>
  <c r="D274" i="3"/>
  <c r="E274" i="3"/>
  <c r="F274" i="3"/>
  <c r="G274" i="3"/>
  <c r="H274" i="3"/>
  <c r="J274" i="3"/>
  <c r="K274" i="3"/>
  <c r="L274" i="3"/>
  <c r="M274" i="3"/>
  <c r="AT274" i="3"/>
  <c r="D275" i="3"/>
  <c r="E275" i="3"/>
  <c r="F275" i="3"/>
  <c r="G275" i="3"/>
  <c r="H275" i="3"/>
  <c r="J275" i="3"/>
  <c r="K275" i="3"/>
  <c r="L275" i="3"/>
  <c r="M275" i="3"/>
  <c r="AT275" i="3"/>
  <c r="D276" i="3"/>
  <c r="E276" i="3"/>
  <c r="F276" i="3"/>
  <c r="G276" i="3"/>
  <c r="H276" i="3"/>
  <c r="J276" i="3"/>
  <c r="K276" i="3"/>
  <c r="L276" i="3"/>
  <c r="M276" i="3"/>
  <c r="AT276" i="3"/>
  <c r="D278" i="3"/>
  <c r="E278" i="3"/>
  <c r="F278" i="3"/>
  <c r="G278" i="3"/>
  <c r="H278" i="3"/>
  <c r="J278" i="3"/>
  <c r="K278" i="3"/>
  <c r="L278" i="3"/>
  <c r="M278" i="3"/>
  <c r="AT278" i="3"/>
  <c r="D279" i="3"/>
  <c r="E279" i="3"/>
  <c r="F279" i="3"/>
  <c r="G279" i="3"/>
  <c r="H279" i="3"/>
  <c r="J279" i="3"/>
  <c r="K279" i="3"/>
  <c r="L279" i="3"/>
  <c r="M279" i="3"/>
  <c r="AT279" i="3"/>
  <c r="D280" i="3"/>
  <c r="E280" i="3"/>
  <c r="F280" i="3"/>
  <c r="G280" i="3"/>
  <c r="H280" i="3"/>
  <c r="J280" i="3"/>
  <c r="K280" i="3"/>
  <c r="L280" i="3"/>
  <c r="M280" i="3"/>
  <c r="AT280" i="3"/>
  <c r="D281" i="3"/>
  <c r="E281" i="3"/>
  <c r="F281" i="3"/>
  <c r="G281" i="3"/>
  <c r="H281" i="3"/>
  <c r="J281" i="3"/>
  <c r="K281" i="3"/>
  <c r="L281" i="3"/>
  <c r="M281" i="3"/>
  <c r="AT281" i="3"/>
  <c r="D282" i="3"/>
  <c r="E282" i="3"/>
  <c r="F282" i="3"/>
  <c r="G282" i="3"/>
  <c r="H282" i="3"/>
  <c r="J282" i="3"/>
  <c r="K282" i="3"/>
  <c r="L282" i="3"/>
  <c r="M282" i="3"/>
  <c r="AT282" i="3"/>
  <c r="D283" i="3"/>
  <c r="E283" i="3"/>
  <c r="F283" i="3"/>
  <c r="G283" i="3"/>
  <c r="H283" i="3"/>
  <c r="J283" i="3"/>
  <c r="K283" i="3"/>
  <c r="L283" i="3"/>
  <c r="M283" i="3"/>
  <c r="AT283" i="3"/>
  <c r="D284" i="3"/>
  <c r="E284" i="3"/>
  <c r="F284" i="3"/>
  <c r="G284" i="3"/>
  <c r="H284" i="3"/>
  <c r="J284" i="3"/>
  <c r="K284" i="3"/>
  <c r="L284" i="3"/>
  <c r="M284" i="3"/>
  <c r="AT284" i="3"/>
  <c r="D285" i="3"/>
  <c r="E285" i="3"/>
  <c r="F285" i="3"/>
  <c r="G285" i="3"/>
  <c r="H285" i="3"/>
  <c r="J285" i="3"/>
  <c r="K285" i="3"/>
  <c r="L285" i="3"/>
  <c r="M285" i="3"/>
  <c r="AT285" i="3"/>
  <c r="D286" i="3"/>
  <c r="E286" i="3"/>
  <c r="F286" i="3"/>
  <c r="G286" i="3"/>
  <c r="H286" i="3"/>
  <c r="J286" i="3"/>
  <c r="K286" i="3"/>
  <c r="L286" i="3"/>
  <c r="M286" i="3"/>
  <c r="AT286" i="3"/>
  <c r="D289" i="3"/>
  <c r="E289" i="3"/>
  <c r="F289" i="3"/>
  <c r="G289" i="3"/>
  <c r="H289" i="3"/>
  <c r="J289" i="3"/>
  <c r="K289" i="3"/>
  <c r="L289" i="3"/>
  <c r="M289" i="3"/>
  <c r="AT289" i="3"/>
  <c r="D290" i="3"/>
  <c r="E290" i="3"/>
  <c r="F290" i="3"/>
  <c r="G290" i="3"/>
  <c r="H290" i="3"/>
  <c r="J290" i="3"/>
  <c r="K290" i="3"/>
  <c r="L290" i="3"/>
  <c r="M290" i="3"/>
  <c r="AT290" i="3"/>
  <c r="D291" i="3"/>
  <c r="E291" i="3"/>
  <c r="F291" i="3"/>
  <c r="G291" i="3"/>
  <c r="H291" i="3"/>
  <c r="J291" i="3"/>
  <c r="K291" i="3"/>
  <c r="L291" i="3"/>
  <c r="M291" i="3"/>
  <c r="AT291" i="3"/>
  <c r="D292" i="3"/>
  <c r="E292" i="3"/>
  <c r="F292" i="3"/>
  <c r="G292" i="3"/>
  <c r="H292" i="3"/>
  <c r="J292" i="3"/>
  <c r="K292" i="3"/>
  <c r="L292" i="3"/>
  <c r="M292" i="3"/>
  <c r="AT292" i="3"/>
  <c r="D293" i="3"/>
  <c r="E293" i="3"/>
  <c r="F293" i="3"/>
  <c r="G293" i="3"/>
  <c r="H293" i="3"/>
  <c r="J293" i="3"/>
  <c r="K293" i="3"/>
  <c r="L293" i="3"/>
  <c r="M293" i="3"/>
  <c r="AT293" i="3"/>
  <c r="D294" i="3"/>
  <c r="E294" i="3"/>
  <c r="F294" i="3"/>
  <c r="G294" i="3"/>
  <c r="H294" i="3"/>
  <c r="J294" i="3"/>
  <c r="K294" i="3"/>
  <c r="L294" i="3"/>
  <c r="M294" i="3"/>
  <c r="AT294" i="3"/>
  <c r="D295" i="3"/>
  <c r="E295" i="3"/>
  <c r="F295" i="3"/>
  <c r="G295" i="3"/>
  <c r="H295" i="3"/>
  <c r="J295" i="3"/>
  <c r="K295" i="3"/>
  <c r="L295" i="3"/>
  <c r="M295" i="3"/>
  <c r="AT295" i="3"/>
  <c r="D296" i="3"/>
  <c r="E296" i="3"/>
  <c r="F296" i="3"/>
  <c r="G296" i="3"/>
  <c r="H296" i="3"/>
  <c r="J296" i="3"/>
  <c r="K296" i="3"/>
  <c r="L296" i="3"/>
  <c r="M296" i="3"/>
  <c r="AT296" i="3"/>
  <c r="D297" i="3"/>
  <c r="E297" i="3"/>
  <c r="F297" i="3"/>
  <c r="G297" i="3"/>
  <c r="H297" i="3"/>
  <c r="J297" i="3"/>
  <c r="K297" i="3"/>
  <c r="L297" i="3"/>
  <c r="M297" i="3"/>
  <c r="AT297" i="3"/>
  <c r="D311" i="3"/>
  <c r="E311" i="3"/>
  <c r="F311" i="3"/>
  <c r="G311" i="3"/>
  <c r="H311" i="3"/>
  <c r="J311" i="3"/>
  <c r="K311" i="3"/>
  <c r="L311" i="3"/>
  <c r="M311" i="3"/>
  <c r="AT311" i="3"/>
  <c r="D298" i="3"/>
  <c r="E298" i="3"/>
  <c r="F298" i="3"/>
  <c r="G298" i="3"/>
  <c r="H298" i="3"/>
  <c r="J298" i="3"/>
  <c r="K298" i="3"/>
  <c r="L298" i="3"/>
  <c r="M298" i="3"/>
  <c r="AT298" i="3"/>
  <c r="D299" i="3"/>
  <c r="E299" i="3"/>
  <c r="F299" i="3"/>
  <c r="G299" i="3"/>
  <c r="H299" i="3"/>
  <c r="J299" i="3"/>
  <c r="K299" i="3"/>
  <c r="L299" i="3"/>
  <c r="M299" i="3"/>
  <c r="AT299" i="3"/>
  <c r="D300" i="3"/>
  <c r="E300" i="3"/>
  <c r="F300" i="3"/>
  <c r="G300" i="3"/>
  <c r="H300" i="3"/>
  <c r="J300" i="3"/>
  <c r="K300" i="3"/>
  <c r="L300" i="3"/>
  <c r="M300" i="3"/>
  <c r="AT300" i="3"/>
  <c r="D301" i="3"/>
  <c r="E301" i="3"/>
  <c r="F301" i="3"/>
  <c r="G301" i="3"/>
  <c r="H301" i="3"/>
  <c r="J301" i="3"/>
  <c r="K301" i="3"/>
  <c r="L301" i="3"/>
  <c r="M301" i="3"/>
  <c r="AT301" i="3"/>
  <c r="D302" i="3"/>
  <c r="E302" i="3"/>
  <c r="F302" i="3"/>
  <c r="G302" i="3"/>
  <c r="H302" i="3"/>
  <c r="J302" i="3"/>
  <c r="K302" i="3"/>
  <c r="L302" i="3"/>
  <c r="M302" i="3"/>
  <c r="AT302" i="3"/>
  <c r="D303" i="3"/>
  <c r="E303" i="3"/>
  <c r="F303" i="3"/>
  <c r="G303" i="3"/>
  <c r="H303" i="3"/>
  <c r="J303" i="3"/>
  <c r="K303" i="3"/>
  <c r="L303" i="3"/>
  <c r="M303" i="3"/>
  <c r="AT303" i="3"/>
  <c r="D304" i="3"/>
  <c r="E304" i="3"/>
  <c r="F304" i="3"/>
  <c r="G304" i="3"/>
  <c r="H304" i="3"/>
  <c r="J304" i="3"/>
  <c r="K304" i="3"/>
  <c r="L304" i="3"/>
  <c r="M304" i="3"/>
  <c r="AT304" i="3"/>
  <c r="D305" i="3"/>
  <c r="E305" i="3"/>
  <c r="F305" i="3"/>
  <c r="G305" i="3"/>
  <c r="H305" i="3"/>
  <c r="J305" i="3"/>
  <c r="K305" i="3"/>
  <c r="L305" i="3"/>
  <c r="M305" i="3"/>
  <c r="AT305" i="3"/>
  <c r="D306" i="3"/>
  <c r="E306" i="3"/>
  <c r="F306" i="3"/>
  <c r="G306" i="3"/>
  <c r="H306" i="3"/>
  <c r="J306" i="3"/>
  <c r="K306" i="3"/>
  <c r="L306" i="3"/>
  <c r="M306" i="3"/>
  <c r="AT306" i="3"/>
  <c r="D307" i="3"/>
  <c r="E307" i="3"/>
  <c r="F307" i="3"/>
  <c r="G307" i="3"/>
  <c r="H307" i="3"/>
  <c r="J307" i="3"/>
  <c r="K307" i="3"/>
  <c r="L307" i="3"/>
  <c r="M307" i="3"/>
  <c r="AT307" i="3"/>
  <c r="D308" i="3"/>
  <c r="E308" i="3"/>
  <c r="F308" i="3"/>
  <c r="G308" i="3"/>
  <c r="H308" i="3"/>
  <c r="J308" i="3"/>
  <c r="K308" i="3"/>
  <c r="L308" i="3"/>
  <c r="M308" i="3"/>
  <c r="AT308" i="3"/>
  <c r="D309" i="3"/>
  <c r="E309" i="3"/>
  <c r="F309" i="3"/>
  <c r="G309" i="3"/>
  <c r="H309" i="3"/>
  <c r="J309" i="3"/>
  <c r="K309" i="3"/>
  <c r="L309" i="3"/>
  <c r="M309" i="3"/>
  <c r="AT309" i="3"/>
  <c r="D310" i="3"/>
  <c r="E310" i="3"/>
  <c r="F310" i="3"/>
  <c r="G310" i="3"/>
  <c r="H310" i="3"/>
  <c r="J310" i="3"/>
  <c r="K310" i="3"/>
  <c r="L310" i="3"/>
  <c r="M310" i="3"/>
  <c r="AT310" i="3"/>
  <c r="D312" i="3"/>
  <c r="E312" i="3"/>
  <c r="F312" i="3"/>
  <c r="G312" i="3"/>
  <c r="H312" i="3"/>
  <c r="J312" i="3"/>
  <c r="K312" i="3"/>
  <c r="L312" i="3"/>
  <c r="M312" i="3"/>
  <c r="AT312" i="3"/>
  <c r="D313" i="3"/>
  <c r="E313" i="3"/>
  <c r="F313" i="3"/>
  <c r="G313" i="3"/>
  <c r="H313" i="3"/>
  <c r="J313" i="3"/>
  <c r="K313" i="3"/>
  <c r="L313" i="3"/>
  <c r="M313" i="3"/>
  <c r="AT313" i="3"/>
  <c r="D315" i="3"/>
  <c r="E315" i="3"/>
  <c r="F315" i="3"/>
  <c r="G315" i="3"/>
  <c r="H315" i="3"/>
  <c r="J315" i="3"/>
  <c r="K315" i="3"/>
  <c r="L315" i="3"/>
  <c r="M315" i="3"/>
  <c r="AT315" i="3"/>
  <c r="D316" i="3"/>
  <c r="E316" i="3"/>
  <c r="F316" i="3"/>
  <c r="G316" i="3"/>
  <c r="H316" i="3"/>
  <c r="J316" i="3"/>
  <c r="K316" i="3"/>
  <c r="L316" i="3"/>
  <c r="M316" i="3"/>
  <c r="AT316" i="3"/>
  <c r="D317" i="3"/>
  <c r="E317" i="3"/>
  <c r="F317" i="3"/>
  <c r="G317" i="3"/>
  <c r="H317" i="3"/>
  <c r="J317" i="3"/>
  <c r="K317" i="3"/>
  <c r="L317" i="3"/>
  <c r="M317" i="3"/>
  <c r="AT317" i="3"/>
  <c r="D318" i="3"/>
  <c r="E318" i="3"/>
  <c r="F318" i="3"/>
  <c r="G318" i="3"/>
  <c r="H318" i="3"/>
  <c r="J318" i="3"/>
  <c r="K318" i="3"/>
  <c r="L318" i="3"/>
  <c r="M318" i="3"/>
  <c r="AT318" i="3"/>
  <c r="D319" i="3"/>
  <c r="E319" i="3"/>
  <c r="F319" i="3"/>
  <c r="G319" i="3"/>
  <c r="H319" i="3"/>
  <c r="J319" i="3"/>
  <c r="K319" i="3"/>
  <c r="L319" i="3"/>
  <c r="M319" i="3"/>
  <c r="AT319" i="3"/>
  <c r="D320" i="3"/>
  <c r="E320" i="3"/>
  <c r="F320" i="3"/>
  <c r="G320" i="3"/>
  <c r="H320" i="3"/>
  <c r="J320" i="3"/>
  <c r="K320" i="3"/>
  <c r="L320" i="3"/>
  <c r="M320" i="3"/>
  <c r="AT320" i="3"/>
  <c r="D321" i="3"/>
  <c r="E321" i="3"/>
  <c r="F321" i="3"/>
  <c r="G321" i="3"/>
  <c r="H321" i="3"/>
  <c r="J321" i="3"/>
  <c r="K321" i="3"/>
  <c r="L321" i="3"/>
  <c r="M321" i="3"/>
  <c r="AT321" i="3"/>
  <c r="D322" i="3"/>
  <c r="E322" i="3"/>
  <c r="F322" i="3"/>
  <c r="G322" i="3"/>
  <c r="H322" i="3"/>
  <c r="J322" i="3"/>
  <c r="K322" i="3"/>
  <c r="L322" i="3"/>
  <c r="M322" i="3"/>
  <c r="AT322" i="3"/>
  <c r="D323" i="3"/>
  <c r="E323" i="3"/>
  <c r="F323" i="3"/>
  <c r="G323" i="3"/>
  <c r="H323" i="3"/>
  <c r="J323" i="3"/>
  <c r="K323" i="3"/>
  <c r="L323" i="3"/>
  <c r="M323" i="3"/>
  <c r="AT323" i="3"/>
  <c r="D324" i="3"/>
  <c r="E324" i="3"/>
  <c r="F324" i="3"/>
  <c r="G324" i="3"/>
  <c r="H324" i="3"/>
  <c r="J324" i="3"/>
  <c r="K324" i="3"/>
  <c r="L324" i="3"/>
  <c r="M324" i="3"/>
  <c r="AT324" i="3"/>
  <c r="D325" i="3"/>
  <c r="E325" i="3"/>
  <c r="F325" i="3"/>
  <c r="G325" i="3"/>
  <c r="H325" i="3"/>
  <c r="J325" i="3"/>
  <c r="K325" i="3"/>
  <c r="L325" i="3"/>
  <c r="M325" i="3"/>
  <c r="AT325" i="3"/>
  <c r="D327" i="3"/>
  <c r="E327" i="3"/>
  <c r="F327" i="3"/>
  <c r="G327" i="3"/>
  <c r="H327" i="3"/>
  <c r="J327" i="3"/>
  <c r="K327" i="3"/>
  <c r="L327" i="3"/>
  <c r="M327" i="3"/>
  <c r="AT327" i="3"/>
  <c r="D328" i="3"/>
  <c r="E328" i="3"/>
  <c r="F328" i="3"/>
  <c r="G328" i="3"/>
  <c r="H328" i="3"/>
  <c r="J328" i="3"/>
  <c r="K328" i="3"/>
  <c r="L328" i="3"/>
  <c r="M328" i="3"/>
  <c r="AT328" i="3"/>
  <c r="D329" i="3"/>
  <c r="E329" i="3"/>
  <c r="F329" i="3"/>
  <c r="G329" i="3"/>
  <c r="H329" i="3"/>
  <c r="J329" i="3"/>
  <c r="K329" i="3"/>
  <c r="L329" i="3"/>
  <c r="M329" i="3"/>
  <c r="AT329" i="3"/>
  <c r="D330" i="3"/>
  <c r="E330" i="3"/>
  <c r="F330" i="3"/>
  <c r="G330" i="3"/>
  <c r="H330" i="3"/>
  <c r="J330" i="3"/>
  <c r="K330" i="3"/>
  <c r="L330" i="3"/>
  <c r="M330" i="3"/>
  <c r="AT330" i="3"/>
  <c r="D331" i="3"/>
  <c r="E331" i="3"/>
  <c r="F331" i="3"/>
  <c r="G331" i="3"/>
  <c r="H331" i="3"/>
  <c r="J331" i="3"/>
  <c r="K331" i="3"/>
  <c r="L331" i="3"/>
  <c r="M331" i="3"/>
  <c r="AT331" i="3"/>
  <c r="D332" i="3"/>
  <c r="E332" i="3"/>
  <c r="F332" i="3"/>
  <c r="G332" i="3"/>
  <c r="H332" i="3"/>
  <c r="J332" i="3"/>
  <c r="K332" i="3"/>
  <c r="L332" i="3"/>
  <c r="M332" i="3"/>
  <c r="AT332" i="3"/>
  <c r="D333" i="3"/>
  <c r="E333" i="3"/>
  <c r="F333" i="3"/>
  <c r="G333" i="3"/>
  <c r="H333" i="3"/>
  <c r="J333" i="3"/>
  <c r="K333" i="3"/>
  <c r="L333" i="3"/>
  <c r="M333" i="3"/>
  <c r="AT333" i="3"/>
  <c r="D334" i="3"/>
  <c r="E334" i="3"/>
  <c r="F334" i="3"/>
  <c r="G334" i="3"/>
  <c r="H334" i="3"/>
  <c r="J334" i="3"/>
  <c r="K334" i="3"/>
  <c r="L334" i="3"/>
  <c r="M334" i="3"/>
  <c r="AT334" i="3"/>
  <c r="D335" i="3"/>
  <c r="E335" i="3"/>
  <c r="F335" i="3"/>
  <c r="G335" i="3"/>
  <c r="H335" i="3"/>
  <c r="J335" i="3"/>
  <c r="K335" i="3"/>
  <c r="L335" i="3"/>
  <c r="M335" i="3"/>
  <c r="AT335" i="3"/>
  <c r="D336" i="3"/>
  <c r="E336" i="3"/>
  <c r="F336" i="3"/>
  <c r="G336" i="3"/>
  <c r="H336" i="3"/>
  <c r="J336" i="3"/>
  <c r="K336" i="3"/>
  <c r="L336" i="3"/>
  <c r="M336" i="3"/>
  <c r="AT336" i="3"/>
  <c r="D337" i="3"/>
  <c r="E337" i="3"/>
  <c r="F337" i="3"/>
  <c r="G337" i="3"/>
  <c r="H337" i="3"/>
  <c r="J337" i="3"/>
  <c r="K337" i="3"/>
  <c r="L337" i="3"/>
  <c r="M337" i="3"/>
  <c r="AT337" i="3"/>
  <c r="D339" i="3"/>
  <c r="E339" i="3"/>
  <c r="F339" i="3"/>
  <c r="G339" i="3"/>
  <c r="H339" i="3"/>
  <c r="J339" i="3"/>
  <c r="K339" i="3"/>
  <c r="L339" i="3"/>
  <c r="M339" i="3"/>
  <c r="AT339" i="3"/>
  <c r="D340" i="3"/>
  <c r="E340" i="3"/>
  <c r="F340" i="3"/>
  <c r="G340" i="3"/>
  <c r="H340" i="3"/>
  <c r="J340" i="3"/>
  <c r="K340" i="3"/>
  <c r="L340" i="3"/>
  <c r="M340" i="3"/>
  <c r="AT340" i="3"/>
  <c r="D341" i="3"/>
  <c r="E341" i="3"/>
  <c r="F341" i="3"/>
  <c r="G341" i="3"/>
  <c r="H341" i="3"/>
  <c r="J341" i="3"/>
  <c r="K341" i="3"/>
  <c r="L341" i="3"/>
  <c r="M341" i="3"/>
  <c r="AT341" i="3"/>
  <c r="D342" i="3"/>
  <c r="E342" i="3"/>
  <c r="F342" i="3"/>
  <c r="G342" i="3"/>
  <c r="H342" i="3"/>
  <c r="J342" i="3"/>
  <c r="K342" i="3"/>
  <c r="L342" i="3"/>
  <c r="M342" i="3"/>
  <c r="AT342" i="3"/>
  <c r="D343" i="3"/>
  <c r="E343" i="3"/>
  <c r="F343" i="3"/>
  <c r="G343" i="3"/>
  <c r="H343" i="3"/>
  <c r="J343" i="3"/>
  <c r="K343" i="3"/>
  <c r="L343" i="3"/>
  <c r="M343" i="3"/>
  <c r="AT343" i="3"/>
  <c r="D344" i="3"/>
  <c r="E344" i="3"/>
  <c r="F344" i="3"/>
  <c r="G344" i="3"/>
  <c r="H344" i="3"/>
  <c r="J344" i="3"/>
  <c r="K344" i="3"/>
  <c r="L344" i="3"/>
  <c r="M344" i="3"/>
  <c r="AT344" i="3"/>
  <c r="D345" i="3"/>
  <c r="E345" i="3"/>
  <c r="F345" i="3"/>
  <c r="G345" i="3"/>
  <c r="H345" i="3"/>
  <c r="J345" i="3"/>
  <c r="K345" i="3"/>
  <c r="L345" i="3"/>
  <c r="M345" i="3"/>
  <c r="AT345" i="3"/>
  <c r="D346" i="3"/>
  <c r="E346" i="3"/>
  <c r="F346" i="3"/>
  <c r="G346" i="3"/>
  <c r="H346" i="3"/>
  <c r="J346" i="3"/>
  <c r="K346" i="3"/>
  <c r="L346" i="3"/>
  <c r="M346" i="3"/>
  <c r="AT346" i="3"/>
  <c r="D347" i="3"/>
  <c r="E347" i="3"/>
  <c r="F347" i="3"/>
  <c r="G347" i="3"/>
  <c r="H347" i="3"/>
  <c r="J347" i="3"/>
  <c r="K347" i="3"/>
  <c r="L347" i="3"/>
  <c r="M347" i="3"/>
  <c r="AT347" i="3"/>
  <c r="D348" i="3"/>
  <c r="E348" i="3"/>
  <c r="F348" i="3"/>
  <c r="G348" i="3"/>
  <c r="H348" i="3"/>
  <c r="J348" i="3"/>
  <c r="K348" i="3"/>
  <c r="L348" i="3"/>
  <c r="M348" i="3"/>
  <c r="AT348" i="3"/>
  <c r="D349" i="3"/>
  <c r="E349" i="3"/>
  <c r="F349" i="3"/>
  <c r="G349" i="3"/>
  <c r="H349" i="3"/>
  <c r="J349" i="3"/>
  <c r="K349" i="3"/>
  <c r="L349" i="3"/>
  <c r="M349" i="3"/>
  <c r="AT349" i="3"/>
  <c r="D350" i="3"/>
  <c r="E350" i="3"/>
  <c r="F350" i="3"/>
  <c r="G350" i="3"/>
  <c r="H350" i="3"/>
  <c r="J350" i="3"/>
  <c r="K350" i="3"/>
  <c r="L350" i="3"/>
  <c r="M350" i="3"/>
  <c r="AT350" i="3"/>
  <c r="D351" i="3"/>
  <c r="E351" i="3"/>
  <c r="F351" i="3"/>
  <c r="G351" i="3"/>
  <c r="H351" i="3"/>
  <c r="J351" i="3"/>
  <c r="K351" i="3"/>
  <c r="L351" i="3"/>
  <c r="M351" i="3"/>
  <c r="AT351" i="3"/>
  <c r="D352" i="3"/>
  <c r="E352" i="3"/>
  <c r="F352" i="3"/>
  <c r="G352" i="3"/>
  <c r="H352" i="3"/>
  <c r="J352" i="3"/>
  <c r="K352" i="3"/>
  <c r="L352" i="3"/>
  <c r="M352" i="3"/>
  <c r="AT352" i="3"/>
  <c r="D353" i="3"/>
  <c r="E353" i="3"/>
  <c r="F353" i="3"/>
  <c r="G353" i="3"/>
  <c r="H353" i="3"/>
  <c r="J353" i="3"/>
  <c r="K353" i="3"/>
  <c r="L353" i="3"/>
  <c r="M353" i="3"/>
  <c r="AT353" i="3"/>
  <c r="D354" i="3"/>
  <c r="E354" i="3"/>
  <c r="F354" i="3"/>
  <c r="G354" i="3"/>
  <c r="H354" i="3"/>
  <c r="J354" i="3"/>
  <c r="K354" i="3"/>
  <c r="L354" i="3"/>
  <c r="M354" i="3"/>
  <c r="AT354" i="3"/>
  <c r="D355" i="3"/>
  <c r="E355" i="3"/>
  <c r="F355" i="3"/>
  <c r="G355" i="3"/>
  <c r="H355" i="3"/>
  <c r="J355" i="3"/>
  <c r="K355" i="3"/>
  <c r="L355" i="3"/>
  <c r="M355" i="3"/>
  <c r="AT355" i="3"/>
  <c r="D356" i="3"/>
  <c r="E356" i="3"/>
  <c r="F356" i="3"/>
  <c r="G356" i="3"/>
  <c r="H356" i="3"/>
  <c r="J356" i="3"/>
  <c r="K356" i="3"/>
  <c r="L356" i="3"/>
  <c r="M356" i="3"/>
  <c r="AT356" i="3"/>
  <c r="D357" i="3"/>
  <c r="E357" i="3"/>
  <c r="F357" i="3"/>
  <c r="G357" i="3"/>
  <c r="H357" i="3"/>
  <c r="J357" i="3"/>
  <c r="K357" i="3"/>
  <c r="L357" i="3"/>
  <c r="M357" i="3"/>
  <c r="AT357" i="3"/>
  <c r="D358" i="3"/>
  <c r="E358" i="3"/>
  <c r="F358" i="3"/>
  <c r="G358" i="3"/>
  <c r="H358" i="3"/>
  <c r="J358" i="3"/>
  <c r="K358" i="3"/>
  <c r="L358" i="3"/>
  <c r="M358" i="3"/>
  <c r="AT358" i="3"/>
  <c r="D359" i="3"/>
  <c r="E359" i="3"/>
  <c r="F359" i="3"/>
  <c r="G359" i="3"/>
  <c r="H359" i="3"/>
  <c r="J359" i="3"/>
  <c r="K359" i="3"/>
  <c r="L359" i="3"/>
  <c r="M359" i="3"/>
  <c r="AT359" i="3"/>
  <c r="D361" i="3"/>
  <c r="E361" i="3"/>
  <c r="F361" i="3"/>
  <c r="G361" i="3"/>
  <c r="H361" i="3"/>
  <c r="J361" i="3"/>
  <c r="K361" i="3"/>
  <c r="L361" i="3"/>
  <c r="M361" i="3"/>
  <c r="AT361" i="3"/>
  <c r="D362" i="3"/>
  <c r="E362" i="3"/>
  <c r="F362" i="3"/>
  <c r="G362" i="3"/>
  <c r="H362" i="3"/>
  <c r="J362" i="3"/>
  <c r="K362" i="3"/>
  <c r="L362" i="3"/>
  <c r="M362" i="3"/>
  <c r="AT362" i="3"/>
  <c r="D363" i="3"/>
  <c r="E363" i="3"/>
  <c r="F363" i="3"/>
  <c r="G363" i="3"/>
  <c r="H363" i="3"/>
  <c r="J363" i="3"/>
  <c r="K363" i="3"/>
  <c r="L363" i="3"/>
  <c r="M363" i="3"/>
  <c r="AT363" i="3"/>
  <c r="D364" i="3"/>
  <c r="E364" i="3"/>
  <c r="F364" i="3"/>
  <c r="G364" i="3"/>
  <c r="H364" i="3"/>
  <c r="J364" i="3"/>
  <c r="K364" i="3"/>
  <c r="L364" i="3"/>
  <c r="M364" i="3"/>
  <c r="AT364" i="3"/>
  <c r="D365" i="3"/>
  <c r="E365" i="3"/>
  <c r="F365" i="3"/>
  <c r="G365" i="3"/>
  <c r="H365" i="3"/>
  <c r="J365" i="3"/>
  <c r="K365" i="3"/>
  <c r="L365" i="3"/>
  <c r="M365" i="3"/>
  <c r="AT365" i="3"/>
  <c r="D366" i="3"/>
  <c r="E366" i="3"/>
  <c r="F366" i="3"/>
  <c r="G366" i="3"/>
  <c r="H366" i="3"/>
  <c r="J366" i="3"/>
  <c r="K366" i="3"/>
  <c r="L366" i="3"/>
  <c r="M366" i="3"/>
  <c r="AT366" i="3"/>
  <c r="D368" i="3"/>
  <c r="E368" i="3"/>
  <c r="F368" i="3"/>
  <c r="G368" i="3"/>
  <c r="H368" i="3"/>
  <c r="J368" i="3"/>
  <c r="K368" i="3"/>
  <c r="L368" i="3"/>
  <c r="M368" i="3"/>
  <c r="AT368" i="3"/>
  <c r="D369" i="3"/>
  <c r="E369" i="3"/>
  <c r="F369" i="3"/>
  <c r="G369" i="3"/>
  <c r="H369" i="3"/>
  <c r="J369" i="3"/>
  <c r="K369" i="3"/>
  <c r="L369" i="3"/>
  <c r="M369" i="3"/>
  <c r="AT369" i="3"/>
  <c r="D370" i="3"/>
  <c r="E370" i="3"/>
  <c r="F370" i="3"/>
  <c r="G370" i="3"/>
  <c r="H370" i="3"/>
  <c r="J370" i="3"/>
  <c r="K370" i="3"/>
  <c r="L370" i="3"/>
  <c r="M370" i="3"/>
  <c r="AT370" i="3"/>
  <c r="D371" i="3"/>
  <c r="E371" i="3"/>
  <c r="F371" i="3"/>
  <c r="G371" i="3"/>
  <c r="H371" i="3"/>
  <c r="J371" i="3"/>
  <c r="K371" i="3"/>
  <c r="L371" i="3"/>
  <c r="M371" i="3"/>
  <c r="AT371" i="3"/>
  <c r="D372" i="3"/>
  <c r="E372" i="3"/>
  <c r="F372" i="3"/>
  <c r="G372" i="3"/>
  <c r="H372" i="3"/>
  <c r="J372" i="3"/>
  <c r="K372" i="3"/>
  <c r="L372" i="3"/>
  <c r="M372" i="3"/>
  <c r="AT372" i="3"/>
  <c r="D373" i="3"/>
  <c r="E373" i="3"/>
  <c r="F373" i="3"/>
  <c r="G373" i="3"/>
  <c r="H373" i="3"/>
  <c r="J373" i="3"/>
  <c r="K373" i="3"/>
  <c r="L373" i="3"/>
  <c r="M373" i="3"/>
  <c r="AT373" i="3"/>
  <c r="D374" i="3"/>
  <c r="E374" i="3"/>
  <c r="F374" i="3"/>
  <c r="G374" i="3"/>
  <c r="H374" i="3"/>
  <c r="J374" i="3"/>
  <c r="K374" i="3"/>
  <c r="L374" i="3"/>
  <c r="M374" i="3"/>
  <c r="AT374" i="3"/>
  <c r="D375" i="3"/>
  <c r="E375" i="3"/>
  <c r="F375" i="3"/>
  <c r="G375" i="3"/>
  <c r="H375" i="3"/>
  <c r="J375" i="3"/>
  <c r="K375" i="3"/>
  <c r="L375" i="3"/>
  <c r="M375" i="3"/>
  <c r="AT375" i="3"/>
  <c r="D376" i="3"/>
  <c r="E376" i="3"/>
  <c r="F376" i="3"/>
  <c r="G376" i="3"/>
  <c r="H376" i="3"/>
  <c r="J376" i="3"/>
  <c r="K376" i="3"/>
  <c r="L376" i="3"/>
  <c r="M376" i="3"/>
  <c r="AT376" i="3"/>
  <c r="D377" i="3"/>
  <c r="E377" i="3"/>
  <c r="F377" i="3"/>
  <c r="G377" i="3"/>
  <c r="H377" i="3"/>
  <c r="J377" i="3"/>
  <c r="K377" i="3"/>
  <c r="L377" i="3"/>
  <c r="M377" i="3"/>
  <c r="AT377" i="3"/>
  <c r="D378" i="3"/>
  <c r="E378" i="3"/>
  <c r="F378" i="3"/>
  <c r="G378" i="3"/>
  <c r="H378" i="3"/>
  <c r="J378" i="3"/>
  <c r="K378" i="3"/>
  <c r="L378" i="3"/>
  <c r="M378" i="3"/>
  <c r="AT378" i="3"/>
  <c r="D379" i="3"/>
  <c r="E379" i="3"/>
  <c r="F379" i="3"/>
  <c r="G379" i="3"/>
  <c r="H379" i="3"/>
  <c r="J379" i="3"/>
  <c r="K379" i="3"/>
  <c r="L379" i="3"/>
  <c r="M379" i="3"/>
  <c r="AT379" i="3"/>
  <c r="D380" i="3"/>
  <c r="E380" i="3"/>
  <c r="F380" i="3"/>
  <c r="G380" i="3"/>
  <c r="H380" i="3"/>
  <c r="J380" i="3"/>
  <c r="K380" i="3"/>
  <c r="L380" i="3"/>
  <c r="M380" i="3"/>
  <c r="AT380" i="3"/>
  <c r="D381" i="3"/>
  <c r="E381" i="3"/>
  <c r="F381" i="3"/>
  <c r="G381" i="3"/>
  <c r="H381" i="3"/>
  <c r="J381" i="3"/>
  <c r="K381" i="3"/>
  <c r="L381" i="3"/>
  <c r="M381" i="3"/>
  <c r="AT381" i="3"/>
  <c r="D382" i="3"/>
  <c r="E382" i="3"/>
  <c r="F382" i="3"/>
  <c r="G382" i="3"/>
  <c r="H382" i="3"/>
  <c r="J382" i="3"/>
  <c r="K382" i="3"/>
  <c r="L382" i="3"/>
  <c r="M382" i="3"/>
  <c r="AT382" i="3"/>
  <c r="D383" i="3"/>
  <c r="E383" i="3"/>
  <c r="F383" i="3"/>
  <c r="G383" i="3"/>
  <c r="H383" i="3"/>
  <c r="J383" i="3"/>
  <c r="K383" i="3"/>
  <c r="L383" i="3"/>
  <c r="M383" i="3"/>
  <c r="AT383" i="3"/>
  <c r="D384" i="3"/>
  <c r="E384" i="3"/>
  <c r="F384" i="3"/>
  <c r="G384" i="3"/>
  <c r="H384" i="3"/>
  <c r="J384" i="3"/>
  <c r="K384" i="3"/>
  <c r="L384" i="3"/>
  <c r="M384" i="3"/>
  <c r="AT384" i="3"/>
  <c r="D385" i="3"/>
  <c r="E385" i="3"/>
  <c r="F385" i="3"/>
  <c r="G385" i="3"/>
  <c r="H385" i="3"/>
  <c r="J385" i="3"/>
  <c r="K385" i="3"/>
  <c r="L385" i="3"/>
  <c r="M385" i="3"/>
  <c r="AT385" i="3"/>
  <c r="D386" i="3"/>
  <c r="E386" i="3"/>
  <c r="F386" i="3"/>
  <c r="G386" i="3"/>
  <c r="H386" i="3"/>
  <c r="J386" i="3"/>
  <c r="K386" i="3"/>
  <c r="L386" i="3"/>
  <c r="M386" i="3"/>
  <c r="AT386" i="3"/>
  <c r="D388" i="3"/>
  <c r="E388" i="3"/>
  <c r="F388" i="3"/>
  <c r="G388" i="3"/>
  <c r="H388" i="3"/>
  <c r="J388" i="3"/>
  <c r="K388" i="3"/>
  <c r="L388" i="3"/>
  <c r="M388" i="3"/>
  <c r="AT388" i="3"/>
  <c r="D389" i="3"/>
  <c r="E389" i="3"/>
  <c r="F389" i="3"/>
  <c r="G389" i="3"/>
  <c r="H389" i="3"/>
  <c r="J389" i="3"/>
  <c r="K389" i="3"/>
  <c r="L389" i="3"/>
  <c r="M389" i="3"/>
  <c r="AT389" i="3"/>
  <c r="D390" i="3"/>
  <c r="E390" i="3"/>
  <c r="F390" i="3"/>
  <c r="G390" i="3"/>
  <c r="H390" i="3"/>
  <c r="J390" i="3"/>
  <c r="K390" i="3"/>
  <c r="L390" i="3"/>
  <c r="M390" i="3"/>
  <c r="AT390" i="3"/>
  <c r="D391" i="3"/>
  <c r="E391" i="3"/>
  <c r="F391" i="3"/>
  <c r="G391" i="3"/>
  <c r="H391" i="3"/>
  <c r="J391" i="3"/>
  <c r="K391" i="3"/>
  <c r="L391" i="3"/>
  <c r="M391" i="3"/>
  <c r="AT391" i="3"/>
  <c r="D392" i="3"/>
  <c r="E392" i="3"/>
  <c r="F392" i="3"/>
  <c r="G392" i="3"/>
  <c r="H392" i="3"/>
  <c r="J392" i="3"/>
  <c r="K392" i="3"/>
  <c r="L392" i="3"/>
  <c r="M392" i="3"/>
  <c r="AT392" i="3"/>
  <c r="D393" i="3"/>
  <c r="E393" i="3"/>
  <c r="F393" i="3"/>
  <c r="G393" i="3"/>
  <c r="H393" i="3"/>
  <c r="J393" i="3"/>
  <c r="K393" i="3"/>
  <c r="L393" i="3"/>
  <c r="M393" i="3"/>
  <c r="AT393" i="3"/>
  <c r="D394" i="3"/>
  <c r="E394" i="3"/>
  <c r="F394" i="3"/>
  <c r="G394" i="3"/>
  <c r="H394" i="3"/>
  <c r="J394" i="3"/>
  <c r="K394" i="3"/>
  <c r="L394" i="3"/>
  <c r="M394" i="3"/>
  <c r="AT394" i="3"/>
  <c r="D395" i="3"/>
  <c r="E395" i="3"/>
  <c r="F395" i="3"/>
  <c r="G395" i="3"/>
  <c r="H395" i="3"/>
  <c r="J395" i="3"/>
  <c r="K395" i="3"/>
  <c r="L395" i="3"/>
  <c r="M395" i="3"/>
  <c r="AT395" i="3"/>
  <c r="D396" i="3"/>
  <c r="E396" i="3"/>
  <c r="F396" i="3"/>
  <c r="G396" i="3"/>
  <c r="H396" i="3"/>
  <c r="J396" i="3"/>
  <c r="K396" i="3"/>
  <c r="L396" i="3"/>
  <c r="M396" i="3"/>
  <c r="AT396" i="3"/>
  <c r="D398" i="3"/>
  <c r="E398" i="3"/>
  <c r="F398" i="3"/>
  <c r="G398" i="3"/>
  <c r="H398" i="3"/>
  <c r="J398" i="3"/>
  <c r="K398" i="3"/>
  <c r="L398" i="3"/>
  <c r="M398" i="3"/>
  <c r="AT398" i="3"/>
  <c r="D397" i="3"/>
  <c r="E397" i="3"/>
  <c r="F397" i="3"/>
  <c r="G397" i="3"/>
  <c r="H397" i="3"/>
  <c r="J397" i="3"/>
  <c r="K397" i="3"/>
  <c r="L397" i="3"/>
  <c r="M397" i="3"/>
  <c r="AT397" i="3"/>
  <c r="D399" i="3"/>
  <c r="E399" i="3"/>
  <c r="F399" i="3"/>
  <c r="G399" i="3"/>
  <c r="H399" i="3"/>
  <c r="J399" i="3"/>
  <c r="K399" i="3"/>
  <c r="L399" i="3"/>
  <c r="M399" i="3"/>
  <c r="AT399" i="3"/>
  <c r="D400" i="3"/>
  <c r="E400" i="3"/>
  <c r="F400" i="3"/>
  <c r="G400" i="3"/>
  <c r="H400" i="3"/>
  <c r="J400" i="3"/>
  <c r="K400" i="3"/>
  <c r="L400" i="3"/>
  <c r="M400" i="3"/>
  <c r="AT400" i="3"/>
  <c r="D401" i="3"/>
  <c r="E401" i="3"/>
  <c r="F401" i="3"/>
  <c r="G401" i="3"/>
  <c r="H401" i="3"/>
  <c r="J401" i="3"/>
  <c r="K401" i="3"/>
  <c r="L401" i="3"/>
  <c r="M401" i="3"/>
  <c r="AT401" i="3"/>
  <c r="D402" i="3"/>
  <c r="E402" i="3"/>
  <c r="F402" i="3"/>
  <c r="G402" i="3"/>
  <c r="H402" i="3"/>
  <c r="J402" i="3"/>
  <c r="K402" i="3"/>
  <c r="L402" i="3"/>
  <c r="M402" i="3"/>
  <c r="AT402" i="3"/>
  <c r="D403" i="3"/>
  <c r="E403" i="3"/>
  <c r="F403" i="3"/>
  <c r="G403" i="3"/>
  <c r="H403" i="3"/>
  <c r="J403" i="3"/>
  <c r="K403" i="3"/>
  <c r="L403" i="3"/>
  <c r="M403" i="3"/>
  <c r="AT403" i="3"/>
  <c r="D404" i="3"/>
  <c r="E404" i="3"/>
  <c r="F404" i="3"/>
  <c r="G404" i="3"/>
  <c r="H404" i="3"/>
  <c r="J404" i="3"/>
  <c r="K404" i="3"/>
  <c r="L404" i="3"/>
  <c r="M404" i="3"/>
  <c r="AT404" i="3"/>
  <c r="D405" i="3"/>
  <c r="E405" i="3"/>
  <c r="F405" i="3"/>
  <c r="G405" i="3"/>
  <c r="H405" i="3"/>
  <c r="J405" i="3"/>
  <c r="K405" i="3"/>
  <c r="L405" i="3"/>
  <c r="M405" i="3"/>
  <c r="AT405" i="3"/>
  <c r="D406" i="3"/>
  <c r="E406" i="3"/>
  <c r="F406" i="3"/>
  <c r="G406" i="3"/>
  <c r="H406" i="3"/>
  <c r="J406" i="3"/>
  <c r="K406" i="3"/>
  <c r="L406" i="3"/>
  <c r="M406" i="3"/>
  <c r="AT406" i="3"/>
  <c r="D407" i="3"/>
  <c r="E407" i="3"/>
  <c r="F407" i="3"/>
  <c r="G407" i="3"/>
  <c r="H407" i="3"/>
  <c r="J407" i="3"/>
  <c r="K407" i="3"/>
  <c r="L407" i="3"/>
  <c r="M407" i="3"/>
  <c r="AT407" i="3"/>
  <c r="D408" i="3"/>
  <c r="E408" i="3"/>
  <c r="F408" i="3"/>
  <c r="G408" i="3"/>
  <c r="H408" i="3"/>
  <c r="J408" i="3"/>
  <c r="K408" i="3"/>
  <c r="L408" i="3"/>
  <c r="M408" i="3"/>
  <c r="AT408" i="3"/>
  <c r="D409" i="3"/>
  <c r="E409" i="3"/>
  <c r="F409" i="3"/>
  <c r="G409" i="3"/>
  <c r="H409" i="3"/>
  <c r="J409" i="3"/>
  <c r="K409" i="3"/>
  <c r="L409" i="3"/>
  <c r="M409" i="3"/>
  <c r="AT409" i="3"/>
  <c r="D410" i="3"/>
  <c r="E410" i="3"/>
  <c r="F410" i="3"/>
  <c r="G410" i="3"/>
  <c r="H410" i="3"/>
  <c r="J410" i="3"/>
  <c r="K410" i="3"/>
  <c r="L410" i="3"/>
  <c r="M410" i="3"/>
  <c r="AT410" i="3"/>
  <c r="D411" i="3"/>
  <c r="E411" i="3"/>
  <c r="F411" i="3"/>
  <c r="G411" i="3"/>
  <c r="H411" i="3"/>
  <c r="J411" i="3"/>
  <c r="K411" i="3"/>
  <c r="L411" i="3"/>
  <c r="M411" i="3"/>
  <c r="AT411" i="3"/>
  <c r="D412" i="3"/>
  <c r="E412" i="3"/>
  <c r="F412" i="3"/>
  <c r="G412" i="3"/>
  <c r="H412" i="3"/>
  <c r="J412" i="3"/>
  <c r="K412" i="3"/>
  <c r="L412" i="3"/>
  <c r="M412" i="3"/>
  <c r="AT412" i="3"/>
  <c r="D413" i="3"/>
  <c r="E413" i="3"/>
  <c r="F413" i="3"/>
  <c r="G413" i="3"/>
  <c r="H413" i="3"/>
  <c r="J413" i="3"/>
  <c r="K413" i="3"/>
  <c r="L413" i="3"/>
  <c r="M413" i="3"/>
  <c r="AT413" i="3"/>
  <c r="D415" i="3"/>
  <c r="E415" i="3"/>
  <c r="F415" i="3"/>
  <c r="G415" i="3"/>
  <c r="H415" i="3"/>
  <c r="J415" i="3"/>
  <c r="K415" i="3"/>
  <c r="L415" i="3"/>
  <c r="M415" i="3"/>
  <c r="AT415" i="3"/>
  <c r="D416" i="3"/>
  <c r="E416" i="3"/>
  <c r="F416" i="3"/>
  <c r="G416" i="3"/>
  <c r="H416" i="3"/>
  <c r="J416" i="3"/>
  <c r="K416" i="3"/>
  <c r="L416" i="3"/>
  <c r="M416" i="3"/>
  <c r="AT416" i="3"/>
  <c r="D417" i="3"/>
  <c r="E417" i="3"/>
  <c r="F417" i="3"/>
  <c r="G417" i="3"/>
  <c r="H417" i="3"/>
  <c r="J417" i="3"/>
  <c r="K417" i="3"/>
  <c r="L417" i="3"/>
  <c r="M417" i="3"/>
  <c r="AT417" i="3"/>
  <c r="D418" i="3"/>
  <c r="E418" i="3"/>
  <c r="F418" i="3"/>
  <c r="G418" i="3"/>
  <c r="H418" i="3"/>
  <c r="J418" i="3"/>
  <c r="K418" i="3"/>
  <c r="L418" i="3"/>
  <c r="M418" i="3"/>
  <c r="AT418" i="3"/>
  <c r="D419" i="3"/>
  <c r="E419" i="3"/>
  <c r="F419" i="3"/>
  <c r="G419" i="3"/>
  <c r="H419" i="3"/>
  <c r="J419" i="3"/>
  <c r="K419" i="3"/>
  <c r="L419" i="3"/>
  <c r="M419" i="3"/>
  <c r="AT419" i="3"/>
  <c r="D420" i="3"/>
  <c r="E420" i="3"/>
  <c r="F420" i="3"/>
  <c r="G420" i="3"/>
  <c r="H420" i="3"/>
  <c r="J420" i="3"/>
  <c r="K420" i="3"/>
  <c r="L420" i="3"/>
  <c r="M420" i="3"/>
  <c r="AT420" i="3"/>
  <c r="D422" i="3"/>
  <c r="E422" i="3"/>
  <c r="F422" i="3"/>
  <c r="G422" i="3"/>
  <c r="H422" i="3"/>
  <c r="J422" i="3"/>
  <c r="K422" i="3"/>
  <c r="L422" i="3"/>
  <c r="M422" i="3"/>
  <c r="AT422" i="3"/>
  <c r="D423" i="3"/>
  <c r="E423" i="3"/>
  <c r="F423" i="3"/>
  <c r="G423" i="3"/>
  <c r="H423" i="3"/>
  <c r="J423" i="3"/>
  <c r="K423" i="3"/>
  <c r="L423" i="3"/>
  <c r="M423" i="3"/>
  <c r="AT423" i="3"/>
  <c r="D424" i="3"/>
  <c r="E424" i="3"/>
  <c r="F424" i="3"/>
  <c r="G424" i="3"/>
  <c r="H424" i="3"/>
  <c r="J424" i="3"/>
  <c r="K424" i="3"/>
  <c r="L424" i="3"/>
  <c r="M424" i="3"/>
  <c r="AT424" i="3"/>
  <c r="D425" i="3"/>
  <c r="E425" i="3"/>
  <c r="F425" i="3"/>
  <c r="G425" i="3"/>
  <c r="H425" i="3"/>
  <c r="J425" i="3"/>
  <c r="K425" i="3"/>
  <c r="L425" i="3"/>
  <c r="M425" i="3"/>
  <c r="AT425" i="3"/>
  <c r="D426" i="3"/>
  <c r="E426" i="3"/>
  <c r="F426" i="3"/>
  <c r="G426" i="3"/>
  <c r="H426" i="3"/>
  <c r="J426" i="3"/>
  <c r="K426" i="3"/>
  <c r="L426" i="3"/>
  <c r="M426" i="3"/>
  <c r="AT426" i="3"/>
  <c r="D427" i="3"/>
  <c r="E427" i="3"/>
  <c r="F427" i="3"/>
  <c r="G427" i="3"/>
  <c r="H427" i="3"/>
  <c r="J427" i="3"/>
  <c r="K427" i="3"/>
  <c r="L427" i="3"/>
  <c r="M427" i="3"/>
  <c r="AT427" i="3"/>
  <c r="D428" i="3"/>
  <c r="E428" i="3"/>
  <c r="F428" i="3"/>
  <c r="G428" i="3"/>
  <c r="H428" i="3"/>
  <c r="J428" i="3"/>
  <c r="K428" i="3"/>
  <c r="L428" i="3"/>
  <c r="M428" i="3"/>
  <c r="AT428" i="3"/>
  <c r="D429" i="3"/>
  <c r="E429" i="3"/>
  <c r="F429" i="3"/>
  <c r="G429" i="3"/>
  <c r="H429" i="3"/>
  <c r="J429" i="3"/>
  <c r="K429" i="3"/>
  <c r="L429" i="3"/>
  <c r="M429" i="3"/>
  <c r="AT429" i="3"/>
  <c r="D430" i="3"/>
  <c r="E430" i="3"/>
  <c r="F430" i="3"/>
  <c r="G430" i="3"/>
  <c r="H430" i="3"/>
  <c r="J430" i="3"/>
  <c r="K430" i="3"/>
  <c r="L430" i="3"/>
  <c r="M430" i="3"/>
  <c r="AT430" i="3"/>
  <c r="D431" i="3"/>
  <c r="E431" i="3"/>
  <c r="F431" i="3"/>
  <c r="G431" i="3"/>
  <c r="H431" i="3"/>
  <c r="J431" i="3"/>
  <c r="K431" i="3"/>
  <c r="L431" i="3"/>
  <c r="M431" i="3"/>
  <c r="AT431" i="3"/>
  <c r="D432" i="3"/>
  <c r="E432" i="3"/>
  <c r="F432" i="3"/>
  <c r="G432" i="3"/>
  <c r="H432" i="3"/>
  <c r="J432" i="3"/>
  <c r="K432" i="3"/>
  <c r="L432" i="3"/>
  <c r="M432" i="3"/>
  <c r="AT432" i="3"/>
  <c r="D433" i="3"/>
  <c r="E433" i="3"/>
  <c r="F433" i="3"/>
  <c r="G433" i="3"/>
  <c r="H433" i="3"/>
  <c r="J433" i="3"/>
  <c r="K433" i="3"/>
  <c r="L433" i="3"/>
  <c r="M433" i="3"/>
  <c r="AT433" i="3"/>
  <c r="D434" i="3"/>
  <c r="E434" i="3"/>
  <c r="F434" i="3"/>
  <c r="G434" i="3"/>
  <c r="H434" i="3"/>
  <c r="J434" i="3"/>
  <c r="K434" i="3"/>
  <c r="L434" i="3"/>
  <c r="M434" i="3"/>
  <c r="AT434" i="3"/>
  <c r="D435" i="3"/>
  <c r="E435" i="3"/>
  <c r="F435" i="3"/>
  <c r="G435" i="3"/>
  <c r="H435" i="3"/>
  <c r="J435" i="3"/>
  <c r="K435" i="3"/>
  <c r="L435" i="3"/>
  <c r="M435" i="3"/>
  <c r="AT435" i="3"/>
  <c r="D436" i="3"/>
  <c r="E436" i="3"/>
  <c r="F436" i="3"/>
  <c r="G436" i="3"/>
  <c r="H436" i="3"/>
  <c r="J436" i="3"/>
  <c r="K436" i="3"/>
  <c r="L436" i="3"/>
  <c r="M436" i="3"/>
  <c r="AT436" i="3"/>
  <c r="D437" i="3"/>
  <c r="E437" i="3"/>
  <c r="F437" i="3"/>
  <c r="G437" i="3"/>
  <c r="H437" i="3"/>
  <c r="J437" i="3"/>
  <c r="K437" i="3"/>
  <c r="L437" i="3"/>
  <c r="M437" i="3"/>
  <c r="AT437" i="3"/>
  <c r="D438" i="3"/>
  <c r="E438" i="3"/>
  <c r="F438" i="3"/>
  <c r="G438" i="3"/>
  <c r="H438" i="3"/>
  <c r="J438" i="3"/>
  <c r="K438" i="3"/>
  <c r="L438" i="3"/>
  <c r="M438" i="3"/>
  <c r="AT438" i="3"/>
  <c r="D439" i="3"/>
  <c r="E439" i="3"/>
  <c r="F439" i="3"/>
  <c r="G439" i="3"/>
  <c r="H439" i="3"/>
  <c r="J439" i="3"/>
  <c r="K439" i="3"/>
  <c r="L439" i="3"/>
  <c r="M439" i="3"/>
  <c r="AT439" i="3"/>
  <c r="D440" i="3"/>
  <c r="E440" i="3"/>
  <c r="F440" i="3"/>
  <c r="G440" i="3"/>
  <c r="H440" i="3"/>
  <c r="J440" i="3"/>
  <c r="K440" i="3"/>
  <c r="L440" i="3"/>
  <c r="M440" i="3"/>
  <c r="AT440" i="3"/>
  <c r="D441" i="3"/>
  <c r="E441" i="3"/>
  <c r="F441" i="3"/>
  <c r="G441" i="3"/>
  <c r="H441" i="3"/>
  <c r="J441" i="3"/>
  <c r="K441" i="3"/>
  <c r="L441" i="3"/>
  <c r="M441" i="3"/>
  <c r="AT441" i="3"/>
  <c r="D442" i="3"/>
  <c r="E442" i="3"/>
  <c r="F442" i="3"/>
  <c r="G442" i="3"/>
  <c r="H442" i="3"/>
  <c r="J442" i="3"/>
  <c r="K442" i="3"/>
  <c r="L442" i="3"/>
  <c r="M442" i="3"/>
  <c r="AT442" i="3"/>
  <c r="D443" i="3"/>
  <c r="E443" i="3"/>
  <c r="F443" i="3"/>
  <c r="G443" i="3"/>
  <c r="H443" i="3"/>
  <c r="J443" i="3"/>
  <c r="K443" i="3"/>
  <c r="L443" i="3"/>
  <c r="M443" i="3"/>
  <c r="AT443" i="3"/>
  <c r="D444" i="3"/>
  <c r="E444" i="3"/>
  <c r="F444" i="3"/>
  <c r="G444" i="3"/>
  <c r="H444" i="3"/>
  <c r="J444" i="3"/>
  <c r="K444" i="3"/>
  <c r="L444" i="3"/>
  <c r="M444" i="3"/>
  <c r="AT444" i="3"/>
  <c r="D445" i="3"/>
  <c r="E445" i="3"/>
  <c r="F445" i="3"/>
  <c r="G445" i="3"/>
  <c r="H445" i="3"/>
  <c r="J445" i="3"/>
  <c r="K445" i="3"/>
  <c r="L445" i="3"/>
  <c r="M445" i="3"/>
  <c r="AT445" i="3"/>
  <c r="D446" i="3"/>
  <c r="E446" i="3"/>
  <c r="F446" i="3"/>
  <c r="G446" i="3"/>
  <c r="H446" i="3"/>
  <c r="J446" i="3"/>
  <c r="K446" i="3"/>
  <c r="L446" i="3"/>
  <c r="M446" i="3"/>
  <c r="AT446" i="3"/>
  <c r="D447" i="3"/>
  <c r="E447" i="3"/>
  <c r="F447" i="3"/>
  <c r="G447" i="3"/>
  <c r="H447" i="3"/>
  <c r="J447" i="3"/>
  <c r="K447" i="3"/>
  <c r="L447" i="3"/>
  <c r="M447" i="3"/>
  <c r="AT447" i="3"/>
  <c r="D448" i="3"/>
  <c r="E448" i="3"/>
  <c r="F448" i="3"/>
  <c r="G448" i="3"/>
  <c r="H448" i="3"/>
  <c r="J448" i="3"/>
  <c r="K448" i="3"/>
  <c r="L448" i="3"/>
  <c r="M448" i="3"/>
  <c r="AT448" i="3"/>
  <c r="D449" i="3"/>
  <c r="E449" i="3"/>
  <c r="F449" i="3"/>
  <c r="G449" i="3"/>
  <c r="H449" i="3"/>
  <c r="J449" i="3"/>
  <c r="K449" i="3"/>
  <c r="L449" i="3"/>
  <c r="M449" i="3"/>
  <c r="AT449" i="3"/>
  <c r="D450" i="3"/>
  <c r="E450" i="3"/>
  <c r="F450" i="3"/>
  <c r="G450" i="3"/>
  <c r="H450" i="3"/>
  <c r="J450" i="3"/>
  <c r="K450" i="3"/>
  <c r="L450" i="3"/>
  <c r="M450" i="3"/>
  <c r="AT450" i="3"/>
  <c r="D451" i="3"/>
  <c r="E451" i="3"/>
  <c r="F451" i="3"/>
  <c r="G451" i="3"/>
  <c r="H451" i="3"/>
  <c r="J451" i="3"/>
  <c r="K451" i="3"/>
  <c r="L451" i="3"/>
  <c r="M451" i="3"/>
  <c r="AT451" i="3"/>
  <c r="D452" i="3"/>
  <c r="E452" i="3"/>
  <c r="F452" i="3"/>
  <c r="G452" i="3"/>
  <c r="H452" i="3"/>
  <c r="J452" i="3"/>
  <c r="K452" i="3"/>
  <c r="L452" i="3"/>
  <c r="M452" i="3"/>
  <c r="AT452" i="3"/>
  <c r="D453" i="3"/>
  <c r="E453" i="3"/>
  <c r="F453" i="3"/>
  <c r="G453" i="3"/>
  <c r="H453" i="3"/>
  <c r="J453" i="3"/>
  <c r="K453" i="3"/>
  <c r="L453" i="3"/>
  <c r="M453" i="3"/>
  <c r="AT453" i="3"/>
  <c r="D454" i="3"/>
  <c r="E454" i="3"/>
  <c r="F454" i="3"/>
  <c r="G454" i="3"/>
  <c r="H454" i="3"/>
  <c r="J454" i="3"/>
  <c r="K454" i="3"/>
  <c r="L454" i="3"/>
  <c r="M454" i="3"/>
  <c r="AT454" i="3"/>
  <c r="D455" i="3"/>
  <c r="E455" i="3"/>
  <c r="F455" i="3"/>
  <c r="G455" i="3"/>
  <c r="H455" i="3"/>
  <c r="J455" i="3"/>
  <c r="K455" i="3"/>
  <c r="L455" i="3"/>
  <c r="M455" i="3"/>
  <c r="AT455" i="3"/>
  <c r="D456" i="3"/>
  <c r="E456" i="3"/>
  <c r="F456" i="3"/>
  <c r="G456" i="3"/>
  <c r="H456" i="3"/>
  <c r="J456" i="3"/>
  <c r="K456" i="3"/>
  <c r="L456" i="3"/>
  <c r="M456" i="3"/>
  <c r="AT456" i="3"/>
  <c r="D457" i="3"/>
  <c r="E457" i="3"/>
  <c r="F457" i="3"/>
  <c r="G457" i="3"/>
  <c r="H457" i="3"/>
  <c r="J457" i="3"/>
  <c r="K457" i="3"/>
  <c r="L457" i="3"/>
  <c r="M457" i="3"/>
  <c r="AT457" i="3"/>
  <c r="D458" i="3"/>
  <c r="E458" i="3"/>
  <c r="F458" i="3"/>
  <c r="G458" i="3"/>
  <c r="H458" i="3"/>
  <c r="J458" i="3"/>
  <c r="K458" i="3"/>
  <c r="L458" i="3"/>
  <c r="M458" i="3"/>
  <c r="AT458" i="3"/>
  <c r="D459" i="3"/>
  <c r="E459" i="3"/>
  <c r="F459" i="3"/>
  <c r="G459" i="3"/>
  <c r="H459" i="3"/>
  <c r="J459" i="3"/>
  <c r="K459" i="3"/>
  <c r="L459" i="3"/>
  <c r="M459" i="3"/>
  <c r="AT459" i="3"/>
  <c r="D460" i="3"/>
  <c r="E460" i="3"/>
  <c r="F460" i="3"/>
  <c r="G460" i="3"/>
  <c r="H460" i="3"/>
  <c r="J460" i="3"/>
  <c r="K460" i="3"/>
  <c r="L460" i="3"/>
  <c r="M460" i="3"/>
  <c r="AT460" i="3"/>
  <c r="D462" i="3"/>
  <c r="E462" i="3"/>
  <c r="F462" i="3"/>
  <c r="G462" i="3"/>
  <c r="H462" i="3"/>
  <c r="J462" i="3"/>
  <c r="K462" i="3"/>
  <c r="L462" i="3"/>
  <c r="M462" i="3"/>
  <c r="AT462" i="3"/>
  <c r="D463" i="3"/>
  <c r="E463" i="3"/>
  <c r="F463" i="3"/>
  <c r="G463" i="3"/>
  <c r="H463" i="3"/>
  <c r="J463" i="3"/>
  <c r="K463" i="3"/>
  <c r="L463" i="3"/>
  <c r="M463" i="3"/>
  <c r="AT463" i="3"/>
  <c r="D464" i="3"/>
  <c r="E464" i="3"/>
  <c r="F464" i="3"/>
  <c r="G464" i="3"/>
  <c r="H464" i="3"/>
  <c r="J464" i="3"/>
  <c r="K464" i="3"/>
  <c r="L464" i="3"/>
  <c r="M464" i="3"/>
  <c r="AT464" i="3"/>
  <c r="D465" i="3"/>
  <c r="E465" i="3"/>
  <c r="F465" i="3"/>
  <c r="G465" i="3"/>
  <c r="H465" i="3"/>
  <c r="J465" i="3"/>
  <c r="K465" i="3"/>
  <c r="L465" i="3"/>
  <c r="M465" i="3"/>
  <c r="AT465" i="3"/>
  <c r="D466" i="3"/>
  <c r="E466" i="3"/>
  <c r="F466" i="3"/>
  <c r="G466" i="3"/>
  <c r="H466" i="3"/>
  <c r="J466" i="3"/>
  <c r="K466" i="3"/>
  <c r="L466" i="3"/>
  <c r="M466" i="3"/>
  <c r="AT466" i="3"/>
  <c r="D467" i="3"/>
  <c r="E467" i="3"/>
  <c r="F467" i="3"/>
  <c r="G467" i="3"/>
  <c r="H467" i="3"/>
  <c r="J467" i="3"/>
  <c r="K467" i="3"/>
  <c r="L467" i="3"/>
  <c r="M467" i="3"/>
  <c r="AT467" i="3"/>
  <c r="D468" i="3"/>
  <c r="E468" i="3"/>
  <c r="F468" i="3"/>
  <c r="G468" i="3"/>
  <c r="H468" i="3"/>
  <c r="J468" i="3"/>
  <c r="K468" i="3"/>
  <c r="L468" i="3"/>
  <c r="M468" i="3"/>
  <c r="AT468" i="3"/>
  <c r="D469" i="3"/>
  <c r="E469" i="3"/>
  <c r="F469" i="3"/>
  <c r="G469" i="3"/>
  <c r="H469" i="3"/>
  <c r="J469" i="3"/>
  <c r="K469" i="3"/>
  <c r="L469" i="3"/>
  <c r="M469" i="3"/>
  <c r="AT469" i="3"/>
  <c r="D470" i="3"/>
  <c r="E470" i="3"/>
  <c r="F470" i="3"/>
  <c r="G470" i="3"/>
  <c r="H470" i="3"/>
  <c r="J470" i="3"/>
  <c r="K470" i="3"/>
  <c r="L470" i="3"/>
  <c r="M470" i="3"/>
  <c r="AT470" i="3"/>
  <c r="D471" i="3"/>
  <c r="E471" i="3"/>
  <c r="F471" i="3"/>
  <c r="G471" i="3"/>
  <c r="H471" i="3"/>
  <c r="J471" i="3"/>
  <c r="K471" i="3"/>
  <c r="L471" i="3"/>
  <c r="M471" i="3"/>
  <c r="AT471" i="3"/>
  <c r="D472" i="3"/>
  <c r="E472" i="3"/>
  <c r="F472" i="3"/>
  <c r="G472" i="3"/>
  <c r="H472" i="3"/>
  <c r="J472" i="3"/>
  <c r="K472" i="3"/>
  <c r="L472" i="3"/>
  <c r="M472" i="3"/>
  <c r="AT472" i="3"/>
  <c r="D473" i="3"/>
  <c r="E473" i="3"/>
  <c r="F473" i="3"/>
  <c r="G473" i="3"/>
  <c r="H473" i="3"/>
  <c r="J473" i="3"/>
  <c r="K473" i="3"/>
  <c r="L473" i="3"/>
  <c r="M473" i="3"/>
  <c r="AT473" i="3"/>
  <c r="D476" i="3"/>
  <c r="E476" i="3"/>
  <c r="F476" i="3"/>
  <c r="G476" i="3"/>
  <c r="H476" i="3"/>
  <c r="J476" i="3"/>
  <c r="K476" i="3"/>
  <c r="L476" i="3"/>
  <c r="M476" i="3"/>
  <c r="AT476" i="3"/>
  <c r="D477" i="3"/>
  <c r="E477" i="3"/>
  <c r="F477" i="3"/>
  <c r="G477" i="3"/>
  <c r="H477" i="3"/>
  <c r="J477" i="3"/>
  <c r="K477" i="3"/>
  <c r="L477" i="3"/>
  <c r="M477" i="3"/>
  <c r="AT477" i="3"/>
  <c r="D478" i="3"/>
  <c r="E478" i="3"/>
  <c r="F478" i="3"/>
  <c r="G478" i="3"/>
  <c r="H478" i="3"/>
  <c r="J478" i="3"/>
  <c r="K478" i="3"/>
  <c r="L478" i="3"/>
  <c r="M478" i="3"/>
  <c r="AT478" i="3"/>
  <c r="D480" i="3"/>
  <c r="E480" i="3"/>
  <c r="F480" i="3"/>
  <c r="G480" i="3"/>
  <c r="H480" i="3"/>
  <c r="J480" i="3"/>
  <c r="K480" i="3"/>
  <c r="L480" i="3"/>
  <c r="M480" i="3"/>
  <c r="AT480" i="3"/>
  <c r="D481" i="3"/>
  <c r="E481" i="3"/>
  <c r="F481" i="3"/>
  <c r="G481" i="3"/>
  <c r="H481" i="3"/>
  <c r="J481" i="3"/>
  <c r="K481" i="3"/>
  <c r="L481" i="3"/>
  <c r="M481" i="3"/>
  <c r="AT481" i="3"/>
  <c r="D482" i="3"/>
  <c r="E482" i="3"/>
  <c r="F482" i="3"/>
  <c r="G482" i="3"/>
  <c r="H482" i="3"/>
  <c r="J482" i="3"/>
  <c r="K482" i="3"/>
  <c r="L482" i="3"/>
  <c r="M482" i="3"/>
  <c r="AT482" i="3"/>
  <c r="D483" i="3"/>
  <c r="E483" i="3"/>
  <c r="F483" i="3"/>
  <c r="G483" i="3"/>
  <c r="H483" i="3"/>
  <c r="J483" i="3"/>
  <c r="K483" i="3"/>
  <c r="L483" i="3"/>
  <c r="M483" i="3"/>
  <c r="AT483" i="3"/>
  <c r="D484" i="3"/>
  <c r="E484" i="3"/>
  <c r="F484" i="3"/>
  <c r="G484" i="3"/>
  <c r="H484" i="3"/>
  <c r="J484" i="3"/>
  <c r="K484" i="3"/>
  <c r="L484" i="3"/>
  <c r="M484" i="3"/>
  <c r="AT484" i="3"/>
  <c r="D485" i="3"/>
  <c r="E485" i="3"/>
  <c r="F485" i="3"/>
  <c r="G485" i="3"/>
  <c r="H485" i="3"/>
  <c r="J485" i="3"/>
  <c r="K485" i="3"/>
  <c r="L485" i="3"/>
  <c r="M485" i="3"/>
  <c r="AT485" i="3"/>
  <c r="D486" i="3"/>
  <c r="E486" i="3"/>
  <c r="F486" i="3"/>
  <c r="G486" i="3"/>
  <c r="H486" i="3"/>
  <c r="J486" i="3"/>
  <c r="K486" i="3"/>
  <c r="L486" i="3"/>
  <c r="M486" i="3"/>
  <c r="AT486" i="3"/>
  <c r="D487" i="3"/>
  <c r="E487" i="3"/>
  <c r="F487" i="3"/>
  <c r="G487" i="3"/>
  <c r="H487" i="3"/>
  <c r="J487" i="3"/>
  <c r="K487" i="3"/>
  <c r="L487" i="3"/>
  <c r="M487" i="3"/>
  <c r="AT487" i="3"/>
  <c r="D488" i="3"/>
  <c r="E488" i="3"/>
  <c r="F488" i="3"/>
  <c r="G488" i="3"/>
  <c r="H488" i="3"/>
  <c r="J488" i="3"/>
  <c r="K488" i="3"/>
  <c r="L488" i="3"/>
  <c r="M488" i="3"/>
  <c r="AT488" i="3"/>
  <c r="D489" i="3"/>
  <c r="E489" i="3"/>
  <c r="F489" i="3"/>
  <c r="G489" i="3"/>
  <c r="H489" i="3"/>
  <c r="J489" i="3"/>
  <c r="K489" i="3"/>
  <c r="L489" i="3"/>
  <c r="M489" i="3"/>
  <c r="AT489" i="3"/>
  <c r="D490" i="3"/>
  <c r="E490" i="3"/>
  <c r="F490" i="3"/>
  <c r="G490" i="3"/>
  <c r="H490" i="3"/>
  <c r="J490" i="3"/>
  <c r="K490" i="3"/>
  <c r="L490" i="3"/>
  <c r="M490" i="3"/>
  <c r="AT490" i="3"/>
  <c r="D491" i="3"/>
  <c r="E491" i="3"/>
  <c r="F491" i="3"/>
  <c r="G491" i="3"/>
  <c r="H491" i="3"/>
  <c r="J491" i="3"/>
  <c r="K491" i="3"/>
  <c r="L491" i="3"/>
  <c r="M491" i="3"/>
  <c r="AT491" i="3"/>
  <c r="D492" i="3"/>
  <c r="E492" i="3"/>
  <c r="F492" i="3"/>
  <c r="G492" i="3"/>
  <c r="H492" i="3"/>
  <c r="J492" i="3"/>
  <c r="K492" i="3"/>
  <c r="L492" i="3"/>
  <c r="M492" i="3"/>
  <c r="AT492" i="3"/>
  <c r="D493" i="3"/>
  <c r="E493" i="3"/>
  <c r="F493" i="3"/>
  <c r="G493" i="3"/>
  <c r="H493" i="3"/>
  <c r="J493" i="3"/>
  <c r="K493" i="3"/>
  <c r="L493" i="3"/>
  <c r="M493" i="3"/>
  <c r="AT493" i="3"/>
  <c r="D494" i="3"/>
  <c r="E494" i="3"/>
  <c r="F494" i="3"/>
  <c r="G494" i="3"/>
  <c r="H494" i="3"/>
  <c r="J494" i="3"/>
  <c r="K494" i="3"/>
  <c r="L494" i="3"/>
  <c r="M494" i="3"/>
  <c r="AT494" i="3"/>
  <c r="D495" i="3"/>
  <c r="E495" i="3"/>
  <c r="F495" i="3"/>
  <c r="G495" i="3"/>
  <c r="H495" i="3"/>
  <c r="J495" i="3"/>
  <c r="K495" i="3"/>
  <c r="L495" i="3"/>
  <c r="M495" i="3"/>
  <c r="AT495" i="3"/>
  <c r="D496" i="3"/>
  <c r="E496" i="3"/>
  <c r="F496" i="3"/>
  <c r="G496" i="3"/>
  <c r="H496" i="3"/>
  <c r="J496" i="3"/>
  <c r="K496" i="3"/>
  <c r="L496" i="3"/>
  <c r="M496" i="3"/>
  <c r="AT496" i="3"/>
  <c r="D497" i="3"/>
  <c r="E497" i="3"/>
  <c r="F497" i="3"/>
  <c r="G497" i="3"/>
  <c r="H497" i="3"/>
  <c r="J497" i="3"/>
  <c r="K497" i="3"/>
  <c r="L497" i="3"/>
  <c r="M497" i="3"/>
  <c r="AT497" i="3"/>
  <c r="D498" i="3"/>
  <c r="E498" i="3"/>
  <c r="F498" i="3"/>
  <c r="G498" i="3"/>
  <c r="H498" i="3"/>
  <c r="J498" i="3"/>
  <c r="K498" i="3"/>
  <c r="L498" i="3"/>
  <c r="M498" i="3"/>
  <c r="AT498" i="3"/>
  <c r="D499" i="3"/>
  <c r="E499" i="3"/>
  <c r="F499" i="3"/>
  <c r="G499" i="3"/>
  <c r="H499" i="3"/>
  <c r="J499" i="3"/>
  <c r="K499" i="3"/>
  <c r="L499" i="3"/>
  <c r="M499" i="3"/>
  <c r="AT499" i="3"/>
  <c r="D500" i="3"/>
  <c r="E500" i="3"/>
  <c r="F500" i="3"/>
  <c r="G500" i="3"/>
  <c r="H500" i="3"/>
  <c r="J500" i="3"/>
  <c r="K500" i="3"/>
  <c r="L500" i="3"/>
  <c r="M500" i="3"/>
  <c r="AT500" i="3"/>
  <c r="D501" i="3"/>
  <c r="E501" i="3"/>
  <c r="F501" i="3"/>
  <c r="G501" i="3"/>
  <c r="H501" i="3"/>
  <c r="J501" i="3"/>
  <c r="K501" i="3"/>
  <c r="L501" i="3"/>
  <c r="M501" i="3"/>
  <c r="AT501" i="3"/>
  <c r="D502" i="3"/>
  <c r="E502" i="3"/>
  <c r="F502" i="3"/>
  <c r="G502" i="3"/>
  <c r="H502" i="3"/>
  <c r="J502" i="3"/>
  <c r="K502" i="3"/>
  <c r="L502" i="3"/>
  <c r="M502" i="3"/>
  <c r="AT502" i="3"/>
  <c r="D503" i="3"/>
  <c r="E503" i="3"/>
  <c r="F503" i="3"/>
  <c r="G503" i="3"/>
  <c r="H503" i="3"/>
  <c r="J503" i="3"/>
  <c r="K503" i="3"/>
  <c r="L503" i="3"/>
  <c r="M503" i="3"/>
  <c r="AT503" i="3"/>
  <c r="D504" i="3"/>
  <c r="E504" i="3"/>
  <c r="F504" i="3"/>
  <c r="G504" i="3"/>
  <c r="H504" i="3"/>
  <c r="J504" i="3"/>
  <c r="K504" i="3"/>
  <c r="L504" i="3"/>
  <c r="M504" i="3"/>
  <c r="AT504" i="3"/>
  <c r="D505" i="3"/>
  <c r="E505" i="3"/>
  <c r="F505" i="3"/>
  <c r="G505" i="3"/>
  <c r="H505" i="3"/>
  <c r="J505" i="3"/>
  <c r="K505" i="3"/>
  <c r="L505" i="3"/>
  <c r="M505" i="3"/>
  <c r="AT505" i="3"/>
  <c r="D506" i="3"/>
  <c r="E506" i="3"/>
  <c r="F506" i="3"/>
  <c r="G506" i="3"/>
  <c r="H506" i="3"/>
  <c r="J506" i="3"/>
  <c r="K506" i="3"/>
  <c r="L506" i="3"/>
  <c r="M506" i="3"/>
  <c r="AT506" i="3"/>
  <c r="D507" i="3"/>
  <c r="E507" i="3"/>
  <c r="F507" i="3"/>
  <c r="G507" i="3"/>
  <c r="H507" i="3"/>
  <c r="J507" i="3"/>
  <c r="K507" i="3"/>
  <c r="L507" i="3"/>
  <c r="M507" i="3"/>
  <c r="AT507" i="3"/>
  <c r="D508" i="3"/>
  <c r="E508" i="3"/>
  <c r="F508" i="3"/>
  <c r="G508" i="3"/>
  <c r="H508" i="3"/>
  <c r="J508" i="3"/>
  <c r="K508" i="3"/>
  <c r="L508" i="3"/>
  <c r="M508" i="3"/>
  <c r="AT508" i="3"/>
  <c r="D509" i="3"/>
  <c r="E509" i="3"/>
  <c r="F509" i="3"/>
  <c r="G509" i="3"/>
  <c r="H509" i="3"/>
  <c r="J509" i="3"/>
  <c r="K509" i="3"/>
  <c r="L509" i="3"/>
  <c r="M509" i="3"/>
  <c r="AT509" i="3"/>
  <c r="D510" i="3"/>
  <c r="E510" i="3"/>
  <c r="F510" i="3"/>
  <c r="G510" i="3"/>
  <c r="H510" i="3"/>
  <c r="J510" i="3"/>
  <c r="K510" i="3"/>
  <c r="L510" i="3"/>
  <c r="M510" i="3"/>
  <c r="AT510" i="3"/>
  <c r="D511" i="3"/>
  <c r="E511" i="3"/>
  <c r="F511" i="3"/>
  <c r="G511" i="3"/>
  <c r="H511" i="3"/>
  <c r="J511" i="3"/>
  <c r="K511" i="3"/>
  <c r="L511" i="3"/>
  <c r="M511" i="3"/>
  <c r="AT511" i="3"/>
  <c r="D512" i="3"/>
  <c r="E512" i="3"/>
  <c r="F512" i="3"/>
  <c r="G512" i="3"/>
  <c r="H512" i="3"/>
  <c r="J512" i="3"/>
  <c r="K512" i="3"/>
  <c r="L512" i="3"/>
  <c r="M512" i="3"/>
  <c r="AT512" i="3"/>
  <c r="D513" i="3"/>
  <c r="E513" i="3"/>
  <c r="F513" i="3"/>
  <c r="G513" i="3"/>
  <c r="H513" i="3"/>
  <c r="J513" i="3"/>
  <c r="K513" i="3"/>
  <c r="L513" i="3"/>
  <c r="M513" i="3"/>
  <c r="AT513" i="3"/>
  <c r="D514" i="3"/>
  <c r="E514" i="3"/>
  <c r="F514" i="3"/>
  <c r="G514" i="3"/>
  <c r="H514" i="3"/>
  <c r="J514" i="3"/>
  <c r="K514" i="3"/>
  <c r="L514" i="3"/>
  <c r="M514" i="3"/>
  <c r="AT514" i="3"/>
  <c r="D338" i="3"/>
  <c r="E338" i="3"/>
  <c r="F338" i="3"/>
  <c r="G338" i="3"/>
  <c r="H338" i="3"/>
  <c r="J338" i="3"/>
  <c r="K338" i="3"/>
  <c r="L338" i="3"/>
  <c r="M338" i="3"/>
  <c r="AT338" i="3"/>
  <c r="D515" i="3"/>
  <c r="E515" i="3"/>
  <c r="F515" i="3"/>
  <c r="G515" i="3"/>
  <c r="H515" i="3"/>
  <c r="J515" i="3"/>
  <c r="K515" i="3"/>
  <c r="L515" i="3"/>
  <c r="M515" i="3"/>
  <c r="AT515" i="3"/>
  <c r="D516" i="3"/>
  <c r="E516" i="3"/>
  <c r="F516" i="3"/>
  <c r="G516" i="3"/>
  <c r="H516" i="3"/>
  <c r="J516" i="3"/>
  <c r="K516" i="3"/>
  <c r="L516" i="3"/>
  <c r="M516" i="3"/>
  <c r="AT516" i="3"/>
  <c r="D517" i="3"/>
  <c r="E517" i="3"/>
  <c r="F517" i="3"/>
  <c r="G517" i="3"/>
  <c r="H517" i="3"/>
  <c r="J517" i="3"/>
  <c r="K517" i="3"/>
  <c r="L517" i="3"/>
  <c r="M517" i="3"/>
  <c r="AT517" i="3"/>
  <c r="D518" i="3"/>
  <c r="E518" i="3"/>
  <c r="F518" i="3"/>
  <c r="G518" i="3"/>
  <c r="H518" i="3"/>
  <c r="J518" i="3"/>
  <c r="K518" i="3"/>
  <c r="L518" i="3"/>
  <c r="M518" i="3"/>
  <c r="AT518" i="3"/>
  <c r="D519" i="3"/>
  <c r="E519" i="3"/>
  <c r="F519" i="3"/>
  <c r="G519" i="3"/>
  <c r="H519" i="3"/>
  <c r="J519" i="3"/>
  <c r="K519" i="3"/>
  <c r="L519" i="3"/>
  <c r="M519" i="3"/>
  <c r="AT519" i="3"/>
  <c r="D520" i="3"/>
  <c r="E520" i="3"/>
  <c r="F520" i="3"/>
  <c r="G520" i="3"/>
  <c r="H520" i="3"/>
  <c r="J520" i="3"/>
  <c r="K520" i="3"/>
  <c r="L520" i="3"/>
  <c r="M520" i="3"/>
  <c r="AT520" i="3"/>
  <c r="D521" i="3"/>
  <c r="E521" i="3"/>
  <c r="F521" i="3"/>
  <c r="G521" i="3"/>
  <c r="H521" i="3"/>
  <c r="J521" i="3"/>
  <c r="K521" i="3"/>
  <c r="L521" i="3"/>
  <c r="M521" i="3"/>
  <c r="AT521" i="3"/>
  <c r="D522" i="3"/>
  <c r="E522" i="3"/>
  <c r="F522" i="3"/>
  <c r="G522" i="3"/>
  <c r="H522" i="3"/>
  <c r="J522" i="3"/>
  <c r="K522" i="3"/>
  <c r="L522" i="3"/>
  <c r="M522" i="3"/>
  <c r="AT522" i="3"/>
  <c r="D524" i="3"/>
  <c r="E524" i="3"/>
  <c r="F524" i="3"/>
  <c r="G524" i="3"/>
  <c r="H524" i="3"/>
  <c r="J524" i="3"/>
  <c r="K524" i="3"/>
  <c r="L524" i="3"/>
  <c r="M524" i="3"/>
  <c r="AT524" i="3"/>
  <c r="D525" i="3"/>
  <c r="E525" i="3"/>
  <c r="F525" i="3"/>
  <c r="G525" i="3"/>
  <c r="H525" i="3"/>
  <c r="J525" i="3"/>
  <c r="K525" i="3"/>
  <c r="L525" i="3"/>
  <c r="M525" i="3"/>
  <c r="AT525" i="3"/>
  <c r="D526" i="3"/>
  <c r="E526" i="3"/>
  <c r="F526" i="3"/>
  <c r="G526" i="3"/>
  <c r="H526" i="3"/>
  <c r="J526" i="3"/>
  <c r="K526" i="3"/>
  <c r="L526" i="3"/>
  <c r="M526" i="3"/>
  <c r="AT526" i="3"/>
  <c r="D527" i="3"/>
  <c r="E527" i="3"/>
  <c r="F527" i="3"/>
  <c r="G527" i="3"/>
  <c r="H527" i="3"/>
  <c r="J527" i="3"/>
  <c r="K527" i="3"/>
  <c r="L527" i="3"/>
  <c r="M527" i="3"/>
  <c r="AT527" i="3"/>
  <c r="D528" i="3"/>
  <c r="E528" i="3"/>
  <c r="F528" i="3"/>
  <c r="G528" i="3"/>
  <c r="H528" i="3"/>
  <c r="J528" i="3"/>
  <c r="K528" i="3"/>
  <c r="L528" i="3"/>
  <c r="M528" i="3"/>
  <c r="AT528" i="3"/>
  <c r="D529" i="3"/>
  <c r="E529" i="3"/>
  <c r="F529" i="3"/>
  <c r="G529" i="3"/>
  <c r="H529" i="3"/>
  <c r="J529" i="3"/>
  <c r="K529" i="3"/>
  <c r="L529" i="3"/>
  <c r="M529" i="3"/>
  <c r="AT529" i="3"/>
  <c r="D530" i="3"/>
  <c r="E530" i="3"/>
  <c r="F530" i="3"/>
  <c r="G530" i="3"/>
  <c r="H530" i="3"/>
  <c r="J530" i="3"/>
  <c r="K530" i="3"/>
  <c r="L530" i="3"/>
  <c r="M530" i="3"/>
  <c r="AT530" i="3"/>
  <c r="D531" i="3"/>
  <c r="E531" i="3"/>
  <c r="F531" i="3"/>
  <c r="G531" i="3"/>
  <c r="H531" i="3"/>
  <c r="J531" i="3"/>
  <c r="K531" i="3"/>
  <c r="L531" i="3"/>
  <c r="M531" i="3"/>
  <c r="AT531" i="3"/>
  <c r="D532" i="3"/>
  <c r="E532" i="3"/>
  <c r="F532" i="3"/>
  <c r="G532" i="3"/>
  <c r="H532" i="3"/>
  <c r="J532" i="3"/>
  <c r="K532" i="3"/>
  <c r="L532" i="3"/>
  <c r="M532" i="3"/>
  <c r="AT532" i="3"/>
  <c r="D533" i="3"/>
  <c r="E533" i="3"/>
  <c r="F533" i="3"/>
  <c r="G533" i="3"/>
  <c r="H533" i="3"/>
  <c r="J533" i="3"/>
  <c r="K533" i="3"/>
  <c r="L533" i="3"/>
  <c r="M533" i="3"/>
  <c r="AT533" i="3"/>
  <c r="D534" i="3"/>
  <c r="E534" i="3"/>
  <c r="F534" i="3"/>
  <c r="G534" i="3"/>
  <c r="H534" i="3"/>
  <c r="J534" i="3"/>
  <c r="K534" i="3"/>
  <c r="L534" i="3"/>
  <c r="M534" i="3"/>
  <c r="AT534" i="3"/>
  <c r="D535" i="3"/>
  <c r="E535" i="3"/>
  <c r="F535" i="3"/>
  <c r="G535" i="3"/>
  <c r="H535" i="3"/>
  <c r="J535" i="3"/>
  <c r="K535" i="3"/>
  <c r="L535" i="3"/>
  <c r="M535" i="3"/>
  <c r="AT535" i="3"/>
  <c r="D536" i="3"/>
  <c r="E536" i="3"/>
  <c r="F536" i="3"/>
  <c r="G536" i="3"/>
  <c r="H536" i="3"/>
  <c r="J536" i="3"/>
  <c r="K536" i="3"/>
  <c r="L536" i="3"/>
  <c r="M536" i="3"/>
  <c r="AT536" i="3"/>
  <c r="D537" i="3"/>
  <c r="E537" i="3"/>
  <c r="F537" i="3"/>
  <c r="G537" i="3"/>
  <c r="H537" i="3"/>
  <c r="J537" i="3"/>
  <c r="K537" i="3"/>
  <c r="L537" i="3"/>
  <c r="M537" i="3"/>
  <c r="AT537" i="3"/>
  <c r="D538" i="3"/>
  <c r="E538" i="3"/>
  <c r="F538" i="3"/>
  <c r="G538" i="3"/>
  <c r="H538" i="3"/>
  <c r="J538" i="3"/>
  <c r="K538" i="3"/>
  <c r="L538" i="3"/>
  <c r="M538" i="3"/>
  <c r="AT538" i="3"/>
  <c r="D539" i="3"/>
  <c r="E539" i="3"/>
  <c r="F539" i="3"/>
  <c r="G539" i="3"/>
  <c r="H539" i="3"/>
  <c r="J539" i="3"/>
  <c r="K539" i="3"/>
  <c r="L539" i="3"/>
  <c r="M539" i="3"/>
  <c r="AT539" i="3"/>
  <c r="D540" i="3"/>
  <c r="E540" i="3"/>
  <c r="F540" i="3"/>
  <c r="G540" i="3"/>
  <c r="H540" i="3"/>
  <c r="J540" i="3"/>
  <c r="K540" i="3"/>
  <c r="L540" i="3"/>
  <c r="M540" i="3"/>
  <c r="AT540" i="3"/>
  <c r="D541" i="3"/>
  <c r="E541" i="3"/>
  <c r="F541" i="3"/>
  <c r="G541" i="3"/>
  <c r="H541" i="3"/>
  <c r="J541" i="3"/>
  <c r="K541" i="3"/>
  <c r="L541" i="3"/>
  <c r="M541" i="3"/>
  <c r="AT541" i="3"/>
  <c r="D542" i="3"/>
  <c r="E542" i="3"/>
  <c r="F542" i="3"/>
  <c r="G542" i="3"/>
  <c r="H542" i="3"/>
  <c r="J542" i="3"/>
  <c r="K542" i="3"/>
  <c r="L542" i="3"/>
  <c r="M542" i="3"/>
  <c r="AT542" i="3"/>
  <c r="D544" i="3"/>
  <c r="E544" i="3"/>
  <c r="F544" i="3"/>
  <c r="G544" i="3"/>
  <c r="H544" i="3"/>
  <c r="J544" i="3"/>
  <c r="K544" i="3"/>
  <c r="L544" i="3"/>
  <c r="M544" i="3"/>
  <c r="AT544" i="3"/>
  <c r="D545" i="3"/>
  <c r="E545" i="3"/>
  <c r="F545" i="3"/>
  <c r="G545" i="3"/>
  <c r="H545" i="3"/>
  <c r="J545" i="3"/>
  <c r="K545" i="3"/>
  <c r="L545" i="3"/>
  <c r="M545" i="3"/>
  <c r="AT545" i="3"/>
  <c r="D546" i="3"/>
  <c r="E546" i="3"/>
  <c r="F546" i="3"/>
  <c r="G546" i="3"/>
  <c r="H546" i="3"/>
  <c r="J546" i="3"/>
  <c r="K546" i="3"/>
  <c r="L546" i="3"/>
  <c r="M546" i="3"/>
  <c r="AT546" i="3"/>
  <c r="D547" i="3"/>
  <c r="E547" i="3"/>
  <c r="F547" i="3"/>
  <c r="G547" i="3"/>
  <c r="H547" i="3"/>
  <c r="J547" i="3"/>
  <c r="K547" i="3"/>
  <c r="L547" i="3"/>
  <c r="M547" i="3"/>
  <c r="AT547" i="3"/>
  <c r="D548" i="3"/>
  <c r="E548" i="3"/>
  <c r="F548" i="3"/>
  <c r="G548" i="3"/>
  <c r="H548" i="3"/>
  <c r="J548" i="3"/>
  <c r="K548" i="3"/>
  <c r="L548" i="3"/>
  <c r="M548" i="3"/>
  <c r="AT548" i="3"/>
  <c r="D549" i="3"/>
  <c r="E549" i="3"/>
  <c r="F549" i="3"/>
  <c r="G549" i="3"/>
  <c r="H549" i="3"/>
  <c r="J549" i="3"/>
  <c r="K549" i="3"/>
  <c r="L549" i="3"/>
  <c r="M549" i="3"/>
  <c r="AT549" i="3"/>
  <c r="D550" i="3"/>
  <c r="E550" i="3"/>
  <c r="F550" i="3"/>
  <c r="G550" i="3"/>
  <c r="H550" i="3"/>
  <c r="J550" i="3"/>
  <c r="K550" i="3"/>
  <c r="L550" i="3"/>
  <c r="M550" i="3"/>
  <c r="AT550" i="3"/>
  <c r="D551" i="3"/>
  <c r="E551" i="3"/>
  <c r="F551" i="3"/>
  <c r="G551" i="3"/>
  <c r="H551" i="3"/>
  <c r="J551" i="3"/>
  <c r="K551" i="3"/>
  <c r="L551" i="3"/>
  <c r="M551" i="3"/>
  <c r="AT551" i="3"/>
  <c r="D552" i="3"/>
  <c r="E552" i="3"/>
  <c r="F552" i="3"/>
  <c r="G552" i="3"/>
  <c r="H552" i="3"/>
  <c r="J552" i="3"/>
  <c r="K552" i="3"/>
  <c r="L552" i="3"/>
  <c r="M552" i="3"/>
  <c r="AT552" i="3"/>
  <c r="D553" i="3"/>
  <c r="E553" i="3"/>
  <c r="F553" i="3"/>
  <c r="G553" i="3"/>
  <c r="H553" i="3"/>
  <c r="J553" i="3"/>
  <c r="K553" i="3"/>
  <c r="L553" i="3"/>
  <c r="M553" i="3"/>
  <c r="AT553" i="3"/>
  <c r="D554" i="3"/>
  <c r="E554" i="3"/>
  <c r="F554" i="3"/>
  <c r="G554" i="3"/>
  <c r="H554" i="3"/>
  <c r="J554" i="3"/>
  <c r="K554" i="3"/>
  <c r="L554" i="3"/>
  <c r="M554" i="3"/>
  <c r="AT554" i="3"/>
  <c r="D555" i="3"/>
  <c r="E555" i="3"/>
  <c r="F555" i="3"/>
  <c r="G555" i="3"/>
  <c r="H555" i="3"/>
  <c r="J555" i="3"/>
  <c r="K555" i="3"/>
  <c r="L555" i="3"/>
  <c r="M555" i="3"/>
  <c r="AT555" i="3"/>
  <c r="D556" i="3"/>
  <c r="E556" i="3"/>
  <c r="F556" i="3"/>
  <c r="G556" i="3"/>
  <c r="H556" i="3"/>
  <c r="J556" i="3"/>
  <c r="K556" i="3"/>
  <c r="L556" i="3"/>
  <c r="M556" i="3"/>
  <c r="AT556" i="3"/>
  <c r="D557" i="3"/>
  <c r="E557" i="3"/>
  <c r="F557" i="3"/>
  <c r="G557" i="3"/>
  <c r="H557" i="3"/>
  <c r="J557" i="3"/>
  <c r="K557" i="3"/>
  <c r="L557" i="3"/>
  <c r="M557" i="3"/>
  <c r="AT557" i="3"/>
  <c r="D558" i="3"/>
  <c r="E558" i="3"/>
  <c r="F558" i="3"/>
  <c r="G558" i="3"/>
  <c r="H558" i="3"/>
  <c r="J558" i="3"/>
  <c r="K558" i="3"/>
  <c r="L558" i="3"/>
  <c r="M558" i="3"/>
  <c r="AT558" i="3"/>
  <c r="D559" i="3"/>
  <c r="E559" i="3"/>
  <c r="F559" i="3"/>
  <c r="G559" i="3"/>
  <c r="H559" i="3"/>
  <c r="J559" i="3"/>
  <c r="K559" i="3"/>
  <c r="L559" i="3"/>
  <c r="M559" i="3"/>
  <c r="AT559" i="3"/>
  <c r="D560" i="3"/>
  <c r="E560" i="3"/>
  <c r="F560" i="3"/>
  <c r="G560" i="3"/>
  <c r="H560" i="3"/>
  <c r="J560" i="3"/>
  <c r="K560" i="3"/>
  <c r="L560" i="3"/>
  <c r="M560" i="3"/>
  <c r="AT560" i="3"/>
  <c r="D561" i="3"/>
  <c r="E561" i="3"/>
  <c r="F561" i="3"/>
  <c r="G561" i="3"/>
  <c r="H561" i="3"/>
  <c r="J561" i="3"/>
  <c r="K561" i="3"/>
  <c r="L561" i="3"/>
  <c r="M561" i="3"/>
  <c r="AT561" i="3"/>
  <c r="D562" i="3"/>
  <c r="E562" i="3"/>
  <c r="F562" i="3"/>
  <c r="G562" i="3"/>
  <c r="H562" i="3"/>
  <c r="J562" i="3"/>
  <c r="K562" i="3"/>
  <c r="L562" i="3"/>
  <c r="M562" i="3"/>
  <c r="AT562" i="3"/>
  <c r="D563" i="3"/>
  <c r="E563" i="3"/>
  <c r="F563" i="3"/>
  <c r="G563" i="3"/>
  <c r="H563" i="3"/>
  <c r="J563" i="3"/>
  <c r="K563" i="3"/>
  <c r="L563" i="3"/>
  <c r="M563" i="3"/>
  <c r="AT563" i="3"/>
  <c r="D564" i="3"/>
  <c r="E564" i="3"/>
  <c r="F564" i="3"/>
  <c r="G564" i="3"/>
  <c r="H564" i="3"/>
  <c r="J564" i="3"/>
  <c r="K564" i="3"/>
  <c r="L564" i="3"/>
  <c r="M564" i="3"/>
  <c r="AT564" i="3"/>
  <c r="D565" i="3"/>
  <c r="E565" i="3"/>
  <c r="F565" i="3"/>
  <c r="G565" i="3"/>
  <c r="H565" i="3"/>
  <c r="J565" i="3"/>
  <c r="K565" i="3"/>
  <c r="L565" i="3"/>
  <c r="M565" i="3"/>
  <c r="AT565" i="3"/>
  <c r="D566" i="3"/>
  <c r="E566" i="3"/>
  <c r="F566" i="3"/>
  <c r="G566" i="3"/>
  <c r="H566" i="3"/>
  <c r="J566" i="3"/>
  <c r="K566" i="3"/>
  <c r="L566" i="3"/>
  <c r="M566" i="3"/>
  <c r="AT566" i="3"/>
  <c r="D567" i="3"/>
  <c r="E567" i="3"/>
  <c r="F567" i="3"/>
  <c r="G567" i="3"/>
  <c r="H567" i="3"/>
  <c r="J567" i="3"/>
  <c r="K567" i="3"/>
  <c r="L567" i="3"/>
  <c r="M567" i="3"/>
  <c r="AT567" i="3"/>
  <c r="D568" i="3"/>
  <c r="E568" i="3"/>
  <c r="F568" i="3"/>
  <c r="G568" i="3"/>
  <c r="H568" i="3"/>
  <c r="J568" i="3"/>
  <c r="K568" i="3"/>
  <c r="L568" i="3"/>
  <c r="M568" i="3"/>
  <c r="AT568" i="3"/>
  <c r="D569" i="3"/>
  <c r="E569" i="3"/>
  <c r="F569" i="3"/>
  <c r="G569" i="3"/>
  <c r="H569" i="3"/>
  <c r="J569" i="3"/>
  <c r="K569" i="3"/>
  <c r="L569" i="3"/>
  <c r="M569" i="3"/>
  <c r="AT569" i="3"/>
  <c r="D570" i="3"/>
  <c r="E570" i="3"/>
  <c r="F570" i="3"/>
  <c r="G570" i="3"/>
  <c r="H570" i="3"/>
  <c r="J570" i="3"/>
  <c r="K570" i="3"/>
  <c r="L570" i="3"/>
  <c r="M570" i="3"/>
  <c r="AT570" i="3"/>
  <c r="D571" i="3"/>
  <c r="E571" i="3"/>
  <c r="F571" i="3"/>
  <c r="G571" i="3"/>
  <c r="H571" i="3"/>
  <c r="J571" i="3"/>
  <c r="K571" i="3"/>
  <c r="L571" i="3"/>
  <c r="M571" i="3"/>
  <c r="AT571" i="3"/>
  <c r="D572" i="3"/>
  <c r="E572" i="3"/>
  <c r="F572" i="3"/>
  <c r="G572" i="3"/>
  <c r="H572" i="3"/>
  <c r="J572" i="3"/>
  <c r="K572" i="3"/>
  <c r="L572" i="3"/>
  <c r="M572" i="3"/>
  <c r="AT572" i="3"/>
  <c r="D573" i="3"/>
  <c r="E573" i="3"/>
  <c r="F573" i="3"/>
  <c r="G573" i="3"/>
  <c r="H573" i="3"/>
  <c r="J573" i="3"/>
  <c r="K573" i="3"/>
  <c r="L573" i="3"/>
  <c r="M573" i="3"/>
  <c r="AT573" i="3"/>
  <c r="D574" i="3"/>
  <c r="E574" i="3"/>
  <c r="F574" i="3"/>
  <c r="G574" i="3"/>
  <c r="H574" i="3"/>
  <c r="J574" i="3"/>
  <c r="K574" i="3"/>
  <c r="L574" i="3"/>
  <c r="M574" i="3"/>
  <c r="AT574" i="3"/>
  <c r="D575" i="3"/>
  <c r="E575" i="3"/>
  <c r="F575" i="3"/>
  <c r="G575" i="3"/>
  <c r="H575" i="3"/>
  <c r="J575" i="3"/>
  <c r="K575" i="3"/>
  <c r="L575" i="3"/>
  <c r="M575" i="3"/>
  <c r="AT575" i="3"/>
  <c r="D576" i="3"/>
  <c r="E576" i="3"/>
  <c r="F576" i="3"/>
  <c r="G576" i="3"/>
  <c r="H576" i="3"/>
  <c r="J576" i="3"/>
  <c r="K576" i="3"/>
  <c r="L576" i="3"/>
  <c r="M576" i="3"/>
  <c r="AT576" i="3"/>
  <c r="D577" i="3"/>
  <c r="E577" i="3"/>
  <c r="F577" i="3"/>
  <c r="G577" i="3"/>
  <c r="H577" i="3"/>
  <c r="J577" i="3"/>
  <c r="K577" i="3"/>
  <c r="L577" i="3"/>
  <c r="M577" i="3"/>
  <c r="AT577" i="3"/>
  <c r="D578" i="3"/>
  <c r="E578" i="3"/>
  <c r="F578" i="3"/>
  <c r="G578" i="3"/>
  <c r="H578" i="3"/>
  <c r="J578" i="3"/>
  <c r="K578" i="3"/>
  <c r="L578" i="3"/>
  <c r="M578" i="3"/>
  <c r="AT578" i="3"/>
  <c r="D579" i="3"/>
  <c r="E579" i="3"/>
  <c r="F579" i="3"/>
  <c r="G579" i="3"/>
  <c r="H579" i="3"/>
  <c r="J579" i="3"/>
  <c r="K579" i="3"/>
  <c r="L579" i="3"/>
  <c r="M579" i="3"/>
  <c r="AT579" i="3"/>
  <c r="D580" i="3"/>
  <c r="E580" i="3"/>
  <c r="F580" i="3"/>
  <c r="G580" i="3"/>
  <c r="H580" i="3"/>
  <c r="J580" i="3"/>
  <c r="K580" i="3"/>
  <c r="L580" i="3"/>
  <c r="M580" i="3"/>
  <c r="AT580" i="3"/>
  <c r="D581" i="3"/>
  <c r="E581" i="3"/>
  <c r="F581" i="3"/>
  <c r="G581" i="3"/>
  <c r="H581" i="3"/>
  <c r="J581" i="3"/>
  <c r="K581" i="3"/>
  <c r="L581" i="3"/>
  <c r="M581" i="3"/>
  <c r="AT581" i="3"/>
  <c r="D582" i="3"/>
  <c r="E582" i="3"/>
  <c r="F582" i="3"/>
  <c r="G582" i="3"/>
  <c r="H582" i="3"/>
  <c r="J582" i="3"/>
  <c r="K582" i="3"/>
  <c r="L582" i="3"/>
  <c r="M582" i="3"/>
  <c r="AT582" i="3"/>
  <c r="D583" i="3"/>
  <c r="E583" i="3"/>
  <c r="F583" i="3"/>
  <c r="G583" i="3"/>
  <c r="H583" i="3"/>
  <c r="J583" i="3"/>
  <c r="K583" i="3"/>
  <c r="L583" i="3"/>
  <c r="M583" i="3"/>
  <c r="AT583" i="3"/>
  <c r="D584" i="3"/>
  <c r="E584" i="3"/>
  <c r="F584" i="3"/>
  <c r="G584" i="3"/>
  <c r="H584" i="3"/>
  <c r="J584" i="3"/>
  <c r="K584" i="3"/>
  <c r="L584" i="3"/>
  <c r="M584" i="3"/>
  <c r="AT584" i="3"/>
  <c r="D585" i="3"/>
  <c r="E585" i="3"/>
  <c r="F585" i="3"/>
  <c r="G585" i="3"/>
  <c r="H585" i="3"/>
  <c r="J585" i="3"/>
  <c r="K585" i="3"/>
  <c r="L585" i="3"/>
  <c r="M585" i="3"/>
  <c r="AT585" i="3"/>
  <c r="D586" i="3"/>
  <c r="E586" i="3"/>
  <c r="F586" i="3"/>
  <c r="G586" i="3"/>
  <c r="H586" i="3"/>
  <c r="J586" i="3"/>
  <c r="K586" i="3"/>
  <c r="L586" i="3"/>
  <c r="M586" i="3"/>
  <c r="AT586" i="3"/>
  <c r="D587" i="3"/>
  <c r="E587" i="3"/>
  <c r="F587" i="3"/>
  <c r="G587" i="3"/>
  <c r="H587" i="3"/>
  <c r="J587" i="3"/>
  <c r="K587" i="3"/>
  <c r="L587" i="3"/>
  <c r="M587" i="3"/>
  <c r="AT587" i="3"/>
  <c r="D588" i="3"/>
  <c r="E588" i="3"/>
  <c r="F588" i="3"/>
  <c r="G588" i="3"/>
  <c r="H588" i="3"/>
  <c r="J588" i="3"/>
  <c r="K588" i="3"/>
  <c r="L588" i="3"/>
  <c r="M588" i="3"/>
  <c r="AT588" i="3"/>
  <c r="D589" i="3"/>
  <c r="E589" i="3"/>
  <c r="F589" i="3"/>
  <c r="G589" i="3"/>
  <c r="H589" i="3"/>
  <c r="J589" i="3"/>
  <c r="K589" i="3"/>
  <c r="L589" i="3"/>
  <c r="M589" i="3"/>
  <c r="AT589" i="3"/>
  <c r="D590" i="3"/>
  <c r="E590" i="3"/>
  <c r="F590" i="3"/>
  <c r="G590" i="3"/>
  <c r="H590" i="3"/>
  <c r="J590" i="3"/>
  <c r="K590" i="3"/>
  <c r="L590" i="3"/>
  <c r="M590" i="3"/>
  <c r="AT590" i="3"/>
  <c r="D591" i="3"/>
  <c r="E591" i="3"/>
  <c r="F591" i="3"/>
  <c r="G591" i="3"/>
  <c r="H591" i="3"/>
  <c r="J591" i="3"/>
  <c r="K591" i="3"/>
  <c r="L591" i="3"/>
  <c r="M591" i="3"/>
  <c r="AT591" i="3"/>
  <c r="D592" i="3"/>
  <c r="E592" i="3"/>
  <c r="F592" i="3"/>
  <c r="G592" i="3"/>
  <c r="H592" i="3"/>
  <c r="J592" i="3"/>
  <c r="K592" i="3"/>
  <c r="L592" i="3"/>
  <c r="M592" i="3"/>
  <c r="AT592" i="3"/>
  <c r="D593" i="3"/>
  <c r="E593" i="3"/>
  <c r="F593" i="3"/>
  <c r="G593" i="3"/>
  <c r="H593" i="3"/>
  <c r="J593" i="3"/>
  <c r="K593" i="3"/>
  <c r="L593" i="3"/>
  <c r="M593" i="3"/>
  <c r="AT593" i="3"/>
  <c r="D594" i="3"/>
  <c r="E594" i="3"/>
  <c r="F594" i="3"/>
  <c r="G594" i="3"/>
  <c r="H594" i="3"/>
  <c r="J594" i="3"/>
  <c r="K594" i="3"/>
  <c r="L594" i="3"/>
  <c r="M594" i="3"/>
  <c r="AT594" i="3"/>
  <c r="D595" i="3"/>
  <c r="E595" i="3"/>
  <c r="F595" i="3"/>
  <c r="G595" i="3"/>
  <c r="H595" i="3"/>
  <c r="J595" i="3"/>
  <c r="K595" i="3"/>
  <c r="L595" i="3"/>
  <c r="M595" i="3"/>
  <c r="AT595" i="3"/>
  <c r="D596" i="3"/>
  <c r="E596" i="3"/>
  <c r="F596" i="3"/>
  <c r="G596" i="3"/>
  <c r="H596" i="3"/>
  <c r="J596" i="3"/>
  <c r="K596" i="3"/>
  <c r="L596" i="3"/>
  <c r="M596" i="3"/>
  <c r="AT596" i="3"/>
  <c r="D597" i="3"/>
  <c r="E597" i="3"/>
  <c r="F597" i="3"/>
  <c r="G597" i="3"/>
  <c r="H597" i="3"/>
  <c r="J597" i="3"/>
  <c r="K597" i="3"/>
  <c r="L597" i="3"/>
  <c r="M597" i="3"/>
  <c r="AT597" i="3"/>
  <c r="D598" i="3"/>
  <c r="E598" i="3"/>
  <c r="F598" i="3"/>
  <c r="G598" i="3"/>
  <c r="H598" i="3"/>
  <c r="J598" i="3"/>
  <c r="K598" i="3"/>
  <c r="L598" i="3"/>
  <c r="M598" i="3"/>
  <c r="AT598" i="3"/>
  <c r="D599" i="3"/>
  <c r="E599" i="3"/>
  <c r="F599" i="3"/>
  <c r="G599" i="3"/>
  <c r="H599" i="3"/>
  <c r="J599" i="3"/>
  <c r="K599" i="3"/>
  <c r="L599" i="3"/>
  <c r="M599" i="3"/>
  <c r="AT599" i="3"/>
  <c r="D600" i="3"/>
  <c r="E600" i="3"/>
  <c r="F600" i="3"/>
  <c r="G600" i="3"/>
  <c r="H600" i="3"/>
  <c r="J600" i="3"/>
  <c r="K600" i="3"/>
  <c r="L600" i="3"/>
  <c r="M600" i="3"/>
  <c r="AT600" i="3"/>
  <c r="D601" i="3"/>
  <c r="E601" i="3"/>
  <c r="F601" i="3"/>
  <c r="G601" i="3"/>
  <c r="H601" i="3"/>
  <c r="J601" i="3"/>
  <c r="K601" i="3"/>
  <c r="L601" i="3"/>
  <c r="M601" i="3"/>
  <c r="AT601" i="3"/>
  <c r="D602" i="3"/>
  <c r="E602" i="3"/>
  <c r="F602" i="3"/>
  <c r="G602" i="3"/>
  <c r="H602" i="3"/>
  <c r="J602" i="3"/>
  <c r="K602" i="3"/>
  <c r="L602" i="3"/>
  <c r="M602" i="3"/>
  <c r="AT602" i="3"/>
  <c r="D603" i="3"/>
  <c r="E603" i="3"/>
  <c r="F603" i="3"/>
  <c r="G603" i="3"/>
  <c r="H603" i="3"/>
  <c r="J603" i="3"/>
  <c r="K603" i="3"/>
  <c r="L603" i="3"/>
  <c r="M603" i="3"/>
  <c r="AT603" i="3"/>
  <c r="D604" i="3"/>
  <c r="E604" i="3"/>
  <c r="F604" i="3"/>
  <c r="G604" i="3"/>
  <c r="H604" i="3"/>
  <c r="J604" i="3"/>
  <c r="K604" i="3"/>
  <c r="L604" i="3"/>
  <c r="M604" i="3"/>
  <c r="AT604" i="3"/>
  <c r="D605" i="3"/>
  <c r="E605" i="3"/>
  <c r="F605" i="3"/>
  <c r="G605" i="3"/>
  <c r="H605" i="3"/>
  <c r="J605" i="3"/>
  <c r="K605" i="3"/>
  <c r="L605" i="3"/>
  <c r="M605" i="3"/>
  <c r="AT605" i="3"/>
  <c r="D606" i="3"/>
  <c r="E606" i="3"/>
  <c r="F606" i="3"/>
  <c r="G606" i="3"/>
  <c r="H606" i="3"/>
  <c r="J606" i="3"/>
  <c r="K606" i="3"/>
  <c r="L606" i="3"/>
  <c r="M606" i="3"/>
  <c r="AT606" i="3"/>
  <c r="D607" i="3"/>
  <c r="E607" i="3"/>
  <c r="F607" i="3"/>
  <c r="G607" i="3"/>
  <c r="H607" i="3"/>
  <c r="J607" i="3"/>
  <c r="K607" i="3"/>
  <c r="L607" i="3"/>
  <c r="M607" i="3"/>
  <c r="AT607" i="3"/>
  <c r="D608" i="3"/>
  <c r="E608" i="3"/>
  <c r="F608" i="3"/>
  <c r="G608" i="3"/>
  <c r="H608" i="3"/>
  <c r="J608" i="3"/>
  <c r="K608" i="3"/>
  <c r="L608" i="3"/>
  <c r="M608" i="3"/>
  <c r="AT608" i="3"/>
  <c r="D609" i="3"/>
  <c r="E609" i="3"/>
  <c r="F609" i="3"/>
  <c r="G609" i="3"/>
  <c r="H609" i="3"/>
  <c r="J609" i="3"/>
  <c r="K609" i="3"/>
  <c r="L609" i="3"/>
  <c r="M609" i="3"/>
  <c r="AT609" i="3"/>
  <c r="D610" i="3"/>
  <c r="E610" i="3"/>
  <c r="F610" i="3"/>
  <c r="G610" i="3"/>
  <c r="H610" i="3"/>
  <c r="J610" i="3"/>
  <c r="K610" i="3"/>
  <c r="L610" i="3"/>
  <c r="M610" i="3"/>
  <c r="AT610" i="3"/>
  <c r="D612" i="3"/>
  <c r="E612" i="3"/>
  <c r="F612" i="3"/>
  <c r="G612" i="3"/>
  <c r="H612" i="3"/>
  <c r="J612" i="3"/>
  <c r="K612" i="3"/>
  <c r="L612" i="3"/>
  <c r="M612" i="3"/>
  <c r="AT612" i="3"/>
  <c r="D613" i="3"/>
  <c r="E613" i="3"/>
  <c r="F613" i="3"/>
  <c r="G613" i="3"/>
  <c r="H613" i="3"/>
  <c r="J613" i="3"/>
  <c r="K613" i="3"/>
  <c r="L613" i="3"/>
  <c r="M613" i="3"/>
  <c r="AT613" i="3"/>
  <c r="D614" i="3"/>
  <c r="E614" i="3"/>
  <c r="F614" i="3"/>
  <c r="G614" i="3"/>
  <c r="H614" i="3"/>
  <c r="J614" i="3"/>
  <c r="K614" i="3"/>
  <c r="L614" i="3"/>
  <c r="M614" i="3"/>
  <c r="AT614" i="3"/>
  <c r="D615" i="3"/>
  <c r="E615" i="3"/>
  <c r="F615" i="3"/>
  <c r="G615" i="3"/>
  <c r="H615" i="3"/>
  <c r="J615" i="3"/>
  <c r="K615" i="3"/>
  <c r="L615" i="3"/>
  <c r="M615" i="3"/>
  <c r="AT615" i="3"/>
  <c r="D616" i="3"/>
  <c r="E616" i="3"/>
  <c r="F616" i="3"/>
  <c r="G616" i="3"/>
  <c r="H616" i="3"/>
  <c r="J616" i="3"/>
  <c r="K616" i="3"/>
  <c r="L616" i="3"/>
  <c r="M616" i="3"/>
  <c r="AT616" i="3"/>
  <c r="D617" i="3"/>
  <c r="E617" i="3"/>
  <c r="F617" i="3"/>
  <c r="G617" i="3"/>
  <c r="H617" i="3"/>
  <c r="J617" i="3"/>
  <c r="K617" i="3"/>
  <c r="L617" i="3"/>
  <c r="M617" i="3"/>
  <c r="AT617" i="3"/>
  <c r="D618" i="3"/>
  <c r="E618" i="3"/>
  <c r="F618" i="3"/>
  <c r="G618" i="3"/>
  <c r="H618" i="3"/>
  <c r="J618" i="3"/>
  <c r="K618" i="3"/>
  <c r="L618" i="3"/>
  <c r="M618" i="3"/>
  <c r="AT618" i="3"/>
  <c r="D619" i="3"/>
  <c r="E619" i="3"/>
  <c r="F619" i="3"/>
  <c r="G619" i="3"/>
  <c r="H619" i="3"/>
  <c r="J619" i="3"/>
  <c r="K619" i="3"/>
  <c r="L619" i="3"/>
  <c r="M619" i="3"/>
  <c r="AT619" i="3"/>
  <c r="D620" i="3"/>
  <c r="E620" i="3"/>
  <c r="F620" i="3"/>
  <c r="G620" i="3"/>
  <c r="H620" i="3"/>
  <c r="J620" i="3"/>
  <c r="K620" i="3"/>
  <c r="L620" i="3"/>
  <c r="M620" i="3"/>
  <c r="AT620" i="3"/>
  <c r="D621" i="3"/>
  <c r="E621" i="3"/>
  <c r="F621" i="3"/>
  <c r="G621" i="3"/>
  <c r="H621" i="3"/>
  <c r="J621" i="3"/>
  <c r="K621" i="3"/>
  <c r="L621" i="3"/>
  <c r="M621" i="3"/>
  <c r="AT621" i="3"/>
  <c r="D622" i="3"/>
  <c r="E622" i="3"/>
  <c r="F622" i="3"/>
  <c r="G622" i="3"/>
  <c r="H622" i="3"/>
  <c r="J622" i="3"/>
  <c r="K622" i="3"/>
  <c r="L622" i="3"/>
  <c r="M622" i="3"/>
  <c r="AT622" i="3"/>
  <c r="D623" i="3"/>
  <c r="E623" i="3"/>
  <c r="F623" i="3"/>
  <c r="G623" i="3"/>
  <c r="H623" i="3"/>
  <c r="J623" i="3"/>
  <c r="K623" i="3"/>
  <c r="L623" i="3"/>
  <c r="M623" i="3"/>
  <c r="AT623" i="3"/>
  <c r="D624" i="3"/>
  <c r="E624" i="3"/>
  <c r="F624" i="3"/>
  <c r="G624" i="3"/>
  <c r="H624" i="3"/>
  <c r="J624" i="3"/>
  <c r="K624" i="3"/>
  <c r="L624" i="3"/>
  <c r="M624" i="3"/>
  <c r="AT624" i="3"/>
  <c r="D625" i="3"/>
  <c r="E625" i="3"/>
  <c r="F625" i="3"/>
  <c r="G625" i="3"/>
  <c r="H625" i="3"/>
  <c r="J625" i="3"/>
  <c r="K625" i="3"/>
  <c r="L625" i="3"/>
  <c r="M625" i="3"/>
  <c r="AT625" i="3"/>
  <c r="D626" i="3"/>
  <c r="E626" i="3"/>
  <c r="F626" i="3"/>
  <c r="G626" i="3"/>
  <c r="H626" i="3"/>
  <c r="J626" i="3"/>
  <c r="K626" i="3"/>
  <c r="L626" i="3"/>
  <c r="M626" i="3"/>
  <c r="AT626" i="3"/>
  <c r="D627" i="3"/>
  <c r="E627" i="3"/>
  <c r="F627" i="3"/>
  <c r="G627" i="3"/>
  <c r="H627" i="3"/>
  <c r="J627" i="3"/>
  <c r="K627" i="3"/>
  <c r="L627" i="3"/>
  <c r="M627" i="3"/>
  <c r="AT627" i="3"/>
  <c r="D628" i="3"/>
  <c r="E628" i="3"/>
  <c r="F628" i="3"/>
  <c r="G628" i="3"/>
  <c r="H628" i="3"/>
  <c r="J628" i="3"/>
  <c r="K628" i="3"/>
  <c r="L628" i="3"/>
  <c r="M628" i="3"/>
  <c r="AT628" i="3"/>
  <c r="D629" i="3"/>
  <c r="E629" i="3"/>
  <c r="F629" i="3"/>
  <c r="G629" i="3"/>
  <c r="H629" i="3"/>
  <c r="J629" i="3"/>
  <c r="K629" i="3"/>
  <c r="L629" i="3"/>
  <c r="M629" i="3"/>
  <c r="AT629" i="3"/>
  <c r="D630" i="3"/>
  <c r="E630" i="3"/>
  <c r="F630" i="3"/>
  <c r="G630" i="3"/>
  <c r="H630" i="3"/>
  <c r="J630" i="3"/>
  <c r="K630" i="3"/>
  <c r="L630" i="3"/>
  <c r="M630" i="3"/>
  <c r="AT630" i="3"/>
  <c r="D631" i="3"/>
  <c r="E631" i="3"/>
  <c r="F631" i="3"/>
  <c r="G631" i="3"/>
  <c r="H631" i="3"/>
  <c r="J631" i="3"/>
  <c r="K631" i="3"/>
  <c r="L631" i="3"/>
  <c r="M631" i="3"/>
  <c r="AT631" i="3"/>
  <c r="D642" i="3"/>
  <c r="E642" i="3"/>
  <c r="F642" i="3"/>
  <c r="G642" i="3"/>
  <c r="H642" i="3"/>
  <c r="J642" i="3"/>
  <c r="K642" i="3"/>
  <c r="L642" i="3"/>
  <c r="M642" i="3"/>
  <c r="AT642" i="3"/>
  <c r="D644" i="3"/>
  <c r="E644" i="3"/>
  <c r="F644" i="3"/>
  <c r="G644" i="3"/>
  <c r="H644" i="3"/>
  <c r="J644" i="3"/>
  <c r="K644" i="3"/>
  <c r="L644" i="3"/>
  <c r="M644" i="3"/>
  <c r="AT644" i="3"/>
  <c r="D645" i="3"/>
  <c r="E645" i="3"/>
  <c r="F645" i="3"/>
  <c r="G645" i="3"/>
  <c r="H645" i="3"/>
  <c r="J645" i="3"/>
  <c r="K645" i="3"/>
  <c r="L645" i="3"/>
  <c r="M645" i="3"/>
  <c r="AT645" i="3"/>
  <c r="D646" i="3"/>
  <c r="E646" i="3"/>
  <c r="F646" i="3"/>
  <c r="G646" i="3"/>
  <c r="H646" i="3"/>
  <c r="J646" i="3"/>
  <c r="K646" i="3"/>
  <c r="L646" i="3"/>
  <c r="M646" i="3"/>
  <c r="AT646" i="3"/>
  <c r="D647" i="3"/>
  <c r="E647" i="3"/>
  <c r="F647" i="3"/>
  <c r="G647" i="3"/>
  <c r="H647" i="3"/>
  <c r="J647" i="3"/>
  <c r="K647" i="3"/>
  <c r="L647" i="3"/>
  <c r="M647" i="3"/>
  <c r="AT647" i="3"/>
  <c r="D648" i="3"/>
  <c r="E648" i="3"/>
  <c r="F648" i="3"/>
  <c r="G648" i="3"/>
  <c r="H648" i="3"/>
  <c r="J648" i="3"/>
  <c r="K648" i="3"/>
  <c r="L648" i="3"/>
  <c r="M648" i="3"/>
  <c r="AT648" i="3"/>
  <c r="D649" i="3"/>
  <c r="E649" i="3"/>
  <c r="F649" i="3"/>
  <c r="G649" i="3"/>
  <c r="H649" i="3"/>
  <c r="J649" i="3"/>
  <c r="K649" i="3"/>
  <c r="L649" i="3"/>
  <c r="M649" i="3"/>
  <c r="AT649" i="3"/>
  <c r="D650" i="3"/>
  <c r="E650" i="3"/>
  <c r="F650" i="3"/>
  <c r="G650" i="3"/>
  <c r="H650" i="3"/>
  <c r="J650" i="3"/>
  <c r="K650" i="3"/>
  <c r="L650" i="3"/>
  <c r="M650" i="3"/>
  <c r="AT650" i="3"/>
  <c r="D651" i="3"/>
  <c r="E651" i="3"/>
  <c r="F651" i="3"/>
  <c r="G651" i="3"/>
  <c r="H651" i="3"/>
  <c r="J651" i="3"/>
  <c r="K651" i="3"/>
  <c r="L651" i="3"/>
  <c r="M651" i="3"/>
  <c r="AT651" i="3"/>
  <c r="D652" i="3"/>
  <c r="E652" i="3"/>
  <c r="F652" i="3"/>
  <c r="G652" i="3"/>
  <c r="H652" i="3"/>
  <c r="J652" i="3"/>
  <c r="K652" i="3"/>
  <c r="L652" i="3"/>
  <c r="M652" i="3"/>
  <c r="AT652" i="3"/>
  <c r="D653" i="3"/>
  <c r="E653" i="3"/>
  <c r="F653" i="3"/>
  <c r="G653" i="3"/>
  <c r="H653" i="3"/>
  <c r="J653" i="3"/>
  <c r="K653" i="3"/>
  <c r="L653" i="3"/>
  <c r="M653" i="3"/>
  <c r="AT653" i="3"/>
  <c r="D654" i="3"/>
  <c r="E654" i="3"/>
  <c r="F654" i="3"/>
  <c r="G654" i="3"/>
  <c r="H654" i="3"/>
  <c r="J654" i="3"/>
  <c r="K654" i="3"/>
  <c r="L654" i="3"/>
  <c r="M654" i="3"/>
  <c r="AT654" i="3"/>
  <c r="D655" i="3"/>
  <c r="E655" i="3"/>
  <c r="F655" i="3"/>
  <c r="G655" i="3"/>
  <c r="H655" i="3"/>
  <c r="J655" i="3"/>
  <c r="K655" i="3"/>
  <c r="L655" i="3"/>
  <c r="M655" i="3"/>
  <c r="AT655" i="3"/>
  <c r="D656" i="3"/>
  <c r="E656" i="3"/>
  <c r="F656" i="3"/>
  <c r="G656" i="3"/>
  <c r="H656" i="3"/>
  <c r="J656" i="3"/>
  <c r="K656" i="3"/>
  <c r="L656" i="3"/>
  <c r="M656" i="3"/>
  <c r="AT656" i="3"/>
  <c r="D657" i="3"/>
  <c r="E657" i="3"/>
  <c r="F657" i="3"/>
  <c r="G657" i="3"/>
  <c r="H657" i="3"/>
  <c r="J657" i="3"/>
  <c r="K657" i="3"/>
  <c r="L657" i="3"/>
  <c r="M657" i="3"/>
  <c r="AT657" i="3"/>
  <c r="D658" i="3"/>
  <c r="E658" i="3"/>
  <c r="F658" i="3"/>
  <c r="G658" i="3"/>
  <c r="H658" i="3"/>
  <c r="J658" i="3"/>
  <c r="K658" i="3"/>
  <c r="L658" i="3"/>
  <c r="M658" i="3"/>
  <c r="AT658" i="3"/>
  <c r="D659" i="3"/>
  <c r="E659" i="3"/>
  <c r="F659" i="3"/>
  <c r="G659" i="3"/>
  <c r="H659" i="3"/>
  <c r="J659" i="3"/>
  <c r="K659" i="3"/>
  <c r="L659" i="3"/>
  <c r="M659" i="3"/>
  <c r="AT659" i="3"/>
  <c r="D660" i="3"/>
  <c r="E660" i="3"/>
  <c r="F660" i="3"/>
  <c r="G660" i="3"/>
  <c r="H660" i="3"/>
  <c r="J660" i="3"/>
  <c r="K660" i="3"/>
  <c r="L660" i="3"/>
  <c r="M660" i="3"/>
  <c r="AT660" i="3"/>
  <c r="D661" i="3"/>
  <c r="E661" i="3"/>
  <c r="F661" i="3"/>
  <c r="G661" i="3"/>
  <c r="H661" i="3"/>
  <c r="J661" i="3"/>
  <c r="K661" i="3"/>
  <c r="L661" i="3"/>
  <c r="M661" i="3"/>
  <c r="AT661" i="3"/>
  <c r="D662" i="3"/>
  <c r="E662" i="3"/>
  <c r="F662" i="3"/>
  <c r="G662" i="3"/>
  <c r="H662" i="3"/>
  <c r="J662" i="3"/>
  <c r="K662" i="3"/>
  <c r="L662" i="3"/>
  <c r="M662" i="3"/>
  <c r="AT662" i="3"/>
  <c r="D663" i="3"/>
  <c r="E663" i="3"/>
  <c r="F663" i="3"/>
  <c r="G663" i="3"/>
  <c r="H663" i="3"/>
  <c r="J663" i="3"/>
  <c r="K663" i="3"/>
  <c r="L663" i="3"/>
  <c r="M663" i="3"/>
  <c r="AT663" i="3"/>
  <c r="D664" i="3"/>
  <c r="E664" i="3"/>
  <c r="F664" i="3"/>
  <c r="G664" i="3"/>
  <c r="H664" i="3"/>
  <c r="J664" i="3"/>
  <c r="K664" i="3"/>
  <c r="L664" i="3"/>
  <c r="M664" i="3"/>
  <c r="AT664" i="3"/>
  <c r="D665" i="3"/>
  <c r="E665" i="3"/>
  <c r="F665" i="3"/>
  <c r="G665" i="3"/>
  <c r="H665" i="3"/>
  <c r="J665" i="3"/>
  <c r="K665" i="3"/>
  <c r="L665" i="3"/>
  <c r="M665" i="3"/>
  <c r="AT665" i="3"/>
  <c r="D666" i="3"/>
  <c r="E666" i="3"/>
  <c r="F666" i="3"/>
  <c r="G666" i="3"/>
  <c r="H666" i="3"/>
  <c r="J666" i="3"/>
  <c r="K666" i="3"/>
  <c r="L666" i="3"/>
  <c r="M666" i="3"/>
  <c r="AT666" i="3"/>
  <c r="D667" i="3"/>
  <c r="E667" i="3"/>
  <c r="F667" i="3"/>
  <c r="G667" i="3"/>
  <c r="H667" i="3"/>
  <c r="J667" i="3"/>
  <c r="K667" i="3"/>
  <c r="L667" i="3"/>
  <c r="M667" i="3"/>
  <c r="AT667" i="3"/>
  <c r="D668" i="3"/>
  <c r="E668" i="3"/>
  <c r="F668" i="3"/>
  <c r="G668" i="3"/>
  <c r="H668" i="3"/>
  <c r="J668" i="3"/>
  <c r="K668" i="3"/>
  <c r="L668" i="3"/>
  <c r="M668" i="3"/>
  <c r="AT668" i="3"/>
  <c r="D669" i="3"/>
  <c r="E669" i="3"/>
  <c r="F669" i="3"/>
  <c r="G669" i="3"/>
  <c r="H669" i="3"/>
  <c r="J669" i="3"/>
  <c r="K669" i="3"/>
  <c r="L669" i="3"/>
  <c r="M669" i="3"/>
  <c r="AT669" i="3"/>
  <c r="D670" i="3"/>
  <c r="E670" i="3"/>
  <c r="F670" i="3"/>
  <c r="G670" i="3"/>
  <c r="H670" i="3"/>
  <c r="J670" i="3"/>
  <c r="K670" i="3"/>
  <c r="L670" i="3"/>
  <c r="M670" i="3"/>
  <c r="AT670" i="3"/>
  <c r="D671" i="3"/>
  <c r="E671" i="3"/>
  <c r="F671" i="3"/>
  <c r="G671" i="3"/>
  <c r="H671" i="3"/>
  <c r="J671" i="3"/>
  <c r="K671" i="3"/>
  <c r="L671" i="3"/>
  <c r="M671" i="3"/>
  <c r="AT671" i="3"/>
  <c r="D672" i="3"/>
  <c r="E672" i="3"/>
  <c r="F672" i="3"/>
  <c r="G672" i="3"/>
  <c r="H672" i="3"/>
  <c r="J672" i="3"/>
  <c r="K672" i="3"/>
  <c r="L672" i="3"/>
  <c r="M672" i="3"/>
  <c r="AT672" i="3"/>
  <c r="D674" i="3"/>
  <c r="E674" i="3"/>
  <c r="F674" i="3"/>
  <c r="G674" i="3"/>
  <c r="H674" i="3"/>
  <c r="J674" i="3"/>
  <c r="K674" i="3"/>
  <c r="L674" i="3"/>
  <c r="M674" i="3"/>
  <c r="AT674" i="3"/>
  <c r="D675" i="3"/>
  <c r="E675" i="3"/>
  <c r="F675" i="3"/>
  <c r="G675" i="3"/>
  <c r="H675" i="3"/>
  <c r="J675" i="3"/>
  <c r="K675" i="3"/>
  <c r="L675" i="3"/>
  <c r="M675" i="3"/>
  <c r="AT675" i="3"/>
  <c r="D676" i="3"/>
  <c r="E676" i="3"/>
  <c r="F676" i="3"/>
  <c r="G676" i="3"/>
  <c r="H676" i="3"/>
  <c r="J676" i="3"/>
  <c r="K676" i="3"/>
  <c r="L676" i="3"/>
  <c r="M676" i="3"/>
  <c r="AT676" i="3"/>
  <c r="D677" i="3"/>
  <c r="E677" i="3"/>
  <c r="F677" i="3"/>
  <c r="G677" i="3"/>
  <c r="H677" i="3"/>
  <c r="J677" i="3"/>
  <c r="K677" i="3"/>
  <c r="L677" i="3"/>
  <c r="M677" i="3"/>
  <c r="AT677" i="3"/>
  <c r="D678" i="3"/>
  <c r="E678" i="3"/>
  <c r="F678" i="3"/>
  <c r="G678" i="3"/>
  <c r="H678" i="3"/>
  <c r="J678" i="3"/>
  <c r="K678" i="3"/>
  <c r="L678" i="3"/>
  <c r="M678" i="3"/>
  <c r="AT678" i="3"/>
  <c r="D679" i="3"/>
  <c r="E679" i="3"/>
  <c r="F679" i="3"/>
  <c r="G679" i="3"/>
  <c r="H679" i="3"/>
  <c r="J679" i="3"/>
  <c r="K679" i="3"/>
  <c r="L679" i="3"/>
  <c r="M679" i="3"/>
  <c r="AT679" i="3"/>
  <c r="D680" i="3"/>
  <c r="E680" i="3"/>
  <c r="F680" i="3"/>
  <c r="G680" i="3"/>
  <c r="H680" i="3"/>
  <c r="J680" i="3"/>
  <c r="K680" i="3"/>
  <c r="L680" i="3"/>
  <c r="M680" i="3"/>
  <c r="AT680" i="3"/>
  <c r="D681" i="3"/>
  <c r="E681" i="3"/>
  <c r="F681" i="3"/>
  <c r="G681" i="3"/>
  <c r="H681" i="3"/>
  <c r="J681" i="3"/>
  <c r="K681" i="3"/>
  <c r="L681" i="3"/>
  <c r="M681" i="3"/>
  <c r="AT681" i="3"/>
  <c r="D682" i="3"/>
  <c r="E682" i="3"/>
  <c r="F682" i="3"/>
  <c r="G682" i="3"/>
  <c r="H682" i="3"/>
  <c r="J682" i="3"/>
  <c r="K682" i="3"/>
  <c r="L682" i="3"/>
  <c r="M682" i="3"/>
  <c r="AT682" i="3"/>
  <c r="D683" i="3"/>
  <c r="E683" i="3"/>
  <c r="F683" i="3"/>
  <c r="G683" i="3"/>
  <c r="H683" i="3"/>
  <c r="J683" i="3"/>
  <c r="K683" i="3"/>
  <c r="L683" i="3"/>
  <c r="M683" i="3"/>
  <c r="AT683" i="3"/>
  <c r="D684" i="3"/>
  <c r="E684" i="3"/>
  <c r="F684" i="3"/>
  <c r="G684" i="3"/>
  <c r="H684" i="3"/>
  <c r="J684" i="3"/>
  <c r="K684" i="3"/>
  <c r="L684" i="3"/>
  <c r="M684" i="3"/>
  <c r="AT684" i="3"/>
  <c r="D685" i="3"/>
  <c r="E685" i="3"/>
  <c r="F685" i="3"/>
  <c r="G685" i="3"/>
  <c r="H685" i="3"/>
  <c r="J685" i="3"/>
  <c r="K685" i="3"/>
  <c r="L685" i="3"/>
  <c r="M685" i="3"/>
  <c r="AT685" i="3"/>
  <c r="D686" i="3"/>
  <c r="E686" i="3"/>
  <c r="F686" i="3"/>
  <c r="G686" i="3"/>
  <c r="H686" i="3"/>
  <c r="J686" i="3"/>
  <c r="K686" i="3"/>
  <c r="L686" i="3"/>
  <c r="M686" i="3"/>
  <c r="AT686" i="3"/>
  <c r="D687" i="3"/>
  <c r="E687" i="3"/>
  <c r="F687" i="3"/>
  <c r="G687" i="3"/>
  <c r="H687" i="3"/>
  <c r="J687" i="3"/>
  <c r="K687" i="3"/>
  <c r="L687" i="3"/>
  <c r="M687" i="3"/>
  <c r="AT687" i="3"/>
  <c r="D688" i="3"/>
  <c r="E688" i="3"/>
  <c r="F688" i="3"/>
  <c r="G688" i="3"/>
  <c r="H688" i="3"/>
  <c r="J688" i="3"/>
  <c r="K688" i="3"/>
  <c r="L688" i="3"/>
  <c r="M688" i="3"/>
  <c r="AT688" i="3"/>
  <c r="D689" i="3"/>
  <c r="E689" i="3"/>
  <c r="F689" i="3"/>
  <c r="G689" i="3"/>
  <c r="H689" i="3"/>
  <c r="J689" i="3"/>
  <c r="K689" i="3"/>
  <c r="L689" i="3"/>
  <c r="M689" i="3"/>
  <c r="AT689" i="3"/>
  <c r="D690" i="3"/>
  <c r="E690" i="3"/>
  <c r="F690" i="3"/>
  <c r="G690" i="3"/>
  <c r="H690" i="3"/>
  <c r="J690" i="3"/>
  <c r="K690" i="3"/>
  <c r="L690" i="3"/>
  <c r="M690" i="3"/>
  <c r="AT690" i="3"/>
  <c r="D691" i="3"/>
  <c r="E691" i="3"/>
  <c r="F691" i="3"/>
  <c r="G691" i="3"/>
  <c r="H691" i="3"/>
  <c r="J691" i="3"/>
  <c r="K691" i="3"/>
  <c r="L691" i="3"/>
  <c r="M691" i="3"/>
  <c r="AT691" i="3"/>
  <c r="D692" i="3"/>
  <c r="E692" i="3"/>
  <c r="F692" i="3"/>
  <c r="G692" i="3"/>
  <c r="H692" i="3"/>
  <c r="J692" i="3"/>
  <c r="K692" i="3"/>
  <c r="L692" i="3"/>
  <c r="M692" i="3"/>
  <c r="AT692" i="3"/>
  <c r="D693" i="3"/>
  <c r="E693" i="3"/>
  <c r="F693" i="3"/>
  <c r="G693" i="3"/>
  <c r="H693" i="3"/>
  <c r="J693" i="3"/>
  <c r="K693" i="3"/>
  <c r="L693" i="3"/>
  <c r="M693" i="3"/>
  <c r="AT693" i="3"/>
  <c r="D694" i="3"/>
  <c r="E694" i="3"/>
  <c r="F694" i="3"/>
  <c r="G694" i="3"/>
  <c r="H694" i="3"/>
  <c r="J694" i="3"/>
  <c r="K694" i="3"/>
  <c r="L694" i="3"/>
  <c r="M694" i="3"/>
  <c r="AT694" i="3"/>
  <c r="D695" i="3"/>
  <c r="E695" i="3"/>
  <c r="F695" i="3"/>
  <c r="G695" i="3"/>
  <c r="H695" i="3"/>
  <c r="J695" i="3"/>
  <c r="K695" i="3"/>
  <c r="L695" i="3"/>
  <c r="M695" i="3"/>
  <c r="AT695" i="3"/>
  <c r="D696" i="3"/>
  <c r="E696" i="3"/>
  <c r="F696" i="3"/>
  <c r="G696" i="3"/>
  <c r="H696" i="3"/>
  <c r="J696" i="3"/>
  <c r="K696" i="3"/>
  <c r="L696" i="3"/>
  <c r="M696" i="3"/>
  <c r="AT696" i="3"/>
  <c r="D697" i="3"/>
  <c r="E697" i="3"/>
  <c r="F697" i="3"/>
  <c r="G697" i="3"/>
  <c r="H697" i="3"/>
  <c r="J697" i="3"/>
  <c r="K697" i="3"/>
  <c r="L697" i="3"/>
  <c r="M697" i="3"/>
  <c r="AT697" i="3"/>
  <c r="D698" i="3"/>
  <c r="E698" i="3"/>
  <c r="F698" i="3"/>
  <c r="G698" i="3"/>
  <c r="H698" i="3"/>
  <c r="J698" i="3"/>
  <c r="K698" i="3"/>
  <c r="L698" i="3"/>
  <c r="M698" i="3"/>
  <c r="AT698" i="3"/>
  <c r="D699" i="3"/>
  <c r="E699" i="3"/>
  <c r="F699" i="3"/>
  <c r="G699" i="3"/>
  <c r="H699" i="3"/>
  <c r="J699" i="3"/>
  <c r="K699" i="3"/>
  <c r="L699" i="3"/>
  <c r="M699" i="3"/>
  <c r="AT699" i="3"/>
  <c r="D700" i="3"/>
  <c r="E700" i="3"/>
  <c r="F700" i="3"/>
  <c r="G700" i="3"/>
  <c r="H700" i="3"/>
  <c r="J700" i="3"/>
  <c r="K700" i="3"/>
  <c r="L700" i="3"/>
  <c r="M700" i="3"/>
  <c r="AT700" i="3"/>
  <c r="D701" i="3"/>
  <c r="E701" i="3"/>
  <c r="F701" i="3"/>
  <c r="G701" i="3"/>
  <c r="H701" i="3"/>
  <c r="J701" i="3"/>
  <c r="K701" i="3"/>
  <c r="L701" i="3"/>
  <c r="M701" i="3"/>
  <c r="AT701" i="3"/>
  <c r="D702" i="3"/>
  <c r="E702" i="3"/>
  <c r="F702" i="3"/>
  <c r="G702" i="3"/>
  <c r="H702" i="3"/>
  <c r="J702" i="3"/>
  <c r="K702" i="3"/>
  <c r="L702" i="3"/>
  <c r="M702" i="3"/>
  <c r="AT702" i="3"/>
  <c r="D703" i="3"/>
  <c r="E703" i="3"/>
  <c r="F703" i="3"/>
  <c r="G703" i="3"/>
  <c r="H703" i="3"/>
  <c r="J703" i="3"/>
  <c r="K703" i="3"/>
  <c r="L703" i="3"/>
  <c r="M703" i="3"/>
  <c r="AT703" i="3"/>
  <c r="D704" i="3"/>
  <c r="E704" i="3"/>
  <c r="F704" i="3"/>
  <c r="G704" i="3"/>
  <c r="H704" i="3"/>
  <c r="J704" i="3"/>
  <c r="K704" i="3"/>
  <c r="L704" i="3"/>
  <c r="M704" i="3"/>
  <c r="AT704" i="3"/>
  <c r="D705" i="3"/>
  <c r="E705" i="3"/>
  <c r="F705" i="3"/>
  <c r="G705" i="3"/>
  <c r="H705" i="3"/>
  <c r="J705" i="3"/>
  <c r="K705" i="3"/>
  <c r="L705" i="3"/>
  <c r="M705" i="3"/>
  <c r="AT705" i="3"/>
  <c r="D706" i="3"/>
  <c r="E706" i="3"/>
  <c r="F706" i="3"/>
  <c r="G706" i="3"/>
  <c r="H706" i="3"/>
  <c r="J706" i="3"/>
  <c r="K706" i="3"/>
  <c r="L706" i="3"/>
  <c r="M706" i="3"/>
  <c r="AT706" i="3"/>
  <c r="D707" i="3"/>
  <c r="E707" i="3"/>
  <c r="F707" i="3"/>
  <c r="G707" i="3"/>
  <c r="H707" i="3"/>
  <c r="J707" i="3"/>
  <c r="K707" i="3"/>
  <c r="L707" i="3"/>
  <c r="M707" i="3"/>
  <c r="AT707" i="3"/>
  <c r="D708" i="3"/>
  <c r="E708" i="3"/>
  <c r="F708" i="3"/>
  <c r="G708" i="3"/>
  <c r="H708" i="3"/>
  <c r="J708" i="3"/>
  <c r="K708" i="3"/>
  <c r="L708" i="3"/>
  <c r="M708" i="3"/>
  <c r="AT708" i="3"/>
  <c r="D709" i="3"/>
  <c r="E709" i="3"/>
  <c r="F709" i="3"/>
  <c r="G709" i="3"/>
  <c r="H709" i="3"/>
  <c r="J709" i="3"/>
  <c r="K709" i="3"/>
  <c r="L709" i="3"/>
  <c r="M709" i="3"/>
  <c r="AT709" i="3"/>
  <c r="D710" i="3"/>
  <c r="E710" i="3"/>
  <c r="F710" i="3"/>
  <c r="G710" i="3"/>
  <c r="H710" i="3"/>
  <c r="J710" i="3"/>
  <c r="K710" i="3"/>
  <c r="L710" i="3"/>
  <c r="M710" i="3"/>
  <c r="AT710" i="3"/>
  <c r="D712" i="3"/>
  <c r="E712" i="3"/>
  <c r="F712" i="3"/>
  <c r="G712" i="3"/>
  <c r="H712" i="3"/>
  <c r="J712" i="3"/>
  <c r="K712" i="3"/>
  <c r="L712" i="3"/>
  <c r="M712" i="3"/>
  <c r="AT712" i="3"/>
  <c r="AT721" i="3"/>
  <c r="D722" i="3"/>
  <c r="E722" i="3"/>
  <c r="F722" i="3"/>
  <c r="G722" i="3"/>
  <c r="H722" i="3"/>
  <c r="J722" i="3"/>
  <c r="K722" i="3"/>
  <c r="L722" i="3"/>
  <c r="M722" i="3"/>
  <c r="AT722" i="3"/>
  <c r="D724" i="3"/>
  <c r="E724" i="3"/>
  <c r="F724" i="3"/>
  <c r="G724" i="3"/>
  <c r="H724" i="3"/>
  <c r="J724" i="3"/>
  <c r="K724" i="3"/>
  <c r="L724" i="3"/>
  <c r="M724" i="3"/>
  <c r="AT724" i="3"/>
  <c r="D725" i="3"/>
  <c r="E725" i="3"/>
  <c r="F725" i="3"/>
  <c r="G725" i="3"/>
  <c r="H725" i="3"/>
  <c r="J725" i="3"/>
  <c r="K725" i="3"/>
  <c r="L725" i="3"/>
  <c r="M725" i="3"/>
  <c r="AT725" i="3"/>
  <c r="D726" i="3"/>
  <c r="E726" i="3"/>
  <c r="F726" i="3"/>
  <c r="G726" i="3"/>
  <c r="H726" i="3"/>
  <c r="J726" i="3"/>
  <c r="K726" i="3"/>
  <c r="L726" i="3"/>
  <c r="M726" i="3"/>
  <c r="AT726" i="3"/>
  <c r="D727" i="3"/>
  <c r="E727" i="3"/>
  <c r="F727" i="3"/>
  <c r="G727" i="3"/>
  <c r="H727" i="3"/>
  <c r="J727" i="3"/>
  <c r="K727" i="3"/>
  <c r="L727" i="3"/>
  <c r="M727" i="3"/>
  <c r="AT727" i="3"/>
  <c r="D728" i="3"/>
  <c r="E728" i="3"/>
  <c r="F728" i="3"/>
  <c r="G728" i="3"/>
  <c r="H728" i="3"/>
  <c r="J728" i="3"/>
  <c r="K728" i="3"/>
  <c r="L728" i="3"/>
  <c r="M728" i="3"/>
  <c r="AT728" i="3"/>
  <c r="D729" i="3"/>
  <c r="E729" i="3"/>
  <c r="F729" i="3"/>
  <c r="G729" i="3"/>
  <c r="H729" i="3"/>
  <c r="J729" i="3"/>
  <c r="K729" i="3"/>
  <c r="L729" i="3"/>
  <c r="M729" i="3"/>
  <c r="AT729" i="3"/>
  <c r="D730" i="3"/>
  <c r="E730" i="3"/>
  <c r="F730" i="3"/>
  <c r="G730" i="3"/>
  <c r="H730" i="3"/>
  <c r="J730" i="3"/>
  <c r="K730" i="3"/>
  <c r="L730" i="3"/>
  <c r="M730" i="3"/>
  <c r="AT730" i="3"/>
  <c r="D731" i="3"/>
  <c r="E731" i="3"/>
  <c r="F731" i="3"/>
  <c r="G731" i="3"/>
  <c r="H731" i="3"/>
  <c r="J731" i="3"/>
  <c r="K731" i="3"/>
  <c r="L731" i="3"/>
  <c r="M731" i="3"/>
  <c r="AT731" i="3"/>
  <c r="D732" i="3"/>
  <c r="E732" i="3"/>
  <c r="F732" i="3"/>
  <c r="G732" i="3"/>
  <c r="H732" i="3"/>
  <c r="J732" i="3"/>
  <c r="K732" i="3"/>
  <c r="L732" i="3"/>
  <c r="M732" i="3"/>
  <c r="AT732" i="3"/>
  <c r="D733" i="3"/>
  <c r="E733" i="3"/>
  <c r="F733" i="3"/>
  <c r="G733" i="3"/>
  <c r="H733" i="3"/>
  <c r="J733" i="3"/>
  <c r="K733" i="3"/>
  <c r="L733" i="3"/>
  <c r="M733" i="3"/>
  <c r="AT733" i="3"/>
  <c r="D734" i="3"/>
  <c r="E734" i="3"/>
  <c r="F734" i="3"/>
  <c r="G734" i="3"/>
  <c r="H734" i="3"/>
  <c r="J734" i="3"/>
  <c r="K734" i="3"/>
  <c r="L734" i="3"/>
  <c r="M734" i="3"/>
  <c r="AT734" i="3"/>
  <c r="D735" i="3"/>
  <c r="E735" i="3"/>
  <c r="F735" i="3"/>
  <c r="G735" i="3"/>
  <c r="H735" i="3"/>
  <c r="J735" i="3"/>
  <c r="K735" i="3"/>
  <c r="L735" i="3"/>
  <c r="M735" i="3"/>
  <c r="AT735" i="3"/>
  <c r="D736" i="3"/>
  <c r="E736" i="3"/>
  <c r="F736" i="3"/>
  <c r="G736" i="3"/>
  <c r="H736" i="3"/>
  <c r="J736" i="3"/>
  <c r="K736" i="3"/>
  <c r="L736" i="3"/>
  <c r="M736" i="3"/>
  <c r="AT736" i="3"/>
  <c r="D737" i="3"/>
  <c r="E737" i="3"/>
  <c r="F737" i="3"/>
  <c r="G737" i="3"/>
  <c r="H737" i="3"/>
  <c r="J737" i="3"/>
  <c r="K737" i="3"/>
  <c r="L737" i="3"/>
  <c r="M737" i="3"/>
  <c r="AT737" i="3"/>
  <c r="D738" i="3"/>
  <c r="E738" i="3"/>
  <c r="F738" i="3"/>
  <c r="G738" i="3"/>
  <c r="H738" i="3"/>
  <c r="J738" i="3"/>
  <c r="K738" i="3"/>
  <c r="L738" i="3"/>
  <c r="M738" i="3"/>
  <c r="AT738" i="3"/>
  <c r="D739" i="3"/>
  <c r="E739" i="3"/>
  <c r="F739" i="3"/>
  <c r="G739" i="3"/>
  <c r="H739" i="3"/>
  <c r="J739" i="3"/>
  <c r="K739" i="3"/>
  <c r="L739" i="3"/>
  <c r="M739" i="3"/>
  <c r="AT739" i="3"/>
  <c r="D740" i="3"/>
  <c r="E740" i="3"/>
  <c r="F740" i="3"/>
  <c r="G740" i="3"/>
  <c r="H740" i="3"/>
  <c r="J740" i="3"/>
  <c r="K740" i="3"/>
  <c r="L740" i="3"/>
  <c r="M740" i="3"/>
  <c r="AT740" i="3"/>
  <c r="D741" i="3"/>
  <c r="E741" i="3"/>
  <c r="F741" i="3"/>
  <c r="G741" i="3"/>
  <c r="H741" i="3"/>
  <c r="J741" i="3"/>
  <c r="K741" i="3"/>
  <c r="L741" i="3"/>
  <c r="M741" i="3"/>
  <c r="AT741" i="3"/>
  <c r="D742" i="3"/>
  <c r="E742" i="3"/>
  <c r="F742" i="3"/>
  <c r="G742" i="3"/>
  <c r="H742" i="3"/>
  <c r="J742" i="3"/>
  <c r="K742" i="3"/>
  <c r="L742" i="3"/>
  <c r="M742" i="3"/>
  <c r="AT742" i="3"/>
  <c r="D743" i="3"/>
  <c r="E743" i="3"/>
  <c r="F743" i="3"/>
  <c r="G743" i="3"/>
  <c r="H743" i="3"/>
  <c r="J743" i="3"/>
  <c r="K743" i="3"/>
  <c r="L743" i="3"/>
  <c r="M743" i="3"/>
  <c r="AT743" i="3"/>
  <c r="D744" i="3"/>
  <c r="E744" i="3"/>
  <c r="F744" i="3"/>
  <c r="G744" i="3"/>
  <c r="H744" i="3"/>
  <c r="J744" i="3"/>
  <c r="K744" i="3"/>
  <c r="L744" i="3"/>
  <c r="M744" i="3"/>
  <c r="AT744" i="3"/>
  <c r="D745" i="3"/>
  <c r="E745" i="3"/>
  <c r="F745" i="3"/>
  <c r="G745" i="3"/>
  <c r="H745" i="3"/>
  <c r="J745" i="3"/>
  <c r="K745" i="3"/>
  <c r="L745" i="3"/>
  <c r="M745" i="3"/>
  <c r="AT745" i="3"/>
  <c r="D746" i="3"/>
  <c r="E746" i="3"/>
  <c r="F746" i="3"/>
  <c r="G746" i="3"/>
  <c r="H746" i="3"/>
  <c r="J746" i="3"/>
  <c r="K746" i="3"/>
  <c r="L746" i="3"/>
  <c r="M746" i="3"/>
  <c r="AT746" i="3"/>
  <c r="D747" i="3"/>
  <c r="E747" i="3"/>
  <c r="F747" i="3"/>
  <c r="G747" i="3"/>
  <c r="H747" i="3"/>
  <c r="J747" i="3"/>
  <c r="K747" i="3"/>
  <c r="L747" i="3"/>
  <c r="M747" i="3"/>
  <c r="AT747" i="3"/>
  <c r="D748" i="3"/>
  <c r="E748" i="3"/>
  <c r="F748" i="3"/>
  <c r="G748" i="3"/>
  <c r="H748" i="3"/>
  <c r="J748" i="3"/>
  <c r="K748" i="3"/>
  <c r="L748" i="3"/>
  <c r="M748" i="3"/>
  <c r="AT748" i="3"/>
  <c r="D749" i="3"/>
  <c r="E749" i="3"/>
  <c r="F749" i="3"/>
  <c r="G749" i="3"/>
  <c r="H749" i="3"/>
  <c r="J749" i="3"/>
  <c r="K749" i="3"/>
  <c r="L749" i="3"/>
  <c r="M749" i="3"/>
  <c r="AT749" i="3"/>
  <c r="D750" i="3"/>
  <c r="E750" i="3"/>
  <c r="F750" i="3"/>
  <c r="G750" i="3"/>
  <c r="H750" i="3"/>
  <c r="J750" i="3"/>
  <c r="K750" i="3"/>
  <c r="L750" i="3"/>
  <c r="M750" i="3"/>
  <c r="AT750" i="3"/>
  <c r="D751" i="3"/>
  <c r="E751" i="3"/>
  <c r="F751" i="3"/>
  <c r="G751" i="3"/>
  <c r="H751" i="3"/>
  <c r="J751" i="3"/>
  <c r="K751" i="3"/>
  <c r="L751" i="3"/>
  <c r="M751" i="3"/>
  <c r="AT751" i="3"/>
  <c r="D752" i="3"/>
  <c r="E752" i="3"/>
  <c r="F752" i="3"/>
  <c r="G752" i="3"/>
  <c r="H752" i="3"/>
  <c r="J752" i="3"/>
  <c r="K752" i="3"/>
  <c r="L752" i="3"/>
  <c r="M752" i="3"/>
  <c r="AT752" i="3"/>
  <c r="D753" i="3"/>
  <c r="E753" i="3"/>
  <c r="F753" i="3"/>
  <c r="G753" i="3"/>
  <c r="H753" i="3"/>
  <c r="J753" i="3"/>
  <c r="K753" i="3"/>
  <c r="L753" i="3"/>
  <c r="M753" i="3"/>
  <c r="AT753" i="3"/>
  <c r="D754" i="3"/>
  <c r="E754" i="3"/>
  <c r="F754" i="3"/>
  <c r="G754" i="3"/>
  <c r="H754" i="3"/>
  <c r="J754" i="3"/>
  <c r="K754" i="3"/>
  <c r="L754" i="3"/>
  <c r="M754" i="3"/>
  <c r="AT754" i="3"/>
  <c r="D755" i="3"/>
  <c r="E755" i="3"/>
  <c r="F755" i="3"/>
  <c r="G755" i="3"/>
  <c r="H755" i="3"/>
  <c r="J755" i="3"/>
  <c r="K755" i="3"/>
  <c r="L755" i="3"/>
  <c r="M755" i="3"/>
  <c r="AT755" i="3"/>
  <c r="D756" i="3"/>
  <c r="E756" i="3"/>
  <c r="F756" i="3"/>
  <c r="G756" i="3"/>
  <c r="H756" i="3"/>
  <c r="J756" i="3"/>
  <c r="K756" i="3"/>
  <c r="L756" i="3"/>
  <c r="M756" i="3"/>
  <c r="AT756" i="3"/>
  <c r="D757" i="3"/>
  <c r="E757" i="3"/>
  <c r="F757" i="3"/>
  <c r="G757" i="3"/>
  <c r="H757" i="3"/>
  <c r="J757" i="3"/>
  <c r="K757" i="3"/>
  <c r="L757" i="3"/>
  <c r="M757" i="3"/>
  <c r="AT757" i="3"/>
  <c r="D758" i="3"/>
  <c r="E758" i="3"/>
  <c r="F758" i="3"/>
  <c r="G758" i="3"/>
  <c r="H758" i="3"/>
  <c r="J758" i="3"/>
  <c r="K758" i="3"/>
  <c r="L758" i="3"/>
  <c r="M758" i="3"/>
  <c r="AT758" i="3"/>
  <c r="D759" i="3"/>
  <c r="E759" i="3"/>
  <c r="F759" i="3"/>
  <c r="G759" i="3"/>
  <c r="H759" i="3"/>
  <c r="J759" i="3"/>
  <c r="K759" i="3"/>
  <c r="L759" i="3"/>
  <c r="M759" i="3"/>
  <c r="AT759" i="3"/>
  <c r="D760" i="3"/>
  <c r="E760" i="3"/>
  <c r="F760" i="3"/>
  <c r="G760" i="3"/>
  <c r="H760" i="3"/>
  <c r="J760" i="3"/>
  <c r="K760" i="3"/>
  <c r="L760" i="3"/>
  <c r="M760" i="3"/>
  <c r="AT760" i="3"/>
  <c r="D761" i="3"/>
  <c r="E761" i="3"/>
  <c r="F761" i="3"/>
  <c r="G761" i="3"/>
  <c r="H761" i="3"/>
  <c r="J761" i="3"/>
  <c r="K761" i="3"/>
  <c r="L761" i="3"/>
  <c r="M761" i="3"/>
  <c r="AT761" i="3"/>
  <c r="D762" i="3"/>
  <c r="E762" i="3"/>
  <c r="F762" i="3"/>
  <c r="G762" i="3"/>
  <c r="H762" i="3"/>
  <c r="J762" i="3"/>
  <c r="K762" i="3"/>
  <c r="L762" i="3"/>
  <c r="M762" i="3"/>
  <c r="AT762" i="3"/>
  <c r="D763" i="3"/>
  <c r="E763" i="3"/>
  <c r="F763" i="3"/>
  <c r="G763" i="3"/>
  <c r="H763" i="3"/>
  <c r="J763" i="3"/>
  <c r="K763" i="3"/>
  <c r="L763" i="3"/>
  <c r="M763" i="3"/>
  <c r="AT763" i="3"/>
  <c r="D764" i="3"/>
  <c r="E764" i="3"/>
  <c r="F764" i="3"/>
  <c r="G764" i="3"/>
  <c r="H764" i="3"/>
  <c r="J764" i="3"/>
  <c r="K764" i="3"/>
  <c r="L764" i="3"/>
  <c r="M764" i="3"/>
  <c r="AT764" i="3"/>
  <c r="D765" i="3"/>
  <c r="E765" i="3"/>
  <c r="F765" i="3"/>
  <c r="G765" i="3"/>
  <c r="H765" i="3"/>
  <c r="J765" i="3"/>
  <c r="K765" i="3"/>
  <c r="L765" i="3"/>
  <c r="M765" i="3"/>
  <c r="AT765" i="3"/>
  <c r="D766" i="3"/>
  <c r="E766" i="3"/>
  <c r="F766" i="3"/>
  <c r="G766" i="3"/>
  <c r="H766" i="3"/>
  <c r="J766" i="3"/>
  <c r="K766" i="3"/>
  <c r="L766" i="3"/>
  <c r="M766" i="3"/>
  <c r="AT766" i="3"/>
  <c r="D767" i="3"/>
  <c r="E767" i="3"/>
  <c r="F767" i="3"/>
  <c r="G767" i="3"/>
  <c r="H767" i="3"/>
  <c r="J767" i="3"/>
  <c r="K767" i="3"/>
  <c r="L767" i="3"/>
  <c r="M767" i="3"/>
  <c r="AT767" i="3"/>
  <c r="D768" i="3"/>
  <c r="E768" i="3"/>
  <c r="F768" i="3"/>
  <c r="G768" i="3"/>
  <c r="H768" i="3"/>
  <c r="J768" i="3"/>
  <c r="K768" i="3"/>
  <c r="L768" i="3"/>
  <c r="M768" i="3"/>
  <c r="AT768" i="3"/>
  <c r="D769" i="3"/>
  <c r="E769" i="3"/>
  <c r="F769" i="3"/>
  <c r="G769" i="3"/>
  <c r="H769" i="3"/>
  <c r="J769" i="3"/>
  <c r="K769" i="3"/>
  <c r="L769" i="3"/>
  <c r="M769" i="3"/>
  <c r="AT769" i="3"/>
  <c r="D770" i="3"/>
  <c r="E770" i="3"/>
  <c r="F770" i="3"/>
  <c r="G770" i="3"/>
  <c r="H770" i="3"/>
  <c r="J770" i="3"/>
  <c r="K770" i="3"/>
  <c r="L770" i="3"/>
  <c r="M770" i="3"/>
  <c r="AT770" i="3"/>
  <c r="D771" i="3"/>
  <c r="E771" i="3"/>
  <c r="F771" i="3"/>
  <c r="G771" i="3"/>
  <c r="H771" i="3"/>
  <c r="J771" i="3"/>
  <c r="K771" i="3"/>
  <c r="L771" i="3"/>
  <c r="M771" i="3"/>
  <c r="AT771" i="3"/>
  <c r="D772" i="3"/>
  <c r="E772" i="3"/>
  <c r="F772" i="3"/>
  <c r="G772" i="3"/>
  <c r="H772" i="3"/>
  <c r="J772" i="3"/>
  <c r="K772" i="3"/>
  <c r="L772" i="3"/>
  <c r="M772" i="3"/>
  <c r="AT772" i="3"/>
  <c r="D773" i="3"/>
  <c r="E773" i="3"/>
  <c r="F773" i="3"/>
  <c r="G773" i="3"/>
  <c r="H773" i="3"/>
  <c r="J773" i="3"/>
  <c r="K773" i="3"/>
  <c r="L773" i="3"/>
  <c r="M773" i="3"/>
  <c r="AT773" i="3"/>
  <c r="D774" i="3"/>
  <c r="E774" i="3"/>
  <c r="F774" i="3"/>
  <c r="G774" i="3"/>
  <c r="H774" i="3"/>
  <c r="J774" i="3"/>
  <c r="K774" i="3"/>
  <c r="L774" i="3"/>
  <c r="M774" i="3"/>
  <c r="AT774" i="3"/>
  <c r="D775" i="3"/>
  <c r="E775" i="3"/>
  <c r="F775" i="3"/>
  <c r="G775" i="3"/>
  <c r="H775" i="3"/>
  <c r="J775" i="3"/>
  <c r="K775" i="3"/>
  <c r="L775" i="3"/>
  <c r="M775" i="3"/>
  <c r="AT775" i="3"/>
  <c r="D776" i="3"/>
  <c r="E776" i="3"/>
  <c r="F776" i="3"/>
  <c r="G776" i="3"/>
  <c r="H776" i="3"/>
  <c r="J776" i="3"/>
  <c r="K776" i="3"/>
  <c r="L776" i="3"/>
  <c r="M776" i="3"/>
  <c r="AT776" i="3"/>
  <c r="D777" i="3"/>
  <c r="E777" i="3"/>
  <c r="F777" i="3"/>
  <c r="G777" i="3"/>
  <c r="H777" i="3"/>
  <c r="J777" i="3"/>
  <c r="K777" i="3"/>
  <c r="L777" i="3"/>
  <c r="M777" i="3"/>
  <c r="AT777" i="3"/>
  <c r="D778" i="3"/>
  <c r="E778" i="3"/>
  <c r="F778" i="3"/>
  <c r="G778" i="3"/>
  <c r="H778" i="3"/>
  <c r="J778" i="3"/>
  <c r="K778" i="3"/>
  <c r="L778" i="3"/>
  <c r="M778" i="3"/>
  <c r="AT778" i="3"/>
  <c r="D779" i="3"/>
  <c r="E779" i="3"/>
  <c r="F779" i="3"/>
  <c r="G779" i="3"/>
  <c r="H779" i="3"/>
  <c r="J779" i="3"/>
  <c r="K779" i="3"/>
  <c r="L779" i="3"/>
  <c r="M779" i="3"/>
  <c r="AT779" i="3"/>
  <c r="D780" i="3"/>
  <c r="E780" i="3"/>
  <c r="F780" i="3"/>
  <c r="G780" i="3"/>
  <c r="H780" i="3"/>
  <c r="J780" i="3"/>
  <c r="K780" i="3"/>
  <c r="L780" i="3"/>
  <c r="M780" i="3"/>
  <c r="AT780" i="3"/>
  <c r="D781" i="3"/>
  <c r="E781" i="3"/>
  <c r="F781" i="3"/>
  <c r="G781" i="3"/>
  <c r="H781" i="3"/>
  <c r="J781" i="3"/>
  <c r="K781" i="3"/>
  <c r="L781" i="3"/>
  <c r="M781" i="3"/>
  <c r="AT781" i="3"/>
  <c r="D782" i="3"/>
  <c r="E782" i="3"/>
  <c r="F782" i="3"/>
  <c r="G782" i="3"/>
  <c r="H782" i="3"/>
  <c r="J782" i="3"/>
  <c r="K782" i="3"/>
  <c r="L782" i="3"/>
  <c r="M782" i="3"/>
  <c r="AT782" i="3"/>
  <c r="D783" i="3"/>
  <c r="E783" i="3"/>
  <c r="F783" i="3"/>
  <c r="G783" i="3"/>
  <c r="H783" i="3"/>
  <c r="J783" i="3"/>
  <c r="K783" i="3"/>
  <c r="L783" i="3"/>
  <c r="M783" i="3"/>
  <c r="AT783" i="3"/>
  <c r="D784" i="3"/>
  <c r="E784" i="3"/>
  <c r="F784" i="3"/>
  <c r="G784" i="3"/>
  <c r="H784" i="3"/>
  <c r="J784" i="3"/>
  <c r="K784" i="3"/>
  <c r="L784" i="3"/>
  <c r="M784" i="3"/>
  <c r="AT784" i="3"/>
  <c r="D785" i="3"/>
  <c r="E785" i="3"/>
  <c r="F785" i="3"/>
  <c r="G785" i="3"/>
  <c r="H785" i="3"/>
  <c r="J785" i="3"/>
  <c r="K785" i="3"/>
  <c r="L785" i="3"/>
  <c r="M785" i="3"/>
  <c r="AT785" i="3"/>
  <c r="D786" i="3"/>
  <c r="E786" i="3"/>
  <c r="F786" i="3"/>
  <c r="G786" i="3"/>
  <c r="H786" i="3"/>
  <c r="J786" i="3"/>
  <c r="K786" i="3"/>
  <c r="L786" i="3"/>
  <c r="M786" i="3"/>
  <c r="AT786" i="3"/>
  <c r="D787" i="3"/>
  <c r="E787" i="3"/>
  <c r="F787" i="3"/>
  <c r="G787" i="3"/>
  <c r="H787" i="3"/>
  <c r="J787" i="3"/>
  <c r="K787" i="3"/>
  <c r="L787" i="3"/>
  <c r="M787" i="3"/>
  <c r="AT787" i="3"/>
  <c r="D788" i="3"/>
  <c r="E788" i="3"/>
  <c r="F788" i="3"/>
  <c r="G788" i="3"/>
  <c r="H788" i="3"/>
  <c r="J788" i="3"/>
  <c r="K788" i="3"/>
  <c r="L788" i="3"/>
  <c r="M788" i="3"/>
  <c r="AT788" i="3"/>
  <c r="D789" i="3"/>
  <c r="E789" i="3"/>
  <c r="F789" i="3"/>
  <c r="G789" i="3"/>
  <c r="H789" i="3"/>
  <c r="J789" i="3"/>
  <c r="K789" i="3"/>
  <c r="L789" i="3"/>
  <c r="M789" i="3"/>
  <c r="AT789" i="3"/>
  <c r="D790" i="3"/>
  <c r="E790" i="3"/>
  <c r="F790" i="3"/>
  <c r="G790" i="3"/>
  <c r="H790" i="3"/>
  <c r="J790" i="3"/>
  <c r="K790" i="3"/>
  <c r="L790" i="3"/>
  <c r="M790" i="3"/>
  <c r="AT790" i="3"/>
  <c r="D791" i="3"/>
  <c r="E791" i="3"/>
  <c r="F791" i="3"/>
  <c r="G791" i="3"/>
  <c r="H791" i="3"/>
  <c r="J791" i="3"/>
  <c r="K791" i="3"/>
  <c r="L791" i="3"/>
  <c r="M791" i="3"/>
  <c r="AT791" i="3"/>
  <c r="D792" i="3"/>
  <c r="E792" i="3"/>
  <c r="F792" i="3"/>
  <c r="G792" i="3"/>
  <c r="H792" i="3"/>
  <c r="J792" i="3"/>
  <c r="K792" i="3"/>
  <c r="L792" i="3"/>
  <c r="M792" i="3"/>
  <c r="AT792" i="3"/>
  <c r="D793" i="3"/>
  <c r="E793" i="3"/>
  <c r="F793" i="3"/>
  <c r="G793" i="3"/>
  <c r="H793" i="3"/>
  <c r="J793" i="3"/>
  <c r="K793" i="3"/>
  <c r="L793" i="3"/>
  <c r="M793" i="3"/>
  <c r="AT793" i="3"/>
  <c r="D794" i="3"/>
  <c r="E794" i="3"/>
  <c r="F794" i="3"/>
  <c r="G794" i="3"/>
  <c r="H794" i="3"/>
  <c r="J794" i="3"/>
  <c r="K794" i="3"/>
  <c r="L794" i="3"/>
  <c r="M794" i="3"/>
  <c r="AT794" i="3"/>
  <c r="D795" i="3"/>
  <c r="E795" i="3"/>
  <c r="F795" i="3"/>
  <c r="G795" i="3"/>
  <c r="H795" i="3"/>
  <c r="J795" i="3"/>
  <c r="K795" i="3"/>
  <c r="L795" i="3"/>
  <c r="M795" i="3"/>
  <c r="AT795" i="3"/>
  <c r="D796" i="3"/>
  <c r="E796" i="3"/>
  <c r="F796" i="3"/>
  <c r="G796" i="3"/>
  <c r="H796" i="3"/>
  <c r="J796" i="3"/>
  <c r="K796" i="3"/>
  <c r="L796" i="3"/>
  <c r="M796" i="3"/>
  <c r="AT796" i="3"/>
  <c r="D797" i="3"/>
  <c r="E797" i="3"/>
  <c r="F797" i="3"/>
  <c r="G797" i="3"/>
  <c r="H797" i="3"/>
  <c r="J797" i="3"/>
  <c r="K797" i="3"/>
  <c r="L797" i="3"/>
  <c r="M797" i="3"/>
  <c r="AT797" i="3"/>
  <c r="D798" i="3"/>
  <c r="E798" i="3"/>
  <c r="F798" i="3"/>
  <c r="G798" i="3"/>
  <c r="H798" i="3"/>
  <c r="J798" i="3"/>
  <c r="K798" i="3"/>
  <c r="L798" i="3"/>
  <c r="M798" i="3"/>
  <c r="AT798" i="3"/>
  <c r="D799" i="3"/>
  <c r="E799" i="3"/>
  <c r="F799" i="3"/>
  <c r="G799" i="3"/>
  <c r="H799" i="3"/>
  <c r="J799" i="3"/>
  <c r="K799" i="3"/>
  <c r="L799" i="3"/>
  <c r="M799" i="3"/>
  <c r="AT799" i="3"/>
  <c r="D800" i="3"/>
  <c r="E800" i="3"/>
  <c r="F800" i="3"/>
  <c r="G800" i="3"/>
  <c r="H800" i="3"/>
  <c r="J800" i="3"/>
  <c r="K800" i="3"/>
  <c r="L800" i="3"/>
  <c r="M800" i="3"/>
  <c r="AT800" i="3"/>
  <c r="D801" i="3"/>
  <c r="E801" i="3"/>
  <c r="F801" i="3"/>
  <c r="G801" i="3"/>
  <c r="H801" i="3"/>
  <c r="J801" i="3"/>
  <c r="K801" i="3"/>
  <c r="L801" i="3"/>
  <c r="M801" i="3"/>
  <c r="AT801" i="3"/>
  <c r="D802" i="3"/>
  <c r="E802" i="3"/>
  <c r="F802" i="3"/>
  <c r="G802" i="3"/>
  <c r="H802" i="3"/>
  <c r="J802" i="3"/>
  <c r="K802" i="3"/>
  <c r="L802" i="3"/>
  <c r="M802" i="3"/>
  <c r="AT802" i="3"/>
  <c r="D803" i="3"/>
  <c r="E803" i="3"/>
  <c r="F803" i="3"/>
  <c r="G803" i="3"/>
  <c r="H803" i="3"/>
  <c r="J803" i="3"/>
  <c r="K803" i="3"/>
  <c r="L803" i="3"/>
  <c r="M803" i="3"/>
  <c r="AT803" i="3"/>
  <c r="D804" i="3"/>
  <c r="E804" i="3"/>
  <c r="F804" i="3"/>
  <c r="G804" i="3"/>
  <c r="H804" i="3"/>
  <c r="J804" i="3"/>
  <c r="K804" i="3"/>
  <c r="L804" i="3"/>
  <c r="M804" i="3"/>
  <c r="AT804" i="3"/>
  <c r="D805" i="3"/>
  <c r="E805" i="3"/>
  <c r="F805" i="3"/>
  <c r="G805" i="3"/>
  <c r="H805" i="3"/>
  <c r="J805" i="3"/>
  <c r="K805" i="3"/>
  <c r="L805" i="3"/>
  <c r="M805" i="3"/>
  <c r="AT805" i="3"/>
  <c r="D806" i="3"/>
  <c r="E806" i="3"/>
  <c r="F806" i="3"/>
  <c r="G806" i="3"/>
  <c r="H806" i="3"/>
  <c r="J806" i="3"/>
  <c r="K806" i="3"/>
  <c r="L806" i="3"/>
  <c r="M806" i="3"/>
  <c r="AT806" i="3"/>
  <c r="D807" i="3"/>
  <c r="E807" i="3"/>
  <c r="F807" i="3"/>
  <c r="G807" i="3"/>
  <c r="H807" i="3"/>
  <c r="J807" i="3"/>
  <c r="K807" i="3"/>
  <c r="L807" i="3"/>
  <c r="M807" i="3"/>
  <c r="AT807" i="3"/>
  <c r="D808" i="3"/>
  <c r="E808" i="3"/>
  <c r="F808" i="3"/>
  <c r="G808" i="3"/>
  <c r="H808" i="3"/>
  <c r="J808" i="3"/>
  <c r="K808" i="3"/>
  <c r="L808" i="3"/>
  <c r="M808" i="3"/>
  <c r="AT808" i="3"/>
  <c r="D809" i="3"/>
  <c r="E809" i="3"/>
  <c r="F809" i="3"/>
  <c r="G809" i="3"/>
  <c r="H809" i="3"/>
  <c r="J809" i="3"/>
  <c r="K809" i="3"/>
  <c r="L809" i="3"/>
  <c r="M809" i="3"/>
  <c r="AT809" i="3"/>
  <c r="D810" i="3"/>
  <c r="E810" i="3"/>
  <c r="F810" i="3"/>
  <c r="G810" i="3"/>
  <c r="H810" i="3"/>
  <c r="J810" i="3"/>
  <c r="K810" i="3"/>
  <c r="L810" i="3"/>
  <c r="M810" i="3"/>
  <c r="AT810" i="3"/>
  <c r="D811" i="3"/>
  <c r="E811" i="3"/>
  <c r="F811" i="3"/>
  <c r="G811" i="3"/>
  <c r="H811" i="3"/>
  <c r="J811" i="3"/>
  <c r="K811" i="3"/>
  <c r="L811" i="3"/>
  <c r="M811" i="3"/>
  <c r="AT811" i="3"/>
  <c r="D812" i="3"/>
  <c r="E812" i="3"/>
  <c r="F812" i="3"/>
  <c r="G812" i="3"/>
  <c r="H812" i="3"/>
  <c r="J812" i="3"/>
  <c r="K812" i="3"/>
  <c r="L812" i="3"/>
  <c r="M812" i="3"/>
  <c r="AT812" i="3"/>
  <c r="D813" i="3"/>
  <c r="E813" i="3"/>
  <c r="F813" i="3"/>
  <c r="G813" i="3"/>
  <c r="H813" i="3"/>
  <c r="J813" i="3"/>
  <c r="K813" i="3"/>
  <c r="L813" i="3"/>
  <c r="M813" i="3"/>
  <c r="AT813" i="3"/>
  <c r="D814" i="3"/>
  <c r="E814" i="3"/>
  <c r="F814" i="3"/>
  <c r="G814" i="3"/>
  <c r="H814" i="3"/>
  <c r="J814" i="3"/>
  <c r="K814" i="3"/>
  <c r="L814" i="3"/>
  <c r="M814" i="3"/>
  <c r="AT814" i="3"/>
  <c r="D815" i="3"/>
  <c r="E815" i="3"/>
  <c r="F815" i="3"/>
  <c r="G815" i="3"/>
  <c r="H815" i="3"/>
  <c r="J815" i="3"/>
  <c r="K815" i="3"/>
  <c r="L815" i="3"/>
  <c r="M815" i="3"/>
  <c r="AT815" i="3"/>
  <c r="D816" i="3"/>
  <c r="E816" i="3"/>
  <c r="F816" i="3"/>
  <c r="G816" i="3"/>
  <c r="H816" i="3"/>
  <c r="J816" i="3"/>
  <c r="K816" i="3"/>
  <c r="L816" i="3"/>
  <c r="M816" i="3"/>
  <c r="AT816" i="3"/>
  <c r="D817" i="3"/>
  <c r="E817" i="3"/>
  <c r="F817" i="3"/>
  <c r="G817" i="3"/>
  <c r="H817" i="3"/>
  <c r="J817" i="3"/>
  <c r="K817" i="3"/>
  <c r="L817" i="3"/>
  <c r="M817" i="3"/>
  <c r="AT817" i="3"/>
  <c r="D818" i="3"/>
  <c r="E818" i="3"/>
  <c r="F818" i="3"/>
  <c r="G818" i="3"/>
  <c r="H818" i="3"/>
  <c r="J818" i="3"/>
  <c r="K818" i="3"/>
  <c r="L818" i="3"/>
  <c r="M818" i="3"/>
  <c r="AT818" i="3"/>
  <c r="D819" i="3"/>
  <c r="E819" i="3"/>
  <c r="F819" i="3"/>
  <c r="G819" i="3"/>
  <c r="H819" i="3"/>
  <c r="J819" i="3"/>
  <c r="K819" i="3"/>
  <c r="L819" i="3"/>
  <c r="M819" i="3"/>
  <c r="AT819" i="3"/>
  <c r="D820" i="3"/>
  <c r="E820" i="3"/>
  <c r="F820" i="3"/>
  <c r="G820" i="3"/>
  <c r="H820" i="3"/>
  <c r="J820" i="3"/>
  <c r="K820" i="3"/>
  <c r="L820" i="3"/>
  <c r="M820" i="3"/>
  <c r="AT820" i="3"/>
  <c r="D821" i="3"/>
  <c r="E821" i="3"/>
  <c r="F821" i="3"/>
  <c r="G821" i="3"/>
  <c r="H821" i="3"/>
  <c r="J821" i="3"/>
  <c r="K821" i="3"/>
  <c r="L821" i="3"/>
  <c r="M821" i="3"/>
  <c r="AT821" i="3"/>
  <c r="D822" i="3"/>
  <c r="E822" i="3"/>
  <c r="F822" i="3"/>
  <c r="G822" i="3"/>
  <c r="H822" i="3"/>
  <c r="J822" i="3"/>
  <c r="K822" i="3"/>
  <c r="L822" i="3"/>
  <c r="M822" i="3"/>
  <c r="AT822" i="3"/>
  <c r="D823" i="3"/>
  <c r="E823" i="3"/>
  <c r="F823" i="3"/>
  <c r="G823" i="3"/>
  <c r="H823" i="3"/>
  <c r="J823" i="3"/>
  <c r="K823" i="3"/>
  <c r="L823" i="3"/>
  <c r="M823" i="3"/>
  <c r="AT823" i="3"/>
  <c r="D824" i="3"/>
  <c r="E824" i="3"/>
  <c r="F824" i="3"/>
  <c r="G824" i="3"/>
  <c r="H824" i="3"/>
  <c r="J824" i="3"/>
  <c r="K824" i="3"/>
  <c r="L824" i="3"/>
  <c r="M824" i="3"/>
  <c r="AT824" i="3"/>
  <c r="D825" i="3"/>
  <c r="E825" i="3"/>
  <c r="F825" i="3"/>
  <c r="G825" i="3"/>
  <c r="H825" i="3"/>
  <c r="J825" i="3"/>
  <c r="K825" i="3"/>
  <c r="L825" i="3"/>
  <c r="M825" i="3"/>
  <c r="AT825" i="3"/>
  <c r="D826" i="3"/>
  <c r="E826" i="3"/>
  <c r="F826" i="3"/>
  <c r="G826" i="3"/>
  <c r="H826" i="3"/>
  <c r="J826" i="3"/>
  <c r="K826" i="3"/>
  <c r="L826" i="3"/>
  <c r="M826" i="3"/>
  <c r="AT826" i="3"/>
  <c r="D827" i="3"/>
  <c r="E827" i="3"/>
  <c r="F827" i="3"/>
  <c r="G827" i="3"/>
  <c r="H827" i="3"/>
  <c r="J827" i="3"/>
  <c r="K827" i="3"/>
  <c r="L827" i="3"/>
  <c r="M827" i="3"/>
  <c r="AT827" i="3"/>
  <c r="D828" i="3"/>
  <c r="E828" i="3"/>
  <c r="F828" i="3"/>
  <c r="G828" i="3"/>
  <c r="H828" i="3"/>
  <c r="J828" i="3"/>
  <c r="K828" i="3"/>
  <c r="L828" i="3"/>
  <c r="M828" i="3"/>
  <c r="AT828" i="3"/>
  <c r="D829" i="3"/>
  <c r="E829" i="3"/>
  <c r="F829" i="3"/>
  <c r="G829" i="3"/>
  <c r="H829" i="3"/>
  <c r="J829" i="3"/>
  <c r="K829" i="3"/>
  <c r="L829" i="3"/>
  <c r="M829" i="3"/>
  <c r="AT829" i="3"/>
  <c r="D830" i="3"/>
  <c r="E830" i="3"/>
  <c r="F830" i="3"/>
  <c r="G830" i="3"/>
  <c r="H830" i="3"/>
  <c r="J830" i="3"/>
  <c r="K830" i="3"/>
  <c r="L830" i="3"/>
  <c r="M830" i="3"/>
  <c r="AT830" i="3"/>
  <c r="D831" i="3"/>
  <c r="E831" i="3"/>
  <c r="F831" i="3"/>
  <c r="G831" i="3"/>
  <c r="H831" i="3"/>
  <c r="J831" i="3"/>
  <c r="K831" i="3"/>
  <c r="L831" i="3"/>
  <c r="M831" i="3"/>
  <c r="AT831" i="3"/>
  <c r="D832" i="3"/>
  <c r="E832" i="3"/>
  <c r="F832" i="3"/>
  <c r="G832" i="3"/>
  <c r="H832" i="3"/>
  <c r="J832" i="3"/>
  <c r="K832" i="3"/>
  <c r="L832" i="3"/>
  <c r="M832" i="3"/>
  <c r="AT832" i="3"/>
  <c r="D833" i="3"/>
  <c r="E833" i="3"/>
  <c r="F833" i="3"/>
  <c r="G833" i="3"/>
  <c r="H833" i="3"/>
  <c r="J833" i="3"/>
  <c r="K833" i="3"/>
  <c r="L833" i="3"/>
  <c r="M833" i="3"/>
  <c r="AT833" i="3"/>
  <c r="D834" i="3"/>
  <c r="E834" i="3"/>
  <c r="F834" i="3"/>
  <c r="G834" i="3"/>
  <c r="H834" i="3"/>
  <c r="J834" i="3"/>
  <c r="K834" i="3"/>
  <c r="L834" i="3"/>
  <c r="M834" i="3"/>
  <c r="AT834" i="3"/>
  <c r="D835" i="3"/>
  <c r="E835" i="3"/>
  <c r="F835" i="3"/>
  <c r="G835" i="3"/>
  <c r="H835" i="3"/>
  <c r="J835" i="3"/>
  <c r="K835" i="3"/>
  <c r="L835" i="3"/>
  <c r="M835" i="3"/>
  <c r="AT835" i="3"/>
  <c r="D836" i="3"/>
  <c r="E836" i="3"/>
  <c r="F836" i="3"/>
  <c r="G836" i="3"/>
  <c r="H836" i="3"/>
  <c r="J836" i="3"/>
  <c r="K836" i="3"/>
  <c r="L836" i="3"/>
  <c r="M836" i="3"/>
  <c r="AT836" i="3"/>
  <c r="D837" i="3"/>
  <c r="E837" i="3"/>
  <c r="F837" i="3"/>
  <c r="G837" i="3"/>
  <c r="H837" i="3"/>
  <c r="J837" i="3"/>
  <c r="K837" i="3"/>
  <c r="L837" i="3"/>
  <c r="M837" i="3"/>
  <c r="AT837" i="3"/>
  <c r="D838" i="3"/>
  <c r="E838" i="3"/>
  <c r="F838" i="3"/>
  <c r="G838" i="3"/>
  <c r="H838" i="3"/>
  <c r="J838" i="3"/>
  <c r="K838" i="3"/>
  <c r="L838" i="3"/>
  <c r="M838" i="3"/>
  <c r="AT838" i="3"/>
  <c r="D839" i="3"/>
  <c r="E839" i="3"/>
  <c r="F839" i="3"/>
  <c r="G839" i="3"/>
  <c r="H839" i="3"/>
  <c r="J839" i="3"/>
  <c r="K839" i="3"/>
  <c r="L839" i="3"/>
  <c r="M839" i="3"/>
  <c r="AT839" i="3"/>
  <c r="D840" i="3"/>
  <c r="E840" i="3"/>
  <c r="F840" i="3"/>
  <c r="G840" i="3"/>
  <c r="H840" i="3"/>
  <c r="J840" i="3"/>
  <c r="K840" i="3"/>
  <c r="L840" i="3"/>
  <c r="M840" i="3"/>
  <c r="AT840" i="3"/>
  <c r="D841" i="3"/>
  <c r="E841" i="3"/>
  <c r="F841" i="3"/>
  <c r="G841" i="3"/>
  <c r="H841" i="3"/>
  <c r="J841" i="3"/>
  <c r="K841" i="3"/>
  <c r="L841" i="3"/>
  <c r="M841" i="3"/>
  <c r="AT841" i="3"/>
  <c r="D842" i="3"/>
  <c r="E842" i="3"/>
  <c r="F842" i="3"/>
  <c r="G842" i="3"/>
  <c r="H842" i="3"/>
  <c r="J842" i="3"/>
  <c r="K842" i="3"/>
  <c r="L842" i="3"/>
  <c r="M842" i="3"/>
  <c r="AT842" i="3"/>
  <c r="D843" i="3"/>
  <c r="E843" i="3"/>
  <c r="F843" i="3"/>
  <c r="G843" i="3"/>
  <c r="H843" i="3"/>
  <c r="J843" i="3"/>
  <c r="K843" i="3"/>
  <c r="L843" i="3"/>
  <c r="M843" i="3"/>
  <c r="AT843" i="3"/>
  <c r="D844" i="3"/>
  <c r="E844" i="3"/>
  <c r="F844" i="3"/>
  <c r="G844" i="3"/>
  <c r="H844" i="3"/>
  <c r="J844" i="3"/>
  <c r="K844" i="3"/>
  <c r="L844" i="3"/>
  <c r="M844" i="3"/>
  <c r="AT844" i="3"/>
  <c r="D845" i="3"/>
  <c r="E845" i="3"/>
  <c r="F845" i="3"/>
  <c r="G845" i="3"/>
  <c r="H845" i="3"/>
  <c r="J845" i="3"/>
  <c r="K845" i="3"/>
  <c r="L845" i="3"/>
  <c r="M845" i="3"/>
  <c r="AT845" i="3"/>
  <c r="D846" i="3"/>
  <c r="E846" i="3"/>
  <c r="F846" i="3"/>
  <c r="G846" i="3"/>
  <c r="H846" i="3"/>
  <c r="J846" i="3"/>
  <c r="K846" i="3"/>
  <c r="L846" i="3"/>
  <c r="M846" i="3"/>
  <c r="AT846" i="3"/>
  <c r="D847" i="3"/>
  <c r="E847" i="3"/>
  <c r="F847" i="3"/>
  <c r="G847" i="3"/>
  <c r="H847" i="3"/>
  <c r="J847" i="3"/>
  <c r="K847" i="3"/>
  <c r="L847" i="3"/>
  <c r="M847" i="3"/>
  <c r="AT847" i="3"/>
  <c r="D848" i="3"/>
  <c r="E848" i="3"/>
  <c r="F848" i="3"/>
  <c r="G848" i="3"/>
  <c r="H848" i="3"/>
  <c r="J848" i="3"/>
  <c r="K848" i="3"/>
  <c r="L848" i="3"/>
  <c r="M848" i="3"/>
  <c r="AT848" i="3"/>
  <c r="D849" i="3"/>
  <c r="E849" i="3"/>
  <c r="F849" i="3"/>
  <c r="G849" i="3"/>
  <c r="H849" i="3"/>
  <c r="J849" i="3"/>
  <c r="K849" i="3"/>
  <c r="L849" i="3"/>
  <c r="M849" i="3"/>
  <c r="AT849" i="3"/>
  <c r="D850" i="3"/>
  <c r="E850" i="3"/>
  <c r="F850" i="3"/>
  <c r="G850" i="3"/>
  <c r="H850" i="3"/>
  <c r="J850" i="3"/>
  <c r="K850" i="3"/>
  <c r="L850" i="3"/>
  <c r="M850" i="3"/>
  <c r="AT850" i="3"/>
  <c r="D851" i="3"/>
  <c r="E851" i="3"/>
  <c r="F851" i="3"/>
  <c r="G851" i="3"/>
  <c r="H851" i="3"/>
  <c r="J851" i="3"/>
  <c r="K851" i="3"/>
  <c r="L851" i="3"/>
  <c r="M851" i="3"/>
  <c r="AT851" i="3"/>
  <c r="D852" i="3"/>
  <c r="E852" i="3"/>
  <c r="F852" i="3"/>
  <c r="G852" i="3"/>
  <c r="H852" i="3"/>
  <c r="J852" i="3"/>
  <c r="K852" i="3"/>
  <c r="L852" i="3"/>
  <c r="M852" i="3"/>
  <c r="AT852" i="3"/>
  <c r="D853" i="3"/>
  <c r="E853" i="3"/>
  <c r="F853" i="3"/>
  <c r="G853" i="3"/>
  <c r="H853" i="3"/>
  <c r="J853" i="3"/>
  <c r="K853" i="3"/>
  <c r="L853" i="3"/>
  <c r="M853" i="3"/>
  <c r="AT853" i="3"/>
  <c r="D854" i="3"/>
  <c r="E854" i="3"/>
  <c r="F854" i="3"/>
  <c r="G854" i="3"/>
  <c r="H854" i="3"/>
  <c r="J854" i="3"/>
  <c r="K854" i="3"/>
  <c r="L854" i="3"/>
  <c r="M854" i="3"/>
  <c r="AT854" i="3"/>
  <c r="D855" i="3"/>
  <c r="E855" i="3"/>
  <c r="F855" i="3"/>
  <c r="G855" i="3"/>
  <c r="H855" i="3"/>
  <c r="J855" i="3"/>
  <c r="K855" i="3"/>
  <c r="L855" i="3"/>
  <c r="M855" i="3"/>
  <c r="AT855" i="3"/>
  <c r="D856" i="3"/>
  <c r="E856" i="3"/>
  <c r="F856" i="3"/>
  <c r="G856" i="3"/>
  <c r="H856" i="3"/>
  <c r="J856" i="3"/>
  <c r="K856" i="3"/>
  <c r="L856" i="3"/>
  <c r="M856" i="3"/>
  <c r="AT856" i="3"/>
  <c r="D857" i="3"/>
  <c r="E857" i="3"/>
  <c r="F857" i="3"/>
  <c r="G857" i="3"/>
  <c r="H857" i="3"/>
  <c r="J857" i="3"/>
  <c r="K857" i="3"/>
  <c r="L857" i="3"/>
  <c r="M857" i="3"/>
  <c r="AT857" i="3"/>
  <c r="D858" i="3"/>
  <c r="E858" i="3"/>
  <c r="F858" i="3"/>
  <c r="G858" i="3"/>
  <c r="H858" i="3"/>
  <c r="J858" i="3"/>
  <c r="K858" i="3"/>
  <c r="L858" i="3"/>
  <c r="M858" i="3"/>
  <c r="AT858" i="3"/>
  <c r="D859" i="3"/>
  <c r="E859" i="3"/>
  <c r="F859" i="3"/>
  <c r="G859" i="3"/>
  <c r="H859" i="3"/>
  <c r="J859" i="3"/>
  <c r="K859" i="3"/>
  <c r="L859" i="3"/>
  <c r="M859" i="3"/>
  <c r="AT859" i="3"/>
  <c r="D860" i="3"/>
  <c r="E860" i="3"/>
  <c r="F860" i="3"/>
  <c r="G860" i="3"/>
  <c r="H860" i="3"/>
  <c r="J860" i="3"/>
  <c r="K860" i="3"/>
  <c r="L860" i="3"/>
  <c r="M860" i="3"/>
  <c r="AT860" i="3"/>
  <c r="D861" i="3"/>
  <c r="E861" i="3"/>
  <c r="F861" i="3"/>
  <c r="G861" i="3"/>
  <c r="H861" i="3"/>
  <c r="J861" i="3"/>
  <c r="K861" i="3"/>
  <c r="L861" i="3"/>
  <c r="M861" i="3"/>
  <c r="AT861" i="3"/>
  <c r="D862" i="3"/>
  <c r="E862" i="3"/>
  <c r="F862" i="3"/>
  <c r="G862" i="3"/>
  <c r="H862" i="3"/>
  <c r="J862" i="3"/>
  <c r="K862" i="3"/>
  <c r="L862" i="3"/>
  <c r="M862" i="3"/>
  <c r="AT862" i="3"/>
  <c r="D863" i="3"/>
  <c r="E863" i="3"/>
  <c r="F863" i="3"/>
  <c r="G863" i="3"/>
  <c r="H863" i="3"/>
  <c r="J863" i="3"/>
  <c r="K863" i="3"/>
  <c r="L863" i="3"/>
  <c r="M863" i="3"/>
  <c r="AT863" i="3"/>
  <c r="D864" i="3"/>
  <c r="E864" i="3"/>
  <c r="F864" i="3"/>
  <c r="G864" i="3"/>
  <c r="H864" i="3"/>
  <c r="J864" i="3"/>
  <c r="K864" i="3"/>
  <c r="L864" i="3"/>
  <c r="M864" i="3"/>
  <c r="AT864" i="3"/>
  <c r="D865" i="3"/>
  <c r="E865" i="3"/>
  <c r="F865" i="3"/>
  <c r="G865" i="3"/>
  <c r="H865" i="3"/>
  <c r="J865" i="3"/>
  <c r="K865" i="3"/>
  <c r="L865" i="3"/>
  <c r="M865" i="3"/>
  <c r="AT865" i="3"/>
  <c r="D866" i="3"/>
  <c r="E866" i="3"/>
  <c r="F866" i="3"/>
  <c r="G866" i="3"/>
  <c r="H866" i="3"/>
  <c r="J866" i="3"/>
  <c r="K866" i="3"/>
  <c r="L866" i="3"/>
  <c r="M866" i="3"/>
  <c r="AT866" i="3"/>
  <c r="D867" i="3"/>
  <c r="E867" i="3"/>
  <c r="F867" i="3"/>
  <c r="G867" i="3"/>
  <c r="H867" i="3"/>
  <c r="J867" i="3"/>
  <c r="K867" i="3"/>
  <c r="L867" i="3"/>
  <c r="M867" i="3"/>
  <c r="AT867" i="3"/>
  <c r="D868" i="3"/>
  <c r="E868" i="3"/>
  <c r="F868" i="3"/>
  <c r="G868" i="3"/>
  <c r="H868" i="3"/>
  <c r="J868" i="3"/>
  <c r="K868" i="3"/>
  <c r="L868" i="3"/>
  <c r="M868" i="3"/>
  <c r="AT868" i="3"/>
  <c r="D869" i="3"/>
  <c r="E869" i="3"/>
  <c r="F869" i="3"/>
  <c r="G869" i="3"/>
  <c r="H869" i="3"/>
  <c r="J869" i="3"/>
  <c r="K869" i="3"/>
  <c r="L869" i="3"/>
  <c r="M869" i="3"/>
  <c r="AT869" i="3"/>
  <c r="D870" i="3"/>
  <c r="E870" i="3"/>
  <c r="F870" i="3"/>
  <c r="G870" i="3"/>
  <c r="H870" i="3"/>
  <c r="J870" i="3"/>
  <c r="K870" i="3"/>
  <c r="L870" i="3"/>
  <c r="M870" i="3"/>
  <c r="AT870" i="3"/>
  <c r="D871" i="3"/>
  <c r="E871" i="3"/>
  <c r="F871" i="3"/>
  <c r="G871" i="3"/>
  <c r="H871" i="3"/>
  <c r="J871" i="3"/>
  <c r="K871" i="3"/>
  <c r="L871" i="3"/>
  <c r="M871" i="3"/>
  <c r="AT871" i="3"/>
  <c r="D872" i="3"/>
  <c r="E872" i="3"/>
  <c r="F872" i="3"/>
  <c r="G872" i="3"/>
  <c r="H872" i="3"/>
  <c r="J872" i="3"/>
  <c r="K872" i="3"/>
  <c r="L872" i="3"/>
  <c r="M872" i="3"/>
  <c r="AT872" i="3"/>
  <c r="D873" i="3"/>
  <c r="E873" i="3"/>
  <c r="F873" i="3"/>
  <c r="G873" i="3"/>
  <c r="H873" i="3"/>
  <c r="J873" i="3"/>
  <c r="K873" i="3"/>
  <c r="L873" i="3"/>
  <c r="M873" i="3"/>
  <c r="AT873" i="3"/>
  <c r="D874" i="3"/>
  <c r="E874" i="3"/>
  <c r="F874" i="3"/>
  <c r="G874" i="3"/>
  <c r="H874" i="3"/>
  <c r="J874" i="3"/>
  <c r="K874" i="3"/>
  <c r="L874" i="3"/>
  <c r="M874" i="3"/>
  <c r="AT874" i="3"/>
  <c r="D875" i="3"/>
  <c r="E875" i="3"/>
  <c r="F875" i="3"/>
  <c r="G875" i="3"/>
  <c r="H875" i="3"/>
  <c r="J875" i="3"/>
  <c r="K875" i="3"/>
  <c r="L875" i="3"/>
  <c r="M875" i="3"/>
  <c r="AT875" i="3"/>
  <c r="D876" i="3"/>
  <c r="E876" i="3"/>
  <c r="F876" i="3"/>
  <c r="G876" i="3"/>
  <c r="H876" i="3"/>
  <c r="J876" i="3"/>
  <c r="K876" i="3"/>
  <c r="L876" i="3"/>
  <c r="M876" i="3"/>
  <c r="AT876" i="3"/>
  <c r="D877" i="3"/>
  <c r="E877" i="3"/>
  <c r="F877" i="3"/>
  <c r="G877" i="3"/>
  <c r="H877" i="3"/>
  <c r="J877" i="3"/>
  <c r="K877" i="3"/>
  <c r="L877" i="3"/>
  <c r="M877" i="3"/>
  <c r="AT877" i="3"/>
  <c r="D878" i="3"/>
  <c r="E878" i="3"/>
  <c r="F878" i="3"/>
  <c r="G878" i="3"/>
  <c r="H878" i="3"/>
  <c r="J878" i="3"/>
  <c r="K878" i="3"/>
  <c r="L878" i="3"/>
  <c r="M878" i="3"/>
  <c r="AT878" i="3"/>
  <c r="D879" i="3"/>
  <c r="E879" i="3"/>
  <c r="F879" i="3"/>
  <c r="G879" i="3"/>
  <c r="H879" i="3"/>
  <c r="J879" i="3"/>
  <c r="K879" i="3"/>
  <c r="L879" i="3"/>
  <c r="M879" i="3"/>
  <c r="AT879" i="3"/>
  <c r="D880" i="3"/>
  <c r="E880" i="3"/>
  <c r="F880" i="3"/>
  <c r="G880" i="3"/>
  <c r="H880" i="3"/>
  <c r="J880" i="3"/>
  <c r="K880" i="3"/>
  <c r="L880" i="3"/>
  <c r="M880" i="3"/>
  <c r="AT880" i="3"/>
  <c r="D881" i="3"/>
  <c r="E881" i="3"/>
  <c r="F881" i="3"/>
  <c r="G881" i="3"/>
  <c r="H881" i="3"/>
  <c r="J881" i="3"/>
  <c r="K881" i="3"/>
  <c r="L881" i="3"/>
  <c r="M881" i="3"/>
  <c r="AT881" i="3"/>
  <c r="D882" i="3"/>
  <c r="E882" i="3"/>
  <c r="F882" i="3"/>
  <c r="G882" i="3"/>
  <c r="H882" i="3"/>
  <c r="J882" i="3"/>
  <c r="K882" i="3"/>
  <c r="L882" i="3"/>
  <c r="M882" i="3"/>
  <c r="AT882" i="3"/>
  <c r="D883" i="3"/>
  <c r="E883" i="3"/>
  <c r="F883" i="3"/>
  <c r="G883" i="3"/>
  <c r="H883" i="3"/>
  <c r="J883" i="3"/>
  <c r="K883" i="3"/>
  <c r="L883" i="3"/>
  <c r="M883" i="3"/>
  <c r="AT883" i="3"/>
  <c r="D884" i="3"/>
  <c r="E884" i="3"/>
  <c r="F884" i="3"/>
  <c r="G884" i="3"/>
  <c r="H884" i="3"/>
  <c r="J884" i="3"/>
  <c r="K884" i="3"/>
  <c r="L884" i="3"/>
  <c r="M884" i="3"/>
  <c r="AT884" i="3"/>
  <c r="D885" i="3"/>
  <c r="E885" i="3"/>
  <c r="F885" i="3"/>
  <c r="G885" i="3"/>
  <c r="H885" i="3"/>
  <c r="J885" i="3"/>
  <c r="K885" i="3"/>
  <c r="L885" i="3"/>
  <c r="M885" i="3"/>
  <c r="AT885" i="3"/>
  <c r="D886" i="3"/>
  <c r="E886" i="3"/>
  <c r="F886" i="3"/>
  <c r="G886" i="3"/>
  <c r="H886" i="3"/>
  <c r="J886" i="3"/>
  <c r="K886" i="3"/>
  <c r="L886" i="3"/>
  <c r="M886" i="3"/>
  <c r="AT886" i="3"/>
  <c r="D887" i="3"/>
  <c r="E887" i="3"/>
  <c r="F887" i="3"/>
  <c r="G887" i="3"/>
  <c r="H887" i="3"/>
  <c r="J887" i="3"/>
  <c r="K887" i="3"/>
  <c r="L887" i="3"/>
  <c r="M887" i="3"/>
  <c r="AT887" i="3"/>
  <c r="D888" i="3"/>
  <c r="E888" i="3"/>
  <c r="F888" i="3"/>
  <c r="G888" i="3"/>
  <c r="H888" i="3"/>
  <c r="J888" i="3"/>
  <c r="K888" i="3"/>
  <c r="L888" i="3"/>
  <c r="M888" i="3"/>
  <c r="AT888" i="3"/>
  <c r="D889" i="3"/>
  <c r="E889" i="3"/>
  <c r="F889" i="3"/>
  <c r="G889" i="3"/>
  <c r="H889" i="3"/>
  <c r="J889" i="3"/>
  <c r="K889" i="3"/>
  <c r="L889" i="3"/>
  <c r="M889" i="3"/>
  <c r="AT889" i="3"/>
  <c r="D890" i="3"/>
  <c r="E890" i="3"/>
  <c r="F890" i="3"/>
  <c r="G890" i="3"/>
  <c r="H890" i="3"/>
  <c r="J890" i="3"/>
  <c r="K890" i="3"/>
  <c r="L890" i="3"/>
  <c r="M890" i="3"/>
  <c r="AT890" i="3"/>
  <c r="D891" i="3"/>
  <c r="E891" i="3"/>
  <c r="F891" i="3"/>
  <c r="G891" i="3"/>
  <c r="H891" i="3"/>
  <c r="J891" i="3"/>
  <c r="K891" i="3"/>
  <c r="L891" i="3"/>
  <c r="M891" i="3"/>
  <c r="AT891" i="3"/>
  <c r="D892" i="3"/>
  <c r="E892" i="3"/>
  <c r="F892" i="3"/>
  <c r="G892" i="3"/>
  <c r="H892" i="3"/>
  <c r="J892" i="3"/>
  <c r="K892" i="3"/>
  <c r="L892" i="3"/>
  <c r="M892" i="3"/>
  <c r="AT892" i="3"/>
  <c r="D893" i="3"/>
  <c r="E893" i="3"/>
  <c r="F893" i="3"/>
  <c r="G893" i="3"/>
  <c r="H893" i="3"/>
  <c r="J893" i="3"/>
  <c r="K893" i="3"/>
  <c r="L893" i="3"/>
  <c r="M893" i="3"/>
  <c r="AT893" i="3"/>
  <c r="D894" i="3"/>
  <c r="E894" i="3"/>
  <c r="F894" i="3"/>
  <c r="G894" i="3"/>
  <c r="H894" i="3"/>
  <c r="J894" i="3"/>
  <c r="K894" i="3"/>
  <c r="L894" i="3"/>
  <c r="M894" i="3"/>
  <c r="AT894" i="3"/>
  <c r="D895" i="3"/>
  <c r="E895" i="3"/>
  <c r="F895" i="3"/>
  <c r="G895" i="3"/>
  <c r="H895" i="3"/>
  <c r="J895" i="3"/>
  <c r="K895" i="3"/>
  <c r="L895" i="3"/>
  <c r="M895" i="3"/>
  <c r="AT895" i="3"/>
  <c r="D896" i="3"/>
  <c r="E896" i="3"/>
  <c r="F896" i="3"/>
  <c r="G896" i="3"/>
  <c r="H896" i="3"/>
  <c r="J896" i="3"/>
  <c r="K896" i="3"/>
  <c r="L896" i="3"/>
  <c r="M896" i="3"/>
  <c r="AT896" i="3"/>
  <c r="D897" i="3"/>
  <c r="E897" i="3"/>
  <c r="F897" i="3"/>
  <c r="G897" i="3"/>
  <c r="H897" i="3"/>
  <c r="J897" i="3"/>
  <c r="K897" i="3"/>
  <c r="L897" i="3"/>
  <c r="M897" i="3"/>
  <c r="AT897" i="3"/>
  <c r="D898" i="3"/>
  <c r="E898" i="3"/>
  <c r="F898" i="3"/>
  <c r="G898" i="3"/>
  <c r="H898" i="3"/>
  <c r="J898" i="3"/>
  <c r="K898" i="3"/>
  <c r="L898" i="3"/>
  <c r="M898" i="3"/>
  <c r="AT898" i="3"/>
  <c r="D899" i="3"/>
  <c r="E899" i="3"/>
  <c r="F899" i="3"/>
  <c r="G899" i="3"/>
  <c r="H899" i="3"/>
  <c r="J899" i="3"/>
  <c r="K899" i="3"/>
  <c r="L899" i="3"/>
  <c r="M899" i="3"/>
  <c r="AT899" i="3"/>
  <c r="D900" i="3"/>
  <c r="E900" i="3"/>
  <c r="F900" i="3"/>
  <c r="G900" i="3"/>
  <c r="H900" i="3"/>
  <c r="J900" i="3"/>
  <c r="K900" i="3"/>
  <c r="L900" i="3"/>
  <c r="M900" i="3"/>
  <c r="AT900" i="3"/>
  <c r="D901" i="3"/>
  <c r="E901" i="3"/>
  <c r="F901" i="3"/>
  <c r="G901" i="3"/>
  <c r="H901" i="3"/>
  <c r="J901" i="3"/>
  <c r="K901" i="3"/>
  <c r="L901" i="3"/>
  <c r="M901" i="3"/>
  <c r="AT901" i="3"/>
  <c r="D902" i="3"/>
  <c r="E902" i="3"/>
  <c r="F902" i="3"/>
  <c r="G902" i="3"/>
  <c r="H902" i="3"/>
  <c r="J902" i="3"/>
  <c r="K902" i="3"/>
  <c r="L902" i="3"/>
  <c r="M902" i="3"/>
  <c r="AT902" i="3"/>
  <c r="D903" i="3"/>
  <c r="E903" i="3"/>
  <c r="F903" i="3"/>
  <c r="G903" i="3"/>
  <c r="H903" i="3"/>
  <c r="J903" i="3"/>
  <c r="K903" i="3"/>
  <c r="L903" i="3"/>
  <c r="M903" i="3"/>
  <c r="AT903" i="3"/>
  <c r="D904" i="3"/>
  <c r="E904" i="3"/>
  <c r="F904" i="3"/>
  <c r="G904" i="3"/>
  <c r="H904" i="3"/>
  <c r="J904" i="3"/>
  <c r="K904" i="3"/>
  <c r="L904" i="3"/>
  <c r="M904" i="3"/>
  <c r="AT904" i="3"/>
  <c r="D905" i="3"/>
  <c r="E905" i="3"/>
  <c r="F905" i="3"/>
  <c r="G905" i="3"/>
  <c r="H905" i="3"/>
  <c r="J905" i="3"/>
  <c r="K905" i="3"/>
  <c r="L905" i="3"/>
  <c r="M905" i="3"/>
  <c r="AT905" i="3"/>
  <c r="D906" i="3"/>
  <c r="E906" i="3"/>
  <c r="F906" i="3"/>
  <c r="G906" i="3"/>
  <c r="H906" i="3"/>
  <c r="J906" i="3"/>
  <c r="K906" i="3"/>
  <c r="L906" i="3"/>
  <c r="M906" i="3"/>
  <c r="AT906" i="3"/>
  <c r="D907" i="3"/>
  <c r="E907" i="3"/>
  <c r="F907" i="3"/>
  <c r="G907" i="3"/>
  <c r="H907" i="3"/>
  <c r="J907" i="3"/>
  <c r="K907" i="3"/>
  <c r="L907" i="3"/>
  <c r="M907" i="3"/>
  <c r="AT907" i="3"/>
  <c r="D908" i="3"/>
  <c r="E908" i="3"/>
  <c r="F908" i="3"/>
  <c r="G908" i="3"/>
  <c r="H908" i="3"/>
  <c r="J908" i="3"/>
  <c r="K908" i="3"/>
  <c r="L908" i="3"/>
  <c r="M908" i="3"/>
  <c r="AT908" i="3"/>
  <c r="D909" i="3"/>
  <c r="E909" i="3"/>
  <c r="F909" i="3"/>
  <c r="G909" i="3"/>
  <c r="H909" i="3"/>
  <c r="J909" i="3"/>
  <c r="K909" i="3"/>
  <c r="L909" i="3"/>
  <c r="M909" i="3"/>
  <c r="AT909" i="3"/>
  <c r="D910" i="3"/>
  <c r="E910" i="3"/>
  <c r="F910" i="3"/>
  <c r="G910" i="3"/>
  <c r="H910" i="3"/>
  <c r="J910" i="3"/>
  <c r="K910" i="3"/>
  <c r="L910" i="3"/>
  <c r="M910" i="3"/>
  <c r="AT910" i="3"/>
  <c r="D911" i="3"/>
  <c r="E911" i="3"/>
  <c r="F911" i="3"/>
  <c r="G911" i="3"/>
  <c r="H911" i="3"/>
  <c r="J911" i="3"/>
  <c r="K911" i="3"/>
  <c r="L911" i="3"/>
  <c r="M911" i="3"/>
  <c r="AT911" i="3"/>
  <c r="D912" i="3"/>
  <c r="E912" i="3"/>
  <c r="F912" i="3"/>
  <c r="G912" i="3"/>
  <c r="H912" i="3"/>
  <c r="J912" i="3"/>
  <c r="K912" i="3"/>
  <c r="L912" i="3"/>
  <c r="M912" i="3"/>
  <c r="AT912" i="3"/>
  <c r="D913" i="3"/>
  <c r="E913" i="3"/>
  <c r="F913" i="3"/>
  <c r="G913" i="3"/>
  <c r="H913" i="3"/>
  <c r="J913" i="3"/>
  <c r="K913" i="3"/>
  <c r="L913" i="3"/>
  <c r="M913" i="3"/>
  <c r="AT913" i="3"/>
  <c r="D914" i="3"/>
  <c r="E914" i="3"/>
  <c r="F914" i="3"/>
  <c r="G914" i="3"/>
  <c r="H914" i="3"/>
  <c r="J914" i="3"/>
  <c r="K914" i="3"/>
  <c r="L914" i="3"/>
  <c r="M914" i="3"/>
  <c r="AT914" i="3"/>
  <c r="D915" i="3"/>
  <c r="E915" i="3"/>
  <c r="F915" i="3"/>
  <c r="G915" i="3"/>
  <c r="H915" i="3"/>
  <c r="J915" i="3"/>
  <c r="K915" i="3"/>
  <c r="L915" i="3"/>
  <c r="M915" i="3"/>
  <c r="AT915" i="3"/>
  <c r="D916" i="3"/>
  <c r="E916" i="3"/>
  <c r="F916" i="3"/>
  <c r="G916" i="3"/>
  <c r="H916" i="3"/>
  <c r="J916" i="3"/>
  <c r="K916" i="3"/>
  <c r="L916" i="3"/>
  <c r="M916" i="3"/>
  <c r="AT916" i="3"/>
  <c r="D917" i="3"/>
  <c r="E917" i="3"/>
  <c r="F917" i="3"/>
  <c r="G917" i="3"/>
  <c r="H917" i="3"/>
  <c r="J917" i="3"/>
  <c r="K917" i="3"/>
  <c r="L917" i="3"/>
  <c r="M917" i="3"/>
  <c r="AT917" i="3"/>
  <c r="D918" i="3"/>
  <c r="E918" i="3"/>
  <c r="F918" i="3"/>
  <c r="G918" i="3"/>
  <c r="H918" i="3"/>
  <c r="J918" i="3"/>
  <c r="K918" i="3"/>
  <c r="L918" i="3"/>
  <c r="M918" i="3"/>
  <c r="AT918" i="3"/>
  <c r="D919" i="3"/>
  <c r="E919" i="3"/>
  <c r="F919" i="3"/>
  <c r="G919" i="3"/>
  <c r="H919" i="3"/>
  <c r="J919" i="3"/>
  <c r="K919" i="3"/>
  <c r="L919" i="3"/>
  <c r="M919" i="3"/>
  <c r="AT919" i="3"/>
  <c r="D920" i="3"/>
  <c r="E920" i="3"/>
  <c r="F920" i="3"/>
  <c r="G920" i="3"/>
  <c r="H920" i="3"/>
  <c r="J920" i="3"/>
  <c r="K920" i="3"/>
  <c r="L920" i="3"/>
  <c r="M920" i="3"/>
  <c r="AT920" i="3"/>
  <c r="D921" i="3"/>
  <c r="E921" i="3"/>
  <c r="F921" i="3"/>
  <c r="G921" i="3"/>
  <c r="H921" i="3"/>
  <c r="J921" i="3"/>
  <c r="K921" i="3"/>
  <c r="L921" i="3"/>
  <c r="M921" i="3"/>
  <c r="AT921" i="3"/>
  <c r="D922" i="3"/>
  <c r="E922" i="3"/>
  <c r="F922" i="3"/>
  <c r="G922" i="3"/>
  <c r="H922" i="3"/>
  <c r="J922" i="3"/>
  <c r="K922" i="3"/>
  <c r="L922" i="3"/>
  <c r="M922" i="3"/>
  <c r="AT922" i="3"/>
  <c r="D923" i="3"/>
  <c r="E923" i="3"/>
  <c r="F923" i="3"/>
  <c r="G923" i="3"/>
  <c r="H923" i="3"/>
  <c r="J923" i="3"/>
  <c r="K923" i="3"/>
  <c r="L923" i="3"/>
  <c r="M923" i="3"/>
  <c r="AT923" i="3"/>
  <c r="D924" i="3"/>
  <c r="E924" i="3"/>
  <c r="F924" i="3"/>
  <c r="G924" i="3"/>
  <c r="H924" i="3"/>
  <c r="J924" i="3"/>
  <c r="K924" i="3"/>
  <c r="L924" i="3"/>
  <c r="M924" i="3"/>
  <c r="AT924" i="3"/>
  <c r="D925" i="3"/>
  <c r="E925" i="3"/>
  <c r="F925" i="3"/>
  <c r="G925" i="3"/>
  <c r="H925" i="3"/>
  <c r="J925" i="3"/>
  <c r="K925" i="3"/>
  <c r="L925" i="3"/>
  <c r="M925" i="3"/>
  <c r="AT925" i="3"/>
  <c r="D926" i="3"/>
  <c r="E926" i="3"/>
  <c r="F926" i="3"/>
  <c r="G926" i="3"/>
  <c r="H926" i="3"/>
  <c r="J926" i="3"/>
  <c r="K926" i="3"/>
  <c r="L926" i="3"/>
  <c r="M926" i="3"/>
  <c r="AT926" i="3"/>
  <c r="D927" i="3"/>
  <c r="E927" i="3"/>
  <c r="F927" i="3"/>
  <c r="G927" i="3"/>
  <c r="H927" i="3"/>
  <c r="J927" i="3"/>
  <c r="K927" i="3"/>
  <c r="L927" i="3"/>
  <c r="M927" i="3"/>
  <c r="AT927" i="3"/>
  <c r="D928" i="3"/>
  <c r="E928" i="3"/>
  <c r="F928" i="3"/>
  <c r="G928" i="3"/>
  <c r="H928" i="3"/>
  <c r="J928" i="3"/>
  <c r="K928" i="3"/>
  <c r="L928" i="3"/>
  <c r="M928" i="3"/>
  <c r="AT928" i="3"/>
  <c r="D929" i="3"/>
  <c r="E929" i="3"/>
  <c r="F929" i="3"/>
  <c r="G929" i="3"/>
  <c r="H929" i="3"/>
  <c r="J929" i="3"/>
  <c r="K929" i="3"/>
  <c r="L929" i="3"/>
  <c r="M929" i="3"/>
  <c r="AT929" i="3"/>
  <c r="D930" i="3"/>
  <c r="E930" i="3"/>
  <c r="F930" i="3"/>
  <c r="G930" i="3"/>
  <c r="H930" i="3"/>
  <c r="J930" i="3"/>
  <c r="K930" i="3"/>
  <c r="L930" i="3"/>
  <c r="M930" i="3"/>
  <c r="AT930" i="3"/>
  <c r="D931" i="3"/>
  <c r="E931" i="3"/>
  <c r="F931" i="3"/>
  <c r="G931" i="3"/>
  <c r="H931" i="3"/>
  <c r="J931" i="3"/>
  <c r="K931" i="3"/>
  <c r="L931" i="3"/>
  <c r="M931" i="3"/>
  <c r="AT931" i="3"/>
  <c r="D932" i="3"/>
  <c r="E932" i="3"/>
  <c r="F932" i="3"/>
  <c r="G932" i="3"/>
  <c r="H932" i="3"/>
  <c r="J932" i="3"/>
  <c r="K932" i="3"/>
  <c r="L932" i="3"/>
  <c r="M932" i="3"/>
  <c r="AT932" i="3"/>
  <c r="D933" i="3"/>
  <c r="E933" i="3"/>
  <c r="F933" i="3"/>
  <c r="G933" i="3"/>
  <c r="H933" i="3"/>
  <c r="J933" i="3"/>
  <c r="K933" i="3"/>
  <c r="L933" i="3"/>
  <c r="M933" i="3"/>
  <c r="AT933" i="3"/>
  <c r="D934" i="3"/>
  <c r="E934" i="3"/>
  <c r="F934" i="3"/>
  <c r="G934" i="3"/>
  <c r="H934" i="3"/>
  <c r="J934" i="3"/>
  <c r="K934" i="3"/>
  <c r="L934" i="3"/>
  <c r="M934" i="3"/>
  <c r="AT934" i="3"/>
  <c r="D935" i="3"/>
  <c r="E935" i="3"/>
  <c r="F935" i="3"/>
  <c r="G935" i="3"/>
  <c r="H935" i="3"/>
  <c r="J935" i="3"/>
  <c r="K935" i="3"/>
  <c r="L935" i="3"/>
  <c r="M935" i="3"/>
  <c r="AT935" i="3"/>
  <c r="D936" i="3"/>
  <c r="E936" i="3"/>
  <c r="F936" i="3"/>
  <c r="G936" i="3"/>
  <c r="H936" i="3"/>
  <c r="J936" i="3"/>
  <c r="K936" i="3"/>
  <c r="L936" i="3"/>
  <c r="M936" i="3"/>
  <c r="AT936" i="3"/>
  <c r="D937" i="3"/>
  <c r="E937" i="3"/>
  <c r="F937" i="3"/>
  <c r="G937" i="3"/>
  <c r="H937" i="3"/>
  <c r="J937" i="3"/>
  <c r="K937" i="3"/>
  <c r="L937" i="3"/>
  <c r="M937" i="3"/>
  <c r="AT937" i="3"/>
  <c r="D938" i="3"/>
  <c r="E938" i="3"/>
  <c r="F938" i="3"/>
  <c r="G938" i="3"/>
  <c r="H938" i="3"/>
  <c r="J938" i="3"/>
  <c r="K938" i="3"/>
  <c r="L938" i="3"/>
  <c r="M938" i="3"/>
  <c r="AT938" i="3"/>
  <c r="D939" i="3"/>
  <c r="E939" i="3"/>
  <c r="F939" i="3"/>
  <c r="G939" i="3"/>
  <c r="H939" i="3"/>
  <c r="J939" i="3"/>
  <c r="K939" i="3"/>
  <c r="L939" i="3"/>
  <c r="M939" i="3"/>
  <c r="AT939" i="3"/>
  <c r="D940" i="3"/>
  <c r="E940" i="3"/>
  <c r="F940" i="3"/>
  <c r="G940" i="3"/>
  <c r="H940" i="3"/>
  <c r="J940" i="3"/>
  <c r="K940" i="3"/>
  <c r="L940" i="3"/>
  <c r="M940" i="3"/>
  <c r="AT940" i="3"/>
  <c r="D941" i="3"/>
  <c r="E941" i="3"/>
  <c r="F941" i="3"/>
  <c r="G941" i="3"/>
  <c r="H941" i="3"/>
  <c r="J941" i="3"/>
  <c r="K941" i="3"/>
  <c r="L941" i="3"/>
  <c r="M941" i="3"/>
  <c r="AT941" i="3"/>
  <c r="D942" i="3"/>
  <c r="E942" i="3"/>
  <c r="F942" i="3"/>
  <c r="G942" i="3"/>
  <c r="H942" i="3"/>
  <c r="J942" i="3"/>
  <c r="K942" i="3"/>
  <c r="L942" i="3"/>
  <c r="M942" i="3"/>
  <c r="AT942" i="3"/>
  <c r="D943" i="3"/>
  <c r="E943" i="3"/>
  <c r="F943" i="3"/>
  <c r="G943" i="3"/>
  <c r="H943" i="3"/>
  <c r="J943" i="3"/>
  <c r="K943" i="3"/>
  <c r="L943" i="3"/>
  <c r="M943" i="3"/>
  <c r="AT943" i="3"/>
  <c r="D944" i="3"/>
  <c r="E944" i="3"/>
  <c r="F944" i="3"/>
  <c r="G944" i="3"/>
  <c r="H944" i="3"/>
  <c r="J944" i="3"/>
  <c r="K944" i="3"/>
  <c r="L944" i="3"/>
  <c r="M944" i="3"/>
  <c r="AT944" i="3"/>
  <c r="D945" i="3"/>
  <c r="E945" i="3"/>
  <c r="F945" i="3"/>
  <c r="G945" i="3"/>
  <c r="H945" i="3"/>
  <c r="J945" i="3"/>
  <c r="K945" i="3"/>
  <c r="L945" i="3"/>
  <c r="M945" i="3"/>
  <c r="AT945" i="3"/>
  <c r="D946" i="3"/>
  <c r="E946" i="3"/>
  <c r="F946" i="3"/>
  <c r="G946" i="3"/>
  <c r="H946" i="3"/>
  <c r="J946" i="3"/>
  <c r="K946" i="3"/>
  <c r="L946" i="3"/>
  <c r="M946" i="3"/>
  <c r="AT946" i="3"/>
  <c r="D947" i="3"/>
  <c r="E947" i="3"/>
  <c r="F947" i="3"/>
  <c r="G947" i="3"/>
  <c r="H947" i="3"/>
  <c r="J947" i="3"/>
  <c r="K947" i="3"/>
  <c r="L947" i="3"/>
  <c r="M947" i="3"/>
  <c r="AT947" i="3"/>
  <c r="D948" i="3"/>
  <c r="E948" i="3"/>
  <c r="F948" i="3"/>
  <c r="G948" i="3"/>
  <c r="H948" i="3"/>
  <c r="J948" i="3"/>
  <c r="K948" i="3"/>
  <c r="L948" i="3"/>
  <c r="M948" i="3"/>
  <c r="AT948" i="3"/>
  <c r="D949" i="3"/>
  <c r="E949" i="3"/>
  <c r="F949" i="3"/>
  <c r="G949" i="3"/>
  <c r="H949" i="3"/>
  <c r="J949" i="3"/>
  <c r="K949" i="3"/>
  <c r="L949" i="3"/>
  <c r="M949" i="3"/>
  <c r="AT949" i="3"/>
  <c r="D950" i="3"/>
  <c r="E950" i="3"/>
  <c r="F950" i="3"/>
  <c r="G950" i="3"/>
  <c r="H950" i="3"/>
  <c r="J950" i="3"/>
  <c r="K950" i="3"/>
  <c r="L950" i="3"/>
  <c r="M950" i="3"/>
  <c r="AT950" i="3"/>
  <c r="D951" i="3"/>
  <c r="E951" i="3"/>
  <c r="F951" i="3"/>
  <c r="G951" i="3"/>
  <c r="H951" i="3"/>
  <c r="J951" i="3"/>
  <c r="K951" i="3"/>
  <c r="L951" i="3"/>
  <c r="M951" i="3"/>
  <c r="AT951" i="3"/>
  <c r="D952" i="3"/>
  <c r="E952" i="3"/>
  <c r="F952" i="3"/>
  <c r="G952" i="3"/>
  <c r="H952" i="3"/>
  <c r="J952" i="3"/>
  <c r="K952" i="3"/>
  <c r="L952" i="3"/>
  <c r="M952" i="3"/>
  <c r="AT952" i="3"/>
  <c r="D953" i="3"/>
  <c r="E953" i="3"/>
  <c r="F953" i="3"/>
  <c r="G953" i="3"/>
  <c r="H953" i="3"/>
  <c r="J953" i="3"/>
  <c r="K953" i="3"/>
  <c r="L953" i="3"/>
  <c r="M953" i="3"/>
  <c r="AT953" i="3"/>
  <c r="D954" i="3"/>
  <c r="E954" i="3"/>
  <c r="F954" i="3"/>
  <c r="G954" i="3"/>
  <c r="H954" i="3"/>
  <c r="J954" i="3"/>
  <c r="K954" i="3"/>
  <c r="L954" i="3"/>
  <c r="M954" i="3"/>
  <c r="AT954" i="3"/>
  <c r="D955" i="3"/>
  <c r="E955" i="3"/>
  <c r="F955" i="3"/>
  <c r="G955" i="3"/>
  <c r="H955" i="3"/>
  <c r="J955" i="3"/>
  <c r="K955" i="3"/>
  <c r="L955" i="3"/>
  <c r="M955" i="3"/>
  <c r="AT955" i="3"/>
  <c r="D956" i="3"/>
  <c r="E956" i="3"/>
  <c r="F956" i="3"/>
  <c r="G956" i="3"/>
  <c r="H956" i="3"/>
  <c r="J956" i="3"/>
  <c r="K956" i="3"/>
  <c r="L956" i="3"/>
  <c r="M956" i="3"/>
  <c r="AT956" i="3"/>
  <c r="D957" i="3"/>
  <c r="E957" i="3"/>
  <c r="F957" i="3"/>
  <c r="G957" i="3"/>
  <c r="H957" i="3"/>
  <c r="J957" i="3"/>
  <c r="K957" i="3"/>
  <c r="L957" i="3"/>
  <c r="M957" i="3"/>
  <c r="AT957" i="3"/>
  <c r="D958" i="3"/>
  <c r="E958" i="3"/>
  <c r="F958" i="3"/>
  <c r="G958" i="3"/>
  <c r="H958" i="3"/>
  <c r="J958" i="3"/>
  <c r="K958" i="3"/>
  <c r="L958" i="3"/>
  <c r="M958" i="3"/>
  <c r="AT958" i="3"/>
  <c r="D959" i="3"/>
  <c r="E959" i="3"/>
  <c r="F959" i="3"/>
  <c r="G959" i="3"/>
  <c r="H959" i="3"/>
  <c r="J959" i="3"/>
  <c r="K959" i="3"/>
  <c r="L959" i="3"/>
  <c r="M959" i="3"/>
  <c r="AT959" i="3"/>
  <c r="D960" i="3"/>
  <c r="E960" i="3"/>
  <c r="F960" i="3"/>
  <c r="G960" i="3"/>
  <c r="H960" i="3"/>
  <c r="J960" i="3"/>
  <c r="K960" i="3"/>
  <c r="L960" i="3"/>
  <c r="M960" i="3"/>
  <c r="AT960" i="3"/>
  <c r="D961" i="3"/>
  <c r="E961" i="3"/>
  <c r="F961" i="3"/>
  <c r="G961" i="3"/>
  <c r="H961" i="3"/>
  <c r="J961" i="3"/>
  <c r="K961" i="3"/>
  <c r="L961" i="3"/>
  <c r="M961" i="3"/>
  <c r="AT961" i="3"/>
  <c r="D962" i="3"/>
  <c r="E962" i="3"/>
  <c r="F962" i="3"/>
  <c r="G962" i="3"/>
  <c r="H962" i="3"/>
  <c r="J962" i="3"/>
  <c r="K962" i="3"/>
  <c r="L962" i="3"/>
  <c r="M962" i="3"/>
  <c r="AT962" i="3"/>
  <c r="D963" i="3"/>
  <c r="E963" i="3"/>
  <c r="F963" i="3"/>
  <c r="G963" i="3"/>
  <c r="H963" i="3"/>
  <c r="J963" i="3"/>
  <c r="K963" i="3"/>
  <c r="L963" i="3"/>
  <c r="M963" i="3"/>
  <c r="AT963" i="3"/>
  <c r="D964" i="3"/>
  <c r="E964" i="3"/>
  <c r="F964" i="3"/>
  <c r="G964" i="3"/>
  <c r="H964" i="3"/>
  <c r="J964" i="3"/>
  <c r="K964" i="3"/>
  <c r="L964" i="3"/>
  <c r="M964" i="3"/>
  <c r="AT964" i="3"/>
  <c r="D965" i="3"/>
  <c r="E965" i="3"/>
  <c r="F965" i="3"/>
  <c r="G965" i="3"/>
  <c r="H965" i="3"/>
  <c r="J965" i="3"/>
  <c r="K965" i="3"/>
  <c r="L965" i="3"/>
  <c r="M965" i="3"/>
  <c r="AT965" i="3"/>
  <c r="D966" i="3"/>
  <c r="E966" i="3"/>
  <c r="F966" i="3"/>
  <c r="G966" i="3"/>
  <c r="H966" i="3"/>
  <c r="J966" i="3"/>
  <c r="K966" i="3"/>
  <c r="L966" i="3"/>
  <c r="M966" i="3"/>
  <c r="AT966" i="3"/>
  <c r="D967" i="3"/>
  <c r="E967" i="3"/>
  <c r="F967" i="3"/>
  <c r="G967" i="3"/>
  <c r="H967" i="3"/>
  <c r="J967" i="3"/>
  <c r="K967" i="3"/>
  <c r="L967" i="3"/>
  <c r="M967" i="3"/>
  <c r="AT967" i="3"/>
  <c r="D968" i="3"/>
  <c r="E968" i="3"/>
  <c r="F968" i="3"/>
  <c r="G968" i="3"/>
  <c r="H968" i="3"/>
  <c r="J968" i="3"/>
  <c r="K968" i="3"/>
  <c r="L968" i="3"/>
  <c r="M968" i="3"/>
  <c r="AT968" i="3"/>
  <c r="D969" i="3"/>
  <c r="E969" i="3"/>
  <c r="F969" i="3"/>
  <c r="G969" i="3"/>
  <c r="H969" i="3"/>
  <c r="J969" i="3"/>
  <c r="K969" i="3"/>
  <c r="L969" i="3"/>
  <c r="M969" i="3"/>
  <c r="AT969" i="3"/>
  <c r="D970" i="3"/>
  <c r="E970" i="3"/>
  <c r="F970" i="3"/>
  <c r="G970" i="3"/>
  <c r="H970" i="3"/>
  <c r="J970" i="3"/>
  <c r="K970" i="3"/>
  <c r="L970" i="3"/>
  <c r="M970" i="3"/>
  <c r="AT970" i="3"/>
  <c r="D971" i="3"/>
  <c r="E971" i="3"/>
  <c r="F971" i="3"/>
  <c r="G971" i="3"/>
  <c r="H971" i="3"/>
  <c r="J971" i="3"/>
  <c r="K971" i="3"/>
  <c r="L971" i="3"/>
  <c r="M971" i="3"/>
  <c r="AT971" i="3"/>
  <c r="D972" i="3"/>
  <c r="E972" i="3"/>
  <c r="F972" i="3"/>
  <c r="G972" i="3"/>
  <c r="H972" i="3"/>
  <c r="J972" i="3"/>
  <c r="K972" i="3"/>
  <c r="L972" i="3"/>
  <c r="M972" i="3"/>
  <c r="AT972" i="3"/>
  <c r="D973" i="3"/>
  <c r="E973" i="3"/>
  <c r="F973" i="3"/>
  <c r="G973" i="3"/>
  <c r="H973" i="3"/>
  <c r="J973" i="3"/>
  <c r="K973" i="3"/>
  <c r="L973" i="3"/>
  <c r="M973" i="3"/>
  <c r="AT973" i="3"/>
  <c r="D974" i="3"/>
  <c r="E974" i="3"/>
  <c r="F974" i="3"/>
  <c r="G974" i="3"/>
  <c r="H974" i="3"/>
  <c r="J974" i="3"/>
  <c r="K974" i="3"/>
  <c r="L974" i="3"/>
  <c r="M974" i="3"/>
  <c r="AT974" i="3"/>
  <c r="D975" i="3"/>
  <c r="E975" i="3"/>
  <c r="F975" i="3"/>
  <c r="G975" i="3"/>
  <c r="H975" i="3"/>
  <c r="J975" i="3"/>
  <c r="K975" i="3"/>
  <c r="L975" i="3"/>
  <c r="M975" i="3"/>
  <c r="AT975" i="3"/>
  <c r="D976" i="3"/>
  <c r="E976" i="3"/>
  <c r="F976" i="3"/>
  <c r="G976" i="3"/>
  <c r="H976" i="3"/>
  <c r="J976" i="3"/>
  <c r="K976" i="3"/>
  <c r="L976" i="3"/>
  <c r="M976" i="3"/>
  <c r="AT976" i="3"/>
  <c r="D977" i="3"/>
  <c r="E977" i="3"/>
  <c r="F977" i="3"/>
  <c r="G977" i="3"/>
  <c r="H977" i="3"/>
  <c r="J977" i="3"/>
  <c r="K977" i="3"/>
  <c r="L977" i="3"/>
  <c r="M977" i="3"/>
  <c r="AT977" i="3"/>
  <c r="D978" i="3"/>
  <c r="E978" i="3"/>
  <c r="F978" i="3"/>
  <c r="G978" i="3"/>
  <c r="H978" i="3"/>
  <c r="J978" i="3"/>
  <c r="K978" i="3"/>
  <c r="L978" i="3"/>
  <c r="M978" i="3"/>
  <c r="AT978" i="3"/>
  <c r="D979" i="3"/>
  <c r="E979" i="3"/>
  <c r="F979" i="3"/>
  <c r="G979" i="3"/>
  <c r="H979" i="3"/>
  <c r="J979" i="3"/>
  <c r="K979" i="3"/>
  <c r="L979" i="3"/>
  <c r="M979" i="3"/>
  <c r="AT979" i="3"/>
  <c r="D980" i="3"/>
  <c r="E980" i="3"/>
  <c r="F980" i="3"/>
  <c r="G980" i="3"/>
  <c r="H980" i="3"/>
  <c r="J980" i="3"/>
  <c r="K980" i="3"/>
  <c r="L980" i="3"/>
  <c r="M980" i="3"/>
  <c r="AT980" i="3"/>
  <c r="D981" i="3"/>
  <c r="E981" i="3"/>
  <c r="F981" i="3"/>
  <c r="G981" i="3"/>
  <c r="H981" i="3"/>
  <c r="J981" i="3"/>
  <c r="K981" i="3"/>
  <c r="L981" i="3"/>
  <c r="M981" i="3"/>
  <c r="AT981" i="3"/>
  <c r="D982" i="3"/>
  <c r="E982" i="3"/>
  <c r="F982" i="3"/>
  <c r="G982" i="3"/>
  <c r="H982" i="3"/>
  <c r="J982" i="3"/>
  <c r="K982" i="3"/>
  <c r="L982" i="3"/>
  <c r="M982" i="3"/>
  <c r="AT982" i="3"/>
  <c r="D983" i="3"/>
  <c r="E983" i="3"/>
  <c r="F983" i="3"/>
  <c r="G983" i="3"/>
  <c r="H983" i="3"/>
  <c r="J983" i="3"/>
  <c r="K983" i="3"/>
  <c r="L983" i="3"/>
  <c r="M983" i="3"/>
  <c r="AT983" i="3"/>
  <c r="D984" i="3"/>
  <c r="E984" i="3"/>
  <c r="F984" i="3"/>
  <c r="G984" i="3"/>
  <c r="H984" i="3"/>
  <c r="J984" i="3"/>
  <c r="K984" i="3"/>
  <c r="L984" i="3"/>
  <c r="M984" i="3"/>
  <c r="AT984" i="3"/>
  <c r="D985" i="3"/>
  <c r="E985" i="3"/>
  <c r="F985" i="3"/>
  <c r="G985" i="3"/>
  <c r="H985" i="3"/>
  <c r="J985" i="3"/>
  <c r="K985" i="3"/>
  <c r="L985" i="3"/>
  <c r="M985" i="3"/>
  <c r="AT985" i="3"/>
  <c r="D986" i="3"/>
  <c r="E986" i="3"/>
  <c r="F986" i="3"/>
  <c r="G986" i="3"/>
  <c r="H986" i="3"/>
  <c r="J986" i="3"/>
  <c r="K986" i="3"/>
  <c r="L986" i="3"/>
  <c r="M986" i="3"/>
  <c r="AT986" i="3"/>
  <c r="D987" i="3"/>
  <c r="E987" i="3"/>
  <c r="F987" i="3"/>
  <c r="G987" i="3"/>
  <c r="H987" i="3"/>
  <c r="J987" i="3"/>
  <c r="K987" i="3"/>
  <c r="L987" i="3"/>
  <c r="M987" i="3"/>
  <c r="AT987" i="3"/>
  <c r="D988" i="3"/>
  <c r="E988" i="3"/>
  <c r="F988" i="3"/>
  <c r="G988" i="3"/>
  <c r="H988" i="3"/>
  <c r="J988" i="3"/>
  <c r="K988" i="3"/>
  <c r="L988" i="3"/>
  <c r="M988" i="3"/>
  <c r="AT988" i="3"/>
  <c r="D989" i="3"/>
  <c r="E989" i="3"/>
  <c r="F989" i="3"/>
  <c r="G989" i="3"/>
  <c r="H989" i="3"/>
  <c r="J989" i="3"/>
  <c r="K989" i="3"/>
  <c r="L989" i="3"/>
  <c r="M989" i="3"/>
  <c r="AT989" i="3"/>
  <c r="D990" i="3"/>
  <c r="E990" i="3"/>
  <c r="F990" i="3"/>
  <c r="G990" i="3"/>
  <c r="H990" i="3"/>
  <c r="J990" i="3"/>
  <c r="K990" i="3"/>
  <c r="L990" i="3"/>
  <c r="M990" i="3"/>
  <c r="AT990" i="3"/>
  <c r="D991" i="3"/>
  <c r="E991" i="3"/>
  <c r="F991" i="3"/>
  <c r="G991" i="3"/>
  <c r="H991" i="3"/>
  <c r="J991" i="3"/>
  <c r="K991" i="3"/>
  <c r="L991" i="3"/>
  <c r="M991" i="3"/>
  <c r="AT991" i="3"/>
  <c r="D992" i="3"/>
  <c r="E992" i="3"/>
  <c r="F992" i="3"/>
  <c r="G992" i="3"/>
  <c r="H992" i="3"/>
  <c r="J992" i="3"/>
  <c r="K992" i="3"/>
  <c r="L992" i="3"/>
  <c r="M992" i="3"/>
  <c r="AT992" i="3"/>
  <c r="D993" i="3"/>
  <c r="E993" i="3"/>
  <c r="F993" i="3"/>
  <c r="G993" i="3"/>
  <c r="H993" i="3"/>
  <c r="J993" i="3"/>
  <c r="K993" i="3"/>
  <c r="L993" i="3"/>
  <c r="M993" i="3"/>
  <c r="AT993" i="3"/>
  <c r="D994" i="3"/>
  <c r="E994" i="3"/>
  <c r="F994" i="3"/>
  <c r="G994" i="3"/>
  <c r="H994" i="3"/>
  <c r="J994" i="3"/>
  <c r="K994" i="3"/>
  <c r="L994" i="3"/>
  <c r="M994" i="3"/>
  <c r="AT994" i="3"/>
  <c r="D995" i="3"/>
  <c r="E995" i="3"/>
  <c r="F995" i="3"/>
  <c r="G995" i="3"/>
  <c r="H995" i="3"/>
  <c r="J995" i="3"/>
  <c r="K995" i="3"/>
  <c r="L995" i="3"/>
  <c r="M995" i="3"/>
  <c r="AT995" i="3"/>
  <c r="D996" i="3"/>
  <c r="E996" i="3"/>
  <c r="F996" i="3"/>
  <c r="G996" i="3"/>
  <c r="H996" i="3"/>
  <c r="J996" i="3"/>
  <c r="K996" i="3"/>
  <c r="L996" i="3"/>
  <c r="M996" i="3"/>
  <c r="AT996" i="3"/>
  <c r="D997" i="3"/>
  <c r="E997" i="3"/>
  <c r="F997" i="3"/>
  <c r="G997" i="3"/>
  <c r="H997" i="3"/>
  <c r="J997" i="3"/>
  <c r="K997" i="3"/>
  <c r="L997" i="3"/>
  <c r="M997" i="3"/>
  <c r="AT997" i="3"/>
  <c r="D998" i="3"/>
  <c r="E998" i="3"/>
  <c r="F998" i="3"/>
  <c r="G998" i="3"/>
  <c r="H998" i="3"/>
  <c r="J998" i="3"/>
  <c r="K998" i="3"/>
  <c r="L998" i="3"/>
  <c r="M998" i="3"/>
  <c r="AT998" i="3"/>
  <c r="D999" i="3"/>
  <c r="E999" i="3"/>
  <c r="F999" i="3"/>
  <c r="G999" i="3"/>
  <c r="H999" i="3"/>
  <c r="J999" i="3"/>
  <c r="K999" i="3"/>
  <c r="L999" i="3"/>
  <c r="M999" i="3"/>
  <c r="AT999" i="3"/>
  <c r="D1000" i="3"/>
  <c r="E1000" i="3"/>
  <c r="F1000" i="3"/>
  <c r="G1000" i="3"/>
  <c r="H1000" i="3"/>
  <c r="J1000" i="3"/>
  <c r="K1000" i="3"/>
  <c r="L1000" i="3"/>
  <c r="M1000" i="3"/>
  <c r="AT1000" i="3"/>
  <c r="D1001" i="3"/>
  <c r="E1001" i="3"/>
  <c r="F1001" i="3"/>
  <c r="G1001" i="3"/>
  <c r="H1001" i="3"/>
  <c r="J1001" i="3"/>
  <c r="K1001" i="3"/>
  <c r="L1001" i="3"/>
  <c r="M1001" i="3"/>
  <c r="AT1001" i="3"/>
  <c r="D1002" i="3"/>
  <c r="E1002" i="3"/>
  <c r="F1002" i="3"/>
  <c r="G1002" i="3"/>
  <c r="H1002" i="3"/>
  <c r="J1002" i="3"/>
  <c r="K1002" i="3"/>
  <c r="L1002" i="3"/>
  <c r="M1002" i="3"/>
  <c r="AT1002" i="3"/>
  <c r="D1003" i="3"/>
  <c r="E1003" i="3"/>
  <c r="F1003" i="3"/>
  <c r="G1003" i="3"/>
  <c r="H1003" i="3"/>
  <c r="J1003" i="3"/>
  <c r="K1003" i="3"/>
  <c r="L1003" i="3"/>
  <c r="M1003" i="3"/>
  <c r="AT1003" i="3"/>
  <c r="D1004" i="3"/>
  <c r="E1004" i="3"/>
  <c r="F1004" i="3"/>
  <c r="G1004" i="3"/>
  <c r="H1004" i="3"/>
  <c r="J1004" i="3"/>
  <c r="K1004" i="3"/>
  <c r="L1004" i="3"/>
  <c r="M1004" i="3"/>
  <c r="AT1004" i="3"/>
  <c r="D1005" i="3"/>
  <c r="E1005" i="3"/>
  <c r="F1005" i="3"/>
  <c r="G1005" i="3"/>
  <c r="H1005" i="3"/>
  <c r="J1005" i="3"/>
  <c r="K1005" i="3"/>
  <c r="L1005" i="3"/>
  <c r="M1005" i="3"/>
  <c r="AT1005" i="3"/>
  <c r="D1006" i="3"/>
  <c r="E1006" i="3"/>
  <c r="F1006" i="3"/>
  <c r="G1006" i="3"/>
  <c r="H1006" i="3"/>
  <c r="J1006" i="3"/>
  <c r="K1006" i="3"/>
  <c r="L1006" i="3"/>
  <c r="M1006" i="3"/>
  <c r="AT1006" i="3"/>
  <c r="D1007" i="3"/>
  <c r="E1007" i="3"/>
  <c r="F1007" i="3"/>
  <c r="G1007" i="3"/>
  <c r="H1007" i="3"/>
  <c r="J1007" i="3"/>
  <c r="K1007" i="3"/>
  <c r="L1007" i="3"/>
  <c r="M1007" i="3"/>
  <c r="AT1007" i="3"/>
  <c r="D1008" i="3"/>
  <c r="E1008" i="3"/>
  <c r="F1008" i="3"/>
  <c r="G1008" i="3"/>
  <c r="H1008" i="3"/>
  <c r="J1008" i="3"/>
  <c r="K1008" i="3"/>
  <c r="L1008" i="3"/>
  <c r="M1008" i="3"/>
  <c r="AT1008" i="3"/>
  <c r="D1009" i="3"/>
  <c r="E1009" i="3"/>
  <c r="F1009" i="3"/>
  <c r="G1009" i="3"/>
  <c r="H1009" i="3"/>
  <c r="J1009" i="3"/>
  <c r="K1009" i="3"/>
  <c r="L1009" i="3"/>
  <c r="M1009" i="3"/>
  <c r="AT1009" i="3"/>
  <c r="D1010" i="3"/>
  <c r="E1010" i="3"/>
  <c r="F1010" i="3"/>
  <c r="G1010" i="3"/>
  <c r="H1010" i="3"/>
  <c r="J1010" i="3"/>
  <c r="K1010" i="3"/>
  <c r="L1010" i="3"/>
  <c r="M1010" i="3"/>
  <c r="AT1010" i="3"/>
  <c r="D1011" i="3"/>
  <c r="E1011" i="3"/>
  <c r="F1011" i="3"/>
  <c r="G1011" i="3"/>
  <c r="H1011" i="3"/>
  <c r="J1011" i="3"/>
  <c r="K1011" i="3"/>
  <c r="L1011" i="3"/>
  <c r="M1011" i="3"/>
  <c r="AT1011" i="3"/>
  <c r="D1012" i="3"/>
  <c r="E1012" i="3"/>
  <c r="F1012" i="3"/>
  <c r="G1012" i="3"/>
  <c r="H1012" i="3"/>
  <c r="J1012" i="3"/>
  <c r="K1012" i="3"/>
  <c r="L1012" i="3"/>
  <c r="M1012" i="3"/>
  <c r="AT1012" i="3"/>
  <c r="D1013" i="3"/>
  <c r="E1013" i="3"/>
  <c r="F1013" i="3"/>
  <c r="G1013" i="3"/>
  <c r="H1013" i="3"/>
  <c r="J1013" i="3"/>
  <c r="K1013" i="3"/>
  <c r="L1013" i="3"/>
  <c r="M1013" i="3"/>
  <c r="AT1013" i="3"/>
  <c r="D1014" i="3"/>
  <c r="E1014" i="3"/>
  <c r="F1014" i="3"/>
  <c r="G1014" i="3"/>
  <c r="H1014" i="3"/>
  <c r="J1014" i="3"/>
  <c r="K1014" i="3"/>
  <c r="L1014" i="3"/>
  <c r="M1014" i="3"/>
  <c r="AT1014" i="3"/>
  <c r="D1015" i="3"/>
  <c r="E1015" i="3"/>
  <c r="F1015" i="3"/>
  <c r="G1015" i="3"/>
  <c r="H1015" i="3"/>
  <c r="J1015" i="3"/>
  <c r="K1015" i="3"/>
  <c r="L1015" i="3"/>
  <c r="M1015" i="3"/>
  <c r="AT1015" i="3"/>
  <c r="D1016" i="3"/>
  <c r="E1016" i="3"/>
  <c r="F1016" i="3"/>
  <c r="G1016" i="3"/>
  <c r="H1016" i="3"/>
  <c r="J1016" i="3"/>
  <c r="K1016" i="3"/>
  <c r="L1016" i="3"/>
  <c r="M1016" i="3"/>
  <c r="AT1016" i="3"/>
  <c r="D1017" i="3"/>
  <c r="E1017" i="3"/>
  <c r="F1017" i="3"/>
  <c r="G1017" i="3"/>
  <c r="H1017" i="3"/>
  <c r="J1017" i="3"/>
  <c r="K1017" i="3"/>
  <c r="L1017" i="3"/>
  <c r="M1017" i="3"/>
  <c r="AT1017" i="3"/>
  <c r="D1018" i="3"/>
  <c r="E1018" i="3"/>
  <c r="F1018" i="3"/>
  <c r="G1018" i="3"/>
  <c r="H1018" i="3"/>
  <c r="J1018" i="3"/>
  <c r="K1018" i="3"/>
  <c r="L1018" i="3"/>
  <c r="M1018" i="3"/>
  <c r="AT1018" i="3"/>
  <c r="D1019" i="3"/>
  <c r="E1019" i="3"/>
  <c r="F1019" i="3"/>
  <c r="G1019" i="3"/>
  <c r="H1019" i="3"/>
  <c r="J1019" i="3"/>
  <c r="K1019" i="3"/>
  <c r="L1019" i="3"/>
  <c r="M1019" i="3"/>
  <c r="AT1019" i="3"/>
  <c r="D1020" i="3"/>
  <c r="E1020" i="3"/>
  <c r="F1020" i="3"/>
  <c r="G1020" i="3"/>
  <c r="H1020" i="3"/>
  <c r="J1020" i="3"/>
  <c r="K1020" i="3"/>
  <c r="L1020" i="3"/>
  <c r="M1020" i="3"/>
  <c r="AT1020" i="3"/>
  <c r="D1021" i="3"/>
  <c r="E1021" i="3"/>
  <c r="F1021" i="3"/>
  <c r="G1021" i="3"/>
  <c r="H1021" i="3"/>
  <c r="J1021" i="3"/>
  <c r="K1021" i="3"/>
  <c r="L1021" i="3"/>
  <c r="M1021" i="3"/>
  <c r="AT1021" i="3"/>
  <c r="D1022" i="3"/>
  <c r="E1022" i="3"/>
  <c r="F1022" i="3"/>
  <c r="G1022" i="3"/>
  <c r="H1022" i="3"/>
  <c r="J1022" i="3"/>
  <c r="K1022" i="3"/>
  <c r="L1022" i="3"/>
  <c r="M1022" i="3"/>
  <c r="AT1022" i="3"/>
  <c r="D1023" i="3"/>
  <c r="E1023" i="3"/>
  <c r="F1023" i="3"/>
  <c r="G1023" i="3"/>
  <c r="H1023" i="3"/>
  <c r="J1023" i="3"/>
  <c r="K1023" i="3"/>
  <c r="L1023" i="3"/>
  <c r="M1023" i="3"/>
  <c r="AT1023" i="3"/>
  <c r="D1024" i="3"/>
  <c r="E1024" i="3"/>
  <c r="F1024" i="3"/>
  <c r="G1024" i="3"/>
  <c r="H1024" i="3"/>
  <c r="J1024" i="3"/>
  <c r="K1024" i="3"/>
  <c r="L1024" i="3"/>
  <c r="M1024" i="3"/>
  <c r="AT1024" i="3"/>
  <c r="D1025" i="3"/>
  <c r="E1025" i="3"/>
  <c r="F1025" i="3"/>
  <c r="G1025" i="3"/>
  <c r="H1025" i="3"/>
  <c r="J1025" i="3"/>
  <c r="K1025" i="3"/>
  <c r="L1025" i="3"/>
  <c r="M1025" i="3"/>
  <c r="AT1025" i="3"/>
  <c r="D1026" i="3"/>
  <c r="E1026" i="3"/>
  <c r="F1026" i="3"/>
  <c r="G1026" i="3"/>
  <c r="H1026" i="3"/>
  <c r="J1026" i="3"/>
  <c r="K1026" i="3"/>
  <c r="L1026" i="3"/>
  <c r="M1026" i="3"/>
  <c r="AT1026" i="3"/>
  <c r="D1027" i="3"/>
  <c r="E1027" i="3"/>
  <c r="F1027" i="3"/>
  <c r="G1027" i="3"/>
  <c r="H1027" i="3"/>
  <c r="J1027" i="3"/>
  <c r="K1027" i="3"/>
  <c r="L1027" i="3"/>
  <c r="M1027" i="3"/>
  <c r="AT1027" i="3"/>
  <c r="D1028" i="3"/>
  <c r="E1028" i="3"/>
  <c r="F1028" i="3"/>
  <c r="G1028" i="3"/>
  <c r="H1028" i="3"/>
  <c r="J1028" i="3"/>
  <c r="K1028" i="3"/>
  <c r="L1028" i="3"/>
  <c r="M1028" i="3"/>
  <c r="AT1028" i="3"/>
  <c r="D1029" i="3"/>
  <c r="E1029" i="3"/>
  <c r="F1029" i="3"/>
  <c r="G1029" i="3"/>
  <c r="H1029" i="3"/>
  <c r="J1029" i="3"/>
  <c r="K1029" i="3"/>
  <c r="L1029" i="3"/>
  <c r="M1029" i="3"/>
  <c r="AT1029" i="3"/>
  <c r="D1030" i="3"/>
  <c r="E1030" i="3"/>
  <c r="F1030" i="3"/>
  <c r="G1030" i="3"/>
  <c r="H1030" i="3"/>
  <c r="J1030" i="3"/>
  <c r="K1030" i="3"/>
  <c r="L1030" i="3"/>
  <c r="M1030" i="3"/>
  <c r="AT1030" i="3"/>
  <c r="D1031" i="3"/>
  <c r="E1031" i="3"/>
  <c r="F1031" i="3"/>
  <c r="G1031" i="3"/>
  <c r="H1031" i="3"/>
  <c r="J1031" i="3"/>
  <c r="K1031" i="3"/>
  <c r="L1031" i="3"/>
  <c r="M1031" i="3"/>
  <c r="AT1031" i="3"/>
  <c r="D1032" i="3"/>
  <c r="E1032" i="3"/>
  <c r="F1032" i="3"/>
  <c r="G1032" i="3"/>
  <c r="H1032" i="3"/>
  <c r="J1032" i="3"/>
  <c r="K1032" i="3"/>
  <c r="L1032" i="3"/>
  <c r="M1032" i="3"/>
  <c r="AT1032" i="3"/>
  <c r="D1033" i="3"/>
  <c r="E1033" i="3"/>
  <c r="F1033" i="3"/>
  <c r="G1033" i="3"/>
  <c r="H1033" i="3"/>
  <c r="J1033" i="3"/>
  <c r="K1033" i="3"/>
  <c r="L1033" i="3"/>
  <c r="M1033" i="3"/>
  <c r="AT1033" i="3"/>
  <c r="D1034" i="3"/>
  <c r="E1034" i="3"/>
  <c r="F1034" i="3"/>
  <c r="G1034" i="3"/>
  <c r="H1034" i="3"/>
  <c r="J1034" i="3"/>
  <c r="K1034" i="3"/>
  <c r="L1034" i="3"/>
  <c r="M1034" i="3"/>
  <c r="AT1034" i="3"/>
  <c r="D1035" i="3"/>
  <c r="E1035" i="3"/>
  <c r="F1035" i="3"/>
  <c r="G1035" i="3"/>
  <c r="H1035" i="3"/>
  <c r="J1035" i="3"/>
  <c r="K1035" i="3"/>
  <c r="L1035" i="3"/>
  <c r="M1035" i="3"/>
  <c r="AT1035" i="3"/>
  <c r="D1036" i="3"/>
  <c r="E1036" i="3"/>
  <c r="F1036" i="3"/>
  <c r="G1036" i="3"/>
  <c r="H1036" i="3"/>
  <c r="J1036" i="3"/>
  <c r="K1036" i="3"/>
  <c r="L1036" i="3"/>
  <c r="M1036" i="3"/>
  <c r="AT1036" i="3"/>
  <c r="D1037" i="3"/>
  <c r="E1037" i="3"/>
  <c r="F1037" i="3"/>
  <c r="G1037" i="3"/>
  <c r="H1037" i="3"/>
  <c r="J1037" i="3"/>
  <c r="K1037" i="3"/>
  <c r="L1037" i="3"/>
  <c r="M1037" i="3"/>
  <c r="AT1037" i="3"/>
  <c r="D1038" i="3"/>
  <c r="E1038" i="3"/>
  <c r="F1038" i="3"/>
  <c r="G1038" i="3"/>
  <c r="H1038" i="3"/>
  <c r="J1038" i="3"/>
  <c r="K1038" i="3"/>
  <c r="L1038" i="3"/>
  <c r="M1038" i="3"/>
  <c r="AT1038" i="3"/>
  <c r="D1039" i="3"/>
  <c r="E1039" i="3"/>
  <c r="F1039" i="3"/>
  <c r="G1039" i="3"/>
  <c r="H1039" i="3"/>
  <c r="J1039" i="3"/>
  <c r="K1039" i="3"/>
  <c r="L1039" i="3"/>
  <c r="M1039" i="3"/>
  <c r="AT1039" i="3"/>
  <c r="D1040" i="3"/>
  <c r="E1040" i="3"/>
  <c r="F1040" i="3"/>
  <c r="G1040" i="3"/>
  <c r="H1040" i="3"/>
  <c r="J1040" i="3"/>
  <c r="K1040" i="3"/>
  <c r="L1040" i="3"/>
  <c r="M1040" i="3"/>
  <c r="AT1040" i="3"/>
  <c r="D1041" i="3"/>
  <c r="E1041" i="3"/>
  <c r="F1041" i="3"/>
  <c r="G1041" i="3"/>
  <c r="H1041" i="3"/>
  <c r="J1041" i="3"/>
  <c r="K1041" i="3"/>
  <c r="L1041" i="3"/>
  <c r="M1041" i="3"/>
  <c r="AT1041" i="3"/>
  <c r="D1042" i="3"/>
  <c r="E1042" i="3"/>
  <c r="F1042" i="3"/>
  <c r="G1042" i="3"/>
  <c r="H1042" i="3"/>
  <c r="J1042" i="3"/>
  <c r="K1042" i="3"/>
  <c r="L1042" i="3"/>
  <c r="M1042" i="3"/>
  <c r="AT1042" i="3"/>
  <c r="D1043" i="3"/>
  <c r="E1043" i="3"/>
  <c r="F1043" i="3"/>
  <c r="G1043" i="3"/>
  <c r="H1043" i="3"/>
  <c r="J1043" i="3"/>
  <c r="K1043" i="3"/>
  <c r="L1043" i="3"/>
  <c r="M1043" i="3"/>
  <c r="AT1043" i="3"/>
  <c r="D1044" i="3"/>
  <c r="E1044" i="3"/>
  <c r="F1044" i="3"/>
  <c r="G1044" i="3"/>
  <c r="H1044" i="3"/>
  <c r="J1044" i="3"/>
  <c r="K1044" i="3"/>
  <c r="L1044" i="3"/>
  <c r="M1044" i="3"/>
  <c r="AT1044" i="3"/>
  <c r="D1045" i="3"/>
  <c r="E1045" i="3"/>
  <c r="F1045" i="3"/>
  <c r="G1045" i="3"/>
  <c r="H1045" i="3"/>
  <c r="J1045" i="3"/>
  <c r="K1045" i="3"/>
  <c r="L1045" i="3"/>
  <c r="M1045" i="3"/>
  <c r="AT1045" i="3"/>
  <c r="D1046" i="3"/>
  <c r="E1046" i="3"/>
  <c r="F1046" i="3"/>
  <c r="G1046" i="3"/>
  <c r="H1046" i="3"/>
  <c r="J1046" i="3"/>
  <c r="K1046" i="3"/>
  <c r="L1046" i="3"/>
  <c r="M1046" i="3"/>
  <c r="AT1046" i="3"/>
  <c r="D1047" i="3"/>
  <c r="E1047" i="3"/>
  <c r="F1047" i="3"/>
  <c r="G1047" i="3"/>
  <c r="H1047" i="3"/>
  <c r="J1047" i="3"/>
  <c r="K1047" i="3"/>
  <c r="L1047" i="3"/>
  <c r="M1047" i="3"/>
  <c r="AT1047" i="3"/>
  <c r="D1048" i="3"/>
  <c r="E1048" i="3"/>
  <c r="F1048" i="3"/>
  <c r="G1048" i="3"/>
  <c r="H1048" i="3"/>
  <c r="J1048" i="3"/>
  <c r="K1048" i="3"/>
  <c r="L1048" i="3"/>
  <c r="M1048" i="3"/>
  <c r="AT1048" i="3"/>
  <c r="D1049" i="3"/>
  <c r="E1049" i="3"/>
  <c r="F1049" i="3"/>
  <c r="G1049" i="3"/>
  <c r="H1049" i="3"/>
  <c r="J1049" i="3"/>
  <c r="K1049" i="3"/>
  <c r="L1049" i="3"/>
  <c r="M1049" i="3"/>
  <c r="AT1049" i="3"/>
  <c r="D1050" i="3"/>
  <c r="E1050" i="3"/>
  <c r="F1050" i="3"/>
  <c r="G1050" i="3"/>
  <c r="H1050" i="3"/>
  <c r="J1050" i="3"/>
  <c r="K1050" i="3"/>
  <c r="L1050" i="3"/>
  <c r="M1050" i="3"/>
  <c r="AT1050" i="3"/>
  <c r="D1051" i="3"/>
  <c r="E1051" i="3"/>
  <c r="F1051" i="3"/>
  <c r="G1051" i="3"/>
  <c r="H1051" i="3"/>
  <c r="J1051" i="3"/>
  <c r="K1051" i="3"/>
  <c r="L1051" i="3"/>
  <c r="M1051" i="3"/>
  <c r="AT1051" i="3"/>
  <c r="D1052" i="3"/>
  <c r="E1052" i="3"/>
  <c r="F1052" i="3"/>
  <c r="G1052" i="3"/>
  <c r="H1052" i="3"/>
  <c r="J1052" i="3"/>
  <c r="K1052" i="3"/>
  <c r="L1052" i="3"/>
  <c r="M1052" i="3"/>
  <c r="AT1052" i="3"/>
  <c r="D1053" i="3"/>
  <c r="E1053" i="3"/>
  <c r="F1053" i="3"/>
  <c r="G1053" i="3"/>
  <c r="H1053" i="3"/>
  <c r="J1053" i="3"/>
  <c r="K1053" i="3"/>
  <c r="L1053" i="3"/>
  <c r="M1053" i="3"/>
  <c r="AT1053" i="3"/>
  <c r="D1054" i="3"/>
  <c r="E1054" i="3"/>
  <c r="F1054" i="3"/>
  <c r="G1054" i="3"/>
  <c r="H1054" i="3"/>
  <c r="J1054" i="3"/>
  <c r="K1054" i="3"/>
  <c r="L1054" i="3"/>
  <c r="M1054" i="3"/>
  <c r="AT1054" i="3"/>
  <c r="D1055" i="3"/>
  <c r="E1055" i="3"/>
  <c r="F1055" i="3"/>
  <c r="G1055" i="3"/>
  <c r="H1055" i="3"/>
  <c r="J1055" i="3"/>
  <c r="K1055" i="3"/>
  <c r="L1055" i="3"/>
  <c r="M1055" i="3"/>
  <c r="AT1055" i="3"/>
  <c r="D1056" i="3"/>
  <c r="E1056" i="3"/>
  <c r="F1056" i="3"/>
  <c r="G1056" i="3"/>
  <c r="H1056" i="3"/>
  <c r="J1056" i="3"/>
  <c r="K1056" i="3"/>
  <c r="L1056" i="3"/>
  <c r="M1056" i="3"/>
  <c r="AT1056" i="3"/>
  <c r="D1057" i="3"/>
  <c r="E1057" i="3"/>
  <c r="F1057" i="3"/>
  <c r="G1057" i="3"/>
  <c r="H1057" i="3"/>
  <c r="J1057" i="3"/>
  <c r="K1057" i="3"/>
  <c r="L1057" i="3"/>
  <c r="M1057" i="3"/>
  <c r="AT1057" i="3"/>
  <c r="D1058" i="3"/>
  <c r="E1058" i="3"/>
  <c r="F1058" i="3"/>
  <c r="G1058" i="3"/>
  <c r="H1058" i="3"/>
  <c r="J1058" i="3"/>
  <c r="K1058" i="3"/>
  <c r="L1058" i="3"/>
  <c r="M1058" i="3"/>
  <c r="AT1058" i="3"/>
  <c r="D1059" i="3"/>
  <c r="E1059" i="3"/>
  <c r="F1059" i="3"/>
  <c r="G1059" i="3"/>
  <c r="H1059" i="3"/>
  <c r="J1059" i="3"/>
  <c r="K1059" i="3"/>
  <c r="L1059" i="3"/>
  <c r="M1059" i="3"/>
  <c r="AT1059" i="3"/>
  <c r="D1060" i="3"/>
  <c r="E1060" i="3"/>
  <c r="F1060" i="3"/>
  <c r="G1060" i="3"/>
  <c r="H1060" i="3"/>
  <c r="J1060" i="3"/>
  <c r="K1060" i="3"/>
  <c r="L1060" i="3"/>
  <c r="M1060" i="3"/>
  <c r="AT1060" i="3"/>
  <c r="D1061" i="3"/>
  <c r="E1061" i="3"/>
  <c r="F1061" i="3"/>
  <c r="G1061" i="3"/>
  <c r="H1061" i="3"/>
  <c r="J1061" i="3"/>
  <c r="K1061" i="3"/>
  <c r="L1061" i="3"/>
  <c r="M1061" i="3"/>
  <c r="AT1061" i="3"/>
  <c r="D1062" i="3"/>
  <c r="E1062" i="3"/>
  <c r="F1062" i="3"/>
  <c r="G1062" i="3"/>
  <c r="H1062" i="3"/>
  <c r="J1062" i="3"/>
  <c r="K1062" i="3"/>
  <c r="L1062" i="3"/>
  <c r="M1062" i="3"/>
  <c r="AT1062" i="3"/>
  <c r="D1063" i="3"/>
  <c r="E1063" i="3"/>
  <c r="F1063" i="3"/>
  <c r="G1063" i="3"/>
  <c r="H1063" i="3"/>
  <c r="J1063" i="3"/>
  <c r="K1063" i="3"/>
  <c r="L1063" i="3"/>
  <c r="M1063" i="3"/>
  <c r="AT1063" i="3"/>
  <c r="D1064" i="3"/>
  <c r="E1064" i="3"/>
  <c r="F1064" i="3"/>
  <c r="G1064" i="3"/>
  <c r="H1064" i="3"/>
  <c r="J1064" i="3"/>
  <c r="K1064" i="3"/>
  <c r="L1064" i="3"/>
  <c r="M1064" i="3"/>
  <c r="AT1064" i="3"/>
  <c r="D1065" i="3"/>
  <c r="E1065" i="3"/>
  <c r="F1065" i="3"/>
  <c r="G1065" i="3"/>
  <c r="H1065" i="3"/>
  <c r="J1065" i="3"/>
  <c r="K1065" i="3"/>
  <c r="L1065" i="3"/>
  <c r="M1065" i="3"/>
  <c r="AT1065" i="3"/>
  <c r="D1066" i="3"/>
  <c r="E1066" i="3"/>
  <c r="F1066" i="3"/>
  <c r="G1066" i="3"/>
  <c r="H1066" i="3"/>
  <c r="J1066" i="3"/>
  <c r="K1066" i="3"/>
  <c r="L1066" i="3"/>
  <c r="M1066" i="3"/>
  <c r="AT1066" i="3"/>
  <c r="D1067" i="3"/>
  <c r="E1067" i="3"/>
  <c r="F1067" i="3"/>
  <c r="G1067" i="3"/>
  <c r="H1067" i="3"/>
  <c r="J1067" i="3"/>
  <c r="K1067" i="3"/>
  <c r="L1067" i="3"/>
  <c r="M1067" i="3"/>
  <c r="AT1067" i="3"/>
  <c r="D1068" i="3"/>
  <c r="E1068" i="3"/>
  <c r="F1068" i="3"/>
  <c r="G1068" i="3"/>
  <c r="H1068" i="3"/>
  <c r="J1068" i="3"/>
  <c r="K1068" i="3"/>
  <c r="L1068" i="3"/>
  <c r="M1068" i="3"/>
  <c r="AT1068" i="3"/>
  <c r="D1069" i="3"/>
  <c r="E1069" i="3"/>
  <c r="F1069" i="3"/>
  <c r="G1069" i="3"/>
  <c r="H1069" i="3"/>
  <c r="J1069" i="3"/>
  <c r="K1069" i="3"/>
  <c r="L1069" i="3"/>
  <c r="M1069" i="3"/>
  <c r="AT1069" i="3"/>
  <c r="D1070" i="3"/>
  <c r="E1070" i="3"/>
  <c r="F1070" i="3"/>
  <c r="G1070" i="3"/>
  <c r="H1070" i="3"/>
  <c r="J1070" i="3"/>
  <c r="K1070" i="3"/>
  <c r="L1070" i="3"/>
  <c r="M1070" i="3"/>
  <c r="AT1070" i="3"/>
  <c r="D1071" i="3"/>
  <c r="E1071" i="3"/>
  <c r="F1071" i="3"/>
  <c r="G1071" i="3"/>
  <c r="H1071" i="3"/>
  <c r="J1071" i="3"/>
  <c r="K1071" i="3"/>
  <c r="L1071" i="3"/>
  <c r="M1071" i="3"/>
  <c r="AT1071" i="3"/>
  <c r="D1072" i="3"/>
  <c r="E1072" i="3"/>
  <c r="F1072" i="3"/>
  <c r="G1072" i="3"/>
  <c r="H1072" i="3"/>
  <c r="J1072" i="3"/>
  <c r="K1072" i="3"/>
  <c r="L1072" i="3"/>
  <c r="M1072" i="3"/>
  <c r="AT1072" i="3"/>
  <c r="D1073" i="3"/>
  <c r="E1073" i="3"/>
  <c r="F1073" i="3"/>
  <c r="G1073" i="3"/>
  <c r="H1073" i="3"/>
  <c r="J1073" i="3"/>
  <c r="K1073" i="3"/>
  <c r="L1073" i="3"/>
  <c r="M1073" i="3"/>
  <c r="AT1073" i="3"/>
  <c r="D1074" i="3"/>
  <c r="E1074" i="3"/>
  <c r="F1074" i="3"/>
  <c r="G1074" i="3"/>
  <c r="H1074" i="3"/>
  <c r="J1074" i="3"/>
  <c r="K1074" i="3"/>
  <c r="L1074" i="3"/>
  <c r="M1074" i="3"/>
  <c r="AT1074" i="3"/>
  <c r="D1075" i="3"/>
  <c r="E1075" i="3"/>
  <c r="F1075" i="3"/>
  <c r="G1075" i="3"/>
  <c r="H1075" i="3"/>
  <c r="J1075" i="3"/>
  <c r="K1075" i="3"/>
  <c r="L1075" i="3"/>
  <c r="M1075" i="3"/>
  <c r="AT1075" i="3"/>
  <c r="BF1075" i="3"/>
  <c r="D1077" i="3"/>
  <c r="E1077" i="3"/>
  <c r="F1077" i="3"/>
  <c r="G1077" i="3"/>
  <c r="H1077" i="3"/>
  <c r="J1077" i="3"/>
  <c r="K1077" i="3"/>
  <c r="L1077" i="3"/>
  <c r="M1077" i="3"/>
  <c r="D1078" i="3"/>
  <c r="E1078" i="3"/>
  <c r="F1078" i="3"/>
  <c r="G1078" i="3"/>
  <c r="H1078" i="3"/>
  <c r="J1078" i="3"/>
  <c r="K1078" i="3"/>
  <c r="L1078" i="3"/>
  <c r="M1078" i="3"/>
  <c r="D1079" i="3"/>
  <c r="E1079" i="3"/>
  <c r="F1079" i="3"/>
  <c r="G1079" i="3"/>
  <c r="H1079" i="3"/>
  <c r="J1079" i="3"/>
  <c r="K1079" i="3"/>
  <c r="L1079" i="3"/>
  <c r="M1079" i="3"/>
  <c r="D1080" i="3"/>
  <c r="E1080" i="3"/>
  <c r="F1080" i="3"/>
  <c r="G1080" i="3"/>
  <c r="H1080" i="3"/>
  <c r="J1080" i="3"/>
  <c r="K1080" i="3"/>
  <c r="L1080" i="3"/>
  <c r="M1080" i="3"/>
  <c r="D1081" i="3"/>
  <c r="E1081" i="3"/>
  <c r="F1081" i="3"/>
  <c r="G1081" i="3"/>
  <c r="H1081" i="3"/>
  <c r="J1081" i="3"/>
  <c r="K1081" i="3"/>
  <c r="L1081" i="3"/>
  <c r="M1081" i="3"/>
  <c r="D1082" i="3"/>
  <c r="E1082" i="3"/>
  <c r="F1082" i="3"/>
  <c r="G1082" i="3"/>
  <c r="H1082" i="3"/>
  <c r="J1082" i="3"/>
  <c r="K1082" i="3"/>
  <c r="L1082" i="3"/>
  <c r="M1082" i="3"/>
  <c r="D1083" i="3"/>
  <c r="E1083" i="3"/>
  <c r="F1083" i="3"/>
  <c r="G1083" i="3"/>
  <c r="H1083" i="3"/>
  <c r="J1083" i="3"/>
  <c r="K1083" i="3"/>
  <c r="L1083" i="3"/>
  <c r="M1083" i="3"/>
  <c r="D1084" i="3"/>
  <c r="E1084" i="3"/>
  <c r="F1084" i="3"/>
  <c r="G1084" i="3"/>
  <c r="H1084" i="3"/>
  <c r="J1084" i="3"/>
  <c r="K1084" i="3"/>
  <c r="L1084" i="3"/>
  <c r="M1084" i="3"/>
  <c r="D1085" i="3"/>
  <c r="E1085" i="3"/>
  <c r="F1085" i="3"/>
  <c r="G1085" i="3"/>
  <c r="H1085" i="3"/>
  <c r="J1085" i="3"/>
  <c r="K1085" i="3"/>
  <c r="L1085" i="3"/>
  <c r="M1085" i="3"/>
  <c r="D1086" i="3"/>
  <c r="E1086" i="3"/>
  <c r="F1086" i="3"/>
  <c r="G1086" i="3"/>
  <c r="H1086" i="3"/>
  <c r="J1086" i="3"/>
  <c r="K1086" i="3"/>
  <c r="L1086" i="3"/>
  <c r="M1086" i="3"/>
  <c r="D1087" i="3"/>
  <c r="E1087" i="3"/>
  <c r="F1087" i="3"/>
  <c r="G1087" i="3"/>
  <c r="H1087" i="3"/>
  <c r="J1087" i="3"/>
  <c r="K1087" i="3"/>
  <c r="L1087" i="3"/>
  <c r="M1087" i="3"/>
  <c r="D1088" i="3"/>
  <c r="E1088" i="3"/>
  <c r="F1088" i="3"/>
  <c r="G1088" i="3"/>
  <c r="H1088" i="3"/>
  <c r="J1088" i="3"/>
  <c r="K1088" i="3"/>
  <c r="L1088" i="3"/>
  <c r="M1088" i="3"/>
  <c r="D1089" i="3"/>
  <c r="E1089" i="3"/>
  <c r="F1089" i="3"/>
  <c r="G1089" i="3"/>
  <c r="H1089" i="3"/>
  <c r="J1089" i="3"/>
  <c r="K1089" i="3"/>
  <c r="L1089" i="3"/>
  <c r="M1089" i="3"/>
  <c r="D1090" i="3"/>
  <c r="E1090" i="3"/>
  <c r="F1090" i="3"/>
  <c r="G1090" i="3"/>
  <c r="H1090" i="3"/>
  <c r="J1090" i="3"/>
  <c r="K1090" i="3"/>
  <c r="L1090" i="3"/>
  <c r="M1090" i="3"/>
  <c r="D1091" i="3"/>
  <c r="E1091" i="3"/>
  <c r="F1091" i="3"/>
  <c r="G1091" i="3"/>
  <c r="H1091" i="3"/>
  <c r="J1091" i="3"/>
  <c r="K1091" i="3"/>
  <c r="L1091" i="3"/>
  <c r="M1091" i="3"/>
  <c r="D1092" i="3"/>
  <c r="E1092" i="3"/>
  <c r="F1092" i="3"/>
  <c r="G1092" i="3"/>
  <c r="H1092" i="3"/>
  <c r="J1092" i="3"/>
  <c r="K1092" i="3"/>
  <c r="L1092" i="3"/>
  <c r="M1092" i="3"/>
  <c r="D1093" i="3"/>
  <c r="E1093" i="3"/>
  <c r="F1093" i="3"/>
  <c r="G1093" i="3"/>
  <c r="H1093" i="3"/>
  <c r="J1093" i="3"/>
  <c r="K1093" i="3"/>
  <c r="L1093" i="3"/>
  <c r="M1093" i="3"/>
  <c r="D1094" i="3"/>
  <c r="E1094" i="3"/>
  <c r="F1094" i="3"/>
  <c r="G1094" i="3"/>
  <c r="H1094" i="3"/>
  <c r="J1094" i="3"/>
  <c r="K1094" i="3"/>
  <c r="L1094" i="3"/>
  <c r="M1094" i="3"/>
  <c r="D1095" i="3"/>
  <c r="E1095" i="3"/>
  <c r="F1095" i="3"/>
  <c r="G1095" i="3"/>
  <c r="H1095" i="3"/>
  <c r="J1095" i="3"/>
  <c r="K1095" i="3"/>
  <c r="L1095" i="3"/>
  <c r="M1095" i="3"/>
  <c r="D1096" i="3"/>
  <c r="E1096" i="3"/>
  <c r="F1096" i="3"/>
  <c r="G1096" i="3"/>
  <c r="H1096" i="3"/>
  <c r="J1096" i="3"/>
  <c r="K1096" i="3"/>
  <c r="L1096" i="3"/>
  <c r="M1096" i="3"/>
  <c r="D1097" i="3"/>
  <c r="E1097" i="3"/>
  <c r="F1097" i="3"/>
  <c r="G1097" i="3"/>
  <c r="H1097" i="3"/>
  <c r="J1097" i="3"/>
  <c r="K1097" i="3"/>
  <c r="L1097" i="3"/>
  <c r="M1097" i="3"/>
  <c r="D1098" i="3"/>
  <c r="E1098" i="3"/>
  <c r="F1098" i="3"/>
  <c r="G1098" i="3"/>
  <c r="H1098" i="3"/>
  <c r="J1098" i="3"/>
  <c r="K1098" i="3"/>
  <c r="L1098" i="3"/>
  <c r="M1098" i="3"/>
  <c r="D1099" i="3"/>
  <c r="E1099" i="3"/>
  <c r="F1099" i="3"/>
  <c r="G1099" i="3"/>
  <c r="H1099" i="3"/>
  <c r="J1099" i="3"/>
  <c r="K1099" i="3"/>
  <c r="L1099" i="3"/>
  <c r="M1099" i="3"/>
  <c r="D1100" i="3"/>
  <c r="E1100" i="3"/>
  <c r="F1100" i="3"/>
  <c r="G1100" i="3"/>
  <c r="H1100" i="3"/>
  <c r="J1100" i="3"/>
  <c r="K1100" i="3"/>
  <c r="L1100" i="3"/>
  <c r="M1100" i="3"/>
  <c r="D1101" i="3"/>
  <c r="E1101" i="3"/>
  <c r="F1101" i="3"/>
  <c r="G1101" i="3"/>
  <c r="H1101" i="3"/>
  <c r="J1101" i="3"/>
  <c r="K1101" i="3"/>
  <c r="L1101" i="3"/>
  <c r="M1101" i="3"/>
  <c r="D1102" i="3"/>
  <c r="E1102" i="3"/>
  <c r="F1102" i="3"/>
  <c r="G1102" i="3"/>
  <c r="H1102" i="3"/>
  <c r="J1102" i="3"/>
  <c r="K1102" i="3"/>
  <c r="L1102" i="3"/>
  <c r="M1102" i="3"/>
  <c r="D1103" i="3"/>
  <c r="E1103" i="3"/>
  <c r="F1103" i="3"/>
  <c r="G1103" i="3"/>
  <c r="H1103" i="3"/>
  <c r="J1103" i="3"/>
  <c r="K1103" i="3"/>
  <c r="L1103" i="3"/>
  <c r="M1103" i="3"/>
  <c r="D1104" i="3"/>
  <c r="E1104" i="3"/>
  <c r="F1104" i="3"/>
  <c r="G1104" i="3"/>
  <c r="H1104" i="3"/>
  <c r="J1104" i="3"/>
  <c r="K1104" i="3"/>
  <c r="L1104" i="3"/>
  <c r="M1104" i="3"/>
  <c r="D1105" i="3"/>
  <c r="E1105" i="3"/>
  <c r="F1105" i="3"/>
  <c r="G1105" i="3"/>
  <c r="H1105" i="3"/>
  <c r="J1105" i="3"/>
  <c r="K1105" i="3"/>
  <c r="L1105" i="3"/>
  <c r="M1105" i="3"/>
  <c r="D1106" i="3"/>
  <c r="E1106" i="3"/>
  <c r="F1106" i="3"/>
  <c r="G1106" i="3"/>
  <c r="H1106" i="3"/>
  <c r="J1106" i="3"/>
  <c r="K1106" i="3"/>
  <c r="L1106" i="3"/>
  <c r="M1106" i="3"/>
  <c r="D1107" i="3"/>
  <c r="E1107" i="3"/>
  <c r="F1107" i="3"/>
  <c r="G1107" i="3"/>
  <c r="H1107" i="3"/>
  <c r="J1107" i="3"/>
  <c r="K1107" i="3"/>
  <c r="L1107" i="3"/>
  <c r="M1107" i="3"/>
  <c r="D1108" i="3"/>
  <c r="E1108" i="3"/>
  <c r="F1108" i="3"/>
  <c r="G1108" i="3"/>
  <c r="H1108" i="3"/>
  <c r="J1108" i="3"/>
  <c r="K1108" i="3"/>
  <c r="L1108" i="3"/>
  <c r="M1108" i="3"/>
  <c r="D1109" i="3"/>
  <c r="E1109" i="3"/>
  <c r="F1109" i="3"/>
  <c r="G1109" i="3"/>
  <c r="H1109" i="3"/>
  <c r="J1109" i="3"/>
  <c r="K1109" i="3"/>
  <c r="L1109" i="3"/>
  <c r="M1109" i="3"/>
  <c r="D1110" i="3"/>
  <c r="E1110" i="3"/>
  <c r="F1110" i="3"/>
  <c r="G1110" i="3"/>
  <c r="H1110" i="3"/>
  <c r="J1110" i="3"/>
  <c r="K1110" i="3"/>
  <c r="L1110" i="3"/>
  <c r="M1110" i="3"/>
  <c r="D1111" i="3"/>
  <c r="E1111" i="3"/>
  <c r="F1111" i="3"/>
  <c r="G1111" i="3"/>
  <c r="H1111" i="3"/>
  <c r="J1111" i="3"/>
  <c r="K1111" i="3"/>
  <c r="L1111" i="3"/>
  <c r="M1111" i="3"/>
  <c r="D1112" i="3"/>
  <c r="E1112" i="3"/>
  <c r="F1112" i="3"/>
  <c r="G1112" i="3"/>
  <c r="H1112" i="3"/>
  <c r="J1112" i="3"/>
  <c r="K1112" i="3"/>
  <c r="L1112" i="3"/>
  <c r="M1112" i="3"/>
  <c r="D1113" i="3"/>
  <c r="E1113" i="3"/>
  <c r="F1113" i="3"/>
  <c r="G1113" i="3"/>
  <c r="H1113" i="3"/>
  <c r="J1113" i="3"/>
  <c r="K1113" i="3"/>
  <c r="L1113" i="3"/>
  <c r="M1113" i="3"/>
  <c r="D1114" i="3"/>
  <c r="E1114" i="3"/>
  <c r="F1114" i="3"/>
  <c r="G1114" i="3"/>
  <c r="H1114" i="3"/>
  <c r="J1114" i="3"/>
  <c r="K1114" i="3"/>
  <c r="L1114" i="3"/>
  <c r="M1114" i="3"/>
  <c r="D1115" i="3"/>
  <c r="E1115" i="3"/>
  <c r="F1115" i="3"/>
  <c r="G1115" i="3"/>
  <c r="H1115" i="3"/>
  <c r="J1115" i="3"/>
  <c r="K1115" i="3"/>
  <c r="L1115" i="3"/>
  <c r="M1115" i="3"/>
  <c r="D1116" i="3"/>
  <c r="E1116" i="3"/>
  <c r="F1116" i="3"/>
  <c r="G1116" i="3"/>
  <c r="H1116" i="3"/>
  <c r="J1116" i="3"/>
  <c r="K1116" i="3"/>
  <c r="L1116" i="3"/>
  <c r="M1116" i="3"/>
  <c r="D1117" i="3"/>
  <c r="E1117" i="3"/>
  <c r="F1117" i="3"/>
  <c r="G1117" i="3"/>
  <c r="H1117" i="3"/>
  <c r="J1117" i="3"/>
  <c r="K1117" i="3"/>
  <c r="L1117" i="3"/>
  <c r="M1117" i="3"/>
  <c r="D1118" i="3"/>
  <c r="E1118" i="3"/>
  <c r="F1118" i="3"/>
  <c r="G1118" i="3"/>
  <c r="H1118" i="3"/>
  <c r="J1118" i="3"/>
  <c r="K1118" i="3"/>
  <c r="L1118" i="3"/>
  <c r="M1118" i="3"/>
  <c r="D1119" i="3"/>
  <c r="E1119" i="3"/>
  <c r="F1119" i="3"/>
  <c r="G1119" i="3"/>
  <c r="H1119" i="3"/>
  <c r="J1119" i="3"/>
  <c r="K1119" i="3"/>
  <c r="L1119" i="3"/>
  <c r="M1119" i="3"/>
  <c r="D1120" i="3"/>
  <c r="E1120" i="3"/>
  <c r="F1120" i="3"/>
  <c r="G1120" i="3"/>
  <c r="H1120" i="3"/>
  <c r="J1120" i="3"/>
  <c r="K1120" i="3"/>
  <c r="L1120" i="3"/>
  <c r="M1120" i="3"/>
  <c r="D1121" i="3"/>
  <c r="E1121" i="3"/>
  <c r="F1121" i="3"/>
  <c r="G1121" i="3"/>
  <c r="H1121" i="3"/>
  <c r="J1121" i="3"/>
  <c r="K1121" i="3"/>
  <c r="L1121" i="3"/>
  <c r="M1121" i="3"/>
  <c r="D1122" i="3"/>
  <c r="E1122" i="3"/>
  <c r="F1122" i="3"/>
  <c r="G1122" i="3"/>
  <c r="H1122" i="3"/>
  <c r="J1122" i="3"/>
  <c r="K1122" i="3"/>
  <c r="L1122" i="3"/>
  <c r="M1122" i="3"/>
  <c r="D1123" i="3"/>
  <c r="E1123" i="3"/>
  <c r="F1123" i="3"/>
  <c r="G1123" i="3"/>
  <c r="H1123" i="3"/>
  <c r="J1123" i="3"/>
  <c r="K1123" i="3"/>
  <c r="L1123" i="3"/>
  <c r="M1123" i="3"/>
  <c r="D1124" i="3"/>
  <c r="E1124" i="3"/>
  <c r="F1124" i="3"/>
  <c r="G1124" i="3"/>
  <c r="H1124" i="3"/>
  <c r="J1124" i="3"/>
  <c r="K1124" i="3"/>
  <c r="L1124" i="3"/>
  <c r="M1124" i="3"/>
  <c r="D1125" i="3"/>
  <c r="E1125" i="3"/>
  <c r="F1125" i="3"/>
  <c r="G1125" i="3"/>
  <c r="H1125" i="3"/>
  <c r="J1125" i="3"/>
  <c r="K1125" i="3"/>
  <c r="L1125" i="3"/>
  <c r="M1125" i="3"/>
  <c r="D1126" i="3"/>
  <c r="E1126" i="3"/>
  <c r="F1126" i="3"/>
  <c r="G1126" i="3"/>
  <c r="H1126" i="3"/>
  <c r="J1126" i="3"/>
  <c r="K1126" i="3"/>
  <c r="L1126" i="3"/>
  <c r="M1126" i="3"/>
  <c r="D1127" i="3"/>
  <c r="E1127" i="3"/>
  <c r="F1127" i="3"/>
  <c r="G1127" i="3"/>
  <c r="H1127" i="3"/>
  <c r="J1127" i="3"/>
  <c r="K1127" i="3"/>
  <c r="L1127" i="3"/>
  <c r="M1127" i="3"/>
  <c r="D1128" i="3"/>
  <c r="E1128" i="3"/>
  <c r="F1128" i="3"/>
  <c r="G1128" i="3"/>
  <c r="H1128" i="3"/>
  <c r="J1128" i="3"/>
  <c r="K1128" i="3"/>
  <c r="L1128" i="3"/>
  <c r="M1128" i="3"/>
  <c r="D1129" i="3"/>
  <c r="E1129" i="3"/>
  <c r="F1129" i="3"/>
  <c r="G1129" i="3"/>
  <c r="H1129" i="3"/>
  <c r="J1129" i="3"/>
  <c r="K1129" i="3"/>
  <c r="L1129" i="3"/>
  <c r="M1129" i="3"/>
  <c r="D1130" i="3"/>
  <c r="E1130" i="3"/>
  <c r="F1130" i="3"/>
  <c r="G1130" i="3"/>
  <c r="H1130" i="3"/>
  <c r="J1130" i="3"/>
  <c r="K1130" i="3"/>
  <c r="L1130" i="3"/>
  <c r="M1130" i="3"/>
  <c r="D1131" i="3"/>
  <c r="E1131" i="3"/>
  <c r="F1131" i="3"/>
  <c r="G1131" i="3"/>
  <c r="H1131" i="3"/>
  <c r="J1131" i="3"/>
  <c r="K1131" i="3"/>
  <c r="L1131" i="3"/>
  <c r="M1131" i="3"/>
  <c r="D1132" i="3"/>
  <c r="E1132" i="3"/>
  <c r="F1132" i="3"/>
  <c r="G1132" i="3"/>
  <c r="H1132" i="3"/>
  <c r="J1132" i="3"/>
  <c r="K1132" i="3"/>
  <c r="L1132" i="3"/>
  <c r="M1132" i="3"/>
  <c r="D1133" i="3"/>
  <c r="E1133" i="3"/>
  <c r="F1133" i="3"/>
  <c r="G1133" i="3"/>
  <c r="H1133" i="3"/>
  <c r="J1133" i="3"/>
  <c r="K1133" i="3"/>
  <c r="L1133" i="3"/>
  <c r="M1133" i="3"/>
  <c r="D1134" i="3"/>
  <c r="E1134" i="3"/>
  <c r="F1134" i="3"/>
  <c r="G1134" i="3"/>
  <c r="H1134" i="3"/>
  <c r="J1134" i="3"/>
  <c r="K1134" i="3"/>
  <c r="L1134" i="3"/>
  <c r="M1134" i="3"/>
  <c r="D1135" i="3"/>
  <c r="E1135" i="3"/>
  <c r="F1135" i="3"/>
  <c r="G1135" i="3"/>
  <c r="H1135" i="3"/>
  <c r="J1135" i="3"/>
  <c r="K1135" i="3"/>
  <c r="L1135" i="3"/>
  <c r="M1135" i="3"/>
  <c r="D1136" i="3"/>
  <c r="E1136" i="3"/>
  <c r="F1136" i="3"/>
  <c r="G1136" i="3"/>
  <c r="H1136" i="3"/>
  <c r="J1136" i="3"/>
  <c r="K1136" i="3"/>
  <c r="L1136" i="3"/>
  <c r="M1136" i="3"/>
  <c r="D1137" i="3"/>
  <c r="E1137" i="3"/>
  <c r="F1137" i="3"/>
  <c r="G1137" i="3"/>
  <c r="H1137" i="3"/>
  <c r="J1137" i="3"/>
  <c r="K1137" i="3"/>
  <c r="L1137" i="3"/>
  <c r="M1137" i="3"/>
  <c r="D1138" i="3"/>
  <c r="E1138" i="3"/>
  <c r="F1138" i="3"/>
  <c r="G1138" i="3"/>
  <c r="H1138" i="3"/>
  <c r="J1138" i="3"/>
  <c r="K1138" i="3"/>
  <c r="L1138" i="3"/>
  <c r="M1138" i="3"/>
  <c r="D1139" i="3"/>
  <c r="E1139" i="3"/>
  <c r="F1139" i="3"/>
  <c r="G1139" i="3"/>
  <c r="H1139" i="3"/>
  <c r="J1139" i="3"/>
  <c r="K1139" i="3"/>
  <c r="L1139" i="3"/>
  <c r="M1139" i="3"/>
  <c r="D1140" i="3"/>
  <c r="E1140" i="3"/>
  <c r="F1140" i="3"/>
  <c r="G1140" i="3"/>
  <c r="H1140" i="3"/>
  <c r="J1140" i="3"/>
  <c r="K1140" i="3"/>
  <c r="L1140" i="3"/>
  <c r="M1140" i="3"/>
  <c r="D1141" i="3"/>
  <c r="E1141" i="3"/>
  <c r="F1141" i="3"/>
  <c r="G1141" i="3"/>
  <c r="H1141" i="3"/>
  <c r="J1141" i="3"/>
  <c r="K1141" i="3"/>
  <c r="L1141" i="3"/>
  <c r="M1141" i="3"/>
  <c r="D1142" i="3"/>
  <c r="E1142" i="3"/>
  <c r="F1142" i="3"/>
  <c r="G1142" i="3"/>
  <c r="H1142" i="3"/>
  <c r="J1142" i="3"/>
  <c r="K1142" i="3"/>
  <c r="L1142" i="3"/>
  <c r="M1142" i="3"/>
  <c r="D1143" i="3"/>
  <c r="E1143" i="3"/>
  <c r="F1143" i="3"/>
  <c r="G1143" i="3"/>
  <c r="H1143" i="3"/>
  <c r="J1143" i="3"/>
  <c r="K1143" i="3"/>
  <c r="L1143" i="3"/>
  <c r="M1143" i="3"/>
  <c r="D1144" i="3"/>
  <c r="E1144" i="3"/>
  <c r="F1144" i="3"/>
  <c r="G1144" i="3"/>
  <c r="H1144" i="3"/>
  <c r="J1144" i="3"/>
  <c r="K1144" i="3"/>
  <c r="L1144" i="3"/>
  <c r="M1144" i="3"/>
  <c r="D1145" i="3"/>
  <c r="E1145" i="3"/>
  <c r="F1145" i="3"/>
  <c r="G1145" i="3"/>
  <c r="H1145" i="3"/>
  <c r="J1145" i="3"/>
  <c r="K1145" i="3"/>
  <c r="L1145" i="3"/>
  <c r="M1145" i="3"/>
  <c r="D1146" i="3"/>
  <c r="E1146" i="3"/>
  <c r="F1146" i="3"/>
  <c r="G1146" i="3"/>
  <c r="H1146" i="3"/>
  <c r="J1146" i="3"/>
  <c r="K1146" i="3"/>
  <c r="L1146" i="3"/>
  <c r="M1146" i="3"/>
  <c r="D1147" i="3"/>
  <c r="E1147" i="3"/>
  <c r="F1147" i="3"/>
  <c r="G1147" i="3"/>
  <c r="H1147" i="3"/>
  <c r="J1147" i="3"/>
  <c r="K1147" i="3"/>
  <c r="L1147" i="3"/>
  <c r="M1147" i="3"/>
  <c r="D1148" i="3"/>
  <c r="E1148" i="3"/>
  <c r="F1148" i="3"/>
  <c r="G1148" i="3"/>
  <c r="H1148" i="3"/>
  <c r="J1148" i="3"/>
  <c r="K1148" i="3"/>
  <c r="L1148" i="3"/>
  <c r="M1148" i="3"/>
  <c r="D1149" i="3"/>
  <c r="E1149" i="3"/>
  <c r="F1149" i="3"/>
  <c r="G1149" i="3"/>
  <c r="H1149" i="3"/>
  <c r="J1149" i="3"/>
  <c r="K1149" i="3"/>
  <c r="L1149" i="3"/>
  <c r="M1149" i="3"/>
  <c r="D1150" i="3"/>
  <c r="E1150" i="3"/>
  <c r="F1150" i="3"/>
  <c r="G1150" i="3"/>
  <c r="H1150" i="3"/>
  <c r="J1150" i="3"/>
  <c r="K1150" i="3"/>
  <c r="L1150" i="3"/>
  <c r="M1150" i="3"/>
  <c r="D1151" i="3"/>
  <c r="E1151" i="3"/>
  <c r="F1151" i="3"/>
  <c r="G1151" i="3"/>
  <c r="H1151" i="3"/>
  <c r="J1151" i="3"/>
  <c r="K1151" i="3"/>
  <c r="L1151" i="3"/>
  <c r="M1151" i="3"/>
  <c r="D1152" i="3"/>
  <c r="E1152" i="3"/>
  <c r="F1152" i="3"/>
  <c r="G1152" i="3"/>
  <c r="H1152" i="3"/>
  <c r="J1152" i="3"/>
  <c r="K1152" i="3"/>
  <c r="L1152" i="3"/>
  <c r="M1152" i="3"/>
  <c r="D1153" i="3"/>
  <c r="E1153" i="3"/>
  <c r="F1153" i="3"/>
  <c r="G1153" i="3"/>
  <c r="H1153" i="3"/>
  <c r="J1153" i="3"/>
  <c r="K1153" i="3"/>
  <c r="L1153" i="3"/>
  <c r="M1153" i="3"/>
  <c r="D1154" i="3"/>
  <c r="E1154" i="3"/>
  <c r="F1154" i="3"/>
  <c r="G1154" i="3"/>
  <c r="H1154" i="3"/>
  <c r="J1154" i="3"/>
  <c r="K1154" i="3"/>
  <c r="L1154" i="3"/>
  <c r="M1154" i="3"/>
  <c r="D1155" i="3"/>
  <c r="E1155" i="3"/>
  <c r="F1155" i="3"/>
  <c r="G1155" i="3"/>
  <c r="H1155" i="3"/>
  <c r="J1155" i="3"/>
  <c r="K1155" i="3"/>
  <c r="L1155" i="3"/>
  <c r="M1155" i="3"/>
  <c r="D1156" i="3"/>
  <c r="E1156" i="3"/>
  <c r="F1156" i="3"/>
  <c r="G1156" i="3"/>
  <c r="H1156" i="3"/>
  <c r="J1156" i="3"/>
  <c r="K1156" i="3"/>
  <c r="L1156" i="3"/>
  <c r="M1156" i="3"/>
  <c r="D1157" i="3"/>
  <c r="E1157" i="3"/>
  <c r="F1157" i="3"/>
  <c r="G1157" i="3"/>
  <c r="H1157" i="3"/>
  <c r="J1157" i="3"/>
  <c r="K1157" i="3"/>
  <c r="L1157" i="3"/>
  <c r="M1157" i="3"/>
  <c r="D1158" i="3"/>
  <c r="E1158" i="3"/>
  <c r="F1158" i="3"/>
  <c r="G1158" i="3"/>
  <c r="H1158" i="3"/>
  <c r="J1158" i="3"/>
  <c r="K1158" i="3"/>
  <c r="L1158" i="3"/>
  <c r="M1158" i="3"/>
  <c r="D1159" i="3"/>
  <c r="E1159" i="3"/>
  <c r="F1159" i="3"/>
  <c r="G1159" i="3"/>
  <c r="H1159" i="3"/>
  <c r="J1159" i="3"/>
  <c r="K1159" i="3"/>
  <c r="L1159" i="3"/>
  <c r="M1159" i="3"/>
  <c r="D1160" i="3"/>
  <c r="E1160" i="3"/>
  <c r="F1160" i="3"/>
  <c r="G1160" i="3"/>
  <c r="H1160" i="3"/>
  <c r="J1160" i="3"/>
  <c r="K1160" i="3"/>
  <c r="L1160" i="3"/>
  <c r="M1160" i="3"/>
  <c r="D1161" i="3"/>
  <c r="E1161" i="3"/>
  <c r="F1161" i="3"/>
  <c r="G1161" i="3"/>
  <c r="H1161" i="3"/>
  <c r="J1161" i="3"/>
  <c r="K1161" i="3"/>
  <c r="L1161" i="3"/>
  <c r="M1161" i="3"/>
  <c r="D1162" i="3"/>
  <c r="E1162" i="3"/>
  <c r="F1162" i="3"/>
  <c r="G1162" i="3"/>
  <c r="H1162" i="3"/>
  <c r="J1162" i="3"/>
  <c r="K1162" i="3"/>
  <c r="L1162" i="3"/>
  <c r="M1162" i="3"/>
  <c r="D1163" i="3"/>
  <c r="E1163" i="3"/>
  <c r="F1163" i="3"/>
  <c r="G1163" i="3"/>
  <c r="H1163" i="3"/>
  <c r="J1163" i="3"/>
  <c r="K1163" i="3"/>
  <c r="L1163" i="3"/>
  <c r="M1163" i="3"/>
  <c r="D1164" i="3"/>
  <c r="E1164" i="3"/>
  <c r="F1164" i="3"/>
  <c r="G1164" i="3"/>
  <c r="H1164" i="3"/>
  <c r="J1164" i="3"/>
  <c r="K1164" i="3"/>
  <c r="L1164" i="3"/>
  <c r="M1164" i="3"/>
  <c r="D1165" i="3"/>
  <c r="E1165" i="3"/>
  <c r="F1165" i="3"/>
  <c r="G1165" i="3"/>
  <c r="H1165" i="3"/>
  <c r="J1165" i="3"/>
  <c r="K1165" i="3"/>
  <c r="L1165" i="3"/>
  <c r="M1165" i="3"/>
  <c r="D1166" i="3"/>
  <c r="E1166" i="3"/>
  <c r="F1166" i="3"/>
  <c r="G1166" i="3"/>
  <c r="H1166" i="3"/>
  <c r="J1166" i="3"/>
  <c r="K1166" i="3"/>
  <c r="L1166" i="3"/>
  <c r="M1166" i="3"/>
  <c r="D1167" i="3"/>
  <c r="E1167" i="3"/>
  <c r="F1167" i="3"/>
  <c r="G1167" i="3"/>
  <c r="H1167" i="3"/>
  <c r="J1167" i="3"/>
  <c r="K1167" i="3"/>
  <c r="L1167" i="3"/>
  <c r="M1167" i="3"/>
  <c r="D1168" i="3"/>
  <c r="E1168" i="3"/>
  <c r="F1168" i="3"/>
  <c r="G1168" i="3"/>
  <c r="H1168" i="3"/>
  <c r="J1168" i="3"/>
  <c r="K1168" i="3"/>
  <c r="L1168" i="3"/>
  <c r="M1168" i="3"/>
  <c r="D1169" i="3"/>
  <c r="E1169" i="3"/>
  <c r="F1169" i="3"/>
  <c r="G1169" i="3"/>
  <c r="H1169" i="3"/>
  <c r="J1169" i="3"/>
  <c r="K1169" i="3"/>
  <c r="L1169" i="3"/>
  <c r="M1169" i="3"/>
  <c r="D1170" i="3"/>
  <c r="E1170" i="3"/>
  <c r="F1170" i="3"/>
  <c r="G1170" i="3"/>
  <c r="H1170" i="3"/>
  <c r="J1170" i="3"/>
  <c r="K1170" i="3"/>
  <c r="L1170" i="3"/>
  <c r="M1170" i="3"/>
  <c r="D1171" i="3"/>
  <c r="E1171" i="3"/>
  <c r="F1171" i="3"/>
  <c r="G1171" i="3"/>
  <c r="H1171" i="3"/>
  <c r="J1171" i="3"/>
  <c r="K1171" i="3"/>
  <c r="L1171" i="3"/>
  <c r="M1171" i="3"/>
  <c r="D1172" i="3"/>
  <c r="E1172" i="3"/>
  <c r="F1172" i="3"/>
  <c r="G1172" i="3"/>
  <c r="H1172" i="3"/>
  <c r="J1172" i="3"/>
  <c r="K1172" i="3"/>
  <c r="L1172" i="3"/>
  <c r="M1172" i="3"/>
  <c r="D1173" i="3"/>
  <c r="E1173" i="3"/>
  <c r="F1173" i="3"/>
  <c r="G1173" i="3"/>
  <c r="H1173" i="3"/>
  <c r="J1173" i="3"/>
  <c r="K1173" i="3"/>
  <c r="L1173" i="3"/>
  <c r="M1173" i="3"/>
  <c r="D1174" i="3"/>
  <c r="E1174" i="3"/>
  <c r="F1174" i="3"/>
  <c r="G1174" i="3"/>
  <c r="H1174" i="3"/>
  <c r="J1174" i="3"/>
  <c r="K1174" i="3"/>
  <c r="L1174" i="3"/>
  <c r="M1174" i="3"/>
  <c r="D1175" i="3"/>
  <c r="E1175" i="3"/>
  <c r="F1175" i="3"/>
  <c r="G1175" i="3"/>
  <c r="H1175" i="3"/>
  <c r="J1175" i="3"/>
  <c r="K1175" i="3"/>
  <c r="L1175" i="3"/>
  <c r="M1175" i="3"/>
  <c r="D1176" i="3"/>
  <c r="E1176" i="3"/>
  <c r="F1176" i="3"/>
  <c r="G1176" i="3"/>
  <c r="H1176" i="3"/>
  <c r="J1176" i="3"/>
  <c r="K1176" i="3"/>
  <c r="L1176" i="3"/>
  <c r="M1176" i="3"/>
  <c r="D1177" i="3"/>
  <c r="E1177" i="3"/>
  <c r="F1177" i="3"/>
  <c r="G1177" i="3"/>
  <c r="H1177" i="3"/>
  <c r="J1177" i="3"/>
  <c r="K1177" i="3"/>
  <c r="L1177" i="3"/>
  <c r="M1177" i="3"/>
  <c r="D1178" i="3"/>
  <c r="E1178" i="3"/>
  <c r="F1178" i="3"/>
  <c r="G1178" i="3"/>
  <c r="H1178" i="3"/>
  <c r="J1178" i="3"/>
  <c r="K1178" i="3"/>
  <c r="L1178" i="3"/>
  <c r="M1178" i="3"/>
  <c r="D1179" i="3"/>
  <c r="E1179" i="3"/>
  <c r="F1179" i="3"/>
  <c r="G1179" i="3"/>
  <c r="H1179" i="3"/>
  <c r="J1179" i="3"/>
  <c r="K1179" i="3"/>
  <c r="L1179" i="3"/>
  <c r="M1179" i="3"/>
  <c r="D1180" i="3"/>
  <c r="E1180" i="3"/>
  <c r="F1180" i="3"/>
  <c r="G1180" i="3"/>
  <c r="H1180" i="3"/>
  <c r="J1180" i="3"/>
  <c r="K1180" i="3"/>
  <c r="L1180" i="3"/>
  <c r="M1180" i="3"/>
  <c r="D1181" i="3"/>
  <c r="E1181" i="3"/>
  <c r="F1181" i="3"/>
  <c r="G1181" i="3"/>
  <c r="H1181" i="3"/>
  <c r="J1181" i="3"/>
  <c r="K1181" i="3"/>
  <c r="L1181" i="3"/>
  <c r="M1181" i="3"/>
  <c r="D1182" i="3"/>
  <c r="E1182" i="3"/>
  <c r="F1182" i="3"/>
  <c r="G1182" i="3"/>
  <c r="H1182" i="3"/>
  <c r="J1182" i="3"/>
  <c r="K1182" i="3"/>
  <c r="L1182" i="3"/>
  <c r="M1182" i="3"/>
  <c r="D1183" i="3"/>
  <c r="E1183" i="3"/>
  <c r="F1183" i="3"/>
  <c r="G1183" i="3"/>
  <c r="H1183" i="3"/>
  <c r="J1183" i="3"/>
  <c r="K1183" i="3"/>
  <c r="L1183" i="3"/>
  <c r="M1183" i="3"/>
  <c r="D1184" i="3"/>
  <c r="E1184" i="3"/>
  <c r="F1184" i="3"/>
  <c r="G1184" i="3"/>
  <c r="H1184" i="3"/>
  <c r="J1184" i="3"/>
  <c r="K1184" i="3"/>
  <c r="L1184" i="3"/>
  <c r="M1184" i="3"/>
  <c r="D1185" i="3"/>
  <c r="E1185" i="3"/>
  <c r="F1185" i="3"/>
  <c r="G1185" i="3"/>
  <c r="H1185" i="3"/>
  <c r="J1185" i="3"/>
  <c r="K1185" i="3"/>
  <c r="L1185" i="3"/>
  <c r="M1185" i="3"/>
  <c r="D1186" i="3"/>
  <c r="E1186" i="3"/>
  <c r="F1186" i="3"/>
  <c r="G1186" i="3"/>
  <c r="H1186" i="3"/>
  <c r="J1186" i="3"/>
  <c r="K1186" i="3"/>
  <c r="L1186" i="3"/>
  <c r="M1186" i="3"/>
  <c r="D1187" i="3"/>
  <c r="E1187" i="3"/>
  <c r="F1187" i="3"/>
  <c r="G1187" i="3"/>
  <c r="H1187" i="3"/>
  <c r="J1187" i="3"/>
  <c r="K1187" i="3"/>
  <c r="L1187" i="3"/>
  <c r="M1187" i="3"/>
  <c r="D1188" i="3"/>
  <c r="E1188" i="3"/>
  <c r="F1188" i="3"/>
  <c r="G1188" i="3"/>
  <c r="H1188" i="3"/>
  <c r="J1188" i="3"/>
  <c r="K1188" i="3"/>
  <c r="L1188" i="3"/>
  <c r="M1188" i="3"/>
  <c r="D1189" i="3"/>
  <c r="E1189" i="3"/>
  <c r="F1189" i="3"/>
  <c r="G1189" i="3"/>
  <c r="H1189" i="3"/>
  <c r="J1189" i="3"/>
  <c r="K1189" i="3"/>
  <c r="L1189" i="3"/>
  <c r="M1189" i="3"/>
  <c r="D1190" i="3"/>
  <c r="E1190" i="3"/>
  <c r="F1190" i="3"/>
  <c r="G1190" i="3"/>
  <c r="H1190" i="3"/>
  <c r="J1190" i="3"/>
  <c r="K1190" i="3"/>
  <c r="L1190" i="3"/>
  <c r="M1190" i="3"/>
  <c r="D1191" i="3"/>
  <c r="E1191" i="3"/>
  <c r="F1191" i="3"/>
  <c r="G1191" i="3"/>
  <c r="H1191" i="3"/>
  <c r="J1191" i="3"/>
  <c r="K1191" i="3"/>
  <c r="L1191" i="3"/>
  <c r="M1191" i="3"/>
  <c r="D1192" i="3"/>
  <c r="E1192" i="3"/>
  <c r="F1192" i="3"/>
  <c r="G1192" i="3"/>
  <c r="H1192" i="3"/>
  <c r="J1192" i="3"/>
  <c r="K1192" i="3"/>
  <c r="L1192" i="3"/>
  <c r="M1192" i="3"/>
  <c r="D1193" i="3"/>
  <c r="E1193" i="3"/>
  <c r="F1193" i="3"/>
  <c r="G1193" i="3"/>
  <c r="H1193" i="3"/>
  <c r="J1193" i="3"/>
  <c r="K1193" i="3"/>
  <c r="L1193" i="3"/>
  <c r="M1193" i="3"/>
  <c r="D1194" i="3"/>
  <c r="E1194" i="3"/>
  <c r="F1194" i="3"/>
  <c r="G1194" i="3"/>
  <c r="H1194" i="3"/>
  <c r="J1194" i="3"/>
  <c r="K1194" i="3"/>
  <c r="L1194" i="3"/>
  <c r="M1194" i="3"/>
  <c r="D1195" i="3"/>
  <c r="E1195" i="3"/>
  <c r="F1195" i="3"/>
  <c r="G1195" i="3"/>
  <c r="H1195" i="3"/>
  <c r="J1195" i="3"/>
  <c r="K1195" i="3"/>
  <c r="L1195" i="3"/>
  <c r="M1195" i="3"/>
  <c r="D1196" i="3"/>
  <c r="E1196" i="3"/>
  <c r="F1196" i="3"/>
  <c r="G1196" i="3"/>
  <c r="H1196" i="3"/>
  <c r="J1196" i="3"/>
  <c r="K1196" i="3"/>
  <c r="L1196" i="3"/>
  <c r="M1196" i="3"/>
  <c r="D1197" i="3"/>
  <c r="E1197" i="3"/>
  <c r="F1197" i="3"/>
  <c r="G1197" i="3"/>
  <c r="H1197" i="3"/>
  <c r="J1197" i="3"/>
  <c r="K1197" i="3"/>
  <c r="L1197" i="3"/>
  <c r="M1197" i="3"/>
  <c r="D1198" i="3"/>
  <c r="E1198" i="3"/>
  <c r="F1198" i="3"/>
  <c r="G1198" i="3"/>
  <c r="H1198" i="3"/>
  <c r="J1198" i="3"/>
  <c r="K1198" i="3"/>
  <c r="L1198" i="3"/>
  <c r="M1198" i="3"/>
  <c r="D1199" i="3"/>
  <c r="E1199" i="3"/>
  <c r="F1199" i="3"/>
  <c r="G1199" i="3"/>
  <c r="H1199" i="3"/>
  <c r="J1199" i="3"/>
  <c r="K1199" i="3"/>
  <c r="L1199" i="3"/>
  <c r="M1199" i="3"/>
  <c r="D1200" i="3"/>
  <c r="E1200" i="3"/>
  <c r="F1200" i="3"/>
  <c r="G1200" i="3"/>
  <c r="H1200" i="3"/>
  <c r="J1200" i="3"/>
  <c r="K1200" i="3"/>
  <c r="L1200" i="3"/>
  <c r="M1200" i="3"/>
  <c r="D1201" i="3"/>
  <c r="E1201" i="3"/>
  <c r="F1201" i="3"/>
  <c r="G1201" i="3"/>
  <c r="H1201" i="3"/>
  <c r="J1201" i="3"/>
  <c r="K1201" i="3"/>
  <c r="L1201" i="3"/>
  <c r="M1201" i="3"/>
  <c r="D1202" i="3"/>
  <c r="E1202" i="3"/>
  <c r="F1202" i="3"/>
  <c r="G1202" i="3"/>
  <c r="H1202" i="3"/>
  <c r="J1202" i="3"/>
  <c r="K1202" i="3"/>
  <c r="L1202" i="3"/>
  <c r="M1202" i="3"/>
  <c r="D1203" i="3"/>
  <c r="E1203" i="3"/>
  <c r="F1203" i="3"/>
  <c r="G1203" i="3"/>
  <c r="H1203" i="3"/>
  <c r="J1203" i="3"/>
  <c r="K1203" i="3"/>
  <c r="L1203" i="3"/>
  <c r="M1203" i="3"/>
  <c r="D1204" i="3"/>
  <c r="E1204" i="3"/>
  <c r="F1204" i="3"/>
  <c r="G1204" i="3"/>
  <c r="H1204" i="3"/>
  <c r="J1204" i="3"/>
  <c r="K1204" i="3"/>
  <c r="L1204" i="3"/>
  <c r="M1204" i="3"/>
  <c r="D1205" i="3"/>
  <c r="E1205" i="3"/>
  <c r="F1205" i="3"/>
  <c r="G1205" i="3"/>
  <c r="H1205" i="3"/>
  <c r="J1205" i="3"/>
  <c r="K1205" i="3"/>
  <c r="L1205" i="3"/>
  <c r="M1205" i="3"/>
  <c r="D1206" i="3"/>
  <c r="E1206" i="3"/>
  <c r="F1206" i="3"/>
  <c r="G1206" i="3"/>
  <c r="H1206" i="3"/>
  <c r="J1206" i="3"/>
  <c r="K1206" i="3"/>
  <c r="L1206" i="3"/>
  <c r="M1206" i="3"/>
  <c r="D1207" i="3"/>
  <c r="E1207" i="3"/>
  <c r="F1207" i="3"/>
  <c r="G1207" i="3"/>
  <c r="H1207" i="3"/>
  <c r="J1207" i="3"/>
  <c r="K1207" i="3"/>
  <c r="L1207" i="3"/>
  <c r="M1207" i="3"/>
  <c r="D1208" i="3"/>
  <c r="E1208" i="3"/>
  <c r="F1208" i="3"/>
  <c r="G1208" i="3"/>
  <c r="H1208" i="3"/>
  <c r="J1208" i="3"/>
  <c r="K1208" i="3"/>
  <c r="L1208" i="3"/>
  <c r="M1208" i="3"/>
  <c r="D1209" i="3"/>
  <c r="E1209" i="3"/>
  <c r="F1209" i="3"/>
  <c r="G1209" i="3"/>
  <c r="H1209" i="3"/>
  <c r="J1209" i="3"/>
  <c r="K1209" i="3"/>
  <c r="L1209" i="3"/>
  <c r="M1209" i="3"/>
  <c r="D1210" i="3"/>
  <c r="E1210" i="3"/>
  <c r="F1210" i="3"/>
  <c r="G1210" i="3"/>
  <c r="H1210" i="3"/>
  <c r="J1210" i="3"/>
  <c r="K1210" i="3"/>
  <c r="L1210" i="3"/>
  <c r="M1210" i="3"/>
  <c r="D1211" i="3"/>
  <c r="E1211" i="3"/>
  <c r="F1211" i="3"/>
  <c r="G1211" i="3"/>
  <c r="H1211" i="3"/>
  <c r="J1211" i="3"/>
  <c r="K1211" i="3"/>
  <c r="L1211" i="3"/>
  <c r="M1211" i="3"/>
  <c r="D1212" i="3"/>
  <c r="E1212" i="3"/>
  <c r="F1212" i="3"/>
  <c r="G1212" i="3"/>
  <c r="H1212" i="3"/>
  <c r="J1212" i="3"/>
  <c r="K1212" i="3"/>
  <c r="L1212" i="3"/>
  <c r="M1212" i="3"/>
  <c r="D1213" i="3"/>
  <c r="E1213" i="3"/>
  <c r="F1213" i="3"/>
  <c r="G1213" i="3"/>
  <c r="H1213" i="3"/>
  <c r="J1213" i="3"/>
  <c r="K1213" i="3"/>
  <c r="L1213" i="3"/>
  <c r="M1213" i="3"/>
  <c r="D1214" i="3"/>
  <c r="E1214" i="3"/>
  <c r="F1214" i="3"/>
  <c r="G1214" i="3"/>
  <c r="H1214" i="3"/>
  <c r="J1214" i="3"/>
  <c r="K1214" i="3"/>
  <c r="L1214" i="3"/>
  <c r="M1214" i="3"/>
  <c r="D1215" i="3"/>
  <c r="E1215" i="3"/>
  <c r="F1215" i="3"/>
  <c r="G1215" i="3"/>
  <c r="H1215" i="3"/>
  <c r="J1215" i="3"/>
  <c r="K1215" i="3"/>
  <c r="L1215" i="3"/>
  <c r="M1215" i="3"/>
  <c r="D1216" i="3"/>
  <c r="E1216" i="3"/>
  <c r="F1216" i="3"/>
  <c r="G1216" i="3"/>
  <c r="H1216" i="3"/>
  <c r="J1216" i="3"/>
  <c r="K1216" i="3"/>
  <c r="L1216" i="3"/>
  <c r="M1216" i="3"/>
  <c r="D1217" i="3"/>
  <c r="E1217" i="3"/>
  <c r="F1217" i="3"/>
  <c r="G1217" i="3"/>
  <c r="H1217" i="3"/>
  <c r="J1217" i="3"/>
  <c r="K1217" i="3"/>
  <c r="L1217" i="3"/>
  <c r="M1217" i="3"/>
  <c r="D1218" i="3"/>
  <c r="E1218" i="3"/>
  <c r="F1218" i="3"/>
  <c r="G1218" i="3"/>
  <c r="H1218" i="3"/>
  <c r="J1218" i="3"/>
  <c r="K1218" i="3"/>
  <c r="L1218" i="3"/>
  <c r="M1218" i="3"/>
  <c r="D1219" i="3"/>
  <c r="E1219" i="3"/>
  <c r="F1219" i="3"/>
  <c r="G1219" i="3"/>
  <c r="H1219" i="3"/>
  <c r="J1219" i="3"/>
  <c r="K1219" i="3"/>
  <c r="L1219" i="3"/>
  <c r="M1219" i="3"/>
  <c r="D1220" i="3"/>
  <c r="E1220" i="3"/>
  <c r="F1220" i="3"/>
  <c r="G1220" i="3"/>
  <c r="H1220" i="3"/>
  <c r="J1220" i="3"/>
  <c r="K1220" i="3"/>
  <c r="L1220" i="3"/>
  <c r="M1220" i="3"/>
  <c r="D1221" i="3"/>
  <c r="E1221" i="3"/>
  <c r="F1221" i="3"/>
  <c r="G1221" i="3"/>
  <c r="H1221" i="3"/>
  <c r="J1221" i="3"/>
  <c r="K1221" i="3"/>
  <c r="L1221" i="3"/>
  <c r="M1221" i="3"/>
  <c r="D1222" i="3"/>
  <c r="E1222" i="3"/>
  <c r="F1222" i="3"/>
  <c r="G1222" i="3"/>
  <c r="H1222" i="3"/>
  <c r="J1222" i="3"/>
  <c r="K1222" i="3"/>
  <c r="L1222" i="3"/>
  <c r="M1222" i="3"/>
  <c r="D1223" i="3"/>
  <c r="E1223" i="3"/>
  <c r="F1223" i="3"/>
  <c r="G1223" i="3"/>
  <c r="H1223" i="3"/>
  <c r="J1223" i="3"/>
  <c r="K1223" i="3"/>
  <c r="L1223" i="3"/>
  <c r="M1223" i="3"/>
  <c r="D1224" i="3"/>
  <c r="E1224" i="3"/>
  <c r="F1224" i="3"/>
  <c r="G1224" i="3"/>
  <c r="H1224" i="3"/>
  <c r="J1224" i="3"/>
  <c r="K1224" i="3"/>
  <c r="L1224" i="3"/>
  <c r="M1224" i="3"/>
  <c r="D1225" i="3"/>
  <c r="E1225" i="3"/>
  <c r="F1225" i="3"/>
  <c r="G1225" i="3"/>
  <c r="H1225" i="3"/>
  <c r="J1225" i="3"/>
  <c r="K1225" i="3"/>
  <c r="L1225" i="3"/>
  <c r="M1225" i="3"/>
  <c r="D1226" i="3"/>
  <c r="E1226" i="3"/>
  <c r="F1226" i="3"/>
  <c r="G1226" i="3"/>
  <c r="H1226" i="3"/>
  <c r="J1226" i="3"/>
  <c r="K1226" i="3"/>
  <c r="L1226" i="3"/>
  <c r="M1226" i="3"/>
  <c r="D1227" i="3"/>
  <c r="E1227" i="3"/>
  <c r="F1227" i="3"/>
  <c r="G1227" i="3"/>
  <c r="H1227" i="3"/>
  <c r="J1227" i="3"/>
  <c r="K1227" i="3"/>
  <c r="L1227" i="3"/>
  <c r="M1227" i="3"/>
  <c r="D1228" i="3"/>
  <c r="E1228" i="3"/>
  <c r="F1228" i="3"/>
  <c r="G1228" i="3"/>
  <c r="H1228" i="3"/>
  <c r="J1228" i="3"/>
  <c r="K1228" i="3"/>
  <c r="L1228" i="3"/>
  <c r="M1228" i="3"/>
  <c r="D1229" i="3"/>
  <c r="E1229" i="3"/>
  <c r="F1229" i="3"/>
  <c r="G1229" i="3"/>
  <c r="H1229" i="3"/>
  <c r="J1229" i="3"/>
  <c r="K1229" i="3"/>
  <c r="L1229" i="3"/>
  <c r="M1229" i="3"/>
  <c r="D1230" i="3"/>
  <c r="E1230" i="3"/>
  <c r="F1230" i="3"/>
  <c r="G1230" i="3"/>
  <c r="H1230" i="3"/>
  <c r="J1230" i="3"/>
  <c r="K1230" i="3"/>
  <c r="L1230" i="3"/>
  <c r="M1230" i="3"/>
  <c r="D1231" i="3"/>
  <c r="E1231" i="3"/>
  <c r="F1231" i="3"/>
  <c r="G1231" i="3"/>
  <c r="H1231" i="3"/>
  <c r="J1231" i="3"/>
  <c r="K1231" i="3"/>
  <c r="L1231" i="3"/>
  <c r="M1231" i="3"/>
  <c r="D1232" i="3"/>
  <c r="E1232" i="3"/>
  <c r="F1232" i="3"/>
  <c r="G1232" i="3"/>
  <c r="H1232" i="3"/>
  <c r="J1232" i="3"/>
  <c r="K1232" i="3"/>
  <c r="L1232" i="3"/>
  <c r="M1232" i="3"/>
  <c r="D1233" i="3"/>
  <c r="E1233" i="3"/>
  <c r="F1233" i="3"/>
  <c r="G1233" i="3"/>
  <c r="H1233" i="3"/>
  <c r="J1233" i="3"/>
  <c r="K1233" i="3"/>
  <c r="L1233" i="3"/>
  <c r="M1233" i="3"/>
  <c r="D1234" i="3"/>
  <c r="E1234" i="3"/>
  <c r="F1234" i="3"/>
  <c r="G1234" i="3"/>
  <c r="H1234" i="3"/>
  <c r="J1234" i="3"/>
  <c r="K1234" i="3"/>
  <c r="L1234" i="3"/>
  <c r="M1234" i="3"/>
  <c r="D1235" i="3"/>
  <c r="E1235" i="3"/>
  <c r="F1235" i="3"/>
  <c r="G1235" i="3"/>
  <c r="H1235" i="3"/>
  <c r="J1235" i="3"/>
  <c r="K1235" i="3"/>
  <c r="L1235" i="3"/>
  <c r="M1235" i="3"/>
  <c r="D1236" i="3"/>
  <c r="E1236" i="3"/>
  <c r="F1236" i="3"/>
  <c r="G1236" i="3"/>
  <c r="H1236" i="3"/>
  <c r="J1236" i="3"/>
  <c r="K1236" i="3"/>
  <c r="L1236" i="3"/>
  <c r="M1236" i="3"/>
  <c r="D1237" i="3"/>
  <c r="E1237" i="3"/>
  <c r="F1237" i="3"/>
  <c r="G1237" i="3"/>
  <c r="H1237" i="3"/>
  <c r="J1237" i="3"/>
  <c r="K1237" i="3"/>
  <c r="L1237" i="3"/>
  <c r="M1237" i="3"/>
  <c r="D1238" i="3"/>
  <c r="E1238" i="3"/>
  <c r="F1238" i="3"/>
  <c r="G1238" i="3"/>
  <c r="H1238" i="3"/>
  <c r="J1238" i="3"/>
  <c r="K1238" i="3"/>
  <c r="L1238" i="3"/>
  <c r="M1238" i="3"/>
  <c r="D1239" i="3"/>
  <c r="E1239" i="3"/>
  <c r="F1239" i="3"/>
  <c r="G1239" i="3"/>
  <c r="H1239" i="3"/>
  <c r="J1239" i="3"/>
  <c r="K1239" i="3"/>
  <c r="L1239" i="3"/>
  <c r="M1239" i="3"/>
  <c r="D1240" i="3"/>
  <c r="E1240" i="3"/>
  <c r="F1240" i="3"/>
  <c r="G1240" i="3"/>
  <c r="H1240" i="3"/>
  <c r="J1240" i="3"/>
  <c r="K1240" i="3"/>
  <c r="L1240" i="3"/>
  <c r="M1240" i="3"/>
  <c r="D1241" i="3"/>
  <c r="E1241" i="3"/>
  <c r="F1241" i="3"/>
  <c r="G1241" i="3"/>
  <c r="H1241" i="3"/>
  <c r="J1241" i="3"/>
  <c r="K1241" i="3"/>
  <c r="L1241" i="3"/>
  <c r="M1241" i="3"/>
  <c r="D1242" i="3"/>
  <c r="E1242" i="3"/>
  <c r="F1242" i="3"/>
  <c r="G1242" i="3"/>
  <c r="H1242" i="3"/>
  <c r="J1242" i="3"/>
  <c r="K1242" i="3"/>
  <c r="L1242" i="3"/>
  <c r="M1242" i="3"/>
  <c r="D1243" i="3"/>
  <c r="E1243" i="3"/>
  <c r="F1243" i="3"/>
  <c r="G1243" i="3"/>
  <c r="H1243" i="3"/>
  <c r="J1243" i="3"/>
  <c r="K1243" i="3"/>
  <c r="L1243" i="3"/>
  <c r="M1243" i="3"/>
  <c r="D1244" i="3"/>
  <c r="E1244" i="3"/>
  <c r="F1244" i="3"/>
  <c r="G1244" i="3"/>
  <c r="H1244" i="3"/>
  <c r="J1244" i="3"/>
  <c r="K1244" i="3"/>
  <c r="L1244" i="3"/>
  <c r="M1244" i="3"/>
  <c r="D1245" i="3"/>
  <c r="E1245" i="3"/>
  <c r="F1245" i="3"/>
  <c r="G1245" i="3"/>
  <c r="H1245" i="3"/>
  <c r="J1245" i="3"/>
  <c r="K1245" i="3"/>
  <c r="L1245" i="3"/>
  <c r="M1245" i="3"/>
  <c r="D1246" i="3"/>
  <c r="E1246" i="3"/>
  <c r="F1246" i="3"/>
  <c r="G1246" i="3"/>
  <c r="H1246" i="3"/>
  <c r="J1246" i="3"/>
  <c r="K1246" i="3"/>
  <c r="L1246" i="3"/>
  <c r="M1246" i="3"/>
  <c r="D1247" i="3"/>
  <c r="E1247" i="3"/>
  <c r="F1247" i="3"/>
  <c r="G1247" i="3"/>
  <c r="H1247" i="3"/>
  <c r="J1247" i="3"/>
  <c r="K1247" i="3"/>
  <c r="L1247" i="3"/>
  <c r="M1247" i="3"/>
  <c r="D1248" i="3"/>
  <c r="E1248" i="3"/>
  <c r="F1248" i="3"/>
  <c r="G1248" i="3"/>
  <c r="H1248" i="3"/>
  <c r="J1248" i="3"/>
  <c r="K1248" i="3"/>
  <c r="L1248" i="3"/>
  <c r="M1248" i="3"/>
  <c r="D1249" i="3"/>
  <c r="E1249" i="3"/>
  <c r="F1249" i="3"/>
  <c r="G1249" i="3"/>
  <c r="H1249" i="3"/>
  <c r="J1249" i="3"/>
  <c r="K1249" i="3"/>
  <c r="L1249" i="3"/>
  <c r="M1249" i="3"/>
  <c r="D1250" i="3"/>
  <c r="E1250" i="3"/>
  <c r="F1250" i="3"/>
  <c r="G1250" i="3"/>
  <c r="H1250" i="3"/>
  <c r="J1250" i="3"/>
  <c r="K1250" i="3"/>
  <c r="L1250" i="3"/>
  <c r="M1250" i="3"/>
  <c r="D1251" i="3"/>
  <c r="E1251" i="3"/>
  <c r="F1251" i="3"/>
  <c r="G1251" i="3"/>
  <c r="H1251" i="3"/>
  <c r="J1251" i="3"/>
  <c r="K1251" i="3"/>
  <c r="L1251" i="3"/>
  <c r="M1251" i="3"/>
  <c r="D1252" i="3"/>
  <c r="E1252" i="3"/>
  <c r="F1252" i="3"/>
  <c r="G1252" i="3"/>
  <c r="H1252" i="3"/>
  <c r="J1252" i="3"/>
  <c r="K1252" i="3"/>
  <c r="L1252" i="3"/>
  <c r="M1252" i="3"/>
  <c r="D1253" i="3"/>
  <c r="E1253" i="3"/>
  <c r="F1253" i="3"/>
  <c r="G1253" i="3"/>
  <c r="H1253" i="3"/>
  <c r="J1253" i="3"/>
  <c r="K1253" i="3"/>
  <c r="L1253" i="3"/>
  <c r="M1253" i="3"/>
  <c r="D1254" i="3"/>
  <c r="E1254" i="3"/>
  <c r="F1254" i="3"/>
  <c r="G1254" i="3"/>
  <c r="H1254" i="3"/>
  <c r="J1254" i="3"/>
  <c r="K1254" i="3"/>
  <c r="L1254" i="3"/>
  <c r="M1254" i="3"/>
  <c r="D1255" i="3"/>
  <c r="E1255" i="3"/>
  <c r="F1255" i="3"/>
  <c r="G1255" i="3"/>
  <c r="H1255" i="3"/>
  <c r="J1255" i="3"/>
  <c r="K1255" i="3"/>
  <c r="L1255" i="3"/>
  <c r="M1255" i="3"/>
  <c r="D1256" i="3"/>
  <c r="E1256" i="3"/>
  <c r="F1256" i="3"/>
  <c r="G1256" i="3"/>
  <c r="H1256" i="3"/>
  <c r="J1256" i="3"/>
  <c r="K1256" i="3"/>
  <c r="L1256" i="3"/>
  <c r="M1256" i="3"/>
  <c r="D1257" i="3"/>
  <c r="E1257" i="3"/>
  <c r="F1257" i="3"/>
  <c r="G1257" i="3"/>
  <c r="H1257" i="3"/>
  <c r="J1257" i="3"/>
  <c r="K1257" i="3"/>
  <c r="L1257" i="3"/>
  <c r="M1257" i="3"/>
  <c r="D1258" i="3"/>
  <c r="E1258" i="3"/>
  <c r="F1258" i="3"/>
  <c r="G1258" i="3"/>
  <c r="H1258" i="3"/>
  <c r="J1258" i="3"/>
  <c r="K1258" i="3"/>
  <c r="L1258" i="3"/>
  <c r="M1258" i="3"/>
  <c r="D1259" i="3"/>
  <c r="E1259" i="3"/>
  <c r="F1259" i="3"/>
  <c r="G1259" i="3"/>
  <c r="H1259" i="3"/>
  <c r="J1259" i="3"/>
  <c r="K1259" i="3"/>
  <c r="L1259" i="3"/>
  <c r="M1259" i="3"/>
  <c r="D1260" i="3"/>
  <c r="E1260" i="3"/>
  <c r="F1260" i="3"/>
  <c r="G1260" i="3"/>
  <c r="H1260" i="3"/>
  <c r="J1260" i="3"/>
  <c r="K1260" i="3"/>
  <c r="L1260" i="3"/>
  <c r="M1260" i="3"/>
  <c r="D1261" i="3"/>
  <c r="E1261" i="3"/>
  <c r="F1261" i="3"/>
  <c r="G1261" i="3"/>
  <c r="H1261" i="3"/>
  <c r="J1261" i="3"/>
  <c r="K1261" i="3"/>
  <c r="L1261" i="3"/>
  <c r="M1261" i="3"/>
  <c r="D1262" i="3"/>
  <c r="E1262" i="3"/>
  <c r="F1262" i="3"/>
  <c r="G1262" i="3"/>
  <c r="H1262" i="3"/>
  <c r="J1262" i="3"/>
  <c r="K1262" i="3"/>
  <c r="L1262" i="3"/>
  <c r="M1262" i="3"/>
  <c r="D1263" i="3"/>
  <c r="E1263" i="3"/>
  <c r="F1263" i="3"/>
  <c r="G1263" i="3"/>
  <c r="H1263" i="3"/>
  <c r="J1263" i="3"/>
  <c r="K1263" i="3"/>
  <c r="L1263" i="3"/>
  <c r="M1263" i="3"/>
  <c r="D1264" i="3"/>
  <c r="E1264" i="3"/>
  <c r="F1264" i="3"/>
  <c r="G1264" i="3"/>
  <c r="H1264" i="3"/>
  <c r="J1264" i="3"/>
  <c r="K1264" i="3"/>
  <c r="L1264" i="3"/>
  <c r="M1264" i="3"/>
  <c r="D1265" i="3"/>
  <c r="E1265" i="3"/>
  <c r="F1265" i="3"/>
  <c r="G1265" i="3"/>
  <c r="H1265" i="3"/>
  <c r="J1265" i="3"/>
  <c r="K1265" i="3"/>
  <c r="L1265" i="3"/>
  <c r="M1265" i="3"/>
  <c r="D1266" i="3"/>
  <c r="E1266" i="3"/>
  <c r="F1266" i="3"/>
  <c r="G1266" i="3"/>
  <c r="H1266" i="3"/>
  <c r="J1266" i="3"/>
  <c r="K1266" i="3"/>
  <c r="L1266" i="3"/>
  <c r="M1266" i="3"/>
  <c r="D1267" i="3"/>
  <c r="E1267" i="3"/>
  <c r="F1267" i="3"/>
  <c r="G1267" i="3"/>
  <c r="H1267" i="3"/>
  <c r="J1267" i="3"/>
  <c r="K1267" i="3"/>
  <c r="L1267" i="3"/>
  <c r="M1267" i="3"/>
  <c r="D1268" i="3"/>
  <c r="E1268" i="3"/>
  <c r="F1268" i="3"/>
  <c r="G1268" i="3"/>
  <c r="H1268" i="3"/>
  <c r="J1268" i="3"/>
  <c r="K1268" i="3"/>
  <c r="L1268" i="3"/>
  <c r="M1268" i="3"/>
  <c r="D1269" i="3"/>
  <c r="E1269" i="3"/>
  <c r="F1269" i="3"/>
  <c r="G1269" i="3"/>
  <c r="H1269" i="3"/>
  <c r="J1269" i="3"/>
  <c r="K1269" i="3"/>
  <c r="L1269" i="3"/>
  <c r="M1269" i="3"/>
  <c r="D1270" i="3"/>
  <c r="E1270" i="3"/>
  <c r="F1270" i="3"/>
  <c r="G1270" i="3"/>
  <c r="H1270" i="3"/>
  <c r="J1270" i="3"/>
  <c r="K1270" i="3"/>
  <c r="L1270" i="3"/>
  <c r="M1270" i="3"/>
  <c r="D1271" i="3"/>
  <c r="E1271" i="3"/>
  <c r="F1271" i="3"/>
  <c r="G1271" i="3"/>
  <c r="H1271" i="3"/>
  <c r="J1271" i="3"/>
  <c r="K1271" i="3"/>
  <c r="L1271" i="3"/>
  <c r="M1271" i="3"/>
  <c r="D1272" i="3"/>
  <c r="E1272" i="3"/>
  <c r="F1272" i="3"/>
  <c r="G1272" i="3"/>
  <c r="H1272" i="3"/>
  <c r="J1272" i="3"/>
  <c r="K1272" i="3"/>
  <c r="L1272" i="3"/>
  <c r="M1272" i="3"/>
  <c r="D1273" i="3"/>
  <c r="E1273" i="3"/>
  <c r="F1273" i="3"/>
  <c r="G1273" i="3"/>
  <c r="H1273" i="3"/>
  <c r="J1273" i="3"/>
  <c r="K1273" i="3"/>
  <c r="L1273" i="3"/>
  <c r="M1273" i="3"/>
  <c r="D1274" i="3"/>
  <c r="E1274" i="3"/>
  <c r="F1274" i="3"/>
  <c r="G1274" i="3"/>
  <c r="H1274" i="3"/>
  <c r="J1274" i="3"/>
  <c r="K1274" i="3"/>
  <c r="L1274" i="3"/>
  <c r="M1274" i="3"/>
  <c r="D1275" i="3"/>
  <c r="E1275" i="3"/>
  <c r="F1275" i="3"/>
  <c r="G1275" i="3"/>
  <c r="H1275" i="3"/>
  <c r="J1275" i="3"/>
  <c r="K1275" i="3"/>
  <c r="L1275" i="3"/>
  <c r="M1275" i="3"/>
  <c r="D1276" i="3"/>
  <c r="E1276" i="3"/>
  <c r="F1276" i="3"/>
  <c r="G1276" i="3"/>
  <c r="H1276" i="3"/>
  <c r="J1276" i="3"/>
  <c r="K1276" i="3"/>
  <c r="L1276" i="3"/>
  <c r="M1276" i="3"/>
  <c r="D1277" i="3"/>
  <c r="E1277" i="3"/>
  <c r="F1277" i="3"/>
  <c r="G1277" i="3"/>
  <c r="H1277" i="3"/>
  <c r="J1277" i="3"/>
  <c r="K1277" i="3"/>
  <c r="L1277" i="3"/>
  <c r="M1277" i="3"/>
  <c r="D1278" i="3"/>
  <c r="E1278" i="3"/>
  <c r="F1278" i="3"/>
  <c r="G1278" i="3"/>
  <c r="H1278" i="3"/>
  <c r="J1278" i="3"/>
  <c r="K1278" i="3"/>
  <c r="L1278" i="3"/>
  <c r="M1278" i="3"/>
  <c r="D1279" i="3"/>
  <c r="E1279" i="3"/>
  <c r="F1279" i="3"/>
  <c r="G1279" i="3"/>
  <c r="H1279" i="3"/>
  <c r="J1279" i="3"/>
  <c r="K1279" i="3"/>
  <c r="L1279" i="3"/>
  <c r="M1279" i="3"/>
  <c r="D1280" i="3"/>
  <c r="E1280" i="3"/>
  <c r="F1280" i="3"/>
  <c r="G1280" i="3"/>
  <c r="H1280" i="3"/>
  <c r="J1280" i="3"/>
  <c r="K1280" i="3"/>
  <c r="L1280" i="3"/>
  <c r="M1280" i="3"/>
  <c r="D1281" i="3"/>
  <c r="E1281" i="3"/>
  <c r="F1281" i="3"/>
  <c r="G1281" i="3"/>
  <c r="H1281" i="3"/>
  <c r="J1281" i="3"/>
  <c r="K1281" i="3"/>
  <c r="L1281" i="3"/>
  <c r="M1281" i="3"/>
  <c r="D1282" i="3"/>
  <c r="E1282" i="3"/>
  <c r="F1282" i="3"/>
  <c r="G1282" i="3"/>
  <c r="H1282" i="3"/>
  <c r="J1282" i="3"/>
  <c r="K1282" i="3"/>
  <c r="L1282" i="3"/>
  <c r="M1282" i="3"/>
  <c r="D1283" i="3"/>
  <c r="E1283" i="3"/>
  <c r="F1283" i="3"/>
  <c r="G1283" i="3"/>
  <c r="H1283" i="3"/>
  <c r="J1283" i="3"/>
  <c r="K1283" i="3"/>
  <c r="L1283" i="3"/>
  <c r="M1283" i="3"/>
  <c r="D1284" i="3"/>
  <c r="E1284" i="3"/>
  <c r="F1284" i="3"/>
  <c r="G1284" i="3"/>
  <c r="H1284" i="3"/>
  <c r="J1284" i="3"/>
  <c r="K1284" i="3"/>
  <c r="L1284" i="3"/>
  <c r="M1284" i="3"/>
  <c r="D1285" i="3"/>
  <c r="E1285" i="3"/>
  <c r="F1285" i="3"/>
  <c r="G1285" i="3"/>
  <c r="H1285" i="3"/>
  <c r="J1285" i="3"/>
  <c r="K1285" i="3"/>
  <c r="L1285" i="3"/>
  <c r="M1285" i="3"/>
  <c r="D1286" i="3"/>
  <c r="E1286" i="3"/>
  <c r="F1286" i="3"/>
  <c r="G1286" i="3"/>
  <c r="H1286" i="3"/>
  <c r="J1286" i="3"/>
  <c r="K1286" i="3"/>
  <c r="L1286" i="3"/>
  <c r="M1286" i="3"/>
  <c r="D1287" i="3"/>
  <c r="E1287" i="3"/>
  <c r="F1287" i="3"/>
  <c r="G1287" i="3"/>
  <c r="H1287" i="3"/>
  <c r="J1287" i="3"/>
  <c r="K1287" i="3"/>
  <c r="L1287" i="3"/>
  <c r="M1287" i="3"/>
  <c r="D1288" i="3"/>
  <c r="E1288" i="3"/>
  <c r="F1288" i="3"/>
  <c r="G1288" i="3"/>
  <c r="H1288" i="3"/>
  <c r="J1288" i="3"/>
  <c r="K1288" i="3"/>
  <c r="L1288" i="3"/>
  <c r="M1288" i="3"/>
  <c r="D1289" i="3"/>
  <c r="E1289" i="3"/>
  <c r="F1289" i="3"/>
  <c r="G1289" i="3"/>
  <c r="H1289" i="3"/>
  <c r="J1289" i="3"/>
  <c r="K1289" i="3"/>
  <c r="L1289" i="3"/>
  <c r="M1289" i="3"/>
  <c r="D1290" i="3"/>
  <c r="E1290" i="3"/>
  <c r="F1290" i="3"/>
  <c r="G1290" i="3"/>
  <c r="H1290" i="3"/>
  <c r="J1290" i="3"/>
  <c r="K1290" i="3"/>
  <c r="L1290" i="3"/>
  <c r="M1290" i="3"/>
  <c r="D1291" i="3"/>
  <c r="E1291" i="3"/>
  <c r="F1291" i="3"/>
  <c r="G1291" i="3"/>
  <c r="H1291" i="3"/>
  <c r="J1291" i="3"/>
  <c r="K1291" i="3"/>
  <c r="L1291" i="3"/>
  <c r="M1291" i="3"/>
  <c r="D1292" i="3"/>
  <c r="E1292" i="3"/>
  <c r="F1292" i="3"/>
  <c r="G1292" i="3"/>
  <c r="H1292" i="3"/>
  <c r="J1292" i="3"/>
  <c r="K1292" i="3"/>
  <c r="L1292" i="3"/>
  <c r="M1292" i="3"/>
  <c r="D1293" i="3"/>
  <c r="E1293" i="3"/>
  <c r="F1293" i="3"/>
  <c r="G1293" i="3"/>
  <c r="H1293" i="3"/>
  <c r="J1293" i="3"/>
  <c r="K1293" i="3"/>
  <c r="L1293" i="3"/>
  <c r="M1293" i="3"/>
  <c r="D1294" i="3"/>
  <c r="E1294" i="3"/>
  <c r="F1294" i="3"/>
  <c r="G1294" i="3"/>
  <c r="H1294" i="3"/>
  <c r="J1294" i="3"/>
  <c r="K1294" i="3"/>
  <c r="L1294" i="3"/>
  <c r="M1294" i="3"/>
  <c r="D1295" i="3"/>
  <c r="E1295" i="3"/>
  <c r="F1295" i="3"/>
  <c r="G1295" i="3"/>
  <c r="H1295" i="3"/>
  <c r="J1295" i="3"/>
  <c r="K1295" i="3"/>
  <c r="L1295" i="3"/>
  <c r="M1295" i="3"/>
  <c r="D1296" i="3"/>
  <c r="E1296" i="3"/>
  <c r="F1296" i="3"/>
  <c r="G1296" i="3"/>
  <c r="H1296" i="3"/>
  <c r="J1296" i="3"/>
  <c r="K1296" i="3"/>
  <c r="L1296" i="3"/>
  <c r="M1296" i="3"/>
  <c r="D1297" i="3"/>
  <c r="E1297" i="3"/>
  <c r="F1297" i="3"/>
  <c r="G1297" i="3"/>
  <c r="H1297" i="3"/>
  <c r="J1297" i="3"/>
  <c r="K1297" i="3"/>
  <c r="L1297" i="3"/>
  <c r="M1297" i="3"/>
  <c r="D1298" i="3"/>
  <c r="E1298" i="3"/>
  <c r="F1298" i="3"/>
  <c r="G1298" i="3"/>
  <c r="H1298" i="3"/>
  <c r="J1298" i="3"/>
  <c r="K1298" i="3"/>
  <c r="L1298" i="3"/>
  <c r="M1298" i="3"/>
  <c r="D1299" i="3"/>
  <c r="E1299" i="3"/>
  <c r="F1299" i="3"/>
  <c r="G1299" i="3"/>
  <c r="H1299" i="3"/>
  <c r="J1299" i="3"/>
  <c r="K1299" i="3"/>
  <c r="L1299" i="3"/>
  <c r="M1299" i="3"/>
  <c r="D1300" i="3"/>
  <c r="E1300" i="3"/>
  <c r="F1300" i="3"/>
  <c r="G1300" i="3"/>
  <c r="H1300" i="3"/>
  <c r="J1300" i="3"/>
  <c r="K1300" i="3"/>
  <c r="L1300" i="3"/>
  <c r="M1300" i="3"/>
  <c r="D1301" i="3"/>
  <c r="E1301" i="3"/>
  <c r="F1301" i="3"/>
  <c r="G1301" i="3"/>
  <c r="H1301" i="3"/>
  <c r="J1301" i="3"/>
  <c r="K1301" i="3"/>
  <c r="L1301" i="3"/>
  <c r="M1301" i="3"/>
  <c r="D1302" i="3"/>
  <c r="E1302" i="3"/>
  <c r="F1302" i="3"/>
  <c r="G1302" i="3"/>
  <c r="H1302" i="3"/>
  <c r="J1302" i="3"/>
  <c r="K1302" i="3"/>
  <c r="L1302" i="3"/>
  <c r="M1302" i="3"/>
  <c r="D1303" i="3"/>
  <c r="E1303" i="3"/>
  <c r="F1303" i="3"/>
  <c r="G1303" i="3"/>
  <c r="H1303" i="3"/>
  <c r="J1303" i="3"/>
  <c r="K1303" i="3"/>
  <c r="L1303" i="3"/>
  <c r="M1303" i="3"/>
  <c r="D1304" i="3"/>
  <c r="E1304" i="3"/>
  <c r="F1304" i="3"/>
  <c r="G1304" i="3"/>
  <c r="H1304" i="3"/>
  <c r="J1304" i="3"/>
  <c r="K1304" i="3"/>
  <c r="L1304" i="3"/>
  <c r="M1304" i="3"/>
  <c r="D1305" i="3"/>
  <c r="E1305" i="3"/>
  <c r="F1305" i="3"/>
  <c r="G1305" i="3"/>
  <c r="H1305" i="3"/>
  <c r="J1305" i="3"/>
  <c r="K1305" i="3"/>
  <c r="L1305" i="3"/>
  <c r="M1305" i="3"/>
  <c r="D1306" i="3"/>
  <c r="E1306" i="3"/>
  <c r="F1306" i="3"/>
  <c r="G1306" i="3"/>
  <c r="H1306" i="3"/>
  <c r="J1306" i="3"/>
  <c r="K1306" i="3"/>
  <c r="L1306" i="3"/>
  <c r="M1306" i="3"/>
  <c r="D1307" i="3"/>
  <c r="E1307" i="3"/>
  <c r="F1307" i="3"/>
  <c r="G1307" i="3"/>
  <c r="H1307" i="3"/>
  <c r="J1307" i="3"/>
  <c r="K1307" i="3"/>
  <c r="L1307" i="3"/>
  <c r="M1307" i="3"/>
  <c r="D1308" i="3"/>
  <c r="E1308" i="3"/>
  <c r="F1308" i="3"/>
  <c r="G1308" i="3"/>
  <c r="H1308" i="3"/>
  <c r="J1308" i="3"/>
  <c r="K1308" i="3"/>
  <c r="L1308" i="3"/>
  <c r="M1308" i="3"/>
  <c r="D1309" i="3"/>
  <c r="E1309" i="3"/>
  <c r="F1309" i="3"/>
  <c r="G1309" i="3"/>
  <c r="H1309" i="3"/>
  <c r="J1309" i="3"/>
  <c r="K1309" i="3"/>
  <c r="L1309" i="3"/>
  <c r="M1309" i="3"/>
  <c r="D1310" i="3"/>
  <c r="E1310" i="3"/>
  <c r="F1310" i="3"/>
  <c r="G1310" i="3"/>
  <c r="H1310" i="3"/>
  <c r="J1310" i="3"/>
  <c r="K1310" i="3"/>
  <c r="L1310" i="3"/>
  <c r="M1310" i="3"/>
  <c r="D1311" i="3"/>
  <c r="E1311" i="3"/>
  <c r="F1311" i="3"/>
  <c r="G1311" i="3"/>
  <c r="H1311" i="3"/>
  <c r="J1311" i="3"/>
  <c r="K1311" i="3"/>
  <c r="L1311" i="3"/>
  <c r="M1311" i="3"/>
  <c r="D1312" i="3"/>
  <c r="E1312" i="3"/>
  <c r="F1312" i="3"/>
  <c r="G1312" i="3"/>
  <c r="H1312" i="3"/>
  <c r="J1312" i="3"/>
  <c r="K1312" i="3"/>
  <c r="L1312" i="3"/>
  <c r="M1312" i="3"/>
  <c r="D1313" i="3"/>
  <c r="E1313" i="3"/>
  <c r="F1313" i="3"/>
  <c r="G1313" i="3"/>
  <c r="H1313" i="3"/>
  <c r="J1313" i="3"/>
  <c r="K1313" i="3"/>
  <c r="L1313" i="3"/>
  <c r="M1313" i="3"/>
  <c r="D1314" i="3"/>
  <c r="E1314" i="3"/>
  <c r="F1314" i="3"/>
  <c r="G1314" i="3"/>
  <c r="H1314" i="3"/>
  <c r="J1314" i="3"/>
  <c r="K1314" i="3"/>
  <c r="L1314" i="3"/>
  <c r="M1314" i="3"/>
  <c r="D1315" i="3"/>
  <c r="E1315" i="3"/>
  <c r="F1315" i="3"/>
  <c r="G1315" i="3"/>
  <c r="H1315" i="3"/>
  <c r="J1315" i="3"/>
  <c r="K1315" i="3"/>
  <c r="L1315" i="3"/>
  <c r="M1315" i="3"/>
  <c r="D1316" i="3"/>
  <c r="E1316" i="3"/>
  <c r="F1316" i="3"/>
  <c r="G1316" i="3"/>
  <c r="H1316" i="3"/>
  <c r="J1316" i="3"/>
  <c r="K1316" i="3"/>
  <c r="L1316" i="3"/>
  <c r="M1316" i="3"/>
  <c r="D1317" i="3"/>
  <c r="E1317" i="3"/>
  <c r="F1317" i="3"/>
  <c r="G1317" i="3"/>
  <c r="H1317" i="3"/>
  <c r="J1317" i="3"/>
  <c r="K1317" i="3"/>
  <c r="L1317" i="3"/>
  <c r="M1317" i="3"/>
  <c r="D1318" i="3"/>
  <c r="E1318" i="3"/>
  <c r="F1318" i="3"/>
  <c r="G1318" i="3"/>
  <c r="H1318" i="3"/>
  <c r="J1318" i="3"/>
  <c r="K1318" i="3"/>
  <c r="L1318" i="3"/>
  <c r="M1318" i="3"/>
  <c r="AT1318" i="3"/>
  <c r="D1320" i="3"/>
  <c r="E1320" i="3"/>
  <c r="F1320" i="3"/>
  <c r="G1320" i="3"/>
  <c r="H1320" i="3"/>
  <c r="J1320" i="3"/>
  <c r="K1320" i="3"/>
  <c r="L1320" i="3"/>
  <c r="M1320" i="3"/>
  <c r="AT1320" i="3"/>
  <c r="D1321" i="3"/>
  <c r="E1321" i="3"/>
  <c r="F1321" i="3"/>
  <c r="G1321" i="3"/>
  <c r="H1321" i="3"/>
  <c r="J1321" i="3"/>
  <c r="K1321" i="3"/>
  <c r="L1321" i="3"/>
  <c r="M1321" i="3"/>
  <c r="AT1321" i="3"/>
  <c r="D1322" i="3"/>
  <c r="E1322" i="3"/>
  <c r="F1322" i="3"/>
  <c r="G1322" i="3"/>
  <c r="H1322" i="3"/>
  <c r="J1322" i="3"/>
  <c r="K1322" i="3"/>
  <c r="L1322" i="3"/>
  <c r="M1322" i="3"/>
  <c r="AT1322" i="3"/>
  <c r="D1323" i="3"/>
  <c r="E1323" i="3"/>
  <c r="F1323" i="3"/>
  <c r="G1323" i="3"/>
  <c r="H1323" i="3"/>
  <c r="J1323" i="3"/>
  <c r="K1323" i="3"/>
  <c r="L1323" i="3"/>
  <c r="M1323" i="3"/>
  <c r="AT1323" i="3"/>
  <c r="D1324" i="3"/>
  <c r="E1324" i="3"/>
  <c r="F1324" i="3"/>
  <c r="G1324" i="3"/>
  <c r="H1324" i="3"/>
  <c r="J1324" i="3"/>
  <c r="K1324" i="3"/>
  <c r="L1324" i="3"/>
  <c r="M1324" i="3"/>
  <c r="AT1324" i="3"/>
  <c r="D1325" i="3"/>
  <c r="E1325" i="3"/>
  <c r="F1325" i="3"/>
  <c r="G1325" i="3"/>
  <c r="H1325" i="3"/>
  <c r="J1325" i="3"/>
  <c r="K1325" i="3"/>
  <c r="L1325" i="3"/>
  <c r="M1325" i="3"/>
  <c r="AT1325" i="3"/>
  <c r="D1326" i="3"/>
  <c r="E1326" i="3"/>
  <c r="F1326" i="3"/>
  <c r="G1326" i="3"/>
  <c r="H1326" i="3"/>
  <c r="J1326" i="3"/>
  <c r="K1326" i="3"/>
  <c r="L1326" i="3"/>
  <c r="M1326" i="3"/>
  <c r="AT1326" i="3"/>
  <c r="D1327" i="3"/>
  <c r="E1327" i="3"/>
  <c r="F1327" i="3"/>
  <c r="G1327" i="3"/>
  <c r="H1327" i="3"/>
  <c r="J1327" i="3"/>
  <c r="K1327" i="3"/>
  <c r="L1327" i="3"/>
  <c r="M1327" i="3"/>
  <c r="AT1327" i="3"/>
  <c r="D1328" i="3"/>
  <c r="E1328" i="3"/>
  <c r="F1328" i="3"/>
  <c r="G1328" i="3"/>
  <c r="H1328" i="3"/>
  <c r="J1328" i="3"/>
  <c r="K1328" i="3"/>
  <c r="L1328" i="3"/>
  <c r="M1328" i="3"/>
  <c r="AT1328" i="3"/>
  <c r="D1329" i="3"/>
  <c r="E1329" i="3"/>
  <c r="F1329" i="3"/>
  <c r="G1329" i="3"/>
  <c r="H1329" i="3"/>
  <c r="J1329" i="3"/>
  <c r="K1329" i="3"/>
  <c r="L1329" i="3"/>
  <c r="M1329" i="3"/>
  <c r="AT1329" i="3"/>
  <c r="D1330" i="3"/>
  <c r="E1330" i="3"/>
  <c r="F1330" i="3"/>
  <c r="G1330" i="3"/>
  <c r="H1330" i="3"/>
  <c r="J1330" i="3"/>
  <c r="K1330" i="3"/>
  <c r="L1330" i="3"/>
  <c r="M1330" i="3"/>
  <c r="AT1330" i="3"/>
  <c r="D1331" i="3"/>
  <c r="E1331" i="3"/>
  <c r="F1331" i="3"/>
  <c r="G1331" i="3"/>
  <c r="H1331" i="3"/>
  <c r="J1331" i="3"/>
  <c r="K1331" i="3"/>
  <c r="L1331" i="3"/>
  <c r="M1331" i="3"/>
  <c r="AT1331" i="3"/>
  <c r="D1332" i="3"/>
  <c r="E1332" i="3"/>
  <c r="F1332" i="3"/>
  <c r="G1332" i="3"/>
  <c r="H1332" i="3"/>
  <c r="J1332" i="3"/>
  <c r="K1332" i="3"/>
  <c r="L1332" i="3"/>
  <c r="M1332" i="3"/>
  <c r="AT1332" i="3"/>
  <c r="D1333" i="3"/>
  <c r="E1333" i="3"/>
  <c r="F1333" i="3"/>
  <c r="G1333" i="3"/>
  <c r="H1333" i="3"/>
  <c r="J1333" i="3"/>
  <c r="K1333" i="3"/>
  <c r="L1333" i="3"/>
  <c r="M1333" i="3"/>
  <c r="AT1333" i="3"/>
  <c r="D1334" i="3"/>
  <c r="E1334" i="3"/>
  <c r="F1334" i="3"/>
  <c r="G1334" i="3"/>
  <c r="H1334" i="3"/>
  <c r="J1334" i="3"/>
  <c r="K1334" i="3"/>
  <c r="L1334" i="3"/>
  <c r="M1334" i="3"/>
  <c r="AT1334" i="3"/>
  <c r="D1335" i="3"/>
  <c r="E1335" i="3"/>
  <c r="F1335" i="3"/>
  <c r="G1335" i="3"/>
  <c r="H1335" i="3"/>
  <c r="J1335" i="3"/>
  <c r="K1335" i="3"/>
  <c r="L1335" i="3"/>
  <c r="M1335" i="3"/>
  <c r="AT1335" i="3"/>
  <c r="D1336" i="3"/>
  <c r="E1336" i="3"/>
  <c r="F1336" i="3"/>
  <c r="G1336" i="3"/>
  <c r="H1336" i="3"/>
  <c r="J1336" i="3"/>
  <c r="K1336" i="3"/>
  <c r="L1336" i="3"/>
  <c r="M1336" i="3"/>
  <c r="AT1336" i="3"/>
  <c r="D1337" i="3"/>
  <c r="E1337" i="3"/>
  <c r="F1337" i="3"/>
  <c r="G1337" i="3"/>
  <c r="H1337" i="3"/>
  <c r="J1337" i="3"/>
  <c r="K1337" i="3"/>
  <c r="L1337" i="3"/>
  <c r="M1337" i="3"/>
  <c r="AT1337" i="3"/>
  <c r="D1338" i="3"/>
  <c r="E1338" i="3"/>
  <c r="F1338" i="3"/>
  <c r="G1338" i="3"/>
  <c r="H1338" i="3"/>
  <c r="J1338" i="3"/>
  <c r="K1338" i="3"/>
  <c r="L1338" i="3"/>
  <c r="M1338" i="3"/>
  <c r="AT1338" i="3"/>
  <c r="D1339" i="3"/>
  <c r="E1339" i="3"/>
  <c r="F1339" i="3"/>
  <c r="G1339" i="3"/>
  <c r="H1339" i="3"/>
  <c r="J1339" i="3"/>
  <c r="K1339" i="3"/>
  <c r="L1339" i="3"/>
  <c r="M1339" i="3"/>
  <c r="AT1339" i="3"/>
  <c r="D1340" i="3"/>
  <c r="E1340" i="3"/>
  <c r="F1340" i="3"/>
  <c r="G1340" i="3"/>
  <c r="H1340" i="3"/>
  <c r="J1340" i="3"/>
  <c r="K1340" i="3"/>
  <c r="L1340" i="3"/>
  <c r="M1340" i="3"/>
  <c r="AT1340" i="3"/>
  <c r="D1341" i="3"/>
  <c r="E1341" i="3"/>
  <c r="F1341" i="3"/>
  <c r="G1341" i="3"/>
  <c r="H1341" i="3"/>
  <c r="J1341" i="3"/>
  <c r="K1341" i="3"/>
  <c r="L1341" i="3"/>
  <c r="M1341" i="3"/>
  <c r="AT1341" i="3"/>
  <c r="D1342" i="3"/>
  <c r="E1342" i="3"/>
  <c r="F1342" i="3"/>
  <c r="G1342" i="3"/>
  <c r="H1342" i="3"/>
  <c r="J1342" i="3"/>
  <c r="K1342" i="3"/>
  <c r="L1342" i="3"/>
  <c r="M1342" i="3"/>
  <c r="AT1342" i="3"/>
  <c r="D1343" i="3"/>
  <c r="E1343" i="3"/>
  <c r="F1343" i="3"/>
  <c r="G1343" i="3"/>
  <c r="H1343" i="3"/>
  <c r="J1343" i="3"/>
  <c r="K1343" i="3"/>
  <c r="L1343" i="3"/>
  <c r="M1343" i="3"/>
  <c r="AT1343" i="3"/>
  <c r="D1344" i="3"/>
  <c r="E1344" i="3"/>
  <c r="F1344" i="3"/>
  <c r="G1344" i="3"/>
  <c r="H1344" i="3"/>
  <c r="J1344" i="3"/>
  <c r="K1344" i="3"/>
  <c r="L1344" i="3"/>
  <c r="M1344" i="3"/>
  <c r="AT1344" i="3"/>
  <c r="D1345" i="3"/>
  <c r="E1345" i="3"/>
  <c r="F1345" i="3"/>
  <c r="G1345" i="3"/>
  <c r="H1345" i="3"/>
  <c r="J1345" i="3"/>
  <c r="K1345" i="3"/>
  <c r="L1345" i="3"/>
  <c r="M1345" i="3"/>
  <c r="AT1345" i="3"/>
  <c r="D1346" i="3"/>
  <c r="E1346" i="3"/>
  <c r="F1346" i="3"/>
  <c r="G1346" i="3"/>
  <c r="H1346" i="3"/>
  <c r="J1346" i="3"/>
  <c r="K1346" i="3"/>
  <c r="L1346" i="3"/>
  <c r="M1346" i="3"/>
  <c r="AT1346" i="3"/>
  <c r="D1347" i="3"/>
  <c r="E1347" i="3"/>
  <c r="F1347" i="3"/>
  <c r="G1347" i="3"/>
  <c r="H1347" i="3"/>
  <c r="J1347" i="3"/>
  <c r="K1347" i="3"/>
  <c r="L1347" i="3"/>
  <c r="M1347" i="3"/>
  <c r="AT1347" i="3"/>
  <c r="D1348" i="3"/>
  <c r="E1348" i="3"/>
  <c r="F1348" i="3"/>
  <c r="G1348" i="3"/>
  <c r="H1348" i="3"/>
  <c r="J1348" i="3"/>
  <c r="K1348" i="3"/>
  <c r="L1348" i="3"/>
  <c r="M1348" i="3"/>
  <c r="AT1348" i="3"/>
  <c r="D1349" i="3"/>
  <c r="E1349" i="3"/>
  <c r="F1349" i="3"/>
  <c r="G1349" i="3"/>
  <c r="H1349" i="3"/>
  <c r="J1349" i="3"/>
  <c r="K1349" i="3"/>
  <c r="L1349" i="3"/>
  <c r="M1349" i="3"/>
  <c r="AT1349" i="3"/>
  <c r="D1350" i="3"/>
  <c r="E1350" i="3"/>
  <c r="F1350" i="3"/>
  <c r="G1350" i="3"/>
  <c r="H1350" i="3"/>
  <c r="J1350" i="3"/>
  <c r="K1350" i="3"/>
  <c r="L1350" i="3"/>
  <c r="M1350" i="3"/>
  <c r="AT1350" i="3"/>
  <c r="D1351" i="3"/>
  <c r="E1351" i="3"/>
  <c r="F1351" i="3"/>
  <c r="G1351" i="3"/>
  <c r="H1351" i="3"/>
  <c r="J1351" i="3"/>
  <c r="K1351" i="3"/>
  <c r="L1351" i="3"/>
  <c r="M1351" i="3"/>
  <c r="AT1351" i="3"/>
  <c r="D1352" i="3"/>
  <c r="E1352" i="3"/>
  <c r="F1352" i="3"/>
  <c r="G1352" i="3"/>
  <c r="H1352" i="3"/>
  <c r="J1352" i="3"/>
  <c r="K1352" i="3"/>
  <c r="L1352" i="3"/>
  <c r="M1352" i="3"/>
  <c r="AT1352" i="3"/>
  <c r="D1353" i="3"/>
  <c r="E1353" i="3"/>
  <c r="F1353" i="3"/>
  <c r="G1353" i="3"/>
  <c r="H1353" i="3"/>
  <c r="J1353" i="3"/>
  <c r="K1353" i="3"/>
  <c r="L1353" i="3"/>
  <c r="M1353" i="3"/>
  <c r="AT1353" i="3"/>
  <c r="D1354" i="3"/>
  <c r="E1354" i="3"/>
  <c r="F1354" i="3"/>
  <c r="G1354" i="3"/>
  <c r="H1354" i="3"/>
  <c r="J1354" i="3"/>
  <c r="K1354" i="3"/>
  <c r="L1354" i="3"/>
  <c r="M1354" i="3"/>
  <c r="AT1354" i="3"/>
  <c r="D1355" i="3"/>
  <c r="E1355" i="3"/>
  <c r="F1355" i="3"/>
  <c r="G1355" i="3"/>
  <c r="H1355" i="3"/>
  <c r="J1355" i="3"/>
  <c r="K1355" i="3"/>
  <c r="L1355" i="3"/>
  <c r="M1355" i="3"/>
  <c r="AT1355" i="3"/>
  <c r="D1356" i="3"/>
  <c r="E1356" i="3"/>
  <c r="F1356" i="3"/>
  <c r="G1356" i="3"/>
  <c r="H1356" i="3"/>
  <c r="J1356" i="3"/>
  <c r="K1356" i="3"/>
  <c r="L1356" i="3"/>
  <c r="M1356" i="3"/>
  <c r="AT1356" i="3"/>
  <c r="D1357" i="3"/>
  <c r="E1357" i="3"/>
  <c r="F1357" i="3"/>
  <c r="G1357" i="3"/>
  <c r="H1357" i="3"/>
  <c r="J1357" i="3"/>
  <c r="K1357" i="3"/>
  <c r="L1357" i="3"/>
  <c r="M1357" i="3"/>
  <c r="AT1357" i="3"/>
  <c r="D1359" i="3"/>
  <c r="E1359" i="3"/>
  <c r="F1359" i="3"/>
  <c r="G1359" i="3"/>
  <c r="H1359" i="3"/>
  <c r="J1359" i="3"/>
  <c r="K1359" i="3"/>
  <c r="L1359" i="3"/>
  <c r="M1359" i="3"/>
  <c r="AT1359" i="3"/>
  <c r="D1360" i="3"/>
  <c r="E1360" i="3"/>
  <c r="F1360" i="3"/>
  <c r="G1360" i="3"/>
  <c r="H1360" i="3"/>
  <c r="J1360" i="3"/>
  <c r="K1360" i="3"/>
  <c r="L1360" i="3"/>
  <c r="M1360" i="3"/>
  <c r="AT1360" i="3"/>
  <c r="D1362" i="3"/>
  <c r="E1362" i="3"/>
  <c r="F1362" i="3"/>
  <c r="G1362" i="3"/>
  <c r="H1362" i="3"/>
  <c r="J1362" i="3"/>
  <c r="K1362" i="3"/>
  <c r="L1362" i="3"/>
  <c r="M1362" i="3"/>
  <c r="D1363" i="3"/>
  <c r="E1363" i="3"/>
  <c r="F1363" i="3"/>
  <c r="G1363" i="3"/>
  <c r="H1363" i="3"/>
  <c r="J1363" i="3"/>
  <c r="K1363" i="3"/>
  <c r="L1363" i="3"/>
  <c r="M1363" i="3"/>
  <c r="D1364" i="3"/>
  <c r="E1364" i="3"/>
  <c r="F1364" i="3"/>
  <c r="G1364" i="3"/>
  <c r="H1364" i="3"/>
  <c r="J1364" i="3"/>
  <c r="K1364" i="3"/>
  <c r="L1364" i="3"/>
  <c r="M1364" i="3"/>
  <c r="D1365" i="3"/>
  <c r="E1365" i="3"/>
  <c r="F1365" i="3"/>
  <c r="G1365" i="3"/>
  <c r="H1365" i="3"/>
  <c r="J1365" i="3"/>
  <c r="K1365" i="3"/>
  <c r="L1365" i="3"/>
  <c r="M1365" i="3"/>
  <c r="D1366" i="3"/>
  <c r="E1366" i="3"/>
  <c r="F1366" i="3"/>
  <c r="G1366" i="3"/>
  <c r="H1366" i="3"/>
  <c r="J1366" i="3"/>
  <c r="K1366" i="3"/>
  <c r="L1366" i="3"/>
  <c r="M1366" i="3"/>
  <c r="D1367" i="3"/>
  <c r="E1367" i="3"/>
  <c r="F1367" i="3"/>
  <c r="G1367" i="3"/>
  <c r="H1367" i="3"/>
  <c r="J1367" i="3"/>
  <c r="K1367" i="3"/>
  <c r="L1367" i="3"/>
  <c r="M1367" i="3"/>
  <c r="D1368" i="3"/>
  <c r="E1368" i="3"/>
  <c r="F1368" i="3"/>
  <c r="G1368" i="3"/>
  <c r="H1368" i="3"/>
  <c r="J1368" i="3"/>
  <c r="K1368" i="3"/>
  <c r="L1368" i="3"/>
  <c r="M1368" i="3"/>
  <c r="D1369" i="3"/>
  <c r="E1369" i="3"/>
  <c r="F1369" i="3"/>
  <c r="G1369" i="3"/>
  <c r="H1369" i="3"/>
  <c r="J1369" i="3"/>
  <c r="K1369" i="3"/>
  <c r="L1369" i="3"/>
  <c r="M1369" i="3"/>
  <c r="D1370" i="3"/>
  <c r="E1370" i="3"/>
  <c r="F1370" i="3"/>
  <c r="G1370" i="3"/>
  <c r="H1370" i="3"/>
  <c r="J1370" i="3"/>
  <c r="K1370" i="3"/>
  <c r="L1370" i="3"/>
  <c r="M1370" i="3"/>
  <c r="D1371" i="3"/>
  <c r="E1371" i="3"/>
  <c r="F1371" i="3"/>
  <c r="G1371" i="3"/>
  <c r="H1371" i="3"/>
  <c r="J1371" i="3"/>
  <c r="K1371" i="3"/>
  <c r="L1371" i="3"/>
  <c r="M1371" i="3"/>
  <c r="D1372" i="3"/>
  <c r="E1372" i="3"/>
  <c r="F1372" i="3"/>
  <c r="G1372" i="3"/>
  <c r="H1372" i="3"/>
  <c r="J1372" i="3"/>
  <c r="K1372" i="3"/>
  <c r="L1372" i="3"/>
  <c r="M1372" i="3"/>
  <c r="D1373" i="3"/>
  <c r="E1373" i="3"/>
  <c r="F1373" i="3"/>
  <c r="G1373" i="3"/>
  <c r="H1373" i="3"/>
  <c r="J1373" i="3"/>
  <c r="K1373" i="3"/>
  <c r="L1373" i="3"/>
  <c r="M1373" i="3"/>
  <c r="D1374" i="3"/>
  <c r="E1374" i="3"/>
  <c r="F1374" i="3"/>
  <c r="G1374" i="3"/>
  <c r="H1374" i="3"/>
  <c r="J1374" i="3"/>
  <c r="K1374" i="3"/>
  <c r="L1374" i="3"/>
  <c r="M1374" i="3"/>
  <c r="D1375" i="3"/>
  <c r="E1375" i="3"/>
  <c r="F1375" i="3"/>
  <c r="G1375" i="3"/>
  <c r="H1375" i="3"/>
  <c r="J1375" i="3"/>
  <c r="K1375" i="3"/>
  <c r="L1375" i="3"/>
  <c r="M1375" i="3"/>
  <c r="D1376" i="3"/>
  <c r="E1376" i="3"/>
  <c r="F1376" i="3"/>
  <c r="G1376" i="3"/>
  <c r="H1376" i="3"/>
  <c r="J1376" i="3"/>
  <c r="K1376" i="3"/>
  <c r="L1376" i="3"/>
  <c r="M1376" i="3"/>
  <c r="D1377" i="3"/>
  <c r="E1377" i="3"/>
  <c r="F1377" i="3"/>
  <c r="G1377" i="3"/>
  <c r="H1377" i="3"/>
  <c r="J1377" i="3"/>
  <c r="K1377" i="3"/>
  <c r="L1377" i="3"/>
  <c r="M1377" i="3"/>
  <c r="D1378" i="3"/>
  <c r="E1378" i="3"/>
  <c r="F1378" i="3"/>
  <c r="G1378" i="3"/>
  <c r="H1378" i="3"/>
  <c r="J1378" i="3"/>
  <c r="K1378" i="3"/>
  <c r="L1378" i="3"/>
  <c r="M1378" i="3"/>
  <c r="D1379" i="3"/>
  <c r="E1379" i="3"/>
  <c r="F1379" i="3"/>
  <c r="G1379" i="3"/>
  <c r="H1379" i="3"/>
  <c r="J1379" i="3"/>
  <c r="K1379" i="3"/>
  <c r="L1379" i="3"/>
  <c r="M1379" i="3"/>
  <c r="D1380" i="3"/>
  <c r="E1380" i="3"/>
  <c r="F1380" i="3"/>
  <c r="G1380" i="3"/>
  <c r="H1380" i="3"/>
  <c r="J1380" i="3"/>
  <c r="K1380" i="3"/>
  <c r="L1380" i="3"/>
  <c r="M1380" i="3"/>
  <c r="D1381" i="3"/>
  <c r="E1381" i="3"/>
  <c r="F1381" i="3"/>
  <c r="G1381" i="3"/>
  <c r="H1381" i="3"/>
  <c r="J1381" i="3"/>
  <c r="K1381" i="3"/>
  <c r="L1381" i="3"/>
  <c r="M1381" i="3"/>
  <c r="D1382" i="3"/>
  <c r="E1382" i="3"/>
  <c r="F1382" i="3"/>
  <c r="G1382" i="3"/>
  <c r="H1382" i="3"/>
  <c r="J1382" i="3"/>
  <c r="K1382" i="3"/>
  <c r="L1382" i="3"/>
  <c r="M1382" i="3"/>
  <c r="D1383" i="3"/>
  <c r="E1383" i="3"/>
  <c r="F1383" i="3"/>
  <c r="G1383" i="3"/>
  <c r="H1383" i="3"/>
  <c r="J1383" i="3"/>
  <c r="K1383" i="3"/>
  <c r="L1383" i="3"/>
  <c r="M1383" i="3"/>
  <c r="D1384" i="3"/>
  <c r="E1384" i="3"/>
  <c r="F1384" i="3"/>
  <c r="G1384" i="3"/>
  <c r="H1384" i="3"/>
  <c r="J1384" i="3"/>
  <c r="K1384" i="3"/>
  <c r="L1384" i="3"/>
  <c r="M1384" i="3"/>
  <c r="D1385" i="3"/>
  <c r="E1385" i="3"/>
  <c r="F1385" i="3"/>
  <c r="G1385" i="3"/>
  <c r="H1385" i="3"/>
  <c r="J1385" i="3"/>
  <c r="K1385" i="3"/>
  <c r="L1385" i="3"/>
  <c r="M1385" i="3"/>
  <c r="D1386" i="3"/>
  <c r="E1386" i="3"/>
  <c r="F1386" i="3"/>
  <c r="G1386" i="3"/>
  <c r="H1386" i="3"/>
  <c r="J1386" i="3"/>
  <c r="K1386" i="3"/>
  <c r="L1386" i="3"/>
  <c r="M1386" i="3"/>
  <c r="D1387" i="3"/>
  <c r="E1387" i="3"/>
  <c r="F1387" i="3"/>
  <c r="G1387" i="3"/>
  <c r="H1387" i="3"/>
  <c r="J1387" i="3"/>
  <c r="K1387" i="3"/>
  <c r="L1387" i="3"/>
  <c r="M1387" i="3"/>
  <c r="D1388" i="3"/>
  <c r="E1388" i="3"/>
  <c r="F1388" i="3"/>
  <c r="G1388" i="3"/>
  <c r="H1388" i="3"/>
  <c r="J1388" i="3"/>
  <c r="K1388" i="3"/>
  <c r="L1388" i="3"/>
  <c r="M1388" i="3"/>
  <c r="D1389" i="3"/>
  <c r="E1389" i="3"/>
  <c r="F1389" i="3"/>
  <c r="G1389" i="3"/>
  <c r="H1389" i="3"/>
  <c r="J1389" i="3"/>
  <c r="K1389" i="3"/>
  <c r="L1389" i="3"/>
  <c r="M1389" i="3"/>
  <c r="D1390" i="3"/>
  <c r="E1390" i="3"/>
  <c r="F1390" i="3"/>
  <c r="G1390" i="3"/>
  <c r="H1390" i="3"/>
  <c r="J1390" i="3"/>
  <c r="K1390" i="3"/>
  <c r="L1390" i="3"/>
  <c r="M1390" i="3"/>
  <c r="D1391" i="3"/>
  <c r="E1391" i="3"/>
  <c r="F1391" i="3"/>
  <c r="G1391" i="3"/>
  <c r="H1391" i="3"/>
  <c r="J1391" i="3"/>
  <c r="K1391" i="3"/>
  <c r="L1391" i="3"/>
  <c r="M1391" i="3"/>
  <c r="D1392" i="3"/>
  <c r="E1392" i="3"/>
  <c r="F1392" i="3"/>
  <c r="G1392" i="3"/>
  <c r="H1392" i="3"/>
  <c r="J1392" i="3"/>
  <c r="K1392" i="3"/>
  <c r="L1392" i="3"/>
  <c r="M1392" i="3"/>
  <c r="D1393" i="3"/>
  <c r="E1393" i="3"/>
  <c r="F1393" i="3"/>
  <c r="G1393" i="3"/>
  <c r="H1393" i="3"/>
  <c r="J1393" i="3"/>
  <c r="K1393" i="3"/>
  <c r="L1393" i="3"/>
  <c r="M1393" i="3"/>
  <c r="D1394" i="3"/>
  <c r="E1394" i="3"/>
  <c r="F1394" i="3"/>
  <c r="G1394" i="3"/>
  <c r="H1394" i="3"/>
  <c r="J1394" i="3"/>
  <c r="K1394" i="3"/>
  <c r="L1394" i="3"/>
  <c r="M1394" i="3"/>
  <c r="D1395" i="3"/>
  <c r="E1395" i="3"/>
  <c r="F1395" i="3"/>
  <c r="G1395" i="3"/>
  <c r="H1395" i="3"/>
  <c r="J1395" i="3"/>
  <c r="K1395" i="3"/>
  <c r="L1395" i="3"/>
  <c r="M1395" i="3"/>
  <c r="D1396" i="3"/>
  <c r="E1396" i="3"/>
  <c r="F1396" i="3"/>
  <c r="G1396" i="3"/>
  <c r="H1396" i="3"/>
  <c r="J1396" i="3"/>
  <c r="K1396" i="3"/>
  <c r="L1396" i="3"/>
  <c r="M1396" i="3"/>
  <c r="D1397" i="3"/>
  <c r="E1397" i="3"/>
  <c r="F1397" i="3"/>
  <c r="G1397" i="3"/>
  <c r="H1397" i="3"/>
  <c r="J1397" i="3"/>
  <c r="K1397" i="3"/>
  <c r="L1397" i="3"/>
  <c r="M1397" i="3"/>
  <c r="D1398" i="3"/>
  <c r="E1398" i="3"/>
  <c r="F1398" i="3"/>
  <c r="G1398" i="3"/>
  <c r="H1398" i="3"/>
  <c r="J1398" i="3"/>
  <c r="K1398" i="3"/>
  <c r="L1398" i="3"/>
  <c r="M1398" i="3"/>
  <c r="D1399" i="3"/>
  <c r="E1399" i="3"/>
  <c r="F1399" i="3"/>
  <c r="G1399" i="3"/>
  <c r="H1399" i="3"/>
  <c r="J1399" i="3"/>
  <c r="K1399" i="3"/>
  <c r="L1399" i="3"/>
  <c r="M1399" i="3"/>
  <c r="D1400" i="3"/>
  <c r="E1400" i="3"/>
  <c r="F1400" i="3"/>
  <c r="G1400" i="3"/>
  <c r="H1400" i="3"/>
  <c r="J1400" i="3"/>
  <c r="K1400" i="3"/>
  <c r="L1400" i="3"/>
  <c r="M1400" i="3"/>
  <c r="D1401" i="3"/>
  <c r="E1401" i="3"/>
  <c r="F1401" i="3"/>
  <c r="G1401" i="3"/>
  <c r="H1401" i="3"/>
  <c r="J1401" i="3"/>
  <c r="K1401" i="3"/>
  <c r="L1401" i="3"/>
  <c r="M1401" i="3"/>
  <c r="D1402" i="3"/>
  <c r="E1402" i="3"/>
  <c r="F1402" i="3"/>
  <c r="G1402" i="3"/>
  <c r="H1402" i="3"/>
  <c r="J1402" i="3"/>
  <c r="K1402" i="3"/>
  <c r="L1402" i="3"/>
  <c r="M1402" i="3"/>
  <c r="D1403" i="3"/>
  <c r="E1403" i="3"/>
  <c r="F1403" i="3"/>
  <c r="G1403" i="3"/>
  <c r="H1403" i="3"/>
  <c r="J1403" i="3"/>
  <c r="K1403" i="3"/>
  <c r="L1403" i="3"/>
  <c r="M1403" i="3"/>
  <c r="D1404" i="3"/>
  <c r="E1404" i="3"/>
  <c r="F1404" i="3"/>
  <c r="G1404" i="3"/>
  <c r="H1404" i="3"/>
  <c r="J1404" i="3"/>
  <c r="K1404" i="3"/>
  <c r="L1404" i="3"/>
  <c r="M1404" i="3"/>
  <c r="D1405" i="3"/>
  <c r="E1405" i="3"/>
  <c r="F1405" i="3"/>
  <c r="G1405" i="3"/>
  <c r="H1405" i="3"/>
  <c r="J1405" i="3"/>
  <c r="K1405" i="3"/>
  <c r="L1405" i="3"/>
  <c r="M1405" i="3"/>
  <c r="D1406" i="3"/>
  <c r="E1406" i="3"/>
  <c r="F1406" i="3"/>
  <c r="G1406" i="3"/>
  <c r="H1406" i="3"/>
  <c r="J1406" i="3"/>
  <c r="K1406" i="3"/>
  <c r="L1406" i="3"/>
  <c r="M1406" i="3"/>
  <c r="D1407" i="3"/>
  <c r="E1407" i="3"/>
  <c r="F1407" i="3"/>
  <c r="G1407" i="3"/>
  <c r="H1407" i="3"/>
  <c r="J1407" i="3"/>
  <c r="K1407" i="3"/>
  <c r="L1407" i="3"/>
  <c r="M1407" i="3"/>
  <c r="D1408" i="3"/>
  <c r="E1408" i="3"/>
  <c r="F1408" i="3"/>
  <c r="G1408" i="3"/>
  <c r="H1408" i="3"/>
  <c r="J1408" i="3"/>
  <c r="K1408" i="3"/>
  <c r="L1408" i="3"/>
  <c r="M1408" i="3"/>
  <c r="D1409" i="3"/>
  <c r="E1409" i="3"/>
  <c r="F1409" i="3"/>
  <c r="G1409" i="3"/>
  <c r="H1409" i="3"/>
  <c r="J1409" i="3"/>
  <c r="K1409" i="3"/>
  <c r="L1409" i="3"/>
  <c r="M1409" i="3"/>
  <c r="D1410" i="3"/>
  <c r="E1410" i="3"/>
  <c r="F1410" i="3"/>
  <c r="G1410" i="3"/>
  <c r="H1410" i="3"/>
  <c r="J1410" i="3"/>
  <c r="K1410" i="3"/>
  <c r="L1410" i="3"/>
  <c r="M1410" i="3"/>
  <c r="D1411" i="3"/>
  <c r="E1411" i="3"/>
  <c r="F1411" i="3"/>
  <c r="G1411" i="3"/>
  <c r="H1411" i="3"/>
  <c r="J1411" i="3"/>
  <c r="K1411" i="3"/>
  <c r="L1411" i="3"/>
  <c r="M1411" i="3"/>
  <c r="D1412" i="3"/>
  <c r="E1412" i="3"/>
  <c r="F1412" i="3"/>
  <c r="G1412" i="3"/>
  <c r="H1412" i="3"/>
  <c r="J1412" i="3"/>
  <c r="K1412" i="3"/>
  <c r="L1412" i="3"/>
  <c r="M1412" i="3"/>
  <c r="D1413" i="3"/>
  <c r="E1413" i="3"/>
  <c r="F1413" i="3"/>
  <c r="G1413" i="3"/>
  <c r="H1413" i="3"/>
  <c r="J1413" i="3"/>
  <c r="K1413" i="3"/>
  <c r="L1413" i="3"/>
  <c r="M1413" i="3"/>
  <c r="D1414" i="3"/>
  <c r="E1414" i="3"/>
  <c r="F1414" i="3"/>
  <c r="G1414" i="3"/>
  <c r="H1414" i="3"/>
  <c r="J1414" i="3"/>
  <c r="K1414" i="3"/>
  <c r="L1414" i="3"/>
  <c r="M1414" i="3"/>
  <c r="D1415" i="3"/>
  <c r="E1415" i="3"/>
  <c r="F1415" i="3"/>
  <c r="G1415" i="3"/>
  <c r="H1415" i="3"/>
  <c r="J1415" i="3"/>
  <c r="K1415" i="3"/>
  <c r="L1415" i="3"/>
  <c r="M1415" i="3"/>
  <c r="D1416" i="3"/>
  <c r="E1416" i="3"/>
  <c r="F1416" i="3"/>
  <c r="G1416" i="3"/>
  <c r="H1416" i="3"/>
  <c r="J1416" i="3"/>
  <c r="K1416" i="3"/>
  <c r="L1416" i="3"/>
  <c r="M1416" i="3"/>
  <c r="D1417" i="3"/>
  <c r="E1417" i="3"/>
  <c r="F1417" i="3"/>
  <c r="G1417" i="3"/>
  <c r="H1417" i="3"/>
  <c r="J1417" i="3"/>
  <c r="K1417" i="3"/>
  <c r="L1417" i="3"/>
  <c r="M1417" i="3"/>
  <c r="D1418" i="3"/>
  <c r="E1418" i="3"/>
  <c r="F1418" i="3"/>
  <c r="G1418" i="3"/>
  <c r="H1418" i="3"/>
  <c r="J1418" i="3"/>
  <c r="K1418" i="3"/>
  <c r="L1418" i="3"/>
  <c r="M1418" i="3"/>
  <c r="D1419" i="3"/>
  <c r="E1419" i="3"/>
  <c r="F1419" i="3"/>
  <c r="G1419" i="3"/>
  <c r="H1419" i="3"/>
  <c r="J1419" i="3"/>
  <c r="K1419" i="3"/>
  <c r="L1419" i="3"/>
  <c r="M1419" i="3"/>
  <c r="D1420" i="3"/>
  <c r="E1420" i="3"/>
  <c r="F1420" i="3"/>
  <c r="G1420" i="3"/>
  <c r="H1420" i="3"/>
  <c r="J1420" i="3"/>
  <c r="K1420" i="3"/>
  <c r="L1420" i="3"/>
  <c r="M1420" i="3"/>
  <c r="D1421" i="3"/>
  <c r="E1421" i="3"/>
  <c r="F1421" i="3"/>
  <c r="G1421" i="3"/>
  <c r="H1421" i="3"/>
  <c r="J1421" i="3"/>
  <c r="K1421" i="3"/>
  <c r="L1421" i="3"/>
  <c r="M1421" i="3"/>
  <c r="D1422" i="3"/>
  <c r="E1422" i="3"/>
  <c r="F1422" i="3"/>
  <c r="G1422" i="3"/>
  <c r="H1422" i="3"/>
  <c r="J1422" i="3"/>
  <c r="K1422" i="3"/>
  <c r="L1422" i="3"/>
  <c r="M1422" i="3"/>
  <c r="D1423" i="3"/>
  <c r="E1423" i="3"/>
  <c r="F1423" i="3"/>
  <c r="G1423" i="3"/>
  <c r="H1423" i="3"/>
  <c r="J1423" i="3"/>
  <c r="K1423" i="3"/>
  <c r="L1423" i="3"/>
  <c r="M1423" i="3"/>
  <c r="D1424" i="3"/>
  <c r="E1424" i="3"/>
  <c r="F1424" i="3"/>
  <c r="G1424" i="3"/>
  <c r="H1424" i="3"/>
  <c r="J1424" i="3"/>
  <c r="K1424" i="3"/>
  <c r="L1424" i="3"/>
  <c r="M1424" i="3"/>
  <c r="D1425" i="3"/>
  <c r="E1425" i="3"/>
  <c r="F1425" i="3"/>
  <c r="G1425" i="3"/>
  <c r="H1425" i="3"/>
  <c r="J1425" i="3"/>
  <c r="K1425" i="3"/>
  <c r="L1425" i="3"/>
  <c r="M1425" i="3"/>
  <c r="D1426" i="3"/>
  <c r="E1426" i="3"/>
  <c r="F1426" i="3"/>
  <c r="G1426" i="3"/>
  <c r="H1426" i="3"/>
  <c r="J1426" i="3"/>
  <c r="K1426" i="3"/>
  <c r="L1426" i="3"/>
  <c r="M1426" i="3"/>
  <c r="D1427" i="3"/>
  <c r="E1427" i="3"/>
  <c r="F1427" i="3"/>
  <c r="G1427" i="3"/>
  <c r="H1427" i="3"/>
  <c r="J1427" i="3"/>
  <c r="K1427" i="3"/>
  <c r="L1427" i="3"/>
  <c r="M1427" i="3"/>
  <c r="D1428" i="3"/>
  <c r="E1428" i="3"/>
  <c r="F1428" i="3"/>
  <c r="G1428" i="3"/>
  <c r="H1428" i="3"/>
  <c r="J1428" i="3"/>
  <c r="K1428" i="3"/>
  <c r="L1428" i="3"/>
  <c r="M1428" i="3"/>
  <c r="D1429" i="3"/>
  <c r="E1429" i="3"/>
  <c r="F1429" i="3"/>
  <c r="G1429" i="3"/>
  <c r="H1429" i="3"/>
  <c r="J1429" i="3"/>
  <c r="K1429" i="3"/>
  <c r="L1429" i="3"/>
  <c r="M1429" i="3"/>
  <c r="D1430" i="3"/>
  <c r="E1430" i="3"/>
  <c r="F1430" i="3"/>
  <c r="G1430" i="3"/>
  <c r="H1430" i="3"/>
  <c r="J1430" i="3"/>
  <c r="K1430" i="3"/>
  <c r="L1430" i="3"/>
  <c r="M1430" i="3"/>
  <c r="D1431" i="3"/>
  <c r="E1431" i="3"/>
  <c r="F1431" i="3"/>
  <c r="G1431" i="3"/>
  <c r="H1431" i="3"/>
  <c r="J1431" i="3"/>
  <c r="K1431" i="3"/>
  <c r="L1431" i="3"/>
  <c r="M1431" i="3"/>
  <c r="D1432" i="3"/>
  <c r="E1432" i="3"/>
  <c r="F1432" i="3"/>
  <c r="G1432" i="3"/>
  <c r="H1432" i="3"/>
  <c r="J1432" i="3"/>
  <c r="K1432" i="3"/>
  <c r="L1432" i="3"/>
  <c r="M1432" i="3"/>
  <c r="D1433" i="3"/>
  <c r="E1433" i="3"/>
  <c r="F1433" i="3"/>
  <c r="G1433" i="3"/>
  <c r="H1433" i="3"/>
  <c r="J1433" i="3"/>
  <c r="K1433" i="3"/>
  <c r="L1433" i="3"/>
  <c r="M1433" i="3"/>
  <c r="D1434" i="3"/>
  <c r="E1434" i="3"/>
  <c r="F1434" i="3"/>
  <c r="G1434" i="3"/>
  <c r="H1434" i="3"/>
  <c r="J1434" i="3"/>
  <c r="K1434" i="3"/>
  <c r="L1434" i="3"/>
  <c r="M1434" i="3"/>
  <c r="D1435" i="3"/>
  <c r="E1435" i="3"/>
  <c r="F1435" i="3"/>
  <c r="G1435" i="3"/>
  <c r="H1435" i="3"/>
  <c r="J1435" i="3"/>
  <c r="K1435" i="3"/>
  <c r="L1435" i="3"/>
  <c r="M1435" i="3"/>
  <c r="D1436" i="3"/>
  <c r="E1436" i="3"/>
  <c r="F1436" i="3"/>
  <c r="G1436" i="3"/>
  <c r="H1436" i="3"/>
  <c r="J1436" i="3"/>
  <c r="K1436" i="3"/>
  <c r="L1436" i="3"/>
  <c r="M1436" i="3"/>
  <c r="D1437" i="3"/>
  <c r="E1437" i="3"/>
  <c r="F1437" i="3"/>
  <c r="G1437" i="3"/>
  <c r="H1437" i="3"/>
  <c r="J1437" i="3"/>
  <c r="K1437" i="3"/>
  <c r="L1437" i="3"/>
  <c r="M1437" i="3"/>
  <c r="D1438" i="3"/>
  <c r="E1438" i="3"/>
  <c r="F1438" i="3"/>
  <c r="G1438" i="3"/>
  <c r="H1438" i="3"/>
  <c r="J1438" i="3"/>
  <c r="K1438" i="3"/>
  <c r="L1438" i="3"/>
  <c r="M1438" i="3"/>
  <c r="D1439" i="3"/>
  <c r="E1439" i="3"/>
  <c r="F1439" i="3"/>
  <c r="G1439" i="3"/>
  <c r="H1439" i="3"/>
  <c r="J1439" i="3"/>
  <c r="K1439" i="3"/>
  <c r="L1439" i="3"/>
  <c r="M1439" i="3"/>
  <c r="D1440" i="3"/>
  <c r="E1440" i="3"/>
  <c r="F1440" i="3"/>
  <c r="G1440" i="3"/>
  <c r="H1440" i="3"/>
  <c r="J1440" i="3"/>
  <c r="K1440" i="3"/>
  <c r="L1440" i="3"/>
  <c r="M1440" i="3"/>
  <c r="D1441" i="3"/>
  <c r="E1441" i="3"/>
  <c r="F1441" i="3"/>
  <c r="G1441" i="3"/>
  <c r="H1441" i="3"/>
  <c r="J1441" i="3"/>
  <c r="K1441" i="3"/>
  <c r="L1441" i="3"/>
  <c r="M1441" i="3"/>
  <c r="D1442" i="3"/>
  <c r="E1442" i="3"/>
  <c r="F1442" i="3"/>
  <c r="G1442" i="3"/>
  <c r="H1442" i="3"/>
  <c r="J1442" i="3"/>
  <c r="K1442" i="3"/>
  <c r="L1442" i="3"/>
  <c r="M1442" i="3"/>
  <c r="D1443" i="3"/>
  <c r="E1443" i="3"/>
  <c r="F1443" i="3"/>
  <c r="G1443" i="3"/>
  <c r="H1443" i="3"/>
  <c r="J1443" i="3"/>
  <c r="K1443" i="3"/>
  <c r="L1443" i="3"/>
  <c r="M1443" i="3"/>
  <c r="D1444" i="3"/>
  <c r="E1444" i="3"/>
  <c r="F1444" i="3"/>
  <c r="G1444" i="3"/>
  <c r="H1444" i="3"/>
  <c r="J1444" i="3"/>
  <c r="K1444" i="3"/>
  <c r="L1444" i="3"/>
  <c r="M1444" i="3"/>
  <c r="D1445" i="3"/>
  <c r="E1445" i="3"/>
  <c r="F1445" i="3"/>
  <c r="G1445" i="3"/>
  <c r="H1445" i="3"/>
  <c r="J1445" i="3"/>
  <c r="K1445" i="3"/>
  <c r="L1445" i="3"/>
  <c r="M1445" i="3"/>
  <c r="D1446" i="3"/>
  <c r="E1446" i="3"/>
  <c r="F1446" i="3"/>
  <c r="G1446" i="3"/>
  <c r="H1446" i="3"/>
  <c r="J1446" i="3"/>
  <c r="K1446" i="3"/>
  <c r="L1446" i="3"/>
  <c r="M1446" i="3"/>
  <c r="D1447" i="3"/>
  <c r="E1447" i="3"/>
  <c r="F1447" i="3"/>
  <c r="G1447" i="3"/>
  <c r="H1447" i="3"/>
  <c r="J1447" i="3"/>
  <c r="K1447" i="3"/>
  <c r="L1447" i="3"/>
  <c r="M1447" i="3"/>
  <c r="D1448" i="3"/>
  <c r="E1448" i="3"/>
  <c r="F1448" i="3"/>
  <c r="G1448" i="3"/>
  <c r="H1448" i="3"/>
  <c r="J1448" i="3"/>
  <c r="K1448" i="3"/>
  <c r="L1448" i="3"/>
  <c r="M1448" i="3"/>
  <c r="D1449" i="3"/>
  <c r="E1449" i="3"/>
  <c r="F1449" i="3"/>
  <c r="G1449" i="3"/>
  <c r="H1449" i="3"/>
  <c r="J1449" i="3"/>
  <c r="K1449" i="3"/>
  <c r="L1449" i="3"/>
  <c r="M1449" i="3"/>
  <c r="D1450" i="3"/>
  <c r="E1450" i="3"/>
  <c r="F1450" i="3"/>
  <c r="G1450" i="3"/>
  <c r="H1450" i="3"/>
  <c r="J1450" i="3"/>
  <c r="K1450" i="3"/>
  <c r="L1450" i="3"/>
  <c r="M1450" i="3"/>
  <c r="D1451" i="3"/>
  <c r="E1451" i="3"/>
  <c r="F1451" i="3"/>
  <c r="G1451" i="3"/>
  <c r="H1451" i="3"/>
  <c r="J1451" i="3"/>
  <c r="K1451" i="3"/>
  <c r="L1451" i="3"/>
  <c r="M1451" i="3"/>
  <c r="D1452" i="3"/>
  <c r="E1452" i="3"/>
  <c r="F1452" i="3"/>
  <c r="G1452" i="3"/>
  <c r="H1452" i="3"/>
  <c r="J1452" i="3"/>
  <c r="K1452" i="3"/>
  <c r="L1452" i="3"/>
  <c r="M1452" i="3"/>
  <c r="D1453" i="3"/>
  <c r="E1453" i="3"/>
  <c r="F1453" i="3"/>
  <c r="G1453" i="3"/>
  <c r="H1453" i="3"/>
  <c r="J1453" i="3"/>
  <c r="K1453" i="3"/>
  <c r="L1453" i="3"/>
  <c r="M1453" i="3"/>
  <c r="D1454" i="3"/>
  <c r="E1454" i="3"/>
  <c r="F1454" i="3"/>
  <c r="G1454" i="3"/>
  <c r="H1454" i="3"/>
  <c r="J1454" i="3"/>
  <c r="K1454" i="3"/>
  <c r="L1454" i="3"/>
  <c r="M1454" i="3"/>
  <c r="D1455" i="3"/>
  <c r="E1455" i="3"/>
  <c r="F1455" i="3"/>
  <c r="G1455" i="3"/>
  <c r="H1455" i="3"/>
  <c r="J1455" i="3"/>
  <c r="K1455" i="3"/>
  <c r="L1455" i="3"/>
  <c r="M1455" i="3"/>
  <c r="D1456" i="3"/>
  <c r="E1456" i="3"/>
  <c r="F1456" i="3"/>
  <c r="G1456" i="3"/>
  <c r="H1456" i="3"/>
  <c r="J1456" i="3"/>
  <c r="K1456" i="3"/>
  <c r="L1456" i="3"/>
  <c r="M1456" i="3"/>
  <c r="D1457" i="3"/>
  <c r="E1457" i="3"/>
  <c r="F1457" i="3"/>
  <c r="G1457" i="3"/>
  <c r="H1457" i="3"/>
  <c r="J1457" i="3"/>
  <c r="K1457" i="3"/>
  <c r="L1457" i="3"/>
  <c r="M1457" i="3"/>
  <c r="D1458" i="3"/>
  <c r="E1458" i="3"/>
  <c r="F1458" i="3"/>
  <c r="G1458" i="3"/>
  <c r="H1458" i="3"/>
  <c r="J1458" i="3"/>
  <c r="K1458" i="3"/>
  <c r="L1458" i="3"/>
  <c r="M1458" i="3"/>
  <c r="D1459" i="3"/>
  <c r="E1459" i="3"/>
  <c r="F1459" i="3"/>
  <c r="G1459" i="3"/>
  <c r="H1459" i="3"/>
  <c r="J1459" i="3"/>
  <c r="K1459" i="3"/>
  <c r="L1459" i="3"/>
  <c r="M1459" i="3"/>
  <c r="D1460" i="3"/>
  <c r="E1460" i="3"/>
  <c r="F1460" i="3"/>
  <c r="G1460" i="3"/>
  <c r="H1460" i="3"/>
  <c r="J1460" i="3"/>
  <c r="K1460" i="3"/>
  <c r="L1460" i="3"/>
  <c r="M1460" i="3"/>
  <c r="D1461" i="3"/>
  <c r="E1461" i="3"/>
  <c r="F1461" i="3"/>
  <c r="G1461" i="3"/>
  <c r="H1461" i="3"/>
  <c r="J1461" i="3"/>
  <c r="K1461" i="3"/>
  <c r="L1461" i="3"/>
  <c r="M1461" i="3"/>
  <c r="D1462" i="3"/>
  <c r="E1462" i="3"/>
  <c r="F1462" i="3"/>
  <c r="G1462" i="3"/>
  <c r="H1462" i="3"/>
  <c r="J1462" i="3"/>
  <c r="K1462" i="3"/>
  <c r="L1462" i="3"/>
  <c r="M1462" i="3"/>
  <c r="D1463" i="3"/>
  <c r="E1463" i="3"/>
  <c r="F1463" i="3"/>
  <c r="G1463" i="3"/>
  <c r="H1463" i="3"/>
  <c r="J1463" i="3"/>
  <c r="K1463" i="3"/>
  <c r="L1463" i="3"/>
  <c r="M1463" i="3"/>
  <c r="D1464" i="3"/>
  <c r="E1464" i="3"/>
  <c r="F1464" i="3"/>
  <c r="G1464" i="3"/>
  <c r="H1464" i="3"/>
  <c r="J1464" i="3"/>
  <c r="K1464" i="3"/>
  <c r="L1464" i="3"/>
  <c r="M1464" i="3"/>
  <c r="D1465" i="3"/>
  <c r="E1465" i="3"/>
  <c r="F1465" i="3"/>
  <c r="G1465" i="3"/>
  <c r="H1465" i="3"/>
  <c r="J1465" i="3"/>
  <c r="K1465" i="3"/>
  <c r="L1465" i="3"/>
  <c r="M1465" i="3"/>
  <c r="D1466" i="3"/>
  <c r="E1466" i="3"/>
  <c r="F1466" i="3"/>
  <c r="G1466" i="3"/>
  <c r="H1466" i="3"/>
  <c r="J1466" i="3"/>
  <c r="K1466" i="3"/>
  <c r="L1466" i="3"/>
  <c r="M1466" i="3"/>
  <c r="D1467" i="3"/>
  <c r="E1467" i="3"/>
  <c r="F1467" i="3"/>
  <c r="G1467" i="3"/>
  <c r="H1467" i="3"/>
  <c r="J1467" i="3"/>
  <c r="K1467" i="3"/>
  <c r="L1467" i="3"/>
  <c r="M1467" i="3"/>
  <c r="D1468" i="3"/>
  <c r="E1468" i="3"/>
  <c r="F1468" i="3"/>
  <c r="G1468" i="3"/>
  <c r="H1468" i="3"/>
  <c r="J1468" i="3"/>
  <c r="K1468" i="3"/>
  <c r="L1468" i="3"/>
  <c r="M1468" i="3"/>
  <c r="D1469" i="3"/>
  <c r="E1469" i="3"/>
  <c r="F1469" i="3"/>
  <c r="G1469" i="3"/>
  <c r="H1469" i="3"/>
  <c r="J1469" i="3"/>
  <c r="K1469" i="3"/>
  <c r="L1469" i="3"/>
  <c r="M1469" i="3"/>
  <c r="D1470" i="3"/>
  <c r="E1470" i="3"/>
  <c r="F1470" i="3"/>
  <c r="G1470" i="3"/>
  <c r="H1470" i="3"/>
  <c r="J1470" i="3"/>
  <c r="K1470" i="3"/>
  <c r="L1470" i="3"/>
  <c r="M1470" i="3"/>
  <c r="D1471" i="3"/>
  <c r="E1471" i="3"/>
  <c r="F1471" i="3"/>
  <c r="G1471" i="3"/>
  <c r="H1471" i="3"/>
  <c r="J1471" i="3"/>
  <c r="K1471" i="3"/>
  <c r="L1471" i="3"/>
  <c r="M1471" i="3"/>
  <c r="D1472" i="3"/>
  <c r="E1472" i="3"/>
  <c r="F1472" i="3"/>
  <c r="G1472" i="3"/>
  <c r="H1472" i="3"/>
  <c r="J1472" i="3"/>
  <c r="K1472" i="3"/>
  <c r="L1472" i="3"/>
  <c r="M1472" i="3"/>
  <c r="D1473" i="3"/>
  <c r="E1473" i="3"/>
  <c r="F1473" i="3"/>
  <c r="G1473" i="3"/>
  <c r="H1473" i="3"/>
  <c r="J1473" i="3"/>
  <c r="K1473" i="3"/>
  <c r="L1473" i="3"/>
  <c r="M1473" i="3"/>
  <c r="D1474" i="3"/>
  <c r="E1474" i="3"/>
  <c r="F1474" i="3"/>
  <c r="G1474" i="3"/>
  <c r="H1474" i="3"/>
  <c r="J1474" i="3"/>
  <c r="K1474" i="3"/>
  <c r="L1474" i="3"/>
  <c r="M1474" i="3"/>
  <c r="D1475" i="3"/>
  <c r="E1475" i="3"/>
  <c r="F1475" i="3"/>
  <c r="G1475" i="3"/>
  <c r="H1475" i="3"/>
  <c r="J1475" i="3"/>
  <c r="K1475" i="3"/>
  <c r="L1475" i="3"/>
  <c r="M1475" i="3"/>
  <c r="D1476" i="3"/>
  <c r="E1476" i="3"/>
  <c r="F1476" i="3"/>
  <c r="G1476" i="3"/>
  <c r="H1476" i="3"/>
  <c r="J1476" i="3"/>
  <c r="K1476" i="3"/>
  <c r="L1476" i="3"/>
  <c r="M1476" i="3"/>
  <c r="D1477" i="3"/>
  <c r="E1477" i="3"/>
  <c r="F1477" i="3"/>
  <c r="G1477" i="3"/>
  <c r="H1477" i="3"/>
  <c r="J1477" i="3"/>
  <c r="K1477" i="3"/>
  <c r="L1477" i="3"/>
  <c r="M1477" i="3"/>
  <c r="D1478" i="3"/>
  <c r="E1478" i="3"/>
  <c r="F1478" i="3"/>
  <c r="G1478" i="3"/>
  <c r="H1478" i="3"/>
  <c r="J1478" i="3"/>
  <c r="K1478" i="3"/>
  <c r="L1478" i="3"/>
  <c r="M1478" i="3"/>
  <c r="D1479" i="3"/>
  <c r="E1479" i="3"/>
  <c r="F1479" i="3"/>
  <c r="G1479" i="3"/>
  <c r="H1479" i="3"/>
  <c r="J1479" i="3"/>
  <c r="K1479" i="3"/>
  <c r="L1479" i="3"/>
  <c r="M1479" i="3"/>
  <c r="D1480" i="3"/>
  <c r="E1480" i="3"/>
  <c r="F1480" i="3"/>
  <c r="G1480" i="3"/>
  <c r="H1480" i="3"/>
  <c r="J1480" i="3"/>
  <c r="K1480" i="3"/>
  <c r="L1480" i="3"/>
  <c r="M1480" i="3"/>
  <c r="D1481" i="3"/>
  <c r="E1481" i="3"/>
  <c r="F1481" i="3"/>
  <c r="G1481" i="3"/>
  <c r="H1481" i="3"/>
  <c r="J1481" i="3"/>
  <c r="K1481" i="3"/>
  <c r="L1481" i="3"/>
  <c r="M1481" i="3"/>
  <c r="D1482" i="3"/>
  <c r="E1482" i="3"/>
  <c r="F1482" i="3"/>
  <c r="G1482" i="3"/>
  <c r="H1482" i="3"/>
  <c r="J1482" i="3"/>
  <c r="K1482" i="3"/>
  <c r="L1482" i="3"/>
  <c r="M1482" i="3"/>
  <c r="D1483" i="3"/>
  <c r="E1483" i="3"/>
  <c r="F1483" i="3"/>
  <c r="G1483" i="3"/>
  <c r="H1483" i="3"/>
  <c r="J1483" i="3"/>
  <c r="K1483" i="3"/>
  <c r="L1483" i="3"/>
  <c r="M1483" i="3"/>
  <c r="D1484" i="3"/>
  <c r="E1484" i="3"/>
  <c r="F1484" i="3"/>
  <c r="G1484" i="3"/>
  <c r="H1484" i="3"/>
  <c r="J1484" i="3"/>
  <c r="K1484" i="3"/>
  <c r="L1484" i="3"/>
  <c r="M1484" i="3"/>
  <c r="D1485" i="3"/>
  <c r="E1485" i="3"/>
  <c r="F1485" i="3"/>
  <c r="G1485" i="3"/>
  <c r="H1485" i="3"/>
  <c r="J1485" i="3"/>
  <c r="K1485" i="3"/>
  <c r="L1485" i="3"/>
  <c r="M1485" i="3"/>
  <c r="D1486" i="3"/>
  <c r="E1486" i="3"/>
  <c r="F1486" i="3"/>
  <c r="G1486" i="3"/>
  <c r="H1486" i="3"/>
  <c r="J1486" i="3"/>
  <c r="K1486" i="3"/>
  <c r="L1486" i="3"/>
  <c r="M1486" i="3"/>
  <c r="D1487" i="3"/>
  <c r="E1487" i="3"/>
  <c r="F1487" i="3"/>
  <c r="G1487" i="3"/>
  <c r="H1487" i="3"/>
  <c r="J1487" i="3"/>
  <c r="K1487" i="3"/>
  <c r="L1487" i="3"/>
  <c r="M1487" i="3"/>
  <c r="D1488" i="3"/>
  <c r="E1488" i="3"/>
  <c r="F1488" i="3"/>
  <c r="G1488" i="3"/>
  <c r="H1488" i="3"/>
  <c r="J1488" i="3"/>
  <c r="K1488" i="3"/>
  <c r="L1488" i="3"/>
  <c r="M1488" i="3"/>
  <c r="D1489" i="3"/>
  <c r="E1489" i="3"/>
  <c r="F1489" i="3"/>
  <c r="G1489" i="3"/>
  <c r="H1489" i="3"/>
  <c r="J1489" i="3"/>
  <c r="K1489" i="3"/>
  <c r="L1489" i="3"/>
  <c r="M1489" i="3"/>
  <c r="D1490" i="3"/>
  <c r="E1490" i="3"/>
  <c r="F1490" i="3"/>
  <c r="G1490" i="3"/>
  <c r="H1490" i="3"/>
  <c r="J1490" i="3"/>
  <c r="K1490" i="3"/>
  <c r="L1490" i="3"/>
  <c r="M1490" i="3"/>
  <c r="D1491" i="3"/>
  <c r="E1491" i="3"/>
  <c r="F1491" i="3"/>
  <c r="G1491" i="3"/>
  <c r="H1491" i="3"/>
  <c r="J1491" i="3"/>
  <c r="K1491" i="3"/>
  <c r="L1491" i="3"/>
  <c r="M1491" i="3"/>
  <c r="D1492" i="3"/>
  <c r="E1492" i="3"/>
  <c r="F1492" i="3"/>
  <c r="G1492" i="3"/>
  <c r="H1492" i="3"/>
  <c r="J1492" i="3"/>
  <c r="K1492" i="3"/>
  <c r="L1492" i="3"/>
  <c r="M1492" i="3"/>
  <c r="D1493" i="3"/>
  <c r="E1493" i="3"/>
  <c r="F1493" i="3"/>
  <c r="G1493" i="3"/>
  <c r="H1493" i="3"/>
  <c r="J1493" i="3"/>
  <c r="K1493" i="3"/>
  <c r="L1493" i="3"/>
  <c r="M1493" i="3"/>
  <c r="D1494" i="3"/>
  <c r="E1494" i="3"/>
  <c r="F1494" i="3"/>
  <c r="G1494" i="3"/>
  <c r="H1494" i="3"/>
  <c r="J1494" i="3"/>
  <c r="K1494" i="3"/>
  <c r="L1494" i="3"/>
  <c r="M1494" i="3"/>
  <c r="D1495" i="3"/>
  <c r="E1495" i="3"/>
  <c r="F1495" i="3"/>
  <c r="G1495" i="3"/>
  <c r="H1495" i="3"/>
  <c r="J1495" i="3"/>
  <c r="K1495" i="3"/>
  <c r="L1495" i="3"/>
  <c r="M1495" i="3"/>
  <c r="D1496" i="3"/>
  <c r="E1496" i="3"/>
  <c r="F1496" i="3"/>
  <c r="G1496" i="3"/>
  <c r="H1496" i="3"/>
  <c r="J1496" i="3"/>
  <c r="K1496" i="3"/>
  <c r="L1496" i="3"/>
  <c r="M1496" i="3"/>
  <c r="D1497" i="3"/>
  <c r="E1497" i="3"/>
  <c r="F1497" i="3"/>
  <c r="G1497" i="3"/>
  <c r="H1497" i="3"/>
  <c r="J1497" i="3"/>
  <c r="K1497" i="3"/>
  <c r="L1497" i="3"/>
  <c r="M1497" i="3"/>
  <c r="D1498" i="3"/>
  <c r="E1498" i="3"/>
  <c r="F1498" i="3"/>
  <c r="G1498" i="3"/>
  <c r="H1498" i="3"/>
  <c r="J1498" i="3"/>
  <c r="K1498" i="3"/>
  <c r="L1498" i="3"/>
  <c r="M1498" i="3"/>
  <c r="D1499" i="3"/>
  <c r="E1499" i="3"/>
  <c r="F1499" i="3"/>
  <c r="G1499" i="3"/>
  <c r="H1499" i="3"/>
  <c r="J1499" i="3"/>
  <c r="K1499" i="3"/>
  <c r="L1499" i="3"/>
  <c r="M1499" i="3"/>
  <c r="D1500" i="3"/>
  <c r="E1500" i="3"/>
  <c r="F1500" i="3"/>
  <c r="G1500" i="3"/>
  <c r="H1500" i="3"/>
  <c r="J1500" i="3"/>
  <c r="K1500" i="3"/>
  <c r="L1500" i="3"/>
  <c r="M1500" i="3"/>
  <c r="D1501" i="3"/>
  <c r="E1501" i="3"/>
  <c r="F1501" i="3"/>
  <c r="G1501" i="3"/>
  <c r="H1501" i="3"/>
  <c r="J1501" i="3"/>
  <c r="K1501" i="3"/>
  <c r="L1501" i="3"/>
  <c r="M1501" i="3"/>
  <c r="D1502" i="3"/>
  <c r="E1502" i="3"/>
  <c r="F1502" i="3"/>
  <c r="G1502" i="3"/>
  <c r="H1502" i="3"/>
  <c r="J1502" i="3"/>
  <c r="K1502" i="3"/>
  <c r="L1502" i="3"/>
  <c r="M1502" i="3"/>
  <c r="D1503" i="3"/>
  <c r="E1503" i="3"/>
  <c r="F1503" i="3"/>
  <c r="G1503" i="3"/>
  <c r="H1503" i="3"/>
  <c r="J1503" i="3"/>
  <c r="K1503" i="3"/>
  <c r="L1503" i="3"/>
  <c r="M1503" i="3"/>
  <c r="D1504" i="3"/>
  <c r="E1504" i="3"/>
  <c r="F1504" i="3"/>
  <c r="G1504" i="3"/>
  <c r="H1504" i="3"/>
  <c r="J1504" i="3"/>
  <c r="K1504" i="3"/>
  <c r="L1504" i="3"/>
  <c r="M1504" i="3"/>
  <c r="D1505" i="3"/>
  <c r="E1505" i="3"/>
  <c r="F1505" i="3"/>
  <c r="G1505" i="3"/>
  <c r="H1505" i="3"/>
  <c r="J1505" i="3"/>
  <c r="K1505" i="3"/>
  <c r="L1505" i="3"/>
  <c r="M1505" i="3"/>
  <c r="D1506" i="3"/>
  <c r="E1506" i="3"/>
  <c r="F1506" i="3"/>
  <c r="G1506" i="3"/>
  <c r="H1506" i="3"/>
  <c r="J1506" i="3"/>
  <c r="K1506" i="3"/>
  <c r="L1506" i="3"/>
  <c r="M1506" i="3"/>
  <c r="D1507" i="3"/>
  <c r="E1507" i="3"/>
  <c r="F1507" i="3"/>
  <c r="G1507" i="3"/>
  <c r="H1507" i="3"/>
  <c r="J1507" i="3"/>
  <c r="K1507" i="3"/>
  <c r="L1507" i="3"/>
  <c r="M1507" i="3"/>
  <c r="D1508" i="3"/>
  <c r="E1508" i="3"/>
  <c r="F1508" i="3"/>
  <c r="G1508" i="3"/>
  <c r="H1508" i="3"/>
  <c r="J1508" i="3"/>
  <c r="K1508" i="3"/>
  <c r="L1508" i="3"/>
  <c r="M1508" i="3"/>
  <c r="D1509" i="3"/>
  <c r="E1509" i="3"/>
  <c r="F1509" i="3"/>
  <c r="G1509" i="3"/>
  <c r="H1509" i="3"/>
  <c r="J1509" i="3"/>
  <c r="K1509" i="3"/>
  <c r="L1509" i="3"/>
  <c r="M1509" i="3"/>
  <c r="D1510" i="3"/>
  <c r="E1510" i="3"/>
  <c r="F1510" i="3"/>
  <c r="G1510" i="3"/>
  <c r="H1510" i="3"/>
  <c r="J1510" i="3"/>
  <c r="K1510" i="3"/>
  <c r="L1510" i="3"/>
  <c r="M1510" i="3"/>
  <c r="D1511" i="3"/>
  <c r="E1511" i="3"/>
  <c r="F1511" i="3"/>
  <c r="G1511" i="3"/>
  <c r="H1511" i="3"/>
  <c r="J1511" i="3"/>
  <c r="K1511" i="3"/>
  <c r="L1511" i="3"/>
  <c r="M1511" i="3"/>
  <c r="D1512" i="3"/>
  <c r="E1512" i="3"/>
  <c r="F1512" i="3"/>
  <c r="G1512" i="3"/>
  <c r="H1512" i="3"/>
  <c r="J1512" i="3"/>
  <c r="K1512" i="3"/>
  <c r="L1512" i="3"/>
  <c r="M1512" i="3"/>
  <c r="D1513" i="3"/>
  <c r="E1513" i="3"/>
  <c r="F1513" i="3"/>
  <c r="G1513" i="3"/>
  <c r="H1513" i="3"/>
  <c r="J1513" i="3"/>
  <c r="K1513" i="3"/>
  <c r="L1513" i="3"/>
  <c r="M1513" i="3"/>
  <c r="D1514" i="3"/>
  <c r="E1514" i="3"/>
  <c r="F1514" i="3"/>
  <c r="G1514" i="3"/>
  <c r="H1514" i="3"/>
  <c r="J1514" i="3"/>
  <c r="K1514" i="3"/>
  <c r="L1514" i="3"/>
  <c r="M1514" i="3"/>
  <c r="D1515" i="3"/>
  <c r="E1515" i="3"/>
  <c r="F1515" i="3"/>
  <c r="G1515" i="3"/>
  <c r="H1515" i="3"/>
  <c r="J1515" i="3"/>
  <c r="K1515" i="3"/>
  <c r="L1515" i="3"/>
  <c r="M1515" i="3"/>
  <c r="D1516" i="3"/>
  <c r="E1516" i="3"/>
  <c r="F1516" i="3"/>
  <c r="G1516" i="3"/>
  <c r="H1516" i="3"/>
  <c r="J1516" i="3"/>
  <c r="K1516" i="3"/>
  <c r="L1516" i="3"/>
  <c r="M1516" i="3"/>
  <c r="D1517" i="3"/>
  <c r="E1517" i="3"/>
  <c r="F1517" i="3"/>
  <c r="G1517" i="3"/>
  <c r="H1517" i="3"/>
  <c r="J1517" i="3"/>
  <c r="K1517" i="3"/>
  <c r="L1517" i="3"/>
  <c r="M1517" i="3"/>
  <c r="D1518" i="3"/>
  <c r="E1518" i="3"/>
  <c r="F1518" i="3"/>
  <c r="G1518" i="3"/>
  <c r="H1518" i="3"/>
  <c r="J1518" i="3"/>
  <c r="K1518" i="3"/>
  <c r="L1518" i="3"/>
  <c r="M1518" i="3"/>
  <c r="D1519" i="3"/>
  <c r="E1519" i="3"/>
  <c r="F1519" i="3"/>
  <c r="G1519" i="3"/>
  <c r="H1519" i="3"/>
  <c r="J1519" i="3"/>
  <c r="K1519" i="3"/>
  <c r="L1519" i="3"/>
  <c r="M1519" i="3"/>
  <c r="D1520" i="3"/>
  <c r="E1520" i="3"/>
  <c r="F1520" i="3"/>
  <c r="G1520" i="3"/>
  <c r="H1520" i="3"/>
  <c r="J1520" i="3"/>
  <c r="K1520" i="3"/>
  <c r="L1520" i="3"/>
  <c r="M1520" i="3"/>
  <c r="D1521" i="3"/>
  <c r="E1521" i="3"/>
  <c r="F1521" i="3"/>
  <c r="G1521" i="3"/>
  <c r="H1521" i="3"/>
  <c r="J1521" i="3"/>
  <c r="K1521" i="3"/>
  <c r="L1521" i="3"/>
  <c r="M1521" i="3"/>
  <c r="D1522" i="3"/>
  <c r="E1522" i="3"/>
  <c r="F1522" i="3"/>
  <c r="G1522" i="3"/>
  <c r="H1522" i="3"/>
  <c r="J1522" i="3"/>
  <c r="K1522" i="3"/>
  <c r="L1522" i="3"/>
  <c r="M1522" i="3"/>
  <c r="D1523" i="3"/>
  <c r="E1523" i="3"/>
  <c r="F1523" i="3"/>
  <c r="G1523" i="3"/>
  <c r="H1523" i="3"/>
  <c r="J1523" i="3"/>
  <c r="K1523" i="3"/>
  <c r="L1523" i="3"/>
  <c r="M1523" i="3"/>
  <c r="D1524" i="3"/>
  <c r="E1524" i="3"/>
  <c r="F1524" i="3"/>
  <c r="G1524" i="3"/>
  <c r="H1524" i="3"/>
  <c r="J1524" i="3"/>
  <c r="K1524" i="3"/>
  <c r="L1524" i="3"/>
  <c r="M1524" i="3"/>
  <c r="D1525" i="3"/>
  <c r="E1525" i="3"/>
  <c r="F1525" i="3"/>
  <c r="G1525" i="3"/>
  <c r="H1525" i="3"/>
  <c r="J1525" i="3"/>
  <c r="K1525" i="3"/>
  <c r="L1525" i="3"/>
  <c r="M1525" i="3"/>
  <c r="D1526" i="3"/>
  <c r="E1526" i="3"/>
  <c r="F1526" i="3"/>
  <c r="G1526" i="3"/>
  <c r="H1526" i="3"/>
  <c r="J1526" i="3"/>
  <c r="K1526" i="3"/>
  <c r="L1526" i="3"/>
  <c r="M1526" i="3"/>
  <c r="D1527" i="3"/>
  <c r="E1527" i="3"/>
  <c r="F1527" i="3"/>
  <c r="G1527" i="3"/>
  <c r="H1527" i="3"/>
  <c r="J1527" i="3"/>
  <c r="K1527" i="3"/>
  <c r="L1527" i="3"/>
  <c r="M1527" i="3"/>
  <c r="D1528" i="3"/>
  <c r="E1528" i="3"/>
  <c r="F1528" i="3"/>
  <c r="G1528" i="3"/>
  <c r="H1528" i="3"/>
  <c r="J1528" i="3"/>
  <c r="K1528" i="3"/>
  <c r="L1528" i="3"/>
  <c r="M1528" i="3"/>
  <c r="D1529" i="3"/>
  <c r="E1529" i="3"/>
  <c r="F1529" i="3"/>
  <c r="G1529" i="3"/>
  <c r="H1529" i="3"/>
  <c r="J1529" i="3"/>
  <c r="K1529" i="3"/>
  <c r="L1529" i="3"/>
  <c r="M1529" i="3"/>
  <c r="D1530" i="3"/>
  <c r="E1530" i="3"/>
  <c r="F1530" i="3"/>
  <c r="G1530" i="3"/>
  <c r="H1530" i="3"/>
  <c r="J1530" i="3"/>
  <c r="K1530" i="3"/>
  <c r="L1530" i="3"/>
  <c r="M1530" i="3"/>
  <c r="D1531" i="3"/>
  <c r="E1531" i="3"/>
  <c r="F1531" i="3"/>
  <c r="G1531" i="3"/>
  <c r="H1531" i="3"/>
  <c r="J1531" i="3"/>
  <c r="K1531" i="3"/>
  <c r="L1531" i="3"/>
  <c r="M1531" i="3"/>
  <c r="D1532" i="3"/>
  <c r="E1532" i="3"/>
  <c r="F1532" i="3"/>
  <c r="G1532" i="3"/>
  <c r="H1532" i="3"/>
  <c r="J1532" i="3"/>
  <c r="K1532" i="3"/>
  <c r="L1532" i="3"/>
  <c r="M1532" i="3"/>
  <c r="D1533" i="3"/>
  <c r="E1533" i="3"/>
  <c r="F1533" i="3"/>
  <c r="G1533" i="3"/>
  <c r="H1533" i="3"/>
  <c r="J1533" i="3"/>
  <c r="K1533" i="3"/>
  <c r="L1533" i="3"/>
  <c r="M1533" i="3"/>
  <c r="D1534" i="3"/>
  <c r="E1534" i="3"/>
  <c r="F1534" i="3"/>
  <c r="G1534" i="3"/>
  <c r="H1534" i="3"/>
  <c r="J1534" i="3"/>
  <c r="K1534" i="3"/>
  <c r="L1534" i="3"/>
  <c r="M1534" i="3"/>
  <c r="D1535" i="3"/>
  <c r="E1535" i="3"/>
  <c r="F1535" i="3"/>
  <c r="G1535" i="3"/>
  <c r="H1535" i="3"/>
  <c r="J1535" i="3"/>
  <c r="K1535" i="3"/>
  <c r="L1535" i="3"/>
  <c r="M1535" i="3"/>
  <c r="D1536" i="3"/>
  <c r="E1536" i="3"/>
  <c r="F1536" i="3"/>
  <c r="G1536" i="3"/>
  <c r="H1536" i="3"/>
  <c r="J1536" i="3"/>
  <c r="K1536" i="3"/>
  <c r="L1536" i="3"/>
  <c r="M1536" i="3"/>
  <c r="D1537" i="3"/>
  <c r="E1537" i="3"/>
  <c r="F1537" i="3"/>
  <c r="G1537" i="3"/>
  <c r="H1537" i="3"/>
  <c r="J1537" i="3"/>
  <c r="K1537" i="3"/>
  <c r="L1537" i="3"/>
  <c r="M1537" i="3"/>
  <c r="D1538" i="3"/>
  <c r="E1538" i="3"/>
  <c r="F1538" i="3"/>
  <c r="G1538" i="3"/>
  <c r="H1538" i="3"/>
  <c r="J1538" i="3"/>
  <c r="K1538" i="3"/>
  <c r="L1538" i="3"/>
  <c r="M1538" i="3"/>
  <c r="D1539" i="3"/>
  <c r="E1539" i="3"/>
  <c r="F1539" i="3"/>
  <c r="G1539" i="3"/>
  <c r="H1539" i="3"/>
  <c r="J1539" i="3"/>
  <c r="K1539" i="3"/>
  <c r="L1539" i="3"/>
  <c r="M1539" i="3"/>
  <c r="D1540" i="3"/>
  <c r="E1540" i="3"/>
  <c r="F1540" i="3"/>
  <c r="G1540" i="3"/>
  <c r="H1540" i="3"/>
  <c r="J1540" i="3"/>
  <c r="K1540" i="3"/>
  <c r="L1540" i="3"/>
  <c r="M1540" i="3"/>
  <c r="D1541" i="3"/>
  <c r="E1541" i="3"/>
  <c r="F1541" i="3"/>
  <c r="G1541" i="3"/>
  <c r="H1541" i="3"/>
  <c r="J1541" i="3"/>
  <c r="K1541" i="3"/>
  <c r="L1541" i="3"/>
  <c r="M1541" i="3"/>
  <c r="D1542" i="3"/>
  <c r="E1542" i="3"/>
  <c r="F1542" i="3"/>
  <c r="G1542" i="3"/>
  <c r="H1542" i="3"/>
  <c r="J1542" i="3"/>
  <c r="K1542" i="3"/>
  <c r="L1542" i="3"/>
  <c r="M1542" i="3"/>
  <c r="D1543" i="3"/>
  <c r="E1543" i="3"/>
  <c r="F1543" i="3"/>
  <c r="G1543" i="3"/>
  <c r="H1543" i="3"/>
  <c r="J1543" i="3"/>
  <c r="K1543" i="3"/>
  <c r="L1543" i="3"/>
  <c r="M1543" i="3"/>
  <c r="D1544" i="3"/>
  <c r="E1544" i="3"/>
  <c r="F1544" i="3"/>
  <c r="G1544" i="3"/>
  <c r="H1544" i="3"/>
  <c r="J1544" i="3"/>
  <c r="K1544" i="3"/>
  <c r="L1544" i="3"/>
  <c r="M1544" i="3"/>
  <c r="D1545" i="3"/>
  <c r="E1545" i="3"/>
  <c r="F1545" i="3"/>
  <c r="G1545" i="3"/>
  <c r="H1545" i="3"/>
  <c r="J1545" i="3"/>
  <c r="K1545" i="3"/>
  <c r="L1545" i="3"/>
  <c r="M1545" i="3"/>
  <c r="D1546" i="3"/>
  <c r="E1546" i="3"/>
  <c r="F1546" i="3"/>
  <c r="G1546" i="3"/>
  <c r="H1546" i="3"/>
  <c r="J1546" i="3"/>
  <c r="K1546" i="3"/>
  <c r="L1546" i="3"/>
  <c r="M1546" i="3"/>
  <c r="D1547" i="3"/>
  <c r="E1547" i="3"/>
  <c r="F1547" i="3"/>
  <c r="G1547" i="3"/>
  <c r="H1547" i="3"/>
  <c r="J1547" i="3"/>
  <c r="K1547" i="3"/>
  <c r="L1547" i="3"/>
  <c r="M1547" i="3"/>
  <c r="D1548" i="3"/>
  <c r="E1548" i="3"/>
  <c r="F1548" i="3"/>
  <c r="G1548" i="3"/>
  <c r="H1548" i="3"/>
  <c r="J1548" i="3"/>
  <c r="K1548" i="3"/>
  <c r="L1548" i="3"/>
  <c r="M1548" i="3"/>
  <c r="D1549" i="3"/>
  <c r="E1549" i="3"/>
  <c r="F1549" i="3"/>
  <c r="G1549" i="3"/>
  <c r="H1549" i="3"/>
  <c r="J1549" i="3"/>
  <c r="K1549" i="3"/>
  <c r="L1549" i="3"/>
  <c r="M1549" i="3"/>
  <c r="D1550" i="3"/>
  <c r="E1550" i="3"/>
  <c r="F1550" i="3"/>
  <c r="G1550" i="3"/>
  <c r="H1550" i="3"/>
  <c r="J1550" i="3"/>
  <c r="K1550" i="3"/>
  <c r="L1550" i="3"/>
  <c r="M1550" i="3"/>
  <c r="D1551" i="3"/>
  <c r="E1551" i="3"/>
  <c r="F1551" i="3"/>
  <c r="G1551" i="3"/>
  <c r="H1551" i="3"/>
  <c r="J1551" i="3"/>
  <c r="K1551" i="3"/>
  <c r="L1551" i="3"/>
  <c r="M1551" i="3"/>
  <c r="D1552" i="3"/>
  <c r="E1552" i="3"/>
  <c r="F1552" i="3"/>
  <c r="G1552" i="3"/>
  <c r="H1552" i="3"/>
  <c r="J1552" i="3"/>
  <c r="K1552" i="3"/>
  <c r="L1552" i="3"/>
  <c r="M1552" i="3"/>
  <c r="D1553" i="3"/>
  <c r="E1553" i="3"/>
  <c r="F1553" i="3"/>
  <c r="G1553" i="3"/>
  <c r="H1553" i="3"/>
  <c r="J1553" i="3"/>
  <c r="K1553" i="3"/>
  <c r="L1553" i="3"/>
  <c r="M1553" i="3"/>
  <c r="D1554" i="3"/>
  <c r="E1554" i="3"/>
  <c r="F1554" i="3"/>
  <c r="G1554" i="3"/>
  <c r="H1554" i="3"/>
  <c r="J1554" i="3"/>
  <c r="K1554" i="3"/>
  <c r="L1554" i="3"/>
  <c r="M1554" i="3"/>
  <c r="D1555" i="3"/>
  <c r="E1555" i="3"/>
  <c r="F1555" i="3"/>
  <c r="G1555" i="3"/>
  <c r="H1555" i="3"/>
  <c r="J1555" i="3"/>
  <c r="K1555" i="3"/>
  <c r="L1555" i="3"/>
  <c r="M1555" i="3"/>
  <c r="D1556" i="3"/>
  <c r="E1556" i="3"/>
  <c r="F1556" i="3"/>
  <c r="G1556" i="3"/>
  <c r="H1556" i="3"/>
  <c r="J1556" i="3"/>
  <c r="K1556" i="3"/>
  <c r="L1556" i="3"/>
  <c r="M1556" i="3"/>
  <c r="D1557" i="3"/>
  <c r="E1557" i="3"/>
  <c r="F1557" i="3"/>
  <c r="G1557" i="3"/>
  <c r="H1557" i="3"/>
  <c r="J1557" i="3"/>
  <c r="K1557" i="3"/>
  <c r="L1557" i="3"/>
  <c r="M1557" i="3"/>
  <c r="D1558" i="3"/>
  <c r="E1558" i="3"/>
  <c r="F1558" i="3"/>
  <c r="G1558" i="3"/>
  <c r="H1558" i="3"/>
  <c r="J1558" i="3"/>
  <c r="K1558" i="3"/>
  <c r="L1558" i="3"/>
  <c r="M1558" i="3"/>
  <c r="D1559" i="3"/>
  <c r="E1559" i="3"/>
  <c r="F1559" i="3"/>
  <c r="G1559" i="3"/>
  <c r="H1559" i="3"/>
  <c r="J1559" i="3"/>
  <c r="K1559" i="3"/>
  <c r="L1559" i="3"/>
  <c r="M1559" i="3"/>
  <c r="D1560" i="3"/>
  <c r="E1560" i="3"/>
  <c r="F1560" i="3"/>
  <c r="G1560" i="3"/>
  <c r="H1560" i="3"/>
  <c r="J1560" i="3"/>
  <c r="K1560" i="3"/>
  <c r="L1560" i="3"/>
  <c r="M1560" i="3"/>
  <c r="D1561" i="3"/>
  <c r="E1561" i="3"/>
  <c r="F1561" i="3"/>
  <c r="G1561" i="3"/>
  <c r="H1561" i="3"/>
  <c r="J1561" i="3"/>
  <c r="K1561" i="3"/>
  <c r="L1561" i="3"/>
  <c r="M1561" i="3"/>
  <c r="D1562" i="3"/>
  <c r="E1562" i="3"/>
  <c r="F1562" i="3"/>
  <c r="G1562" i="3"/>
  <c r="H1562" i="3"/>
  <c r="J1562" i="3"/>
  <c r="K1562" i="3"/>
  <c r="L1562" i="3"/>
  <c r="M1562" i="3"/>
  <c r="D1563" i="3"/>
  <c r="E1563" i="3"/>
  <c r="F1563" i="3"/>
  <c r="G1563" i="3"/>
  <c r="H1563" i="3"/>
  <c r="J1563" i="3"/>
  <c r="K1563" i="3"/>
  <c r="L1563" i="3"/>
  <c r="M1563" i="3"/>
  <c r="D1564" i="3"/>
  <c r="E1564" i="3"/>
  <c r="F1564" i="3"/>
  <c r="G1564" i="3"/>
  <c r="H1564" i="3"/>
  <c r="J1564" i="3"/>
  <c r="K1564" i="3"/>
  <c r="L1564" i="3"/>
  <c r="M1564" i="3"/>
  <c r="D1565" i="3"/>
  <c r="E1565" i="3"/>
  <c r="F1565" i="3"/>
  <c r="G1565" i="3"/>
  <c r="H1565" i="3"/>
  <c r="J1565" i="3"/>
  <c r="K1565" i="3"/>
  <c r="L1565" i="3"/>
  <c r="M1565" i="3"/>
  <c r="D1566" i="3"/>
  <c r="E1566" i="3"/>
  <c r="F1566" i="3"/>
  <c r="G1566" i="3"/>
  <c r="H1566" i="3"/>
  <c r="J1566" i="3"/>
  <c r="K1566" i="3"/>
  <c r="L1566" i="3"/>
  <c r="M1566" i="3"/>
  <c r="D1567" i="3"/>
  <c r="E1567" i="3"/>
  <c r="F1567" i="3"/>
  <c r="G1567" i="3"/>
  <c r="H1567" i="3"/>
  <c r="J1567" i="3"/>
  <c r="K1567" i="3"/>
  <c r="L1567" i="3"/>
  <c r="M1567" i="3"/>
  <c r="D1568" i="3"/>
  <c r="E1568" i="3"/>
  <c r="F1568" i="3"/>
  <c r="G1568" i="3"/>
  <c r="H1568" i="3"/>
  <c r="J1568" i="3"/>
  <c r="K1568" i="3"/>
  <c r="L1568" i="3"/>
  <c r="M1568" i="3"/>
  <c r="D1569" i="3"/>
  <c r="E1569" i="3"/>
  <c r="F1569" i="3"/>
  <c r="G1569" i="3"/>
  <c r="H1569" i="3"/>
  <c r="J1569" i="3"/>
  <c r="K1569" i="3"/>
  <c r="L1569" i="3"/>
  <c r="M1569" i="3"/>
  <c r="D1570" i="3"/>
  <c r="E1570" i="3"/>
  <c r="F1570" i="3"/>
  <c r="G1570" i="3"/>
  <c r="H1570" i="3"/>
  <c r="J1570" i="3"/>
  <c r="K1570" i="3"/>
  <c r="L1570" i="3"/>
  <c r="M1570" i="3"/>
  <c r="D1571" i="3"/>
  <c r="E1571" i="3"/>
  <c r="F1571" i="3"/>
  <c r="G1571" i="3"/>
  <c r="H1571" i="3"/>
  <c r="J1571" i="3"/>
  <c r="K1571" i="3"/>
  <c r="L1571" i="3"/>
  <c r="M1571" i="3"/>
  <c r="D1572" i="3"/>
  <c r="E1572" i="3"/>
  <c r="F1572" i="3"/>
  <c r="G1572" i="3"/>
  <c r="H1572" i="3"/>
  <c r="J1572" i="3"/>
  <c r="K1572" i="3"/>
  <c r="L1572" i="3"/>
  <c r="M1572" i="3"/>
  <c r="D1573" i="3"/>
  <c r="E1573" i="3"/>
  <c r="F1573" i="3"/>
  <c r="G1573" i="3"/>
  <c r="H1573" i="3"/>
  <c r="J1573" i="3"/>
  <c r="K1573" i="3"/>
  <c r="L1573" i="3"/>
  <c r="M1573" i="3"/>
  <c r="D1574" i="3"/>
  <c r="E1574" i="3"/>
  <c r="F1574" i="3"/>
  <c r="G1574" i="3"/>
  <c r="H1574" i="3"/>
  <c r="J1574" i="3"/>
  <c r="K1574" i="3"/>
  <c r="L1574" i="3"/>
  <c r="M1574" i="3"/>
  <c r="D1575" i="3"/>
  <c r="E1575" i="3"/>
  <c r="F1575" i="3"/>
  <c r="G1575" i="3"/>
  <c r="H1575" i="3"/>
  <c r="J1575" i="3"/>
  <c r="K1575" i="3"/>
  <c r="L1575" i="3"/>
  <c r="M1575" i="3"/>
  <c r="D1576" i="3"/>
  <c r="E1576" i="3"/>
  <c r="F1576" i="3"/>
  <c r="G1576" i="3"/>
  <c r="H1576" i="3"/>
  <c r="J1576" i="3"/>
  <c r="K1576" i="3"/>
  <c r="L1576" i="3"/>
  <c r="M1576" i="3"/>
  <c r="D1577" i="3"/>
  <c r="E1577" i="3"/>
  <c r="F1577" i="3"/>
  <c r="G1577" i="3"/>
  <c r="H1577" i="3"/>
  <c r="J1577" i="3"/>
  <c r="K1577" i="3"/>
  <c r="L1577" i="3"/>
  <c r="M1577" i="3"/>
  <c r="D1578" i="3"/>
  <c r="E1578" i="3"/>
  <c r="F1578" i="3"/>
  <c r="G1578" i="3"/>
  <c r="H1578" i="3"/>
  <c r="J1578" i="3"/>
  <c r="K1578" i="3"/>
  <c r="L1578" i="3"/>
  <c r="M1578" i="3"/>
  <c r="D1579" i="3"/>
  <c r="E1579" i="3"/>
  <c r="F1579" i="3"/>
  <c r="G1579" i="3"/>
  <c r="H1579" i="3"/>
  <c r="J1579" i="3"/>
  <c r="K1579" i="3"/>
  <c r="L1579" i="3"/>
  <c r="M1579" i="3"/>
  <c r="D1580" i="3"/>
  <c r="E1580" i="3"/>
  <c r="F1580" i="3"/>
  <c r="G1580" i="3"/>
  <c r="H1580" i="3"/>
  <c r="J1580" i="3"/>
  <c r="K1580" i="3"/>
  <c r="L1580" i="3"/>
  <c r="M1580" i="3"/>
  <c r="D1581" i="3"/>
  <c r="E1581" i="3"/>
  <c r="F1581" i="3"/>
  <c r="G1581" i="3"/>
  <c r="H1581" i="3"/>
  <c r="J1581" i="3"/>
  <c r="K1581" i="3"/>
  <c r="L1581" i="3"/>
  <c r="M1581" i="3"/>
  <c r="D1582" i="3"/>
  <c r="E1582" i="3"/>
  <c r="F1582" i="3"/>
  <c r="G1582" i="3"/>
  <c r="H1582" i="3"/>
  <c r="J1582" i="3"/>
  <c r="K1582" i="3"/>
  <c r="L1582" i="3"/>
  <c r="M1582" i="3"/>
  <c r="D1583" i="3"/>
  <c r="E1583" i="3"/>
  <c r="F1583" i="3"/>
  <c r="G1583" i="3"/>
  <c r="H1583" i="3"/>
  <c r="J1583" i="3"/>
  <c r="K1583" i="3"/>
  <c r="L1583" i="3"/>
  <c r="M1583" i="3"/>
  <c r="D1584" i="3"/>
  <c r="E1584" i="3"/>
  <c r="F1584" i="3"/>
  <c r="G1584" i="3"/>
  <c r="H1584" i="3"/>
  <c r="J1584" i="3"/>
  <c r="K1584" i="3"/>
  <c r="L1584" i="3"/>
  <c r="M1584" i="3"/>
  <c r="D1585" i="3"/>
  <c r="E1585" i="3"/>
  <c r="F1585" i="3"/>
  <c r="G1585" i="3"/>
  <c r="H1585" i="3"/>
  <c r="J1585" i="3"/>
  <c r="K1585" i="3"/>
  <c r="L1585" i="3"/>
  <c r="M1585" i="3"/>
  <c r="D1586" i="3"/>
  <c r="E1586" i="3"/>
  <c r="F1586" i="3"/>
  <c r="G1586" i="3"/>
  <c r="H1586" i="3"/>
  <c r="J1586" i="3"/>
  <c r="K1586" i="3"/>
  <c r="L1586" i="3"/>
  <c r="M1586" i="3"/>
  <c r="D1587" i="3"/>
  <c r="E1587" i="3"/>
  <c r="F1587" i="3"/>
  <c r="G1587" i="3"/>
  <c r="H1587" i="3"/>
  <c r="J1587" i="3"/>
  <c r="K1587" i="3"/>
  <c r="L1587" i="3"/>
  <c r="M1587" i="3"/>
  <c r="D1588" i="3"/>
  <c r="E1588" i="3"/>
  <c r="F1588" i="3"/>
  <c r="G1588" i="3"/>
  <c r="H1588" i="3"/>
  <c r="J1588" i="3"/>
  <c r="K1588" i="3"/>
  <c r="L1588" i="3"/>
  <c r="M1588" i="3"/>
  <c r="D1589" i="3"/>
  <c r="E1589" i="3"/>
  <c r="F1589" i="3"/>
  <c r="G1589" i="3"/>
  <c r="H1589" i="3"/>
  <c r="J1589" i="3"/>
  <c r="K1589" i="3"/>
  <c r="L1589" i="3"/>
  <c r="M1589" i="3"/>
  <c r="D1590" i="3"/>
  <c r="E1590" i="3"/>
  <c r="F1590" i="3"/>
  <c r="G1590" i="3"/>
  <c r="H1590" i="3"/>
  <c r="J1590" i="3"/>
  <c r="K1590" i="3"/>
  <c r="L1590" i="3"/>
  <c r="M1590" i="3"/>
  <c r="D1591" i="3"/>
  <c r="E1591" i="3"/>
  <c r="F1591" i="3"/>
  <c r="G1591" i="3"/>
  <c r="H1591" i="3"/>
  <c r="J1591" i="3"/>
  <c r="K1591" i="3"/>
  <c r="L1591" i="3"/>
  <c r="M1591" i="3"/>
  <c r="D1592" i="3"/>
  <c r="E1592" i="3"/>
  <c r="F1592" i="3"/>
  <c r="G1592" i="3"/>
  <c r="H1592" i="3"/>
  <c r="J1592" i="3"/>
  <c r="K1592" i="3"/>
  <c r="L1592" i="3"/>
  <c r="M1592" i="3"/>
  <c r="D1593" i="3"/>
  <c r="E1593" i="3"/>
  <c r="F1593" i="3"/>
  <c r="G1593" i="3"/>
  <c r="H1593" i="3"/>
  <c r="J1593" i="3"/>
  <c r="K1593" i="3"/>
  <c r="L1593" i="3"/>
  <c r="M1593" i="3"/>
  <c r="D1594" i="3"/>
  <c r="E1594" i="3"/>
  <c r="F1594" i="3"/>
  <c r="G1594" i="3"/>
  <c r="H1594" i="3"/>
  <c r="J1594" i="3"/>
  <c r="K1594" i="3"/>
  <c r="L1594" i="3"/>
  <c r="M1594" i="3"/>
  <c r="D1595" i="3"/>
  <c r="E1595" i="3"/>
  <c r="F1595" i="3"/>
  <c r="G1595" i="3"/>
  <c r="H1595" i="3"/>
  <c r="J1595" i="3"/>
  <c r="K1595" i="3"/>
  <c r="L1595" i="3"/>
  <c r="M1595" i="3"/>
  <c r="D1596" i="3"/>
  <c r="E1596" i="3"/>
  <c r="F1596" i="3"/>
  <c r="G1596" i="3"/>
  <c r="H1596" i="3"/>
  <c r="J1596" i="3"/>
  <c r="K1596" i="3"/>
  <c r="L1596" i="3"/>
  <c r="M1596" i="3"/>
  <c r="D1597" i="3"/>
  <c r="E1597" i="3"/>
  <c r="F1597" i="3"/>
  <c r="G1597" i="3"/>
  <c r="H1597" i="3"/>
  <c r="J1597" i="3"/>
  <c r="K1597" i="3"/>
  <c r="L1597" i="3"/>
  <c r="M1597" i="3"/>
  <c r="D1598" i="3"/>
  <c r="E1598" i="3"/>
  <c r="F1598" i="3"/>
  <c r="G1598" i="3"/>
  <c r="H1598" i="3"/>
  <c r="J1598" i="3"/>
  <c r="K1598" i="3"/>
  <c r="L1598" i="3"/>
  <c r="M1598" i="3"/>
  <c r="D1599" i="3"/>
  <c r="E1599" i="3"/>
  <c r="F1599" i="3"/>
  <c r="G1599" i="3"/>
  <c r="H1599" i="3"/>
  <c r="J1599" i="3"/>
  <c r="K1599" i="3"/>
  <c r="L1599" i="3"/>
  <c r="M1599" i="3"/>
  <c r="D1600" i="3"/>
  <c r="E1600" i="3"/>
  <c r="F1600" i="3"/>
  <c r="G1600" i="3"/>
  <c r="H1600" i="3"/>
  <c r="J1600" i="3"/>
  <c r="K1600" i="3"/>
  <c r="L1600" i="3"/>
  <c r="M1600" i="3"/>
  <c r="D1601" i="3"/>
  <c r="E1601" i="3"/>
  <c r="F1601" i="3"/>
  <c r="G1601" i="3"/>
  <c r="H1601" i="3"/>
  <c r="J1601" i="3"/>
  <c r="K1601" i="3"/>
  <c r="L1601" i="3"/>
  <c r="M1601" i="3"/>
  <c r="D1602" i="3"/>
  <c r="E1602" i="3"/>
  <c r="F1602" i="3"/>
  <c r="G1602" i="3"/>
  <c r="H1602" i="3"/>
  <c r="J1602" i="3"/>
  <c r="K1602" i="3"/>
  <c r="L1602" i="3"/>
  <c r="M1602" i="3"/>
  <c r="D1603" i="3"/>
  <c r="E1603" i="3"/>
  <c r="F1603" i="3"/>
  <c r="G1603" i="3"/>
  <c r="H1603" i="3"/>
  <c r="J1603" i="3"/>
  <c r="K1603" i="3"/>
  <c r="L1603" i="3"/>
  <c r="M1603" i="3"/>
  <c r="D1604" i="3"/>
  <c r="E1604" i="3"/>
  <c r="F1604" i="3"/>
  <c r="G1604" i="3"/>
  <c r="H1604" i="3"/>
  <c r="J1604" i="3"/>
  <c r="K1604" i="3"/>
  <c r="L1604" i="3"/>
  <c r="M1604" i="3"/>
  <c r="D1605" i="3"/>
  <c r="E1605" i="3"/>
  <c r="F1605" i="3"/>
  <c r="G1605" i="3"/>
  <c r="H1605" i="3"/>
  <c r="J1605" i="3"/>
  <c r="K1605" i="3"/>
  <c r="L1605" i="3"/>
  <c r="M1605" i="3"/>
  <c r="D1606" i="3"/>
  <c r="E1606" i="3"/>
  <c r="F1606" i="3"/>
  <c r="G1606" i="3"/>
  <c r="H1606" i="3"/>
  <c r="J1606" i="3"/>
  <c r="K1606" i="3"/>
  <c r="L1606" i="3"/>
  <c r="M1606" i="3"/>
  <c r="D1607" i="3"/>
  <c r="E1607" i="3"/>
  <c r="F1607" i="3"/>
  <c r="G1607" i="3"/>
  <c r="H1607" i="3"/>
  <c r="J1607" i="3"/>
  <c r="K1607" i="3"/>
  <c r="L1607" i="3"/>
  <c r="M1607" i="3"/>
  <c r="D1608" i="3"/>
  <c r="E1608" i="3"/>
  <c r="F1608" i="3"/>
  <c r="G1608" i="3"/>
  <c r="H1608" i="3"/>
  <c r="J1608" i="3"/>
  <c r="K1608" i="3"/>
  <c r="L1608" i="3"/>
  <c r="M1608" i="3"/>
  <c r="AT1608" i="3"/>
  <c r="AT1613" i="3"/>
  <c r="BB1613" i="3"/>
  <c r="AT1614" i="3"/>
  <c r="BB1614" i="3"/>
  <c r="AT1615" i="3"/>
  <c r="BB1615" i="3"/>
  <c r="AT1616" i="3"/>
  <c r="BB1616" i="3"/>
  <c r="AT1617" i="3"/>
  <c r="BB1617" i="3"/>
  <c r="AT1618" i="3"/>
  <c r="BB1618" i="3"/>
  <c r="AT1619" i="3"/>
  <c r="BB1619" i="3"/>
  <c r="AT1620" i="3"/>
  <c r="BB1620" i="3"/>
  <c r="AT1621" i="3"/>
  <c r="BB1621" i="3"/>
  <c r="AT1622" i="3"/>
  <c r="BB1622" i="3"/>
  <c r="AT1623" i="3"/>
  <c r="BB1623" i="3"/>
  <c r="AT1624" i="3"/>
  <c r="BB1624" i="3"/>
  <c r="AT1625" i="3"/>
  <c r="BB1625" i="3"/>
  <c r="AT1626" i="3"/>
  <c r="BB1626" i="3"/>
  <c r="AT1627" i="3"/>
  <c r="BB1627" i="3"/>
  <c r="AT1628" i="3"/>
  <c r="BB1628" i="3"/>
  <c r="AT1629" i="3"/>
  <c r="BB1629" i="3"/>
  <c r="AT1630" i="3"/>
  <c r="BB1630" i="3"/>
  <c r="AT1633" i="3"/>
  <c r="BB1633" i="3"/>
  <c r="AT1634" i="3"/>
  <c r="BB1634" i="3"/>
  <c r="AT1635" i="3"/>
  <c r="BB1635" i="3"/>
  <c r="AT1636" i="3"/>
  <c r="BB1636" i="3"/>
  <c r="AT1637" i="3"/>
  <c r="BB1637" i="3"/>
  <c r="AT1638" i="3"/>
  <c r="BB1638" i="3"/>
  <c r="AT1639" i="3"/>
  <c r="BB1639" i="3"/>
  <c r="AT1640" i="3"/>
  <c r="BB1640" i="3"/>
  <c r="AT1641" i="3"/>
  <c r="BB1641" i="3"/>
  <c r="AT1645" i="3"/>
  <c r="BB1645" i="3"/>
  <c r="AT1646" i="3"/>
  <c r="BB1646" i="3"/>
  <c r="AT1647" i="3"/>
  <c r="BB1647" i="3"/>
  <c r="AT1648" i="3"/>
  <c r="BB1648" i="3"/>
  <c r="AT1649" i="3"/>
  <c r="BB1649" i="3"/>
  <c r="AT1650" i="3"/>
  <c r="BB1650" i="3"/>
  <c r="AT1651" i="3"/>
  <c r="BB1651" i="3"/>
  <c r="AT1652" i="3"/>
  <c r="BB1652" i="3"/>
  <c r="AT1653" i="3"/>
  <c r="BB1653" i="3"/>
  <c r="AT1654" i="3"/>
  <c r="BB1654" i="3"/>
  <c r="AT1655" i="3"/>
  <c r="BB1655" i="3"/>
  <c r="AT1656" i="3"/>
  <c r="BB1656" i="3"/>
  <c r="AT1657" i="3"/>
  <c r="BB1657" i="3"/>
  <c r="AT1658" i="3"/>
  <c r="BB1658" i="3"/>
  <c r="AT1659" i="3"/>
  <c r="BB1659" i="3"/>
  <c r="AT1660" i="3"/>
  <c r="BB1660" i="3"/>
  <c r="AT1661" i="3"/>
  <c r="BB1661" i="3"/>
  <c r="AT1662" i="3"/>
  <c r="BB1662" i="3"/>
  <c r="AT1663" i="3"/>
  <c r="BB1663" i="3"/>
  <c r="AT1664" i="3"/>
  <c r="BB1664" i="3"/>
  <c r="AT1665" i="3"/>
  <c r="BB1665" i="3"/>
  <c r="AT1666" i="3"/>
  <c r="BB1666" i="3"/>
  <c r="AT1667" i="3"/>
  <c r="BB1667" i="3"/>
  <c r="AT1668" i="3"/>
  <c r="BB1668" i="3"/>
  <c r="AT1669" i="3"/>
  <c r="BB1669" i="3"/>
  <c r="AT1670" i="3"/>
  <c r="BB1670" i="3"/>
  <c r="AT1671" i="3"/>
  <c r="BB1671" i="3"/>
  <c r="AT1672" i="3"/>
  <c r="BB1672" i="3"/>
  <c r="AT1673" i="3"/>
  <c r="BB1673" i="3"/>
  <c r="AT1674" i="3"/>
  <c r="BB1674" i="3"/>
  <c r="AT1675" i="3"/>
  <c r="BB1675" i="3"/>
  <c r="AT1676" i="3"/>
  <c r="BB1676" i="3"/>
  <c r="AT1677" i="3"/>
  <c r="BB1677" i="3"/>
  <c r="AT1678" i="3"/>
  <c r="BB1678" i="3"/>
  <c r="AT1679" i="3"/>
  <c r="BB1679" i="3"/>
  <c r="AT1680" i="3"/>
  <c r="BB1680" i="3"/>
  <c r="AT1681" i="3"/>
  <c r="BB1681" i="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F5" i="4"/>
  <c r="G5" i="4"/>
  <c r="I5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E10" i="4"/>
  <c r="F10" i="4"/>
  <c r="G10" i="4"/>
  <c r="I10" i="4"/>
  <c r="E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E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I38" i="4"/>
  <c r="A39" i="4"/>
  <c r="B39" i="4"/>
  <c r="C39" i="4"/>
  <c r="D39" i="4"/>
  <c r="E39" i="4"/>
  <c r="F39" i="4"/>
  <c r="G39" i="4"/>
  <c r="I39" i="4"/>
  <c r="A40" i="4"/>
  <c r="B40" i="4"/>
  <c r="C40" i="4"/>
  <c r="D40" i="4"/>
  <c r="E40" i="4"/>
  <c r="F40" i="4"/>
  <c r="G40" i="4"/>
  <c r="I40" i="4"/>
  <c r="A41" i="4"/>
  <c r="B41" i="4"/>
  <c r="C41" i="4"/>
  <c r="D41" i="4"/>
  <c r="E41" i="4"/>
  <c r="F41" i="4"/>
  <c r="G41" i="4"/>
  <c r="I41" i="4"/>
  <c r="A42" i="4"/>
  <c r="B42" i="4"/>
  <c r="C42" i="4"/>
  <c r="E42" i="4"/>
  <c r="F42" i="4"/>
  <c r="G42" i="4"/>
  <c r="I42" i="4"/>
  <c r="A43" i="4"/>
  <c r="B43" i="4"/>
  <c r="C43" i="4"/>
  <c r="D43" i="4"/>
  <c r="E43" i="4"/>
  <c r="F43" i="4"/>
  <c r="G43" i="4"/>
  <c r="I43" i="4"/>
  <c r="A44" i="4"/>
  <c r="B44" i="4"/>
  <c r="C44" i="4"/>
  <c r="D44" i="4"/>
  <c r="E44" i="4"/>
  <c r="F44" i="4"/>
  <c r="G44" i="4"/>
  <c r="I44" i="4"/>
  <c r="E45" i="4"/>
  <c r="A46" i="4"/>
  <c r="B46" i="4"/>
  <c r="C46" i="4"/>
  <c r="D46" i="4"/>
  <c r="E46" i="4"/>
  <c r="F46" i="4"/>
  <c r="I46" i="4"/>
  <c r="A47" i="4"/>
  <c r="B47" i="4"/>
  <c r="C47" i="4"/>
  <c r="D47" i="4"/>
  <c r="E47" i="4"/>
  <c r="F47" i="4"/>
  <c r="G47" i="4"/>
  <c r="I47" i="4"/>
  <c r="A48" i="4"/>
  <c r="B48" i="4"/>
  <c r="C48" i="4"/>
  <c r="E48" i="4"/>
  <c r="F48" i="4"/>
  <c r="G48" i="4"/>
  <c r="I48" i="4"/>
  <c r="A49" i="4"/>
  <c r="B49" i="4"/>
  <c r="C49" i="4"/>
  <c r="D49" i="4"/>
  <c r="E49" i="4"/>
  <c r="F49" i="4"/>
  <c r="G49" i="4"/>
  <c r="I49" i="4"/>
  <c r="K49" i="4"/>
  <c r="L49" i="4"/>
  <c r="M49" i="4"/>
  <c r="N49" i="4"/>
  <c r="O49" i="4"/>
  <c r="P49" i="4"/>
  <c r="A50" i="4"/>
  <c r="B50" i="4"/>
  <c r="C50" i="4"/>
  <c r="D50" i="4"/>
  <c r="E50" i="4"/>
  <c r="F50" i="4"/>
  <c r="G50" i="4"/>
  <c r="I50" i="4"/>
  <c r="A51" i="4"/>
  <c r="B51" i="4"/>
  <c r="C51" i="4"/>
  <c r="D51" i="4"/>
  <c r="E51" i="4"/>
  <c r="F51" i="4"/>
  <c r="G51" i="4"/>
  <c r="I51" i="4"/>
  <c r="A52" i="4"/>
  <c r="B52" i="4"/>
  <c r="C52" i="4"/>
  <c r="D52" i="4"/>
  <c r="E52" i="4"/>
  <c r="F52" i="4"/>
  <c r="G52" i="4"/>
  <c r="I52" i="4"/>
  <c r="E53" i="4"/>
  <c r="F54" i="4"/>
  <c r="G54" i="4"/>
  <c r="I54" i="4"/>
  <c r="F55" i="4"/>
  <c r="G55" i="4"/>
  <c r="F56" i="4"/>
  <c r="G56" i="4"/>
  <c r="K61" i="4"/>
  <c r="L61" i="4"/>
  <c r="M61" i="4"/>
  <c r="N61" i="4"/>
  <c r="O61" i="4"/>
  <c r="P61" i="4"/>
  <c r="K73" i="4"/>
  <c r="L73" i="4"/>
  <c r="M73" i="4"/>
  <c r="N73" i="4"/>
  <c r="O73" i="4"/>
  <c r="P73" i="4"/>
  <c r="K85" i="4"/>
  <c r="L85" i="4"/>
  <c r="M85" i="4"/>
  <c r="N85" i="4"/>
  <c r="O85" i="4"/>
  <c r="P85" i="4"/>
  <c r="K97" i="4"/>
  <c r="L97" i="4"/>
  <c r="M97" i="4"/>
  <c r="E28" i="8"/>
  <c r="E99" i="4"/>
  <c r="D63" i="8"/>
  <c r="F101" i="4"/>
  <c r="F102" i="4"/>
  <c r="A28" i="8"/>
  <c r="E100" i="4"/>
  <c r="I28" i="8"/>
  <c r="E101" i="4"/>
  <c r="E111" i="4"/>
  <c r="F113" i="4"/>
  <c r="F114" i="4"/>
  <c r="E112" i="4"/>
  <c r="E113" i="4"/>
  <c r="E114" i="4"/>
  <c r="E123" i="4"/>
  <c r="D68" i="8"/>
  <c r="F125" i="4"/>
  <c r="E124" i="4"/>
  <c r="E125" i="4"/>
  <c r="E126" i="4"/>
  <c r="E137" i="4"/>
  <c r="K136" i="4"/>
  <c r="E138" i="4"/>
  <c r="L136" i="4"/>
  <c r="E139" i="4"/>
  <c r="M136" i="4"/>
  <c r="E140" i="4"/>
  <c r="N136" i="4"/>
  <c r="E141" i="4"/>
  <c r="O136" i="4"/>
  <c r="E142" i="4"/>
  <c r="P136" i="4"/>
  <c r="E143" i="4"/>
  <c r="Q136" i="4"/>
  <c r="E144" i="4"/>
  <c r="R136" i="4"/>
  <c r="A137" i="4"/>
  <c r="B137" i="4"/>
  <c r="C137" i="4"/>
  <c r="F137" i="4"/>
  <c r="G137" i="4"/>
  <c r="I137" i="4"/>
  <c r="J137" i="4"/>
  <c r="A138" i="4"/>
  <c r="B138" i="4"/>
  <c r="C138" i="4"/>
  <c r="F138" i="4"/>
  <c r="G138" i="4"/>
  <c r="I138" i="4"/>
  <c r="J138" i="4"/>
  <c r="A139" i="4"/>
  <c r="B139" i="4"/>
  <c r="C139" i="4"/>
  <c r="F139" i="4"/>
  <c r="G139" i="4"/>
  <c r="I139" i="4"/>
  <c r="J139" i="4"/>
  <c r="A140" i="4"/>
  <c r="B140" i="4"/>
  <c r="C140" i="4"/>
  <c r="F140" i="4"/>
  <c r="G140" i="4"/>
  <c r="I140" i="4"/>
  <c r="J140" i="4"/>
  <c r="A141" i="4"/>
  <c r="B141" i="4"/>
  <c r="C141" i="4"/>
  <c r="F141" i="4"/>
  <c r="G141" i="4"/>
  <c r="I141" i="4"/>
  <c r="J141" i="4"/>
  <c r="A142" i="4"/>
  <c r="B142" i="4"/>
  <c r="C142" i="4"/>
  <c r="F142" i="4"/>
  <c r="G142" i="4"/>
  <c r="I142" i="4"/>
  <c r="J142" i="4"/>
  <c r="A143" i="4"/>
  <c r="B143" i="4"/>
  <c r="C143" i="4"/>
  <c r="F143" i="4"/>
  <c r="G143" i="4"/>
  <c r="I143" i="4"/>
  <c r="J143" i="4"/>
  <c r="A144" i="4"/>
  <c r="B144" i="4"/>
  <c r="C144" i="4"/>
  <c r="F144" i="4"/>
  <c r="G144" i="4"/>
  <c r="I144" i="4"/>
  <c r="J144" i="4"/>
  <c r="E151" i="4"/>
  <c r="K150" i="4"/>
  <c r="E152" i="4"/>
  <c r="L150" i="4"/>
  <c r="E153" i="4"/>
  <c r="M150" i="4"/>
  <c r="E154" i="4"/>
  <c r="N150" i="4"/>
  <c r="E155" i="4"/>
  <c r="O150" i="4"/>
  <c r="E156" i="4"/>
  <c r="P150" i="4"/>
  <c r="E157" i="4"/>
  <c r="Q150" i="4"/>
  <c r="E158" i="4"/>
  <c r="R150" i="4"/>
  <c r="A151" i="4"/>
  <c r="B151" i="4"/>
  <c r="C151" i="4"/>
  <c r="F151" i="4"/>
  <c r="G151" i="4"/>
  <c r="I151" i="4"/>
  <c r="J151" i="4"/>
  <c r="A152" i="4"/>
  <c r="B152" i="4"/>
  <c r="C152" i="4"/>
  <c r="F152" i="4"/>
  <c r="G152" i="4"/>
  <c r="I152" i="4"/>
  <c r="J152" i="4"/>
  <c r="A153" i="4"/>
  <c r="B153" i="4"/>
  <c r="C153" i="4"/>
  <c r="F153" i="4"/>
  <c r="G153" i="4"/>
  <c r="I153" i="4"/>
  <c r="J153" i="4"/>
  <c r="A154" i="4"/>
  <c r="B154" i="4"/>
  <c r="C154" i="4"/>
  <c r="F154" i="4"/>
  <c r="G154" i="4"/>
  <c r="I154" i="4"/>
  <c r="J154" i="4"/>
  <c r="A155" i="4"/>
  <c r="B155" i="4"/>
  <c r="C155" i="4"/>
  <c r="F155" i="4"/>
  <c r="G155" i="4"/>
  <c r="I155" i="4"/>
  <c r="J155" i="4"/>
  <c r="A156" i="4"/>
  <c r="B156" i="4"/>
  <c r="C156" i="4"/>
  <c r="F156" i="4"/>
  <c r="G156" i="4"/>
  <c r="I156" i="4"/>
  <c r="J156" i="4"/>
  <c r="A157" i="4"/>
  <c r="B157" i="4"/>
  <c r="C157" i="4"/>
  <c r="F157" i="4"/>
  <c r="G157" i="4"/>
  <c r="I157" i="4"/>
  <c r="J157" i="4"/>
  <c r="A158" i="4"/>
  <c r="B158" i="4"/>
  <c r="C158" i="4"/>
  <c r="F158" i="4"/>
  <c r="G158" i="4"/>
  <c r="I158" i="4"/>
  <c r="J158" i="4"/>
  <c r="A159" i="4"/>
  <c r="B159" i="4"/>
  <c r="C159" i="4"/>
  <c r="E159" i="4"/>
  <c r="F159" i="4"/>
  <c r="G159" i="4"/>
  <c r="I159" i="4"/>
  <c r="J159" i="4"/>
  <c r="A160" i="4"/>
  <c r="B160" i="4"/>
  <c r="C160" i="4"/>
  <c r="E160" i="4"/>
  <c r="F160" i="4"/>
  <c r="G160" i="4"/>
  <c r="I160" i="4"/>
  <c r="J160" i="4"/>
  <c r="A161" i="4"/>
  <c r="B161" i="4"/>
  <c r="C161" i="4"/>
  <c r="E161" i="4"/>
  <c r="F161" i="4"/>
  <c r="G161" i="4"/>
  <c r="I161" i="4"/>
  <c r="J161" i="4"/>
  <c r="A162" i="4"/>
  <c r="B162" i="4"/>
  <c r="C162" i="4"/>
  <c r="E162" i="4"/>
  <c r="F162" i="4"/>
  <c r="G162" i="4"/>
  <c r="I162" i="4"/>
  <c r="J162" i="4"/>
  <c r="K162" i="4"/>
  <c r="L162" i="4"/>
  <c r="M162" i="4"/>
  <c r="N162" i="4"/>
  <c r="E163" i="4"/>
  <c r="O162" i="4"/>
  <c r="E164" i="4"/>
  <c r="P162" i="4"/>
  <c r="E165" i="4"/>
  <c r="Q162" i="4"/>
  <c r="E166" i="4"/>
  <c r="R162" i="4"/>
  <c r="A163" i="4"/>
  <c r="B163" i="4"/>
  <c r="C163" i="4"/>
  <c r="F163" i="4"/>
  <c r="G163" i="4"/>
  <c r="I163" i="4"/>
  <c r="J163" i="4"/>
  <c r="A164" i="4"/>
  <c r="B164" i="4"/>
  <c r="C164" i="4"/>
  <c r="F164" i="4"/>
  <c r="G164" i="4"/>
  <c r="I164" i="4"/>
  <c r="J164" i="4"/>
  <c r="A165" i="4"/>
  <c r="B165" i="4"/>
  <c r="C165" i="4"/>
  <c r="F165" i="4"/>
  <c r="G165" i="4"/>
  <c r="I165" i="4"/>
  <c r="J165" i="4"/>
  <c r="A166" i="4"/>
  <c r="B166" i="4"/>
  <c r="C166" i="4"/>
  <c r="F166" i="4"/>
  <c r="G166" i="4"/>
  <c r="I166" i="4"/>
  <c r="J166" i="4"/>
  <c r="E177" i="4"/>
  <c r="K176" i="4"/>
  <c r="E178" i="4"/>
  <c r="L176" i="4"/>
  <c r="E179" i="4"/>
  <c r="M176" i="4"/>
  <c r="E180" i="4"/>
  <c r="N176" i="4"/>
  <c r="E181" i="4"/>
  <c r="O176" i="4"/>
  <c r="E182" i="4"/>
  <c r="P176" i="4"/>
  <c r="E183" i="4"/>
  <c r="Q176" i="4"/>
  <c r="A177" i="4"/>
  <c r="B177" i="4"/>
  <c r="C177" i="4"/>
  <c r="F177" i="4"/>
  <c r="G177" i="4"/>
  <c r="I177" i="4"/>
  <c r="J177" i="4"/>
  <c r="A178" i="4"/>
  <c r="B178" i="4"/>
  <c r="C178" i="4"/>
  <c r="F178" i="4"/>
  <c r="G178" i="4"/>
  <c r="I178" i="4"/>
  <c r="J178" i="4"/>
  <c r="A179" i="4"/>
  <c r="B179" i="4"/>
  <c r="C179" i="4"/>
  <c r="F179" i="4"/>
  <c r="G179" i="4"/>
  <c r="I179" i="4"/>
  <c r="J179" i="4"/>
  <c r="A180" i="4"/>
  <c r="B180" i="4"/>
  <c r="C180" i="4"/>
  <c r="F180" i="4"/>
  <c r="G180" i="4"/>
  <c r="I180" i="4"/>
  <c r="J180" i="4"/>
  <c r="A181" i="4"/>
  <c r="B181" i="4"/>
  <c r="C181" i="4"/>
  <c r="F181" i="4"/>
  <c r="G181" i="4"/>
  <c r="I181" i="4"/>
  <c r="J181" i="4"/>
  <c r="A182" i="4"/>
  <c r="B182" i="4"/>
  <c r="C182" i="4"/>
  <c r="F182" i="4"/>
  <c r="G182" i="4"/>
  <c r="I182" i="4"/>
  <c r="J182" i="4"/>
  <c r="A183" i="4"/>
  <c r="B183" i="4"/>
  <c r="C183" i="4"/>
  <c r="F183" i="4"/>
  <c r="G183" i="4"/>
  <c r="I183" i="4"/>
  <c r="J183" i="4"/>
  <c r="A184" i="4"/>
  <c r="B184" i="4"/>
  <c r="C184" i="4"/>
  <c r="E184" i="4"/>
  <c r="F184" i="4"/>
  <c r="G184" i="4"/>
  <c r="I184" i="4"/>
  <c r="J184" i="4"/>
  <c r="A185" i="4"/>
  <c r="B185" i="4"/>
  <c r="C185" i="4"/>
  <c r="E185" i="4"/>
  <c r="F185" i="4"/>
  <c r="G185" i="4"/>
  <c r="I185" i="4"/>
  <c r="J185" i="4"/>
  <c r="A186" i="4"/>
  <c r="B186" i="4"/>
  <c r="C186" i="4"/>
  <c r="E186" i="4"/>
  <c r="F186" i="4"/>
  <c r="G186" i="4"/>
  <c r="I186" i="4"/>
  <c r="J186" i="4"/>
  <c r="A187" i="4"/>
  <c r="B187" i="4"/>
  <c r="C187" i="4"/>
  <c r="E187" i="4"/>
  <c r="F187" i="4"/>
  <c r="G187" i="4"/>
  <c r="I187" i="4"/>
  <c r="J187" i="4"/>
  <c r="A188" i="4"/>
  <c r="B188" i="4"/>
  <c r="C188" i="4"/>
  <c r="E188" i="4"/>
  <c r="F188" i="4"/>
  <c r="G188" i="4"/>
  <c r="I188" i="4"/>
  <c r="J188" i="4"/>
  <c r="K188" i="4"/>
  <c r="L188" i="4"/>
  <c r="M188" i="4"/>
  <c r="N188" i="4"/>
  <c r="O188" i="4"/>
  <c r="E189" i="4"/>
  <c r="P188" i="4"/>
  <c r="E190" i="4"/>
  <c r="Q188" i="4"/>
  <c r="A189" i="4"/>
  <c r="B189" i="4"/>
  <c r="C189" i="4"/>
  <c r="F189" i="4"/>
  <c r="G189" i="4"/>
  <c r="I189" i="4"/>
  <c r="J189" i="4"/>
  <c r="A190" i="4"/>
  <c r="B190" i="4"/>
  <c r="C190" i="4"/>
  <c r="F190" i="4"/>
  <c r="G190" i="4"/>
  <c r="I190" i="4"/>
  <c r="J190" i="4"/>
  <c r="E203" i="4"/>
  <c r="K202" i="4"/>
  <c r="E204" i="4"/>
  <c r="L202" i="4"/>
  <c r="E205" i="4"/>
  <c r="M202" i="4"/>
  <c r="E206" i="4"/>
  <c r="N202" i="4"/>
  <c r="E207" i="4"/>
  <c r="O202" i="4"/>
  <c r="E208" i="4"/>
  <c r="P202" i="4"/>
  <c r="E209" i="4"/>
  <c r="Q202" i="4"/>
  <c r="A203" i="4"/>
  <c r="B203" i="4"/>
  <c r="C203" i="4"/>
  <c r="F203" i="4"/>
  <c r="G203" i="4"/>
  <c r="I203" i="4"/>
  <c r="J203" i="4"/>
  <c r="A204" i="4"/>
  <c r="B204" i="4"/>
  <c r="C204" i="4"/>
  <c r="F204" i="4"/>
  <c r="G204" i="4"/>
  <c r="I204" i="4"/>
  <c r="J204" i="4"/>
  <c r="A205" i="4"/>
  <c r="B205" i="4"/>
  <c r="C205" i="4"/>
  <c r="F205" i="4"/>
  <c r="G205" i="4"/>
  <c r="I205" i="4"/>
  <c r="J205" i="4"/>
  <c r="A206" i="4"/>
  <c r="B206" i="4"/>
  <c r="C206" i="4"/>
  <c r="F206" i="4"/>
  <c r="G206" i="4"/>
  <c r="I206" i="4"/>
  <c r="J206" i="4"/>
  <c r="A207" i="4"/>
  <c r="B207" i="4"/>
  <c r="C207" i="4"/>
  <c r="F207" i="4"/>
  <c r="G207" i="4"/>
  <c r="I207" i="4"/>
  <c r="J207" i="4"/>
  <c r="A208" i="4"/>
  <c r="B208" i="4"/>
  <c r="C208" i="4"/>
  <c r="F208" i="4"/>
  <c r="G208" i="4"/>
  <c r="I208" i="4"/>
  <c r="J208" i="4"/>
  <c r="A209" i="4"/>
  <c r="B209" i="4"/>
  <c r="C209" i="4"/>
  <c r="F209" i="4"/>
  <c r="G209" i="4"/>
  <c r="I209" i="4"/>
  <c r="J209" i="4"/>
  <c r="A210" i="4"/>
  <c r="B210" i="4"/>
  <c r="C210" i="4"/>
  <c r="E210" i="4"/>
  <c r="F210" i="4"/>
  <c r="G210" i="4"/>
  <c r="I210" i="4"/>
  <c r="J210" i="4"/>
  <c r="A211" i="4"/>
  <c r="B211" i="4"/>
  <c r="C211" i="4"/>
  <c r="E211" i="4"/>
  <c r="F211" i="4"/>
  <c r="G211" i="4"/>
  <c r="I211" i="4"/>
  <c r="J211" i="4"/>
  <c r="A212" i="4"/>
  <c r="B212" i="4"/>
  <c r="C212" i="4"/>
  <c r="E212" i="4"/>
  <c r="F212" i="4"/>
  <c r="G212" i="4"/>
  <c r="I212" i="4"/>
  <c r="J212" i="4"/>
  <c r="K214" i="4"/>
  <c r="L214" i="4"/>
  <c r="M214" i="4"/>
  <c r="E229" i="4"/>
  <c r="K228" i="4"/>
  <c r="E230" i="4"/>
  <c r="L228" i="4"/>
  <c r="E231" i="4"/>
  <c r="M228" i="4"/>
  <c r="E232" i="4"/>
  <c r="N228" i="4"/>
  <c r="E233" i="4"/>
  <c r="O228" i="4"/>
  <c r="A229" i="4"/>
  <c r="B229" i="4"/>
  <c r="C229" i="4"/>
  <c r="F229" i="4"/>
  <c r="G229" i="4"/>
  <c r="I229" i="4"/>
  <c r="J229" i="4"/>
  <c r="A230" i="4"/>
  <c r="B230" i="4"/>
  <c r="C230" i="4"/>
  <c r="F230" i="4"/>
  <c r="G230" i="4"/>
  <c r="I230" i="4"/>
  <c r="J230" i="4"/>
  <c r="A231" i="4"/>
  <c r="B231" i="4"/>
  <c r="C231" i="4"/>
  <c r="F231" i="4"/>
  <c r="G231" i="4"/>
  <c r="I231" i="4"/>
  <c r="J231" i="4"/>
  <c r="A232" i="4"/>
  <c r="B232" i="4"/>
  <c r="C232" i="4"/>
  <c r="F232" i="4"/>
  <c r="G232" i="4"/>
  <c r="I232" i="4"/>
  <c r="J232" i="4"/>
  <c r="A233" i="4"/>
  <c r="B233" i="4"/>
  <c r="C233" i="4"/>
  <c r="F233" i="4"/>
  <c r="G233" i="4"/>
  <c r="I233" i="4"/>
  <c r="J233" i="4"/>
  <c r="E243" i="4"/>
  <c r="K242" i="4"/>
  <c r="E244" i="4"/>
  <c r="L242" i="4"/>
  <c r="E245" i="4"/>
  <c r="M242" i="4"/>
  <c r="E246" i="4"/>
  <c r="N242" i="4"/>
  <c r="E247" i="4"/>
  <c r="O242" i="4"/>
  <c r="E248" i="4"/>
  <c r="P242" i="4"/>
  <c r="E249" i="4"/>
  <c r="Q242" i="4"/>
  <c r="A243" i="4"/>
  <c r="B243" i="4"/>
  <c r="C243" i="4"/>
  <c r="F243" i="4"/>
  <c r="G243" i="4"/>
  <c r="I243" i="4"/>
  <c r="J243" i="4"/>
  <c r="A244" i="4"/>
  <c r="B244" i="4"/>
  <c r="C244" i="4"/>
  <c r="F244" i="4"/>
  <c r="G244" i="4"/>
  <c r="I244" i="4"/>
  <c r="J244" i="4"/>
  <c r="A245" i="4"/>
  <c r="B245" i="4"/>
  <c r="C245" i="4"/>
  <c r="F245" i="4"/>
  <c r="G245" i="4"/>
  <c r="I245" i="4"/>
  <c r="J245" i="4"/>
  <c r="A246" i="4"/>
  <c r="B246" i="4"/>
  <c r="C246" i="4"/>
  <c r="F246" i="4"/>
  <c r="G246" i="4"/>
  <c r="I246" i="4"/>
  <c r="J246" i="4"/>
  <c r="A247" i="4"/>
  <c r="B247" i="4"/>
  <c r="C247" i="4"/>
  <c r="F247" i="4"/>
  <c r="G247" i="4"/>
  <c r="I247" i="4"/>
  <c r="J247" i="4"/>
  <c r="A248" i="4"/>
  <c r="B248" i="4"/>
  <c r="C248" i="4"/>
  <c r="F248" i="4"/>
  <c r="G248" i="4"/>
  <c r="I248" i="4"/>
  <c r="J248" i="4"/>
  <c r="A249" i="4"/>
  <c r="B249" i="4"/>
  <c r="C249" i="4"/>
  <c r="F249" i="4"/>
  <c r="G249" i="4"/>
  <c r="I249" i="4"/>
  <c r="J249" i="4"/>
  <c r="A250" i="4"/>
  <c r="B250" i="4"/>
  <c r="C250" i="4"/>
  <c r="E250" i="4"/>
  <c r="F250" i="4"/>
  <c r="G250" i="4"/>
  <c r="I250" i="4"/>
  <c r="J250" i="4"/>
  <c r="A251" i="4"/>
  <c r="B251" i="4"/>
  <c r="C251" i="4"/>
  <c r="E251" i="4"/>
  <c r="F251" i="4"/>
  <c r="G251" i="4"/>
  <c r="I251" i="4"/>
  <c r="J251" i="4"/>
  <c r="A252" i="4"/>
  <c r="B252" i="4"/>
  <c r="C252" i="4"/>
  <c r="E252" i="4"/>
  <c r="F252" i="4"/>
  <c r="G252" i="4"/>
  <c r="I252" i="4"/>
  <c r="J252" i="4"/>
  <c r="A253" i="4"/>
  <c r="B253" i="4"/>
  <c r="C253" i="4"/>
  <c r="E253" i="4"/>
  <c r="F253" i="4"/>
  <c r="G253" i="4"/>
  <c r="I253" i="4"/>
  <c r="J253" i="4"/>
  <c r="A254" i="4"/>
  <c r="B254" i="4"/>
  <c r="C254" i="4"/>
  <c r="E254" i="4"/>
  <c r="F254" i="4"/>
  <c r="G254" i="4"/>
  <c r="I254" i="4"/>
  <c r="J254" i="4"/>
  <c r="K254" i="4"/>
  <c r="L254" i="4"/>
  <c r="M254" i="4"/>
  <c r="N254" i="4"/>
  <c r="O254" i="4"/>
  <c r="E255" i="4"/>
  <c r="P254" i="4"/>
  <c r="E256" i="4"/>
  <c r="Q254" i="4"/>
  <c r="A255" i="4"/>
  <c r="B255" i="4"/>
  <c r="C255" i="4"/>
  <c r="F255" i="4"/>
  <c r="G255" i="4"/>
  <c r="I255" i="4"/>
  <c r="J255" i="4"/>
  <c r="A256" i="4"/>
  <c r="B256" i="4"/>
  <c r="C256" i="4"/>
  <c r="F256" i="4"/>
  <c r="G256" i="4"/>
  <c r="I256" i="4"/>
  <c r="J256" i="4"/>
  <c r="F1" i="6"/>
  <c r="N1" i="6"/>
  <c r="V1" i="6"/>
  <c r="C53" i="6"/>
  <c r="K54" i="1"/>
  <c r="F53" i="6"/>
  <c r="K53" i="6"/>
  <c r="N53" i="6"/>
  <c r="S53" i="6"/>
  <c r="V53" i="6"/>
  <c r="G2" i="8"/>
  <c r="H2" i="8"/>
  <c r="I2" i="8"/>
  <c r="G15" i="8"/>
  <c r="H15" i="8"/>
  <c r="I15" i="8"/>
  <c r="M28" i="8"/>
  <c r="Q28" i="8"/>
  <c r="U28" i="8"/>
  <c r="B62" i="8"/>
  <c r="C62" i="8"/>
  <c r="D62" i="8"/>
  <c r="E62" i="8"/>
  <c r="F62" i="8"/>
  <c r="H62" i="8"/>
  <c r="D64" i="8"/>
  <c r="D65" i="8"/>
  <c r="D69" i="8"/>
  <c r="D70" i="8"/>
  <c r="D71" i="8"/>
  <c r="B9" i="14"/>
  <c r="G2" i="13"/>
  <c r="C9" i="14"/>
  <c r="G3" i="13"/>
  <c r="D9" i="14"/>
  <c r="G4" i="13"/>
  <c r="E9" i="14"/>
  <c r="G5" i="13"/>
  <c r="F9" i="14"/>
  <c r="G6" i="13"/>
  <c r="G9" i="14"/>
  <c r="G7" i="13"/>
  <c r="H9" i="14"/>
  <c r="G8" i="13"/>
  <c r="I9" i="14"/>
  <c r="G9" i="13"/>
  <c r="J9" i="14"/>
  <c r="G10" i="13"/>
  <c r="K9" i="14"/>
  <c r="G11" i="13"/>
  <c r="L9" i="14"/>
  <c r="G12" i="13"/>
  <c r="M9" i="14"/>
  <c r="G13" i="13"/>
  <c r="O9" i="14"/>
  <c r="G15" i="13"/>
  <c r="P9" i="14"/>
  <c r="G16" i="13"/>
  <c r="Q9" i="14"/>
  <c r="G17" i="13"/>
  <c r="R9" i="14"/>
  <c r="G18" i="13"/>
  <c r="S9" i="14"/>
  <c r="G19" i="13"/>
  <c r="T9" i="14"/>
  <c r="G20" i="13"/>
  <c r="U9" i="14"/>
  <c r="G21" i="13"/>
  <c r="W9" i="14"/>
  <c r="G23" i="13"/>
  <c r="X9" i="14"/>
  <c r="G24" i="13"/>
  <c r="Y9" i="14"/>
  <c r="G25" i="13"/>
  <c r="Z9" i="14"/>
  <c r="G26" i="13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Z2625" i="2"/>
  <c r="AX2625" i="2"/>
  <c r="AW2625" i="2"/>
  <c r="BD2625" i="2"/>
  <c r="BB2625" i="2"/>
  <c r="BC2625" i="2"/>
  <c r="M2625" i="2"/>
  <c r="BB2179" i="2"/>
  <c r="BB2216" i="2"/>
  <c r="BD2179" i="2"/>
  <c r="BD2216" i="2"/>
  <c r="AW2179" i="2"/>
  <c r="CF38" i="1"/>
  <c r="AX2179" i="2"/>
  <c r="AX2216" i="2"/>
  <c r="CG38" i="1"/>
  <c r="AZ2179" i="2"/>
  <c r="AZ2216" i="2"/>
  <c r="CI38" i="1"/>
  <c r="CH38" i="1"/>
  <c r="F37" i="4"/>
  <c r="G37" i="4"/>
  <c r="I37" i="4"/>
  <c r="D37" i="4"/>
  <c r="C37" i="4"/>
  <c r="B37" i="4"/>
  <c r="A37" i="4"/>
  <c r="BC2216" i="2"/>
  <c r="M2216" i="2"/>
  <c r="BC2179" i="2"/>
  <c r="M2179" i="2"/>
  <c r="CF7" i="1"/>
  <c r="CG7" i="1"/>
  <c r="CH7" i="1"/>
  <c r="CI7" i="1"/>
  <c r="AY250" i="2"/>
  <c r="AZ250" i="2"/>
  <c r="AZ267" i="2"/>
  <c r="AX250" i="2"/>
  <c r="AX267" i="2"/>
  <c r="AW250" i="2"/>
  <c r="BD250" i="2"/>
  <c r="BD267" i="2"/>
  <c r="BB250" i="2"/>
  <c r="BB267" i="2"/>
  <c r="F6" i="4"/>
  <c r="G6" i="4"/>
  <c r="I6" i="4"/>
  <c r="D6" i="4"/>
  <c r="C6" i="4"/>
  <c r="B6" i="4"/>
  <c r="A6" i="4"/>
  <c r="BC267" i="2"/>
  <c r="M267" i="2"/>
  <c r="BC250" i="2"/>
  <c r="M250" i="2"/>
  <c r="CS7" i="1"/>
  <c r="BB2878" i="2"/>
  <c r="BB2879" i="2"/>
  <c r="BD2878" i="2"/>
  <c r="BD2879" i="2"/>
  <c r="AW2878" i="2"/>
  <c r="CF46" i="1"/>
  <c r="AX2878" i="2"/>
  <c r="AX2879" i="2"/>
  <c r="CG46" i="1"/>
  <c r="AZ2879" i="2"/>
  <c r="CI46" i="1"/>
  <c r="CH46" i="1"/>
  <c r="F45" i="4"/>
  <c r="G45" i="4"/>
  <c r="I45" i="4"/>
  <c r="D45" i="4"/>
  <c r="C45" i="4"/>
  <c r="B45" i="4"/>
  <c r="A45" i="4"/>
  <c r="BC2879" i="2"/>
  <c r="M2879" i="2"/>
  <c r="BC2878" i="2"/>
  <c r="M2878" i="2"/>
  <c r="CS46" i="1"/>
  <c r="CF54" i="1"/>
  <c r="CG54" i="1"/>
  <c r="CH54" i="1"/>
  <c r="CI54" i="1"/>
  <c r="P56" i="1"/>
  <c r="P57" i="1"/>
  <c r="F53" i="4"/>
  <c r="G53" i="4"/>
  <c r="I53" i="4"/>
  <c r="G54" i="1"/>
  <c r="A53" i="4"/>
  <c r="A54" i="4"/>
  <c r="B53" i="4"/>
  <c r="B54" i="4"/>
  <c r="C53" i="4"/>
  <c r="C54" i="4"/>
  <c r="D53" i="4"/>
  <c r="D54" i="4"/>
  <c r="G86" i="4"/>
  <c r="C63" i="8"/>
  <c r="F99" i="4"/>
  <c r="G12" i="1"/>
  <c r="B63" i="8"/>
  <c r="F100" i="4"/>
  <c r="G99" i="4"/>
  <c r="G100" i="4"/>
  <c r="G101" i="4"/>
  <c r="G102" i="4"/>
  <c r="F111" i="4"/>
  <c r="F112" i="4"/>
  <c r="G111" i="4"/>
  <c r="G112" i="4"/>
  <c r="G113" i="4"/>
  <c r="G114" i="4"/>
  <c r="C2" i="6"/>
  <c r="D2" i="6"/>
  <c r="E2" i="6"/>
  <c r="F2" i="6"/>
  <c r="K2" i="6"/>
  <c r="L2" i="6"/>
  <c r="M2" i="6"/>
  <c r="N2" i="6"/>
  <c r="S2" i="6"/>
  <c r="T2" i="6"/>
  <c r="U2" i="6"/>
  <c r="V2" i="6"/>
  <c r="C3" i="6"/>
  <c r="D3" i="6"/>
  <c r="E3" i="6"/>
  <c r="F3" i="6"/>
  <c r="K3" i="6"/>
  <c r="L3" i="6"/>
  <c r="M3" i="6"/>
  <c r="N3" i="6"/>
  <c r="S3" i="6"/>
  <c r="T3" i="6"/>
  <c r="U3" i="6"/>
  <c r="V3" i="6"/>
  <c r="C4" i="6"/>
  <c r="D4" i="6"/>
  <c r="E4" i="6"/>
  <c r="F4" i="6"/>
  <c r="K4" i="6"/>
  <c r="L4" i="6"/>
  <c r="M4" i="6"/>
  <c r="N4" i="6"/>
  <c r="S4" i="6"/>
  <c r="T4" i="6"/>
  <c r="U4" i="6"/>
  <c r="V4" i="6"/>
  <c r="C5" i="6"/>
  <c r="D5" i="6"/>
  <c r="E5" i="6"/>
  <c r="F5" i="6"/>
  <c r="K5" i="6"/>
  <c r="L5" i="6"/>
  <c r="M5" i="6"/>
  <c r="N5" i="6"/>
  <c r="S5" i="6"/>
  <c r="T5" i="6"/>
  <c r="U5" i="6"/>
  <c r="V5" i="6"/>
  <c r="C6" i="6"/>
  <c r="D6" i="6"/>
  <c r="E6" i="6"/>
  <c r="F6" i="6"/>
  <c r="K6" i="6"/>
  <c r="L6" i="6"/>
  <c r="M6" i="6"/>
  <c r="N6" i="6"/>
  <c r="S6" i="6"/>
  <c r="T6" i="6"/>
  <c r="U6" i="6"/>
  <c r="V6" i="6"/>
  <c r="C7" i="6"/>
  <c r="D7" i="6"/>
  <c r="E7" i="6"/>
  <c r="F7" i="6"/>
  <c r="K7" i="6"/>
  <c r="L7" i="6"/>
  <c r="M7" i="6"/>
  <c r="N7" i="6"/>
  <c r="S7" i="6"/>
  <c r="T7" i="6"/>
  <c r="U7" i="6"/>
  <c r="V7" i="6"/>
  <c r="C8" i="6"/>
  <c r="D8" i="6"/>
  <c r="E8" i="6"/>
  <c r="F8" i="6"/>
  <c r="K8" i="6"/>
  <c r="L8" i="6"/>
  <c r="M8" i="6"/>
  <c r="N8" i="6"/>
  <c r="S8" i="6"/>
  <c r="T8" i="6"/>
  <c r="U8" i="6"/>
  <c r="V8" i="6"/>
  <c r="C9" i="6"/>
  <c r="D9" i="6"/>
  <c r="E9" i="6"/>
  <c r="F9" i="6"/>
  <c r="K9" i="6"/>
  <c r="L9" i="6"/>
  <c r="M9" i="6"/>
  <c r="N9" i="6"/>
  <c r="S9" i="6"/>
  <c r="T9" i="6"/>
  <c r="U9" i="6"/>
  <c r="V9" i="6"/>
  <c r="C10" i="6"/>
  <c r="D10" i="6"/>
  <c r="E10" i="6"/>
  <c r="F10" i="6"/>
  <c r="K10" i="6"/>
  <c r="L10" i="6"/>
  <c r="M10" i="6"/>
  <c r="N10" i="6"/>
  <c r="S10" i="6"/>
  <c r="T10" i="6"/>
  <c r="U10" i="6"/>
  <c r="V10" i="6"/>
  <c r="C11" i="6"/>
  <c r="D11" i="6"/>
  <c r="E11" i="6"/>
  <c r="F11" i="6"/>
  <c r="K11" i="6"/>
  <c r="L11" i="6"/>
  <c r="M11" i="6"/>
  <c r="N11" i="6"/>
  <c r="S11" i="6"/>
  <c r="T11" i="6"/>
  <c r="U11" i="6"/>
  <c r="V11" i="6"/>
  <c r="C12" i="6"/>
  <c r="D12" i="6"/>
  <c r="E12" i="6"/>
  <c r="F12" i="6"/>
  <c r="K12" i="6"/>
  <c r="L12" i="6"/>
  <c r="M12" i="6"/>
  <c r="N12" i="6"/>
  <c r="S12" i="6"/>
  <c r="T12" i="6"/>
  <c r="U12" i="6"/>
  <c r="V12" i="6"/>
  <c r="C13" i="6"/>
  <c r="D13" i="6"/>
  <c r="E13" i="6"/>
  <c r="F13" i="6"/>
  <c r="K13" i="6"/>
  <c r="L13" i="6"/>
  <c r="M13" i="6"/>
  <c r="N13" i="6"/>
  <c r="S13" i="6"/>
  <c r="T13" i="6"/>
  <c r="U13" i="6"/>
  <c r="V13" i="6"/>
  <c r="C14" i="6"/>
  <c r="D14" i="6"/>
  <c r="E14" i="6"/>
  <c r="F14" i="6"/>
  <c r="K14" i="6"/>
  <c r="L14" i="6"/>
  <c r="M14" i="6"/>
  <c r="N14" i="6"/>
  <c r="S14" i="6"/>
  <c r="T14" i="6"/>
  <c r="U14" i="6"/>
  <c r="V14" i="6"/>
  <c r="C15" i="6"/>
  <c r="D15" i="6"/>
  <c r="E15" i="6"/>
  <c r="F15" i="6"/>
  <c r="K15" i="6"/>
  <c r="L15" i="6"/>
  <c r="M15" i="6"/>
  <c r="N15" i="6"/>
  <c r="S15" i="6"/>
  <c r="T15" i="6"/>
  <c r="U15" i="6"/>
  <c r="V15" i="6"/>
  <c r="C16" i="6"/>
  <c r="D16" i="6"/>
  <c r="E16" i="6"/>
  <c r="F16" i="6"/>
  <c r="K16" i="6"/>
  <c r="L16" i="6"/>
  <c r="M16" i="6"/>
  <c r="N16" i="6"/>
  <c r="S16" i="6"/>
  <c r="T16" i="6"/>
  <c r="U16" i="6"/>
  <c r="V16" i="6"/>
  <c r="C17" i="6"/>
  <c r="D17" i="6"/>
  <c r="E17" i="6"/>
  <c r="F17" i="6"/>
  <c r="K17" i="6"/>
  <c r="L17" i="6"/>
  <c r="M17" i="6"/>
  <c r="N17" i="6"/>
  <c r="S17" i="6"/>
  <c r="T17" i="6"/>
  <c r="U17" i="6"/>
  <c r="V17" i="6"/>
  <c r="C18" i="6"/>
  <c r="D18" i="6"/>
  <c r="E18" i="6"/>
  <c r="F18" i="6"/>
  <c r="K18" i="6"/>
  <c r="L18" i="6"/>
  <c r="M18" i="6"/>
  <c r="N18" i="6"/>
  <c r="S18" i="6"/>
  <c r="T18" i="6"/>
  <c r="U18" i="6"/>
  <c r="V18" i="6"/>
  <c r="C19" i="6"/>
  <c r="D19" i="6"/>
  <c r="E19" i="6"/>
  <c r="F19" i="6"/>
  <c r="K19" i="6"/>
  <c r="L19" i="6"/>
  <c r="M19" i="6"/>
  <c r="N19" i="6"/>
  <c r="S19" i="6"/>
  <c r="T19" i="6"/>
  <c r="U19" i="6"/>
  <c r="V19" i="6"/>
  <c r="C20" i="6"/>
  <c r="D20" i="6"/>
  <c r="E20" i="6"/>
  <c r="F20" i="6"/>
  <c r="K20" i="6"/>
  <c r="L20" i="6"/>
  <c r="M20" i="6"/>
  <c r="N20" i="6"/>
  <c r="S20" i="6"/>
  <c r="T20" i="6"/>
  <c r="U20" i="6"/>
  <c r="V20" i="6"/>
  <c r="C21" i="6"/>
  <c r="D21" i="6"/>
  <c r="E21" i="6"/>
  <c r="F21" i="6"/>
  <c r="K21" i="6"/>
  <c r="L21" i="6"/>
  <c r="M21" i="6"/>
  <c r="N21" i="6"/>
  <c r="S21" i="6"/>
  <c r="T21" i="6"/>
  <c r="U21" i="6"/>
  <c r="V21" i="6"/>
  <c r="C22" i="6"/>
  <c r="D22" i="6"/>
  <c r="E22" i="6"/>
  <c r="F22" i="6"/>
  <c r="K22" i="6"/>
  <c r="L22" i="6"/>
  <c r="M22" i="6"/>
  <c r="N22" i="6"/>
  <c r="S22" i="6"/>
  <c r="T22" i="6"/>
  <c r="U22" i="6"/>
  <c r="V22" i="6"/>
  <c r="C23" i="6"/>
  <c r="D23" i="6"/>
  <c r="E23" i="6"/>
  <c r="F23" i="6"/>
  <c r="K23" i="6"/>
  <c r="L23" i="6"/>
  <c r="M23" i="6"/>
  <c r="N23" i="6"/>
  <c r="S23" i="6"/>
  <c r="T23" i="6"/>
  <c r="U23" i="6"/>
  <c r="V23" i="6"/>
  <c r="C24" i="6"/>
  <c r="D24" i="6"/>
  <c r="E24" i="6"/>
  <c r="F24" i="6"/>
  <c r="K24" i="6"/>
  <c r="L24" i="6"/>
  <c r="M24" i="6"/>
  <c r="N24" i="6"/>
  <c r="S24" i="6"/>
  <c r="T24" i="6"/>
  <c r="U24" i="6"/>
  <c r="V24" i="6"/>
  <c r="C25" i="6"/>
  <c r="D25" i="6"/>
  <c r="E25" i="6"/>
  <c r="F25" i="6"/>
  <c r="K25" i="6"/>
  <c r="L25" i="6"/>
  <c r="M25" i="6"/>
  <c r="N25" i="6"/>
  <c r="S25" i="6"/>
  <c r="T25" i="6"/>
  <c r="U25" i="6"/>
  <c r="V25" i="6"/>
  <c r="C26" i="6"/>
  <c r="D26" i="6"/>
  <c r="E26" i="6"/>
  <c r="F26" i="6"/>
  <c r="K26" i="6"/>
  <c r="L26" i="6"/>
  <c r="M26" i="6"/>
  <c r="N26" i="6"/>
  <c r="S26" i="6"/>
  <c r="T26" i="6"/>
  <c r="U26" i="6"/>
  <c r="V26" i="6"/>
  <c r="C27" i="6"/>
  <c r="D27" i="6"/>
  <c r="E27" i="6"/>
  <c r="F27" i="6"/>
  <c r="K27" i="6"/>
  <c r="L27" i="6"/>
  <c r="M27" i="6"/>
  <c r="N27" i="6"/>
  <c r="S27" i="6"/>
  <c r="T27" i="6"/>
  <c r="U27" i="6"/>
  <c r="V27" i="6"/>
  <c r="C28" i="6"/>
  <c r="D28" i="6"/>
  <c r="E28" i="6"/>
  <c r="F28" i="6"/>
  <c r="K28" i="6"/>
  <c r="L28" i="6"/>
  <c r="M28" i="6"/>
  <c r="N28" i="6"/>
  <c r="S28" i="6"/>
  <c r="T28" i="6"/>
  <c r="U28" i="6"/>
  <c r="V28" i="6"/>
  <c r="C29" i="6"/>
  <c r="D29" i="6"/>
  <c r="E29" i="6"/>
  <c r="F29" i="6"/>
  <c r="K29" i="6"/>
  <c r="L29" i="6"/>
  <c r="M29" i="6"/>
  <c r="N29" i="6"/>
  <c r="S29" i="6"/>
  <c r="T29" i="6"/>
  <c r="U29" i="6"/>
  <c r="V29" i="6"/>
  <c r="C30" i="6"/>
  <c r="D30" i="6"/>
  <c r="E30" i="6"/>
  <c r="F30" i="6"/>
  <c r="K30" i="6"/>
  <c r="L30" i="6"/>
  <c r="M30" i="6"/>
  <c r="N30" i="6"/>
  <c r="S30" i="6"/>
  <c r="T30" i="6"/>
  <c r="U30" i="6"/>
  <c r="V30" i="6"/>
  <c r="C31" i="6"/>
  <c r="D31" i="6"/>
  <c r="E31" i="6"/>
  <c r="F31" i="6"/>
  <c r="K31" i="6"/>
  <c r="L31" i="6"/>
  <c r="M31" i="6"/>
  <c r="N31" i="6"/>
  <c r="S31" i="6"/>
  <c r="T31" i="6"/>
  <c r="U31" i="6"/>
  <c r="V31" i="6"/>
  <c r="C32" i="6"/>
  <c r="D32" i="6"/>
  <c r="E32" i="6"/>
  <c r="F32" i="6"/>
  <c r="K32" i="6"/>
  <c r="L32" i="6"/>
  <c r="M32" i="6"/>
  <c r="N32" i="6"/>
  <c r="S32" i="6"/>
  <c r="T32" i="6"/>
  <c r="U32" i="6"/>
  <c r="V32" i="6"/>
  <c r="C33" i="6"/>
  <c r="D33" i="6"/>
  <c r="E33" i="6"/>
  <c r="F33" i="6"/>
  <c r="K33" i="6"/>
  <c r="L33" i="6"/>
  <c r="M33" i="6"/>
  <c r="N33" i="6"/>
  <c r="S33" i="6"/>
  <c r="T33" i="6"/>
  <c r="U33" i="6"/>
  <c r="V33" i="6"/>
  <c r="C34" i="6"/>
  <c r="D34" i="6"/>
  <c r="E34" i="6"/>
  <c r="F34" i="6"/>
  <c r="K34" i="6"/>
  <c r="L34" i="6"/>
  <c r="M34" i="6"/>
  <c r="N34" i="6"/>
  <c r="S34" i="6"/>
  <c r="T34" i="6"/>
  <c r="U34" i="6"/>
  <c r="V34" i="6"/>
  <c r="C35" i="6"/>
  <c r="D35" i="6"/>
  <c r="E35" i="6"/>
  <c r="F35" i="6"/>
  <c r="K35" i="6"/>
  <c r="L35" i="6"/>
  <c r="M35" i="6"/>
  <c r="N35" i="6"/>
  <c r="S35" i="6"/>
  <c r="T35" i="6"/>
  <c r="U35" i="6"/>
  <c r="V35" i="6"/>
  <c r="C36" i="6"/>
  <c r="D36" i="6"/>
  <c r="E36" i="6"/>
  <c r="F36" i="6"/>
  <c r="K36" i="6"/>
  <c r="L36" i="6"/>
  <c r="M36" i="6"/>
  <c r="N36" i="6"/>
  <c r="S36" i="6"/>
  <c r="T36" i="6"/>
  <c r="U36" i="6"/>
  <c r="V36" i="6"/>
  <c r="C37" i="6"/>
  <c r="D37" i="6"/>
  <c r="E37" i="6"/>
  <c r="F37" i="6"/>
  <c r="K37" i="6"/>
  <c r="L37" i="6"/>
  <c r="M37" i="6"/>
  <c r="N37" i="6"/>
  <c r="S37" i="6"/>
  <c r="T37" i="6"/>
  <c r="U37" i="6"/>
  <c r="V37" i="6"/>
  <c r="C38" i="6"/>
  <c r="D38" i="6"/>
  <c r="E38" i="6"/>
  <c r="F38" i="6"/>
  <c r="K38" i="6"/>
  <c r="L38" i="6"/>
  <c r="M38" i="6"/>
  <c r="N38" i="6"/>
  <c r="S38" i="6"/>
  <c r="T38" i="6"/>
  <c r="U38" i="6"/>
  <c r="V38" i="6"/>
  <c r="C39" i="6"/>
  <c r="D39" i="6"/>
  <c r="E39" i="6"/>
  <c r="F39" i="6"/>
  <c r="K39" i="6"/>
  <c r="L39" i="6"/>
  <c r="M39" i="6"/>
  <c r="N39" i="6"/>
  <c r="S39" i="6"/>
  <c r="T39" i="6"/>
  <c r="U39" i="6"/>
  <c r="V39" i="6"/>
  <c r="C40" i="6"/>
  <c r="D40" i="6"/>
  <c r="E40" i="6"/>
  <c r="F40" i="6"/>
  <c r="K40" i="6"/>
  <c r="L40" i="6"/>
  <c r="M40" i="6"/>
  <c r="N40" i="6"/>
  <c r="S40" i="6"/>
  <c r="T40" i="6"/>
  <c r="U40" i="6"/>
  <c r="V40" i="6"/>
  <c r="C41" i="6"/>
  <c r="D41" i="6"/>
  <c r="E41" i="6"/>
  <c r="F41" i="6"/>
  <c r="K41" i="6"/>
  <c r="L41" i="6"/>
  <c r="M41" i="6"/>
  <c r="N41" i="6"/>
  <c r="S41" i="6"/>
  <c r="T41" i="6"/>
  <c r="U41" i="6"/>
  <c r="V41" i="6"/>
  <c r="C42" i="6"/>
  <c r="D42" i="6"/>
  <c r="E42" i="6"/>
  <c r="F42" i="6"/>
  <c r="K42" i="6"/>
  <c r="L42" i="6"/>
  <c r="M42" i="6"/>
  <c r="N42" i="6"/>
  <c r="S42" i="6"/>
  <c r="T42" i="6"/>
  <c r="U42" i="6"/>
  <c r="V42" i="6"/>
  <c r="C43" i="6"/>
  <c r="D43" i="6"/>
  <c r="E43" i="6"/>
  <c r="F43" i="6"/>
  <c r="K43" i="6"/>
  <c r="L43" i="6"/>
  <c r="M43" i="6"/>
  <c r="N43" i="6"/>
  <c r="S43" i="6"/>
  <c r="T43" i="6"/>
  <c r="U43" i="6"/>
  <c r="V43" i="6"/>
  <c r="C44" i="6"/>
  <c r="D44" i="6"/>
  <c r="E44" i="6"/>
  <c r="F44" i="6"/>
  <c r="K44" i="6"/>
  <c r="L44" i="6"/>
  <c r="M44" i="6"/>
  <c r="N44" i="6"/>
  <c r="S44" i="6"/>
  <c r="T44" i="6"/>
  <c r="U44" i="6"/>
  <c r="V44" i="6"/>
  <c r="C45" i="6"/>
  <c r="D45" i="6"/>
  <c r="E45" i="6"/>
  <c r="F45" i="6"/>
  <c r="K45" i="6"/>
  <c r="L45" i="6"/>
  <c r="M45" i="6"/>
  <c r="N45" i="6"/>
  <c r="S45" i="6"/>
  <c r="T45" i="6"/>
  <c r="U45" i="6"/>
  <c r="V45" i="6"/>
  <c r="C46" i="6"/>
  <c r="D46" i="6"/>
  <c r="E46" i="6"/>
  <c r="F46" i="6"/>
  <c r="K46" i="6"/>
  <c r="L46" i="6"/>
  <c r="M46" i="6"/>
  <c r="N46" i="6"/>
  <c r="S46" i="6"/>
  <c r="T46" i="6"/>
  <c r="U46" i="6"/>
  <c r="V46" i="6"/>
  <c r="C47" i="6"/>
  <c r="D47" i="6"/>
  <c r="E47" i="6"/>
  <c r="F47" i="6"/>
  <c r="K47" i="6"/>
  <c r="L47" i="6"/>
  <c r="M47" i="6"/>
  <c r="N47" i="6"/>
  <c r="S47" i="6"/>
  <c r="T47" i="6"/>
  <c r="U47" i="6"/>
  <c r="V47" i="6"/>
  <c r="C48" i="6"/>
  <c r="D48" i="6"/>
  <c r="E48" i="6"/>
  <c r="F48" i="6"/>
  <c r="K48" i="6"/>
  <c r="L48" i="6"/>
  <c r="M48" i="6"/>
  <c r="N48" i="6"/>
  <c r="S48" i="6"/>
  <c r="T48" i="6"/>
  <c r="U48" i="6"/>
  <c r="V48" i="6"/>
  <c r="C49" i="6"/>
  <c r="D49" i="6"/>
  <c r="E49" i="6"/>
  <c r="F49" i="6"/>
  <c r="K49" i="6"/>
  <c r="L49" i="6"/>
  <c r="M49" i="6"/>
  <c r="N49" i="6"/>
  <c r="S49" i="6"/>
  <c r="T49" i="6"/>
  <c r="U49" i="6"/>
  <c r="V49" i="6"/>
  <c r="C50" i="6"/>
  <c r="D50" i="6"/>
  <c r="E50" i="6"/>
  <c r="F50" i="6"/>
  <c r="K50" i="6"/>
  <c r="L50" i="6"/>
  <c r="M50" i="6"/>
  <c r="N50" i="6"/>
  <c r="S50" i="6"/>
  <c r="T50" i="6"/>
  <c r="U50" i="6"/>
  <c r="V50" i="6"/>
  <c r="C51" i="6"/>
  <c r="D51" i="6"/>
  <c r="E51" i="6"/>
  <c r="F51" i="6"/>
  <c r="K51" i="6"/>
  <c r="L51" i="6"/>
  <c r="M51" i="6"/>
  <c r="N51" i="6"/>
  <c r="S51" i="6"/>
  <c r="T51" i="6"/>
  <c r="U51" i="6"/>
  <c r="V51" i="6"/>
  <c r="C52" i="6"/>
  <c r="D52" i="6"/>
  <c r="E52" i="6"/>
  <c r="F52" i="6"/>
  <c r="K52" i="6"/>
  <c r="L52" i="6"/>
  <c r="M52" i="6"/>
  <c r="N52" i="6"/>
  <c r="S52" i="6"/>
  <c r="T52" i="6"/>
  <c r="U52" i="6"/>
  <c r="V52" i="6"/>
  <c r="D53" i="6"/>
  <c r="E53" i="6"/>
  <c r="G53" i="6"/>
  <c r="L53" i="6"/>
  <c r="M53" i="6"/>
  <c r="O53" i="6"/>
  <c r="T53" i="6"/>
  <c r="W53" i="6"/>
  <c r="B3" i="8"/>
  <c r="G3" i="8"/>
  <c r="H3" i="8"/>
  <c r="I3" i="8"/>
  <c r="J3" i="8"/>
  <c r="C3" i="8"/>
  <c r="E3" i="8"/>
  <c r="F3" i="8"/>
  <c r="B4" i="8"/>
  <c r="G4" i="8"/>
  <c r="H4" i="8"/>
  <c r="I4" i="8"/>
  <c r="J4" i="8"/>
  <c r="C4" i="8"/>
  <c r="E4" i="8"/>
  <c r="F4" i="8"/>
  <c r="B5" i="8"/>
  <c r="G5" i="8"/>
  <c r="H5" i="8"/>
  <c r="I5" i="8"/>
  <c r="J5" i="8"/>
  <c r="C5" i="8"/>
  <c r="E5" i="8"/>
  <c r="F5" i="8"/>
  <c r="B6" i="8"/>
  <c r="G6" i="8"/>
  <c r="H6" i="8"/>
  <c r="I6" i="8"/>
  <c r="J6" i="8"/>
  <c r="C6" i="8"/>
  <c r="E6" i="8"/>
  <c r="F6" i="8"/>
  <c r="B7" i="8"/>
  <c r="G7" i="8"/>
  <c r="H7" i="8"/>
  <c r="I7" i="8"/>
  <c r="J7" i="8"/>
  <c r="C7" i="8"/>
  <c r="E7" i="8"/>
  <c r="F7" i="8"/>
  <c r="B8" i="8"/>
  <c r="G8" i="8"/>
  <c r="H8" i="8"/>
  <c r="I8" i="8"/>
  <c r="J8" i="8"/>
  <c r="C8" i="8"/>
  <c r="E8" i="8"/>
  <c r="F8" i="8"/>
  <c r="B9" i="8"/>
  <c r="G9" i="8"/>
  <c r="H9" i="8"/>
  <c r="I9" i="8"/>
  <c r="J9" i="8"/>
  <c r="C9" i="8"/>
  <c r="E9" i="8"/>
  <c r="F9" i="8"/>
  <c r="B10" i="8"/>
  <c r="G10" i="8"/>
  <c r="H10" i="8"/>
  <c r="I10" i="8"/>
  <c r="J10" i="8"/>
  <c r="C10" i="8"/>
  <c r="E10" i="8"/>
  <c r="F10" i="8"/>
  <c r="B11" i="8"/>
  <c r="G11" i="8"/>
  <c r="H11" i="8"/>
  <c r="I11" i="8"/>
  <c r="J11" i="8"/>
  <c r="C11" i="8"/>
  <c r="E11" i="8"/>
  <c r="F11" i="8"/>
  <c r="B12" i="8"/>
  <c r="G12" i="8"/>
  <c r="H12" i="8"/>
  <c r="I12" i="8"/>
  <c r="J12" i="8"/>
  <c r="C12" i="8"/>
  <c r="E12" i="8"/>
  <c r="F12" i="8"/>
  <c r="B16" i="8"/>
  <c r="G16" i="8"/>
  <c r="H16" i="8"/>
  <c r="I16" i="8"/>
  <c r="J16" i="8"/>
  <c r="C16" i="8"/>
  <c r="E16" i="8"/>
  <c r="F16" i="8"/>
  <c r="B17" i="8"/>
  <c r="G17" i="8"/>
  <c r="H17" i="8"/>
  <c r="I17" i="8"/>
  <c r="J17" i="8"/>
  <c r="C17" i="8"/>
  <c r="E17" i="8"/>
  <c r="F17" i="8"/>
  <c r="B18" i="8"/>
  <c r="G18" i="8"/>
  <c r="H18" i="8"/>
  <c r="I18" i="8"/>
  <c r="J18" i="8"/>
  <c r="C18" i="8"/>
  <c r="E18" i="8"/>
  <c r="F18" i="8"/>
  <c r="B19" i="8"/>
  <c r="G19" i="8"/>
  <c r="H19" i="8"/>
  <c r="I19" i="8"/>
  <c r="J19" i="8"/>
  <c r="C19" i="8"/>
  <c r="E19" i="8"/>
  <c r="F19" i="8"/>
  <c r="B20" i="8"/>
  <c r="G20" i="8"/>
  <c r="H20" i="8"/>
  <c r="I20" i="8"/>
  <c r="J20" i="8"/>
  <c r="C20" i="8"/>
  <c r="E20" i="8"/>
  <c r="F20" i="8"/>
  <c r="B21" i="8"/>
  <c r="G21" i="8"/>
  <c r="H21" i="8"/>
  <c r="I21" i="8"/>
  <c r="J21" i="8"/>
  <c r="C21" i="8"/>
  <c r="E21" i="8"/>
  <c r="F21" i="8"/>
  <c r="B22" i="8"/>
  <c r="G22" i="8"/>
  <c r="H22" i="8"/>
  <c r="I22" i="8"/>
  <c r="J22" i="8"/>
  <c r="C22" i="8"/>
  <c r="E22" i="8"/>
  <c r="F22" i="8"/>
  <c r="B23" i="8"/>
  <c r="G23" i="8"/>
  <c r="H23" i="8"/>
  <c r="I23" i="8"/>
  <c r="J23" i="8"/>
  <c r="C23" i="8"/>
  <c r="E23" i="8"/>
  <c r="F23" i="8"/>
  <c r="B24" i="8"/>
  <c r="G24" i="8"/>
  <c r="H24" i="8"/>
  <c r="I24" i="8"/>
  <c r="J24" i="8"/>
  <c r="C24" i="8"/>
  <c r="E24" i="8"/>
  <c r="F24" i="8"/>
  <c r="B25" i="8"/>
  <c r="G25" i="8"/>
  <c r="H25" i="8"/>
  <c r="I25" i="8"/>
  <c r="J25" i="8"/>
  <c r="C25" i="8"/>
  <c r="E25" i="8"/>
  <c r="F25" i="8"/>
  <c r="CF12" i="1"/>
  <c r="E63" i="8"/>
  <c r="CG12" i="1"/>
  <c r="F63" i="8"/>
  <c r="CH12" i="1"/>
  <c r="G63" i="8"/>
  <c r="CI12" i="1"/>
  <c r="H63" i="8"/>
  <c r="B64" i="8"/>
  <c r="C64" i="8"/>
  <c r="E64" i="8"/>
  <c r="F64" i="8"/>
  <c r="G64" i="8"/>
  <c r="H64" i="8"/>
  <c r="B65" i="8"/>
  <c r="C65" i="8"/>
  <c r="E65" i="8"/>
  <c r="F65" i="8"/>
  <c r="G65" i="8"/>
  <c r="H65" i="8"/>
  <c r="AY353" i="2"/>
  <c r="AY354" i="2"/>
  <c r="AY355" i="2"/>
  <c r="AY356" i="2"/>
  <c r="AY357" i="2"/>
  <c r="AY358" i="2"/>
  <c r="AY359" i="2"/>
  <c r="AY360" i="2"/>
  <c r="AY362" i="2"/>
  <c r="AY363" i="2"/>
  <c r="AY364" i="2"/>
  <c r="AY365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1" i="2"/>
  <c r="AY382" i="2"/>
  <c r="AY383" i="2"/>
  <c r="AY384" i="2"/>
  <c r="AY385" i="2"/>
  <c r="AY387" i="2"/>
  <c r="AY388" i="2"/>
  <c r="AY389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5" i="2"/>
  <c r="AY416" i="2"/>
  <c r="AY417" i="2"/>
  <c r="AY418" i="2"/>
  <c r="AY419" i="2"/>
  <c r="AY420" i="2"/>
  <c r="G68" i="8"/>
  <c r="G69" i="8"/>
  <c r="G70" i="8"/>
  <c r="G71" i="8"/>
  <c r="D74" i="8"/>
  <c r="D75" i="8"/>
  <c r="D76" i="8"/>
  <c r="D77" i="8"/>
  <c r="D78" i="8"/>
  <c r="D79" i="8"/>
  <c r="D80" i="8"/>
  <c r="D81" i="8"/>
  <c r="D82" i="8"/>
  <c r="D83" i="8"/>
  <c r="D86" i="8"/>
  <c r="D87" i="8"/>
  <c r="D88" i="8"/>
  <c r="D89" i="8"/>
  <c r="D90" i="8"/>
  <c r="D91" i="8"/>
  <c r="D92" i="8"/>
  <c r="D93" i="8"/>
  <c r="D94" i="8"/>
  <c r="D95" i="8"/>
  <c r="C74" i="8"/>
  <c r="C75" i="8"/>
  <c r="C76" i="8"/>
  <c r="C77" i="8"/>
  <c r="C78" i="8"/>
  <c r="C79" i="8"/>
  <c r="C80" i="8"/>
  <c r="C81" i="8"/>
  <c r="C82" i="8"/>
  <c r="C83" i="8"/>
  <c r="C86" i="8"/>
  <c r="C87" i="8"/>
  <c r="C88" i="8"/>
  <c r="C89" i="8"/>
  <c r="C90" i="8"/>
  <c r="C91" i="8"/>
  <c r="C92" i="8"/>
  <c r="C93" i="8"/>
  <c r="C94" i="8"/>
  <c r="C95" i="8"/>
  <c r="B74" i="8"/>
  <c r="B75" i="8"/>
  <c r="B76" i="8"/>
  <c r="B77" i="8"/>
  <c r="B78" i="8"/>
  <c r="B79" i="8"/>
  <c r="B80" i="8"/>
  <c r="B81" i="8"/>
  <c r="B82" i="8"/>
  <c r="B83" i="8"/>
  <c r="B86" i="8"/>
  <c r="B87" i="8"/>
  <c r="B88" i="8"/>
  <c r="B89" i="8"/>
  <c r="B90" i="8"/>
  <c r="B91" i="8"/>
  <c r="B92" i="8"/>
  <c r="B93" i="8"/>
  <c r="B94" i="8"/>
  <c r="B95" i="8"/>
  <c r="AZ353" i="2"/>
  <c r="AZ354" i="2"/>
  <c r="AZ355" i="2"/>
  <c r="AZ356" i="2"/>
  <c r="AZ357" i="2"/>
  <c r="AZ358" i="2"/>
  <c r="AZ359" i="2"/>
  <c r="AZ360" i="2"/>
  <c r="AZ362" i="2"/>
  <c r="AZ363" i="2"/>
  <c r="AZ364" i="2"/>
  <c r="AZ365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1" i="2"/>
  <c r="AZ382" i="2"/>
  <c r="AZ383" i="2"/>
  <c r="AZ384" i="2"/>
  <c r="AZ385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5" i="2"/>
  <c r="AZ416" i="2"/>
  <c r="AZ417" i="2"/>
  <c r="AZ418" i="2"/>
  <c r="AZ419" i="2"/>
  <c r="AZ420" i="2"/>
  <c r="H71" i="8"/>
  <c r="AX353" i="2"/>
  <c r="AX354" i="2"/>
  <c r="AX355" i="2"/>
  <c r="AX356" i="2"/>
  <c r="AX357" i="2"/>
  <c r="AX358" i="2"/>
  <c r="AX359" i="2"/>
  <c r="AX360" i="2"/>
  <c r="AX362" i="2"/>
  <c r="AX363" i="2"/>
  <c r="AX364" i="2"/>
  <c r="AX365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1" i="2"/>
  <c r="AX382" i="2"/>
  <c r="AX383" i="2"/>
  <c r="AX384" i="2"/>
  <c r="AX385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5" i="2"/>
  <c r="AX416" i="2"/>
  <c r="AX417" i="2"/>
  <c r="AX418" i="2"/>
  <c r="AX419" i="2"/>
  <c r="AX420" i="2"/>
  <c r="F71" i="8"/>
  <c r="AW353" i="2"/>
  <c r="AW354" i="2"/>
  <c r="AW355" i="2"/>
  <c r="AW356" i="2"/>
  <c r="AW357" i="2"/>
  <c r="AW358" i="2"/>
  <c r="AW359" i="2"/>
  <c r="AW360" i="2"/>
  <c r="AW362" i="2"/>
  <c r="AW363" i="2"/>
  <c r="AW364" i="2"/>
  <c r="AW365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1" i="2"/>
  <c r="AW382" i="2"/>
  <c r="AW383" i="2"/>
  <c r="AW384" i="2"/>
  <c r="AW385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5" i="2"/>
  <c r="AW416" i="2"/>
  <c r="AW417" i="2"/>
  <c r="AW418" i="2"/>
  <c r="AW419" i="2"/>
  <c r="AW420" i="2"/>
  <c r="E71" i="8"/>
  <c r="C71" i="8"/>
  <c r="B71" i="8"/>
  <c r="H70" i="8"/>
  <c r="F70" i="8"/>
  <c r="E70" i="8"/>
  <c r="C70" i="8"/>
  <c r="B70" i="8"/>
  <c r="H69" i="8"/>
  <c r="F69" i="8"/>
  <c r="E69" i="8"/>
  <c r="C69" i="8"/>
  <c r="B69" i="8"/>
  <c r="H68" i="8"/>
  <c r="F68" i="8"/>
  <c r="E68" i="8"/>
  <c r="BD353" i="2"/>
  <c r="BD354" i="2"/>
  <c r="BD355" i="2"/>
  <c r="BD356" i="2"/>
  <c r="BD357" i="2"/>
  <c r="BD358" i="2"/>
  <c r="BD359" i="2"/>
  <c r="BD360" i="2"/>
  <c r="BD362" i="2"/>
  <c r="BD363" i="2"/>
  <c r="BD364" i="2"/>
  <c r="BD365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1" i="2"/>
  <c r="BD382" i="2"/>
  <c r="BD383" i="2"/>
  <c r="BD384" i="2"/>
  <c r="BD385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5" i="2"/>
  <c r="BD416" i="2"/>
  <c r="BD417" i="2"/>
  <c r="BD418" i="2"/>
  <c r="BD419" i="2"/>
  <c r="BD420" i="2"/>
  <c r="W47" i="8"/>
  <c r="V47" i="8"/>
  <c r="U47" i="8"/>
  <c r="BB353" i="2"/>
  <c r="BB354" i="2"/>
  <c r="BB355" i="2"/>
  <c r="BB356" i="2"/>
  <c r="BB357" i="2"/>
  <c r="BB358" i="2"/>
  <c r="BB359" i="2"/>
  <c r="BB360" i="2"/>
  <c r="BB362" i="2"/>
  <c r="BB363" i="2"/>
  <c r="BB364" i="2"/>
  <c r="BB365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1" i="2"/>
  <c r="BB382" i="2"/>
  <c r="BB383" i="2"/>
  <c r="BB384" i="2"/>
  <c r="BB385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5" i="2"/>
  <c r="BB416" i="2"/>
  <c r="BB417" i="2"/>
  <c r="BB418" i="2"/>
  <c r="BB419" i="2"/>
  <c r="BB420" i="2"/>
  <c r="S47" i="8"/>
  <c r="R47" i="8"/>
  <c r="Q47" i="8"/>
  <c r="O47" i="8"/>
  <c r="N47" i="8"/>
  <c r="M47" i="8"/>
  <c r="W46" i="8"/>
  <c r="V46" i="8"/>
  <c r="U46" i="8"/>
  <c r="S46" i="8"/>
  <c r="R46" i="8"/>
  <c r="Q46" i="8"/>
  <c r="O46" i="8"/>
  <c r="N46" i="8"/>
  <c r="M46" i="8"/>
  <c r="W45" i="8"/>
  <c r="V45" i="8"/>
  <c r="U45" i="8"/>
  <c r="S45" i="8"/>
  <c r="R45" i="8"/>
  <c r="Q45" i="8"/>
  <c r="O45" i="8"/>
  <c r="N45" i="8"/>
  <c r="M45" i="8"/>
  <c r="W44" i="8"/>
  <c r="V44" i="8"/>
  <c r="U44" i="8"/>
  <c r="S44" i="8"/>
  <c r="R44" i="8"/>
  <c r="Q44" i="8"/>
  <c r="O44" i="8"/>
  <c r="N44" i="8"/>
  <c r="M44" i="8"/>
  <c r="W43" i="8"/>
  <c r="V43" i="8"/>
  <c r="U43" i="8"/>
  <c r="S43" i="8"/>
  <c r="R43" i="8"/>
  <c r="Q43" i="8"/>
  <c r="O43" i="8"/>
  <c r="N43" i="8"/>
  <c r="M43" i="8"/>
  <c r="C68" i="8"/>
  <c r="F123" i="4"/>
  <c r="B68" i="8"/>
  <c r="F124" i="4"/>
  <c r="G126" i="4"/>
  <c r="G125" i="4"/>
  <c r="G124" i="4"/>
  <c r="G123" i="4"/>
  <c r="BC371" i="2"/>
  <c r="CS54" i="1"/>
  <c r="U53" i="6"/>
  <c r="F11" i="4"/>
  <c r="G11" i="4"/>
  <c r="I11" i="4"/>
  <c r="D11" i="4"/>
  <c r="C11" i="4"/>
  <c r="B11" i="4"/>
  <c r="A11" i="4"/>
  <c r="BC420" i="2"/>
  <c r="M420" i="2"/>
  <c r="BC419" i="2"/>
  <c r="M419" i="2"/>
  <c r="BC418" i="2"/>
  <c r="M418" i="2"/>
  <c r="BC417" i="2"/>
  <c r="M417" i="2"/>
  <c r="BC416" i="2"/>
  <c r="M416" i="2"/>
  <c r="BC415" i="2"/>
  <c r="M415" i="2"/>
  <c r="BC413" i="2"/>
  <c r="M413" i="2"/>
  <c r="BC412" i="2"/>
  <c r="M412" i="2"/>
  <c r="BC411" i="2"/>
  <c r="M411" i="2"/>
  <c r="BC410" i="2"/>
  <c r="M410" i="2"/>
  <c r="BC409" i="2"/>
  <c r="M409" i="2"/>
  <c r="BC408" i="2"/>
  <c r="M408" i="2"/>
  <c r="BC407" i="2"/>
  <c r="M407" i="2"/>
  <c r="BC406" i="2"/>
  <c r="M406" i="2"/>
  <c r="BC405" i="2"/>
  <c r="M405" i="2"/>
  <c r="BC404" i="2"/>
  <c r="M404" i="2"/>
  <c r="BC403" i="2"/>
  <c r="M403" i="2"/>
  <c r="BC402" i="2"/>
  <c r="M402" i="2"/>
  <c r="BC401" i="2"/>
  <c r="M401" i="2"/>
  <c r="BC400" i="2"/>
  <c r="M400" i="2"/>
  <c r="BC399" i="2"/>
  <c r="M399" i="2"/>
  <c r="BC398" i="2"/>
  <c r="M398" i="2"/>
  <c r="BC397" i="2"/>
  <c r="M397" i="2"/>
  <c r="BC396" i="2"/>
  <c r="M396" i="2"/>
  <c r="BC395" i="2"/>
  <c r="M395" i="2"/>
  <c r="BC394" i="2"/>
  <c r="M394" i="2"/>
  <c r="BC393" i="2"/>
  <c r="M393" i="2"/>
  <c r="BC392" i="2"/>
  <c r="M392" i="2"/>
  <c r="BC391" i="2"/>
  <c r="M391" i="2"/>
  <c r="BC390" i="2"/>
  <c r="M390" i="2"/>
  <c r="BC389" i="2"/>
  <c r="M389" i="2"/>
  <c r="BC388" i="2"/>
  <c r="M388" i="2"/>
  <c r="BC387" i="2"/>
  <c r="M387" i="2"/>
  <c r="BC385" i="2"/>
  <c r="M385" i="2"/>
  <c r="BC384" i="2"/>
  <c r="M384" i="2"/>
  <c r="BC383" i="2"/>
  <c r="M383" i="2"/>
  <c r="BC382" i="2"/>
  <c r="M382" i="2"/>
  <c r="BC381" i="2"/>
  <c r="M381" i="2"/>
  <c r="BC379" i="2"/>
  <c r="M379" i="2"/>
  <c r="BC378" i="2"/>
  <c r="M378" i="2"/>
  <c r="BC377" i="2"/>
  <c r="M377" i="2"/>
  <c r="BC376" i="2"/>
  <c r="M376" i="2"/>
  <c r="BC375" i="2"/>
  <c r="M375" i="2"/>
  <c r="BC374" i="2"/>
  <c r="M374" i="2"/>
  <c r="BC373" i="2"/>
  <c r="M373" i="2"/>
  <c r="BC372" i="2"/>
  <c r="M372" i="2"/>
  <c r="M371" i="2"/>
  <c r="BC370" i="2"/>
  <c r="M370" i="2"/>
  <c r="BC369" i="2"/>
  <c r="M369" i="2"/>
  <c r="BC368" i="2"/>
  <c r="M368" i="2"/>
  <c r="BC367" i="2"/>
  <c r="M367" i="2"/>
  <c r="BC365" i="2"/>
  <c r="M365" i="2"/>
  <c r="BC364" i="2"/>
  <c r="M364" i="2"/>
  <c r="BC363" i="2"/>
  <c r="M363" i="2"/>
  <c r="BC362" i="2"/>
  <c r="M362" i="2"/>
  <c r="BC360" i="2"/>
  <c r="M360" i="2"/>
  <c r="BC359" i="2"/>
  <c r="M359" i="2"/>
  <c r="BC358" i="2"/>
  <c r="M358" i="2"/>
  <c r="BC357" i="2"/>
  <c r="M357" i="2"/>
  <c r="BC356" i="2"/>
  <c r="M356" i="2"/>
  <c r="BC355" i="2"/>
  <c r="M355" i="2"/>
  <c r="BC354" i="2"/>
  <c r="M354" i="2"/>
  <c r="BC353" i="2"/>
  <c r="M353" i="2"/>
  <c r="CS12" i="1"/>
</calcChain>
</file>

<file path=xl/comments1.xml><?xml version="1.0" encoding="utf-8"?>
<comments xmlns="http://schemas.openxmlformats.org/spreadsheetml/2006/main">
  <authors>
    <author>Dave Leip</author>
  </authors>
  <commentList>
    <comment ref="CA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4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5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6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CA2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only.</t>
        </r>
      </text>
    </comment>
    <comment ref="W2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write-in vote: Sanders 79,341.  Additional write-ins collected from individual county election reports.</t>
        </r>
      </text>
    </comment>
    <comment ref="CA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Ballots - Sum (votes) - Under - Over.</t>
        </r>
      </text>
    </comment>
    <comment ref="W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 vote for four candidates: 54.  Scattered write-in figures from individual county agencies.</t>
        </r>
      </text>
    </comment>
    <comment ref="W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Only Qualified write-ins</t>
        </r>
      </text>
    </comment>
    <comment ref="CW6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 Counted in Official Results book
</t>
        </r>
      </text>
    </comment>
    <comment ref="CA6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Precinct Dataset</t>
        </r>
      </text>
    </comment>
    <comment ref="CA67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Ballots, votes, over, under</t>
        </r>
      </text>
    </comment>
    <comment ref="W6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372 votes from Aurora City</t>
        </r>
      </text>
    </comment>
    <comment ref="P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report does not include 260 votes from Bloomington City</t>
        </r>
      </text>
    </comment>
    <comment ref="S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report does not include 21 votes from Bloomington City</t>
        </r>
      </text>
    </comment>
    <comment ref="Y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Report does not include 1 vote from Bloomington City.</t>
        </r>
      </text>
    </comment>
    <comment ref="CA6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Precinct Dataset</t>
        </r>
      </text>
    </comment>
    <comment ref="CA70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Precinct Dataset</t>
        </r>
      </text>
    </comment>
    <comment ref="P7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11,655. Total includes 260 votes from Bloomington City Report (McClean County) omitted in state report.</t>
        </r>
      </text>
    </comment>
    <comment ref="S7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1,138 Total includes 21 votes from Bloomington City Report (McClean County) omitted in state report.</t>
        </r>
      </text>
    </comment>
    <comment ref="Y7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175 Total includes 1 vote from Bloomington City Report (McClean County) omitted in state report.</t>
        </r>
      </text>
    </comment>
    <comment ref="CN109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0 in official results.  1 vote in Official Report from Jefferson County.</t>
        </r>
      </text>
    </comment>
    <comment ref="W11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from KY SoS: 72.  One more vote in Jefferson County for Cherunda Fox in official Jefferson County Report</t>
        </r>
      </text>
    </comment>
    <comment ref="A1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CA13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Votes.</t>
        </r>
      </text>
    </comment>
    <comment ref="P1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49.  55 from official Montcalm County Report.</t>
        </r>
      </text>
    </comment>
    <comment ref="CA136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vote.  Equals Unofficial figure.</t>
        </r>
      </text>
    </comment>
    <comment ref="P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8,177.  Updated Montcalm County per official County Report.</t>
        </r>
      </text>
    </comment>
    <comment ref="W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Qualified Write-ins:  49. Partial tally of write-ins from county election agencies.</t>
        </r>
      </text>
    </comment>
    <comment ref="N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110,483.  Figure corrected based on Dakota County Statement of Vote.</t>
        </r>
      </text>
    </comment>
    <comment ref="O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99,583.  Figure corrected based on Dakota County Statement of Vote.</t>
        </r>
      </text>
    </comment>
    <comment ref="P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4,501.  Figure corrected based on Dakota County Statement of Vote.</t>
        </r>
      </text>
    </comment>
    <comment ref="Q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9,879.  Figure corrected based on Dakota County Statement of Vote.</t>
        </r>
      </text>
    </comment>
    <comment ref="R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2,678.  Figure corrected based on Dakota County Statement of Vote.</t>
        </r>
      </text>
    </comment>
    <comment ref="S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649.  Figure corrected based on Dakota County Statement of Vote.</t>
        </r>
      </text>
    </comment>
    <comment ref="W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2,552.  Figure corrected based on Dakota County Statement of Vote.</t>
        </r>
      </text>
    </comment>
    <comment ref="AC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from MN SoS: 872.  Figure corrected based on Dakota County Statement of Vote.</t>
        </r>
      </text>
    </comment>
    <comment ref="CA13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from MN SoS: 2,574.  Updated based on official Dakota County Statement of Vote</t>
        </r>
      </text>
    </comment>
    <comment ref="N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1,367,716.  Slight adjustment based on Official Dakota County Report.</t>
        </r>
      </text>
    </comment>
    <comment ref="O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1,322,951  Slight adjustment based on Official Dakota County Report.</t>
        </r>
      </text>
    </comment>
    <comment ref="P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53,076  Slight adjustment based on Official Dakota County Report.</t>
        </r>
      </text>
    </comment>
    <comment ref="Q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112,972  Slight adjustment based on Official Dakota County Report.</t>
        </r>
      </text>
    </comment>
    <comment ref="R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36,985.  Slight adjustment based on Official Dakota County Report.</t>
        </r>
      </text>
    </comment>
    <comment ref="S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9,456.  Slight adjustment based on Official Dakota County Report.</t>
        </r>
      </text>
    </comment>
    <comment ref="W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26,902.  Slight adjustment based on Official Dakota County Report.</t>
        </r>
      </text>
    </comment>
    <comment ref="AC14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11,291.  Slight adjustment based on Official Dakota County Report.</t>
        </r>
      </text>
    </comment>
    <comment ref="W15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votes collected from individual county reports.</t>
        </r>
      </text>
    </comment>
    <comment ref="P15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from SoS: 38.  Official from Camden County SOV: 39</t>
        </r>
      </text>
    </comment>
    <comment ref="A15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P16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7,071.  Added 1 vote in Camden County per County SOV.</t>
        </r>
      </text>
    </comment>
    <comment ref="W16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Qualified write-in vote: 3 Additional write-ins from individual county reports.</t>
        </r>
      </text>
    </comment>
    <comment ref="W17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Qualified Write-in vote: 8.  Partial tally of write-ins from county election agencies.</t>
        </r>
      </text>
    </comment>
    <comment ref="W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votes collected from individual county reports.</t>
        </r>
      </text>
    </comment>
    <comment ref="P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231.  Updated to 247 per official Dutchess County Report.</t>
        </r>
      </text>
    </comment>
    <comment ref="R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1,986</t>
        </r>
      </text>
    </comment>
    <comment ref="S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31  Updated to 32 per official Dutchess County Report.</t>
        </r>
      </text>
    </comment>
    <comment ref="AN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9  Updated to 10
 per official Dutchess County Report.</t>
        </r>
      </text>
    </comment>
    <comment ref="BO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1,084.  Updated per Dutchess County oficial Report.</t>
        </r>
      </text>
    </comment>
    <comment ref="BP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216  Updated per Dutchess County oficial Report.</t>
        </r>
      </text>
    </comment>
    <comment ref="CB19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1,012.  Updated per official Dutchess County Report.</t>
        </r>
      </text>
    </comment>
    <comment ref="CB19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 BOE has 429.  Figure includes both Unqualified write-ins and Scattered Write-ins form Ontario County Official Report.</t>
        </r>
      </text>
    </comment>
    <comment ref="N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4,556,118:
Updated figures in Dutchess county per county board of elections.</t>
        </r>
      </text>
    </comment>
    <comment ref="O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2,819,553:
Updated figures in Dutchess county per county board of elections.</t>
        </r>
      </text>
    </comment>
    <comment ref="P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10,397
Updated figures in Dutchess county per county board of elections.</t>
        </r>
      </text>
    </comment>
    <comment ref="Q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176,598:
Updated figures in Dutchess county per county board of elections.</t>
        </r>
      </text>
    </comment>
    <comment ref="R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Official:107,935:
Updated figures in Dutchess county per county board of elections.</t>
        </r>
      </text>
    </comment>
    <comment ref="S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955
Updated figures in Dutchess county per county board of elections.</t>
        </r>
      </text>
    </comment>
    <comment ref="AN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458
Updated figures in Dutchess county per county board of elections.</t>
        </r>
      </text>
    </comment>
    <comment ref="BO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77,103.  Updated based on Dutchess County official Report.</t>
        </r>
      </text>
    </comment>
    <comment ref="BP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3,440.  Updated based on Dutchess County official Report.</t>
        </r>
      </text>
    </comment>
    <comment ref="CB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48,343 from NYSBOE.  Additional 261 Unqualified write-in votes from Ontario County Report</t>
        </r>
      </text>
    </comment>
    <comment ref="N21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398,271</t>
        </r>
      </text>
    </comment>
    <comment ref="O21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184,211</t>
        </r>
      </text>
    </comment>
    <comment ref="BO21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unresolved write-ins.</t>
        </r>
      </text>
    </comment>
    <comment ref="CA21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Only registered write-ins.  Unresolved write-ins not included.</t>
        </r>
      </text>
    </comment>
    <comment ref="CA21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</t>
        </r>
      </text>
    </comment>
    <comment ref="CA218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total.</t>
        </r>
      </text>
    </comment>
    <comment ref="CA21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Votes.</t>
        </r>
      </text>
    </comment>
    <comment ref="CA21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Votes.</t>
        </r>
      </text>
    </comment>
    <comment ref="CA220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Votes.</t>
        </r>
      </text>
    </comment>
    <comment ref="N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2,394,164.  Slight Update from Cuyahoga County</t>
        </r>
      </text>
    </comment>
    <comment ref="O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2,841,005. Slight Update from Cuyahoga County</t>
        </r>
      </text>
    </comment>
    <comment ref="CA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Collected from individual county election agencies.</t>
        </r>
      </text>
    </comment>
    <comment ref="P2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vote not available from state report.  Obained from county reports.</t>
        </r>
      </text>
    </comment>
    <comment ref="W2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not available on statewide report.  Obtained from County Reports.</t>
        </r>
      </text>
    </comment>
    <comment ref="CD2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vote not available from state report.  Obained from county reports.</t>
        </r>
      </text>
    </comment>
    <comment ref="W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Write-in Votes: 1070.  Added write-in votes from official county report (incomplete)</t>
        </r>
      </text>
    </comment>
    <comment ref="P31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figures collected from individual county election agencies.</t>
        </r>
      </text>
    </comment>
    <comment ref="W31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 figures collected from individual county election agencies.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7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and Working Families and Women's Equality</t>
        </r>
      </text>
    </comment>
    <comment ref="C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and Conservative</t>
        </r>
      </text>
    </comment>
    <comment ref="E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And Independence.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<sst xmlns="http://schemas.openxmlformats.org/spreadsheetml/2006/main" count="27183" uniqueCount="4432">
  <si>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</si>
  <si>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</si>
  <si>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</si>
  <si>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</si>
  <si>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</si>
  <si>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</si>
  <si>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</si>
  <si>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</si>
  <si>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</si>
  <si>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</si>
  <si>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</si>
  <si>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</si>
  <si>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</si>
  <si>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</si>
  <si>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</si>
  <si>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</si>
  <si>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</si>
  <si>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</si>
  <si>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</si>
  <si>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</si>
  <si>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</si>
  <si>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</si>
  <si>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</si>
  <si>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</si>
  <si>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</si>
  <si>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</si>
  <si>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</si>
  <si>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</si>
  <si>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</si>
  <si>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</si>
  <si>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</si>
  <si>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</si>
  <si>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</si>
  <si>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</si>
  <si>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</si>
  <si>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</si>
  <si>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</si>
  <si>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</si>
  <si>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</si>
  <si>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</si>
  <si>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</si>
  <si>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</si>
  <si>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</si>
  <si>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</si>
  <si>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</si>
  <si>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</si>
  <si>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</si>
  <si>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</si>
  <si>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</si>
  <si>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</si>
  <si>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</si>
  <si>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</si>
  <si>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</si>
  <si>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</si>
  <si>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</si>
  <si>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</si>
  <si>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</si>
  <si>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</si>
  <si>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</si>
  <si>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</si>
  <si>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</si>
  <si>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</si>
  <si>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</si>
  <si>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</si>
  <si>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</si>
  <si>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</si>
  <si>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</si>
  <si>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</si>
  <si>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</si>
  <si>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</si>
  <si>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</si>
  <si>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</si>
  <si>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</si>
  <si>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</si>
  <si>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</si>
  <si>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</si>
  <si>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</si>
  <si>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</si>
  <si>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</si>
  <si>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</si>
  <si>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</si>
  <si>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</si>
  <si>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</si>
  <si>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</si>
  <si>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</si>
  <si>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</si>
  <si>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</si>
  <si>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</si>
  <si>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</si>
  <si>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</si>
  <si>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</si>
  <si>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</si>
  <si>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</si>
  <si>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</si>
  <si>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</si>
  <si>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</si>
  <si>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</si>
  <si>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</si>
  <si>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</si>
  <si>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</si>
  <si>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</si>
  <si>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</si>
  <si>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</si>
  <si>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</si>
  <si>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</si>
  <si>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</si>
  <si>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</si>
  <si>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</si>
  <si>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</si>
  <si>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</si>
  <si>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</si>
  <si>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</si>
  <si>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</si>
  <si>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</si>
  <si>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</si>
  <si>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</si>
  <si>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</si>
  <si>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</si>
  <si>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</si>
  <si>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</si>
  <si>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</si>
  <si>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</si>
  <si>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</si>
  <si>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</si>
  <si>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</si>
  <si>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</si>
  <si>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</si>
  <si>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</si>
  <si>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</si>
  <si>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</si>
  <si>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</si>
  <si>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</si>
  <si>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</si>
  <si>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</si>
  <si>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</si>
  <si>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</si>
  <si>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</si>
  <si>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</si>
  <si>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</si>
  <si>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</si>
  <si>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</si>
  <si>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</si>
  <si>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</si>
  <si>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</si>
  <si>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</si>
  <si>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</si>
  <si>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</si>
  <si>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</si>
  <si>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</si>
  <si>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</si>
  <si>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</si>
  <si>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</si>
  <si>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</si>
  <si>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</si>
  <si>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</si>
  <si>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</si>
  <si>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</si>
  <si>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</si>
  <si>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</si>
  <si>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</si>
  <si>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</si>
  <si>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</si>
  <si>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</si>
  <si>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</si>
  <si>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</si>
  <si>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</si>
  <si>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</si>
  <si>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</si>
  <si>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</si>
  <si>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</si>
  <si>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</si>
  <si>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</si>
  <si>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</si>
  <si>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</si>
  <si>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</si>
  <si>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</si>
  <si>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</si>
  <si>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</si>
  <si>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</si>
  <si>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</si>
  <si>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</si>
  <si>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</si>
  <si>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</si>
  <si>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</si>
  <si>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</si>
  <si>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</si>
  <si>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</si>
  <si>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</si>
  <si>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</si>
  <si>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</si>
  <si>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</si>
  <si>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</si>
  <si>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</si>
  <si>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</si>
  <si>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</si>
  <si>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</si>
  <si>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</si>
  <si>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</si>
  <si>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</si>
  <si>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</si>
  <si>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</si>
  <si>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</si>
  <si>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</si>
  <si>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</si>
  <si>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</si>
  <si>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</si>
  <si>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</si>
  <si>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</si>
  <si>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</si>
  <si>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</si>
  <si>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</si>
  <si>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</si>
  <si>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</si>
  <si>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</si>
  <si>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</si>
  <si>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</si>
  <si>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</si>
  <si>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</si>
  <si>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</si>
  <si>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</si>
  <si>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</si>
  <si>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</si>
  <si>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</si>
  <si>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</si>
  <si>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</si>
  <si>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</si>
  <si>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</si>
  <si>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</si>
  <si>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</si>
  <si>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</si>
  <si>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</si>
  <si>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</si>
  <si>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</si>
  <si>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</si>
  <si>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</si>
  <si>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</si>
  <si>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</si>
  <si>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</si>
  <si>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</si>
  <si>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</si>
  <si>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</si>
  <si>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</si>
  <si>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</si>
  <si>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</si>
  <si>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</si>
  <si>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</si>
  <si>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</si>
  <si>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</si>
  <si>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</si>
  <si>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</si>
  <si>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</si>
  <si>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</si>
  <si>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</si>
  <si>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</si>
  <si>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</si>
  <si>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</si>
  <si>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</si>
  <si>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</si>
  <si>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</si>
  <si>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</si>
  <si>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</si>
  <si>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</si>
  <si>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</si>
  <si>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</si>
  <si>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</si>
  <si>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</si>
  <si>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</si>
  <si>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</si>
  <si>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</si>
  <si>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</si>
  <si>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</si>
  <si>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</si>
  <si>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</si>
  <si>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</si>
  <si>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</si>
  <si>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</si>
  <si>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</si>
  <si>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</si>
  <si>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</si>
  <si>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</si>
  <si>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</si>
  <si>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</si>
  <si>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</si>
  <si>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</si>
  <si>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</si>
  <si>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</si>
  <si>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</si>
  <si>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</si>
  <si>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</si>
  <si>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</si>
  <si>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</si>
  <si>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</si>
  <si>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</si>
  <si>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</si>
  <si>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</si>
  <si>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</si>
  <si>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</si>
  <si>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</si>
  <si>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</si>
  <si>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</si>
  <si>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</si>
  <si>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</si>
  <si>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</si>
  <si>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</si>
  <si>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</si>
  <si>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</si>
  <si>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</si>
  <si>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</si>
  <si>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</si>
  <si>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</si>
  <si>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</si>
  <si>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</si>
  <si>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</si>
  <si>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</si>
  <si>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</si>
  <si>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</si>
  <si>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</si>
  <si>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</si>
  <si>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</si>
  <si>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</si>
  <si>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</si>
  <si>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</si>
  <si>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</si>
  <si>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</si>
  <si>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</si>
  <si>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</si>
  <si>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</si>
  <si>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</si>
  <si>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</si>
  <si>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</si>
  <si>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</si>
  <si>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</si>
  <si>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</si>
  <si>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</si>
  <si>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</si>
  <si>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</si>
  <si>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</si>
  <si>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</si>
  <si>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</si>
  <si>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</si>
  <si>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</si>
  <si>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</si>
  <si>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</si>
  <si>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</si>
  <si>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</si>
  <si>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</si>
  <si>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</si>
  <si>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</si>
  <si>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</si>
  <si>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</si>
  <si>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</si>
  <si>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</si>
  <si>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</si>
  <si>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</si>
  <si>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</si>
  <si>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</si>
  <si>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</si>
  <si>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</si>
  <si>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</si>
  <si>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</si>
  <si>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</si>
  <si>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</si>
  <si>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</si>
  <si>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</si>
  <si>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</si>
  <si>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</si>
  <si>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</si>
  <si>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</si>
  <si>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</si>
  <si>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</si>
  <si>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</si>
  <si>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</si>
  <si>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</si>
  <si>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</si>
  <si>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</si>
  <si>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</si>
  <si>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</si>
  <si>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</si>
  <si>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</si>
  <si>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</si>
  <si>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</si>
  <si>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</si>
  <si>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</si>
  <si>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</si>
  <si>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</si>
  <si>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</si>
  <si>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</si>
  <si>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</si>
  <si>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</si>
  <si>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</si>
  <si>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</si>
  <si>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</si>
  <si>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</si>
  <si>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</si>
  <si>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</si>
  <si>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</si>
  <si>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</si>
  <si>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</si>
  <si>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</si>
  <si>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</si>
  <si>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</si>
  <si>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</si>
  <si>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</si>
  <si>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</si>
  <si>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</si>
  <si>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</si>
  <si>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</si>
  <si>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</si>
  <si>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</si>
  <si>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</si>
  <si>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</si>
  <si>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</si>
  <si>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</si>
  <si>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</si>
  <si>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</si>
  <si>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</si>
  <si>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</si>
  <si>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</si>
  <si>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</si>
  <si>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</si>
  <si>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</si>
  <si>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</si>
  <si>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</si>
  <si>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</si>
  <si>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</si>
  <si>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</si>
  <si>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</si>
  <si>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</si>
  <si>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</si>
  <si>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</si>
  <si>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</si>
  <si>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</si>
  <si>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</si>
  <si>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</si>
  <si>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</si>
  <si>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</si>
  <si>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</si>
  <si>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</si>
  <si>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</si>
  <si>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</si>
  <si>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</si>
  <si>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</si>
  <si>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</si>
  <si>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</si>
  <si>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</si>
  <si>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</si>
  <si>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</si>
  <si>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</si>
  <si>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</si>
  <si>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</si>
  <si>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</si>
  <si>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</si>
  <si>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</si>
  <si>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</si>
  <si>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</si>
  <si>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</si>
  <si>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</si>
  <si>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</si>
  <si>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</si>
  <si>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</si>
  <si>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</si>
  <si>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</si>
  <si>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</si>
  <si>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</si>
  <si>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</si>
  <si>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</si>
  <si>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</si>
  <si>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</si>
  <si>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</si>
  <si>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</si>
  <si>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</si>
  <si>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</si>
  <si>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</si>
  <si>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</si>
  <si>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</si>
  <si>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</si>
  <si>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</si>
  <si>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</si>
  <si>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</si>
  <si>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</si>
  <si>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</si>
  <si>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</si>
  <si>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</si>
  <si>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</si>
  <si>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</si>
  <si>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</si>
  <si>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</si>
  <si>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</si>
  <si>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</si>
  <si>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</si>
  <si>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</si>
  <si>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</si>
  <si>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</si>
  <si>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</si>
  <si>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</si>
  <si>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</si>
  <si>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</si>
  <si>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</si>
  <si>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</si>
  <si>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</si>
  <si>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</si>
  <si>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</si>
  <si>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</si>
  <si>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</si>
  <si>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</si>
  <si>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</si>
  <si>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</si>
  <si>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</si>
  <si>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</si>
  <si>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</si>
  <si>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</si>
  <si>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</si>
  <si>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</si>
  <si>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</si>
  <si>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</si>
  <si>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</si>
  <si>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</si>
  <si>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</si>
  <si>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</si>
  <si>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</si>
  <si>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</si>
  <si>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</si>
  <si>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</si>
  <si>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</si>
  <si>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</si>
  <si>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</si>
  <si>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</si>
  <si>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</si>
  <si>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</si>
  <si>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</si>
  <si>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</si>
  <si>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</si>
  <si>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</si>
  <si>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</si>
  <si>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</si>
  <si>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</si>
  <si>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</si>
  <si>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</si>
  <si>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</si>
  <si>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</si>
  <si>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</si>
  <si>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</si>
  <si>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</si>
  <si>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</si>
  <si>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</si>
  <si>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</si>
  <si>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</si>
  <si>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</si>
  <si>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</si>
  <si>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</si>
  <si>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</si>
  <si>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</si>
  <si>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</si>
  <si>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</si>
  <si>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</si>
  <si>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</si>
  <si>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</si>
  <si>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</si>
  <si>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</si>
  <si>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</si>
  <si>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</si>
  <si>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</si>
  <si>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</si>
  <si>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</si>
  <si>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</si>
  <si>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</si>
  <si>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</si>
  <si>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</si>
  <si>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</si>
  <si>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</si>
  <si>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</si>
  <si>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</si>
  <si>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</si>
  <si>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</si>
  <si>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</si>
  <si>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</si>
  <si>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</si>
  <si>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</si>
  <si>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</si>
  <si>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</si>
  <si>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</si>
  <si>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</si>
  <si>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</si>
  <si>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</si>
  <si>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</si>
  <si>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</si>
  <si>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</si>
  <si>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</si>
  <si>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</si>
  <si>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</si>
  <si>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</si>
  <si>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</si>
  <si>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</si>
  <si>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</si>
  <si>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</si>
  <si>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</si>
  <si>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</si>
  <si>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</si>
  <si>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</si>
  <si>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</si>
  <si>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Ricky Johnson</t>
  </si>
  <si>
    <t>Duncan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</si>
  <si>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</si>
  <si>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</si>
  <si>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</si>
  <si>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</si>
  <si>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</si>
  <si>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</si>
  <si>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</si>
  <si>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</si>
  <si>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</si>
  <si>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</si>
  <si>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</si>
  <si>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</si>
  <si>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</si>
  <si>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</si>
  <si>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</si>
  <si>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</si>
  <si>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</si>
  <si>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</si>
  <si>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</si>
  <si>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</si>
  <si>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</si>
  <si>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</si>
  <si>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</si>
  <si>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</si>
  <si>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</si>
  <si>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</si>
  <si>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</si>
  <si>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</si>
  <si>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</si>
  <si>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</si>
  <si>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</si>
  <si>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</si>
  <si>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</si>
  <si>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</si>
  <si>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</si>
  <si>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</si>
  <si>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</si>
  <si>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</si>
  <si>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</si>
  <si>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</si>
  <si>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</si>
  <si>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</si>
  <si>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</si>
  <si>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</si>
  <si>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</si>
  <si>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</si>
  <si>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</si>
  <si>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</si>
  <si>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</si>
  <si>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</si>
  <si>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</si>
  <si>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</si>
  <si>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</si>
  <si>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</si>
  <si>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</si>
  <si>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</si>
  <si>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</si>
  <si>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</si>
  <si>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</si>
  <si>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</si>
  <si>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</si>
  <si>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</si>
  <si>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</si>
  <si>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</si>
  <si>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</si>
  <si>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</si>
  <si>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</si>
  <si>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</si>
  <si>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</si>
  <si>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</si>
  <si>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</si>
  <si>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</si>
  <si>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</si>
  <si>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</si>
  <si>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</si>
  <si>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</si>
  <si>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</si>
  <si>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</si>
  <si>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</si>
  <si>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</si>
  <si>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</si>
  <si>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</si>
  <si>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</si>
  <si>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</si>
  <si>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</si>
  <si>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</si>
  <si>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</si>
  <si>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</si>
  <si>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</si>
  <si>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</si>
  <si>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</si>
  <si>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</si>
  <si>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</si>
  <si>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</si>
  <si>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</si>
  <si>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</si>
  <si>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</si>
  <si>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</si>
  <si>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</si>
  <si>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</si>
  <si>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</si>
  <si>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</si>
  <si>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</si>
  <si>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</si>
  <si>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</si>
  <si>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</si>
  <si>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</si>
  <si>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</si>
  <si>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</si>
  <si>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</si>
  <si>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</si>
  <si>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</si>
  <si>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</si>
  <si>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</si>
  <si>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</si>
  <si>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</si>
  <si>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</si>
  <si>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</si>
  <si>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</si>
  <si>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</si>
  <si>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</si>
  <si>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</si>
  <si>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</si>
  <si>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</si>
  <si>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</si>
  <si>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</si>
  <si>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</si>
  <si>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</si>
  <si>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</si>
  <si>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</si>
  <si>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</si>
  <si>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</si>
  <si>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</si>
  <si>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</si>
  <si>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</si>
  <si>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</si>
  <si>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</si>
  <si>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</si>
  <si>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</si>
  <si>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</si>
  <si>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</si>
  <si>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</si>
  <si>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</si>
  <si>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</si>
  <si>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</si>
  <si>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</si>
  <si>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</si>
  <si>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</si>
  <si>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</si>
  <si>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</si>
  <si>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</si>
  <si>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</si>
  <si>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</si>
  <si>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</si>
  <si>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</si>
  <si>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</si>
  <si>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</si>
  <si>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</si>
  <si>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</si>
  <si>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</si>
  <si>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</si>
  <si>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</si>
  <si>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</si>
  <si>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</si>
  <si>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</si>
  <si>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</si>
  <si>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</si>
  <si>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</si>
  <si>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</si>
  <si>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</si>
  <si>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</si>
  <si>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</si>
  <si>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</si>
  <si>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</si>
  <si>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</si>
  <si>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</si>
  <si>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</si>
  <si>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</si>
  <si>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</si>
  <si>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</si>
  <si>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</si>
  <si>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</si>
  <si>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</si>
  <si>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</si>
  <si>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</si>
  <si>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</si>
  <si>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</si>
  <si>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</si>
  <si>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</si>
  <si>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</si>
  <si>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</si>
  <si>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</si>
  <si>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</si>
  <si>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</si>
  <si>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</si>
  <si>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</si>
  <si>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</si>
  <si>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</si>
  <si>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</si>
  <si>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</si>
  <si>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</si>
  <si>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</si>
  <si>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</si>
  <si>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</si>
  <si>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</si>
  <si>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</si>
  <si>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</si>
  <si>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</si>
  <si>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</si>
  <si>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</si>
  <si>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</si>
  <si>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</si>
  <si>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</si>
  <si>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</si>
  <si>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</si>
  <si>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</si>
  <si>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</si>
  <si>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</si>
  <si>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</si>
  <si>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</si>
  <si>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</si>
  <si>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</si>
  <si>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</si>
  <si>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</si>
  <si>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</si>
  <si>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</si>
  <si>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</si>
  <si>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</si>
  <si>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</si>
  <si>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</si>
  <si>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</si>
  <si>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</si>
  <si>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</si>
  <si>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</si>
  <si>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</si>
  <si>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</si>
  <si>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</si>
  <si>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</si>
  <si>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</si>
  <si>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</si>
  <si>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</si>
  <si>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</si>
  <si>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</si>
  <si>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</si>
  <si>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</si>
  <si>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</si>
  <si>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</si>
  <si>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</si>
  <si>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</si>
  <si>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</si>
  <si>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</si>
  <si>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</si>
  <si>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</si>
  <si>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</si>
  <si>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</si>
  <si>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</si>
  <si>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</si>
  <si>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</si>
  <si>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</si>
  <si>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</si>
  <si>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</si>
  <si>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</si>
  <si>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</si>
  <si>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</si>
  <si>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</si>
  <si>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</si>
  <si>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</si>
  <si>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</si>
  <si>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</si>
  <si>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</si>
  <si>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</si>
  <si>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</si>
  <si>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</si>
  <si>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</si>
  <si>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</si>
  <si>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</si>
  <si>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</si>
  <si>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</si>
  <si>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</si>
  <si>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</si>
  <si>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</si>
  <si>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</si>
  <si>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</si>
  <si>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</si>
  <si>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</si>
  <si>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</si>
  <si>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</si>
  <si>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</si>
  <si>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</si>
  <si>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</si>
  <si>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</si>
  <si>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</si>
  <si>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</si>
  <si>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</si>
  <si>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</si>
  <si>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</si>
  <si>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</si>
  <si>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</si>
  <si>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</si>
  <si>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</si>
  <si>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</si>
  <si>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</si>
  <si>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</si>
  <si>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</si>
  <si>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</si>
  <si>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</si>
  <si>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</si>
  <si>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</si>
  <si>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</si>
  <si>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</si>
  <si>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</si>
  <si>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</si>
  <si>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</si>
  <si>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</si>
  <si>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</si>
  <si>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</si>
  <si>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</si>
  <si>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</si>
  <si>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</si>
  <si>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</si>
  <si>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</si>
  <si>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</si>
  <si>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</si>
  <si>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</si>
  <si>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</si>
  <si>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</si>
  <si>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</si>
  <si>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</si>
  <si>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</si>
  <si>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</si>
  <si>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</si>
  <si>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</si>
  <si>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</si>
  <si>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</si>
  <si>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</si>
  <si>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</si>
  <si>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</si>
  <si>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</si>
  <si>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</si>
  <si>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</si>
  <si>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</si>
  <si>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</si>
  <si>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</si>
  <si>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</si>
  <si>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</si>
  <si>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</si>
  <si>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</si>
  <si>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</si>
  <si>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</si>
  <si>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</si>
  <si>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</si>
  <si>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</si>
  <si>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</si>
  <si>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</si>
  <si>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</si>
  <si>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</si>
  <si>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</si>
  <si>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</si>
  <si>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</si>
  <si>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</si>
  <si>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</si>
  <si>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</si>
  <si>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</si>
  <si>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</si>
  <si>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</si>
  <si>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</si>
  <si>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</si>
  <si>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</si>
  <si>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</si>
  <si>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</si>
  <si>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</si>
  <si>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</si>
  <si>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</si>
  <si>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</si>
  <si>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</si>
  <si>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</si>
  <si>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</si>
  <si>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</si>
  <si>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</si>
  <si>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</si>
  <si>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</si>
  <si>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</si>
  <si>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</si>
  <si>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</si>
  <si>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</si>
  <si>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</si>
  <si>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</si>
  <si>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</si>
  <si>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</si>
  <si>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</si>
  <si>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</si>
  <si>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</si>
  <si>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</si>
  <si>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</si>
  <si>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</si>
  <si>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</si>
  <si>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</si>
  <si>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</si>
  <si>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</si>
  <si>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</si>
  <si>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</si>
  <si>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</si>
  <si>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</si>
  <si>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</si>
  <si>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</si>
  <si>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</si>
  <si>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</si>
  <si>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</si>
  <si>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</si>
  <si>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</si>
  <si>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</si>
  <si>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</si>
  <si>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</si>
  <si>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</si>
  <si>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</si>
  <si>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</si>
  <si>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</si>
  <si>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</si>
  <si>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</si>
  <si>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</si>
  <si>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</si>
  <si>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</si>
  <si>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</si>
  <si>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</si>
  <si>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</si>
  <si>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</si>
  <si>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</si>
  <si>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</si>
  <si>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</si>
  <si>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</si>
  <si>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</si>
  <si>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</si>
  <si>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</si>
  <si>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</si>
  <si>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</si>
  <si>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</si>
  <si>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</si>
  <si>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</si>
  <si>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</si>
  <si>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</si>
  <si>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</si>
  <si>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</si>
  <si>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</si>
  <si>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</si>
  <si>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</si>
  <si>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</si>
  <si>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</si>
  <si>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</si>
  <si>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</si>
  <si>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</si>
  <si>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</si>
  <si>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</si>
  <si>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</si>
  <si>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</si>
  <si>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</si>
  <si>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</si>
  <si>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</si>
  <si>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</si>
  <si>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</si>
  <si>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</si>
  <si>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</si>
  <si>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</si>
  <si>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</si>
  <si>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</si>
  <si>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</si>
  <si>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</si>
  <si>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</si>
  <si>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</si>
  <si>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</si>
  <si>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</si>
  <si>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</si>
  <si>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</si>
  <si>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</si>
  <si>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</si>
  <si>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</si>
  <si>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</si>
  <si>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</si>
  <si>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</si>
  <si>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</si>
  <si>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</si>
  <si>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</si>
  <si>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</si>
  <si>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</si>
  <si>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</si>
  <si>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</si>
  <si>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</si>
  <si>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</si>
  <si>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</si>
  <si>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</si>
  <si>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</si>
  <si>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</si>
  <si>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</si>
  <si>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</si>
  <si>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</si>
  <si>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</si>
  <si>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</si>
  <si>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</si>
  <si>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</si>
  <si>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</si>
  <si>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</si>
  <si>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</si>
  <si>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</si>
  <si>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</si>
  <si>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</si>
  <si>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</si>
  <si>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</si>
  <si>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</si>
  <si>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</si>
  <si>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</si>
  <si>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</si>
  <si>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</si>
  <si>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</si>
  <si>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</si>
  <si>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</si>
  <si>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</si>
  <si>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</si>
  <si>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</si>
  <si>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</si>
  <si>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</si>
  <si>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</si>
  <si>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</si>
  <si>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</si>
  <si>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</si>
  <si>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</si>
  <si>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</si>
  <si>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</si>
  <si>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</si>
  <si>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</si>
  <si>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</si>
  <si>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</si>
  <si>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</si>
  <si>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</si>
  <si>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</si>
  <si>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</si>
  <si>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</si>
  <si>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</si>
  <si>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</si>
  <si>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</si>
  <si>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</si>
  <si>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</si>
  <si>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</si>
  <si>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</si>
  <si>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</si>
  <si>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</si>
  <si>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</si>
  <si>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</si>
  <si>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</si>
  <si>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</si>
  <si>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</si>
  <si>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</si>
  <si>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</si>
  <si>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</si>
  <si>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</si>
  <si>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</si>
  <si>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</si>
  <si>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</si>
  <si>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</si>
  <si>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</si>
  <si>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</si>
  <si>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</si>
  <si>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</si>
  <si>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</si>
  <si>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</si>
  <si>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</si>
  <si>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</si>
  <si>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</si>
  <si>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</si>
  <si>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</si>
  <si>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</si>
  <si>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</si>
  <si>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</si>
  <si>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</si>
  <si>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</si>
  <si>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</si>
  <si>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</si>
  <si>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</si>
  <si>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</si>
  <si>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</si>
  <si>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</si>
  <si>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</si>
  <si>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</si>
  <si>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</si>
  <si>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</si>
  <si>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</si>
  <si>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</si>
  <si>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</si>
  <si>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</si>
  <si>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</si>
  <si>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</si>
  <si>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</si>
  <si>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</si>
  <si>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</si>
  <si>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</si>
  <si>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</si>
  <si>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</si>
  <si>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</si>
  <si>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</si>
  <si>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</si>
  <si>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</si>
  <si>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</si>
  <si>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</si>
  <si>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</si>
  <si>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</si>
  <si>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</si>
  <si>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</si>
  <si>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</si>
  <si>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</si>
  <si>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</si>
  <si>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</si>
  <si>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</si>
  <si>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</si>
  <si>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</si>
  <si>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</si>
  <si>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</si>
  <si>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</si>
  <si>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</si>
  <si>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</si>
  <si>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</si>
  <si>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</si>
  <si>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</si>
  <si>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</si>
  <si>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</si>
  <si>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</si>
  <si>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</si>
  <si>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</si>
  <si>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</si>
  <si>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</si>
  <si>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</si>
  <si>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</si>
  <si>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</si>
  <si>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</si>
  <si>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</si>
  <si>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</si>
  <si>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</si>
  <si>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</si>
  <si>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</si>
  <si>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</si>
  <si>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</si>
  <si>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</si>
  <si>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</si>
  <si>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</si>
  <si>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</si>
  <si>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</si>
  <si>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</si>
  <si>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</si>
  <si>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</si>
  <si>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</si>
  <si>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</si>
  <si>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</si>
  <si>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</si>
  <si>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</si>
  <si>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</si>
  <si>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</si>
  <si>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</si>
  <si>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</si>
  <si>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</si>
  <si>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</si>
  <si>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</si>
  <si>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</si>
  <si>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</si>
  <si>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</si>
  <si>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</si>
  <si>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</si>
  <si>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</si>
  <si>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</si>
  <si>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</si>
  <si>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</si>
  <si>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</si>
  <si>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</si>
  <si>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</si>
  <si>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</si>
  <si>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</si>
  <si>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</si>
  <si>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</si>
  <si>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</si>
  <si>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</si>
  <si>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</si>
  <si>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</si>
  <si>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</si>
  <si>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</si>
  <si>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</si>
  <si>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</si>
  <si>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</si>
  <si>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</si>
  <si>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</si>
  <si>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</si>
  <si>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</si>
  <si>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</si>
  <si>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</si>
  <si>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</si>
  <si>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</si>
  <si>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</si>
  <si>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</si>
  <si>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</si>
  <si>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</si>
  <si>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</si>
  <si>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</si>
  <si>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</si>
  <si>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</si>
  <si>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</si>
  <si>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</si>
  <si>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</si>
  <si>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</si>
  <si>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</si>
  <si>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</si>
  <si>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</si>
  <si>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</si>
  <si>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</si>
  <si>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</si>
  <si>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</si>
  <si>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</si>
  <si>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</si>
  <si>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</si>
  <si>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</si>
  <si>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</si>
  <si>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</si>
  <si>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</si>
  <si>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</si>
  <si>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</si>
  <si>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</si>
  <si>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</si>
  <si>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</si>
  <si>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</si>
  <si>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</si>
  <si>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</si>
  <si>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</si>
  <si>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</si>
  <si>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</si>
  <si>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</si>
  <si>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</si>
  <si>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</si>
  <si>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</si>
  <si>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</si>
  <si>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</si>
  <si>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</si>
  <si>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</si>
  <si>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</si>
  <si>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</si>
  <si>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</si>
  <si>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</si>
  <si>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</si>
  <si>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</si>
  <si>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</si>
  <si>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</si>
  <si>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</si>
  <si>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</si>
  <si>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</si>
  <si>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</si>
  <si>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</si>
  <si>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</si>
  <si>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</si>
  <si>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</si>
  <si>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</si>
  <si>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</si>
  <si>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</si>
  <si>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</si>
  <si>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</si>
  <si>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</si>
  <si>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</si>
  <si>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</si>
  <si>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</si>
  <si>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</si>
  <si>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</si>
  <si>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</si>
  <si>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</si>
  <si>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</si>
  <si>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</si>
  <si>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</si>
  <si>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</si>
  <si>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</si>
  <si>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</si>
  <si>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</si>
  <si>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</si>
  <si>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</si>
  <si>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</si>
  <si>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</si>
  <si>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</si>
  <si>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</si>
  <si>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</si>
  <si>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</si>
  <si>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</si>
  <si>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</si>
  <si>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</si>
  <si>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</si>
  <si>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</si>
  <si>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</si>
  <si>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</si>
  <si>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</si>
  <si>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</si>
  <si>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</si>
  <si>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</si>
  <si>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</si>
  <si>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</si>
  <si>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</si>
  <si>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</si>
  <si>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</si>
  <si>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</si>
  <si>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</si>
  <si>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</si>
  <si>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</si>
  <si>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</si>
  <si>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</si>
  <si>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</si>
  <si>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</si>
  <si>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</si>
  <si>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</si>
  <si>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</si>
  <si>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</si>
  <si>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</si>
  <si>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</si>
  <si>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</si>
  <si>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</si>
  <si>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</si>
  <si>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</si>
  <si>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</si>
  <si>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</si>
  <si>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</si>
  <si>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</si>
  <si>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</si>
  <si>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</si>
  <si>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</si>
  <si>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</si>
  <si>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</si>
  <si>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</si>
  <si>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</si>
  <si>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</si>
  <si>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</si>
  <si>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</si>
  <si>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</si>
  <si>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</si>
  <si>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</si>
  <si>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</si>
  <si>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</si>
  <si>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</si>
  <si>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</si>
  <si>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</si>
  <si>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</si>
  <si>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</si>
  <si>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</si>
  <si>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</si>
  <si>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</si>
  <si>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</si>
  <si>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</si>
  <si>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</si>
  <si>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</si>
  <si>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</si>
  <si>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</si>
  <si>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</si>
  <si>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</si>
  <si>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</si>
  <si>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</si>
  <si>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</si>
  <si>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</si>
  <si>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</si>
  <si>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</si>
  <si>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</si>
  <si>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</si>
  <si>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</si>
  <si>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</si>
  <si>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</si>
  <si>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</si>
  <si>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</si>
  <si>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</si>
  <si>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</si>
  <si>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</si>
  <si>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</si>
  <si>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</si>
  <si>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</si>
  <si>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</si>
  <si>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</si>
  <si>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</si>
  <si>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</si>
  <si>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</si>
  <si>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</si>
  <si>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</si>
  <si>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</si>
  <si>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</si>
  <si>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</si>
  <si>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</si>
  <si>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</si>
  <si>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</si>
  <si>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</si>
  <si>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</si>
  <si>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</si>
  <si>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</si>
  <si>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</si>
  <si>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</si>
  <si>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</si>
  <si>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</si>
  <si>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</si>
  <si>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</si>
  <si>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</si>
  <si>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</si>
  <si>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</si>
  <si>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</si>
  <si>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</si>
  <si>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</si>
  <si>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</si>
  <si>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</si>
  <si>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</si>
  <si>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</si>
  <si>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</si>
  <si>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</si>
  <si>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</si>
  <si>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</si>
  <si>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</si>
  <si>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</si>
  <si>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</si>
  <si>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</si>
  <si>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</si>
  <si>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</si>
  <si>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</si>
  <si>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</si>
  <si>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</si>
  <si>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</si>
  <si>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</si>
  <si>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</si>
  <si>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</si>
  <si>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</si>
  <si>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</si>
  <si>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</si>
  <si>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</si>
  <si>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</si>
  <si>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</si>
  <si>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</si>
  <si>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</si>
  <si>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</si>
  <si>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</si>
  <si>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</si>
  <si>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</si>
  <si>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</si>
  <si>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</si>
  <si>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</si>
  <si>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</si>
  <si>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</si>
  <si>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</si>
  <si>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</si>
  <si>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</si>
  <si>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</si>
  <si>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</si>
  <si>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</si>
  <si>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</si>
  <si>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</si>
  <si>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</si>
  <si>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</si>
  <si>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</si>
  <si>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</si>
  <si>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</si>
  <si>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</si>
  <si>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</si>
  <si>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</si>
  <si>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</si>
  <si>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</si>
  <si>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</si>
  <si>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</si>
  <si>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</si>
  <si>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</si>
  <si>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</si>
  <si>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</si>
  <si>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</si>
  <si>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</si>
  <si>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</si>
  <si>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</si>
  <si>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</si>
  <si>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</si>
  <si>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</si>
  <si>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</si>
  <si>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</si>
  <si>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</si>
  <si>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</si>
  <si>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</si>
  <si>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</si>
  <si>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</si>
  <si>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</si>
  <si>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</si>
  <si>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</si>
  <si>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</si>
  <si>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</si>
  <si>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</si>
  <si>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</si>
  <si>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</si>
  <si>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</si>
  <si>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</si>
  <si>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</si>
  <si>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</si>
  <si>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</si>
  <si>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</si>
  <si>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</si>
  <si>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</si>
  <si>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</si>
  <si>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</si>
  <si>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</si>
  <si>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</si>
  <si>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</si>
  <si>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</si>
  <si>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</si>
  <si>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</si>
  <si>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</si>
  <si>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</si>
  <si>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</si>
  <si>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</si>
  <si>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</si>
  <si>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</si>
  <si>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</si>
  <si>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</si>
  <si>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</si>
  <si>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</si>
  <si>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</si>
  <si>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</si>
  <si>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</si>
  <si>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</si>
  <si>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</si>
  <si>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</si>
  <si>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</si>
  <si>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</si>
  <si>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</si>
  <si>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</si>
  <si>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</si>
  <si>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</si>
  <si>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</si>
  <si>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</si>
  <si>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</si>
  <si>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</si>
  <si>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</si>
  <si>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</si>
  <si>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</si>
  <si>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</si>
  <si>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</si>
  <si>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</si>
  <si>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</si>
  <si>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</si>
  <si>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</si>
  <si>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</si>
  <si>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</si>
  <si>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</si>
  <si>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</si>
  <si>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</si>
  <si>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</si>
  <si>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</si>
  <si>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</si>
  <si>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</si>
  <si>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</si>
  <si>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</si>
  <si>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</si>
  <si>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</si>
  <si>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</si>
  <si>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</si>
  <si>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</si>
  <si>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</si>
  <si>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</si>
  <si>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</si>
  <si>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</si>
  <si>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</si>
  <si>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</si>
  <si>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</si>
  <si>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</si>
  <si>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</si>
  <si>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</si>
  <si>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</si>
  <si>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</si>
  <si>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</si>
  <si>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</si>
  <si>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</si>
  <si>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</si>
  <si>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</si>
  <si>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</si>
  <si>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</si>
  <si>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</si>
  <si>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</si>
  <si>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</si>
  <si>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</si>
  <si>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</si>
  <si>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</si>
  <si>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</si>
  <si>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</si>
  <si>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</si>
  <si>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</si>
  <si>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</si>
  <si>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</si>
  <si>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</si>
  <si>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</si>
  <si>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</si>
  <si>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</si>
  <si>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</si>
  <si>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</si>
  <si>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</si>
  <si>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</si>
  <si>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</si>
  <si>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</si>
  <si>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</si>
  <si>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</si>
  <si>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</si>
  <si>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</si>
  <si>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</si>
  <si>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</si>
  <si>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</si>
  <si>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</si>
  <si>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</si>
  <si>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</si>
  <si>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</si>
  <si>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</si>
  <si>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</si>
  <si>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</si>
  <si>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</si>
  <si>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</si>
  <si>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</si>
  <si>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</si>
  <si>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</si>
  <si>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</si>
  <si>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</si>
  <si>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</si>
  <si>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</si>
  <si>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</si>
  <si>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</si>
  <si>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</si>
  <si>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</si>
  <si>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</si>
  <si>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</si>
  <si>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</si>
  <si>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</si>
  <si>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</si>
  <si>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</si>
  <si>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</si>
  <si>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</si>
  <si>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</si>
  <si>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</si>
  <si>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</si>
  <si>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</si>
  <si>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</si>
  <si>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</si>
  <si>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</si>
  <si>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</si>
  <si>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</si>
  <si>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</si>
  <si>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</si>
  <si>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</si>
  <si>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</si>
  <si>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</si>
  <si>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</si>
  <si>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</si>
  <si>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</si>
  <si>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</si>
  <si>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</si>
  <si>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</si>
  <si>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</si>
  <si>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</si>
  <si>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</si>
  <si>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</si>
  <si>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</si>
  <si>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</si>
  <si>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</si>
  <si>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</si>
  <si>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</si>
  <si>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</si>
  <si>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</si>
  <si>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</si>
  <si>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</si>
  <si>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</si>
  <si>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</si>
  <si>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</si>
  <si>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</si>
  <si>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</si>
  <si>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</si>
  <si>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</si>
  <si>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</si>
  <si>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</si>
  <si>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</si>
  <si>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</si>
  <si>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</si>
  <si>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</si>
  <si>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</si>
  <si>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</si>
  <si>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</si>
  <si>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</si>
  <si>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</si>
  <si>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</si>
  <si>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</si>
  <si>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</si>
  <si>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</si>
  <si>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</si>
  <si>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</si>
  <si>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</si>
  <si>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</si>
  <si>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</si>
  <si>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</si>
  <si>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</si>
  <si>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</si>
  <si>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</si>
  <si>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</si>
  <si>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</si>
  <si>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</si>
  <si>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</si>
  <si>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</si>
  <si>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</si>
  <si>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</si>
  <si>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</si>
  <si>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</si>
  <si>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</si>
  <si>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</si>
  <si>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</si>
  <si>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</si>
  <si>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</si>
  <si>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</si>
  <si>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</si>
  <si>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</si>
  <si>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</si>
  <si>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</si>
  <si>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</si>
  <si>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</si>
  <si>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</si>
  <si>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</si>
  <si>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</si>
  <si>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</si>
  <si>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</si>
  <si>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</si>
  <si>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</si>
  <si>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</si>
  <si>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</si>
  <si>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</si>
  <si>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</si>
  <si>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</si>
  <si>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</si>
  <si>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</si>
  <si>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</si>
  <si>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</si>
  <si>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</si>
  <si>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</si>
  <si>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</si>
  <si>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</si>
  <si>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</si>
  <si>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</si>
  <si>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</si>
  <si>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</si>
  <si>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</si>
  <si>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</si>
  <si>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</si>
  <si>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</si>
  <si>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</si>
  <si>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</si>
  <si>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</si>
  <si>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</si>
  <si>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</si>
  <si>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</si>
  <si>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</si>
  <si>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</si>
  <si>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</si>
  <si>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</si>
  <si>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</si>
  <si>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</si>
  <si>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</si>
  <si>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</si>
  <si>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</si>
  <si>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</si>
  <si>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</si>
  <si>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</si>
  <si>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</si>
  <si>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</si>
  <si>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</si>
  <si>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</si>
  <si>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</si>
  <si>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</si>
  <si>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</si>
  <si>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</si>
  <si>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</si>
  <si>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</si>
  <si>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</si>
  <si>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</si>
  <si>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</si>
  <si>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</si>
  <si>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</si>
  <si>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</si>
  <si>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</si>
  <si>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</si>
  <si>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</si>
  <si>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</si>
  <si>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</si>
  <si>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</si>
  <si>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</si>
  <si>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</si>
  <si>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</si>
  <si>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</si>
  <si>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</si>
  <si>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</si>
  <si>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</si>
  <si>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</si>
  <si>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</si>
  <si>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</si>
  <si>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</si>
  <si>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</si>
  <si>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</si>
  <si>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</si>
  <si>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</si>
  <si>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</si>
  <si>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</si>
  <si>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</si>
  <si>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</si>
  <si>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</si>
  <si>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</si>
  <si>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</si>
  <si>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</si>
  <si>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</si>
  <si>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</si>
  <si>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</si>
  <si>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</si>
  <si>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</si>
  <si>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</si>
  <si>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</si>
  <si>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</si>
  <si>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</si>
  <si>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</si>
  <si>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</si>
  <si>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</si>
  <si>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</si>
  <si>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</si>
  <si>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</si>
  <si>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</si>
  <si>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</si>
  <si>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</si>
  <si>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</si>
  <si>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</si>
  <si>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</si>
  <si>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</si>
  <si>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</si>
  <si>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</si>
  <si>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</si>
  <si>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</si>
  <si>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</si>
  <si>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</si>
  <si>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</si>
  <si>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</si>
  <si>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</si>
  <si>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</si>
  <si>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</si>
  <si>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</si>
  <si>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</si>
  <si>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</si>
  <si>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</si>
  <si>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</si>
  <si>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</si>
  <si>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</si>
  <si>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</si>
  <si>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</si>
  <si>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</si>
  <si>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</si>
  <si>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</si>
  <si>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</si>
  <si>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</si>
  <si>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</si>
  <si>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</si>
  <si>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</si>
  <si>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</si>
  <si>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</si>
  <si>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</si>
  <si>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</si>
  <si>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</si>
  <si>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</si>
  <si>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</si>
  <si>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</si>
  <si>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</si>
  <si>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</si>
  <si>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</si>
  <si>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</si>
  <si>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</si>
  <si>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</si>
  <si>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</si>
  <si>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</si>
  <si>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</si>
  <si>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</si>
  <si>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</si>
  <si>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</si>
  <si>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</si>
  <si>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</si>
  <si>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</si>
  <si>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</si>
  <si>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</si>
  <si>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</si>
  <si>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</si>
  <si>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</si>
  <si>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</si>
  <si>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</si>
  <si>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</si>
  <si>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</si>
  <si>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</si>
  <si>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</si>
  <si>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</si>
  <si>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</si>
  <si>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</si>
  <si>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</si>
  <si>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</si>
  <si>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</si>
  <si>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</si>
  <si>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</si>
  <si>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</si>
  <si>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</si>
  <si>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</si>
  <si>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</si>
  <si>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</si>
  <si>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</si>
  <si>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</si>
  <si>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</si>
  <si>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</si>
  <si>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</si>
  <si>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</si>
  <si>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</si>
  <si>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</si>
  <si>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</si>
  <si>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</si>
  <si>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</si>
  <si>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</si>
  <si>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</si>
  <si>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</si>
  <si>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</si>
  <si>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</si>
  <si>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</si>
  <si>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</si>
  <si>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</si>
  <si>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</si>
  <si>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</si>
  <si>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</si>
  <si>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</si>
  <si>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</si>
  <si>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</si>
  <si>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</si>
  <si>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</si>
  <si>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</si>
  <si>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</si>
  <si>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</si>
  <si>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</si>
  <si>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</si>
  <si>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</si>
  <si>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</si>
  <si>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</si>
  <si>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</si>
  <si>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</si>
  <si>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</si>
  <si>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</si>
  <si>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</si>
  <si>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</si>
  <si>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</si>
  <si>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</si>
  <si>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</si>
  <si>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</si>
  <si>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</si>
  <si>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</si>
  <si>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</si>
  <si>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</si>
  <si>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</si>
  <si>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</si>
  <si>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</si>
  <si>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</si>
  <si>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</si>
  <si>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</si>
  <si>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</si>
  <si>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</si>
  <si>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</si>
  <si>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</si>
  <si>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</si>
  <si>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</si>
  <si>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</si>
  <si>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</si>
  <si>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</si>
  <si>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</si>
  <si>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</si>
  <si>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</si>
  <si>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</si>
  <si>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</si>
  <si>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</si>
  <si>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</si>
  <si>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</si>
  <si>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</si>
  <si>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</si>
  <si>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</si>
  <si>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</si>
  <si>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</si>
  <si>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</si>
  <si>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</si>
  <si>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</si>
  <si>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</si>
  <si>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</si>
  <si>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</si>
  <si>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</si>
  <si>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</si>
  <si>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</si>
  <si>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</si>
  <si>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</si>
  <si>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</si>
  <si>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</si>
  <si>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</si>
  <si>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</si>
  <si>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</si>
  <si>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</si>
  <si>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</si>
  <si>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</si>
  <si>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</si>
  <si>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</si>
  <si>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</si>
  <si>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</si>
  <si>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</si>
  <si>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</si>
  <si>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</si>
  <si>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</si>
  <si>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</si>
  <si>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</si>
  <si>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</si>
  <si>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</si>
  <si>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</si>
  <si>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</si>
  <si>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</si>
  <si>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</si>
  <si>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</si>
  <si>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</si>
  <si>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</si>
  <si>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</si>
  <si>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</si>
  <si>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</si>
  <si>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</si>
  <si>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</si>
  <si>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</si>
  <si>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</si>
  <si>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</si>
  <si>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</si>
  <si>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</si>
  <si>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</si>
  <si>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</si>
  <si>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</si>
  <si>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</si>
  <si>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</si>
  <si>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</si>
  <si>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</si>
  <si>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</si>
  <si>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</si>
  <si>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</si>
  <si>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</si>
  <si>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</si>
  <si>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</si>
  <si>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</si>
  <si>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</si>
  <si>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</si>
  <si>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</si>
  <si>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</si>
  <si>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</si>
  <si>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</si>
  <si>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</si>
  <si>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</si>
  <si>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</si>
  <si>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</si>
  <si>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</si>
  <si>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</si>
  <si>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</si>
  <si>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</si>
  <si>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</si>
  <si>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</si>
  <si>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</si>
  <si>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</si>
  <si>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</si>
  <si>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</si>
  <si>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</si>
  <si>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</si>
  <si>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</si>
  <si>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</si>
  <si>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</si>
  <si>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</si>
  <si>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</si>
  <si>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</si>
  <si>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</si>
  <si>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</si>
  <si>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</si>
  <si>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</si>
  <si>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</si>
  <si>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</si>
  <si>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</si>
  <si>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</si>
  <si>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</si>
  <si>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</si>
  <si>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</si>
  <si>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</si>
  <si>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</si>
  <si>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</si>
  <si>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</si>
  <si>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</si>
  <si>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</si>
  <si>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</si>
  <si>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</si>
  <si>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</si>
  <si>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</si>
  <si>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</si>
  <si>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</si>
  <si>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</si>
  <si>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</si>
  <si>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</si>
  <si>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</si>
  <si>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</si>
  <si>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</si>
  <si>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</si>
  <si>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</si>
  <si>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</si>
  <si>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</si>
  <si>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</si>
  <si>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</si>
  <si>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</si>
  <si>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</si>
  <si>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</si>
  <si>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</si>
  <si>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</si>
  <si>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</si>
  <si>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</si>
  <si>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</si>
  <si>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</si>
  <si>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</si>
  <si>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</si>
  <si>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</si>
  <si>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</si>
  <si>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</si>
  <si>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</si>
  <si>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</si>
  <si>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</si>
  <si>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</si>
  <si>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</si>
  <si>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</si>
  <si>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</si>
  <si>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</si>
  <si>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</si>
  <si>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</si>
  <si>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</si>
  <si>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</si>
  <si>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</si>
  <si>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</si>
  <si>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</si>
  <si>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</si>
  <si>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</si>
  <si>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</si>
  <si>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</si>
  <si>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</si>
  <si>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</si>
  <si>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</si>
  <si>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</si>
  <si>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</si>
  <si>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</si>
  <si>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</si>
  <si>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</si>
  <si>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</si>
  <si>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</si>
  <si>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</si>
  <si>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</si>
  <si>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</si>
  <si>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</si>
  <si>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</si>
  <si>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</si>
  <si>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</si>
  <si>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</si>
  <si>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</si>
  <si>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</si>
  <si>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</si>
  <si>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</si>
  <si>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</si>
  <si>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</si>
  <si>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</si>
  <si>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</si>
  <si>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</si>
  <si>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</si>
  <si>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</si>
  <si>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</si>
  <si>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</si>
  <si>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</si>
  <si>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</si>
  <si>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</si>
  <si>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</si>
  <si>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</si>
  <si>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</si>
  <si>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</si>
  <si>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</si>
  <si>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</si>
  <si>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</si>
  <si>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</si>
  <si>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</si>
  <si>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</si>
  <si>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</si>
  <si>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</si>
  <si>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</si>
  <si>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</si>
  <si>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</si>
  <si>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</si>
  <si>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</si>
  <si>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</si>
  <si>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</si>
  <si>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</si>
  <si>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</si>
  <si>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</si>
  <si>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</si>
  <si>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</si>
  <si>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</si>
  <si>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</si>
  <si>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</si>
  <si>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</si>
  <si>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</si>
  <si>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</si>
  <si>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</si>
  <si>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</si>
  <si>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</si>
  <si>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</si>
  <si>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</si>
  <si>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</si>
  <si>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</si>
  <si>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</si>
  <si>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</si>
  <si>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</si>
  <si>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</si>
  <si>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</si>
  <si>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</si>
  <si>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</si>
  <si>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</si>
  <si>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</si>
  <si>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</si>
  <si>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</si>
  <si>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</si>
  <si>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</si>
  <si>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</si>
  <si>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</si>
  <si>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</si>
  <si>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</si>
  <si>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</si>
  <si>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</si>
  <si>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</si>
  <si>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</si>
  <si>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</si>
  <si>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</si>
  <si>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</si>
  <si>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</si>
  <si>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</si>
  <si>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</si>
  <si>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</si>
  <si>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</si>
  <si>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</si>
  <si>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</si>
  <si>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</si>
  <si>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</si>
  <si>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</si>
  <si>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</si>
  <si>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</si>
  <si>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</si>
  <si>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</si>
  <si>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</si>
  <si>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</si>
  <si>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</si>
  <si>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</si>
  <si>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</si>
  <si>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</si>
  <si>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</si>
  <si>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</si>
  <si>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</si>
  <si>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</si>
  <si>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</si>
  <si>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</si>
  <si>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</si>
  <si>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</si>
  <si>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</si>
  <si>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</si>
  <si>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</si>
  <si>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</si>
  <si>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</si>
  <si>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</si>
  <si>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</si>
  <si>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</si>
  <si>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</si>
  <si>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</si>
  <si>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</si>
  <si>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</si>
  <si>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</si>
  <si>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</si>
  <si>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</si>
  <si>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</si>
  <si>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</si>
  <si>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</si>
  <si>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</si>
  <si>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</si>
  <si>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</si>
  <si>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</si>
  <si>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</si>
  <si>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</si>
  <si>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</si>
  <si>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</si>
  <si>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</si>
  <si>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</si>
  <si>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</si>
  <si>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</si>
  <si>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</si>
  <si>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</si>
  <si>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</si>
  <si>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</si>
  <si>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</si>
  <si>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</si>
  <si>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</si>
  <si>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</si>
  <si>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</si>
  <si>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</si>
  <si>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</si>
  <si>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</si>
  <si>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</si>
  <si>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</si>
  <si>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</si>
  <si>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</si>
  <si>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</si>
  <si>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</si>
  <si>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</si>
  <si>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</si>
  <si>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</si>
  <si>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</si>
  <si>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</si>
  <si>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</si>
  <si>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</si>
  <si>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</si>
  <si>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</si>
  <si>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</si>
  <si>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</si>
  <si>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</si>
  <si>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</si>
  <si>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</si>
  <si>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</si>
  <si>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</si>
  <si>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</si>
  <si>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</si>
  <si>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</si>
  <si>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</si>
  <si>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</si>
  <si>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</si>
  <si>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</si>
  <si>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</si>
  <si>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</si>
  <si>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</si>
  <si>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</si>
  <si>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</si>
  <si>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</si>
  <si>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</si>
  <si>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</si>
  <si>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</si>
  <si>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</si>
  <si>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</si>
  <si>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</si>
  <si>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</si>
  <si>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</si>
  <si>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</si>
  <si>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</si>
  <si>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</si>
  <si>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</si>
  <si>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</si>
  <si>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</si>
  <si>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</si>
  <si>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</si>
  <si>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</si>
  <si>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</si>
  <si>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</si>
  <si>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</si>
  <si>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</si>
  <si>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</si>
  <si>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</si>
  <si>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</si>
  <si>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</si>
  <si>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</si>
  <si>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</si>
  <si>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</si>
  <si>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</si>
  <si>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</si>
  <si>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</si>
  <si>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</si>
  <si>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</si>
  <si>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</si>
  <si>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</si>
  <si>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</si>
  <si>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</si>
  <si>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</si>
  <si>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</si>
  <si>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</si>
  <si>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</si>
  <si>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</si>
  <si>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</si>
  <si>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</si>
  <si>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</si>
  <si>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</si>
  <si>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</si>
  <si>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</si>
  <si>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</si>
  <si>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</si>
  <si>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</si>
  <si>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</si>
  <si>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</si>
  <si>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</si>
  <si>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</si>
  <si>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</si>
  <si>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</si>
  <si>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</si>
  <si>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</si>
  <si>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</si>
  <si>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</si>
  <si>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</si>
  <si>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</si>
  <si>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</si>
  <si>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</si>
  <si>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</si>
  <si>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</si>
  <si>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</si>
  <si>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</si>
  <si>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</si>
  <si>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</si>
  <si>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</si>
  <si>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</si>
  <si>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</si>
  <si>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</si>
  <si>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</si>
  <si>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</si>
  <si>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</si>
  <si>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</si>
  <si>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</si>
  <si>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</si>
  <si>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</si>
  <si>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</si>
  <si>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</si>
  <si>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</si>
  <si>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</si>
  <si>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</si>
  <si>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</si>
  <si>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</si>
  <si>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</si>
  <si>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</si>
  <si>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</si>
  <si>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</si>
  <si>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</si>
  <si>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</si>
  <si>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</si>
  <si>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</si>
  <si>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</si>
  <si>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</si>
  <si>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</si>
  <si>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</si>
  <si>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</si>
  <si>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</si>
  <si>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</si>
  <si>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</si>
  <si>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</si>
  <si>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</si>
  <si>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</si>
  <si>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</si>
  <si>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</si>
  <si>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</si>
  <si>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</si>
  <si>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</si>
  <si>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</si>
  <si>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</si>
  <si>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</si>
  <si>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</si>
  <si>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</si>
  <si>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</si>
  <si>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</si>
  <si>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</si>
  <si>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</si>
  <si>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</si>
  <si>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</si>
  <si>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</si>
  <si>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</si>
  <si>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</si>
  <si>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</si>
  <si>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</si>
  <si>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</si>
  <si>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</si>
  <si>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</si>
  <si>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</si>
  <si>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</si>
  <si>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</si>
  <si>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</si>
  <si>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</si>
  <si>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</si>
  <si>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</si>
  <si>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</si>
  <si>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</si>
  <si>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</si>
  <si>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</si>
  <si>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</si>
  <si>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</si>
  <si>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</si>
  <si>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</si>
  <si>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</si>
  <si>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</si>
  <si>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</si>
  <si>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</si>
  <si>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</si>
  <si>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</si>
  <si>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</si>
  <si>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</si>
  <si>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</si>
  <si>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</si>
  <si>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</si>
  <si>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</si>
  <si>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</si>
  <si>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</si>
  <si>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</si>
  <si>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</si>
  <si>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</si>
  <si>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</si>
  <si>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</si>
  <si>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</si>
  <si>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</si>
  <si>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</si>
  <si>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</si>
  <si>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</si>
  <si>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</si>
  <si>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</si>
  <si>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</si>
  <si>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</si>
  <si>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</si>
  <si>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</si>
  <si>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</si>
  <si>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</si>
  <si>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</si>
  <si>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</si>
  <si>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</si>
  <si>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</si>
  <si>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</si>
  <si>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</si>
  <si>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</si>
  <si>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</si>
  <si>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</si>
  <si>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</si>
  <si>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</si>
  <si>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</si>
  <si>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</si>
  <si>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</si>
  <si>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</si>
  <si>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</si>
  <si>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</si>
  <si>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</si>
  <si>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</si>
  <si>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</si>
  <si>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</si>
  <si>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</si>
  <si>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</si>
  <si>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</si>
  <si>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</si>
  <si>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</si>
  <si>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</si>
  <si>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</si>
  <si>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</si>
  <si>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</si>
  <si>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</si>
  <si>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</si>
  <si>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</si>
  <si>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</si>
  <si>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</si>
  <si>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</si>
  <si>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</si>
  <si>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</si>
  <si>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</si>
  <si>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</si>
  <si>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</si>
  <si>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</si>
  <si>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</si>
  <si>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</si>
  <si>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</si>
  <si>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</si>
  <si>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</si>
  <si>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</si>
  <si>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</si>
  <si>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</si>
  <si>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</si>
  <si>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</si>
  <si>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</si>
  <si>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</si>
  <si>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</si>
  <si>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</si>
  <si>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</si>
  <si>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</si>
  <si>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</si>
  <si>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</si>
  <si>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</si>
  <si>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</si>
  <si>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</si>
  <si>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</si>
  <si>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</si>
  <si>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</si>
  <si>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</si>
  <si>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</si>
  <si>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</si>
  <si>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</si>
  <si>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</si>
  <si>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</si>
  <si>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</si>
  <si>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</si>
  <si>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</si>
  <si>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</si>
  <si>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</si>
  <si>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</si>
  <si>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</si>
  <si>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</si>
  <si>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</si>
  <si>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</si>
  <si>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</si>
  <si>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</si>
  <si>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</si>
  <si>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</si>
  <si>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</si>
  <si>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</si>
  <si>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</si>
  <si>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</si>
  <si>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</si>
  <si>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</si>
  <si>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</si>
  <si>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</si>
  <si>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</si>
  <si>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</si>
  <si>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</si>
  <si>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</si>
  <si>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</si>
  <si>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</si>
  <si>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</si>
  <si>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</si>
  <si>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</si>
  <si>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</si>
  <si>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</si>
  <si>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</si>
  <si>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</si>
  <si>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</si>
  <si>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</si>
  <si>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</si>
  <si>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</si>
  <si>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</si>
  <si>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</si>
  <si>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</si>
  <si>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</si>
  <si>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</si>
  <si>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</si>
  <si>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</si>
  <si>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</si>
  <si>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</si>
  <si>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</si>
  <si>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</si>
  <si>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</si>
  <si>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</si>
  <si>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</si>
  <si>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</si>
  <si>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</si>
  <si>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</si>
  <si>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</si>
  <si>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</si>
  <si>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</si>
  <si>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</si>
  <si>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</si>
  <si>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</si>
  <si>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</si>
  <si>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</si>
  <si>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</si>
  <si>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</si>
  <si>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</si>
  <si>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</si>
  <si>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</si>
  <si>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</si>
  <si>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</si>
  <si>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</si>
  <si>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</si>
  <si>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</si>
  <si>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</si>
  <si>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</si>
  <si>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</si>
  <si>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</si>
  <si>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</si>
  <si>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</si>
  <si>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</si>
  <si>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</si>
  <si>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</si>
  <si>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</si>
  <si>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</si>
  <si>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</si>
  <si>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</si>
  <si>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</si>
  <si>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</si>
  <si>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</si>
  <si>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</si>
  <si>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</si>
  <si>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</si>
  <si>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</si>
  <si>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</si>
  <si>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</si>
  <si>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</si>
  <si>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</si>
  <si>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</si>
  <si>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</si>
  <si>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</si>
  <si>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</si>
  <si>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</si>
  <si>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</si>
  <si>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</si>
  <si>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</si>
  <si>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</si>
  <si>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</si>
  <si>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</si>
  <si>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</si>
  <si>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</si>
  <si>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</si>
  <si>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</si>
  <si>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</si>
  <si>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</si>
  <si>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</si>
  <si>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</si>
  <si>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</si>
  <si>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</si>
  <si>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</si>
  <si>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</si>
  <si>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</si>
  <si>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</si>
  <si>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</si>
  <si>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</si>
  <si>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</si>
  <si>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</si>
  <si>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</si>
  <si>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</si>
  <si>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</si>
  <si>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</si>
  <si>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</si>
  <si>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</si>
  <si>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</si>
  <si>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</si>
  <si>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</si>
  <si>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</si>
  <si>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</si>
  <si>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</si>
  <si>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</si>
  <si>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</si>
  <si>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</si>
  <si>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</si>
  <si>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</si>
  <si>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</si>
  <si>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</si>
  <si>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</si>
  <si>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</si>
  <si>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</si>
  <si>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</si>
  <si>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</si>
  <si>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</si>
  <si>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</si>
  <si>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</si>
  <si>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</si>
  <si>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</si>
  <si>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</si>
  <si>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</si>
  <si>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</si>
  <si>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</si>
  <si>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</si>
  <si>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</si>
  <si>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</si>
  <si>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</si>
  <si>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</si>
  <si>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</si>
  <si>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</si>
  <si>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</si>
  <si>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</si>
  <si>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</si>
  <si>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</si>
  <si>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</si>
  <si>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</si>
  <si>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</si>
  <si>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</si>
  <si>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</si>
  <si>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</si>
  <si>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</si>
  <si>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</si>
  <si>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</si>
  <si>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</si>
  <si>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</si>
  <si>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</si>
  <si>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</si>
  <si>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</si>
  <si>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</si>
  <si>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</si>
  <si>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</si>
  <si>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</si>
  <si>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</si>
  <si>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</si>
  <si>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</si>
  <si>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</si>
  <si>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</si>
  <si>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</si>
  <si>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</si>
  <si>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</si>
  <si>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</si>
  <si>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</si>
  <si>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</si>
  <si>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</si>
  <si>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</si>
  <si>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</si>
  <si>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</si>
  <si>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</si>
  <si>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</si>
  <si>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</si>
  <si>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</si>
  <si>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</si>
  <si>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</si>
  <si>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</si>
  <si>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</si>
  <si>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</si>
  <si>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</si>
  <si>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</si>
  <si>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</si>
  <si>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</si>
  <si>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</si>
  <si>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</si>
  <si>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</si>
  <si>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</si>
  <si>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</si>
  <si>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</si>
  <si>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</si>
  <si>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</si>
  <si>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</si>
  <si>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</si>
  <si>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</si>
  <si>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</si>
  <si>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</si>
  <si>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</si>
  <si>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</si>
  <si>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</si>
  <si>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</si>
  <si>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</si>
  <si>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</si>
  <si>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</si>
  <si>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</si>
  <si>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</si>
  <si>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</si>
  <si>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</si>
  <si>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</si>
  <si>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</si>
  <si>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</si>
  <si>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</si>
  <si>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</si>
  <si>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</si>
  <si>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</si>
  <si>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</si>
  <si>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</si>
  <si>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</si>
  <si>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</si>
  <si>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</si>
  <si>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</si>
  <si>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</si>
  <si>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</si>
  <si>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</si>
  <si>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</si>
  <si>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</si>
  <si>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</si>
  <si>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</si>
  <si>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</si>
  <si>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</si>
  <si>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</si>
  <si>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</si>
  <si>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</si>
  <si>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</si>
  <si>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</si>
  <si>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</si>
  <si>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</si>
  <si>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</si>
  <si>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</si>
  <si>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</si>
  <si>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</si>
  <si>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</si>
  <si>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</si>
  <si>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</si>
  <si>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</si>
  <si>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</si>
  <si>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</si>
  <si>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</si>
  <si>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</si>
  <si>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</si>
  <si>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</si>
  <si>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</si>
  <si>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</si>
  <si>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</si>
  <si>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</si>
  <si>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</si>
  <si>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</si>
  <si>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</si>
  <si>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</si>
  <si>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</si>
  <si>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</si>
  <si>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</si>
  <si>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</si>
  <si>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</si>
  <si>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</si>
  <si>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</si>
  <si>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</si>
  <si>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</si>
  <si>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</si>
  <si>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</si>
  <si>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</si>
  <si>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</si>
  <si>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</si>
  <si>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</si>
  <si>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</si>
  <si>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</si>
  <si>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</si>
  <si>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</si>
  <si>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</si>
  <si>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</si>
  <si>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</si>
  <si>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</si>
  <si>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</si>
  <si>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</si>
  <si>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</si>
  <si>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</si>
  <si>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</si>
  <si>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</si>
  <si>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</si>
  <si>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</si>
  <si>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</si>
  <si>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</si>
  <si>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</si>
  <si>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</si>
  <si>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</si>
  <si>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</si>
  <si>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</si>
  <si>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</si>
  <si>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</si>
  <si>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</si>
  <si>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</si>
  <si>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</si>
  <si>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</si>
  <si>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</si>
  <si>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</si>
  <si>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</si>
  <si>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</si>
  <si>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</si>
  <si>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</si>
  <si>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</si>
  <si>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</si>
  <si>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</si>
  <si>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</si>
  <si>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</si>
  <si>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</si>
  <si>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</si>
  <si>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</si>
  <si>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</si>
  <si>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</si>
  <si>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</si>
  <si>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</si>
  <si>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</si>
  <si>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</si>
  <si>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</si>
  <si>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</si>
  <si>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</si>
  <si>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</si>
  <si>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</si>
  <si>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</si>
  <si>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</si>
  <si>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</si>
  <si>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</si>
  <si>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</si>
  <si>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</si>
  <si>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</si>
  <si>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</si>
  <si>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</si>
  <si>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</si>
  <si>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</si>
  <si>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</si>
  <si>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</si>
  <si>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</si>
  <si>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</si>
  <si>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</si>
  <si>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</si>
  <si>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</si>
  <si>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</si>
  <si>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</si>
  <si>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</si>
  <si>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</si>
  <si>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</si>
  <si>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</si>
  <si>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</si>
  <si>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</si>
  <si>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</si>
  <si>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</si>
  <si>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</si>
  <si>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</si>
  <si>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</si>
  <si>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</si>
  <si>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</si>
  <si>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</si>
  <si>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</si>
  <si>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</si>
  <si>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</si>
  <si>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</si>
  <si>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</si>
  <si>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</si>
  <si>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</si>
  <si>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</si>
  <si>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</si>
  <si>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</si>
  <si>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</si>
  <si>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</si>
  <si>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</si>
  <si>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</si>
  <si>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</si>
  <si>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</si>
  <si>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</si>
  <si>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</si>
  <si>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</si>
  <si>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</si>
  <si>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</si>
  <si>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</si>
  <si>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</si>
  <si>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</si>
  <si>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</si>
  <si>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</si>
  <si>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</si>
  <si>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</si>
  <si>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</si>
  <si>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</si>
  <si>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</si>
  <si>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</si>
  <si>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</si>
  <si>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</si>
  <si>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</si>
  <si>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</si>
  <si>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</si>
  <si>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</si>
  <si>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</si>
  <si>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</si>
  <si>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</si>
  <si>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</si>
  <si>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</si>
  <si>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</si>
  <si>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</si>
  <si>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</si>
  <si>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</si>
  <si>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</si>
  <si>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</si>
  <si>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</si>
  <si>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</si>
  <si>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</si>
  <si>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</si>
  <si>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</si>
  <si>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</si>
  <si>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</si>
  <si>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</si>
  <si>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</si>
  <si>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</si>
  <si>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</si>
  <si>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</si>
  <si>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</si>
  <si>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</si>
  <si>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</si>
  <si>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</si>
  <si>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</si>
  <si>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</si>
  <si>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</si>
  <si>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</si>
  <si>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Natural Law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</si>
  <si>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</si>
  <si>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</si>
  <si>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</si>
  <si>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</si>
  <si>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</si>
  <si>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</si>
  <si>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</si>
  <si>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</si>
  <si>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</si>
  <si>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</si>
  <si>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</si>
  <si>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</si>
  <si>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</si>
  <si>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</si>
  <si>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</si>
  <si>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</si>
  <si>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</si>
  <si>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</si>
  <si>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</si>
  <si>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</si>
  <si>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</si>
  <si>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</si>
  <si>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</si>
  <si>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</si>
  <si>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</si>
  <si>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</si>
  <si>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</si>
  <si>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</si>
  <si>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</si>
  <si>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</si>
  <si>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</si>
  <si>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</si>
  <si>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</si>
  <si>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</si>
  <si>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</si>
  <si>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</si>
  <si>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</si>
  <si>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</si>
  <si>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</si>
  <si>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</si>
  <si>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</si>
  <si>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</si>
  <si>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</si>
  <si>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</si>
  <si>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</si>
  <si>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</si>
  <si>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</si>
  <si>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</si>
  <si>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</si>
  <si>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</si>
  <si>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</si>
  <si>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</si>
  <si>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</si>
  <si>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</si>
  <si>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</si>
  <si>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</si>
  <si>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</si>
  <si>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</si>
  <si>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</si>
  <si>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</si>
  <si>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</si>
  <si>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</si>
  <si>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Gary Johnson</t>
  </si>
  <si>
    <t>Stein</t>
  </si>
  <si>
    <t>Thomas Hoefling</t>
  </si>
  <si>
    <t>Hoefling</t>
  </si>
  <si>
    <t>Ind. American</t>
  </si>
  <si>
    <t>Socialist Equality</t>
  </si>
  <si>
    <t>Jerry White</t>
  </si>
  <si>
    <t>Nonparty</t>
  </si>
  <si>
    <t>None of these Candidates</t>
  </si>
  <si>
    <t>None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</si>
  <si>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</si>
  <si>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</si>
  <si>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</si>
  <si>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</si>
  <si>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</si>
  <si>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</si>
  <si>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</si>
  <si>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</si>
  <si>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</si>
  <si>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</si>
  <si>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Ben Ysursa,</t>
  </si>
  <si>
    <t>Secretary of State</t>
  </si>
  <si>
    <t>Spreadsheet</t>
  </si>
  <si>
    <t>David C. Byrne</t>
  </si>
  <si>
    <t>Options</t>
  </si>
  <si>
    <t>Veterans</t>
  </si>
  <si>
    <t>Wisconsin Government Accountability Board</t>
  </si>
  <si>
    <t>E</t>
  </si>
  <si>
    <t>Elliottsville</t>
  </si>
  <si>
    <t>Was T8 SD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</si>
  <si>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</si>
  <si>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</si>
  <si>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</si>
  <si>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</si>
  <si>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</si>
  <si>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</si>
  <si>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</si>
  <si>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</si>
  <si>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Ron Paul</t>
  </si>
  <si>
    <t>Absentee</t>
  </si>
  <si>
    <t>Stephen Durham</t>
  </si>
  <si>
    <t>em</t>
  </si>
  <si>
    <t>http://www.internetdatasystems.com/election-results.aspx</t>
  </si>
  <si>
    <t>GB</t>
  </si>
  <si>
    <t>http://www.gbsvote.com/page.asp?p=0&amp;i=25</t>
  </si>
  <si>
    <t>GB1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</si>
  <si>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</si>
  <si>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</si>
  <si>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</si>
  <si>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</si>
  <si>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</si>
  <si>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</si>
  <si>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</si>
  <si>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Needs Kane</t>
  </si>
  <si>
    <t>Scattering</t>
  </si>
  <si>
    <t>Hillary Clinton</t>
  </si>
  <si>
    <t>Tim Kaine</t>
  </si>
  <si>
    <t>Donald J. Trump</t>
  </si>
  <si>
    <t>Trump</t>
  </si>
  <si>
    <t>Evan McMullin</t>
  </si>
  <si>
    <t>McMullin</t>
  </si>
  <si>
    <t>Dr. Jill Stein</t>
  </si>
  <si>
    <t>Ajamu Baraka</t>
  </si>
  <si>
    <t>Scott Bradley</t>
  </si>
  <si>
    <t>Castle</t>
  </si>
  <si>
    <t>Osborne Hart</t>
  </si>
  <si>
    <t>Kennedy</t>
  </si>
  <si>
    <t>Emidio Soltysik</t>
  </si>
  <si>
    <t>Angela Walker</t>
  </si>
  <si>
    <t>Soltysik</t>
  </si>
  <si>
    <t>Gloria LaRiva</t>
  </si>
  <si>
    <t>Eugene Puryear</t>
  </si>
  <si>
    <t>LaRiva</t>
  </si>
  <si>
    <t>Rocky de la Fuente</t>
  </si>
  <si>
    <t>Michael Steinberg</t>
  </si>
  <si>
    <t>Nathan Johnson</t>
  </si>
  <si>
    <t>Steve Schulin</t>
  </si>
  <si>
    <t>America's</t>
  </si>
  <si>
    <t>Bill Bayes</t>
  </si>
  <si>
    <t>Hedges</t>
  </si>
  <si>
    <t>Laurence Kotlikoff</t>
  </si>
  <si>
    <t>Kotlikoff</t>
  </si>
  <si>
    <t>Khadijah Jacob-Fambro</t>
  </si>
  <si>
    <t>Jacob-Fambro</t>
  </si>
  <si>
    <t>Milton Fambro</t>
  </si>
  <si>
    <t>Niles Niemuth</t>
  </si>
  <si>
    <t>Revolutionary</t>
  </si>
  <si>
    <t>Chris Keniston</t>
  </si>
  <si>
    <t>Deacon Taylor</t>
  </si>
  <si>
    <t>Keniston</t>
  </si>
  <si>
    <t>Frank Atwood</t>
  </si>
  <si>
    <t>Approval Voting</t>
  </si>
  <si>
    <t>Atwood</t>
  </si>
  <si>
    <t>Blake Huber</t>
  </si>
  <si>
    <t>Kyle Kenley Kopitke</t>
  </si>
  <si>
    <t>Narthan R. Sorenson</t>
  </si>
  <si>
    <t>Kopitke</t>
  </si>
  <si>
    <t>Edward Leamer</t>
  </si>
  <si>
    <t>James Hedges</t>
  </si>
  <si>
    <t>Michael R. Pence</t>
  </si>
  <si>
    <t>Bradford Lyttle</t>
  </si>
  <si>
    <t>Hannah Walsh</t>
  </si>
  <si>
    <t>Pacifist</t>
  </si>
  <si>
    <t>Lyttle</t>
  </si>
  <si>
    <t>Joseph Allen Maldonado</t>
  </si>
  <si>
    <t>Douglas K. Terranova</t>
  </si>
  <si>
    <t>Maldonado</t>
  </si>
  <si>
    <t>Michael A. Maturen</t>
  </si>
  <si>
    <t>Juan Munoz</t>
  </si>
  <si>
    <t>American Solidarity</t>
  </si>
  <si>
    <t>Maturen</t>
  </si>
  <si>
    <t>Ryan Alan Scott</t>
  </si>
  <si>
    <t>Bruce Kendall Barnard</t>
  </si>
  <si>
    <t>Rod Silva</t>
  </si>
  <si>
    <t>Richard C. Silva</t>
  </si>
  <si>
    <t>Nutrition</t>
  </si>
  <si>
    <t>Silva</t>
  </si>
  <si>
    <t>Mike Smith</t>
  </si>
  <si>
    <t>Daniel White</t>
  </si>
  <si>
    <t>Dan R. Vacek</t>
  </si>
  <si>
    <t>Mark Elworth, Jr.</t>
  </si>
  <si>
    <t>Legal Marijuana Now</t>
  </si>
  <si>
    <t>Vacek</t>
  </si>
  <si>
    <t>Lynn S. Kahn</t>
  </si>
  <si>
    <t>Kahn</t>
  </si>
  <si>
    <t>Kathleen Monahan</t>
  </si>
  <si>
    <t>Monica Moorehead</t>
  </si>
  <si>
    <t>Lamont Lilly</t>
  </si>
  <si>
    <t>Workers World</t>
  </si>
  <si>
    <t>William F. Weld</t>
  </si>
  <si>
    <t>American Delta</t>
  </si>
  <si>
    <t>Peace and Freedom</t>
  </si>
  <si>
    <t>Republican, American Ind.</t>
  </si>
  <si>
    <t>Dennis J. Banks</t>
  </si>
  <si>
    <t>Scott Copeland</t>
  </si>
  <si>
    <t>Constitution ID</t>
  </si>
  <si>
    <t>Copeland</t>
  </si>
  <si>
    <t>Moorehead</t>
  </si>
  <si>
    <t>Limbaugh</t>
  </si>
  <si>
    <t>David Limbaugh</t>
  </si>
  <si>
    <t>Scott N. Bradley</t>
  </si>
  <si>
    <t>Non-Affiliated</t>
  </si>
  <si>
    <t>Douglas Terranova</t>
  </si>
  <si>
    <t>Daniel L. White</t>
  </si>
  <si>
    <t>Better for America</t>
  </si>
  <si>
    <t>AK Constitution</t>
  </si>
  <si>
    <t>American Constitution</t>
  </si>
  <si>
    <t>Veterans of America</t>
  </si>
  <si>
    <t>Kotlikoff for President</t>
  </si>
  <si>
    <t>Nonviolent Resistance/Pacifist</t>
  </si>
  <si>
    <t>Independent People</t>
  </si>
  <si>
    <t>Unaffiliated</t>
  </si>
  <si>
    <t>Angela Nicole Walker</t>
  </si>
  <si>
    <t>Socialist USA</t>
  </si>
  <si>
    <t>Green DE</t>
  </si>
  <si>
    <t>Libertarian FL</t>
  </si>
  <si>
    <t>Constitution FL</t>
  </si>
  <si>
    <t>J. R. Myers</t>
  </si>
  <si>
    <t>IA Green</t>
  </si>
  <si>
    <t>Darrell L. Castle</t>
  </si>
  <si>
    <t>Jay Stolba</t>
  </si>
  <si>
    <t>New Independent IA</t>
  </si>
  <si>
    <t>Timothy Kaine</t>
  </si>
  <si>
    <t>Courage Character Service</t>
  </si>
  <si>
    <t>It's Our Children</t>
  </si>
  <si>
    <t>Life, Family, Constitution</t>
  </si>
  <si>
    <t>Loyal Trustworthy Compassion</t>
  </si>
  <si>
    <t>Socialism Equality Anti-War</t>
  </si>
  <si>
    <t>Green-Rainbow</t>
  </si>
  <si>
    <t>U.S. Taxpayers</t>
  </si>
  <si>
    <t>Democratic-F.L.</t>
  </si>
  <si>
    <t>Mark G. Elworth, Jr.</t>
  </si>
  <si>
    <t>Howie Hawkins</t>
  </si>
  <si>
    <t>By Petition</t>
  </si>
  <si>
    <t>Clinton Vote is the Fusion of Democratic, Working Families, and Women's Equality Parties</t>
  </si>
  <si>
    <t>Trump Vote is the Fusion of Republican and Conservative Parties</t>
  </si>
  <si>
    <t>Johnson Vote is the Fusion of Libertarian and Independence Parties</t>
  </si>
  <si>
    <t>Democratic-NPL</t>
  </si>
  <si>
    <t>Pacific Green</t>
  </si>
  <si>
    <t>Stein Vote is the Fusion of Progressive and Pacific Green Parties</t>
  </si>
  <si>
    <t>Peter Skewes</t>
  </si>
  <si>
    <t>American</t>
  </si>
  <si>
    <t>Skewes</t>
  </si>
  <si>
    <t>Michael Lacy</t>
  </si>
  <si>
    <t>Juan A. Munoz</t>
  </si>
  <si>
    <t>Rocky Giordani</t>
  </si>
  <si>
    <t>Farley Anderson</t>
  </si>
  <si>
    <t>Giordani</t>
  </si>
  <si>
    <t>Bo Gingrich</t>
  </si>
  <si>
    <t>Liberty Union</t>
  </si>
  <si>
    <t>Mountain</t>
  </si>
  <si>
    <t>WI Green</t>
  </si>
  <si>
    <t>David Looper</t>
  </si>
  <si>
    <t>AL Democratic</t>
  </si>
  <si>
    <t>AL Republican</t>
  </si>
  <si>
    <t>No Party</t>
  </si>
  <si>
    <t>DC Statehood Green</t>
  </si>
  <si>
    <t>Mindy Finn</t>
  </si>
  <si>
    <t>Libertarian DE</t>
  </si>
  <si>
    <t>Oglala Lakota</t>
  </si>
  <si>
    <t>Clinton (Dem)</t>
  </si>
  <si>
    <t>Clinton (WF)</t>
  </si>
  <si>
    <t>Trump ( R)</t>
  </si>
  <si>
    <t>Trump ( C)</t>
  </si>
  <si>
    <t>Fuente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</si>
  <si>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</si>
  <si>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</si>
  <si>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</si>
  <si>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</si>
  <si>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</si>
  <si>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</si>
  <si>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</si>
  <si>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</si>
  <si>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</si>
  <si>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</si>
  <si>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</si>
  <si>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</si>
  <si>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</si>
  <si>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</si>
  <si>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</si>
  <si>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</si>
  <si>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</si>
  <si>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http://www.elections.tn.gov/county-results.php?OfficeByCounty=United%20States%20President</t>
  </si>
  <si>
    <t>http://elections.state.md.us/elections/2016/results/General/gen_detail_results_p2016_4_BOT001-.html</t>
  </si>
  <si>
    <t>http://results.elections.virginia.gov/vaelections/2016%20November%20General/Site/President%20and%20Vice%20President.html</t>
  </si>
  <si>
    <t>http://er.ncsbe.gov/contest_details.html?election_dt=11/08/2016&amp;county_id=0&amp;contest_id=1001</t>
  </si>
  <si>
    <t>http://www.ri.gov/election/results/2016/general_election/</t>
  </si>
  <si>
    <t>https://voterportal.sos.la.gov/static/#/2016-11-08/resultsRegion/53898</t>
  </si>
  <si>
    <t>http://electionresults.sos.state.nm.us/resultsCTY.aspx?type=FED&amp;rid=4067&amp;osn=100&amp;map=CTY</t>
  </si>
  <si>
    <t>http://electionresults.sd.gov/resultsCTY.aspx?type=SWR&amp;pty=0&amp;rid=5039&amp;osn=100&amp;map=CTY</t>
  </si>
  <si>
    <t>http://results.sos.nd.gov/resultsCTY.aspx?text=Race&amp;type=SW&amp;rid=10696&amp;osn=100&amp;map=CTY&amp;sort=Candidate</t>
  </si>
  <si>
    <t>http://silverstateelection.com/USPresidential/</t>
  </si>
  <si>
    <t>http://results.vote.wa.gov/results/20161108/President-Vice-President_ByCounty.html</t>
  </si>
  <si>
    <t>November 8, 2016 General Election Results President/Vice President - County Results</t>
  </si>
  <si>
    <t>http://www.electionreturns.pa.gov/ENR_New/General/CountyBreakDownResults?officeId=1&amp;districtId=1&amp;ElectionID=undefined&amp;ElectionType=undefined&amp;IsActive=undefined</t>
  </si>
  <si>
    <t>http://electionresults.sos.state.mn.us/ENR/home/100</t>
  </si>
  <si>
    <t>https://vtelectionresults.sec.state.vt.us/Index.html#/federal</t>
  </si>
  <si>
    <t>http://electionresults.utah.gov/elections/countyCount/300000</t>
  </si>
  <si>
    <t>http://enight.elections.myflorida.com/CompareCounties/?ContestId=100000</t>
  </si>
  <si>
    <t>Sarah Sloan</t>
  </si>
  <si>
    <t>Farley M. Anderson</t>
  </si>
  <si>
    <t>http://www.in.gov/apps/sos/election/general/general2016?page=district&amp;countyID=-1&amp;officeID=36&amp;districtID=937&amp;candidate=</t>
  </si>
  <si>
    <t>Indiana General Election, November 8, 2016 Office President</t>
  </si>
  <si>
    <t>http://results.oregonvotes.gov/resultsSW.aspx?type=FED&amp;map=CTY</t>
  </si>
  <si>
    <t>http://nyenr.elections.state.ny.us/home.aspx</t>
  </si>
  <si>
    <t>http://www.sos.ks.gov/ent/kssos_ent.html</t>
  </si>
  <si>
    <t>http://elections.delaware.gov/results/data/stwoff_kns.txt</t>
  </si>
  <si>
    <t>http://results.enr.clarityelections.com/KY/64180/179738/Web01/en/summary.html</t>
  </si>
  <si>
    <t>http://www.enr-scvotes.org/SC/64658/179733/en/summary.html</t>
  </si>
  <si>
    <t>http://results.enr.clarityelections.com/AR/63912/179690/Web01/en/summary.html</t>
  </si>
  <si>
    <t>http://vote.sos.ca.gov/returns/president/county/all/</t>
  </si>
  <si>
    <t>http://miboecfr.nictusa.com/election/results/2016GEN_CENR.html</t>
  </si>
  <si>
    <t>http://www.sos.idaho.gov/ELECT/results/2016/General/ENR/candidates_by_county.html</t>
  </si>
  <si>
    <t>https://results.arizona.vote/2016/General/n1591/Results-State.html#federal</t>
  </si>
  <si>
    <t>http://enr.sos.mo.gov/enrnet/PickaRace.aspx</t>
  </si>
  <si>
    <t>http://results.enr.clarityelections.com/CO/63746/index.html</t>
  </si>
  <si>
    <t>https://vote.ohio.gov</t>
  </si>
  <si>
    <t>https://www.ok.gov/elections/Election_Info/2016_November_General_Election.html</t>
  </si>
  <si>
    <t>https://electionresults.sos.iowa.gov/Views/TabularData.aspx?TabSRace=SpecifyARace%5ERaces%5E0%5E0%5E0%5EPresident%20and%20Vice%20President%5E86&amp;ElectionID=86</t>
  </si>
  <si>
    <t>http://www.alabamavotes.gov/electionnight/statewideresultsbycontest.aspx?ecode=1000500</t>
  </si>
  <si>
    <t>http://mtelectionresults.gov/resultsSW.aspx?type=FED&amp;map=CTY</t>
  </si>
  <si>
    <t>http://electionresults.sos.ne.gov/resultsCTY.aspx?type=PRS&amp;rid=8457&amp;osn=101&amp;map=CTY</t>
  </si>
  <si>
    <t>http://soswy.state.wy.us/Elections/Docs/2016/Results/General/2016_General_Statewide_Candidates_Summary.pdf</t>
  </si>
  <si>
    <t>Statewide Candidates Official Summary Wyoming General Election - November 8, 2016</t>
  </si>
  <si>
    <t>https://www.sec.state.vt.us/media/800300/2016gegeneralofficialresults.pdf</t>
  </si>
  <si>
    <t>Official Report of the Canvassing Committee United States and Vermont Statewide Offices General Election, November 8, 2016</t>
  </si>
  <si>
    <t>Official Results General Election - November 8, 2016 - Race-level results by county for all races</t>
  </si>
  <si>
    <t>http://elections.delaware.gov/results/html/stwoff_kns.shtml</t>
  </si>
  <si>
    <t>State Of Delaware Elections System Official Election Results General Elections - 11/08/16 Statewide Offices By County</t>
  </si>
  <si>
    <t>pdf Canvass</t>
  </si>
  <si>
    <t>pdf Abstract</t>
  </si>
  <si>
    <t>General Election 2016 - Certified Results</t>
  </si>
  <si>
    <t>https://www.dcboee.org/election_info/election_results/v3/2016/November-8-General-Election</t>
  </si>
  <si>
    <t>Election Results by Parish Official Results for Election Date: 11/08/2016 Presidential Electors</t>
  </si>
  <si>
    <t>United States President</t>
  </si>
  <si>
    <t>2016 Statewide General Election Official Results</t>
  </si>
  <si>
    <t>President and Vice President</t>
  </si>
  <si>
    <t>For U.S. President and Vice President</t>
  </si>
  <si>
    <t>pp. 4-24</t>
  </si>
  <si>
    <t>pp. 1-2</t>
  </si>
  <si>
    <t>Basiago / Kinnison (WRI)</t>
  </si>
  <si>
    <t>Fox / Kushner (WRI)</t>
  </si>
  <si>
    <t>Gyurko / Memmel (WRI)</t>
  </si>
  <si>
    <t>Valdivia / Barnere (WRI)</t>
  </si>
  <si>
    <t>Bernie Sanders</t>
  </si>
  <si>
    <t>2016 General Election November 8, 2016 Official Election Results</t>
  </si>
  <si>
    <t>President of the United States</t>
  </si>
  <si>
    <t>Official Results General Election - November 8, 2016</t>
  </si>
  <si>
    <t>President &amp; Vice President of the United States</t>
  </si>
  <si>
    <t>pdf Official Results</t>
  </si>
  <si>
    <t>Alison Lundergan Grimes</t>
  </si>
  <si>
    <t>November 8, 2016 Official 2016 General Election Results</t>
  </si>
  <si>
    <t>For the office of President and Vice President of the United States</t>
  </si>
  <si>
    <t>Denny Carroll Jackson</t>
  </si>
  <si>
    <t>Craig Ellis</t>
  </si>
  <si>
    <t>Timothy Allen Stevens</t>
  </si>
  <si>
    <t>Scott Cubbler</t>
  </si>
  <si>
    <t>Richard Turner Luesing Jr.</t>
  </si>
  <si>
    <t>Ben Hartnell</t>
  </si>
  <si>
    <t>David Perry</t>
  </si>
  <si>
    <t>Marshall Schoenke</t>
  </si>
  <si>
    <t>Santa Roy A. Clark</t>
  </si>
  <si>
    <t>Sheila "Samm" Tittle</t>
  </si>
  <si>
    <t>Cherunda Fox</t>
  </si>
  <si>
    <t>William Martin Ling</t>
  </si>
  <si>
    <t>Daniel Paul Zutler</t>
  </si>
  <si>
    <t>Anthony J. Valdivia</t>
  </si>
  <si>
    <t>General Election November 8, 2016 Official Results</t>
  </si>
  <si>
    <t>http://results.enr.clarityelections.com/GA/63991/183958/en/summary.html</t>
  </si>
  <si>
    <t>2016 Official Statewide General Election Results November 8, 2016</t>
  </si>
  <si>
    <t>President and Vice President of the United States</t>
  </si>
  <si>
    <t>http://www.nvsos.gov/soselectionpages/results/2016StatewideGeneral/ElectionSummary.aspx</t>
  </si>
  <si>
    <t>2016 November General Official Results President and Vice President</t>
  </si>
  <si>
    <t>Idaho Election Results - General Election (to county level) Statewide</t>
  </si>
  <si>
    <t>http://www.sos.idaho.gov/elect/results/2016/General/16Gen_stwd_cnty.xlsx</t>
  </si>
  <si>
    <t>Excel File</t>
  </si>
  <si>
    <t>Lawerence Denney</t>
  </si>
  <si>
    <t>Andrew D. Basiago</t>
  </si>
  <si>
    <t>Timothy Helgerson</t>
  </si>
  <si>
    <t>Chris Lacy</t>
  </si>
  <si>
    <t>Steven P. Malloy</t>
  </si>
  <si>
    <t>Reverend MsMere</t>
  </si>
  <si>
    <t>Darryl W. Perry</t>
  </si>
  <si>
    <t>Janet L. Reid</t>
  </si>
  <si>
    <t>Shawna Sterling</t>
  </si>
  <si>
    <t>Nicola “Niki” Jo Taysom</t>
  </si>
  <si>
    <t>Anthony "Tony" Joseph Valdivia</t>
  </si>
  <si>
    <t>2016 General Election and Nonpartisan Runoff Election Official County Results</t>
  </si>
  <si>
    <t>U.S. President &amp; Vice President</t>
  </si>
  <si>
    <t>pdf Document</t>
  </si>
  <si>
    <t>2016 Michigan Election Results General, Official</t>
  </si>
  <si>
    <t>President of the United States 4 Year Term (1) Position</t>
  </si>
  <si>
    <t>Canvass of Returns of General Election Held on November 8, 2016 - State of New Mexico</t>
  </si>
  <si>
    <t>p. 1</t>
  </si>
  <si>
    <t>Canvass of Results for the General Election held on November 8, 2016</t>
  </si>
  <si>
    <t>http://www.alabamavotes.gov/downloads/election/2016/general/2016-Official-General-Election-Results-Certified-2016-11-29.pdf</t>
  </si>
  <si>
    <t>Statewide Offices - General Election Results - President</t>
  </si>
  <si>
    <t>Robert Bentley</t>
  </si>
  <si>
    <t>Governor</t>
  </si>
  <si>
    <t>John H. Merrill</t>
  </si>
  <si>
    <t>https://elections.utah.gov/Media/Default/2016%20Election/2016%20General%20Election%20-%20Statewide%20Canvass.pdf</t>
  </si>
  <si>
    <t>State of Utah Office of the Liutenant Governor State Board of Canvassers 2016 General Election Results</t>
  </si>
  <si>
    <t>Sean D. Royce</t>
  </si>
  <si>
    <t>Attorney General</t>
  </si>
  <si>
    <t>Spencer J. Cox</t>
  </si>
  <si>
    <t>Lt. Governor</t>
  </si>
  <si>
    <t>Dustin Baird, Brandon Russell</t>
  </si>
  <si>
    <t>Andrew D. Basiago, Karen D. Kinnison</t>
  </si>
  <si>
    <t>Tony Valdivia, Aaron Roy Barriere</t>
  </si>
  <si>
    <t>Sheila "Samm" Tittle, R. Charles Casper-Kacprowicz</t>
  </si>
  <si>
    <t>Robert L. Buchanan, Jason A. Washington</t>
  </si>
  <si>
    <t>Jamin Burton, Victor Neves</t>
  </si>
  <si>
    <t>pdf Statement of Vote</t>
  </si>
  <si>
    <t>State of Hawaii Statement of Vote November 08, 2016</t>
  </si>
  <si>
    <t>http://elections.hawaii.gov/wp-content/results/sov.pdf</t>
  </si>
  <si>
    <t>pp. 20-21</t>
  </si>
  <si>
    <t>http://elections.sos.state.tx.us/elchist319_race62.htm</t>
  </si>
  <si>
    <t>2016 General Election 11/8/2016 President/Vice-President</t>
  </si>
  <si>
    <t>Tony Valdivia /Aaron Barriere</t>
  </si>
  <si>
    <t>Jonathan Lee /Jeffrey Erskine</t>
  </si>
  <si>
    <t>Scott Cubbler /Michael Rodriguez</t>
  </si>
  <si>
    <t>Dale Steffes /Paul E. Case</t>
  </si>
  <si>
    <t>Cherunda Fox /Roger Kushner</t>
  </si>
  <si>
    <t>Robert Morrow /Todd Sanders</t>
  </si>
  <si>
    <t>2016 Presidential Election Official Results</t>
  </si>
  <si>
    <t>Voting District Report</t>
  </si>
  <si>
    <t>http://ctemspublic.pcctg.net/#/reports</t>
  </si>
  <si>
    <t>csv export</t>
  </si>
  <si>
    <t>TotAR Vote</t>
  </si>
  <si>
    <t>Basiago and Kinnison</t>
  </si>
  <si>
    <t>Blumenthal and Blair</t>
  </si>
  <si>
    <t>Buchanan and Washington</t>
  </si>
  <si>
    <t>Cooper and Meyer</t>
  </si>
  <si>
    <t>Cummings and Romanoff</t>
  </si>
  <si>
    <t>Deame and Long</t>
  </si>
  <si>
    <t>Evans and Fitch</t>
  </si>
  <si>
    <t>Fox and Kushner</t>
  </si>
  <si>
    <t>Klojzy Jr. and LeMay</t>
  </si>
  <si>
    <t>Schoenke and Mitchell Jr.</t>
  </si>
  <si>
    <t>Skewes and Lacy</t>
  </si>
  <si>
    <t>Wu and Wu</t>
  </si>
  <si>
    <t>2016 General Election Official Results</t>
  </si>
  <si>
    <t>Presidential Electors For:</t>
  </si>
  <si>
    <t>General Election - November 8, 2016 Electoin Results (Official)</t>
  </si>
  <si>
    <t>Text by Precinct</t>
  </si>
  <si>
    <t>http://www.elections.alaska.gov/results/16GENR/</t>
  </si>
  <si>
    <t>2016 Official Election Results General Election: November 8, 2016</t>
  </si>
  <si>
    <t>Results by County</t>
  </si>
  <si>
    <t>http://www.sos.state.oh.us/sos/upload/elections/2016/gen/county.xlsx</t>
  </si>
  <si>
    <t>James Jerome Bell</t>
  </si>
  <si>
    <t>Michael Bickelmeyer</t>
  </si>
  <si>
    <t>Bruce E. Jaynes</t>
  </si>
  <si>
    <t>Barry Kirschner</t>
  </si>
  <si>
    <t>Joe Schriner</t>
  </si>
  <si>
    <t>Josiah R. Stroh</t>
  </si>
  <si>
    <t>Douglas W. Thomson</t>
  </si>
  <si>
    <t>Official Canvass</t>
  </si>
  <si>
    <t>Steve Simon</t>
  </si>
  <si>
    <t>State of Minnesota Canvassing Report Report of Votes Cast for Federal, State, and Judicial Offices Minnesota State General Election Tuesday, November 8, 2016</t>
  </si>
  <si>
    <t>http://www.sos.state.mn.us/media/2802/2016-state-canvassing-report.pdf</t>
  </si>
  <si>
    <t>pp. 4-11</t>
  </si>
  <si>
    <t>Fox</t>
  </si>
  <si>
    <t>Schoenke</t>
  </si>
  <si>
    <t>WEC Canvass Reporting System County by County Report 2016 General Election</t>
  </si>
  <si>
    <t>pp. 1-6</t>
  </si>
  <si>
    <t>Stephen L. Allen</t>
  </si>
  <si>
    <t>Robert Buchanan</t>
  </si>
  <si>
    <t>Loren Collins</t>
  </si>
  <si>
    <t>Claire Elisabeth Elliott</t>
  </si>
  <si>
    <t>Ricky Muhammad</t>
  </si>
  <si>
    <t>Marc Urbach</t>
  </si>
  <si>
    <t>Sandra Wilson</t>
  </si>
  <si>
    <t>http://sos.nh.gov/2016PresGen.aspx</t>
  </si>
  <si>
    <t>President of the United States - 2016 General Election</t>
  </si>
  <si>
    <t>Robert L. Buchanan</t>
  </si>
  <si>
    <t>Willie Felix Carter</t>
  </si>
  <si>
    <t>Michael Corsetti</t>
  </si>
  <si>
    <t>Mitchell In-Albon</t>
  </si>
  <si>
    <t>Delano Steinacker</t>
  </si>
  <si>
    <t>Sheila 'Samm' Tittle</t>
  </si>
  <si>
    <t>State of Arizona Official Canvass 2016 General Election - Nov 8, 2016</t>
  </si>
  <si>
    <t>Arizona Secretary of State</t>
  </si>
  <si>
    <t>pp. 1-10</t>
  </si>
  <si>
    <t>http://apps.azsos.gov/election/2016/General/Official%20Signed%20State%20Canvass.pdf</t>
  </si>
  <si>
    <t>Steven S. Sandvoss</t>
  </si>
  <si>
    <t>Executive Director</t>
  </si>
  <si>
    <t>Official Canvass General Election November 8, 2016</t>
  </si>
  <si>
    <t>http://www.elections.il.gov/Downloads/ElectionInformation/VoteTotals/2016GEOfficialVote.pdf</t>
  </si>
  <si>
    <t>pp. 1-24</t>
  </si>
  <si>
    <t>Seeberg</t>
  </si>
  <si>
    <t>McKee</t>
  </si>
  <si>
    <t>Breivogel</t>
  </si>
  <si>
    <t>Stack</t>
  </si>
  <si>
    <t>Hartnell</t>
  </si>
  <si>
    <t>Brumfield</t>
  </si>
  <si>
    <t>Tyree</t>
  </si>
  <si>
    <t>Meluch</t>
  </si>
  <si>
    <t>Wysinger</t>
  </si>
  <si>
    <t>Struck</t>
  </si>
  <si>
    <t>http://www.njelections.org/2016-results/2016-official-general-results-president-1206b.pdf</t>
  </si>
  <si>
    <t>Official List Candidates for President for General Election 11/08/2016 Election</t>
  </si>
  <si>
    <t>pdf File</t>
  </si>
  <si>
    <t>pp. 2-10</t>
  </si>
  <si>
    <t>https://sos.iowa.gov/elections/pdf/2016/general/canvsummary.pdf</t>
  </si>
  <si>
    <t>2016 General Election Canvass Summary</t>
  </si>
  <si>
    <t>Colorado Election Results Official November 8, 2016 General Election Presidential Electors</t>
  </si>
  <si>
    <t>John A. Gale</t>
  </si>
  <si>
    <t>comp.</t>
  </si>
  <si>
    <t>Official Report of the Board of State Canvassers General Election November 8, 2016</t>
  </si>
  <si>
    <t>pp. 9-10</t>
  </si>
  <si>
    <t>http://www.sos.ne.gov/elec/2016/pdf/2016-canvass-book.pdf</t>
  </si>
  <si>
    <t>http://sos.oregon.gov/elections/Documents/results/november-2016-results.pdf</t>
  </si>
  <si>
    <t>November 8, 2016, General Election Abstract of Votes</t>
  </si>
  <si>
    <t>US President</t>
  </si>
  <si>
    <t>Linda McCulloch</t>
  </si>
  <si>
    <t>2016 Statewide General Election Canvass</t>
  </si>
  <si>
    <t>http://sos.mt.gov/Elections/2016/2016GeneralStatewideCanvass.pdf</t>
  </si>
  <si>
    <t>p. 2</t>
  </si>
  <si>
    <t>Laio Morris</t>
  </si>
  <si>
    <t>Official 2016 Presidential General Election results for President and Vice President of the United States</t>
  </si>
  <si>
    <t>Paij Boring</t>
  </si>
  <si>
    <t xml:space="preserve">Joann Breivogel </t>
  </si>
  <si>
    <t xml:space="preserve">Jacqueline Gates </t>
  </si>
  <si>
    <t xml:space="preserve">Stephen McCarthy </t>
  </si>
  <si>
    <t xml:space="preserve">Janet L. Reid </t>
  </si>
  <si>
    <t xml:space="preserve">Paul Adams </t>
  </si>
  <si>
    <t xml:space="preserve">Cathy Johnson Pendleton </t>
  </si>
  <si>
    <t>Doug Terry</t>
  </si>
  <si>
    <t xml:space="preserve">Mary E. Thomas </t>
  </si>
  <si>
    <t xml:space="preserve">William E. Bowhall, Jr. </t>
  </si>
  <si>
    <t xml:space="preserve">Theodis Brown, Sr </t>
  </si>
  <si>
    <t xml:space="preserve">Richard Baxter Edgell </t>
  </si>
  <si>
    <t xml:space="preserve">Mohammed Keita </t>
  </si>
  <si>
    <t xml:space="preserve">Ken Lash </t>
  </si>
  <si>
    <t xml:space="preserve">David Librace </t>
  </si>
  <si>
    <t>Star Locke</t>
  </si>
  <si>
    <t xml:space="preserve">Kevin M. Moreau </t>
  </si>
  <si>
    <t xml:space="preserve">Michael S Olkowski </t>
  </si>
  <si>
    <t xml:space="preserve">Schoenke/ Mitchell </t>
  </si>
  <si>
    <t xml:space="preserve">Coop Smith </t>
  </si>
  <si>
    <t xml:space="preserve">Sistah Soldjah </t>
  </si>
  <si>
    <t xml:space="preserve">Vogel-Walcutt/ Walcutt </t>
  </si>
  <si>
    <t xml:space="preserve">Mitchell Williams </t>
  </si>
  <si>
    <t xml:space="preserve">Wysinger/ Jefferson </t>
  </si>
  <si>
    <t xml:space="preserve">Shelia Bolar </t>
  </si>
  <si>
    <t xml:space="preserve">Michael David Boyles </t>
  </si>
  <si>
    <t xml:space="preserve">Dana E. Brown </t>
  </si>
  <si>
    <t xml:space="preserve">Robert Buchanan </t>
  </si>
  <si>
    <t xml:space="preserve">Martin Carlisle </t>
  </si>
  <si>
    <t xml:space="preserve">Ameer Flippin </t>
  </si>
  <si>
    <t xml:space="preserve">Cherunda Fox </t>
  </si>
  <si>
    <t xml:space="preserve">Ben Hartnell </t>
  </si>
  <si>
    <t xml:space="preserve">Gerald Jennings, II </t>
  </si>
  <si>
    <t xml:space="preserve">Michael B. Puskar </t>
  </si>
  <si>
    <t xml:space="preserve">Maurice Symonette </t>
  </si>
  <si>
    <t xml:space="preserve">Kora Roberta Katz Vakil </t>
  </si>
  <si>
    <t xml:space="preserve">Valdivia/ Barriere </t>
  </si>
  <si>
    <t>pdf Report</t>
  </si>
  <si>
    <t>Iowa Secretary of State</t>
  </si>
  <si>
    <t>http://enr.sos.mo.gov/PickaRace.aspx</t>
  </si>
  <si>
    <t>State of Missouri - 2016 General Election - November 8, 2016 Official Results As announced by the Board of State Canvassers on December 12, 2016</t>
  </si>
  <si>
    <t>U.S. President and Vice President</t>
  </si>
  <si>
    <t>Marshall Schoenke James Creighton Mitchell Jr, WI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</si>
  <si>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</si>
  <si>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</si>
  <si>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</si>
  <si>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</si>
  <si>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</si>
  <si>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</si>
  <si>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</si>
  <si>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</si>
  <si>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</si>
  <si>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</si>
  <si>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</si>
  <si>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</si>
  <si>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</si>
  <si>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</si>
  <si>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</si>
  <si>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</si>
  <si>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</si>
  <si>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November 8, 2016 General Election Federal Offices U.S. President</t>
  </si>
  <si>
    <t>http://www.maine.gov/sos/cec/elec/results/2016/president.xlsx</t>
  </si>
  <si>
    <t>Cherunda L. Fox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</si>
  <si>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</si>
  <si>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</si>
  <si>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</si>
  <si>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</si>
  <si>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</si>
  <si>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</si>
  <si>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</si>
  <si>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</si>
  <si>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</si>
  <si>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</si>
  <si>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</si>
  <si>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</si>
  <si>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</si>
  <si>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</si>
  <si>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</si>
  <si>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</si>
  <si>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</si>
  <si>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</si>
  <si>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</si>
  <si>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</si>
  <si>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</si>
  <si>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</si>
  <si>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</si>
  <si>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</si>
  <si>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</si>
  <si>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</si>
  <si>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</si>
  <si>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</si>
  <si>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</si>
  <si>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</si>
  <si>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</si>
  <si>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</si>
  <si>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</si>
  <si>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</si>
  <si>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</si>
  <si>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</si>
  <si>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</si>
  <si>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</si>
  <si>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</si>
  <si>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</si>
  <si>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</si>
  <si>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</si>
  <si>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</si>
  <si>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</si>
  <si>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</si>
  <si>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</si>
  <si>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</si>
  <si>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</si>
  <si>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</si>
  <si>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</si>
  <si>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</si>
  <si>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</si>
  <si>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</si>
  <si>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</si>
  <si>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</si>
  <si>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</si>
  <si>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</si>
  <si>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</si>
  <si>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</si>
  <si>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</si>
  <si>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</si>
  <si>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</si>
  <si>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</si>
  <si>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</si>
  <si>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</si>
  <si>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</si>
  <si>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</si>
  <si>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</si>
  <si>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</si>
  <si>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</si>
  <si>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</si>
  <si>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</si>
  <si>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</si>
  <si>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</si>
  <si>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</si>
  <si>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</si>
  <si>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</si>
  <si>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</si>
  <si>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</si>
  <si>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</si>
  <si>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</si>
  <si>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</si>
  <si>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</si>
  <si>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</si>
  <si>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</si>
  <si>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</si>
  <si>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</si>
  <si>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</si>
  <si>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</si>
  <si>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</si>
  <si>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</si>
  <si>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</si>
  <si>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</si>
  <si>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</si>
  <si>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</si>
  <si>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</si>
  <si>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</si>
  <si>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</si>
  <si>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</si>
  <si>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</si>
  <si>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</si>
  <si>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 xml:space="preserve">CONCORD TOWNSHIP                                                                                                                                      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</si>
  <si>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</si>
  <si>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</si>
  <si>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</si>
  <si>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</si>
  <si>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</si>
  <si>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</si>
  <si>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</si>
  <si>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</si>
  <si>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</si>
  <si>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</si>
  <si>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</si>
  <si>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</si>
  <si>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</si>
  <si>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</si>
  <si>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</si>
  <si>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</si>
  <si>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</si>
  <si>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</si>
  <si>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</si>
  <si>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</si>
  <si>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</si>
  <si>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</si>
  <si>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</si>
  <si>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</si>
  <si>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</si>
  <si>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</si>
  <si>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</si>
  <si>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</si>
  <si>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</si>
  <si>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</si>
  <si>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</si>
  <si>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</si>
  <si>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</si>
  <si>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</si>
  <si>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</si>
  <si>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</si>
  <si>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</si>
  <si>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</si>
  <si>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</si>
  <si>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</si>
  <si>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</si>
  <si>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</si>
  <si>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</si>
  <si>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</si>
  <si>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</si>
  <si>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</si>
  <si>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</si>
  <si>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</si>
  <si>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</si>
  <si>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</si>
  <si>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</si>
  <si>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</si>
  <si>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</si>
  <si>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</si>
  <si>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</si>
  <si>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</si>
  <si>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</si>
  <si>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</si>
  <si>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</si>
  <si>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</si>
  <si>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</si>
  <si>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</si>
  <si>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</si>
  <si>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</si>
  <si>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</si>
  <si>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</si>
  <si>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</si>
  <si>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</si>
  <si>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</si>
  <si>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</si>
  <si>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</si>
  <si>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</si>
  <si>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</si>
  <si>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</si>
  <si>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</si>
  <si>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</si>
  <si>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</si>
  <si>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</si>
  <si>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</si>
  <si>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</si>
  <si>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</si>
  <si>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</si>
  <si>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</si>
  <si>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</si>
  <si>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</si>
  <si>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</si>
  <si>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</si>
  <si>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</si>
  <si>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</si>
  <si>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</si>
  <si>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</si>
  <si>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</si>
  <si>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</si>
  <si>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</si>
  <si>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</si>
  <si>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</si>
  <si>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</si>
  <si>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</si>
  <si>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</si>
  <si>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</si>
  <si>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</si>
  <si>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</si>
  <si>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</si>
  <si>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</si>
  <si>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</si>
  <si>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</si>
  <si>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</si>
  <si>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</si>
  <si>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</si>
  <si>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</si>
  <si>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</si>
  <si>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</si>
  <si>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</si>
  <si>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</si>
  <si>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</si>
  <si>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</si>
  <si>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</si>
  <si>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</si>
  <si>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</si>
  <si>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</si>
  <si>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</si>
  <si>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</si>
  <si>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</si>
  <si>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</si>
  <si>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</si>
  <si>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</si>
  <si>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</si>
  <si>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</si>
  <si>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</si>
  <si>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</si>
  <si>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</si>
  <si>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</si>
  <si>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</si>
  <si>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</si>
  <si>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</si>
  <si>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</si>
  <si>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</si>
  <si>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</si>
  <si>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</si>
  <si>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</si>
  <si>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</si>
  <si>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</si>
  <si>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</si>
  <si>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</si>
  <si>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</si>
  <si>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</si>
  <si>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</si>
  <si>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</si>
  <si>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</si>
  <si>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</si>
  <si>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</si>
  <si>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</si>
  <si>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</si>
  <si>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</si>
  <si>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</si>
  <si>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</si>
  <si>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</si>
  <si>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</si>
  <si>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</si>
  <si>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</si>
  <si>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</si>
  <si>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</si>
  <si>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</si>
  <si>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</si>
  <si>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</si>
  <si>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</si>
  <si>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</si>
  <si>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</si>
  <si>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</si>
  <si>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</si>
  <si>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</si>
  <si>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</si>
  <si>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</si>
  <si>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</si>
  <si>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</si>
  <si>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</si>
  <si>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</si>
  <si>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</si>
  <si>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</si>
  <si>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</si>
  <si>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</si>
  <si>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</si>
  <si>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</si>
  <si>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</si>
  <si>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</si>
  <si>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</si>
  <si>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</si>
  <si>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</si>
  <si>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</si>
  <si>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</si>
  <si>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</si>
  <si>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</si>
  <si>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</si>
  <si>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</si>
  <si>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</si>
  <si>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</si>
  <si>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</si>
  <si>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</si>
  <si>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</si>
  <si>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</si>
  <si>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</si>
  <si>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</si>
  <si>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</si>
  <si>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</si>
  <si>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</si>
  <si>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</si>
  <si>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</si>
  <si>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</si>
  <si>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</si>
  <si>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</si>
  <si>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</si>
  <si>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</si>
  <si>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</si>
  <si>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</si>
  <si>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</si>
  <si>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</si>
  <si>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</si>
  <si>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</si>
  <si>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</si>
  <si>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</si>
  <si>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</si>
  <si>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</si>
  <si>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</si>
  <si>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</si>
  <si>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</si>
  <si>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</si>
  <si>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</si>
  <si>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</si>
  <si>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</si>
  <si>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</si>
  <si>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</si>
  <si>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</si>
  <si>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</si>
  <si>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</si>
  <si>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</si>
  <si>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</si>
  <si>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</si>
  <si>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</si>
  <si>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</si>
  <si>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</si>
  <si>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</si>
  <si>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</si>
  <si>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</si>
  <si>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</si>
  <si>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</si>
  <si>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</si>
  <si>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</si>
  <si>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</si>
  <si>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</si>
  <si>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</si>
  <si>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</si>
  <si>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</si>
  <si>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</si>
  <si>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</si>
  <si>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</si>
  <si>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</si>
  <si>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</si>
  <si>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</si>
  <si>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</si>
  <si>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</si>
  <si>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</si>
  <si>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</si>
  <si>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</si>
  <si>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</si>
  <si>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</si>
  <si>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</si>
  <si>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</si>
  <si>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</si>
  <si>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</si>
  <si>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</si>
  <si>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</si>
  <si>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</si>
  <si>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</si>
  <si>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</si>
  <si>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</si>
  <si>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</si>
  <si>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</si>
  <si>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</si>
  <si>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</si>
  <si>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</si>
  <si>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</si>
  <si>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</si>
  <si>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</si>
  <si>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</si>
  <si>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</si>
  <si>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</si>
  <si>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</si>
  <si>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</si>
  <si>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</si>
  <si>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</si>
  <si>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</si>
  <si>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</si>
  <si>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</si>
  <si>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</si>
  <si>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</si>
  <si>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</si>
  <si>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</si>
  <si>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</si>
  <si>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</si>
  <si>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</si>
  <si>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</si>
  <si>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</si>
  <si>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</si>
  <si>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</si>
  <si>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</si>
  <si>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</si>
  <si>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</si>
  <si>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</si>
  <si>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</si>
  <si>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</si>
  <si>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</si>
  <si>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</si>
  <si>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</si>
  <si>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</si>
  <si>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</si>
  <si>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</si>
  <si>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</si>
  <si>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</si>
  <si>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</si>
  <si>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</si>
  <si>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</si>
  <si>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</si>
  <si>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</si>
  <si>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</si>
  <si>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</si>
  <si>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</si>
  <si>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</si>
  <si>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</si>
  <si>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</si>
  <si>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</si>
  <si>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</si>
  <si>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</si>
  <si>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</si>
  <si>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</si>
  <si>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</si>
  <si>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</si>
  <si>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</si>
  <si>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</si>
  <si>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</si>
  <si>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</si>
  <si>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</si>
  <si>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</si>
  <si>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</si>
  <si>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</si>
  <si>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</si>
  <si>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</si>
  <si>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</si>
  <si>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</si>
  <si>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</si>
  <si>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</si>
  <si>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</si>
  <si>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</si>
  <si>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</si>
  <si>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</si>
  <si>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</si>
  <si>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</si>
  <si>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</si>
  <si>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</si>
  <si>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</si>
  <si>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</si>
  <si>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</si>
  <si>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</si>
  <si>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</si>
  <si>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</si>
  <si>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</si>
  <si>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</si>
  <si>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</si>
  <si>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</si>
  <si>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</si>
  <si>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</si>
  <si>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</si>
  <si>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</si>
  <si>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</si>
  <si>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</si>
  <si>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</si>
  <si>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</si>
  <si>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</si>
  <si>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</si>
  <si>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</si>
  <si>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</si>
  <si>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</si>
  <si>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</si>
  <si>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 xml:space="preserve">WASHINGTON TWP                                                                                                                                        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</si>
  <si>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</si>
  <si>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</si>
  <si>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</si>
  <si>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</si>
  <si>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</si>
  <si>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</si>
  <si>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</si>
  <si>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</si>
  <si>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</si>
  <si>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</si>
  <si>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</si>
  <si>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</si>
  <si>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</si>
  <si>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</si>
  <si>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</si>
  <si>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</si>
  <si>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</si>
  <si>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</si>
  <si>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</si>
  <si>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</si>
  <si>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</si>
  <si>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</si>
  <si>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</si>
  <si>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</si>
  <si>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</si>
  <si>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</si>
  <si>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</si>
  <si>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</si>
  <si>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</si>
  <si>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</si>
  <si>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</si>
  <si>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</si>
  <si>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</si>
  <si>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</si>
  <si>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</si>
  <si>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</si>
  <si>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</si>
  <si>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</si>
  <si>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</si>
  <si>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</si>
  <si>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</si>
  <si>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</si>
  <si>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</si>
  <si>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</si>
  <si>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</si>
  <si>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</si>
  <si>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</si>
  <si>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http://sos-tn-gov-files.s3.amazonaws.com/PresidentbyCountyNov2016.pdf</t>
  </si>
  <si>
    <t>2016 Election Results November 8, 2016</t>
  </si>
  <si>
    <t>Johnson (Ind)</t>
  </si>
  <si>
    <t>Johnson (LBT)</t>
  </si>
  <si>
    <t>Clinton (WEP)</t>
  </si>
  <si>
    <t>Arantxa Aranja</t>
  </si>
  <si>
    <t>Neer R. Asherie</t>
  </si>
  <si>
    <t>Mark Blickley</t>
  </si>
  <si>
    <t>Gary S. Canns</t>
  </si>
  <si>
    <t>Willie Carter</t>
  </si>
  <si>
    <t>Ariel Cohen</t>
  </si>
  <si>
    <t>William J. Connolly</t>
  </si>
  <si>
    <t>Jason Fried</t>
  </si>
  <si>
    <t>Zoltan Istvan Gyurko</t>
  </si>
  <si>
    <t>Michael Frederick Ingbar</t>
  </si>
  <si>
    <t>Jeff Mackler</t>
  </si>
  <si>
    <t>Jason Mutford</t>
  </si>
  <si>
    <t>Clifton Roberts</t>
  </si>
  <si>
    <t>Tony Valdivia</t>
  </si>
  <si>
    <t>J. J. Vogel-Walcutt</t>
  </si>
  <si>
    <t>Esther Welsh</t>
  </si>
  <si>
    <t>Barbara Whitaker</t>
  </si>
  <si>
    <t>Robert M. Wolff</t>
  </si>
  <si>
    <t>General Election Results President and Vice President</t>
  </si>
  <si>
    <t>http://elections.wi.gov/sites/default/files/County%20by%20County%20Report%20President%20of%20the%20United%20States%20Recount.pdf</t>
  </si>
  <si>
    <t>PD43+ Massachusetts Election Statistics 2016 President General Election</t>
  </si>
  <si>
    <t>http://electionstats.state.ma.us/elections/view/40060/</t>
  </si>
  <si>
    <t>Feegbeh/ O'Brien</t>
  </si>
  <si>
    <t>All Others</t>
  </si>
  <si>
    <t>http://services.sos.wv.gov/apps/elections/results/results.aspx?year=2016&amp;eid=23&amp;county=Statewide</t>
  </si>
  <si>
    <t>General Election - November 8, 2016 Official Results</t>
  </si>
  <si>
    <t>U.S. President</t>
  </si>
  <si>
    <t>11/08/2016 Official General Election Results - Statewide</t>
  </si>
  <si>
    <t>US President (Vote for 1)</t>
  </si>
  <si>
    <t>Lohmiller/Smith</t>
  </si>
  <si>
    <t>Nieman/Jackson</t>
  </si>
  <si>
    <t>Sterner/Ryan</t>
  </si>
  <si>
    <t>Perry/Seiley</t>
  </si>
  <si>
    <t>Perry/Nelson</t>
  </si>
  <si>
    <t>Fox/Kushner</t>
  </si>
  <si>
    <t>http://www.co.alameda.ca.us/rov/current_election/230/index.htm</t>
  </si>
  <si>
    <t>http://www.alpinecountyca.gov/DocumentCenter/View/1647</t>
  </si>
  <si>
    <t>http://www.co.amador.ca.us/home/showdocument?id=25608</t>
  </si>
  <si>
    <t>https://clerk-recorder.buttecounty.net/elections/archives/eln35/35_official_results.html</t>
  </si>
  <si>
    <t>http://elections.calaverasgov.us/Portals/clerk/Docs/Elections/Results/ElectionResults.aspx</t>
  </si>
  <si>
    <t>http://countyofcolusa.org/DocumentCenter/View/8524</t>
  </si>
  <si>
    <t>http://results.enr.clarityelections.com/CA/Contra_Costa/64177/Web02/#/</t>
  </si>
  <si>
    <t>http://www.edcgov.us/elections/election/2461/2461.pdf</t>
  </si>
  <si>
    <t>http://www2.co.fresno.ca.us/2850/Results/Results20161108.htm</t>
  </si>
  <si>
    <t>http://www.humboldtgov.org/DocumentCenter/View/57024</t>
  </si>
  <si>
    <t>https://drive.google.com/file/d/0B0KXsavvrMjIWXhqZmVKZEt0QXc/view</t>
  </si>
  <si>
    <t>http://countyofkings.com/departments/general-services/assessor-clerk-recorder-elections/elections/election-information/election-results</t>
  </si>
  <si>
    <t>http://publicapps.lakecountyca.gov/elections/results/result30.htm#c1100</t>
  </si>
  <si>
    <t>http://lassencounty.org/ElectionResults/</t>
  </si>
  <si>
    <t>http://votemadera.com/wp-content/uploads/2016/11/Official-Election-Summary-November-8-2016.pdf</t>
  </si>
  <si>
    <t>http://www.marincounty.org/depts/rv/election-info/results</t>
  </si>
  <si>
    <t>http://www.co.mendocino.ca.us/acr/current.htm</t>
  </si>
  <si>
    <t>http://docs.google.com/viewer?a=v&amp;pid=sites&amp;srcid=Y28ubW9kb2MuY2EudXN8Y291bnR5LW9mLW1vZG9jfGd4OjRhYWYxMTkwMTQ4YTc0M2I</t>
  </si>
  <si>
    <t>http://www.monocounty.ca.gov/sites/default/files/fileattachments/elections/page/5455/summary_report_final.pdf</t>
  </si>
  <si>
    <t>http://placerelections.com/election-night-results.aspx</t>
  </si>
  <si>
    <t>http://www.countyofplumas.com/DocumentCenter/View/16100</t>
  </si>
  <si>
    <t>http://sacresults.e-cers.com/resultsSW.aspx?type=PRE&amp;map=MPRC</t>
  </si>
  <si>
    <t>http://sbcvote.us/registrar-of-voters/election-results/</t>
  </si>
  <si>
    <t>http://www.sfelections.org/results/20161108/</t>
  </si>
  <si>
    <t>http://www.sjcrov.org/uploads/results-1.htm?156</t>
  </si>
  <si>
    <t>http://www.slocounty.ca.gov/Assets/CR/Elections/November+8$!2c+2016+Presidential+General+Election/Nov+8+2016+Presidential+General+Final+Official+Election+Results.pdf</t>
  </si>
  <si>
    <t>http://www.sbcvote.com/Elect/resources/results11_2016/results-1-certified.htm</t>
  </si>
  <si>
    <t>http://sccounty01.co.santa-cruz.ca.us/ElectionSites/ElectionResults/Index?latest_results</t>
  </si>
  <si>
    <t>http://results.enr.clarityelections.com/CA/Shasta/64166/184224/Web01/en/summary.html</t>
  </si>
  <si>
    <t>http://www.sierracounty.ca.gov/DocumentCenter/View/2447</t>
  </si>
  <si>
    <t>http://www.solanocounty.com/civicax/filebank/blobdload.aspx?blobid=25731</t>
  </si>
  <si>
    <t>http://vote.sonoma-county.org/content.aspx?sid=1009&amp;id=3346</t>
  </si>
  <si>
    <t>http://www.stanvote.com/past-results/results.htm</t>
  </si>
  <si>
    <t>https://www.co.sutter.ca.us/contents/elections/result32.htm</t>
  </si>
  <si>
    <t>http://www.co.tehama.ca.us/images/images/Elections/Final_Official_results.pdf</t>
  </si>
  <si>
    <t>http://www.trinitycounty.org/modules/showdocument.aspx?documentid=3931</t>
  </si>
  <si>
    <t>http://tularecoelections.org/elections/index.cfm/registrar-of-voters/current-election-information/november-8-2016-presidential-general-election/post-election-results/</t>
  </si>
  <si>
    <t>http://www.tuolumnecounty.ca.gov/DocumentCenter/View/7699</t>
  </si>
  <si>
    <t>http://results.enr.clarityelections.com/CA/Ventura/63616/184326/en/summary.html</t>
  </si>
  <si>
    <t>Ray C. Brown</t>
  </si>
  <si>
    <t>Melissa L. Kelly</t>
  </si>
  <si>
    <t>G. Richard Mullis</t>
  </si>
  <si>
    <t>Matthew Roberts</t>
  </si>
  <si>
    <t>Alex Padilla</t>
  </si>
  <si>
    <t>Total Vote (county report)</t>
  </si>
  <si>
    <t>https://sdsos.gov/elections-voting/assets/2016GeneralElectionOfficialStateCanvass.pdf</t>
  </si>
  <si>
    <t>pdf Certificate</t>
  </si>
  <si>
    <t>Shantel Krebs</t>
  </si>
  <si>
    <t>Certificate General Election - November 8, 2016</t>
  </si>
  <si>
    <t>2016 Presidential Election President of the United States County Breakdown</t>
  </si>
  <si>
    <t>Official write-in vote: 170 for nine candidates.  Additional write-ins collected from official individual county election reports.</t>
  </si>
  <si>
    <t>Official write-in vote: 54 for four candidates.  Additional write-ins collected from official individual county election reports.</t>
  </si>
  <si>
    <t>Official write-in vote: 250 for ten candidates.  Additional write-ins collected from official individual county election reports (incomplete tally).</t>
  </si>
  <si>
    <t>Official write-in vote: Bernie Sanders 79,341.  Additional write-ins collected from official individual county election reports (incomplete tally).</t>
  </si>
  <si>
    <t>Official write-in vote: 212 for 19 candidates.  Additional write-ins collected from official individual county election reports (incomplete tally).</t>
  </si>
  <si>
    <t>Official write-in vote: 347 for six candidates.  Additional write-ins collected from official individual county election reports (incomplete tally).</t>
  </si>
  <si>
    <t>Official write-in vote: 49 for two candidates.  Additional write-ins collected from official individual county election reports (incomplete tally).</t>
  </si>
  <si>
    <t>Official write-in vote: 3 for one candidates.  Additional write-ins collected from official individual county election reports (incomplete tally).</t>
  </si>
  <si>
    <t>Official write-in vote: 8 for five candidates.  Additional write-ins collected from official individual county election reports (incomplete tally).</t>
  </si>
  <si>
    <t>Official write-in vote: 0.  Write-ins collected from official individual county election reports (incomplete tally).</t>
  </si>
  <si>
    <t>Official write-in vote: 730 for nine candidates.  Additional write-ins collected from official individual county election reports (incomplete tally).</t>
  </si>
  <si>
    <t>Official write-in vote: 17 for six candidates.  Additional write-ins collected from official individual county election reports (incomplete tally).</t>
  </si>
  <si>
    <t>Official write-in vote: 21 for five candidates.  Additional write-ins collected from official individual county election reports (incomplete tally).</t>
  </si>
  <si>
    <t>Benjamin Hartnell</t>
  </si>
  <si>
    <t>Matthew Water Stout</t>
  </si>
  <si>
    <t>Ajay Sood</t>
  </si>
  <si>
    <t>Ryan Alan Scott &amp; Bruce Kendall Barnard</t>
  </si>
  <si>
    <t>Other Electoral Votes</t>
  </si>
  <si>
    <t>Colin Powell</t>
  </si>
  <si>
    <t>John Kasich</t>
  </si>
  <si>
    <t>Faith Spotted Eagle</t>
  </si>
  <si>
    <t>Three Clinton Electors voted for Colin Powell for President.  One Clinton Elector voted for Faith Spotted Eagle for President</t>
  </si>
  <si>
    <t>The following indiviudals received one vote each for Vice President: Elizabeth Warren, Susan Collins, Maria Cantwell, and Winona LaDuke.</t>
  </si>
  <si>
    <t>One Trump Elector voted for John Kasich for President.  One Trump Elector voted for Ron Paul for President.</t>
  </si>
  <si>
    <t>One Clinton Elector voted for Bernie Sanders for President.</t>
  </si>
  <si>
    <t>Official Source listed above has an error in Dakota County.  Figures above are updated based on Dakota County official Statement of Votes Cast  Figures from SoS: Clinton 1,367,716, Trump 1,322,951.</t>
  </si>
  <si>
    <t>Bastago</t>
  </si>
  <si>
    <t>Schriner</t>
  </si>
  <si>
    <t>Sood</t>
  </si>
  <si>
    <t>Note: state-level report often omit write-in votes.  Set figure above to "1" to include official write-in figures from county reports.</t>
  </si>
  <si>
    <t>Document</t>
  </si>
  <si>
    <t>http://www.sos.ms.gov/elections/electionresults/2016%20GE%20Statewide%20Recap%20Report.pdf</t>
  </si>
  <si>
    <t>Official Recapitulation 2016 Presidential Election</t>
  </si>
  <si>
    <t>Elizabeth Warren</t>
  </si>
  <si>
    <t>Carly Fiorina</t>
  </si>
  <si>
    <t>Hawaii, Washington</t>
  </si>
  <si>
    <t>Maria Cantwell</t>
  </si>
  <si>
    <t>Winona LaDuke</t>
  </si>
  <si>
    <t>Susan Collins</t>
  </si>
  <si>
    <t>2016 Detailed General Election Data for President</t>
  </si>
  <si>
    <t>© David Leip 2017 All Rights Reserved</t>
  </si>
  <si>
    <t>This spreadsheet is for personal use and may not be redistributed in whole or in part.</t>
  </si>
  <si>
    <t>Version:</t>
  </si>
  <si>
    <t>Include official write-in totals from county reports not reported on statewide reports (may be incomplete).  Set to "1" to include, "0" to exclude.</t>
  </si>
  <si>
    <t>Update</t>
  </si>
  <si>
    <t>Ver</t>
  </si>
  <si>
    <t>Added scattered write-in votes in Lake, Massac, Saline, and Wabash Counties. Updated Piatt scattered write-in vote to official.</t>
  </si>
  <si>
    <t>Added scattered write-in votes for Iron and Mecosta Counties.</t>
  </si>
  <si>
    <t>Updated per 1/9/2017 revision to NYS Board of Elections President and Vice-President Election Returns Nov. 8, 2016.  Adds votes to Nassau and Ulster Counties.  Adds more qualified write-in votes in Greene County.</t>
  </si>
  <si>
    <t>Updated Jefferson County Scattered write-ins to official.  Added McMullin write-in vote in several counties.</t>
  </si>
  <si>
    <t>http://www.sos.state.nm.us/uploads/files/StateCanvass_012617.PDF</t>
  </si>
  <si>
    <t>http://www.elections.ny.gov/NYSBOE/elections/2016/General/2016President.xls</t>
  </si>
  <si>
    <t>Updated per 1/26/2017 revision to Canvass of Returns of General Election Held on November 8, 2016  Adds one vote for Trump in Otero County.</t>
  </si>
  <si>
    <t>Added write-in votes in Lake County, Updated write-in votes in Lee County</t>
  </si>
  <si>
    <t>Updated write-in votes in Paulding County to official.</t>
  </si>
  <si>
    <t>Added write-in votes in Pope and Stark Counties.</t>
  </si>
  <si>
    <t>Added write-in votes in Blackford, Crawford, and Scott Counties.</t>
  </si>
  <si>
    <t>Updated Mahoning County write-in vote to official.</t>
  </si>
  <si>
    <t>Updated per revised official report from 3-7-2017 and inclusion of updates from Dutchess county per official county report.</t>
  </si>
  <si>
    <t>Added write-in votes in multiple counties.</t>
  </si>
  <si>
    <t>Included official write-in votes for McMullin, Castle, and Hoefling in Bloomington City (McLean County) that were omitted from official state-wide report.</t>
  </si>
  <si>
    <t>Vann</t>
  </si>
  <si>
    <t>Basiago</t>
  </si>
  <si>
    <t>Moreau</t>
  </si>
  <si>
    <t>Added qualified write-in votes for all counties.</t>
  </si>
  <si>
    <t>Added write-in votes by town and county for McMullin, Castle, and Maturen</t>
  </si>
  <si>
    <t>Added write-in votes in Clinton County.  Updated McMullin vote in Montcalm County per official county report.</t>
  </si>
  <si>
    <t>Added/updated write-in votes in multiple counties.  Added one vote for McMullin in Camden County per official county report.</t>
  </si>
  <si>
    <t>Supplement to Statement of Vote November 8, 2016 General Election</t>
  </si>
  <si>
    <t>http://elections.cdn.sos.ca.gov/sov/2016-general/ssov/ssov-complete.pdf</t>
  </si>
  <si>
    <t>Slight Update in Lake County per California Supplemental Statement of Vote.</t>
  </si>
  <si>
    <t>Slight update in Cuyahoga County per official county Amended Canvass report.</t>
  </si>
  <si>
    <t>Added one write-in vote for Cherundra Fox in Jefferson County per official county report.</t>
  </si>
  <si>
    <t>Note that the write-in figures is not 100% complete.</t>
  </si>
  <si>
    <t>Updated write-in votes in Cameron and Northumberland.  Added McMullin write-in vote in Berks, Juniata, and Monroe Counties.  Updated McMullin vote in Centre County.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</si>
</sst>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m/d/yyyy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;@"/>
    <numFmt numFmtId="176" formatCode="0.0"/>
  </numFmts>
  <fonts count="25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u/>
      <sz val="10"/>
      <color indexed="16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name val="Geneva"/>
    </font>
    <font>
      <sz val="8"/>
      <name val="Verdana"/>
    </font>
    <font>
      <u/>
      <sz val="10"/>
      <name val="Geneva"/>
    </font>
    <font>
      <sz val="10"/>
      <name val="Genev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  <font>
      <sz val="10"/>
      <color rgb="FFFF00FF"/>
      <name val="Geneva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color theme="0"/>
      <name val="Geneva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242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91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7" fontId="1" fillId="0" borderId="0" xfId="0" applyNumberFormat="1" applyFont="1"/>
    <xf numFmtId="167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3" fontId="14" fillId="0" borderId="0" xfId="0" applyNumberFormat="1" applyFont="1"/>
    <xf numFmtId="0" fontId="5" fillId="0" borderId="0" xfId="0" applyFont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4" fontId="0" fillId="0" borderId="0" xfId="0" applyNumberFormat="1"/>
    <xf numFmtId="3" fontId="16" fillId="0" borderId="0" xfId="1" applyNumberFormat="1" applyFont="1" applyAlignment="1" applyProtection="1"/>
    <xf numFmtId="3" fontId="17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9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2" fontId="20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9" fontId="2" fillId="0" borderId="0" xfId="0" applyNumberFormat="1" applyFont="1"/>
    <xf numFmtId="3" fontId="21" fillId="0" borderId="0" xfId="0" applyNumberFormat="1" applyFont="1"/>
    <xf numFmtId="173" fontId="0" fillId="0" borderId="0" xfId="0" applyNumberFormat="1" applyFo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167" fontId="1" fillId="0" borderId="1" xfId="0" applyNumberFormat="1" applyFont="1" applyBorder="1"/>
    <xf numFmtId="167" fontId="1" fillId="0" borderId="0" xfId="0" applyNumberFormat="1" applyFont="1" applyBorder="1"/>
    <xf numFmtId="0" fontId="1" fillId="0" borderId="1" xfId="0" applyFont="1" applyBorder="1" applyAlignment="1"/>
    <xf numFmtId="0" fontId="1" fillId="0" borderId="0" xfId="0" applyFont="1" applyAlignment="1"/>
    <xf numFmtId="173" fontId="0" fillId="0" borderId="0" xfId="0" applyNumberFormat="1"/>
    <xf numFmtId="15" fontId="0" fillId="0" borderId="0" xfId="0" applyNumberFormat="1"/>
    <xf numFmtId="3" fontId="0" fillId="0" borderId="0" xfId="0" applyNumberFormat="1" applyBorder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0" fontId="24" fillId="0" borderId="0" xfId="0" applyFont="1"/>
    <xf numFmtId="175" fontId="0" fillId="0" borderId="0" xfId="0" applyNumberFormat="1"/>
    <xf numFmtId="176" fontId="0" fillId="0" borderId="0" xfId="0" applyNumberFormat="1"/>
    <xf numFmtId="3" fontId="20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5242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Hyperlink" xfId="1" builtinId="8"/>
    <cellStyle name="Neutral" xfId="4462" builtinId="28"/>
    <cellStyle name="Normal" xfId="0" builtinId="0"/>
    <cellStyle name="Percent" xfId="2" builtinId="5"/>
  </cellStyles>
  <dxfs count="48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1.318255E6</c:v>
                </c:pt>
                <c:pt idx="1">
                  <c:v>729547.0</c:v>
                </c:pt>
                <c:pt idx="3">
                  <c:v>75570.0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163387.0</c:v>
                </c:pt>
                <c:pt idx="1">
                  <c:v>116454.0</c:v>
                </c:pt>
                <c:pt idx="3">
                  <c:v>38767.0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1.252401E6</c:v>
                </c:pt>
                <c:pt idx="1">
                  <c:v>1.161167E6</c:v>
                </c:pt>
                <c:pt idx="3">
                  <c:v>191089.0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684872.0</c:v>
                </c:pt>
                <c:pt idx="1">
                  <c:v>380494.0</c:v>
                </c:pt>
                <c:pt idx="3">
                  <c:v>65269.0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8.753792E6</c:v>
                </c:pt>
                <c:pt idx="1">
                  <c:v>4.483814E6</c:v>
                </c:pt>
                <c:pt idx="3">
                  <c:v>1.000287E6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1.33887E6</c:v>
                </c:pt>
                <c:pt idx="1">
                  <c:v>1.202484E6</c:v>
                </c:pt>
                <c:pt idx="3">
                  <c:v>238893.0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897572.0</c:v>
                </c:pt>
                <c:pt idx="1">
                  <c:v>673215.0</c:v>
                </c:pt>
                <c:pt idx="3">
                  <c:v>74133.0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235603.0</c:v>
                </c:pt>
                <c:pt idx="1">
                  <c:v>185127.0</c:v>
                </c:pt>
                <c:pt idx="3">
                  <c:v>23084.0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282830.0</c:v>
                </c:pt>
                <c:pt idx="1">
                  <c:v>12723.0</c:v>
                </c:pt>
                <c:pt idx="3">
                  <c:v>15715.0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4.617886E6</c:v>
                </c:pt>
                <c:pt idx="1">
                  <c:v>4.504975E6</c:v>
                </c:pt>
                <c:pt idx="3">
                  <c:v>379886.0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2.089104E6</c:v>
                </c:pt>
                <c:pt idx="1">
                  <c:v>1.877963E6</c:v>
                </c:pt>
                <c:pt idx="3">
                  <c:v>174380.0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266891.0</c:v>
                </c:pt>
                <c:pt idx="1">
                  <c:v>128847.0</c:v>
                </c:pt>
                <c:pt idx="3">
                  <c:v>33199.0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409055.0</c:v>
                </c:pt>
                <c:pt idx="1">
                  <c:v>189765.0</c:v>
                </c:pt>
                <c:pt idx="2">
                  <c:v>46476.0</c:v>
                </c:pt>
                <c:pt idx="3">
                  <c:v>45137.0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3.090729E6</c:v>
                </c:pt>
                <c:pt idx="1">
                  <c:v>2.146015E6</c:v>
                </c:pt>
                <c:pt idx="3">
                  <c:v>358081.0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1.557286E6</c:v>
                </c:pt>
                <c:pt idx="1">
                  <c:v>1.033126E6</c:v>
                </c:pt>
                <c:pt idx="3">
                  <c:v>167553.0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800983.0</c:v>
                </c:pt>
                <c:pt idx="1">
                  <c:v>653669.0</c:v>
                </c:pt>
                <c:pt idx="3">
                  <c:v>111379.0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671018.0</c:v>
                </c:pt>
                <c:pt idx="1">
                  <c:v>427005.0</c:v>
                </c:pt>
                <c:pt idx="3">
                  <c:v>96732.0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1.202971E6</c:v>
                </c:pt>
                <c:pt idx="1">
                  <c:v>628854.0</c:v>
                </c:pt>
                <c:pt idx="3">
                  <c:v>92325.0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1.178638E6</c:v>
                </c:pt>
                <c:pt idx="1">
                  <c:v>780154.0</c:v>
                </c:pt>
                <c:pt idx="3">
                  <c:v>70240.0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357735.0</c:v>
                </c:pt>
                <c:pt idx="1">
                  <c:v>335593.0</c:v>
                </c:pt>
                <c:pt idx="3">
                  <c:v>54599.0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1.677928E6</c:v>
                </c:pt>
                <c:pt idx="1">
                  <c:v>943169.0</c:v>
                </c:pt>
                <c:pt idx="3">
                  <c:v>160349.0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1.995196E6</c:v>
                </c:pt>
                <c:pt idx="1">
                  <c:v>1.090893E6</c:v>
                </c:pt>
                <c:pt idx="3">
                  <c:v>238957.0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2.279543E6</c:v>
                </c:pt>
                <c:pt idx="1">
                  <c:v>2.268839E6</c:v>
                </c:pt>
                <c:pt idx="3">
                  <c:v>276160.0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1.367825E6</c:v>
                </c:pt>
                <c:pt idx="1">
                  <c:v>1.323232E6</c:v>
                </c:pt>
                <c:pt idx="3">
                  <c:v>254176.0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700714.0</c:v>
                </c:pt>
                <c:pt idx="1">
                  <c:v>485131.0</c:v>
                </c:pt>
                <c:pt idx="3">
                  <c:v>25243.0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1.594511E6</c:v>
                </c:pt>
                <c:pt idx="1">
                  <c:v>1.071068E6</c:v>
                </c:pt>
                <c:pt idx="3">
                  <c:v>162687.0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279240.0</c:v>
                </c:pt>
                <c:pt idx="1">
                  <c:v>177709.0</c:v>
                </c:pt>
                <c:pt idx="3">
                  <c:v>44873.0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495961.0</c:v>
                </c:pt>
                <c:pt idx="1">
                  <c:v>284494.0</c:v>
                </c:pt>
                <c:pt idx="3">
                  <c:v>63772.0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539260.0</c:v>
                </c:pt>
                <c:pt idx="1">
                  <c:v>512058.0</c:v>
                </c:pt>
                <c:pt idx="3">
                  <c:v>74067.0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348526.0</c:v>
                </c:pt>
                <c:pt idx="1">
                  <c:v>345790.0</c:v>
                </c:pt>
                <c:pt idx="3">
                  <c:v>49980.0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6.5853652E7</c:v>
                </c:pt>
                <c:pt idx="1">
                  <c:v>6.2985134E7</c:v>
                </c:pt>
                <c:pt idx="3">
                  <c:v>8.286698E6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227.0</c:v>
                </c:pt>
                <c:pt idx="1">
                  <c:v>304.0</c:v>
                </c:pt>
                <c:pt idx="2">
                  <c:v>0.0</c:v>
                </c:pt>
                <c:pt idx="3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2.148278E6</c:v>
                </c:pt>
                <c:pt idx="1">
                  <c:v>1.601933E6</c:v>
                </c:pt>
                <c:pt idx="3">
                  <c:v>156512.0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385234.0</c:v>
                </c:pt>
                <c:pt idx="1">
                  <c:v>319667.0</c:v>
                </c:pt>
                <c:pt idx="3">
                  <c:v>93418.0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4.556142E6</c:v>
                </c:pt>
                <c:pt idx="1">
                  <c:v>2.819557E6</c:v>
                </c:pt>
                <c:pt idx="3">
                  <c:v>346096.0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2.362631E6</c:v>
                </c:pt>
                <c:pt idx="1">
                  <c:v>2.189316E6</c:v>
                </c:pt>
                <c:pt idx="3">
                  <c:v>189617.0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216794.0</c:v>
                </c:pt>
                <c:pt idx="1">
                  <c:v>93758.0</c:v>
                </c:pt>
                <c:pt idx="3">
                  <c:v>33808.0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2.841006E6</c:v>
                </c:pt>
                <c:pt idx="1">
                  <c:v>2.394169E6</c:v>
                </c:pt>
                <c:pt idx="3">
                  <c:v>301372.0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949136.0</c:v>
                </c:pt>
                <c:pt idx="1">
                  <c:v>420375.0</c:v>
                </c:pt>
                <c:pt idx="3">
                  <c:v>83481.0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1.002106E6</c:v>
                </c:pt>
                <c:pt idx="1">
                  <c:v>782403.0</c:v>
                </c:pt>
                <c:pt idx="3">
                  <c:v>216827.0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2.970733E6</c:v>
                </c:pt>
                <c:pt idx="1">
                  <c:v>2.926441E6</c:v>
                </c:pt>
                <c:pt idx="3">
                  <c:v>269555.0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252525.0</c:v>
                </c:pt>
                <c:pt idx="1">
                  <c:v>180543.0</c:v>
                </c:pt>
                <c:pt idx="3">
                  <c:v>31076.0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1.155389E6</c:v>
                </c:pt>
                <c:pt idx="1">
                  <c:v>855373.0</c:v>
                </c:pt>
                <c:pt idx="3">
                  <c:v>92265.0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227721.0</c:v>
                </c:pt>
                <c:pt idx="1">
                  <c:v>117458.0</c:v>
                </c:pt>
                <c:pt idx="3">
                  <c:v>24914.0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1.522925E6</c:v>
                </c:pt>
                <c:pt idx="1">
                  <c:v>870695.0</c:v>
                </c:pt>
                <c:pt idx="3">
                  <c:v>114407.0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4.685047E6</c:v>
                </c:pt>
                <c:pt idx="1">
                  <c:v>3.877868E6</c:v>
                </c:pt>
                <c:pt idx="3">
                  <c:v>430251.0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515231.0</c:v>
                </c:pt>
                <c:pt idx="1">
                  <c:v>310676.0</c:v>
                </c:pt>
                <c:pt idx="2">
                  <c:v>243690.0</c:v>
                </c:pt>
                <c:pt idx="3">
                  <c:v>74004.0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178573.0</c:v>
                </c:pt>
                <c:pt idx="1">
                  <c:v>95369.0</c:v>
                </c:pt>
                <c:pt idx="3">
                  <c:v>41125.0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1.981473E6</c:v>
                </c:pt>
                <c:pt idx="1">
                  <c:v>1.769443E6</c:v>
                </c:pt>
                <c:pt idx="3">
                  <c:v>231836.0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1.742718E6</c:v>
                </c:pt>
                <c:pt idx="1">
                  <c:v>1.221747E6</c:v>
                </c:pt>
                <c:pt idx="3">
                  <c:v>352531.0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489371.0</c:v>
                </c:pt>
                <c:pt idx="1">
                  <c:v>188794.0</c:v>
                </c:pt>
                <c:pt idx="3">
                  <c:v>43068.0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1.405284E6</c:v>
                </c:pt>
                <c:pt idx="1">
                  <c:v>1.382536E6</c:v>
                </c:pt>
                <c:pt idx="3">
                  <c:v>188330.0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174419.0</c:v>
                </c:pt>
                <c:pt idx="1">
                  <c:v>55973.0</c:v>
                </c:pt>
                <c:pt idx="3">
                  <c:v>25457.0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0.0564104329753636"/>
          <c:w val="0.8651687766548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Graphs!$F$56:$G$56</c:f>
              <c:strCache>
                <c:ptCount val="2"/>
                <c:pt idx="0">
                  <c:v>Trump</c:v>
                </c:pt>
                <c:pt idx="1">
                  <c:v>Clinton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227.0</c:v>
                </c:pt>
                <c:pt idx="1">
                  <c:v>304.0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45385784"/>
        <c:axId val="1945422440"/>
        <c:axId val="0"/>
      </c:bar3DChart>
      <c:catAx>
        <c:axId val="1945385784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542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5422440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538578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5443896"/>
        <c:axId val="1945447256"/>
      </c:barChart>
      <c:catAx>
        <c:axId val="1945443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544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5447256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5443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6"/>
          <c:y val="0.449616065433681"/>
          <c:w val="0.122302158273381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30.0</c:v>
                </c:pt>
                <c:pt idx="1">
                  <c:v>21.0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Clinton</c:v>
                </c:pt>
                <c:pt idx="2">
                  <c:v>McMullin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2649.0</c:v>
                </c:pt>
                <c:pt idx="1">
                  <c:v>506.0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72430.0</c:v>
                </c:pt>
                <c:pt idx="1">
                  <c:v>54099.0</c:v>
                </c:pt>
                <c:pt idx="3">
                  <c:v>9252.0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43714.0</c:v>
                </c:pt>
                <c:pt idx="1">
                  <c:v>16839.0</c:v>
                </c:pt>
                <c:pt idx="3">
                  <c:v>5064.0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129540.0</c:v>
                </c:pt>
                <c:pt idx="1">
                  <c:v>105443.0</c:v>
                </c:pt>
                <c:pt idx="3">
                  <c:v>17157.0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8400.0</c:v>
                </c:pt>
                <c:pt idx="1">
                  <c:v>2477.0</c:v>
                </c:pt>
                <c:pt idx="3">
                  <c:v>797.0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222310.0</c:v>
                </c:pt>
                <c:pt idx="1">
                  <c:v>136316.0</c:v>
                </c:pt>
                <c:pt idx="3">
                  <c:v>26744.0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24478.0</c:v>
                </c:pt>
                <c:pt idx="1">
                  <c:v>10364.0</c:v>
                </c:pt>
                <c:pt idx="3">
                  <c:v>3979.0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112590.0</c:v>
                </c:pt>
                <c:pt idx="1">
                  <c:v>78685.0</c:v>
                </c:pt>
                <c:pt idx="3">
                  <c:v>14826.0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55367.0</c:v>
                </c:pt>
                <c:pt idx="1">
                  <c:v>21790.0</c:v>
                </c:pt>
                <c:pt idx="3">
                  <c:v>7036.0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520360.0</c:v>
                </c:pt>
                <c:pt idx="1">
                  <c:v>219793.0</c:v>
                </c:pt>
                <c:pt idx="3">
                  <c:v>56582.0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4146.0</c:v>
                </c:pt>
                <c:pt idx="1">
                  <c:v>1892.0</c:v>
                </c:pt>
                <c:pt idx="3">
                  <c:v>470.0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221819.0</c:v>
                </c:pt>
                <c:pt idx="1">
                  <c:v>119723.0</c:v>
                </c:pt>
                <c:pt idx="3">
                  <c:v>26153.0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135513.0</c:v>
                </c:pt>
                <c:pt idx="1">
                  <c:v>115369.0</c:v>
                </c:pt>
                <c:pt idx="3">
                  <c:v>20295.0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245751.0</c:v>
                </c:pt>
                <c:pt idx="1">
                  <c:v>50421.0</c:v>
                </c:pt>
                <c:pt idx="3">
                  <c:v>17111.0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198778.0</c:v>
                </c:pt>
                <c:pt idx="1">
                  <c:v>157682.0</c:v>
                </c:pt>
                <c:pt idx="3">
                  <c:v>33491.0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19315.0</c:v>
                </c:pt>
                <c:pt idx="1">
                  <c:v>13517.0</c:v>
                </c:pt>
                <c:pt idx="3">
                  <c:v>2213.0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14635.0</c:v>
                </c:pt>
                <c:pt idx="1">
                  <c:v>12987.0</c:v>
                </c:pt>
                <c:pt idx="3">
                  <c:v>1994.0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22064.0</c:v>
                </c:pt>
                <c:pt idx="1">
                  <c:v>16876.0</c:v>
                </c:pt>
                <c:pt idx="3">
                  <c:v>2955.0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7952.0</c:v>
                </c:pt>
                <c:pt idx="1">
                  <c:v>6563.0</c:v>
                </c:pt>
                <c:pt idx="3">
                  <c:v>1112.0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28510.0</c:v>
                </c:pt>
                <c:pt idx="1">
                  <c:v>19010.0</c:v>
                </c:pt>
                <c:pt idx="3">
                  <c:v>3671.0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100013.0</c:v>
                </c:pt>
                <c:pt idx="1">
                  <c:v>99589.0</c:v>
                </c:pt>
                <c:pt idx="3">
                  <c:v>14555.0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40198.0</c:v>
                </c:pt>
                <c:pt idx="1">
                  <c:v>37674.0</c:v>
                </c:pt>
                <c:pt idx="3">
                  <c:v>5776.0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90447.0</c:v>
                </c:pt>
                <c:pt idx="1">
                  <c:v>79994.0</c:v>
                </c:pt>
                <c:pt idx="3">
                  <c:v>10993.0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34894.0</c:v>
                </c:pt>
                <c:pt idx="1">
                  <c:v>29072.0</c:v>
                </c:pt>
                <c:pt idx="3">
                  <c:v>5034.0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10796.0</c:v>
                </c:pt>
                <c:pt idx="1">
                  <c:v>10210.0</c:v>
                </c:pt>
                <c:pt idx="3">
                  <c:v>1677.0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28227.0</c:v>
                </c:pt>
                <c:pt idx="1">
                  <c:v>23009.0</c:v>
                </c:pt>
                <c:pt idx="3">
                  <c:v>4365.0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19419.0</c:v>
                </c:pt>
                <c:pt idx="1">
                  <c:v>13386.0</c:v>
                </c:pt>
                <c:pt idx="3">
                  <c:v>2292.0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102981.0</c:v>
                </c:pt>
                <c:pt idx="1">
                  <c:v>57709.0</c:v>
                </c:pt>
                <c:pt idx="3">
                  <c:v>11128.0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7918.0</c:v>
                </c:pt>
                <c:pt idx="1">
                  <c:v>7016.0</c:v>
                </c:pt>
                <c:pt idx="3">
                  <c:v>1554.0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16117.0</c:v>
                </c:pt>
                <c:pt idx="1">
                  <c:v>13705.0</c:v>
                </c:pt>
                <c:pt idx="3">
                  <c:v>2308.0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31675.0</c:v>
                </c:pt>
                <c:pt idx="1">
                  <c:v>29302.0</c:v>
                </c:pt>
                <c:pt idx="3">
                  <c:v>5231.0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12443.0</c:v>
                </c:pt>
                <c:pt idx="1">
                  <c:v>9148.0</c:v>
                </c:pt>
                <c:pt idx="3">
                  <c:v>1556.0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16210.0</c:v>
                </c:pt>
                <c:pt idx="1">
                  <c:v>12172.0</c:v>
                </c:pt>
                <c:pt idx="3">
                  <c:v>2819.0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41622.0</c:v>
                </c:pt>
                <c:pt idx="1">
                  <c:v>32838.0</c:v>
                </c:pt>
                <c:pt idx="3">
                  <c:v>6080.0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5406.0</c:v>
                </c:pt>
                <c:pt idx="1">
                  <c:v>3098.0</c:v>
                </c:pt>
                <c:pt idx="3">
                  <c:v>678.0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10664.0</c:v>
                </c:pt>
                <c:pt idx="1">
                  <c:v>9304.0</c:v>
                </c:pt>
                <c:pt idx="3">
                  <c:v>1648.0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15001.0</c:v>
                </c:pt>
                <c:pt idx="1">
                  <c:v>9092.0</c:v>
                </c:pt>
                <c:pt idx="3">
                  <c:v>1971.0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10440.0</c:v>
                </c:pt>
                <c:pt idx="1">
                  <c:v>10378.0</c:v>
                </c:pt>
                <c:pt idx="3">
                  <c:v>1889.0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9093.0</c:v>
                </c:pt>
                <c:pt idx="1">
                  <c:v>6075.0</c:v>
                </c:pt>
                <c:pt idx="3">
                  <c:v>1197.0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3017.0</c:v>
                </c:pt>
                <c:pt idx="1">
                  <c:v>648.0</c:v>
                </c:pt>
                <c:pt idx="3">
                  <c:v>321.0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10241.0</c:v>
                </c:pt>
                <c:pt idx="1">
                  <c:v>9727.0</c:v>
                </c:pt>
                <c:pt idx="3">
                  <c:v>1535.0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14609.0</c:v>
                </c:pt>
                <c:pt idx="1">
                  <c:v>8965.0</c:v>
                </c:pt>
                <c:pt idx="3">
                  <c:v>1901.0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38336.0</c:v>
                </c:pt>
                <c:pt idx="1">
                  <c:v>37788.0</c:v>
                </c:pt>
                <c:pt idx="3">
                  <c:v>5929.0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22851.0</c:v>
                </c:pt>
                <c:pt idx="1">
                  <c:v>15077.0</c:v>
                </c:pt>
                <c:pt idx="3">
                  <c:v>3117.0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142899.0</c:v>
                </c:pt>
                <c:pt idx="1">
                  <c:v>90882.0</c:v>
                </c:pt>
                <c:pt idx="3">
                  <c:v>14693.0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637.0</c:v>
                </c:pt>
                <c:pt idx="1">
                  <c:v>53.0</c:v>
                </c:pt>
                <c:pt idx="3">
                  <c:v>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11219.0</c:v>
                </c:pt>
                <c:pt idx="1">
                  <c:v>5297.0</c:v>
                </c:pt>
                <c:pt idx="3">
                  <c:v>2515.0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9539.0</c:v>
                </c:pt>
                <c:pt idx="1">
                  <c:v>5925.0</c:v>
                </c:pt>
                <c:pt idx="3">
                  <c:v>1917.0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6445.0</c:v>
                </c:pt>
                <c:pt idx="1">
                  <c:v>5534.0</c:v>
                </c:pt>
                <c:pt idx="3">
                  <c:v>2095.0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54814.0</c:v>
                </c:pt>
                <c:pt idx="1">
                  <c:v>18601.0</c:v>
                </c:pt>
                <c:pt idx="3">
                  <c:v>10001.0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1506.0</c:v>
                </c:pt>
                <c:pt idx="1">
                  <c:v>1019.0</c:v>
                </c:pt>
                <c:pt idx="3">
                  <c:v>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9351.0</c:v>
                </c:pt>
                <c:pt idx="1">
                  <c:v>8752.0</c:v>
                </c:pt>
                <c:pt idx="3">
                  <c:v>3308.0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2094.0</c:v>
                </c:pt>
                <c:pt idx="1">
                  <c:v>1487.0</c:v>
                </c:pt>
                <c:pt idx="3">
                  <c:v>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7241.0</c:v>
                </c:pt>
                <c:pt idx="1">
                  <c:v>3570.0</c:v>
                </c:pt>
                <c:pt idx="3">
                  <c:v>1951.0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7541.0</c:v>
                </c:pt>
                <c:pt idx="1">
                  <c:v>5007.0</c:v>
                </c:pt>
                <c:pt idx="3">
                  <c:v>2101.0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5185.0</c:v>
                </c:pt>
                <c:pt idx="1">
                  <c:v>5159.0</c:v>
                </c:pt>
                <c:pt idx="3">
                  <c:v>1702.0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13635.0</c:v>
                </c:pt>
                <c:pt idx="1">
                  <c:v>12479.0</c:v>
                </c:pt>
                <c:pt idx="3">
                  <c:v>3501.0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18594.0</c:v>
                </c:pt>
                <c:pt idx="1">
                  <c:v>7993.0</c:v>
                </c:pt>
                <c:pt idx="3">
                  <c:v>4499.0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14340.0</c:v>
                </c:pt>
                <c:pt idx="1">
                  <c:v>5454.0</c:v>
                </c:pt>
                <c:pt idx="3">
                  <c:v>2840.0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17556.0</c:v>
                </c:pt>
                <c:pt idx="1">
                  <c:v>8605.0</c:v>
                </c:pt>
                <c:pt idx="3">
                  <c:v>3767.0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243852.0</c:v>
                </c:pt>
                <c:pt idx="1">
                  <c:v>160077.0</c:v>
                </c:pt>
                <c:pt idx="3">
                  <c:v>17280.0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240403.0</c:v>
                </c:pt>
                <c:pt idx="1">
                  <c:v>148173.0</c:v>
                </c:pt>
                <c:pt idx="3">
                  <c:v>18288.0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53051.0</c:v>
                </c:pt>
                <c:pt idx="1">
                  <c:v>39775.0</c:v>
                </c:pt>
                <c:pt idx="3">
                  <c:v>4616.0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45357.0</c:v>
                </c:pt>
                <c:pt idx="1">
                  <c:v>38867.0</c:v>
                </c:pt>
                <c:pt idx="3">
                  <c:v>4400.0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205609.0</c:v>
                </c:pt>
                <c:pt idx="1">
                  <c:v>159048.0</c:v>
                </c:pt>
                <c:pt idx="3">
                  <c:v>14349.0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62278.0</c:v>
                </c:pt>
                <c:pt idx="1">
                  <c:v>54058.0</c:v>
                </c:pt>
                <c:pt idx="3">
                  <c:v>7192.0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38506.0</c:v>
                </c:pt>
                <c:pt idx="1">
                  <c:v>34194.0</c:v>
                </c:pt>
                <c:pt idx="3">
                  <c:v>4724.0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25747.0</c:v>
                </c:pt>
                <c:pt idx="1">
                  <c:v>21792.0</c:v>
                </c:pt>
                <c:pt idx="3">
                  <c:v>3284.0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Clinton</a:t>
            </a:r>
          </a:p>
        </c:rich>
      </c:tx>
      <c:layout>
        <c:manualLayout>
          <c:xMode val="edge"/>
          <c:yMode val="edge"/>
          <c:x val="0.448276108903315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7"/>
          <c:y val="0.161290322580645"/>
          <c:w val="0.789968954331527"/>
          <c:h val="0.73020527859237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78.0</c:v>
                </c:pt>
                <c:pt idx="1">
                  <c:v>659.0</c:v>
                </c:pt>
                <c:pt idx="2">
                  <c:v>990.0</c:v>
                </c:pt>
                <c:pt idx="3">
                  <c:v>643.0</c:v>
                </c:pt>
                <c:pt idx="4">
                  <c:v>376.0</c:v>
                </c:pt>
                <c:pt idx="5">
                  <c:v>225.0</c:v>
                </c:pt>
                <c:pt idx="6">
                  <c:v>115.0</c:v>
                </c:pt>
                <c:pt idx="7">
                  <c:v>51.0</c:v>
                </c:pt>
                <c:pt idx="8">
                  <c:v>17.0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067400"/>
        <c:axId val="1541073480"/>
      </c:barChart>
      <c:catAx>
        <c:axId val="154106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073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1073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510971787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067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Trump</a:t>
            </a:r>
          </a:p>
        </c:rich>
      </c:tx>
      <c:layout>
        <c:manualLayout>
          <c:xMode val="edge"/>
          <c:yMode val="edge"/>
          <c:x val="0.4545457196638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"/>
          <c:w val="0.774411410994229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6.0</c:v>
                </c:pt>
                <c:pt idx="1">
                  <c:v>31.0</c:v>
                </c:pt>
                <c:pt idx="2">
                  <c:v>92.0</c:v>
                </c:pt>
                <c:pt idx="3">
                  <c:v>174.0</c:v>
                </c:pt>
                <c:pt idx="4">
                  <c:v>331.0</c:v>
                </c:pt>
                <c:pt idx="5">
                  <c:v>515.0</c:v>
                </c:pt>
                <c:pt idx="6">
                  <c:v>763.0</c:v>
                </c:pt>
                <c:pt idx="7">
                  <c:v>893.0</c:v>
                </c:pt>
                <c:pt idx="8">
                  <c:v>335.0</c:v>
                </c:pt>
                <c:pt idx="9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109576"/>
        <c:axId val="1541115688"/>
      </c:barChart>
      <c:catAx>
        <c:axId val="154110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115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1115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437710438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109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"/>
          <c:y val="0.158357771260997"/>
          <c:w val="0.775169055370857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3123.0</c:v>
                </c:pt>
                <c:pt idx="1">
                  <c:v>24.0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149400"/>
        <c:axId val="1541155576"/>
      </c:barChart>
      <c:catAx>
        <c:axId val="154114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155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1155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1610738255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149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3"/>
          <c:y val="0.160818828252659"/>
          <c:w val="0.840856813552442"/>
          <c:h val="0.73099467387572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78.0</c:v>
                </c:pt>
                <c:pt idx="1">
                  <c:v>659.0</c:v>
                </c:pt>
                <c:pt idx="2">
                  <c:v>990.0</c:v>
                </c:pt>
                <c:pt idx="3">
                  <c:v>643.0</c:v>
                </c:pt>
                <c:pt idx="4">
                  <c:v>376.0</c:v>
                </c:pt>
                <c:pt idx="5">
                  <c:v>225.0</c:v>
                </c:pt>
                <c:pt idx="6">
                  <c:v>115.0</c:v>
                </c:pt>
                <c:pt idx="7">
                  <c:v>51.0</c:v>
                </c:pt>
                <c:pt idx="8">
                  <c:v>17.0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6.0</c:v>
                </c:pt>
                <c:pt idx="1">
                  <c:v>31.0</c:v>
                </c:pt>
                <c:pt idx="2">
                  <c:v>92.0</c:v>
                </c:pt>
                <c:pt idx="3">
                  <c:v>174.0</c:v>
                </c:pt>
                <c:pt idx="4">
                  <c:v>331.0</c:v>
                </c:pt>
                <c:pt idx="5">
                  <c:v>515.0</c:v>
                </c:pt>
                <c:pt idx="6">
                  <c:v>763.0</c:v>
                </c:pt>
                <c:pt idx="7">
                  <c:v>893.0</c:v>
                </c:pt>
                <c:pt idx="8">
                  <c:v>335.0</c:v>
                </c:pt>
                <c:pt idx="9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194488"/>
        <c:axId val="1541200616"/>
      </c:barChart>
      <c:catAx>
        <c:axId val="154119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200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1200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8598574822"/>
              <c:y val="0.4093569553805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41194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20" Type="http://schemas.openxmlformats.org/officeDocument/2006/relationships/chart" Target="../charts/chart120.xml"/><Relationship Id="rId121" Type="http://schemas.openxmlformats.org/officeDocument/2006/relationships/chart" Target="../charts/chart121.xml"/><Relationship Id="rId122" Type="http://schemas.openxmlformats.org/officeDocument/2006/relationships/chart" Target="../charts/chart122.xml"/><Relationship Id="rId123" Type="http://schemas.openxmlformats.org/officeDocument/2006/relationships/chart" Target="../charts/chart123.xml"/><Relationship Id="rId124" Type="http://schemas.openxmlformats.org/officeDocument/2006/relationships/chart" Target="../charts/chart124.xml"/><Relationship Id="rId125" Type="http://schemas.openxmlformats.org/officeDocument/2006/relationships/chart" Target="../charts/chart125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08" Type="http://schemas.openxmlformats.org/officeDocument/2006/relationships/chart" Target="../charts/chart108.xml"/><Relationship Id="rId109" Type="http://schemas.openxmlformats.org/officeDocument/2006/relationships/chart" Target="../charts/chart109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00" Type="http://schemas.openxmlformats.org/officeDocument/2006/relationships/chart" Target="../charts/chart10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110" Type="http://schemas.openxmlformats.org/officeDocument/2006/relationships/chart" Target="../charts/chart110.xml"/><Relationship Id="rId111" Type="http://schemas.openxmlformats.org/officeDocument/2006/relationships/chart" Target="../charts/chart111.xml"/><Relationship Id="rId112" Type="http://schemas.openxmlformats.org/officeDocument/2006/relationships/chart" Target="../charts/chart112.xml"/><Relationship Id="rId113" Type="http://schemas.openxmlformats.org/officeDocument/2006/relationships/chart" Target="../charts/chart113.xml"/><Relationship Id="rId114" Type="http://schemas.openxmlformats.org/officeDocument/2006/relationships/chart" Target="../charts/chart114.xml"/><Relationship Id="rId115" Type="http://schemas.openxmlformats.org/officeDocument/2006/relationships/chart" Target="../charts/chart115.xml"/><Relationship Id="rId116" Type="http://schemas.openxmlformats.org/officeDocument/2006/relationships/chart" Target="../charts/chart116.xml"/><Relationship Id="rId117" Type="http://schemas.openxmlformats.org/officeDocument/2006/relationships/chart" Target="../charts/chart117.xml"/><Relationship Id="rId118" Type="http://schemas.openxmlformats.org/officeDocument/2006/relationships/chart" Target="../charts/chart118.xml"/><Relationship Id="rId119" Type="http://schemas.openxmlformats.org/officeDocument/2006/relationships/chart" Target="../charts/chart1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3658</xdr:row>
      <xdr:rowOff>38100</xdr:rowOff>
    </xdr:from>
    <xdr:to>
      <xdr:col>28</xdr:col>
      <xdr:colOff>215900</xdr:colOff>
      <xdr:row>3660</xdr:row>
      <xdr:rowOff>76200</xdr:rowOff>
    </xdr:to>
    <xdr:sp macro="" textlink="">
      <xdr:nvSpPr>
        <xdr:cNvPr id="7179" name="Text Box 11" hidden="1"/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11</xdr:col>
      <xdr:colOff>0</xdr:colOff>
      <xdr:row>47</xdr:row>
      <xdr:rowOff>127000</xdr:rowOff>
    </xdr:to>
    <xdr:graphicFrame macro="">
      <xdr:nvGraphicFramePr>
        <xdr:cNvPr id="354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4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4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5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5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results.oregonvotes.gov/resultsSW.aspx?type=FED&amp;map=CTY" TargetMode="Externa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"/>
  <sheetViews>
    <sheetView tabSelected="1" workbookViewId="0">
      <selection activeCell="C21" sqref="C21"/>
    </sheetView>
  </sheetViews>
  <sheetFormatPr baseColWidth="10" defaultRowHeight="13" x14ac:dyDescent="0"/>
  <sheetData>
    <row r="1" spans="1:45">
      <c r="A1" t="s">
        <v>4396</v>
      </c>
    </row>
    <row r="2" spans="1:45">
      <c r="A2" t="s">
        <v>4397</v>
      </c>
    </row>
    <row r="3" spans="1:45">
      <c r="A3" t="s">
        <v>4398</v>
      </c>
    </row>
    <row r="5" spans="1:45">
      <c r="A5" t="s">
        <v>4399</v>
      </c>
      <c r="B5" s="164">
        <v>1</v>
      </c>
    </row>
    <row r="6" spans="1:45">
      <c r="A6" t="s">
        <v>2127</v>
      </c>
      <c r="B6" s="125">
        <v>41450</v>
      </c>
    </row>
    <row r="10" spans="1:45">
      <c r="A10" s="62" t="s">
        <v>3236</v>
      </c>
      <c r="B10" s="108"/>
      <c r="C10" s="8"/>
    </row>
    <row r="11" spans="1:45">
      <c r="B11" s="104">
        <v>1</v>
      </c>
      <c r="C11" s="128" t="s">
        <v>4400</v>
      </c>
    </row>
    <row r="12" spans="1:45">
      <c r="C12" t="s">
        <v>4386</v>
      </c>
      <c r="AS12" s="162">
        <v>0</v>
      </c>
    </row>
    <row r="13" spans="1:45">
      <c r="C13" t="s">
        <v>4430</v>
      </c>
      <c r="AS13" s="162">
        <v>1</v>
      </c>
    </row>
  </sheetData>
  <dataValidations count="1">
    <dataValidation type="list" allowBlank="1" showInputMessage="1" showErrorMessage="1" sqref="B11">
      <formula1>AS12:AS13</formula1>
    </dataValidation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S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P54" sqref="P54"/>
    </sheetView>
  </sheetViews>
  <sheetFormatPr baseColWidth="10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0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0" width="7.7109375" customWidth="1"/>
    <col min="82" max="82" width="3.85546875" customWidth="1"/>
    <col min="83" max="83" width="4.7109375" customWidth="1"/>
    <col min="84" max="87" width="1.7109375" customWidth="1"/>
    <col min="88" max="88" width="2.7109375" customWidth="1"/>
    <col min="93" max="93" width="4" customWidth="1"/>
    <col min="94" max="94" width="4.28515625" customWidth="1"/>
    <col min="96" max="97" width="7.7109375" customWidth="1"/>
  </cols>
  <sheetData>
    <row r="1" spans="1:97">
      <c r="A1" t="s">
        <v>711</v>
      </c>
      <c r="B1" s="70" t="s">
        <v>325</v>
      </c>
      <c r="C1" s="27" t="s">
        <v>325</v>
      </c>
      <c r="D1" s="173" t="s">
        <v>852</v>
      </c>
      <c r="E1" s="173"/>
      <c r="F1" s="173"/>
      <c r="G1" s="174" t="s">
        <v>453</v>
      </c>
      <c r="H1" s="174"/>
      <c r="I1" s="174"/>
      <c r="J1" s="166" t="s">
        <v>1914</v>
      </c>
      <c r="K1" s="169"/>
      <c r="L1" s="175" t="str">
        <f>Candidates!H2</f>
        <v>Clinton</v>
      </c>
      <c r="M1" s="175"/>
      <c r="N1" s="176" t="str">
        <f>Candidates!H3</f>
        <v>Trump</v>
      </c>
      <c r="O1" s="169"/>
      <c r="P1" s="177" t="str">
        <f>Candidates!H4</f>
        <v>McMullin</v>
      </c>
      <c r="Q1" s="178"/>
      <c r="R1" s="166" t="str">
        <f>Candidates!H5</f>
        <v>Johnson</v>
      </c>
      <c r="S1" s="169"/>
      <c r="T1" s="166" t="str">
        <f>Candidates!H6</f>
        <v>Stein</v>
      </c>
      <c r="U1" s="169"/>
      <c r="V1" s="166" t="str">
        <f>Candidates!H7</f>
        <v>Castle</v>
      </c>
      <c r="W1" s="169"/>
      <c r="X1" s="166" t="str">
        <f>Candidates!H8</f>
        <v>Fuente</v>
      </c>
      <c r="Y1" s="169"/>
      <c r="Z1" s="166" t="str">
        <f>Candidates!H9</f>
        <v>Soltysik</v>
      </c>
      <c r="AA1" s="166"/>
      <c r="AB1" s="166" t="str">
        <f>Candidates!H10</f>
        <v>LaRiva</v>
      </c>
      <c r="AC1" s="169"/>
      <c r="AD1" s="166" t="str">
        <f>Candidates!H11</f>
        <v>Write-ins</v>
      </c>
      <c r="AE1" s="169"/>
      <c r="AF1" s="166" t="str">
        <f>Candidates!H12</f>
        <v>Kennedy</v>
      </c>
      <c r="AG1" s="166"/>
      <c r="AH1" s="166" t="str">
        <f>Candidates!H13</f>
        <v>Hoefling</v>
      </c>
      <c r="AI1" s="166"/>
      <c r="AJ1" s="166" t="str">
        <f>Candidates!H14</f>
        <v>Duncan</v>
      </c>
      <c r="AK1" s="166"/>
      <c r="AL1" s="166" t="str">
        <f>Candidates!H15</f>
        <v>Moorehead</v>
      </c>
      <c r="AM1" s="169"/>
      <c r="AN1" s="166" t="str">
        <f>Candidates!H16</f>
        <v>None</v>
      </c>
      <c r="AO1" s="166"/>
      <c r="AP1" s="166" t="str">
        <f>Candidates!H17</f>
        <v>Vacek</v>
      </c>
      <c r="AQ1" s="169"/>
      <c r="AR1" s="166" t="str">
        <f>Candidates!H18</f>
        <v>Hedges</v>
      </c>
      <c r="AS1" s="169"/>
      <c r="AT1" s="166" t="str">
        <f>Candidates!H19</f>
        <v>Kotlikoff</v>
      </c>
      <c r="AU1" s="169"/>
      <c r="AV1" s="166" t="str">
        <f>Candidates!H20</f>
        <v>White</v>
      </c>
      <c r="AW1" s="166"/>
      <c r="AX1" s="166" t="str">
        <f>Candidates!H21</f>
        <v>Keniston</v>
      </c>
      <c r="AY1" s="166"/>
      <c r="AZ1" s="166" t="str">
        <f>Candidates!H22</f>
        <v>Kopitke</v>
      </c>
      <c r="BA1" s="166"/>
      <c r="BB1" s="166" t="str">
        <f>Candidates!H23</f>
        <v>Atwood</v>
      </c>
      <c r="BC1" s="166"/>
      <c r="BD1" s="166" t="str">
        <f>Candidates!H24</f>
        <v>Jacob-Fambro</v>
      </c>
      <c r="BE1" s="166"/>
      <c r="BF1" s="166" t="str">
        <f>Candidates!H25</f>
        <v>Lyttle</v>
      </c>
      <c r="BG1" s="166"/>
      <c r="BH1" s="166" t="str">
        <f>Candidates!H26</f>
        <v>Kahn</v>
      </c>
      <c r="BI1" s="166"/>
      <c r="BJ1" s="166" t="str">
        <f>Candidates!H27</f>
        <v>Maldonado</v>
      </c>
      <c r="BK1" s="166"/>
      <c r="BL1" s="166" t="str">
        <f>Candidates!H28</f>
        <v>Maturen</v>
      </c>
      <c r="BM1" s="166"/>
      <c r="BN1" s="166" t="str">
        <f>Candidates!H29</f>
        <v>Scott</v>
      </c>
      <c r="BO1" s="166"/>
      <c r="BP1" s="166" t="str">
        <f>Candidates!H30</f>
        <v>Silva</v>
      </c>
      <c r="BQ1" s="166"/>
      <c r="BR1" s="166" t="str">
        <f>Candidates!H31</f>
        <v>Smith</v>
      </c>
      <c r="BS1" s="166"/>
      <c r="BT1" s="166" t="str">
        <f>Candidates!H32</f>
        <v>Copeland</v>
      </c>
      <c r="BU1" s="166"/>
      <c r="BV1" s="166" t="str">
        <f>Candidates!H33</f>
        <v>Skewes</v>
      </c>
      <c r="BW1" s="166"/>
      <c r="BX1" s="166" t="str">
        <f>Candidates!H34</f>
        <v>Giordani</v>
      </c>
      <c r="BY1" s="166"/>
      <c r="BZ1" s="166">
        <f>Candidates!H35</f>
        <v>0</v>
      </c>
      <c r="CA1" s="166"/>
      <c r="CB1" s="1"/>
      <c r="CC1" s="1"/>
      <c r="CF1" s="15" t="str">
        <f>LEFT(R1,1)</f>
        <v>J</v>
      </c>
      <c r="CG1" s="15" t="str">
        <f>LEFT(T1,1)</f>
        <v>S</v>
      </c>
      <c r="CH1" s="15" t="str">
        <f>LEFT(X1,1)</f>
        <v>F</v>
      </c>
      <c r="CI1" s="15" t="str">
        <f>LEFT(V1,1)</f>
        <v>C</v>
      </c>
      <c r="CR1" s="166" t="s">
        <v>3250</v>
      </c>
      <c r="CS1" s="166"/>
    </row>
    <row r="2" spans="1:97" s="29" customFormat="1">
      <c r="B2" s="53" t="s">
        <v>852</v>
      </c>
      <c r="C2" s="31" t="s">
        <v>2008</v>
      </c>
      <c r="D2" s="30" t="s">
        <v>612</v>
      </c>
      <c r="E2" s="30" t="s">
        <v>3144</v>
      </c>
      <c r="F2" s="30" t="s">
        <v>2252</v>
      </c>
      <c r="G2" s="143" t="str">
        <f>LEFT(L2,1)</f>
        <v>D</v>
      </c>
      <c r="H2" s="144" t="str">
        <f>LEFT(N2,1)</f>
        <v>R</v>
      </c>
      <c r="I2" s="145" t="str">
        <f>LEFT(P2,1)</f>
        <v>I</v>
      </c>
      <c r="J2" s="31" t="s">
        <v>74</v>
      </c>
      <c r="K2" s="31" t="s">
        <v>2988</v>
      </c>
      <c r="L2" s="170" t="str">
        <f>Candidates!D2</f>
        <v>Democratic</v>
      </c>
      <c r="M2" s="170"/>
      <c r="N2" s="171" t="str">
        <f>Candidates!D3</f>
        <v>Republican</v>
      </c>
      <c r="O2" s="168"/>
      <c r="P2" s="172" t="str">
        <f>Candidates!D4</f>
        <v>Independent</v>
      </c>
      <c r="Q2" s="168"/>
      <c r="R2" s="167" t="str">
        <f>Candidates!D5</f>
        <v>Libertarian</v>
      </c>
      <c r="S2" s="168"/>
      <c r="T2" s="167" t="str">
        <f>Candidates!D6</f>
        <v>Green</v>
      </c>
      <c r="U2" s="168"/>
      <c r="V2" s="167" t="str">
        <f>Candidates!D7</f>
        <v>Constitution</v>
      </c>
      <c r="W2" s="168"/>
      <c r="X2" s="167" t="str">
        <f>Candidates!D8</f>
        <v>American Delta</v>
      </c>
      <c r="Y2" s="168"/>
      <c r="Z2" s="167" t="str">
        <f>Candidates!D9</f>
        <v>Socialist</v>
      </c>
      <c r="AA2" s="168"/>
      <c r="AB2" s="167" t="str">
        <f>Candidates!D10</f>
        <v>Socialism and Liberation</v>
      </c>
      <c r="AC2" s="168"/>
      <c r="AD2" s="167" t="str">
        <f>Candidates!D11</f>
        <v>-</v>
      </c>
      <c r="AE2" s="168"/>
      <c r="AF2" s="167" t="str">
        <f>Candidates!D12</f>
        <v>Socialist Workers</v>
      </c>
      <c r="AG2" s="168"/>
      <c r="AH2" s="167" t="str">
        <f>Candidates!D13</f>
        <v>America's</v>
      </c>
      <c r="AI2" s="168"/>
      <c r="AJ2" s="167" t="str">
        <f>Candidates!D14</f>
        <v>Independent</v>
      </c>
      <c r="AK2" s="168"/>
      <c r="AL2" s="167" t="str">
        <f>Candidates!D15</f>
        <v>Workers World</v>
      </c>
      <c r="AM2" s="168"/>
      <c r="AN2" s="167" t="str">
        <f>Candidates!D16</f>
        <v>-</v>
      </c>
      <c r="AO2" s="168"/>
      <c r="AP2" s="167" t="str">
        <f>Candidates!D17</f>
        <v>Legal Marijuana Now</v>
      </c>
      <c r="AQ2" s="168"/>
      <c r="AR2" s="167" t="str">
        <f>Candidates!D18</f>
        <v>Prohibition</v>
      </c>
      <c r="AS2" s="168"/>
      <c r="AT2" s="167" t="str">
        <f>Candidates!D19</f>
        <v>Independent</v>
      </c>
      <c r="AU2" s="168"/>
      <c r="AV2" s="167" t="str">
        <f>Candidates!D20</f>
        <v>Socialist Equality</v>
      </c>
      <c r="AW2" s="168"/>
      <c r="AX2" s="167" t="str">
        <f>Candidates!D21</f>
        <v>Veterans</v>
      </c>
      <c r="AY2" s="168"/>
      <c r="AZ2" s="167" t="str">
        <f>Candidates!D22</f>
        <v>Ind. American</v>
      </c>
      <c r="BA2" s="168"/>
      <c r="BB2" s="167" t="str">
        <f>Candidates!D23</f>
        <v>Approval Voting</v>
      </c>
      <c r="BC2" s="168"/>
      <c r="BD2" s="167" t="str">
        <f>Candidates!D24</f>
        <v>Revolutionary</v>
      </c>
      <c r="BE2" s="168"/>
      <c r="BF2" s="167" t="str">
        <f>Candidates!D25</f>
        <v>Pacifist</v>
      </c>
      <c r="BG2" s="168"/>
      <c r="BH2" s="167" t="str">
        <f>Candidates!D26</f>
        <v>Independent</v>
      </c>
      <c r="BI2" s="168"/>
      <c r="BJ2" s="167" t="str">
        <f>Candidates!D27</f>
        <v>Independent</v>
      </c>
      <c r="BK2" s="168"/>
      <c r="BL2" s="167" t="str">
        <f>Candidates!D28</f>
        <v>American Solidarity</v>
      </c>
      <c r="BM2" s="168"/>
      <c r="BN2" s="167" t="str">
        <f>Candidates!D29</f>
        <v>Independent</v>
      </c>
      <c r="BO2" s="168"/>
      <c r="BP2" s="167" t="str">
        <f>Candidates!D30</f>
        <v>Nutrition</v>
      </c>
      <c r="BQ2" s="168"/>
      <c r="BR2" s="167" t="str">
        <f>Candidates!D31</f>
        <v>Independent</v>
      </c>
      <c r="BS2" s="168"/>
      <c r="BT2" s="167" t="str">
        <f>Candidates!D32</f>
        <v>Constitution ID</v>
      </c>
      <c r="BU2" s="168"/>
      <c r="BV2" s="167" t="str">
        <f>Candidates!D33</f>
        <v>American</v>
      </c>
      <c r="BW2" s="168"/>
      <c r="BX2" s="167" t="str">
        <f>Candidates!D34</f>
        <v>Ind. American</v>
      </c>
      <c r="BY2" s="168"/>
      <c r="BZ2" s="167">
        <f>Candidates!D35</f>
        <v>0</v>
      </c>
      <c r="CA2" s="168"/>
      <c r="CB2" s="32"/>
      <c r="CC2" s="32" t="s">
        <v>711</v>
      </c>
      <c r="CE2" s="29" t="s">
        <v>504</v>
      </c>
      <c r="CF2" s="33"/>
      <c r="CG2" s="33"/>
      <c r="CH2" s="33"/>
      <c r="CI2" s="33"/>
      <c r="CK2" s="29" t="s">
        <v>395</v>
      </c>
      <c r="CM2" s="29" t="s">
        <v>2711</v>
      </c>
      <c r="CO2" s="29" t="s">
        <v>504</v>
      </c>
      <c r="CP2" s="29" t="s">
        <v>3083</v>
      </c>
      <c r="CR2" s="167" t="s">
        <v>2931</v>
      </c>
      <c r="CS2" s="168"/>
    </row>
    <row r="3" spans="1:97">
      <c r="A3" t="s">
        <v>1486</v>
      </c>
      <c r="B3">
        <v>9</v>
      </c>
      <c r="C3" s="1">
        <f>L3+N3+P3+R3+T3+X3+V3+AD3+AJ3+AB3+AF3+Z3+AH3+AR3+AT3+AL3+AP3+AN3+AV3+AX3+BB3+BD3+BF3+BH3+AZ3+BJ3+BL3+BN3+BP3+BR3+BT3+BV3+BX3+BZ3</f>
        <v>2123372</v>
      </c>
      <c r="D3" s="21"/>
      <c r="E3" s="21">
        <v>9</v>
      </c>
      <c r="F3" s="21"/>
      <c r="G3" s="81">
        <f t="shared" ref="G3:G34" si="0">RANK(L3,L3:CB3)</f>
        <v>2</v>
      </c>
      <c r="H3" s="81">
        <f t="shared" ref="H3:H34" si="1">RANK(N3,L3:CB3)</f>
        <v>1</v>
      </c>
      <c r="I3" s="81" t="str">
        <f t="shared" ref="I3:I34" si="2">IF(P3&gt;0,RANK(P3,L3:CB3),"-")</f>
        <v>-</v>
      </c>
      <c r="J3" s="1">
        <f>ABS(N3-L3)</f>
        <v>588708</v>
      </c>
      <c r="K3" s="2">
        <f>IF(C3&gt;0, J3/C3,0)</f>
        <v>0.27725146606435425</v>
      </c>
      <c r="L3" s="1">
        <f>County!N70</f>
        <v>729547</v>
      </c>
      <c r="M3" s="2">
        <f>IF($C3&gt;0,L3/$C3,0)</f>
        <v>0.3435794575797364</v>
      </c>
      <c r="N3" s="63">
        <f>County!O70</f>
        <v>1318255</v>
      </c>
      <c r="O3" s="68">
        <f t="shared" ref="O3:O54" si="3">IF($C3&gt;0,N3/$C3,0)</f>
        <v>0.62083092364409065</v>
      </c>
      <c r="P3" s="63">
        <f>County!P70</f>
        <v>0</v>
      </c>
      <c r="Q3" s="68">
        <f t="shared" ref="Q3:Q54" si="4">IF($C3&gt;0,P3/$C3,0)</f>
        <v>0</v>
      </c>
      <c r="R3" s="63">
        <f>County!Q70</f>
        <v>44467</v>
      </c>
      <c r="S3" s="68">
        <f t="shared" ref="S3:S54" si="5">IF($C3&gt;0,R3/$C3,0)</f>
        <v>2.0941690857748902E-2</v>
      </c>
      <c r="T3" s="63">
        <f>County!R70</f>
        <v>9391</v>
      </c>
      <c r="U3" s="68">
        <f t="shared" ref="U3:U54" si="6">IF($C3&gt;0,T3/$C3,0)</f>
        <v>4.4226824126907581E-3</v>
      </c>
      <c r="V3" s="63">
        <f>County!S70</f>
        <v>0</v>
      </c>
      <c r="W3" s="68">
        <f t="shared" ref="W3:W54" si="7">IF($C3&gt;0,V3/$C3,0)</f>
        <v>0</v>
      </c>
      <c r="X3" s="63">
        <f>County!T70</f>
        <v>0</v>
      </c>
      <c r="Y3" s="68">
        <f t="shared" ref="Y3:Y54" si="8">IF($C3&gt;0,X3/$C3,0)</f>
        <v>0</v>
      </c>
      <c r="Z3" s="63">
        <f>County!U70</f>
        <v>0</v>
      </c>
      <c r="AA3" s="68">
        <f t="shared" ref="AA3:AA54" si="9">IF($C3&gt;0,Z3/$C3,0)</f>
        <v>0</v>
      </c>
      <c r="AB3" s="63">
        <f>County!V70</f>
        <v>0</v>
      </c>
      <c r="AC3" s="68">
        <f t="shared" ref="AC3:AC54" si="10">IF($C3&gt;0,AB3/$C3,0)</f>
        <v>0</v>
      </c>
      <c r="AD3" s="63">
        <f>County!W70</f>
        <v>21712</v>
      </c>
      <c r="AE3" s="68">
        <f t="shared" ref="AE3:AE54" si="11">IF($C3&gt;0,AD3/$C3,0)</f>
        <v>1.0225245505733333E-2</v>
      </c>
      <c r="AF3" s="63">
        <f>County!X70</f>
        <v>0</v>
      </c>
      <c r="AG3" s="68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28"/>
      <c r="CC3" t="str">
        <f t="shared" ref="CC3:CC34" si="34">A3</f>
        <v>Alabama</v>
      </c>
      <c r="CD3" t="s">
        <v>2498</v>
      </c>
      <c r="CE3">
        <f t="shared" ref="CE3:CE34" si="35">SUM(D3:F3)</f>
        <v>9</v>
      </c>
      <c r="CF3" s="7">
        <f>RANK(R3,(L3:Q3,R3:Y3,AD3:AW3))</f>
        <v>3</v>
      </c>
      <c r="CG3" s="7">
        <f>RANK(T3,(L3:Q3,R3:Y3,AD3:AW3))</f>
        <v>5</v>
      </c>
      <c r="CH3" s="7">
        <f>RANK(X3,(L3:Q3,R3:Y3,AD3:AW3))</f>
        <v>11</v>
      </c>
      <c r="CI3" s="7">
        <f>RANK(V3,(L3:Q3,R3:Y3,AD3:AW3))</f>
        <v>11</v>
      </c>
      <c r="CK3">
        <v>1</v>
      </c>
      <c r="CM3" s="1">
        <f>County!BO70</f>
        <v>0</v>
      </c>
      <c r="CO3">
        <f t="shared" ref="CO3:CO34" si="36">B3</f>
        <v>9</v>
      </c>
      <c r="CP3">
        <v>0</v>
      </c>
      <c r="CR3" s="1">
        <f>County!CC70</f>
        <v>0</v>
      </c>
      <c r="CS3" s="2">
        <f t="shared" ref="CS3:CS54" si="37">IF($C3&gt;0,CR3/$C3,0)</f>
        <v>0</v>
      </c>
    </row>
    <row r="4" spans="1:97" s="47" customFormat="1">
      <c r="A4" s="47" t="s">
        <v>1994</v>
      </c>
      <c r="B4" s="47">
        <v>3</v>
      </c>
      <c r="C4" s="50">
        <f t="shared" ref="C4:C53" si="38">L4+N4+P4+R4+T4+X4+V4+AD4+AJ4+AB4+AF4+Z4+AH4+AR4+AT4+AL4+AP4+AN4+AV4+AX4+BB4+BD4+BF4+BH4+AZ4+BJ4+BL4+BN4+BP4+BR4+BT4+BV4+BX4+BZ4</f>
        <v>318608</v>
      </c>
      <c r="D4" s="49"/>
      <c r="E4" s="49">
        <v>3</v>
      </c>
      <c r="F4" s="49"/>
      <c r="G4" s="82">
        <f t="shared" si="0"/>
        <v>2</v>
      </c>
      <c r="H4" s="82">
        <f t="shared" si="1"/>
        <v>1</v>
      </c>
      <c r="I4" s="82" t="str">
        <f t="shared" si="2"/>
        <v>-</v>
      </c>
      <c r="J4" s="50">
        <f t="shared" ref="J4:J53" si="39">ABS(N4-L4)</f>
        <v>46933</v>
      </c>
      <c r="K4" s="51">
        <f t="shared" ref="K4:K54" si="40">IF(C4&gt;0, J4/C4,0)</f>
        <v>0.147306407874253</v>
      </c>
      <c r="L4" s="50">
        <f>County!N113</f>
        <v>116454</v>
      </c>
      <c r="M4" s="51">
        <f t="shared" ref="M4:M54" si="41">IF($C4&gt;0,L4/$C4,0)</f>
        <v>0.36550871290111986</v>
      </c>
      <c r="N4" s="72">
        <f>County!O113</f>
        <v>163387</v>
      </c>
      <c r="O4" s="105">
        <f t="shared" si="3"/>
        <v>0.51281512077537283</v>
      </c>
      <c r="P4" s="72">
        <f>County!P113</f>
        <v>0</v>
      </c>
      <c r="Q4" s="105">
        <f t="shared" si="4"/>
        <v>0</v>
      </c>
      <c r="R4" s="72">
        <f>County!Q113</f>
        <v>18725</v>
      </c>
      <c r="S4" s="105">
        <f t="shared" si="5"/>
        <v>5.8771280068297092E-2</v>
      </c>
      <c r="T4" s="72">
        <f>County!R113</f>
        <v>5735</v>
      </c>
      <c r="U4" s="105">
        <f t="shared" si="6"/>
        <v>1.8000175764575906E-2</v>
      </c>
      <c r="V4" s="72">
        <f>County!S113</f>
        <v>3866</v>
      </c>
      <c r="W4" s="105">
        <f t="shared" si="7"/>
        <v>1.2134033043740271E-2</v>
      </c>
      <c r="X4" s="72">
        <f>County!T113</f>
        <v>1240</v>
      </c>
      <c r="Y4" s="105">
        <f t="shared" si="8"/>
        <v>3.8919298950434388E-3</v>
      </c>
      <c r="Z4" s="72">
        <f>County!U113</f>
        <v>0</v>
      </c>
      <c r="AA4" s="105">
        <f t="shared" si="9"/>
        <v>0</v>
      </c>
      <c r="AB4" s="72">
        <f>County!V113</f>
        <v>0</v>
      </c>
      <c r="AC4" s="105">
        <f t="shared" si="10"/>
        <v>0</v>
      </c>
      <c r="AD4" s="72">
        <f>County!W113</f>
        <v>9201</v>
      </c>
      <c r="AE4" s="105">
        <f t="shared" si="11"/>
        <v>2.8878747551850551E-2</v>
      </c>
      <c r="AF4" s="72">
        <f>County!X113</f>
        <v>0</v>
      </c>
      <c r="AG4" s="105">
        <f t="shared" si="12"/>
        <v>0</v>
      </c>
      <c r="AH4" s="50">
        <f>County!Y113</f>
        <v>0</v>
      </c>
      <c r="AI4" s="51">
        <f t="shared" si="13"/>
        <v>0</v>
      </c>
      <c r="AJ4" s="50">
        <f>County!Z113</f>
        <v>0</v>
      </c>
      <c r="AK4" s="51">
        <f t="shared" si="14"/>
        <v>0</v>
      </c>
      <c r="AL4" s="50">
        <f>County!AA113</f>
        <v>0</v>
      </c>
      <c r="AM4" s="51">
        <f t="shared" si="15"/>
        <v>0</v>
      </c>
      <c r="AN4" s="50">
        <f>County!AB113</f>
        <v>0</v>
      </c>
      <c r="AO4" s="51">
        <f t="shared" si="16"/>
        <v>0</v>
      </c>
      <c r="AP4" s="50">
        <f>County!AC113</f>
        <v>0</v>
      </c>
      <c r="AQ4" s="51">
        <f t="shared" si="17"/>
        <v>0</v>
      </c>
      <c r="AR4" s="50">
        <f>County!AD113</f>
        <v>0</v>
      </c>
      <c r="AS4" s="51">
        <f t="shared" si="18"/>
        <v>0</v>
      </c>
      <c r="AT4" s="50">
        <f>County!AE113</f>
        <v>0</v>
      </c>
      <c r="AU4" s="51">
        <f t="shared" si="19"/>
        <v>0</v>
      </c>
      <c r="AV4" s="50">
        <f>County!AF113</f>
        <v>0</v>
      </c>
      <c r="AW4" s="51">
        <f t="shared" si="20"/>
        <v>0</v>
      </c>
      <c r="AX4" s="50">
        <f>County!AG113</f>
        <v>0</v>
      </c>
      <c r="AY4" s="51">
        <f t="shared" si="20"/>
        <v>0</v>
      </c>
      <c r="AZ4" s="50">
        <f>County!AH113</f>
        <v>0</v>
      </c>
      <c r="BA4" s="51">
        <f t="shared" si="21"/>
        <v>0</v>
      </c>
      <c r="BB4" s="50">
        <f>County!AI113</f>
        <v>0</v>
      </c>
      <c r="BC4" s="51">
        <f t="shared" si="22"/>
        <v>0</v>
      </c>
      <c r="BD4" s="50">
        <f>County!AJ113</f>
        <v>0</v>
      </c>
      <c r="BE4" s="51">
        <f t="shared" si="22"/>
        <v>0</v>
      </c>
      <c r="BF4" s="50">
        <f>County!AK113</f>
        <v>0</v>
      </c>
      <c r="BG4" s="51">
        <f t="shared" si="23"/>
        <v>0</v>
      </c>
      <c r="BH4" s="50">
        <f>County!AL113</f>
        <v>0</v>
      </c>
      <c r="BI4" s="51">
        <f t="shared" si="24"/>
        <v>0</v>
      </c>
      <c r="BJ4" s="50">
        <f>County!AM113</f>
        <v>0</v>
      </c>
      <c r="BK4" s="51">
        <f t="shared" si="25"/>
        <v>0</v>
      </c>
      <c r="BL4" s="50">
        <f>County!AN113</f>
        <v>0</v>
      </c>
      <c r="BM4" s="51">
        <f t="shared" si="26"/>
        <v>0</v>
      </c>
      <c r="BN4" s="50">
        <f>County!AO113</f>
        <v>0</v>
      </c>
      <c r="BO4" s="51">
        <f t="shared" si="27"/>
        <v>0</v>
      </c>
      <c r="BP4" s="50">
        <f>County!AP113</f>
        <v>0</v>
      </c>
      <c r="BQ4" s="51">
        <f t="shared" si="28"/>
        <v>0</v>
      </c>
      <c r="BR4" s="50">
        <f>County!AQ113</f>
        <v>0</v>
      </c>
      <c r="BS4" s="51">
        <f t="shared" si="29"/>
        <v>0</v>
      </c>
      <c r="BT4" s="50">
        <f>County!AR113</f>
        <v>0</v>
      </c>
      <c r="BU4" s="51">
        <f t="shared" si="30"/>
        <v>0</v>
      </c>
      <c r="BV4" s="50">
        <f>County!AS113</f>
        <v>0</v>
      </c>
      <c r="BW4" s="51">
        <f t="shared" si="31"/>
        <v>0</v>
      </c>
      <c r="BX4" s="50">
        <f>County!AT113</f>
        <v>0</v>
      </c>
      <c r="BY4" s="51">
        <f t="shared" si="32"/>
        <v>0</v>
      </c>
      <c r="BZ4" s="50">
        <f>County!AU113</f>
        <v>0</v>
      </c>
      <c r="CA4" s="51">
        <f t="shared" si="33"/>
        <v>0</v>
      </c>
      <c r="CB4" s="58"/>
      <c r="CC4" s="47" t="str">
        <f t="shared" si="34"/>
        <v>Alaska</v>
      </c>
      <c r="CD4" s="47" t="s">
        <v>1326</v>
      </c>
      <c r="CE4" s="47">
        <f t="shared" si="35"/>
        <v>3</v>
      </c>
      <c r="CF4" s="48">
        <f>RANK(R4,(L4:Q4,R4:Y4,AD4:AW4))</f>
        <v>3</v>
      </c>
      <c r="CG4" s="48">
        <f>RANK(T4,(L4:Q4,R4:Y4,AD4:AW4))</f>
        <v>5</v>
      </c>
      <c r="CH4" s="48">
        <f>RANK(X4,(L4:Q4,R4:Y4,AD4:AW4))</f>
        <v>7</v>
      </c>
      <c r="CI4" s="48">
        <f>RANK(V4,(L4:Q4,R4:Y4,AD4:AW4))</f>
        <v>6</v>
      </c>
      <c r="CK4" s="47">
        <v>2</v>
      </c>
      <c r="CM4" s="50">
        <f>County!BO113</f>
        <v>0</v>
      </c>
      <c r="CO4" s="47">
        <f t="shared" si="36"/>
        <v>3</v>
      </c>
      <c r="CP4" s="47">
        <v>0</v>
      </c>
      <c r="CR4" s="50">
        <f>County!CC113</f>
        <v>0</v>
      </c>
      <c r="CS4" s="51">
        <f t="shared" si="37"/>
        <v>0</v>
      </c>
    </row>
    <row r="5" spans="1:97" s="34" customFormat="1">
      <c r="A5" s="34" t="s">
        <v>444</v>
      </c>
      <c r="B5" s="34">
        <v>11</v>
      </c>
      <c r="C5" s="37">
        <f t="shared" si="38"/>
        <v>2604657</v>
      </c>
      <c r="D5" s="36"/>
      <c r="E5" s="36">
        <v>11</v>
      </c>
      <c r="F5" s="36"/>
      <c r="G5" s="83">
        <f t="shared" si="0"/>
        <v>2</v>
      </c>
      <c r="H5" s="83">
        <f t="shared" si="1"/>
        <v>1</v>
      </c>
      <c r="I5" s="83">
        <f t="shared" si="2"/>
        <v>6</v>
      </c>
      <c r="J5" s="1">
        <f t="shared" si="39"/>
        <v>91234</v>
      </c>
      <c r="K5" s="38">
        <f t="shared" si="40"/>
        <v>3.5027260787120915E-2</v>
      </c>
      <c r="L5" s="37">
        <f>County!N130</f>
        <v>1161167</v>
      </c>
      <c r="M5" s="38">
        <f t="shared" si="41"/>
        <v>0.44580418842097058</v>
      </c>
      <c r="N5" s="73">
        <f>County!O130</f>
        <v>1252401</v>
      </c>
      <c r="O5" s="74">
        <f t="shared" si="3"/>
        <v>0.48083144920809151</v>
      </c>
      <c r="P5" s="73">
        <f>County!P130</f>
        <v>17449</v>
      </c>
      <c r="Q5" s="74">
        <f t="shared" si="4"/>
        <v>6.6991546295731069E-3</v>
      </c>
      <c r="R5" s="73">
        <f>County!Q130</f>
        <v>106327</v>
      </c>
      <c r="S5" s="74">
        <f t="shared" si="5"/>
        <v>4.0821881729532911E-2</v>
      </c>
      <c r="T5" s="73">
        <f>County!R130</f>
        <v>34345</v>
      </c>
      <c r="U5" s="74">
        <f t="shared" si="6"/>
        <v>1.3185997234952625E-2</v>
      </c>
      <c r="V5" s="73">
        <f>County!S130</f>
        <v>1058</v>
      </c>
      <c r="W5" s="74">
        <f t="shared" si="7"/>
        <v>4.0619551825825818E-4</v>
      </c>
      <c r="X5" s="73">
        <f>County!T130</f>
        <v>29</v>
      </c>
      <c r="Y5" s="74">
        <f t="shared" si="8"/>
        <v>1.1133903619555282E-5</v>
      </c>
      <c r="Z5" s="73">
        <f>County!U130</f>
        <v>0</v>
      </c>
      <c r="AA5" s="74">
        <f t="shared" si="9"/>
        <v>0</v>
      </c>
      <c r="AB5" s="73">
        <f>County!V130</f>
        <v>0</v>
      </c>
      <c r="AC5" s="74">
        <f t="shared" si="10"/>
        <v>0</v>
      </c>
      <c r="AD5" s="73">
        <f>County!W130</f>
        <v>31662</v>
      </c>
      <c r="AE5" s="74">
        <f t="shared" si="11"/>
        <v>1.2155919186288252E-2</v>
      </c>
      <c r="AF5" s="73">
        <f>County!X130</f>
        <v>0</v>
      </c>
      <c r="AG5" s="74">
        <f t="shared" si="12"/>
        <v>0</v>
      </c>
      <c r="AH5" s="37">
        <f>County!Y130</f>
        <v>85</v>
      </c>
      <c r="AI5" s="38">
        <f t="shared" si="13"/>
        <v>3.2633855436627551E-5</v>
      </c>
      <c r="AJ5" s="37">
        <f>County!Z130</f>
        <v>0</v>
      </c>
      <c r="AK5" s="38">
        <f t="shared" si="14"/>
        <v>0</v>
      </c>
      <c r="AL5" s="37">
        <f>County!AA130</f>
        <v>0</v>
      </c>
      <c r="AM5" s="38">
        <f t="shared" si="15"/>
        <v>0</v>
      </c>
      <c r="AN5" s="37">
        <f>County!AB130</f>
        <v>0</v>
      </c>
      <c r="AO5" s="38">
        <f t="shared" si="16"/>
        <v>0</v>
      </c>
      <c r="AP5" s="37">
        <f>County!AC130</f>
        <v>0</v>
      </c>
      <c r="AQ5" s="38">
        <f t="shared" si="17"/>
        <v>0</v>
      </c>
      <c r="AR5" s="37">
        <f>County!AD130</f>
        <v>0</v>
      </c>
      <c r="AS5" s="38">
        <f t="shared" si="18"/>
        <v>0</v>
      </c>
      <c r="AT5" s="37">
        <f>County!AE130</f>
        <v>52</v>
      </c>
      <c r="AU5" s="38">
        <f t="shared" si="19"/>
        <v>1.9964240972995678E-5</v>
      </c>
      <c r="AV5" s="37">
        <f>County!AF130</f>
        <v>0</v>
      </c>
      <c r="AW5" s="38">
        <f t="shared" si="20"/>
        <v>0</v>
      </c>
      <c r="AX5" s="37">
        <f>County!AG130</f>
        <v>0</v>
      </c>
      <c r="AY5" s="38">
        <f t="shared" si="20"/>
        <v>0</v>
      </c>
      <c r="AZ5" s="37">
        <f>County!AH130</f>
        <v>0</v>
      </c>
      <c r="BA5" s="38">
        <f t="shared" si="21"/>
        <v>0</v>
      </c>
      <c r="BB5" s="37">
        <f>County!AI130</f>
        <v>0</v>
      </c>
      <c r="BC5" s="38">
        <f t="shared" si="22"/>
        <v>0</v>
      </c>
      <c r="BD5" s="37">
        <f>County!AJ130</f>
        <v>0</v>
      </c>
      <c r="BE5" s="38">
        <f t="shared" si="22"/>
        <v>0</v>
      </c>
      <c r="BF5" s="37">
        <f>County!AK130</f>
        <v>0</v>
      </c>
      <c r="BG5" s="38">
        <f t="shared" si="23"/>
        <v>0</v>
      </c>
      <c r="BH5" s="37">
        <f>County!AL130</f>
        <v>0</v>
      </c>
      <c r="BI5" s="38">
        <f t="shared" si="24"/>
        <v>0</v>
      </c>
      <c r="BJ5" s="37">
        <f>County!AM130</f>
        <v>20</v>
      </c>
      <c r="BK5" s="38">
        <f t="shared" si="25"/>
        <v>7.6785542203829521E-6</v>
      </c>
      <c r="BL5" s="37">
        <f>County!AN130</f>
        <v>0</v>
      </c>
      <c r="BM5" s="38">
        <f t="shared" si="26"/>
        <v>0</v>
      </c>
      <c r="BN5" s="37">
        <f>County!AO130</f>
        <v>0</v>
      </c>
      <c r="BO5" s="38">
        <f t="shared" si="27"/>
        <v>0</v>
      </c>
      <c r="BP5" s="37">
        <f>County!AP130</f>
        <v>0</v>
      </c>
      <c r="BQ5" s="38">
        <f t="shared" si="28"/>
        <v>0</v>
      </c>
      <c r="BR5" s="37">
        <f>County!AQ130</f>
        <v>62</v>
      </c>
      <c r="BS5" s="38">
        <f t="shared" si="29"/>
        <v>2.3803518083187152E-5</v>
      </c>
      <c r="BT5" s="37">
        <f>County!AR130</f>
        <v>0</v>
      </c>
      <c r="BU5" s="38">
        <f t="shared" si="30"/>
        <v>0</v>
      </c>
      <c r="BV5" s="37">
        <f>County!AS130</f>
        <v>0</v>
      </c>
      <c r="BW5" s="38">
        <f t="shared" si="31"/>
        <v>0</v>
      </c>
      <c r="BX5" s="37">
        <f>County!AT130</f>
        <v>0</v>
      </c>
      <c r="BY5" s="38">
        <f t="shared" si="32"/>
        <v>0</v>
      </c>
      <c r="BZ5" s="37">
        <f>County!AU130</f>
        <v>0</v>
      </c>
      <c r="CA5" s="38">
        <f t="shared" si="33"/>
        <v>0</v>
      </c>
      <c r="CB5" s="59"/>
      <c r="CC5" s="34" t="str">
        <f t="shared" si="34"/>
        <v>Arizona</v>
      </c>
      <c r="CD5" s="34" t="s">
        <v>384</v>
      </c>
      <c r="CE5" s="34">
        <f t="shared" si="35"/>
        <v>11</v>
      </c>
      <c r="CF5" s="35">
        <f>RANK(R5,(L5:Q5,R5:Y5,AD5:AW5))</f>
        <v>3</v>
      </c>
      <c r="CG5" s="35">
        <f>RANK(T5,(L5:Q5,R5:Y5,AD5:AW5))</f>
        <v>4</v>
      </c>
      <c r="CH5" s="35">
        <f>RANK(X5,(L5:Q5,R5:Y5,AD5:AW5))</f>
        <v>10</v>
      </c>
      <c r="CI5" s="35">
        <f>RANK(V5,(L5:Q5,R5:Y5,AD5:AW5))</f>
        <v>7</v>
      </c>
      <c r="CK5" s="34">
        <v>4</v>
      </c>
      <c r="CM5" s="37">
        <f>County!BO130</f>
        <v>31089</v>
      </c>
      <c r="CO5" s="34">
        <f t="shared" si="36"/>
        <v>11</v>
      </c>
      <c r="CP5" s="34">
        <v>0</v>
      </c>
      <c r="CR5" s="37">
        <f>County!CC130</f>
        <v>0</v>
      </c>
      <c r="CS5" s="38">
        <f t="shared" si="37"/>
        <v>0</v>
      </c>
    </row>
    <row r="6" spans="1:97" s="47" customFormat="1">
      <c r="A6" s="52" t="s">
        <v>200</v>
      </c>
      <c r="B6" s="52">
        <v>6</v>
      </c>
      <c r="C6" s="50">
        <f t="shared" si="38"/>
        <v>1130635</v>
      </c>
      <c r="D6" s="49"/>
      <c r="E6" s="49">
        <v>6</v>
      </c>
      <c r="F6" s="49"/>
      <c r="G6" s="82">
        <f t="shared" si="0"/>
        <v>2</v>
      </c>
      <c r="H6" s="82">
        <f t="shared" si="1"/>
        <v>1</v>
      </c>
      <c r="I6" s="82">
        <f t="shared" si="2"/>
        <v>4</v>
      </c>
      <c r="J6" s="50">
        <f t="shared" si="39"/>
        <v>304378</v>
      </c>
      <c r="K6" s="51">
        <f t="shared" si="40"/>
        <v>0.26920978034467358</v>
      </c>
      <c r="L6" s="50">
        <f>County!N207</f>
        <v>380494</v>
      </c>
      <c r="M6" s="51">
        <f t="shared" si="41"/>
        <v>0.33653124129360934</v>
      </c>
      <c r="N6" s="72">
        <f>County!O207</f>
        <v>684872</v>
      </c>
      <c r="O6" s="105">
        <f t="shared" si="3"/>
        <v>0.60574102163828292</v>
      </c>
      <c r="P6" s="72">
        <f>County!P207</f>
        <v>13255</v>
      </c>
      <c r="Q6" s="105">
        <f t="shared" si="4"/>
        <v>1.1723500510774918E-2</v>
      </c>
      <c r="R6" s="72">
        <f>County!Q207</f>
        <v>29829</v>
      </c>
      <c r="S6" s="105">
        <f t="shared" si="5"/>
        <v>2.6382519557593742E-2</v>
      </c>
      <c r="T6" s="72">
        <f>County!R207</f>
        <v>9473</v>
      </c>
      <c r="U6" s="105">
        <f t="shared" si="6"/>
        <v>8.3784775811822556E-3</v>
      </c>
      <c r="V6" s="72">
        <f>County!S207</f>
        <v>4613</v>
      </c>
      <c r="W6" s="105">
        <f t="shared" si="7"/>
        <v>4.0800081370203469E-3</v>
      </c>
      <c r="X6" s="72">
        <f>County!T207</f>
        <v>0</v>
      </c>
      <c r="Y6" s="105">
        <f t="shared" si="8"/>
        <v>0</v>
      </c>
      <c r="Z6" s="72">
        <f>County!U207</f>
        <v>0</v>
      </c>
      <c r="AA6" s="105">
        <f t="shared" si="9"/>
        <v>0</v>
      </c>
      <c r="AB6" s="72">
        <f>County!V207</f>
        <v>0</v>
      </c>
      <c r="AC6" s="105">
        <f t="shared" si="10"/>
        <v>0</v>
      </c>
      <c r="AD6" s="72">
        <f>County!W207</f>
        <v>0</v>
      </c>
      <c r="AE6" s="105">
        <f t="shared" si="11"/>
        <v>0</v>
      </c>
      <c r="AF6" s="72">
        <f>County!X207</f>
        <v>0</v>
      </c>
      <c r="AG6" s="105">
        <f t="shared" si="12"/>
        <v>0</v>
      </c>
      <c r="AH6" s="50">
        <f>County!Y207</f>
        <v>0</v>
      </c>
      <c r="AI6" s="51">
        <f t="shared" si="13"/>
        <v>0</v>
      </c>
      <c r="AJ6" s="50">
        <f>County!Z207</f>
        <v>0</v>
      </c>
      <c r="AK6" s="51">
        <f t="shared" si="14"/>
        <v>0</v>
      </c>
      <c r="AL6" s="50">
        <f>County!AA207</f>
        <v>0</v>
      </c>
      <c r="AM6" s="51">
        <f t="shared" si="15"/>
        <v>0</v>
      </c>
      <c r="AN6" s="50">
        <f>County!AB207</f>
        <v>0</v>
      </c>
      <c r="AO6" s="51">
        <f t="shared" si="16"/>
        <v>0</v>
      </c>
      <c r="AP6" s="50">
        <f>County!AC207</f>
        <v>0</v>
      </c>
      <c r="AQ6" s="51">
        <f t="shared" si="17"/>
        <v>0</v>
      </c>
      <c r="AR6" s="50">
        <f>County!AD207</f>
        <v>4709</v>
      </c>
      <c r="AS6" s="51">
        <f t="shared" si="18"/>
        <v>4.1649161754235449E-3</v>
      </c>
      <c r="AT6" s="50">
        <f>County!AE207</f>
        <v>0</v>
      </c>
      <c r="AU6" s="51">
        <f t="shared" si="19"/>
        <v>0</v>
      </c>
      <c r="AV6" s="50">
        <f>County!AF207</f>
        <v>0</v>
      </c>
      <c r="AW6" s="51">
        <f t="shared" si="20"/>
        <v>0</v>
      </c>
      <c r="AX6" s="50">
        <f>County!AG207</f>
        <v>0</v>
      </c>
      <c r="AY6" s="51">
        <f t="shared" si="20"/>
        <v>0</v>
      </c>
      <c r="AZ6" s="50">
        <f>County!AH207</f>
        <v>0</v>
      </c>
      <c r="BA6" s="51">
        <f t="shared" si="21"/>
        <v>0</v>
      </c>
      <c r="BB6" s="50">
        <f>County!AI207</f>
        <v>0</v>
      </c>
      <c r="BC6" s="51">
        <f t="shared" si="22"/>
        <v>0</v>
      </c>
      <c r="BD6" s="50">
        <f>County!AJ207</f>
        <v>0</v>
      </c>
      <c r="BE6" s="51">
        <f t="shared" si="22"/>
        <v>0</v>
      </c>
      <c r="BF6" s="50">
        <f>County!AK207</f>
        <v>0</v>
      </c>
      <c r="BG6" s="51">
        <f t="shared" si="23"/>
        <v>0</v>
      </c>
      <c r="BH6" s="50">
        <f>County!AL207</f>
        <v>3390</v>
      </c>
      <c r="BI6" s="51">
        <f t="shared" si="24"/>
        <v>2.9983151061129367E-3</v>
      </c>
      <c r="BJ6" s="50">
        <f>County!AM207</f>
        <v>0</v>
      </c>
      <c r="BK6" s="51">
        <f t="shared" si="25"/>
        <v>0</v>
      </c>
      <c r="BL6" s="50">
        <f>County!AN207</f>
        <v>0</v>
      </c>
      <c r="BM6" s="51">
        <f t="shared" si="26"/>
        <v>0</v>
      </c>
      <c r="BN6" s="50">
        <f>County!AO207</f>
        <v>0</v>
      </c>
      <c r="BO6" s="51">
        <f t="shared" si="27"/>
        <v>0</v>
      </c>
      <c r="BP6" s="50">
        <f>County!AP207</f>
        <v>0</v>
      </c>
      <c r="BQ6" s="51">
        <f t="shared" si="28"/>
        <v>0</v>
      </c>
      <c r="BR6" s="50">
        <f>County!AQ207</f>
        <v>0</v>
      </c>
      <c r="BS6" s="51">
        <f t="shared" si="29"/>
        <v>0</v>
      </c>
      <c r="BT6" s="50">
        <f>County!AR207</f>
        <v>0</v>
      </c>
      <c r="BU6" s="51">
        <f t="shared" si="30"/>
        <v>0</v>
      </c>
      <c r="BV6" s="50">
        <f>County!AS207</f>
        <v>0</v>
      </c>
      <c r="BW6" s="51">
        <f t="shared" si="31"/>
        <v>0</v>
      </c>
      <c r="BX6" s="50">
        <f>County!AT207</f>
        <v>0</v>
      </c>
      <c r="BY6" s="51">
        <f t="shared" si="32"/>
        <v>0</v>
      </c>
      <c r="BZ6" s="50">
        <f>County!AU207</f>
        <v>0</v>
      </c>
      <c r="CA6" s="51">
        <f t="shared" si="33"/>
        <v>0</v>
      </c>
      <c r="CB6" s="58"/>
      <c r="CC6" s="47" t="str">
        <f t="shared" si="34"/>
        <v>Arkansas</v>
      </c>
      <c r="CD6" s="47" t="s">
        <v>761</v>
      </c>
      <c r="CE6" s="47">
        <f t="shared" si="35"/>
        <v>6</v>
      </c>
      <c r="CF6" s="48">
        <f>RANK(R6,(L6:Q6,R6:Y6,AD6:AW6))</f>
        <v>3</v>
      </c>
      <c r="CG6" s="48">
        <f>RANK(T6,(L6:Q6,R6:Y6,AD6:AW6))</f>
        <v>5</v>
      </c>
      <c r="CH6" s="48">
        <f>RANK(X6,(L6:Q6,R6:Y6,AD6:AW6))</f>
        <v>15</v>
      </c>
      <c r="CI6" s="48">
        <f>RANK(V6,(L6:Q6,R6:Y6,AD6:AW6))</f>
        <v>7</v>
      </c>
      <c r="CK6" s="47">
        <v>5</v>
      </c>
      <c r="CM6" s="50">
        <f>County!BO207</f>
        <v>0</v>
      </c>
      <c r="CO6" s="47">
        <f t="shared" si="36"/>
        <v>6</v>
      </c>
      <c r="CP6" s="47">
        <v>0</v>
      </c>
      <c r="CR6" s="50">
        <f>County!CC207</f>
        <v>0</v>
      </c>
      <c r="CS6" s="51">
        <f t="shared" si="37"/>
        <v>0</v>
      </c>
    </row>
    <row r="7" spans="1:97" s="34" customFormat="1">
      <c r="A7" s="39" t="s">
        <v>2629</v>
      </c>
      <c r="B7" s="39">
        <v>55</v>
      </c>
      <c r="C7" s="37">
        <f t="shared" si="38"/>
        <v>14237893</v>
      </c>
      <c r="D7" s="36">
        <v>55</v>
      </c>
      <c r="E7" s="36"/>
      <c r="F7" s="36"/>
      <c r="G7" s="83">
        <f t="shared" si="0"/>
        <v>1</v>
      </c>
      <c r="H7" s="83">
        <f t="shared" si="1"/>
        <v>2</v>
      </c>
      <c r="I7" s="83">
        <f t="shared" si="2"/>
        <v>7</v>
      </c>
      <c r="J7" s="1">
        <f t="shared" si="39"/>
        <v>4269978</v>
      </c>
      <c r="K7" s="38">
        <f t="shared" si="40"/>
        <v>0.29990238021875848</v>
      </c>
      <c r="L7" s="37">
        <f>County!N267</f>
        <v>8753792</v>
      </c>
      <c r="M7" s="38">
        <f t="shared" si="41"/>
        <v>0.61482355570448521</v>
      </c>
      <c r="N7" s="73">
        <f>County!O267</f>
        <v>4483814</v>
      </c>
      <c r="O7" s="74">
        <f t="shared" si="3"/>
        <v>0.31492117548572673</v>
      </c>
      <c r="P7" s="73">
        <f>County!P267</f>
        <v>39596</v>
      </c>
      <c r="Q7" s="74">
        <f t="shared" si="4"/>
        <v>2.7810294683349567E-3</v>
      </c>
      <c r="R7" s="73">
        <f>County!Q267</f>
        <v>478500</v>
      </c>
      <c r="S7" s="74">
        <f t="shared" si="5"/>
        <v>3.3607500772761811E-2</v>
      </c>
      <c r="T7" s="73">
        <f>County!R267</f>
        <v>278658</v>
      </c>
      <c r="U7" s="74">
        <f t="shared" si="6"/>
        <v>1.9571575653785291E-2</v>
      </c>
      <c r="V7" s="73">
        <f>County!S267</f>
        <v>0</v>
      </c>
      <c r="W7" s="74">
        <f t="shared" si="7"/>
        <v>0</v>
      </c>
      <c r="X7" s="73">
        <f>County!T267</f>
        <v>0</v>
      </c>
      <c r="Y7" s="74">
        <f t="shared" si="8"/>
        <v>0</v>
      </c>
      <c r="Z7" s="73">
        <f>County!U267</f>
        <v>0</v>
      </c>
      <c r="AA7" s="74">
        <f t="shared" si="9"/>
        <v>0</v>
      </c>
      <c r="AB7" s="73">
        <f>County!V267</f>
        <v>66101</v>
      </c>
      <c r="AC7" s="74">
        <f t="shared" si="10"/>
        <v>4.642611094211763E-3</v>
      </c>
      <c r="AD7" s="73">
        <f>County!W267</f>
        <v>135630</v>
      </c>
      <c r="AE7" s="74">
        <f t="shared" si="11"/>
        <v>9.5259881500724865E-3</v>
      </c>
      <c r="AF7" s="73">
        <f>County!X267</f>
        <v>0</v>
      </c>
      <c r="AG7" s="74">
        <f t="shared" si="12"/>
        <v>0</v>
      </c>
      <c r="AH7" s="37">
        <f>County!Y267</f>
        <v>0</v>
      </c>
      <c r="AI7" s="38">
        <f t="shared" si="13"/>
        <v>0</v>
      </c>
      <c r="AJ7" s="37">
        <f>County!Z267</f>
        <v>0</v>
      </c>
      <c r="AK7" s="38">
        <f t="shared" si="14"/>
        <v>0</v>
      </c>
      <c r="AL7" s="37">
        <f>County!AA267</f>
        <v>0</v>
      </c>
      <c r="AM7" s="38">
        <f t="shared" si="15"/>
        <v>0</v>
      </c>
      <c r="AN7" s="37">
        <f>County!AB267</f>
        <v>0</v>
      </c>
      <c r="AO7" s="38">
        <f t="shared" si="16"/>
        <v>0</v>
      </c>
      <c r="AP7" s="37">
        <f>County!AC267</f>
        <v>0</v>
      </c>
      <c r="AQ7" s="38">
        <f t="shared" si="17"/>
        <v>0</v>
      </c>
      <c r="AR7" s="37">
        <f>County!AD267</f>
        <v>0</v>
      </c>
      <c r="AS7" s="38">
        <f t="shared" si="18"/>
        <v>0</v>
      </c>
      <c r="AT7" s="37">
        <f>County!AE267</f>
        <v>402</v>
      </c>
      <c r="AU7" s="38">
        <f t="shared" si="19"/>
        <v>2.8234514755799893E-5</v>
      </c>
      <c r="AV7" s="37">
        <f>County!AF267</f>
        <v>84</v>
      </c>
      <c r="AW7" s="38">
        <f t="shared" si="20"/>
        <v>5.8997493519581861E-6</v>
      </c>
      <c r="AX7" s="37">
        <f>County!AG267</f>
        <v>0</v>
      </c>
      <c r="AY7" s="38">
        <f t="shared" si="20"/>
        <v>0</v>
      </c>
      <c r="AZ7" s="37">
        <f>County!AH267</f>
        <v>0</v>
      </c>
      <c r="BA7" s="38">
        <f t="shared" si="21"/>
        <v>0</v>
      </c>
      <c r="BB7" s="37">
        <f>County!AI267</f>
        <v>0</v>
      </c>
      <c r="BC7" s="38">
        <f t="shared" si="22"/>
        <v>0</v>
      </c>
      <c r="BD7" s="37">
        <f>County!AJ267</f>
        <v>0</v>
      </c>
      <c r="BE7" s="38">
        <f t="shared" si="22"/>
        <v>0</v>
      </c>
      <c r="BF7" s="37">
        <f>County!AK267</f>
        <v>0</v>
      </c>
      <c r="BG7" s="38">
        <f t="shared" si="23"/>
        <v>0</v>
      </c>
      <c r="BH7" s="37">
        <f>County!AL267</f>
        <v>0</v>
      </c>
      <c r="BI7" s="38">
        <f t="shared" si="24"/>
        <v>0</v>
      </c>
      <c r="BJ7" s="37">
        <f>County!AM267</f>
        <v>0</v>
      </c>
      <c r="BK7" s="38">
        <f t="shared" si="25"/>
        <v>0</v>
      </c>
      <c r="BL7" s="37">
        <f>County!AN267</f>
        <v>1316</v>
      </c>
      <c r="BM7" s="38">
        <f t="shared" si="26"/>
        <v>9.2429406514011586E-5</v>
      </c>
      <c r="BN7" s="37">
        <f>County!AO267</f>
        <v>0</v>
      </c>
      <c r="BO7" s="38">
        <f t="shared" si="27"/>
        <v>0</v>
      </c>
      <c r="BP7" s="37">
        <f>County!AP267</f>
        <v>0</v>
      </c>
      <c r="BQ7" s="38">
        <f t="shared" si="28"/>
        <v>0</v>
      </c>
      <c r="BR7" s="37">
        <f>County!AQ267</f>
        <v>0</v>
      </c>
      <c r="BS7" s="38">
        <f t="shared" si="29"/>
        <v>0</v>
      </c>
      <c r="BT7" s="37">
        <f>County!AR267</f>
        <v>0</v>
      </c>
      <c r="BU7" s="38">
        <f t="shared" si="30"/>
        <v>0</v>
      </c>
      <c r="BV7" s="37">
        <f>County!AS267</f>
        <v>0</v>
      </c>
      <c r="BW7" s="38">
        <f t="shared" si="31"/>
        <v>0</v>
      </c>
      <c r="BX7" s="37">
        <f>County!AT267</f>
        <v>0</v>
      </c>
      <c r="BY7" s="38">
        <f t="shared" si="32"/>
        <v>0</v>
      </c>
      <c r="BZ7" s="37">
        <f>County!AU267</f>
        <v>0</v>
      </c>
      <c r="CA7" s="38">
        <f t="shared" si="33"/>
        <v>0</v>
      </c>
      <c r="CB7" s="59"/>
      <c r="CC7" s="34" t="str">
        <f t="shared" si="34"/>
        <v>California</v>
      </c>
      <c r="CD7" s="34" t="s">
        <v>907</v>
      </c>
      <c r="CE7" s="34">
        <f t="shared" si="35"/>
        <v>55</v>
      </c>
      <c r="CF7" s="35">
        <f>RANK(R7,(L7:Q7,R7:Y7,AD7:AW7))</f>
        <v>3</v>
      </c>
      <c r="CG7" s="35">
        <f>RANK(T7,(L7:Q7,R7:Y7,AD7:AW7))</f>
        <v>4</v>
      </c>
      <c r="CH7" s="35">
        <f>RANK(X7,(L7:Q7,R7:Y7,AD7:AW7))</f>
        <v>17</v>
      </c>
      <c r="CI7" s="35">
        <f>RANK(V7,(L7:Q7,R7:Y7,AD7:AW7))</f>
        <v>17</v>
      </c>
      <c r="CK7" s="34">
        <v>6</v>
      </c>
      <c r="CM7" s="37">
        <f>County!BO267</f>
        <v>40000</v>
      </c>
      <c r="CO7" s="34">
        <f t="shared" si="36"/>
        <v>55</v>
      </c>
      <c r="CP7" s="34">
        <v>0</v>
      </c>
      <c r="CR7" s="37">
        <f>County!CC267</f>
        <v>79341</v>
      </c>
      <c r="CS7" s="38">
        <f t="shared" si="37"/>
        <v>5.5725239682585057E-3</v>
      </c>
    </row>
    <row r="8" spans="1:97" s="47" customFormat="1">
      <c r="A8" s="47" t="s">
        <v>1865</v>
      </c>
      <c r="B8" s="47">
        <v>9</v>
      </c>
      <c r="C8" s="50">
        <f t="shared" si="38"/>
        <v>2780247</v>
      </c>
      <c r="D8" s="49">
        <v>9</v>
      </c>
      <c r="E8" s="49"/>
      <c r="F8" s="49"/>
      <c r="G8" s="82">
        <f t="shared" si="0"/>
        <v>1</v>
      </c>
      <c r="H8" s="82">
        <f t="shared" si="1"/>
        <v>2</v>
      </c>
      <c r="I8" s="82">
        <f t="shared" si="2"/>
        <v>5</v>
      </c>
      <c r="J8" s="50">
        <f t="shared" si="39"/>
        <v>136386</v>
      </c>
      <c r="K8" s="51">
        <f t="shared" si="40"/>
        <v>4.9055353714975686E-2</v>
      </c>
      <c r="L8" s="50">
        <f>County!N333</f>
        <v>1338870</v>
      </c>
      <c r="M8" s="51">
        <f t="shared" si="41"/>
        <v>0.48156512712719407</v>
      </c>
      <c r="N8" s="72">
        <f>County!O333</f>
        <v>1202484</v>
      </c>
      <c r="O8" s="105">
        <f t="shared" si="3"/>
        <v>0.43250977341221841</v>
      </c>
      <c r="P8" s="72">
        <f>County!P333</f>
        <v>28917</v>
      </c>
      <c r="Q8" s="105">
        <f t="shared" si="4"/>
        <v>1.0400874454679746E-2</v>
      </c>
      <c r="R8" s="72">
        <f>County!Q333</f>
        <v>144121</v>
      </c>
      <c r="S8" s="105">
        <f t="shared" si="5"/>
        <v>5.1837480626721298E-2</v>
      </c>
      <c r="T8" s="72">
        <f>County!R333</f>
        <v>38437</v>
      </c>
      <c r="U8" s="105">
        <f t="shared" si="6"/>
        <v>1.3825030653751267E-2</v>
      </c>
      <c r="V8" s="72">
        <f>County!S333</f>
        <v>11699</v>
      </c>
      <c r="W8" s="105">
        <f t="shared" si="7"/>
        <v>4.2078995139640469E-3</v>
      </c>
      <c r="X8" s="72">
        <f>County!T333</f>
        <v>1255</v>
      </c>
      <c r="Y8" s="105">
        <f t="shared" si="8"/>
        <v>4.5139874262970159E-4</v>
      </c>
      <c r="Z8" s="72">
        <f>County!U333</f>
        <v>271</v>
      </c>
      <c r="AA8" s="105">
        <f t="shared" si="9"/>
        <v>9.7473353986174608E-5</v>
      </c>
      <c r="AB8" s="72">
        <f>County!V333</f>
        <v>531</v>
      </c>
      <c r="AC8" s="105">
        <f t="shared" si="10"/>
        <v>1.9099022496922035E-4</v>
      </c>
      <c r="AD8" s="72">
        <f>County!W333</f>
        <v>27</v>
      </c>
      <c r="AE8" s="105">
        <f t="shared" si="11"/>
        <v>9.7113673713162891E-6</v>
      </c>
      <c r="AF8" s="72">
        <f>County!X333</f>
        <v>452</v>
      </c>
      <c r="AG8" s="105">
        <f t="shared" si="12"/>
        <v>1.6257548340129491E-4</v>
      </c>
      <c r="AH8" s="50">
        <f>County!Y333</f>
        <v>710</v>
      </c>
      <c r="AI8" s="51">
        <f t="shared" si="13"/>
        <v>2.5537299383831722E-4</v>
      </c>
      <c r="AJ8" s="50">
        <f>County!Z333</f>
        <v>0</v>
      </c>
      <c r="AK8" s="51">
        <f t="shared" si="14"/>
        <v>0</v>
      </c>
      <c r="AL8" s="50">
        <f>County!AA333</f>
        <v>0</v>
      </c>
      <c r="AM8" s="51">
        <f t="shared" si="15"/>
        <v>0</v>
      </c>
      <c r="AN8" s="50">
        <f>County!AB333</f>
        <v>0</v>
      </c>
      <c r="AO8" s="51">
        <f t="shared" si="16"/>
        <v>0</v>
      </c>
      <c r="AP8" s="50">
        <f>County!AC333</f>
        <v>0</v>
      </c>
      <c r="AQ8" s="51">
        <f t="shared" si="17"/>
        <v>0</v>
      </c>
      <c r="AR8" s="50">
        <f>County!AD333</f>
        <v>185</v>
      </c>
      <c r="AS8" s="51">
        <f t="shared" si="18"/>
        <v>6.6540850507167172E-5</v>
      </c>
      <c r="AT8" s="50">
        <f>County!AE333</f>
        <v>392</v>
      </c>
      <c r="AU8" s="51">
        <f t="shared" si="19"/>
        <v>1.4099466702059205E-4</v>
      </c>
      <c r="AV8" s="50">
        <f>County!AF333</f>
        <v>0</v>
      </c>
      <c r="AW8" s="51">
        <f t="shared" si="20"/>
        <v>0</v>
      </c>
      <c r="AX8" s="50">
        <f>County!AG333</f>
        <v>5028</v>
      </c>
      <c r="AY8" s="51">
        <f t="shared" si="20"/>
        <v>1.8084724127029001E-3</v>
      </c>
      <c r="AZ8" s="50">
        <f>County!AH333</f>
        <v>1096</v>
      </c>
      <c r="BA8" s="51">
        <f t="shared" si="21"/>
        <v>3.9420957922083901E-4</v>
      </c>
      <c r="BB8" s="50">
        <f>County!AI333</f>
        <v>337</v>
      </c>
      <c r="BC8" s="51">
        <f t="shared" si="22"/>
        <v>1.2121225200494776E-4</v>
      </c>
      <c r="BD8" s="50">
        <f>County!AJ333</f>
        <v>0</v>
      </c>
      <c r="BE8" s="51">
        <f t="shared" si="22"/>
        <v>0</v>
      </c>
      <c r="BF8" s="50">
        <f>County!AK333</f>
        <v>382</v>
      </c>
      <c r="BG8" s="51">
        <f t="shared" si="23"/>
        <v>1.3739786429047492E-4</v>
      </c>
      <c r="BH8" s="50">
        <f>County!AL333</f>
        <v>0</v>
      </c>
      <c r="BI8" s="51">
        <f t="shared" si="24"/>
        <v>0</v>
      </c>
      <c r="BJ8" s="50">
        <f>County!AM333</f>
        <v>872</v>
      </c>
      <c r="BK8" s="51">
        <f t="shared" si="25"/>
        <v>3.1364119806621499E-4</v>
      </c>
      <c r="BL8" s="50">
        <f>County!AN333</f>
        <v>862</v>
      </c>
      <c r="BM8" s="51">
        <f t="shared" si="26"/>
        <v>3.1004439533609783E-4</v>
      </c>
      <c r="BN8" s="50">
        <f>County!AO333</f>
        <v>749</v>
      </c>
      <c r="BO8" s="51">
        <f t="shared" si="27"/>
        <v>2.6940052448577408E-4</v>
      </c>
      <c r="BP8" s="50">
        <f>County!AP333</f>
        <v>751</v>
      </c>
      <c r="BQ8" s="51">
        <f t="shared" si="28"/>
        <v>2.7011988503179756E-4</v>
      </c>
      <c r="BR8" s="50">
        <f>County!AQ333</f>
        <v>1819</v>
      </c>
      <c r="BS8" s="51">
        <f t="shared" si="29"/>
        <v>6.5425841660830852E-4</v>
      </c>
      <c r="BT8" s="50">
        <f>County!AR333</f>
        <v>0</v>
      </c>
      <c r="BU8" s="51">
        <f t="shared" si="30"/>
        <v>0</v>
      </c>
      <c r="BV8" s="50">
        <f>County!AS333</f>
        <v>0</v>
      </c>
      <c r="BW8" s="51">
        <f t="shared" si="31"/>
        <v>0</v>
      </c>
      <c r="BX8" s="50">
        <f>County!AT333</f>
        <v>0</v>
      </c>
      <c r="BY8" s="51">
        <f t="shared" si="32"/>
        <v>0</v>
      </c>
      <c r="BZ8" s="50">
        <f>County!AU333</f>
        <v>0</v>
      </c>
      <c r="CA8" s="51">
        <f t="shared" si="33"/>
        <v>0</v>
      </c>
      <c r="CB8" s="58"/>
      <c r="CC8" s="47" t="str">
        <f t="shared" si="34"/>
        <v>Colorado</v>
      </c>
      <c r="CD8" s="47" t="s">
        <v>2722</v>
      </c>
      <c r="CE8" s="47">
        <f t="shared" si="35"/>
        <v>9</v>
      </c>
      <c r="CF8" s="48">
        <f>RANK(R8,(L8:Q8,R8:Y8,AD8:AW8))</f>
        <v>3</v>
      </c>
      <c r="CG8" s="48">
        <f>RANK(T8,(L8:Q8,R8:Y8,AD8:AW8))</f>
        <v>4</v>
      </c>
      <c r="CH8" s="48">
        <f>RANK(X8,(L8:Q8,R8:Y8,AD8:AW8))</f>
        <v>7</v>
      </c>
      <c r="CI8" s="48">
        <f>RANK(V8,(L8:Q8,R8:Y8,AD8:AW8))</f>
        <v>6</v>
      </c>
      <c r="CK8" s="47">
        <v>8</v>
      </c>
      <c r="CM8" s="50">
        <f>County!BO333</f>
        <v>0</v>
      </c>
      <c r="CO8" s="47">
        <f t="shared" si="36"/>
        <v>9</v>
      </c>
      <c r="CP8" s="47">
        <v>0</v>
      </c>
      <c r="CR8" s="50">
        <f>County!CC333</f>
        <v>0</v>
      </c>
      <c r="CS8" s="51">
        <f t="shared" si="37"/>
        <v>0</v>
      </c>
    </row>
    <row r="9" spans="1:97" s="34" customFormat="1">
      <c r="A9" s="34" t="s">
        <v>1033</v>
      </c>
      <c r="B9" s="34">
        <v>7</v>
      </c>
      <c r="C9" s="37">
        <f t="shared" si="38"/>
        <v>1644920</v>
      </c>
      <c r="D9" s="36">
        <v>7</v>
      </c>
      <c r="E9" s="36"/>
      <c r="F9" s="36"/>
      <c r="G9" s="83">
        <f t="shared" si="0"/>
        <v>1</v>
      </c>
      <c r="H9" s="83">
        <f t="shared" si="1"/>
        <v>2</v>
      </c>
      <c r="I9" s="83">
        <f t="shared" si="2"/>
        <v>5</v>
      </c>
      <c r="J9" s="1">
        <f t="shared" si="39"/>
        <v>224357</v>
      </c>
      <c r="K9" s="38">
        <f t="shared" si="40"/>
        <v>0.13639386717895094</v>
      </c>
      <c r="L9" s="37">
        <f>County!N343</f>
        <v>897572</v>
      </c>
      <c r="M9" s="38">
        <f t="shared" si="41"/>
        <v>0.54566301096709868</v>
      </c>
      <c r="N9" s="73">
        <f>County!O343</f>
        <v>673215</v>
      </c>
      <c r="O9" s="74">
        <f t="shared" si="3"/>
        <v>0.40926914378814777</v>
      </c>
      <c r="P9" s="73">
        <f>County!P343</f>
        <v>2108</v>
      </c>
      <c r="Q9" s="74">
        <f t="shared" si="4"/>
        <v>1.2815212897891691E-3</v>
      </c>
      <c r="R9" s="73">
        <f>County!Q343</f>
        <v>48676</v>
      </c>
      <c r="S9" s="74">
        <f t="shared" si="5"/>
        <v>2.9591712666877417E-2</v>
      </c>
      <c r="T9" s="73">
        <f>County!R343</f>
        <v>22841</v>
      </c>
      <c r="U9" s="74">
        <f t="shared" si="6"/>
        <v>1.3885781679352187E-2</v>
      </c>
      <c r="V9" s="73">
        <f>County!S343</f>
        <v>147</v>
      </c>
      <c r="W9" s="74">
        <f t="shared" si="7"/>
        <v>8.9366048196872801E-5</v>
      </c>
      <c r="X9" s="73">
        <f>County!T343</f>
        <v>12</v>
      </c>
      <c r="Y9" s="74">
        <f t="shared" si="8"/>
        <v>7.2951876079079834E-6</v>
      </c>
      <c r="Z9" s="73">
        <f>County!U343</f>
        <v>0</v>
      </c>
      <c r="AA9" s="74">
        <f t="shared" si="9"/>
        <v>0</v>
      </c>
      <c r="AB9" s="73">
        <f>County!V343</f>
        <v>41</v>
      </c>
      <c r="AC9" s="74">
        <f t="shared" si="10"/>
        <v>2.4925224327018942E-5</v>
      </c>
      <c r="AD9" s="73">
        <f>County!W343</f>
        <v>238</v>
      </c>
      <c r="AE9" s="74">
        <f t="shared" si="11"/>
        <v>1.4468788755684167E-4</v>
      </c>
      <c r="AF9" s="73">
        <f>County!X343</f>
        <v>0</v>
      </c>
      <c r="AG9" s="74">
        <f t="shared" si="12"/>
        <v>0</v>
      </c>
      <c r="AH9" s="37">
        <f>County!Y343</f>
        <v>31</v>
      </c>
      <c r="AI9" s="38">
        <f t="shared" si="13"/>
        <v>1.8845901320428957E-5</v>
      </c>
      <c r="AJ9" s="37">
        <f>County!Z343</f>
        <v>0</v>
      </c>
      <c r="AK9" s="38">
        <f t="shared" si="14"/>
        <v>0</v>
      </c>
      <c r="AL9" s="37">
        <f>County!AA343</f>
        <v>0</v>
      </c>
      <c r="AM9" s="38">
        <f t="shared" si="15"/>
        <v>0</v>
      </c>
      <c r="AN9" s="37">
        <f>County!AB343</f>
        <v>0</v>
      </c>
      <c r="AO9" s="38">
        <f t="shared" si="16"/>
        <v>0</v>
      </c>
      <c r="AP9" s="37">
        <f>County!AC343</f>
        <v>0</v>
      </c>
      <c r="AQ9" s="38">
        <f t="shared" si="17"/>
        <v>0</v>
      </c>
      <c r="AR9" s="37">
        <f>County!AD343</f>
        <v>0</v>
      </c>
      <c r="AS9" s="38">
        <f t="shared" si="18"/>
        <v>0</v>
      </c>
      <c r="AT9" s="37">
        <f>County!AE343</f>
        <v>23</v>
      </c>
      <c r="AU9" s="38">
        <f t="shared" si="19"/>
        <v>1.3982442915156968E-5</v>
      </c>
      <c r="AV9" s="37">
        <f>County!AF343</f>
        <v>0</v>
      </c>
      <c r="AW9" s="38">
        <f t="shared" si="20"/>
        <v>0</v>
      </c>
      <c r="AX9" s="37">
        <f>County!AG343</f>
        <v>0</v>
      </c>
      <c r="AY9" s="38">
        <f t="shared" si="20"/>
        <v>0</v>
      </c>
      <c r="AZ9" s="37">
        <f>County!AH343</f>
        <v>0</v>
      </c>
      <c r="BA9" s="38">
        <f t="shared" si="21"/>
        <v>0</v>
      </c>
      <c r="BB9" s="37">
        <f>County!AI343</f>
        <v>0</v>
      </c>
      <c r="BC9" s="38">
        <f t="shared" si="22"/>
        <v>0</v>
      </c>
      <c r="BD9" s="37">
        <f>County!AJ343</f>
        <v>0</v>
      </c>
      <c r="BE9" s="38">
        <f t="shared" si="22"/>
        <v>0</v>
      </c>
      <c r="BF9" s="37">
        <f>County!AK343</f>
        <v>0</v>
      </c>
      <c r="BG9" s="38">
        <f t="shared" si="23"/>
        <v>0</v>
      </c>
      <c r="BH9" s="37">
        <f>County!AL343</f>
        <v>0</v>
      </c>
      <c r="BI9" s="38">
        <f t="shared" si="24"/>
        <v>0</v>
      </c>
      <c r="BJ9" s="37">
        <f>County!AM343</f>
        <v>4</v>
      </c>
      <c r="BK9" s="38">
        <f t="shared" si="25"/>
        <v>2.4317292026359945E-6</v>
      </c>
      <c r="BL9" s="37">
        <f>County!AN343</f>
        <v>0</v>
      </c>
      <c r="BM9" s="38">
        <f t="shared" si="26"/>
        <v>0</v>
      </c>
      <c r="BN9" s="37">
        <f>County!AO343</f>
        <v>0</v>
      </c>
      <c r="BO9" s="38">
        <f t="shared" si="27"/>
        <v>0</v>
      </c>
      <c r="BP9" s="37">
        <f>County!AP343</f>
        <v>0</v>
      </c>
      <c r="BQ9" s="38">
        <f t="shared" si="28"/>
        <v>0</v>
      </c>
      <c r="BR9" s="37">
        <f>County!AQ343</f>
        <v>12</v>
      </c>
      <c r="BS9" s="38">
        <f t="shared" si="29"/>
        <v>7.2951876079079834E-6</v>
      </c>
      <c r="BT9" s="37">
        <f>County!AR343</f>
        <v>0</v>
      </c>
      <c r="BU9" s="38">
        <f t="shared" si="30"/>
        <v>0</v>
      </c>
      <c r="BV9" s="37">
        <f>County!AS343</f>
        <v>0</v>
      </c>
      <c r="BW9" s="38">
        <f t="shared" si="31"/>
        <v>0</v>
      </c>
      <c r="BX9" s="37">
        <f>County!AT343</f>
        <v>0</v>
      </c>
      <c r="BY9" s="38">
        <f t="shared" si="32"/>
        <v>0</v>
      </c>
      <c r="BZ9" s="37">
        <f>County!AU343</f>
        <v>0</v>
      </c>
      <c r="CA9" s="38">
        <f t="shared" si="33"/>
        <v>0</v>
      </c>
      <c r="CB9" s="59"/>
      <c r="CC9" s="34" t="str">
        <f t="shared" si="34"/>
        <v>Connecticut</v>
      </c>
      <c r="CD9" s="34" t="s">
        <v>1485</v>
      </c>
      <c r="CE9" s="34">
        <f t="shared" si="35"/>
        <v>7</v>
      </c>
      <c r="CF9" s="35">
        <f>RANK(R9,(L9:Q9,R9:Y9,AD9:AW9))</f>
        <v>3</v>
      </c>
      <c r="CG9" s="35">
        <f>RANK(T9,(L9:Q9,R9:Y9,AD9:AW9))</f>
        <v>4</v>
      </c>
      <c r="CH9" s="35">
        <f>RANK(X9,(L9:Q9,R9:Y9,AD9:AW9))</f>
        <v>10</v>
      </c>
      <c r="CI9" s="35">
        <f>RANK(V9,(L9:Q9,R9:Y9,AD9:AW9))</f>
        <v>7</v>
      </c>
      <c r="CK9" s="34">
        <v>9</v>
      </c>
      <c r="CM9" s="37">
        <f>County!BO343</f>
        <v>0</v>
      </c>
      <c r="CO9" s="34">
        <f t="shared" si="36"/>
        <v>7</v>
      </c>
      <c r="CP9" s="34">
        <v>0</v>
      </c>
      <c r="CR9" s="37">
        <f>County!CC343</f>
        <v>0</v>
      </c>
      <c r="CS9" s="38">
        <f t="shared" si="37"/>
        <v>0</v>
      </c>
    </row>
    <row r="10" spans="1:97" s="47" customFormat="1">
      <c r="A10" s="47" t="s">
        <v>1708</v>
      </c>
      <c r="B10" s="47">
        <v>3</v>
      </c>
      <c r="C10" s="50">
        <f t="shared" si="38"/>
        <v>443814</v>
      </c>
      <c r="D10" s="49">
        <v>3</v>
      </c>
      <c r="E10" s="49"/>
      <c r="F10" s="49"/>
      <c r="G10" s="82">
        <f t="shared" si="0"/>
        <v>1</v>
      </c>
      <c r="H10" s="82">
        <f t="shared" si="1"/>
        <v>2</v>
      </c>
      <c r="I10" s="82">
        <f t="shared" si="2"/>
        <v>6</v>
      </c>
      <c r="J10" s="50">
        <f t="shared" si="39"/>
        <v>50476</v>
      </c>
      <c r="K10" s="51">
        <f t="shared" si="40"/>
        <v>0.113732329309125</v>
      </c>
      <c r="L10" s="50">
        <f>County!N348</f>
        <v>235603</v>
      </c>
      <c r="M10" s="51">
        <f t="shared" si="41"/>
        <v>0.53085977459025624</v>
      </c>
      <c r="N10" s="72">
        <f>County!O348</f>
        <v>185127</v>
      </c>
      <c r="O10" s="105">
        <f t="shared" si="3"/>
        <v>0.41712744528113127</v>
      </c>
      <c r="P10" s="72">
        <f>County!P348</f>
        <v>706</v>
      </c>
      <c r="Q10" s="105">
        <f t="shared" si="4"/>
        <v>1.5907564880783391E-3</v>
      </c>
      <c r="R10" s="72">
        <f>County!Q348</f>
        <v>14757</v>
      </c>
      <c r="S10" s="105">
        <f t="shared" si="5"/>
        <v>3.3250415714691291E-2</v>
      </c>
      <c r="T10" s="72">
        <f>County!R348</f>
        <v>6103</v>
      </c>
      <c r="U10" s="105">
        <f t="shared" si="6"/>
        <v>1.3751256156858504E-2</v>
      </c>
      <c r="V10" s="72">
        <f>County!S348</f>
        <v>74</v>
      </c>
      <c r="W10" s="105">
        <f t="shared" si="7"/>
        <v>1.6673651574758796E-4</v>
      </c>
      <c r="X10" s="72">
        <f>County!T348</f>
        <v>3</v>
      </c>
      <c r="Y10" s="105">
        <f t="shared" si="8"/>
        <v>6.7595884762535658E-6</v>
      </c>
      <c r="Z10" s="72">
        <f>County!U348</f>
        <v>0</v>
      </c>
      <c r="AA10" s="105">
        <f t="shared" si="9"/>
        <v>0</v>
      </c>
      <c r="AB10" s="72">
        <f>County!V348</f>
        <v>3</v>
      </c>
      <c r="AC10" s="105">
        <f t="shared" si="10"/>
        <v>6.7595884762535658E-6</v>
      </c>
      <c r="AD10" s="72">
        <f>County!W348</f>
        <v>1423</v>
      </c>
      <c r="AE10" s="105">
        <f t="shared" si="11"/>
        <v>3.2062981339029415E-3</v>
      </c>
      <c r="AF10" s="72">
        <f>County!X348</f>
        <v>0</v>
      </c>
      <c r="AG10" s="105">
        <f t="shared" si="12"/>
        <v>0</v>
      </c>
      <c r="AH10" s="50">
        <f>County!Y348</f>
        <v>7</v>
      </c>
      <c r="AI10" s="51">
        <f t="shared" si="13"/>
        <v>1.5772373111258321E-5</v>
      </c>
      <c r="AJ10" s="50">
        <f>County!Z348</f>
        <v>1</v>
      </c>
      <c r="AK10" s="51">
        <f t="shared" si="14"/>
        <v>2.2531961587511888E-6</v>
      </c>
      <c r="AL10" s="50">
        <f>County!AA348</f>
        <v>0</v>
      </c>
      <c r="AM10" s="51">
        <f t="shared" si="15"/>
        <v>0</v>
      </c>
      <c r="AN10" s="50">
        <f>County!AB348</f>
        <v>0</v>
      </c>
      <c r="AO10" s="51">
        <f t="shared" si="16"/>
        <v>0</v>
      </c>
      <c r="AP10" s="50">
        <f>County!AC348</f>
        <v>0</v>
      </c>
      <c r="AQ10" s="51">
        <f t="shared" si="17"/>
        <v>0</v>
      </c>
      <c r="AR10" s="50">
        <f>County!AD348</f>
        <v>0</v>
      </c>
      <c r="AS10" s="51">
        <f t="shared" si="18"/>
        <v>0</v>
      </c>
      <c r="AT10" s="50">
        <f>County!AE348</f>
        <v>0</v>
      </c>
      <c r="AU10" s="51">
        <f t="shared" si="19"/>
        <v>0</v>
      </c>
      <c r="AV10" s="50">
        <f>County!AF348</f>
        <v>2</v>
      </c>
      <c r="AW10" s="51">
        <f t="shared" si="20"/>
        <v>4.5063923175023775E-6</v>
      </c>
      <c r="AX10" s="50">
        <f>County!AG348</f>
        <v>0</v>
      </c>
      <c r="AY10" s="51">
        <f t="shared" si="20"/>
        <v>0</v>
      </c>
      <c r="AZ10" s="50">
        <f>County!AH348</f>
        <v>0</v>
      </c>
      <c r="BA10" s="51">
        <f t="shared" si="21"/>
        <v>0</v>
      </c>
      <c r="BB10" s="50">
        <f>County!AI348</f>
        <v>0</v>
      </c>
      <c r="BC10" s="51">
        <f t="shared" si="22"/>
        <v>0</v>
      </c>
      <c r="BD10" s="50">
        <f>County!AJ348</f>
        <v>0</v>
      </c>
      <c r="BE10" s="51">
        <f t="shared" si="22"/>
        <v>0</v>
      </c>
      <c r="BF10" s="50">
        <f>County!AK348</f>
        <v>0</v>
      </c>
      <c r="BG10" s="51">
        <f t="shared" si="23"/>
        <v>0</v>
      </c>
      <c r="BH10" s="50">
        <f>County!AL348</f>
        <v>1</v>
      </c>
      <c r="BI10" s="51">
        <f t="shared" si="24"/>
        <v>2.2531961587511888E-6</v>
      </c>
      <c r="BJ10" s="50">
        <f>County!AM348</f>
        <v>1</v>
      </c>
      <c r="BK10" s="51">
        <f t="shared" si="25"/>
        <v>2.2531961587511888E-6</v>
      </c>
      <c r="BL10" s="50">
        <f>County!AN348</f>
        <v>0</v>
      </c>
      <c r="BM10" s="51">
        <f t="shared" si="26"/>
        <v>0</v>
      </c>
      <c r="BN10" s="50">
        <f>County!AO348</f>
        <v>0</v>
      </c>
      <c r="BO10" s="51">
        <f t="shared" si="27"/>
        <v>0</v>
      </c>
      <c r="BP10" s="50">
        <f>County!AP348</f>
        <v>0</v>
      </c>
      <c r="BQ10" s="51">
        <f t="shared" si="28"/>
        <v>0</v>
      </c>
      <c r="BR10" s="50">
        <f>County!AQ348</f>
        <v>3</v>
      </c>
      <c r="BS10" s="51">
        <f t="shared" si="29"/>
        <v>6.7595884762535658E-6</v>
      </c>
      <c r="BT10" s="50">
        <f>County!AR348</f>
        <v>0</v>
      </c>
      <c r="BU10" s="51">
        <f t="shared" si="30"/>
        <v>0</v>
      </c>
      <c r="BV10" s="50">
        <f>County!AS348</f>
        <v>0</v>
      </c>
      <c r="BW10" s="51">
        <f t="shared" si="31"/>
        <v>0</v>
      </c>
      <c r="BX10" s="50">
        <f>County!AT348</f>
        <v>0</v>
      </c>
      <c r="BY10" s="51">
        <f t="shared" si="32"/>
        <v>0</v>
      </c>
      <c r="BZ10" s="50">
        <f>County!AU348</f>
        <v>0</v>
      </c>
      <c r="CA10" s="51">
        <f t="shared" si="33"/>
        <v>0</v>
      </c>
      <c r="CB10" s="58"/>
      <c r="CC10" s="47" t="str">
        <f t="shared" si="34"/>
        <v>Delaware</v>
      </c>
      <c r="CD10" s="47" t="s">
        <v>2024</v>
      </c>
      <c r="CE10" s="47">
        <f t="shared" si="35"/>
        <v>3</v>
      </c>
      <c r="CF10" s="48">
        <f>RANK(R10,(L10:Q10,R10:Y10,AD10:AW10))</f>
        <v>3</v>
      </c>
      <c r="CG10" s="48">
        <f>RANK(T10,(L10:Q10,R10:Y10,AD10:AW10))</f>
        <v>4</v>
      </c>
      <c r="CH10" s="48">
        <f>RANK(X10,(L10:Q10,R10:Y10,AD10:AW10))</f>
        <v>9</v>
      </c>
      <c r="CI10" s="48">
        <f>RANK(V10,(L10:Q10,R10:Y10,AD10:AW10))</f>
        <v>7</v>
      </c>
      <c r="CK10" s="47">
        <v>10</v>
      </c>
      <c r="CM10" s="50">
        <f>County!BO348</f>
        <v>0</v>
      </c>
      <c r="CO10" s="47">
        <f t="shared" si="36"/>
        <v>3</v>
      </c>
      <c r="CP10" s="47">
        <v>0</v>
      </c>
      <c r="CR10" s="50">
        <f>County!CC348</f>
        <v>0</v>
      </c>
      <c r="CS10" s="51">
        <f t="shared" si="37"/>
        <v>0</v>
      </c>
    </row>
    <row r="11" spans="1:97" s="34" customFormat="1">
      <c r="A11" s="40" t="s">
        <v>2535</v>
      </c>
      <c r="B11" s="40">
        <v>3</v>
      </c>
      <c r="C11" s="37">
        <f t="shared" si="38"/>
        <v>311268</v>
      </c>
      <c r="D11" s="36">
        <v>3</v>
      </c>
      <c r="E11" s="36"/>
      <c r="F11" s="36"/>
      <c r="G11" s="83">
        <f t="shared" si="0"/>
        <v>1</v>
      </c>
      <c r="H11" s="83">
        <f t="shared" si="1"/>
        <v>2</v>
      </c>
      <c r="I11" s="83" t="str">
        <f t="shared" si="2"/>
        <v>-</v>
      </c>
      <c r="J11" s="1">
        <f t="shared" si="39"/>
        <v>270107</v>
      </c>
      <c r="K11" s="38">
        <f t="shared" si="40"/>
        <v>0.86776347070691495</v>
      </c>
      <c r="L11" s="37">
        <f>County!N350</f>
        <v>282830</v>
      </c>
      <c r="M11" s="38">
        <f t="shared" si="41"/>
        <v>0.90863821529999866</v>
      </c>
      <c r="N11" s="73">
        <f>County!O350</f>
        <v>12723</v>
      </c>
      <c r="O11" s="74">
        <f t="shared" si="3"/>
        <v>4.0874744593083774E-2</v>
      </c>
      <c r="P11" s="73">
        <f>County!P350</f>
        <v>0</v>
      </c>
      <c r="Q11" s="74">
        <f t="shared" si="4"/>
        <v>0</v>
      </c>
      <c r="R11" s="73">
        <f>County!Q350</f>
        <v>4906</v>
      </c>
      <c r="S11" s="74">
        <f t="shared" si="5"/>
        <v>1.5761337496947969E-2</v>
      </c>
      <c r="T11" s="73">
        <f>County!R350</f>
        <v>4258</v>
      </c>
      <c r="U11" s="74">
        <f t="shared" si="6"/>
        <v>1.3679530179780767E-2</v>
      </c>
      <c r="V11" s="73">
        <f>County!S350</f>
        <v>0</v>
      </c>
      <c r="W11" s="74">
        <f t="shared" si="7"/>
        <v>0</v>
      </c>
      <c r="X11" s="73">
        <f>County!T350</f>
        <v>0</v>
      </c>
      <c r="Y11" s="74">
        <f t="shared" si="8"/>
        <v>0</v>
      </c>
      <c r="Z11" s="73">
        <f>County!U350</f>
        <v>0</v>
      </c>
      <c r="AA11" s="74">
        <f t="shared" si="9"/>
        <v>0</v>
      </c>
      <c r="AB11" s="73">
        <f>County!V350</f>
        <v>0</v>
      </c>
      <c r="AC11" s="74">
        <f t="shared" si="10"/>
        <v>0</v>
      </c>
      <c r="AD11" s="73">
        <f>County!W350</f>
        <v>6551</v>
      </c>
      <c r="AE11" s="74">
        <f t="shared" si="11"/>
        <v>2.1046172430188775E-2</v>
      </c>
      <c r="AF11" s="73">
        <f>County!X350</f>
        <v>0</v>
      </c>
      <c r="AG11" s="74">
        <f t="shared" si="12"/>
        <v>0</v>
      </c>
      <c r="AH11" s="37">
        <f>County!Y350</f>
        <v>0</v>
      </c>
      <c r="AI11" s="38">
        <f t="shared" si="13"/>
        <v>0</v>
      </c>
      <c r="AJ11" s="37">
        <f>County!Z350</f>
        <v>0</v>
      </c>
      <c r="AK11" s="38">
        <f t="shared" si="14"/>
        <v>0</v>
      </c>
      <c r="AL11" s="37">
        <f>County!AA350</f>
        <v>0</v>
      </c>
      <c r="AM11" s="38">
        <f t="shared" si="15"/>
        <v>0</v>
      </c>
      <c r="AN11" s="37">
        <f>County!AB350</f>
        <v>0</v>
      </c>
      <c r="AO11" s="38">
        <f t="shared" si="16"/>
        <v>0</v>
      </c>
      <c r="AP11" s="37">
        <f>County!AC350</f>
        <v>0</v>
      </c>
      <c r="AQ11" s="38">
        <f t="shared" si="17"/>
        <v>0</v>
      </c>
      <c r="AR11" s="37">
        <f>County!AD350</f>
        <v>0</v>
      </c>
      <c r="AS11" s="38">
        <f t="shared" si="18"/>
        <v>0</v>
      </c>
      <c r="AT11" s="37">
        <f>County!AE350</f>
        <v>0</v>
      </c>
      <c r="AU11" s="38">
        <f t="shared" si="19"/>
        <v>0</v>
      </c>
      <c r="AV11" s="37">
        <f>County!AF350</f>
        <v>0</v>
      </c>
      <c r="AW11" s="38">
        <f t="shared" si="20"/>
        <v>0</v>
      </c>
      <c r="AX11" s="37">
        <f>County!AG350</f>
        <v>0</v>
      </c>
      <c r="AY11" s="38">
        <f t="shared" si="20"/>
        <v>0</v>
      </c>
      <c r="AZ11" s="37">
        <f>County!AH350</f>
        <v>0</v>
      </c>
      <c r="BA11" s="38">
        <f t="shared" si="21"/>
        <v>0</v>
      </c>
      <c r="BB11" s="37">
        <f>County!AI350</f>
        <v>0</v>
      </c>
      <c r="BC11" s="38">
        <f t="shared" si="22"/>
        <v>0</v>
      </c>
      <c r="BD11" s="37">
        <f>County!AJ350</f>
        <v>0</v>
      </c>
      <c r="BE11" s="38">
        <f t="shared" si="22"/>
        <v>0</v>
      </c>
      <c r="BF11" s="37">
        <f>County!AK350</f>
        <v>0</v>
      </c>
      <c r="BG11" s="38">
        <f t="shared" si="23"/>
        <v>0</v>
      </c>
      <c r="BH11" s="37">
        <f>County!AL350</f>
        <v>0</v>
      </c>
      <c r="BI11" s="38">
        <f t="shared" si="24"/>
        <v>0</v>
      </c>
      <c r="BJ11" s="37">
        <f>County!AM350</f>
        <v>0</v>
      </c>
      <c r="BK11" s="38">
        <f t="shared" si="25"/>
        <v>0</v>
      </c>
      <c r="BL11" s="37">
        <f>County!AN350</f>
        <v>0</v>
      </c>
      <c r="BM11" s="38">
        <f t="shared" si="26"/>
        <v>0</v>
      </c>
      <c r="BN11" s="37">
        <f>County!AO350</f>
        <v>0</v>
      </c>
      <c r="BO11" s="38">
        <f t="shared" si="27"/>
        <v>0</v>
      </c>
      <c r="BP11" s="37">
        <f>County!AP350</f>
        <v>0</v>
      </c>
      <c r="BQ11" s="38">
        <f t="shared" si="28"/>
        <v>0</v>
      </c>
      <c r="BR11" s="37">
        <f>County!AQ350</f>
        <v>0</v>
      </c>
      <c r="BS11" s="38">
        <f t="shared" si="29"/>
        <v>0</v>
      </c>
      <c r="BT11" s="37">
        <f>County!AR350</f>
        <v>0</v>
      </c>
      <c r="BU11" s="38">
        <f t="shared" si="30"/>
        <v>0</v>
      </c>
      <c r="BV11" s="37">
        <f>County!AS350</f>
        <v>0</v>
      </c>
      <c r="BW11" s="38">
        <f t="shared" si="31"/>
        <v>0</v>
      </c>
      <c r="BX11" s="37">
        <f>County!AT350</f>
        <v>0</v>
      </c>
      <c r="BY11" s="38">
        <f t="shared" si="32"/>
        <v>0</v>
      </c>
      <c r="BZ11" s="37">
        <f>County!AU350</f>
        <v>0</v>
      </c>
      <c r="CA11" s="38">
        <f t="shared" si="33"/>
        <v>0</v>
      </c>
      <c r="CB11" s="59"/>
      <c r="CC11" s="34" t="str">
        <f t="shared" si="34"/>
        <v>District of Columbia</v>
      </c>
      <c r="CD11" s="34" t="s">
        <v>1001</v>
      </c>
      <c r="CE11" s="34">
        <f t="shared" si="35"/>
        <v>3</v>
      </c>
      <c r="CF11" s="35">
        <f>RANK(R11,(L11:Q11,R11:Y11,AD11:AW11))</f>
        <v>4</v>
      </c>
      <c r="CG11" s="35">
        <f>RANK(T11,(L11:Q11,R11:Y11,AD11:AW11))</f>
        <v>5</v>
      </c>
      <c r="CH11" s="35">
        <f>RANK(X11,(L11:Q11,R11:Y11,AD11:AW11))</f>
        <v>11</v>
      </c>
      <c r="CI11" s="35">
        <f>RANK(V11,(L11:Q11,R11:Y11,AD11:AW11))</f>
        <v>11</v>
      </c>
      <c r="CK11" s="34">
        <v>11</v>
      </c>
      <c r="CM11" s="37">
        <f>County!BO350</f>
        <v>1064</v>
      </c>
      <c r="CO11" s="34">
        <f t="shared" si="36"/>
        <v>3</v>
      </c>
      <c r="CP11" s="34">
        <v>0</v>
      </c>
      <c r="CR11" s="37">
        <f>County!CC350</f>
        <v>0</v>
      </c>
      <c r="CS11" s="38">
        <f t="shared" si="37"/>
        <v>0</v>
      </c>
    </row>
    <row r="12" spans="1:97" s="47" customFormat="1">
      <c r="A12" s="47" t="s">
        <v>1533</v>
      </c>
      <c r="B12" s="47">
        <v>29</v>
      </c>
      <c r="C12" s="50">
        <f t="shared" si="38"/>
        <v>9502747</v>
      </c>
      <c r="D12" s="49"/>
      <c r="E12" s="49">
        <v>29</v>
      </c>
      <c r="F12" s="49"/>
      <c r="G12" s="82">
        <f t="shared" si="0"/>
        <v>2</v>
      </c>
      <c r="H12" s="82">
        <f t="shared" si="1"/>
        <v>1</v>
      </c>
      <c r="I12" s="82" t="str">
        <f t="shared" si="2"/>
        <v>-</v>
      </c>
      <c r="J12" s="50">
        <f t="shared" si="39"/>
        <v>112911</v>
      </c>
      <c r="K12" s="51">
        <f t="shared" si="40"/>
        <v>1.1881932666417405E-2</v>
      </c>
      <c r="L12" s="50">
        <f>County!N420</f>
        <v>4504975</v>
      </c>
      <c r="M12" s="51">
        <f t="shared" si="41"/>
        <v>0.47407081341847784</v>
      </c>
      <c r="N12" s="72">
        <f>County!O420</f>
        <v>4617886</v>
      </c>
      <c r="O12" s="105">
        <f t="shared" si="3"/>
        <v>0.48595274608489525</v>
      </c>
      <c r="P12" s="72">
        <f>County!P420</f>
        <v>0</v>
      </c>
      <c r="Q12" s="105">
        <f t="shared" si="4"/>
        <v>0</v>
      </c>
      <c r="R12" s="72">
        <f>County!Q420</f>
        <v>207043</v>
      </c>
      <c r="S12" s="105">
        <f t="shared" si="5"/>
        <v>2.1787699914561549E-2</v>
      </c>
      <c r="T12" s="72">
        <f>County!R420</f>
        <v>64399</v>
      </c>
      <c r="U12" s="105">
        <f t="shared" si="6"/>
        <v>6.7768825161818999E-3</v>
      </c>
      <c r="V12" s="72">
        <f>County!S420</f>
        <v>16475</v>
      </c>
      <c r="W12" s="105">
        <f t="shared" si="7"/>
        <v>1.7337092106103635E-3</v>
      </c>
      <c r="X12" s="72">
        <f>County!T420</f>
        <v>9108</v>
      </c>
      <c r="Y12" s="105">
        <f t="shared" si="8"/>
        <v>9.5845969591740155E-4</v>
      </c>
      <c r="Z12" s="72">
        <f>County!U420</f>
        <v>0</v>
      </c>
      <c r="AA12" s="105">
        <f t="shared" si="9"/>
        <v>0</v>
      </c>
      <c r="AB12" s="72">
        <f>County!V420</f>
        <v>0</v>
      </c>
      <c r="AC12" s="105">
        <f t="shared" si="10"/>
        <v>0</v>
      </c>
      <c r="AD12" s="72">
        <f>County!W420</f>
        <v>82762</v>
      </c>
      <c r="AE12" s="105">
        <f t="shared" si="11"/>
        <v>8.709271119182696E-3</v>
      </c>
      <c r="AF12" s="72">
        <f>County!X420</f>
        <v>0</v>
      </c>
      <c r="AG12" s="105">
        <f t="shared" si="12"/>
        <v>0</v>
      </c>
      <c r="AH12" s="50">
        <f>County!Y420</f>
        <v>0</v>
      </c>
      <c r="AI12" s="51">
        <f t="shared" si="13"/>
        <v>0</v>
      </c>
      <c r="AJ12" s="50">
        <f>County!Z420</f>
        <v>25</v>
      </c>
      <c r="AK12" s="51">
        <f t="shared" si="14"/>
        <v>2.6308182255088976E-6</v>
      </c>
      <c r="AL12" s="50">
        <f>County!AA420</f>
        <v>0</v>
      </c>
      <c r="AM12" s="51">
        <f t="shared" si="15"/>
        <v>0</v>
      </c>
      <c r="AN12" s="50">
        <f>County!AB420</f>
        <v>0</v>
      </c>
      <c r="AO12" s="51">
        <f t="shared" si="16"/>
        <v>0</v>
      </c>
      <c r="AP12" s="50">
        <f>County!AC420</f>
        <v>0</v>
      </c>
      <c r="AQ12" s="51">
        <f t="shared" si="17"/>
        <v>0</v>
      </c>
      <c r="AR12" s="50">
        <f>County!AD420</f>
        <v>0</v>
      </c>
      <c r="AS12" s="51">
        <f t="shared" si="18"/>
        <v>0</v>
      </c>
      <c r="AT12" s="50">
        <f>County!AE420</f>
        <v>74</v>
      </c>
      <c r="AU12" s="51">
        <f t="shared" si="19"/>
        <v>7.7872219475063367E-6</v>
      </c>
      <c r="AV12" s="50">
        <f>County!AF420</f>
        <v>0</v>
      </c>
      <c r="AW12" s="51">
        <f t="shared" si="20"/>
        <v>0</v>
      </c>
      <c r="AX12" s="50">
        <f>County!AG420</f>
        <v>0</v>
      </c>
      <c r="AY12" s="51">
        <f t="shared" si="20"/>
        <v>0</v>
      </c>
      <c r="AZ12" s="50">
        <f>County!AH420</f>
        <v>0</v>
      </c>
      <c r="BA12" s="51">
        <f t="shared" si="21"/>
        <v>0</v>
      </c>
      <c r="BB12" s="50">
        <f>County!AI420</f>
        <v>0</v>
      </c>
      <c r="BC12" s="51">
        <f t="shared" si="22"/>
        <v>0</v>
      </c>
      <c r="BD12" s="50">
        <f>County!AJ420</f>
        <v>0</v>
      </c>
      <c r="BE12" s="51">
        <f t="shared" si="22"/>
        <v>0</v>
      </c>
      <c r="BF12" s="50">
        <f>County!AK420</f>
        <v>0</v>
      </c>
      <c r="BG12" s="51">
        <f t="shared" si="23"/>
        <v>0</v>
      </c>
      <c r="BH12" s="50">
        <f>County!AL420</f>
        <v>0</v>
      </c>
      <c r="BI12" s="51">
        <f t="shared" si="24"/>
        <v>0</v>
      </c>
      <c r="BJ12" s="50">
        <f>County!AM420</f>
        <v>0</v>
      </c>
      <c r="BK12" s="51">
        <f t="shared" si="25"/>
        <v>0</v>
      </c>
      <c r="BL12" s="50">
        <f>County!AN420</f>
        <v>0</v>
      </c>
      <c r="BM12" s="51">
        <f t="shared" si="26"/>
        <v>0</v>
      </c>
      <c r="BN12" s="50">
        <f>County!AO420</f>
        <v>0</v>
      </c>
      <c r="BO12" s="51">
        <f t="shared" si="27"/>
        <v>0</v>
      </c>
      <c r="BP12" s="50">
        <f>County!AP420</f>
        <v>0</v>
      </c>
      <c r="BQ12" s="51">
        <f t="shared" si="28"/>
        <v>0</v>
      </c>
      <c r="BR12" s="50">
        <f>County!AQ420</f>
        <v>0</v>
      </c>
      <c r="BS12" s="51">
        <f t="shared" si="29"/>
        <v>0</v>
      </c>
      <c r="BT12" s="50">
        <f>County!AR420</f>
        <v>0</v>
      </c>
      <c r="BU12" s="51">
        <f t="shared" si="30"/>
        <v>0</v>
      </c>
      <c r="BV12" s="50">
        <f>County!AS420</f>
        <v>0</v>
      </c>
      <c r="BW12" s="51">
        <f t="shared" si="31"/>
        <v>0</v>
      </c>
      <c r="BX12" s="50">
        <f>County!AT420</f>
        <v>0</v>
      </c>
      <c r="BY12" s="51">
        <f t="shared" si="32"/>
        <v>0</v>
      </c>
      <c r="BZ12" s="50">
        <f>County!AU420</f>
        <v>0</v>
      </c>
      <c r="CA12" s="51">
        <f t="shared" si="33"/>
        <v>0</v>
      </c>
      <c r="CB12" s="58"/>
      <c r="CC12" s="47" t="str">
        <f t="shared" si="34"/>
        <v>Florida</v>
      </c>
      <c r="CD12" s="47" t="s">
        <v>2896</v>
      </c>
      <c r="CE12" s="47">
        <f t="shared" si="35"/>
        <v>29</v>
      </c>
      <c r="CF12" s="48">
        <f>RANK(R12,(L12:Q12,R12:Y12,AD12:AW12))</f>
        <v>3</v>
      </c>
      <c r="CG12" s="48">
        <f>RANK(T12,(L12:Q12,R12:Y12,AD12:AW12))</f>
        <v>5</v>
      </c>
      <c r="CH12" s="48">
        <f>RANK(X12,(L12:Q12,R12:Y12,AD12:AW12))</f>
        <v>7</v>
      </c>
      <c r="CI12" s="48">
        <f>RANK(V12,(L12:Q12,R12:Y12,AD12:AW12))</f>
        <v>6</v>
      </c>
      <c r="CK12" s="47">
        <v>12</v>
      </c>
      <c r="CM12" s="50">
        <f>County!BO420</f>
        <v>24936</v>
      </c>
      <c r="CO12" s="47">
        <f t="shared" si="36"/>
        <v>29</v>
      </c>
      <c r="CP12" s="47">
        <v>0</v>
      </c>
      <c r="CR12" s="50">
        <f>County!CC420</f>
        <v>0</v>
      </c>
      <c r="CS12" s="51">
        <f t="shared" si="37"/>
        <v>0</v>
      </c>
    </row>
    <row r="13" spans="1:97" s="34" customFormat="1">
      <c r="A13" s="34" t="s">
        <v>1155</v>
      </c>
      <c r="B13" s="34">
        <v>16</v>
      </c>
      <c r="C13" s="37">
        <f t="shared" si="38"/>
        <v>4141447</v>
      </c>
      <c r="D13" s="36"/>
      <c r="E13" s="36">
        <v>16</v>
      </c>
      <c r="F13" s="36"/>
      <c r="G13" s="83">
        <f t="shared" si="0"/>
        <v>2</v>
      </c>
      <c r="H13" s="83">
        <f t="shared" si="1"/>
        <v>1</v>
      </c>
      <c r="I13" s="83">
        <f t="shared" si="2"/>
        <v>5</v>
      </c>
      <c r="J13" s="1">
        <f t="shared" si="39"/>
        <v>211141</v>
      </c>
      <c r="K13" s="38">
        <f t="shared" si="40"/>
        <v>5.0982422327268705E-2</v>
      </c>
      <c r="L13" s="37">
        <f>County!N581</f>
        <v>1877963</v>
      </c>
      <c r="M13" s="38">
        <f t="shared" si="41"/>
        <v>0.45345576075222016</v>
      </c>
      <c r="N13" s="73">
        <f>County!O581</f>
        <v>2089104</v>
      </c>
      <c r="O13" s="74">
        <f t="shared" si="3"/>
        <v>0.50443818307948884</v>
      </c>
      <c r="P13" s="73">
        <f>County!P581</f>
        <v>13017</v>
      </c>
      <c r="Q13" s="74">
        <f t="shared" si="4"/>
        <v>3.1431043304429589E-3</v>
      </c>
      <c r="R13" s="73">
        <f>County!Q581</f>
        <v>125306</v>
      </c>
      <c r="S13" s="74">
        <f t="shared" si="5"/>
        <v>3.0256574574055881E-2</v>
      </c>
      <c r="T13" s="73">
        <f>County!R581</f>
        <v>7674</v>
      </c>
      <c r="U13" s="74">
        <f t="shared" si="6"/>
        <v>1.8529755421233206E-3</v>
      </c>
      <c r="V13" s="73">
        <f>County!S581</f>
        <v>1110</v>
      </c>
      <c r="W13" s="74">
        <f t="shared" si="7"/>
        <v>2.6802226371603932E-4</v>
      </c>
      <c r="X13" s="73">
        <f>County!T581</f>
        <v>0</v>
      </c>
      <c r="Y13" s="74">
        <f t="shared" si="8"/>
        <v>0</v>
      </c>
      <c r="Z13" s="73">
        <f>County!U581</f>
        <v>0</v>
      </c>
      <c r="AA13" s="74">
        <f t="shared" si="9"/>
        <v>0</v>
      </c>
      <c r="AB13" s="73">
        <f>County!V581</f>
        <v>0</v>
      </c>
      <c r="AC13" s="74">
        <f t="shared" si="10"/>
        <v>0</v>
      </c>
      <c r="AD13" s="73">
        <f>County!W581</f>
        <v>26965</v>
      </c>
      <c r="AE13" s="74">
        <f t="shared" si="11"/>
        <v>6.5110093163090101E-3</v>
      </c>
      <c r="AF13" s="73">
        <f>County!X581</f>
        <v>0</v>
      </c>
      <c r="AG13" s="74">
        <f t="shared" si="12"/>
        <v>0</v>
      </c>
      <c r="AH13" s="37">
        <f>County!Y581</f>
        <v>70</v>
      </c>
      <c r="AI13" s="38">
        <f t="shared" si="13"/>
        <v>1.6902304919029508E-5</v>
      </c>
      <c r="AJ13" s="37">
        <f>County!Z581</f>
        <v>0</v>
      </c>
      <c r="AK13" s="38">
        <f t="shared" si="14"/>
        <v>0</v>
      </c>
      <c r="AL13" s="37">
        <f>County!AA581</f>
        <v>0</v>
      </c>
      <c r="AM13" s="38">
        <f t="shared" si="15"/>
        <v>0</v>
      </c>
      <c r="AN13" s="37">
        <f>County!AB581</f>
        <v>0</v>
      </c>
      <c r="AO13" s="38">
        <f t="shared" si="16"/>
        <v>0</v>
      </c>
      <c r="AP13" s="37">
        <f>County!AC581</f>
        <v>0</v>
      </c>
      <c r="AQ13" s="38">
        <f t="shared" si="17"/>
        <v>0</v>
      </c>
      <c r="AR13" s="37">
        <f>County!AD581</f>
        <v>0</v>
      </c>
      <c r="AS13" s="38">
        <f t="shared" si="18"/>
        <v>0</v>
      </c>
      <c r="AT13" s="37">
        <f>County!AE581</f>
        <v>34</v>
      </c>
      <c r="AU13" s="38">
        <f t="shared" si="19"/>
        <v>8.209690960671475E-6</v>
      </c>
      <c r="AV13" s="37">
        <f>County!AF581</f>
        <v>0</v>
      </c>
      <c r="AW13" s="38">
        <f t="shared" si="20"/>
        <v>0</v>
      </c>
      <c r="AX13" s="37">
        <f>County!AG581</f>
        <v>0</v>
      </c>
      <c r="AY13" s="38">
        <f t="shared" si="20"/>
        <v>0</v>
      </c>
      <c r="AZ13" s="37">
        <f>County!AH581</f>
        <v>0</v>
      </c>
      <c r="BA13" s="38">
        <f t="shared" si="21"/>
        <v>0</v>
      </c>
      <c r="BB13" s="37">
        <f>County!AI581</f>
        <v>0</v>
      </c>
      <c r="BC13" s="38">
        <f t="shared" si="22"/>
        <v>0</v>
      </c>
      <c r="BD13" s="37">
        <f>County!AJ581</f>
        <v>0</v>
      </c>
      <c r="BE13" s="38">
        <f t="shared" si="22"/>
        <v>0</v>
      </c>
      <c r="BF13" s="37">
        <f>County!AK581</f>
        <v>0</v>
      </c>
      <c r="BG13" s="38">
        <f t="shared" si="23"/>
        <v>0</v>
      </c>
      <c r="BH13" s="37">
        <f>County!AL581</f>
        <v>0</v>
      </c>
      <c r="BI13" s="38">
        <f t="shared" si="24"/>
        <v>0</v>
      </c>
      <c r="BJ13" s="37">
        <f>County!AM581</f>
        <v>0</v>
      </c>
      <c r="BK13" s="38">
        <f t="shared" si="25"/>
        <v>0</v>
      </c>
      <c r="BL13" s="37">
        <f>County!AN581</f>
        <v>151</v>
      </c>
      <c r="BM13" s="38">
        <f t="shared" si="26"/>
        <v>3.6460686325335085E-5</v>
      </c>
      <c r="BN13" s="37">
        <f>County!AO581</f>
        <v>0</v>
      </c>
      <c r="BO13" s="38">
        <f t="shared" si="27"/>
        <v>0</v>
      </c>
      <c r="BP13" s="37">
        <f>County!AP581</f>
        <v>0</v>
      </c>
      <c r="BQ13" s="38">
        <f t="shared" si="28"/>
        <v>0</v>
      </c>
      <c r="BR13" s="37">
        <f>County!AQ581</f>
        <v>53</v>
      </c>
      <c r="BS13" s="38">
        <f t="shared" si="29"/>
        <v>1.2797459438693771E-5</v>
      </c>
      <c r="BT13" s="37">
        <f>County!AR581</f>
        <v>0</v>
      </c>
      <c r="BU13" s="38">
        <f t="shared" si="30"/>
        <v>0</v>
      </c>
      <c r="BV13" s="37">
        <f>County!AS581</f>
        <v>0</v>
      </c>
      <c r="BW13" s="38">
        <f t="shared" si="31"/>
        <v>0</v>
      </c>
      <c r="BX13" s="37">
        <f>County!AT581</f>
        <v>0</v>
      </c>
      <c r="BY13" s="38">
        <f t="shared" si="32"/>
        <v>0</v>
      </c>
      <c r="BZ13" s="37">
        <f>County!AU581</f>
        <v>0</v>
      </c>
      <c r="CA13" s="38">
        <f t="shared" si="33"/>
        <v>0</v>
      </c>
      <c r="CB13" s="59"/>
      <c r="CC13" s="34" t="str">
        <f t="shared" si="34"/>
        <v>Georgia</v>
      </c>
      <c r="CD13" s="34" t="s">
        <v>1156</v>
      </c>
      <c r="CE13" s="34">
        <f t="shared" si="35"/>
        <v>16</v>
      </c>
      <c r="CF13" s="35">
        <f>RANK(R13,(L13:Q13,R13:Y13,AD13:AW13))</f>
        <v>3</v>
      </c>
      <c r="CG13" s="35">
        <f>RANK(T13,(L13:Q13,R13:Y13,AD13:AW13))</f>
        <v>6</v>
      </c>
      <c r="CH13" s="35">
        <f>RANK(X13,(L13:Q13,R13:Y13,AD13:AW13))</f>
        <v>19</v>
      </c>
      <c r="CI13" s="35">
        <f>RANK(V13,(L13:Q13,R13:Y13,AD13:AW13))</f>
        <v>7</v>
      </c>
      <c r="CK13" s="34">
        <v>13</v>
      </c>
      <c r="CM13" s="37">
        <f>County!BO581</f>
        <v>0</v>
      </c>
      <c r="CO13" s="34">
        <f t="shared" si="36"/>
        <v>16</v>
      </c>
      <c r="CP13" s="34">
        <v>0</v>
      </c>
      <c r="CR13" s="37">
        <f>County!CC581</f>
        <v>0</v>
      </c>
      <c r="CS13" s="38">
        <f t="shared" si="37"/>
        <v>0</v>
      </c>
    </row>
    <row r="14" spans="1:97" s="47" customFormat="1">
      <c r="A14" s="47" t="s">
        <v>654</v>
      </c>
      <c r="B14" s="47">
        <v>4</v>
      </c>
      <c r="C14" s="50">
        <f t="shared" si="38"/>
        <v>428937</v>
      </c>
      <c r="D14" s="49">
        <v>3</v>
      </c>
      <c r="E14" s="49"/>
      <c r="F14" s="49">
        <v>1</v>
      </c>
      <c r="G14" s="82">
        <f t="shared" si="0"/>
        <v>1</v>
      </c>
      <c r="H14" s="82">
        <f t="shared" si="1"/>
        <v>2</v>
      </c>
      <c r="I14" s="82" t="str">
        <f t="shared" si="2"/>
        <v>-</v>
      </c>
      <c r="J14" s="50">
        <f t="shared" si="39"/>
        <v>138044</v>
      </c>
      <c r="K14" s="51">
        <f t="shared" si="40"/>
        <v>0.32182814725705639</v>
      </c>
      <c r="L14" s="50">
        <f>County!N587</f>
        <v>266891</v>
      </c>
      <c r="M14" s="51">
        <f t="shared" si="41"/>
        <v>0.62221491734217382</v>
      </c>
      <c r="N14" s="72">
        <f>County!O587</f>
        <v>128847</v>
      </c>
      <c r="O14" s="105">
        <f t="shared" si="3"/>
        <v>0.30038677008511738</v>
      </c>
      <c r="P14" s="72">
        <f>County!P587</f>
        <v>0</v>
      </c>
      <c r="Q14" s="105">
        <f t="shared" si="4"/>
        <v>0</v>
      </c>
      <c r="R14" s="72">
        <f>County!Q587</f>
        <v>15954</v>
      </c>
      <c r="S14" s="105">
        <f t="shared" si="5"/>
        <v>3.7194273284887988E-2</v>
      </c>
      <c r="T14" s="72">
        <f>County!R587</f>
        <v>12737</v>
      </c>
      <c r="U14" s="105">
        <f t="shared" si="6"/>
        <v>2.9694337396867138E-2</v>
      </c>
      <c r="V14" s="72">
        <f>County!S587</f>
        <v>4508</v>
      </c>
      <c r="W14" s="105">
        <f t="shared" si="7"/>
        <v>1.0509701890953684E-2</v>
      </c>
      <c r="X14" s="72">
        <f>County!T587</f>
        <v>0</v>
      </c>
      <c r="Y14" s="105">
        <f t="shared" si="8"/>
        <v>0</v>
      </c>
      <c r="Z14" s="72">
        <f>County!U587</f>
        <v>0</v>
      </c>
      <c r="AA14" s="105">
        <f t="shared" si="9"/>
        <v>0</v>
      </c>
      <c r="AB14" s="72">
        <f>County!V587</f>
        <v>0</v>
      </c>
      <c r="AC14" s="105">
        <f t="shared" si="10"/>
        <v>0</v>
      </c>
      <c r="AD14" s="72">
        <f>County!W587</f>
        <v>0</v>
      </c>
      <c r="AE14" s="105">
        <f t="shared" si="11"/>
        <v>0</v>
      </c>
      <c r="AF14" s="72">
        <f>County!X587</f>
        <v>0</v>
      </c>
      <c r="AG14" s="105">
        <f t="shared" si="12"/>
        <v>0</v>
      </c>
      <c r="AH14" s="50">
        <f>County!Y587</f>
        <v>0</v>
      </c>
      <c r="AI14" s="51">
        <f t="shared" si="13"/>
        <v>0</v>
      </c>
      <c r="AJ14" s="50">
        <f>County!Z587</f>
        <v>0</v>
      </c>
      <c r="AK14" s="51">
        <f t="shared" si="14"/>
        <v>0</v>
      </c>
      <c r="AL14" s="50">
        <f>County!AA587</f>
        <v>0</v>
      </c>
      <c r="AM14" s="51">
        <f t="shared" si="15"/>
        <v>0</v>
      </c>
      <c r="AN14" s="50">
        <f>County!AB587</f>
        <v>0</v>
      </c>
      <c r="AO14" s="51">
        <f t="shared" si="16"/>
        <v>0</v>
      </c>
      <c r="AP14" s="50">
        <f>County!AC587</f>
        <v>0</v>
      </c>
      <c r="AQ14" s="51">
        <f t="shared" si="17"/>
        <v>0</v>
      </c>
      <c r="AR14" s="50">
        <f>County!AD587</f>
        <v>0</v>
      </c>
      <c r="AS14" s="51">
        <f t="shared" si="18"/>
        <v>0</v>
      </c>
      <c r="AT14" s="50">
        <f>County!AE587</f>
        <v>0</v>
      </c>
      <c r="AU14" s="51">
        <f t="shared" si="19"/>
        <v>0</v>
      </c>
      <c r="AV14" s="50">
        <f>County!AF587</f>
        <v>0</v>
      </c>
      <c r="AW14" s="51">
        <f t="shared" si="20"/>
        <v>0</v>
      </c>
      <c r="AX14" s="50">
        <f>County!AG587</f>
        <v>0</v>
      </c>
      <c r="AY14" s="51">
        <f t="shared" si="20"/>
        <v>0</v>
      </c>
      <c r="AZ14" s="50">
        <f>County!AH587</f>
        <v>0</v>
      </c>
      <c r="BA14" s="51">
        <f t="shared" si="21"/>
        <v>0</v>
      </c>
      <c r="BB14" s="50">
        <f>County!AI587</f>
        <v>0</v>
      </c>
      <c r="BC14" s="51">
        <f t="shared" si="22"/>
        <v>0</v>
      </c>
      <c r="BD14" s="50">
        <f>County!AJ587</f>
        <v>0</v>
      </c>
      <c r="BE14" s="51">
        <f t="shared" si="22"/>
        <v>0</v>
      </c>
      <c r="BF14" s="50">
        <f>County!AK587</f>
        <v>0</v>
      </c>
      <c r="BG14" s="51">
        <f t="shared" si="23"/>
        <v>0</v>
      </c>
      <c r="BH14" s="50">
        <f>County!AL587</f>
        <v>0</v>
      </c>
      <c r="BI14" s="51">
        <f t="shared" si="24"/>
        <v>0</v>
      </c>
      <c r="BJ14" s="50">
        <f>County!AM587</f>
        <v>0</v>
      </c>
      <c r="BK14" s="51">
        <f t="shared" si="25"/>
        <v>0</v>
      </c>
      <c r="BL14" s="50">
        <f>County!AN587</f>
        <v>0</v>
      </c>
      <c r="BM14" s="51">
        <f t="shared" si="26"/>
        <v>0</v>
      </c>
      <c r="BN14" s="50">
        <f>County!AO587</f>
        <v>0</v>
      </c>
      <c r="BO14" s="51">
        <f t="shared" si="27"/>
        <v>0</v>
      </c>
      <c r="BP14" s="50">
        <f>County!AP587</f>
        <v>0</v>
      </c>
      <c r="BQ14" s="51">
        <f t="shared" si="28"/>
        <v>0</v>
      </c>
      <c r="BR14" s="50">
        <f>County!AQ587</f>
        <v>0</v>
      </c>
      <c r="BS14" s="51">
        <f t="shared" si="29"/>
        <v>0</v>
      </c>
      <c r="BT14" s="50">
        <f>County!AR587</f>
        <v>0</v>
      </c>
      <c r="BU14" s="51">
        <f t="shared" si="30"/>
        <v>0</v>
      </c>
      <c r="BV14" s="50">
        <f>County!AS587</f>
        <v>0</v>
      </c>
      <c r="BW14" s="51">
        <f t="shared" si="31"/>
        <v>0</v>
      </c>
      <c r="BX14" s="50">
        <f>County!AT587</f>
        <v>0</v>
      </c>
      <c r="BY14" s="51">
        <f t="shared" si="32"/>
        <v>0</v>
      </c>
      <c r="BZ14" s="50">
        <f>County!AU587</f>
        <v>0</v>
      </c>
      <c r="CA14" s="51">
        <f t="shared" si="33"/>
        <v>0</v>
      </c>
      <c r="CB14" s="58"/>
      <c r="CC14" s="47" t="str">
        <f t="shared" si="34"/>
        <v>Hawaii</v>
      </c>
      <c r="CD14" s="47" t="s">
        <v>963</v>
      </c>
      <c r="CE14" s="47">
        <f t="shared" si="35"/>
        <v>4</v>
      </c>
      <c r="CF14" s="48">
        <f>RANK(R14,(L14:Q14,R14:Y14,AD14:AW14))</f>
        <v>3</v>
      </c>
      <c r="CG14" s="48">
        <f>RANK(T14,(L14:Q14,R14:Y14,AD14:AW14))</f>
        <v>4</v>
      </c>
      <c r="CH14" s="48">
        <f>RANK(X14,(L14:Q14,R14:Y14,AD14:AW14))</f>
        <v>11</v>
      </c>
      <c r="CI14" s="48">
        <f>RANK(V14,(L14:Q14,R14:Y14,AD14:AW14))</f>
        <v>5</v>
      </c>
      <c r="CK14" s="47">
        <v>15</v>
      </c>
      <c r="CM14" s="50">
        <f>County!BO587</f>
        <v>8289</v>
      </c>
      <c r="CO14" s="47">
        <f t="shared" si="36"/>
        <v>4</v>
      </c>
      <c r="CP14" s="47">
        <v>0</v>
      </c>
      <c r="CR14" s="50">
        <f>County!CC587</f>
        <v>0</v>
      </c>
      <c r="CS14" s="51">
        <f t="shared" si="37"/>
        <v>0</v>
      </c>
    </row>
    <row r="15" spans="1:97" s="34" customFormat="1">
      <c r="A15" s="34" t="s">
        <v>2092</v>
      </c>
      <c r="B15" s="34">
        <v>4</v>
      </c>
      <c r="C15" s="37">
        <f t="shared" si="38"/>
        <v>690433</v>
      </c>
      <c r="D15" s="36"/>
      <c r="E15" s="36">
        <v>4</v>
      </c>
      <c r="F15" s="36"/>
      <c r="G15" s="83">
        <f t="shared" si="0"/>
        <v>2</v>
      </c>
      <c r="H15" s="83">
        <f t="shared" si="1"/>
        <v>1</v>
      </c>
      <c r="I15" s="83">
        <f t="shared" si="2"/>
        <v>3</v>
      </c>
      <c r="J15" s="1">
        <f t="shared" si="39"/>
        <v>219290</v>
      </c>
      <c r="K15" s="38">
        <f t="shared" si="40"/>
        <v>0.31761228098888666</v>
      </c>
      <c r="L15" s="37">
        <f>County!N633</f>
        <v>189765</v>
      </c>
      <c r="M15" s="38">
        <f t="shared" si="41"/>
        <v>0.27484926126068715</v>
      </c>
      <c r="N15" s="73">
        <f>County!O633</f>
        <v>409055</v>
      </c>
      <c r="O15" s="74">
        <f t="shared" si="3"/>
        <v>0.59246154224957381</v>
      </c>
      <c r="P15" s="73">
        <f>County!P633</f>
        <v>46476</v>
      </c>
      <c r="Q15" s="74">
        <f t="shared" si="4"/>
        <v>6.7314279589764686E-2</v>
      </c>
      <c r="R15" s="73">
        <f>County!Q633</f>
        <v>28331</v>
      </c>
      <c r="S15" s="74">
        <f t="shared" si="5"/>
        <v>4.1033670175093025E-2</v>
      </c>
      <c r="T15" s="73">
        <f>County!R633</f>
        <v>8496</v>
      </c>
      <c r="U15" s="74">
        <f t="shared" si="6"/>
        <v>1.2305321443210275E-2</v>
      </c>
      <c r="V15" s="73">
        <f>County!S633</f>
        <v>4403</v>
      </c>
      <c r="W15" s="74">
        <f t="shared" si="7"/>
        <v>6.3771575228878108E-3</v>
      </c>
      <c r="X15" s="73">
        <f>County!T633</f>
        <v>1373</v>
      </c>
      <c r="Y15" s="74">
        <f t="shared" si="8"/>
        <v>1.9886071494265192E-3</v>
      </c>
      <c r="Z15" s="73">
        <f>County!U633</f>
        <v>0</v>
      </c>
      <c r="AA15" s="74">
        <f t="shared" si="9"/>
        <v>0</v>
      </c>
      <c r="AB15" s="73">
        <f>County!V633</f>
        <v>0</v>
      </c>
      <c r="AC15" s="74">
        <f t="shared" si="10"/>
        <v>0</v>
      </c>
      <c r="AD15" s="73">
        <f>County!W633</f>
        <v>37</v>
      </c>
      <c r="AE15" s="74">
        <f t="shared" si="11"/>
        <v>5.3589559015863959E-5</v>
      </c>
      <c r="AF15" s="73">
        <f>County!X633</f>
        <v>0</v>
      </c>
      <c r="AG15" s="74">
        <f t="shared" si="12"/>
        <v>0</v>
      </c>
      <c r="AH15" s="37">
        <f>County!Y633</f>
        <v>56</v>
      </c>
      <c r="AI15" s="38">
        <f t="shared" si="13"/>
        <v>8.1108521753740049E-5</v>
      </c>
      <c r="AJ15" s="37">
        <f>County!Z633</f>
        <v>0</v>
      </c>
      <c r="AK15" s="38">
        <f t="shared" si="14"/>
        <v>0</v>
      </c>
      <c r="AL15" s="37">
        <f>County!AA633</f>
        <v>2</v>
      </c>
      <c r="AM15" s="38">
        <f t="shared" si="15"/>
        <v>2.89673291977643E-6</v>
      </c>
      <c r="AN15" s="37">
        <f>County!AB633</f>
        <v>0</v>
      </c>
      <c r="AO15" s="38">
        <f t="shared" si="16"/>
        <v>0</v>
      </c>
      <c r="AP15" s="37">
        <f>County!AC633</f>
        <v>0</v>
      </c>
      <c r="AQ15" s="38">
        <f t="shared" si="17"/>
        <v>0</v>
      </c>
      <c r="AR15" s="37">
        <f>County!AD633</f>
        <v>0</v>
      </c>
      <c r="AS15" s="38">
        <f t="shared" si="18"/>
        <v>0</v>
      </c>
      <c r="AT15" s="37">
        <f>County!AE633</f>
        <v>5</v>
      </c>
      <c r="AU15" s="38">
        <f t="shared" si="19"/>
        <v>7.2418322994410757E-6</v>
      </c>
      <c r="AV15" s="37">
        <f>County!AF633</f>
        <v>0</v>
      </c>
      <c r="AW15" s="38">
        <f t="shared" si="20"/>
        <v>0</v>
      </c>
      <c r="AX15" s="37">
        <f>County!AG633</f>
        <v>15</v>
      </c>
      <c r="AY15" s="38">
        <f t="shared" si="20"/>
        <v>2.1725496898323225E-5</v>
      </c>
      <c r="AZ15" s="37">
        <f>County!AH633</f>
        <v>0</v>
      </c>
      <c r="BA15" s="38">
        <f t="shared" si="21"/>
        <v>0</v>
      </c>
      <c r="BB15" s="37">
        <f>County!AI633</f>
        <v>0</v>
      </c>
      <c r="BC15" s="38">
        <f t="shared" si="22"/>
        <v>0</v>
      </c>
      <c r="BD15" s="37">
        <f>County!AJ633</f>
        <v>0</v>
      </c>
      <c r="BE15" s="38">
        <f t="shared" si="22"/>
        <v>0</v>
      </c>
      <c r="BF15" s="37">
        <f>County!AK633</f>
        <v>0</v>
      </c>
      <c r="BG15" s="38">
        <f t="shared" si="23"/>
        <v>0</v>
      </c>
      <c r="BH15" s="37">
        <f>County!AL633</f>
        <v>0</v>
      </c>
      <c r="BI15" s="38">
        <f t="shared" si="24"/>
        <v>0</v>
      </c>
      <c r="BJ15" s="37">
        <f>County!AM633</f>
        <v>0</v>
      </c>
      <c r="BK15" s="38">
        <f t="shared" si="25"/>
        <v>0</v>
      </c>
      <c r="BL15" s="37">
        <f>County!AN633</f>
        <v>56</v>
      </c>
      <c r="BM15" s="38">
        <f t="shared" si="26"/>
        <v>8.1108521753740049E-5</v>
      </c>
      <c r="BN15" s="37">
        <f>County!AO633</f>
        <v>0</v>
      </c>
      <c r="BO15" s="38">
        <f t="shared" si="27"/>
        <v>0</v>
      </c>
      <c r="BP15" s="37">
        <f>County!AP633</f>
        <v>0</v>
      </c>
      <c r="BQ15" s="38">
        <f t="shared" si="28"/>
        <v>0</v>
      </c>
      <c r="BR15" s="37">
        <f>County!AQ633</f>
        <v>7</v>
      </c>
      <c r="BS15" s="38">
        <f t="shared" si="29"/>
        <v>1.0138565219217506E-5</v>
      </c>
      <c r="BT15" s="37">
        <f>County!AR633</f>
        <v>2356</v>
      </c>
      <c r="BU15" s="38">
        <f t="shared" si="30"/>
        <v>3.4123513794966347E-3</v>
      </c>
      <c r="BV15" s="37">
        <f>County!AS633</f>
        <v>0</v>
      </c>
      <c r="BW15" s="38">
        <f t="shared" si="31"/>
        <v>0</v>
      </c>
      <c r="BX15" s="37">
        <f>County!AT633</f>
        <v>0</v>
      </c>
      <c r="BY15" s="38">
        <f t="shared" si="32"/>
        <v>0</v>
      </c>
      <c r="BZ15" s="37">
        <f>County!AU633</f>
        <v>0</v>
      </c>
      <c r="CA15" s="38">
        <f t="shared" si="33"/>
        <v>0</v>
      </c>
      <c r="CB15" s="59"/>
      <c r="CC15" s="34" t="str">
        <f t="shared" si="34"/>
        <v>Idaho</v>
      </c>
      <c r="CD15" s="34" t="s">
        <v>404</v>
      </c>
      <c r="CE15" s="34">
        <f t="shared" si="35"/>
        <v>4</v>
      </c>
      <c r="CF15" s="35">
        <f>RANK(R15,(L15:Q15,R15:Y15,AD15:AW15))</f>
        <v>4</v>
      </c>
      <c r="CG15" s="35">
        <f>RANK(T15,(L15:Q15,R15:Y15,AD15:AW15))</f>
        <v>5</v>
      </c>
      <c r="CH15" s="35">
        <f>RANK(X15,(L15:Q15,R15:Y15,AD15:AW15))</f>
        <v>7</v>
      </c>
      <c r="CI15" s="35">
        <f>RANK(V15,(L15:Q15,R15:Y15,AD15:AW15))</f>
        <v>6</v>
      </c>
      <c r="CK15" s="34">
        <v>16</v>
      </c>
      <c r="CM15" s="37">
        <f>County!BO633</f>
        <v>0</v>
      </c>
      <c r="CO15" s="34">
        <f t="shared" si="36"/>
        <v>4</v>
      </c>
      <c r="CP15" s="34">
        <v>0</v>
      </c>
      <c r="CR15" s="37">
        <f>County!CC633</f>
        <v>0</v>
      </c>
      <c r="CS15" s="38">
        <f t="shared" si="37"/>
        <v>0</v>
      </c>
    </row>
    <row r="16" spans="1:97" s="47" customFormat="1">
      <c r="A16" s="47" t="s">
        <v>661</v>
      </c>
      <c r="B16" s="47">
        <v>20</v>
      </c>
      <c r="C16" s="50">
        <f t="shared" si="38"/>
        <v>5594825</v>
      </c>
      <c r="D16" s="49">
        <v>20</v>
      </c>
      <c r="E16" s="49"/>
      <c r="F16" s="49"/>
      <c r="G16" s="82">
        <f t="shared" si="0"/>
        <v>1</v>
      </c>
      <c r="H16" s="82">
        <f t="shared" si="1"/>
        <v>2</v>
      </c>
      <c r="I16" s="82">
        <f t="shared" si="2"/>
        <v>6</v>
      </c>
      <c r="J16" s="50">
        <f t="shared" si="39"/>
        <v>944714</v>
      </c>
      <c r="K16" s="51">
        <f t="shared" si="40"/>
        <v>0.16885496865406871</v>
      </c>
      <c r="L16" s="50">
        <f>County!N737</f>
        <v>3090729</v>
      </c>
      <c r="M16" s="51">
        <f t="shared" si="41"/>
        <v>0.55242639403377225</v>
      </c>
      <c r="N16" s="72">
        <f>County!O737</f>
        <v>2146015</v>
      </c>
      <c r="O16" s="105">
        <f t="shared" si="3"/>
        <v>0.38357142537970357</v>
      </c>
      <c r="P16" s="72">
        <f>County!P737</f>
        <v>11915</v>
      </c>
      <c r="Q16" s="105">
        <f t="shared" si="4"/>
        <v>2.1296465930569766E-3</v>
      </c>
      <c r="R16" s="72">
        <f>County!Q737</f>
        <v>209596</v>
      </c>
      <c r="S16" s="105">
        <f t="shared" si="5"/>
        <v>3.746247648496602E-2</v>
      </c>
      <c r="T16" s="72">
        <f>County!R737</f>
        <v>76802</v>
      </c>
      <c r="U16" s="105">
        <f t="shared" si="6"/>
        <v>1.372732837935056E-2</v>
      </c>
      <c r="V16" s="72">
        <f>County!S737</f>
        <v>1159</v>
      </c>
      <c r="W16" s="105">
        <f t="shared" si="7"/>
        <v>2.0715571979463166E-4</v>
      </c>
      <c r="X16" s="72">
        <f>County!T737</f>
        <v>0</v>
      </c>
      <c r="Y16" s="105">
        <f t="shared" si="8"/>
        <v>0</v>
      </c>
      <c r="Z16" s="72">
        <f>County!U737</f>
        <v>0</v>
      </c>
      <c r="AA16" s="105">
        <f t="shared" si="9"/>
        <v>0</v>
      </c>
      <c r="AB16" s="72">
        <f>County!V737</f>
        <v>0</v>
      </c>
      <c r="AC16" s="105">
        <f t="shared" si="10"/>
        <v>0</v>
      </c>
      <c r="AD16" s="72">
        <f>County!W737</f>
        <v>58331</v>
      </c>
      <c r="AE16" s="105">
        <f t="shared" si="11"/>
        <v>1.042588463446131E-2</v>
      </c>
      <c r="AF16" s="72">
        <f>County!X737</f>
        <v>0</v>
      </c>
      <c r="AG16" s="105">
        <f t="shared" si="12"/>
        <v>0</v>
      </c>
      <c r="AH16" s="50">
        <f>County!Y737</f>
        <v>176</v>
      </c>
      <c r="AI16" s="51">
        <f t="shared" si="13"/>
        <v>3.1457641659926805E-5</v>
      </c>
      <c r="AJ16" s="50">
        <f>County!Z737</f>
        <v>0</v>
      </c>
      <c r="AK16" s="51">
        <f t="shared" si="14"/>
        <v>0</v>
      </c>
      <c r="AL16" s="50">
        <f>County!AA737</f>
        <v>0</v>
      </c>
      <c r="AM16" s="51">
        <f t="shared" si="15"/>
        <v>0</v>
      </c>
      <c r="AN16" s="50">
        <f>County!AB737</f>
        <v>0</v>
      </c>
      <c r="AO16" s="51">
        <f t="shared" si="16"/>
        <v>0</v>
      </c>
      <c r="AP16" s="50">
        <f>County!AC737</f>
        <v>0</v>
      </c>
      <c r="AQ16" s="51">
        <f t="shared" si="17"/>
        <v>0</v>
      </c>
      <c r="AR16" s="50">
        <f>County!AD737</f>
        <v>0</v>
      </c>
      <c r="AS16" s="51">
        <f t="shared" si="18"/>
        <v>0</v>
      </c>
      <c r="AT16" s="50">
        <f>County!AE737</f>
        <v>82</v>
      </c>
      <c r="AU16" s="51">
        <f t="shared" si="19"/>
        <v>1.4656401227920444E-5</v>
      </c>
      <c r="AV16" s="50">
        <f>County!AF737</f>
        <v>0</v>
      </c>
      <c r="AW16" s="51">
        <f t="shared" si="20"/>
        <v>0</v>
      </c>
      <c r="AX16" s="50">
        <f>County!AG737</f>
        <v>0</v>
      </c>
      <c r="AY16" s="51">
        <f t="shared" si="20"/>
        <v>0</v>
      </c>
      <c r="AZ16" s="50">
        <f>County!AH737</f>
        <v>0</v>
      </c>
      <c r="BA16" s="51">
        <f t="shared" si="21"/>
        <v>0</v>
      </c>
      <c r="BB16" s="50">
        <f>County!AI737</f>
        <v>0</v>
      </c>
      <c r="BC16" s="51">
        <f t="shared" si="22"/>
        <v>0</v>
      </c>
      <c r="BD16" s="50">
        <f>County!AJ737</f>
        <v>0</v>
      </c>
      <c r="BE16" s="51">
        <f t="shared" si="22"/>
        <v>0</v>
      </c>
      <c r="BF16" s="50">
        <f>County!AK737</f>
        <v>0</v>
      </c>
      <c r="BG16" s="51">
        <f t="shared" si="23"/>
        <v>0</v>
      </c>
      <c r="BH16" s="50">
        <f>County!AL737</f>
        <v>0</v>
      </c>
      <c r="BI16" s="51">
        <f t="shared" si="24"/>
        <v>0</v>
      </c>
      <c r="BJ16" s="50">
        <f>County!AM737</f>
        <v>20</v>
      </c>
      <c r="BK16" s="51">
        <f t="shared" si="25"/>
        <v>3.5747320068098644E-6</v>
      </c>
      <c r="BL16" s="50">
        <f>County!AN737</f>
        <v>0</v>
      </c>
      <c r="BM16" s="51">
        <f t="shared" si="26"/>
        <v>0</v>
      </c>
      <c r="BN16" s="50">
        <f>County!AO737</f>
        <v>0</v>
      </c>
      <c r="BO16" s="51">
        <f t="shared" si="27"/>
        <v>0</v>
      </c>
      <c r="BP16" s="50">
        <f>County!AP737</f>
        <v>0</v>
      </c>
      <c r="BQ16" s="51">
        <f t="shared" si="28"/>
        <v>0</v>
      </c>
      <c r="BR16" s="50">
        <f>County!AQ737</f>
        <v>0</v>
      </c>
      <c r="BS16" s="51">
        <f t="shared" si="29"/>
        <v>0</v>
      </c>
      <c r="BT16" s="50">
        <f>County!AR737</f>
        <v>0</v>
      </c>
      <c r="BU16" s="51">
        <f t="shared" si="30"/>
        <v>0</v>
      </c>
      <c r="BV16" s="50">
        <f>County!AS737</f>
        <v>0</v>
      </c>
      <c r="BW16" s="51">
        <f t="shared" si="31"/>
        <v>0</v>
      </c>
      <c r="BX16" s="50">
        <f>County!AT737</f>
        <v>0</v>
      </c>
      <c r="BY16" s="51">
        <f t="shared" si="32"/>
        <v>0</v>
      </c>
      <c r="BZ16" s="50">
        <f>County!AU737</f>
        <v>0</v>
      </c>
      <c r="CA16" s="51">
        <f t="shared" si="33"/>
        <v>0</v>
      </c>
      <c r="CB16" s="58"/>
      <c r="CC16" s="47" t="str">
        <f t="shared" si="34"/>
        <v>Illinois</v>
      </c>
      <c r="CD16" s="47" t="s">
        <v>1368</v>
      </c>
      <c r="CE16" s="47">
        <f t="shared" si="35"/>
        <v>20</v>
      </c>
      <c r="CF16" s="48">
        <f>RANK(R16,(L16:Q16,R16:Y16,AD16:AW16))</f>
        <v>3</v>
      </c>
      <c r="CG16" s="48">
        <f>RANK(T16,(L16:Q16,R16:Y16,AD16:AW16))</f>
        <v>4</v>
      </c>
      <c r="CH16" s="48">
        <f>RANK(X16,(L16:Q16,R16:Y16,AD16:AW16))</f>
        <v>19</v>
      </c>
      <c r="CI16" s="48">
        <f>RANK(V16,(L16:Q16,R16:Y16,AD16:AW16))</f>
        <v>7</v>
      </c>
      <c r="CK16" s="47">
        <v>17</v>
      </c>
      <c r="CM16" s="50">
        <f>County!BO737</f>
        <v>0</v>
      </c>
      <c r="CO16" s="47">
        <f t="shared" si="36"/>
        <v>20</v>
      </c>
      <c r="CP16" s="47">
        <v>0</v>
      </c>
      <c r="CR16" s="50">
        <f>County!CC737</f>
        <v>0</v>
      </c>
      <c r="CS16" s="51">
        <f t="shared" si="37"/>
        <v>0</v>
      </c>
    </row>
    <row r="17" spans="1:97" s="34" customFormat="1">
      <c r="A17" s="34" t="s">
        <v>150</v>
      </c>
      <c r="B17" s="34">
        <v>11</v>
      </c>
      <c r="C17" s="37">
        <f t="shared" si="38"/>
        <v>2757965</v>
      </c>
      <c r="D17" s="36"/>
      <c r="E17" s="36">
        <v>11</v>
      </c>
      <c r="F17" s="36"/>
      <c r="G17" s="83">
        <f t="shared" si="0"/>
        <v>2</v>
      </c>
      <c r="H17" s="83">
        <f t="shared" si="1"/>
        <v>1</v>
      </c>
      <c r="I17" s="83" t="str">
        <f t="shared" si="2"/>
        <v>-</v>
      </c>
      <c r="J17" s="1">
        <f t="shared" si="39"/>
        <v>524160</v>
      </c>
      <c r="K17" s="38">
        <f t="shared" si="40"/>
        <v>0.19005317326362009</v>
      </c>
      <c r="L17" s="37">
        <f>County!N831</f>
        <v>1033126</v>
      </c>
      <c r="M17" s="38">
        <f t="shared" si="41"/>
        <v>0.37459721207484503</v>
      </c>
      <c r="N17" s="73">
        <f>County!O831</f>
        <v>1557286</v>
      </c>
      <c r="O17" s="74">
        <f t="shared" si="3"/>
        <v>0.56465038533846512</v>
      </c>
      <c r="P17" s="73">
        <f>County!P831</f>
        <v>0</v>
      </c>
      <c r="Q17" s="74">
        <f t="shared" si="4"/>
        <v>0</v>
      </c>
      <c r="R17" s="73">
        <f>County!Q831</f>
        <v>133993</v>
      </c>
      <c r="S17" s="74">
        <f t="shared" si="5"/>
        <v>4.8584010311951024E-2</v>
      </c>
      <c r="T17" s="73">
        <f>County!R831</f>
        <v>7841</v>
      </c>
      <c r="U17" s="74">
        <f t="shared" si="6"/>
        <v>2.8430382546551533E-3</v>
      </c>
      <c r="V17" s="73">
        <f>County!S831</f>
        <v>1937</v>
      </c>
      <c r="W17" s="74">
        <f t="shared" si="7"/>
        <v>7.0232943492756436E-4</v>
      </c>
      <c r="X17" s="73">
        <f>County!T831</f>
        <v>21</v>
      </c>
      <c r="Y17" s="74">
        <f t="shared" si="8"/>
        <v>7.6143098262668306E-6</v>
      </c>
      <c r="Z17" s="73">
        <f>County!U831</f>
        <v>57</v>
      </c>
      <c r="AA17" s="74">
        <f t="shared" si="9"/>
        <v>2.0667412385581399E-5</v>
      </c>
      <c r="AB17" s="73">
        <f>County!V831</f>
        <v>0</v>
      </c>
      <c r="AC17" s="74">
        <f t="shared" si="10"/>
        <v>0</v>
      </c>
      <c r="AD17" s="73">
        <f>County!W831</f>
        <v>23354</v>
      </c>
      <c r="AE17" s="74">
        <f t="shared" si="11"/>
        <v>8.4678376991731228E-3</v>
      </c>
      <c r="AF17" s="73">
        <f>County!X831</f>
        <v>0</v>
      </c>
      <c r="AG17" s="74">
        <f t="shared" si="12"/>
        <v>0</v>
      </c>
      <c r="AH17" s="37">
        <f>County!Y831</f>
        <v>269</v>
      </c>
      <c r="AI17" s="38">
        <f t="shared" si="13"/>
        <v>9.753568301265607E-5</v>
      </c>
      <c r="AJ17" s="37">
        <f>County!Z831</f>
        <v>25</v>
      </c>
      <c r="AK17" s="38">
        <f t="shared" si="14"/>
        <v>9.0646545550795612E-6</v>
      </c>
      <c r="AL17" s="37">
        <f>County!AA831</f>
        <v>0</v>
      </c>
      <c r="AM17" s="38">
        <f t="shared" si="15"/>
        <v>0</v>
      </c>
      <c r="AN17" s="37">
        <f>County!AB831</f>
        <v>0</v>
      </c>
      <c r="AO17" s="38">
        <f t="shared" si="16"/>
        <v>0</v>
      </c>
      <c r="AP17" s="37">
        <f>County!AC831</f>
        <v>0</v>
      </c>
      <c r="AQ17" s="38">
        <f t="shared" si="17"/>
        <v>0</v>
      </c>
      <c r="AR17" s="37">
        <f>County!AD831</f>
        <v>0</v>
      </c>
      <c r="AS17" s="38">
        <f t="shared" si="18"/>
        <v>0</v>
      </c>
      <c r="AT17" s="37">
        <f>County!AE831</f>
        <v>49</v>
      </c>
      <c r="AU17" s="38">
        <f t="shared" si="19"/>
        <v>1.7766722927955938E-5</v>
      </c>
      <c r="AV17" s="37">
        <f>County!AF831</f>
        <v>0</v>
      </c>
      <c r="AW17" s="38">
        <f t="shared" si="20"/>
        <v>0</v>
      </c>
      <c r="AX17" s="37">
        <f>County!AG831</f>
        <v>0</v>
      </c>
      <c r="AY17" s="38">
        <f t="shared" si="20"/>
        <v>0</v>
      </c>
      <c r="AZ17" s="37">
        <f>County!AH831</f>
        <v>0</v>
      </c>
      <c r="BA17" s="38">
        <f t="shared" si="21"/>
        <v>0</v>
      </c>
      <c r="BB17" s="37">
        <f>County!AI831</f>
        <v>0</v>
      </c>
      <c r="BC17" s="38">
        <f t="shared" si="22"/>
        <v>0</v>
      </c>
      <c r="BD17" s="37">
        <f>County!AJ831</f>
        <v>0</v>
      </c>
      <c r="BE17" s="38">
        <f t="shared" si="22"/>
        <v>0</v>
      </c>
      <c r="BF17" s="37">
        <f>County!AK831</f>
        <v>0</v>
      </c>
      <c r="BG17" s="38">
        <f t="shared" si="23"/>
        <v>0</v>
      </c>
      <c r="BH17" s="37">
        <f>County!AL831</f>
        <v>0</v>
      </c>
      <c r="BI17" s="38">
        <f t="shared" si="24"/>
        <v>0</v>
      </c>
      <c r="BJ17" s="37">
        <f>County!AM831</f>
        <v>7</v>
      </c>
      <c r="BK17" s="38">
        <f t="shared" si="25"/>
        <v>2.5381032754222769E-6</v>
      </c>
      <c r="BL17" s="37">
        <f>County!AN831</f>
        <v>0</v>
      </c>
      <c r="BM17" s="38">
        <f t="shared" si="26"/>
        <v>0</v>
      </c>
      <c r="BN17" s="37">
        <f>County!AO831</f>
        <v>0</v>
      </c>
      <c r="BO17" s="38">
        <f t="shared" si="27"/>
        <v>0</v>
      </c>
      <c r="BP17" s="37">
        <f>County!AP831</f>
        <v>0</v>
      </c>
      <c r="BQ17" s="38">
        <f t="shared" si="28"/>
        <v>0</v>
      </c>
      <c r="BR17" s="37">
        <f>County!AQ831</f>
        <v>0</v>
      </c>
      <c r="BS17" s="38">
        <f t="shared" si="29"/>
        <v>0</v>
      </c>
      <c r="BT17" s="37">
        <f>County!AR831</f>
        <v>0</v>
      </c>
      <c r="BU17" s="38">
        <f t="shared" si="30"/>
        <v>0</v>
      </c>
      <c r="BV17" s="37">
        <f>County!AS831</f>
        <v>0</v>
      </c>
      <c r="BW17" s="38">
        <f t="shared" si="31"/>
        <v>0</v>
      </c>
      <c r="BX17" s="37">
        <f>County!AT831</f>
        <v>0</v>
      </c>
      <c r="BY17" s="38">
        <f t="shared" si="32"/>
        <v>0</v>
      </c>
      <c r="BZ17" s="37">
        <f>County!AU831</f>
        <v>0</v>
      </c>
      <c r="CA17" s="38">
        <f t="shared" si="33"/>
        <v>0</v>
      </c>
      <c r="CB17" s="59"/>
      <c r="CC17" s="34" t="str">
        <f t="shared" si="34"/>
        <v>Indiana</v>
      </c>
      <c r="CD17" s="34" t="s">
        <v>148</v>
      </c>
      <c r="CE17" s="34">
        <f t="shared" si="35"/>
        <v>11</v>
      </c>
      <c r="CF17" s="35">
        <f>RANK(R17,(L17:Q17,R17:Y17,AD17:AW17))</f>
        <v>3</v>
      </c>
      <c r="CG17" s="35">
        <f>RANK(T17,(L17:Q17,R17:Y17,AD17:AW17))</f>
        <v>5</v>
      </c>
      <c r="CH17" s="35">
        <f>RANK(X17,(L17:Q17,R17:Y17,AD17:AW17))</f>
        <v>10</v>
      </c>
      <c r="CI17" s="35">
        <f>RANK(V17,(L17:Q17,R17:Y17,AD17:AW17))</f>
        <v>6</v>
      </c>
      <c r="CK17" s="34">
        <v>18</v>
      </c>
      <c r="CM17" s="37">
        <f>County!BO831</f>
        <v>0</v>
      </c>
      <c r="CO17" s="34">
        <f t="shared" si="36"/>
        <v>11</v>
      </c>
      <c r="CP17" s="34">
        <v>0</v>
      </c>
      <c r="CR17" s="37">
        <f>County!CC831</f>
        <v>0</v>
      </c>
      <c r="CS17" s="38">
        <f t="shared" si="37"/>
        <v>0</v>
      </c>
    </row>
    <row r="18" spans="1:97" s="47" customFormat="1">
      <c r="A18" s="47" t="s">
        <v>1621</v>
      </c>
      <c r="B18" s="47">
        <v>6</v>
      </c>
      <c r="C18" s="50">
        <f t="shared" si="38"/>
        <v>1566031</v>
      </c>
      <c r="D18" s="49"/>
      <c r="E18" s="49">
        <v>6</v>
      </c>
      <c r="F18" s="49"/>
      <c r="G18" s="82">
        <f t="shared" si="0"/>
        <v>2</v>
      </c>
      <c r="H18" s="82">
        <f t="shared" si="1"/>
        <v>1</v>
      </c>
      <c r="I18" s="82">
        <f t="shared" si="2"/>
        <v>5</v>
      </c>
      <c r="J18" s="50">
        <f t="shared" si="39"/>
        <v>147314</v>
      </c>
      <c r="K18" s="51">
        <f t="shared" si="40"/>
        <v>9.4068380510986052E-2</v>
      </c>
      <c r="L18" s="50">
        <f>County!N932</f>
        <v>653669</v>
      </c>
      <c r="M18" s="51">
        <f t="shared" si="41"/>
        <v>0.41740489172947409</v>
      </c>
      <c r="N18" s="72">
        <f>County!O932</f>
        <v>800983</v>
      </c>
      <c r="O18" s="105">
        <f t="shared" si="3"/>
        <v>0.51147327224046013</v>
      </c>
      <c r="P18" s="72">
        <f>County!P932</f>
        <v>12366</v>
      </c>
      <c r="Q18" s="105">
        <f t="shared" si="4"/>
        <v>7.8963954097971238E-3</v>
      </c>
      <c r="R18" s="72">
        <f>County!Q932</f>
        <v>59186</v>
      </c>
      <c r="S18" s="105">
        <f t="shared" si="5"/>
        <v>3.7793632437672052E-2</v>
      </c>
      <c r="T18" s="72">
        <f>County!R932</f>
        <v>11479</v>
      </c>
      <c r="U18" s="105">
        <f t="shared" si="6"/>
        <v>7.3299953832331542E-3</v>
      </c>
      <c r="V18" s="72">
        <f>County!S932</f>
        <v>5335</v>
      </c>
      <c r="W18" s="105">
        <f t="shared" si="7"/>
        <v>3.4067013999084308E-3</v>
      </c>
      <c r="X18" s="72">
        <f>County!T932</f>
        <v>451</v>
      </c>
      <c r="Y18" s="105">
        <f t="shared" si="8"/>
        <v>2.8798919050772304E-4</v>
      </c>
      <c r="Z18" s="72">
        <f>County!U932</f>
        <v>0</v>
      </c>
      <c r="AA18" s="105">
        <f t="shared" si="9"/>
        <v>0</v>
      </c>
      <c r="AB18" s="72">
        <f>County!V932</f>
        <v>323</v>
      </c>
      <c r="AC18" s="105">
        <f t="shared" si="10"/>
        <v>2.0625389918845795E-4</v>
      </c>
      <c r="AD18" s="72">
        <f>County!W932</f>
        <v>17746</v>
      </c>
      <c r="AE18" s="105">
        <f t="shared" si="11"/>
        <v>1.1331831873059984E-2</v>
      </c>
      <c r="AF18" s="72">
        <f>County!X932</f>
        <v>0</v>
      </c>
      <c r="AG18" s="105">
        <f t="shared" si="12"/>
        <v>0</v>
      </c>
      <c r="AH18" s="50">
        <f>County!Y932</f>
        <v>0</v>
      </c>
      <c r="AI18" s="51">
        <f t="shared" si="13"/>
        <v>0</v>
      </c>
      <c r="AJ18" s="50">
        <f>County!Z932</f>
        <v>0</v>
      </c>
      <c r="AK18" s="51">
        <f t="shared" si="14"/>
        <v>0</v>
      </c>
      <c r="AL18" s="50">
        <f>County!AA932</f>
        <v>0</v>
      </c>
      <c r="AM18" s="51">
        <f t="shared" si="15"/>
        <v>0</v>
      </c>
      <c r="AN18" s="50">
        <f>County!AB932</f>
        <v>0</v>
      </c>
      <c r="AO18" s="51">
        <f t="shared" si="16"/>
        <v>0</v>
      </c>
      <c r="AP18" s="50">
        <f>County!AC932</f>
        <v>2246</v>
      </c>
      <c r="AQ18" s="51">
        <f t="shared" si="17"/>
        <v>1.4341989398677292E-3</v>
      </c>
      <c r="AR18" s="50">
        <f>County!AD932</f>
        <v>0</v>
      </c>
      <c r="AS18" s="51">
        <f t="shared" si="18"/>
        <v>0</v>
      </c>
      <c r="AT18" s="50">
        <f>County!AE932</f>
        <v>0</v>
      </c>
      <c r="AU18" s="51">
        <f t="shared" si="19"/>
        <v>0</v>
      </c>
      <c r="AV18" s="50">
        <f>County!AF932</f>
        <v>0</v>
      </c>
      <c r="AW18" s="51">
        <f t="shared" si="20"/>
        <v>0</v>
      </c>
      <c r="AX18" s="50">
        <f>County!AG932</f>
        <v>0</v>
      </c>
      <c r="AY18" s="51">
        <f t="shared" si="20"/>
        <v>0</v>
      </c>
      <c r="AZ18" s="50">
        <f>County!AH932</f>
        <v>0</v>
      </c>
      <c r="BA18" s="51">
        <f t="shared" si="21"/>
        <v>0</v>
      </c>
      <c r="BB18" s="50">
        <f>County!AI932</f>
        <v>0</v>
      </c>
      <c r="BC18" s="51">
        <f t="shared" si="22"/>
        <v>0</v>
      </c>
      <c r="BD18" s="50">
        <f>County!AJ932</f>
        <v>0</v>
      </c>
      <c r="BE18" s="51">
        <f t="shared" si="22"/>
        <v>0</v>
      </c>
      <c r="BF18" s="50">
        <f>County!AK932</f>
        <v>0</v>
      </c>
      <c r="BG18" s="51">
        <f t="shared" si="23"/>
        <v>0</v>
      </c>
      <c r="BH18" s="50">
        <f>County!AL932</f>
        <v>2247</v>
      </c>
      <c r="BI18" s="51">
        <f t="shared" si="24"/>
        <v>1.4348374968311611E-3</v>
      </c>
      <c r="BJ18" s="50">
        <f>County!AM932</f>
        <v>0</v>
      </c>
      <c r="BK18" s="51">
        <f t="shared" si="25"/>
        <v>0</v>
      </c>
      <c r="BL18" s="50">
        <f>County!AN932</f>
        <v>0</v>
      </c>
      <c r="BM18" s="51">
        <f t="shared" si="26"/>
        <v>0</v>
      </c>
      <c r="BN18" s="50">
        <f>County!AO932</f>
        <v>0</v>
      </c>
      <c r="BO18" s="51">
        <f t="shared" si="27"/>
        <v>0</v>
      </c>
      <c r="BP18" s="50">
        <f>County!AP932</f>
        <v>0</v>
      </c>
      <c r="BQ18" s="51">
        <f t="shared" si="28"/>
        <v>0</v>
      </c>
      <c r="BR18" s="50">
        <f>County!AQ932</f>
        <v>0</v>
      </c>
      <c r="BS18" s="51">
        <f t="shared" si="29"/>
        <v>0</v>
      </c>
      <c r="BT18" s="50">
        <f>County!AR932</f>
        <v>0</v>
      </c>
      <c r="BU18" s="51">
        <f t="shared" si="30"/>
        <v>0</v>
      </c>
      <c r="BV18" s="50">
        <f>County!AS932</f>
        <v>0</v>
      </c>
      <c r="BW18" s="51">
        <f t="shared" si="31"/>
        <v>0</v>
      </c>
      <c r="BX18" s="50">
        <f>County!AT932</f>
        <v>0</v>
      </c>
      <c r="BY18" s="51">
        <f t="shared" si="32"/>
        <v>0</v>
      </c>
      <c r="BZ18" s="50">
        <f>County!AU932</f>
        <v>0</v>
      </c>
      <c r="CA18" s="51">
        <f t="shared" si="33"/>
        <v>0</v>
      </c>
      <c r="CB18" s="58"/>
      <c r="CC18" s="47" t="str">
        <f t="shared" si="34"/>
        <v>Iowa</v>
      </c>
      <c r="CD18" s="47" t="s">
        <v>1622</v>
      </c>
      <c r="CE18" s="47">
        <f t="shared" si="35"/>
        <v>6</v>
      </c>
      <c r="CF18" s="48">
        <f>RANK(R18,(L18:Q18,R18:Y18,AD18:AW18))</f>
        <v>3</v>
      </c>
      <c r="CG18" s="48">
        <f>RANK(T18,(L18:Q18,R18:Y18,AD18:AW18))</f>
        <v>6</v>
      </c>
      <c r="CH18" s="48">
        <f>RANK(X18,(L18:Q18,R18:Y18,AD18:AW18))</f>
        <v>9</v>
      </c>
      <c r="CI18" s="48">
        <f>RANK(V18,(L18:Q18,R18:Y18,AD18:AW18))</f>
        <v>7</v>
      </c>
      <c r="CK18" s="47">
        <v>19</v>
      </c>
      <c r="CM18" s="50">
        <f>County!BO932</f>
        <v>12914</v>
      </c>
      <c r="CO18" s="47">
        <f t="shared" si="36"/>
        <v>6</v>
      </c>
      <c r="CP18" s="47">
        <v>0</v>
      </c>
      <c r="CR18" s="50">
        <f>County!CC932</f>
        <v>0</v>
      </c>
      <c r="CS18" s="51">
        <f t="shared" si="37"/>
        <v>0</v>
      </c>
    </row>
    <row r="19" spans="1:97" s="34" customFormat="1">
      <c r="A19" s="34" t="s">
        <v>90</v>
      </c>
      <c r="B19" s="34">
        <v>6</v>
      </c>
      <c r="C19" s="37">
        <f t="shared" si="38"/>
        <v>1194755</v>
      </c>
      <c r="D19" s="36"/>
      <c r="E19" s="36">
        <v>6</v>
      </c>
      <c r="F19" s="36"/>
      <c r="G19" s="83">
        <f t="shared" si="0"/>
        <v>2</v>
      </c>
      <c r="H19" s="83">
        <f t="shared" si="1"/>
        <v>1</v>
      </c>
      <c r="I19" s="83">
        <f t="shared" si="2"/>
        <v>6</v>
      </c>
      <c r="J19" s="1">
        <f t="shared" si="39"/>
        <v>244013</v>
      </c>
      <c r="K19" s="38">
        <f t="shared" si="40"/>
        <v>0.20423685190687629</v>
      </c>
      <c r="L19" s="37">
        <f>County!N1039</f>
        <v>427005</v>
      </c>
      <c r="M19" s="38">
        <f t="shared" si="41"/>
        <v>0.35739963423463389</v>
      </c>
      <c r="N19" s="73">
        <f>County!O1039</f>
        <v>671018</v>
      </c>
      <c r="O19" s="74">
        <f t="shared" si="3"/>
        <v>0.56163648614151018</v>
      </c>
      <c r="P19" s="73">
        <f>County!P1039</f>
        <v>6520</v>
      </c>
      <c r="Q19" s="74">
        <f t="shared" si="4"/>
        <v>5.4571857828592469E-3</v>
      </c>
      <c r="R19" s="73">
        <f>County!Q1039</f>
        <v>55406</v>
      </c>
      <c r="S19" s="74">
        <f t="shared" si="5"/>
        <v>4.6374361270720775E-2</v>
      </c>
      <c r="T19" s="73">
        <f>County!R1039</f>
        <v>23506</v>
      </c>
      <c r="U19" s="74">
        <f t="shared" si="6"/>
        <v>1.9674326535565868E-2</v>
      </c>
      <c r="V19" s="73">
        <f>County!S1039</f>
        <v>646</v>
      </c>
      <c r="W19" s="74">
        <f t="shared" si="7"/>
        <v>5.4069662817899907E-4</v>
      </c>
      <c r="X19" s="73">
        <f>County!T1039</f>
        <v>3</v>
      </c>
      <c r="Y19" s="74">
        <f t="shared" si="8"/>
        <v>2.510975053462844E-6</v>
      </c>
      <c r="Z19" s="73">
        <f>County!U1039</f>
        <v>0</v>
      </c>
      <c r="AA19" s="74">
        <f t="shared" si="9"/>
        <v>0</v>
      </c>
      <c r="AB19" s="73">
        <f>County!V1039</f>
        <v>7</v>
      </c>
      <c r="AC19" s="74">
        <f t="shared" si="10"/>
        <v>5.8589417914133025E-6</v>
      </c>
      <c r="AD19" s="73">
        <f>County!W1039</f>
        <v>10374</v>
      </c>
      <c r="AE19" s="74">
        <f t="shared" si="11"/>
        <v>8.6829517348745132E-3</v>
      </c>
      <c r="AF19" s="73">
        <f>County!X1039</f>
        <v>0</v>
      </c>
      <c r="AG19" s="74">
        <f t="shared" si="12"/>
        <v>0</v>
      </c>
      <c r="AH19" s="37">
        <f>County!Y1039</f>
        <v>45</v>
      </c>
      <c r="AI19" s="38">
        <f t="shared" si="13"/>
        <v>3.766462580194266E-5</v>
      </c>
      <c r="AJ19" s="37">
        <f>County!Z1039</f>
        <v>0</v>
      </c>
      <c r="AK19" s="38">
        <f t="shared" si="14"/>
        <v>0</v>
      </c>
      <c r="AL19" s="37">
        <f>County!AA1039</f>
        <v>0</v>
      </c>
      <c r="AM19" s="38">
        <f t="shared" si="15"/>
        <v>0</v>
      </c>
      <c r="AN19" s="37">
        <f>County!AB1039</f>
        <v>0</v>
      </c>
      <c r="AO19" s="38">
        <f t="shared" si="16"/>
        <v>0</v>
      </c>
      <c r="AP19" s="37">
        <f>County!AC1039</f>
        <v>0</v>
      </c>
      <c r="AQ19" s="38">
        <f t="shared" si="17"/>
        <v>0</v>
      </c>
      <c r="AR19" s="37">
        <f>County!AD1039</f>
        <v>3</v>
      </c>
      <c r="AS19" s="38">
        <f t="shared" si="18"/>
        <v>2.510975053462844E-6</v>
      </c>
      <c r="AT19" s="37">
        <f>County!AE1039</f>
        <v>0</v>
      </c>
      <c r="AU19" s="38">
        <f t="shared" si="19"/>
        <v>0</v>
      </c>
      <c r="AV19" s="37">
        <f>County!AF1039</f>
        <v>0</v>
      </c>
      <c r="AW19" s="38">
        <f t="shared" si="20"/>
        <v>0</v>
      </c>
      <c r="AX19" s="37">
        <f>County!AG1039</f>
        <v>0</v>
      </c>
      <c r="AY19" s="38">
        <f t="shared" si="20"/>
        <v>0</v>
      </c>
      <c r="AZ19" s="37">
        <f>County!AH1039</f>
        <v>0</v>
      </c>
      <c r="BA19" s="38">
        <f t="shared" si="21"/>
        <v>0</v>
      </c>
      <c r="BB19" s="37">
        <f>County!AI1039</f>
        <v>0</v>
      </c>
      <c r="BC19" s="38">
        <f t="shared" si="22"/>
        <v>0</v>
      </c>
      <c r="BD19" s="37">
        <f>County!AJ1039</f>
        <v>0</v>
      </c>
      <c r="BE19" s="38">
        <f t="shared" si="22"/>
        <v>0</v>
      </c>
      <c r="BF19" s="37">
        <f>County!AK1039</f>
        <v>0</v>
      </c>
      <c r="BG19" s="38">
        <f t="shared" si="23"/>
        <v>0</v>
      </c>
      <c r="BH19" s="37">
        <f>County!AL1039</f>
        <v>2</v>
      </c>
      <c r="BI19" s="38">
        <f t="shared" si="24"/>
        <v>1.6739833689752293E-6</v>
      </c>
      <c r="BJ19" s="37">
        <f>County!AM1039</f>
        <v>0</v>
      </c>
      <c r="BK19" s="38">
        <f t="shared" si="25"/>
        <v>0</v>
      </c>
      <c r="BL19" s="37">
        <f>County!AN1039</f>
        <v>214</v>
      </c>
      <c r="BM19" s="38">
        <f t="shared" si="26"/>
        <v>1.7911622048034952E-4</v>
      </c>
      <c r="BN19" s="37">
        <f>County!AO1039</f>
        <v>0</v>
      </c>
      <c r="BO19" s="38">
        <f t="shared" si="27"/>
        <v>0</v>
      </c>
      <c r="BP19" s="37">
        <f>County!AP1039</f>
        <v>0</v>
      </c>
      <c r="BQ19" s="38">
        <f t="shared" si="28"/>
        <v>0</v>
      </c>
      <c r="BR19" s="37">
        <f>County!AQ1039</f>
        <v>6</v>
      </c>
      <c r="BS19" s="38">
        <f t="shared" si="29"/>
        <v>5.021950106925688E-6</v>
      </c>
      <c r="BT19" s="37">
        <f>County!AR1039</f>
        <v>0</v>
      </c>
      <c r="BU19" s="38">
        <f t="shared" si="30"/>
        <v>0</v>
      </c>
      <c r="BV19" s="37">
        <f>County!AS1039</f>
        <v>0</v>
      </c>
      <c r="BW19" s="38">
        <f t="shared" si="31"/>
        <v>0</v>
      </c>
      <c r="BX19" s="37">
        <f>County!AT1039</f>
        <v>0</v>
      </c>
      <c r="BY19" s="38">
        <f t="shared" si="32"/>
        <v>0</v>
      </c>
      <c r="BZ19" s="37">
        <f>County!AU1039</f>
        <v>0</v>
      </c>
      <c r="CA19" s="38">
        <f t="shared" si="33"/>
        <v>0</v>
      </c>
      <c r="CB19" s="59"/>
      <c r="CC19" s="34" t="str">
        <f t="shared" si="34"/>
        <v>Kansas</v>
      </c>
      <c r="CD19" s="34" t="s">
        <v>457</v>
      </c>
      <c r="CE19" s="34">
        <f t="shared" si="35"/>
        <v>6</v>
      </c>
      <c r="CF19" s="35">
        <f>RANK(R19,(L19:Q19,R19:Y19,AD19:AW19))</f>
        <v>3</v>
      </c>
      <c r="CG19" s="35">
        <f>RANK(T19,(L19:Q19,R19:Y19,AD19:AW19))</f>
        <v>4</v>
      </c>
      <c r="CH19" s="35">
        <f>RANK(X19,(L19:Q19,R19:Y19,AD19:AW19))</f>
        <v>9</v>
      </c>
      <c r="CI19" s="35">
        <f>RANK(V19,(L19:Q19,R19:Y19,AD19:AW19))</f>
        <v>7</v>
      </c>
      <c r="CK19" s="34">
        <v>20</v>
      </c>
      <c r="CM19" s="37">
        <f>County!BO1039</f>
        <v>0</v>
      </c>
      <c r="CO19" s="34">
        <f t="shared" si="36"/>
        <v>6</v>
      </c>
      <c r="CP19" s="34">
        <v>0</v>
      </c>
      <c r="CR19" s="37">
        <f>County!CC1039</f>
        <v>0</v>
      </c>
      <c r="CS19" s="38">
        <f t="shared" si="37"/>
        <v>0</v>
      </c>
    </row>
    <row r="20" spans="1:97" s="47" customFormat="1">
      <c r="A20" s="47" t="s">
        <v>2599</v>
      </c>
      <c r="B20" s="47">
        <v>8</v>
      </c>
      <c r="C20" s="50">
        <f t="shared" si="38"/>
        <v>1924150</v>
      </c>
      <c r="D20" s="49"/>
      <c r="E20" s="49">
        <v>8</v>
      </c>
      <c r="F20" s="49"/>
      <c r="G20" s="82">
        <f t="shared" si="0"/>
        <v>2</v>
      </c>
      <c r="H20" s="82">
        <f t="shared" si="1"/>
        <v>1</v>
      </c>
      <c r="I20" s="82">
        <f t="shared" si="2"/>
        <v>4</v>
      </c>
      <c r="J20" s="50">
        <f t="shared" si="39"/>
        <v>574117</v>
      </c>
      <c r="K20" s="51">
        <f t="shared" si="40"/>
        <v>0.29837434711431021</v>
      </c>
      <c r="L20" s="50">
        <f>County!N1161</f>
        <v>628854</v>
      </c>
      <c r="M20" s="51">
        <f t="shared" si="41"/>
        <v>0.32682171348387601</v>
      </c>
      <c r="N20" s="72">
        <f>County!O1161</f>
        <v>1202971</v>
      </c>
      <c r="O20" s="105">
        <f t="shared" si="3"/>
        <v>0.62519606059818622</v>
      </c>
      <c r="P20" s="72">
        <f>County!P1161</f>
        <v>22780</v>
      </c>
      <c r="Q20" s="105">
        <f t="shared" si="4"/>
        <v>1.1838993841436479E-2</v>
      </c>
      <c r="R20" s="72">
        <f>County!Q1161</f>
        <v>53752</v>
      </c>
      <c r="S20" s="105">
        <f t="shared" si="5"/>
        <v>2.7935452017774084E-2</v>
      </c>
      <c r="T20" s="72">
        <f>County!R1161</f>
        <v>13913</v>
      </c>
      <c r="U20" s="105">
        <f t="shared" si="6"/>
        <v>7.2307252553075385E-3</v>
      </c>
      <c r="V20" s="72">
        <f>County!S1161</f>
        <v>438</v>
      </c>
      <c r="W20" s="105">
        <f t="shared" si="7"/>
        <v>2.2763298079671543E-4</v>
      </c>
      <c r="X20" s="72">
        <f>County!T1161</f>
        <v>1128</v>
      </c>
      <c r="Y20" s="105">
        <f t="shared" si="8"/>
        <v>5.8623288205181506E-4</v>
      </c>
      <c r="Z20" s="72">
        <f>County!U1161</f>
        <v>0</v>
      </c>
      <c r="AA20" s="105">
        <f t="shared" si="9"/>
        <v>0</v>
      </c>
      <c r="AB20" s="72">
        <f>County!V1161</f>
        <v>0</v>
      </c>
      <c r="AC20" s="105">
        <f t="shared" si="10"/>
        <v>0</v>
      </c>
      <c r="AD20" s="72">
        <f>County!W1161</f>
        <v>73</v>
      </c>
      <c r="AE20" s="105">
        <f t="shared" si="11"/>
        <v>3.7938830132785905E-5</v>
      </c>
      <c r="AF20" s="72">
        <f>County!X1161</f>
        <v>0</v>
      </c>
      <c r="AG20" s="105">
        <f t="shared" si="12"/>
        <v>0</v>
      </c>
      <c r="AH20" s="50">
        <f>County!Y1161</f>
        <v>39</v>
      </c>
      <c r="AI20" s="51">
        <f t="shared" si="13"/>
        <v>2.0268690070940416E-5</v>
      </c>
      <c r="AJ20" s="50">
        <f>County!Z1161</f>
        <v>2</v>
      </c>
      <c r="AK20" s="51">
        <f t="shared" si="14"/>
        <v>1.03942000363797E-6</v>
      </c>
      <c r="AL20" s="50">
        <f>County!AA1161</f>
        <v>0</v>
      </c>
      <c r="AM20" s="51">
        <f t="shared" si="15"/>
        <v>0</v>
      </c>
      <c r="AN20" s="50">
        <f>County!AB1161</f>
        <v>0</v>
      </c>
      <c r="AO20" s="51">
        <f t="shared" si="16"/>
        <v>0</v>
      </c>
      <c r="AP20" s="50">
        <f>County!AC1161</f>
        <v>0</v>
      </c>
      <c r="AQ20" s="51">
        <f t="shared" si="17"/>
        <v>0</v>
      </c>
      <c r="AR20" s="50">
        <f>County!AD1161</f>
        <v>0</v>
      </c>
      <c r="AS20" s="51">
        <f t="shared" si="18"/>
        <v>0</v>
      </c>
      <c r="AT20" s="50">
        <f>County!AE1161</f>
        <v>8</v>
      </c>
      <c r="AU20" s="51">
        <f t="shared" si="19"/>
        <v>4.1576800145518798E-6</v>
      </c>
      <c r="AV20" s="50">
        <f>County!AF1161</f>
        <v>4</v>
      </c>
      <c r="AW20" s="51">
        <f t="shared" si="20"/>
        <v>2.0788400072759399E-6</v>
      </c>
      <c r="AX20" s="50">
        <f>County!AG1161</f>
        <v>22</v>
      </c>
      <c r="AY20" s="51">
        <f t="shared" si="20"/>
        <v>1.143362004001767E-5</v>
      </c>
      <c r="AZ20" s="50">
        <f>County!AH1161</f>
        <v>0</v>
      </c>
      <c r="BA20" s="51">
        <f t="shared" si="21"/>
        <v>0</v>
      </c>
      <c r="BB20" s="50">
        <f>County!AI1161</f>
        <v>0</v>
      </c>
      <c r="BC20" s="51">
        <f t="shared" si="22"/>
        <v>0</v>
      </c>
      <c r="BD20" s="50">
        <f>County!AJ1161</f>
        <v>0</v>
      </c>
      <c r="BE20" s="51">
        <f t="shared" si="22"/>
        <v>0</v>
      </c>
      <c r="BF20" s="50">
        <f>County!AK1161</f>
        <v>0</v>
      </c>
      <c r="BG20" s="51">
        <f t="shared" si="23"/>
        <v>0</v>
      </c>
      <c r="BH20" s="50">
        <f>County!AL1161</f>
        <v>0</v>
      </c>
      <c r="BI20" s="51">
        <f t="shared" si="24"/>
        <v>0</v>
      </c>
      <c r="BJ20" s="50">
        <f>County!AM1161</f>
        <v>2</v>
      </c>
      <c r="BK20" s="51">
        <f t="shared" si="25"/>
        <v>1.03942000363797E-6</v>
      </c>
      <c r="BL20" s="50">
        <f>County!AN1161</f>
        <v>155</v>
      </c>
      <c r="BM20" s="51">
        <f t="shared" si="26"/>
        <v>8.0555050281942676E-5</v>
      </c>
      <c r="BN20" s="50">
        <f>County!AO1161</f>
        <v>0</v>
      </c>
      <c r="BO20" s="51">
        <f t="shared" si="27"/>
        <v>0</v>
      </c>
      <c r="BP20" s="50">
        <f>County!AP1161</f>
        <v>0</v>
      </c>
      <c r="BQ20" s="51">
        <f t="shared" si="28"/>
        <v>0</v>
      </c>
      <c r="BR20" s="50">
        <f>County!AQ1161</f>
        <v>9</v>
      </c>
      <c r="BS20" s="51">
        <f t="shared" si="29"/>
        <v>4.6773900163708654E-6</v>
      </c>
      <c r="BT20" s="50">
        <f>County!AR1161</f>
        <v>0</v>
      </c>
      <c r="BU20" s="51">
        <f t="shared" si="30"/>
        <v>0</v>
      </c>
      <c r="BV20" s="50">
        <f>County!AS1161</f>
        <v>0</v>
      </c>
      <c r="BW20" s="51">
        <f t="shared" si="31"/>
        <v>0</v>
      </c>
      <c r="BX20" s="50">
        <f>County!AT1161</f>
        <v>0</v>
      </c>
      <c r="BY20" s="51">
        <f t="shared" si="32"/>
        <v>0</v>
      </c>
      <c r="BZ20" s="50">
        <f>County!AU1161</f>
        <v>0</v>
      </c>
      <c r="CA20" s="51">
        <f t="shared" si="33"/>
        <v>0</v>
      </c>
      <c r="CB20" s="58"/>
      <c r="CC20" s="47" t="str">
        <f t="shared" si="34"/>
        <v>Kentucky</v>
      </c>
      <c r="CD20" s="47" t="s">
        <v>1009</v>
      </c>
      <c r="CE20" s="47">
        <f t="shared" si="35"/>
        <v>8</v>
      </c>
      <c r="CF20" s="48">
        <f>RANK(R20,(L20:Q20,R20:Y20,AD20:AW20))</f>
        <v>3</v>
      </c>
      <c r="CG20" s="48">
        <f>RANK(T20,(L20:Q20,R20:Y20,AD20:AW20))</f>
        <v>5</v>
      </c>
      <c r="CH20" s="48">
        <f>RANK(X20,(L20:Q20,R20:Y20,AD20:AW20))</f>
        <v>6</v>
      </c>
      <c r="CI20" s="48">
        <f>RANK(V20,(L20:Q20,R20:Y20,AD20:AW20))</f>
        <v>7</v>
      </c>
      <c r="CK20" s="47">
        <v>21</v>
      </c>
      <c r="CM20" s="50">
        <f>County!BO1161</f>
        <v>0</v>
      </c>
      <c r="CO20" s="47">
        <f t="shared" si="36"/>
        <v>8</v>
      </c>
      <c r="CP20" s="47">
        <v>0</v>
      </c>
      <c r="CR20" s="50">
        <f>County!CC1161</f>
        <v>0</v>
      </c>
      <c r="CS20" s="51">
        <f t="shared" si="37"/>
        <v>0</v>
      </c>
    </row>
    <row r="21" spans="1:97" s="34" customFormat="1">
      <c r="A21" s="34" t="s">
        <v>2451</v>
      </c>
      <c r="B21" s="34">
        <v>8</v>
      </c>
      <c r="C21" s="37">
        <f t="shared" si="38"/>
        <v>2029032</v>
      </c>
      <c r="D21" s="36"/>
      <c r="E21" s="36">
        <v>8</v>
      </c>
      <c r="F21" s="36"/>
      <c r="G21" s="83">
        <f t="shared" si="0"/>
        <v>2</v>
      </c>
      <c r="H21" s="83">
        <f t="shared" si="1"/>
        <v>1</v>
      </c>
      <c r="I21" s="83">
        <f t="shared" si="2"/>
        <v>5</v>
      </c>
      <c r="J21" s="1">
        <f t="shared" si="39"/>
        <v>398484</v>
      </c>
      <c r="K21" s="38">
        <f t="shared" si="40"/>
        <v>0.19639118555054824</v>
      </c>
      <c r="L21" s="37">
        <f>County!N1227</f>
        <v>780154</v>
      </c>
      <c r="M21" s="38">
        <f t="shared" si="41"/>
        <v>0.38449566098513971</v>
      </c>
      <c r="N21" s="73">
        <f>County!O1227</f>
        <v>1178638</v>
      </c>
      <c r="O21" s="74">
        <f t="shared" si="3"/>
        <v>0.58088684653568801</v>
      </c>
      <c r="P21" s="73">
        <f>County!P1227</f>
        <v>8547</v>
      </c>
      <c r="Q21" s="74">
        <f t="shared" si="4"/>
        <v>4.2123534769289003E-3</v>
      </c>
      <c r="R21" s="73">
        <f>County!Q1227</f>
        <v>37978</v>
      </c>
      <c r="S21" s="74">
        <f t="shared" si="5"/>
        <v>1.8717299677875953E-2</v>
      </c>
      <c r="T21" s="73">
        <f>County!R1227</f>
        <v>14031</v>
      </c>
      <c r="U21" s="74">
        <f t="shared" si="6"/>
        <v>6.9151201163904757E-3</v>
      </c>
      <c r="V21" s="73">
        <f>County!S1227</f>
        <v>3129</v>
      </c>
      <c r="W21" s="74">
        <f t="shared" si="7"/>
        <v>1.5421146635439954E-3</v>
      </c>
      <c r="X21" s="73">
        <f>County!T1227</f>
        <v>0</v>
      </c>
      <c r="Y21" s="74">
        <f t="shared" si="8"/>
        <v>0</v>
      </c>
      <c r="Z21" s="73">
        <f>County!U1227</f>
        <v>0</v>
      </c>
      <c r="AA21" s="74">
        <f t="shared" si="9"/>
        <v>0</v>
      </c>
      <c r="AB21" s="73">
        <f>County!V1227</f>
        <v>446</v>
      </c>
      <c r="AC21" s="74">
        <f t="shared" si="10"/>
        <v>2.198092489423528E-4</v>
      </c>
      <c r="AD21" s="73">
        <f>County!W1227</f>
        <v>0</v>
      </c>
      <c r="AE21" s="74">
        <f t="shared" si="11"/>
        <v>0</v>
      </c>
      <c r="AF21" s="73">
        <f>County!X1227</f>
        <v>480</v>
      </c>
      <c r="AG21" s="74">
        <f t="shared" si="12"/>
        <v>2.3656600783033486E-4</v>
      </c>
      <c r="AH21" s="37">
        <f>County!Y1227</f>
        <v>1581</v>
      </c>
      <c r="AI21" s="38">
        <f t="shared" si="13"/>
        <v>7.7918928829116547E-4</v>
      </c>
      <c r="AJ21" s="37">
        <f>County!Z1227</f>
        <v>0</v>
      </c>
      <c r="AK21" s="38">
        <f t="shared" si="14"/>
        <v>0</v>
      </c>
      <c r="AL21" s="37">
        <f>County!AA1227</f>
        <v>0</v>
      </c>
      <c r="AM21" s="38">
        <f t="shared" si="15"/>
        <v>0</v>
      </c>
      <c r="AN21" s="37">
        <f>County!AB1227</f>
        <v>0</v>
      </c>
      <c r="AO21" s="38">
        <f t="shared" si="16"/>
        <v>0</v>
      </c>
      <c r="AP21" s="37">
        <f>County!AC1227</f>
        <v>0</v>
      </c>
      <c r="AQ21" s="38">
        <f t="shared" si="17"/>
        <v>0</v>
      </c>
      <c r="AR21" s="37">
        <f>County!AD1227</f>
        <v>0</v>
      </c>
      <c r="AS21" s="38">
        <f t="shared" si="18"/>
        <v>0</v>
      </c>
      <c r="AT21" s="37">
        <f>County!AE1227</f>
        <v>1048</v>
      </c>
      <c r="AU21" s="38">
        <f t="shared" si="19"/>
        <v>5.1650245042956448E-4</v>
      </c>
      <c r="AV21" s="37">
        <f>County!AF1227</f>
        <v>370</v>
      </c>
      <c r="AW21" s="38">
        <f t="shared" si="20"/>
        <v>1.8235296436921645E-4</v>
      </c>
      <c r="AX21" s="37">
        <f>County!AG1227</f>
        <v>1881</v>
      </c>
      <c r="AY21" s="38">
        <f t="shared" si="20"/>
        <v>9.2704304318512475E-4</v>
      </c>
      <c r="AZ21" s="37">
        <f>County!AH1227</f>
        <v>0</v>
      </c>
      <c r="BA21" s="38">
        <f t="shared" si="21"/>
        <v>0</v>
      </c>
      <c r="BB21" s="37">
        <f>County!AI1227</f>
        <v>0</v>
      </c>
      <c r="BC21" s="38">
        <f t="shared" si="22"/>
        <v>0</v>
      </c>
      <c r="BD21" s="37">
        <f>County!AJ1227</f>
        <v>749</v>
      </c>
      <c r="BE21" s="38">
        <f t="shared" si="22"/>
        <v>3.691415413852517E-4</v>
      </c>
      <c r="BF21" s="37">
        <f>County!AK1227</f>
        <v>0</v>
      </c>
      <c r="BG21" s="38">
        <f t="shared" si="23"/>
        <v>0</v>
      </c>
      <c r="BH21" s="37">
        <f>County!AL1227</f>
        <v>0</v>
      </c>
      <c r="BI21" s="38">
        <f t="shared" si="24"/>
        <v>0</v>
      </c>
      <c r="BJ21" s="37">
        <f>County!AM1227</f>
        <v>0</v>
      </c>
      <c r="BK21" s="38">
        <f t="shared" si="25"/>
        <v>0</v>
      </c>
      <c r="BL21" s="37">
        <f>County!AN1227</f>
        <v>0</v>
      </c>
      <c r="BM21" s="38">
        <f t="shared" si="26"/>
        <v>0</v>
      </c>
      <c r="BN21" s="37">
        <f>County!AO1227</f>
        <v>0</v>
      </c>
      <c r="BO21" s="38">
        <f t="shared" si="27"/>
        <v>0</v>
      </c>
      <c r="BP21" s="37">
        <f>County!AP1227</f>
        <v>0</v>
      </c>
      <c r="BQ21" s="38">
        <f t="shared" si="28"/>
        <v>0</v>
      </c>
      <c r="BR21" s="37">
        <f>County!AQ1227</f>
        <v>0</v>
      </c>
      <c r="BS21" s="38">
        <f t="shared" si="29"/>
        <v>0</v>
      </c>
      <c r="BT21" s="37">
        <f>County!AR1227</f>
        <v>0</v>
      </c>
      <c r="BU21" s="38">
        <f t="shared" si="30"/>
        <v>0</v>
      </c>
      <c r="BV21" s="37">
        <f>County!AS1227</f>
        <v>0</v>
      </c>
      <c r="BW21" s="38">
        <f t="shared" si="31"/>
        <v>0</v>
      </c>
      <c r="BX21" s="37">
        <f>County!AT1227</f>
        <v>0</v>
      </c>
      <c r="BY21" s="38">
        <f t="shared" si="32"/>
        <v>0</v>
      </c>
      <c r="BZ21" s="37">
        <f>County!AU1227</f>
        <v>0</v>
      </c>
      <c r="CA21" s="38">
        <f t="shared" si="33"/>
        <v>0</v>
      </c>
      <c r="CB21" s="59"/>
      <c r="CC21" s="34" t="str">
        <f t="shared" si="34"/>
        <v>Louisiana</v>
      </c>
      <c r="CD21" s="34" t="s">
        <v>320</v>
      </c>
      <c r="CE21" s="34">
        <f t="shared" si="35"/>
        <v>8</v>
      </c>
      <c r="CF21" s="35">
        <f>RANK(R21,(L21:Q21,R21:Y21,AD21:AW21))</f>
        <v>3</v>
      </c>
      <c r="CG21" s="35">
        <f>RANK(T21,(L21:Q21,R21:Y21,AD21:AW21))</f>
        <v>4</v>
      </c>
      <c r="CH21" s="35">
        <f>RANK(X21,(L21:Q21,R21:Y21,AD21:AW21))</f>
        <v>21</v>
      </c>
      <c r="CI21" s="35">
        <f>RANK(V21,(L21:Q21,R21:Y21,AD21:AW21))</f>
        <v>6</v>
      </c>
      <c r="CK21" s="34">
        <v>22</v>
      </c>
      <c r="CM21" s="37">
        <f>County!BO1227</f>
        <v>0</v>
      </c>
      <c r="CO21" s="34">
        <f t="shared" si="36"/>
        <v>8</v>
      </c>
      <c r="CP21" s="34">
        <v>0</v>
      </c>
      <c r="CR21" s="37">
        <f>County!CC1227</f>
        <v>0</v>
      </c>
      <c r="CS21" s="38">
        <f t="shared" si="37"/>
        <v>0</v>
      </c>
    </row>
    <row r="22" spans="1:97" s="47" customFormat="1">
      <c r="A22" s="47" t="s">
        <v>3172</v>
      </c>
      <c r="B22" s="47">
        <v>4</v>
      </c>
      <c r="C22" s="50">
        <f t="shared" si="38"/>
        <v>747927</v>
      </c>
      <c r="D22" s="49">
        <v>3</v>
      </c>
      <c r="E22" s="49">
        <v>1</v>
      </c>
      <c r="F22" s="49"/>
      <c r="G22" s="82">
        <f t="shared" si="0"/>
        <v>1</v>
      </c>
      <c r="H22" s="82">
        <f t="shared" si="1"/>
        <v>2</v>
      </c>
      <c r="I22" s="82">
        <f t="shared" si="2"/>
        <v>5</v>
      </c>
      <c r="J22" s="50">
        <f t="shared" si="39"/>
        <v>22142</v>
      </c>
      <c r="K22" s="51">
        <f t="shared" si="40"/>
        <v>2.9604493486663806E-2</v>
      </c>
      <c r="L22" s="50">
        <f>County!N1246</f>
        <v>357735</v>
      </c>
      <c r="M22" s="51">
        <f t="shared" si="41"/>
        <v>0.47830202680208095</v>
      </c>
      <c r="N22" s="72">
        <f>County!O1246</f>
        <v>335593</v>
      </c>
      <c r="O22" s="105">
        <f t="shared" si="3"/>
        <v>0.44869753331541712</v>
      </c>
      <c r="P22" s="72">
        <f>County!P1246</f>
        <v>1887</v>
      </c>
      <c r="Q22" s="105">
        <f t="shared" si="4"/>
        <v>2.5229734987505465E-3</v>
      </c>
      <c r="R22" s="72">
        <f>County!Q1246</f>
        <v>38105</v>
      </c>
      <c r="S22" s="105">
        <f t="shared" si="5"/>
        <v>5.0947485516634645E-2</v>
      </c>
      <c r="T22" s="72">
        <f>County!R1246</f>
        <v>14251</v>
      </c>
      <c r="U22" s="105">
        <f t="shared" si="6"/>
        <v>1.9053998585423445E-2</v>
      </c>
      <c r="V22" s="72">
        <f>County!S1246</f>
        <v>333</v>
      </c>
      <c r="W22" s="105">
        <f t="shared" si="7"/>
        <v>4.4523061742656703E-4</v>
      </c>
      <c r="X22" s="72">
        <f>County!T1246</f>
        <v>0</v>
      </c>
      <c r="Y22" s="105">
        <f t="shared" si="8"/>
        <v>0</v>
      </c>
      <c r="Z22" s="72">
        <f>County!U1246</f>
        <v>0</v>
      </c>
      <c r="AA22" s="105">
        <f t="shared" si="9"/>
        <v>0</v>
      </c>
      <c r="AB22" s="72">
        <f>County!V1246</f>
        <v>0</v>
      </c>
      <c r="AC22" s="105">
        <f t="shared" si="10"/>
        <v>0</v>
      </c>
      <c r="AD22" s="72">
        <f>County!W1246</f>
        <v>7</v>
      </c>
      <c r="AE22" s="105">
        <f t="shared" si="11"/>
        <v>9.3592021681260338E-6</v>
      </c>
      <c r="AF22" s="72">
        <f>County!X1246</f>
        <v>0</v>
      </c>
      <c r="AG22" s="105">
        <f t="shared" si="12"/>
        <v>0</v>
      </c>
      <c r="AH22" s="50">
        <f>County!Y1246</f>
        <v>0</v>
      </c>
      <c r="AI22" s="51">
        <f t="shared" si="13"/>
        <v>0</v>
      </c>
      <c r="AJ22" s="50">
        <f>County!Z1246</f>
        <v>0</v>
      </c>
      <c r="AK22" s="51">
        <f t="shared" si="14"/>
        <v>0</v>
      </c>
      <c r="AL22" s="50">
        <f>County!AA1246</f>
        <v>0</v>
      </c>
      <c r="AM22" s="51">
        <f t="shared" si="15"/>
        <v>0</v>
      </c>
      <c r="AN22" s="50">
        <f>County!AB1246</f>
        <v>0</v>
      </c>
      <c r="AO22" s="51">
        <f t="shared" si="16"/>
        <v>0</v>
      </c>
      <c r="AP22" s="50">
        <f>County!AC1246</f>
        <v>0</v>
      </c>
      <c r="AQ22" s="51">
        <f t="shared" si="17"/>
        <v>0</v>
      </c>
      <c r="AR22" s="50">
        <f>County!AD1246</f>
        <v>0</v>
      </c>
      <c r="AS22" s="51">
        <f t="shared" si="18"/>
        <v>0</v>
      </c>
      <c r="AT22" s="50">
        <f>County!AE1246</f>
        <v>16</v>
      </c>
      <c r="AU22" s="51">
        <f t="shared" si="19"/>
        <v>2.1392462098573793E-5</v>
      </c>
      <c r="AV22" s="50">
        <f>County!AF1246</f>
        <v>0</v>
      </c>
      <c r="AW22" s="51">
        <f t="shared" si="20"/>
        <v>0</v>
      </c>
      <c r="AX22" s="50">
        <f>County!AG1246</f>
        <v>0</v>
      </c>
      <c r="AY22" s="51">
        <f t="shared" si="20"/>
        <v>0</v>
      </c>
      <c r="AZ22" s="50">
        <f>County!AH1246</f>
        <v>0</v>
      </c>
      <c r="BA22" s="51">
        <f t="shared" si="21"/>
        <v>0</v>
      </c>
      <c r="BB22" s="50">
        <f>County!AI1246</f>
        <v>0</v>
      </c>
      <c r="BC22" s="51">
        <f t="shared" si="22"/>
        <v>0</v>
      </c>
      <c r="BD22" s="50">
        <f>County!AJ1246</f>
        <v>0</v>
      </c>
      <c r="BE22" s="51">
        <f t="shared" si="22"/>
        <v>0</v>
      </c>
      <c r="BF22" s="50">
        <f>County!AK1246</f>
        <v>0</v>
      </c>
      <c r="BG22" s="51">
        <f t="shared" si="23"/>
        <v>0</v>
      </c>
      <c r="BH22" s="50">
        <f>County!AL1246</f>
        <v>0</v>
      </c>
      <c r="BI22" s="51">
        <f t="shared" si="24"/>
        <v>0</v>
      </c>
      <c r="BJ22" s="50">
        <f>County!AM1246</f>
        <v>0</v>
      </c>
      <c r="BK22" s="51">
        <f t="shared" si="25"/>
        <v>0</v>
      </c>
      <c r="BL22" s="50">
        <f>County!AN1246</f>
        <v>0</v>
      </c>
      <c r="BM22" s="51">
        <f t="shared" si="26"/>
        <v>0</v>
      </c>
      <c r="BN22" s="50">
        <f>County!AO1246</f>
        <v>0</v>
      </c>
      <c r="BO22" s="51">
        <f t="shared" si="27"/>
        <v>0</v>
      </c>
      <c r="BP22" s="50">
        <f>County!AP1246</f>
        <v>0</v>
      </c>
      <c r="BQ22" s="51">
        <f t="shared" si="28"/>
        <v>0</v>
      </c>
      <c r="BR22" s="50">
        <f>County!AQ1246</f>
        <v>0</v>
      </c>
      <c r="BS22" s="51">
        <f t="shared" si="29"/>
        <v>0</v>
      </c>
      <c r="BT22" s="50">
        <f>County!AR1246</f>
        <v>0</v>
      </c>
      <c r="BU22" s="51">
        <f t="shared" si="30"/>
        <v>0</v>
      </c>
      <c r="BV22" s="50">
        <f>County!AS1246</f>
        <v>0</v>
      </c>
      <c r="BW22" s="51">
        <f t="shared" si="31"/>
        <v>0</v>
      </c>
      <c r="BX22" s="50">
        <f>County!AT1246</f>
        <v>0</v>
      </c>
      <c r="BY22" s="51">
        <f t="shared" si="32"/>
        <v>0</v>
      </c>
      <c r="BZ22" s="50">
        <f>County!AU1246</f>
        <v>0</v>
      </c>
      <c r="CA22" s="51">
        <f t="shared" si="33"/>
        <v>0</v>
      </c>
      <c r="CB22" s="58"/>
      <c r="CC22" s="47" t="str">
        <f t="shared" si="34"/>
        <v>Maine</v>
      </c>
      <c r="CD22" s="47" t="s">
        <v>1697</v>
      </c>
      <c r="CE22" s="47">
        <f t="shared" si="35"/>
        <v>4</v>
      </c>
      <c r="CF22" s="48">
        <f>RANK(R22,(L22:Q22,R22:Y22,AD22:AW22))</f>
        <v>3</v>
      </c>
      <c r="CG22" s="48">
        <f>RANK(T22,(L22:Q22,R22:Y22,AD22:AW22))</f>
        <v>4</v>
      </c>
      <c r="CH22" s="48">
        <f>RANK(X22,(L22:Q22,R22:Y22,AD22:AW22))</f>
        <v>17</v>
      </c>
      <c r="CI22" s="48">
        <f>RANK(V22,(L22:Q22,R22:Y22,AD22:AW22))</f>
        <v>6</v>
      </c>
      <c r="CK22" s="47">
        <v>23</v>
      </c>
      <c r="CM22" s="50">
        <f>County!BO1246</f>
        <v>23965</v>
      </c>
      <c r="CO22" s="47">
        <f t="shared" si="36"/>
        <v>4</v>
      </c>
      <c r="CP22" s="47">
        <v>7</v>
      </c>
      <c r="CR22" s="50">
        <f>County!CC1246</f>
        <v>0</v>
      </c>
      <c r="CS22" s="51">
        <f t="shared" si="37"/>
        <v>0</v>
      </c>
    </row>
    <row r="23" spans="1:97" s="34" customFormat="1">
      <c r="A23" s="34" t="s">
        <v>2540</v>
      </c>
      <c r="B23" s="34">
        <v>10</v>
      </c>
      <c r="C23" s="37">
        <f t="shared" si="38"/>
        <v>2781446</v>
      </c>
      <c r="D23" s="36">
        <v>10</v>
      </c>
      <c r="E23" s="36"/>
      <c r="F23" s="36"/>
      <c r="G23" s="83">
        <f t="shared" si="0"/>
        <v>1</v>
      </c>
      <c r="H23" s="83">
        <f t="shared" si="1"/>
        <v>2</v>
      </c>
      <c r="I23" s="83">
        <f t="shared" si="2"/>
        <v>6</v>
      </c>
      <c r="J23" s="1">
        <f t="shared" si="39"/>
        <v>734759</v>
      </c>
      <c r="K23" s="38">
        <f t="shared" si="40"/>
        <v>0.26416439506645106</v>
      </c>
      <c r="L23" s="37">
        <f>County!N1272</f>
        <v>1677928</v>
      </c>
      <c r="M23" s="38">
        <f t="shared" si="41"/>
        <v>0.60325744235192769</v>
      </c>
      <c r="N23" s="73">
        <f>County!O1272</f>
        <v>943169</v>
      </c>
      <c r="O23" s="74">
        <f t="shared" si="3"/>
        <v>0.33909304728547668</v>
      </c>
      <c r="P23" s="73">
        <f>County!P1272</f>
        <v>9630</v>
      </c>
      <c r="Q23" s="74">
        <f t="shared" si="4"/>
        <v>3.4622279202975717E-3</v>
      </c>
      <c r="R23" s="73">
        <f>County!Q1272</f>
        <v>79605</v>
      </c>
      <c r="S23" s="74">
        <f t="shared" si="5"/>
        <v>2.8620005565450489E-2</v>
      </c>
      <c r="T23" s="73">
        <f>County!R1272</f>
        <v>35945</v>
      </c>
      <c r="U23" s="74">
        <f t="shared" si="6"/>
        <v>1.2923134225866689E-2</v>
      </c>
      <c r="V23" s="73">
        <f>County!S1272</f>
        <v>566</v>
      </c>
      <c r="W23" s="74">
        <f t="shared" si="7"/>
        <v>2.0349127755850733E-4</v>
      </c>
      <c r="X23" s="73">
        <f>County!T1272</f>
        <v>14</v>
      </c>
      <c r="Y23" s="74">
        <f t="shared" si="8"/>
        <v>5.0333531551574257E-6</v>
      </c>
      <c r="Z23" s="73">
        <f>County!U1272</f>
        <v>6</v>
      </c>
      <c r="AA23" s="74">
        <f t="shared" si="9"/>
        <v>2.1571513522103251E-6</v>
      </c>
      <c r="AB23" s="73">
        <f>County!V1272</f>
        <v>48</v>
      </c>
      <c r="AC23" s="74">
        <f t="shared" si="10"/>
        <v>1.72572108176826E-5</v>
      </c>
      <c r="AD23" s="73">
        <f>County!W1272</f>
        <v>33839</v>
      </c>
      <c r="AE23" s="74">
        <f t="shared" si="11"/>
        <v>1.2165974101240866E-2</v>
      </c>
      <c r="AF23" s="73">
        <f>County!X1272</f>
        <v>0</v>
      </c>
      <c r="AG23" s="74">
        <f t="shared" si="12"/>
        <v>0</v>
      </c>
      <c r="AH23" s="37">
        <f>County!Y1272</f>
        <v>42</v>
      </c>
      <c r="AI23" s="38">
        <f t="shared" si="13"/>
        <v>1.5100059465472276E-5</v>
      </c>
      <c r="AJ23" s="37">
        <f>County!Z1272</f>
        <v>18</v>
      </c>
      <c r="AK23" s="38">
        <f t="shared" si="14"/>
        <v>6.4714540566309752E-6</v>
      </c>
      <c r="AL23" s="37">
        <f>County!AA1272</f>
        <v>0</v>
      </c>
      <c r="AM23" s="38">
        <f t="shared" si="15"/>
        <v>0</v>
      </c>
      <c r="AN23" s="37">
        <f>County!AB1272</f>
        <v>0</v>
      </c>
      <c r="AO23" s="38">
        <f t="shared" si="16"/>
        <v>0</v>
      </c>
      <c r="AP23" s="37">
        <f>County!AC1272</f>
        <v>0</v>
      </c>
      <c r="AQ23" s="38">
        <f t="shared" si="17"/>
        <v>0</v>
      </c>
      <c r="AR23" s="37">
        <f>County!AD1272</f>
        <v>5</v>
      </c>
      <c r="AS23" s="38">
        <f t="shared" si="18"/>
        <v>1.7976261268419377E-6</v>
      </c>
      <c r="AT23" s="37">
        <f>County!AE1272</f>
        <v>73</v>
      </c>
      <c r="AU23" s="38">
        <f t="shared" si="19"/>
        <v>2.6245341451892291E-5</v>
      </c>
      <c r="AV23" s="37">
        <f>County!AF1272</f>
        <v>11</v>
      </c>
      <c r="AW23" s="38">
        <f t="shared" si="20"/>
        <v>3.9547774790522627E-6</v>
      </c>
      <c r="AX23" s="37">
        <f>County!AG1272</f>
        <v>0</v>
      </c>
      <c r="AY23" s="38">
        <f t="shared" si="20"/>
        <v>0</v>
      </c>
      <c r="AZ23" s="37">
        <f>County!AH1272</f>
        <v>0</v>
      </c>
      <c r="BA23" s="38">
        <f t="shared" si="21"/>
        <v>0</v>
      </c>
      <c r="BB23" s="37">
        <f>County!AI1272</f>
        <v>0</v>
      </c>
      <c r="BC23" s="38">
        <f t="shared" si="22"/>
        <v>0</v>
      </c>
      <c r="BD23" s="37">
        <f>County!AJ1272</f>
        <v>0</v>
      </c>
      <c r="BE23" s="38">
        <f t="shared" si="22"/>
        <v>0</v>
      </c>
      <c r="BF23" s="37">
        <f>County!AK1272</f>
        <v>0</v>
      </c>
      <c r="BG23" s="38">
        <f t="shared" si="23"/>
        <v>0</v>
      </c>
      <c r="BH23" s="37">
        <f>County!AL1272</f>
        <v>18</v>
      </c>
      <c r="BI23" s="38">
        <f t="shared" si="24"/>
        <v>6.4714540566309752E-6</v>
      </c>
      <c r="BJ23" s="37">
        <f>County!AM1272</f>
        <v>12</v>
      </c>
      <c r="BK23" s="38">
        <f t="shared" si="25"/>
        <v>4.3143027044206501E-6</v>
      </c>
      <c r="BL23" s="37">
        <f>County!AN1272</f>
        <v>504</v>
      </c>
      <c r="BM23" s="38">
        <f t="shared" si="26"/>
        <v>1.8120071358566732E-4</v>
      </c>
      <c r="BN23" s="37">
        <f>County!AO1272</f>
        <v>0</v>
      </c>
      <c r="BO23" s="38">
        <f t="shared" si="27"/>
        <v>0</v>
      </c>
      <c r="BP23" s="37">
        <f>County!AP1272</f>
        <v>0</v>
      </c>
      <c r="BQ23" s="38">
        <f t="shared" si="28"/>
        <v>0</v>
      </c>
      <c r="BR23" s="37">
        <f>County!AQ1272</f>
        <v>13</v>
      </c>
      <c r="BS23" s="38">
        <f t="shared" si="29"/>
        <v>4.6738279297890375E-6</v>
      </c>
      <c r="BT23" s="37">
        <f>County!AR1272</f>
        <v>0</v>
      </c>
      <c r="BU23" s="38">
        <f t="shared" si="30"/>
        <v>0</v>
      </c>
      <c r="BV23" s="37">
        <f>County!AS1272</f>
        <v>0</v>
      </c>
      <c r="BW23" s="38">
        <f t="shared" si="31"/>
        <v>0</v>
      </c>
      <c r="BX23" s="37">
        <f>County!AT1272</f>
        <v>0</v>
      </c>
      <c r="BY23" s="38">
        <f t="shared" si="32"/>
        <v>0</v>
      </c>
      <c r="BZ23" s="37">
        <f>County!AU1272</f>
        <v>0</v>
      </c>
      <c r="CA23" s="38">
        <f t="shared" si="33"/>
        <v>0</v>
      </c>
      <c r="CB23" s="59"/>
      <c r="CC23" s="34" t="str">
        <f t="shared" si="34"/>
        <v>Maryland</v>
      </c>
      <c r="CD23" s="34" t="s">
        <v>3107</v>
      </c>
      <c r="CE23" s="34">
        <f t="shared" si="35"/>
        <v>10</v>
      </c>
      <c r="CF23" s="35">
        <f>RANK(R23,(L23:Q23,R23:Y23,AD23:AW23))</f>
        <v>3</v>
      </c>
      <c r="CG23" s="35">
        <f>RANK(T23,(L23:Q23,R23:Y23,AD23:AW23))</f>
        <v>4</v>
      </c>
      <c r="CH23" s="35">
        <f>RANK(X23,(L23:Q23,R23:Y23,AD23:AW23))</f>
        <v>11</v>
      </c>
      <c r="CI23" s="35">
        <f>RANK(V23,(L23:Q23,R23:Y23,AD23:AW23))</f>
        <v>7</v>
      </c>
      <c r="CK23" s="34">
        <v>24</v>
      </c>
      <c r="CM23" s="37">
        <f>County!BO1272</f>
        <v>0</v>
      </c>
      <c r="CO23" s="34">
        <f t="shared" si="36"/>
        <v>10</v>
      </c>
      <c r="CP23" s="34">
        <v>0</v>
      </c>
      <c r="CR23" s="37">
        <f>County!CC1272</f>
        <v>0</v>
      </c>
      <c r="CS23" s="38">
        <f t="shared" si="37"/>
        <v>0</v>
      </c>
    </row>
    <row r="24" spans="1:97" s="47" customFormat="1">
      <c r="A24" s="47" t="s">
        <v>2478</v>
      </c>
      <c r="B24" s="47">
        <v>11</v>
      </c>
      <c r="C24" s="50">
        <f t="shared" si="38"/>
        <v>3325046</v>
      </c>
      <c r="D24" s="49">
        <v>11</v>
      </c>
      <c r="E24" s="49"/>
      <c r="F24" s="49"/>
      <c r="G24" s="82">
        <f t="shared" si="0"/>
        <v>1</v>
      </c>
      <c r="H24" s="82">
        <f t="shared" si="1"/>
        <v>2</v>
      </c>
      <c r="I24" s="82">
        <f t="shared" si="2"/>
        <v>6</v>
      </c>
      <c r="J24" s="50">
        <f t="shared" si="39"/>
        <v>904303</v>
      </c>
      <c r="K24" s="51">
        <f t="shared" si="40"/>
        <v>0.27196706451579916</v>
      </c>
      <c r="L24" s="50">
        <f>County!N1288</f>
        <v>1995196</v>
      </c>
      <c r="M24" s="51">
        <f t="shared" si="41"/>
        <v>0.60005064591587609</v>
      </c>
      <c r="N24" s="72">
        <f>County!O1288</f>
        <v>1090893</v>
      </c>
      <c r="O24" s="105">
        <f t="shared" si="3"/>
        <v>0.32808358140007687</v>
      </c>
      <c r="P24" s="72">
        <f>County!P1288</f>
        <v>2719</v>
      </c>
      <c r="Q24" s="105">
        <f t="shared" si="4"/>
        <v>8.1773304790369822E-4</v>
      </c>
      <c r="R24" s="72">
        <f>County!Q1288</f>
        <v>138018</v>
      </c>
      <c r="S24" s="105">
        <f t="shared" si="5"/>
        <v>4.1508598678033325E-2</v>
      </c>
      <c r="T24" s="72">
        <f>County!R1288</f>
        <v>47661</v>
      </c>
      <c r="U24" s="105">
        <f t="shared" si="6"/>
        <v>1.4333937034254564E-2</v>
      </c>
      <c r="V24" s="72">
        <f>County!S1288</f>
        <v>0</v>
      </c>
      <c r="W24" s="105">
        <f t="shared" si="7"/>
        <v>0</v>
      </c>
      <c r="X24" s="72">
        <f>County!T1288</f>
        <v>0</v>
      </c>
      <c r="Y24" s="105">
        <f t="shared" si="8"/>
        <v>0</v>
      </c>
      <c r="Z24" s="72">
        <f>County!U1288</f>
        <v>0</v>
      </c>
      <c r="AA24" s="105">
        <f t="shared" si="9"/>
        <v>0</v>
      </c>
      <c r="AB24" s="72">
        <f>County!V1288</f>
        <v>0</v>
      </c>
      <c r="AC24" s="105">
        <f t="shared" si="10"/>
        <v>0</v>
      </c>
      <c r="AD24" s="72">
        <f>County!W1288</f>
        <v>50516</v>
      </c>
      <c r="AE24" s="105">
        <f t="shared" si="11"/>
        <v>1.5192571771939396E-2</v>
      </c>
      <c r="AF24" s="72">
        <f>County!X1288</f>
        <v>0</v>
      </c>
      <c r="AG24" s="105">
        <f t="shared" si="12"/>
        <v>0</v>
      </c>
      <c r="AH24" s="50">
        <f>County!Y1288</f>
        <v>0</v>
      </c>
      <c r="AI24" s="51">
        <f t="shared" si="13"/>
        <v>0</v>
      </c>
      <c r="AJ24" s="50">
        <f>County!Z1288</f>
        <v>0</v>
      </c>
      <c r="AK24" s="51">
        <f t="shared" si="14"/>
        <v>0</v>
      </c>
      <c r="AL24" s="50">
        <f>County!AA1288</f>
        <v>15</v>
      </c>
      <c r="AM24" s="51">
        <f t="shared" si="15"/>
        <v>4.5112157846838815E-6</v>
      </c>
      <c r="AN24" s="50">
        <f>County!AB1288</f>
        <v>0</v>
      </c>
      <c r="AO24" s="51">
        <f t="shared" si="16"/>
        <v>0</v>
      </c>
      <c r="AP24" s="50">
        <f>County!AC1288</f>
        <v>0</v>
      </c>
      <c r="AQ24" s="51">
        <f t="shared" si="17"/>
        <v>0</v>
      </c>
      <c r="AR24" s="50">
        <f>County!AD1288</f>
        <v>0</v>
      </c>
      <c r="AS24" s="51">
        <f t="shared" si="18"/>
        <v>0</v>
      </c>
      <c r="AT24" s="50">
        <f>County!AE1288</f>
        <v>28</v>
      </c>
      <c r="AU24" s="51">
        <f t="shared" si="19"/>
        <v>8.4209361314099106E-6</v>
      </c>
      <c r="AV24" s="50">
        <f>County!AF1288</f>
        <v>0</v>
      </c>
      <c r="AW24" s="51">
        <f t="shared" si="20"/>
        <v>0</v>
      </c>
      <c r="AX24" s="50">
        <f>County!AG1288</f>
        <v>0</v>
      </c>
      <c r="AY24" s="51">
        <f t="shared" si="20"/>
        <v>0</v>
      </c>
      <c r="AZ24" s="50">
        <f>County!AH1288</f>
        <v>0</v>
      </c>
      <c r="BA24" s="51">
        <f t="shared" si="21"/>
        <v>0</v>
      </c>
      <c r="BB24" s="50">
        <f>County!AI1288</f>
        <v>0</v>
      </c>
      <c r="BC24" s="51">
        <f t="shared" si="22"/>
        <v>0</v>
      </c>
      <c r="BD24" s="50">
        <f>County!AJ1288</f>
        <v>0</v>
      </c>
      <c r="BE24" s="51">
        <f t="shared" si="22"/>
        <v>0</v>
      </c>
      <c r="BF24" s="50">
        <f>County!AK1288</f>
        <v>0</v>
      </c>
      <c r="BG24" s="51">
        <f t="shared" si="23"/>
        <v>0</v>
      </c>
      <c r="BH24" s="50">
        <f>County!AL1288</f>
        <v>0</v>
      </c>
      <c r="BI24" s="51">
        <f t="shared" si="24"/>
        <v>0</v>
      </c>
      <c r="BJ24" s="50">
        <f>County!AM1288</f>
        <v>0</v>
      </c>
      <c r="BK24" s="51">
        <f t="shared" si="25"/>
        <v>0</v>
      </c>
      <c r="BL24" s="50">
        <f>County!AN1288</f>
        <v>0</v>
      </c>
      <c r="BM24" s="51">
        <f t="shared" si="26"/>
        <v>0</v>
      </c>
      <c r="BN24" s="50">
        <f>County!AO1288</f>
        <v>0</v>
      </c>
      <c r="BO24" s="51">
        <f t="shared" si="27"/>
        <v>0</v>
      </c>
      <c r="BP24" s="50">
        <f>County!AP1288</f>
        <v>0</v>
      </c>
      <c r="BQ24" s="51">
        <f t="shared" si="28"/>
        <v>0</v>
      </c>
      <c r="BR24" s="50">
        <f>County!AQ1288</f>
        <v>0</v>
      </c>
      <c r="BS24" s="51">
        <f t="shared" si="29"/>
        <v>0</v>
      </c>
      <c r="BT24" s="50">
        <f>County!AR1288</f>
        <v>0</v>
      </c>
      <c r="BU24" s="51">
        <f t="shared" si="30"/>
        <v>0</v>
      </c>
      <c r="BV24" s="50">
        <f>County!AS1288</f>
        <v>0</v>
      </c>
      <c r="BW24" s="51">
        <f t="shared" si="31"/>
        <v>0</v>
      </c>
      <c r="BX24" s="50">
        <f>County!AT1288</f>
        <v>0</v>
      </c>
      <c r="BY24" s="51">
        <f t="shared" si="32"/>
        <v>0</v>
      </c>
      <c r="BZ24" s="50">
        <f>County!AU1288</f>
        <v>0</v>
      </c>
      <c r="CA24" s="51">
        <f t="shared" si="33"/>
        <v>0</v>
      </c>
      <c r="CB24" s="58"/>
      <c r="CC24" s="47" t="str">
        <f t="shared" si="34"/>
        <v>Massachusetts</v>
      </c>
      <c r="CD24" s="47" t="s">
        <v>1320</v>
      </c>
      <c r="CE24" s="47">
        <f t="shared" si="35"/>
        <v>11</v>
      </c>
      <c r="CF24" s="48">
        <f>RANK(R24,(L24:Q24,R24:Y24,AD24:AW24))</f>
        <v>3</v>
      </c>
      <c r="CG24" s="48">
        <f>RANK(T24,(L24:Q24,R24:Y24,AD24:AW24))</f>
        <v>5</v>
      </c>
      <c r="CH24" s="48">
        <f>RANK(X24,(L24:Q24,R24:Y24,AD24:AW24))</f>
        <v>17</v>
      </c>
      <c r="CI24" s="48">
        <f>RANK(V24,(L24:Q24,R24:Y24,AD24:AW24))</f>
        <v>17</v>
      </c>
      <c r="CK24" s="47">
        <v>25</v>
      </c>
      <c r="CM24" s="50">
        <f>County!BO1288</f>
        <v>53755</v>
      </c>
      <c r="CO24" s="47">
        <f t="shared" si="36"/>
        <v>11</v>
      </c>
      <c r="CP24" s="47">
        <v>0</v>
      </c>
      <c r="CR24" s="50">
        <f>County!CC1288</f>
        <v>0</v>
      </c>
      <c r="CS24" s="51">
        <f t="shared" si="37"/>
        <v>0</v>
      </c>
    </row>
    <row r="25" spans="1:97" s="34" customFormat="1">
      <c r="A25" s="34" t="s">
        <v>1100</v>
      </c>
      <c r="B25" s="34">
        <v>16</v>
      </c>
      <c r="C25" s="37">
        <f t="shared" si="38"/>
        <v>4824542</v>
      </c>
      <c r="D25" s="36"/>
      <c r="E25" s="36">
        <v>16</v>
      </c>
      <c r="F25" s="36"/>
      <c r="G25" s="83">
        <f t="shared" si="0"/>
        <v>2</v>
      </c>
      <c r="H25" s="83">
        <f t="shared" si="1"/>
        <v>1</v>
      </c>
      <c r="I25" s="83">
        <f t="shared" si="2"/>
        <v>7</v>
      </c>
      <c r="J25" s="1">
        <f t="shared" si="39"/>
        <v>10704</v>
      </c>
      <c r="K25" s="38">
        <f t="shared" si="40"/>
        <v>2.2186561957591002E-3</v>
      </c>
      <c r="L25" s="37">
        <f>County!N1373</f>
        <v>2268839</v>
      </c>
      <c r="M25" s="38">
        <f t="shared" si="41"/>
        <v>0.4702703386145255</v>
      </c>
      <c r="N25" s="73">
        <f>County!O1373</f>
        <v>2279543</v>
      </c>
      <c r="O25" s="74">
        <f t="shared" si="3"/>
        <v>0.47248899481028456</v>
      </c>
      <c r="P25" s="73">
        <f>County!P1373</f>
        <v>8183</v>
      </c>
      <c r="Q25" s="74">
        <f t="shared" si="4"/>
        <v>1.6961195487571669E-3</v>
      </c>
      <c r="R25" s="73">
        <f>County!Q1373</f>
        <v>172136</v>
      </c>
      <c r="S25" s="74">
        <f t="shared" si="5"/>
        <v>3.5679241677241076E-2</v>
      </c>
      <c r="T25" s="73">
        <f>County!R1373</f>
        <v>51463</v>
      </c>
      <c r="U25" s="74">
        <f t="shared" si="6"/>
        <v>1.0666919264046204E-2</v>
      </c>
      <c r="V25" s="73">
        <f>County!S1373</f>
        <v>16139</v>
      </c>
      <c r="W25" s="74">
        <f t="shared" si="7"/>
        <v>3.3451879991924622E-3</v>
      </c>
      <c r="X25" s="73">
        <f>County!T1373</f>
        <v>0</v>
      </c>
      <c r="Y25" s="74">
        <f t="shared" si="8"/>
        <v>0</v>
      </c>
      <c r="Z25" s="73">
        <f>County!U1373</f>
        <v>2209</v>
      </c>
      <c r="AA25" s="74">
        <f t="shared" si="9"/>
        <v>4.5786729600447049E-4</v>
      </c>
      <c r="AB25" s="73">
        <f>County!V1373</f>
        <v>0</v>
      </c>
      <c r="AC25" s="74">
        <f t="shared" si="10"/>
        <v>0</v>
      </c>
      <c r="AD25" s="73">
        <f>County!W1373</f>
        <v>25301</v>
      </c>
      <c r="AE25" s="74">
        <f t="shared" si="11"/>
        <v>5.2442283640602569E-3</v>
      </c>
      <c r="AF25" s="73">
        <f>County!X1373</f>
        <v>0</v>
      </c>
      <c r="AG25" s="74">
        <f t="shared" si="12"/>
        <v>0</v>
      </c>
      <c r="AH25" s="37">
        <f>County!Y1373</f>
        <v>95</v>
      </c>
      <c r="AI25" s="38">
        <f t="shared" si="13"/>
        <v>1.969098828448379E-5</v>
      </c>
      <c r="AJ25" s="37">
        <f>County!Z1373</f>
        <v>0</v>
      </c>
      <c r="AK25" s="38">
        <f t="shared" si="14"/>
        <v>0</v>
      </c>
      <c r="AL25" s="37">
        <f>County!AA1373</f>
        <v>30</v>
      </c>
      <c r="AM25" s="38">
        <f t="shared" si="15"/>
        <v>6.2182068266790917E-6</v>
      </c>
      <c r="AN25" s="37">
        <f>County!AB1373</f>
        <v>0</v>
      </c>
      <c r="AO25" s="38">
        <f t="shared" si="16"/>
        <v>0</v>
      </c>
      <c r="AP25" s="37">
        <f>County!AC1373</f>
        <v>0</v>
      </c>
      <c r="AQ25" s="38">
        <f t="shared" si="17"/>
        <v>0</v>
      </c>
      <c r="AR25" s="37">
        <f>County!AD1373</f>
        <v>0</v>
      </c>
      <c r="AS25" s="38">
        <f t="shared" si="18"/>
        <v>0</v>
      </c>
      <c r="AT25" s="37">
        <f>County!AE1373</f>
        <v>87</v>
      </c>
      <c r="AU25" s="38">
        <f t="shared" si="19"/>
        <v>1.8032799797369368E-5</v>
      </c>
      <c r="AV25" s="37">
        <f>County!AF1373</f>
        <v>0</v>
      </c>
      <c r="AW25" s="38">
        <f t="shared" si="20"/>
        <v>0</v>
      </c>
      <c r="AX25" s="37">
        <f>County!AG1373</f>
        <v>0</v>
      </c>
      <c r="AY25" s="38">
        <f t="shared" si="20"/>
        <v>0</v>
      </c>
      <c r="AZ25" s="37">
        <f>County!AH1373</f>
        <v>0</v>
      </c>
      <c r="BA25" s="38">
        <f t="shared" si="21"/>
        <v>0</v>
      </c>
      <c r="BB25" s="37">
        <f>County!AI1373</f>
        <v>0</v>
      </c>
      <c r="BC25" s="38">
        <f t="shared" si="22"/>
        <v>0</v>
      </c>
      <c r="BD25" s="37">
        <f>County!AJ1373</f>
        <v>0</v>
      </c>
      <c r="BE25" s="38">
        <f t="shared" si="22"/>
        <v>0</v>
      </c>
      <c r="BF25" s="37">
        <f>County!AK1373</f>
        <v>0</v>
      </c>
      <c r="BG25" s="38">
        <f t="shared" si="23"/>
        <v>0</v>
      </c>
      <c r="BH25" s="37">
        <f>County!AL1373</f>
        <v>0</v>
      </c>
      <c r="BI25" s="38">
        <f t="shared" si="24"/>
        <v>0</v>
      </c>
      <c r="BJ25" s="37">
        <f>County!AM1373</f>
        <v>0</v>
      </c>
      <c r="BK25" s="38">
        <f t="shared" si="25"/>
        <v>0</v>
      </c>
      <c r="BL25" s="37">
        <f>County!AN1373</f>
        <v>517</v>
      </c>
      <c r="BM25" s="38">
        <f t="shared" si="26"/>
        <v>1.0716043097976969E-4</v>
      </c>
      <c r="BN25" s="37">
        <f>County!AO1373</f>
        <v>0</v>
      </c>
      <c r="BO25" s="38">
        <f t="shared" si="27"/>
        <v>0</v>
      </c>
      <c r="BP25" s="37">
        <f>County!AP1373</f>
        <v>0</v>
      </c>
      <c r="BQ25" s="38">
        <f t="shared" si="28"/>
        <v>0</v>
      </c>
      <c r="BR25" s="37">
        <f>County!AQ1373</f>
        <v>0</v>
      </c>
      <c r="BS25" s="38">
        <f t="shared" si="29"/>
        <v>0</v>
      </c>
      <c r="BT25" s="37">
        <f>County!AR1373</f>
        <v>0</v>
      </c>
      <c r="BU25" s="38">
        <f t="shared" si="30"/>
        <v>0</v>
      </c>
      <c r="BV25" s="37">
        <f>County!AS1373</f>
        <v>0</v>
      </c>
      <c r="BW25" s="38">
        <f t="shared" si="31"/>
        <v>0</v>
      </c>
      <c r="BX25" s="37">
        <f>County!AT1373</f>
        <v>0</v>
      </c>
      <c r="BY25" s="38">
        <f t="shared" si="32"/>
        <v>0</v>
      </c>
      <c r="BZ25" s="37">
        <f>County!AU1373</f>
        <v>0</v>
      </c>
      <c r="CA25" s="38">
        <f t="shared" si="33"/>
        <v>0</v>
      </c>
      <c r="CB25" s="59"/>
      <c r="CC25" s="34" t="str">
        <f t="shared" si="34"/>
        <v>Michigan</v>
      </c>
      <c r="CD25" s="34" t="s">
        <v>3114</v>
      </c>
      <c r="CE25" s="34">
        <f t="shared" si="35"/>
        <v>16</v>
      </c>
      <c r="CF25" s="35">
        <f>RANK(R25,(L25:Q25,R25:Y25,AD25:AW25))</f>
        <v>3</v>
      </c>
      <c r="CG25" s="35">
        <f>RANK(T25,(L25:Q25,R25:Y25,AD25:AW25))</f>
        <v>4</v>
      </c>
      <c r="CH25" s="35">
        <f>RANK(X25,(L25:Q25,R25:Y25,AD25:AW25))</f>
        <v>21</v>
      </c>
      <c r="CI25" s="35">
        <f>RANK(V25,(L25:Q25,R25:Y25,AD25:AW25))</f>
        <v>6</v>
      </c>
      <c r="CK25" s="34">
        <v>26</v>
      </c>
      <c r="CM25" s="37">
        <f>County!BO1373</f>
        <v>0</v>
      </c>
      <c r="CO25" s="34">
        <f t="shared" si="36"/>
        <v>16</v>
      </c>
      <c r="CP25" s="34">
        <v>0</v>
      </c>
      <c r="CR25" s="37">
        <f>County!CC1373</f>
        <v>0</v>
      </c>
      <c r="CS25" s="38">
        <f t="shared" si="37"/>
        <v>0</v>
      </c>
    </row>
    <row r="26" spans="1:97" s="47" customFormat="1">
      <c r="A26" s="47" t="s">
        <v>2724</v>
      </c>
      <c r="B26" s="47">
        <v>10</v>
      </c>
      <c r="C26" s="50">
        <f t="shared" si="38"/>
        <v>2945233</v>
      </c>
      <c r="D26" s="49">
        <v>10</v>
      </c>
      <c r="E26" s="49"/>
      <c r="F26" s="49"/>
      <c r="G26" s="82">
        <f t="shared" si="0"/>
        <v>1</v>
      </c>
      <c r="H26" s="82">
        <f t="shared" si="1"/>
        <v>2</v>
      </c>
      <c r="I26" s="82">
        <f t="shared" si="2"/>
        <v>4</v>
      </c>
      <c r="J26" s="50">
        <f t="shared" si="39"/>
        <v>44593</v>
      </c>
      <c r="K26" s="51">
        <f t="shared" si="40"/>
        <v>1.5140737591898502E-2</v>
      </c>
      <c r="L26" s="50">
        <f>County!N1462</f>
        <v>1367825</v>
      </c>
      <c r="M26" s="51">
        <f t="shared" si="41"/>
        <v>0.46441996269904623</v>
      </c>
      <c r="N26" s="72">
        <f>County!O1462</f>
        <v>1323232</v>
      </c>
      <c r="O26" s="105">
        <f t="shared" si="3"/>
        <v>0.44927922510714774</v>
      </c>
      <c r="P26" s="72">
        <f>County!P1462</f>
        <v>53083</v>
      </c>
      <c r="Q26" s="105">
        <f t="shared" si="4"/>
        <v>1.802336181891212E-2</v>
      </c>
      <c r="R26" s="72">
        <f>County!Q1462</f>
        <v>112984</v>
      </c>
      <c r="S26" s="105">
        <f t="shared" si="5"/>
        <v>3.8361650843923047E-2</v>
      </c>
      <c r="T26" s="72">
        <f>County!R1462</f>
        <v>36991</v>
      </c>
      <c r="U26" s="105">
        <f t="shared" si="6"/>
        <v>1.255961752431811E-2</v>
      </c>
      <c r="V26" s="72">
        <f>County!S1462</f>
        <v>9457</v>
      </c>
      <c r="W26" s="105">
        <f t="shared" si="7"/>
        <v>3.2109513916216475E-3</v>
      </c>
      <c r="X26" s="72">
        <f>County!T1462</f>
        <v>1431</v>
      </c>
      <c r="Y26" s="105">
        <f t="shared" si="8"/>
        <v>4.8586987854611161E-4</v>
      </c>
      <c r="Z26" s="72">
        <f>County!U1462</f>
        <v>15</v>
      </c>
      <c r="AA26" s="105">
        <f t="shared" si="9"/>
        <v>5.0929756661017988E-6</v>
      </c>
      <c r="AB26" s="72">
        <f>County!V1462</f>
        <v>12</v>
      </c>
      <c r="AC26" s="105">
        <f t="shared" si="10"/>
        <v>4.074380532881439E-6</v>
      </c>
      <c r="AD26" s="72">
        <f>County!W1462</f>
        <v>26905</v>
      </c>
      <c r="AE26" s="105">
        <f t="shared" si="11"/>
        <v>9.135100686431261E-3</v>
      </c>
      <c r="AF26" s="72">
        <f>County!X1462</f>
        <v>1672</v>
      </c>
      <c r="AG26" s="105">
        <f t="shared" si="12"/>
        <v>5.6769702091481386E-4</v>
      </c>
      <c r="AH26" s="50">
        <f>County!Y1462</f>
        <v>28</v>
      </c>
      <c r="AI26" s="51">
        <f t="shared" si="13"/>
        <v>9.506887910056691E-6</v>
      </c>
      <c r="AJ26" s="50">
        <f>County!Z1462</f>
        <v>1</v>
      </c>
      <c r="AK26" s="51">
        <f t="shared" si="14"/>
        <v>3.3953171107345325E-7</v>
      </c>
      <c r="AL26" s="50">
        <f>County!AA1462</f>
        <v>0</v>
      </c>
      <c r="AM26" s="51">
        <f t="shared" si="15"/>
        <v>0</v>
      </c>
      <c r="AN26" s="50">
        <f>County!AB1462</f>
        <v>0</v>
      </c>
      <c r="AO26" s="51">
        <f t="shared" si="16"/>
        <v>0</v>
      </c>
      <c r="AP26" s="50">
        <f>County!AC1462</f>
        <v>11292</v>
      </c>
      <c r="AQ26" s="51">
        <f t="shared" si="17"/>
        <v>3.8339920814414344E-3</v>
      </c>
      <c r="AR26" s="50">
        <f>County!AD1462</f>
        <v>0</v>
      </c>
      <c r="AS26" s="51">
        <f t="shared" si="18"/>
        <v>0</v>
      </c>
      <c r="AT26" s="50">
        <f>County!AE1462</f>
        <v>17</v>
      </c>
      <c r="AU26" s="51">
        <f t="shared" si="19"/>
        <v>5.7720390882487053E-6</v>
      </c>
      <c r="AV26" s="50">
        <f>County!AF1462</f>
        <v>10</v>
      </c>
      <c r="AW26" s="51">
        <f t="shared" si="20"/>
        <v>3.3953171107345325E-6</v>
      </c>
      <c r="AX26" s="50">
        <f>County!AG1462</f>
        <v>31</v>
      </c>
      <c r="AY26" s="51">
        <f t="shared" si="20"/>
        <v>1.0525483043277051E-5</v>
      </c>
      <c r="AZ26" s="50">
        <f>County!AH1462</f>
        <v>0</v>
      </c>
      <c r="BA26" s="51">
        <f t="shared" si="21"/>
        <v>0</v>
      </c>
      <c r="BB26" s="50">
        <f>County!AI1462</f>
        <v>0</v>
      </c>
      <c r="BC26" s="51">
        <f t="shared" si="22"/>
        <v>0</v>
      </c>
      <c r="BD26" s="50">
        <f>County!AJ1462</f>
        <v>0</v>
      </c>
      <c r="BE26" s="51">
        <f t="shared" si="22"/>
        <v>0</v>
      </c>
      <c r="BF26" s="50">
        <f>County!AK1462</f>
        <v>0</v>
      </c>
      <c r="BG26" s="51">
        <f t="shared" si="23"/>
        <v>0</v>
      </c>
      <c r="BH26" s="50">
        <f>County!AL1462</f>
        <v>0</v>
      </c>
      <c r="BI26" s="51">
        <f t="shared" si="24"/>
        <v>0</v>
      </c>
      <c r="BJ26" s="50">
        <f>County!AM1462</f>
        <v>0</v>
      </c>
      <c r="BK26" s="51">
        <f t="shared" si="25"/>
        <v>0</v>
      </c>
      <c r="BL26" s="50">
        <f>County!AN1462</f>
        <v>244</v>
      </c>
      <c r="BM26" s="51">
        <f t="shared" si="26"/>
        <v>8.2845737501922593E-5</v>
      </c>
      <c r="BN26" s="50">
        <f>County!AO1462</f>
        <v>0</v>
      </c>
      <c r="BO26" s="51">
        <f t="shared" si="27"/>
        <v>0</v>
      </c>
      <c r="BP26" s="50">
        <f>County!AP1462</f>
        <v>0</v>
      </c>
      <c r="BQ26" s="51">
        <f t="shared" si="28"/>
        <v>0</v>
      </c>
      <c r="BR26" s="50">
        <f>County!AQ1462</f>
        <v>3</v>
      </c>
      <c r="BS26" s="51">
        <f t="shared" si="29"/>
        <v>1.0185951332203598E-6</v>
      </c>
      <c r="BT26" s="50">
        <f>County!AR1462</f>
        <v>0</v>
      </c>
      <c r="BU26" s="51">
        <f t="shared" si="30"/>
        <v>0</v>
      </c>
      <c r="BV26" s="50">
        <f>County!AS1462</f>
        <v>0</v>
      </c>
      <c r="BW26" s="51">
        <f t="shared" si="31"/>
        <v>0</v>
      </c>
      <c r="BX26" s="50">
        <f>County!AT1462</f>
        <v>0</v>
      </c>
      <c r="BY26" s="51">
        <f t="shared" si="32"/>
        <v>0</v>
      </c>
      <c r="BZ26" s="50">
        <f>County!AU1462</f>
        <v>0</v>
      </c>
      <c r="CA26" s="51">
        <f t="shared" si="33"/>
        <v>0</v>
      </c>
      <c r="CB26" s="58"/>
      <c r="CC26" s="47" t="str">
        <f t="shared" si="34"/>
        <v>Minnesota</v>
      </c>
      <c r="CD26" s="47" t="s">
        <v>2725</v>
      </c>
      <c r="CE26" s="47">
        <f t="shared" si="35"/>
        <v>10</v>
      </c>
      <c r="CF26" s="48">
        <f>RANK(R26,(L26:Q26,R26:Y26,AD26:AW26))</f>
        <v>3</v>
      </c>
      <c r="CG26" s="48">
        <f>RANK(T26,(L26:Q26,R26:Y26,AD26:AW26))</f>
        <v>5</v>
      </c>
      <c r="CH26" s="48">
        <f>RANK(X26,(L26:Q26,R26:Y26,AD26:AW26))</f>
        <v>10</v>
      </c>
      <c r="CI26" s="48">
        <f>RANK(V26,(L26:Q26,R26:Y26,AD26:AW26))</f>
        <v>8</v>
      </c>
      <c r="CK26" s="47">
        <v>27</v>
      </c>
      <c r="CM26" s="50">
        <f>County!BO1462</f>
        <v>0</v>
      </c>
      <c r="CO26" s="47">
        <f t="shared" si="36"/>
        <v>10</v>
      </c>
      <c r="CP26" s="47">
        <v>0</v>
      </c>
      <c r="CR26" s="50">
        <f>County!CC1462</f>
        <v>0</v>
      </c>
      <c r="CS26" s="51">
        <f t="shared" si="37"/>
        <v>0</v>
      </c>
    </row>
    <row r="27" spans="1:97" s="34" customFormat="1">
      <c r="A27" s="34" t="s">
        <v>526</v>
      </c>
      <c r="B27" s="34">
        <v>6</v>
      </c>
      <c r="C27" s="37">
        <f t="shared" si="38"/>
        <v>1211088</v>
      </c>
      <c r="D27" s="36"/>
      <c r="E27" s="36">
        <v>6</v>
      </c>
      <c r="F27" s="36"/>
      <c r="G27" s="83">
        <f t="shared" si="0"/>
        <v>2</v>
      </c>
      <c r="H27" s="83">
        <f t="shared" si="1"/>
        <v>1</v>
      </c>
      <c r="I27" s="83" t="str">
        <f t="shared" si="2"/>
        <v>-</v>
      </c>
      <c r="J27" s="1">
        <f t="shared" si="39"/>
        <v>215583</v>
      </c>
      <c r="K27" s="38">
        <f t="shared" si="40"/>
        <v>0.17800770877095637</v>
      </c>
      <c r="L27" s="37">
        <f>County!N1546</f>
        <v>485131</v>
      </c>
      <c r="M27" s="38">
        <f t="shared" si="41"/>
        <v>0.40057452472487548</v>
      </c>
      <c r="N27" s="73">
        <f>County!O1546</f>
        <v>700714</v>
      </c>
      <c r="O27" s="74">
        <f t="shared" si="3"/>
        <v>0.57858223349583182</v>
      </c>
      <c r="P27" s="73">
        <f>County!P1546</f>
        <v>0</v>
      </c>
      <c r="Q27" s="74">
        <f t="shared" si="4"/>
        <v>0</v>
      </c>
      <c r="R27" s="73">
        <f>County!Q1546</f>
        <v>14435</v>
      </c>
      <c r="S27" s="74">
        <f t="shared" si="5"/>
        <v>1.1919034785250948E-2</v>
      </c>
      <c r="T27" s="73">
        <f>County!R1546</f>
        <v>3731</v>
      </c>
      <c r="U27" s="74">
        <f t="shared" si="6"/>
        <v>3.0807009895234697E-3</v>
      </c>
      <c r="V27" s="73">
        <f>County!S1546</f>
        <v>3987</v>
      </c>
      <c r="W27" s="74">
        <f t="shared" si="7"/>
        <v>3.2920811699892988E-3</v>
      </c>
      <c r="X27" s="73">
        <f>County!T1546</f>
        <v>644</v>
      </c>
      <c r="Y27" s="74">
        <f t="shared" si="8"/>
        <v>5.3175326648435123E-4</v>
      </c>
      <c r="Z27" s="73">
        <f>County!U1546</f>
        <v>0</v>
      </c>
      <c r="AA27" s="74">
        <f t="shared" si="9"/>
        <v>0</v>
      </c>
      <c r="AB27" s="73">
        <f>County!V1546</f>
        <v>0</v>
      </c>
      <c r="AC27" s="74">
        <f t="shared" si="10"/>
        <v>0</v>
      </c>
      <c r="AD27" s="73">
        <f>County!W1546</f>
        <v>1731</v>
      </c>
      <c r="AE27" s="74">
        <f t="shared" si="11"/>
        <v>1.4292933296341801E-3</v>
      </c>
      <c r="AF27" s="73">
        <f>County!X1546</f>
        <v>0</v>
      </c>
      <c r="AG27" s="74">
        <f t="shared" si="12"/>
        <v>0</v>
      </c>
      <c r="AH27" s="37">
        <f>County!Y1546</f>
        <v>0</v>
      </c>
      <c r="AI27" s="38">
        <f t="shared" si="13"/>
        <v>0</v>
      </c>
      <c r="AJ27" s="37">
        <f>County!Z1546</f>
        <v>0</v>
      </c>
      <c r="AK27" s="38">
        <f t="shared" si="14"/>
        <v>0</v>
      </c>
      <c r="AL27" s="37">
        <f>County!AA1546</f>
        <v>0</v>
      </c>
      <c r="AM27" s="38">
        <f t="shared" si="15"/>
        <v>0</v>
      </c>
      <c r="AN27" s="37">
        <f>County!AB1546</f>
        <v>0</v>
      </c>
      <c r="AO27" s="38">
        <f t="shared" si="16"/>
        <v>0</v>
      </c>
      <c r="AP27" s="37">
        <f>County!AC1546</f>
        <v>0</v>
      </c>
      <c r="AQ27" s="38">
        <f t="shared" si="17"/>
        <v>0</v>
      </c>
      <c r="AR27" s="37">
        <f>County!AD1546</f>
        <v>715</v>
      </c>
      <c r="AS27" s="38">
        <f t="shared" si="18"/>
        <v>5.9037823841042109E-4</v>
      </c>
      <c r="AT27" s="37">
        <f>County!AE1546</f>
        <v>0</v>
      </c>
      <c r="AU27" s="38">
        <f t="shared" si="19"/>
        <v>0</v>
      </c>
      <c r="AV27" s="37">
        <f>County!AF1546</f>
        <v>0</v>
      </c>
      <c r="AW27" s="38">
        <f t="shared" si="20"/>
        <v>0</v>
      </c>
      <c r="AX27" s="37">
        <f>County!AG1546</f>
        <v>0</v>
      </c>
      <c r="AY27" s="38">
        <f t="shared" si="20"/>
        <v>0</v>
      </c>
      <c r="AZ27" s="37">
        <f>County!AH1546</f>
        <v>0</v>
      </c>
      <c r="BA27" s="38">
        <f t="shared" si="21"/>
        <v>0</v>
      </c>
      <c r="BB27" s="37">
        <f>County!AI1546</f>
        <v>0</v>
      </c>
      <c r="BC27" s="38">
        <f t="shared" si="22"/>
        <v>0</v>
      </c>
      <c r="BD27" s="37">
        <f>County!AJ1546</f>
        <v>0</v>
      </c>
      <c r="BE27" s="38">
        <f t="shared" si="22"/>
        <v>0</v>
      </c>
      <c r="BF27" s="37">
        <f>County!AK1546</f>
        <v>0</v>
      </c>
      <c r="BG27" s="38">
        <f t="shared" si="23"/>
        <v>0</v>
      </c>
      <c r="BH27" s="37">
        <f>County!AL1546</f>
        <v>0</v>
      </c>
      <c r="BI27" s="38">
        <f t="shared" si="24"/>
        <v>0</v>
      </c>
      <c r="BJ27" s="37">
        <f>County!AM1546</f>
        <v>0</v>
      </c>
      <c r="BK27" s="38">
        <f t="shared" si="25"/>
        <v>0</v>
      </c>
      <c r="BL27" s="37">
        <f>County!AN1546</f>
        <v>0</v>
      </c>
      <c r="BM27" s="38">
        <f t="shared" si="26"/>
        <v>0</v>
      </c>
      <c r="BN27" s="37">
        <f>County!AO1546</f>
        <v>0</v>
      </c>
      <c r="BO27" s="38">
        <f t="shared" si="27"/>
        <v>0</v>
      </c>
      <c r="BP27" s="37">
        <f>County!AP1546</f>
        <v>0</v>
      </c>
      <c r="BQ27" s="38">
        <f t="shared" si="28"/>
        <v>0</v>
      </c>
      <c r="BR27" s="37">
        <f>County!AQ1546</f>
        <v>0</v>
      </c>
      <c r="BS27" s="38">
        <f t="shared" si="29"/>
        <v>0</v>
      </c>
      <c r="BT27" s="37">
        <f>County!AR1546</f>
        <v>0</v>
      </c>
      <c r="BU27" s="38">
        <f t="shared" si="30"/>
        <v>0</v>
      </c>
      <c r="BV27" s="37">
        <f>County!AS1546</f>
        <v>0</v>
      </c>
      <c r="BW27" s="38">
        <f t="shared" si="31"/>
        <v>0</v>
      </c>
      <c r="BX27" s="37">
        <f>County!AT1546</f>
        <v>0</v>
      </c>
      <c r="BY27" s="38">
        <f t="shared" si="32"/>
        <v>0</v>
      </c>
      <c r="BZ27" s="37">
        <f>County!AU1546</f>
        <v>0</v>
      </c>
      <c r="CA27" s="38">
        <f t="shared" si="33"/>
        <v>0</v>
      </c>
      <c r="CB27" s="59"/>
      <c r="CC27" s="34" t="str">
        <f t="shared" si="34"/>
        <v>Mississippi</v>
      </c>
      <c r="CD27" s="34" t="s">
        <v>1113</v>
      </c>
      <c r="CE27" s="34">
        <f t="shared" si="35"/>
        <v>6</v>
      </c>
      <c r="CF27" s="35">
        <f>RANK(R27,(L27:Q27,R27:Y27,AD27:AW27))</f>
        <v>3</v>
      </c>
      <c r="CG27" s="35">
        <f>RANK(T27,(L27:Q27,R27:Y27,AD27:AW27))</f>
        <v>5</v>
      </c>
      <c r="CH27" s="35">
        <f>RANK(X27,(L27:Q27,R27:Y27,AD27:AW27))</f>
        <v>8</v>
      </c>
      <c r="CI27" s="35">
        <f>RANK(V27,(L27:Q27,R27:Y27,AD27:AW27))</f>
        <v>4</v>
      </c>
      <c r="CK27" s="34">
        <v>28</v>
      </c>
      <c r="CM27" s="37">
        <f>County!BO1546</f>
        <v>0</v>
      </c>
      <c r="CO27" s="34">
        <f t="shared" si="36"/>
        <v>6</v>
      </c>
      <c r="CP27" s="34">
        <v>0</v>
      </c>
      <c r="CR27" s="37">
        <f>County!CC1546</f>
        <v>0</v>
      </c>
      <c r="CS27" s="38">
        <f t="shared" si="37"/>
        <v>0</v>
      </c>
    </row>
    <row r="28" spans="1:97" s="47" customFormat="1">
      <c r="A28" s="47" t="s">
        <v>2710</v>
      </c>
      <c r="B28" s="47">
        <v>10</v>
      </c>
      <c r="C28" s="50">
        <f t="shared" si="38"/>
        <v>2828266</v>
      </c>
      <c r="D28" s="49"/>
      <c r="E28" s="49">
        <v>10</v>
      </c>
      <c r="F28" s="49"/>
      <c r="G28" s="82">
        <f t="shared" si="0"/>
        <v>2</v>
      </c>
      <c r="H28" s="82">
        <f t="shared" si="1"/>
        <v>1</v>
      </c>
      <c r="I28" s="82">
        <f t="shared" si="2"/>
        <v>7</v>
      </c>
      <c r="J28" s="50">
        <f t="shared" si="39"/>
        <v>523443</v>
      </c>
      <c r="K28" s="51">
        <f t="shared" si="40"/>
        <v>0.18507559048547767</v>
      </c>
      <c r="L28" s="50">
        <f>County!N1663</f>
        <v>1071068</v>
      </c>
      <c r="M28" s="51">
        <f t="shared" si="41"/>
        <v>0.37870129612985481</v>
      </c>
      <c r="N28" s="72">
        <f>County!O1663</f>
        <v>1594511</v>
      </c>
      <c r="O28" s="105">
        <f t="shared" si="3"/>
        <v>0.56377688661533254</v>
      </c>
      <c r="P28" s="72">
        <f>County!P1663</f>
        <v>7072</v>
      </c>
      <c r="Q28" s="105">
        <f t="shared" si="4"/>
        <v>2.5004720206656659E-3</v>
      </c>
      <c r="R28" s="72">
        <f>County!Q1663</f>
        <v>97359</v>
      </c>
      <c r="S28" s="105">
        <f t="shared" si="5"/>
        <v>3.4423565534500641E-2</v>
      </c>
      <c r="T28" s="72">
        <f>County!R1663</f>
        <v>25419</v>
      </c>
      <c r="U28" s="105">
        <f t="shared" si="6"/>
        <v>8.9874856183965717E-3</v>
      </c>
      <c r="V28" s="72">
        <f>County!S1663</f>
        <v>13092</v>
      </c>
      <c r="W28" s="105">
        <f t="shared" si="7"/>
        <v>4.6289846853160201E-3</v>
      </c>
      <c r="X28" s="72">
        <f>County!T1663</f>
        <v>6</v>
      </c>
      <c r="Y28" s="105">
        <f t="shared" si="8"/>
        <v>2.1214411940036756E-6</v>
      </c>
      <c r="Z28" s="72">
        <f>County!U1663</f>
        <v>0</v>
      </c>
      <c r="AA28" s="105">
        <f t="shared" si="9"/>
        <v>0</v>
      </c>
      <c r="AB28" s="72">
        <f>County!V1663</f>
        <v>0</v>
      </c>
      <c r="AC28" s="105">
        <f t="shared" si="10"/>
        <v>0</v>
      </c>
      <c r="AD28" s="72">
        <f>County!W1663</f>
        <v>19663</v>
      </c>
      <c r="AE28" s="105">
        <f t="shared" si="11"/>
        <v>6.9523163662823795E-3</v>
      </c>
      <c r="AF28" s="72">
        <f>County!X1663</f>
        <v>0</v>
      </c>
      <c r="AG28" s="105">
        <f t="shared" si="12"/>
        <v>0</v>
      </c>
      <c r="AH28" s="50">
        <f>County!Y1663</f>
        <v>48</v>
      </c>
      <c r="AI28" s="51">
        <f t="shared" si="13"/>
        <v>1.6971529552029404E-5</v>
      </c>
      <c r="AJ28" s="50">
        <f>County!Z1663</f>
        <v>0</v>
      </c>
      <c r="AK28" s="51">
        <f t="shared" si="14"/>
        <v>0</v>
      </c>
      <c r="AL28" s="50">
        <f>County!AA1663</f>
        <v>0</v>
      </c>
      <c r="AM28" s="51">
        <f t="shared" si="15"/>
        <v>0</v>
      </c>
      <c r="AN28" s="50">
        <f>County!AB1663</f>
        <v>0</v>
      </c>
      <c r="AO28" s="51">
        <f t="shared" si="16"/>
        <v>0</v>
      </c>
      <c r="AP28" s="50">
        <f>County!AC1663</f>
        <v>0</v>
      </c>
      <c r="AQ28" s="51">
        <f t="shared" si="17"/>
        <v>0</v>
      </c>
      <c r="AR28" s="50">
        <f>County!AD1663</f>
        <v>0</v>
      </c>
      <c r="AS28" s="51">
        <f t="shared" si="18"/>
        <v>0</v>
      </c>
      <c r="AT28" s="50">
        <f>County!AE1663</f>
        <v>28</v>
      </c>
      <c r="AU28" s="51">
        <f t="shared" si="19"/>
        <v>9.9000589053504868E-6</v>
      </c>
      <c r="AV28" s="50">
        <f>County!AF1663</f>
        <v>0</v>
      </c>
      <c r="AW28" s="51">
        <f t="shared" si="20"/>
        <v>0</v>
      </c>
      <c r="AX28" s="50">
        <f>County!AG1663</f>
        <v>0</v>
      </c>
      <c r="AY28" s="51">
        <f t="shared" si="20"/>
        <v>0</v>
      </c>
      <c r="AZ28" s="50">
        <f>County!AH1663</f>
        <v>0</v>
      </c>
      <c r="BA28" s="51">
        <f t="shared" si="21"/>
        <v>0</v>
      </c>
      <c r="BB28" s="50">
        <f>County!AI1663</f>
        <v>0</v>
      </c>
      <c r="BC28" s="51">
        <f t="shared" si="22"/>
        <v>0</v>
      </c>
      <c r="BD28" s="50">
        <f>County!AJ1663</f>
        <v>0</v>
      </c>
      <c r="BE28" s="51">
        <f t="shared" si="22"/>
        <v>0</v>
      </c>
      <c r="BF28" s="50">
        <f>County!AK1663</f>
        <v>0</v>
      </c>
      <c r="BG28" s="51">
        <f t="shared" si="23"/>
        <v>0</v>
      </c>
      <c r="BH28" s="50">
        <f>County!AL1663</f>
        <v>0</v>
      </c>
      <c r="BI28" s="51">
        <f t="shared" si="24"/>
        <v>0</v>
      </c>
      <c r="BJ28" s="50">
        <f>County!AM1663</f>
        <v>0</v>
      </c>
      <c r="BK28" s="51">
        <f t="shared" si="25"/>
        <v>0</v>
      </c>
      <c r="BL28" s="50">
        <f>County!AN1663</f>
        <v>0</v>
      </c>
      <c r="BM28" s="51">
        <f t="shared" si="26"/>
        <v>0</v>
      </c>
      <c r="BN28" s="50">
        <f>County!AO1663</f>
        <v>0</v>
      </c>
      <c r="BO28" s="51">
        <f t="shared" si="27"/>
        <v>0</v>
      </c>
      <c r="BP28" s="50">
        <f>County!AP1663</f>
        <v>0</v>
      </c>
      <c r="BQ28" s="51">
        <f t="shared" si="28"/>
        <v>0</v>
      </c>
      <c r="BR28" s="50">
        <f>County!AQ1663</f>
        <v>0</v>
      </c>
      <c r="BS28" s="51">
        <f t="shared" si="29"/>
        <v>0</v>
      </c>
      <c r="BT28" s="50">
        <f>County!AR1663</f>
        <v>0</v>
      </c>
      <c r="BU28" s="51">
        <f t="shared" si="30"/>
        <v>0</v>
      </c>
      <c r="BV28" s="50">
        <f>County!AS1663</f>
        <v>0</v>
      </c>
      <c r="BW28" s="51">
        <f t="shared" si="31"/>
        <v>0</v>
      </c>
      <c r="BX28" s="50">
        <f>County!AT1663</f>
        <v>0</v>
      </c>
      <c r="BY28" s="51">
        <f t="shared" si="32"/>
        <v>0</v>
      </c>
      <c r="BZ28" s="50">
        <f>County!AU1663</f>
        <v>0</v>
      </c>
      <c r="CA28" s="51">
        <f t="shared" si="33"/>
        <v>0</v>
      </c>
      <c r="CB28" s="58"/>
      <c r="CC28" s="47" t="str">
        <f t="shared" si="34"/>
        <v>Missouri</v>
      </c>
      <c r="CD28" s="47" t="s">
        <v>1213</v>
      </c>
      <c r="CE28" s="47">
        <f t="shared" si="35"/>
        <v>10</v>
      </c>
      <c r="CF28" s="48">
        <f>RANK(R28,(L28:Q28,R28:Y28,AD28:AW28))</f>
        <v>3</v>
      </c>
      <c r="CG28" s="48">
        <f>RANK(T28,(L28:Q28,R28:Y28,AD28:AW28))</f>
        <v>4</v>
      </c>
      <c r="CH28" s="48">
        <f>RANK(X28,(L28:Q28,R28:Y28,AD28:AW28))</f>
        <v>10</v>
      </c>
      <c r="CI28" s="48">
        <f>RANK(V28,(L28:Q28,R28:Y28,AD28:AW28))</f>
        <v>6</v>
      </c>
      <c r="CK28" s="47">
        <v>29</v>
      </c>
      <c r="CM28" s="50">
        <f>County!BO1663</f>
        <v>0</v>
      </c>
      <c r="CO28" s="47">
        <f t="shared" si="36"/>
        <v>10</v>
      </c>
      <c r="CP28" s="47">
        <v>0</v>
      </c>
      <c r="CR28" s="50">
        <f>County!CC1663</f>
        <v>0</v>
      </c>
      <c r="CS28" s="51">
        <f t="shared" si="37"/>
        <v>0</v>
      </c>
    </row>
    <row r="29" spans="1:97" s="34" customFormat="1">
      <c r="A29" s="34" t="s">
        <v>1051</v>
      </c>
      <c r="B29" s="34">
        <v>3</v>
      </c>
      <c r="C29" s="37">
        <f t="shared" si="38"/>
        <v>501822</v>
      </c>
      <c r="D29" s="36"/>
      <c r="E29" s="36">
        <v>3</v>
      </c>
      <c r="F29" s="36"/>
      <c r="G29" s="83">
        <f t="shared" si="0"/>
        <v>2</v>
      </c>
      <c r="H29" s="83">
        <f t="shared" si="1"/>
        <v>1</v>
      </c>
      <c r="I29" s="83">
        <f t="shared" si="2"/>
        <v>6</v>
      </c>
      <c r="J29" s="1">
        <f t="shared" si="39"/>
        <v>101531</v>
      </c>
      <c r="K29" s="38">
        <f t="shared" si="40"/>
        <v>0.20232472868865853</v>
      </c>
      <c r="L29" s="37">
        <f>County!N1721</f>
        <v>177709</v>
      </c>
      <c r="M29" s="38">
        <f t="shared" si="41"/>
        <v>0.35412755917436861</v>
      </c>
      <c r="N29" s="73">
        <f>County!O1721</f>
        <v>279240</v>
      </c>
      <c r="O29" s="74">
        <f t="shared" si="3"/>
        <v>0.55645228786302714</v>
      </c>
      <c r="P29" s="73">
        <f>County!P1721</f>
        <v>2297</v>
      </c>
      <c r="Q29" s="74">
        <f t="shared" si="4"/>
        <v>4.5773202450271212E-3</v>
      </c>
      <c r="R29" s="73">
        <f>County!Q1721</f>
        <v>28037</v>
      </c>
      <c r="S29" s="74">
        <f t="shared" si="5"/>
        <v>5.5870408232401129E-2</v>
      </c>
      <c r="T29" s="73">
        <f>County!R1721</f>
        <v>7970</v>
      </c>
      <c r="U29" s="74">
        <f t="shared" si="6"/>
        <v>1.5882125534552091E-2</v>
      </c>
      <c r="V29" s="73">
        <f>County!S1721</f>
        <v>296</v>
      </c>
      <c r="W29" s="74">
        <f t="shared" si="7"/>
        <v>5.8985058447019061E-4</v>
      </c>
      <c r="X29" s="73">
        <f>County!T1721</f>
        <v>1570</v>
      </c>
      <c r="Y29" s="74">
        <f t="shared" si="8"/>
        <v>3.1285993838452678E-3</v>
      </c>
      <c r="Z29" s="73">
        <f>County!U1721</f>
        <v>1</v>
      </c>
      <c r="AA29" s="74">
        <f t="shared" si="9"/>
        <v>1.9927384610479413E-6</v>
      </c>
      <c r="AB29" s="73">
        <f>County!V1721</f>
        <v>0</v>
      </c>
      <c r="AC29" s="74">
        <f t="shared" si="10"/>
        <v>0</v>
      </c>
      <c r="AD29" s="73">
        <f>County!W1721</f>
        <v>4683</v>
      </c>
      <c r="AE29" s="74">
        <f t="shared" si="11"/>
        <v>9.3319942130875091E-3</v>
      </c>
      <c r="AF29" s="73">
        <f>County!X1721</f>
        <v>0</v>
      </c>
      <c r="AG29" s="74">
        <f t="shared" si="12"/>
        <v>0</v>
      </c>
      <c r="AH29" s="37">
        <f>County!Y1721</f>
        <v>10</v>
      </c>
      <c r="AI29" s="38">
        <f t="shared" si="13"/>
        <v>1.9927384610479415E-5</v>
      </c>
      <c r="AJ29" s="37">
        <f>County!Z1721</f>
        <v>0</v>
      </c>
      <c r="AK29" s="38">
        <f t="shared" si="14"/>
        <v>0</v>
      </c>
      <c r="AL29" s="37">
        <f>County!AA1721</f>
        <v>0</v>
      </c>
      <c r="AM29" s="38">
        <f t="shared" si="15"/>
        <v>0</v>
      </c>
      <c r="AN29" s="37">
        <f>County!AB1721</f>
        <v>0</v>
      </c>
      <c r="AO29" s="38">
        <f t="shared" si="16"/>
        <v>0</v>
      </c>
      <c r="AP29" s="37">
        <f>County!AC1721</f>
        <v>0</v>
      </c>
      <c r="AQ29" s="38">
        <f t="shared" si="17"/>
        <v>0</v>
      </c>
      <c r="AR29" s="37">
        <f>County!AD1721</f>
        <v>0</v>
      </c>
      <c r="AS29" s="38">
        <f t="shared" si="18"/>
        <v>0</v>
      </c>
      <c r="AT29" s="37">
        <f>County!AE1721</f>
        <v>7</v>
      </c>
      <c r="AU29" s="38">
        <f t="shared" si="19"/>
        <v>1.394916922733559E-5</v>
      </c>
      <c r="AV29" s="37">
        <f>County!AF1721</f>
        <v>0</v>
      </c>
      <c r="AW29" s="38">
        <f t="shared" si="20"/>
        <v>0</v>
      </c>
      <c r="AX29" s="37">
        <f>County!AG1721</f>
        <v>0</v>
      </c>
      <c r="AY29" s="38">
        <f t="shared" si="20"/>
        <v>0</v>
      </c>
      <c r="AZ29" s="37">
        <f>County!AH1721</f>
        <v>0</v>
      </c>
      <c r="BA29" s="38">
        <f t="shared" si="21"/>
        <v>0</v>
      </c>
      <c r="BB29" s="37">
        <f>County!AI1721</f>
        <v>0</v>
      </c>
      <c r="BC29" s="38">
        <f t="shared" si="22"/>
        <v>0</v>
      </c>
      <c r="BD29" s="37">
        <f>County!AJ1721</f>
        <v>0</v>
      </c>
      <c r="BE29" s="38">
        <f t="shared" si="22"/>
        <v>0</v>
      </c>
      <c r="BF29" s="37">
        <f>County!AK1721</f>
        <v>0</v>
      </c>
      <c r="BG29" s="38">
        <f t="shared" si="23"/>
        <v>0</v>
      </c>
      <c r="BH29" s="37">
        <f>County!AL1721</f>
        <v>0</v>
      </c>
      <c r="BI29" s="38">
        <f t="shared" si="24"/>
        <v>0</v>
      </c>
      <c r="BJ29" s="37">
        <f>County!AM1721</f>
        <v>1</v>
      </c>
      <c r="BK29" s="38">
        <f t="shared" si="25"/>
        <v>1.9927384610479413E-6</v>
      </c>
      <c r="BL29" s="37">
        <f>County!AN1721</f>
        <v>0</v>
      </c>
      <c r="BM29" s="38">
        <f t="shared" si="26"/>
        <v>0</v>
      </c>
      <c r="BN29" s="37">
        <f>County!AO1721</f>
        <v>0</v>
      </c>
      <c r="BO29" s="38">
        <f t="shared" si="27"/>
        <v>0</v>
      </c>
      <c r="BP29" s="37">
        <f>County!AP1721</f>
        <v>0</v>
      </c>
      <c r="BQ29" s="38">
        <f t="shared" si="28"/>
        <v>0</v>
      </c>
      <c r="BR29" s="37">
        <f>County!AQ1721</f>
        <v>1</v>
      </c>
      <c r="BS29" s="38">
        <f t="shared" si="29"/>
        <v>1.9927384610479413E-6</v>
      </c>
      <c r="BT29" s="37">
        <f>County!AR1721</f>
        <v>0</v>
      </c>
      <c r="BU29" s="38">
        <f t="shared" si="30"/>
        <v>0</v>
      </c>
      <c r="BV29" s="37">
        <f>County!AS1721</f>
        <v>0</v>
      </c>
      <c r="BW29" s="38">
        <f t="shared" si="31"/>
        <v>0</v>
      </c>
      <c r="BX29" s="37">
        <f>County!AT1721</f>
        <v>0</v>
      </c>
      <c r="BY29" s="38">
        <f t="shared" si="32"/>
        <v>0</v>
      </c>
      <c r="BZ29" s="37">
        <f>County!AU1721</f>
        <v>0</v>
      </c>
      <c r="CA29" s="38">
        <f t="shared" si="33"/>
        <v>0</v>
      </c>
      <c r="CB29" s="59"/>
      <c r="CC29" s="34" t="str">
        <f t="shared" si="34"/>
        <v>Montana</v>
      </c>
      <c r="CD29" s="34" t="s">
        <v>1091</v>
      </c>
      <c r="CE29" s="34">
        <f t="shared" si="35"/>
        <v>3</v>
      </c>
      <c r="CF29" s="35">
        <f>RANK(R29,(L29:Q29,R29:Y29,AD29:AW29))</f>
        <v>3</v>
      </c>
      <c r="CG29" s="35">
        <f>RANK(T29,(L29:Q29,R29:Y29,AD29:AW29))</f>
        <v>4</v>
      </c>
      <c r="CH29" s="35">
        <f>RANK(X29,(L29:Q29,R29:Y29,AD29:AW29))</f>
        <v>7</v>
      </c>
      <c r="CI29" s="35">
        <f>RANK(V29,(L29:Q29,R29:Y29,AD29:AW29))</f>
        <v>8</v>
      </c>
      <c r="CK29" s="34">
        <v>30</v>
      </c>
      <c r="CM29" s="37">
        <f>County!BO1721</f>
        <v>0</v>
      </c>
      <c r="CO29" s="34">
        <f t="shared" si="36"/>
        <v>3</v>
      </c>
      <c r="CP29" s="34">
        <v>0</v>
      </c>
      <c r="CR29" s="37">
        <f>County!CC1721</f>
        <v>0</v>
      </c>
      <c r="CS29" s="38">
        <f t="shared" si="37"/>
        <v>0</v>
      </c>
    </row>
    <row r="30" spans="1:97" s="47" customFormat="1">
      <c r="A30" s="47" t="s">
        <v>429</v>
      </c>
      <c r="B30" s="47">
        <v>5</v>
      </c>
      <c r="C30" s="50">
        <f t="shared" si="38"/>
        <v>844227</v>
      </c>
      <c r="D30" s="49"/>
      <c r="E30" s="49">
        <v>5</v>
      </c>
      <c r="F30" s="49"/>
      <c r="G30" s="82">
        <f t="shared" si="0"/>
        <v>2</v>
      </c>
      <c r="H30" s="82">
        <f t="shared" si="1"/>
        <v>1</v>
      </c>
      <c r="I30" s="82" t="str">
        <f t="shared" si="2"/>
        <v>-</v>
      </c>
      <c r="J30" s="50">
        <f t="shared" si="39"/>
        <v>211467</v>
      </c>
      <c r="K30" s="51">
        <f t="shared" si="40"/>
        <v>0.25048594749990227</v>
      </c>
      <c r="L30" s="50">
        <f>County!N1816</f>
        <v>284494</v>
      </c>
      <c r="M30" s="51">
        <f t="shared" si="41"/>
        <v>0.33698756377135536</v>
      </c>
      <c r="N30" s="72">
        <f>County!O1816</f>
        <v>495961</v>
      </c>
      <c r="O30" s="105">
        <f t="shared" si="3"/>
        <v>0.58747351127125758</v>
      </c>
      <c r="P30" s="72">
        <f>County!P1816</f>
        <v>0</v>
      </c>
      <c r="Q30" s="105">
        <f t="shared" si="4"/>
        <v>0</v>
      </c>
      <c r="R30" s="72">
        <f>County!Q1816</f>
        <v>38946</v>
      </c>
      <c r="S30" s="105">
        <f t="shared" si="5"/>
        <v>4.6132142184507251E-2</v>
      </c>
      <c r="T30" s="72">
        <f>County!R1816</f>
        <v>8775</v>
      </c>
      <c r="U30" s="105">
        <f t="shared" si="6"/>
        <v>1.0394123855313795E-2</v>
      </c>
      <c r="V30" s="72">
        <f>County!S1816</f>
        <v>0</v>
      </c>
      <c r="W30" s="105">
        <f t="shared" si="7"/>
        <v>0</v>
      </c>
      <c r="X30" s="72">
        <f>County!T1816</f>
        <v>0</v>
      </c>
      <c r="Y30" s="105">
        <f t="shared" si="8"/>
        <v>0</v>
      </c>
      <c r="Z30" s="72">
        <f>County!U1816</f>
        <v>0</v>
      </c>
      <c r="AA30" s="105">
        <f t="shared" si="9"/>
        <v>0</v>
      </c>
      <c r="AB30" s="72">
        <f>County!V1816</f>
        <v>0</v>
      </c>
      <c r="AC30" s="105">
        <f t="shared" si="10"/>
        <v>0</v>
      </c>
      <c r="AD30" s="72">
        <f>County!W1816</f>
        <v>16051</v>
      </c>
      <c r="AE30" s="105">
        <f t="shared" si="11"/>
        <v>1.9012658917566011E-2</v>
      </c>
      <c r="AF30" s="72">
        <f>County!X1816</f>
        <v>0</v>
      </c>
      <c r="AG30" s="105">
        <f t="shared" si="12"/>
        <v>0</v>
      </c>
      <c r="AH30" s="50">
        <f>County!Y1816</f>
        <v>0</v>
      </c>
      <c r="AI30" s="51">
        <f t="shared" si="13"/>
        <v>0</v>
      </c>
      <c r="AJ30" s="50">
        <f>County!Z1816</f>
        <v>0</v>
      </c>
      <c r="AK30" s="51">
        <f t="shared" si="14"/>
        <v>0</v>
      </c>
      <c r="AL30" s="50">
        <f>County!AA1816</f>
        <v>0</v>
      </c>
      <c r="AM30" s="51">
        <f t="shared" si="15"/>
        <v>0</v>
      </c>
      <c r="AN30" s="50">
        <f>County!AB1816</f>
        <v>0</v>
      </c>
      <c r="AO30" s="51">
        <f t="shared" si="16"/>
        <v>0</v>
      </c>
      <c r="AP30" s="50">
        <f>County!AC1816</f>
        <v>0</v>
      </c>
      <c r="AQ30" s="51">
        <f t="shared" si="17"/>
        <v>0</v>
      </c>
      <c r="AR30" s="50">
        <f>County!AD1816</f>
        <v>0</v>
      </c>
      <c r="AS30" s="51">
        <f t="shared" si="18"/>
        <v>0</v>
      </c>
      <c r="AT30" s="50">
        <f>County!AE1816</f>
        <v>0</v>
      </c>
      <c r="AU30" s="51">
        <f t="shared" si="19"/>
        <v>0</v>
      </c>
      <c r="AV30" s="50">
        <f>County!AF1816</f>
        <v>0</v>
      </c>
      <c r="AW30" s="51">
        <f t="shared" si="20"/>
        <v>0</v>
      </c>
      <c r="AX30" s="50">
        <f>County!AG1816</f>
        <v>0</v>
      </c>
      <c r="AY30" s="51">
        <f t="shared" si="20"/>
        <v>0</v>
      </c>
      <c r="AZ30" s="50">
        <f>County!AH1816</f>
        <v>0</v>
      </c>
      <c r="BA30" s="51">
        <f t="shared" si="21"/>
        <v>0</v>
      </c>
      <c r="BB30" s="50">
        <f>County!AI1816</f>
        <v>0</v>
      </c>
      <c r="BC30" s="51">
        <f t="shared" si="22"/>
        <v>0</v>
      </c>
      <c r="BD30" s="50">
        <f>County!AJ1816</f>
        <v>0</v>
      </c>
      <c r="BE30" s="51">
        <f t="shared" si="22"/>
        <v>0</v>
      </c>
      <c r="BF30" s="50">
        <f>County!AK1816</f>
        <v>0</v>
      </c>
      <c r="BG30" s="51">
        <f t="shared" si="23"/>
        <v>0</v>
      </c>
      <c r="BH30" s="50">
        <f>County!AL1816</f>
        <v>0</v>
      </c>
      <c r="BI30" s="51">
        <f t="shared" si="24"/>
        <v>0</v>
      </c>
      <c r="BJ30" s="50">
        <f>County!AM1816</f>
        <v>0</v>
      </c>
      <c r="BK30" s="51">
        <f t="shared" si="25"/>
        <v>0</v>
      </c>
      <c r="BL30" s="50">
        <f>County!AN1816</f>
        <v>0</v>
      </c>
      <c r="BM30" s="51">
        <f t="shared" si="26"/>
        <v>0</v>
      </c>
      <c r="BN30" s="50">
        <f>County!AO1816</f>
        <v>0</v>
      </c>
      <c r="BO30" s="51">
        <f t="shared" si="27"/>
        <v>0</v>
      </c>
      <c r="BP30" s="50">
        <f>County!AP1816</f>
        <v>0</v>
      </c>
      <c r="BQ30" s="51">
        <f t="shared" si="28"/>
        <v>0</v>
      </c>
      <c r="BR30" s="50">
        <f>County!AQ1816</f>
        <v>0</v>
      </c>
      <c r="BS30" s="51">
        <f t="shared" si="29"/>
        <v>0</v>
      </c>
      <c r="BT30" s="50">
        <f>County!AR1816</f>
        <v>0</v>
      </c>
      <c r="BU30" s="51">
        <f t="shared" si="30"/>
        <v>0</v>
      </c>
      <c r="BV30" s="50">
        <f>County!AS1816</f>
        <v>0</v>
      </c>
      <c r="BW30" s="51">
        <f t="shared" si="31"/>
        <v>0</v>
      </c>
      <c r="BX30" s="50">
        <f>County!AT1816</f>
        <v>0</v>
      </c>
      <c r="BY30" s="51">
        <f t="shared" si="32"/>
        <v>0</v>
      </c>
      <c r="BZ30" s="50">
        <f>County!AU1816</f>
        <v>0</v>
      </c>
      <c r="CA30" s="51">
        <f t="shared" si="33"/>
        <v>0</v>
      </c>
      <c r="CB30" s="58"/>
      <c r="CC30" s="47" t="str">
        <f t="shared" si="34"/>
        <v>Nebraska</v>
      </c>
      <c r="CD30" s="47" t="s">
        <v>290</v>
      </c>
      <c r="CE30" s="47">
        <f t="shared" si="35"/>
        <v>5</v>
      </c>
      <c r="CF30" s="48">
        <f>RANK(R30,(L30:Q30,R30:Y30,AD30:AW30))</f>
        <v>3</v>
      </c>
      <c r="CG30" s="48">
        <f>RANK(T30,(L30:Q30,R30:Y30,AD30:AW30))</f>
        <v>5</v>
      </c>
      <c r="CH30" s="48">
        <f>RANK(X30,(L30:Q30,R30:Y30,AD30:AW30))</f>
        <v>11</v>
      </c>
      <c r="CI30" s="48">
        <f>RANK(V30,(L30:Q30,R30:Y30,AD30:AW30))</f>
        <v>11</v>
      </c>
      <c r="CK30" s="47">
        <v>31</v>
      </c>
      <c r="CM30" s="50">
        <f>County!BO1816</f>
        <v>0</v>
      </c>
      <c r="CO30" s="47">
        <f t="shared" si="36"/>
        <v>5</v>
      </c>
      <c r="CP30" s="47">
        <v>7</v>
      </c>
      <c r="CR30" s="50">
        <f>County!CC1816</f>
        <v>0</v>
      </c>
      <c r="CS30" s="51">
        <f t="shared" si="37"/>
        <v>0</v>
      </c>
    </row>
    <row r="31" spans="1:97" s="34" customFormat="1">
      <c r="A31" s="34" t="s">
        <v>2354</v>
      </c>
      <c r="B31" s="34">
        <v>6</v>
      </c>
      <c r="C31" s="37">
        <f t="shared" si="38"/>
        <v>1125385</v>
      </c>
      <c r="D31" s="36">
        <v>6</v>
      </c>
      <c r="E31" s="36"/>
      <c r="F31" s="36"/>
      <c r="G31" s="83">
        <f t="shared" si="0"/>
        <v>1</v>
      </c>
      <c r="H31" s="83">
        <f t="shared" si="1"/>
        <v>2</v>
      </c>
      <c r="I31" s="83" t="str">
        <f t="shared" si="2"/>
        <v>-</v>
      </c>
      <c r="J31" s="1">
        <f t="shared" si="39"/>
        <v>27202</v>
      </c>
      <c r="K31" s="38">
        <f t="shared" si="40"/>
        <v>2.4171283605166231E-2</v>
      </c>
      <c r="L31" s="37">
        <f>County!N1835</f>
        <v>539260</v>
      </c>
      <c r="M31" s="38">
        <f t="shared" si="41"/>
        <v>0.47917823678119043</v>
      </c>
      <c r="N31" s="73">
        <f>County!O1835</f>
        <v>512058</v>
      </c>
      <c r="O31" s="74">
        <f t="shared" si="3"/>
        <v>0.45500695317602419</v>
      </c>
      <c r="P31" s="73">
        <f>County!P1835</f>
        <v>0</v>
      </c>
      <c r="Q31" s="74">
        <f t="shared" si="4"/>
        <v>0</v>
      </c>
      <c r="R31" s="73">
        <f>County!Q1835</f>
        <v>37384</v>
      </c>
      <c r="S31" s="74">
        <f t="shared" si="5"/>
        <v>3.3218853992189337E-2</v>
      </c>
      <c r="T31" s="73">
        <f>County!R1835</f>
        <v>0</v>
      </c>
      <c r="U31" s="74">
        <f t="shared" si="6"/>
        <v>0</v>
      </c>
      <c r="V31" s="73">
        <f>County!S1835</f>
        <v>5268</v>
      </c>
      <c r="W31" s="74">
        <f t="shared" si="7"/>
        <v>4.6810647023018785E-3</v>
      </c>
      <c r="X31" s="73">
        <f>County!T1835</f>
        <v>2552</v>
      </c>
      <c r="Y31" s="74">
        <f t="shared" si="8"/>
        <v>2.2676683979260433E-3</v>
      </c>
      <c r="Z31" s="73">
        <f>County!U1835</f>
        <v>0</v>
      </c>
      <c r="AA31" s="74">
        <f t="shared" si="9"/>
        <v>0</v>
      </c>
      <c r="AB31" s="73">
        <f>County!V1835</f>
        <v>0</v>
      </c>
      <c r="AC31" s="74">
        <f t="shared" si="10"/>
        <v>0</v>
      </c>
      <c r="AD31" s="73">
        <f>County!W1835</f>
        <v>0</v>
      </c>
      <c r="AE31" s="74">
        <f t="shared" si="11"/>
        <v>0</v>
      </c>
      <c r="AF31" s="73">
        <f>County!X1835</f>
        <v>0</v>
      </c>
      <c r="AG31" s="74">
        <f t="shared" si="12"/>
        <v>0</v>
      </c>
      <c r="AH31" s="37">
        <f>County!Y1835</f>
        <v>0</v>
      </c>
      <c r="AI31" s="38">
        <f t="shared" si="13"/>
        <v>0</v>
      </c>
      <c r="AJ31" s="37">
        <f>County!Z1835</f>
        <v>0</v>
      </c>
      <c r="AK31" s="38">
        <f t="shared" si="14"/>
        <v>0</v>
      </c>
      <c r="AL31" s="37">
        <f>County!AA1835</f>
        <v>0</v>
      </c>
      <c r="AM31" s="38">
        <f t="shared" si="15"/>
        <v>0</v>
      </c>
      <c r="AN31" s="37">
        <f>County!AB1835</f>
        <v>28863</v>
      </c>
      <c r="AO31" s="38">
        <f t="shared" si="16"/>
        <v>2.5647222950368097E-2</v>
      </c>
      <c r="AP31" s="37">
        <f>County!AC1835</f>
        <v>0</v>
      </c>
      <c r="AQ31" s="38">
        <f t="shared" si="17"/>
        <v>0</v>
      </c>
      <c r="AR31" s="37">
        <f>County!AD1835</f>
        <v>0</v>
      </c>
      <c r="AS31" s="38">
        <f t="shared" si="18"/>
        <v>0</v>
      </c>
      <c r="AT31" s="37">
        <f>County!AE1835</f>
        <v>0</v>
      </c>
      <c r="AU31" s="38">
        <f t="shared" si="19"/>
        <v>0</v>
      </c>
      <c r="AV31" s="37">
        <f>County!AF1835</f>
        <v>0</v>
      </c>
      <c r="AW31" s="38">
        <f t="shared" si="20"/>
        <v>0</v>
      </c>
      <c r="AX31" s="37">
        <f>County!AG1835</f>
        <v>0</v>
      </c>
      <c r="AY31" s="38">
        <f t="shared" si="20"/>
        <v>0</v>
      </c>
      <c r="AZ31" s="37">
        <f>County!AH1835</f>
        <v>0</v>
      </c>
      <c r="BA31" s="38">
        <f t="shared" si="21"/>
        <v>0</v>
      </c>
      <c r="BB31" s="37">
        <f>County!AI1835</f>
        <v>0</v>
      </c>
      <c r="BC31" s="38">
        <f t="shared" si="22"/>
        <v>0</v>
      </c>
      <c r="BD31" s="37">
        <f>County!AJ1835</f>
        <v>0</v>
      </c>
      <c r="BE31" s="38">
        <f t="shared" si="22"/>
        <v>0</v>
      </c>
      <c r="BF31" s="37">
        <f>County!AK1835</f>
        <v>0</v>
      </c>
      <c r="BG31" s="38">
        <f t="shared" si="23"/>
        <v>0</v>
      </c>
      <c r="BH31" s="37">
        <f>County!AL1835</f>
        <v>0</v>
      </c>
      <c r="BI31" s="38">
        <f t="shared" si="24"/>
        <v>0</v>
      </c>
      <c r="BJ31" s="37">
        <f>County!AM1835</f>
        <v>0</v>
      </c>
      <c r="BK31" s="38">
        <f t="shared" si="25"/>
        <v>0</v>
      </c>
      <c r="BL31" s="37">
        <f>County!AN1835</f>
        <v>0</v>
      </c>
      <c r="BM31" s="38">
        <f t="shared" si="26"/>
        <v>0</v>
      </c>
      <c r="BN31" s="37">
        <f>County!AO1835</f>
        <v>0</v>
      </c>
      <c r="BO31" s="38">
        <f t="shared" si="27"/>
        <v>0</v>
      </c>
      <c r="BP31" s="37">
        <f>County!AP1835</f>
        <v>0</v>
      </c>
      <c r="BQ31" s="38">
        <f t="shared" si="28"/>
        <v>0</v>
      </c>
      <c r="BR31" s="37">
        <f>County!AQ1835</f>
        <v>0</v>
      </c>
      <c r="BS31" s="38">
        <f t="shared" si="29"/>
        <v>0</v>
      </c>
      <c r="BT31" s="37">
        <f>County!AR1835</f>
        <v>0</v>
      </c>
      <c r="BU31" s="38">
        <f t="shared" si="30"/>
        <v>0</v>
      </c>
      <c r="BV31" s="37">
        <f>County!AS1835</f>
        <v>0</v>
      </c>
      <c r="BW31" s="38">
        <f t="shared" si="31"/>
        <v>0</v>
      </c>
      <c r="BX31" s="37">
        <f>County!AT1835</f>
        <v>0</v>
      </c>
      <c r="BY31" s="38">
        <f t="shared" si="32"/>
        <v>0</v>
      </c>
      <c r="BZ31" s="37">
        <f>County!AU1835</f>
        <v>0</v>
      </c>
      <c r="CA31" s="38">
        <f t="shared" si="33"/>
        <v>0</v>
      </c>
      <c r="CB31" s="59"/>
      <c r="CC31" s="34" t="str">
        <f t="shared" si="34"/>
        <v>Nevada</v>
      </c>
      <c r="CD31" s="34" t="s">
        <v>270</v>
      </c>
      <c r="CE31" s="34">
        <f t="shared" si="35"/>
        <v>6</v>
      </c>
      <c r="CF31" s="35">
        <f>RANK(R31,(L31:Q31,R31:Y31,AD31:AW31))</f>
        <v>3</v>
      </c>
      <c r="CG31" s="35">
        <f>RANK(T31,(L31:Q31,R31:Y31,AD31:AW31))</f>
        <v>13</v>
      </c>
      <c r="CH31" s="35">
        <f>RANK(X31,(L31:Q31,R31:Y31,AD31:AW31))</f>
        <v>6</v>
      </c>
      <c r="CI31" s="35">
        <f>RANK(V31,(L31:Q31,R31:Y31,AD31:AW31))</f>
        <v>5</v>
      </c>
      <c r="CK31" s="34">
        <v>32</v>
      </c>
      <c r="CM31" s="37">
        <f>County!BO1835</f>
        <v>0</v>
      </c>
      <c r="CO31" s="34">
        <f t="shared" si="36"/>
        <v>6</v>
      </c>
      <c r="CP31" s="34">
        <v>0</v>
      </c>
      <c r="CR31" s="37">
        <f>County!CC1835</f>
        <v>0</v>
      </c>
      <c r="CS31" s="38">
        <f t="shared" si="37"/>
        <v>0</v>
      </c>
    </row>
    <row r="32" spans="1:97" s="47" customFormat="1">
      <c r="A32" s="47" t="s">
        <v>1200</v>
      </c>
      <c r="B32" s="47">
        <v>4</v>
      </c>
      <c r="C32" s="50">
        <f t="shared" si="38"/>
        <v>744296</v>
      </c>
      <c r="D32" s="49">
        <v>4</v>
      </c>
      <c r="E32" s="49"/>
      <c r="F32" s="49"/>
      <c r="G32" s="82">
        <f t="shared" si="0"/>
        <v>1</v>
      </c>
      <c r="H32" s="82">
        <f t="shared" si="1"/>
        <v>2</v>
      </c>
      <c r="I32" s="82">
        <f t="shared" si="2"/>
        <v>6</v>
      </c>
      <c r="J32" s="50">
        <f t="shared" si="39"/>
        <v>2736</v>
      </c>
      <c r="K32" s="51">
        <f t="shared" si="40"/>
        <v>3.6759568773713685E-3</v>
      </c>
      <c r="L32" s="50">
        <f>County!N1847</f>
        <v>348526</v>
      </c>
      <c r="M32" s="51">
        <f t="shared" si="41"/>
        <v>0.46826262669690555</v>
      </c>
      <c r="N32" s="72">
        <f>County!O1847</f>
        <v>345790</v>
      </c>
      <c r="O32" s="105">
        <f t="shared" si="3"/>
        <v>0.46458666981953417</v>
      </c>
      <c r="P32" s="72">
        <f>County!P1847</f>
        <v>1064</v>
      </c>
      <c r="Q32" s="105">
        <f t="shared" si="4"/>
        <v>1.429538785644421E-3</v>
      </c>
      <c r="R32" s="72">
        <f>County!Q1847</f>
        <v>30777</v>
      </c>
      <c r="S32" s="105">
        <f t="shared" si="5"/>
        <v>4.1350484215957092E-2</v>
      </c>
      <c r="T32" s="72">
        <f>County!R1847</f>
        <v>6496</v>
      </c>
      <c r="U32" s="105">
        <f t="shared" si="6"/>
        <v>8.7277104807764651E-3</v>
      </c>
      <c r="V32" s="72">
        <f>County!S1847</f>
        <v>0</v>
      </c>
      <c r="W32" s="105">
        <f t="shared" si="7"/>
        <v>0</v>
      </c>
      <c r="X32" s="72">
        <f>County!T1847</f>
        <v>678</v>
      </c>
      <c r="Y32" s="105">
        <f t="shared" si="8"/>
        <v>9.1092791040123819E-4</v>
      </c>
      <c r="Z32" s="72">
        <f>County!U1847</f>
        <v>0</v>
      </c>
      <c r="AA32" s="105">
        <f t="shared" si="9"/>
        <v>0</v>
      </c>
      <c r="AB32" s="72">
        <f>County!V1847</f>
        <v>0</v>
      </c>
      <c r="AC32" s="105">
        <f t="shared" si="10"/>
        <v>0</v>
      </c>
      <c r="AD32" s="72">
        <f>County!W1847</f>
        <v>10965</v>
      </c>
      <c r="AE32" s="105">
        <f t="shared" si="11"/>
        <v>1.4732042090781087E-2</v>
      </c>
      <c r="AF32" s="72">
        <f>County!X1847</f>
        <v>0</v>
      </c>
      <c r="AG32" s="105">
        <f t="shared" si="12"/>
        <v>0</v>
      </c>
      <c r="AH32" s="50">
        <f>County!Y1847</f>
        <v>0</v>
      </c>
      <c r="AI32" s="51">
        <f t="shared" si="13"/>
        <v>0</v>
      </c>
      <c r="AJ32" s="50">
        <f>County!Z1847</f>
        <v>0</v>
      </c>
      <c r="AK32" s="51">
        <f t="shared" si="14"/>
        <v>0</v>
      </c>
      <c r="AL32" s="50">
        <f>County!AA1847</f>
        <v>0</v>
      </c>
      <c r="AM32" s="51">
        <f t="shared" si="15"/>
        <v>0</v>
      </c>
      <c r="AN32" s="50">
        <f>County!AB1847</f>
        <v>0</v>
      </c>
      <c r="AO32" s="51">
        <f t="shared" si="16"/>
        <v>0</v>
      </c>
      <c r="AP32" s="50">
        <f>County!AC1847</f>
        <v>0</v>
      </c>
      <c r="AQ32" s="51">
        <f t="shared" si="17"/>
        <v>0</v>
      </c>
      <c r="AR32" s="50">
        <f>County!AD1847</f>
        <v>0</v>
      </c>
      <c r="AS32" s="51">
        <f t="shared" si="18"/>
        <v>0</v>
      </c>
      <c r="AT32" s="50">
        <f>County!AE1847</f>
        <v>0</v>
      </c>
      <c r="AU32" s="51">
        <f t="shared" si="19"/>
        <v>0</v>
      </c>
      <c r="AV32" s="50">
        <f>County!AF1847</f>
        <v>0</v>
      </c>
      <c r="AW32" s="51">
        <f t="shared" si="20"/>
        <v>0</v>
      </c>
      <c r="AX32" s="50">
        <f>County!AG1847</f>
        <v>0</v>
      </c>
      <c r="AY32" s="51">
        <f t="shared" si="20"/>
        <v>0</v>
      </c>
      <c r="AZ32" s="50">
        <f>County!AH1847</f>
        <v>0</v>
      </c>
      <c r="BA32" s="51">
        <f t="shared" si="21"/>
        <v>0</v>
      </c>
      <c r="BB32" s="50">
        <f>County!AI1847</f>
        <v>0</v>
      </c>
      <c r="BC32" s="51">
        <f t="shared" si="22"/>
        <v>0</v>
      </c>
      <c r="BD32" s="50">
        <f>County!AJ1847</f>
        <v>0</v>
      </c>
      <c r="BE32" s="51">
        <f t="shared" si="22"/>
        <v>0</v>
      </c>
      <c r="BF32" s="50">
        <f>County!AK1847</f>
        <v>0</v>
      </c>
      <c r="BG32" s="51">
        <f t="shared" si="23"/>
        <v>0</v>
      </c>
      <c r="BH32" s="50">
        <f>County!AL1847</f>
        <v>0</v>
      </c>
      <c r="BI32" s="51">
        <f t="shared" si="24"/>
        <v>0</v>
      </c>
      <c r="BJ32" s="50">
        <f>County!AM1847</f>
        <v>0</v>
      </c>
      <c r="BK32" s="51">
        <f t="shared" si="25"/>
        <v>0</v>
      </c>
      <c r="BL32" s="50">
        <f>County!AN1847</f>
        <v>0</v>
      </c>
      <c r="BM32" s="51">
        <f t="shared" si="26"/>
        <v>0</v>
      </c>
      <c r="BN32" s="50">
        <f>County!AO1847</f>
        <v>0</v>
      </c>
      <c r="BO32" s="51">
        <f t="shared" si="27"/>
        <v>0</v>
      </c>
      <c r="BP32" s="50">
        <f>County!AP1847</f>
        <v>0</v>
      </c>
      <c r="BQ32" s="51">
        <f t="shared" si="28"/>
        <v>0</v>
      </c>
      <c r="BR32" s="50">
        <f>County!AQ1847</f>
        <v>0</v>
      </c>
      <c r="BS32" s="51">
        <f t="shared" si="29"/>
        <v>0</v>
      </c>
      <c r="BT32" s="50">
        <f>County!AR1847</f>
        <v>0</v>
      </c>
      <c r="BU32" s="51">
        <f t="shared" si="30"/>
        <v>0</v>
      </c>
      <c r="BV32" s="50">
        <f>County!AS1847</f>
        <v>0</v>
      </c>
      <c r="BW32" s="51">
        <f t="shared" si="31"/>
        <v>0</v>
      </c>
      <c r="BX32" s="50">
        <f>County!AT1847</f>
        <v>0</v>
      </c>
      <c r="BY32" s="51">
        <f t="shared" si="32"/>
        <v>0</v>
      </c>
      <c r="BZ32" s="50">
        <f>County!AU1847</f>
        <v>0</v>
      </c>
      <c r="CA32" s="51">
        <f t="shared" si="33"/>
        <v>0</v>
      </c>
      <c r="CB32" s="58"/>
      <c r="CC32" s="47" t="str">
        <f t="shared" si="34"/>
        <v>New Hampshire</v>
      </c>
      <c r="CD32" s="47" t="s">
        <v>1799</v>
      </c>
      <c r="CE32" s="47">
        <f t="shared" si="35"/>
        <v>4</v>
      </c>
      <c r="CF32" s="48">
        <f>RANK(R32,(L32:Q32,R32:Y32,AD32:AW32))</f>
        <v>3</v>
      </c>
      <c r="CG32" s="48">
        <f>RANK(T32,(L32:Q32,R32:Y32,AD32:AW32))</f>
        <v>5</v>
      </c>
      <c r="CH32" s="48">
        <f>RANK(X32,(L32:Q32,R32:Y32,AD32:AW32))</f>
        <v>7</v>
      </c>
      <c r="CI32" s="48">
        <f>RANK(V32,(L32:Q32,R32:Y32,AD32:AW32))</f>
        <v>15</v>
      </c>
      <c r="CK32" s="47">
        <v>33</v>
      </c>
      <c r="CM32" s="50">
        <f>County!BO1847</f>
        <v>0</v>
      </c>
      <c r="CO32" s="47">
        <f t="shared" si="36"/>
        <v>4</v>
      </c>
      <c r="CP32" s="47">
        <v>0</v>
      </c>
      <c r="CR32" s="50">
        <f>County!CC1847</f>
        <v>4493</v>
      </c>
      <c r="CS32" s="51">
        <f t="shared" si="37"/>
        <v>6.0365768457710375E-3</v>
      </c>
    </row>
    <row r="33" spans="1:97" s="34" customFormat="1">
      <c r="A33" s="34" t="s">
        <v>2405</v>
      </c>
      <c r="B33" s="34">
        <v>14</v>
      </c>
      <c r="C33" s="37">
        <f t="shared" si="38"/>
        <v>3906723</v>
      </c>
      <c r="D33" s="36">
        <v>14</v>
      </c>
      <c r="E33" s="36"/>
      <c r="F33" s="36"/>
      <c r="G33" s="83">
        <f t="shared" si="0"/>
        <v>1</v>
      </c>
      <c r="H33" s="83">
        <f t="shared" si="1"/>
        <v>2</v>
      </c>
      <c r="I33" s="83" t="str">
        <f t="shared" si="2"/>
        <v>-</v>
      </c>
      <c r="J33" s="1">
        <f t="shared" si="39"/>
        <v>546345</v>
      </c>
      <c r="K33" s="38">
        <f t="shared" si="40"/>
        <v>0.13984738615970468</v>
      </c>
      <c r="L33" s="37">
        <f>County!N1870</f>
        <v>2148278</v>
      </c>
      <c r="M33" s="38">
        <f t="shared" si="41"/>
        <v>0.54989258260695728</v>
      </c>
      <c r="N33" s="73">
        <f>County!O1870</f>
        <v>1601933</v>
      </c>
      <c r="O33" s="74">
        <f t="shared" si="3"/>
        <v>0.41004519644725257</v>
      </c>
      <c r="P33" s="73">
        <f>County!P1870</f>
        <v>0</v>
      </c>
      <c r="Q33" s="74">
        <f t="shared" si="4"/>
        <v>0</v>
      </c>
      <c r="R33" s="73">
        <f>County!Q1870</f>
        <v>72477</v>
      </c>
      <c r="S33" s="74">
        <f t="shared" si="5"/>
        <v>1.8551865591699232E-2</v>
      </c>
      <c r="T33" s="73">
        <f>County!R1870</f>
        <v>37772</v>
      </c>
      <c r="U33" s="74">
        <f t="shared" si="6"/>
        <v>9.6684612653622996E-3</v>
      </c>
      <c r="V33" s="73">
        <f>County!S1870</f>
        <v>6161</v>
      </c>
      <c r="W33" s="74">
        <f t="shared" si="7"/>
        <v>1.5770250411918122E-3</v>
      </c>
      <c r="X33" s="73">
        <f>County!T1870</f>
        <v>1838</v>
      </c>
      <c r="Y33" s="74">
        <f t="shared" si="8"/>
        <v>4.7047103160372515E-4</v>
      </c>
      <c r="Z33" s="73">
        <f>County!U1870</f>
        <v>0</v>
      </c>
      <c r="AA33" s="74">
        <f t="shared" si="9"/>
        <v>0</v>
      </c>
      <c r="AB33" s="73">
        <f>County!V1870</f>
        <v>1682</v>
      </c>
      <c r="AC33" s="74">
        <f t="shared" si="10"/>
        <v>4.3053986678861031E-4</v>
      </c>
      <c r="AD33" s="73">
        <f>County!W1870</f>
        <v>32677</v>
      </c>
      <c r="AE33" s="74">
        <f t="shared" si="11"/>
        <v>8.3642991837404399E-3</v>
      </c>
      <c r="AF33" s="73">
        <f>County!X1870</f>
        <v>2156</v>
      </c>
      <c r="AG33" s="74">
        <f t="shared" si="12"/>
        <v>5.5186917526530549E-4</v>
      </c>
      <c r="AH33" s="37">
        <f>County!Y1870</f>
        <v>0</v>
      </c>
      <c r="AI33" s="38">
        <f t="shared" si="13"/>
        <v>0</v>
      </c>
      <c r="AJ33" s="37">
        <f>County!Z1870</f>
        <v>0</v>
      </c>
      <c r="AK33" s="38">
        <f t="shared" si="14"/>
        <v>0</v>
      </c>
      <c r="AL33" s="37">
        <f>County!AA1870</f>
        <v>1749</v>
      </c>
      <c r="AM33" s="38">
        <f t="shared" si="15"/>
        <v>4.476897901386917E-4</v>
      </c>
      <c r="AN33" s="37">
        <f>County!AB1870</f>
        <v>0</v>
      </c>
      <c r="AO33" s="38">
        <f t="shared" si="16"/>
        <v>0</v>
      </c>
      <c r="AP33" s="37">
        <f>County!AC1870</f>
        <v>0</v>
      </c>
      <c r="AQ33" s="38">
        <f t="shared" si="17"/>
        <v>0</v>
      </c>
      <c r="AR33" s="37">
        <f>County!AD1870</f>
        <v>0</v>
      </c>
      <c r="AS33" s="38">
        <f t="shared" si="18"/>
        <v>0</v>
      </c>
      <c r="AT33" s="37">
        <f>County!AE1870</f>
        <v>0</v>
      </c>
      <c r="AU33" s="38">
        <f t="shared" si="19"/>
        <v>0</v>
      </c>
      <c r="AV33" s="37">
        <f>County!AF1870</f>
        <v>0</v>
      </c>
      <c r="AW33" s="38">
        <f t="shared" si="20"/>
        <v>0</v>
      </c>
      <c r="AX33" s="37">
        <f>County!AG1870</f>
        <v>0</v>
      </c>
      <c r="AY33" s="38">
        <f t="shared" si="20"/>
        <v>0</v>
      </c>
      <c r="AZ33" s="37">
        <f>County!AH1870</f>
        <v>0</v>
      </c>
      <c r="BA33" s="38">
        <f t="shared" si="21"/>
        <v>0</v>
      </c>
      <c r="BB33" s="37">
        <f>County!AI1870</f>
        <v>0</v>
      </c>
      <c r="BC33" s="38">
        <f t="shared" si="22"/>
        <v>0</v>
      </c>
      <c r="BD33" s="37">
        <f>County!AJ1870</f>
        <v>0</v>
      </c>
      <c r="BE33" s="38">
        <f t="shared" si="22"/>
        <v>0</v>
      </c>
      <c r="BF33" s="37">
        <f>County!AK1870</f>
        <v>0</v>
      </c>
      <c r="BG33" s="38">
        <f t="shared" si="23"/>
        <v>0</v>
      </c>
      <c r="BH33" s="37">
        <f>County!AL1870</f>
        <v>0</v>
      </c>
      <c r="BI33" s="38">
        <f t="shared" si="24"/>
        <v>0</v>
      </c>
      <c r="BJ33" s="37">
        <f>County!AM1870</f>
        <v>0</v>
      </c>
      <c r="BK33" s="38">
        <f t="shared" si="25"/>
        <v>0</v>
      </c>
      <c r="BL33" s="37">
        <f>County!AN1870</f>
        <v>0</v>
      </c>
      <c r="BM33" s="38">
        <f t="shared" si="26"/>
        <v>0</v>
      </c>
      <c r="BN33" s="37">
        <f>County!AO1870</f>
        <v>0</v>
      </c>
      <c r="BO33" s="38">
        <f t="shared" si="27"/>
        <v>0</v>
      </c>
      <c r="BP33" s="37">
        <f>County!AP1870</f>
        <v>0</v>
      </c>
      <c r="BQ33" s="38">
        <f t="shared" si="28"/>
        <v>0</v>
      </c>
      <c r="BR33" s="37">
        <f>County!AQ1870</f>
        <v>0</v>
      </c>
      <c r="BS33" s="38">
        <f t="shared" si="29"/>
        <v>0</v>
      </c>
      <c r="BT33" s="37">
        <f>County!AR1870</f>
        <v>0</v>
      </c>
      <c r="BU33" s="38">
        <f t="shared" si="30"/>
        <v>0</v>
      </c>
      <c r="BV33" s="37">
        <f>County!AS1870</f>
        <v>0</v>
      </c>
      <c r="BW33" s="38">
        <f t="shared" si="31"/>
        <v>0</v>
      </c>
      <c r="BX33" s="37">
        <f>County!AT1870</f>
        <v>0</v>
      </c>
      <c r="BY33" s="38">
        <f t="shared" si="32"/>
        <v>0</v>
      </c>
      <c r="BZ33" s="37">
        <f>County!AU1870</f>
        <v>0</v>
      </c>
      <c r="CA33" s="38">
        <f t="shared" si="33"/>
        <v>0</v>
      </c>
      <c r="CB33" s="59"/>
      <c r="CC33" s="34" t="str">
        <f t="shared" si="34"/>
        <v>New Jersey</v>
      </c>
      <c r="CD33" s="34" t="s">
        <v>2147</v>
      </c>
      <c r="CE33" s="34">
        <f t="shared" si="35"/>
        <v>14</v>
      </c>
      <c r="CF33" s="35">
        <f>RANK(R33,(L33:Q33,R33:Y33,AD33:AW33))</f>
        <v>3</v>
      </c>
      <c r="CG33" s="35">
        <f>RANK(T33,(L33:Q33,R33:Y33,AD33:AW33))</f>
        <v>4</v>
      </c>
      <c r="CH33" s="35">
        <f>RANK(X33,(L33:Q33,R33:Y33,AD33:AW33))</f>
        <v>8</v>
      </c>
      <c r="CI33" s="35">
        <f>RANK(V33,(L33:Q33,R33:Y33,AD33:AW33))</f>
        <v>6</v>
      </c>
      <c r="CK33" s="34">
        <v>34</v>
      </c>
      <c r="CM33" s="37">
        <f>County!BO1870</f>
        <v>0</v>
      </c>
      <c r="CO33" s="34">
        <f t="shared" si="36"/>
        <v>14</v>
      </c>
      <c r="CP33" s="34">
        <v>0</v>
      </c>
      <c r="CR33" s="37">
        <f>County!CC1870</f>
        <v>0</v>
      </c>
      <c r="CS33" s="38">
        <f t="shared" si="37"/>
        <v>0</v>
      </c>
    </row>
    <row r="34" spans="1:97" s="47" customFormat="1">
      <c r="A34" s="47" t="s">
        <v>2756</v>
      </c>
      <c r="B34" s="47">
        <v>5</v>
      </c>
      <c r="C34" s="50">
        <f t="shared" si="38"/>
        <v>798319</v>
      </c>
      <c r="D34" s="49">
        <v>5</v>
      </c>
      <c r="E34" s="49"/>
      <c r="F34" s="49"/>
      <c r="G34" s="82">
        <f t="shared" si="0"/>
        <v>1</v>
      </c>
      <c r="H34" s="82">
        <f t="shared" si="1"/>
        <v>2</v>
      </c>
      <c r="I34" s="82">
        <f t="shared" si="2"/>
        <v>5</v>
      </c>
      <c r="J34" s="50">
        <f t="shared" si="39"/>
        <v>65567</v>
      </c>
      <c r="K34" s="51">
        <f t="shared" si="40"/>
        <v>8.2131328453913785E-2</v>
      </c>
      <c r="L34" s="50">
        <f>County!N1905</f>
        <v>385234</v>
      </c>
      <c r="M34" s="51">
        <f t="shared" si="41"/>
        <v>0.48255647178634103</v>
      </c>
      <c r="N34" s="72">
        <f>County!O1905</f>
        <v>319667</v>
      </c>
      <c r="O34" s="105">
        <f t="shared" si="3"/>
        <v>0.40042514333242724</v>
      </c>
      <c r="P34" s="72">
        <f>County!P1905</f>
        <v>5825</v>
      </c>
      <c r="Q34" s="105">
        <f t="shared" si="4"/>
        <v>7.2965819428073243E-3</v>
      </c>
      <c r="R34" s="72">
        <f>County!Q1905</f>
        <v>74541</v>
      </c>
      <c r="S34" s="105">
        <f t="shared" si="5"/>
        <v>9.3372448858163218E-2</v>
      </c>
      <c r="T34" s="72">
        <f>County!R1905</f>
        <v>9879</v>
      </c>
      <c r="U34" s="105">
        <f t="shared" si="6"/>
        <v>1.2374752448582584E-2</v>
      </c>
      <c r="V34" s="72">
        <f>County!S1905</f>
        <v>1514</v>
      </c>
      <c r="W34" s="105">
        <f t="shared" si="7"/>
        <v>1.8964849890833113E-3</v>
      </c>
      <c r="X34" s="72">
        <f>County!T1905</f>
        <v>475</v>
      </c>
      <c r="Y34" s="105">
        <f t="shared" si="8"/>
        <v>5.9500024426325821E-4</v>
      </c>
      <c r="Z34" s="72">
        <f>County!U1905</f>
        <v>0</v>
      </c>
      <c r="AA34" s="105">
        <f t="shared" si="9"/>
        <v>0</v>
      </c>
      <c r="AB34" s="72">
        <f>County!V1905</f>
        <v>1184</v>
      </c>
      <c r="AC34" s="105">
        <f t="shared" si="10"/>
        <v>1.483116398331995E-3</v>
      </c>
      <c r="AD34" s="72">
        <f>County!W1905</f>
        <v>0</v>
      </c>
      <c r="AE34" s="105">
        <f t="shared" si="11"/>
        <v>0</v>
      </c>
      <c r="AF34" s="72">
        <f>County!X1905</f>
        <v>0</v>
      </c>
      <c r="AG34" s="105">
        <f t="shared" si="12"/>
        <v>0</v>
      </c>
      <c r="AH34" s="50">
        <f>County!Y1905</f>
        <v>0</v>
      </c>
      <c r="AI34" s="51">
        <f t="shared" si="13"/>
        <v>0</v>
      </c>
      <c r="AJ34" s="50">
        <f>County!Z1905</f>
        <v>0</v>
      </c>
      <c r="AK34" s="51">
        <f t="shared" si="14"/>
        <v>0</v>
      </c>
      <c r="AL34" s="50">
        <f>County!AA1905</f>
        <v>0</v>
      </c>
      <c r="AM34" s="51">
        <f t="shared" si="15"/>
        <v>0</v>
      </c>
      <c r="AN34" s="50">
        <f>County!AB1905</f>
        <v>0</v>
      </c>
      <c r="AO34" s="51">
        <f t="shared" si="16"/>
        <v>0</v>
      </c>
      <c r="AP34" s="50">
        <f>County!AC1905</f>
        <v>0</v>
      </c>
      <c r="AQ34" s="51">
        <f t="shared" si="17"/>
        <v>0</v>
      </c>
      <c r="AR34" s="50">
        <f>County!AD1905</f>
        <v>0</v>
      </c>
      <c r="AS34" s="51">
        <f t="shared" si="18"/>
        <v>0</v>
      </c>
      <c r="AT34" s="50">
        <f>County!AE1905</f>
        <v>0</v>
      </c>
      <c r="AU34" s="51">
        <f t="shared" si="19"/>
        <v>0</v>
      </c>
      <c r="AV34" s="50">
        <f>County!AF1905</f>
        <v>0</v>
      </c>
      <c r="AW34" s="51">
        <f t="shared" si="20"/>
        <v>0</v>
      </c>
      <c r="AX34" s="50">
        <f>County!AG1905</f>
        <v>0</v>
      </c>
      <c r="AY34" s="51">
        <f t="shared" si="20"/>
        <v>0</v>
      </c>
      <c r="AZ34" s="50">
        <f>County!AH1905</f>
        <v>0</v>
      </c>
      <c r="BA34" s="51">
        <f t="shared" si="21"/>
        <v>0</v>
      </c>
      <c r="BB34" s="50">
        <f>County!AI1905</f>
        <v>0</v>
      </c>
      <c r="BC34" s="51">
        <f t="shared" si="22"/>
        <v>0</v>
      </c>
      <c r="BD34" s="50">
        <f>County!AJ1905</f>
        <v>0</v>
      </c>
      <c r="BE34" s="51">
        <f t="shared" si="22"/>
        <v>0</v>
      </c>
      <c r="BF34" s="50">
        <f>County!AK1905</f>
        <v>0</v>
      </c>
      <c r="BG34" s="51">
        <f t="shared" si="23"/>
        <v>0</v>
      </c>
      <c r="BH34" s="50">
        <f>County!AL1905</f>
        <v>0</v>
      </c>
      <c r="BI34" s="51">
        <f t="shared" si="24"/>
        <v>0</v>
      </c>
      <c r="BJ34" s="50">
        <f>County!AM1905</f>
        <v>0</v>
      </c>
      <c r="BK34" s="51">
        <f t="shared" si="25"/>
        <v>0</v>
      </c>
      <c r="BL34" s="50">
        <f>County!AN1905</f>
        <v>0</v>
      </c>
      <c r="BM34" s="51">
        <f t="shared" si="26"/>
        <v>0</v>
      </c>
      <c r="BN34" s="50">
        <f>County!AO1905</f>
        <v>0</v>
      </c>
      <c r="BO34" s="51">
        <f t="shared" si="27"/>
        <v>0</v>
      </c>
      <c r="BP34" s="50">
        <f>County!AP1905</f>
        <v>0</v>
      </c>
      <c r="BQ34" s="51">
        <f t="shared" si="28"/>
        <v>0</v>
      </c>
      <c r="BR34" s="50">
        <f>County!AQ1905</f>
        <v>0</v>
      </c>
      <c r="BS34" s="51">
        <f t="shared" si="29"/>
        <v>0</v>
      </c>
      <c r="BT34" s="50">
        <f>County!AR1905</f>
        <v>0</v>
      </c>
      <c r="BU34" s="51">
        <f t="shared" si="30"/>
        <v>0</v>
      </c>
      <c r="BV34" s="50">
        <f>County!AS1905</f>
        <v>0</v>
      </c>
      <c r="BW34" s="51">
        <f t="shared" si="31"/>
        <v>0</v>
      </c>
      <c r="BX34" s="50">
        <f>County!AT1905</f>
        <v>0</v>
      </c>
      <c r="BY34" s="51">
        <f t="shared" si="32"/>
        <v>0</v>
      </c>
      <c r="BZ34" s="50">
        <f>County!AU1905</f>
        <v>0</v>
      </c>
      <c r="CA34" s="51">
        <f t="shared" si="33"/>
        <v>0</v>
      </c>
      <c r="CB34" s="58"/>
      <c r="CC34" s="47" t="str">
        <f t="shared" si="34"/>
        <v>New Mexico</v>
      </c>
      <c r="CD34" s="47" t="s">
        <v>2458</v>
      </c>
      <c r="CE34" s="47">
        <f t="shared" si="35"/>
        <v>5</v>
      </c>
      <c r="CF34" s="48">
        <f>RANK(R34,(L34:Q34,R34:Y34,AD34:AW34))</f>
        <v>3</v>
      </c>
      <c r="CG34" s="48">
        <f>RANK(T34,(L34:Q34,R34:Y34,AD34:AW34))</f>
        <v>4</v>
      </c>
      <c r="CH34" s="48">
        <f>RANK(X34,(L34:Q34,R34:Y34,AD34:AW34))</f>
        <v>7</v>
      </c>
      <c r="CI34" s="48">
        <f>RANK(V34,(L34:Q34,R34:Y34,AD34:AW34))</f>
        <v>6</v>
      </c>
      <c r="CK34" s="47">
        <v>35</v>
      </c>
      <c r="CM34" s="50">
        <f>County!BO1905</f>
        <v>0</v>
      </c>
      <c r="CO34" s="47">
        <f t="shared" si="36"/>
        <v>5</v>
      </c>
      <c r="CP34" s="47">
        <v>0</v>
      </c>
      <c r="CR34" s="50">
        <f>County!CC1905</f>
        <v>0</v>
      </c>
      <c r="CS34" s="51">
        <f t="shared" si="37"/>
        <v>0</v>
      </c>
    </row>
    <row r="35" spans="1:97" s="34" customFormat="1">
      <c r="A35" s="34" t="s">
        <v>192</v>
      </c>
      <c r="B35" s="34">
        <v>29</v>
      </c>
      <c r="C35" s="37">
        <f t="shared" si="38"/>
        <v>7721795</v>
      </c>
      <c r="D35" s="36">
        <v>29</v>
      </c>
      <c r="E35" s="36"/>
      <c r="F35" s="36"/>
      <c r="G35" s="83">
        <f t="shared" ref="G35:G54" si="42">RANK(L35,L35:CB35)</f>
        <v>1</v>
      </c>
      <c r="H35" s="83">
        <f t="shared" ref="H35:H54" si="43">RANK(N35,L35:CB35)</f>
        <v>2</v>
      </c>
      <c r="I35" s="83">
        <f t="shared" ref="I35:I54" si="44">IF(P35&gt;0,RANK(P35,L35:CB35),"-")</f>
        <v>6</v>
      </c>
      <c r="J35" s="1">
        <f t="shared" si="39"/>
        <v>1736585</v>
      </c>
      <c r="K35" s="38">
        <f t="shared" si="40"/>
        <v>0.22489395276616383</v>
      </c>
      <c r="L35" s="37">
        <f>County!N1969</f>
        <v>4556142</v>
      </c>
      <c r="M35" s="38">
        <f t="shared" si="41"/>
        <v>0.59003664303442394</v>
      </c>
      <c r="N35" s="73">
        <f>County!O1969</f>
        <v>2819557</v>
      </c>
      <c r="O35" s="74">
        <f t="shared" si="3"/>
        <v>0.36514269026826018</v>
      </c>
      <c r="P35" s="73">
        <f>County!P1969</f>
        <v>10413</v>
      </c>
      <c r="Q35" s="74">
        <f t="shared" si="4"/>
        <v>1.3485206483725611E-3</v>
      </c>
      <c r="R35" s="73">
        <f>County!Q1969</f>
        <v>176600</v>
      </c>
      <c r="S35" s="74">
        <f t="shared" si="5"/>
        <v>2.2870330020416236E-2</v>
      </c>
      <c r="T35" s="73">
        <f>County!R1969</f>
        <v>107937</v>
      </c>
      <c r="U35" s="74">
        <f t="shared" si="6"/>
        <v>1.3978226565196305E-2</v>
      </c>
      <c r="V35" s="73">
        <f>County!S1969</f>
        <v>956</v>
      </c>
      <c r="W35" s="74">
        <f t="shared" si="7"/>
        <v>1.2380541052954655E-4</v>
      </c>
      <c r="X35" s="73">
        <f>County!T1969</f>
        <v>35</v>
      </c>
      <c r="Y35" s="74">
        <f t="shared" si="8"/>
        <v>4.5326248624833994E-6</v>
      </c>
      <c r="Z35" s="73">
        <f>County!U1969</f>
        <v>36</v>
      </c>
      <c r="AA35" s="74">
        <f t="shared" si="9"/>
        <v>4.6621284299829253E-6</v>
      </c>
      <c r="AB35" s="73">
        <f>County!V1969</f>
        <v>175</v>
      </c>
      <c r="AC35" s="74">
        <f t="shared" si="10"/>
        <v>2.2663124312416995E-5</v>
      </c>
      <c r="AD35" s="73">
        <f>County!W1969</f>
        <v>49118</v>
      </c>
      <c r="AE35" s="74">
        <f t="shared" si="11"/>
        <v>6.3609562284417031E-3</v>
      </c>
      <c r="AF35" s="73">
        <f>County!X1969</f>
        <v>0</v>
      </c>
      <c r="AG35" s="74">
        <f t="shared" si="12"/>
        <v>0</v>
      </c>
      <c r="AH35" s="37">
        <f>County!Y1969</f>
        <v>137</v>
      </c>
      <c r="AI35" s="38">
        <f t="shared" si="13"/>
        <v>1.774198874743502E-5</v>
      </c>
      <c r="AJ35" s="37">
        <f>County!Z1969</f>
        <v>0</v>
      </c>
      <c r="AK35" s="38">
        <f t="shared" si="14"/>
        <v>0</v>
      </c>
      <c r="AL35" s="37">
        <f>County!AA1969</f>
        <v>68</v>
      </c>
      <c r="AM35" s="38">
        <f t="shared" si="15"/>
        <v>8.8062425899677469E-6</v>
      </c>
      <c r="AN35" s="37">
        <f>County!AB1969</f>
        <v>0</v>
      </c>
      <c r="AO35" s="38">
        <f t="shared" si="16"/>
        <v>0</v>
      </c>
      <c r="AP35" s="37">
        <f>County!AC1969</f>
        <v>0</v>
      </c>
      <c r="AQ35" s="38">
        <f t="shared" si="17"/>
        <v>0</v>
      </c>
      <c r="AR35" s="37">
        <f>County!AD1969</f>
        <v>0</v>
      </c>
      <c r="AS35" s="38">
        <f t="shared" si="18"/>
        <v>0</v>
      </c>
      <c r="AT35" s="37">
        <f>County!AE1969</f>
        <v>0</v>
      </c>
      <c r="AU35" s="38">
        <f t="shared" si="19"/>
        <v>0</v>
      </c>
      <c r="AV35" s="37">
        <f>County!AF1969</f>
        <v>0</v>
      </c>
      <c r="AW35" s="38">
        <f t="shared" si="20"/>
        <v>0</v>
      </c>
      <c r="AX35" s="37">
        <f>County!AG1969</f>
        <v>90</v>
      </c>
      <c r="AY35" s="38">
        <f t="shared" si="20"/>
        <v>1.1655321074957312E-5</v>
      </c>
      <c r="AZ35" s="37">
        <f>County!AH1969</f>
        <v>0</v>
      </c>
      <c r="BA35" s="38">
        <f t="shared" ref="BA35:BA54" si="45">IF($C35&gt;0,AZ35/$C35,0)</f>
        <v>0</v>
      </c>
      <c r="BB35" s="37">
        <f>County!AI1969</f>
        <v>0</v>
      </c>
      <c r="BC35" s="38">
        <f t="shared" ref="BC35:BE54" si="46">IF($C35&gt;0,BB35/$C35,0)</f>
        <v>0</v>
      </c>
      <c r="BD35" s="37">
        <f>County!AJ1969</f>
        <v>0</v>
      </c>
      <c r="BE35" s="38">
        <f t="shared" si="46"/>
        <v>0</v>
      </c>
      <c r="BF35" s="37">
        <f>County!AK1969</f>
        <v>0</v>
      </c>
      <c r="BG35" s="38">
        <f t="shared" ref="BG35:BG54" si="47">IF($C35&gt;0,BF35/$C35,0)</f>
        <v>0</v>
      </c>
      <c r="BH35" s="37">
        <f>County!AL1969</f>
        <v>72</v>
      </c>
      <c r="BI35" s="38">
        <f t="shared" ref="BI35:BI54" si="48">IF($C35&gt;0,BH35/$C35,0)</f>
        <v>9.3242568599658506E-6</v>
      </c>
      <c r="BJ35" s="37">
        <f>County!AM1969</f>
        <v>0</v>
      </c>
      <c r="BK35" s="38">
        <f t="shared" si="25"/>
        <v>0</v>
      </c>
      <c r="BL35" s="37">
        <f>County!AN1969</f>
        <v>459</v>
      </c>
      <c r="BM35" s="38">
        <f t="shared" si="26"/>
        <v>5.9442137482282291E-5</v>
      </c>
      <c r="BN35" s="37">
        <f>County!AO1969</f>
        <v>0</v>
      </c>
      <c r="BO35" s="38">
        <f t="shared" si="27"/>
        <v>0</v>
      </c>
      <c r="BP35" s="37">
        <f>County!AP1969</f>
        <v>0</v>
      </c>
      <c r="BQ35" s="38">
        <f t="shared" si="28"/>
        <v>0</v>
      </c>
      <c r="BR35" s="37">
        <f>County!AQ1969</f>
        <v>0</v>
      </c>
      <c r="BS35" s="38">
        <f t="shared" si="29"/>
        <v>0</v>
      </c>
      <c r="BT35" s="37">
        <f>County!AR1969</f>
        <v>0</v>
      </c>
      <c r="BU35" s="38">
        <f t="shared" si="30"/>
        <v>0</v>
      </c>
      <c r="BV35" s="37">
        <f>County!AS1969</f>
        <v>0</v>
      </c>
      <c r="BW35" s="38">
        <f t="shared" si="31"/>
        <v>0</v>
      </c>
      <c r="BX35" s="37">
        <f>County!AT1969</f>
        <v>0</v>
      </c>
      <c r="BY35" s="38">
        <f t="shared" si="32"/>
        <v>0</v>
      </c>
      <c r="BZ35" s="37">
        <f>County!AU1969</f>
        <v>0</v>
      </c>
      <c r="CA35" s="38">
        <f t="shared" si="33"/>
        <v>0</v>
      </c>
      <c r="CB35" s="59"/>
      <c r="CC35" s="34" t="str">
        <f t="shared" ref="CC35:CC54" si="49">A35</f>
        <v>New York</v>
      </c>
      <c r="CD35" s="34" t="s">
        <v>193</v>
      </c>
      <c r="CE35" s="34">
        <f t="shared" ref="CE35:CE54" si="50">SUM(D35:F35)</f>
        <v>29</v>
      </c>
      <c r="CF35" s="35">
        <f>RANK(R35,(L35:Q35,R35:Y35,AD35:AW35))</f>
        <v>3</v>
      </c>
      <c r="CG35" s="35">
        <f>RANK(T35,(L35:Q35,R35:Y35,AD35:AW35))</f>
        <v>4</v>
      </c>
      <c r="CH35" s="35">
        <f>RANK(X35,(L35:Q35,R35:Y35,AD35:AW35))</f>
        <v>10</v>
      </c>
      <c r="CI35" s="35">
        <f>RANK(V35,(L35:Q35,R35:Y35,AD35:AW35))</f>
        <v>7</v>
      </c>
      <c r="CK35" s="34">
        <v>36</v>
      </c>
      <c r="CM35" s="37">
        <f>County!BO1969</f>
        <v>77104</v>
      </c>
      <c r="CO35" s="34">
        <f t="shared" ref="CO35:CO53" si="51">B35</f>
        <v>29</v>
      </c>
      <c r="CP35" s="34">
        <v>0</v>
      </c>
      <c r="CR35" s="37">
        <f>County!CC1969</f>
        <v>0</v>
      </c>
      <c r="CS35" s="38">
        <f t="shared" si="37"/>
        <v>0</v>
      </c>
    </row>
    <row r="36" spans="1:97" s="47" customFormat="1">
      <c r="A36" s="47" t="s">
        <v>1107</v>
      </c>
      <c r="B36" s="47">
        <v>15</v>
      </c>
      <c r="C36" s="50">
        <f t="shared" si="38"/>
        <v>4741564</v>
      </c>
      <c r="D36" s="49"/>
      <c r="E36" s="49">
        <v>15</v>
      </c>
      <c r="F36" s="49"/>
      <c r="G36" s="82">
        <f t="shared" si="42"/>
        <v>2</v>
      </c>
      <c r="H36" s="82">
        <f t="shared" si="43"/>
        <v>1</v>
      </c>
      <c r="I36" s="82" t="str">
        <f t="shared" si="44"/>
        <v>-</v>
      </c>
      <c r="J36" s="50">
        <f t="shared" si="39"/>
        <v>173315</v>
      </c>
      <c r="K36" s="51">
        <f t="shared" si="40"/>
        <v>3.6552285279709398E-2</v>
      </c>
      <c r="L36" s="50">
        <f>County!N2071</f>
        <v>2189316</v>
      </c>
      <c r="M36" s="51">
        <f t="shared" si="41"/>
        <v>0.46172866168209475</v>
      </c>
      <c r="N36" s="72">
        <f>County!O2071</f>
        <v>2362631</v>
      </c>
      <c r="O36" s="105">
        <f t="shared" si="3"/>
        <v>0.49828094696180414</v>
      </c>
      <c r="P36" s="72">
        <f>County!P2071</f>
        <v>0</v>
      </c>
      <c r="Q36" s="105">
        <f t="shared" si="4"/>
        <v>0</v>
      </c>
      <c r="R36" s="72">
        <f>County!Q2071</f>
        <v>130126</v>
      </c>
      <c r="S36" s="105">
        <f t="shared" si="5"/>
        <v>2.744368735716738E-2</v>
      </c>
      <c r="T36" s="72">
        <f>County!R2071</f>
        <v>12105</v>
      </c>
      <c r="U36" s="105">
        <f t="shared" si="6"/>
        <v>2.552955100890761E-3</v>
      </c>
      <c r="V36" s="72">
        <f>County!S2071</f>
        <v>0</v>
      </c>
      <c r="W36" s="105">
        <f t="shared" si="7"/>
        <v>0</v>
      </c>
      <c r="X36" s="72">
        <f>County!T2071</f>
        <v>0</v>
      </c>
      <c r="Y36" s="105">
        <f t="shared" si="8"/>
        <v>0</v>
      </c>
      <c r="Z36" s="72">
        <f>County!U2071</f>
        <v>0</v>
      </c>
      <c r="AA36" s="105">
        <f t="shared" si="9"/>
        <v>0</v>
      </c>
      <c r="AB36" s="72">
        <f>County!V2071</f>
        <v>0</v>
      </c>
      <c r="AC36" s="105">
        <f t="shared" si="10"/>
        <v>0</v>
      </c>
      <c r="AD36" s="72">
        <f>County!W2071</f>
        <v>47386</v>
      </c>
      <c r="AE36" s="105">
        <f t="shared" si="11"/>
        <v>9.993748898042925E-3</v>
      </c>
      <c r="AF36" s="72">
        <f>County!X2071</f>
        <v>0</v>
      </c>
      <c r="AG36" s="105">
        <f t="shared" si="12"/>
        <v>0</v>
      </c>
      <c r="AH36" s="50">
        <f>County!Y2071</f>
        <v>0</v>
      </c>
      <c r="AI36" s="51">
        <f t="shared" si="13"/>
        <v>0</v>
      </c>
      <c r="AJ36" s="50">
        <f>County!Z2071</f>
        <v>0</v>
      </c>
      <c r="AK36" s="51">
        <f t="shared" si="14"/>
        <v>0</v>
      </c>
      <c r="AL36" s="50">
        <f>County!AA2071</f>
        <v>0</v>
      </c>
      <c r="AM36" s="51">
        <f t="shared" si="15"/>
        <v>0</v>
      </c>
      <c r="AN36" s="50">
        <f>County!AB2071</f>
        <v>0</v>
      </c>
      <c r="AO36" s="51">
        <f t="shared" si="16"/>
        <v>0</v>
      </c>
      <c r="AP36" s="50">
        <f>County!AC2071</f>
        <v>0</v>
      </c>
      <c r="AQ36" s="51">
        <f t="shared" si="17"/>
        <v>0</v>
      </c>
      <c r="AR36" s="50">
        <f>County!AD2071</f>
        <v>0</v>
      </c>
      <c r="AS36" s="51">
        <f t="shared" si="18"/>
        <v>0</v>
      </c>
      <c r="AT36" s="50">
        <f>County!AE2071</f>
        <v>0</v>
      </c>
      <c r="AU36" s="51">
        <f t="shared" si="19"/>
        <v>0</v>
      </c>
      <c r="AV36" s="50">
        <f>County!AF2071</f>
        <v>0</v>
      </c>
      <c r="AW36" s="51">
        <f t="shared" si="20"/>
        <v>0</v>
      </c>
      <c r="AX36" s="50">
        <f>County!AG2071</f>
        <v>0</v>
      </c>
      <c r="AY36" s="51">
        <f t="shared" si="20"/>
        <v>0</v>
      </c>
      <c r="AZ36" s="50">
        <f>County!AH2071</f>
        <v>0</v>
      </c>
      <c r="BA36" s="51">
        <f t="shared" si="45"/>
        <v>0</v>
      </c>
      <c r="BB36" s="50">
        <f>County!AI2071</f>
        <v>0</v>
      </c>
      <c r="BC36" s="51">
        <f t="shared" si="46"/>
        <v>0</v>
      </c>
      <c r="BD36" s="50">
        <f>County!AJ2071</f>
        <v>0</v>
      </c>
      <c r="BE36" s="51">
        <f t="shared" si="46"/>
        <v>0</v>
      </c>
      <c r="BF36" s="50">
        <f>County!AK2071</f>
        <v>0</v>
      </c>
      <c r="BG36" s="51">
        <f t="shared" si="47"/>
        <v>0</v>
      </c>
      <c r="BH36" s="50">
        <f>County!AL2071</f>
        <v>0</v>
      </c>
      <c r="BI36" s="51">
        <f t="shared" si="48"/>
        <v>0</v>
      </c>
      <c r="BJ36" s="50">
        <f>County!AM2071</f>
        <v>0</v>
      </c>
      <c r="BK36" s="51">
        <f t="shared" si="25"/>
        <v>0</v>
      </c>
      <c r="BL36" s="50">
        <f>County!AN2071</f>
        <v>0</v>
      </c>
      <c r="BM36" s="51">
        <f t="shared" si="26"/>
        <v>0</v>
      </c>
      <c r="BN36" s="50">
        <f>County!AO2071</f>
        <v>0</v>
      </c>
      <c r="BO36" s="51">
        <f t="shared" si="27"/>
        <v>0</v>
      </c>
      <c r="BP36" s="50">
        <f>County!AP2071</f>
        <v>0</v>
      </c>
      <c r="BQ36" s="51">
        <f t="shared" si="28"/>
        <v>0</v>
      </c>
      <c r="BR36" s="50">
        <f>County!AQ2071</f>
        <v>0</v>
      </c>
      <c r="BS36" s="51">
        <f t="shared" si="29"/>
        <v>0</v>
      </c>
      <c r="BT36" s="50">
        <f>County!AR2071</f>
        <v>0</v>
      </c>
      <c r="BU36" s="51">
        <f t="shared" si="30"/>
        <v>0</v>
      </c>
      <c r="BV36" s="50">
        <f>County!AS2071</f>
        <v>0</v>
      </c>
      <c r="BW36" s="51">
        <f t="shared" si="31"/>
        <v>0</v>
      </c>
      <c r="BX36" s="50">
        <f>County!AT2071</f>
        <v>0</v>
      </c>
      <c r="BY36" s="51">
        <f t="shared" si="32"/>
        <v>0</v>
      </c>
      <c r="BZ36" s="50">
        <f>County!AU2071</f>
        <v>0</v>
      </c>
      <c r="CA36" s="51">
        <f t="shared" si="33"/>
        <v>0</v>
      </c>
      <c r="CB36" s="58"/>
      <c r="CC36" s="47" t="str">
        <f t="shared" si="49"/>
        <v>North Carolina</v>
      </c>
      <c r="CD36" s="47" t="s">
        <v>2652</v>
      </c>
      <c r="CE36" s="47">
        <f t="shared" si="50"/>
        <v>15</v>
      </c>
      <c r="CF36" s="48">
        <f>RANK(R36,(L36:Q36,R36:Y36,AD36:AW36))</f>
        <v>3</v>
      </c>
      <c r="CG36" s="48">
        <f>RANK(T36,(L36:Q36,R36:Y36,AD36:AW36))</f>
        <v>5</v>
      </c>
      <c r="CH36" s="48">
        <f>RANK(X36,(L36:Q36,R36:Y36,AD36:AW36))</f>
        <v>11</v>
      </c>
      <c r="CI36" s="48">
        <f>RANK(V36,(L36:Q36,R36:Y36,AD36:AW36))</f>
        <v>11</v>
      </c>
      <c r="CK36" s="47">
        <v>37</v>
      </c>
      <c r="CM36" s="50">
        <f>County!BO2071</f>
        <v>0</v>
      </c>
      <c r="CO36" s="47">
        <f t="shared" si="51"/>
        <v>15</v>
      </c>
      <c r="CP36" s="47">
        <v>0</v>
      </c>
      <c r="CR36" s="50">
        <f>County!CC2071</f>
        <v>0</v>
      </c>
      <c r="CS36" s="51">
        <f t="shared" si="37"/>
        <v>0</v>
      </c>
    </row>
    <row r="37" spans="1:97" s="34" customFormat="1">
      <c r="A37" s="34" t="s">
        <v>2362</v>
      </c>
      <c r="B37" s="34">
        <v>3</v>
      </c>
      <c r="C37" s="37">
        <f t="shared" si="38"/>
        <v>344360</v>
      </c>
      <c r="D37" s="36"/>
      <c r="E37" s="36">
        <v>3</v>
      </c>
      <c r="F37" s="36"/>
      <c r="G37" s="83">
        <f t="shared" si="42"/>
        <v>2</v>
      </c>
      <c r="H37" s="83">
        <f t="shared" si="43"/>
        <v>1</v>
      </c>
      <c r="I37" s="83" t="str">
        <f t="shared" si="44"/>
        <v>-</v>
      </c>
      <c r="J37" s="1">
        <f t="shared" si="39"/>
        <v>123036</v>
      </c>
      <c r="K37" s="38">
        <f t="shared" si="40"/>
        <v>0.35728888372633288</v>
      </c>
      <c r="L37" s="37">
        <f>County!N2126</f>
        <v>93758</v>
      </c>
      <c r="M37" s="38">
        <f t="shared" si="41"/>
        <v>0.27226739458706006</v>
      </c>
      <c r="N37" s="73">
        <f>County!O2126</f>
        <v>216794</v>
      </c>
      <c r="O37" s="74">
        <f t="shared" si="3"/>
        <v>0.629556278313393</v>
      </c>
      <c r="P37" s="73">
        <f>County!P2126</f>
        <v>0</v>
      </c>
      <c r="Q37" s="74">
        <f t="shared" si="4"/>
        <v>0</v>
      </c>
      <c r="R37" s="73">
        <f>County!Q2126</f>
        <v>21434</v>
      </c>
      <c r="S37" s="74">
        <f t="shared" si="5"/>
        <v>6.2243001510047621E-2</v>
      </c>
      <c r="T37" s="73">
        <f>County!R2126</f>
        <v>3780</v>
      </c>
      <c r="U37" s="74">
        <f t="shared" si="6"/>
        <v>1.0976884655592984E-2</v>
      </c>
      <c r="V37" s="73">
        <f>County!S2126</f>
        <v>1833</v>
      </c>
      <c r="W37" s="74">
        <f t="shared" si="7"/>
        <v>5.3229178766407252E-3</v>
      </c>
      <c r="X37" s="73">
        <f>County!T2126</f>
        <v>364</v>
      </c>
      <c r="Y37" s="74">
        <f t="shared" si="8"/>
        <v>1.0570333372052502E-3</v>
      </c>
      <c r="Z37" s="73">
        <f>County!U2126</f>
        <v>0</v>
      </c>
      <c r="AA37" s="74">
        <f t="shared" si="9"/>
        <v>0</v>
      </c>
      <c r="AB37" s="73">
        <f>County!V2126</f>
        <v>0</v>
      </c>
      <c r="AC37" s="74">
        <f t="shared" si="10"/>
        <v>0</v>
      </c>
      <c r="AD37" s="73">
        <f>County!W2126</f>
        <v>6397</v>
      </c>
      <c r="AE37" s="74">
        <f t="shared" si="11"/>
        <v>1.8576489720060402E-2</v>
      </c>
      <c r="AF37" s="73">
        <f>County!X2126</f>
        <v>0</v>
      </c>
      <c r="AG37" s="74">
        <f t="shared" si="12"/>
        <v>0</v>
      </c>
      <c r="AH37" s="37">
        <f>County!Y2126</f>
        <v>0</v>
      </c>
      <c r="AI37" s="38">
        <f t="shared" si="13"/>
        <v>0</v>
      </c>
      <c r="AJ37" s="37">
        <f>County!Z2126</f>
        <v>0</v>
      </c>
      <c r="AK37" s="38">
        <f t="shared" si="14"/>
        <v>0</v>
      </c>
      <c r="AL37" s="37">
        <f>County!AA2126</f>
        <v>0</v>
      </c>
      <c r="AM37" s="38">
        <f t="shared" si="15"/>
        <v>0</v>
      </c>
      <c r="AN37" s="37">
        <f>County!AB2126</f>
        <v>0</v>
      </c>
      <c r="AO37" s="38">
        <f t="shared" si="16"/>
        <v>0</v>
      </c>
      <c r="AP37" s="37">
        <f>County!AC2126</f>
        <v>0</v>
      </c>
      <c r="AQ37" s="38">
        <f t="shared" si="17"/>
        <v>0</v>
      </c>
      <c r="AR37" s="37">
        <f>County!AD2126</f>
        <v>0</v>
      </c>
      <c r="AS37" s="38">
        <f t="shared" si="18"/>
        <v>0</v>
      </c>
      <c r="AT37" s="37">
        <f>County!AE2126</f>
        <v>0</v>
      </c>
      <c r="AU37" s="38">
        <f t="shared" si="19"/>
        <v>0</v>
      </c>
      <c r="AV37" s="37">
        <f>County!AF2126</f>
        <v>0</v>
      </c>
      <c r="AW37" s="38">
        <f t="shared" si="20"/>
        <v>0</v>
      </c>
      <c r="AX37" s="37">
        <f>County!AG2126</f>
        <v>0</v>
      </c>
      <c r="AY37" s="38">
        <f t="shared" si="20"/>
        <v>0</v>
      </c>
      <c r="AZ37" s="37">
        <f>County!AH2126</f>
        <v>0</v>
      </c>
      <c r="BA37" s="38">
        <f t="shared" si="45"/>
        <v>0</v>
      </c>
      <c r="BB37" s="37">
        <f>County!AI2126</f>
        <v>0</v>
      </c>
      <c r="BC37" s="38">
        <f t="shared" si="46"/>
        <v>0</v>
      </c>
      <c r="BD37" s="37">
        <f>County!AJ2126</f>
        <v>0</v>
      </c>
      <c r="BE37" s="38">
        <f t="shared" si="46"/>
        <v>0</v>
      </c>
      <c r="BF37" s="37">
        <f>County!AK2126</f>
        <v>0</v>
      </c>
      <c r="BG37" s="38">
        <f t="shared" si="47"/>
        <v>0</v>
      </c>
      <c r="BH37" s="37">
        <f>County!AL2126</f>
        <v>0</v>
      </c>
      <c r="BI37" s="38">
        <f t="shared" si="48"/>
        <v>0</v>
      </c>
      <c r="BJ37" s="37">
        <f>County!AM2126</f>
        <v>0</v>
      </c>
      <c r="BK37" s="38">
        <f t="shared" si="25"/>
        <v>0</v>
      </c>
      <c r="BL37" s="37">
        <f>County!AN2126</f>
        <v>0</v>
      </c>
      <c r="BM37" s="38">
        <f t="shared" si="26"/>
        <v>0</v>
      </c>
      <c r="BN37" s="37">
        <f>County!AO2126</f>
        <v>0</v>
      </c>
      <c r="BO37" s="38">
        <f t="shared" si="27"/>
        <v>0</v>
      </c>
      <c r="BP37" s="37">
        <f>County!AP2126</f>
        <v>0</v>
      </c>
      <c r="BQ37" s="38">
        <f t="shared" si="28"/>
        <v>0</v>
      </c>
      <c r="BR37" s="37">
        <f>County!AQ2126</f>
        <v>0</v>
      </c>
      <c r="BS37" s="38">
        <f t="shared" si="29"/>
        <v>0</v>
      </c>
      <c r="BT37" s="37">
        <f>County!AR2126</f>
        <v>0</v>
      </c>
      <c r="BU37" s="38">
        <f t="shared" si="30"/>
        <v>0</v>
      </c>
      <c r="BV37" s="37">
        <f>County!AS2126</f>
        <v>0</v>
      </c>
      <c r="BW37" s="38">
        <f t="shared" si="31"/>
        <v>0</v>
      </c>
      <c r="BX37" s="37">
        <f>County!AT2126</f>
        <v>0</v>
      </c>
      <c r="BY37" s="38">
        <f t="shared" si="32"/>
        <v>0</v>
      </c>
      <c r="BZ37" s="37">
        <f>County!AU2126</f>
        <v>0</v>
      </c>
      <c r="CA37" s="38">
        <f t="shared" si="33"/>
        <v>0</v>
      </c>
      <c r="CB37" s="59"/>
      <c r="CC37" s="34" t="str">
        <f t="shared" si="49"/>
        <v>North Dakota</v>
      </c>
      <c r="CD37" s="34" t="s">
        <v>1615</v>
      </c>
      <c r="CE37" s="34">
        <f t="shared" si="50"/>
        <v>3</v>
      </c>
      <c r="CF37" s="35">
        <f>RANK(R37,(L37:Q37,R37:Y37,AD37:AW37))</f>
        <v>3</v>
      </c>
      <c r="CG37" s="35">
        <f>RANK(T37,(L37:Q37,R37:Y37,AD37:AW37))</f>
        <v>5</v>
      </c>
      <c r="CH37" s="35">
        <f>RANK(X37,(L37:Q37,R37:Y37,AD37:AW37))</f>
        <v>7</v>
      </c>
      <c r="CI37" s="35">
        <f>RANK(V37,(L37:Q37,R37:Y37,AD37:AW37))</f>
        <v>6</v>
      </c>
      <c r="CK37" s="34">
        <v>38</v>
      </c>
      <c r="CM37" s="37">
        <f>County!BO2126</f>
        <v>0</v>
      </c>
      <c r="CO37" s="34">
        <f t="shared" si="51"/>
        <v>3</v>
      </c>
      <c r="CP37" s="34">
        <v>0</v>
      </c>
      <c r="CR37" s="37">
        <f>County!CC2126</f>
        <v>0</v>
      </c>
      <c r="CS37" s="38">
        <f t="shared" si="37"/>
        <v>0</v>
      </c>
    </row>
    <row r="38" spans="1:97" s="47" customFormat="1">
      <c r="A38" s="47" t="s">
        <v>736</v>
      </c>
      <c r="B38" s="47">
        <v>18</v>
      </c>
      <c r="C38" s="50">
        <f>L38+N38+P38+R38+T38+X38+V38+AD38+AJ38+AB38+AF38+Z38+AH38+AR38+AT38+AL38+AP38+AN38+AV38+AX38+BB38+BD38+BF38+BH38+AZ38+BJ38+BL38+BN38+BP38+BR38+BT38+BV38+BX38+BZ38</f>
        <v>5536547</v>
      </c>
      <c r="D38" s="49"/>
      <c r="E38" s="49">
        <v>18</v>
      </c>
      <c r="F38" s="49"/>
      <c r="G38" s="82">
        <f t="shared" si="42"/>
        <v>2</v>
      </c>
      <c r="H38" s="82">
        <f t="shared" si="43"/>
        <v>1</v>
      </c>
      <c r="I38" s="82">
        <f t="shared" si="44"/>
        <v>7</v>
      </c>
      <c r="J38" s="50">
        <f t="shared" si="39"/>
        <v>446837</v>
      </c>
      <c r="K38" s="51">
        <f t="shared" si="40"/>
        <v>8.0706801549774609E-2</v>
      </c>
      <c r="L38" s="50">
        <f>County!N2216</f>
        <v>2394169</v>
      </c>
      <c r="M38" s="51">
        <f t="shared" si="41"/>
        <v>0.43242999653032838</v>
      </c>
      <c r="N38" s="72">
        <f>County!O2216</f>
        <v>2841006</v>
      </c>
      <c r="O38" s="105">
        <f t="shared" si="3"/>
        <v>0.51313679808010304</v>
      </c>
      <c r="P38" s="72">
        <f>County!P2216</f>
        <v>12574</v>
      </c>
      <c r="Q38" s="105">
        <f t="shared" si="4"/>
        <v>2.2710906274253611E-3</v>
      </c>
      <c r="R38" s="72">
        <f>County!Q2216</f>
        <v>174498</v>
      </c>
      <c r="S38" s="105">
        <f t="shared" si="5"/>
        <v>3.1517478312746192E-2</v>
      </c>
      <c r="T38" s="72">
        <f>County!R2216</f>
        <v>46271</v>
      </c>
      <c r="U38" s="105">
        <f t="shared" si="6"/>
        <v>8.3573750931763072E-3</v>
      </c>
      <c r="V38" s="72">
        <f>County!S2216</f>
        <v>1887</v>
      </c>
      <c r="W38" s="105">
        <f t="shared" si="7"/>
        <v>3.4082615030631906E-4</v>
      </c>
      <c r="X38" s="72">
        <f>County!T2216</f>
        <v>0</v>
      </c>
      <c r="Y38" s="105">
        <f t="shared" si="8"/>
        <v>0</v>
      </c>
      <c r="Z38" s="72">
        <f>County!U2216</f>
        <v>0</v>
      </c>
      <c r="AA38" s="105">
        <f t="shared" si="9"/>
        <v>0</v>
      </c>
      <c r="AB38" s="72">
        <f>County!V2216</f>
        <v>0</v>
      </c>
      <c r="AC38" s="105">
        <f t="shared" si="10"/>
        <v>0</v>
      </c>
      <c r="AD38" s="72">
        <f>County!W2216</f>
        <v>40784</v>
      </c>
      <c r="AE38" s="105">
        <f t="shared" si="11"/>
        <v>7.3663241728102371E-3</v>
      </c>
      <c r="AF38" s="72">
        <f>County!X2216</f>
        <v>0</v>
      </c>
      <c r="AG38" s="105">
        <f t="shared" si="12"/>
        <v>0</v>
      </c>
      <c r="AH38" s="50">
        <f>County!Y2216</f>
        <v>268</v>
      </c>
      <c r="AI38" s="51">
        <f t="shared" si="13"/>
        <v>4.840562177111474E-5</v>
      </c>
      <c r="AJ38" s="50">
        <f>County!Z2216</f>
        <v>24235</v>
      </c>
      <c r="AK38" s="51">
        <f t="shared" si="14"/>
        <v>4.3772770284439023E-3</v>
      </c>
      <c r="AL38" s="50">
        <f>County!AA2216</f>
        <v>19</v>
      </c>
      <c r="AM38" s="51">
        <f t="shared" si="15"/>
        <v>3.431741841982015E-6</v>
      </c>
      <c r="AN38" s="50">
        <f>County!AB2216</f>
        <v>0</v>
      </c>
      <c r="AO38" s="51">
        <f t="shared" si="16"/>
        <v>0</v>
      </c>
      <c r="AP38" s="50">
        <f>County!AC2216</f>
        <v>0</v>
      </c>
      <c r="AQ38" s="51">
        <f t="shared" si="17"/>
        <v>0</v>
      </c>
      <c r="AR38" s="50">
        <f>County!AD2216</f>
        <v>0</v>
      </c>
      <c r="AS38" s="51">
        <f t="shared" si="18"/>
        <v>0</v>
      </c>
      <c r="AT38" s="50">
        <f>County!AE2216</f>
        <v>90</v>
      </c>
      <c r="AU38" s="51">
        <f t="shared" si="19"/>
        <v>1.6255619251493754E-5</v>
      </c>
      <c r="AV38" s="50">
        <f>County!AF2216</f>
        <v>0</v>
      </c>
      <c r="AW38" s="51">
        <f t="shared" si="20"/>
        <v>0</v>
      </c>
      <c r="AX38" s="50">
        <f>County!AG2216</f>
        <v>114</v>
      </c>
      <c r="AY38" s="51">
        <f t="shared" si="20"/>
        <v>2.0590451051892089E-5</v>
      </c>
      <c r="AZ38" s="50">
        <f>County!AH2216</f>
        <v>0</v>
      </c>
      <c r="BA38" s="51">
        <f t="shared" si="45"/>
        <v>0</v>
      </c>
      <c r="BB38" s="50">
        <f>County!AI2216</f>
        <v>0</v>
      </c>
      <c r="BC38" s="51">
        <f t="shared" si="46"/>
        <v>0</v>
      </c>
      <c r="BD38" s="50">
        <f>County!AJ2216</f>
        <v>0</v>
      </c>
      <c r="BE38" s="51">
        <f t="shared" si="46"/>
        <v>0</v>
      </c>
      <c r="BF38" s="50">
        <f>County!AK2216</f>
        <v>0</v>
      </c>
      <c r="BG38" s="51">
        <f t="shared" si="47"/>
        <v>0</v>
      </c>
      <c r="BH38" s="50">
        <f>County!AL2216</f>
        <v>0</v>
      </c>
      <c r="BI38" s="51">
        <f t="shared" si="48"/>
        <v>0</v>
      </c>
      <c r="BJ38" s="50">
        <f>County!AM2216</f>
        <v>18</v>
      </c>
      <c r="BK38" s="51">
        <f t="shared" si="25"/>
        <v>3.2511238502987511E-6</v>
      </c>
      <c r="BL38" s="50">
        <f>County!AN2216</f>
        <v>552</v>
      </c>
      <c r="BM38" s="51">
        <f t="shared" si="26"/>
        <v>9.9701131409161709E-5</v>
      </c>
      <c r="BN38" s="50">
        <f>County!AO2216</f>
        <v>0</v>
      </c>
      <c r="BO38" s="51">
        <f t="shared" si="27"/>
        <v>0</v>
      </c>
      <c r="BP38" s="50">
        <f>County!AP2216</f>
        <v>0</v>
      </c>
      <c r="BQ38" s="51">
        <f t="shared" si="28"/>
        <v>0</v>
      </c>
      <c r="BR38" s="50">
        <f>County!AQ2216</f>
        <v>62</v>
      </c>
      <c r="BS38" s="51">
        <f t="shared" si="29"/>
        <v>1.1198315484362366E-5</v>
      </c>
      <c r="BT38" s="50">
        <f>County!AR2216</f>
        <v>0</v>
      </c>
      <c r="BU38" s="51">
        <f t="shared" si="30"/>
        <v>0</v>
      </c>
      <c r="BV38" s="50">
        <f>County!AS2216</f>
        <v>0</v>
      </c>
      <c r="BW38" s="51">
        <f t="shared" si="31"/>
        <v>0</v>
      </c>
      <c r="BX38" s="50">
        <f>County!AT2216</f>
        <v>0</v>
      </c>
      <c r="BY38" s="51">
        <f t="shared" si="32"/>
        <v>0</v>
      </c>
      <c r="BZ38" s="50">
        <f>County!AU2216</f>
        <v>0</v>
      </c>
      <c r="CA38" s="51">
        <f t="shared" si="33"/>
        <v>0</v>
      </c>
      <c r="CB38" s="58"/>
      <c r="CC38" s="47" t="str">
        <f t="shared" si="49"/>
        <v>Ohio</v>
      </c>
      <c r="CD38" s="47" t="s">
        <v>995</v>
      </c>
      <c r="CE38" s="47">
        <f t="shared" si="50"/>
        <v>18</v>
      </c>
      <c r="CF38" s="48">
        <f>RANK(R38,(L38:Q38,R38:Y38,AD38:AW38))</f>
        <v>3</v>
      </c>
      <c r="CG38" s="48">
        <f>RANK(T38,(L38:Q38,R38:Y38,AD38:AW38))</f>
        <v>4</v>
      </c>
      <c r="CH38" s="48">
        <f>RANK(X38,(L38:Q38,R38:Y38,AD38:AW38))</f>
        <v>23</v>
      </c>
      <c r="CI38" s="48">
        <f>RANK(V38,(L38:Q38,R38:Y38,AD38:AW38))</f>
        <v>8</v>
      </c>
      <c r="CK38" s="47">
        <v>39</v>
      </c>
      <c r="CM38" s="50">
        <f>County!BO2216</f>
        <v>30116</v>
      </c>
      <c r="CO38" s="47">
        <f t="shared" si="51"/>
        <v>18</v>
      </c>
      <c r="CP38" s="47">
        <v>0</v>
      </c>
      <c r="CR38" s="50">
        <f>County!CC2216</f>
        <v>0</v>
      </c>
      <c r="CS38" s="51">
        <f t="shared" si="37"/>
        <v>0</v>
      </c>
    </row>
    <row r="39" spans="1:97" s="34" customFormat="1">
      <c r="A39" s="34" t="s">
        <v>1272</v>
      </c>
      <c r="B39" s="34">
        <v>7</v>
      </c>
      <c r="C39" s="37">
        <f t="shared" si="38"/>
        <v>1452992</v>
      </c>
      <c r="D39" s="36"/>
      <c r="E39" s="36">
        <v>7</v>
      </c>
      <c r="F39" s="36"/>
      <c r="G39" s="83">
        <f t="shared" si="42"/>
        <v>2</v>
      </c>
      <c r="H39" s="83">
        <f t="shared" si="43"/>
        <v>1</v>
      </c>
      <c r="I39" s="83" t="str">
        <f t="shared" si="44"/>
        <v>-</v>
      </c>
      <c r="J39" s="1">
        <f t="shared" si="39"/>
        <v>528761</v>
      </c>
      <c r="K39" s="38">
        <f t="shared" si="40"/>
        <v>0.36391184535083471</v>
      </c>
      <c r="L39" s="37">
        <f>County!N2295</f>
        <v>420375</v>
      </c>
      <c r="M39" s="38">
        <f t="shared" si="41"/>
        <v>0.28931680284543893</v>
      </c>
      <c r="N39" s="73">
        <f>County!O2295</f>
        <v>949136</v>
      </c>
      <c r="O39" s="74">
        <f t="shared" si="3"/>
        <v>0.65322864819627358</v>
      </c>
      <c r="P39" s="73">
        <f>County!P2295</f>
        <v>0</v>
      </c>
      <c r="Q39" s="74">
        <f t="shared" si="4"/>
        <v>0</v>
      </c>
      <c r="R39" s="73">
        <f>County!Q2295</f>
        <v>83481</v>
      </c>
      <c r="S39" s="74">
        <f t="shared" si="5"/>
        <v>5.7454548958287451E-2</v>
      </c>
      <c r="T39" s="73">
        <f>County!R2295</f>
        <v>0</v>
      </c>
      <c r="U39" s="74">
        <f t="shared" si="6"/>
        <v>0</v>
      </c>
      <c r="V39" s="73">
        <f>County!S2295</f>
        <v>0</v>
      </c>
      <c r="W39" s="74">
        <f t="shared" si="7"/>
        <v>0</v>
      </c>
      <c r="X39" s="73">
        <f>County!T2295</f>
        <v>0</v>
      </c>
      <c r="Y39" s="74">
        <f t="shared" si="8"/>
        <v>0</v>
      </c>
      <c r="Z39" s="73">
        <f>County!U2295</f>
        <v>0</v>
      </c>
      <c r="AA39" s="74">
        <f t="shared" si="9"/>
        <v>0</v>
      </c>
      <c r="AB39" s="73">
        <f>County!V2295</f>
        <v>0</v>
      </c>
      <c r="AC39" s="74">
        <f t="shared" si="10"/>
        <v>0</v>
      </c>
      <c r="AD39" s="73">
        <f>County!W2295</f>
        <v>0</v>
      </c>
      <c r="AE39" s="74">
        <f t="shared" si="11"/>
        <v>0</v>
      </c>
      <c r="AF39" s="73">
        <f>County!X2295</f>
        <v>0</v>
      </c>
      <c r="AG39" s="74">
        <f t="shared" si="12"/>
        <v>0</v>
      </c>
      <c r="AH39" s="37">
        <f>County!Y2295</f>
        <v>0</v>
      </c>
      <c r="AI39" s="38">
        <f t="shared" si="13"/>
        <v>0</v>
      </c>
      <c r="AJ39" s="37">
        <f>County!Z2295</f>
        <v>0</v>
      </c>
      <c r="AK39" s="38">
        <f t="shared" si="14"/>
        <v>0</v>
      </c>
      <c r="AL39" s="37">
        <f>County!AA2295</f>
        <v>0</v>
      </c>
      <c r="AM39" s="38">
        <f t="shared" si="15"/>
        <v>0</v>
      </c>
      <c r="AN39" s="37">
        <f>County!AB2295</f>
        <v>0</v>
      </c>
      <c r="AO39" s="38">
        <f t="shared" si="16"/>
        <v>0</v>
      </c>
      <c r="AP39" s="37">
        <f>County!AC2295</f>
        <v>0</v>
      </c>
      <c r="AQ39" s="38">
        <f t="shared" si="17"/>
        <v>0</v>
      </c>
      <c r="AR39" s="37">
        <f>County!AD2295</f>
        <v>0</v>
      </c>
      <c r="AS39" s="38">
        <f t="shared" si="18"/>
        <v>0</v>
      </c>
      <c r="AT39" s="37">
        <f>County!AE2295</f>
        <v>0</v>
      </c>
      <c r="AU39" s="38">
        <f t="shared" si="19"/>
        <v>0</v>
      </c>
      <c r="AV39" s="37">
        <f>County!AF2295</f>
        <v>0</v>
      </c>
      <c r="AW39" s="38">
        <f t="shared" si="20"/>
        <v>0</v>
      </c>
      <c r="AX39" s="37">
        <f>County!AG2295</f>
        <v>0</v>
      </c>
      <c r="AY39" s="38">
        <f t="shared" si="20"/>
        <v>0</v>
      </c>
      <c r="AZ39" s="37">
        <f>County!AH2295</f>
        <v>0</v>
      </c>
      <c r="BA39" s="38">
        <f t="shared" si="45"/>
        <v>0</v>
      </c>
      <c r="BB39" s="37">
        <f>County!AI2295</f>
        <v>0</v>
      </c>
      <c r="BC39" s="38">
        <f t="shared" si="46"/>
        <v>0</v>
      </c>
      <c r="BD39" s="37">
        <f>County!AJ2295</f>
        <v>0</v>
      </c>
      <c r="BE39" s="38">
        <f t="shared" si="46"/>
        <v>0</v>
      </c>
      <c r="BF39" s="37">
        <f>County!AK2295</f>
        <v>0</v>
      </c>
      <c r="BG39" s="38">
        <f t="shared" si="47"/>
        <v>0</v>
      </c>
      <c r="BH39" s="37">
        <f>County!AL2295</f>
        <v>0</v>
      </c>
      <c r="BI39" s="38">
        <f t="shared" si="48"/>
        <v>0</v>
      </c>
      <c r="BJ39" s="37">
        <f>County!AM2295</f>
        <v>0</v>
      </c>
      <c r="BK39" s="38">
        <f t="shared" si="25"/>
        <v>0</v>
      </c>
      <c r="BL39" s="37">
        <f>County!AN2295</f>
        <v>0</v>
      </c>
      <c r="BM39" s="38">
        <f t="shared" si="26"/>
        <v>0</v>
      </c>
      <c r="BN39" s="37">
        <f>County!AO2295</f>
        <v>0</v>
      </c>
      <c r="BO39" s="38">
        <f t="shared" si="27"/>
        <v>0</v>
      </c>
      <c r="BP39" s="37">
        <f>County!AP2295</f>
        <v>0</v>
      </c>
      <c r="BQ39" s="38">
        <f t="shared" si="28"/>
        <v>0</v>
      </c>
      <c r="BR39" s="37">
        <f>County!AQ2295</f>
        <v>0</v>
      </c>
      <c r="BS39" s="38">
        <f t="shared" si="29"/>
        <v>0</v>
      </c>
      <c r="BT39" s="37">
        <f>County!AR2295</f>
        <v>0</v>
      </c>
      <c r="BU39" s="38">
        <f t="shared" si="30"/>
        <v>0</v>
      </c>
      <c r="BV39" s="37">
        <f>County!AS2295</f>
        <v>0</v>
      </c>
      <c r="BW39" s="38">
        <f t="shared" si="31"/>
        <v>0</v>
      </c>
      <c r="BX39" s="37">
        <f>County!AT2295</f>
        <v>0</v>
      </c>
      <c r="BY39" s="38">
        <f t="shared" si="32"/>
        <v>0</v>
      </c>
      <c r="BZ39" s="37">
        <f>County!AU2295</f>
        <v>0</v>
      </c>
      <c r="CA39" s="38">
        <f t="shared" si="33"/>
        <v>0</v>
      </c>
      <c r="CB39" s="59"/>
      <c r="CC39" s="34" t="str">
        <f t="shared" si="49"/>
        <v>Oklahoma</v>
      </c>
      <c r="CD39" s="34" t="s">
        <v>2271</v>
      </c>
      <c r="CE39" s="34">
        <f t="shared" si="50"/>
        <v>7</v>
      </c>
      <c r="CF39" s="35">
        <f>RANK(R39,(L39:Q39,R39:Y39,AD39:AW39))</f>
        <v>3</v>
      </c>
      <c r="CG39" s="35">
        <f>RANK(T39,(L39:Q39,R39:Y39,AD39:AW39))</f>
        <v>7</v>
      </c>
      <c r="CH39" s="35">
        <f>RANK(X39,(L39:Q39,R39:Y39,AD39:AW39))</f>
        <v>7</v>
      </c>
      <c r="CI39" s="35">
        <f>RANK(V39,(L39:Q39,R39:Y39,AD39:AW39))</f>
        <v>7</v>
      </c>
      <c r="CK39" s="34">
        <v>40</v>
      </c>
      <c r="CM39" s="37">
        <f>County!BO2295</f>
        <v>0</v>
      </c>
      <c r="CO39" s="34">
        <f t="shared" si="51"/>
        <v>7</v>
      </c>
      <c r="CP39" s="34">
        <v>0</v>
      </c>
      <c r="CR39" s="37">
        <f>County!CC2295</f>
        <v>0</v>
      </c>
      <c r="CS39" s="38">
        <f t="shared" si="37"/>
        <v>0</v>
      </c>
    </row>
    <row r="40" spans="1:97" s="47" customFormat="1">
      <c r="A40" s="47" t="s">
        <v>554</v>
      </c>
      <c r="B40" s="47">
        <v>7</v>
      </c>
      <c r="C40" s="50">
        <f t="shared" si="38"/>
        <v>2001336</v>
      </c>
      <c r="D40" s="49">
        <v>7</v>
      </c>
      <c r="E40" s="49"/>
      <c r="F40" s="49"/>
      <c r="G40" s="82">
        <f t="shared" si="42"/>
        <v>1</v>
      </c>
      <c r="H40" s="82">
        <f t="shared" si="43"/>
        <v>2</v>
      </c>
      <c r="I40" s="82" t="str">
        <f t="shared" si="44"/>
        <v>-</v>
      </c>
      <c r="J40" s="50">
        <f t="shared" si="39"/>
        <v>219703</v>
      </c>
      <c r="K40" s="51">
        <f t="shared" si="40"/>
        <v>0.10977816818365332</v>
      </c>
      <c r="L40" s="50">
        <f>County!N2333</f>
        <v>1002106</v>
      </c>
      <c r="M40" s="51">
        <f t="shared" si="41"/>
        <v>0.50071852002862083</v>
      </c>
      <c r="N40" s="72">
        <f>County!O2333</f>
        <v>782403</v>
      </c>
      <c r="O40" s="105">
        <f t="shared" si="3"/>
        <v>0.39094035184496756</v>
      </c>
      <c r="P40" s="72">
        <f>County!P2333</f>
        <v>0</v>
      </c>
      <c r="Q40" s="105">
        <f t="shared" si="4"/>
        <v>0</v>
      </c>
      <c r="R40" s="72">
        <f>County!Q2333</f>
        <v>94231</v>
      </c>
      <c r="S40" s="105">
        <f t="shared" si="5"/>
        <v>4.7084047856032173E-2</v>
      </c>
      <c r="T40" s="72">
        <f>County!R2333</f>
        <v>50002</v>
      </c>
      <c r="U40" s="105">
        <f t="shared" si="6"/>
        <v>2.4984310480598959E-2</v>
      </c>
      <c r="V40" s="72">
        <f>County!S2333</f>
        <v>0</v>
      </c>
      <c r="W40" s="105">
        <f t="shared" si="7"/>
        <v>0</v>
      </c>
      <c r="X40" s="72">
        <f>County!T2333</f>
        <v>0</v>
      </c>
      <c r="Y40" s="105">
        <f t="shared" si="8"/>
        <v>0</v>
      </c>
      <c r="Z40" s="72">
        <f>County!U2333</f>
        <v>0</v>
      </c>
      <c r="AA40" s="105">
        <f t="shared" si="9"/>
        <v>0</v>
      </c>
      <c r="AB40" s="72">
        <f>County!V2333</f>
        <v>0</v>
      </c>
      <c r="AC40" s="105">
        <f t="shared" si="10"/>
        <v>0</v>
      </c>
      <c r="AD40" s="72">
        <f>County!W2333</f>
        <v>72594</v>
      </c>
      <c r="AE40" s="105">
        <f t="shared" si="11"/>
        <v>3.6272769789780425E-2</v>
      </c>
      <c r="AF40" s="72">
        <f>County!X2333</f>
        <v>0</v>
      </c>
      <c r="AG40" s="105">
        <f t="shared" si="12"/>
        <v>0</v>
      </c>
      <c r="AH40" s="50">
        <f>County!Y2333</f>
        <v>0</v>
      </c>
      <c r="AI40" s="51">
        <f t="shared" si="13"/>
        <v>0</v>
      </c>
      <c r="AJ40" s="50">
        <f>County!Z2333</f>
        <v>0</v>
      </c>
      <c r="AK40" s="51">
        <f t="shared" si="14"/>
        <v>0</v>
      </c>
      <c r="AL40" s="50">
        <f>County!AA2333</f>
        <v>0</v>
      </c>
      <c r="AM40" s="51">
        <f t="shared" si="15"/>
        <v>0</v>
      </c>
      <c r="AN40" s="50">
        <f>County!AB2333</f>
        <v>0</v>
      </c>
      <c r="AO40" s="51">
        <f t="shared" si="16"/>
        <v>0</v>
      </c>
      <c r="AP40" s="50">
        <f>County!AC2333</f>
        <v>0</v>
      </c>
      <c r="AQ40" s="51">
        <f t="shared" si="17"/>
        <v>0</v>
      </c>
      <c r="AR40" s="50">
        <f>County!AD2333</f>
        <v>0</v>
      </c>
      <c r="AS40" s="51">
        <f t="shared" si="18"/>
        <v>0</v>
      </c>
      <c r="AT40" s="50">
        <f>County!AE2333</f>
        <v>0</v>
      </c>
      <c r="AU40" s="51">
        <f t="shared" si="19"/>
        <v>0</v>
      </c>
      <c r="AV40" s="50">
        <f>County!AF2333</f>
        <v>0</v>
      </c>
      <c r="AW40" s="51">
        <f t="shared" si="20"/>
        <v>0</v>
      </c>
      <c r="AX40" s="50">
        <f>County!AG2333</f>
        <v>0</v>
      </c>
      <c r="AY40" s="51">
        <f t="shared" si="20"/>
        <v>0</v>
      </c>
      <c r="AZ40" s="50">
        <f>County!AH2333</f>
        <v>0</v>
      </c>
      <c r="BA40" s="51">
        <f t="shared" si="45"/>
        <v>0</v>
      </c>
      <c r="BB40" s="50">
        <f>County!AI2333</f>
        <v>0</v>
      </c>
      <c r="BC40" s="51">
        <f t="shared" si="46"/>
        <v>0</v>
      </c>
      <c r="BD40" s="50">
        <f>County!AJ2333</f>
        <v>0</v>
      </c>
      <c r="BE40" s="51">
        <f t="shared" si="46"/>
        <v>0</v>
      </c>
      <c r="BF40" s="50">
        <f>County!AK2333</f>
        <v>0</v>
      </c>
      <c r="BG40" s="51">
        <f t="shared" si="47"/>
        <v>0</v>
      </c>
      <c r="BH40" s="50">
        <f>County!AL2333</f>
        <v>0</v>
      </c>
      <c r="BI40" s="51">
        <f t="shared" si="48"/>
        <v>0</v>
      </c>
      <c r="BJ40" s="50">
        <f>County!AM2333</f>
        <v>0</v>
      </c>
      <c r="BK40" s="51">
        <f t="shared" si="25"/>
        <v>0</v>
      </c>
      <c r="BL40" s="50">
        <f>County!AN2333</f>
        <v>0</v>
      </c>
      <c r="BM40" s="51">
        <f t="shared" si="26"/>
        <v>0</v>
      </c>
      <c r="BN40" s="50">
        <f>County!AO2333</f>
        <v>0</v>
      </c>
      <c r="BO40" s="51">
        <f t="shared" si="27"/>
        <v>0</v>
      </c>
      <c r="BP40" s="50">
        <f>County!AP2333</f>
        <v>0</v>
      </c>
      <c r="BQ40" s="51">
        <f t="shared" si="28"/>
        <v>0</v>
      </c>
      <c r="BR40" s="50">
        <f>County!AQ2333</f>
        <v>0</v>
      </c>
      <c r="BS40" s="51">
        <f t="shared" si="29"/>
        <v>0</v>
      </c>
      <c r="BT40" s="50">
        <f>County!AR2333</f>
        <v>0</v>
      </c>
      <c r="BU40" s="51">
        <f t="shared" si="30"/>
        <v>0</v>
      </c>
      <c r="BV40" s="50">
        <f>County!AS2333</f>
        <v>0</v>
      </c>
      <c r="BW40" s="51">
        <f t="shared" si="31"/>
        <v>0</v>
      </c>
      <c r="BX40" s="50">
        <f>County!AT2333</f>
        <v>0</v>
      </c>
      <c r="BY40" s="51">
        <f t="shared" si="32"/>
        <v>0</v>
      </c>
      <c r="BZ40" s="50">
        <f>County!AU2333</f>
        <v>0</v>
      </c>
      <c r="CA40" s="51">
        <f t="shared" si="33"/>
        <v>0</v>
      </c>
      <c r="CB40" s="58"/>
      <c r="CC40" s="47" t="str">
        <f t="shared" si="49"/>
        <v>Oregon</v>
      </c>
      <c r="CD40" s="47" t="s">
        <v>2272</v>
      </c>
      <c r="CE40" s="47">
        <f t="shared" si="50"/>
        <v>7</v>
      </c>
      <c r="CF40" s="48">
        <f>RANK(R40,(L40:Q40,R40:Y40,AD40:AW40))</f>
        <v>3</v>
      </c>
      <c r="CG40" s="48">
        <f>RANK(T40,(L40:Q40,R40:Y40,AD40:AW40))</f>
        <v>5</v>
      </c>
      <c r="CH40" s="48">
        <f>RANK(X40,(L40:Q40,R40:Y40,AD40:AW40))</f>
        <v>11</v>
      </c>
      <c r="CI40" s="48">
        <f>RANK(V40,(L40:Q40,R40:Y40,AD40:AW40))</f>
        <v>11</v>
      </c>
      <c r="CK40" s="47">
        <v>41</v>
      </c>
      <c r="CM40" s="50">
        <f>County!BO2333</f>
        <v>13568</v>
      </c>
      <c r="CO40" s="47">
        <f t="shared" si="51"/>
        <v>7</v>
      </c>
      <c r="CP40" s="47">
        <v>0</v>
      </c>
      <c r="CR40" s="50">
        <f>County!CC2333</f>
        <v>0</v>
      </c>
      <c r="CS40" s="51">
        <f t="shared" si="37"/>
        <v>0</v>
      </c>
    </row>
    <row r="41" spans="1:97" s="34" customFormat="1">
      <c r="A41" s="34" t="s">
        <v>1019</v>
      </c>
      <c r="B41" s="34">
        <v>20</v>
      </c>
      <c r="C41" s="37">
        <f t="shared" si="38"/>
        <v>6166729</v>
      </c>
      <c r="D41" s="36"/>
      <c r="E41" s="36">
        <v>20</v>
      </c>
      <c r="F41" s="36"/>
      <c r="G41" s="83">
        <f t="shared" si="42"/>
        <v>2</v>
      </c>
      <c r="H41" s="83">
        <f t="shared" si="43"/>
        <v>1</v>
      </c>
      <c r="I41" s="83">
        <f t="shared" si="44"/>
        <v>7</v>
      </c>
      <c r="J41" s="1">
        <f t="shared" si="39"/>
        <v>44292</v>
      </c>
      <c r="K41" s="38">
        <f t="shared" si="40"/>
        <v>7.1824138858704511E-3</v>
      </c>
      <c r="L41" s="37">
        <f>County!N2402</f>
        <v>2926441</v>
      </c>
      <c r="M41" s="38">
        <f t="shared" si="41"/>
        <v>0.47455320316491933</v>
      </c>
      <c r="N41" s="73">
        <f>County!O2402</f>
        <v>2970733</v>
      </c>
      <c r="O41" s="74">
        <f t="shared" si="3"/>
        <v>0.48173561705078982</v>
      </c>
      <c r="P41" s="73">
        <f>County!P2402</f>
        <v>4304</v>
      </c>
      <c r="Q41" s="74">
        <f t="shared" si="4"/>
        <v>6.9793889110418182E-4</v>
      </c>
      <c r="R41" s="73">
        <f>County!Q2402</f>
        <v>146715</v>
      </c>
      <c r="S41" s="74">
        <f t="shared" si="5"/>
        <v>2.379138113576906E-2</v>
      </c>
      <c r="T41" s="73">
        <f>County!R2402</f>
        <v>49941</v>
      </c>
      <c r="U41" s="74">
        <f t="shared" si="6"/>
        <v>8.0984586804446895E-3</v>
      </c>
      <c r="V41" s="73">
        <f>County!S2402</f>
        <v>21572</v>
      </c>
      <c r="W41" s="74">
        <f t="shared" si="7"/>
        <v>3.4981268027182645E-3</v>
      </c>
      <c r="X41" s="73">
        <f>County!T2402</f>
        <v>0</v>
      </c>
      <c r="Y41" s="74">
        <f t="shared" si="8"/>
        <v>0</v>
      </c>
      <c r="Z41" s="73">
        <f>County!U2402</f>
        <v>0</v>
      </c>
      <c r="AA41" s="74">
        <f t="shared" si="9"/>
        <v>0</v>
      </c>
      <c r="AB41" s="73">
        <f>County!V2402</f>
        <v>0</v>
      </c>
      <c r="AC41" s="74">
        <f t="shared" si="10"/>
        <v>0</v>
      </c>
      <c r="AD41" s="73">
        <f>County!W2402</f>
        <v>47023</v>
      </c>
      <c r="AE41" s="74">
        <f t="shared" si="11"/>
        <v>7.6252742742546334E-3</v>
      </c>
      <c r="AF41" s="73">
        <f>County!X2402</f>
        <v>0</v>
      </c>
      <c r="AG41" s="74">
        <f t="shared" si="12"/>
        <v>0</v>
      </c>
      <c r="AH41" s="37">
        <f>County!Y2402</f>
        <v>0</v>
      </c>
      <c r="AI41" s="38">
        <f t="shared" si="13"/>
        <v>0</v>
      </c>
      <c r="AJ41" s="37">
        <f>County!Z2402</f>
        <v>0</v>
      </c>
      <c r="AK41" s="38">
        <f t="shared" si="14"/>
        <v>0</v>
      </c>
      <c r="AL41" s="37">
        <f>County!AA2402</f>
        <v>0</v>
      </c>
      <c r="AM41" s="38">
        <f t="shared" si="15"/>
        <v>0</v>
      </c>
      <c r="AN41" s="37">
        <f>County!AB2402</f>
        <v>0</v>
      </c>
      <c r="AO41" s="38">
        <f t="shared" si="16"/>
        <v>0</v>
      </c>
      <c r="AP41" s="37">
        <f>County!AC2402</f>
        <v>0</v>
      </c>
      <c r="AQ41" s="38">
        <f t="shared" si="17"/>
        <v>0</v>
      </c>
      <c r="AR41" s="37">
        <f>County!AD2402</f>
        <v>0</v>
      </c>
      <c r="AS41" s="38">
        <f t="shared" si="18"/>
        <v>0</v>
      </c>
      <c r="AT41" s="37">
        <f>County!AE2402</f>
        <v>0</v>
      </c>
      <c r="AU41" s="38">
        <f t="shared" si="19"/>
        <v>0</v>
      </c>
      <c r="AV41" s="37">
        <f>County!AF2402</f>
        <v>0</v>
      </c>
      <c r="AW41" s="38">
        <f t="shared" si="20"/>
        <v>0</v>
      </c>
      <c r="AX41" s="37">
        <f>County!AG2402</f>
        <v>0</v>
      </c>
      <c r="AY41" s="38">
        <f t="shared" si="20"/>
        <v>0</v>
      </c>
      <c r="AZ41" s="37">
        <f>County!AH2402</f>
        <v>0</v>
      </c>
      <c r="BA41" s="38">
        <f t="shared" si="45"/>
        <v>0</v>
      </c>
      <c r="BB41" s="37">
        <f>County!AI2402</f>
        <v>0</v>
      </c>
      <c r="BC41" s="38">
        <f t="shared" si="46"/>
        <v>0</v>
      </c>
      <c r="BD41" s="37">
        <f>County!AJ2402</f>
        <v>0</v>
      </c>
      <c r="BE41" s="38">
        <f t="shared" si="46"/>
        <v>0</v>
      </c>
      <c r="BF41" s="37">
        <f>County!AK2402</f>
        <v>0</v>
      </c>
      <c r="BG41" s="38">
        <f t="shared" si="47"/>
        <v>0</v>
      </c>
      <c r="BH41" s="37">
        <f>County!AL2402</f>
        <v>0</v>
      </c>
      <c r="BI41" s="38">
        <f t="shared" si="48"/>
        <v>0</v>
      </c>
      <c r="BJ41" s="37">
        <f>County!AM2402</f>
        <v>0</v>
      </c>
      <c r="BK41" s="38">
        <f t="shared" si="25"/>
        <v>0</v>
      </c>
      <c r="BL41" s="37">
        <f>County!AN2402</f>
        <v>0</v>
      </c>
      <c r="BM41" s="38">
        <f t="shared" si="26"/>
        <v>0</v>
      </c>
      <c r="BN41" s="37">
        <f>County!AO2402</f>
        <v>0</v>
      </c>
      <c r="BO41" s="38">
        <f t="shared" si="27"/>
        <v>0</v>
      </c>
      <c r="BP41" s="37">
        <f>County!AP2402</f>
        <v>0</v>
      </c>
      <c r="BQ41" s="38">
        <f t="shared" si="28"/>
        <v>0</v>
      </c>
      <c r="BR41" s="37">
        <f>County!AQ2402</f>
        <v>0</v>
      </c>
      <c r="BS41" s="38">
        <f t="shared" si="29"/>
        <v>0</v>
      </c>
      <c r="BT41" s="37">
        <f>County!AR2402</f>
        <v>0</v>
      </c>
      <c r="BU41" s="38">
        <f t="shared" si="30"/>
        <v>0</v>
      </c>
      <c r="BV41" s="37">
        <f>County!AS2402</f>
        <v>0</v>
      </c>
      <c r="BW41" s="38">
        <f t="shared" si="31"/>
        <v>0</v>
      </c>
      <c r="BX41" s="37">
        <f>County!AT2402</f>
        <v>0</v>
      </c>
      <c r="BY41" s="38">
        <f t="shared" si="32"/>
        <v>0</v>
      </c>
      <c r="BZ41" s="37">
        <f>County!AU2402</f>
        <v>0</v>
      </c>
      <c r="CA41" s="38">
        <f t="shared" si="33"/>
        <v>0</v>
      </c>
      <c r="CB41" s="59"/>
      <c r="CC41" s="34" t="str">
        <f t="shared" si="49"/>
        <v>Pennsylvania</v>
      </c>
      <c r="CD41" s="34" t="s">
        <v>1020</v>
      </c>
      <c r="CE41" s="34">
        <f t="shared" si="50"/>
        <v>20</v>
      </c>
      <c r="CF41" s="35">
        <f>RANK(R41,(L41:Q41,R41:Y41,AD41:AW41))</f>
        <v>3</v>
      </c>
      <c r="CG41" s="35">
        <f>RANK(T41,(L41:Q41,R41:Y41,AD41:AW41))</f>
        <v>4</v>
      </c>
      <c r="CH41" s="35">
        <f>RANK(X41,(L41:Q41,R41:Y41,AD41:AW41))</f>
        <v>15</v>
      </c>
      <c r="CI41" s="35">
        <f>RANK(V41,(L41:Q41,R41:Y41,AD41:AW41))</f>
        <v>6</v>
      </c>
      <c r="CK41" s="34">
        <v>42</v>
      </c>
      <c r="CM41" s="37">
        <f>County!BO2402</f>
        <v>0</v>
      </c>
      <c r="CO41" s="34">
        <f t="shared" si="51"/>
        <v>20</v>
      </c>
      <c r="CP41" s="34">
        <v>0</v>
      </c>
      <c r="CR41" s="37">
        <f>County!CC2402</f>
        <v>1348</v>
      </c>
      <c r="CS41" s="38">
        <f t="shared" si="37"/>
        <v>2.18592385039135E-4</v>
      </c>
    </row>
    <row r="42" spans="1:97" s="47" customFormat="1">
      <c r="A42" s="47" t="s">
        <v>1114</v>
      </c>
      <c r="B42" s="47">
        <v>4</v>
      </c>
      <c r="C42" s="50">
        <f t="shared" si="38"/>
        <v>464144</v>
      </c>
      <c r="D42" s="49">
        <v>4</v>
      </c>
      <c r="E42" s="49"/>
      <c r="F42" s="49"/>
      <c r="G42" s="82">
        <f t="shared" si="42"/>
        <v>1</v>
      </c>
      <c r="H42" s="82">
        <f t="shared" si="43"/>
        <v>2</v>
      </c>
      <c r="I42" s="82">
        <f t="shared" si="44"/>
        <v>6</v>
      </c>
      <c r="J42" s="50">
        <f t="shared" si="39"/>
        <v>71982</v>
      </c>
      <c r="K42" s="51">
        <f t="shared" si="40"/>
        <v>0.15508549070977973</v>
      </c>
      <c r="L42" s="50">
        <f>County!N2410</f>
        <v>252525</v>
      </c>
      <c r="M42" s="51">
        <f t="shared" si="41"/>
        <v>0.54406606570374716</v>
      </c>
      <c r="N42" s="72">
        <f>County!O2410</f>
        <v>180543</v>
      </c>
      <c r="O42" s="105">
        <f t="shared" si="3"/>
        <v>0.38898057499396738</v>
      </c>
      <c r="P42" s="72">
        <f>County!P2410</f>
        <v>759</v>
      </c>
      <c r="Q42" s="105">
        <f t="shared" si="4"/>
        <v>1.6352683649901755E-3</v>
      </c>
      <c r="R42" s="72">
        <f>County!Q2410</f>
        <v>14746</v>
      </c>
      <c r="S42" s="105">
        <f t="shared" si="5"/>
        <v>3.1770312661587786E-2</v>
      </c>
      <c r="T42" s="72">
        <f>County!R2410</f>
        <v>6220</v>
      </c>
      <c r="U42" s="105">
        <f t="shared" si="6"/>
        <v>1.3401013478575615E-2</v>
      </c>
      <c r="V42" s="72">
        <f>County!S2410</f>
        <v>30</v>
      </c>
      <c r="W42" s="105">
        <f t="shared" si="7"/>
        <v>6.4635113240718391E-5</v>
      </c>
      <c r="X42" s="72">
        <f>County!T2410</f>
        <v>671</v>
      </c>
      <c r="Y42" s="105">
        <f t="shared" si="8"/>
        <v>1.4456720328174014E-3</v>
      </c>
      <c r="Z42" s="72">
        <f>County!U2410</f>
        <v>0</v>
      </c>
      <c r="AA42" s="105">
        <f t="shared" si="9"/>
        <v>0</v>
      </c>
      <c r="AB42" s="72">
        <f>County!V2410</f>
        <v>0</v>
      </c>
      <c r="AC42" s="105">
        <f t="shared" si="10"/>
        <v>0</v>
      </c>
      <c r="AD42" s="72">
        <f>County!W2410</f>
        <v>8604</v>
      </c>
      <c r="AE42" s="105">
        <f t="shared" si="11"/>
        <v>1.8537350477438038E-2</v>
      </c>
      <c r="AF42" s="72">
        <f>County!X2410</f>
        <v>0</v>
      </c>
      <c r="AG42" s="105">
        <f t="shared" si="12"/>
        <v>0</v>
      </c>
      <c r="AH42" s="50">
        <f>County!Y2410</f>
        <v>0</v>
      </c>
      <c r="AI42" s="51">
        <f t="shared" si="13"/>
        <v>0</v>
      </c>
      <c r="AJ42" s="50">
        <f>County!Z2410</f>
        <v>0</v>
      </c>
      <c r="AK42" s="51">
        <f t="shared" si="14"/>
        <v>0</v>
      </c>
      <c r="AL42" s="50">
        <f>County!AA2410</f>
        <v>0</v>
      </c>
      <c r="AM42" s="51">
        <f t="shared" si="15"/>
        <v>0</v>
      </c>
      <c r="AN42" s="50">
        <f>County!AB2410</f>
        <v>0</v>
      </c>
      <c r="AO42" s="51">
        <f t="shared" si="16"/>
        <v>0</v>
      </c>
      <c r="AP42" s="50">
        <f>County!AC2410</f>
        <v>0</v>
      </c>
      <c r="AQ42" s="51">
        <f t="shared" si="17"/>
        <v>0</v>
      </c>
      <c r="AR42" s="50">
        <f>County!AD2410</f>
        <v>0</v>
      </c>
      <c r="AS42" s="51">
        <f t="shared" si="18"/>
        <v>0</v>
      </c>
      <c r="AT42" s="50">
        <f>County!AE2410</f>
        <v>0</v>
      </c>
      <c r="AU42" s="51">
        <f t="shared" si="19"/>
        <v>0</v>
      </c>
      <c r="AV42" s="50">
        <f>County!AF2410</f>
        <v>0</v>
      </c>
      <c r="AW42" s="51">
        <f t="shared" si="20"/>
        <v>0</v>
      </c>
      <c r="AX42" s="50">
        <f>County!AG2410</f>
        <v>0</v>
      </c>
      <c r="AY42" s="51">
        <f t="shared" si="20"/>
        <v>0</v>
      </c>
      <c r="AZ42" s="50">
        <f>County!AH2410</f>
        <v>0</v>
      </c>
      <c r="BA42" s="51">
        <f t="shared" si="45"/>
        <v>0</v>
      </c>
      <c r="BB42" s="50">
        <f>County!AI2410</f>
        <v>0</v>
      </c>
      <c r="BC42" s="51">
        <f t="shared" si="46"/>
        <v>0</v>
      </c>
      <c r="BD42" s="50">
        <f>County!AJ2410</f>
        <v>0</v>
      </c>
      <c r="BE42" s="51">
        <f t="shared" si="46"/>
        <v>0</v>
      </c>
      <c r="BF42" s="50">
        <f>County!AK2410</f>
        <v>0</v>
      </c>
      <c r="BG42" s="51">
        <f t="shared" si="47"/>
        <v>0</v>
      </c>
      <c r="BH42" s="50">
        <f>County!AL2410</f>
        <v>0</v>
      </c>
      <c r="BI42" s="51">
        <f t="shared" si="48"/>
        <v>0</v>
      </c>
      <c r="BJ42" s="50">
        <f>County!AM2410</f>
        <v>0</v>
      </c>
      <c r="BK42" s="51">
        <f t="shared" si="25"/>
        <v>0</v>
      </c>
      <c r="BL42" s="50">
        <f>County!AN2410</f>
        <v>46</v>
      </c>
      <c r="BM42" s="51">
        <f t="shared" si="26"/>
        <v>9.910717363576821E-5</v>
      </c>
      <c r="BN42" s="50">
        <f>County!AO2410</f>
        <v>0</v>
      </c>
      <c r="BO42" s="51">
        <f t="shared" si="27"/>
        <v>0</v>
      </c>
      <c r="BP42" s="50">
        <f>County!AP2410</f>
        <v>0</v>
      </c>
      <c r="BQ42" s="51">
        <f t="shared" si="28"/>
        <v>0</v>
      </c>
      <c r="BR42" s="50">
        <f>County!AQ2410</f>
        <v>0</v>
      </c>
      <c r="BS42" s="51">
        <f t="shared" si="29"/>
        <v>0</v>
      </c>
      <c r="BT42" s="50">
        <f>County!AR2410</f>
        <v>0</v>
      </c>
      <c r="BU42" s="51">
        <f t="shared" si="30"/>
        <v>0</v>
      </c>
      <c r="BV42" s="50">
        <f>County!AS2410</f>
        <v>0</v>
      </c>
      <c r="BW42" s="51">
        <f t="shared" si="31"/>
        <v>0</v>
      </c>
      <c r="BX42" s="50">
        <f>County!AT2410</f>
        <v>0</v>
      </c>
      <c r="BY42" s="51">
        <f t="shared" si="32"/>
        <v>0</v>
      </c>
      <c r="BZ42" s="50">
        <f>County!AU2410</f>
        <v>0</v>
      </c>
      <c r="CA42" s="51">
        <f t="shared" si="33"/>
        <v>0</v>
      </c>
      <c r="CB42" s="58"/>
      <c r="CC42" s="47" t="str">
        <f t="shared" si="49"/>
        <v>Rhode Island</v>
      </c>
      <c r="CD42" s="47" t="s">
        <v>1647</v>
      </c>
      <c r="CE42" s="47">
        <f t="shared" si="50"/>
        <v>4</v>
      </c>
      <c r="CF42" s="48">
        <f>RANK(R42,(L42:Q42,R42:Y42,AD42:AW42))</f>
        <v>3</v>
      </c>
      <c r="CG42" s="48">
        <f>RANK(T42,(L42:Q42,R42:Y42,AD42:AW42))</f>
        <v>5</v>
      </c>
      <c r="CH42" s="48">
        <f>RANK(X42,(L42:Q42,R42:Y42,AD42:AW42))</f>
        <v>7</v>
      </c>
      <c r="CI42" s="48">
        <f>RANK(V42,(L42:Q42,R42:Y42,AD42:AW42))</f>
        <v>8</v>
      </c>
      <c r="CK42" s="47">
        <v>44</v>
      </c>
      <c r="CM42" s="50">
        <f>County!BO2410</f>
        <v>4362</v>
      </c>
      <c r="CO42" s="47">
        <f t="shared" si="51"/>
        <v>4</v>
      </c>
      <c r="CP42" s="47">
        <v>0</v>
      </c>
      <c r="CR42" s="50">
        <f>County!CC2410</f>
        <v>0</v>
      </c>
      <c r="CS42" s="51">
        <f t="shared" si="37"/>
        <v>0</v>
      </c>
    </row>
    <row r="43" spans="1:97" s="34" customFormat="1">
      <c r="A43" s="34" t="s">
        <v>2145</v>
      </c>
      <c r="B43" s="34">
        <v>9</v>
      </c>
      <c r="C43" s="37">
        <f t="shared" si="38"/>
        <v>2103027</v>
      </c>
      <c r="D43" s="36"/>
      <c r="E43" s="36">
        <v>9</v>
      </c>
      <c r="F43" s="36"/>
      <c r="G43" s="83">
        <f t="shared" si="42"/>
        <v>2</v>
      </c>
      <c r="H43" s="83">
        <f t="shared" si="43"/>
        <v>1</v>
      </c>
      <c r="I43" s="83">
        <f t="shared" si="44"/>
        <v>4</v>
      </c>
      <c r="J43" s="1">
        <f t="shared" si="39"/>
        <v>300016</v>
      </c>
      <c r="K43" s="38">
        <f t="shared" si="40"/>
        <v>0.14265912896030342</v>
      </c>
      <c r="L43" s="73">
        <f>County!N2458</f>
        <v>855373</v>
      </c>
      <c r="M43" s="74">
        <f t="shared" si="41"/>
        <v>0.40673419789665088</v>
      </c>
      <c r="N43" s="73">
        <f>County!O2458</f>
        <v>1155389</v>
      </c>
      <c r="O43" s="74">
        <f t="shared" si="3"/>
        <v>0.5493933268569543</v>
      </c>
      <c r="P43" s="73">
        <f>County!P2458</f>
        <v>21016</v>
      </c>
      <c r="Q43" s="74">
        <f t="shared" si="4"/>
        <v>9.9932145426568468E-3</v>
      </c>
      <c r="R43" s="73">
        <f>County!Q2458</f>
        <v>49204</v>
      </c>
      <c r="S43" s="74">
        <f t="shared" si="5"/>
        <v>2.3396751444465524E-2</v>
      </c>
      <c r="T43" s="73">
        <f>County!R2458</f>
        <v>13034</v>
      </c>
      <c r="U43" s="74">
        <f t="shared" si="6"/>
        <v>6.197733077131202E-3</v>
      </c>
      <c r="V43" s="73">
        <f>County!S2458</f>
        <v>5765</v>
      </c>
      <c r="W43" s="74">
        <f t="shared" si="7"/>
        <v>2.7412867262284319E-3</v>
      </c>
      <c r="X43" s="73">
        <f>County!T2458</f>
        <v>0</v>
      </c>
      <c r="Y43" s="74">
        <f t="shared" si="8"/>
        <v>0</v>
      </c>
      <c r="Z43" s="73">
        <f>County!U2458</f>
        <v>0</v>
      </c>
      <c r="AA43" s="74">
        <f t="shared" si="9"/>
        <v>0</v>
      </c>
      <c r="AB43" s="73">
        <f>County!V2458</f>
        <v>0</v>
      </c>
      <c r="AC43" s="74">
        <f t="shared" si="10"/>
        <v>0</v>
      </c>
      <c r="AD43" s="73">
        <f>County!W2458</f>
        <v>0</v>
      </c>
      <c r="AE43" s="74">
        <f t="shared" si="11"/>
        <v>0</v>
      </c>
      <c r="AF43" s="73">
        <f>County!X2458</f>
        <v>0</v>
      </c>
      <c r="AG43" s="74">
        <f t="shared" si="12"/>
        <v>0</v>
      </c>
      <c r="AH43" s="37">
        <f>County!Y2458</f>
        <v>0</v>
      </c>
      <c r="AI43" s="74">
        <f t="shared" si="13"/>
        <v>0</v>
      </c>
      <c r="AJ43" s="37">
        <f>County!Z2458</f>
        <v>0</v>
      </c>
      <c r="AK43" s="74">
        <f t="shared" si="14"/>
        <v>0</v>
      </c>
      <c r="AL43" s="37">
        <f>County!AA2458</f>
        <v>0</v>
      </c>
      <c r="AM43" s="74">
        <f t="shared" si="15"/>
        <v>0</v>
      </c>
      <c r="AN43" s="37">
        <f>County!AB2458</f>
        <v>0</v>
      </c>
      <c r="AO43" s="74">
        <f t="shared" si="16"/>
        <v>0</v>
      </c>
      <c r="AP43" s="37">
        <f>County!AC2458</f>
        <v>0</v>
      </c>
      <c r="AQ43" s="74">
        <f t="shared" si="17"/>
        <v>0</v>
      </c>
      <c r="AR43" s="37">
        <f>County!AD2458</f>
        <v>0</v>
      </c>
      <c r="AS43" s="74">
        <f t="shared" si="18"/>
        <v>0</v>
      </c>
      <c r="AT43" s="37">
        <f>County!AE2458</f>
        <v>0</v>
      </c>
      <c r="AU43" s="74">
        <f t="shared" si="19"/>
        <v>0</v>
      </c>
      <c r="AV43" s="37">
        <f>County!AF2458</f>
        <v>0</v>
      </c>
      <c r="AW43" s="74">
        <f t="shared" si="20"/>
        <v>0</v>
      </c>
      <c r="AX43" s="37">
        <f>County!AG2458</f>
        <v>0</v>
      </c>
      <c r="AY43" s="74">
        <f t="shared" si="20"/>
        <v>0</v>
      </c>
      <c r="AZ43" s="37">
        <f>County!AH2458</f>
        <v>0</v>
      </c>
      <c r="BA43" s="74">
        <f t="shared" si="45"/>
        <v>0</v>
      </c>
      <c r="BB43" s="37">
        <f>County!AI2458</f>
        <v>0</v>
      </c>
      <c r="BC43" s="74">
        <f t="shared" si="46"/>
        <v>0</v>
      </c>
      <c r="BD43" s="37">
        <f>County!AJ2458</f>
        <v>0</v>
      </c>
      <c r="BE43" s="74">
        <f t="shared" si="46"/>
        <v>0</v>
      </c>
      <c r="BF43" s="37">
        <f>County!AK2458</f>
        <v>0</v>
      </c>
      <c r="BG43" s="74">
        <f t="shared" si="47"/>
        <v>0</v>
      </c>
      <c r="BH43" s="37">
        <f>County!AL2458</f>
        <v>0</v>
      </c>
      <c r="BI43" s="74">
        <f t="shared" si="48"/>
        <v>0</v>
      </c>
      <c r="BJ43" s="37">
        <f>County!AM2458</f>
        <v>0</v>
      </c>
      <c r="BK43" s="74">
        <f t="shared" si="25"/>
        <v>0</v>
      </c>
      <c r="BL43" s="37">
        <f>County!AN2458</f>
        <v>0</v>
      </c>
      <c r="BM43" s="74">
        <f t="shared" si="26"/>
        <v>0</v>
      </c>
      <c r="BN43" s="37">
        <f>County!AO2458</f>
        <v>0</v>
      </c>
      <c r="BO43" s="74">
        <f t="shared" si="27"/>
        <v>0</v>
      </c>
      <c r="BP43" s="37">
        <f>County!AP2458</f>
        <v>0</v>
      </c>
      <c r="BQ43" s="74">
        <f t="shared" si="28"/>
        <v>0</v>
      </c>
      <c r="BR43" s="37">
        <f>County!AQ2458</f>
        <v>0</v>
      </c>
      <c r="BS43" s="74">
        <f t="shared" si="29"/>
        <v>0</v>
      </c>
      <c r="BT43" s="37">
        <f>County!AR2458</f>
        <v>0</v>
      </c>
      <c r="BU43" s="74">
        <f t="shared" si="30"/>
        <v>0</v>
      </c>
      <c r="BV43" s="37">
        <f>County!AS2458</f>
        <v>3246</v>
      </c>
      <c r="BW43" s="74">
        <f t="shared" si="31"/>
        <v>1.5434894559128343E-3</v>
      </c>
      <c r="BX43" s="37">
        <f>County!AT2458</f>
        <v>0</v>
      </c>
      <c r="BY43" s="74">
        <f t="shared" si="32"/>
        <v>0</v>
      </c>
      <c r="BZ43" s="37">
        <f>County!AU2458</f>
        <v>0</v>
      </c>
      <c r="CA43" s="74">
        <f t="shared" si="33"/>
        <v>0</v>
      </c>
      <c r="CB43" s="59"/>
      <c r="CC43" s="34" t="str">
        <f t="shared" si="49"/>
        <v>South Carolina</v>
      </c>
      <c r="CD43" s="34" t="s">
        <v>1964</v>
      </c>
      <c r="CE43" s="34">
        <f t="shared" si="50"/>
        <v>9</v>
      </c>
      <c r="CF43" s="35">
        <f>RANK(R43,(L43:Q43,R43:Y43,AD43:AW43))</f>
        <v>3</v>
      </c>
      <c r="CG43" s="35">
        <f>RANK(T43,(L43:Q43,R43:Y43,AD43:AW43))</f>
        <v>5</v>
      </c>
      <c r="CH43" s="35">
        <f>RANK(X43,(L43:Q43,R43:Y43,AD43:AW43))</f>
        <v>13</v>
      </c>
      <c r="CI43" s="35">
        <f>RANK(V43,(L43:Q43,R43:Y43,AD43:AW43))</f>
        <v>6</v>
      </c>
      <c r="CK43" s="34">
        <v>45</v>
      </c>
      <c r="CM43" s="37">
        <f>County!BO2458</f>
        <v>0</v>
      </c>
      <c r="CO43" s="34">
        <f t="shared" si="51"/>
        <v>9</v>
      </c>
      <c r="CP43" s="34">
        <v>0</v>
      </c>
      <c r="CR43" s="37">
        <f>County!CC2458</f>
        <v>0</v>
      </c>
      <c r="CS43" s="74">
        <f t="shared" si="37"/>
        <v>0</v>
      </c>
    </row>
    <row r="44" spans="1:97" s="47" customFormat="1">
      <c r="A44" s="47" t="s">
        <v>2026</v>
      </c>
      <c r="B44" s="47">
        <v>3</v>
      </c>
      <c r="C44" s="50">
        <f t="shared" si="38"/>
        <v>370093</v>
      </c>
      <c r="D44" s="49"/>
      <c r="E44" s="49">
        <v>3</v>
      </c>
      <c r="F44" s="49"/>
      <c r="G44" s="82">
        <f t="shared" si="42"/>
        <v>2</v>
      </c>
      <c r="H44" s="82">
        <f t="shared" si="43"/>
        <v>1</v>
      </c>
      <c r="I44" s="82" t="str">
        <f t="shared" si="44"/>
        <v>-</v>
      </c>
      <c r="J44" s="50">
        <f t="shared" si="39"/>
        <v>110263</v>
      </c>
      <c r="K44" s="51">
        <f t="shared" si="40"/>
        <v>0.29793322219009816</v>
      </c>
      <c r="L44" s="50">
        <f>County!N2526</f>
        <v>117458</v>
      </c>
      <c r="M44" s="51">
        <f t="shared" si="41"/>
        <v>0.31737428159948988</v>
      </c>
      <c r="N44" s="72">
        <f>County!O2526</f>
        <v>227721</v>
      </c>
      <c r="O44" s="105">
        <f t="shared" si="3"/>
        <v>0.61530750378958798</v>
      </c>
      <c r="P44" s="72">
        <f>County!P2526</f>
        <v>0</v>
      </c>
      <c r="Q44" s="105">
        <f t="shared" si="4"/>
        <v>0</v>
      </c>
      <c r="R44" s="72">
        <f>County!Q2526</f>
        <v>20850</v>
      </c>
      <c r="S44" s="105">
        <f t="shared" si="5"/>
        <v>5.6337190922281698E-2</v>
      </c>
      <c r="T44" s="72">
        <f>County!R2526</f>
        <v>0</v>
      </c>
      <c r="U44" s="105">
        <f t="shared" si="6"/>
        <v>0</v>
      </c>
      <c r="V44" s="72">
        <f>County!S2526</f>
        <v>4064</v>
      </c>
      <c r="W44" s="105">
        <f t="shared" si="7"/>
        <v>1.0981023688640424E-2</v>
      </c>
      <c r="X44" s="72">
        <f>County!T2526</f>
        <v>0</v>
      </c>
      <c r="Y44" s="105">
        <f t="shared" si="8"/>
        <v>0</v>
      </c>
      <c r="Z44" s="72">
        <f>County!U2526</f>
        <v>0</v>
      </c>
      <c r="AA44" s="105">
        <f t="shared" si="9"/>
        <v>0</v>
      </c>
      <c r="AB44" s="72">
        <f>County!V2526</f>
        <v>0</v>
      </c>
      <c r="AC44" s="105">
        <f t="shared" si="10"/>
        <v>0</v>
      </c>
      <c r="AD44" s="72">
        <f>County!W2526</f>
        <v>0</v>
      </c>
      <c r="AE44" s="105">
        <f t="shared" si="11"/>
        <v>0</v>
      </c>
      <c r="AF44" s="72">
        <f>County!X2526</f>
        <v>0</v>
      </c>
      <c r="AG44" s="105">
        <f t="shared" si="12"/>
        <v>0</v>
      </c>
      <c r="AH44" s="50">
        <f>County!Y2526</f>
        <v>0</v>
      </c>
      <c r="AI44" s="51">
        <f t="shared" si="13"/>
        <v>0</v>
      </c>
      <c r="AJ44" s="50">
        <f>County!Z2526</f>
        <v>0</v>
      </c>
      <c r="AK44" s="51">
        <f t="shared" si="14"/>
        <v>0</v>
      </c>
      <c r="AL44" s="50">
        <f>County!AA2526</f>
        <v>0</v>
      </c>
      <c r="AM44" s="51">
        <f t="shared" si="15"/>
        <v>0</v>
      </c>
      <c r="AN44" s="50">
        <f>County!AB2526</f>
        <v>0</v>
      </c>
      <c r="AO44" s="51">
        <f t="shared" si="16"/>
        <v>0</v>
      </c>
      <c r="AP44" s="50">
        <f>County!AC2526</f>
        <v>0</v>
      </c>
      <c r="AQ44" s="51">
        <f t="shared" si="17"/>
        <v>0</v>
      </c>
      <c r="AR44" s="50">
        <f>County!AD2526</f>
        <v>0</v>
      </c>
      <c r="AS44" s="51">
        <f t="shared" si="18"/>
        <v>0</v>
      </c>
      <c r="AT44" s="50">
        <f>County!AE2526</f>
        <v>0</v>
      </c>
      <c r="AU44" s="51">
        <f t="shared" si="19"/>
        <v>0</v>
      </c>
      <c r="AV44" s="50">
        <f>County!AF2526</f>
        <v>0</v>
      </c>
      <c r="AW44" s="51">
        <f t="shared" si="20"/>
        <v>0</v>
      </c>
      <c r="AX44" s="50">
        <f>County!AG2526</f>
        <v>0</v>
      </c>
      <c r="AY44" s="51">
        <f t="shared" si="20"/>
        <v>0</v>
      </c>
      <c r="AZ44" s="50">
        <f>County!AH2526</f>
        <v>0</v>
      </c>
      <c r="BA44" s="51">
        <f t="shared" si="45"/>
        <v>0</v>
      </c>
      <c r="BB44" s="50">
        <f>County!AI2526</f>
        <v>0</v>
      </c>
      <c r="BC44" s="51">
        <f t="shared" si="46"/>
        <v>0</v>
      </c>
      <c r="BD44" s="50">
        <f>County!AJ2526</f>
        <v>0</v>
      </c>
      <c r="BE44" s="51">
        <f t="shared" si="46"/>
        <v>0</v>
      </c>
      <c r="BF44" s="50">
        <f>County!AK2526</f>
        <v>0</v>
      </c>
      <c r="BG44" s="51">
        <f t="shared" si="47"/>
        <v>0</v>
      </c>
      <c r="BH44" s="50">
        <f>County!AL2526</f>
        <v>0</v>
      </c>
      <c r="BI44" s="51">
        <f t="shared" si="48"/>
        <v>0</v>
      </c>
      <c r="BJ44" s="50">
        <f>County!AM2526</f>
        <v>0</v>
      </c>
      <c r="BK44" s="51">
        <f t="shared" si="25"/>
        <v>0</v>
      </c>
      <c r="BL44" s="50">
        <f>County!AN2526</f>
        <v>0</v>
      </c>
      <c r="BM44" s="51">
        <f t="shared" si="26"/>
        <v>0</v>
      </c>
      <c r="BN44" s="50">
        <f>County!AO2526</f>
        <v>0</v>
      </c>
      <c r="BO44" s="51">
        <f t="shared" si="27"/>
        <v>0</v>
      </c>
      <c r="BP44" s="50">
        <f>County!AP2526</f>
        <v>0</v>
      </c>
      <c r="BQ44" s="51">
        <f t="shared" si="28"/>
        <v>0</v>
      </c>
      <c r="BR44" s="50">
        <f>County!AQ2526</f>
        <v>0</v>
      </c>
      <c r="BS44" s="51">
        <f t="shared" si="29"/>
        <v>0</v>
      </c>
      <c r="BT44" s="50">
        <f>County!AR2526</f>
        <v>0</v>
      </c>
      <c r="BU44" s="51">
        <f t="shared" si="30"/>
        <v>0</v>
      </c>
      <c r="BV44" s="50">
        <f>County!AS2526</f>
        <v>0</v>
      </c>
      <c r="BW44" s="51">
        <f t="shared" si="31"/>
        <v>0</v>
      </c>
      <c r="BX44" s="50">
        <f>County!AT2526</f>
        <v>0</v>
      </c>
      <c r="BY44" s="51">
        <f t="shared" si="32"/>
        <v>0</v>
      </c>
      <c r="BZ44" s="50">
        <f>County!AU2526</f>
        <v>0</v>
      </c>
      <c r="CA44" s="51">
        <f t="shared" si="33"/>
        <v>0</v>
      </c>
      <c r="CB44" s="58"/>
      <c r="CC44" s="47" t="str">
        <f t="shared" si="49"/>
        <v>South Dakota</v>
      </c>
      <c r="CD44" s="47" t="s">
        <v>1183</v>
      </c>
      <c r="CE44" s="47">
        <f t="shared" si="50"/>
        <v>3</v>
      </c>
      <c r="CF44" s="48">
        <f>RANK(R44,(L44:Q44,R44:Y44,AD44:AW44))</f>
        <v>3</v>
      </c>
      <c r="CG44" s="48">
        <f>RANK(T44,(L44:Q44,R44:Y44,AD44:AW44))</f>
        <v>9</v>
      </c>
      <c r="CH44" s="48">
        <f>RANK(X44,(L44:Q44,R44:Y44,AD44:AW44))</f>
        <v>9</v>
      </c>
      <c r="CI44" s="48">
        <f>RANK(V44,(L44:Q44,R44:Y44,AD44:AW44))</f>
        <v>4</v>
      </c>
      <c r="CK44" s="47">
        <v>46</v>
      </c>
      <c r="CM44" s="50">
        <f>County!BO2526</f>
        <v>0</v>
      </c>
      <c r="CO44" s="47">
        <f t="shared" si="51"/>
        <v>3</v>
      </c>
      <c r="CP44" s="47">
        <v>0</v>
      </c>
      <c r="CR44" s="50">
        <f>County!CC2526</f>
        <v>0</v>
      </c>
      <c r="CS44" s="51">
        <f t="shared" si="37"/>
        <v>0</v>
      </c>
    </row>
    <row r="45" spans="1:97" s="34" customFormat="1">
      <c r="A45" s="34" t="s">
        <v>2523</v>
      </c>
      <c r="B45" s="34">
        <v>11</v>
      </c>
      <c r="C45" s="37">
        <f t="shared" si="38"/>
        <v>2508027</v>
      </c>
      <c r="D45" s="36"/>
      <c r="E45" s="36">
        <v>11</v>
      </c>
      <c r="F45" s="36"/>
      <c r="G45" s="83">
        <f t="shared" si="42"/>
        <v>2</v>
      </c>
      <c r="H45" s="83">
        <f t="shared" si="43"/>
        <v>1</v>
      </c>
      <c r="I45" s="83">
        <f t="shared" si="44"/>
        <v>5</v>
      </c>
      <c r="J45" s="1">
        <f t="shared" si="39"/>
        <v>652230</v>
      </c>
      <c r="K45" s="38">
        <f t="shared" si="40"/>
        <v>0.26005700895564521</v>
      </c>
      <c r="L45" s="37">
        <f>County!N2623</f>
        <v>870695</v>
      </c>
      <c r="M45" s="38">
        <f t="shared" si="41"/>
        <v>0.34716332798650096</v>
      </c>
      <c r="N45" s="73">
        <f>County!O2623</f>
        <v>1522925</v>
      </c>
      <c r="O45" s="74">
        <f t="shared" si="3"/>
        <v>0.60722033694214617</v>
      </c>
      <c r="P45" s="73">
        <f>County!P2623</f>
        <v>11991</v>
      </c>
      <c r="Q45" s="74">
        <f t="shared" si="4"/>
        <v>4.7810490078456095E-3</v>
      </c>
      <c r="R45" s="73">
        <f>County!Q2623</f>
        <v>70397</v>
      </c>
      <c r="S45" s="74">
        <f t="shared" si="5"/>
        <v>2.8068677091594309E-2</v>
      </c>
      <c r="T45" s="73">
        <f>County!R2623</f>
        <v>15993</v>
      </c>
      <c r="U45" s="74">
        <f t="shared" si="6"/>
        <v>6.3767256094132956E-3</v>
      </c>
      <c r="V45" s="73">
        <f>County!S2623</f>
        <v>1584</v>
      </c>
      <c r="W45" s="74">
        <f t="shared" si="7"/>
        <v>6.3157214814673051E-4</v>
      </c>
      <c r="X45" s="73">
        <f>County!T2623</f>
        <v>4075</v>
      </c>
      <c r="Y45" s="74">
        <f t="shared" si="8"/>
        <v>1.6247831462739436E-3</v>
      </c>
      <c r="Z45" s="73">
        <f>County!U2623</f>
        <v>0</v>
      </c>
      <c r="AA45" s="74">
        <f t="shared" si="9"/>
        <v>0</v>
      </c>
      <c r="AB45" s="73">
        <f>County!V2623</f>
        <v>0</v>
      </c>
      <c r="AC45" s="74">
        <f t="shared" si="10"/>
        <v>0</v>
      </c>
      <c r="AD45" s="73">
        <f>County!W2623</f>
        <v>62</v>
      </c>
      <c r="AE45" s="74">
        <f t="shared" si="11"/>
        <v>2.4720627010793743E-5</v>
      </c>
      <c r="AF45" s="73">
        <f>County!X2623</f>
        <v>2877</v>
      </c>
      <c r="AG45" s="74">
        <f t="shared" si="12"/>
        <v>1.147116837258929E-3</v>
      </c>
      <c r="AH45" s="37">
        <f>County!Y2623</f>
        <v>132</v>
      </c>
      <c r="AI45" s="38">
        <f t="shared" si="13"/>
        <v>5.2631012345560871E-5</v>
      </c>
      <c r="AJ45" s="37">
        <f>County!Z2623</f>
        <v>0</v>
      </c>
      <c r="AK45" s="38">
        <f t="shared" si="14"/>
        <v>0</v>
      </c>
      <c r="AL45" s="37">
        <f>County!AA2623</f>
        <v>0</v>
      </c>
      <c r="AM45" s="38">
        <f t="shared" si="15"/>
        <v>0</v>
      </c>
      <c r="AN45" s="37">
        <f>County!AB2623</f>
        <v>0</v>
      </c>
      <c r="AO45" s="38">
        <f t="shared" si="16"/>
        <v>0</v>
      </c>
      <c r="AP45" s="37">
        <f>County!AC2623</f>
        <v>0</v>
      </c>
      <c r="AQ45" s="38">
        <f t="shared" si="17"/>
        <v>0</v>
      </c>
      <c r="AR45" s="37">
        <f>County!AD2623</f>
        <v>0</v>
      </c>
      <c r="AS45" s="38">
        <f t="shared" si="18"/>
        <v>0</v>
      </c>
      <c r="AT45" s="37">
        <f>County!AE2623</f>
        <v>20</v>
      </c>
      <c r="AU45" s="38">
        <f t="shared" si="19"/>
        <v>7.9743958099334657E-6</v>
      </c>
      <c r="AV45" s="37">
        <f>County!AF2623</f>
        <v>0</v>
      </c>
      <c r="AW45" s="38">
        <f t="shared" si="20"/>
        <v>0</v>
      </c>
      <c r="AX45" s="37">
        <f>County!AG2623</f>
        <v>0</v>
      </c>
      <c r="AY45" s="38">
        <f t="shared" si="20"/>
        <v>0</v>
      </c>
      <c r="AZ45" s="37">
        <f>County!AH2623</f>
        <v>0</v>
      </c>
      <c r="BA45" s="38">
        <f t="shared" si="45"/>
        <v>0</v>
      </c>
      <c r="BB45" s="37">
        <f>County!AI2623</f>
        <v>0</v>
      </c>
      <c r="BC45" s="38">
        <f t="shared" si="46"/>
        <v>0</v>
      </c>
      <c r="BD45" s="37">
        <f>County!AJ2623</f>
        <v>0</v>
      </c>
      <c r="BE45" s="38">
        <f t="shared" si="46"/>
        <v>0</v>
      </c>
      <c r="BF45" s="37">
        <f>County!AK2623</f>
        <v>0</v>
      </c>
      <c r="BG45" s="38">
        <f t="shared" si="47"/>
        <v>0</v>
      </c>
      <c r="BH45" s="37">
        <f>County!AL2623</f>
        <v>0</v>
      </c>
      <c r="BI45" s="38">
        <f t="shared" si="48"/>
        <v>0</v>
      </c>
      <c r="BJ45" s="37">
        <f>County!AM2623</f>
        <v>0</v>
      </c>
      <c r="BK45" s="38">
        <f t="shared" si="25"/>
        <v>0</v>
      </c>
      <c r="BL45" s="37">
        <f>County!AN2623</f>
        <v>0</v>
      </c>
      <c r="BM45" s="38">
        <f t="shared" si="26"/>
        <v>0</v>
      </c>
      <c r="BN45" s="37">
        <f>County!AO2623</f>
        <v>0</v>
      </c>
      <c r="BO45" s="38">
        <f t="shared" si="27"/>
        <v>0</v>
      </c>
      <c r="BP45" s="37">
        <f>County!AP2623</f>
        <v>0</v>
      </c>
      <c r="BQ45" s="38">
        <f t="shared" si="28"/>
        <v>0</v>
      </c>
      <c r="BR45" s="37">
        <f>County!AQ2623</f>
        <v>7276</v>
      </c>
      <c r="BS45" s="38">
        <f t="shared" si="29"/>
        <v>2.9010851956537947E-3</v>
      </c>
      <c r="BT45" s="37">
        <f>County!AR2623</f>
        <v>0</v>
      </c>
      <c r="BU45" s="38">
        <f t="shared" si="30"/>
        <v>0</v>
      </c>
      <c r="BV45" s="37">
        <f>County!AS2623</f>
        <v>0</v>
      </c>
      <c r="BW45" s="38">
        <f t="shared" si="31"/>
        <v>0</v>
      </c>
      <c r="BX45" s="37">
        <f>County!AT2623</f>
        <v>0</v>
      </c>
      <c r="BY45" s="38">
        <f t="shared" si="32"/>
        <v>0</v>
      </c>
      <c r="BZ45" s="37">
        <f>County!AU2623</f>
        <v>0</v>
      </c>
      <c r="CA45" s="38">
        <f t="shared" si="33"/>
        <v>0</v>
      </c>
      <c r="CB45" s="59"/>
      <c r="CC45" s="34" t="str">
        <f t="shared" si="49"/>
        <v>Tennessee</v>
      </c>
      <c r="CD45" s="34" t="s">
        <v>18</v>
      </c>
      <c r="CE45" s="34">
        <f t="shared" si="50"/>
        <v>11</v>
      </c>
      <c r="CF45" s="35">
        <f>RANK(R45,(L45:Q45,R45:Y45,AD45:AW45))</f>
        <v>3</v>
      </c>
      <c r="CG45" s="35">
        <f>RANK(T45,(L45:Q45,R45:Y45,AD45:AW45))</f>
        <v>4</v>
      </c>
      <c r="CH45" s="35">
        <f>RANK(X45,(L45:Q45,R45:Y45,AD45:AW45))</f>
        <v>6</v>
      </c>
      <c r="CI45" s="35">
        <f>RANK(V45,(L45:Q45,R45:Y45,AD45:AW45))</f>
        <v>8</v>
      </c>
      <c r="CK45" s="34">
        <v>47</v>
      </c>
      <c r="CM45" s="37">
        <f>County!BO2623</f>
        <v>0</v>
      </c>
      <c r="CO45" s="34">
        <f t="shared" si="51"/>
        <v>11</v>
      </c>
      <c r="CP45" s="34">
        <v>0</v>
      </c>
      <c r="CR45" s="37">
        <f>County!CC2623</f>
        <v>0</v>
      </c>
      <c r="CS45" s="38">
        <f t="shared" si="37"/>
        <v>0</v>
      </c>
    </row>
    <row r="46" spans="1:97" s="47" customFormat="1">
      <c r="A46" s="47" t="s">
        <v>492</v>
      </c>
      <c r="B46" s="47">
        <v>38</v>
      </c>
      <c r="C46" s="50">
        <f t="shared" si="38"/>
        <v>8993166</v>
      </c>
      <c r="D46" s="49"/>
      <c r="E46" s="49">
        <v>36</v>
      </c>
      <c r="F46" s="49">
        <v>2</v>
      </c>
      <c r="G46" s="82">
        <f t="shared" si="42"/>
        <v>2</v>
      </c>
      <c r="H46" s="82">
        <f t="shared" si="43"/>
        <v>1</v>
      </c>
      <c r="I46" s="82">
        <f t="shared" si="44"/>
        <v>5</v>
      </c>
      <c r="J46" s="50">
        <f t="shared" si="39"/>
        <v>807179</v>
      </c>
      <c r="K46" s="51">
        <f t="shared" si="40"/>
        <v>8.9754709298149285E-2</v>
      </c>
      <c r="L46" s="50">
        <f>County!N2879</f>
        <v>3877868</v>
      </c>
      <c r="M46" s="51">
        <f t="shared" si="41"/>
        <v>0.43120164800694216</v>
      </c>
      <c r="N46" s="72">
        <f>County!O2879</f>
        <v>4685047</v>
      </c>
      <c r="O46" s="105">
        <f t="shared" si="3"/>
        <v>0.52095635730509149</v>
      </c>
      <c r="P46" s="72">
        <f>County!P2879</f>
        <v>42366</v>
      </c>
      <c r="Q46" s="105">
        <f t="shared" si="4"/>
        <v>4.7109104846947119E-3</v>
      </c>
      <c r="R46" s="72">
        <f>County!Q2879</f>
        <v>283492</v>
      </c>
      <c r="S46" s="105">
        <f t="shared" si="5"/>
        <v>3.1523047611931101E-2</v>
      </c>
      <c r="T46" s="72">
        <f>County!R2879</f>
        <v>71558</v>
      </c>
      <c r="U46" s="105">
        <f t="shared" si="6"/>
        <v>7.9569308517156243E-3</v>
      </c>
      <c r="V46" s="72">
        <f>County!S2879</f>
        <v>4261</v>
      </c>
      <c r="W46" s="105">
        <f t="shared" si="7"/>
        <v>4.7380421978199889E-4</v>
      </c>
      <c r="X46" s="72">
        <f>County!T2879</f>
        <v>0</v>
      </c>
      <c r="Y46" s="105">
        <f t="shared" si="8"/>
        <v>0</v>
      </c>
      <c r="Z46" s="72">
        <f>County!U2879</f>
        <v>72</v>
      </c>
      <c r="AA46" s="105">
        <f t="shared" si="9"/>
        <v>8.006079282868791E-6</v>
      </c>
      <c r="AB46" s="72">
        <f>County!V2879</f>
        <v>0</v>
      </c>
      <c r="AC46" s="105">
        <f t="shared" si="10"/>
        <v>0</v>
      </c>
      <c r="AD46" s="72">
        <f>County!W2879</f>
        <v>25010</v>
      </c>
      <c r="AE46" s="105">
        <f t="shared" si="11"/>
        <v>2.7810005953409511E-3</v>
      </c>
      <c r="AF46" s="72">
        <f>County!X2879</f>
        <v>0</v>
      </c>
      <c r="AG46" s="105">
        <f t="shared" si="12"/>
        <v>0</v>
      </c>
      <c r="AH46" s="50">
        <f>County!Y2879</f>
        <v>932</v>
      </c>
      <c r="AI46" s="51">
        <f t="shared" si="13"/>
        <v>1.0363424849491269E-4</v>
      </c>
      <c r="AJ46" s="50">
        <f>County!Z2879</f>
        <v>0</v>
      </c>
      <c r="AK46" s="51">
        <f t="shared" si="14"/>
        <v>0</v>
      </c>
      <c r="AL46" s="50">
        <f>County!AA2879</f>
        <v>122</v>
      </c>
      <c r="AM46" s="51">
        <f t="shared" si="15"/>
        <v>1.3565856562638785E-5</v>
      </c>
      <c r="AN46" s="50">
        <f>County!AB2879</f>
        <v>0</v>
      </c>
      <c r="AO46" s="51">
        <f t="shared" si="16"/>
        <v>0</v>
      </c>
      <c r="AP46" s="50">
        <f>County!AC2879</f>
        <v>0</v>
      </c>
      <c r="AQ46" s="51">
        <f t="shared" si="17"/>
        <v>0</v>
      </c>
      <c r="AR46" s="50">
        <f>County!AD2879</f>
        <v>0</v>
      </c>
      <c r="AS46" s="51">
        <f t="shared" si="18"/>
        <v>0</v>
      </c>
      <c r="AT46" s="50">
        <f>County!AE2879</f>
        <v>1037</v>
      </c>
      <c r="AU46" s="51">
        <f t="shared" si="19"/>
        <v>1.1530978078242968E-4</v>
      </c>
      <c r="AV46" s="50">
        <f>County!AF2879</f>
        <v>0</v>
      </c>
      <c r="AW46" s="51">
        <f t="shared" si="20"/>
        <v>0</v>
      </c>
      <c r="AX46" s="50">
        <f>County!AG2879</f>
        <v>0</v>
      </c>
      <c r="AY46" s="51">
        <f t="shared" si="20"/>
        <v>0</v>
      </c>
      <c r="AZ46" s="50">
        <f>County!AH2879</f>
        <v>0</v>
      </c>
      <c r="BA46" s="51">
        <f t="shared" si="45"/>
        <v>0</v>
      </c>
      <c r="BB46" s="50">
        <f>County!AI2879</f>
        <v>0</v>
      </c>
      <c r="BC46" s="51">
        <f t="shared" si="46"/>
        <v>0</v>
      </c>
      <c r="BD46" s="50">
        <f>County!AJ2879</f>
        <v>0</v>
      </c>
      <c r="BE46" s="51">
        <f t="shared" si="46"/>
        <v>0</v>
      </c>
      <c r="BF46" s="50">
        <f>County!AK2879</f>
        <v>0</v>
      </c>
      <c r="BG46" s="51">
        <f t="shared" si="47"/>
        <v>0</v>
      </c>
      <c r="BH46" s="50">
        <f>County!AL2879</f>
        <v>0</v>
      </c>
      <c r="BI46" s="51">
        <f t="shared" si="48"/>
        <v>0</v>
      </c>
      <c r="BJ46" s="50">
        <f>County!AM2879</f>
        <v>0</v>
      </c>
      <c r="BK46" s="51">
        <f t="shared" si="25"/>
        <v>0</v>
      </c>
      <c r="BL46" s="50">
        <f>County!AN2879</f>
        <v>1401</v>
      </c>
      <c r="BM46" s="51">
        <f t="shared" si="26"/>
        <v>1.5578495937915523E-4</v>
      </c>
      <c r="BN46" s="50">
        <f>County!AO2879</f>
        <v>0</v>
      </c>
      <c r="BO46" s="51">
        <f t="shared" si="27"/>
        <v>0</v>
      </c>
      <c r="BP46" s="50">
        <f>County!AP2879</f>
        <v>0</v>
      </c>
      <c r="BQ46" s="51">
        <f t="shared" si="28"/>
        <v>0</v>
      </c>
      <c r="BR46" s="50">
        <f>County!AQ2879</f>
        <v>0</v>
      </c>
      <c r="BS46" s="51">
        <f t="shared" si="29"/>
        <v>0</v>
      </c>
      <c r="BT46" s="50">
        <f>County!AR2879</f>
        <v>0</v>
      </c>
      <c r="BU46" s="51">
        <f t="shared" si="30"/>
        <v>0</v>
      </c>
      <c r="BV46" s="50">
        <f>County!AS2879</f>
        <v>0</v>
      </c>
      <c r="BW46" s="51">
        <f t="shared" si="31"/>
        <v>0</v>
      </c>
      <c r="BX46" s="50">
        <f>County!AT2879</f>
        <v>0</v>
      </c>
      <c r="BY46" s="51">
        <f t="shared" si="32"/>
        <v>0</v>
      </c>
      <c r="BZ46" s="50">
        <f>County!AU2879</f>
        <v>0</v>
      </c>
      <c r="CA46" s="51">
        <f t="shared" si="33"/>
        <v>0</v>
      </c>
      <c r="CB46" s="58"/>
      <c r="CC46" s="47" t="str">
        <f t="shared" si="49"/>
        <v>Texas</v>
      </c>
      <c r="CD46" s="47" t="s">
        <v>53</v>
      </c>
      <c r="CE46" s="47">
        <f t="shared" si="50"/>
        <v>38</v>
      </c>
      <c r="CF46" s="48">
        <f>RANK(R46,(L46:Q46,R46:Y46,AD46:AW46))</f>
        <v>3</v>
      </c>
      <c r="CG46" s="48">
        <f>RANK(T46,(L46:Q46,R46:Y46,AD46:AW46))</f>
        <v>4</v>
      </c>
      <c r="CH46" s="48">
        <f>RANK(X46,(L46:Q46,R46:Y46,AD46:AW46))</f>
        <v>21</v>
      </c>
      <c r="CI46" s="48">
        <f>RANK(V46,(L46:Q46,R46:Y46,AD46:AW46))</f>
        <v>7</v>
      </c>
      <c r="CK46" s="47">
        <v>48</v>
      </c>
      <c r="CM46" s="50">
        <f>County!BO2879</f>
        <v>0</v>
      </c>
      <c r="CO46" s="47">
        <f t="shared" si="51"/>
        <v>38</v>
      </c>
      <c r="CP46" s="47">
        <v>0</v>
      </c>
      <c r="CR46" s="50">
        <f>County!CC2879</f>
        <v>0</v>
      </c>
      <c r="CS46" s="51">
        <f t="shared" si="37"/>
        <v>0</v>
      </c>
    </row>
    <row r="47" spans="1:97" s="34" customFormat="1">
      <c r="A47" s="34" t="s">
        <v>277</v>
      </c>
      <c r="B47" s="34">
        <v>6</v>
      </c>
      <c r="C47" s="37">
        <f t="shared" si="38"/>
        <v>1143601</v>
      </c>
      <c r="D47" s="36"/>
      <c r="E47" s="36">
        <v>6</v>
      </c>
      <c r="F47" s="36"/>
      <c r="G47" s="83">
        <f t="shared" si="42"/>
        <v>2</v>
      </c>
      <c r="H47" s="83">
        <f t="shared" si="43"/>
        <v>1</v>
      </c>
      <c r="I47" s="83">
        <f t="shared" si="44"/>
        <v>3</v>
      </c>
      <c r="J47" s="1">
        <f t="shared" si="39"/>
        <v>204555</v>
      </c>
      <c r="K47" s="38">
        <f t="shared" si="40"/>
        <v>0.17886920350716728</v>
      </c>
      <c r="L47" s="37">
        <f>County!N2910</f>
        <v>310676</v>
      </c>
      <c r="M47" s="38">
        <f t="shared" si="41"/>
        <v>0.27166468025124146</v>
      </c>
      <c r="N47" s="73">
        <f>County!O2910</f>
        <v>515231</v>
      </c>
      <c r="O47" s="74">
        <f t="shared" si="3"/>
        <v>0.45053388375840875</v>
      </c>
      <c r="P47" s="73">
        <f>County!P2910</f>
        <v>243690</v>
      </c>
      <c r="Q47" s="74">
        <f t="shared" si="4"/>
        <v>0.21309005501044509</v>
      </c>
      <c r="R47" s="73">
        <f>County!Q2910</f>
        <v>39608</v>
      </c>
      <c r="S47" s="74">
        <f t="shared" si="5"/>
        <v>3.4634457297606419E-2</v>
      </c>
      <c r="T47" s="73">
        <f>County!R2910</f>
        <v>9438</v>
      </c>
      <c r="U47" s="74">
        <f t="shared" si="6"/>
        <v>8.2528784077663449E-3</v>
      </c>
      <c r="V47" s="73">
        <f>County!S2910</f>
        <v>8032</v>
      </c>
      <c r="W47" s="74">
        <f t="shared" si="7"/>
        <v>7.023428625893122E-3</v>
      </c>
      <c r="X47" s="73">
        <f>County!T2910</f>
        <v>883</v>
      </c>
      <c r="Y47" s="74">
        <f t="shared" si="8"/>
        <v>7.7212244480373842E-4</v>
      </c>
      <c r="Z47" s="73">
        <f>County!U2910</f>
        <v>4</v>
      </c>
      <c r="AA47" s="74">
        <f t="shared" si="9"/>
        <v>3.497723419269483E-6</v>
      </c>
      <c r="AB47" s="73">
        <f>County!V2910</f>
        <v>0</v>
      </c>
      <c r="AC47" s="74">
        <f t="shared" si="10"/>
        <v>0</v>
      </c>
      <c r="AD47" s="73">
        <f>County!W2910</f>
        <v>12188</v>
      </c>
      <c r="AE47" s="74">
        <f t="shared" si="11"/>
        <v>1.0657563258514115E-2</v>
      </c>
      <c r="AF47" s="73">
        <f>County!X2910</f>
        <v>521</v>
      </c>
      <c r="AG47" s="74">
        <f t="shared" si="12"/>
        <v>4.5557847535985016E-4</v>
      </c>
      <c r="AH47" s="37">
        <f>County!Y2910</f>
        <v>6</v>
      </c>
      <c r="AI47" s="38">
        <f t="shared" si="13"/>
        <v>5.2465851289042248E-6</v>
      </c>
      <c r="AJ47" s="37">
        <f>County!Z2910</f>
        <v>0</v>
      </c>
      <c r="AK47" s="38">
        <f t="shared" si="14"/>
        <v>0</v>
      </c>
      <c r="AL47" s="37">
        <f>County!AA2910</f>
        <v>544</v>
      </c>
      <c r="AM47" s="38">
        <f t="shared" si="15"/>
        <v>4.7569038502064966E-4</v>
      </c>
      <c r="AN47" s="37">
        <f>County!AB2910</f>
        <v>0</v>
      </c>
      <c r="AO47" s="38">
        <f t="shared" si="16"/>
        <v>0</v>
      </c>
      <c r="AP47" s="37">
        <f>County!AC2910</f>
        <v>0</v>
      </c>
      <c r="AQ47" s="38">
        <f t="shared" si="17"/>
        <v>0</v>
      </c>
      <c r="AR47" s="37">
        <f>County!AD2910</f>
        <v>0</v>
      </c>
      <c r="AS47" s="38">
        <f t="shared" si="18"/>
        <v>0</v>
      </c>
      <c r="AT47" s="37">
        <f>County!AE2910</f>
        <v>9</v>
      </c>
      <c r="AU47" s="38">
        <f t="shared" si="19"/>
        <v>7.8698776933563367E-6</v>
      </c>
      <c r="AV47" s="37">
        <f>County!AF2910</f>
        <v>0</v>
      </c>
      <c r="AW47" s="38">
        <f t="shared" si="20"/>
        <v>0</v>
      </c>
      <c r="AX47" s="37">
        <f>County!AG2910</f>
        <v>0</v>
      </c>
      <c r="AY47" s="38">
        <f t="shared" si="20"/>
        <v>0</v>
      </c>
      <c r="AZ47" s="37">
        <f>County!AH2910</f>
        <v>0</v>
      </c>
      <c r="BA47" s="38">
        <f t="shared" si="45"/>
        <v>0</v>
      </c>
      <c r="BB47" s="37">
        <f>County!AI2910</f>
        <v>0</v>
      </c>
      <c r="BC47" s="38">
        <f t="shared" si="46"/>
        <v>0</v>
      </c>
      <c r="BD47" s="37">
        <f>County!AJ2910</f>
        <v>0</v>
      </c>
      <c r="BE47" s="38">
        <f t="shared" si="46"/>
        <v>0</v>
      </c>
      <c r="BF47" s="37">
        <f>County!AK2910</f>
        <v>0</v>
      </c>
      <c r="BG47" s="38">
        <f t="shared" si="47"/>
        <v>0</v>
      </c>
      <c r="BH47" s="37">
        <f>County!AL2910</f>
        <v>0</v>
      </c>
      <c r="BI47" s="38">
        <f t="shared" si="48"/>
        <v>0</v>
      </c>
      <c r="BJ47" s="37">
        <f>County!AM2910</f>
        <v>0</v>
      </c>
      <c r="BK47" s="38">
        <f t="shared" si="25"/>
        <v>0</v>
      </c>
      <c r="BL47" s="37">
        <f>County!AN2910</f>
        <v>0</v>
      </c>
      <c r="BM47" s="38">
        <f t="shared" si="26"/>
        <v>0</v>
      </c>
      <c r="BN47" s="37">
        <f>County!AO2910</f>
        <v>0</v>
      </c>
      <c r="BO47" s="38">
        <f t="shared" si="27"/>
        <v>0</v>
      </c>
      <c r="BP47" s="37">
        <f>County!AP2910</f>
        <v>0</v>
      </c>
      <c r="BQ47" s="38">
        <f t="shared" si="28"/>
        <v>0</v>
      </c>
      <c r="BR47" s="37">
        <f>County!AQ2910</f>
        <v>19</v>
      </c>
      <c r="BS47" s="38">
        <f t="shared" si="29"/>
        <v>1.6614186241530045E-5</v>
      </c>
      <c r="BT47" s="37">
        <f>County!AR2910</f>
        <v>0</v>
      </c>
      <c r="BU47" s="38">
        <f t="shared" si="30"/>
        <v>0</v>
      </c>
      <c r="BV47" s="37">
        <f>County!AS2910</f>
        <v>0</v>
      </c>
      <c r="BW47" s="38">
        <f t="shared" si="31"/>
        <v>0</v>
      </c>
      <c r="BX47" s="37">
        <f>County!AT2910</f>
        <v>2752</v>
      </c>
      <c r="BY47" s="38">
        <f t="shared" si="32"/>
        <v>2.4064337124574042E-3</v>
      </c>
      <c r="BZ47" s="37">
        <f>County!AU2910</f>
        <v>0</v>
      </c>
      <c r="CA47" s="38">
        <f t="shared" si="33"/>
        <v>0</v>
      </c>
      <c r="CB47" s="59"/>
      <c r="CC47" s="34" t="str">
        <f t="shared" si="49"/>
        <v>Utah</v>
      </c>
      <c r="CD47" s="34" t="s">
        <v>957</v>
      </c>
      <c r="CE47" s="34">
        <f t="shared" si="50"/>
        <v>6</v>
      </c>
      <c r="CF47" s="35">
        <f>RANK(R47,(L47:Q47,R47:Y47,AD47:AW47))</f>
        <v>4</v>
      </c>
      <c r="CG47" s="35">
        <f>RANK(T47,(L47:Q47,R47:Y47,AD47:AW47))</f>
        <v>6</v>
      </c>
      <c r="CH47" s="35">
        <f>RANK(X47,(L47:Q47,R47:Y47,AD47:AW47))</f>
        <v>8</v>
      </c>
      <c r="CI47" s="35">
        <f>RANK(V47,(L47:Q47,R47:Y47,AD47:AW47))</f>
        <v>7</v>
      </c>
      <c r="CK47" s="34">
        <v>49</v>
      </c>
      <c r="CM47" s="37">
        <f>County!BO2910</f>
        <v>0</v>
      </c>
      <c r="CO47" s="34">
        <f t="shared" si="51"/>
        <v>6</v>
      </c>
      <c r="CP47" s="34">
        <v>0</v>
      </c>
      <c r="CR47" s="37">
        <f>County!CC2910</f>
        <v>0</v>
      </c>
      <c r="CS47" s="38">
        <f t="shared" si="37"/>
        <v>0</v>
      </c>
    </row>
    <row r="48" spans="1:97" s="47" customFormat="1">
      <c r="A48" s="47" t="s">
        <v>726</v>
      </c>
      <c r="B48" s="47">
        <v>3</v>
      </c>
      <c r="C48" s="50">
        <f t="shared" si="38"/>
        <v>315067</v>
      </c>
      <c r="D48" s="49">
        <v>3</v>
      </c>
      <c r="E48" s="49"/>
      <c r="F48" s="49"/>
      <c r="G48" s="82">
        <f t="shared" si="42"/>
        <v>1</v>
      </c>
      <c r="H48" s="82">
        <f t="shared" si="43"/>
        <v>2</v>
      </c>
      <c r="I48" s="82">
        <f t="shared" si="44"/>
        <v>7</v>
      </c>
      <c r="J48" s="50">
        <f t="shared" si="39"/>
        <v>83204</v>
      </c>
      <c r="K48" s="51">
        <f t="shared" si="40"/>
        <v>0.26408351239577615</v>
      </c>
      <c r="L48" s="50">
        <f>County!N2926</f>
        <v>178573</v>
      </c>
      <c r="M48" s="51">
        <f t="shared" si="41"/>
        <v>0.56677785994724927</v>
      </c>
      <c r="N48" s="72">
        <f>County!O2926</f>
        <v>95369</v>
      </c>
      <c r="O48" s="105">
        <f t="shared" si="3"/>
        <v>0.30269434755147318</v>
      </c>
      <c r="P48" s="72">
        <f>County!P2926</f>
        <v>631</v>
      </c>
      <c r="Q48" s="105">
        <f t="shared" si="4"/>
        <v>2.0027486217217292E-3</v>
      </c>
      <c r="R48" s="72">
        <f>County!Q2926</f>
        <v>10078</v>
      </c>
      <c r="S48" s="105">
        <f t="shared" si="5"/>
        <v>3.1986847242015191E-2</v>
      </c>
      <c r="T48" s="72">
        <f>County!R2926</f>
        <v>6758</v>
      </c>
      <c r="U48" s="105">
        <f t="shared" si="6"/>
        <v>2.1449405999358868E-2</v>
      </c>
      <c r="V48" s="72">
        <f>County!S2926</f>
        <v>63</v>
      </c>
      <c r="W48" s="105">
        <f t="shared" si="7"/>
        <v>1.9995746936365917E-4</v>
      </c>
      <c r="X48" s="72">
        <f>County!T2926</f>
        <v>1063</v>
      </c>
      <c r="Y48" s="105">
        <f t="shared" si="8"/>
        <v>3.3738855545011061E-3</v>
      </c>
      <c r="Z48" s="72">
        <f>County!U2926</f>
        <v>1</v>
      </c>
      <c r="AA48" s="105">
        <f t="shared" si="9"/>
        <v>3.1739280851374471E-6</v>
      </c>
      <c r="AB48" s="72">
        <f>County!V2926</f>
        <v>327</v>
      </c>
      <c r="AC48" s="105">
        <f t="shared" si="10"/>
        <v>1.0378744838399452E-3</v>
      </c>
      <c r="AD48" s="72">
        <f>County!W2926</f>
        <v>22177</v>
      </c>
      <c r="AE48" s="105">
        <f t="shared" si="11"/>
        <v>7.0388203144093164E-2</v>
      </c>
      <c r="AF48" s="72">
        <f>County!X2926</f>
        <v>2</v>
      </c>
      <c r="AG48" s="105">
        <f t="shared" si="12"/>
        <v>6.3478561702748942E-6</v>
      </c>
      <c r="AH48" s="50">
        <f>County!Y2926</f>
        <v>0</v>
      </c>
      <c r="AI48" s="51">
        <f t="shared" si="13"/>
        <v>0</v>
      </c>
      <c r="AJ48" s="50">
        <f>County!Z2926</f>
        <v>0</v>
      </c>
      <c r="AK48" s="51">
        <f t="shared" si="14"/>
        <v>0</v>
      </c>
      <c r="AL48" s="50">
        <f>County!AA2926</f>
        <v>0</v>
      </c>
      <c r="AM48" s="51">
        <f t="shared" si="15"/>
        <v>0</v>
      </c>
      <c r="AN48" s="50">
        <f>County!AB2926</f>
        <v>0</v>
      </c>
      <c r="AO48" s="51">
        <f t="shared" si="16"/>
        <v>0</v>
      </c>
      <c r="AP48" s="50">
        <f>County!AC2926</f>
        <v>0</v>
      </c>
      <c r="AQ48" s="51">
        <f t="shared" si="17"/>
        <v>0</v>
      </c>
      <c r="AR48" s="50">
        <f>County!AD2926</f>
        <v>0</v>
      </c>
      <c r="AS48" s="51">
        <f t="shared" si="18"/>
        <v>0</v>
      </c>
      <c r="AT48" s="50">
        <f>County!AE2926</f>
        <v>3</v>
      </c>
      <c r="AU48" s="51">
        <f t="shared" si="19"/>
        <v>9.5217842554123401E-6</v>
      </c>
      <c r="AV48" s="50">
        <f>County!AF2926</f>
        <v>2</v>
      </c>
      <c r="AW48" s="51">
        <f t="shared" si="20"/>
        <v>6.3478561702748942E-6</v>
      </c>
      <c r="AX48" s="50">
        <f>County!AG2926</f>
        <v>3</v>
      </c>
      <c r="AY48" s="51">
        <f t="shared" si="20"/>
        <v>9.5217842554123401E-6</v>
      </c>
      <c r="AZ48" s="50">
        <f>County!AH2926</f>
        <v>0</v>
      </c>
      <c r="BA48" s="51">
        <f t="shared" si="45"/>
        <v>0</v>
      </c>
      <c r="BB48" s="50">
        <f>County!AI2926</f>
        <v>0</v>
      </c>
      <c r="BC48" s="51">
        <f t="shared" si="46"/>
        <v>0</v>
      </c>
      <c r="BD48" s="50">
        <f>County!AJ2926</f>
        <v>0</v>
      </c>
      <c r="BE48" s="51">
        <f t="shared" si="46"/>
        <v>0</v>
      </c>
      <c r="BF48" s="50">
        <f>County!AK2926</f>
        <v>0</v>
      </c>
      <c r="BG48" s="51">
        <f t="shared" si="47"/>
        <v>0</v>
      </c>
      <c r="BH48" s="50">
        <f>County!AL2926</f>
        <v>0</v>
      </c>
      <c r="BI48" s="51">
        <f t="shared" si="48"/>
        <v>0</v>
      </c>
      <c r="BJ48" s="50">
        <f>County!AM2926</f>
        <v>0</v>
      </c>
      <c r="BK48" s="51">
        <f t="shared" si="25"/>
        <v>0</v>
      </c>
      <c r="BL48" s="50">
        <f>County!AN2926</f>
        <v>16</v>
      </c>
      <c r="BM48" s="51">
        <f t="shared" si="26"/>
        <v>5.0782849362199154E-5</v>
      </c>
      <c r="BN48" s="50">
        <f>County!AO2926</f>
        <v>0</v>
      </c>
      <c r="BO48" s="51">
        <f t="shared" si="27"/>
        <v>0</v>
      </c>
      <c r="BP48" s="50">
        <f>County!AP2926</f>
        <v>0</v>
      </c>
      <c r="BQ48" s="51">
        <f t="shared" si="28"/>
        <v>0</v>
      </c>
      <c r="BR48" s="50">
        <f>County!AQ2926</f>
        <v>1</v>
      </c>
      <c r="BS48" s="51">
        <f t="shared" si="29"/>
        <v>3.1739280851374471E-6</v>
      </c>
      <c r="BT48" s="50">
        <f>County!AR2926</f>
        <v>0</v>
      </c>
      <c r="BU48" s="51">
        <f t="shared" si="30"/>
        <v>0</v>
      </c>
      <c r="BV48" s="50">
        <f>County!AS2926</f>
        <v>0</v>
      </c>
      <c r="BW48" s="51">
        <f t="shared" si="31"/>
        <v>0</v>
      </c>
      <c r="BX48" s="50">
        <f>County!AT2926</f>
        <v>0</v>
      </c>
      <c r="BY48" s="51">
        <f t="shared" si="32"/>
        <v>0</v>
      </c>
      <c r="BZ48" s="50">
        <f>County!AU2926</f>
        <v>0</v>
      </c>
      <c r="CA48" s="51">
        <f t="shared" si="33"/>
        <v>0</v>
      </c>
      <c r="CB48" s="58"/>
      <c r="CC48" s="47" t="str">
        <f t="shared" si="49"/>
        <v>Vermont</v>
      </c>
      <c r="CD48" s="47" t="s">
        <v>2016</v>
      </c>
      <c r="CE48" s="47">
        <f t="shared" si="50"/>
        <v>3</v>
      </c>
      <c r="CF48" s="48">
        <f>RANK(R48,(L48:Q48,R48:Y48,AD48:AW48))</f>
        <v>4</v>
      </c>
      <c r="CG48" s="48">
        <f>RANK(T48,(L48:Q48,R48:Y48,AD48:AW48))</f>
        <v>5</v>
      </c>
      <c r="CH48" s="48">
        <f>RANK(X48,(L48:Q48,R48:Y48,AD48:AW48))</f>
        <v>6</v>
      </c>
      <c r="CI48" s="48">
        <f>RANK(V48,(L48:Q48,R48:Y48,AD48:AW48))</f>
        <v>8</v>
      </c>
      <c r="CK48" s="47">
        <v>50</v>
      </c>
      <c r="CM48" s="50">
        <f>County!BO2926</f>
        <v>4574</v>
      </c>
      <c r="CO48" s="47">
        <f t="shared" si="51"/>
        <v>3</v>
      </c>
      <c r="CP48" s="47">
        <v>0</v>
      </c>
      <c r="CR48" s="50">
        <f>County!CC2926</f>
        <v>18183</v>
      </c>
      <c r="CS48" s="51">
        <f t="shared" si="37"/>
        <v>5.7711534372054195E-2</v>
      </c>
    </row>
    <row r="49" spans="1:97" s="34" customFormat="1">
      <c r="A49" s="34" t="s">
        <v>1008</v>
      </c>
      <c r="B49" s="34">
        <v>13</v>
      </c>
      <c r="C49" s="37">
        <f t="shared" si="38"/>
        <v>3982752</v>
      </c>
      <c r="D49" s="36">
        <v>13</v>
      </c>
      <c r="E49" s="36"/>
      <c r="F49" s="36"/>
      <c r="G49" s="83">
        <f t="shared" si="42"/>
        <v>1</v>
      </c>
      <c r="H49" s="83">
        <f t="shared" si="43"/>
        <v>2</v>
      </c>
      <c r="I49" s="83">
        <f t="shared" si="44"/>
        <v>4</v>
      </c>
      <c r="J49" s="1">
        <f t="shared" si="39"/>
        <v>212030</v>
      </c>
      <c r="K49" s="38">
        <f t="shared" si="40"/>
        <v>5.3237058194936564E-2</v>
      </c>
      <c r="L49" s="37">
        <f>County!N3061</f>
        <v>1981473</v>
      </c>
      <c r="M49" s="38">
        <f t="shared" si="41"/>
        <v>0.49751352833417695</v>
      </c>
      <c r="N49" s="73">
        <f>County!O3061</f>
        <v>1769443</v>
      </c>
      <c r="O49" s="74">
        <f t="shared" si="3"/>
        <v>0.44427647013924043</v>
      </c>
      <c r="P49" s="73">
        <f>County!P3061</f>
        <v>54054</v>
      </c>
      <c r="Q49" s="74">
        <f t="shared" si="4"/>
        <v>1.3572022561284258E-2</v>
      </c>
      <c r="R49" s="73">
        <f>County!Q3061</f>
        <v>118274</v>
      </c>
      <c r="S49" s="74">
        <f t="shared" si="5"/>
        <v>2.9696551530198213E-2</v>
      </c>
      <c r="T49" s="73">
        <f>County!R3061</f>
        <v>27638</v>
      </c>
      <c r="U49" s="74">
        <f t="shared" si="6"/>
        <v>6.9394227910751158E-3</v>
      </c>
      <c r="V49" s="73">
        <f>County!S3061</f>
        <v>0</v>
      </c>
      <c r="W49" s="74">
        <f t="shared" si="7"/>
        <v>0</v>
      </c>
      <c r="X49" s="73">
        <f>County!T3061</f>
        <v>0</v>
      </c>
      <c r="Y49" s="74">
        <f t="shared" si="8"/>
        <v>0</v>
      </c>
      <c r="Z49" s="73">
        <f>County!U3061</f>
        <v>0</v>
      </c>
      <c r="AA49" s="74">
        <f t="shared" si="9"/>
        <v>0</v>
      </c>
      <c r="AB49" s="73">
        <f>County!V3061</f>
        <v>0</v>
      </c>
      <c r="AC49" s="74">
        <f t="shared" si="10"/>
        <v>0</v>
      </c>
      <c r="AD49" s="73">
        <f>County!W3061</f>
        <v>31870</v>
      </c>
      <c r="AE49" s="74">
        <f t="shared" si="11"/>
        <v>8.0020046440250365E-3</v>
      </c>
      <c r="AF49" s="73">
        <f>County!X3061</f>
        <v>0</v>
      </c>
      <c r="AG49" s="74">
        <f t="shared" si="12"/>
        <v>0</v>
      </c>
      <c r="AH49" s="37">
        <f>County!Y3061</f>
        <v>0</v>
      </c>
      <c r="AI49" s="38">
        <f t="shared" si="13"/>
        <v>0</v>
      </c>
      <c r="AJ49" s="37">
        <f>County!Z3061</f>
        <v>0</v>
      </c>
      <c r="AK49" s="38">
        <f t="shared" si="14"/>
        <v>0</v>
      </c>
      <c r="AL49" s="37">
        <f>County!AA3061</f>
        <v>0</v>
      </c>
      <c r="AM49" s="38">
        <f t="shared" si="15"/>
        <v>0</v>
      </c>
      <c r="AN49" s="37">
        <f>County!AB3061</f>
        <v>0</v>
      </c>
      <c r="AO49" s="38">
        <f t="shared" si="16"/>
        <v>0</v>
      </c>
      <c r="AP49" s="37">
        <f>County!AC3061</f>
        <v>0</v>
      </c>
      <c r="AQ49" s="38">
        <f t="shared" si="17"/>
        <v>0</v>
      </c>
      <c r="AR49" s="37">
        <f>County!AD3061</f>
        <v>0</v>
      </c>
      <c r="AS49" s="38">
        <f t="shared" si="18"/>
        <v>0</v>
      </c>
      <c r="AT49" s="37">
        <f>County!AE3061</f>
        <v>0</v>
      </c>
      <c r="AU49" s="38">
        <f t="shared" si="19"/>
        <v>0</v>
      </c>
      <c r="AV49" s="37">
        <f>County!AF3061</f>
        <v>0</v>
      </c>
      <c r="AW49" s="38">
        <f t="shared" si="20"/>
        <v>0</v>
      </c>
      <c r="AX49" s="37">
        <f>County!AG3061</f>
        <v>0</v>
      </c>
      <c r="AY49" s="38">
        <f t="shared" si="20"/>
        <v>0</v>
      </c>
      <c r="AZ49" s="37">
        <f>County!AH3061</f>
        <v>0</v>
      </c>
      <c r="BA49" s="38">
        <f t="shared" si="45"/>
        <v>0</v>
      </c>
      <c r="BB49" s="37">
        <f>County!AI3061</f>
        <v>0</v>
      </c>
      <c r="BC49" s="38">
        <f t="shared" si="46"/>
        <v>0</v>
      </c>
      <c r="BD49" s="37">
        <f>County!AJ3061</f>
        <v>0</v>
      </c>
      <c r="BE49" s="38">
        <f t="shared" si="46"/>
        <v>0</v>
      </c>
      <c r="BF49" s="37">
        <f>County!AK3061</f>
        <v>0</v>
      </c>
      <c r="BG49" s="38">
        <f t="shared" si="47"/>
        <v>0</v>
      </c>
      <c r="BH49" s="37">
        <f>County!AL3061</f>
        <v>0</v>
      </c>
      <c r="BI49" s="38">
        <f t="shared" si="48"/>
        <v>0</v>
      </c>
      <c r="BJ49" s="37">
        <f>County!AM3061</f>
        <v>0</v>
      </c>
      <c r="BK49" s="38">
        <f t="shared" si="25"/>
        <v>0</v>
      </c>
      <c r="BL49" s="37">
        <f>County!AN3061</f>
        <v>0</v>
      </c>
      <c r="BM49" s="38">
        <f t="shared" si="26"/>
        <v>0</v>
      </c>
      <c r="BN49" s="37">
        <f>County!AO3061</f>
        <v>0</v>
      </c>
      <c r="BO49" s="38">
        <f t="shared" si="27"/>
        <v>0</v>
      </c>
      <c r="BP49" s="37">
        <f>County!AP3061</f>
        <v>0</v>
      </c>
      <c r="BQ49" s="38">
        <f t="shared" si="28"/>
        <v>0</v>
      </c>
      <c r="BR49" s="37">
        <f>County!AQ3061</f>
        <v>0</v>
      </c>
      <c r="BS49" s="38">
        <f t="shared" si="29"/>
        <v>0</v>
      </c>
      <c r="BT49" s="37">
        <f>County!AR3061</f>
        <v>0</v>
      </c>
      <c r="BU49" s="38">
        <f t="shared" si="30"/>
        <v>0</v>
      </c>
      <c r="BV49" s="37">
        <f>County!AS3061</f>
        <v>0</v>
      </c>
      <c r="BW49" s="38">
        <f t="shared" si="31"/>
        <v>0</v>
      </c>
      <c r="BX49" s="37">
        <f>County!AT3061</f>
        <v>0</v>
      </c>
      <c r="BY49" s="38">
        <f t="shared" si="32"/>
        <v>0</v>
      </c>
      <c r="BZ49" s="37">
        <f>County!AU3061</f>
        <v>0</v>
      </c>
      <c r="CA49" s="38">
        <f t="shared" si="33"/>
        <v>0</v>
      </c>
      <c r="CB49" s="59"/>
      <c r="CC49" s="34" t="str">
        <f t="shared" si="49"/>
        <v>Virginia</v>
      </c>
      <c r="CD49" s="34" t="s">
        <v>1595</v>
      </c>
      <c r="CE49" s="34">
        <f t="shared" si="50"/>
        <v>13</v>
      </c>
      <c r="CF49" s="35">
        <f>RANK(R49,(L49:Q49,R49:Y49,AD49:AW49))</f>
        <v>3</v>
      </c>
      <c r="CG49" s="35">
        <f>RANK(T49,(L49:Q49,R49:Y49,AD49:AW49))</f>
        <v>6</v>
      </c>
      <c r="CH49" s="35">
        <f>RANK(X49,(L49:Q49,R49:Y49,AD49:AW49))</f>
        <v>13</v>
      </c>
      <c r="CI49" s="35">
        <f>RANK(V49,(L49:Q49,R49:Y49,AD49:AW49))</f>
        <v>13</v>
      </c>
      <c r="CK49" s="34">
        <v>51</v>
      </c>
      <c r="CM49" s="37">
        <f>County!BO3061</f>
        <v>0</v>
      </c>
      <c r="CO49" s="34">
        <f t="shared" si="51"/>
        <v>13</v>
      </c>
      <c r="CP49" s="34">
        <v>0</v>
      </c>
      <c r="CR49" s="37">
        <f>County!CC3061</f>
        <v>0</v>
      </c>
      <c r="CS49" s="38">
        <f t="shared" si="37"/>
        <v>0</v>
      </c>
    </row>
    <row r="50" spans="1:97" s="47" customFormat="1">
      <c r="A50" s="47" t="s">
        <v>692</v>
      </c>
      <c r="B50" s="47">
        <v>12</v>
      </c>
      <c r="C50" s="50">
        <f t="shared" si="38"/>
        <v>3316996</v>
      </c>
      <c r="D50" s="49">
        <v>8</v>
      </c>
      <c r="E50" s="49"/>
      <c r="F50" s="49">
        <v>4</v>
      </c>
      <c r="G50" s="82">
        <f t="shared" si="42"/>
        <v>1</v>
      </c>
      <c r="H50" s="82">
        <f t="shared" si="43"/>
        <v>2</v>
      </c>
      <c r="I50" s="82">
        <f t="shared" si="44"/>
        <v>9</v>
      </c>
      <c r="J50" s="50">
        <f t="shared" si="39"/>
        <v>520971</v>
      </c>
      <c r="K50" s="51">
        <f t="shared" si="40"/>
        <v>0.15706108780354272</v>
      </c>
      <c r="L50" s="50">
        <f>County!N3102</f>
        <v>1742718</v>
      </c>
      <c r="M50" s="51">
        <f t="shared" si="41"/>
        <v>0.52539044364238008</v>
      </c>
      <c r="N50" s="72">
        <f>County!O3102</f>
        <v>1221747</v>
      </c>
      <c r="O50" s="105">
        <f t="shared" si="3"/>
        <v>0.3683293558388373</v>
      </c>
      <c r="P50" s="72">
        <f>County!P3102</f>
        <v>2104</v>
      </c>
      <c r="Q50" s="105">
        <f t="shared" si="4"/>
        <v>6.3430887465646627E-4</v>
      </c>
      <c r="R50" s="72">
        <f>County!Q3102</f>
        <v>160879</v>
      </c>
      <c r="S50" s="105">
        <f t="shared" si="5"/>
        <v>4.8501415135863896E-2</v>
      </c>
      <c r="T50" s="72">
        <f>County!R3102</f>
        <v>58417</v>
      </c>
      <c r="U50" s="105">
        <f t="shared" si="6"/>
        <v>1.7611417077379652E-2</v>
      </c>
      <c r="V50" s="72">
        <f>County!S3102</f>
        <v>17623</v>
      </c>
      <c r="W50" s="105">
        <f t="shared" si="7"/>
        <v>5.3129397804519514E-3</v>
      </c>
      <c r="X50" s="72">
        <f>County!T3102</f>
        <v>0</v>
      </c>
      <c r="Y50" s="105">
        <f t="shared" si="8"/>
        <v>0</v>
      </c>
      <c r="Z50" s="72">
        <f>County!U3102</f>
        <v>0</v>
      </c>
      <c r="AA50" s="105">
        <f t="shared" si="9"/>
        <v>0</v>
      </c>
      <c r="AB50" s="72">
        <f>County!V3102</f>
        <v>3523</v>
      </c>
      <c r="AC50" s="105">
        <f t="shared" si="10"/>
        <v>1.0621055919271534E-3</v>
      </c>
      <c r="AD50" s="72">
        <f>County!W3102</f>
        <v>105678</v>
      </c>
      <c r="AE50" s="105">
        <f t="shared" si="11"/>
        <v>3.1859550026590328E-2</v>
      </c>
      <c r="AF50" s="72">
        <f>County!X3102</f>
        <v>4307</v>
      </c>
      <c r="AG50" s="105">
        <f t="shared" si="12"/>
        <v>1.298464031913213E-3</v>
      </c>
      <c r="AH50" s="50">
        <f>County!Y3102</f>
        <v>0</v>
      </c>
      <c r="AI50" s="51">
        <f t="shared" si="13"/>
        <v>0</v>
      </c>
      <c r="AJ50" s="50">
        <f>County!Z3102</f>
        <v>0</v>
      </c>
      <c r="AK50" s="51">
        <f t="shared" si="14"/>
        <v>0</v>
      </c>
      <c r="AL50" s="50">
        <f>County!AA3102</f>
        <v>0</v>
      </c>
      <c r="AM50" s="51">
        <f t="shared" si="15"/>
        <v>0</v>
      </c>
      <c r="AN50" s="50">
        <f>County!AB3102</f>
        <v>0</v>
      </c>
      <c r="AO50" s="51">
        <f t="shared" si="16"/>
        <v>0</v>
      </c>
      <c r="AP50" s="50">
        <f>County!AC3102</f>
        <v>0</v>
      </c>
      <c r="AQ50" s="51">
        <f t="shared" si="17"/>
        <v>0</v>
      </c>
      <c r="AR50" s="50">
        <f>County!AD3102</f>
        <v>0</v>
      </c>
      <c r="AS50" s="51">
        <f t="shared" si="18"/>
        <v>0</v>
      </c>
      <c r="AT50" s="50">
        <f>County!AE3102</f>
        <v>0</v>
      </c>
      <c r="AU50" s="51">
        <f t="shared" si="19"/>
        <v>0</v>
      </c>
      <c r="AV50" s="50">
        <f>County!AF3102</f>
        <v>0</v>
      </c>
      <c r="AW50" s="51">
        <f t="shared" si="20"/>
        <v>0</v>
      </c>
      <c r="AX50" s="50">
        <f>County!AG3102</f>
        <v>0</v>
      </c>
      <c r="AY50" s="51">
        <f t="shared" si="20"/>
        <v>0</v>
      </c>
      <c r="AZ50" s="50">
        <f>County!AH3102</f>
        <v>0</v>
      </c>
      <c r="BA50" s="51">
        <f t="shared" si="45"/>
        <v>0</v>
      </c>
      <c r="BB50" s="50">
        <f>County!AI3102</f>
        <v>0</v>
      </c>
      <c r="BC50" s="51">
        <f t="shared" si="46"/>
        <v>0</v>
      </c>
      <c r="BD50" s="50">
        <f>County!AJ3102</f>
        <v>0</v>
      </c>
      <c r="BE50" s="51">
        <f t="shared" si="46"/>
        <v>0</v>
      </c>
      <c r="BF50" s="50">
        <f>County!AK3102</f>
        <v>0</v>
      </c>
      <c r="BG50" s="51">
        <f t="shared" si="47"/>
        <v>0</v>
      </c>
      <c r="BH50" s="50">
        <f>County!AL3102</f>
        <v>0</v>
      </c>
      <c r="BI50" s="51">
        <f t="shared" si="48"/>
        <v>0</v>
      </c>
      <c r="BJ50" s="50">
        <f>County!AM3102</f>
        <v>0</v>
      </c>
      <c r="BK50" s="51">
        <f t="shared" si="25"/>
        <v>0</v>
      </c>
      <c r="BL50" s="50">
        <f>County!AN3102</f>
        <v>0</v>
      </c>
      <c r="BM50" s="51">
        <f t="shared" si="26"/>
        <v>0</v>
      </c>
      <c r="BN50" s="50">
        <f>County!AO3102</f>
        <v>0</v>
      </c>
      <c r="BO50" s="51">
        <f t="shared" si="27"/>
        <v>0</v>
      </c>
      <c r="BP50" s="50">
        <f>County!AP3102</f>
        <v>0</v>
      </c>
      <c r="BQ50" s="51">
        <f t="shared" si="28"/>
        <v>0</v>
      </c>
      <c r="BR50" s="50">
        <f>County!AQ3102</f>
        <v>0</v>
      </c>
      <c r="BS50" s="51">
        <f t="shared" si="29"/>
        <v>0</v>
      </c>
      <c r="BT50" s="50">
        <f>County!AR3102</f>
        <v>0</v>
      </c>
      <c r="BU50" s="51">
        <f t="shared" si="30"/>
        <v>0</v>
      </c>
      <c r="BV50" s="50">
        <f>County!AS3102</f>
        <v>0</v>
      </c>
      <c r="BW50" s="51">
        <f t="shared" si="31"/>
        <v>0</v>
      </c>
      <c r="BX50" s="50">
        <f>County!AT3102</f>
        <v>0</v>
      </c>
      <c r="BY50" s="51">
        <f t="shared" si="32"/>
        <v>0</v>
      </c>
      <c r="BZ50" s="50">
        <f>County!AU3102</f>
        <v>0</v>
      </c>
      <c r="CA50" s="51">
        <f t="shared" si="33"/>
        <v>0</v>
      </c>
      <c r="CB50" s="58"/>
      <c r="CC50" s="47" t="str">
        <f t="shared" si="49"/>
        <v>Washington</v>
      </c>
      <c r="CD50" s="47" t="s">
        <v>817</v>
      </c>
      <c r="CE50" s="47">
        <f t="shared" si="50"/>
        <v>12</v>
      </c>
      <c r="CF50" s="48">
        <f>RANK(R50,(L50:Q50,R50:Y50,AD50:AW50))</f>
        <v>3</v>
      </c>
      <c r="CG50" s="48">
        <f>RANK(T50,(L50:Q50,R50:Y50,AD50:AW50))</f>
        <v>5</v>
      </c>
      <c r="CH50" s="48">
        <f>RANK(X50,(L50:Q50,R50:Y50,AD50:AW50))</f>
        <v>17</v>
      </c>
      <c r="CI50" s="48">
        <f>RANK(V50,(L50:Q50,R50:Y50,AD50:AW50))</f>
        <v>6</v>
      </c>
      <c r="CK50" s="47">
        <v>53</v>
      </c>
      <c r="CM50" s="50">
        <f>County!BO3102</f>
        <v>41705</v>
      </c>
      <c r="CO50" s="47">
        <f t="shared" si="51"/>
        <v>12</v>
      </c>
      <c r="CP50" s="47">
        <v>0</v>
      </c>
      <c r="CR50" s="50">
        <f>County!CC3102</f>
        <v>3037</v>
      </c>
      <c r="CS50" s="51">
        <f t="shared" si="37"/>
        <v>9.1558747734395824E-4</v>
      </c>
    </row>
    <row r="51" spans="1:97" s="34" customFormat="1">
      <c r="A51" s="34" t="s">
        <v>2357</v>
      </c>
      <c r="B51" s="34">
        <v>5</v>
      </c>
      <c r="C51" s="37">
        <f t="shared" si="38"/>
        <v>721233</v>
      </c>
      <c r="D51" s="36"/>
      <c r="E51" s="36">
        <v>5</v>
      </c>
      <c r="F51" s="36"/>
      <c r="G51" s="83">
        <f t="shared" si="42"/>
        <v>2</v>
      </c>
      <c r="H51" s="83">
        <f t="shared" si="43"/>
        <v>1</v>
      </c>
      <c r="I51" s="83">
        <f t="shared" si="44"/>
        <v>7</v>
      </c>
      <c r="J51" s="1">
        <f t="shared" si="39"/>
        <v>300577</v>
      </c>
      <c r="K51" s="38">
        <f t="shared" si="40"/>
        <v>0.41675436370770613</v>
      </c>
      <c r="L51" s="37">
        <f>County!N3159</f>
        <v>188794</v>
      </c>
      <c r="M51" s="38">
        <f t="shared" si="41"/>
        <v>0.26176561527273434</v>
      </c>
      <c r="N51" s="73">
        <f>County!O3159</f>
        <v>489371</v>
      </c>
      <c r="O51" s="74">
        <f t="shared" si="3"/>
        <v>0.67851997898044047</v>
      </c>
      <c r="P51" s="73">
        <f>County!P3159</f>
        <v>1104</v>
      </c>
      <c r="Q51" s="74">
        <f t="shared" si="4"/>
        <v>1.5307119890520817E-3</v>
      </c>
      <c r="R51" s="73">
        <f>County!Q3159</f>
        <v>23004</v>
      </c>
      <c r="S51" s="74">
        <f t="shared" si="5"/>
        <v>3.1895379163183052E-2</v>
      </c>
      <c r="T51" s="73">
        <f>County!R3159</f>
        <v>8075</v>
      </c>
      <c r="U51" s="74">
        <f t="shared" si="6"/>
        <v>1.1196104448909021E-2</v>
      </c>
      <c r="V51" s="73">
        <f>County!S3159</f>
        <v>3807</v>
      </c>
      <c r="W51" s="74">
        <f t="shared" si="7"/>
        <v>5.2784606361605752E-3</v>
      </c>
      <c r="X51" s="73">
        <f>County!T3159</f>
        <v>3</v>
      </c>
      <c r="Y51" s="74">
        <f t="shared" si="8"/>
        <v>4.159543448511091E-6</v>
      </c>
      <c r="Z51" s="73">
        <f>County!U3159</f>
        <v>0</v>
      </c>
      <c r="AA51" s="74">
        <f t="shared" si="9"/>
        <v>0</v>
      </c>
      <c r="AB51" s="73">
        <f>County!V3159</f>
        <v>2</v>
      </c>
      <c r="AC51" s="74">
        <f t="shared" si="10"/>
        <v>2.7730289656740611E-6</v>
      </c>
      <c r="AD51" s="73">
        <f>County!W3159</f>
        <v>7053</v>
      </c>
      <c r="AE51" s="74">
        <f t="shared" si="11"/>
        <v>9.7790866474495759E-3</v>
      </c>
      <c r="AF51" s="73">
        <f>County!X3159</f>
        <v>0</v>
      </c>
      <c r="AG51" s="74">
        <f t="shared" si="12"/>
        <v>0</v>
      </c>
      <c r="AH51" s="37">
        <f>County!Y3159</f>
        <v>10</v>
      </c>
      <c r="AI51" s="38">
        <f t="shared" si="13"/>
        <v>1.3865144828370305E-5</v>
      </c>
      <c r="AJ51" s="37">
        <f>County!Z3159</f>
        <v>1</v>
      </c>
      <c r="AK51" s="38">
        <f t="shared" si="14"/>
        <v>1.3865144828370305E-6</v>
      </c>
      <c r="AL51" s="37">
        <f>County!AA3159</f>
        <v>0</v>
      </c>
      <c r="AM51" s="38">
        <f t="shared" si="15"/>
        <v>0</v>
      </c>
      <c r="AN51" s="37">
        <f>County!AB3159</f>
        <v>0</v>
      </c>
      <c r="AO51" s="38">
        <f t="shared" si="16"/>
        <v>0</v>
      </c>
      <c r="AP51" s="37">
        <f>County!AC3159</f>
        <v>0</v>
      </c>
      <c r="AQ51" s="38">
        <f t="shared" si="17"/>
        <v>0</v>
      </c>
      <c r="AR51" s="37">
        <f>County!AD3159</f>
        <v>0</v>
      </c>
      <c r="AS51" s="38">
        <f t="shared" si="18"/>
        <v>0</v>
      </c>
      <c r="AT51" s="37">
        <f>County!AE3159</f>
        <v>4</v>
      </c>
      <c r="AU51" s="38">
        <f t="shared" si="19"/>
        <v>5.5460579313481222E-6</v>
      </c>
      <c r="AV51" s="37">
        <f>County!AF3159</f>
        <v>2</v>
      </c>
      <c r="AW51" s="38">
        <f t="shared" si="20"/>
        <v>2.7730289656740611E-6</v>
      </c>
      <c r="AX51" s="37">
        <f>County!AG3159</f>
        <v>0</v>
      </c>
      <c r="AY51" s="38">
        <f t="shared" si="20"/>
        <v>0</v>
      </c>
      <c r="AZ51" s="37">
        <f>County!AH3159</f>
        <v>0</v>
      </c>
      <c r="BA51" s="38">
        <f t="shared" si="45"/>
        <v>0</v>
      </c>
      <c r="BB51" s="37">
        <f>County!AI3159</f>
        <v>0</v>
      </c>
      <c r="BC51" s="38">
        <f t="shared" si="46"/>
        <v>0</v>
      </c>
      <c r="BD51" s="37">
        <f>County!AJ3159</f>
        <v>0</v>
      </c>
      <c r="BE51" s="38">
        <f t="shared" si="46"/>
        <v>0</v>
      </c>
      <c r="BF51" s="37">
        <f>County!AK3159</f>
        <v>0</v>
      </c>
      <c r="BG51" s="38">
        <f t="shared" si="47"/>
        <v>0</v>
      </c>
      <c r="BH51" s="37">
        <f>County!AL3159</f>
        <v>0</v>
      </c>
      <c r="BI51" s="38">
        <f t="shared" si="48"/>
        <v>0</v>
      </c>
      <c r="BJ51" s="37">
        <f>County!AM3159</f>
        <v>1</v>
      </c>
      <c r="BK51" s="38">
        <f t="shared" si="25"/>
        <v>1.3865144828370305E-6</v>
      </c>
      <c r="BL51" s="37">
        <f>County!AN3159</f>
        <v>0</v>
      </c>
      <c r="BM51" s="38">
        <f t="shared" si="26"/>
        <v>0</v>
      </c>
      <c r="BN51" s="37">
        <f>County!AO3159</f>
        <v>0</v>
      </c>
      <c r="BO51" s="38">
        <f t="shared" si="27"/>
        <v>0</v>
      </c>
      <c r="BP51" s="37">
        <f>County!AP3159</f>
        <v>0</v>
      </c>
      <c r="BQ51" s="38">
        <f t="shared" si="28"/>
        <v>0</v>
      </c>
      <c r="BR51" s="37">
        <f>County!AQ3159</f>
        <v>2</v>
      </c>
      <c r="BS51" s="38">
        <f t="shared" si="29"/>
        <v>2.7730289656740611E-6</v>
      </c>
      <c r="BT51" s="37">
        <f>County!AR3159</f>
        <v>0</v>
      </c>
      <c r="BU51" s="38">
        <f t="shared" si="30"/>
        <v>0</v>
      </c>
      <c r="BV51" s="37">
        <f>County!AS3159</f>
        <v>0</v>
      </c>
      <c r="BW51" s="38">
        <f t="shared" si="31"/>
        <v>0</v>
      </c>
      <c r="BX51" s="37">
        <f>County!AT3159</f>
        <v>0</v>
      </c>
      <c r="BY51" s="38">
        <f t="shared" si="32"/>
        <v>0</v>
      </c>
      <c r="BZ51" s="37">
        <f>County!AU3159</f>
        <v>0</v>
      </c>
      <c r="CA51" s="38">
        <f t="shared" si="33"/>
        <v>0</v>
      </c>
      <c r="CB51" s="59"/>
      <c r="CC51" s="34" t="str">
        <f t="shared" si="49"/>
        <v>West Virginia</v>
      </c>
      <c r="CD51" s="34" t="s">
        <v>2358</v>
      </c>
      <c r="CE51" s="34">
        <f t="shared" si="50"/>
        <v>5</v>
      </c>
      <c r="CF51" s="35">
        <f>RANK(R51,(L51:Q51,R51:Y51,AD51:AW51))</f>
        <v>3</v>
      </c>
      <c r="CG51" s="35">
        <f>RANK(T51,(L51:Q51,R51:Y51,AD51:AW51))</f>
        <v>4</v>
      </c>
      <c r="CH51" s="35">
        <f>RANK(X51,(L51:Q51,R51:Y51,AD51:AW51))</f>
        <v>10</v>
      </c>
      <c r="CI51" s="35">
        <f>RANK(V51,(L51:Q51,R51:Y51,AD51:AW51))</f>
        <v>6</v>
      </c>
      <c r="CK51" s="34">
        <v>54</v>
      </c>
      <c r="CM51" s="37">
        <f>County!BO3159</f>
        <v>0</v>
      </c>
      <c r="CO51" s="34">
        <f t="shared" si="51"/>
        <v>5</v>
      </c>
      <c r="CP51" s="34">
        <v>0</v>
      </c>
      <c r="CR51" s="37">
        <f>County!CD3159</f>
        <v>1</v>
      </c>
      <c r="CS51" s="38">
        <f t="shared" si="37"/>
        <v>1.3865144828370305E-6</v>
      </c>
    </row>
    <row r="52" spans="1:97" s="47" customFormat="1">
      <c r="A52" s="47" t="s">
        <v>1122</v>
      </c>
      <c r="B52" s="47">
        <v>10</v>
      </c>
      <c r="C52" s="50">
        <f t="shared" si="38"/>
        <v>2976150</v>
      </c>
      <c r="D52" s="49"/>
      <c r="E52" s="49">
        <v>10</v>
      </c>
      <c r="F52" s="49"/>
      <c r="G52" s="82">
        <f t="shared" si="42"/>
        <v>2</v>
      </c>
      <c r="H52" s="82">
        <f t="shared" si="43"/>
        <v>1</v>
      </c>
      <c r="I52" s="82">
        <f t="shared" si="44"/>
        <v>7</v>
      </c>
      <c r="J52" s="138">
        <f t="shared" si="39"/>
        <v>22748</v>
      </c>
      <c r="K52" s="139">
        <f t="shared" si="40"/>
        <v>7.6434319506745296E-3</v>
      </c>
      <c r="L52" s="50">
        <f>County!N3233</f>
        <v>1382536</v>
      </c>
      <c r="M52" s="51">
        <f t="shared" si="41"/>
        <v>0.4645384137224266</v>
      </c>
      <c r="N52" s="72">
        <f>County!O3233</f>
        <v>1405284</v>
      </c>
      <c r="O52" s="105">
        <f t="shared" si="3"/>
        <v>0.47218184567310117</v>
      </c>
      <c r="P52" s="72">
        <f>County!P3233</f>
        <v>11855</v>
      </c>
      <c r="Q52" s="105">
        <f t="shared" si="4"/>
        <v>3.9833341733447577E-3</v>
      </c>
      <c r="R52" s="72">
        <f>County!Q3233</f>
        <v>106674</v>
      </c>
      <c r="S52" s="105">
        <f t="shared" si="5"/>
        <v>3.5842951464139912E-2</v>
      </c>
      <c r="T52" s="72">
        <f>County!R3233</f>
        <v>31072</v>
      </c>
      <c r="U52" s="105">
        <f t="shared" si="6"/>
        <v>1.0440333988542244E-2</v>
      </c>
      <c r="V52" s="72">
        <f>County!S3233</f>
        <v>12162</v>
      </c>
      <c r="W52" s="105">
        <f t="shared" si="7"/>
        <v>4.0864875762310366E-3</v>
      </c>
      <c r="X52" s="72">
        <f>County!T3233</f>
        <v>1502</v>
      </c>
      <c r="Y52" s="105">
        <f t="shared" si="8"/>
        <v>5.0467886363254541E-4</v>
      </c>
      <c r="Z52" s="72">
        <f>County!U3233</f>
        <v>33</v>
      </c>
      <c r="AA52" s="105">
        <f t="shared" si="9"/>
        <v>1.1088150798850864E-5</v>
      </c>
      <c r="AB52" s="72">
        <f>County!V3233</f>
        <v>0</v>
      </c>
      <c r="AC52" s="105">
        <f t="shared" si="10"/>
        <v>0</v>
      </c>
      <c r="AD52" s="72">
        <f>County!W3233</f>
        <v>22812</v>
      </c>
      <c r="AE52" s="105">
        <f t="shared" si="11"/>
        <v>7.6649362431329068E-3</v>
      </c>
      <c r="AF52" s="72">
        <f>County!X3233</f>
        <v>0</v>
      </c>
      <c r="AG52" s="105">
        <f t="shared" si="12"/>
        <v>0</v>
      </c>
      <c r="AH52" s="50">
        <f>County!Y3233</f>
        <v>80</v>
      </c>
      <c r="AI52" s="51">
        <f t="shared" si="13"/>
        <v>2.6880365572971793E-5</v>
      </c>
      <c r="AJ52" s="50">
        <f>County!Z3233</f>
        <v>0</v>
      </c>
      <c r="AK52" s="51">
        <f t="shared" si="14"/>
        <v>0</v>
      </c>
      <c r="AL52" s="50">
        <f>County!AA3233</f>
        <v>1770</v>
      </c>
      <c r="AM52" s="51">
        <f t="shared" si="15"/>
        <v>5.947280883020009E-4</v>
      </c>
      <c r="AN52" s="50">
        <f>County!AB3233</f>
        <v>0</v>
      </c>
      <c r="AO52" s="51">
        <f t="shared" si="16"/>
        <v>0</v>
      </c>
      <c r="AP52" s="50">
        <f>County!AC3233</f>
        <v>0</v>
      </c>
      <c r="AQ52" s="51">
        <f t="shared" si="17"/>
        <v>0</v>
      </c>
      <c r="AR52" s="50">
        <f>County!AD3233</f>
        <v>0</v>
      </c>
      <c r="AS52" s="51">
        <f t="shared" si="18"/>
        <v>0</v>
      </c>
      <c r="AT52" s="50">
        <f>County!AE3233</f>
        <v>15</v>
      </c>
      <c r="AU52" s="51">
        <f t="shared" si="19"/>
        <v>5.0400685449322111E-6</v>
      </c>
      <c r="AV52" s="50">
        <f>County!AF3233</f>
        <v>0</v>
      </c>
      <c r="AW52" s="51">
        <f t="shared" si="20"/>
        <v>0</v>
      </c>
      <c r="AX52" s="50">
        <f>County!AG3233</f>
        <v>67</v>
      </c>
      <c r="AY52" s="51">
        <f t="shared" si="20"/>
        <v>2.2512306167363876E-5</v>
      </c>
      <c r="AZ52" s="50">
        <f>County!AH3233</f>
        <v>0</v>
      </c>
      <c r="BA52" s="51">
        <f t="shared" si="45"/>
        <v>0</v>
      </c>
      <c r="BB52" s="50">
        <f>County!AI3233</f>
        <v>0</v>
      </c>
      <c r="BC52" s="51">
        <f t="shared" si="46"/>
        <v>0</v>
      </c>
      <c r="BD52" s="50">
        <f>County!AJ3233</f>
        <v>0</v>
      </c>
      <c r="BE52" s="51">
        <f t="shared" si="46"/>
        <v>0</v>
      </c>
      <c r="BF52" s="50">
        <f>County!AK3233</f>
        <v>0</v>
      </c>
      <c r="BG52" s="51">
        <f t="shared" si="47"/>
        <v>0</v>
      </c>
      <c r="BH52" s="50">
        <f>County!AL3233</f>
        <v>0</v>
      </c>
      <c r="BI52" s="51">
        <f t="shared" si="48"/>
        <v>0</v>
      </c>
      <c r="BJ52" s="50">
        <f>County!AM3233</f>
        <v>4</v>
      </c>
      <c r="BK52" s="51">
        <f t="shared" si="25"/>
        <v>1.3440182786485896E-6</v>
      </c>
      <c r="BL52" s="50">
        <f>County!AN3233</f>
        <v>284</v>
      </c>
      <c r="BM52" s="51">
        <f t="shared" si="26"/>
        <v>9.5425297784049862E-5</v>
      </c>
      <c r="BN52" s="50">
        <f>County!AO3233</f>
        <v>0</v>
      </c>
      <c r="BO52" s="51">
        <f t="shared" si="27"/>
        <v>0</v>
      </c>
      <c r="BP52" s="50">
        <f>County!AP3233</f>
        <v>0</v>
      </c>
      <c r="BQ52" s="51">
        <f t="shared" si="28"/>
        <v>0</v>
      </c>
      <c r="BR52" s="50">
        <f>County!AQ3233</f>
        <v>0</v>
      </c>
      <c r="BS52" s="51">
        <f t="shared" si="29"/>
        <v>0</v>
      </c>
      <c r="BT52" s="50">
        <f>County!AR3233</f>
        <v>0</v>
      </c>
      <c r="BU52" s="51">
        <f t="shared" si="30"/>
        <v>0</v>
      </c>
      <c r="BV52" s="50">
        <f>County!AS3233</f>
        <v>0</v>
      </c>
      <c r="BW52" s="51">
        <f t="shared" si="31"/>
        <v>0</v>
      </c>
      <c r="BX52" s="50">
        <f>County!AT3233</f>
        <v>0</v>
      </c>
      <c r="BY52" s="51">
        <f t="shared" si="32"/>
        <v>0</v>
      </c>
      <c r="BZ52" s="50">
        <f>County!AU3233</f>
        <v>0</v>
      </c>
      <c r="CA52" s="51">
        <f t="shared" si="33"/>
        <v>0</v>
      </c>
      <c r="CB52" s="58"/>
      <c r="CC52" s="47" t="str">
        <f t="shared" si="49"/>
        <v>Wisconsin</v>
      </c>
      <c r="CD52" s="47" t="s">
        <v>3002</v>
      </c>
      <c r="CE52" s="47">
        <f t="shared" si="50"/>
        <v>10</v>
      </c>
      <c r="CF52" s="48">
        <f>RANK(R52,(L52:Q52,R52:Y52,AD52:AW52))</f>
        <v>3</v>
      </c>
      <c r="CG52" s="48">
        <f>RANK(T52,(L52:Q52,R52:Y52,AD52:AW52))</f>
        <v>4</v>
      </c>
      <c r="CH52" s="48">
        <f>RANK(X52,(L52:Q52,R52:Y52,AD52:AW52))</f>
        <v>9</v>
      </c>
      <c r="CI52" s="48">
        <f>RANK(V52,(L52:Q52,R52:Y52,AD52:AW52))</f>
        <v>6</v>
      </c>
      <c r="CK52" s="47">
        <v>55</v>
      </c>
      <c r="CM52" s="50">
        <f>County!BO3233</f>
        <v>0</v>
      </c>
      <c r="CO52" s="47">
        <f t="shared" si="51"/>
        <v>10</v>
      </c>
      <c r="CP52" s="47">
        <v>0</v>
      </c>
      <c r="CR52" s="50">
        <f>County!CC3233</f>
        <v>0</v>
      </c>
      <c r="CS52" s="51">
        <f t="shared" si="37"/>
        <v>0</v>
      </c>
    </row>
    <row r="53" spans="1:97" s="41" customFormat="1">
      <c r="A53" s="41" t="s">
        <v>709</v>
      </c>
      <c r="B53" s="41">
        <v>3</v>
      </c>
      <c r="C53" s="45">
        <f t="shared" si="38"/>
        <v>255849</v>
      </c>
      <c r="D53" s="44"/>
      <c r="E53" s="44">
        <v>3</v>
      </c>
      <c r="F53" s="44"/>
      <c r="G53" s="84">
        <f t="shared" si="42"/>
        <v>2</v>
      </c>
      <c r="H53" s="84">
        <f t="shared" si="43"/>
        <v>1</v>
      </c>
      <c r="I53" s="84" t="str">
        <f t="shared" si="44"/>
        <v>-</v>
      </c>
      <c r="J53" s="32">
        <f t="shared" si="39"/>
        <v>118446</v>
      </c>
      <c r="K53" s="46">
        <f t="shared" si="40"/>
        <v>0.462952757290433</v>
      </c>
      <c r="L53" s="45">
        <f>County!N3258</f>
        <v>55973</v>
      </c>
      <c r="M53" s="46">
        <f t="shared" si="41"/>
        <v>0.21877357347497939</v>
      </c>
      <c r="N53" s="106">
        <f>County!O3258</f>
        <v>174419</v>
      </c>
      <c r="O53" s="107">
        <f t="shared" si="3"/>
        <v>0.68172633076541245</v>
      </c>
      <c r="P53" s="106">
        <f>County!P3258</f>
        <v>0</v>
      </c>
      <c r="Q53" s="107">
        <f t="shared" si="4"/>
        <v>0</v>
      </c>
      <c r="R53" s="106">
        <f>County!Q3258</f>
        <v>13287</v>
      </c>
      <c r="S53" s="107">
        <f t="shared" si="5"/>
        <v>5.1932976091366392E-2</v>
      </c>
      <c r="T53" s="106">
        <f>County!R3258</f>
        <v>2515</v>
      </c>
      <c r="U53" s="107">
        <f t="shared" si="6"/>
        <v>9.8300169240450423E-3</v>
      </c>
      <c r="V53" s="106">
        <f>County!S3258</f>
        <v>2042</v>
      </c>
      <c r="W53" s="107">
        <f t="shared" si="7"/>
        <v>7.9812702023459147E-3</v>
      </c>
      <c r="X53" s="106">
        <f>County!T3258</f>
        <v>709</v>
      </c>
      <c r="Y53" s="107">
        <f t="shared" si="8"/>
        <v>2.7711658048301929E-3</v>
      </c>
      <c r="Z53" s="106">
        <f>County!U3258</f>
        <v>0</v>
      </c>
      <c r="AA53" s="107">
        <f t="shared" si="9"/>
        <v>0</v>
      </c>
      <c r="AB53" s="106">
        <f>County!V3258</f>
        <v>0</v>
      </c>
      <c r="AC53" s="107">
        <f t="shared" si="10"/>
        <v>0</v>
      </c>
      <c r="AD53" s="106">
        <f>County!W3258</f>
        <v>6904</v>
      </c>
      <c r="AE53" s="107">
        <f t="shared" si="11"/>
        <v>2.6984666737020664E-2</v>
      </c>
      <c r="AF53" s="106">
        <f>County!X3258</f>
        <v>0</v>
      </c>
      <c r="AG53" s="107">
        <f t="shared" si="12"/>
        <v>0</v>
      </c>
      <c r="AH53" s="45">
        <f>County!Y3258</f>
        <v>0</v>
      </c>
      <c r="AI53" s="46">
        <f t="shared" si="13"/>
        <v>0</v>
      </c>
      <c r="AJ53" s="45">
        <f>County!Z3258</f>
        <v>0</v>
      </c>
      <c r="AK53" s="46">
        <f t="shared" si="14"/>
        <v>0</v>
      </c>
      <c r="AL53" s="45">
        <f>County!AA3258</f>
        <v>0</v>
      </c>
      <c r="AM53" s="46">
        <f t="shared" si="15"/>
        <v>0</v>
      </c>
      <c r="AN53" s="45">
        <f>County!AB3258</f>
        <v>0</v>
      </c>
      <c r="AO53" s="46">
        <f t="shared" si="16"/>
        <v>0</v>
      </c>
      <c r="AP53" s="45">
        <f>County!AC3258</f>
        <v>0</v>
      </c>
      <c r="AQ53" s="46">
        <f t="shared" si="17"/>
        <v>0</v>
      </c>
      <c r="AR53" s="45">
        <f>County!AD3258</f>
        <v>0</v>
      </c>
      <c r="AS53" s="46">
        <f t="shared" si="18"/>
        <v>0</v>
      </c>
      <c r="AT53" s="45">
        <f>County!AE3258</f>
        <v>0</v>
      </c>
      <c r="AU53" s="46">
        <f t="shared" si="19"/>
        <v>0</v>
      </c>
      <c r="AV53" s="45">
        <f>County!AF3258</f>
        <v>0</v>
      </c>
      <c r="AW53" s="46">
        <f t="shared" si="20"/>
        <v>0</v>
      </c>
      <c r="AX53" s="45">
        <f>County!AG3258</f>
        <v>0</v>
      </c>
      <c r="AY53" s="46">
        <f t="shared" si="20"/>
        <v>0</v>
      </c>
      <c r="AZ53" s="45">
        <f>County!AH3258</f>
        <v>0</v>
      </c>
      <c r="BA53" s="46">
        <f t="shared" si="45"/>
        <v>0</v>
      </c>
      <c r="BB53" s="45">
        <f>County!AI3258</f>
        <v>0</v>
      </c>
      <c r="BC53" s="46">
        <f t="shared" si="46"/>
        <v>0</v>
      </c>
      <c r="BD53" s="45">
        <f>County!AJ3258</f>
        <v>0</v>
      </c>
      <c r="BE53" s="46">
        <f t="shared" si="46"/>
        <v>0</v>
      </c>
      <c r="BF53" s="45">
        <f>County!AK3258</f>
        <v>0</v>
      </c>
      <c r="BG53" s="46">
        <f t="shared" si="47"/>
        <v>0</v>
      </c>
      <c r="BH53" s="45">
        <f>County!AL3258</f>
        <v>0</v>
      </c>
      <c r="BI53" s="46">
        <f t="shared" si="48"/>
        <v>0</v>
      </c>
      <c r="BJ53" s="45">
        <f>County!AM3258</f>
        <v>0</v>
      </c>
      <c r="BK53" s="46">
        <f t="shared" si="25"/>
        <v>0</v>
      </c>
      <c r="BL53" s="45">
        <f>County!AN3258</f>
        <v>0</v>
      </c>
      <c r="BM53" s="46">
        <f t="shared" si="26"/>
        <v>0</v>
      </c>
      <c r="BN53" s="45">
        <f>County!AO3258</f>
        <v>0</v>
      </c>
      <c r="BO53" s="46">
        <f t="shared" si="27"/>
        <v>0</v>
      </c>
      <c r="BP53" s="45">
        <f>County!AP3258</f>
        <v>0</v>
      </c>
      <c r="BQ53" s="46">
        <f t="shared" si="28"/>
        <v>0</v>
      </c>
      <c r="BR53" s="45">
        <f>County!AQ3258</f>
        <v>0</v>
      </c>
      <c r="BS53" s="46">
        <f t="shared" si="29"/>
        <v>0</v>
      </c>
      <c r="BT53" s="45">
        <f>County!AR3258</f>
        <v>0</v>
      </c>
      <c r="BU53" s="46">
        <f t="shared" si="30"/>
        <v>0</v>
      </c>
      <c r="BV53" s="45">
        <f>County!AS3258</f>
        <v>0</v>
      </c>
      <c r="BW53" s="46">
        <f t="shared" si="31"/>
        <v>0</v>
      </c>
      <c r="BX53" s="45">
        <f>County!AT3258</f>
        <v>0</v>
      </c>
      <c r="BY53" s="46">
        <f t="shared" si="32"/>
        <v>0</v>
      </c>
      <c r="BZ53" s="45">
        <f>County!AU3258</f>
        <v>0</v>
      </c>
      <c r="CA53" s="46">
        <f t="shared" si="33"/>
        <v>0</v>
      </c>
      <c r="CB53" s="60"/>
      <c r="CC53" s="41" t="str">
        <f t="shared" si="49"/>
        <v>Wyoming</v>
      </c>
      <c r="CD53" s="41" t="s">
        <v>1094</v>
      </c>
      <c r="CE53" s="41">
        <f t="shared" si="50"/>
        <v>3</v>
      </c>
      <c r="CF53" s="42">
        <f>RANK(R53,(L53:Q53,R53:Y53,AD53:AW53))</f>
        <v>3</v>
      </c>
      <c r="CG53" s="42">
        <f>RANK(T53,(L53:Q53,R53:Y53,AD53:AW53))</f>
        <v>5</v>
      </c>
      <c r="CH53" s="42">
        <f>RANK(X53,(L53:Q53,R53:Y53,AD53:AW53))</f>
        <v>7</v>
      </c>
      <c r="CI53" s="42">
        <f>RANK(V53,(L53:Q53,R53:Y53,AD53:AW53))</f>
        <v>6</v>
      </c>
      <c r="CK53" s="41">
        <v>56</v>
      </c>
      <c r="CM53" s="45">
        <f>County!BO3258</f>
        <v>2661</v>
      </c>
      <c r="CO53" s="41">
        <f t="shared" si="51"/>
        <v>3</v>
      </c>
      <c r="CP53" s="41">
        <v>0</v>
      </c>
      <c r="CR53" s="45">
        <f>County!CC3258</f>
        <v>0</v>
      </c>
      <c r="CS53" s="46">
        <f t="shared" si="37"/>
        <v>0</v>
      </c>
    </row>
    <row r="54" spans="1:97" s="47" customFormat="1">
      <c r="A54" s="43" t="s">
        <v>325</v>
      </c>
      <c r="B54" s="80">
        <f>SUM(B3:B53)</f>
        <v>538</v>
      </c>
      <c r="C54" s="50">
        <f>L54+N54+P54+R54+T54+X54+V54+AD54+AJ54+AB54+AF54+Z54+AH54+AR54+AT54+AL54+AP54+AN54+AV54+AX54+BB54+BD54+BF54+BH54+AZ54+BJ54+BL54+BN54+BP54+BR54+BT54+BV54+BX54+BZ54</f>
        <v>137125484</v>
      </c>
      <c r="D54" s="49">
        <f>SUM(D3:D53)</f>
        <v>227</v>
      </c>
      <c r="E54" s="49">
        <f>SUM(E3:E53)</f>
        <v>304</v>
      </c>
      <c r="F54" s="49">
        <f>SUM(F3:F53)</f>
        <v>7</v>
      </c>
      <c r="G54" s="82">
        <f t="shared" si="42"/>
        <v>1</v>
      </c>
      <c r="H54" s="82">
        <f t="shared" si="43"/>
        <v>2</v>
      </c>
      <c r="I54" s="82">
        <f t="shared" si="44"/>
        <v>6</v>
      </c>
      <c r="J54" s="140">
        <f>ABS(N54-L54)</f>
        <v>2868518</v>
      </c>
      <c r="K54" s="141">
        <f t="shared" si="40"/>
        <v>2.0918927075582829E-2</v>
      </c>
      <c r="L54" s="50">
        <f>SUM(L3:L53)</f>
        <v>65853652</v>
      </c>
      <c r="M54" s="51">
        <f t="shared" si="41"/>
        <v>0.48024371604041155</v>
      </c>
      <c r="N54" s="50">
        <f>SUM(N3:N53)</f>
        <v>62985134</v>
      </c>
      <c r="O54" s="51">
        <f t="shared" si="3"/>
        <v>0.45932478896482876</v>
      </c>
      <c r="P54" s="50">
        <f>SUM(P3:P53)</f>
        <v>732273</v>
      </c>
      <c r="Q54" s="51">
        <f t="shared" si="4"/>
        <v>5.3401671129197255E-3</v>
      </c>
      <c r="R54" s="50">
        <f>SUM(R3:R53)</f>
        <v>4489235</v>
      </c>
      <c r="S54" s="51">
        <f t="shared" si="5"/>
        <v>3.2738152450203929E-2</v>
      </c>
      <c r="T54" s="50">
        <f>SUM(T3:T53)</f>
        <v>1457226</v>
      </c>
      <c r="U54" s="51">
        <f t="shared" si="6"/>
        <v>1.0626952463482281E-2</v>
      </c>
      <c r="V54" s="50">
        <f>SUM(V3:V53)</f>
        <v>203091</v>
      </c>
      <c r="W54" s="51">
        <f t="shared" si="7"/>
        <v>1.4810594943825322E-3</v>
      </c>
      <c r="X54" s="50">
        <f>SUM(X3:X53)</f>
        <v>33136</v>
      </c>
      <c r="Y54" s="51">
        <f t="shared" si="8"/>
        <v>2.4164727834251437E-4</v>
      </c>
      <c r="Z54" s="50">
        <f>SUM(Z3:Z53)</f>
        <v>2705</v>
      </c>
      <c r="AA54" s="51">
        <f t="shared" si="9"/>
        <v>1.9726457264500885E-5</v>
      </c>
      <c r="AB54" s="50">
        <f>SUM(AB3:AB53)</f>
        <v>74405</v>
      </c>
      <c r="AC54" s="51">
        <f t="shared" si="10"/>
        <v>5.4260519510727857E-4</v>
      </c>
      <c r="AD54" s="50">
        <f>SUM(AD3:AD53)</f>
        <v>1154084</v>
      </c>
      <c r="AE54" s="51">
        <f t="shared" si="11"/>
        <v>8.4162619983897385E-3</v>
      </c>
      <c r="AF54" s="50">
        <f>SUM(AF3:AF53)</f>
        <v>12467</v>
      </c>
      <c r="AG54" s="51">
        <f t="shared" si="12"/>
        <v>9.0916725588366932E-5</v>
      </c>
      <c r="AH54" s="50">
        <f>SUM(AH3:AH53)</f>
        <v>4857</v>
      </c>
      <c r="AI54" s="51">
        <f t="shared" si="13"/>
        <v>3.5420111990270169E-5</v>
      </c>
      <c r="AJ54" s="50">
        <f>SUM(AJ3:AJ53)</f>
        <v>24308</v>
      </c>
      <c r="AK54" s="51">
        <f t="shared" si="14"/>
        <v>1.7726828953252774E-4</v>
      </c>
      <c r="AL54" s="50">
        <f>SUM(AL3:AL53)</f>
        <v>4319</v>
      </c>
      <c r="AM54" s="51">
        <f t="shared" si="15"/>
        <v>3.1496698308827847E-5</v>
      </c>
      <c r="AN54" s="50">
        <f>SUM(AN3:AN53)</f>
        <v>28863</v>
      </c>
      <c r="AO54" s="51">
        <f t="shared" si="16"/>
        <v>2.1048603919604031E-4</v>
      </c>
      <c r="AP54" s="50">
        <f>SUM(AP3:AP53)</f>
        <v>13538</v>
      </c>
      <c r="AQ54" s="51">
        <f t="shared" si="17"/>
        <v>9.8727089998821809E-5</v>
      </c>
      <c r="AR54" s="50">
        <f>SUM(AR3:AR53)</f>
        <v>5617</v>
      </c>
      <c r="AS54" s="51">
        <f t="shared" si="18"/>
        <v>4.096248075959389E-5</v>
      </c>
      <c r="AT54" s="50">
        <f>SUM(AT3:AT53)</f>
        <v>3603</v>
      </c>
      <c r="AU54" s="51">
        <f t="shared" si="19"/>
        <v>2.6275203520886022E-5</v>
      </c>
      <c r="AV54" s="50">
        <f>SUM(AV3:AV53)</f>
        <v>485</v>
      </c>
      <c r="AW54" s="51">
        <f t="shared" si="20"/>
        <v>3.5369063856868503E-6</v>
      </c>
      <c r="AX54" s="50">
        <f>SUM(AX3:AX53)</f>
        <v>7251</v>
      </c>
      <c r="AY54" s="51">
        <f t="shared" si="20"/>
        <v>5.2878573613639895E-5</v>
      </c>
      <c r="AZ54" s="50">
        <f>SUM(AZ3:AZ53)</f>
        <v>1096</v>
      </c>
      <c r="BA54" s="51">
        <f t="shared" si="45"/>
        <v>7.9926791726036863E-6</v>
      </c>
      <c r="BB54" s="50">
        <f>SUM(BB3:BB53)</f>
        <v>337</v>
      </c>
      <c r="BC54" s="51">
        <f t="shared" si="46"/>
        <v>2.4576029937659144E-6</v>
      </c>
      <c r="BD54" s="50">
        <f>SUM(BD3:BD53)</f>
        <v>749</v>
      </c>
      <c r="BE54" s="51">
        <f t="shared" si="46"/>
        <v>5.4621502739782488E-6</v>
      </c>
      <c r="BF54" s="50">
        <f>SUM(BF3:BF53)</f>
        <v>382</v>
      </c>
      <c r="BG54" s="51">
        <f t="shared" si="47"/>
        <v>2.7857695656337667E-6</v>
      </c>
      <c r="BH54" s="50">
        <f>SUM(BH3:BH53)</f>
        <v>5730</v>
      </c>
      <c r="BI54" s="51">
        <f t="shared" si="48"/>
        <v>4.17865434845065E-5</v>
      </c>
      <c r="BJ54" s="50">
        <f>SUM(BJ3:BJ53)</f>
        <v>962</v>
      </c>
      <c r="BK54" s="51">
        <f t="shared" si="25"/>
        <v>7.0154720474860825E-6</v>
      </c>
      <c r="BL54" s="50">
        <f>SUM(BL3:BL53)</f>
        <v>6777</v>
      </c>
      <c r="BM54" s="51">
        <f t="shared" si="26"/>
        <v>4.9421885723298524E-5</v>
      </c>
      <c r="BN54" s="50">
        <f>SUM(BN3:BN53)</f>
        <v>749</v>
      </c>
      <c r="BO54" s="51">
        <f t="shared" si="27"/>
        <v>5.4621502739782488E-6</v>
      </c>
      <c r="BP54" s="50">
        <f>SUM(BP3:BP53)</f>
        <v>751</v>
      </c>
      <c r="BQ54" s="51">
        <f t="shared" si="28"/>
        <v>5.4767354549501538E-6</v>
      </c>
      <c r="BR54" s="50">
        <f>SUM(BR3:BR53)</f>
        <v>9348</v>
      </c>
      <c r="BS54" s="51">
        <f t="shared" si="29"/>
        <v>6.8171135862681804E-5</v>
      </c>
      <c r="BT54" s="50">
        <f>SUM(BT3:BT53)</f>
        <v>2356</v>
      </c>
      <c r="BU54" s="51">
        <f t="shared" si="30"/>
        <v>1.7181343184903544E-5</v>
      </c>
      <c r="BV54" s="50">
        <f>SUM(BV3:BV53)</f>
        <v>3246</v>
      </c>
      <c r="BW54" s="51">
        <f t="shared" si="31"/>
        <v>2.3671748717401064E-5</v>
      </c>
      <c r="BX54" s="50">
        <f>SUM(BX3:BX53)</f>
        <v>2752</v>
      </c>
      <c r="BY54" s="51">
        <f t="shared" si="32"/>
        <v>2.0069209017340644E-5</v>
      </c>
      <c r="BZ54" s="50">
        <f>SUM(BZ3:BZ53)</f>
        <v>0</v>
      </c>
      <c r="CA54" s="51">
        <f t="shared" si="33"/>
        <v>0</v>
      </c>
      <c r="CB54" s="58"/>
      <c r="CC54" s="47" t="str">
        <f t="shared" si="49"/>
        <v>Total</v>
      </c>
      <c r="CE54" s="47">
        <f t="shared" si="50"/>
        <v>538</v>
      </c>
      <c r="CF54" s="48">
        <f>RANK(R54,(L54:Q54,R54:Y54,AD54:AW54))</f>
        <v>3</v>
      </c>
      <c r="CG54" s="48">
        <f>RANK(T54,(L54:Q54,R54:Y54,AD54:AW54))</f>
        <v>4</v>
      </c>
      <c r="CH54" s="48">
        <f>RANK(X54,(L54:Q54,R54:Y54,AD54:AW54))</f>
        <v>8</v>
      </c>
      <c r="CI54" s="48">
        <f>RANK(V54,(L54:Q54,R54:Y54,AD54:AW54))</f>
        <v>7</v>
      </c>
      <c r="CM54" s="50">
        <f>SUM(CM3:CM53)</f>
        <v>370102</v>
      </c>
      <c r="CO54" s="47">
        <v>538</v>
      </c>
      <c r="CR54" s="50">
        <f>SUM(CR3:CR53)</f>
        <v>106403</v>
      </c>
      <c r="CS54" s="51">
        <f t="shared" si="37"/>
        <v>7.7595350547677926E-4</v>
      </c>
    </row>
    <row r="55" spans="1:97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R55" s="1"/>
      <c r="CS55" s="1"/>
    </row>
    <row r="56" spans="1:97">
      <c r="A56" s="62" t="s">
        <v>2170</v>
      </c>
      <c r="C56" s="77">
        <v>41220</v>
      </c>
      <c r="O56" s="1"/>
      <c r="P56" s="1">
        <f>C54-L54-N54-P54-R54-T54</f>
        <v>1607964</v>
      </c>
      <c r="Q56" s="1"/>
      <c r="R56" s="1"/>
      <c r="T56" s="1"/>
      <c r="V56" s="1"/>
      <c r="X56" s="1"/>
      <c r="Y56" s="1"/>
    </row>
    <row r="57" spans="1:97">
      <c r="L57" s="28"/>
      <c r="N57" s="1"/>
      <c r="P57" s="2">
        <f>P56/C54</f>
        <v>1.1726222968153753E-2</v>
      </c>
      <c r="V57" s="1"/>
      <c r="W57" s="1"/>
      <c r="X57" s="1"/>
      <c r="AC57" s="63"/>
    </row>
    <row r="58" spans="1:97">
      <c r="K58" s="21"/>
      <c r="N58" s="1"/>
      <c r="AC58" s="8"/>
    </row>
    <row r="59" spans="1:97">
      <c r="A59" t="s">
        <v>4374</v>
      </c>
      <c r="C59" t="s">
        <v>2883</v>
      </c>
      <c r="F59">
        <v>3</v>
      </c>
      <c r="G59" s="78" t="s">
        <v>4375</v>
      </c>
      <c r="K59" t="s">
        <v>692</v>
      </c>
      <c r="P59" s="1"/>
    </row>
    <row r="60" spans="1:97">
      <c r="F60">
        <v>1</v>
      </c>
      <c r="G60" s="78" t="s">
        <v>4376</v>
      </c>
      <c r="K60" t="s">
        <v>492</v>
      </c>
    </row>
    <row r="61" spans="1:97">
      <c r="C61" s="1"/>
      <c r="F61">
        <v>1</v>
      </c>
      <c r="G61" s="78" t="s">
        <v>3250</v>
      </c>
      <c r="K61" t="s">
        <v>492</v>
      </c>
      <c r="N61" s="1"/>
    </row>
    <row r="62" spans="1:97">
      <c r="C62" s="1"/>
      <c r="F62">
        <v>1</v>
      </c>
      <c r="G62" s="78" t="s">
        <v>4377</v>
      </c>
      <c r="K62" t="s">
        <v>692</v>
      </c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</row>
    <row r="63" spans="1:97">
      <c r="C63" s="1"/>
      <c r="F63">
        <v>1</v>
      </c>
      <c r="G63" s="78" t="s">
        <v>3496</v>
      </c>
      <c r="K63" t="s">
        <v>654</v>
      </c>
    </row>
    <row r="64" spans="1:97">
      <c r="C64" s="1"/>
      <c r="G64" s="78"/>
    </row>
    <row r="65" spans="3:11">
      <c r="C65" s="1"/>
    </row>
    <row r="66" spans="3:11">
      <c r="C66" s="1" t="s">
        <v>2761</v>
      </c>
      <c r="F66">
        <v>2</v>
      </c>
      <c r="G66" s="78" t="s">
        <v>4390</v>
      </c>
      <c r="K66" t="s">
        <v>4392</v>
      </c>
    </row>
    <row r="67" spans="3:11">
      <c r="C67" s="1"/>
      <c r="F67">
        <v>1</v>
      </c>
      <c r="G67" s="78" t="s">
        <v>4395</v>
      </c>
      <c r="K67" t="s">
        <v>692</v>
      </c>
    </row>
    <row r="68" spans="3:11">
      <c r="C68" s="1"/>
      <c r="F68">
        <v>1</v>
      </c>
      <c r="G68" s="78" t="s">
        <v>4391</v>
      </c>
      <c r="K68" t="s">
        <v>492</v>
      </c>
    </row>
    <row r="69" spans="3:11">
      <c r="C69" s="1"/>
      <c r="F69">
        <v>1</v>
      </c>
      <c r="G69" s="78" t="s">
        <v>4393</v>
      </c>
      <c r="K69" t="s">
        <v>692</v>
      </c>
    </row>
    <row r="70" spans="3:11">
      <c r="C70" s="1"/>
      <c r="F70">
        <v>1</v>
      </c>
      <c r="G70" s="161" t="s">
        <v>4394</v>
      </c>
      <c r="K70" t="s">
        <v>692</v>
      </c>
    </row>
    <row r="71" spans="3:11">
      <c r="C71" s="1"/>
    </row>
    <row r="72" spans="3:11">
      <c r="C72" s="1"/>
    </row>
    <row r="73" spans="3:11">
      <c r="C73" s="1"/>
    </row>
    <row r="74" spans="3:11">
      <c r="C74" s="1"/>
    </row>
    <row r="75" spans="3:11">
      <c r="C75" s="1"/>
    </row>
    <row r="76" spans="3:11">
      <c r="C76" s="1"/>
    </row>
    <row r="77" spans="3:11">
      <c r="C77" s="1"/>
    </row>
    <row r="78" spans="3:11">
      <c r="C78" s="1"/>
    </row>
    <row r="79" spans="3:11">
      <c r="C79" s="1"/>
    </row>
    <row r="80" spans="3:11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73">
    <mergeCell ref="CR1:CS1"/>
    <mergeCell ref="CR2:CS2"/>
    <mergeCell ref="BP1:BQ1"/>
    <mergeCell ref="BP2:BQ2"/>
    <mergeCell ref="BR1:BS1"/>
    <mergeCell ref="BR2:BS2"/>
    <mergeCell ref="BT1:BU1"/>
    <mergeCell ref="BT2:BU2"/>
    <mergeCell ref="BV1:BW1"/>
    <mergeCell ref="BV2:BW2"/>
    <mergeCell ref="BX1:BY1"/>
    <mergeCell ref="BX2:BY2"/>
    <mergeCell ref="BZ1:CA1"/>
    <mergeCell ref="BZ2:CA2"/>
    <mergeCell ref="BJ1:BK1"/>
    <mergeCell ref="BJ2:BK2"/>
    <mergeCell ref="BL1:BM1"/>
    <mergeCell ref="BL2:BM2"/>
    <mergeCell ref="BN1:BO1"/>
    <mergeCell ref="BN2:BO2"/>
    <mergeCell ref="BH1:BI1"/>
    <mergeCell ref="BH2:BI2"/>
    <mergeCell ref="AZ1:BA1"/>
    <mergeCell ref="AZ2:BA2"/>
    <mergeCell ref="BD1:BE1"/>
    <mergeCell ref="BD2:BE2"/>
    <mergeCell ref="BF1:BG1"/>
    <mergeCell ref="BF2:B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AT1:AU1"/>
  </mergeCells>
  <phoneticPr fontId="15"/>
  <conditionalFormatting sqref="G3:G54">
    <cfRule type="cellIs" dxfId="480" priority="4" stopIfTrue="1" operator="equal">
      <formula>1</formula>
    </cfRule>
    <cfRule type="cellIs" dxfId="479" priority="5" stopIfTrue="1" operator="equal">
      <formula>3</formula>
    </cfRule>
  </conditionalFormatting>
  <conditionalFormatting sqref="H3:H54">
    <cfRule type="cellIs" dxfId="478" priority="6" stopIfTrue="1" operator="equal">
      <formula>1</formula>
    </cfRule>
    <cfRule type="cellIs" dxfId="477" priority="7" stopIfTrue="1" operator="equal">
      <formula>3</formula>
    </cfRule>
  </conditionalFormatting>
  <conditionalFormatting sqref="I3:I54">
    <cfRule type="cellIs" dxfId="476" priority="8" stopIfTrue="1" operator="equal">
      <formula>1</formula>
    </cfRule>
    <cfRule type="cellIs" dxfId="475" priority="9" stopIfTrue="1" operator="equal">
      <formula>3</formula>
    </cfRule>
  </conditionalFormatting>
  <conditionalFormatting sqref="K3:K54">
    <cfRule type="cellIs" dxfId="474" priority="1" stopIfTrue="1" operator="between">
      <formula>0.01</formula>
      <formula>-0.01</formula>
    </cfRule>
  </conditionalFormatting>
  <conditionalFormatting sqref="J3:J54">
    <cfRule type="expression" dxfId="473" priority="2" stopIfTrue="1">
      <formula>IF(G3=1,1,0)</formula>
    </cfRule>
    <cfRule type="expression" dxfId="47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DT3457"/>
  <sheetViews>
    <sheetView workbookViewId="0">
      <pane xSplit="2" ySplit="1" topLeftCell="BS348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CC2072" sqref="CC2072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5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27" customWidth="1"/>
    <col min="17" max="47" width="8.7109375" style="127" customWidth="1"/>
    <col min="48" max="48" width="8.7109375" style="1" customWidth="1"/>
    <col min="49" max="52" width="1.7109375" style="6" customWidth="1"/>
    <col min="53" max="57" width="6.7109375" style="2" customWidth="1"/>
    <col min="59" max="59" width="3.5703125" bestFit="1" customWidth="1"/>
    <col min="60" max="60" width="3" bestFit="1" customWidth="1"/>
    <col min="61" max="61" width="4" customWidth="1"/>
    <col min="62" max="62" width="3" style="113" bestFit="1" customWidth="1"/>
    <col min="63" max="63" width="4" style="115" bestFit="1" customWidth="1"/>
    <col min="64" max="64" width="6" style="117" bestFit="1" customWidth="1"/>
    <col min="65" max="65" width="5.28515625" customWidth="1"/>
    <col min="66" max="66" width="13.42578125" style="5" customWidth="1"/>
    <col min="67" max="68" width="7.5703125" style="63" customWidth="1"/>
    <col min="69" max="69" width="6.5703125" style="63" bestFit="1" customWidth="1"/>
    <col min="70" max="71" width="12.42578125" style="8"/>
    <col min="72" max="73" width="11.42578125" style="8" customWidth="1"/>
    <col min="74" max="84" width="10.7109375" style="63" customWidth="1"/>
    <col min="85" max="93" width="10.7109375" style="8" customWidth="1"/>
    <col min="94" max="102" width="10.7109375" customWidth="1"/>
  </cols>
  <sheetData>
    <row r="1" spans="1:82">
      <c r="C1" s="136" t="s">
        <v>2370</v>
      </c>
      <c r="D1" s="20" t="str">
        <f>LEFT(N1)</f>
        <v>C</v>
      </c>
      <c r="E1" s="18" t="str">
        <f>LEFT(O1)</f>
        <v>T</v>
      </c>
      <c r="F1" s="19" t="str">
        <f>LEFT(P1)</f>
        <v>M</v>
      </c>
      <c r="G1" s="132" t="s">
        <v>1876</v>
      </c>
      <c r="H1" s="137" t="s">
        <v>308</v>
      </c>
      <c r="I1" s="23"/>
      <c r="J1" s="17" t="str">
        <f>N1</f>
        <v>Clinton</v>
      </c>
      <c r="K1" s="18" t="str">
        <f>O1</f>
        <v>Trump</v>
      </c>
      <c r="L1" s="19" t="str">
        <f>P1</f>
        <v>McMullin</v>
      </c>
      <c r="M1" s="2" t="s">
        <v>1251</v>
      </c>
      <c r="N1" s="13" t="str">
        <f>Candidates!H2</f>
        <v>Clinton</v>
      </c>
      <c r="O1" s="12" t="str">
        <f>Candidates!H3</f>
        <v>Trump</v>
      </c>
      <c r="P1" s="63" t="str">
        <f>Candidates!H4</f>
        <v>McMullin</v>
      </c>
      <c r="Q1" s="63" t="str">
        <f>Candidates!H5</f>
        <v>Johnson</v>
      </c>
      <c r="R1" s="63" t="str">
        <f>Candidates!H6</f>
        <v>Stein</v>
      </c>
      <c r="S1" s="63" t="str">
        <f>Candidates!H7</f>
        <v>Castle</v>
      </c>
      <c r="T1" s="63" t="str">
        <f>Candidates!H8</f>
        <v>Fuente</v>
      </c>
      <c r="U1" s="63" t="str">
        <f>Candidates!H9</f>
        <v>Soltysik</v>
      </c>
      <c r="V1" s="63" t="str">
        <f>Candidates!H10</f>
        <v>LaRiva</v>
      </c>
      <c r="W1" s="63" t="str">
        <f>Candidates!H11</f>
        <v>Write-ins</v>
      </c>
      <c r="X1" s="63" t="str">
        <f>Candidates!H12</f>
        <v>Kennedy</v>
      </c>
      <c r="Y1" s="63" t="str">
        <f>Candidates!H13</f>
        <v>Hoefling</v>
      </c>
      <c r="Z1" s="63" t="str">
        <f>Candidates!H14</f>
        <v>Duncan</v>
      </c>
      <c r="AA1" s="63" t="str">
        <f>Candidates!H15</f>
        <v>Moorehead</v>
      </c>
      <c r="AB1" s="63" t="str">
        <f>Candidates!H16</f>
        <v>None</v>
      </c>
      <c r="AC1" s="63" t="str">
        <f>Candidates!H17</f>
        <v>Vacek</v>
      </c>
      <c r="AD1" s="63" t="str">
        <f>Candidates!H18</f>
        <v>Hedges</v>
      </c>
      <c r="AE1" s="63" t="str">
        <f>Candidates!H19</f>
        <v>Kotlikoff</v>
      </c>
      <c r="AF1" s="63" t="str">
        <f>Candidates!H20</f>
        <v>White</v>
      </c>
      <c r="AG1" s="63" t="str">
        <f>Candidates!H21</f>
        <v>Keniston</v>
      </c>
      <c r="AH1" s="63" t="str">
        <f>Candidates!H22</f>
        <v>Kopitke</v>
      </c>
      <c r="AI1" s="63" t="str">
        <f>Candidates!H23</f>
        <v>Atwood</v>
      </c>
      <c r="AJ1" s="63" t="str">
        <f>Candidates!H24</f>
        <v>Jacob-Fambro</v>
      </c>
      <c r="AK1" s="63" t="str">
        <f>Candidates!H25</f>
        <v>Lyttle</v>
      </c>
      <c r="AL1" s="63" t="str">
        <f>Candidates!$H26</f>
        <v>Kahn</v>
      </c>
      <c r="AM1" s="63" t="str">
        <f>Candidates!$H27</f>
        <v>Maldonado</v>
      </c>
      <c r="AN1" s="63" t="str">
        <f>Candidates!$H28</f>
        <v>Maturen</v>
      </c>
      <c r="AO1" s="63" t="str">
        <f>Candidates!$H29</f>
        <v>Scott</v>
      </c>
      <c r="AP1" s="63" t="str">
        <f>Candidates!$H30</f>
        <v>Silva</v>
      </c>
      <c r="AQ1" s="63" t="str">
        <f>Candidates!$H31</f>
        <v>Smith</v>
      </c>
      <c r="AR1" s="63" t="str">
        <f>Candidates!$H32</f>
        <v>Copeland</v>
      </c>
      <c r="AS1" s="63" t="str">
        <f>Candidates!$H33</f>
        <v>Skewes</v>
      </c>
      <c r="AT1" s="63" t="str">
        <f>Candidates!$H34</f>
        <v>Giordani</v>
      </c>
      <c r="AU1" s="63">
        <f>Candidates!$H35</f>
        <v>0</v>
      </c>
      <c r="AW1" s="21" t="str">
        <f>LEFT(Q1,1)</f>
        <v>J</v>
      </c>
      <c r="AX1" s="21" t="str">
        <f>LEFT(R1,1)</f>
        <v>S</v>
      </c>
      <c r="AY1" s="21" t="str">
        <f>LEFT(T1,1)</f>
        <v>F</v>
      </c>
      <c r="AZ1" s="21" t="str">
        <f>LEFT(S1,1)</f>
        <v>C</v>
      </c>
      <c r="BA1" s="2" t="str">
        <f>Q1</f>
        <v>Johnson</v>
      </c>
      <c r="BB1" s="2" t="str">
        <f>R1</f>
        <v>Stein</v>
      </c>
      <c r="BC1" s="2" t="str">
        <f>T1</f>
        <v>Fuente</v>
      </c>
      <c r="BD1" s="2" t="str">
        <f>S1</f>
        <v>Castle</v>
      </c>
      <c r="BH1" t="s">
        <v>377</v>
      </c>
      <c r="BJ1" s="121" t="s">
        <v>3078</v>
      </c>
      <c r="BK1" s="122" t="s">
        <v>2827</v>
      </c>
      <c r="BL1" s="123" t="s">
        <v>621</v>
      </c>
      <c r="BN1" s="5" t="s">
        <v>988</v>
      </c>
      <c r="BO1" s="132" t="s">
        <v>3227</v>
      </c>
      <c r="BP1" s="132" t="s">
        <v>3228</v>
      </c>
      <c r="BZ1" s="132" t="s">
        <v>4351</v>
      </c>
      <c r="CA1" s="132" t="s">
        <v>2889</v>
      </c>
      <c r="CB1" s="132" t="s">
        <v>1251</v>
      </c>
      <c r="CC1" s="132" t="s">
        <v>3496</v>
      </c>
      <c r="CD1" s="132" t="s">
        <v>3259</v>
      </c>
    </row>
    <row r="2" spans="1:82">
      <c r="C2" s="136"/>
      <c r="D2" s="20"/>
      <c r="E2" s="18"/>
      <c r="F2" s="19"/>
      <c r="G2" s="132"/>
      <c r="H2" s="137"/>
      <c r="I2" s="149"/>
      <c r="J2" s="17"/>
      <c r="K2" s="18"/>
      <c r="L2" s="19"/>
      <c r="N2" s="13"/>
      <c r="O2" s="12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W2" s="21"/>
      <c r="AX2" s="21"/>
      <c r="AY2" s="21"/>
      <c r="AZ2" s="21"/>
      <c r="BJ2" s="121"/>
      <c r="BK2" s="122"/>
      <c r="BL2" s="123"/>
      <c r="BO2" s="132"/>
      <c r="BP2" s="132"/>
      <c r="CA2" s="132"/>
      <c r="CB2" s="132"/>
      <c r="CC2" s="132"/>
      <c r="CD2" s="132"/>
    </row>
    <row r="3" spans="1:82" hidden="1" outlineLevel="1">
      <c r="A3" t="s">
        <v>2739</v>
      </c>
      <c r="B3" t="s">
        <v>2498</v>
      </c>
      <c r="C3" s="1">
        <f t="shared" ref="C3:C34" si="0">SUM(N3:AU3)</f>
        <v>24973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32">
        <f>IF(C3&gt;0,MAX(N3:P3)-LARGE(N3:P3,2),0)</f>
        <v>12236</v>
      </c>
      <c r="H3" s="137">
        <f>IF(C3&gt;0,G3/C3,0)</f>
        <v>0.48996916670003604</v>
      </c>
      <c r="I3" s="2"/>
      <c r="J3" s="2">
        <f t="shared" ref="J3:J34" si="1">IF($C3=0,"-",N3/$C3)</f>
        <v>0.2376967124494454</v>
      </c>
      <c r="K3" s="2">
        <f t="shared" ref="K3:K34" si="2">IF($C3=0,"-",O3/$C3)</f>
        <v>0.72766587914948144</v>
      </c>
      <c r="L3" s="2">
        <f t="shared" ref="L3:L34" si="3">IF($C3=0,"-",P3/$C3)</f>
        <v>0</v>
      </c>
      <c r="M3" s="2">
        <f t="shared" ref="M3:M34" si="4">IF(C3=0,"-",(1-J3-K3-L3))</f>
        <v>3.4637408401073211E-2</v>
      </c>
      <c r="N3" s="63">
        <v>5936</v>
      </c>
      <c r="O3" s="63">
        <v>18172</v>
      </c>
      <c r="P3" s="63"/>
      <c r="Q3" s="63">
        <v>546</v>
      </c>
      <c r="R3" s="63">
        <v>105</v>
      </c>
      <c r="S3" s="63"/>
      <c r="T3" s="63"/>
      <c r="U3" s="63"/>
      <c r="V3" s="63"/>
      <c r="W3" s="63">
        <v>214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W3" s="5">
        <f>IF(Q3&gt;0,RANK(Q3,(N3:P3,Q3:AE3)),0)</f>
        <v>3</v>
      </c>
      <c r="AX3" s="5">
        <f>IF(R3&gt;0,RANK(R3,(N3:P3,Q3:AE3)),0)</f>
        <v>5</v>
      </c>
      <c r="AY3" s="5">
        <f>IF(T3&gt;0,RANK(T3,(N3:P3,Q3:AE3)),0)</f>
        <v>0</v>
      </c>
      <c r="AZ3" s="5">
        <f>IF(S3&gt;0,RANK(S3,(N3:P3,Q3:AE3)),0)</f>
        <v>0</v>
      </c>
      <c r="BA3" s="2">
        <f t="shared" ref="BA3:BA34" si="5">IF($C3=0,"-",Q3/$C3)</f>
        <v>2.1863612701717855E-2</v>
      </c>
      <c r="BB3" s="2">
        <f t="shared" ref="BB3:BB34" si="6">IF($C3=0,"-",R3/$C3)</f>
        <v>4.2045409041765102E-3</v>
      </c>
      <c r="BC3" s="2">
        <f t="shared" ref="BC3:BC34" si="7">IF($C3=0,"-",T3/$C3)</f>
        <v>0</v>
      </c>
      <c r="BD3" s="2">
        <f t="shared" ref="BD3:BD34" si="8">IF($C3=0,"-",S3/$C3)</f>
        <v>0</v>
      </c>
      <c r="BF3" t="s">
        <v>2739</v>
      </c>
      <c r="BG3" t="s">
        <v>2498</v>
      </c>
      <c r="BH3">
        <v>2</v>
      </c>
      <c r="BJ3" s="114">
        <v>1</v>
      </c>
      <c r="BK3" s="116">
        <v>1</v>
      </c>
      <c r="BL3" s="120">
        <f>1000*BJ3+BK3</f>
        <v>1001</v>
      </c>
      <c r="BN3" s="5" t="s">
        <v>3154</v>
      </c>
    </row>
    <row r="4" spans="1:82" hidden="1" outlineLevel="1">
      <c r="A4" t="s">
        <v>2740</v>
      </c>
      <c r="B4" t="s">
        <v>2498</v>
      </c>
      <c r="C4" s="1">
        <f t="shared" si="0"/>
        <v>95215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32">
        <f t="shared" ref="G4:G67" si="9">IF(C4&gt;0,MAX(N4:P4)-LARGE(N4:P4,2),0)</f>
        <v>54425</v>
      </c>
      <c r="H4" s="137">
        <f t="shared" ref="H4:H67" si="10">IF(C4&gt;0,G4/C4,0)</f>
        <v>0.57160111326996799</v>
      </c>
      <c r="I4" s="2"/>
      <c r="J4" s="2">
        <f t="shared" si="1"/>
        <v>0.19385601008244499</v>
      </c>
      <c r="K4" s="2">
        <f t="shared" si="2"/>
        <v>0.765457123352413</v>
      </c>
      <c r="L4" s="2">
        <f t="shared" si="3"/>
        <v>0</v>
      </c>
      <c r="M4" s="2">
        <f t="shared" si="4"/>
        <v>4.0686866565141977E-2</v>
      </c>
      <c r="N4" s="63">
        <v>18458</v>
      </c>
      <c r="O4" s="63">
        <v>72883</v>
      </c>
      <c r="P4" s="63"/>
      <c r="Q4" s="63">
        <v>2464</v>
      </c>
      <c r="R4" s="63">
        <v>456</v>
      </c>
      <c r="S4" s="63"/>
      <c r="T4" s="63"/>
      <c r="U4" s="63"/>
      <c r="V4" s="63"/>
      <c r="W4" s="63">
        <v>954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W4" s="5">
        <f>IF(Q4&gt;0,RANK(Q4,(N4:P4,Q4:AE4)),0)</f>
        <v>3</v>
      </c>
      <c r="AX4" s="5">
        <f>IF(R4&gt;0,RANK(R4,(N4:P4,Q4:AE4)),0)</f>
        <v>5</v>
      </c>
      <c r="AY4" s="5">
        <f>IF(T4&gt;0,RANK(T4,(N4:P4,Q4:AE4)),0)</f>
        <v>0</v>
      </c>
      <c r="AZ4" s="5">
        <f>IF(S4&gt;0,RANK(S4,(N4:P4,Q4:AE4)),0)</f>
        <v>0</v>
      </c>
      <c r="BA4" s="2">
        <f t="shared" si="5"/>
        <v>2.5878275481804339E-2</v>
      </c>
      <c r="BB4" s="2">
        <f t="shared" si="6"/>
        <v>4.7891613716326206E-3</v>
      </c>
      <c r="BC4" s="2">
        <f t="shared" si="7"/>
        <v>0</v>
      </c>
      <c r="BD4" s="2">
        <f t="shared" si="8"/>
        <v>0</v>
      </c>
      <c r="BF4" t="s">
        <v>2740</v>
      </c>
      <c r="BG4" t="s">
        <v>2498</v>
      </c>
      <c r="BH4">
        <v>1</v>
      </c>
      <c r="BJ4" s="114">
        <v>1</v>
      </c>
      <c r="BK4" s="116">
        <v>3</v>
      </c>
      <c r="BL4" s="120">
        <f t="shared" ref="BL4:BL67" si="11">1000*BJ4+BK4</f>
        <v>1003</v>
      </c>
      <c r="BN4" s="5" t="s">
        <v>3154</v>
      </c>
    </row>
    <row r="5" spans="1:82" hidden="1" outlineLevel="1">
      <c r="A5" t="s">
        <v>2953</v>
      </c>
      <c r="B5" t="s">
        <v>2498</v>
      </c>
      <c r="C5" s="1">
        <f t="shared" si="0"/>
        <v>10469</v>
      </c>
      <c r="D5" s="5">
        <f>IF(N5&gt;0, RANK(N5,(N5:P5,Q5:AE5)),0)</f>
        <v>2</v>
      </c>
      <c r="E5" s="5">
        <f>IF(O5&gt;0,RANK(O5,(N5:P5,Q5:AE5)),0)</f>
        <v>1</v>
      </c>
      <c r="F5" s="5">
        <f>IF(P5&gt;0,RANK(P5,(N5:P5,Q5:AE5)),0)</f>
        <v>0</v>
      </c>
      <c r="G5" s="132">
        <f t="shared" si="9"/>
        <v>583</v>
      </c>
      <c r="H5" s="137">
        <f t="shared" si="10"/>
        <v>5.5688222370809053E-2</v>
      </c>
      <c r="I5" s="2"/>
      <c r="J5" s="2">
        <f t="shared" si="1"/>
        <v>0.46527844111185407</v>
      </c>
      <c r="K5" s="2">
        <f t="shared" si="2"/>
        <v>0.52096666348266307</v>
      </c>
      <c r="L5" s="2">
        <f t="shared" si="3"/>
        <v>0</v>
      </c>
      <c r="M5" s="2">
        <f t="shared" si="4"/>
        <v>1.3754895405482914E-2</v>
      </c>
      <c r="N5" s="63">
        <v>4871</v>
      </c>
      <c r="O5" s="63">
        <v>5454</v>
      </c>
      <c r="P5" s="63"/>
      <c r="Q5" s="63">
        <v>93</v>
      </c>
      <c r="R5" s="63">
        <v>18</v>
      </c>
      <c r="S5" s="63"/>
      <c r="T5" s="63"/>
      <c r="U5" s="63"/>
      <c r="V5" s="63"/>
      <c r="W5" s="63">
        <v>33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W5" s="5">
        <f>IF(Q5&gt;0,RANK(Q5,(N5:P5,Q5:AE5)),0)</f>
        <v>3</v>
      </c>
      <c r="AX5" s="5">
        <f>IF(R5&gt;0,RANK(R5,(N5:P5,Q5:AE5)),0)</f>
        <v>5</v>
      </c>
      <c r="AY5" s="5">
        <f>IF(T5&gt;0,RANK(T5,(N5:P5,Q5:AE5)),0)</f>
        <v>0</v>
      </c>
      <c r="AZ5" s="5">
        <f>IF(S5&gt;0,RANK(S5,(N5:P5,Q5:AE5)),0)</f>
        <v>0</v>
      </c>
      <c r="BA5" s="2">
        <f t="shared" si="5"/>
        <v>8.8833699493743434E-3</v>
      </c>
      <c r="BB5" s="2">
        <f t="shared" si="6"/>
        <v>1.7193619256853567E-3</v>
      </c>
      <c r="BC5" s="2">
        <f t="shared" si="7"/>
        <v>0</v>
      </c>
      <c r="BD5" s="2">
        <f t="shared" si="8"/>
        <v>0</v>
      </c>
      <c r="BF5" t="s">
        <v>2953</v>
      </c>
      <c r="BG5" t="s">
        <v>2498</v>
      </c>
      <c r="BH5">
        <v>2</v>
      </c>
      <c r="BJ5" s="114">
        <v>1</v>
      </c>
      <c r="BK5" s="116">
        <v>5</v>
      </c>
      <c r="BL5" s="120">
        <f t="shared" si="11"/>
        <v>1005</v>
      </c>
      <c r="BN5" s="5" t="s">
        <v>3154</v>
      </c>
    </row>
    <row r="6" spans="1:82" hidden="1" outlineLevel="1">
      <c r="A6" t="s">
        <v>1067</v>
      </c>
      <c r="B6" t="s">
        <v>2498</v>
      </c>
      <c r="C6" s="1">
        <f t="shared" si="0"/>
        <v>8819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32">
        <f t="shared" si="9"/>
        <v>4864</v>
      </c>
      <c r="H6" s="137">
        <f t="shared" si="10"/>
        <v>0.55153645538042861</v>
      </c>
      <c r="I6" s="2"/>
      <c r="J6" s="2">
        <f t="shared" si="1"/>
        <v>0.21249574781721284</v>
      </c>
      <c r="K6" s="2">
        <f t="shared" si="2"/>
        <v>0.76403220319764142</v>
      </c>
      <c r="L6" s="2">
        <f t="shared" si="3"/>
        <v>0</v>
      </c>
      <c r="M6" s="2">
        <f t="shared" si="4"/>
        <v>2.3472048985145766E-2</v>
      </c>
      <c r="N6" s="63">
        <v>1874</v>
      </c>
      <c r="O6" s="63">
        <v>6738</v>
      </c>
      <c r="P6" s="63"/>
      <c r="Q6" s="63">
        <v>124</v>
      </c>
      <c r="R6" s="63">
        <v>17</v>
      </c>
      <c r="S6" s="63"/>
      <c r="T6" s="63"/>
      <c r="U6" s="63"/>
      <c r="V6" s="63"/>
      <c r="W6" s="63">
        <v>66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W6" s="5">
        <f>IF(Q6&gt;0,RANK(Q6,(N6:P6,Q6:AE6)),0)</f>
        <v>3</v>
      </c>
      <c r="AX6" s="5">
        <f>IF(R6&gt;0,RANK(R6,(N6:P6,Q6:AE6)),0)</f>
        <v>5</v>
      </c>
      <c r="AY6" s="5">
        <f>IF(T6&gt;0,RANK(T6,(N6:P6,Q6:AE6)),0)</f>
        <v>0</v>
      </c>
      <c r="AZ6" s="5">
        <f>IF(S6&gt;0,RANK(S6,(N6:P6,Q6:AE6)),0)</f>
        <v>0</v>
      </c>
      <c r="BA6" s="2">
        <f t="shared" si="5"/>
        <v>1.4060551082889217E-2</v>
      </c>
      <c r="BB6" s="2">
        <f t="shared" si="6"/>
        <v>1.9276561968477152E-3</v>
      </c>
      <c r="BC6" s="2">
        <f t="shared" si="7"/>
        <v>0</v>
      </c>
      <c r="BD6" s="2">
        <f t="shared" si="8"/>
        <v>0</v>
      </c>
      <c r="BF6" t="s">
        <v>1067</v>
      </c>
      <c r="BG6" t="s">
        <v>2498</v>
      </c>
      <c r="BH6">
        <v>6</v>
      </c>
      <c r="BJ6" s="114">
        <v>1</v>
      </c>
      <c r="BK6" s="116">
        <v>7</v>
      </c>
      <c r="BL6" s="120">
        <f t="shared" si="11"/>
        <v>1007</v>
      </c>
      <c r="BN6" s="5" t="s">
        <v>3154</v>
      </c>
    </row>
    <row r="7" spans="1:82" hidden="1" outlineLevel="1">
      <c r="A7" t="s">
        <v>2579</v>
      </c>
      <c r="B7" t="s">
        <v>2498</v>
      </c>
      <c r="C7" s="1">
        <f t="shared" si="0"/>
        <v>25588</v>
      </c>
      <c r="D7" s="5">
        <f>IF(N7&gt;0, RANK(N7,(N7:P7,Q7:AE7)),0)</f>
        <v>2</v>
      </c>
      <c r="E7" s="5">
        <f>IF(O7&gt;0,RANK(O7,(N7:P7,Q7:AE7)),0)</f>
        <v>1</v>
      </c>
      <c r="F7" s="5">
        <f>IF(P7&gt;0,RANK(P7,(N7:P7,Q7:AE7)),0)</f>
        <v>0</v>
      </c>
      <c r="G7" s="132">
        <f t="shared" si="9"/>
        <v>20703</v>
      </c>
      <c r="H7" s="137">
        <f t="shared" si="10"/>
        <v>0.80909019853056119</v>
      </c>
      <c r="I7" s="2"/>
      <c r="J7" s="2">
        <f t="shared" si="1"/>
        <v>8.4258246052837271E-2</v>
      </c>
      <c r="K7" s="2">
        <f t="shared" si="2"/>
        <v>0.89334844458339846</v>
      </c>
      <c r="L7" s="2">
        <f t="shared" si="3"/>
        <v>0</v>
      </c>
      <c r="M7" s="2">
        <f t="shared" si="4"/>
        <v>2.2393309363764269E-2</v>
      </c>
      <c r="N7" s="63">
        <v>2156</v>
      </c>
      <c r="O7" s="63">
        <v>22859</v>
      </c>
      <c r="P7" s="63"/>
      <c r="Q7" s="63">
        <v>338</v>
      </c>
      <c r="R7" s="63">
        <v>89</v>
      </c>
      <c r="S7" s="63"/>
      <c r="T7" s="63"/>
      <c r="U7" s="63"/>
      <c r="V7" s="63"/>
      <c r="W7" s="63">
        <v>146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W7" s="5">
        <f>IF(Q7&gt;0,RANK(Q7,(N7:P7,Q7:AE7)),0)</f>
        <v>3</v>
      </c>
      <c r="AX7" s="5">
        <f>IF(R7&gt;0,RANK(R7,(N7:P7,Q7:AE7)),0)</f>
        <v>5</v>
      </c>
      <c r="AY7" s="5">
        <f>IF(T7&gt;0,RANK(T7,(N7:P7,Q7:AE7)),0)</f>
        <v>0</v>
      </c>
      <c r="AZ7" s="5">
        <f>IF(S7&gt;0,RANK(S7,(N7:P7,Q7:AE7)),0)</f>
        <v>0</v>
      </c>
      <c r="BA7" s="2">
        <f t="shared" si="5"/>
        <v>1.3209316867281539E-2</v>
      </c>
      <c r="BB7" s="2">
        <f t="shared" si="6"/>
        <v>3.4781929029232455E-3</v>
      </c>
      <c r="BC7" s="2">
        <f t="shared" si="7"/>
        <v>0</v>
      </c>
      <c r="BD7" s="2">
        <f t="shared" si="8"/>
        <v>0</v>
      </c>
      <c r="BF7" t="s">
        <v>2579</v>
      </c>
      <c r="BG7" t="s">
        <v>2498</v>
      </c>
      <c r="BJ7" s="114">
        <v>1</v>
      </c>
      <c r="BK7" s="116">
        <v>9</v>
      </c>
      <c r="BL7" s="120">
        <f t="shared" si="11"/>
        <v>1009</v>
      </c>
      <c r="BN7" s="5" t="s">
        <v>3154</v>
      </c>
    </row>
    <row r="8" spans="1:82" hidden="1" outlineLevel="1">
      <c r="A8" t="s">
        <v>3071</v>
      </c>
      <c r="B8" t="s">
        <v>2498</v>
      </c>
      <c r="C8" s="1">
        <f t="shared" si="0"/>
        <v>4710</v>
      </c>
      <c r="D8" s="5">
        <f>IF(N8&gt;0, RANK(N8,(N8:P8,Q8:AE8)),0)</f>
        <v>1</v>
      </c>
      <c r="E8" s="5">
        <f>IF(O8&gt;0,RANK(O8,(N8:P8,Q8:AE8)),0)</f>
        <v>2</v>
      </c>
      <c r="F8" s="5">
        <f>IF(P8&gt;0,RANK(P8,(N8:P8,Q8:AE8)),0)</f>
        <v>0</v>
      </c>
      <c r="G8" s="132">
        <f t="shared" si="9"/>
        <v>2390</v>
      </c>
      <c r="H8" s="137">
        <f t="shared" si="10"/>
        <v>0.50743099787685775</v>
      </c>
      <c r="I8" s="2"/>
      <c r="J8" s="2">
        <f t="shared" si="1"/>
        <v>0.74946921443736725</v>
      </c>
      <c r="K8" s="2">
        <f t="shared" si="2"/>
        <v>0.24203821656050956</v>
      </c>
      <c r="L8" s="2">
        <f t="shared" si="3"/>
        <v>0</v>
      </c>
      <c r="M8" s="2">
        <f t="shared" si="4"/>
        <v>8.4925690021231959E-3</v>
      </c>
      <c r="N8" s="63">
        <v>3530</v>
      </c>
      <c r="O8" s="63">
        <v>1140</v>
      </c>
      <c r="P8" s="63"/>
      <c r="Q8" s="63">
        <v>22</v>
      </c>
      <c r="R8" s="63">
        <v>10</v>
      </c>
      <c r="S8" s="63"/>
      <c r="T8" s="63"/>
      <c r="U8" s="63"/>
      <c r="V8" s="63"/>
      <c r="W8" s="63">
        <v>8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W8" s="5">
        <f>IF(Q8&gt;0,RANK(Q8,(N8:P8,Q8:AE8)),0)</f>
        <v>3</v>
      </c>
      <c r="AX8" s="5">
        <f>IF(R8&gt;0,RANK(R8,(N8:P8,Q8:AE8)),0)</f>
        <v>4</v>
      </c>
      <c r="AY8" s="5">
        <f>IF(T8&gt;0,RANK(T8,(N8:P8,Q8:AE8)),0)</f>
        <v>0</v>
      </c>
      <c r="AZ8" s="5">
        <f>IF(S8&gt;0,RANK(S8,(N8:P8,Q8:AE8)),0)</f>
        <v>0</v>
      </c>
      <c r="BA8" s="2">
        <f t="shared" si="5"/>
        <v>4.6709129511677281E-3</v>
      </c>
      <c r="BB8" s="2">
        <f t="shared" si="6"/>
        <v>2.1231422505307855E-3</v>
      </c>
      <c r="BC8" s="2">
        <f t="shared" si="7"/>
        <v>0</v>
      </c>
      <c r="BD8" s="2">
        <f t="shared" si="8"/>
        <v>0</v>
      </c>
      <c r="BF8" t="s">
        <v>3071</v>
      </c>
      <c r="BG8" t="s">
        <v>2498</v>
      </c>
      <c r="BH8">
        <v>2</v>
      </c>
      <c r="BJ8" s="114">
        <v>1</v>
      </c>
      <c r="BK8" s="116">
        <v>11</v>
      </c>
      <c r="BL8" s="120">
        <f t="shared" si="11"/>
        <v>1011</v>
      </c>
      <c r="BN8" s="5" t="s">
        <v>3154</v>
      </c>
    </row>
    <row r="9" spans="1:82" hidden="1" outlineLevel="1">
      <c r="A9" t="s">
        <v>1806</v>
      </c>
      <c r="B9" t="s">
        <v>2498</v>
      </c>
      <c r="C9" s="1">
        <f t="shared" si="0"/>
        <v>8732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32">
        <f t="shared" si="9"/>
        <v>1175</v>
      </c>
      <c r="H9" s="137">
        <f t="shared" si="10"/>
        <v>0.13456252863032525</v>
      </c>
      <c r="I9" s="2"/>
      <c r="J9" s="2">
        <f t="shared" si="1"/>
        <v>0.42670636738433348</v>
      </c>
      <c r="K9" s="2">
        <f t="shared" si="2"/>
        <v>0.56126889601465868</v>
      </c>
      <c r="L9" s="2">
        <f t="shared" si="3"/>
        <v>0</v>
      </c>
      <c r="M9" s="2">
        <f t="shared" si="4"/>
        <v>1.202473660100789E-2</v>
      </c>
      <c r="N9" s="63">
        <v>3726</v>
      </c>
      <c r="O9" s="63">
        <v>4901</v>
      </c>
      <c r="P9" s="63"/>
      <c r="Q9" s="63">
        <v>65</v>
      </c>
      <c r="R9" s="63">
        <v>13</v>
      </c>
      <c r="S9" s="63"/>
      <c r="T9" s="63"/>
      <c r="U9" s="63"/>
      <c r="V9" s="63"/>
      <c r="W9" s="63">
        <v>27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W9" s="5">
        <f>IF(Q9&gt;0,RANK(Q9,(N9:P9,Q9:AE9)),0)</f>
        <v>3</v>
      </c>
      <c r="AX9" s="5">
        <f>IF(R9&gt;0,RANK(R9,(N9:P9,Q9:AE9)),0)</f>
        <v>5</v>
      </c>
      <c r="AY9" s="5">
        <f>IF(T9&gt;0,RANK(T9,(N9:P9,Q9:AE9)),0)</f>
        <v>0</v>
      </c>
      <c r="AZ9" s="5">
        <f>IF(S9&gt;0,RANK(S9,(N9:P9,Q9:AE9)),0)</f>
        <v>0</v>
      </c>
      <c r="BA9" s="2">
        <f t="shared" si="5"/>
        <v>7.44388456252863E-3</v>
      </c>
      <c r="BB9" s="2">
        <f t="shared" si="6"/>
        <v>1.488776912505726E-3</v>
      </c>
      <c r="BC9" s="2">
        <f t="shared" si="7"/>
        <v>0</v>
      </c>
      <c r="BD9" s="2">
        <f t="shared" si="8"/>
        <v>0</v>
      </c>
      <c r="BF9" t="s">
        <v>1806</v>
      </c>
      <c r="BG9" t="s">
        <v>2498</v>
      </c>
      <c r="BH9">
        <v>2</v>
      </c>
      <c r="BJ9" s="114">
        <v>1</v>
      </c>
      <c r="BK9" s="116">
        <v>13</v>
      </c>
      <c r="BL9" s="120">
        <f t="shared" si="11"/>
        <v>1013</v>
      </c>
      <c r="BN9" s="5" t="s">
        <v>3154</v>
      </c>
    </row>
    <row r="10" spans="1:82" hidden="1" outlineLevel="1">
      <c r="A10" t="s">
        <v>1197</v>
      </c>
      <c r="B10" t="s">
        <v>2498</v>
      </c>
      <c r="C10" s="1">
        <f t="shared" si="0"/>
        <v>47864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32">
        <f t="shared" si="9"/>
        <v>19623</v>
      </c>
      <c r="H10" s="137">
        <f t="shared" si="10"/>
        <v>0.40997409326424872</v>
      </c>
      <c r="I10" s="2"/>
      <c r="J10" s="2">
        <f t="shared" si="1"/>
        <v>0.27665886678923618</v>
      </c>
      <c r="K10" s="2">
        <f t="shared" si="2"/>
        <v>0.68663296005348484</v>
      </c>
      <c r="L10" s="2">
        <f t="shared" si="3"/>
        <v>0</v>
      </c>
      <c r="M10" s="2">
        <f t="shared" si="4"/>
        <v>3.6708173157278923E-2</v>
      </c>
      <c r="N10" s="63">
        <v>13242</v>
      </c>
      <c r="O10" s="63">
        <v>32865</v>
      </c>
      <c r="P10" s="63"/>
      <c r="Q10" s="63">
        <v>1116</v>
      </c>
      <c r="R10" s="63">
        <v>262</v>
      </c>
      <c r="S10" s="63"/>
      <c r="T10" s="63"/>
      <c r="U10" s="63"/>
      <c r="V10" s="63"/>
      <c r="W10" s="63">
        <v>379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W10" s="5">
        <f>IF(Q10&gt;0,RANK(Q10,(N10:P10,Q10:AE10)),0)</f>
        <v>3</v>
      </c>
      <c r="AX10" s="5">
        <f>IF(R10&gt;0,RANK(R10,(N10:P10,Q10:AE10)),0)</f>
        <v>5</v>
      </c>
      <c r="AY10" s="5">
        <f>IF(T10&gt;0,RANK(T10,(N10:P10,Q10:AE10)),0)</f>
        <v>0</v>
      </c>
      <c r="AZ10" s="5">
        <f>IF(S10&gt;0,RANK(S10,(N10:P10,Q10:AE10)),0)</f>
        <v>0</v>
      </c>
      <c r="BA10" s="2">
        <f t="shared" si="5"/>
        <v>2.3316062176165803E-2</v>
      </c>
      <c r="BB10" s="2">
        <f t="shared" si="6"/>
        <v>5.4738425539027245E-3</v>
      </c>
      <c r="BC10" s="2">
        <f t="shared" si="7"/>
        <v>0</v>
      </c>
      <c r="BD10" s="2">
        <f t="shared" si="8"/>
        <v>0</v>
      </c>
      <c r="BF10" t="s">
        <v>1197</v>
      </c>
      <c r="BG10" t="s">
        <v>2498</v>
      </c>
      <c r="BH10">
        <v>3</v>
      </c>
      <c r="BJ10" s="114">
        <v>1</v>
      </c>
      <c r="BK10" s="116">
        <v>15</v>
      </c>
      <c r="BL10" s="120">
        <f t="shared" si="11"/>
        <v>1015</v>
      </c>
      <c r="BN10" s="5" t="s">
        <v>3154</v>
      </c>
    </row>
    <row r="11" spans="1:82" hidden="1" outlineLevel="1">
      <c r="A11" t="s">
        <v>1065</v>
      </c>
      <c r="B11" t="s">
        <v>2498</v>
      </c>
      <c r="C11" s="1">
        <f t="shared" si="0"/>
        <v>13900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32">
        <f t="shared" si="9"/>
        <v>2059</v>
      </c>
      <c r="H11" s="137">
        <f t="shared" si="10"/>
        <v>0.1481294964028777</v>
      </c>
      <c r="I11" s="2"/>
      <c r="J11" s="2">
        <f t="shared" si="1"/>
        <v>0.41611510791366907</v>
      </c>
      <c r="K11" s="2">
        <f t="shared" si="2"/>
        <v>0.56424460431654677</v>
      </c>
      <c r="L11" s="2">
        <f t="shared" si="3"/>
        <v>0</v>
      </c>
      <c r="M11" s="2">
        <f t="shared" si="4"/>
        <v>1.9640287769784104E-2</v>
      </c>
      <c r="N11" s="63">
        <v>5784</v>
      </c>
      <c r="O11" s="63">
        <v>7843</v>
      </c>
      <c r="P11" s="63"/>
      <c r="Q11" s="63">
        <v>168</v>
      </c>
      <c r="R11" s="63">
        <v>44</v>
      </c>
      <c r="S11" s="63"/>
      <c r="T11" s="63"/>
      <c r="U11" s="63"/>
      <c r="V11" s="63"/>
      <c r="W11" s="63">
        <v>61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W11" s="5">
        <f>IF(Q11&gt;0,RANK(Q11,(N11:P11,Q11:AE11)),0)</f>
        <v>3</v>
      </c>
      <c r="AX11" s="5">
        <f>IF(R11&gt;0,RANK(R11,(N11:P11,Q11:AE11)),0)</f>
        <v>5</v>
      </c>
      <c r="AY11" s="5">
        <f>IF(T11&gt;0,RANK(T11,(N11:P11,Q11:AE11)),0)</f>
        <v>0</v>
      </c>
      <c r="AZ11" s="5">
        <f>IF(S11&gt;0,RANK(S11,(N11:P11,Q11:AE11)),0)</f>
        <v>0</v>
      </c>
      <c r="BA11" s="2">
        <f t="shared" si="5"/>
        <v>1.2086330935251799E-2</v>
      </c>
      <c r="BB11" s="2">
        <f t="shared" si="6"/>
        <v>3.1654676258992807E-3</v>
      </c>
      <c r="BC11" s="2">
        <f t="shared" si="7"/>
        <v>0</v>
      </c>
      <c r="BD11" s="2">
        <f t="shared" si="8"/>
        <v>0</v>
      </c>
      <c r="BF11" t="s">
        <v>1065</v>
      </c>
      <c r="BG11" t="s">
        <v>2498</v>
      </c>
      <c r="BH11">
        <v>3</v>
      </c>
      <c r="BJ11" s="114">
        <v>1</v>
      </c>
      <c r="BK11" s="116">
        <v>17</v>
      </c>
      <c r="BL11" s="120">
        <f t="shared" si="11"/>
        <v>1017</v>
      </c>
      <c r="BN11" s="5" t="s">
        <v>3154</v>
      </c>
    </row>
    <row r="12" spans="1:82" hidden="1" outlineLevel="1">
      <c r="A12" t="s">
        <v>1652</v>
      </c>
      <c r="B12" t="s">
        <v>2498</v>
      </c>
      <c r="C12" s="1">
        <f t="shared" si="0"/>
        <v>10733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32">
        <f t="shared" si="9"/>
        <v>7406</v>
      </c>
      <c r="H12" s="137">
        <f t="shared" si="10"/>
        <v>0.69002142923693277</v>
      </c>
      <c r="I12" s="2"/>
      <c r="J12" s="2">
        <f t="shared" si="1"/>
        <v>0.14413491102208142</v>
      </c>
      <c r="K12" s="2">
        <f t="shared" si="2"/>
        <v>0.83415634025901431</v>
      </c>
      <c r="L12" s="2">
        <f t="shared" si="3"/>
        <v>0</v>
      </c>
      <c r="M12" s="2">
        <f t="shared" si="4"/>
        <v>2.1708748718904269E-2</v>
      </c>
      <c r="N12" s="63">
        <v>1547</v>
      </c>
      <c r="O12" s="63">
        <v>8953</v>
      </c>
      <c r="P12" s="63"/>
      <c r="Q12" s="63">
        <v>147</v>
      </c>
      <c r="R12" s="63">
        <v>26</v>
      </c>
      <c r="S12" s="63"/>
      <c r="T12" s="63"/>
      <c r="U12" s="63"/>
      <c r="V12" s="63"/>
      <c r="W12" s="63">
        <v>60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W12" s="5">
        <f>IF(Q12&gt;0,RANK(Q12,(N12:P12,Q12:AE12)),0)</f>
        <v>3</v>
      </c>
      <c r="AX12" s="5">
        <f>IF(R12&gt;0,RANK(R12,(N12:P12,Q12:AE12)),0)</f>
        <v>5</v>
      </c>
      <c r="AY12" s="5">
        <f>IF(T12&gt;0,RANK(T12,(N12:P12,Q12:AE12)),0)</f>
        <v>0</v>
      </c>
      <c r="AZ12" s="5">
        <f>IF(S12&gt;0,RANK(S12,(N12:P12,Q12:AE12)),0)</f>
        <v>0</v>
      </c>
      <c r="BA12" s="2">
        <f t="shared" si="5"/>
        <v>1.369607751793534E-2</v>
      </c>
      <c r="BB12" s="2">
        <f t="shared" si="6"/>
        <v>2.4224354793627133E-3</v>
      </c>
      <c r="BC12" s="2">
        <f t="shared" si="7"/>
        <v>0</v>
      </c>
      <c r="BD12" s="2">
        <f t="shared" si="8"/>
        <v>0</v>
      </c>
      <c r="BF12" t="s">
        <v>1652</v>
      </c>
      <c r="BG12" t="s">
        <v>2498</v>
      </c>
      <c r="BJ12" s="114">
        <v>1</v>
      </c>
      <c r="BK12" s="116">
        <v>19</v>
      </c>
      <c r="BL12" s="120">
        <f t="shared" si="11"/>
        <v>1019</v>
      </c>
      <c r="BN12" s="5" t="s">
        <v>3154</v>
      </c>
    </row>
    <row r="13" spans="1:82" hidden="1" outlineLevel="1">
      <c r="A13" t="s">
        <v>501</v>
      </c>
      <c r="B13" t="s">
        <v>2498</v>
      </c>
      <c r="C13" s="1">
        <f t="shared" si="0"/>
        <v>18369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32">
        <f t="shared" si="9"/>
        <v>12170</v>
      </c>
      <c r="H13" s="137">
        <f t="shared" si="10"/>
        <v>0.66252926125537592</v>
      </c>
      <c r="I13" s="2"/>
      <c r="J13" s="2">
        <f t="shared" si="1"/>
        <v>0.15847351516141325</v>
      </c>
      <c r="K13" s="2">
        <f t="shared" si="2"/>
        <v>0.8210027764167892</v>
      </c>
      <c r="L13" s="2">
        <f t="shared" si="3"/>
        <v>0</v>
      </c>
      <c r="M13" s="2">
        <f t="shared" si="4"/>
        <v>2.0523708421797515E-2</v>
      </c>
      <c r="N13" s="63">
        <v>2911</v>
      </c>
      <c r="O13" s="63">
        <v>15081</v>
      </c>
      <c r="P13" s="63"/>
      <c r="Q13" s="63">
        <v>228</v>
      </c>
      <c r="R13" s="63">
        <v>52</v>
      </c>
      <c r="S13" s="63"/>
      <c r="T13" s="63"/>
      <c r="U13" s="63"/>
      <c r="V13" s="63"/>
      <c r="W13" s="63">
        <v>97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W13" s="5">
        <f>IF(Q13&gt;0,RANK(Q13,(N13:P13,Q13:AE13)),0)</f>
        <v>3</v>
      </c>
      <c r="AX13" s="5">
        <f>IF(R13&gt;0,RANK(R13,(N13:P13,Q13:AE13)),0)</f>
        <v>5</v>
      </c>
      <c r="AY13" s="5">
        <f>IF(T13&gt;0,RANK(T13,(N13:P13,Q13:AE13)),0)</f>
        <v>0</v>
      </c>
      <c r="AZ13" s="5">
        <f>IF(S13&gt;0,RANK(S13,(N13:P13,Q13:AE13)),0)</f>
        <v>0</v>
      </c>
      <c r="BA13" s="2">
        <f t="shared" si="5"/>
        <v>1.2412216233872285E-2</v>
      </c>
      <c r="BB13" s="2">
        <f t="shared" si="6"/>
        <v>2.8308563340410475E-3</v>
      </c>
      <c r="BC13" s="2">
        <f t="shared" si="7"/>
        <v>0</v>
      </c>
      <c r="BD13" s="2">
        <f t="shared" si="8"/>
        <v>0</v>
      </c>
      <c r="BF13" t="s">
        <v>501</v>
      </c>
      <c r="BG13" t="s">
        <v>2498</v>
      </c>
      <c r="BH13">
        <v>6</v>
      </c>
      <c r="BJ13" s="114">
        <v>1</v>
      </c>
      <c r="BK13" s="116">
        <v>21</v>
      </c>
      <c r="BL13" s="120">
        <f t="shared" si="11"/>
        <v>1021</v>
      </c>
      <c r="BN13" s="5" t="s">
        <v>3154</v>
      </c>
    </row>
    <row r="14" spans="1:82" hidden="1" outlineLevel="1">
      <c r="A14" t="s">
        <v>3104</v>
      </c>
      <c r="B14" t="s">
        <v>2498</v>
      </c>
      <c r="C14" s="1">
        <f t="shared" si="0"/>
        <v>7292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32">
        <f t="shared" si="9"/>
        <v>997</v>
      </c>
      <c r="H14" s="137">
        <f t="shared" si="10"/>
        <v>0.13672517827756445</v>
      </c>
      <c r="I14" s="2"/>
      <c r="J14" s="2">
        <f t="shared" si="1"/>
        <v>0.4263576522216127</v>
      </c>
      <c r="K14" s="2">
        <f t="shared" si="2"/>
        <v>0.56308283049917718</v>
      </c>
      <c r="L14" s="2">
        <f t="shared" si="3"/>
        <v>0</v>
      </c>
      <c r="M14" s="2">
        <f t="shared" si="4"/>
        <v>1.0559517279210118E-2</v>
      </c>
      <c r="N14" s="63">
        <v>3109</v>
      </c>
      <c r="O14" s="63">
        <v>4106</v>
      </c>
      <c r="P14" s="63"/>
      <c r="Q14" s="63">
        <v>52</v>
      </c>
      <c r="R14" s="63">
        <v>6</v>
      </c>
      <c r="S14" s="63"/>
      <c r="T14" s="63"/>
      <c r="U14" s="63"/>
      <c r="V14" s="63"/>
      <c r="W14" s="63">
        <v>19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W14" s="5">
        <f>IF(Q14&gt;0,RANK(Q14,(N14:P14,Q14:AE14)),0)</f>
        <v>3</v>
      </c>
      <c r="AX14" s="5">
        <f>IF(R14&gt;0,RANK(R14,(N14:P14,Q14:AE14)),0)</f>
        <v>5</v>
      </c>
      <c r="AY14" s="5">
        <f>IF(T14&gt;0,RANK(T14,(N14:P14,Q14:AE14)),0)</f>
        <v>0</v>
      </c>
      <c r="AZ14" s="5">
        <f>IF(S14&gt;0,RANK(S14,(N14:P14,Q14:AE14)),0)</f>
        <v>0</v>
      </c>
      <c r="BA14" s="2">
        <f t="shared" si="5"/>
        <v>7.131102578167855E-3</v>
      </c>
      <c r="BB14" s="2">
        <f t="shared" si="6"/>
        <v>8.2281952825013713E-4</v>
      </c>
      <c r="BC14" s="2">
        <f t="shared" si="7"/>
        <v>0</v>
      </c>
      <c r="BD14" s="2">
        <f t="shared" si="8"/>
        <v>0</v>
      </c>
      <c r="BF14" t="s">
        <v>3104</v>
      </c>
      <c r="BG14" t="s">
        <v>2498</v>
      </c>
      <c r="BH14">
        <v>7</v>
      </c>
      <c r="BJ14" s="114">
        <v>1</v>
      </c>
      <c r="BK14" s="116">
        <v>23</v>
      </c>
      <c r="BL14" s="120">
        <f t="shared" si="11"/>
        <v>1023</v>
      </c>
      <c r="BN14" s="5" t="s">
        <v>3154</v>
      </c>
    </row>
    <row r="15" spans="1:82" hidden="1" outlineLevel="1">
      <c r="A15" t="s">
        <v>3092</v>
      </c>
      <c r="B15" t="s">
        <v>2498</v>
      </c>
      <c r="C15" s="1">
        <f t="shared" si="0"/>
        <v>13031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32">
        <f t="shared" si="9"/>
        <v>1391</v>
      </c>
      <c r="H15" s="137">
        <f t="shared" si="10"/>
        <v>0.10674545315018034</v>
      </c>
      <c r="I15" s="2"/>
      <c r="J15" s="2">
        <f t="shared" si="1"/>
        <v>0.44117872764945132</v>
      </c>
      <c r="K15" s="2">
        <f t="shared" si="2"/>
        <v>0.54792418079963168</v>
      </c>
      <c r="L15" s="2">
        <f t="shared" si="3"/>
        <v>0</v>
      </c>
      <c r="M15" s="2">
        <f t="shared" si="4"/>
        <v>1.0897091550917004E-2</v>
      </c>
      <c r="N15" s="63">
        <v>5749</v>
      </c>
      <c r="O15" s="63">
        <v>7140</v>
      </c>
      <c r="P15" s="63"/>
      <c r="Q15" s="63">
        <v>99</v>
      </c>
      <c r="R15" s="63">
        <v>17</v>
      </c>
      <c r="S15" s="63"/>
      <c r="T15" s="63"/>
      <c r="U15" s="63"/>
      <c r="V15" s="63"/>
      <c r="W15" s="63">
        <v>26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W15" s="5">
        <f>IF(Q15&gt;0,RANK(Q15,(N15:P15,Q15:AE15)),0)</f>
        <v>3</v>
      </c>
      <c r="AX15" s="5">
        <f>IF(R15&gt;0,RANK(R15,(N15:P15,Q15:AE15)),0)</f>
        <v>5</v>
      </c>
      <c r="AY15" s="5">
        <f>IF(T15&gt;0,RANK(T15,(N15:P15,Q15:AE15)),0)</f>
        <v>0</v>
      </c>
      <c r="AZ15" s="5">
        <f>IF(S15&gt;0,RANK(S15,(N15:P15,Q15:AE15)),0)</f>
        <v>0</v>
      </c>
      <c r="BA15" s="2">
        <f t="shared" si="5"/>
        <v>7.5972680531041364E-3</v>
      </c>
      <c r="BB15" s="2">
        <f t="shared" si="6"/>
        <v>1.3045813828562658E-3</v>
      </c>
      <c r="BC15" s="2">
        <f t="shared" si="7"/>
        <v>0</v>
      </c>
      <c r="BD15" s="2">
        <f t="shared" si="8"/>
        <v>0</v>
      </c>
      <c r="BF15" t="s">
        <v>3092</v>
      </c>
      <c r="BG15" t="s">
        <v>2498</v>
      </c>
      <c r="BJ15" s="114">
        <v>1</v>
      </c>
      <c r="BK15" s="116">
        <v>25</v>
      </c>
      <c r="BL15" s="120">
        <f t="shared" si="11"/>
        <v>1025</v>
      </c>
      <c r="BN15" s="5" t="s">
        <v>3154</v>
      </c>
    </row>
    <row r="16" spans="1:82" hidden="1" outlineLevel="1">
      <c r="A16" t="s">
        <v>3093</v>
      </c>
      <c r="B16" t="s">
        <v>2498</v>
      </c>
      <c r="C16" s="1">
        <f t="shared" si="0"/>
        <v>6624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32">
        <f t="shared" si="9"/>
        <v>4008</v>
      </c>
      <c r="H16" s="137">
        <f t="shared" si="10"/>
        <v>0.60507246376811596</v>
      </c>
      <c r="I16" s="2"/>
      <c r="J16" s="2">
        <f t="shared" si="1"/>
        <v>0.1867451690821256</v>
      </c>
      <c r="K16" s="2">
        <f t="shared" si="2"/>
        <v>0.79181763285024154</v>
      </c>
      <c r="L16" s="2">
        <f t="shared" si="3"/>
        <v>0</v>
      </c>
      <c r="M16" s="2">
        <f t="shared" si="4"/>
        <v>2.143719806763289E-2</v>
      </c>
      <c r="N16" s="63">
        <v>1237</v>
      </c>
      <c r="O16" s="63">
        <v>5245</v>
      </c>
      <c r="P16" s="63"/>
      <c r="Q16" s="63">
        <v>93</v>
      </c>
      <c r="R16" s="63">
        <v>16</v>
      </c>
      <c r="S16" s="63"/>
      <c r="T16" s="63"/>
      <c r="U16" s="63"/>
      <c r="V16" s="63"/>
      <c r="W16" s="63">
        <v>33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W16" s="5">
        <f>IF(Q16&gt;0,RANK(Q16,(N16:P16,Q16:AE16)),0)</f>
        <v>3</v>
      </c>
      <c r="AX16" s="5">
        <f>IF(R16&gt;0,RANK(R16,(N16:P16,Q16:AE16)),0)</f>
        <v>5</v>
      </c>
      <c r="AY16" s="5">
        <f>IF(T16&gt;0,RANK(T16,(N16:P16,Q16:AE16)),0)</f>
        <v>0</v>
      </c>
      <c r="AZ16" s="5">
        <f>IF(S16&gt;0,RANK(S16,(N16:P16,Q16:AE16)),0)</f>
        <v>0</v>
      </c>
      <c r="BA16" s="2">
        <f t="shared" si="5"/>
        <v>1.4039855072463768E-2</v>
      </c>
      <c r="BB16" s="2">
        <f t="shared" si="6"/>
        <v>2.4154589371980675E-3</v>
      </c>
      <c r="BC16" s="2">
        <f t="shared" si="7"/>
        <v>0</v>
      </c>
      <c r="BD16" s="2">
        <f t="shared" si="8"/>
        <v>0</v>
      </c>
      <c r="BF16" t="s">
        <v>3093</v>
      </c>
      <c r="BG16" t="s">
        <v>2498</v>
      </c>
      <c r="BH16">
        <v>3</v>
      </c>
      <c r="BJ16" s="114">
        <v>1</v>
      </c>
      <c r="BK16" s="116">
        <v>27</v>
      </c>
      <c r="BL16" s="120">
        <f t="shared" si="11"/>
        <v>1027</v>
      </c>
      <c r="BN16" s="5" t="s">
        <v>3154</v>
      </c>
    </row>
    <row r="17" spans="1:66" hidden="1" outlineLevel="1">
      <c r="A17" t="s">
        <v>1017</v>
      </c>
      <c r="B17" t="s">
        <v>2498</v>
      </c>
      <c r="C17" s="1">
        <f t="shared" si="0"/>
        <v>6593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32">
        <f t="shared" si="9"/>
        <v>5080</v>
      </c>
      <c r="H17" s="137">
        <f t="shared" si="10"/>
        <v>0.770514181707872</v>
      </c>
      <c r="I17" s="2"/>
      <c r="J17" s="2">
        <f t="shared" si="1"/>
        <v>0.1037463976945245</v>
      </c>
      <c r="K17" s="2">
        <f t="shared" si="2"/>
        <v>0.87426057940239643</v>
      </c>
      <c r="L17" s="2">
        <f t="shared" si="3"/>
        <v>0</v>
      </c>
      <c r="M17" s="2">
        <f t="shared" si="4"/>
        <v>2.1993022903079029E-2</v>
      </c>
      <c r="N17" s="63">
        <v>684</v>
      </c>
      <c r="O17" s="63">
        <v>5764</v>
      </c>
      <c r="P17" s="63"/>
      <c r="Q17" s="63">
        <v>90</v>
      </c>
      <c r="R17" s="63">
        <v>20</v>
      </c>
      <c r="S17" s="63"/>
      <c r="T17" s="63"/>
      <c r="U17" s="63"/>
      <c r="V17" s="63"/>
      <c r="W17" s="63">
        <v>35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W17" s="5">
        <f>IF(Q17&gt;0,RANK(Q17,(N17:P17,Q17:AE17)),0)</f>
        <v>3</v>
      </c>
      <c r="AX17" s="5">
        <f>IF(R17&gt;0,RANK(R17,(N17:P17,Q17:AE17)),0)</f>
        <v>5</v>
      </c>
      <c r="AY17" s="5">
        <f>IF(T17&gt;0,RANK(T17,(N17:P17,Q17:AE17)),0)</f>
        <v>0</v>
      </c>
      <c r="AZ17" s="5">
        <f>IF(S17&gt;0,RANK(S17,(N17:P17,Q17:AE17)),0)</f>
        <v>0</v>
      </c>
      <c r="BA17" s="2">
        <f t="shared" si="5"/>
        <v>1.3650841801911118E-2</v>
      </c>
      <c r="BB17" s="2">
        <f t="shared" si="6"/>
        <v>3.033520400424693E-3</v>
      </c>
      <c r="BC17" s="2">
        <f t="shared" si="7"/>
        <v>0</v>
      </c>
      <c r="BD17" s="2">
        <f t="shared" si="8"/>
        <v>0</v>
      </c>
      <c r="BF17" t="s">
        <v>1017</v>
      </c>
      <c r="BG17" t="s">
        <v>2498</v>
      </c>
      <c r="BH17">
        <v>3</v>
      </c>
      <c r="BJ17" s="114">
        <v>1</v>
      </c>
      <c r="BK17" s="116">
        <v>29</v>
      </c>
      <c r="BL17" s="120">
        <f t="shared" si="11"/>
        <v>1029</v>
      </c>
      <c r="BN17" s="5" t="s">
        <v>3154</v>
      </c>
    </row>
    <row r="18" spans="1:66" hidden="1" outlineLevel="1">
      <c r="A18" t="s">
        <v>1095</v>
      </c>
      <c r="B18" t="s">
        <v>2498</v>
      </c>
      <c r="C18" s="1">
        <f t="shared" si="0"/>
        <v>20767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32">
        <f t="shared" si="9"/>
        <v>11654</v>
      </c>
      <c r="H18" s="137">
        <f t="shared" si="10"/>
        <v>0.56117879327779652</v>
      </c>
      <c r="I18" s="2"/>
      <c r="J18" s="2">
        <f t="shared" si="1"/>
        <v>0.20325516444358838</v>
      </c>
      <c r="K18" s="2">
        <f t="shared" si="2"/>
        <v>0.76443395772138489</v>
      </c>
      <c r="L18" s="2">
        <f t="shared" si="3"/>
        <v>0</v>
      </c>
      <c r="M18" s="2">
        <f t="shared" si="4"/>
        <v>3.231087783502673E-2</v>
      </c>
      <c r="N18" s="63">
        <v>4221</v>
      </c>
      <c r="O18" s="63">
        <v>15875</v>
      </c>
      <c r="P18" s="63"/>
      <c r="Q18" s="63">
        <v>396</v>
      </c>
      <c r="R18" s="63">
        <v>104</v>
      </c>
      <c r="S18" s="63"/>
      <c r="T18" s="63"/>
      <c r="U18" s="63"/>
      <c r="V18" s="63"/>
      <c r="W18" s="63">
        <v>171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W18" s="5">
        <f>IF(Q18&gt;0,RANK(Q18,(N18:P18,Q18:AE18)),0)</f>
        <v>3</v>
      </c>
      <c r="AX18" s="5">
        <f>IF(R18&gt;0,RANK(R18,(N18:P18,Q18:AE18)),0)</f>
        <v>5</v>
      </c>
      <c r="AY18" s="5">
        <f>IF(T18&gt;0,RANK(T18,(N18:P18,Q18:AE18)),0)</f>
        <v>0</v>
      </c>
      <c r="AZ18" s="5">
        <f>IF(S18&gt;0,RANK(S18,(N18:P18,Q18:AE18)),0)</f>
        <v>0</v>
      </c>
      <c r="BA18" s="2">
        <f t="shared" si="5"/>
        <v>1.9068714787884626E-2</v>
      </c>
      <c r="BB18" s="2">
        <f t="shared" si="6"/>
        <v>5.0079452978282852E-3</v>
      </c>
      <c r="BC18" s="2">
        <f t="shared" si="7"/>
        <v>0</v>
      </c>
      <c r="BD18" s="2">
        <f t="shared" si="8"/>
        <v>0</v>
      </c>
      <c r="BF18" t="s">
        <v>1095</v>
      </c>
      <c r="BG18" t="s">
        <v>2498</v>
      </c>
      <c r="BH18">
        <v>2</v>
      </c>
      <c r="BJ18" s="114">
        <v>1</v>
      </c>
      <c r="BK18" s="116">
        <v>31</v>
      </c>
      <c r="BL18" s="120">
        <f t="shared" si="11"/>
        <v>1031</v>
      </c>
      <c r="BN18" s="5" t="s">
        <v>3154</v>
      </c>
    </row>
    <row r="19" spans="1:66" hidden="1" outlineLevel="1">
      <c r="A19" t="s">
        <v>2926</v>
      </c>
      <c r="B19" t="s">
        <v>2498</v>
      </c>
      <c r="C19" s="1">
        <f t="shared" si="0"/>
        <v>24915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32">
        <f t="shared" si="9"/>
        <v>9434</v>
      </c>
      <c r="H19" s="137">
        <f t="shared" si="10"/>
        <v>0.37864740116395745</v>
      </c>
      <c r="I19" s="2"/>
      <c r="J19" s="2">
        <f t="shared" si="1"/>
        <v>0.2934778246036524</v>
      </c>
      <c r="K19" s="2">
        <f t="shared" si="2"/>
        <v>0.67212522576760991</v>
      </c>
      <c r="L19" s="2">
        <f t="shared" si="3"/>
        <v>0</v>
      </c>
      <c r="M19" s="2">
        <f t="shared" si="4"/>
        <v>3.4396949628737628E-2</v>
      </c>
      <c r="N19" s="63">
        <v>7312</v>
      </c>
      <c r="O19" s="63">
        <v>16746</v>
      </c>
      <c r="P19" s="63"/>
      <c r="Q19" s="63">
        <v>511</v>
      </c>
      <c r="R19" s="63">
        <v>107</v>
      </c>
      <c r="S19" s="63"/>
      <c r="T19" s="63"/>
      <c r="U19" s="63"/>
      <c r="V19" s="63"/>
      <c r="W19" s="63">
        <v>239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W19" s="5">
        <f>IF(Q19&gt;0,RANK(Q19,(N19:P19,Q19:AE19)),0)</f>
        <v>3</v>
      </c>
      <c r="AX19" s="5">
        <f>IF(R19&gt;0,RANK(R19,(N19:P19,Q19:AE19)),0)</f>
        <v>5</v>
      </c>
      <c r="AY19" s="5">
        <f>IF(T19&gt;0,RANK(T19,(N19:P19,Q19:AE19)),0)</f>
        <v>0</v>
      </c>
      <c r="AZ19" s="5">
        <f>IF(S19&gt;0,RANK(S19,(N19:P19,Q19:AE19)),0)</f>
        <v>0</v>
      </c>
      <c r="BA19" s="2">
        <f t="shared" si="5"/>
        <v>2.050973309251455E-2</v>
      </c>
      <c r="BB19" s="2">
        <f t="shared" si="6"/>
        <v>4.2946016455950231E-3</v>
      </c>
      <c r="BC19" s="2">
        <f t="shared" si="7"/>
        <v>0</v>
      </c>
      <c r="BD19" s="2">
        <f t="shared" si="8"/>
        <v>0</v>
      </c>
      <c r="BF19" t="s">
        <v>2926</v>
      </c>
      <c r="BG19" t="s">
        <v>2498</v>
      </c>
      <c r="BH19">
        <v>4</v>
      </c>
      <c r="BJ19" s="114">
        <v>1</v>
      </c>
      <c r="BK19" s="116">
        <v>33</v>
      </c>
      <c r="BL19" s="120">
        <f t="shared" si="11"/>
        <v>1033</v>
      </c>
      <c r="BN19" s="5" t="s">
        <v>3154</v>
      </c>
    </row>
    <row r="20" spans="1:66" hidden="1" outlineLevel="1">
      <c r="A20" t="s">
        <v>1927</v>
      </c>
      <c r="B20" t="s">
        <v>2498</v>
      </c>
      <c r="C20" s="1">
        <f t="shared" si="0"/>
        <v>6585</v>
      </c>
      <c r="D20" s="5">
        <f>IF(N20&gt;0, RANK(N20,(N20:P20,Q20:AE20)),0)</f>
        <v>2</v>
      </c>
      <c r="E20" s="5">
        <f>IF(O20&gt;0,RANK(O20,(N20:P20,Q20:AE20)),0)</f>
        <v>1</v>
      </c>
      <c r="F20" s="5">
        <f>IF(P20&gt;0,RANK(P20,(N20:P20,Q20:AE20)),0)</f>
        <v>0</v>
      </c>
      <c r="G20" s="132">
        <f t="shared" si="9"/>
        <v>340</v>
      </c>
      <c r="H20" s="137">
        <f t="shared" si="10"/>
        <v>5.1632498101746395E-2</v>
      </c>
      <c r="I20" s="2"/>
      <c r="J20" s="2">
        <f t="shared" si="1"/>
        <v>0.46772968868640852</v>
      </c>
      <c r="K20" s="2">
        <f t="shared" si="2"/>
        <v>0.51936218678815493</v>
      </c>
      <c r="L20" s="2">
        <f t="shared" si="3"/>
        <v>0</v>
      </c>
      <c r="M20" s="2">
        <f t="shared" si="4"/>
        <v>1.2908124525436548E-2</v>
      </c>
      <c r="N20" s="63">
        <v>3080</v>
      </c>
      <c r="O20" s="63">
        <v>3420</v>
      </c>
      <c r="P20" s="63"/>
      <c r="Q20" s="63">
        <v>51</v>
      </c>
      <c r="R20" s="63">
        <v>10</v>
      </c>
      <c r="S20" s="63"/>
      <c r="T20" s="63"/>
      <c r="U20" s="63"/>
      <c r="V20" s="63"/>
      <c r="W20" s="63">
        <v>24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W20" s="5">
        <f>IF(Q20&gt;0,RANK(Q20,(N20:P20,Q20:AE20)),0)</f>
        <v>3</v>
      </c>
      <c r="AX20" s="5">
        <f>IF(R20&gt;0,RANK(R20,(N20:P20,Q20:AE20)),0)</f>
        <v>5</v>
      </c>
      <c r="AY20" s="5">
        <f>IF(T20&gt;0,RANK(T20,(N20:P20,Q20:AE20)),0)</f>
        <v>0</v>
      </c>
      <c r="AZ20" s="5">
        <f>IF(S20&gt;0,RANK(S20,(N20:P20,Q20:AE20)),0)</f>
        <v>0</v>
      </c>
      <c r="BA20" s="2">
        <f t="shared" si="5"/>
        <v>7.7448747152619587E-3</v>
      </c>
      <c r="BB20" s="2">
        <f t="shared" si="6"/>
        <v>1.5186028853454822E-3</v>
      </c>
      <c r="BC20" s="2">
        <f t="shared" si="7"/>
        <v>0</v>
      </c>
      <c r="BD20" s="2">
        <f t="shared" si="8"/>
        <v>0</v>
      </c>
      <c r="BF20" t="s">
        <v>1927</v>
      </c>
      <c r="BG20" t="s">
        <v>2498</v>
      </c>
      <c r="BH20">
        <v>2</v>
      </c>
      <c r="BJ20" s="114">
        <v>1</v>
      </c>
      <c r="BK20" s="116">
        <v>35</v>
      </c>
      <c r="BL20" s="120">
        <f t="shared" si="11"/>
        <v>1035</v>
      </c>
      <c r="BN20" s="5" t="s">
        <v>3154</v>
      </c>
    </row>
    <row r="21" spans="1:66" hidden="1" outlineLevel="1">
      <c r="A21" t="s">
        <v>2091</v>
      </c>
      <c r="B21" t="s">
        <v>2498</v>
      </c>
      <c r="C21" s="1">
        <f t="shared" si="0"/>
        <v>5252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32">
        <f t="shared" si="9"/>
        <v>1599</v>
      </c>
      <c r="H21" s="137">
        <f t="shared" si="10"/>
        <v>0.30445544554455445</v>
      </c>
      <c r="I21" s="2"/>
      <c r="J21" s="2">
        <f t="shared" si="1"/>
        <v>0.33929931454683931</v>
      </c>
      <c r="K21" s="2">
        <f t="shared" si="2"/>
        <v>0.64375476009139376</v>
      </c>
      <c r="L21" s="2">
        <f t="shared" si="3"/>
        <v>0</v>
      </c>
      <c r="M21" s="2">
        <f t="shared" si="4"/>
        <v>1.6945925361766978E-2</v>
      </c>
      <c r="N21" s="63">
        <v>1782</v>
      </c>
      <c r="O21" s="63">
        <v>3381</v>
      </c>
      <c r="P21" s="63"/>
      <c r="Q21" s="63">
        <v>53</v>
      </c>
      <c r="R21" s="63">
        <v>14</v>
      </c>
      <c r="S21" s="63"/>
      <c r="T21" s="63"/>
      <c r="U21" s="63"/>
      <c r="V21" s="63"/>
      <c r="W21" s="63">
        <v>22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W21" s="5">
        <f>IF(Q21&gt;0,RANK(Q21,(N21:P21,Q21:AE21)),0)</f>
        <v>3</v>
      </c>
      <c r="AX21" s="5">
        <f>IF(R21&gt;0,RANK(R21,(N21:P21,Q21:AE21)),0)</f>
        <v>5</v>
      </c>
      <c r="AY21" s="5">
        <f>IF(T21&gt;0,RANK(T21,(N21:P21,Q21:AE21)),0)</f>
        <v>0</v>
      </c>
      <c r="AZ21" s="5">
        <f>IF(S21&gt;0,RANK(S21,(N21:P21,Q21:AE21)),0)</f>
        <v>0</v>
      </c>
      <c r="BA21" s="2">
        <f t="shared" si="5"/>
        <v>1.0091393754760092E-2</v>
      </c>
      <c r="BB21" s="2">
        <f t="shared" si="6"/>
        <v>2.6656511805026656E-3</v>
      </c>
      <c r="BC21" s="2">
        <f t="shared" si="7"/>
        <v>0</v>
      </c>
      <c r="BD21" s="2">
        <f t="shared" si="8"/>
        <v>0</v>
      </c>
      <c r="BF21" t="s">
        <v>2091</v>
      </c>
      <c r="BG21" t="s">
        <v>2498</v>
      </c>
      <c r="BH21">
        <v>6</v>
      </c>
      <c r="BJ21" s="114">
        <v>1</v>
      </c>
      <c r="BK21" s="116">
        <v>37</v>
      </c>
      <c r="BL21" s="120">
        <f t="shared" si="11"/>
        <v>1037</v>
      </c>
      <c r="BN21" s="5" t="s">
        <v>3154</v>
      </c>
    </row>
    <row r="22" spans="1:66" hidden="1" outlineLevel="1">
      <c r="A22" t="s">
        <v>1516</v>
      </c>
      <c r="B22" t="s">
        <v>2498</v>
      </c>
      <c r="C22" s="1">
        <f t="shared" si="0"/>
        <v>15940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32">
        <f t="shared" si="9"/>
        <v>10880</v>
      </c>
      <c r="H22" s="137">
        <f t="shared" si="10"/>
        <v>0.68255959849435388</v>
      </c>
      <c r="I22" s="2"/>
      <c r="J22" s="2">
        <f t="shared" si="1"/>
        <v>0.14974905897114177</v>
      </c>
      <c r="K22" s="2">
        <f t="shared" si="2"/>
        <v>0.83230865746549565</v>
      </c>
      <c r="L22" s="2">
        <f t="shared" si="3"/>
        <v>0</v>
      </c>
      <c r="M22" s="2">
        <f t="shared" si="4"/>
        <v>1.7942283563362582E-2</v>
      </c>
      <c r="N22" s="63">
        <v>2387</v>
      </c>
      <c r="O22" s="63">
        <v>13267</v>
      </c>
      <c r="P22" s="63"/>
      <c r="Q22" s="63">
        <v>183</v>
      </c>
      <c r="R22" s="63">
        <v>36</v>
      </c>
      <c r="S22" s="63"/>
      <c r="T22" s="63"/>
      <c r="U22" s="63"/>
      <c r="V22" s="63"/>
      <c r="W22" s="63">
        <v>67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W22" s="5">
        <f>IF(Q22&gt;0,RANK(Q22,(N22:P22,Q22:AE22)),0)</f>
        <v>3</v>
      </c>
      <c r="AX22" s="5">
        <f>IF(R22&gt;0,RANK(R22,(N22:P22,Q22:AE22)),0)</f>
        <v>5</v>
      </c>
      <c r="AY22" s="5">
        <f>IF(T22&gt;0,RANK(T22,(N22:P22,Q22:AE22)),0)</f>
        <v>0</v>
      </c>
      <c r="AZ22" s="5">
        <f>IF(S22&gt;0,RANK(S22,(N22:P22,Q22:AE22)),0)</f>
        <v>0</v>
      </c>
      <c r="BA22" s="2">
        <f t="shared" si="5"/>
        <v>1.1480552070263488E-2</v>
      </c>
      <c r="BB22" s="2">
        <f t="shared" si="6"/>
        <v>2.2584692597239649E-3</v>
      </c>
      <c r="BC22" s="2">
        <f t="shared" si="7"/>
        <v>0</v>
      </c>
      <c r="BD22" s="2">
        <f t="shared" si="8"/>
        <v>0</v>
      </c>
      <c r="BF22" t="s">
        <v>1516</v>
      </c>
      <c r="BG22" t="s">
        <v>2498</v>
      </c>
      <c r="BH22">
        <v>2</v>
      </c>
      <c r="BJ22" s="114">
        <v>1</v>
      </c>
      <c r="BK22" s="116">
        <v>39</v>
      </c>
      <c r="BL22" s="120">
        <f t="shared" si="11"/>
        <v>1039</v>
      </c>
      <c r="BN22" s="5" t="s">
        <v>3154</v>
      </c>
    </row>
    <row r="23" spans="1:66" hidden="1" outlineLevel="1">
      <c r="A23" t="s">
        <v>943</v>
      </c>
      <c r="B23" t="s">
        <v>2498</v>
      </c>
      <c r="C23" s="1">
        <f t="shared" si="0"/>
        <v>6267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32">
        <f t="shared" si="9"/>
        <v>2849</v>
      </c>
      <c r="H23" s="137">
        <f t="shared" si="10"/>
        <v>0.45460347853837563</v>
      </c>
      <c r="I23" s="2"/>
      <c r="J23" s="2">
        <f t="shared" si="1"/>
        <v>0.26551779160682942</v>
      </c>
      <c r="K23" s="2">
        <f t="shared" si="2"/>
        <v>0.72012127014520499</v>
      </c>
      <c r="L23" s="2">
        <f t="shared" si="3"/>
        <v>0</v>
      </c>
      <c r="M23" s="2">
        <f t="shared" si="4"/>
        <v>1.4360938247965582E-2</v>
      </c>
      <c r="N23" s="63">
        <v>1664</v>
      </c>
      <c r="O23" s="63">
        <v>4513</v>
      </c>
      <c r="P23" s="63"/>
      <c r="Q23" s="63">
        <v>65</v>
      </c>
      <c r="R23" s="63">
        <v>14</v>
      </c>
      <c r="S23" s="63"/>
      <c r="T23" s="63"/>
      <c r="U23" s="63"/>
      <c r="V23" s="63"/>
      <c r="W23" s="63">
        <v>11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W23" s="5">
        <f>IF(Q23&gt;0,RANK(Q23,(N23:P23,Q23:AE23)),0)</f>
        <v>3</v>
      </c>
      <c r="AX23" s="5">
        <f>IF(R23&gt;0,RANK(R23,(N23:P23,Q23:AE23)),0)</f>
        <v>4</v>
      </c>
      <c r="AY23" s="5">
        <f>IF(T23&gt;0,RANK(T23,(N23:P23,Q23:AE23)),0)</f>
        <v>0</v>
      </c>
      <c r="AZ23" s="5">
        <f>IF(S23&gt;0,RANK(S23,(N23:P23,Q23:AE23)),0)</f>
        <v>0</v>
      </c>
      <c r="BA23" s="2">
        <f t="shared" si="5"/>
        <v>1.0371788734641774E-2</v>
      </c>
      <c r="BB23" s="2">
        <f t="shared" si="6"/>
        <v>2.2339237274613052E-3</v>
      </c>
      <c r="BC23" s="2">
        <f t="shared" si="7"/>
        <v>0</v>
      </c>
      <c r="BD23" s="2">
        <f t="shared" si="8"/>
        <v>0</v>
      </c>
      <c r="BF23" t="s">
        <v>943</v>
      </c>
      <c r="BG23" t="s">
        <v>2498</v>
      </c>
      <c r="BH23">
        <v>2</v>
      </c>
      <c r="BJ23" s="114">
        <v>1</v>
      </c>
      <c r="BK23" s="116">
        <v>41</v>
      </c>
      <c r="BL23" s="120">
        <f t="shared" si="11"/>
        <v>1041</v>
      </c>
      <c r="BN23" s="5" t="s">
        <v>3154</v>
      </c>
    </row>
    <row r="24" spans="1:66" hidden="1" outlineLevel="1">
      <c r="A24" t="s">
        <v>1479</v>
      </c>
      <c r="B24" t="s">
        <v>2498</v>
      </c>
      <c r="C24" s="1">
        <f t="shared" si="0"/>
        <v>37873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32">
        <f t="shared" si="9"/>
        <v>29191</v>
      </c>
      <c r="H24" s="137">
        <f t="shared" si="10"/>
        <v>0.77076017215430515</v>
      </c>
      <c r="I24" s="2"/>
      <c r="J24" s="2">
        <f t="shared" si="1"/>
        <v>0.10028252316954031</v>
      </c>
      <c r="K24" s="2">
        <f t="shared" si="2"/>
        <v>0.87104269532384548</v>
      </c>
      <c r="L24" s="2">
        <f t="shared" si="3"/>
        <v>0</v>
      </c>
      <c r="M24" s="2">
        <f t="shared" si="4"/>
        <v>2.8674781506614178E-2</v>
      </c>
      <c r="N24" s="63">
        <v>3798</v>
      </c>
      <c r="O24" s="63">
        <v>32989</v>
      </c>
      <c r="P24" s="63"/>
      <c r="Q24" s="63">
        <v>687</v>
      </c>
      <c r="R24" s="63">
        <v>134</v>
      </c>
      <c r="S24" s="63"/>
      <c r="T24" s="63"/>
      <c r="U24" s="63"/>
      <c r="V24" s="63"/>
      <c r="W24" s="63">
        <v>265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W24" s="5">
        <f>IF(Q24&gt;0,RANK(Q24,(N24:P24,Q24:AE24)),0)</f>
        <v>3</v>
      </c>
      <c r="AX24" s="5">
        <f>IF(R24&gt;0,RANK(R24,(N24:P24,Q24:AE24)),0)</f>
        <v>5</v>
      </c>
      <c r="AY24" s="5">
        <f>IF(T24&gt;0,RANK(T24,(N24:P24,Q24:AE24)),0)</f>
        <v>0</v>
      </c>
      <c r="AZ24" s="5">
        <f>IF(S24&gt;0,RANK(S24,(N24:P24,Q24:AE24)),0)</f>
        <v>0</v>
      </c>
      <c r="BA24" s="2">
        <f t="shared" si="5"/>
        <v>1.8139571726559819E-2</v>
      </c>
      <c r="BB24" s="2">
        <f t="shared" si="6"/>
        <v>3.5381406278879412E-3</v>
      </c>
      <c r="BC24" s="2">
        <f t="shared" si="7"/>
        <v>0</v>
      </c>
      <c r="BD24" s="2">
        <f t="shared" si="8"/>
        <v>0</v>
      </c>
      <c r="BF24" t="s">
        <v>1479</v>
      </c>
      <c r="BG24" t="s">
        <v>2498</v>
      </c>
      <c r="BH24">
        <v>4</v>
      </c>
      <c r="BJ24" s="114">
        <v>1</v>
      </c>
      <c r="BK24" s="116">
        <v>43</v>
      </c>
      <c r="BL24" s="120">
        <f t="shared" si="11"/>
        <v>1043</v>
      </c>
      <c r="BN24" s="5" t="s">
        <v>3154</v>
      </c>
    </row>
    <row r="25" spans="1:66" hidden="1" outlineLevel="1">
      <c r="A25" t="s">
        <v>1629</v>
      </c>
      <c r="B25" t="s">
        <v>2498</v>
      </c>
      <c r="C25" s="1">
        <f t="shared" si="0"/>
        <v>18749</v>
      </c>
      <c r="D25" s="5">
        <f>IF(N25&gt;0, RANK(N25,(N25:P25,Q25:AE25)),0)</f>
        <v>2</v>
      </c>
      <c r="E25" s="5">
        <f>IF(O25&gt;0,RANK(O25,(N25:P25,Q25:AE25)),0)</f>
        <v>1</v>
      </c>
      <c r="F25" s="5">
        <f>IF(P25&gt;0,RANK(P25,(N25:P25,Q25:AE25)),0)</f>
        <v>0</v>
      </c>
      <c r="G25" s="132">
        <f t="shared" si="9"/>
        <v>9395</v>
      </c>
      <c r="H25" s="137">
        <f t="shared" si="10"/>
        <v>0.50109339164755451</v>
      </c>
      <c r="I25" s="2"/>
      <c r="J25" s="2">
        <f t="shared" si="1"/>
        <v>0.23537255320283748</v>
      </c>
      <c r="K25" s="2">
        <f t="shared" si="2"/>
        <v>0.73646594485039207</v>
      </c>
      <c r="L25" s="2">
        <f t="shared" si="3"/>
        <v>0</v>
      </c>
      <c r="M25" s="2">
        <f t="shared" si="4"/>
        <v>2.8161501946770473E-2</v>
      </c>
      <c r="N25" s="63">
        <v>4413</v>
      </c>
      <c r="O25" s="63">
        <v>13808</v>
      </c>
      <c r="P25" s="63"/>
      <c r="Q25" s="63">
        <v>350</v>
      </c>
      <c r="R25" s="63">
        <v>62</v>
      </c>
      <c r="S25" s="63"/>
      <c r="T25" s="63"/>
      <c r="U25" s="63"/>
      <c r="V25" s="63"/>
      <c r="W25" s="63">
        <v>116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W25" s="5">
        <f>IF(Q25&gt;0,RANK(Q25,(N25:P25,Q25:AE25)),0)</f>
        <v>3</v>
      </c>
      <c r="AX25" s="5">
        <f>IF(R25&gt;0,RANK(R25,(N25:P25,Q25:AE25)),0)</f>
        <v>5</v>
      </c>
      <c r="AY25" s="5">
        <f>IF(T25&gt;0,RANK(T25,(N25:P25,Q25:AE25)),0)</f>
        <v>0</v>
      </c>
      <c r="AZ25" s="5">
        <f>IF(S25&gt;0,RANK(S25,(N25:P25,Q25:AE25)),0)</f>
        <v>0</v>
      </c>
      <c r="BA25" s="2">
        <f t="shared" si="5"/>
        <v>1.8667662275321351E-2</v>
      </c>
      <c r="BB25" s="2">
        <f t="shared" si="6"/>
        <v>3.3068430316283534E-3</v>
      </c>
      <c r="BC25" s="2">
        <f t="shared" si="7"/>
        <v>0</v>
      </c>
      <c r="BD25" s="2">
        <f t="shared" si="8"/>
        <v>0</v>
      </c>
      <c r="BF25" t="s">
        <v>1629</v>
      </c>
      <c r="BG25" t="s">
        <v>2498</v>
      </c>
      <c r="BH25">
        <v>2</v>
      </c>
      <c r="BJ25" s="114">
        <v>1</v>
      </c>
      <c r="BK25" s="116">
        <v>45</v>
      </c>
      <c r="BL25" s="120">
        <f t="shared" si="11"/>
        <v>1045</v>
      </c>
      <c r="BN25" s="5" t="s">
        <v>3154</v>
      </c>
    </row>
    <row r="26" spans="1:66" hidden="1" outlineLevel="1">
      <c r="A26" t="s">
        <v>1086</v>
      </c>
      <c r="B26" t="s">
        <v>2498</v>
      </c>
      <c r="C26" s="1">
        <f t="shared" si="0"/>
        <v>18792</v>
      </c>
      <c r="D26" s="5">
        <f>IF(N26&gt;0, RANK(N26,(N26:P26,Q26:AE26)),0)</f>
        <v>1</v>
      </c>
      <c r="E26" s="5">
        <f>IF(O26&gt;0,RANK(O26,(N26:P26,Q26:AE26)),0)</f>
        <v>2</v>
      </c>
      <c r="F26" s="5">
        <f>IF(P26&gt;0,RANK(P26,(N26:P26,Q26:AE26)),0)</f>
        <v>0</v>
      </c>
      <c r="G26" s="132">
        <f t="shared" si="9"/>
        <v>7047</v>
      </c>
      <c r="H26" s="137">
        <f t="shared" si="10"/>
        <v>0.375</v>
      </c>
      <c r="I26" s="2"/>
      <c r="J26" s="2">
        <f t="shared" si="1"/>
        <v>0.68305661983822907</v>
      </c>
      <c r="K26" s="2">
        <f t="shared" si="2"/>
        <v>0.30805661983822902</v>
      </c>
      <c r="L26" s="2">
        <f t="shared" si="3"/>
        <v>0</v>
      </c>
      <c r="M26" s="2">
        <f t="shared" si="4"/>
        <v>8.886760323541909E-3</v>
      </c>
      <c r="N26" s="63">
        <v>12836</v>
      </c>
      <c r="O26" s="63">
        <v>5789</v>
      </c>
      <c r="P26" s="63"/>
      <c r="Q26" s="63">
        <v>96</v>
      </c>
      <c r="R26" s="63">
        <v>24</v>
      </c>
      <c r="S26" s="63"/>
      <c r="T26" s="63"/>
      <c r="U26" s="63"/>
      <c r="V26" s="63"/>
      <c r="W26" s="63">
        <v>47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W26" s="5">
        <f>IF(Q26&gt;0,RANK(Q26,(N26:P26,Q26:AE26)),0)</f>
        <v>3</v>
      </c>
      <c r="AX26" s="5">
        <f>IF(R26&gt;0,RANK(R26,(N26:P26,Q26:AE26)),0)</f>
        <v>5</v>
      </c>
      <c r="AY26" s="5">
        <f>IF(T26&gt;0,RANK(T26,(N26:P26,Q26:AE26)),0)</f>
        <v>0</v>
      </c>
      <c r="AZ26" s="5">
        <f>IF(S26&gt;0,RANK(S26,(N26:P26,Q26:AE26)),0)</f>
        <v>0</v>
      </c>
      <c r="BA26" s="2">
        <f t="shared" si="5"/>
        <v>5.108556832694764E-3</v>
      </c>
      <c r="BB26" s="2">
        <f t="shared" si="6"/>
        <v>1.277139208173691E-3</v>
      </c>
      <c r="BC26" s="2">
        <f t="shared" si="7"/>
        <v>0</v>
      </c>
      <c r="BD26" s="2">
        <f t="shared" si="8"/>
        <v>0</v>
      </c>
      <c r="BF26" t="s">
        <v>1086</v>
      </c>
      <c r="BG26" t="s">
        <v>2498</v>
      </c>
      <c r="BH26">
        <v>7</v>
      </c>
      <c r="BJ26" s="114">
        <v>1</v>
      </c>
      <c r="BK26" s="116">
        <v>47</v>
      </c>
      <c r="BL26" s="120">
        <f t="shared" si="11"/>
        <v>1047</v>
      </c>
      <c r="BN26" s="5" t="s">
        <v>3154</v>
      </c>
    </row>
    <row r="27" spans="1:66" hidden="1" outlineLevel="1">
      <c r="A27" t="s">
        <v>1087</v>
      </c>
      <c r="B27" t="s">
        <v>2498</v>
      </c>
      <c r="C27" s="1">
        <f t="shared" si="0"/>
        <v>25826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32">
        <f t="shared" si="9"/>
        <v>17783</v>
      </c>
      <c r="H27" s="137">
        <f t="shared" si="10"/>
        <v>0.68856965848369855</v>
      </c>
      <c r="I27" s="2"/>
      <c r="J27" s="2">
        <f t="shared" si="1"/>
        <v>0.14024626345543251</v>
      </c>
      <c r="K27" s="2">
        <f t="shared" si="2"/>
        <v>0.82881592193913112</v>
      </c>
      <c r="L27" s="2">
        <f t="shared" si="3"/>
        <v>0</v>
      </c>
      <c r="M27" s="2">
        <f t="shared" si="4"/>
        <v>3.0937814605436431E-2</v>
      </c>
      <c r="N27" s="63">
        <v>3622</v>
      </c>
      <c r="O27" s="63">
        <v>21405</v>
      </c>
      <c r="P27" s="63"/>
      <c r="Q27" s="63">
        <v>458</v>
      </c>
      <c r="R27" s="63">
        <v>152</v>
      </c>
      <c r="S27" s="63"/>
      <c r="T27" s="63"/>
      <c r="U27" s="63"/>
      <c r="V27" s="63"/>
      <c r="W27" s="63">
        <v>189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W27" s="5">
        <f>IF(Q27&gt;0,RANK(Q27,(N27:P27,Q27:AE27)),0)</f>
        <v>3</v>
      </c>
      <c r="AX27" s="5">
        <f>IF(R27&gt;0,RANK(R27,(N27:P27,Q27:AE27)),0)</f>
        <v>5</v>
      </c>
      <c r="AY27" s="5">
        <f>IF(T27&gt;0,RANK(T27,(N27:P27,Q27:AE27)),0)</f>
        <v>0</v>
      </c>
      <c r="AZ27" s="5">
        <f>IF(S27&gt;0,RANK(S27,(N27:P27,Q27:AE27)),0)</f>
        <v>0</v>
      </c>
      <c r="BA27" s="2">
        <f t="shared" si="5"/>
        <v>1.7734066444668163E-2</v>
      </c>
      <c r="BB27" s="2">
        <f t="shared" si="6"/>
        <v>5.8855417021606137E-3</v>
      </c>
      <c r="BC27" s="2">
        <f t="shared" si="7"/>
        <v>0</v>
      </c>
      <c r="BD27" s="2">
        <f t="shared" si="8"/>
        <v>0</v>
      </c>
      <c r="BF27" t="s">
        <v>1087</v>
      </c>
      <c r="BG27" t="s">
        <v>2498</v>
      </c>
      <c r="BH27">
        <v>4</v>
      </c>
      <c r="BJ27" s="114">
        <v>1</v>
      </c>
      <c r="BK27" s="116">
        <v>49</v>
      </c>
      <c r="BL27" s="120">
        <f t="shared" si="11"/>
        <v>1049</v>
      </c>
      <c r="BN27" s="5" t="s">
        <v>3154</v>
      </c>
    </row>
    <row r="28" spans="1:66" hidden="1" outlineLevel="1">
      <c r="A28" t="s">
        <v>743</v>
      </c>
      <c r="B28" t="s">
        <v>2498</v>
      </c>
      <c r="C28" s="1">
        <f t="shared" si="0"/>
        <v>37260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32">
        <f t="shared" si="9"/>
        <v>19191</v>
      </c>
      <c r="H28" s="137">
        <f t="shared" si="10"/>
        <v>0.51505636070853467</v>
      </c>
      <c r="I28" s="2"/>
      <c r="J28" s="2">
        <f t="shared" si="1"/>
        <v>0.22659688674181427</v>
      </c>
      <c r="K28" s="2">
        <f t="shared" si="2"/>
        <v>0.74165324745034888</v>
      </c>
      <c r="L28" s="2">
        <f t="shared" si="3"/>
        <v>0</v>
      </c>
      <c r="M28" s="2">
        <f t="shared" si="4"/>
        <v>3.1749865807836897E-2</v>
      </c>
      <c r="N28" s="63">
        <v>8443</v>
      </c>
      <c r="O28" s="63">
        <v>27634</v>
      </c>
      <c r="P28" s="63"/>
      <c r="Q28" s="63">
        <v>738</v>
      </c>
      <c r="R28" s="63">
        <v>112</v>
      </c>
      <c r="S28" s="63"/>
      <c r="T28" s="63"/>
      <c r="U28" s="63"/>
      <c r="V28" s="63"/>
      <c r="W28" s="63">
        <v>333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W28" s="5">
        <f>IF(Q28&gt;0,RANK(Q28,(N28:P28,Q28:AE28)),0)</f>
        <v>3</v>
      </c>
      <c r="AX28" s="5">
        <f>IF(R28&gt;0,RANK(R28,(N28:P28,Q28:AE28)),0)</f>
        <v>5</v>
      </c>
      <c r="AY28" s="5">
        <f>IF(T28&gt;0,RANK(T28,(N28:P28,Q28:AE28)),0)</f>
        <v>0</v>
      </c>
      <c r="AZ28" s="5">
        <f>IF(S28&gt;0,RANK(S28,(N28:P28,Q28:AE28)),0)</f>
        <v>0</v>
      </c>
      <c r="BA28" s="2">
        <f t="shared" si="5"/>
        <v>1.9806763285024155E-2</v>
      </c>
      <c r="BB28" s="2">
        <f t="shared" si="6"/>
        <v>3.0059044551798177E-3</v>
      </c>
      <c r="BC28" s="2">
        <f t="shared" si="7"/>
        <v>0</v>
      </c>
      <c r="BD28" s="2">
        <f t="shared" si="8"/>
        <v>0</v>
      </c>
      <c r="BF28" t="s">
        <v>743</v>
      </c>
      <c r="BG28" t="s">
        <v>2498</v>
      </c>
      <c r="BH28">
        <v>2</v>
      </c>
      <c r="BJ28" s="114">
        <v>1</v>
      </c>
      <c r="BK28" s="116">
        <v>51</v>
      </c>
      <c r="BL28" s="120">
        <f t="shared" si="11"/>
        <v>1051</v>
      </c>
      <c r="BN28" s="5" t="s">
        <v>3154</v>
      </c>
    </row>
    <row r="29" spans="1:66" hidden="1" outlineLevel="1">
      <c r="A29" t="s">
        <v>751</v>
      </c>
      <c r="B29" t="s">
        <v>2498</v>
      </c>
      <c r="C29" s="1">
        <f t="shared" si="0"/>
        <v>14845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32">
        <f t="shared" si="9"/>
        <v>5330</v>
      </c>
      <c r="H29" s="137">
        <f t="shared" si="10"/>
        <v>0.35904344897271806</v>
      </c>
      <c r="I29" s="2"/>
      <c r="J29" s="2">
        <f t="shared" si="1"/>
        <v>0.31020545638262043</v>
      </c>
      <c r="K29" s="2">
        <f t="shared" si="2"/>
        <v>0.66924890535533854</v>
      </c>
      <c r="L29" s="2">
        <f t="shared" si="3"/>
        <v>0</v>
      </c>
      <c r="M29" s="2">
        <f t="shared" si="4"/>
        <v>2.0545638262041033E-2</v>
      </c>
      <c r="N29" s="63">
        <v>4605</v>
      </c>
      <c r="O29" s="63">
        <v>9935</v>
      </c>
      <c r="P29" s="63"/>
      <c r="Q29" s="63">
        <v>188</v>
      </c>
      <c r="R29" s="63">
        <v>37</v>
      </c>
      <c r="S29" s="63"/>
      <c r="T29" s="63"/>
      <c r="U29" s="63"/>
      <c r="V29" s="63"/>
      <c r="W29" s="63">
        <v>80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W29" s="5">
        <f>IF(Q29&gt;0,RANK(Q29,(N29:P29,Q29:AE29)),0)</f>
        <v>3</v>
      </c>
      <c r="AX29" s="5">
        <f>IF(R29&gt;0,RANK(R29,(N29:P29,Q29:AE29)),0)</f>
        <v>5</v>
      </c>
      <c r="AY29" s="5">
        <f>IF(T29&gt;0,RANK(T29,(N29:P29,Q29:AE29)),0)</f>
        <v>0</v>
      </c>
      <c r="AZ29" s="5">
        <f>IF(S29&gt;0,RANK(S29,(N29:P29,Q29:AE29)),0)</f>
        <v>0</v>
      </c>
      <c r="BA29" s="2">
        <f t="shared" si="5"/>
        <v>1.2664196699225328E-2</v>
      </c>
      <c r="BB29" s="2">
        <f t="shared" si="6"/>
        <v>2.4924216908049847E-3</v>
      </c>
      <c r="BC29" s="2">
        <f t="shared" si="7"/>
        <v>0</v>
      </c>
      <c r="BD29" s="2">
        <f t="shared" si="8"/>
        <v>0</v>
      </c>
      <c r="BF29" t="s">
        <v>751</v>
      </c>
      <c r="BG29" t="s">
        <v>2498</v>
      </c>
      <c r="BH29">
        <v>1</v>
      </c>
      <c r="BJ29" s="114">
        <v>1</v>
      </c>
      <c r="BK29" s="116">
        <v>53</v>
      </c>
      <c r="BL29" s="120">
        <f t="shared" si="11"/>
        <v>1053</v>
      </c>
      <c r="BN29" s="5" t="s">
        <v>3154</v>
      </c>
    </row>
    <row r="30" spans="1:66" hidden="1" outlineLevel="1">
      <c r="A30" t="s">
        <v>346</v>
      </c>
      <c r="B30" t="s">
        <v>2498</v>
      </c>
      <c r="C30" s="1">
        <f t="shared" si="0"/>
        <v>44164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32">
        <f t="shared" si="9"/>
        <v>21911</v>
      </c>
      <c r="H30" s="137">
        <f t="shared" si="10"/>
        <v>0.49612806810977267</v>
      </c>
      <c r="I30" s="2"/>
      <c r="J30" s="2">
        <f t="shared" si="1"/>
        <v>0.2364369169459288</v>
      </c>
      <c r="K30" s="2">
        <f t="shared" si="2"/>
        <v>0.73256498505570145</v>
      </c>
      <c r="L30" s="2">
        <f t="shared" si="3"/>
        <v>0</v>
      </c>
      <c r="M30" s="2">
        <f t="shared" si="4"/>
        <v>3.0998097998369722E-2</v>
      </c>
      <c r="N30" s="63">
        <v>10442</v>
      </c>
      <c r="O30" s="63">
        <v>32353</v>
      </c>
      <c r="P30" s="63"/>
      <c r="Q30" s="63">
        <v>835</v>
      </c>
      <c r="R30" s="63">
        <v>164</v>
      </c>
      <c r="S30" s="63"/>
      <c r="T30" s="63"/>
      <c r="U30" s="63"/>
      <c r="V30" s="63"/>
      <c r="W30" s="63">
        <v>370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W30" s="5">
        <f>IF(Q30&gt;0,RANK(Q30,(N30:P30,Q30:AE30)),0)</f>
        <v>3</v>
      </c>
      <c r="AX30" s="5">
        <f>IF(R30&gt;0,RANK(R30,(N30:P30,Q30:AE30)),0)</f>
        <v>5</v>
      </c>
      <c r="AY30" s="5">
        <f>IF(T30&gt;0,RANK(T30,(N30:P30,Q30:AE30)),0)</f>
        <v>0</v>
      </c>
      <c r="AZ30" s="5">
        <f>IF(S30&gt;0,RANK(S30,(N30:P30,Q30:AE30)),0)</f>
        <v>0</v>
      </c>
      <c r="BA30" s="2">
        <f t="shared" si="5"/>
        <v>1.8906801920115932E-2</v>
      </c>
      <c r="BB30" s="2">
        <f t="shared" si="6"/>
        <v>3.7134317543700752E-3</v>
      </c>
      <c r="BC30" s="2">
        <f t="shared" si="7"/>
        <v>0</v>
      </c>
      <c r="BD30" s="2">
        <f t="shared" si="8"/>
        <v>0</v>
      </c>
      <c r="BF30" t="s">
        <v>346</v>
      </c>
      <c r="BG30" t="s">
        <v>2498</v>
      </c>
      <c r="BH30">
        <v>4</v>
      </c>
      <c r="BJ30" s="114">
        <v>1</v>
      </c>
      <c r="BK30" s="116">
        <v>55</v>
      </c>
      <c r="BL30" s="120">
        <f t="shared" si="11"/>
        <v>1055</v>
      </c>
      <c r="BN30" s="5" t="s">
        <v>3154</v>
      </c>
    </row>
    <row r="31" spans="1:66" hidden="1" outlineLevel="1">
      <c r="A31" t="s">
        <v>1416</v>
      </c>
      <c r="B31" t="s">
        <v>2498</v>
      </c>
      <c r="C31" s="1">
        <f t="shared" si="0"/>
        <v>8249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32">
        <f t="shared" si="9"/>
        <v>5350</v>
      </c>
      <c r="H31" s="137">
        <f t="shared" si="10"/>
        <v>0.648563462237847</v>
      </c>
      <c r="I31" s="2"/>
      <c r="J31" s="2">
        <f t="shared" si="1"/>
        <v>0.16511092253606499</v>
      </c>
      <c r="K31" s="2">
        <f t="shared" si="2"/>
        <v>0.81367438477391196</v>
      </c>
      <c r="L31" s="2">
        <f t="shared" si="3"/>
        <v>0</v>
      </c>
      <c r="M31" s="2">
        <f t="shared" si="4"/>
        <v>2.1214692690023074E-2</v>
      </c>
      <c r="N31" s="63">
        <v>1362</v>
      </c>
      <c r="O31" s="63">
        <v>6712</v>
      </c>
      <c r="P31" s="63"/>
      <c r="Q31" s="63">
        <v>109</v>
      </c>
      <c r="R31" s="63">
        <v>24</v>
      </c>
      <c r="S31" s="63"/>
      <c r="T31" s="63"/>
      <c r="U31" s="63"/>
      <c r="V31" s="63"/>
      <c r="W31" s="63">
        <v>42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W31" s="5">
        <f>IF(Q31&gt;0,RANK(Q31,(N31:P31,Q31:AE31)),0)</f>
        <v>3</v>
      </c>
      <c r="AX31" s="5">
        <f>IF(R31&gt;0,RANK(R31,(N31:P31,Q31:AE31)),0)</f>
        <v>5</v>
      </c>
      <c r="AY31" s="5">
        <f>IF(T31&gt;0,RANK(T31,(N31:P31,Q31:AE31)),0)</f>
        <v>0</v>
      </c>
      <c r="AZ31" s="5">
        <f>IF(S31&gt;0,RANK(S31,(N31:P31,Q31:AE31)),0)</f>
        <v>0</v>
      </c>
      <c r="BA31" s="2">
        <f t="shared" si="5"/>
        <v>1.321372287550006E-2</v>
      </c>
      <c r="BB31" s="2">
        <f t="shared" si="6"/>
        <v>2.9094435689174447E-3</v>
      </c>
      <c r="BC31" s="2">
        <f t="shared" si="7"/>
        <v>0</v>
      </c>
      <c r="BD31" s="2">
        <f t="shared" si="8"/>
        <v>0</v>
      </c>
      <c r="BF31" t="s">
        <v>1416</v>
      </c>
      <c r="BG31" t="s">
        <v>2498</v>
      </c>
      <c r="BH31">
        <v>4</v>
      </c>
      <c r="BJ31" s="114">
        <v>1</v>
      </c>
      <c r="BK31" s="116">
        <v>57</v>
      </c>
      <c r="BL31" s="120">
        <f t="shared" si="11"/>
        <v>1057</v>
      </c>
      <c r="BN31" s="5" t="s">
        <v>3154</v>
      </c>
    </row>
    <row r="32" spans="1:66" hidden="1" outlineLevel="1">
      <c r="A32" t="s">
        <v>1138</v>
      </c>
      <c r="B32" t="s">
        <v>2498</v>
      </c>
      <c r="C32" s="1">
        <f t="shared" si="0"/>
        <v>12040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32">
        <f t="shared" si="9"/>
        <v>7269</v>
      </c>
      <c r="H32" s="137">
        <f t="shared" si="10"/>
        <v>0.60373754152823922</v>
      </c>
      <c r="I32" s="2"/>
      <c r="J32" s="2">
        <f t="shared" si="1"/>
        <v>0.18247508305647842</v>
      </c>
      <c r="K32" s="2">
        <f t="shared" si="2"/>
        <v>0.78621262458471763</v>
      </c>
      <c r="L32" s="2">
        <f t="shared" si="3"/>
        <v>0</v>
      </c>
      <c r="M32" s="2">
        <f t="shared" si="4"/>
        <v>3.131229235880395E-2</v>
      </c>
      <c r="N32" s="63">
        <v>2197</v>
      </c>
      <c r="O32" s="63">
        <v>9466</v>
      </c>
      <c r="P32" s="63"/>
      <c r="Q32" s="63">
        <v>238</v>
      </c>
      <c r="R32" s="63">
        <v>54</v>
      </c>
      <c r="S32" s="63"/>
      <c r="T32" s="63"/>
      <c r="U32" s="63"/>
      <c r="V32" s="63"/>
      <c r="W32" s="63">
        <v>85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W32" s="5">
        <f>IF(Q32&gt;0,RANK(Q32,(N32:P32,Q32:AE32)),0)</f>
        <v>3</v>
      </c>
      <c r="AX32" s="5">
        <f>IF(R32&gt;0,RANK(R32,(N32:P32,Q32:AE32)),0)</f>
        <v>5</v>
      </c>
      <c r="AY32" s="5">
        <f>IF(T32&gt;0,RANK(T32,(N32:P32,Q32:AE32)),0)</f>
        <v>0</v>
      </c>
      <c r="AZ32" s="5">
        <f>IF(S32&gt;0,RANK(S32,(N32:P32,Q32:AE32)),0)</f>
        <v>0</v>
      </c>
      <c r="BA32" s="2">
        <f t="shared" si="5"/>
        <v>1.9767441860465116E-2</v>
      </c>
      <c r="BB32" s="2">
        <f t="shared" si="6"/>
        <v>4.4850498338870433E-3</v>
      </c>
      <c r="BC32" s="2">
        <f t="shared" si="7"/>
        <v>0</v>
      </c>
      <c r="BD32" s="2">
        <f t="shared" si="8"/>
        <v>0</v>
      </c>
      <c r="BF32" t="s">
        <v>1138</v>
      </c>
      <c r="BG32" t="s">
        <v>2498</v>
      </c>
      <c r="BH32">
        <v>4</v>
      </c>
      <c r="BJ32" s="114">
        <v>1</v>
      </c>
      <c r="BK32" s="116">
        <v>59</v>
      </c>
      <c r="BL32" s="120">
        <f t="shared" si="11"/>
        <v>1059</v>
      </c>
      <c r="BN32" s="5" t="s">
        <v>3154</v>
      </c>
    </row>
    <row r="33" spans="1:66" hidden="1" outlineLevel="1">
      <c r="A33" t="s">
        <v>1328</v>
      </c>
      <c r="B33" t="s">
        <v>2498</v>
      </c>
      <c r="C33" s="1">
        <f t="shared" si="0"/>
        <v>11758</v>
      </c>
      <c r="D33" s="5">
        <f>IF(N33&gt;0, RANK(N33,(N33:P33,Q33:AE33)),0)</f>
        <v>2</v>
      </c>
      <c r="E33" s="5">
        <f>IF(O33&gt;0,RANK(O33,(N33:P33,Q33:AE33)),0)</f>
        <v>1</v>
      </c>
      <c r="F33" s="5">
        <f>IF(P33&gt;0,RANK(P33,(N33:P33,Q33:AE33)),0)</f>
        <v>0</v>
      </c>
      <c r="G33" s="132">
        <f t="shared" si="9"/>
        <v>8469</v>
      </c>
      <c r="H33" s="137">
        <f t="shared" si="10"/>
        <v>0.72027555706752844</v>
      </c>
      <c r="I33" s="2"/>
      <c r="J33" s="2">
        <f t="shared" si="1"/>
        <v>0.12969892838918184</v>
      </c>
      <c r="K33" s="2">
        <f t="shared" si="2"/>
        <v>0.84997448545671028</v>
      </c>
      <c r="L33" s="2">
        <f t="shared" si="3"/>
        <v>0</v>
      </c>
      <c r="M33" s="2">
        <f t="shared" si="4"/>
        <v>2.0326586154107873E-2</v>
      </c>
      <c r="N33" s="63">
        <v>1525</v>
      </c>
      <c r="O33" s="63">
        <v>9994</v>
      </c>
      <c r="P33" s="63"/>
      <c r="Q33" s="63">
        <v>149</v>
      </c>
      <c r="R33" s="63">
        <v>24</v>
      </c>
      <c r="S33" s="63"/>
      <c r="T33" s="63"/>
      <c r="U33" s="63"/>
      <c r="V33" s="63"/>
      <c r="W33" s="63">
        <v>66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W33" s="5">
        <f>IF(Q33&gt;0,RANK(Q33,(N33:P33,Q33:AE33)),0)</f>
        <v>3</v>
      </c>
      <c r="AX33" s="5">
        <f>IF(R33&gt;0,RANK(R33,(N33:P33,Q33:AE33)),0)</f>
        <v>5</v>
      </c>
      <c r="AY33" s="5">
        <f>IF(T33&gt;0,RANK(T33,(N33:P33,Q33:AE33)),0)</f>
        <v>0</v>
      </c>
      <c r="AZ33" s="5">
        <f>IF(S33&gt;0,RANK(S33,(N33:P33,Q33:AE33)),0)</f>
        <v>0</v>
      </c>
      <c r="BA33" s="2">
        <f t="shared" si="5"/>
        <v>1.2672223167205307E-2</v>
      </c>
      <c r="BB33" s="2">
        <f t="shared" si="6"/>
        <v>2.041163463174009E-3</v>
      </c>
      <c r="BC33" s="2">
        <f t="shared" si="7"/>
        <v>0</v>
      </c>
      <c r="BD33" s="2">
        <f t="shared" si="8"/>
        <v>0</v>
      </c>
      <c r="BF33" t="s">
        <v>1328</v>
      </c>
      <c r="BG33" t="s">
        <v>2498</v>
      </c>
      <c r="BH33">
        <v>2</v>
      </c>
      <c r="BJ33" s="114">
        <v>1</v>
      </c>
      <c r="BK33" s="116">
        <v>61</v>
      </c>
      <c r="BL33" s="120">
        <f t="shared" si="11"/>
        <v>1061</v>
      </c>
      <c r="BN33" s="5" t="s">
        <v>3154</v>
      </c>
    </row>
    <row r="34" spans="1:66" hidden="1" outlineLevel="1">
      <c r="A34" t="s">
        <v>2189</v>
      </c>
      <c r="B34" t="s">
        <v>2498</v>
      </c>
      <c r="C34" s="1">
        <f t="shared" si="0"/>
        <v>4880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32">
        <f t="shared" si="9"/>
        <v>3175</v>
      </c>
      <c r="H34" s="137">
        <f t="shared" si="10"/>
        <v>0.65061475409836067</v>
      </c>
      <c r="I34" s="2"/>
      <c r="J34" s="2">
        <f t="shared" si="1"/>
        <v>0.82233606557377048</v>
      </c>
      <c r="K34" s="2">
        <f t="shared" si="2"/>
        <v>0.17172131147540984</v>
      </c>
      <c r="L34" s="2">
        <f t="shared" si="3"/>
        <v>0</v>
      </c>
      <c r="M34" s="2">
        <f t="shared" si="4"/>
        <v>5.9426229508196815E-3</v>
      </c>
      <c r="N34" s="63">
        <v>4013</v>
      </c>
      <c r="O34" s="63">
        <v>838</v>
      </c>
      <c r="P34" s="63"/>
      <c r="Q34" s="63">
        <v>13</v>
      </c>
      <c r="R34" s="63">
        <v>5</v>
      </c>
      <c r="S34" s="63"/>
      <c r="T34" s="63"/>
      <c r="U34" s="63"/>
      <c r="V34" s="63"/>
      <c r="W34" s="63">
        <v>11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W34" s="5">
        <f>IF(Q34&gt;0,RANK(Q34,(N34:P34,Q34:AE34)),0)</f>
        <v>3</v>
      </c>
      <c r="AX34" s="5">
        <f>IF(R34&gt;0,RANK(R34,(N34:P34,Q34:AE34)),0)</f>
        <v>5</v>
      </c>
      <c r="AY34" s="5">
        <f>IF(T34&gt;0,RANK(T34,(N34:P34,Q34:AE34)),0)</f>
        <v>0</v>
      </c>
      <c r="AZ34" s="5">
        <f>IF(S34&gt;0,RANK(S34,(N34:P34,Q34:AE34)),0)</f>
        <v>0</v>
      </c>
      <c r="BA34" s="2">
        <f t="shared" si="5"/>
        <v>2.663934426229508E-3</v>
      </c>
      <c r="BB34" s="2">
        <f t="shared" si="6"/>
        <v>1.0245901639344263E-3</v>
      </c>
      <c r="BC34" s="2">
        <f t="shared" si="7"/>
        <v>0</v>
      </c>
      <c r="BD34" s="2">
        <f t="shared" si="8"/>
        <v>0</v>
      </c>
      <c r="BF34" t="s">
        <v>2189</v>
      </c>
      <c r="BG34" t="s">
        <v>2498</v>
      </c>
      <c r="BH34">
        <v>7</v>
      </c>
      <c r="BJ34" s="114">
        <v>1</v>
      </c>
      <c r="BK34" s="116">
        <v>63</v>
      </c>
      <c r="BL34" s="120">
        <f t="shared" si="11"/>
        <v>1063</v>
      </c>
      <c r="BN34" s="5" t="s">
        <v>3154</v>
      </c>
    </row>
    <row r="35" spans="1:66" hidden="1" outlineLevel="1">
      <c r="A35" t="s">
        <v>3084</v>
      </c>
      <c r="B35" t="s">
        <v>2498</v>
      </c>
      <c r="C35" s="1">
        <f t="shared" ref="C35:C70" si="12">SUM(N35:AU35)</f>
        <v>8040</v>
      </c>
      <c r="D35" s="5">
        <f>IF(N35&gt;0, RANK(N35,(N35:P35,Q35:AE35)),0)</f>
        <v>1</v>
      </c>
      <c r="E35" s="5">
        <f>IF(O35&gt;0,RANK(O35,(N35:P35,Q35:AE35)),0)</f>
        <v>2</v>
      </c>
      <c r="F35" s="5">
        <f>IF(P35&gt;0,RANK(P35,(N35:P35,Q35:AE35)),0)</f>
        <v>0</v>
      </c>
      <c r="G35" s="132">
        <f t="shared" si="9"/>
        <v>1602</v>
      </c>
      <c r="H35" s="137">
        <f t="shared" si="10"/>
        <v>0.19925373134328359</v>
      </c>
      <c r="I35" s="2"/>
      <c r="J35" s="2">
        <f t="shared" ref="J35:J70" si="13">IF($C35=0,"-",N35/$C35)</f>
        <v>0.59390547263681592</v>
      </c>
      <c r="K35" s="2">
        <f t="shared" ref="K35:K70" si="14">IF($C35=0,"-",O35/$C35)</f>
        <v>0.39465174129353237</v>
      </c>
      <c r="L35" s="2">
        <f t="shared" ref="L35:L70" si="15">IF($C35=0,"-",P35/$C35)</f>
        <v>0</v>
      </c>
      <c r="M35" s="2">
        <f t="shared" ref="M35:M66" si="16">IF(C35=0,"-",(1-J35-K35-L35))</f>
        <v>1.1442786069651711E-2</v>
      </c>
      <c r="N35" s="63">
        <v>4775</v>
      </c>
      <c r="O35" s="63">
        <v>3173</v>
      </c>
      <c r="P35" s="63"/>
      <c r="Q35" s="63">
        <v>54</v>
      </c>
      <c r="R35" s="63">
        <v>12</v>
      </c>
      <c r="S35" s="63"/>
      <c r="T35" s="63"/>
      <c r="U35" s="63"/>
      <c r="V35" s="63"/>
      <c r="W35" s="63">
        <v>26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W35" s="5">
        <f>IF(Q35&gt;0,RANK(Q35,(N35:P35,Q35:AE35)),0)</f>
        <v>3</v>
      </c>
      <c r="AX35" s="5">
        <f>IF(R35&gt;0,RANK(R35,(N35:P35,Q35:AE35)),0)</f>
        <v>5</v>
      </c>
      <c r="AY35" s="5">
        <f>IF(T35&gt;0,RANK(T35,(N35:P35,Q35:AE35)),0)</f>
        <v>0</v>
      </c>
      <c r="AZ35" s="5">
        <f>IF(S35&gt;0,RANK(S35,(N35:P35,Q35:AE35)),0)</f>
        <v>0</v>
      </c>
      <c r="BA35" s="2">
        <f t="shared" ref="BA35:BA70" si="17">IF($C35=0,"-",Q35/$C35)</f>
        <v>6.7164179104477612E-3</v>
      </c>
      <c r="BB35" s="2">
        <f t="shared" ref="BB35:BB70" si="18">IF($C35=0,"-",R35/$C35)</f>
        <v>1.4925373134328358E-3</v>
      </c>
      <c r="BC35" s="2">
        <f t="shared" ref="BC35:BC70" si="19">IF($C35=0,"-",T35/$C35)</f>
        <v>0</v>
      </c>
      <c r="BD35" s="2">
        <f t="shared" ref="BD35:BD70" si="20">IF($C35=0,"-",S35/$C35)</f>
        <v>0</v>
      </c>
      <c r="BF35" t="s">
        <v>3084</v>
      </c>
      <c r="BG35" t="s">
        <v>2498</v>
      </c>
      <c r="BH35">
        <v>7</v>
      </c>
      <c r="BJ35" s="114">
        <v>1</v>
      </c>
      <c r="BK35" s="116">
        <v>65</v>
      </c>
      <c r="BL35" s="120">
        <f t="shared" si="11"/>
        <v>1065</v>
      </c>
      <c r="BN35" s="5" t="s">
        <v>3154</v>
      </c>
    </row>
    <row r="36" spans="1:66" hidden="1" outlineLevel="1">
      <c r="A36" t="s">
        <v>3123</v>
      </c>
      <c r="B36" t="s">
        <v>2498</v>
      </c>
      <c r="C36" s="1">
        <f t="shared" si="12"/>
        <v>8072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32">
        <f t="shared" si="9"/>
        <v>3340</v>
      </c>
      <c r="H36" s="137">
        <f t="shared" si="10"/>
        <v>0.41377601585728446</v>
      </c>
      <c r="I36" s="2"/>
      <c r="J36" s="2">
        <f t="shared" si="13"/>
        <v>0.28394449950445988</v>
      </c>
      <c r="K36" s="2">
        <f t="shared" si="14"/>
        <v>0.69772051536174429</v>
      </c>
      <c r="L36" s="2">
        <f t="shared" si="15"/>
        <v>0</v>
      </c>
      <c r="M36" s="2">
        <f t="shared" si="16"/>
        <v>1.8334985133795834E-2</v>
      </c>
      <c r="N36" s="63">
        <v>2292</v>
      </c>
      <c r="O36" s="63">
        <v>5632</v>
      </c>
      <c r="P36" s="63"/>
      <c r="Q36" s="63">
        <v>91</v>
      </c>
      <c r="R36" s="63">
        <v>17</v>
      </c>
      <c r="S36" s="63"/>
      <c r="T36" s="63"/>
      <c r="U36" s="63"/>
      <c r="V36" s="63"/>
      <c r="W36" s="63">
        <v>40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W36" s="5">
        <f>IF(Q36&gt;0,RANK(Q36,(N36:P36,Q36:AE36)),0)</f>
        <v>3</v>
      </c>
      <c r="AX36" s="5">
        <f>IF(R36&gt;0,RANK(R36,(N36:P36,Q36:AE36)),0)</f>
        <v>5</v>
      </c>
      <c r="AY36" s="5">
        <f>IF(T36&gt;0,RANK(T36,(N36:P36,Q36:AE36)),0)</f>
        <v>0</v>
      </c>
      <c r="AZ36" s="5">
        <f>IF(S36&gt;0,RANK(S36,(N36:P36,Q36:AE36)),0)</f>
        <v>0</v>
      </c>
      <c r="BA36" s="2">
        <f t="shared" si="17"/>
        <v>1.1273538156590684E-2</v>
      </c>
      <c r="BB36" s="2">
        <f t="shared" si="18"/>
        <v>2.1060455896927651E-3</v>
      </c>
      <c r="BC36" s="2">
        <f t="shared" si="19"/>
        <v>0</v>
      </c>
      <c r="BD36" s="2">
        <f t="shared" si="20"/>
        <v>0</v>
      </c>
      <c r="BF36" t="s">
        <v>3123</v>
      </c>
      <c r="BG36" t="s">
        <v>2498</v>
      </c>
      <c r="BH36">
        <v>2</v>
      </c>
      <c r="BJ36" s="114">
        <v>1</v>
      </c>
      <c r="BK36" s="116">
        <v>67</v>
      </c>
      <c r="BL36" s="120">
        <f t="shared" si="11"/>
        <v>1067</v>
      </c>
      <c r="BN36" s="5" t="s">
        <v>3154</v>
      </c>
    </row>
    <row r="37" spans="1:66" hidden="1" outlineLevel="1">
      <c r="A37" t="s">
        <v>1007</v>
      </c>
      <c r="B37" t="s">
        <v>2498</v>
      </c>
      <c r="C37" s="1">
        <f t="shared" si="12"/>
        <v>42639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32">
        <f t="shared" si="9"/>
        <v>20064</v>
      </c>
      <c r="H37" s="137">
        <f t="shared" si="10"/>
        <v>0.47055512558924928</v>
      </c>
      <c r="I37" s="2"/>
      <c r="J37" s="2">
        <f t="shared" si="13"/>
        <v>0.25009967400736416</v>
      </c>
      <c r="K37" s="2">
        <f t="shared" si="14"/>
        <v>0.72065479959661338</v>
      </c>
      <c r="L37" s="2">
        <f t="shared" si="15"/>
        <v>0</v>
      </c>
      <c r="M37" s="2">
        <f t="shared" si="16"/>
        <v>2.9245526396022403E-2</v>
      </c>
      <c r="N37" s="63">
        <v>10664</v>
      </c>
      <c r="O37" s="63">
        <v>30728</v>
      </c>
      <c r="P37" s="63"/>
      <c r="Q37" s="63">
        <v>779</v>
      </c>
      <c r="R37" s="63">
        <v>144</v>
      </c>
      <c r="S37" s="63"/>
      <c r="T37" s="63"/>
      <c r="U37" s="63"/>
      <c r="V37" s="63"/>
      <c r="W37" s="63">
        <v>324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W37" s="5">
        <f>IF(Q37&gt;0,RANK(Q37,(N37:P37,Q37:AE37)),0)</f>
        <v>3</v>
      </c>
      <c r="AX37" s="5">
        <f>IF(R37&gt;0,RANK(R37,(N37:P37,Q37:AE37)),0)</f>
        <v>5</v>
      </c>
      <c r="AY37" s="5">
        <f>IF(T37&gt;0,RANK(T37,(N37:P37,Q37:AE37)),0)</f>
        <v>0</v>
      </c>
      <c r="AZ37" s="5">
        <f>IF(S37&gt;0,RANK(S37,(N37:P37,Q37:AE37)),0)</f>
        <v>0</v>
      </c>
      <c r="BA37" s="2">
        <f t="shared" si="17"/>
        <v>1.8269659232158352E-2</v>
      </c>
      <c r="BB37" s="2">
        <f t="shared" si="18"/>
        <v>3.3771898965735594E-3</v>
      </c>
      <c r="BC37" s="2">
        <f t="shared" si="19"/>
        <v>0</v>
      </c>
      <c r="BD37" s="2">
        <f t="shared" si="20"/>
        <v>0</v>
      </c>
      <c r="BF37" t="s">
        <v>1007</v>
      </c>
      <c r="BG37" t="s">
        <v>2498</v>
      </c>
      <c r="BH37">
        <v>2</v>
      </c>
      <c r="BJ37" s="114">
        <v>1</v>
      </c>
      <c r="BK37" s="116">
        <v>69</v>
      </c>
      <c r="BL37" s="120">
        <f t="shared" si="11"/>
        <v>1069</v>
      </c>
      <c r="BN37" s="5" t="s">
        <v>3154</v>
      </c>
    </row>
    <row r="38" spans="1:66" hidden="1" outlineLevel="1">
      <c r="A38" t="s">
        <v>2921</v>
      </c>
      <c r="B38" t="s">
        <v>2498</v>
      </c>
      <c r="C38" s="1">
        <f t="shared" si="12"/>
        <v>20984</v>
      </c>
      <c r="D38" s="5">
        <f>IF(N38&gt;0, RANK(N38,(N38:P38,Q38:AE38)),0)</f>
        <v>2</v>
      </c>
      <c r="E38" s="5">
        <f>IF(O38&gt;0,RANK(O38,(N38:P38,Q38:AE38)),0)</f>
        <v>1</v>
      </c>
      <c r="F38" s="5">
        <f>IF(P38&gt;0,RANK(P38,(N38:P38,Q38:AE38)),0)</f>
        <v>0</v>
      </c>
      <c r="G38" s="132">
        <f t="shared" si="9"/>
        <v>12999</v>
      </c>
      <c r="H38" s="137">
        <f t="shared" si="10"/>
        <v>0.61947197865040027</v>
      </c>
      <c r="I38" s="2"/>
      <c r="J38" s="2">
        <f t="shared" si="13"/>
        <v>0.17503812428516966</v>
      </c>
      <c r="K38" s="2">
        <f t="shared" si="14"/>
        <v>0.79451010293557001</v>
      </c>
      <c r="L38" s="2">
        <f t="shared" si="15"/>
        <v>0</v>
      </c>
      <c r="M38" s="2">
        <f t="shared" si="16"/>
        <v>3.0451772779260367E-2</v>
      </c>
      <c r="N38" s="63">
        <v>3673</v>
      </c>
      <c r="O38" s="63">
        <v>16672</v>
      </c>
      <c r="P38" s="63"/>
      <c r="Q38" s="63">
        <v>393</v>
      </c>
      <c r="R38" s="63">
        <v>90</v>
      </c>
      <c r="S38" s="63"/>
      <c r="T38" s="63"/>
      <c r="U38" s="63"/>
      <c r="V38" s="63"/>
      <c r="W38" s="63">
        <v>156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W38" s="5">
        <f>IF(Q38&gt;0,RANK(Q38,(N38:P38,Q38:AE38)),0)</f>
        <v>3</v>
      </c>
      <c r="AX38" s="5">
        <f>IF(R38&gt;0,RANK(R38,(N38:P38,Q38:AE38)),0)</f>
        <v>5</v>
      </c>
      <c r="AY38" s="5">
        <f>IF(T38&gt;0,RANK(T38,(N38:P38,Q38:AE38)),0)</f>
        <v>0</v>
      </c>
      <c r="AZ38" s="5">
        <f>IF(S38&gt;0,RANK(S38,(N38:P38,Q38:AE38)),0)</f>
        <v>0</v>
      </c>
      <c r="BA38" s="2">
        <f t="shared" si="17"/>
        <v>1.8728555089592071E-2</v>
      </c>
      <c r="BB38" s="2">
        <f t="shared" si="18"/>
        <v>4.28898208158597E-3</v>
      </c>
      <c r="BC38" s="2">
        <f t="shared" si="19"/>
        <v>0</v>
      </c>
      <c r="BD38" s="2">
        <f t="shared" si="20"/>
        <v>0</v>
      </c>
      <c r="BF38" t="s">
        <v>2921</v>
      </c>
      <c r="BG38" t="s">
        <v>2498</v>
      </c>
      <c r="BJ38" s="114">
        <v>1</v>
      </c>
      <c r="BK38" s="116">
        <v>71</v>
      </c>
      <c r="BL38" s="120">
        <f t="shared" si="11"/>
        <v>1071</v>
      </c>
      <c r="BN38" s="5" t="s">
        <v>3154</v>
      </c>
    </row>
    <row r="39" spans="1:66" hidden="1" outlineLevel="1">
      <c r="A39" t="s">
        <v>1092</v>
      </c>
      <c r="B39" t="s">
        <v>2498</v>
      </c>
      <c r="C39" s="1">
        <f t="shared" si="12"/>
        <v>304191</v>
      </c>
      <c r="D39" s="5">
        <f>IF(N39&gt;0, RANK(N39,(N39:P39,Q39:AE39)),0)</f>
        <v>1</v>
      </c>
      <c r="E39" s="5">
        <f>IF(O39&gt;0,RANK(O39,(N39:P39,Q39:AE39)),0)</f>
        <v>2</v>
      </c>
      <c r="F39" s="5">
        <f>IF(P39&gt;0,RANK(P39,(N39:P39,Q39:AE39)),0)</f>
        <v>0</v>
      </c>
      <c r="G39" s="132">
        <f t="shared" si="9"/>
        <v>22105</v>
      </c>
      <c r="H39" s="137">
        <f t="shared" si="10"/>
        <v>7.2668159150007725E-2</v>
      </c>
      <c r="I39" s="2"/>
      <c r="J39" s="2">
        <f t="shared" si="13"/>
        <v>0.51570559286763906</v>
      </c>
      <c r="K39" s="2">
        <f t="shared" si="14"/>
        <v>0.44303743371763138</v>
      </c>
      <c r="L39" s="2">
        <f t="shared" si="15"/>
        <v>0</v>
      </c>
      <c r="M39" s="2">
        <f t="shared" si="16"/>
        <v>4.1256973414729559E-2</v>
      </c>
      <c r="N39" s="63">
        <v>156873</v>
      </c>
      <c r="O39" s="63">
        <v>134768</v>
      </c>
      <c r="P39" s="63"/>
      <c r="Q39" s="63">
        <v>6645</v>
      </c>
      <c r="R39" s="63">
        <v>1554</v>
      </c>
      <c r="S39" s="63"/>
      <c r="T39" s="63"/>
      <c r="U39" s="63"/>
      <c r="V39" s="63"/>
      <c r="W39" s="63">
        <v>4351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W39" s="5">
        <f>IF(Q39&gt;0,RANK(Q39,(N39:P39,Q39:AE39)),0)</f>
        <v>3</v>
      </c>
      <c r="AX39" s="5">
        <f>IF(R39&gt;0,RANK(R39,(N39:P39,Q39:AE39)),0)</f>
        <v>5</v>
      </c>
      <c r="AY39" s="5">
        <f>IF(T39&gt;0,RANK(T39,(N39:P39,Q39:AE39)),0)</f>
        <v>0</v>
      </c>
      <c r="AZ39" s="5">
        <f>IF(S39&gt;0,RANK(S39,(N39:P39,Q39:AE39)),0)</f>
        <v>0</v>
      </c>
      <c r="BA39" s="2">
        <f t="shared" si="17"/>
        <v>2.1844827756245255E-2</v>
      </c>
      <c r="BB39" s="2">
        <f t="shared" si="18"/>
        <v>5.1086324052979871E-3</v>
      </c>
      <c r="BC39" s="2">
        <f t="shared" si="19"/>
        <v>0</v>
      </c>
      <c r="BD39" s="2">
        <f t="shared" si="20"/>
        <v>0</v>
      </c>
      <c r="BF39" t="s">
        <v>1092</v>
      </c>
      <c r="BG39" t="s">
        <v>2498</v>
      </c>
      <c r="BJ39" s="114">
        <v>1</v>
      </c>
      <c r="BK39" s="116">
        <v>73</v>
      </c>
      <c r="BL39" s="120">
        <f t="shared" si="11"/>
        <v>1073</v>
      </c>
      <c r="BN39" s="5" t="s">
        <v>3154</v>
      </c>
    </row>
    <row r="40" spans="1:66" hidden="1" outlineLevel="1">
      <c r="A40" t="s">
        <v>310</v>
      </c>
      <c r="B40" t="s">
        <v>2498</v>
      </c>
      <c r="C40" s="1">
        <f t="shared" si="12"/>
        <v>6966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32">
        <f t="shared" si="9"/>
        <v>4787</v>
      </c>
      <c r="H40" s="137">
        <f t="shared" si="10"/>
        <v>0.68719494688486937</v>
      </c>
      <c r="I40" s="2"/>
      <c r="J40" s="2">
        <f t="shared" si="13"/>
        <v>0.14872236577662934</v>
      </c>
      <c r="K40" s="2">
        <f t="shared" si="14"/>
        <v>0.83591731266149871</v>
      </c>
      <c r="L40" s="2">
        <f t="shared" si="15"/>
        <v>0</v>
      </c>
      <c r="M40" s="2">
        <f t="shared" si="16"/>
        <v>1.5360321561871948E-2</v>
      </c>
      <c r="N40" s="63">
        <v>1036</v>
      </c>
      <c r="O40" s="63">
        <v>5823</v>
      </c>
      <c r="P40" s="63"/>
      <c r="Q40" s="63">
        <v>62</v>
      </c>
      <c r="R40" s="63">
        <v>15</v>
      </c>
      <c r="S40" s="63"/>
      <c r="T40" s="63"/>
      <c r="U40" s="63"/>
      <c r="V40" s="63"/>
      <c r="W40" s="63">
        <v>30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W40" s="5">
        <f>IF(Q40&gt;0,RANK(Q40,(N40:P40,Q40:AE40)),0)</f>
        <v>3</v>
      </c>
      <c r="AX40" s="5">
        <f>IF(R40&gt;0,RANK(R40,(N40:P40,Q40:AE40)),0)</f>
        <v>5</v>
      </c>
      <c r="AY40" s="5">
        <f>IF(T40&gt;0,RANK(T40,(N40:P40,Q40:AE40)),0)</f>
        <v>0</v>
      </c>
      <c r="AZ40" s="5">
        <f>IF(S40&gt;0,RANK(S40,(N40:P40,Q40:AE40)),0)</f>
        <v>0</v>
      </c>
      <c r="BA40" s="2">
        <f t="shared" si="17"/>
        <v>8.9003732414585125E-3</v>
      </c>
      <c r="BB40" s="2">
        <f t="shared" si="18"/>
        <v>2.1533161068044791E-3</v>
      </c>
      <c r="BC40" s="2">
        <f t="shared" si="19"/>
        <v>0</v>
      </c>
      <c r="BD40" s="2">
        <f t="shared" si="20"/>
        <v>0</v>
      </c>
      <c r="BF40" t="s">
        <v>310</v>
      </c>
      <c r="BG40" t="s">
        <v>2498</v>
      </c>
      <c r="BH40">
        <v>4</v>
      </c>
      <c r="BJ40" s="114">
        <v>1</v>
      </c>
      <c r="BK40" s="116">
        <v>75</v>
      </c>
      <c r="BL40" s="120">
        <f t="shared" si="11"/>
        <v>1075</v>
      </c>
      <c r="BN40" s="5" t="s">
        <v>3154</v>
      </c>
    </row>
    <row r="41" spans="1:66" hidden="1" outlineLevel="1">
      <c r="A41" t="s">
        <v>1457</v>
      </c>
      <c r="B41" t="s">
        <v>2498</v>
      </c>
      <c r="C41" s="1">
        <f t="shared" si="12"/>
        <v>39525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32">
        <f t="shared" si="9"/>
        <v>17947</v>
      </c>
      <c r="H41" s="137">
        <f t="shared" si="10"/>
        <v>0.45406704617330801</v>
      </c>
      <c r="I41" s="2"/>
      <c r="J41" s="2">
        <f t="shared" si="13"/>
        <v>0.25179000632511067</v>
      </c>
      <c r="K41" s="2">
        <f t="shared" si="14"/>
        <v>0.70585705249841868</v>
      </c>
      <c r="L41" s="2">
        <f t="shared" si="15"/>
        <v>0</v>
      </c>
      <c r="M41" s="2">
        <f t="shared" si="16"/>
        <v>4.2352941176470704E-2</v>
      </c>
      <c r="N41" s="63">
        <v>9952</v>
      </c>
      <c r="O41" s="63">
        <v>27899</v>
      </c>
      <c r="P41" s="63"/>
      <c r="Q41" s="63">
        <v>987</v>
      </c>
      <c r="R41" s="63">
        <v>222</v>
      </c>
      <c r="S41" s="63"/>
      <c r="T41" s="63"/>
      <c r="U41" s="63"/>
      <c r="V41" s="63"/>
      <c r="W41" s="63">
        <v>465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W41" s="5">
        <f>IF(Q41&gt;0,RANK(Q41,(N41:P41,Q41:AE41)),0)</f>
        <v>3</v>
      </c>
      <c r="AX41" s="5">
        <f>IF(R41&gt;0,RANK(R41,(N41:P41,Q41:AE41)),0)</f>
        <v>5</v>
      </c>
      <c r="AY41" s="5">
        <f>IF(T41&gt;0,RANK(T41,(N41:P41,Q41:AE41)),0)</f>
        <v>0</v>
      </c>
      <c r="AZ41" s="5">
        <f>IF(S41&gt;0,RANK(S41,(N41:P41,Q41:AE41)),0)</f>
        <v>0</v>
      </c>
      <c r="BA41" s="2">
        <f t="shared" si="17"/>
        <v>2.4971537001897533E-2</v>
      </c>
      <c r="BB41" s="2">
        <f t="shared" si="18"/>
        <v>5.6166982922201143E-3</v>
      </c>
      <c r="BC41" s="2">
        <f t="shared" si="19"/>
        <v>0</v>
      </c>
      <c r="BD41" s="2">
        <f t="shared" si="20"/>
        <v>0</v>
      </c>
      <c r="BF41" t="s">
        <v>1457</v>
      </c>
      <c r="BG41" t="s">
        <v>2498</v>
      </c>
      <c r="BH41">
        <v>5</v>
      </c>
      <c r="BJ41" s="114">
        <v>1</v>
      </c>
      <c r="BK41" s="116">
        <v>77</v>
      </c>
      <c r="BL41" s="120">
        <f t="shared" si="11"/>
        <v>1077</v>
      </c>
      <c r="BN41" s="5" t="s">
        <v>3154</v>
      </c>
    </row>
    <row r="42" spans="1:66" hidden="1" outlineLevel="1">
      <c r="A42" t="s">
        <v>548</v>
      </c>
      <c r="B42" t="s">
        <v>2498</v>
      </c>
      <c r="C42" s="1">
        <f t="shared" si="12"/>
        <v>14829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32">
        <f t="shared" si="9"/>
        <v>7206</v>
      </c>
      <c r="H42" s="137">
        <f t="shared" si="10"/>
        <v>0.48593971272506575</v>
      </c>
      <c r="I42" s="2"/>
      <c r="J42" s="2">
        <f t="shared" si="13"/>
        <v>0.24458830669633824</v>
      </c>
      <c r="K42" s="2">
        <f t="shared" si="14"/>
        <v>0.730528019421404</v>
      </c>
      <c r="L42" s="2">
        <f t="shared" si="15"/>
        <v>0</v>
      </c>
      <c r="M42" s="2">
        <f t="shared" si="16"/>
        <v>2.4883673882257762E-2</v>
      </c>
      <c r="N42" s="63">
        <v>3627</v>
      </c>
      <c r="O42" s="63">
        <v>10833</v>
      </c>
      <c r="P42" s="63"/>
      <c r="Q42" s="63">
        <v>250</v>
      </c>
      <c r="R42" s="63">
        <v>31</v>
      </c>
      <c r="S42" s="63"/>
      <c r="T42" s="63"/>
      <c r="U42" s="63"/>
      <c r="V42" s="63"/>
      <c r="W42" s="63">
        <v>88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W42" s="5">
        <f>IF(Q42&gt;0,RANK(Q42,(N42:P42,Q42:AE42)),0)</f>
        <v>3</v>
      </c>
      <c r="AX42" s="5">
        <f>IF(R42&gt;0,RANK(R42,(N42:P42,Q42:AE42)),0)</f>
        <v>5</v>
      </c>
      <c r="AY42" s="5">
        <f>IF(T42&gt;0,RANK(T42,(N42:P42,Q42:AE42)),0)</f>
        <v>0</v>
      </c>
      <c r="AZ42" s="5">
        <f>IF(S42&gt;0,RANK(S42,(N42:P42,Q42:AE42)),0)</f>
        <v>0</v>
      </c>
      <c r="BA42" s="2">
        <f t="shared" si="17"/>
        <v>1.6858857643806055E-2</v>
      </c>
      <c r="BB42" s="2">
        <f t="shared" si="18"/>
        <v>2.0904983478319508E-3</v>
      </c>
      <c r="BC42" s="2">
        <f t="shared" si="19"/>
        <v>0</v>
      </c>
      <c r="BD42" s="2">
        <f t="shared" si="20"/>
        <v>0</v>
      </c>
      <c r="BF42" t="s">
        <v>548</v>
      </c>
      <c r="BG42" t="s">
        <v>2498</v>
      </c>
      <c r="BH42">
        <v>4</v>
      </c>
      <c r="BJ42" s="114">
        <v>1</v>
      </c>
      <c r="BK42" s="116">
        <v>79</v>
      </c>
      <c r="BL42" s="120">
        <f t="shared" si="11"/>
        <v>1079</v>
      </c>
      <c r="BN42" s="5" t="s">
        <v>3154</v>
      </c>
    </row>
    <row r="43" spans="1:66" hidden="1" outlineLevel="1">
      <c r="A43" t="s">
        <v>97</v>
      </c>
      <c r="B43" t="s">
        <v>2498</v>
      </c>
      <c r="C43" s="1">
        <f t="shared" si="12"/>
        <v>59191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32">
        <f t="shared" si="9"/>
        <v>13387</v>
      </c>
      <c r="H43" s="137">
        <f t="shared" si="10"/>
        <v>0.22616614012265379</v>
      </c>
      <c r="I43" s="2"/>
      <c r="J43" s="2">
        <f t="shared" si="13"/>
        <v>0.35866939230626277</v>
      </c>
      <c r="K43" s="2">
        <f t="shared" si="14"/>
        <v>0.5848355324289165</v>
      </c>
      <c r="L43" s="2">
        <f t="shared" si="15"/>
        <v>0</v>
      </c>
      <c r="M43" s="2">
        <f t="shared" si="16"/>
        <v>5.6495075264820782E-2</v>
      </c>
      <c r="N43" s="63">
        <v>21230</v>
      </c>
      <c r="O43" s="63">
        <v>34617</v>
      </c>
      <c r="P43" s="63"/>
      <c r="Q43" s="63">
        <v>2030</v>
      </c>
      <c r="R43" s="63">
        <v>364</v>
      </c>
      <c r="S43" s="63"/>
      <c r="T43" s="63"/>
      <c r="U43" s="63"/>
      <c r="V43" s="63"/>
      <c r="W43" s="63">
        <v>950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W43" s="5">
        <f>IF(Q43&gt;0,RANK(Q43,(N43:P43,Q43:AE43)),0)</f>
        <v>3</v>
      </c>
      <c r="AX43" s="5">
        <f>IF(R43&gt;0,RANK(R43,(N43:P43,Q43:AE43)),0)</f>
        <v>5</v>
      </c>
      <c r="AY43" s="5">
        <f>IF(T43&gt;0,RANK(T43,(N43:P43,Q43:AE43)),0)</f>
        <v>0</v>
      </c>
      <c r="AZ43" s="5">
        <f>IF(S43&gt;0,RANK(S43,(N43:P43,Q43:AE43)),0)</f>
        <v>0</v>
      </c>
      <c r="BA43" s="2">
        <f t="shared" si="17"/>
        <v>3.4295754422124985E-2</v>
      </c>
      <c r="BB43" s="2">
        <f t="shared" si="18"/>
        <v>6.1495835515534454E-3</v>
      </c>
      <c r="BC43" s="2">
        <f t="shared" si="19"/>
        <v>0</v>
      </c>
      <c r="BD43" s="2">
        <f t="shared" si="20"/>
        <v>0</v>
      </c>
      <c r="BF43" t="s">
        <v>97</v>
      </c>
      <c r="BG43" t="s">
        <v>2498</v>
      </c>
      <c r="BH43">
        <v>3</v>
      </c>
      <c r="BJ43" s="114">
        <v>1</v>
      </c>
      <c r="BK43" s="116">
        <v>81</v>
      </c>
      <c r="BL43" s="120">
        <f t="shared" si="11"/>
        <v>1081</v>
      </c>
      <c r="BN43" s="5" t="s">
        <v>3154</v>
      </c>
    </row>
    <row r="44" spans="1:66" hidden="1" outlineLevel="1">
      <c r="A44" t="s">
        <v>1335</v>
      </c>
      <c r="B44" t="s">
        <v>2498</v>
      </c>
      <c r="C44" s="1">
        <f t="shared" si="12"/>
        <v>40294</v>
      </c>
      <c r="D44" s="5">
        <f>IF(N44&gt;0, RANK(N44,(N44:P44,Q44:AE44)),0)</f>
        <v>2</v>
      </c>
      <c r="E44" s="5">
        <f>IF(O44&gt;0,RANK(O44,(N44:P44,Q44:AE44)),0)</f>
        <v>1</v>
      </c>
      <c r="F44" s="5">
        <f>IF(P44&gt;0,RANK(P44,(N44:P44,Q44:AE44)),0)</f>
        <v>0</v>
      </c>
      <c r="G44" s="132">
        <f t="shared" si="9"/>
        <v>19599</v>
      </c>
      <c r="H44" s="137">
        <f t="shared" si="10"/>
        <v>0.48639996029185489</v>
      </c>
      <c r="I44" s="2"/>
      <c r="J44" s="2">
        <f t="shared" si="13"/>
        <v>0.23497294882612796</v>
      </c>
      <c r="K44" s="2">
        <f t="shared" si="14"/>
        <v>0.7213729091179828</v>
      </c>
      <c r="L44" s="2">
        <f t="shared" si="15"/>
        <v>0</v>
      </c>
      <c r="M44" s="2">
        <f t="shared" si="16"/>
        <v>4.3654142055889245E-2</v>
      </c>
      <c r="N44" s="63">
        <v>9468</v>
      </c>
      <c r="O44" s="63">
        <v>29067</v>
      </c>
      <c r="P44" s="63"/>
      <c r="Q44" s="63">
        <v>1055</v>
      </c>
      <c r="R44" s="63">
        <v>202</v>
      </c>
      <c r="S44" s="63"/>
      <c r="T44" s="63"/>
      <c r="U44" s="63"/>
      <c r="V44" s="63"/>
      <c r="W44" s="63">
        <v>502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W44" s="5">
        <f>IF(Q44&gt;0,RANK(Q44,(N44:P44,Q44:AE44)),0)</f>
        <v>3</v>
      </c>
      <c r="AX44" s="5">
        <f>IF(R44&gt;0,RANK(R44,(N44:P44,Q44:AE44)),0)</f>
        <v>5</v>
      </c>
      <c r="AY44" s="5">
        <f>IF(T44&gt;0,RANK(T44,(N44:P44,Q44:AE44)),0)</f>
        <v>0</v>
      </c>
      <c r="AZ44" s="5">
        <f>IF(S44&gt;0,RANK(S44,(N44:P44,Q44:AE44)),0)</f>
        <v>0</v>
      </c>
      <c r="BA44" s="2">
        <f t="shared" si="17"/>
        <v>2.6182558197250211E-2</v>
      </c>
      <c r="BB44" s="2">
        <f t="shared" si="18"/>
        <v>5.0131533230753957E-3</v>
      </c>
      <c r="BC44" s="2">
        <f t="shared" si="19"/>
        <v>0</v>
      </c>
      <c r="BD44" s="2">
        <f t="shared" si="20"/>
        <v>0</v>
      </c>
      <c r="BF44" t="s">
        <v>1335</v>
      </c>
      <c r="BG44" t="s">
        <v>2498</v>
      </c>
      <c r="BH44">
        <v>5</v>
      </c>
      <c r="BJ44" s="114">
        <v>1</v>
      </c>
      <c r="BK44" s="116">
        <v>83</v>
      </c>
      <c r="BL44" s="120">
        <f t="shared" si="11"/>
        <v>1083</v>
      </c>
      <c r="BN44" s="5" t="s">
        <v>3154</v>
      </c>
    </row>
    <row r="45" spans="1:66" hidden="1" outlineLevel="1">
      <c r="A45" t="s">
        <v>2403</v>
      </c>
      <c r="B45" t="s">
        <v>2498</v>
      </c>
      <c r="C45" s="1">
        <f t="shared" si="12"/>
        <v>6684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32">
        <f t="shared" si="9"/>
        <v>3132</v>
      </c>
      <c r="H45" s="137">
        <f t="shared" si="10"/>
        <v>0.46858168761220825</v>
      </c>
      <c r="I45" s="2"/>
      <c r="J45" s="2">
        <f t="shared" si="13"/>
        <v>0.73055056852184319</v>
      </c>
      <c r="K45" s="2">
        <f t="shared" si="14"/>
        <v>0.26196888090963494</v>
      </c>
      <c r="L45" s="2">
        <f t="shared" si="15"/>
        <v>0</v>
      </c>
      <c r="M45" s="2">
        <f t="shared" si="16"/>
        <v>7.4805505685218709E-3</v>
      </c>
      <c r="N45" s="63">
        <v>4883</v>
      </c>
      <c r="O45" s="63">
        <v>1751</v>
      </c>
      <c r="P45" s="63"/>
      <c r="Q45" s="63">
        <v>32</v>
      </c>
      <c r="R45" s="63">
        <v>11</v>
      </c>
      <c r="S45" s="63"/>
      <c r="T45" s="63"/>
      <c r="U45" s="63"/>
      <c r="V45" s="63"/>
      <c r="W45" s="63">
        <v>7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W45" s="5">
        <f>IF(Q45&gt;0,RANK(Q45,(N45:P45,Q45:AE45)),0)</f>
        <v>3</v>
      </c>
      <c r="AX45" s="5">
        <f>IF(R45&gt;0,RANK(R45,(N45:P45,Q45:AE45)),0)</f>
        <v>4</v>
      </c>
      <c r="AY45" s="5">
        <f>IF(T45&gt;0,RANK(T45,(N45:P45,Q45:AE45)),0)</f>
        <v>0</v>
      </c>
      <c r="AZ45" s="5">
        <f>IF(S45&gt;0,RANK(S45,(N45:P45,Q45:AE45)),0)</f>
        <v>0</v>
      </c>
      <c r="BA45" s="2">
        <f t="shared" si="17"/>
        <v>4.7875523638539795E-3</v>
      </c>
      <c r="BB45" s="2">
        <f t="shared" si="18"/>
        <v>1.6457211250748055E-3</v>
      </c>
      <c r="BC45" s="2">
        <f t="shared" si="19"/>
        <v>0</v>
      </c>
      <c r="BD45" s="2">
        <f t="shared" si="20"/>
        <v>0</v>
      </c>
      <c r="BF45" t="s">
        <v>2403</v>
      </c>
      <c r="BG45" t="s">
        <v>2498</v>
      </c>
      <c r="BH45">
        <v>7</v>
      </c>
      <c r="BJ45" s="114">
        <v>1</v>
      </c>
      <c r="BK45" s="116">
        <v>85</v>
      </c>
      <c r="BL45" s="120">
        <f t="shared" si="11"/>
        <v>1085</v>
      </c>
      <c r="BN45" s="5" t="s">
        <v>3154</v>
      </c>
    </row>
    <row r="46" spans="1:66" hidden="1" outlineLevel="1">
      <c r="A46" t="s">
        <v>1649</v>
      </c>
      <c r="B46" t="s">
        <v>2498</v>
      </c>
      <c r="C46" s="1">
        <f t="shared" si="12"/>
        <v>9140</v>
      </c>
      <c r="D46" s="5">
        <f>IF(N46&gt;0, RANK(N46,(N46:P46,Q46:AE46)),0)</f>
        <v>1</v>
      </c>
      <c r="E46" s="5">
        <f>IF(O46&gt;0,RANK(O46,(N46:P46,Q46:AE46)),0)</f>
        <v>2</v>
      </c>
      <c r="F46" s="5">
        <f>IF(P46&gt;0,RANK(P46,(N46:P46,Q46:AE46)),0)</f>
        <v>0</v>
      </c>
      <c r="G46" s="132">
        <f t="shared" si="9"/>
        <v>6135</v>
      </c>
      <c r="H46" s="137">
        <f t="shared" si="10"/>
        <v>0.67122538293216627</v>
      </c>
      <c r="I46" s="2"/>
      <c r="J46" s="2">
        <f t="shared" si="13"/>
        <v>0.82778993435448578</v>
      </c>
      <c r="K46" s="2">
        <f t="shared" si="14"/>
        <v>0.15656455142231948</v>
      </c>
      <c r="L46" s="2">
        <f t="shared" si="15"/>
        <v>0</v>
      </c>
      <c r="M46" s="2">
        <f t="shared" si="16"/>
        <v>1.564551422319474E-2</v>
      </c>
      <c r="N46" s="63">
        <v>7566</v>
      </c>
      <c r="O46" s="63">
        <v>1431</v>
      </c>
      <c r="P46" s="63"/>
      <c r="Q46" s="63">
        <v>69</v>
      </c>
      <c r="R46" s="63">
        <v>49</v>
      </c>
      <c r="S46" s="63"/>
      <c r="T46" s="63"/>
      <c r="U46" s="63"/>
      <c r="V46" s="63"/>
      <c r="W46" s="63">
        <v>25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W46" s="5">
        <f>IF(Q46&gt;0,RANK(Q46,(N46:P46,Q46:AE46)),0)</f>
        <v>3</v>
      </c>
      <c r="AX46" s="5">
        <f>IF(R46&gt;0,RANK(R46,(N46:P46,Q46:AE46)),0)</f>
        <v>4</v>
      </c>
      <c r="AY46" s="5">
        <f>IF(T46&gt;0,RANK(T46,(N46:P46,Q46:AE46)),0)</f>
        <v>0</v>
      </c>
      <c r="AZ46" s="5">
        <f>IF(S46&gt;0,RANK(S46,(N46:P46,Q46:AE46)),0)</f>
        <v>0</v>
      </c>
      <c r="BA46" s="2">
        <f t="shared" si="17"/>
        <v>7.5492341356673959E-3</v>
      </c>
      <c r="BB46" s="2">
        <f t="shared" si="18"/>
        <v>5.361050328227571E-3</v>
      </c>
      <c r="BC46" s="2">
        <f t="shared" si="19"/>
        <v>0</v>
      </c>
      <c r="BD46" s="2">
        <f t="shared" si="20"/>
        <v>0</v>
      </c>
      <c r="BF46" t="s">
        <v>1649</v>
      </c>
      <c r="BG46" t="s">
        <v>2498</v>
      </c>
      <c r="BH46">
        <v>3</v>
      </c>
      <c r="BJ46" s="114">
        <v>1</v>
      </c>
      <c r="BK46" s="116">
        <v>87</v>
      </c>
      <c r="BL46" s="120">
        <f t="shared" si="11"/>
        <v>1087</v>
      </c>
      <c r="BN46" s="5" t="s">
        <v>3154</v>
      </c>
    </row>
    <row r="47" spans="1:66" hidden="1" outlineLevel="1">
      <c r="A47" t="s">
        <v>1650</v>
      </c>
      <c r="B47" t="s">
        <v>2498</v>
      </c>
      <c r="C47" s="1">
        <f t="shared" si="12"/>
        <v>163389</v>
      </c>
      <c r="D47" s="5">
        <f>IF(N47&gt;0, RANK(N47,(N47:P47,Q47:AE47)),0)</f>
        <v>2</v>
      </c>
      <c r="E47" s="5">
        <f>IF(O47&gt;0,RANK(O47,(N47:P47,Q47:AE47)),0)</f>
        <v>1</v>
      </c>
      <c r="F47" s="5">
        <f>IF(P47&gt;0,RANK(P47,(N47:P47,Q47:AE47)),0)</f>
        <v>0</v>
      </c>
      <c r="G47" s="132">
        <f t="shared" si="9"/>
        <v>26698</v>
      </c>
      <c r="H47" s="137">
        <f t="shared" si="10"/>
        <v>0.16340145297419043</v>
      </c>
      <c r="I47" s="2"/>
      <c r="J47" s="2">
        <f t="shared" si="13"/>
        <v>0.38449344815134434</v>
      </c>
      <c r="K47" s="2">
        <f t="shared" si="14"/>
        <v>0.54789490112553474</v>
      </c>
      <c r="L47" s="2">
        <f t="shared" si="15"/>
        <v>0</v>
      </c>
      <c r="M47" s="2">
        <f t="shared" si="16"/>
        <v>6.761165072312092E-2</v>
      </c>
      <c r="N47" s="63">
        <v>62822</v>
      </c>
      <c r="O47" s="63">
        <v>89520</v>
      </c>
      <c r="P47" s="63"/>
      <c r="Q47" s="63">
        <v>6621</v>
      </c>
      <c r="R47" s="63">
        <v>1254</v>
      </c>
      <c r="S47" s="63"/>
      <c r="T47" s="63"/>
      <c r="U47" s="63"/>
      <c r="V47" s="63"/>
      <c r="W47" s="63">
        <v>3172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W47" s="5">
        <f>IF(Q47&gt;0,RANK(Q47,(N47:P47,Q47:AE47)),0)</f>
        <v>3</v>
      </c>
      <c r="AX47" s="5">
        <f>IF(R47&gt;0,RANK(R47,(N47:P47,Q47:AE47)),0)</f>
        <v>5</v>
      </c>
      <c r="AY47" s="5">
        <f>IF(T47&gt;0,RANK(T47,(N47:P47,Q47:AE47)),0)</f>
        <v>0</v>
      </c>
      <c r="AZ47" s="5">
        <f>IF(S47&gt;0,RANK(S47,(N47:P47,Q47:AE47)),0)</f>
        <v>0</v>
      </c>
      <c r="BA47" s="2">
        <f t="shared" si="17"/>
        <v>4.0522923819840996E-2</v>
      </c>
      <c r="BB47" s="2">
        <f t="shared" si="18"/>
        <v>7.6749352771606416E-3</v>
      </c>
      <c r="BC47" s="2">
        <f t="shared" si="19"/>
        <v>0</v>
      </c>
      <c r="BD47" s="2">
        <f t="shared" si="20"/>
        <v>0</v>
      </c>
      <c r="BF47" t="s">
        <v>1650</v>
      </c>
      <c r="BG47" t="s">
        <v>2498</v>
      </c>
      <c r="BH47">
        <v>5</v>
      </c>
      <c r="BJ47" s="114">
        <v>1</v>
      </c>
      <c r="BK47" s="116">
        <v>89</v>
      </c>
      <c r="BL47" s="120">
        <f t="shared" si="11"/>
        <v>1089</v>
      </c>
      <c r="BN47" s="5" t="s">
        <v>3154</v>
      </c>
    </row>
    <row r="48" spans="1:66" hidden="1" outlineLevel="1">
      <c r="A48" t="s">
        <v>1127</v>
      </c>
      <c r="B48" t="s">
        <v>2498</v>
      </c>
      <c r="C48" s="1">
        <f t="shared" si="12"/>
        <v>10994</v>
      </c>
      <c r="D48" s="5">
        <f>IF(N48&gt;0, RANK(N48,(N48:P48,Q48:AE48)),0)</f>
        <v>1</v>
      </c>
      <c r="E48" s="5">
        <f>IF(O48&gt;0,RANK(O48,(N48:P48,Q48:AE48)),0)</f>
        <v>2</v>
      </c>
      <c r="F48" s="5">
        <f>IF(P48&gt;0,RANK(P48,(N48:P48,Q48:AE48)),0)</f>
        <v>0</v>
      </c>
      <c r="G48" s="132">
        <f t="shared" si="9"/>
        <v>382</v>
      </c>
      <c r="H48" s="137">
        <f t="shared" si="10"/>
        <v>3.4746225213752958E-2</v>
      </c>
      <c r="I48" s="2"/>
      <c r="J48" s="2">
        <f t="shared" si="13"/>
        <v>0.5107331271602692</v>
      </c>
      <c r="K48" s="2">
        <f t="shared" si="14"/>
        <v>0.47598690194651627</v>
      </c>
      <c r="L48" s="2">
        <f t="shared" si="15"/>
        <v>0</v>
      </c>
      <c r="M48" s="2">
        <f t="shared" si="16"/>
        <v>1.3279970893214532E-2</v>
      </c>
      <c r="N48" s="63">
        <v>5615</v>
      </c>
      <c r="O48" s="63">
        <v>5233</v>
      </c>
      <c r="P48" s="63"/>
      <c r="Q48" s="63">
        <v>104</v>
      </c>
      <c r="R48" s="63">
        <v>13</v>
      </c>
      <c r="S48" s="63"/>
      <c r="T48" s="63"/>
      <c r="U48" s="63"/>
      <c r="V48" s="63"/>
      <c r="W48" s="63">
        <v>29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W48" s="5">
        <f>IF(Q48&gt;0,RANK(Q48,(N48:P48,Q48:AE48)),0)</f>
        <v>3</v>
      </c>
      <c r="AX48" s="5">
        <f>IF(R48&gt;0,RANK(R48,(N48:P48,Q48:AE48)),0)</f>
        <v>5</v>
      </c>
      <c r="AY48" s="5">
        <f>IF(T48&gt;0,RANK(T48,(N48:P48,Q48:AE48)),0)</f>
        <v>0</v>
      </c>
      <c r="AZ48" s="5">
        <f>IF(S48&gt;0,RANK(S48,(N48:P48,Q48:AE48)),0)</f>
        <v>0</v>
      </c>
      <c r="BA48" s="2">
        <f t="shared" si="17"/>
        <v>9.4597052937966161E-3</v>
      </c>
      <c r="BB48" s="2">
        <f t="shared" si="18"/>
        <v>1.182463161724577E-3</v>
      </c>
      <c r="BC48" s="2">
        <f t="shared" si="19"/>
        <v>0</v>
      </c>
      <c r="BD48" s="2">
        <f t="shared" si="20"/>
        <v>0</v>
      </c>
      <c r="BF48" t="s">
        <v>1127</v>
      </c>
      <c r="BG48" t="s">
        <v>2498</v>
      </c>
      <c r="BH48">
        <v>7</v>
      </c>
      <c r="BJ48" s="114">
        <v>1</v>
      </c>
      <c r="BK48" s="116">
        <v>91</v>
      </c>
      <c r="BL48" s="120">
        <f t="shared" si="11"/>
        <v>1091</v>
      </c>
      <c r="BN48" s="5" t="s">
        <v>3154</v>
      </c>
    </row>
    <row r="49" spans="1:70" hidden="1" outlineLevel="1">
      <c r="A49" t="s">
        <v>1826</v>
      </c>
      <c r="B49" t="s">
        <v>2498</v>
      </c>
      <c r="C49" s="1">
        <f t="shared" si="12"/>
        <v>12984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32">
        <f t="shared" si="9"/>
        <v>9842</v>
      </c>
      <c r="H49" s="137">
        <f t="shared" si="10"/>
        <v>0.75800985828712264</v>
      </c>
      <c r="I49" s="2"/>
      <c r="J49" s="2">
        <f t="shared" si="13"/>
        <v>0.11028958718422674</v>
      </c>
      <c r="K49" s="2">
        <f t="shared" si="14"/>
        <v>0.86829944547134941</v>
      </c>
      <c r="L49" s="2">
        <f t="shared" si="15"/>
        <v>0</v>
      </c>
      <c r="M49" s="2">
        <f t="shared" si="16"/>
        <v>2.1410967344423826E-2</v>
      </c>
      <c r="N49" s="63">
        <v>1432</v>
      </c>
      <c r="O49" s="63">
        <v>11274</v>
      </c>
      <c r="P49" s="63"/>
      <c r="Q49" s="63">
        <v>181</v>
      </c>
      <c r="R49" s="63">
        <v>26</v>
      </c>
      <c r="S49" s="63"/>
      <c r="T49" s="63"/>
      <c r="U49" s="63"/>
      <c r="V49" s="63"/>
      <c r="W49" s="63">
        <v>71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W49" s="5">
        <f>IF(Q49&gt;0,RANK(Q49,(N49:P49,Q49:AE49)),0)</f>
        <v>3</v>
      </c>
      <c r="AX49" s="5">
        <f>IF(R49&gt;0,RANK(R49,(N49:P49,Q49:AE49)),0)</f>
        <v>5</v>
      </c>
      <c r="AY49" s="5">
        <f>IF(T49&gt;0,RANK(T49,(N49:P49,Q49:AE49)),0)</f>
        <v>0</v>
      </c>
      <c r="AZ49" s="5">
        <f>IF(S49&gt;0,RANK(S49,(N49:P49,Q49:AE49)),0)</f>
        <v>0</v>
      </c>
      <c r="BA49" s="2">
        <f t="shared" si="17"/>
        <v>1.3940234134319163E-2</v>
      </c>
      <c r="BB49" s="2">
        <f t="shared" si="18"/>
        <v>2.002464571780653E-3</v>
      </c>
      <c r="BC49" s="2">
        <f t="shared" si="19"/>
        <v>0</v>
      </c>
      <c r="BD49" s="2">
        <f t="shared" si="20"/>
        <v>0</v>
      </c>
      <c r="BF49" t="s">
        <v>1826</v>
      </c>
      <c r="BG49" t="s">
        <v>2498</v>
      </c>
      <c r="BH49">
        <v>4</v>
      </c>
      <c r="BJ49" s="114">
        <v>1</v>
      </c>
      <c r="BK49" s="116">
        <v>93</v>
      </c>
      <c r="BL49" s="120">
        <f t="shared" si="11"/>
        <v>1093</v>
      </c>
      <c r="BN49" s="5" t="s">
        <v>3154</v>
      </c>
    </row>
    <row r="50" spans="1:70" hidden="1" outlineLevel="1">
      <c r="A50" t="s">
        <v>1847</v>
      </c>
      <c r="B50" t="s">
        <v>2498</v>
      </c>
      <c r="C50" s="1">
        <f t="shared" si="12"/>
        <v>35316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32">
        <f t="shared" si="9"/>
        <v>24316</v>
      </c>
      <c r="H50" s="137">
        <f t="shared" si="10"/>
        <v>0.68852644693623288</v>
      </c>
      <c r="I50" s="2"/>
      <c r="J50" s="2">
        <f t="shared" si="13"/>
        <v>0.13922867821950391</v>
      </c>
      <c r="K50" s="2">
        <f t="shared" si="14"/>
        <v>0.82775512515573679</v>
      </c>
      <c r="L50" s="2">
        <f t="shared" si="15"/>
        <v>0</v>
      </c>
      <c r="M50" s="2">
        <f t="shared" si="16"/>
        <v>3.3016196624759298E-2</v>
      </c>
      <c r="N50" s="63">
        <v>4917</v>
      </c>
      <c r="O50" s="63">
        <v>29233</v>
      </c>
      <c r="P50" s="63"/>
      <c r="Q50" s="63">
        <v>678</v>
      </c>
      <c r="R50" s="63">
        <v>158</v>
      </c>
      <c r="S50" s="63"/>
      <c r="T50" s="63"/>
      <c r="U50" s="63"/>
      <c r="V50" s="63"/>
      <c r="W50" s="63">
        <v>330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W50" s="5">
        <f>IF(Q50&gt;0,RANK(Q50,(N50:P50,Q50:AE50)),0)</f>
        <v>3</v>
      </c>
      <c r="AX50" s="5">
        <f>IF(R50&gt;0,RANK(R50,(N50:P50,Q50:AE50)),0)</f>
        <v>5</v>
      </c>
      <c r="AY50" s="5">
        <f>IF(T50&gt;0,RANK(T50,(N50:P50,Q50:AE50)),0)</f>
        <v>0</v>
      </c>
      <c r="AZ50" s="5">
        <f>IF(S50&gt;0,RANK(S50,(N50:P50,Q50:AE50)),0)</f>
        <v>0</v>
      </c>
      <c r="BA50" s="2">
        <f t="shared" si="17"/>
        <v>1.9198097179748557E-2</v>
      </c>
      <c r="BB50" s="2">
        <f t="shared" si="18"/>
        <v>4.4738928530977462E-3</v>
      </c>
      <c r="BC50" s="2">
        <f t="shared" si="19"/>
        <v>0</v>
      </c>
      <c r="BD50" s="2">
        <f t="shared" si="20"/>
        <v>0</v>
      </c>
      <c r="BF50" t="s">
        <v>1847</v>
      </c>
      <c r="BG50" t="s">
        <v>2498</v>
      </c>
      <c r="BH50">
        <v>4</v>
      </c>
      <c r="BJ50" s="114">
        <v>1</v>
      </c>
      <c r="BK50" s="116">
        <v>95</v>
      </c>
      <c r="BL50" s="120">
        <f t="shared" si="11"/>
        <v>1095</v>
      </c>
      <c r="BN50" s="5" t="s">
        <v>3154</v>
      </c>
    </row>
    <row r="51" spans="1:70" hidden="1" outlineLevel="1">
      <c r="A51" t="s">
        <v>643</v>
      </c>
      <c r="B51" t="s">
        <v>2498</v>
      </c>
      <c r="C51" s="1">
        <f t="shared" si="12"/>
        <v>172737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32">
        <f t="shared" si="9"/>
        <v>22930</v>
      </c>
      <c r="H51" s="137">
        <f t="shared" si="10"/>
        <v>0.13274515593069233</v>
      </c>
      <c r="I51" s="2"/>
      <c r="J51" s="2">
        <f t="shared" si="13"/>
        <v>0.41789541325830598</v>
      </c>
      <c r="K51" s="2">
        <f t="shared" si="14"/>
        <v>0.55064056918899829</v>
      </c>
      <c r="L51" s="2">
        <f t="shared" si="15"/>
        <v>0</v>
      </c>
      <c r="M51" s="2">
        <f t="shared" si="16"/>
        <v>3.1464017552695789E-2</v>
      </c>
      <c r="N51" s="63">
        <v>72186</v>
      </c>
      <c r="O51" s="63">
        <v>95116</v>
      </c>
      <c r="P51" s="63"/>
      <c r="Q51" s="63">
        <v>3291</v>
      </c>
      <c r="R51" s="63">
        <v>791</v>
      </c>
      <c r="S51" s="63"/>
      <c r="T51" s="63"/>
      <c r="U51" s="63"/>
      <c r="V51" s="63"/>
      <c r="W51" s="63">
        <v>1353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W51" s="5">
        <f>IF(Q51&gt;0,RANK(Q51,(N51:P51,Q51:AE51)),0)</f>
        <v>3</v>
      </c>
      <c r="AX51" s="5">
        <f>IF(R51&gt;0,RANK(R51,(N51:P51,Q51:AE51)),0)</f>
        <v>5</v>
      </c>
      <c r="AY51" s="5">
        <f>IF(T51&gt;0,RANK(T51,(N51:P51,Q51:AE51)),0)</f>
        <v>0</v>
      </c>
      <c r="AZ51" s="5">
        <f>IF(S51&gt;0,RANK(S51,(N51:P51,Q51:AE51)),0)</f>
        <v>0</v>
      </c>
      <c r="BA51" s="2">
        <f t="shared" si="17"/>
        <v>1.9052084961531112E-2</v>
      </c>
      <c r="BB51" s="2">
        <f t="shared" si="18"/>
        <v>4.5792158020574632E-3</v>
      </c>
      <c r="BC51" s="2">
        <f t="shared" si="19"/>
        <v>0</v>
      </c>
      <c r="BD51" s="2">
        <f t="shared" si="20"/>
        <v>0</v>
      </c>
      <c r="BF51" t="s">
        <v>643</v>
      </c>
      <c r="BG51" t="s">
        <v>2498</v>
      </c>
      <c r="BH51">
        <v>1</v>
      </c>
      <c r="BJ51" s="114">
        <v>1</v>
      </c>
      <c r="BK51" s="116">
        <v>97</v>
      </c>
      <c r="BL51" s="120">
        <f t="shared" si="11"/>
        <v>1097</v>
      </c>
      <c r="BN51" s="5" t="s">
        <v>3154</v>
      </c>
    </row>
    <row r="52" spans="1:70" hidden="1" outlineLevel="1">
      <c r="A52" t="s">
        <v>644</v>
      </c>
      <c r="B52" t="s">
        <v>2498</v>
      </c>
      <c r="C52" s="1">
        <f t="shared" si="12"/>
        <v>10271</v>
      </c>
      <c r="D52" s="5">
        <f>IF(N52&gt;0, RANK(N52,(N52:P52,Q52:AE52)),0)</f>
        <v>2</v>
      </c>
      <c r="E52" s="5">
        <f>IF(O52&gt;0,RANK(O52,(N52:P52,Q52:AE52)),0)</f>
        <v>1</v>
      </c>
      <c r="F52" s="5">
        <f>IF(P52&gt;0,RANK(P52,(N52:P52,Q52:AE52)),0)</f>
        <v>0</v>
      </c>
      <c r="G52" s="132">
        <f t="shared" si="9"/>
        <v>1463</v>
      </c>
      <c r="H52" s="137">
        <f t="shared" si="10"/>
        <v>0.14243987927173596</v>
      </c>
      <c r="I52" s="2"/>
      <c r="J52" s="2">
        <f t="shared" si="13"/>
        <v>0.42177003212929609</v>
      </c>
      <c r="K52" s="2">
        <f t="shared" si="14"/>
        <v>0.56420991140103205</v>
      </c>
      <c r="L52" s="2">
        <f t="shared" si="15"/>
        <v>0</v>
      </c>
      <c r="M52" s="2">
        <f t="shared" si="16"/>
        <v>1.402005646967186E-2</v>
      </c>
      <c r="N52" s="63">
        <v>4332</v>
      </c>
      <c r="O52" s="63">
        <v>5795</v>
      </c>
      <c r="P52" s="63"/>
      <c r="Q52" s="63">
        <v>88</v>
      </c>
      <c r="R52" s="63">
        <v>17</v>
      </c>
      <c r="S52" s="63"/>
      <c r="T52" s="63"/>
      <c r="U52" s="63"/>
      <c r="V52" s="63"/>
      <c r="W52" s="63">
        <v>39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W52" s="5">
        <f>IF(Q52&gt;0,RANK(Q52,(N52:P52,Q52:AE52)),0)</f>
        <v>3</v>
      </c>
      <c r="AX52" s="5">
        <f>IF(R52&gt;0,RANK(R52,(N52:P52,Q52:AE52)),0)</f>
        <v>5</v>
      </c>
      <c r="AY52" s="5">
        <f>IF(T52&gt;0,RANK(T52,(N52:P52,Q52:AE52)),0)</f>
        <v>0</v>
      </c>
      <c r="AZ52" s="5">
        <f>IF(S52&gt;0,RANK(S52,(N52:P52,Q52:AE52)),0)</f>
        <v>0</v>
      </c>
      <c r="BA52" s="2">
        <f t="shared" si="17"/>
        <v>8.5678122870217113E-3</v>
      </c>
      <c r="BB52" s="2">
        <f t="shared" si="18"/>
        <v>1.655145555447376E-3</v>
      </c>
      <c r="BC52" s="2">
        <f t="shared" si="19"/>
        <v>0</v>
      </c>
      <c r="BD52" s="2">
        <f t="shared" si="20"/>
        <v>0</v>
      </c>
      <c r="BF52" t="s">
        <v>644</v>
      </c>
      <c r="BG52" t="s">
        <v>2498</v>
      </c>
      <c r="BH52">
        <v>1</v>
      </c>
      <c r="BJ52" s="114">
        <v>1</v>
      </c>
      <c r="BK52" s="116">
        <v>99</v>
      </c>
      <c r="BL52" s="120">
        <f t="shared" si="11"/>
        <v>1099</v>
      </c>
      <c r="BN52" s="5" t="s">
        <v>3154</v>
      </c>
    </row>
    <row r="53" spans="1:70" hidden="1" outlineLevel="1">
      <c r="A53" t="s">
        <v>1406</v>
      </c>
      <c r="B53" t="s">
        <v>2498</v>
      </c>
      <c r="C53" s="1">
        <f t="shared" si="12"/>
        <v>95878</v>
      </c>
      <c r="D53" s="5">
        <f>IF(N53&gt;0, RANK(N53,(N53:P53,Q53:AE53)),0)</f>
        <v>1</v>
      </c>
      <c r="E53" s="5">
        <f>IF(O53&gt;0,RANK(O53,(N53:P53,Q53:AE53)),0)</f>
        <v>2</v>
      </c>
      <c r="F53" s="5">
        <f>IF(P53&gt;0,RANK(P53,(N53:P53,Q53:AE53)),0)</f>
        <v>0</v>
      </c>
      <c r="G53" s="132">
        <f t="shared" si="9"/>
        <v>24913</v>
      </c>
      <c r="H53" s="137">
        <f t="shared" si="10"/>
        <v>0.25984063080164377</v>
      </c>
      <c r="I53" s="2"/>
      <c r="J53" s="2">
        <f t="shared" si="13"/>
        <v>0.61448924675107952</v>
      </c>
      <c r="K53" s="2">
        <f t="shared" si="14"/>
        <v>0.35464861594943575</v>
      </c>
      <c r="L53" s="2">
        <f t="shared" si="15"/>
        <v>0</v>
      </c>
      <c r="M53" s="2">
        <f t="shared" si="16"/>
        <v>3.0862137299484727E-2</v>
      </c>
      <c r="N53" s="63">
        <v>58916</v>
      </c>
      <c r="O53" s="63">
        <v>34003</v>
      </c>
      <c r="P53" s="63"/>
      <c r="Q53" s="63">
        <v>1486</v>
      </c>
      <c r="R53" s="63">
        <v>490</v>
      </c>
      <c r="S53" s="63"/>
      <c r="T53" s="63"/>
      <c r="U53" s="63"/>
      <c r="V53" s="63"/>
      <c r="W53" s="63">
        <v>983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W53" s="5">
        <f>IF(Q53&gt;0,RANK(Q53,(N53:P53,Q53:AE53)),0)</f>
        <v>3</v>
      </c>
      <c r="AX53" s="5">
        <f>IF(R53&gt;0,RANK(R53,(N53:P53,Q53:AE53)),0)</f>
        <v>5</v>
      </c>
      <c r="AY53" s="5">
        <f>IF(T53&gt;0,RANK(T53,(N53:P53,Q53:AE53)),0)</f>
        <v>0</v>
      </c>
      <c r="AZ53" s="5">
        <f>IF(S53&gt;0,RANK(S53,(N53:P53,Q53:AE53)),0)</f>
        <v>0</v>
      </c>
      <c r="BA53" s="2">
        <f t="shared" si="17"/>
        <v>1.5498863138571935E-2</v>
      </c>
      <c r="BB53" s="2">
        <f t="shared" si="18"/>
        <v>5.1106614656125492E-3</v>
      </c>
      <c r="BC53" s="2">
        <f t="shared" si="19"/>
        <v>0</v>
      </c>
      <c r="BD53" s="2">
        <f t="shared" si="20"/>
        <v>0</v>
      </c>
      <c r="BF53" t="s">
        <v>1406</v>
      </c>
      <c r="BG53" t="s">
        <v>2498</v>
      </c>
      <c r="BJ53" s="114">
        <v>1</v>
      </c>
      <c r="BK53" s="116">
        <v>101</v>
      </c>
      <c r="BL53" s="120">
        <f t="shared" si="11"/>
        <v>1101</v>
      </c>
      <c r="BN53" s="5" t="s">
        <v>3154</v>
      </c>
    </row>
    <row r="54" spans="1:70" hidden="1" outlineLevel="1">
      <c r="A54" t="s">
        <v>1145</v>
      </c>
      <c r="B54" t="s">
        <v>2498</v>
      </c>
      <c r="C54" s="1">
        <f t="shared" si="12"/>
        <v>50644</v>
      </c>
      <c r="D54" s="5">
        <f>IF(N54&gt;0, RANK(N54,(N54:P54,Q54:AE54)),0)</f>
        <v>2</v>
      </c>
      <c r="E54" s="5">
        <f>IF(O54&gt;0,RANK(O54,(N54:P54,Q54:AE54)),0)</f>
        <v>1</v>
      </c>
      <c r="F54" s="5">
        <f>IF(P54&gt;0,RANK(P54,(N54:P54,Q54:AE54)),0)</f>
        <v>0</v>
      </c>
      <c r="G54" s="132">
        <f t="shared" si="9"/>
        <v>26232</v>
      </c>
      <c r="H54" s="137">
        <f t="shared" si="10"/>
        <v>0.51796856488429033</v>
      </c>
      <c r="I54" s="2"/>
      <c r="J54" s="2">
        <f t="shared" si="13"/>
        <v>0.22221783429428954</v>
      </c>
      <c r="K54" s="2">
        <f t="shared" si="14"/>
        <v>0.74018639917857987</v>
      </c>
      <c r="L54" s="2">
        <f t="shared" si="15"/>
        <v>0</v>
      </c>
      <c r="M54" s="2">
        <f t="shared" si="16"/>
        <v>3.7595766527130592E-2</v>
      </c>
      <c r="N54" s="63">
        <v>11254</v>
      </c>
      <c r="O54" s="63">
        <v>37486</v>
      </c>
      <c r="P54" s="63"/>
      <c r="Q54" s="63">
        <v>1168</v>
      </c>
      <c r="R54" s="63">
        <v>218</v>
      </c>
      <c r="S54" s="63"/>
      <c r="T54" s="63"/>
      <c r="U54" s="63"/>
      <c r="V54" s="63"/>
      <c r="W54" s="63">
        <v>518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W54" s="5">
        <f>IF(Q54&gt;0,RANK(Q54,(N54:P54,Q54:AE54)),0)</f>
        <v>3</v>
      </c>
      <c r="AX54" s="5">
        <f>IF(R54&gt;0,RANK(R54,(N54:P54,Q54:AE54)),0)</f>
        <v>5</v>
      </c>
      <c r="AY54" s="5">
        <f>IF(T54&gt;0,RANK(T54,(N54:P54,Q54:AE54)),0)</f>
        <v>0</v>
      </c>
      <c r="AZ54" s="5">
        <f>IF(S54&gt;0,RANK(S54,(N54:P54,Q54:AE54)),0)</f>
        <v>0</v>
      </c>
      <c r="BA54" s="2">
        <f t="shared" si="17"/>
        <v>2.3062949214122108E-2</v>
      </c>
      <c r="BB54" s="2">
        <f t="shared" si="18"/>
        <v>4.3045573019508728E-3</v>
      </c>
      <c r="BC54" s="2">
        <f t="shared" si="19"/>
        <v>0</v>
      </c>
      <c r="BD54" s="2">
        <f t="shared" si="20"/>
        <v>0</v>
      </c>
      <c r="BF54" t="s">
        <v>1145</v>
      </c>
      <c r="BG54" t="s">
        <v>2498</v>
      </c>
      <c r="BH54">
        <v>5</v>
      </c>
      <c r="BJ54" s="114">
        <v>1</v>
      </c>
      <c r="BK54" s="116">
        <v>103</v>
      </c>
      <c r="BL54" s="120">
        <f t="shared" si="11"/>
        <v>1103</v>
      </c>
      <c r="BN54" s="5" t="s">
        <v>3154</v>
      </c>
      <c r="BR54" s="63"/>
    </row>
    <row r="55" spans="1:70" hidden="1" outlineLevel="1">
      <c r="A55" t="s">
        <v>2118</v>
      </c>
      <c r="B55" t="s">
        <v>2498</v>
      </c>
      <c r="C55" s="1">
        <f t="shared" si="12"/>
        <v>5278</v>
      </c>
      <c r="D55" s="5">
        <f>IF(N55&gt;0, RANK(N55,(N55:P55,Q55:AE55)),0)</f>
        <v>1</v>
      </c>
      <c r="E55" s="5">
        <f>IF(O55&gt;0,RANK(O55,(N55:P55,Q55:AE55)),0)</f>
        <v>2</v>
      </c>
      <c r="F55" s="5">
        <f>IF(P55&gt;0,RANK(P55,(N55:P55,Q55:AE55)),0)</f>
        <v>0</v>
      </c>
      <c r="G55" s="132">
        <f t="shared" si="9"/>
        <v>2417</v>
      </c>
      <c r="H55" s="137">
        <f t="shared" si="10"/>
        <v>0.4579386131110269</v>
      </c>
      <c r="I55" s="2"/>
      <c r="J55" s="2">
        <f t="shared" si="13"/>
        <v>0.72451686244789693</v>
      </c>
      <c r="K55" s="2">
        <f t="shared" si="14"/>
        <v>0.26657824933687002</v>
      </c>
      <c r="L55" s="2">
        <f t="shared" si="15"/>
        <v>0</v>
      </c>
      <c r="M55" s="2">
        <f t="shared" si="16"/>
        <v>8.9048882152330533E-3</v>
      </c>
      <c r="N55" s="63">
        <v>3824</v>
      </c>
      <c r="O55" s="63">
        <v>1407</v>
      </c>
      <c r="P55" s="63"/>
      <c r="Q55" s="63">
        <v>23</v>
      </c>
      <c r="R55" s="63">
        <v>6</v>
      </c>
      <c r="S55" s="63"/>
      <c r="T55" s="63"/>
      <c r="U55" s="63"/>
      <c r="V55" s="63"/>
      <c r="W55" s="63">
        <v>18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W55" s="5">
        <f>IF(Q55&gt;0,RANK(Q55,(N55:P55,Q55:AE55)),0)</f>
        <v>3</v>
      </c>
      <c r="AX55" s="5">
        <f>IF(R55&gt;0,RANK(R55,(N55:P55,Q55:AE55)),0)</f>
        <v>5</v>
      </c>
      <c r="AY55" s="5">
        <f>IF(T55&gt;0,RANK(T55,(N55:P55,Q55:AE55)),0)</f>
        <v>0</v>
      </c>
      <c r="AZ55" s="5">
        <f>IF(S55&gt;0,RANK(S55,(N55:P55,Q55:AE55)),0)</f>
        <v>0</v>
      </c>
      <c r="BA55" s="2">
        <f t="shared" si="17"/>
        <v>4.3577112542629781E-3</v>
      </c>
      <c r="BB55" s="2">
        <f t="shared" si="18"/>
        <v>1.1367942402425162E-3</v>
      </c>
      <c r="BC55" s="2">
        <f t="shared" si="19"/>
        <v>0</v>
      </c>
      <c r="BD55" s="2">
        <f t="shared" si="20"/>
        <v>0</v>
      </c>
      <c r="BF55" t="s">
        <v>2118</v>
      </c>
      <c r="BG55" t="s">
        <v>2498</v>
      </c>
      <c r="BH55">
        <v>7</v>
      </c>
      <c r="BJ55" s="114">
        <v>1</v>
      </c>
      <c r="BK55" s="116">
        <v>105</v>
      </c>
      <c r="BL55" s="120">
        <f t="shared" si="11"/>
        <v>1105</v>
      </c>
      <c r="BN55" s="5" t="s">
        <v>3154</v>
      </c>
    </row>
    <row r="56" spans="1:70" hidden="1" outlineLevel="1">
      <c r="A56" t="s">
        <v>1627</v>
      </c>
      <c r="B56" t="s">
        <v>2498</v>
      </c>
      <c r="C56" s="1">
        <f t="shared" si="12"/>
        <v>9542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32">
        <f t="shared" si="9"/>
        <v>1484</v>
      </c>
      <c r="H56" s="137">
        <f t="shared" si="10"/>
        <v>0.15552295116327813</v>
      </c>
      <c r="I56" s="2"/>
      <c r="J56" s="2">
        <f t="shared" si="13"/>
        <v>0.41626493397610564</v>
      </c>
      <c r="K56" s="2">
        <f t="shared" si="14"/>
        <v>0.57178788513938372</v>
      </c>
      <c r="L56" s="2">
        <f t="shared" si="15"/>
        <v>0</v>
      </c>
      <c r="M56" s="2">
        <f t="shared" si="16"/>
        <v>1.1947180884510633E-2</v>
      </c>
      <c r="N56" s="63">
        <v>3972</v>
      </c>
      <c r="O56" s="63">
        <v>5456</v>
      </c>
      <c r="P56" s="63"/>
      <c r="Q56" s="63">
        <v>49</v>
      </c>
      <c r="R56" s="63">
        <v>19</v>
      </c>
      <c r="S56" s="63"/>
      <c r="T56" s="63"/>
      <c r="U56" s="63"/>
      <c r="V56" s="63"/>
      <c r="W56" s="63">
        <v>46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W56" s="5">
        <f>IF(Q56&gt;0,RANK(Q56,(N56:P56,Q56:AE56)),0)</f>
        <v>3</v>
      </c>
      <c r="AX56" s="5">
        <f>IF(R56&gt;0,RANK(R56,(N56:P56,Q56:AE56)),0)</f>
        <v>5</v>
      </c>
      <c r="AY56" s="5">
        <f>IF(T56&gt;0,RANK(T56,(N56:P56,Q56:AE56)),0)</f>
        <v>0</v>
      </c>
      <c r="AZ56" s="5">
        <f>IF(S56&gt;0,RANK(S56,(N56:P56,Q56:AE56)),0)</f>
        <v>0</v>
      </c>
      <c r="BA56" s="2">
        <f t="shared" si="17"/>
        <v>5.1351917836931459E-3</v>
      </c>
      <c r="BB56" s="2">
        <f t="shared" si="18"/>
        <v>1.9911968140850973E-3</v>
      </c>
      <c r="BC56" s="2">
        <f t="shared" si="19"/>
        <v>0</v>
      </c>
      <c r="BD56" s="2">
        <f t="shared" si="20"/>
        <v>0</v>
      </c>
      <c r="BF56" t="s">
        <v>1627</v>
      </c>
      <c r="BG56" t="s">
        <v>2498</v>
      </c>
      <c r="BH56">
        <v>7</v>
      </c>
      <c r="BJ56" s="114">
        <v>1</v>
      </c>
      <c r="BK56" s="116">
        <v>107</v>
      </c>
      <c r="BL56" s="120">
        <f t="shared" si="11"/>
        <v>1107</v>
      </c>
      <c r="BN56" s="5" t="s">
        <v>3154</v>
      </c>
    </row>
    <row r="57" spans="1:70" hidden="1" outlineLevel="1">
      <c r="A57" t="s">
        <v>2655</v>
      </c>
      <c r="B57" t="s">
        <v>2498</v>
      </c>
      <c r="C57" s="1">
        <f t="shared" si="12"/>
        <v>13168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32">
        <f t="shared" si="9"/>
        <v>2637</v>
      </c>
      <c r="H57" s="137">
        <f t="shared" si="10"/>
        <v>0.20025820170109357</v>
      </c>
      <c r="I57" s="2"/>
      <c r="J57" s="2">
        <f t="shared" si="13"/>
        <v>0.3839611178614824</v>
      </c>
      <c r="K57" s="2">
        <f t="shared" si="14"/>
        <v>0.58421931956257589</v>
      </c>
      <c r="L57" s="2">
        <f t="shared" si="15"/>
        <v>0</v>
      </c>
      <c r="M57" s="2">
        <f t="shared" si="16"/>
        <v>3.1819562575941762E-2</v>
      </c>
      <c r="N57" s="63">
        <v>5056</v>
      </c>
      <c r="O57" s="63">
        <v>7693</v>
      </c>
      <c r="P57" s="63"/>
      <c r="Q57" s="63">
        <v>257</v>
      </c>
      <c r="R57" s="63">
        <v>48</v>
      </c>
      <c r="S57" s="63"/>
      <c r="T57" s="63"/>
      <c r="U57" s="63"/>
      <c r="V57" s="63"/>
      <c r="W57" s="63">
        <v>114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W57" s="5">
        <f>IF(Q57&gt;0,RANK(Q57,(N57:P57,Q57:AE57)),0)</f>
        <v>3</v>
      </c>
      <c r="AX57" s="5">
        <f>IF(R57&gt;0,RANK(R57,(N57:P57,Q57:AE57)),0)</f>
        <v>5</v>
      </c>
      <c r="AY57" s="5">
        <f>IF(T57&gt;0,RANK(T57,(N57:P57,Q57:AE57)),0)</f>
        <v>0</v>
      </c>
      <c r="AZ57" s="5">
        <f>IF(S57&gt;0,RANK(S57,(N57:P57,Q57:AE57)),0)</f>
        <v>0</v>
      </c>
      <c r="BA57" s="2">
        <f t="shared" si="17"/>
        <v>1.9517010935601459E-2</v>
      </c>
      <c r="BB57" s="2">
        <f t="shared" si="18"/>
        <v>3.6452004860267314E-3</v>
      </c>
      <c r="BC57" s="2">
        <f t="shared" si="19"/>
        <v>0</v>
      </c>
      <c r="BD57" s="2">
        <f t="shared" si="20"/>
        <v>0</v>
      </c>
      <c r="BF57" t="s">
        <v>2655</v>
      </c>
      <c r="BG57" t="s">
        <v>2498</v>
      </c>
      <c r="BH57">
        <v>2</v>
      </c>
      <c r="BJ57" s="114">
        <v>1</v>
      </c>
      <c r="BK57" s="116">
        <v>109</v>
      </c>
      <c r="BL57" s="120">
        <f t="shared" si="11"/>
        <v>1109</v>
      </c>
      <c r="BN57" s="5" t="s">
        <v>3154</v>
      </c>
    </row>
    <row r="58" spans="1:70" hidden="1" outlineLevel="1">
      <c r="A58" t="s">
        <v>1460</v>
      </c>
      <c r="B58" t="s">
        <v>2498</v>
      </c>
      <c r="C58" s="1">
        <f t="shared" si="12"/>
        <v>10187</v>
      </c>
      <c r="D58" s="5">
        <f>IF(N58&gt;0, RANK(N58,(N58:P58,Q58:AE58)),0)</f>
        <v>2</v>
      </c>
      <c r="E58" s="5">
        <f>IF(O58&gt;0,RANK(O58,(N58:P58,Q58:AE58)),0)</f>
        <v>1</v>
      </c>
      <c r="F58" s="5">
        <f>IF(P58&gt;0,RANK(P58,(N58:P58,Q58:AE58)),0)</f>
        <v>0</v>
      </c>
      <c r="G58" s="132">
        <f t="shared" si="9"/>
        <v>5414</v>
      </c>
      <c r="H58" s="137">
        <f t="shared" si="10"/>
        <v>0.53146166683027385</v>
      </c>
      <c r="I58" s="2"/>
      <c r="J58" s="2">
        <f t="shared" si="13"/>
        <v>0.22489447334838519</v>
      </c>
      <c r="K58" s="2">
        <f t="shared" si="14"/>
        <v>0.75635614017865904</v>
      </c>
      <c r="L58" s="2">
        <f t="shared" si="15"/>
        <v>0</v>
      </c>
      <c r="M58" s="2">
        <f t="shared" si="16"/>
        <v>1.8749386472955765E-2</v>
      </c>
      <c r="N58" s="63">
        <v>2291</v>
      </c>
      <c r="O58" s="63">
        <v>7705</v>
      </c>
      <c r="P58" s="63"/>
      <c r="Q58" s="63">
        <v>124</v>
      </c>
      <c r="R58" s="63">
        <v>19</v>
      </c>
      <c r="S58" s="63"/>
      <c r="T58" s="63"/>
      <c r="U58" s="63"/>
      <c r="V58" s="63"/>
      <c r="W58" s="63">
        <v>48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W58" s="5">
        <f>IF(Q58&gt;0,RANK(Q58,(N58:P58,Q58:AE58)),0)</f>
        <v>3</v>
      </c>
      <c r="AX58" s="5">
        <f>IF(R58&gt;0,RANK(R58,(N58:P58,Q58:AE58)),0)</f>
        <v>5</v>
      </c>
      <c r="AY58" s="5">
        <f>IF(T58&gt;0,RANK(T58,(N58:P58,Q58:AE58)),0)</f>
        <v>0</v>
      </c>
      <c r="AZ58" s="5">
        <f>IF(S58&gt;0,RANK(S58,(N58:P58,Q58:AE58)),0)</f>
        <v>0</v>
      </c>
      <c r="BA58" s="2">
        <f t="shared" si="17"/>
        <v>1.2172376558358693E-2</v>
      </c>
      <c r="BB58" s="2">
        <f t="shared" si="18"/>
        <v>1.865122214587219E-3</v>
      </c>
      <c r="BC58" s="2">
        <f t="shared" si="19"/>
        <v>0</v>
      </c>
      <c r="BD58" s="2">
        <f t="shared" si="20"/>
        <v>0</v>
      </c>
      <c r="BF58" t="s">
        <v>1460</v>
      </c>
      <c r="BG58" t="s">
        <v>2498</v>
      </c>
      <c r="BH58">
        <v>3</v>
      </c>
      <c r="BJ58" s="114">
        <v>1</v>
      </c>
      <c r="BK58" s="116">
        <v>111</v>
      </c>
      <c r="BL58" s="120">
        <f t="shared" si="11"/>
        <v>1111</v>
      </c>
      <c r="BN58" s="5" t="s">
        <v>3154</v>
      </c>
    </row>
    <row r="59" spans="1:70" hidden="1" outlineLevel="1">
      <c r="A59" t="s">
        <v>1820</v>
      </c>
      <c r="B59" t="s">
        <v>2498</v>
      </c>
      <c r="C59" s="1">
        <f t="shared" si="12"/>
        <v>19256</v>
      </c>
      <c r="D59" s="5">
        <f>IF(N59&gt;0, RANK(N59,(N59:P59,Q59:AE59)),0)</f>
        <v>1</v>
      </c>
      <c r="E59" s="5">
        <f>IF(O59&gt;0,RANK(O59,(N59:P59,Q59:AE59)),0)</f>
        <v>2</v>
      </c>
      <c r="F59" s="5">
        <f>IF(P59&gt;0,RANK(P59,(N59:P59,Q59:AE59)),0)</f>
        <v>0</v>
      </c>
      <c r="G59" s="132">
        <f t="shared" si="9"/>
        <v>369</v>
      </c>
      <c r="H59" s="137">
        <f t="shared" si="10"/>
        <v>1.9162858329871208E-2</v>
      </c>
      <c r="I59" s="2"/>
      <c r="J59" s="2">
        <f t="shared" si="13"/>
        <v>0.49745533859576235</v>
      </c>
      <c r="K59" s="2">
        <f t="shared" si="14"/>
        <v>0.47829248026589116</v>
      </c>
      <c r="L59" s="2">
        <f t="shared" si="15"/>
        <v>0</v>
      </c>
      <c r="M59" s="2">
        <f t="shared" si="16"/>
        <v>2.425218113834654E-2</v>
      </c>
      <c r="N59" s="63">
        <v>9579</v>
      </c>
      <c r="O59" s="63">
        <v>9210</v>
      </c>
      <c r="P59" s="63"/>
      <c r="Q59" s="63">
        <v>281</v>
      </c>
      <c r="R59" s="63">
        <v>68</v>
      </c>
      <c r="S59" s="63"/>
      <c r="T59" s="63"/>
      <c r="U59" s="63"/>
      <c r="V59" s="63"/>
      <c r="W59" s="63">
        <v>118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W59" s="5">
        <f>IF(Q59&gt;0,RANK(Q59,(N59:P59,Q59:AE59)),0)</f>
        <v>3</v>
      </c>
      <c r="AX59" s="5">
        <f>IF(R59&gt;0,RANK(R59,(N59:P59,Q59:AE59)),0)</f>
        <v>5</v>
      </c>
      <c r="AY59" s="5">
        <f>IF(T59&gt;0,RANK(T59,(N59:P59,Q59:AE59)),0)</f>
        <v>0</v>
      </c>
      <c r="AZ59" s="5">
        <f>IF(S59&gt;0,RANK(S59,(N59:P59,Q59:AE59)),0)</f>
        <v>0</v>
      </c>
      <c r="BA59" s="2">
        <f t="shared" si="17"/>
        <v>1.4592854175321978E-2</v>
      </c>
      <c r="BB59" s="2">
        <f t="shared" si="18"/>
        <v>3.5313668466971332E-3</v>
      </c>
      <c r="BC59" s="2">
        <f t="shared" si="19"/>
        <v>0</v>
      </c>
      <c r="BD59" s="2">
        <f t="shared" si="20"/>
        <v>0</v>
      </c>
      <c r="BF59" t="s">
        <v>1820</v>
      </c>
      <c r="BG59" t="s">
        <v>2498</v>
      </c>
      <c r="BH59">
        <v>3</v>
      </c>
      <c r="BJ59" s="114">
        <v>1</v>
      </c>
      <c r="BK59" s="116">
        <v>113</v>
      </c>
      <c r="BL59" s="120">
        <f t="shared" si="11"/>
        <v>1113</v>
      </c>
      <c r="BN59" s="5" t="s">
        <v>3154</v>
      </c>
    </row>
    <row r="60" spans="1:70" hidden="1" outlineLevel="1">
      <c r="A60" t="s">
        <v>934</v>
      </c>
      <c r="B60" t="s">
        <v>2498</v>
      </c>
      <c r="C60" s="1">
        <f t="shared" si="12"/>
        <v>38400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32">
        <f>IF(C60&gt;0,MAX(N60:P60)-LARGE(N60:P60,2),0)</f>
        <v>26062</v>
      </c>
      <c r="H60" s="137">
        <f>IF(C60&gt;0,G60/C60,0)</f>
        <v>0.67869791666666668</v>
      </c>
      <c r="I60" s="2"/>
      <c r="J60" s="2">
        <f t="shared" ref="J60:L61" si="21">IF($C60=0,"-",N60/$C60)</f>
        <v>0.14554687499999999</v>
      </c>
      <c r="K60" s="2">
        <f t="shared" si="21"/>
        <v>0.82424479166666664</v>
      </c>
      <c r="L60" s="2">
        <f t="shared" si="21"/>
        <v>0</v>
      </c>
      <c r="M60" s="2">
        <f>IF(C60=0,"-",(1-J60-K60-L60))</f>
        <v>3.0208333333333393E-2</v>
      </c>
      <c r="N60" s="63">
        <v>5589</v>
      </c>
      <c r="O60" s="63">
        <v>31651</v>
      </c>
      <c r="P60" s="63"/>
      <c r="Q60" s="63">
        <v>684</v>
      </c>
      <c r="R60" s="63">
        <v>130</v>
      </c>
      <c r="S60" s="63"/>
      <c r="T60" s="63"/>
      <c r="U60" s="63"/>
      <c r="V60" s="63"/>
      <c r="W60" s="63">
        <v>346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W60" s="5">
        <f>IF(Q60&gt;0,RANK(Q60,(N60:P60,Q60:AE60)),0)</f>
        <v>3</v>
      </c>
      <c r="AX60" s="5">
        <f>IF(R60&gt;0,RANK(R60,(N60:P60,Q60:AE60)),0)</f>
        <v>5</v>
      </c>
      <c r="AY60" s="5">
        <f>IF(T60&gt;0,RANK(T60,(N60:P60,Q60:AE60)),0)</f>
        <v>0</v>
      </c>
      <c r="AZ60" s="5">
        <f>IF(S60&gt;0,RANK(S60,(N60:P60,Q60:AE60)),0)</f>
        <v>0</v>
      </c>
      <c r="BA60" s="2">
        <f>IF($C60=0,"-",Q60/$C60)</f>
        <v>1.7812499999999998E-2</v>
      </c>
      <c r="BB60" s="2">
        <f>IF($C60=0,"-",R60/$C60)</f>
        <v>3.3854166666666668E-3</v>
      </c>
      <c r="BC60" s="2">
        <f>IF($C60=0,"-",T60/$C60)</f>
        <v>0</v>
      </c>
      <c r="BD60" s="2">
        <f>IF($C60=0,"-",S60/$C60)</f>
        <v>0</v>
      </c>
      <c r="BF60" t="s">
        <v>934</v>
      </c>
      <c r="BG60" t="s">
        <v>2498</v>
      </c>
      <c r="BH60">
        <v>3</v>
      </c>
      <c r="BJ60" s="114">
        <v>1</v>
      </c>
      <c r="BK60" s="116">
        <v>115</v>
      </c>
      <c r="BL60" s="120">
        <f>1000*BJ60+BK60</f>
        <v>1115</v>
      </c>
      <c r="BN60" s="5" t="s">
        <v>3154</v>
      </c>
      <c r="BR60" s="63"/>
    </row>
    <row r="61" spans="1:70" hidden="1" outlineLevel="1">
      <c r="A61" t="s">
        <v>23</v>
      </c>
      <c r="B61" t="s">
        <v>2498</v>
      </c>
      <c r="C61" s="1">
        <f t="shared" si="12"/>
        <v>101254</v>
      </c>
      <c r="D61" s="5">
        <f>IF(N61&gt;0, RANK(N61,(N61:P61,Q61:AE61)),0)</f>
        <v>2</v>
      </c>
      <c r="E61" s="5">
        <f>IF(O61&gt;0,RANK(O61,(N61:P61,Q61:AE61)),0)</f>
        <v>1</v>
      </c>
      <c r="F61" s="5">
        <f>IF(P61&gt;0,RANK(P61,(N61:P61,Q61:AE61)),0)</f>
        <v>0</v>
      </c>
      <c r="G61" s="132">
        <f>IF(C61&gt;0,MAX(N61:P61)-LARGE(N61:P61,2),0)</f>
        <v>50043</v>
      </c>
      <c r="H61" s="137">
        <f>IF(C61&gt;0,G61/C61,0)</f>
        <v>0.49423232662413336</v>
      </c>
      <c r="I61" s="2"/>
      <c r="J61" s="2">
        <f t="shared" si="21"/>
        <v>0.22692436842001304</v>
      </c>
      <c r="K61" s="2">
        <f t="shared" si="21"/>
        <v>0.72115669504414637</v>
      </c>
      <c r="L61" s="2">
        <f t="shared" si="21"/>
        <v>0</v>
      </c>
      <c r="M61" s="2">
        <f>IF(C61=0,"-",(1-J61-K61-L61))</f>
        <v>5.1918936535840565E-2</v>
      </c>
      <c r="N61" s="63">
        <v>22977</v>
      </c>
      <c r="O61" s="63">
        <v>73020</v>
      </c>
      <c r="P61" s="63"/>
      <c r="Q61" s="63">
        <v>2965</v>
      </c>
      <c r="R61" s="63">
        <v>480</v>
      </c>
      <c r="S61" s="63"/>
      <c r="T61" s="63"/>
      <c r="U61" s="63"/>
      <c r="V61" s="63"/>
      <c r="W61" s="63">
        <v>1812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W61" s="5">
        <f>IF(Q61&gt;0,RANK(Q61,(N61:P61,Q61:AE61)),0)</f>
        <v>3</v>
      </c>
      <c r="AX61" s="5">
        <f>IF(R61&gt;0,RANK(R61,(N61:P61,Q61:AE61)),0)</f>
        <v>5</v>
      </c>
      <c r="AY61" s="5">
        <f>IF(T61&gt;0,RANK(T61,(N61:P61,Q61:AE61)),0)</f>
        <v>0</v>
      </c>
      <c r="AZ61" s="5">
        <f>IF(S61&gt;0,RANK(S61,(N61:P61,Q61:AE61)),0)</f>
        <v>0</v>
      </c>
      <c r="BA61" s="2">
        <f>IF($C61=0,"-",Q61/$C61)</f>
        <v>2.92827937661722E-2</v>
      </c>
      <c r="BB61" s="2">
        <f>IF($C61=0,"-",R61/$C61)</f>
        <v>4.7405534596164098E-3</v>
      </c>
      <c r="BC61" s="2">
        <f>IF($C61=0,"-",T61/$C61)</f>
        <v>0</v>
      </c>
      <c r="BD61" s="2">
        <f>IF($C61=0,"-",S61/$C61)</f>
        <v>0</v>
      </c>
      <c r="BF61" t="s">
        <v>23</v>
      </c>
      <c r="BG61" t="s">
        <v>2498</v>
      </c>
      <c r="BH61">
        <v>6</v>
      </c>
      <c r="BJ61" s="114">
        <v>1</v>
      </c>
      <c r="BK61" s="116">
        <v>117</v>
      </c>
      <c r="BL61" s="120">
        <f>1000*BJ61+BK61</f>
        <v>1117</v>
      </c>
      <c r="BN61" s="5" t="s">
        <v>3154</v>
      </c>
    </row>
    <row r="62" spans="1:70" hidden="1" outlineLevel="1">
      <c r="A62" t="s">
        <v>3109</v>
      </c>
      <c r="B62" t="s">
        <v>2498</v>
      </c>
      <c r="C62" s="1">
        <f t="shared" si="12"/>
        <v>6411</v>
      </c>
      <c r="D62" s="5">
        <f>IF(N62&gt;0, RANK(N62,(N62:P62,Q62:AE62)),0)</f>
        <v>1</v>
      </c>
      <c r="E62" s="5">
        <f>IF(O62&gt;0,RANK(O62,(N62:P62,Q62:AE62)),0)</f>
        <v>2</v>
      </c>
      <c r="F62" s="5">
        <f>IF(P62&gt;0,RANK(P62,(N62:P62,Q62:AE62)),0)</f>
        <v>0</v>
      </c>
      <c r="G62" s="132">
        <f t="shared" si="9"/>
        <v>3165</v>
      </c>
      <c r="H62" s="137">
        <f t="shared" si="10"/>
        <v>0.49368273280299485</v>
      </c>
      <c r="I62" s="2"/>
      <c r="J62" s="2">
        <f t="shared" si="13"/>
        <v>0.74029012634534397</v>
      </c>
      <c r="K62" s="2">
        <f t="shared" si="14"/>
        <v>0.24660739354234909</v>
      </c>
      <c r="L62" s="2">
        <f t="shared" si="15"/>
        <v>0</v>
      </c>
      <c r="M62" s="2">
        <f t="shared" si="16"/>
        <v>1.3102480112306941E-2</v>
      </c>
      <c r="N62" s="63">
        <v>4746</v>
      </c>
      <c r="O62" s="63">
        <v>1581</v>
      </c>
      <c r="P62" s="63"/>
      <c r="Q62" s="63">
        <v>57</v>
      </c>
      <c r="R62" s="63">
        <v>14</v>
      </c>
      <c r="S62" s="63"/>
      <c r="T62" s="63"/>
      <c r="U62" s="63"/>
      <c r="V62" s="63"/>
      <c r="W62" s="63">
        <v>13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W62" s="5">
        <f>IF(Q62&gt;0,RANK(Q62,(N62:P62,Q62:AE62)),0)</f>
        <v>3</v>
      </c>
      <c r="AX62" s="5">
        <f>IF(R62&gt;0,RANK(R62,(N62:P62,Q62:AE62)),0)</f>
        <v>4</v>
      </c>
      <c r="AY62" s="5">
        <f>IF(T62&gt;0,RANK(T62,(N62:P62,Q62:AE62)),0)</f>
        <v>0</v>
      </c>
      <c r="AZ62" s="5">
        <f>IF(S62&gt;0,RANK(S62,(N62:P62,Q62:AE62)),0)</f>
        <v>0</v>
      </c>
      <c r="BA62" s="2">
        <f t="shared" si="17"/>
        <v>8.8909686476368738E-3</v>
      </c>
      <c r="BB62" s="2">
        <f t="shared" si="18"/>
        <v>2.1837466853844955E-3</v>
      </c>
      <c r="BC62" s="2">
        <f t="shared" si="19"/>
        <v>0</v>
      </c>
      <c r="BD62" s="2">
        <f t="shared" si="20"/>
        <v>0</v>
      </c>
      <c r="BF62" t="s">
        <v>3109</v>
      </c>
      <c r="BG62" t="s">
        <v>2498</v>
      </c>
      <c r="BH62">
        <v>7</v>
      </c>
      <c r="BJ62" s="114">
        <v>1</v>
      </c>
      <c r="BK62" s="116">
        <v>119</v>
      </c>
      <c r="BL62" s="120">
        <f t="shared" si="11"/>
        <v>1119</v>
      </c>
      <c r="BN62" s="5" t="s">
        <v>3154</v>
      </c>
    </row>
    <row r="63" spans="1:70" hidden="1" outlineLevel="1">
      <c r="A63" t="s">
        <v>2468</v>
      </c>
      <c r="B63" t="s">
        <v>2498</v>
      </c>
      <c r="C63" s="1">
        <f t="shared" si="12"/>
        <v>33407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32">
        <f t="shared" si="9"/>
        <v>8493</v>
      </c>
      <c r="H63" s="137">
        <f t="shared" si="10"/>
        <v>0.2542281557757356</v>
      </c>
      <c r="I63" s="2"/>
      <c r="J63" s="2">
        <f t="shared" si="13"/>
        <v>0.36282814978896638</v>
      </c>
      <c r="K63" s="2">
        <f t="shared" si="14"/>
        <v>0.61705630556470203</v>
      </c>
      <c r="L63" s="2">
        <f t="shared" si="15"/>
        <v>0</v>
      </c>
      <c r="M63" s="2">
        <f t="shared" si="16"/>
        <v>2.0115544646331585E-2</v>
      </c>
      <c r="N63" s="63">
        <v>12121</v>
      </c>
      <c r="O63" s="63">
        <v>20614</v>
      </c>
      <c r="P63" s="63"/>
      <c r="Q63" s="63">
        <v>411</v>
      </c>
      <c r="R63" s="63">
        <v>106</v>
      </c>
      <c r="S63" s="63"/>
      <c r="T63" s="63"/>
      <c r="U63" s="63"/>
      <c r="V63" s="63"/>
      <c r="W63" s="63">
        <v>155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W63" s="5">
        <f>IF(Q63&gt;0,RANK(Q63,(N63:P63,Q63:AE63)),0)</f>
        <v>3</v>
      </c>
      <c r="AX63" s="5">
        <f>IF(R63&gt;0,RANK(R63,(N63:P63,Q63:AE63)),0)</f>
        <v>5</v>
      </c>
      <c r="AY63" s="5">
        <f>IF(T63&gt;0,RANK(T63,(N63:P63,Q63:AE63)),0)</f>
        <v>0</v>
      </c>
      <c r="AZ63" s="5">
        <f>IF(S63&gt;0,RANK(S63,(N63:P63,Q63:AE63)),0)</f>
        <v>0</v>
      </c>
      <c r="BA63" s="2">
        <f t="shared" si="17"/>
        <v>1.230281078815817E-2</v>
      </c>
      <c r="BB63" s="2">
        <f t="shared" si="18"/>
        <v>3.1729876971892117E-3</v>
      </c>
      <c r="BC63" s="2">
        <f t="shared" si="19"/>
        <v>0</v>
      </c>
      <c r="BD63" s="2">
        <f t="shared" si="20"/>
        <v>0</v>
      </c>
      <c r="BF63" t="s">
        <v>2468</v>
      </c>
      <c r="BG63" t="s">
        <v>2498</v>
      </c>
      <c r="BH63">
        <v>3</v>
      </c>
      <c r="BJ63" s="114">
        <v>1</v>
      </c>
      <c r="BK63" s="116">
        <v>121</v>
      </c>
      <c r="BL63" s="120">
        <f t="shared" si="11"/>
        <v>1121</v>
      </c>
      <c r="BN63" s="5" t="s">
        <v>3154</v>
      </c>
    </row>
    <row r="64" spans="1:70" hidden="1" outlineLevel="1">
      <c r="A64" t="s">
        <v>2865</v>
      </c>
      <c r="B64" t="s">
        <v>2498</v>
      </c>
      <c r="C64" s="1">
        <f t="shared" si="12"/>
        <v>19486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32">
        <f t="shared" si="9"/>
        <v>8075</v>
      </c>
      <c r="H64" s="137">
        <f t="shared" si="10"/>
        <v>0.41440008211023299</v>
      </c>
      <c r="I64" s="2"/>
      <c r="J64" s="2">
        <f t="shared" si="13"/>
        <v>0.28322898491224469</v>
      </c>
      <c r="K64" s="2">
        <f t="shared" si="14"/>
        <v>0.69762906702247762</v>
      </c>
      <c r="L64" s="2">
        <f t="shared" si="15"/>
        <v>0</v>
      </c>
      <c r="M64" s="2">
        <f t="shared" si="16"/>
        <v>1.9141948065277692E-2</v>
      </c>
      <c r="N64" s="63">
        <v>5519</v>
      </c>
      <c r="O64" s="63">
        <v>13594</v>
      </c>
      <c r="P64" s="63"/>
      <c r="Q64" s="63">
        <v>233</v>
      </c>
      <c r="R64" s="63">
        <v>52</v>
      </c>
      <c r="S64" s="63"/>
      <c r="T64" s="63"/>
      <c r="U64" s="63"/>
      <c r="V64" s="63"/>
      <c r="W64" s="63">
        <v>88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W64" s="5">
        <f>IF(Q64&gt;0,RANK(Q64,(N64:P64,Q64:AE64)),0)</f>
        <v>3</v>
      </c>
      <c r="AX64" s="5">
        <f>IF(R64&gt;0,RANK(R64,(N64:P64,Q64:AE64)),0)</f>
        <v>5</v>
      </c>
      <c r="AY64" s="5">
        <f>IF(T64&gt;0,RANK(T64,(N64:P64,Q64:AE64)),0)</f>
        <v>0</v>
      </c>
      <c r="AZ64" s="5">
        <f>IF(S64&gt;0,RANK(S64,(N64:P64,Q64:AE64)),0)</f>
        <v>0</v>
      </c>
      <c r="BA64" s="2">
        <f t="shared" si="17"/>
        <v>1.1957302678846352E-2</v>
      </c>
      <c r="BB64" s="2">
        <f t="shared" si="18"/>
        <v>2.6685825721030482E-3</v>
      </c>
      <c r="BC64" s="2">
        <f t="shared" si="19"/>
        <v>0</v>
      </c>
      <c r="BD64" s="2">
        <f t="shared" si="20"/>
        <v>0</v>
      </c>
      <c r="BF64" t="s">
        <v>2865</v>
      </c>
      <c r="BG64" t="s">
        <v>2498</v>
      </c>
      <c r="BH64">
        <v>3</v>
      </c>
      <c r="BJ64" s="114">
        <v>1</v>
      </c>
      <c r="BK64" s="116">
        <v>123</v>
      </c>
      <c r="BL64" s="120">
        <f t="shared" si="11"/>
        <v>1123</v>
      </c>
      <c r="BN64" s="5" t="s">
        <v>3154</v>
      </c>
    </row>
    <row r="65" spans="1:66" hidden="1" outlineLevel="1">
      <c r="A65" t="s">
        <v>3195</v>
      </c>
      <c r="B65" t="s">
        <v>2498</v>
      </c>
      <c r="C65" s="1">
        <f t="shared" si="12"/>
        <v>82700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32">
        <f t="shared" si="9"/>
        <v>15961</v>
      </c>
      <c r="H65" s="137">
        <f t="shared" si="10"/>
        <v>0.19299879081015719</v>
      </c>
      <c r="I65" s="2"/>
      <c r="J65" s="2">
        <f t="shared" si="13"/>
        <v>0.38406287787182586</v>
      </c>
      <c r="K65" s="2">
        <f t="shared" si="14"/>
        <v>0.57706166868198305</v>
      </c>
      <c r="L65" s="2">
        <f t="shared" si="15"/>
        <v>0</v>
      </c>
      <c r="M65" s="2">
        <f t="shared" si="16"/>
        <v>3.8875453446191144E-2</v>
      </c>
      <c r="N65" s="63">
        <v>31762</v>
      </c>
      <c r="O65" s="63">
        <v>47723</v>
      </c>
      <c r="P65" s="63"/>
      <c r="Q65" s="63">
        <v>1873</v>
      </c>
      <c r="R65" s="63">
        <v>390</v>
      </c>
      <c r="S65" s="63"/>
      <c r="T65" s="63"/>
      <c r="U65" s="63"/>
      <c r="V65" s="63"/>
      <c r="W65" s="63">
        <v>952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W65" s="5">
        <f>IF(Q65&gt;0,RANK(Q65,(N65:P65,Q65:AE65)),0)</f>
        <v>3</v>
      </c>
      <c r="AX65" s="5">
        <f>IF(R65&gt;0,RANK(R65,(N65:P65,Q65:AE65)),0)</f>
        <v>5</v>
      </c>
      <c r="AY65" s="5">
        <f>IF(T65&gt;0,RANK(T65,(N65:P65,Q65:AE65)),0)</f>
        <v>0</v>
      </c>
      <c r="AZ65" s="5">
        <f>IF(S65&gt;0,RANK(S65,(N65:P65,Q65:AE65)),0)</f>
        <v>0</v>
      </c>
      <c r="BA65" s="2">
        <f t="shared" si="17"/>
        <v>2.2648125755743653E-2</v>
      </c>
      <c r="BB65" s="2">
        <f t="shared" si="18"/>
        <v>4.7158403869407501E-3</v>
      </c>
      <c r="BC65" s="2">
        <f t="shared" si="19"/>
        <v>0</v>
      </c>
      <c r="BD65" s="2">
        <f t="shared" si="20"/>
        <v>0</v>
      </c>
      <c r="BF65" t="s">
        <v>3195</v>
      </c>
      <c r="BG65" t="s">
        <v>2498</v>
      </c>
      <c r="BJ65" s="114">
        <v>1</v>
      </c>
      <c r="BK65" s="116">
        <v>125</v>
      </c>
      <c r="BL65" s="120">
        <f t="shared" si="11"/>
        <v>1125</v>
      </c>
      <c r="BN65" s="5" t="s">
        <v>3154</v>
      </c>
    </row>
    <row r="66" spans="1:66" hidden="1" outlineLevel="1">
      <c r="A66" t="s">
        <v>1376</v>
      </c>
      <c r="B66" t="s">
        <v>2498</v>
      </c>
      <c r="C66" s="1">
        <f t="shared" si="12"/>
        <v>29472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32">
        <f t="shared" si="9"/>
        <v>19769</v>
      </c>
      <c r="H66" s="137">
        <f t="shared" si="10"/>
        <v>0.67077225841476651</v>
      </c>
      <c r="I66" s="2"/>
      <c r="J66" s="2">
        <f t="shared" si="13"/>
        <v>0.15258550488599348</v>
      </c>
      <c r="K66" s="2">
        <f t="shared" si="14"/>
        <v>0.82335776330076005</v>
      </c>
      <c r="L66" s="2">
        <f t="shared" si="15"/>
        <v>0</v>
      </c>
      <c r="M66" s="2">
        <f t="shared" si="16"/>
        <v>2.4056731813246524E-2</v>
      </c>
      <c r="N66" s="63">
        <v>4497</v>
      </c>
      <c r="O66" s="63">
        <v>24266</v>
      </c>
      <c r="P66" s="63"/>
      <c r="Q66" s="63">
        <v>455</v>
      </c>
      <c r="R66" s="63">
        <v>95</v>
      </c>
      <c r="S66" s="63"/>
      <c r="T66" s="63"/>
      <c r="U66" s="63"/>
      <c r="V66" s="63"/>
      <c r="W66" s="63">
        <v>159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W66" s="5">
        <f>IF(Q66&gt;0,RANK(Q66,(N66:P66,Q66:AE66)),0)</f>
        <v>3</v>
      </c>
      <c r="AX66" s="5">
        <f>IF(R66&gt;0,RANK(R66,(N66:P66,Q66:AE66)),0)</f>
        <v>5</v>
      </c>
      <c r="AY66" s="5">
        <f>IF(T66&gt;0,RANK(T66,(N66:P66,Q66:AE66)),0)</f>
        <v>0</v>
      </c>
      <c r="AZ66" s="5">
        <f>IF(S66&gt;0,RANK(S66,(N66:P66,Q66:AE66)),0)</f>
        <v>0</v>
      </c>
      <c r="BA66" s="2">
        <f t="shared" si="17"/>
        <v>1.5438382193268187E-2</v>
      </c>
      <c r="BB66" s="2">
        <f t="shared" si="18"/>
        <v>3.223398479913138E-3</v>
      </c>
      <c r="BC66" s="2">
        <f t="shared" si="19"/>
        <v>0</v>
      </c>
      <c r="BD66" s="2">
        <f t="shared" si="20"/>
        <v>0</v>
      </c>
      <c r="BF66" t="s">
        <v>1376</v>
      </c>
      <c r="BG66" t="s">
        <v>2498</v>
      </c>
      <c r="BH66">
        <v>4</v>
      </c>
      <c r="BJ66" s="114">
        <v>1</v>
      </c>
      <c r="BK66" s="116">
        <v>127</v>
      </c>
      <c r="BL66" s="120">
        <f t="shared" si="11"/>
        <v>1127</v>
      </c>
      <c r="BN66" s="5" t="s">
        <v>3154</v>
      </c>
    </row>
    <row r="67" spans="1:66" hidden="1" outlineLevel="1">
      <c r="A67" t="s">
        <v>692</v>
      </c>
      <c r="B67" t="s">
        <v>2498</v>
      </c>
      <c r="C67" s="1">
        <f t="shared" si="12"/>
        <v>8533</v>
      </c>
      <c r="D67" s="5">
        <f>IF(N67&gt;0, RANK(N67,(N67:P67,Q67:AE67)),0)</f>
        <v>2</v>
      </c>
      <c r="E67" s="5">
        <f>IF(O67&gt;0,RANK(O67,(N67:P67,Q67:AE67)),0)</f>
        <v>1</v>
      </c>
      <c r="F67" s="5">
        <f>IF(P67&gt;0,RANK(P67,(N67:P67,Q67:AE67)),0)</f>
        <v>0</v>
      </c>
      <c r="G67" s="132">
        <f t="shared" si="9"/>
        <v>3668</v>
      </c>
      <c r="H67" s="137">
        <f t="shared" si="10"/>
        <v>0.42986054142739949</v>
      </c>
      <c r="I67" s="2"/>
      <c r="J67" s="2">
        <f t="shared" si="13"/>
        <v>0.2782139927340912</v>
      </c>
      <c r="K67" s="2">
        <f t="shared" si="14"/>
        <v>0.70807453416149069</v>
      </c>
      <c r="L67" s="2">
        <f t="shared" si="15"/>
        <v>0</v>
      </c>
      <c r="M67" s="2">
        <f>IF(C67=0,"-",(1-J67-K67-L67))</f>
        <v>1.3711473104418115E-2</v>
      </c>
      <c r="N67" s="63">
        <v>2374</v>
      </c>
      <c r="O67" s="63">
        <v>6042</v>
      </c>
      <c r="P67" s="63"/>
      <c r="Q67" s="63">
        <v>73</v>
      </c>
      <c r="R67" s="63">
        <v>22</v>
      </c>
      <c r="S67" s="63"/>
      <c r="T67" s="63"/>
      <c r="U67" s="63"/>
      <c r="V67" s="63"/>
      <c r="W67" s="63">
        <v>22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W67" s="5">
        <f>IF(Q67&gt;0,RANK(Q67,(N67:P67,Q67:AE67)),0)</f>
        <v>3</v>
      </c>
      <c r="AX67" s="5">
        <f>IF(R67&gt;0,RANK(R67,(N67:P67,Q67:AE67)),0)</f>
        <v>4</v>
      </c>
      <c r="AY67" s="5">
        <f>IF(T67&gt;0,RANK(T67,(N67:P67,Q67:AE67)),0)</f>
        <v>0</v>
      </c>
      <c r="AZ67" s="5">
        <f>IF(S67&gt;0,RANK(S67,(N67:P67,Q67:AE67)),0)</f>
        <v>0</v>
      </c>
      <c r="BA67" s="2">
        <f t="shared" si="17"/>
        <v>8.5550216805343957E-3</v>
      </c>
      <c r="BB67" s="2">
        <f t="shared" si="18"/>
        <v>2.5782257119418726E-3</v>
      </c>
      <c r="BC67" s="2">
        <f t="shared" si="19"/>
        <v>0</v>
      </c>
      <c r="BD67" s="2">
        <f t="shared" si="20"/>
        <v>0</v>
      </c>
      <c r="BF67" t="s">
        <v>692</v>
      </c>
      <c r="BG67" t="s">
        <v>2498</v>
      </c>
      <c r="BH67">
        <v>1</v>
      </c>
      <c r="BJ67" s="114">
        <v>1</v>
      </c>
      <c r="BK67" s="116">
        <v>129</v>
      </c>
      <c r="BL67" s="120">
        <f t="shared" si="11"/>
        <v>1129</v>
      </c>
      <c r="BN67" s="5" t="s">
        <v>3154</v>
      </c>
    </row>
    <row r="68" spans="1:66" hidden="1" outlineLevel="1">
      <c r="A68" t="s">
        <v>979</v>
      </c>
      <c r="B68" t="s">
        <v>2498</v>
      </c>
      <c r="C68" s="1">
        <f t="shared" si="12"/>
        <v>6123</v>
      </c>
      <c r="D68" s="5">
        <f>IF(N68&gt;0, RANK(N68,(N68:P68,Q68:AE68)),0)</f>
        <v>1</v>
      </c>
      <c r="E68" s="5">
        <f>IF(O68&gt;0,RANK(O68,(N68:P68,Q68:AE68)),0)</f>
        <v>2</v>
      </c>
      <c r="F68" s="5">
        <f>IF(P68&gt;0,RANK(P68,(N68:P68,Q68:AE68)),0)</f>
        <v>0</v>
      </c>
      <c r="G68" s="132">
        <f>IF(C68&gt;0,MAX(N68:P68)-LARGE(N68:P68,2),0)</f>
        <v>2597</v>
      </c>
      <c r="H68" s="137">
        <f>IF(C68&gt;0,G68/C68,0)</f>
        <v>0.42413849420218847</v>
      </c>
      <c r="I68" s="2"/>
      <c r="J68" s="2">
        <f t="shared" si="13"/>
        <v>0.70863955577331372</v>
      </c>
      <c r="K68" s="2">
        <f t="shared" si="14"/>
        <v>0.28450106157112526</v>
      </c>
      <c r="L68" s="2">
        <f t="shared" si="15"/>
        <v>0</v>
      </c>
      <c r="M68" s="2">
        <f>IF(C68=0,"-",(1-J68-K68-L68))</f>
        <v>6.8593826555610193E-3</v>
      </c>
      <c r="N68" s="63">
        <v>4339</v>
      </c>
      <c r="O68" s="63">
        <v>1742</v>
      </c>
      <c r="P68" s="63"/>
      <c r="Q68" s="63">
        <v>22</v>
      </c>
      <c r="R68" s="63">
        <v>7</v>
      </c>
      <c r="S68" s="63"/>
      <c r="T68" s="63"/>
      <c r="U68" s="63"/>
      <c r="V68" s="63"/>
      <c r="W68" s="63">
        <v>13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W68" s="5">
        <f>IF(Q68&gt;0,RANK(Q68,(N68:P68,Q68:AE68)),0)</f>
        <v>3</v>
      </c>
      <c r="AX68" s="5">
        <f>IF(R68&gt;0,RANK(R68,(N68:P68,Q68:AE68)),0)</f>
        <v>5</v>
      </c>
      <c r="AY68" s="5">
        <f>IF(T68&gt;0,RANK(T68,(N68:P68,Q68:AE68)),0)</f>
        <v>0</v>
      </c>
      <c r="AZ68" s="5">
        <f>IF(S68&gt;0,RANK(S68,(N68:P68,Q68:AE68)),0)</f>
        <v>0</v>
      </c>
      <c r="BA68" s="2">
        <f t="shared" si="17"/>
        <v>3.593009962436714E-3</v>
      </c>
      <c r="BB68" s="2">
        <f t="shared" si="18"/>
        <v>1.1432304425934999E-3</v>
      </c>
      <c r="BC68" s="2">
        <f t="shared" si="19"/>
        <v>0</v>
      </c>
      <c r="BD68" s="2">
        <f t="shared" si="20"/>
        <v>0</v>
      </c>
      <c r="BF68" t="s">
        <v>979</v>
      </c>
      <c r="BG68" t="s">
        <v>2498</v>
      </c>
      <c r="BH68">
        <v>7</v>
      </c>
      <c r="BJ68" s="114">
        <v>1</v>
      </c>
      <c r="BK68" s="116">
        <v>131</v>
      </c>
      <c r="BL68" s="120">
        <f t="shared" ref="BL68:BL168" si="22">1000*BJ68+BK68</f>
        <v>1131</v>
      </c>
      <c r="BN68" s="5" t="s">
        <v>3154</v>
      </c>
    </row>
    <row r="69" spans="1:66" hidden="1" outlineLevel="1">
      <c r="A69" t="s">
        <v>543</v>
      </c>
      <c r="B69" t="s">
        <v>2498</v>
      </c>
      <c r="C69" s="1">
        <f t="shared" si="12"/>
        <v>10313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32">
        <f>IF(C69&gt;0,MAX(N69:P69)-LARGE(N69:P69,2),0)</f>
        <v>8356</v>
      </c>
      <c r="H69" s="137">
        <f>IF(C69&gt;0,G69/C69,0)</f>
        <v>0.81023950353922236</v>
      </c>
      <c r="I69" s="2"/>
      <c r="J69" s="2">
        <f t="shared" si="13"/>
        <v>8.4553476195093569E-2</v>
      </c>
      <c r="K69" s="2">
        <f t="shared" si="14"/>
        <v>0.89479297973431593</v>
      </c>
      <c r="L69" s="2">
        <f t="shared" si="15"/>
        <v>0</v>
      </c>
      <c r="M69" s="2">
        <f>IF(C69=0,"-",(1-J69-K69-L69))</f>
        <v>2.0653544070590502E-2</v>
      </c>
      <c r="N69" s="63">
        <v>872</v>
      </c>
      <c r="O69" s="63">
        <v>9228</v>
      </c>
      <c r="P69" s="63"/>
      <c r="Q69" s="63">
        <v>131</v>
      </c>
      <c r="R69" s="63">
        <v>29</v>
      </c>
      <c r="S69" s="63"/>
      <c r="T69" s="63"/>
      <c r="U69" s="63"/>
      <c r="V69" s="63"/>
      <c r="W69" s="63">
        <v>53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W69" s="5">
        <f>IF(Q69&gt;0,RANK(Q69,(N69:P69,Q69:AE69)),0)</f>
        <v>3</v>
      </c>
      <c r="AX69" s="5">
        <f>IF(R69&gt;0,RANK(R69,(N69:P69,Q69:AE69)),0)</f>
        <v>5</v>
      </c>
      <c r="AY69" s="5">
        <f>IF(T69&gt;0,RANK(T69,(N69:P69,Q69:AE69)),0)</f>
        <v>0</v>
      </c>
      <c r="AZ69" s="5">
        <f>IF(S69&gt;0,RANK(S69,(N69:P69,Q69:AE69)),0)</f>
        <v>0</v>
      </c>
      <c r="BA69" s="2">
        <f t="shared" si="17"/>
        <v>1.2702414428391351E-2</v>
      </c>
      <c r="BB69" s="2">
        <f t="shared" si="18"/>
        <v>2.8119848734606805E-3</v>
      </c>
      <c r="BC69" s="2">
        <f t="shared" si="19"/>
        <v>0</v>
      </c>
      <c r="BD69" s="2">
        <f t="shared" si="20"/>
        <v>0</v>
      </c>
      <c r="BF69" t="s">
        <v>543</v>
      </c>
      <c r="BG69" t="s">
        <v>2498</v>
      </c>
      <c r="BH69">
        <v>4</v>
      </c>
      <c r="BJ69" s="114">
        <v>1</v>
      </c>
      <c r="BK69" s="116">
        <v>133</v>
      </c>
      <c r="BL69" s="120">
        <f t="shared" si="22"/>
        <v>1133</v>
      </c>
      <c r="BN69" s="5" t="s">
        <v>3154</v>
      </c>
    </row>
    <row r="70" spans="1:66" collapsed="1">
      <c r="A70" t="s">
        <v>1486</v>
      </c>
      <c r="B70" t="s">
        <v>544</v>
      </c>
      <c r="C70" s="1">
        <f t="shared" si="12"/>
        <v>2123372</v>
      </c>
      <c r="D70" s="5">
        <f>IF(N70&gt;0, RANK(N70,(N70:P70,Q70:AE70)),0)</f>
        <v>2</v>
      </c>
      <c r="E70" s="5">
        <f>IF(O70&gt;0,RANK(O70,(N70:P70,Q70:AE70)),0)</f>
        <v>1</v>
      </c>
      <c r="F70" s="5">
        <f>IF(P70&gt;0,RANK(P70,(N70:P70,Q70:AE70)),0)</f>
        <v>0</v>
      </c>
      <c r="G70" s="132">
        <f>IF(C70&gt;0,MAX(N70:P70)-LARGE(N70:P70,2),0)</f>
        <v>588708</v>
      </c>
      <c r="H70" s="137">
        <f>IF(C70&gt;0,G70/C70,0)</f>
        <v>0.27725146606435425</v>
      </c>
      <c r="I70" s="2"/>
      <c r="J70" s="2">
        <f t="shared" si="13"/>
        <v>0.3435794575797364</v>
      </c>
      <c r="K70" s="2">
        <f t="shared" si="14"/>
        <v>0.62083092364409065</v>
      </c>
      <c r="L70" s="2">
        <f t="shared" si="15"/>
        <v>0</v>
      </c>
      <c r="M70" s="2">
        <f>IF(C70=0,"-",(1-J70-K70-L70))</f>
        <v>3.5589618776172949E-2</v>
      </c>
      <c r="N70" s="63">
        <f>SUM(N3:N69)</f>
        <v>729547</v>
      </c>
      <c r="O70" s="63">
        <f>SUM(O3:O69)</f>
        <v>1318255</v>
      </c>
      <c r="P70" s="63"/>
      <c r="Q70" s="63">
        <f>SUM(Q3:Q69)</f>
        <v>44467</v>
      </c>
      <c r="R70" s="63">
        <f>SUM(R3:R69)</f>
        <v>9391</v>
      </c>
      <c r="S70" s="63"/>
      <c r="T70" s="63"/>
      <c r="U70" s="63"/>
      <c r="V70" s="63"/>
      <c r="W70" s="63">
        <f>SUM(W3:W69)</f>
        <v>21712</v>
      </c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W70" s="5">
        <f>IF(Q70&gt;0,RANK(Q70,(N70:P70,Q70:AE70)),0)</f>
        <v>3</v>
      </c>
      <c r="AX70" s="5">
        <f>IF(R70&gt;0,RANK(R70,(N70:P70,Q70:AE70)),0)</f>
        <v>5</v>
      </c>
      <c r="AY70" s="5">
        <f>IF(T70&gt;0,RANK(T70,(N70:P70,Q70:AE70)),0)</f>
        <v>0</v>
      </c>
      <c r="AZ70" s="5">
        <f>IF(S70&gt;0,RANK(S70,(N70:P70,Q70:AE70)),0)</f>
        <v>0</v>
      </c>
      <c r="BA70" s="2">
        <f t="shared" si="17"/>
        <v>2.0941690857748902E-2</v>
      </c>
      <c r="BB70" s="2">
        <f t="shared" si="18"/>
        <v>4.4226824126907581E-3</v>
      </c>
      <c r="BC70" s="2">
        <f t="shared" si="19"/>
        <v>0</v>
      </c>
      <c r="BD70" s="2">
        <f t="shared" si="20"/>
        <v>0</v>
      </c>
      <c r="BF70" t="s">
        <v>1486</v>
      </c>
      <c r="BG70" t="s">
        <v>544</v>
      </c>
      <c r="BJ70" s="114">
        <v>1</v>
      </c>
      <c r="BK70" s="116"/>
      <c r="BL70" s="114">
        <v>1</v>
      </c>
      <c r="BN70" s="5" t="s">
        <v>711</v>
      </c>
    </row>
    <row r="71" spans="1:66">
      <c r="E71" s="5"/>
      <c r="G71" s="132"/>
      <c r="H71" s="137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BJ71" s="114"/>
      <c r="BK71" s="116"/>
      <c r="BL71" s="120"/>
    </row>
    <row r="72" spans="1:66" hidden="1" outlineLevel="1">
      <c r="A72" t="s">
        <v>854</v>
      </c>
      <c r="B72" t="s">
        <v>1326</v>
      </c>
      <c r="C72" s="1">
        <f t="shared" ref="C72:C113" si="23">SUM(N72:AU72)</f>
        <v>6638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0</v>
      </c>
      <c r="G72" s="132">
        <f>IF(C72&gt;0,MAX(N72:P72)-LARGE(N72:P72,2),0)</f>
        <v>607</v>
      </c>
      <c r="H72" s="137">
        <f>IF(C72&gt;0,G72/C72,0)</f>
        <v>9.1443205784874956E-2</v>
      </c>
      <c r="I72" s="2"/>
      <c r="J72" s="2">
        <f t="shared" ref="J72:L75" si="24">IF($C72=0,"-",N72/$C72)</f>
        <v>0.38761675203374513</v>
      </c>
      <c r="K72" s="2">
        <f t="shared" si="24"/>
        <v>0.47905995781862004</v>
      </c>
      <c r="L72" s="2">
        <f t="shared" si="24"/>
        <v>0</v>
      </c>
      <c r="M72" s="2">
        <f>IF(C72=0,"-",(1-J72-K72-L72))</f>
        <v>0.13332329014763483</v>
      </c>
      <c r="N72" s="63">
        <v>2573</v>
      </c>
      <c r="O72" s="63">
        <v>3180</v>
      </c>
      <c r="P72" s="63"/>
      <c r="Q72" s="63">
        <v>416</v>
      </c>
      <c r="R72" s="63">
        <v>143</v>
      </c>
      <c r="S72" s="63">
        <v>73</v>
      </c>
      <c r="T72" s="63">
        <v>28</v>
      </c>
      <c r="U72" s="63"/>
      <c r="V72" s="63"/>
      <c r="W72" s="63">
        <v>225</v>
      </c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W72" s="5">
        <f>IF(Q72&gt;0,RANK(Q72,(N72:P72,Q72:AE72)),0)</f>
        <v>3</v>
      </c>
      <c r="AX72" s="5">
        <f>IF(R72&gt;0,RANK(R72,(N72:P72,Q72:AE72)),0)</f>
        <v>5</v>
      </c>
      <c r="AY72" s="5">
        <f>IF(T72&gt;0,RANK(T72,(N72:P72,Q72:AE72)),0)</f>
        <v>7</v>
      </c>
      <c r="AZ72" s="5">
        <f>IF(S72&gt;0,RANK(S72,(N72:P72,Q72:AE72)),0)</f>
        <v>6</v>
      </c>
      <c r="BA72" s="2">
        <f t="shared" ref="BA72:BB75" si="25">IF($C72=0,"-",Q72/$C72)</f>
        <v>6.2669478758662245E-2</v>
      </c>
      <c r="BB72" s="2">
        <f t="shared" si="25"/>
        <v>2.1542633323290147E-2</v>
      </c>
      <c r="BC72" s="2">
        <f>IF($C72=0,"-",T72/$C72)</f>
        <v>4.2181379933714973E-3</v>
      </c>
      <c r="BD72" s="2">
        <f>IF($C72=0,"-",S72/$C72)</f>
        <v>1.0997288339861404E-2</v>
      </c>
      <c r="BF72" t="s">
        <v>854</v>
      </c>
      <c r="BG72" t="s">
        <v>1326</v>
      </c>
      <c r="BH72">
        <v>1</v>
      </c>
      <c r="BJ72" s="114">
        <v>2</v>
      </c>
      <c r="BK72" s="116">
        <v>701</v>
      </c>
      <c r="BL72" s="120">
        <f t="shared" si="22"/>
        <v>2701</v>
      </c>
      <c r="BN72" s="5" t="s">
        <v>256</v>
      </c>
    </row>
    <row r="73" spans="1:66" hidden="1" outlineLevel="1">
      <c r="A73" t="s">
        <v>1240</v>
      </c>
      <c r="B73" t="s">
        <v>1326</v>
      </c>
      <c r="C73" s="1">
        <f t="shared" si="23"/>
        <v>5492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0</v>
      </c>
      <c r="G73" s="132">
        <f>IF(C73&gt;0,MAX(N73:P73)-LARGE(N73:P73,2),0)</f>
        <v>1603</v>
      </c>
      <c r="H73" s="137">
        <f>IF(C73&gt;0,G73/C73,0)</f>
        <v>0.29187909686817187</v>
      </c>
      <c r="I73" s="2"/>
      <c r="J73" s="2">
        <f t="shared" si="24"/>
        <v>0.28860160233066279</v>
      </c>
      <c r="K73" s="2">
        <f t="shared" si="24"/>
        <v>0.58048069919883472</v>
      </c>
      <c r="L73" s="2">
        <f t="shared" si="24"/>
        <v>0</v>
      </c>
      <c r="M73" s="2">
        <f>IF(C73=0,"-",(1-J73-K73-L73))</f>
        <v>0.1309176984705025</v>
      </c>
      <c r="N73" s="63">
        <v>1585</v>
      </c>
      <c r="O73" s="63">
        <v>3188</v>
      </c>
      <c r="P73" s="63"/>
      <c r="Q73" s="63">
        <v>371</v>
      </c>
      <c r="R73" s="63">
        <v>94</v>
      </c>
      <c r="S73" s="63">
        <v>58</v>
      </c>
      <c r="T73" s="63">
        <v>20</v>
      </c>
      <c r="U73" s="63"/>
      <c r="V73" s="63"/>
      <c r="W73" s="63">
        <v>176</v>
      </c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W73" s="5">
        <f>IF(Q73&gt;0,RANK(Q73,(N73:P73,Q73:AE73)),0)</f>
        <v>3</v>
      </c>
      <c r="AX73" s="5">
        <f>IF(R73&gt;0,RANK(R73,(N73:P73,Q73:AE73)),0)</f>
        <v>5</v>
      </c>
      <c r="AY73" s="5">
        <f>IF(T73&gt;0,RANK(T73,(N73:P73,Q73:AE73)),0)</f>
        <v>7</v>
      </c>
      <c r="AZ73" s="5">
        <f>IF(S73&gt;0,RANK(S73,(N73:P73,Q73:AE73)),0)</f>
        <v>6</v>
      </c>
      <c r="BA73" s="2">
        <f t="shared" si="25"/>
        <v>6.7552804078659864E-2</v>
      </c>
      <c r="BB73" s="2">
        <f t="shared" si="25"/>
        <v>1.7115804806991989E-2</v>
      </c>
      <c r="BC73" s="2">
        <f>IF($C73=0,"-",T73/$C73)</f>
        <v>3.6416605972323379E-3</v>
      </c>
      <c r="BD73" s="2">
        <f>IF($C73=0,"-",S73/$C73)</f>
        <v>1.056081573197378E-2</v>
      </c>
      <c r="BF73" t="s">
        <v>1240</v>
      </c>
      <c r="BG73" t="s">
        <v>1326</v>
      </c>
      <c r="BH73">
        <v>1</v>
      </c>
      <c r="BJ73" s="114">
        <v>2</v>
      </c>
      <c r="BK73" s="116">
        <v>702</v>
      </c>
      <c r="BL73" s="120">
        <f t="shared" si="22"/>
        <v>2702</v>
      </c>
      <c r="BN73" s="5" t="s">
        <v>256</v>
      </c>
    </row>
    <row r="74" spans="1:66" hidden="1" outlineLevel="1">
      <c r="A74" t="s">
        <v>895</v>
      </c>
      <c r="B74" t="s">
        <v>1326</v>
      </c>
      <c r="C74" s="1">
        <f t="shared" si="23"/>
        <v>7613</v>
      </c>
      <c r="D74" s="5">
        <f>IF(N74&gt;0, RANK(N74,(N74:P74,Q74:AE74)),0)</f>
        <v>2</v>
      </c>
      <c r="E74" s="5">
        <f>IF(O74&gt;0,RANK(O74,(N74:P74,Q74:AE74)),0)</f>
        <v>1</v>
      </c>
      <c r="F74" s="5">
        <f>IF(P74&gt;0,RANK(P74,(N74:P74,Q74:AE74)),0)</f>
        <v>0</v>
      </c>
      <c r="G74" s="132">
        <f>IF(C74&gt;0,MAX(N74:P74)-LARGE(N74:P74,2),0)</f>
        <v>4162</v>
      </c>
      <c r="H74" s="137">
        <f>IF(C74&gt;0,G74/C74,0)</f>
        <v>0.54669644029948772</v>
      </c>
      <c r="I74" s="2"/>
      <c r="J74" s="2">
        <f t="shared" si="24"/>
        <v>0.16301063969525811</v>
      </c>
      <c r="K74" s="2">
        <f t="shared" si="24"/>
        <v>0.7097070799947458</v>
      </c>
      <c r="L74" s="2">
        <f t="shared" si="24"/>
        <v>0</v>
      </c>
      <c r="M74" s="2">
        <f>IF(C74=0,"-",(1-J74-K74-L74))</f>
        <v>0.12728228030999611</v>
      </c>
      <c r="N74" s="63">
        <v>1241</v>
      </c>
      <c r="O74" s="63">
        <v>5403</v>
      </c>
      <c r="P74" s="63"/>
      <c r="Q74" s="63">
        <v>518</v>
      </c>
      <c r="R74" s="63">
        <v>98</v>
      </c>
      <c r="S74" s="63">
        <v>109</v>
      </c>
      <c r="T74" s="63">
        <v>23</v>
      </c>
      <c r="U74" s="63"/>
      <c r="V74" s="63"/>
      <c r="W74" s="63">
        <v>221</v>
      </c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W74" s="5">
        <f>IF(Q74&gt;0,RANK(Q74,(N74:P74,Q74:AE74)),0)</f>
        <v>3</v>
      </c>
      <c r="AX74" s="5">
        <f>IF(R74&gt;0,RANK(R74,(N74:P74,Q74:AE74)),0)</f>
        <v>6</v>
      </c>
      <c r="AY74" s="5">
        <f>IF(T74&gt;0,RANK(T74,(N74:P74,Q74:AE74)),0)</f>
        <v>7</v>
      </c>
      <c r="AZ74" s="5">
        <f>IF(S74&gt;0,RANK(S74,(N74:P74,Q74:AE74)),0)</f>
        <v>5</v>
      </c>
      <c r="BA74" s="2">
        <f t="shared" si="25"/>
        <v>6.804150794693288E-2</v>
      </c>
      <c r="BB74" s="2">
        <f t="shared" si="25"/>
        <v>1.2872717719690004E-2</v>
      </c>
      <c r="BC74" s="2">
        <f>IF($C74=0,"-",T74/$C74)</f>
        <v>3.0211480362537764E-3</v>
      </c>
      <c r="BD74" s="2">
        <f>IF($C74=0,"-",S74/$C74)</f>
        <v>1.4317614606593984E-2</v>
      </c>
      <c r="BF74" t="s">
        <v>895</v>
      </c>
      <c r="BG74" t="s">
        <v>1326</v>
      </c>
      <c r="BH74">
        <v>1</v>
      </c>
      <c r="BJ74" s="114">
        <v>2</v>
      </c>
      <c r="BK74" s="116">
        <v>703</v>
      </c>
      <c r="BL74" s="120">
        <f t="shared" si="22"/>
        <v>2703</v>
      </c>
      <c r="BN74" s="5" t="s">
        <v>256</v>
      </c>
    </row>
    <row r="75" spans="1:66" hidden="1" outlineLevel="1">
      <c r="A75" t="s">
        <v>203</v>
      </c>
      <c r="B75" t="s">
        <v>1326</v>
      </c>
      <c r="C75" s="1">
        <f t="shared" si="23"/>
        <v>9521</v>
      </c>
      <c r="D75" s="5">
        <f>IF(N75&gt;0, RANK(N75,(N75:P75,Q75:AE75)),0)</f>
        <v>1</v>
      </c>
      <c r="E75" s="5">
        <f>IF(O75&gt;0,RANK(O75,(N75:P75,Q75:AE75)),0)</f>
        <v>2</v>
      </c>
      <c r="F75" s="5">
        <f>IF(P75&gt;0,RANK(P75,(N75:P75,Q75:AE75)),0)</f>
        <v>0</v>
      </c>
      <c r="G75" s="132">
        <f>IF(C75&gt;0,MAX(N75:P75)-LARGE(N75:P75,2),0)</f>
        <v>92</v>
      </c>
      <c r="H75" s="137">
        <f>IF(C75&gt;0,G75/C75,0)</f>
        <v>9.6628505409095677E-3</v>
      </c>
      <c r="I75" s="2"/>
      <c r="J75" s="2">
        <f t="shared" si="24"/>
        <v>0.43713895599201763</v>
      </c>
      <c r="K75" s="2">
        <f t="shared" si="24"/>
        <v>0.42747610545110809</v>
      </c>
      <c r="L75" s="2">
        <f t="shared" si="24"/>
        <v>0</v>
      </c>
      <c r="M75" s="2">
        <f>IF(C75=0,"-",(1-J75-K75-L75))</f>
        <v>0.13538493855687433</v>
      </c>
      <c r="N75" s="63">
        <v>4162</v>
      </c>
      <c r="O75" s="63">
        <v>4070</v>
      </c>
      <c r="P75" s="63"/>
      <c r="Q75" s="63">
        <v>585</v>
      </c>
      <c r="R75" s="63">
        <v>237</v>
      </c>
      <c r="S75" s="63">
        <v>97</v>
      </c>
      <c r="T75" s="63">
        <v>26</v>
      </c>
      <c r="U75" s="63"/>
      <c r="V75" s="63"/>
      <c r="W75" s="63">
        <v>344</v>
      </c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W75" s="5">
        <f>IF(Q75&gt;0,RANK(Q75,(N75:P75,Q75:AE75)),0)</f>
        <v>3</v>
      </c>
      <c r="AX75" s="5">
        <f>IF(R75&gt;0,RANK(R75,(N75:P75,Q75:AE75)),0)</f>
        <v>5</v>
      </c>
      <c r="AY75" s="5">
        <f>IF(T75&gt;0,RANK(T75,(N75:P75,Q75:AE75)),0)</f>
        <v>7</v>
      </c>
      <c r="AZ75" s="5">
        <f>IF(S75&gt;0,RANK(S75,(N75:P75,Q75:AE75)),0)</f>
        <v>6</v>
      </c>
      <c r="BA75" s="2">
        <f t="shared" si="25"/>
        <v>6.1443125722088016E-2</v>
      </c>
      <c r="BB75" s="2">
        <f t="shared" si="25"/>
        <v>2.4892343241256172E-2</v>
      </c>
      <c r="BC75" s="2">
        <f>IF($C75=0,"-",T75/$C75)</f>
        <v>2.7308055876483564E-3</v>
      </c>
      <c r="BD75" s="2">
        <f>IF($C75=0,"-",S75/$C75)</f>
        <v>1.0188005461611175E-2</v>
      </c>
      <c r="BF75" t="s">
        <v>203</v>
      </c>
      <c r="BG75" t="s">
        <v>1326</v>
      </c>
      <c r="BH75">
        <v>1</v>
      </c>
      <c r="BJ75" s="114">
        <v>2</v>
      </c>
      <c r="BK75" s="116">
        <v>704</v>
      </c>
      <c r="BL75" s="120">
        <f t="shared" si="22"/>
        <v>2704</v>
      </c>
      <c r="BN75" s="5" t="s">
        <v>256</v>
      </c>
    </row>
    <row r="76" spans="1:66" hidden="1" outlineLevel="1">
      <c r="A76" t="s">
        <v>2174</v>
      </c>
      <c r="B76" t="s">
        <v>1326</v>
      </c>
      <c r="C76" s="1">
        <f t="shared" si="23"/>
        <v>7906</v>
      </c>
      <c r="D76" s="5">
        <f>IF(N76&gt;0, RANK(N76,(N76:P76,Q76:AE76)),0)</f>
        <v>2</v>
      </c>
      <c r="E76" s="5">
        <f>IF(O76&gt;0,RANK(O76,(N76:P76,Q76:AE76)),0)</f>
        <v>1</v>
      </c>
      <c r="F76" s="5">
        <f>IF(P76&gt;0,RANK(P76,(N76:P76,Q76:AE76)),0)</f>
        <v>0</v>
      </c>
      <c r="G76" s="132">
        <f t="shared" ref="G76:G110" si="26">IF(C76&gt;0,MAX(N76:P76)-LARGE(N76:P76,2),0)</f>
        <v>496</v>
      </c>
      <c r="H76" s="137">
        <f t="shared" ref="H76:H110" si="27">IF(C76&gt;0,G76/C76,0)</f>
        <v>6.2737161649380216E-2</v>
      </c>
      <c r="I76" s="2"/>
      <c r="J76" s="2">
        <f t="shared" ref="J76:J111" si="28">IF($C76=0,"-",N76/$C76)</f>
        <v>0.40311156083986843</v>
      </c>
      <c r="K76" s="2">
        <f t="shared" ref="K76:K111" si="29">IF($C76=0,"-",O76/$C76)</f>
        <v>0.46584872248924869</v>
      </c>
      <c r="L76" s="2">
        <f t="shared" ref="L76:L111" si="30">IF($C76=0,"-",P76/$C76)</f>
        <v>0</v>
      </c>
      <c r="M76" s="2">
        <f t="shared" ref="M76:M110" si="31">IF(C76=0,"-",(1-J76-K76-L76))</f>
        <v>0.13103971667088288</v>
      </c>
      <c r="N76" s="63">
        <v>3187</v>
      </c>
      <c r="O76" s="63">
        <v>3683</v>
      </c>
      <c r="P76" s="63"/>
      <c r="Q76" s="63">
        <v>512</v>
      </c>
      <c r="R76" s="63">
        <v>178</v>
      </c>
      <c r="S76" s="63">
        <v>71</v>
      </c>
      <c r="T76" s="63">
        <v>20</v>
      </c>
      <c r="U76" s="63"/>
      <c r="V76" s="63"/>
      <c r="W76" s="63">
        <v>255</v>
      </c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W76" s="5">
        <f>IF(Q76&gt;0,RANK(Q76,(N76:P76,Q76:AE76)),0)</f>
        <v>3</v>
      </c>
      <c r="AX76" s="5">
        <f>IF(R76&gt;0,RANK(R76,(N76:P76,Q76:AE76)),0)</f>
        <v>5</v>
      </c>
      <c r="AY76" s="5">
        <f>IF(T76&gt;0,RANK(T76,(N76:P76,Q76:AE76)),0)</f>
        <v>7</v>
      </c>
      <c r="AZ76" s="5">
        <f>IF(S76&gt;0,RANK(S76,(N76:P76,Q76:AE76)),0)</f>
        <v>6</v>
      </c>
      <c r="BA76" s="2">
        <f t="shared" ref="BA76:BA110" si="32">IF($C76=0,"-",Q76/$C76)</f>
        <v>6.4760941057424734E-2</v>
      </c>
      <c r="BB76" s="2">
        <f t="shared" ref="BB76:BB110" si="33">IF($C76=0,"-",R76/$C76)</f>
        <v>2.251454591449532E-2</v>
      </c>
      <c r="BC76" s="2">
        <f t="shared" ref="BC76:BC110" si="34">IF($C76=0,"-",T76/$C76)</f>
        <v>2.5297242600556538E-3</v>
      </c>
      <c r="BD76" s="2">
        <f t="shared" ref="BD76:BD110" si="35">IF($C76=0,"-",S76/$C76)</f>
        <v>8.9805211231975719E-3</v>
      </c>
      <c r="BF76" t="s">
        <v>2174</v>
      </c>
      <c r="BG76" t="s">
        <v>1326</v>
      </c>
      <c r="BH76">
        <v>1</v>
      </c>
      <c r="BJ76" s="114">
        <v>2</v>
      </c>
      <c r="BK76" s="116">
        <v>705</v>
      </c>
      <c r="BL76" s="120">
        <f t="shared" si="22"/>
        <v>2705</v>
      </c>
      <c r="BN76" s="5" t="s">
        <v>256</v>
      </c>
    </row>
    <row r="77" spans="1:66" hidden="1" outlineLevel="1">
      <c r="A77" t="s">
        <v>2840</v>
      </c>
      <c r="B77" t="s">
        <v>1326</v>
      </c>
      <c r="C77" s="1">
        <f t="shared" si="23"/>
        <v>8460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0</v>
      </c>
      <c r="G77" s="132">
        <f t="shared" si="26"/>
        <v>2393</v>
      </c>
      <c r="H77" s="137">
        <f t="shared" si="27"/>
        <v>0.28286052009456264</v>
      </c>
      <c r="I77" s="2"/>
      <c r="J77" s="2">
        <f t="shared" si="28"/>
        <v>0.29976359338061465</v>
      </c>
      <c r="K77" s="2">
        <f t="shared" si="29"/>
        <v>0.58262411347517729</v>
      </c>
      <c r="L77" s="2">
        <f t="shared" si="30"/>
        <v>0</v>
      </c>
      <c r="M77" s="2">
        <f t="shared" si="31"/>
        <v>0.11761229314420807</v>
      </c>
      <c r="N77" s="63">
        <v>2536</v>
      </c>
      <c r="O77" s="63">
        <v>4929</v>
      </c>
      <c r="P77" s="63"/>
      <c r="Q77" s="63">
        <v>471</v>
      </c>
      <c r="R77" s="63">
        <v>125</v>
      </c>
      <c r="S77" s="63">
        <v>137</v>
      </c>
      <c r="T77" s="63">
        <v>24</v>
      </c>
      <c r="U77" s="63"/>
      <c r="V77" s="63"/>
      <c r="W77" s="63">
        <v>238</v>
      </c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W77" s="5">
        <f>IF(Q77&gt;0,RANK(Q77,(N77:P77,Q77:AE77)),0)</f>
        <v>3</v>
      </c>
      <c r="AX77" s="5">
        <f>IF(R77&gt;0,RANK(R77,(N77:P77,Q77:AE77)),0)</f>
        <v>6</v>
      </c>
      <c r="AY77" s="5">
        <f>IF(T77&gt;0,RANK(T77,(N77:P77,Q77:AE77)),0)</f>
        <v>7</v>
      </c>
      <c r="AZ77" s="5">
        <f>IF(S77&gt;0,RANK(S77,(N77:P77,Q77:AE77)),0)</f>
        <v>5</v>
      </c>
      <c r="BA77" s="2">
        <f t="shared" si="32"/>
        <v>5.5673758865248224E-2</v>
      </c>
      <c r="BB77" s="2">
        <f t="shared" si="33"/>
        <v>1.4775413711583925E-2</v>
      </c>
      <c r="BC77" s="2">
        <f t="shared" si="34"/>
        <v>2.8368794326241137E-3</v>
      </c>
      <c r="BD77" s="2">
        <f t="shared" si="35"/>
        <v>1.619385342789598E-2</v>
      </c>
      <c r="BF77" t="s">
        <v>2840</v>
      </c>
      <c r="BG77" t="s">
        <v>1326</v>
      </c>
      <c r="BH77">
        <v>1</v>
      </c>
      <c r="BJ77" s="114">
        <v>2</v>
      </c>
      <c r="BK77" s="116">
        <v>706</v>
      </c>
      <c r="BL77" s="120">
        <f t="shared" si="22"/>
        <v>2706</v>
      </c>
      <c r="BN77" s="5" t="s">
        <v>256</v>
      </c>
    </row>
    <row r="78" spans="1:66" hidden="1" outlineLevel="1">
      <c r="A78" t="s">
        <v>2312</v>
      </c>
      <c r="B78" t="s">
        <v>1326</v>
      </c>
      <c r="C78" s="1">
        <f t="shared" si="23"/>
        <v>8294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0</v>
      </c>
      <c r="G78" s="132">
        <f t="shared" si="26"/>
        <v>4425</v>
      </c>
      <c r="H78" s="137">
        <f t="shared" si="27"/>
        <v>0.53351820593199906</v>
      </c>
      <c r="I78" s="2"/>
      <c r="J78" s="2">
        <f t="shared" si="28"/>
        <v>0.18205931999035446</v>
      </c>
      <c r="K78" s="2">
        <f t="shared" si="29"/>
        <v>0.71557752592235346</v>
      </c>
      <c r="L78" s="2">
        <f t="shared" si="30"/>
        <v>0</v>
      </c>
      <c r="M78" s="2">
        <f t="shared" si="31"/>
        <v>0.10236315408729213</v>
      </c>
      <c r="N78" s="63">
        <v>1510</v>
      </c>
      <c r="O78" s="63">
        <v>5935</v>
      </c>
      <c r="P78" s="63"/>
      <c r="Q78" s="63">
        <v>431</v>
      </c>
      <c r="R78" s="63">
        <v>102</v>
      </c>
      <c r="S78" s="63">
        <v>97</v>
      </c>
      <c r="T78" s="63">
        <v>27</v>
      </c>
      <c r="U78" s="63"/>
      <c r="V78" s="63"/>
      <c r="W78" s="63">
        <v>192</v>
      </c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W78" s="5">
        <f>IF(Q78&gt;0,RANK(Q78,(N78:P78,Q78:AE78)),0)</f>
        <v>3</v>
      </c>
      <c r="AX78" s="5">
        <f>IF(R78&gt;0,RANK(R78,(N78:P78,Q78:AE78)),0)</f>
        <v>5</v>
      </c>
      <c r="AY78" s="5">
        <f>IF(T78&gt;0,RANK(T78,(N78:P78,Q78:AE78)),0)</f>
        <v>7</v>
      </c>
      <c r="AZ78" s="5">
        <f>IF(S78&gt;0,RANK(S78,(N78:P78,Q78:AE78)),0)</f>
        <v>6</v>
      </c>
      <c r="BA78" s="2">
        <f t="shared" si="32"/>
        <v>5.1965276103207135E-2</v>
      </c>
      <c r="BB78" s="2">
        <f t="shared" si="33"/>
        <v>1.2298046780805401E-2</v>
      </c>
      <c r="BC78" s="2">
        <f t="shared" si="34"/>
        <v>3.2553653243308418E-3</v>
      </c>
      <c r="BD78" s="2">
        <f t="shared" si="35"/>
        <v>1.1695201350373764E-2</v>
      </c>
      <c r="BF78" t="s">
        <v>2312</v>
      </c>
      <c r="BG78" t="s">
        <v>1326</v>
      </c>
      <c r="BH78">
        <v>1</v>
      </c>
      <c r="BJ78" s="114">
        <v>2</v>
      </c>
      <c r="BK78" s="116">
        <v>707</v>
      </c>
      <c r="BL78" s="120">
        <f t="shared" si="22"/>
        <v>2707</v>
      </c>
      <c r="BN78" s="5" t="s">
        <v>256</v>
      </c>
    </row>
    <row r="79" spans="1:66" hidden="1" outlineLevel="1">
      <c r="A79" t="s">
        <v>2488</v>
      </c>
      <c r="B79" t="s">
        <v>1326</v>
      </c>
      <c r="C79" s="1">
        <f t="shared" si="23"/>
        <v>8073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0</v>
      </c>
      <c r="G79" s="132">
        <f t="shared" si="26"/>
        <v>4908</v>
      </c>
      <c r="H79" s="137">
        <f t="shared" si="27"/>
        <v>0.60795243403939059</v>
      </c>
      <c r="I79" s="2"/>
      <c r="J79" s="2">
        <f t="shared" si="28"/>
        <v>0.15087328130806391</v>
      </c>
      <c r="K79" s="2">
        <f t="shared" si="29"/>
        <v>0.75882571534745447</v>
      </c>
      <c r="L79" s="2">
        <f t="shared" si="30"/>
        <v>0</v>
      </c>
      <c r="M79" s="2">
        <f t="shared" si="31"/>
        <v>9.0301003344481656E-2</v>
      </c>
      <c r="N79" s="63">
        <v>1218</v>
      </c>
      <c r="O79" s="63">
        <v>6126</v>
      </c>
      <c r="P79" s="63"/>
      <c r="Q79" s="63">
        <v>364</v>
      </c>
      <c r="R79" s="63">
        <v>88</v>
      </c>
      <c r="S79" s="63">
        <v>100</v>
      </c>
      <c r="T79" s="63">
        <v>27</v>
      </c>
      <c r="U79" s="63"/>
      <c r="V79" s="63"/>
      <c r="W79" s="63">
        <v>150</v>
      </c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W79" s="5">
        <f>IF(Q79&gt;0,RANK(Q79,(N79:P79,Q79:AE79)),0)</f>
        <v>3</v>
      </c>
      <c r="AX79" s="5">
        <f>IF(R79&gt;0,RANK(R79,(N79:P79,Q79:AE79)),0)</f>
        <v>6</v>
      </c>
      <c r="AY79" s="5">
        <f>IF(T79&gt;0,RANK(T79,(N79:P79,Q79:AE79)),0)</f>
        <v>7</v>
      </c>
      <c r="AZ79" s="5">
        <f>IF(S79&gt;0,RANK(S79,(N79:P79,Q79:AE79)),0)</f>
        <v>5</v>
      </c>
      <c r="BA79" s="2">
        <f t="shared" si="32"/>
        <v>4.5088566827697261E-2</v>
      </c>
      <c r="BB79" s="2">
        <f t="shared" si="33"/>
        <v>1.0900532639663075E-2</v>
      </c>
      <c r="BC79" s="2">
        <f t="shared" si="34"/>
        <v>3.3444816053511705E-3</v>
      </c>
      <c r="BD79" s="2">
        <f t="shared" si="35"/>
        <v>1.2386968908708039E-2</v>
      </c>
      <c r="BF79" t="s">
        <v>2488</v>
      </c>
      <c r="BG79" t="s">
        <v>1326</v>
      </c>
      <c r="BH79">
        <v>1</v>
      </c>
      <c r="BJ79" s="114">
        <v>2</v>
      </c>
      <c r="BK79" s="116">
        <v>708</v>
      </c>
      <c r="BL79" s="120">
        <f t="shared" si="22"/>
        <v>2708</v>
      </c>
      <c r="BN79" s="5" t="s">
        <v>256</v>
      </c>
    </row>
    <row r="80" spans="1:66" hidden="1" outlineLevel="1">
      <c r="A80" t="s">
        <v>1944</v>
      </c>
      <c r="B80" t="s">
        <v>1326</v>
      </c>
      <c r="C80" s="1">
        <f t="shared" si="23"/>
        <v>8954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0</v>
      </c>
      <c r="G80" s="132">
        <f t="shared" si="26"/>
        <v>4257</v>
      </c>
      <c r="H80" s="137">
        <f t="shared" si="27"/>
        <v>0.47542997542997545</v>
      </c>
      <c r="I80" s="2"/>
      <c r="J80" s="2">
        <f t="shared" si="28"/>
        <v>0.20582979673888765</v>
      </c>
      <c r="K80" s="2">
        <f t="shared" si="29"/>
        <v>0.68125977216886313</v>
      </c>
      <c r="L80" s="2">
        <f t="shared" si="30"/>
        <v>0</v>
      </c>
      <c r="M80" s="2">
        <f t="shared" si="31"/>
        <v>0.11291043109224919</v>
      </c>
      <c r="N80" s="63">
        <v>1843</v>
      </c>
      <c r="O80" s="63">
        <v>6100</v>
      </c>
      <c r="P80" s="63"/>
      <c r="Q80" s="63">
        <v>510</v>
      </c>
      <c r="R80" s="63">
        <v>135</v>
      </c>
      <c r="S80" s="63">
        <v>111</v>
      </c>
      <c r="T80" s="63">
        <v>31</v>
      </c>
      <c r="U80" s="63"/>
      <c r="V80" s="63"/>
      <c r="W80" s="63">
        <v>224</v>
      </c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W80" s="5">
        <f>IF(Q80&gt;0,RANK(Q80,(N80:P80,Q80:AE80)),0)</f>
        <v>3</v>
      </c>
      <c r="AX80" s="5">
        <f>IF(R80&gt;0,RANK(R80,(N80:P80,Q80:AE80)),0)</f>
        <v>5</v>
      </c>
      <c r="AY80" s="5">
        <f>IF(T80&gt;0,RANK(T80,(N80:P80,Q80:AE80)),0)</f>
        <v>7</v>
      </c>
      <c r="AZ80" s="5">
        <f>IF(S80&gt;0,RANK(S80,(N80:P80,Q80:AE80)),0)</f>
        <v>6</v>
      </c>
      <c r="BA80" s="2">
        <f t="shared" si="32"/>
        <v>5.6957784230511503E-2</v>
      </c>
      <c r="BB80" s="2">
        <f t="shared" si="33"/>
        <v>1.5077060531605986E-2</v>
      </c>
      <c r="BC80" s="2">
        <f t="shared" si="34"/>
        <v>3.4621398257761895E-3</v>
      </c>
      <c r="BD80" s="2">
        <f t="shared" si="35"/>
        <v>1.2396694214876033E-2</v>
      </c>
      <c r="BF80" t="s">
        <v>1944</v>
      </c>
      <c r="BG80" t="s">
        <v>1326</v>
      </c>
      <c r="BH80">
        <v>1</v>
      </c>
      <c r="BJ80" s="114">
        <v>2</v>
      </c>
      <c r="BK80" s="116">
        <v>709</v>
      </c>
      <c r="BL80" s="120">
        <f t="shared" si="22"/>
        <v>2709</v>
      </c>
      <c r="BN80" s="5" t="s">
        <v>256</v>
      </c>
    </row>
    <row r="81" spans="1:66" hidden="1" outlineLevel="1">
      <c r="A81" t="s">
        <v>1185</v>
      </c>
      <c r="B81" t="s">
        <v>1326</v>
      </c>
      <c r="C81" s="1">
        <f t="shared" si="23"/>
        <v>9040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0</v>
      </c>
      <c r="G81" s="132">
        <f t="shared" si="26"/>
        <v>4447</v>
      </c>
      <c r="H81" s="137">
        <f t="shared" si="27"/>
        <v>0.49192477876106194</v>
      </c>
      <c r="I81" s="2"/>
      <c r="J81" s="2">
        <f t="shared" si="28"/>
        <v>0.2</v>
      </c>
      <c r="K81" s="2">
        <f t="shared" si="29"/>
        <v>0.69192477876106195</v>
      </c>
      <c r="L81" s="2">
        <f t="shared" si="30"/>
        <v>0</v>
      </c>
      <c r="M81" s="2">
        <f t="shared" si="31"/>
        <v>0.10807522123893809</v>
      </c>
      <c r="N81" s="63">
        <v>1808</v>
      </c>
      <c r="O81" s="63">
        <v>6255</v>
      </c>
      <c r="P81" s="63"/>
      <c r="Q81" s="63">
        <v>493</v>
      </c>
      <c r="R81" s="63">
        <v>135</v>
      </c>
      <c r="S81" s="63">
        <v>107</v>
      </c>
      <c r="T81" s="63">
        <v>23</v>
      </c>
      <c r="U81" s="63"/>
      <c r="V81" s="63"/>
      <c r="W81" s="63">
        <v>219</v>
      </c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W81" s="5">
        <f>IF(Q81&gt;0,RANK(Q81,(N81:P81,Q81:AE81)),0)</f>
        <v>3</v>
      </c>
      <c r="AX81" s="5">
        <f>IF(R81&gt;0,RANK(R81,(N81:P81,Q81:AE81)),0)</f>
        <v>5</v>
      </c>
      <c r="AY81" s="5">
        <f>IF(T81&gt;0,RANK(T81,(N81:P81,Q81:AE81)),0)</f>
        <v>7</v>
      </c>
      <c r="AZ81" s="5">
        <f>IF(S81&gt;0,RANK(S81,(N81:P81,Q81:AE81)),0)</f>
        <v>6</v>
      </c>
      <c r="BA81" s="2">
        <f t="shared" si="32"/>
        <v>5.4535398230088496E-2</v>
      </c>
      <c r="BB81" s="2">
        <f t="shared" si="33"/>
        <v>1.4933628318584071E-2</v>
      </c>
      <c r="BC81" s="2">
        <f t="shared" si="34"/>
        <v>2.5442477876106194E-3</v>
      </c>
      <c r="BD81" s="2">
        <f t="shared" si="35"/>
        <v>1.1836283185840709E-2</v>
      </c>
      <c r="BF81" t="s">
        <v>1185</v>
      </c>
      <c r="BG81" t="s">
        <v>1326</v>
      </c>
      <c r="BH81">
        <v>1</v>
      </c>
      <c r="BJ81" s="114">
        <v>2</v>
      </c>
      <c r="BK81" s="116">
        <v>710</v>
      </c>
      <c r="BL81" s="120">
        <f t="shared" si="22"/>
        <v>2710</v>
      </c>
      <c r="BN81" s="5" t="s">
        <v>256</v>
      </c>
    </row>
    <row r="82" spans="1:66" hidden="1" outlineLevel="1">
      <c r="A82" t="s">
        <v>568</v>
      </c>
      <c r="B82" t="s">
        <v>1326</v>
      </c>
      <c r="C82" s="1">
        <f t="shared" si="23"/>
        <v>9689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0</v>
      </c>
      <c r="G82" s="132">
        <f t="shared" si="26"/>
        <v>4302</v>
      </c>
      <c r="H82" s="137">
        <f t="shared" si="27"/>
        <v>0.44400866962534835</v>
      </c>
      <c r="I82" s="2"/>
      <c r="J82" s="2">
        <f t="shared" si="28"/>
        <v>0.22107544638249563</v>
      </c>
      <c r="K82" s="2">
        <f t="shared" si="29"/>
        <v>0.6650841160078439</v>
      </c>
      <c r="L82" s="2">
        <f t="shared" si="30"/>
        <v>0</v>
      </c>
      <c r="M82" s="2">
        <f t="shared" si="31"/>
        <v>0.11384043760966045</v>
      </c>
      <c r="N82" s="63">
        <v>2142</v>
      </c>
      <c r="O82" s="63">
        <v>6444</v>
      </c>
      <c r="P82" s="63"/>
      <c r="Q82" s="63">
        <v>572</v>
      </c>
      <c r="R82" s="63">
        <v>124</v>
      </c>
      <c r="S82" s="63">
        <v>77</v>
      </c>
      <c r="T82" s="63">
        <v>37</v>
      </c>
      <c r="U82" s="63"/>
      <c r="V82" s="63"/>
      <c r="W82" s="63">
        <v>293</v>
      </c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W82" s="5">
        <f>IF(Q82&gt;0,RANK(Q82,(N82:P82,Q82:AE82)),0)</f>
        <v>3</v>
      </c>
      <c r="AX82" s="5">
        <f>IF(R82&gt;0,RANK(R82,(N82:P82,Q82:AE82)),0)</f>
        <v>5</v>
      </c>
      <c r="AY82" s="5">
        <f>IF(T82&gt;0,RANK(T82,(N82:P82,Q82:AE82)),0)</f>
        <v>7</v>
      </c>
      <c r="AZ82" s="5">
        <f>IF(S82&gt;0,RANK(S82,(N82:P82,Q82:AE82)),0)</f>
        <v>6</v>
      </c>
      <c r="BA82" s="2">
        <f t="shared" si="32"/>
        <v>5.903602022912581E-2</v>
      </c>
      <c r="BB82" s="2">
        <f t="shared" si="33"/>
        <v>1.2798018371348953E-2</v>
      </c>
      <c r="BC82" s="2">
        <f t="shared" si="34"/>
        <v>3.8187635462896066E-3</v>
      </c>
      <c r="BD82" s="2">
        <f t="shared" si="35"/>
        <v>7.9471565693053983E-3</v>
      </c>
      <c r="BF82" t="s">
        <v>568</v>
      </c>
      <c r="BG82" t="s">
        <v>1326</v>
      </c>
      <c r="BH82">
        <v>1</v>
      </c>
      <c r="BJ82" s="114">
        <v>2</v>
      </c>
      <c r="BK82" s="116">
        <v>711</v>
      </c>
      <c r="BL82" s="120">
        <f t="shared" si="22"/>
        <v>2711</v>
      </c>
      <c r="BN82" s="5" t="s">
        <v>256</v>
      </c>
    </row>
    <row r="83" spans="1:66" hidden="1" outlineLevel="1">
      <c r="A83" t="s">
        <v>2303</v>
      </c>
      <c r="B83" t="s">
        <v>1326</v>
      </c>
      <c r="C83" s="1">
        <f t="shared" si="23"/>
        <v>9543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0</v>
      </c>
      <c r="G83" s="132">
        <f t="shared" si="26"/>
        <v>4701</v>
      </c>
      <c r="H83" s="137">
        <f t="shared" si="27"/>
        <v>0.49261238604212509</v>
      </c>
      <c r="I83" s="2"/>
      <c r="J83" s="2">
        <f t="shared" si="28"/>
        <v>0.20203290369904642</v>
      </c>
      <c r="K83" s="2">
        <f t="shared" si="29"/>
        <v>0.69464528974117157</v>
      </c>
      <c r="L83" s="2">
        <f t="shared" si="30"/>
        <v>0</v>
      </c>
      <c r="M83" s="2">
        <f t="shared" si="31"/>
        <v>0.10332180655978196</v>
      </c>
      <c r="N83" s="63">
        <v>1928</v>
      </c>
      <c r="O83" s="63">
        <v>6629</v>
      </c>
      <c r="P83" s="63"/>
      <c r="Q83" s="63">
        <v>548</v>
      </c>
      <c r="R83" s="63">
        <v>98</v>
      </c>
      <c r="S83" s="63">
        <v>76</v>
      </c>
      <c r="T83" s="63">
        <v>30</v>
      </c>
      <c r="U83" s="63"/>
      <c r="V83" s="63"/>
      <c r="W83" s="63">
        <v>234</v>
      </c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W83" s="5">
        <f>IF(Q83&gt;0,RANK(Q83,(N83:P83,Q83:AE83)),0)</f>
        <v>3</v>
      </c>
      <c r="AX83" s="5">
        <f>IF(R83&gt;0,RANK(R83,(N83:P83,Q83:AE83)),0)</f>
        <v>5</v>
      </c>
      <c r="AY83" s="5">
        <f>IF(T83&gt;0,RANK(T83,(N83:P83,Q83:AE83)),0)</f>
        <v>7</v>
      </c>
      <c r="AZ83" s="5">
        <f>IF(S83&gt;0,RANK(S83,(N83:P83,Q83:AE83)),0)</f>
        <v>6</v>
      </c>
      <c r="BA83" s="2">
        <f t="shared" si="32"/>
        <v>5.7424290055538091E-2</v>
      </c>
      <c r="BB83" s="2">
        <f t="shared" si="33"/>
        <v>1.0269307345698418E-2</v>
      </c>
      <c r="BC83" s="2">
        <f t="shared" si="34"/>
        <v>3.1436655139893115E-3</v>
      </c>
      <c r="BD83" s="2">
        <f t="shared" si="35"/>
        <v>7.9639526354395897E-3</v>
      </c>
      <c r="BF83" t="s">
        <v>2303</v>
      </c>
      <c r="BG83" t="s">
        <v>1326</v>
      </c>
      <c r="BH83">
        <v>1</v>
      </c>
      <c r="BJ83" s="114">
        <v>2</v>
      </c>
      <c r="BK83" s="116">
        <v>712</v>
      </c>
      <c r="BL83" s="120">
        <f t="shared" si="22"/>
        <v>2712</v>
      </c>
      <c r="BN83" s="5" t="s">
        <v>256</v>
      </c>
    </row>
    <row r="84" spans="1:66" hidden="1" outlineLevel="1">
      <c r="A84" t="s">
        <v>355</v>
      </c>
      <c r="B84" t="s">
        <v>1326</v>
      </c>
      <c r="C84" s="1">
        <f t="shared" si="23"/>
        <v>6533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0</v>
      </c>
      <c r="G84" s="132">
        <f t="shared" si="26"/>
        <v>2344</v>
      </c>
      <c r="H84" s="137">
        <f t="shared" si="27"/>
        <v>0.35879381601102095</v>
      </c>
      <c r="I84" s="2"/>
      <c r="J84" s="2">
        <f t="shared" si="28"/>
        <v>0.25776825348232052</v>
      </c>
      <c r="K84" s="2">
        <f t="shared" si="29"/>
        <v>0.61656206949334147</v>
      </c>
      <c r="L84" s="2">
        <f t="shared" si="30"/>
        <v>0</v>
      </c>
      <c r="M84" s="2">
        <f t="shared" si="31"/>
        <v>0.12566967702433807</v>
      </c>
      <c r="N84" s="63">
        <v>1684</v>
      </c>
      <c r="O84" s="63">
        <v>4028</v>
      </c>
      <c r="P84" s="63"/>
      <c r="Q84" s="63">
        <v>480</v>
      </c>
      <c r="R84" s="63">
        <v>81</v>
      </c>
      <c r="S84" s="63">
        <v>50</v>
      </c>
      <c r="T84" s="63">
        <v>16</v>
      </c>
      <c r="U84" s="63"/>
      <c r="V84" s="63"/>
      <c r="W84" s="63">
        <v>194</v>
      </c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W84" s="5">
        <f>IF(Q84&gt;0,RANK(Q84,(N84:P84,Q84:AE84)),0)</f>
        <v>3</v>
      </c>
      <c r="AX84" s="5">
        <f>IF(R84&gt;0,RANK(R84,(N84:P84,Q84:AE84)),0)</f>
        <v>5</v>
      </c>
      <c r="AY84" s="5">
        <f>IF(T84&gt;0,RANK(T84,(N84:P84,Q84:AE84)),0)</f>
        <v>7</v>
      </c>
      <c r="AZ84" s="5">
        <f>IF(S84&gt;0,RANK(S84,(N84:P84,Q84:AE84)),0)</f>
        <v>6</v>
      </c>
      <c r="BA84" s="2">
        <f t="shared" si="32"/>
        <v>7.3473136384509419E-2</v>
      </c>
      <c r="BB84" s="2">
        <f t="shared" si="33"/>
        <v>1.2398591764885964E-2</v>
      </c>
      <c r="BC84" s="2">
        <f t="shared" si="34"/>
        <v>2.4491045461503139E-3</v>
      </c>
      <c r="BD84" s="2">
        <f t="shared" si="35"/>
        <v>7.6534517067197308E-3</v>
      </c>
      <c r="BF84" t="s">
        <v>355</v>
      </c>
      <c r="BG84" t="s">
        <v>1326</v>
      </c>
      <c r="BH84">
        <v>1</v>
      </c>
      <c r="BJ84" s="114">
        <v>2</v>
      </c>
      <c r="BK84" s="116">
        <v>713</v>
      </c>
      <c r="BL84" s="120">
        <f t="shared" si="22"/>
        <v>2713</v>
      </c>
      <c r="BN84" s="5" t="s">
        <v>256</v>
      </c>
    </row>
    <row r="85" spans="1:66" hidden="1" outlineLevel="1">
      <c r="A85" t="s">
        <v>966</v>
      </c>
      <c r="B85" t="s">
        <v>1326</v>
      </c>
      <c r="C85" s="1">
        <f t="shared" si="23"/>
        <v>10420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0</v>
      </c>
      <c r="G85" s="132">
        <f t="shared" si="26"/>
        <v>2935</v>
      </c>
      <c r="H85" s="137">
        <f t="shared" si="27"/>
        <v>0.28166986564299423</v>
      </c>
      <c r="I85" s="2"/>
      <c r="J85" s="2">
        <f t="shared" si="28"/>
        <v>0.29203454894433784</v>
      </c>
      <c r="K85" s="2">
        <f t="shared" si="29"/>
        <v>0.57370441458733201</v>
      </c>
      <c r="L85" s="2">
        <f t="shared" si="30"/>
        <v>0</v>
      </c>
      <c r="M85" s="2">
        <f t="shared" si="31"/>
        <v>0.1342610364683301</v>
      </c>
      <c r="N85" s="63">
        <v>3043</v>
      </c>
      <c r="O85" s="63">
        <v>5978</v>
      </c>
      <c r="P85" s="63"/>
      <c r="Q85" s="63">
        <v>802</v>
      </c>
      <c r="R85" s="63">
        <v>103</v>
      </c>
      <c r="S85" s="63">
        <v>72</v>
      </c>
      <c r="T85" s="63">
        <v>37</v>
      </c>
      <c r="U85" s="63"/>
      <c r="V85" s="63"/>
      <c r="W85" s="63">
        <v>385</v>
      </c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W85" s="5">
        <f>IF(Q85&gt;0,RANK(Q85,(N85:P85,Q85:AE85)),0)</f>
        <v>3</v>
      </c>
      <c r="AX85" s="5">
        <f>IF(R85&gt;0,RANK(R85,(N85:P85,Q85:AE85)),0)</f>
        <v>5</v>
      </c>
      <c r="AY85" s="5">
        <f>IF(T85&gt;0,RANK(T85,(N85:P85,Q85:AE85)),0)</f>
        <v>7</v>
      </c>
      <c r="AZ85" s="5">
        <f>IF(S85&gt;0,RANK(S85,(N85:P85,Q85:AE85)),0)</f>
        <v>6</v>
      </c>
      <c r="BA85" s="2">
        <f t="shared" si="32"/>
        <v>7.6967370441458738E-2</v>
      </c>
      <c r="BB85" s="2">
        <f t="shared" si="33"/>
        <v>9.8848368522072936E-3</v>
      </c>
      <c r="BC85" s="2">
        <f t="shared" si="34"/>
        <v>3.5508637236084453E-3</v>
      </c>
      <c r="BD85" s="2">
        <f t="shared" si="35"/>
        <v>6.9097888675623796E-3</v>
      </c>
      <c r="BF85" t="s">
        <v>966</v>
      </c>
      <c r="BG85" t="s">
        <v>1326</v>
      </c>
      <c r="BH85">
        <v>1</v>
      </c>
      <c r="BJ85" s="114">
        <v>2</v>
      </c>
      <c r="BK85" s="116">
        <v>714</v>
      </c>
      <c r="BL85" s="120">
        <f t="shared" si="22"/>
        <v>2714</v>
      </c>
      <c r="BN85" s="5" t="s">
        <v>256</v>
      </c>
    </row>
    <row r="86" spans="1:66" hidden="1" outlineLevel="1">
      <c r="A86" t="s">
        <v>430</v>
      </c>
      <c r="B86" t="s">
        <v>1326</v>
      </c>
      <c r="C86" s="1">
        <f t="shared" si="23"/>
        <v>4982</v>
      </c>
      <c r="D86" s="5">
        <f>IF(N86&gt;0, RANK(N86,(N86:P86,Q86:AE86)),0)</f>
        <v>2</v>
      </c>
      <c r="E86" s="5">
        <f>IF(O86&gt;0,RANK(O86,(N86:P86,Q86:AE86)),0)</f>
        <v>1</v>
      </c>
      <c r="F86" s="5">
        <f>IF(P86&gt;0,RANK(P86,(N86:P86,Q86:AE86)),0)</f>
        <v>0</v>
      </c>
      <c r="G86" s="132">
        <f t="shared" si="26"/>
        <v>697</v>
      </c>
      <c r="H86" s="137">
        <f t="shared" si="27"/>
        <v>0.13990365315134484</v>
      </c>
      <c r="I86" s="2"/>
      <c r="J86" s="2">
        <f t="shared" si="28"/>
        <v>0.36692091529506221</v>
      </c>
      <c r="K86" s="2">
        <f t="shared" si="29"/>
        <v>0.50682456844640711</v>
      </c>
      <c r="L86" s="2">
        <f t="shared" si="30"/>
        <v>0</v>
      </c>
      <c r="M86" s="2">
        <f t="shared" si="31"/>
        <v>0.12625451625853068</v>
      </c>
      <c r="N86" s="63">
        <v>1828</v>
      </c>
      <c r="O86" s="63">
        <v>2525</v>
      </c>
      <c r="P86" s="63"/>
      <c r="Q86" s="63">
        <v>335</v>
      </c>
      <c r="R86" s="63">
        <v>85</v>
      </c>
      <c r="S86" s="63">
        <v>49</v>
      </c>
      <c r="T86" s="63">
        <v>27</v>
      </c>
      <c r="U86" s="63"/>
      <c r="V86" s="63"/>
      <c r="W86" s="63">
        <v>133</v>
      </c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W86" s="5">
        <f>IF(Q86&gt;0,RANK(Q86,(N86:P86,Q86:AE86)),0)</f>
        <v>3</v>
      </c>
      <c r="AX86" s="5">
        <f>IF(R86&gt;0,RANK(R86,(N86:P86,Q86:AE86)),0)</f>
        <v>5</v>
      </c>
      <c r="AY86" s="5">
        <f>IF(T86&gt;0,RANK(T86,(N86:P86,Q86:AE86)),0)</f>
        <v>7</v>
      </c>
      <c r="AZ86" s="5">
        <f>IF(S86&gt;0,RANK(S86,(N86:P86,Q86:AE86)),0)</f>
        <v>6</v>
      </c>
      <c r="BA86" s="2">
        <f t="shared" si="32"/>
        <v>6.7242071457246089E-2</v>
      </c>
      <c r="BB86" s="2">
        <f t="shared" si="33"/>
        <v>1.7061421116017664E-2</v>
      </c>
      <c r="BC86" s="2">
        <f t="shared" si="34"/>
        <v>5.4195102368526692E-3</v>
      </c>
      <c r="BD86" s="2">
        <f t="shared" si="35"/>
        <v>9.835407466880771E-3</v>
      </c>
      <c r="BF86" t="s">
        <v>430</v>
      </c>
      <c r="BG86" t="s">
        <v>1326</v>
      </c>
      <c r="BH86">
        <v>1</v>
      </c>
      <c r="BJ86" s="114">
        <v>2</v>
      </c>
      <c r="BK86" s="116">
        <v>715</v>
      </c>
      <c r="BL86" s="120">
        <f t="shared" si="22"/>
        <v>2715</v>
      </c>
      <c r="BN86" s="5" t="s">
        <v>256</v>
      </c>
    </row>
    <row r="87" spans="1:66" hidden="1" outlineLevel="1">
      <c r="A87" t="s">
        <v>1563</v>
      </c>
      <c r="B87" t="s">
        <v>1326</v>
      </c>
      <c r="C87" s="1">
        <f t="shared" si="23"/>
        <v>7436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0</v>
      </c>
      <c r="G87" s="132">
        <f t="shared" si="26"/>
        <v>91</v>
      </c>
      <c r="H87" s="137">
        <f t="shared" si="27"/>
        <v>1.2237762237762238E-2</v>
      </c>
      <c r="I87" s="2"/>
      <c r="J87" s="2">
        <f t="shared" si="28"/>
        <v>0.44298009682625067</v>
      </c>
      <c r="K87" s="2">
        <f t="shared" si="29"/>
        <v>0.43074233458848843</v>
      </c>
      <c r="L87" s="2">
        <f t="shared" si="30"/>
        <v>0</v>
      </c>
      <c r="M87" s="2">
        <f t="shared" si="31"/>
        <v>0.12627756858526085</v>
      </c>
      <c r="N87" s="63">
        <v>3294</v>
      </c>
      <c r="O87" s="63">
        <v>3203</v>
      </c>
      <c r="P87" s="63"/>
      <c r="Q87" s="63">
        <v>464</v>
      </c>
      <c r="R87" s="63">
        <v>157</v>
      </c>
      <c r="S87" s="63">
        <v>67</v>
      </c>
      <c r="T87" s="63">
        <v>27</v>
      </c>
      <c r="U87" s="63"/>
      <c r="V87" s="63"/>
      <c r="W87" s="63">
        <v>224</v>
      </c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W87" s="5">
        <f>IF(Q87&gt;0,RANK(Q87,(N87:P87,Q87:AE87)),0)</f>
        <v>3</v>
      </c>
      <c r="AX87" s="5">
        <f>IF(R87&gt;0,RANK(R87,(N87:P87,Q87:AE87)),0)</f>
        <v>5</v>
      </c>
      <c r="AY87" s="5">
        <f>IF(T87&gt;0,RANK(T87,(N87:P87,Q87:AE87)),0)</f>
        <v>7</v>
      </c>
      <c r="AZ87" s="5">
        <f>IF(S87&gt;0,RANK(S87,(N87:P87,Q87:AE87)),0)</f>
        <v>6</v>
      </c>
      <c r="BA87" s="2">
        <f t="shared" si="32"/>
        <v>6.2399139322216246E-2</v>
      </c>
      <c r="BB87" s="2">
        <f t="shared" si="33"/>
        <v>2.1113501882732651E-2</v>
      </c>
      <c r="BC87" s="2">
        <f t="shared" si="34"/>
        <v>3.6309844002151695E-3</v>
      </c>
      <c r="BD87" s="2">
        <f t="shared" si="35"/>
        <v>9.010220548682087E-3</v>
      </c>
      <c r="BF87" t="s">
        <v>1563</v>
      </c>
      <c r="BG87" t="s">
        <v>1326</v>
      </c>
      <c r="BH87">
        <v>1</v>
      </c>
      <c r="BJ87" s="114">
        <v>2</v>
      </c>
      <c r="BK87" s="116">
        <v>716</v>
      </c>
      <c r="BL87" s="120">
        <f t="shared" si="22"/>
        <v>2716</v>
      </c>
      <c r="BN87" s="5" t="s">
        <v>256</v>
      </c>
    </row>
    <row r="88" spans="1:66" hidden="1" outlineLevel="1">
      <c r="A88" t="s">
        <v>1952</v>
      </c>
      <c r="B88" t="s">
        <v>1326</v>
      </c>
      <c r="C88" s="1">
        <f t="shared" si="23"/>
        <v>6788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0</v>
      </c>
      <c r="G88" s="132">
        <f t="shared" si="26"/>
        <v>672</v>
      </c>
      <c r="H88" s="137">
        <f t="shared" si="27"/>
        <v>9.8998232174425452E-2</v>
      </c>
      <c r="I88" s="2"/>
      <c r="J88" s="2">
        <f t="shared" si="28"/>
        <v>0.48467884502062464</v>
      </c>
      <c r="K88" s="2">
        <f t="shared" si="29"/>
        <v>0.3856806128461992</v>
      </c>
      <c r="L88" s="2">
        <f t="shared" si="30"/>
        <v>0</v>
      </c>
      <c r="M88" s="2">
        <f t="shared" si="31"/>
        <v>0.12964054213317616</v>
      </c>
      <c r="N88" s="63">
        <v>3290</v>
      </c>
      <c r="O88" s="63">
        <v>2618</v>
      </c>
      <c r="P88" s="63"/>
      <c r="Q88" s="63">
        <v>419</v>
      </c>
      <c r="R88" s="63">
        <v>146</v>
      </c>
      <c r="S88" s="63">
        <v>69</v>
      </c>
      <c r="T88" s="63">
        <v>35</v>
      </c>
      <c r="U88" s="63"/>
      <c r="V88" s="63"/>
      <c r="W88" s="63">
        <v>211</v>
      </c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W88" s="5">
        <f>IF(Q88&gt;0,RANK(Q88,(N88:P88,Q88:AE88)),0)</f>
        <v>3</v>
      </c>
      <c r="AX88" s="5">
        <f>IF(R88&gt;0,RANK(R88,(N88:P88,Q88:AE88)),0)</f>
        <v>5</v>
      </c>
      <c r="AY88" s="5">
        <f>IF(T88&gt;0,RANK(T88,(N88:P88,Q88:AE88)),0)</f>
        <v>7</v>
      </c>
      <c r="AZ88" s="5">
        <f>IF(S88&gt;0,RANK(S88,(N88:P88,Q88:AE88)),0)</f>
        <v>6</v>
      </c>
      <c r="BA88" s="2">
        <f t="shared" si="32"/>
        <v>6.1726576311137302E-2</v>
      </c>
      <c r="BB88" s="2">
        <f t="shared" si="33"/>
        <v>2.1508544490276959E-2</v>
      </c>
      <c r="BC88" s="2">
        <f t="shared" si="34"/>
        <v>5.156157925751326E-3</v>
      </c>
      <c r="BD88" s="2">
        <f t="shared" si="35"/>
        <v>1.0164997053624043E-2</v>
      </c>
      <c r="BF88" t="s">
        <v>1952</v>
      </c>
      <c r="BG88" t="s">
        <v>1326</v>
      </c>
      <c r="BH88">
        <v>1</v>
      </c>
      <c r="BJ88" s="114">
        <v>2</v>
      </c>
      <c r="BK88" s="116">
        <v>717</v>
      </c>
      <c r="BL88" s="120">
        <f t="shared" si="22"/>
        <v>2717</v>
      </c>
      <c r="BN88" s="5" t="s">
        <v>256</v>
      </c>
    </row>
    <row r="89" spans="1:66" hidden="1" outlineLevel="1">
      <c r="A89" t="s">
        <v>2248</v>
      </c>
      <c r="B89" t="s">
        <v>1326</v>
      </c>
      <c r="C89" s="1">
        <f t="shared" si="23"/>
        <v>7402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0</v>
      </c>
      <c r="G89" s="132">
        <f t="shared" si="26"/>
        <v>1225</v>
      </c>
      <c r="H89" s="137">
        <f t="shared" si="27"/>
        <v>0.16549581194271817</v>
      </c>
      <c r="I89" s="2"/>
      <c r="J89" s="2">
        <f t="shared" si="28"/>
        <v>0.5281005133747636</v>
      </c>
      <c r="K89" s="2">
        <f t="shared" si="29"/>
        <v>0.36260470143204537</v>
      </c>
      <c r="L89" s="2">
        <f t="shared" si="30"/>
        <v>0</v>
      </c>
      <c r="M89" s="2">
        <f t="shared" si="31"/>
        <v>0.10929478519319102</v>
      </c>
      <c r="N89" s="63">
        <v>3909</v>
      </c>
      <c r="O89" s="63">
        <v>2684</v>
      </c>
      <c r="P89" s="63"/>
      <c r="Q89" s="63">
        <v>424</v>
      </c>
      <c r="R89" s="63">
        <v>136</v>
      </c>
      <c r="S89" s="63">
        <v>38</v>
      </c>
      <c r="T89" s="63">
        <v>25</v>
      </c>
      <c r="U89" s="63"/>
      <c r="V89" s="63"/>
      <c r="W89" s="63">
        <v>186</v>
      </c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W89" s="5">
        <f>IF(Q89&gt;0,RANK(Q89,(N89:P89,Q89:AE89)),0)</f>
        <v>3</v>
      </c>
      <c r="AX89" s="5">
        <f>IF(R89&gt;0,RANK(R89,(N89:P89,Q89:AE89)),0)</f>
        <v>5</v>
      </c>
      <c r="AY89" s="5">
        <f>IF(T89&gt;0,RANK(T89,(N89:P89,Q89:AE89)),0)</f>
        <v>7</v>
      </c>
      <c r="AZ89" s="5">
        <f>IF(S89&gt;0,RANK(S89,(N89:P89,Q89:AE89)),0)</f>
        <v>6</v>
      </c>
      <c r="BA89" s="2">
        <f t="shared" si="32"/>
        <v>5.72818157254796E-2</v>
      </c>
      <c r="BB89" s="2">
        <f t="shared" si="33"/>
        <v>1.837341259119157E-2</v>
      </c>
      <c r="BC89" s="2">
        <f t="shared" si="34"/>
        <v>3.3774655498513915E-3</v>
      </c>
      <c r="BD89" s="2">
        <f t="shared" si="35"/>
        <v>5.1337476357741149E-3</v>
      </c>
      <c r="BF89" t="s">
        <v>2248</v>
      </c>
      <c r="BG89" t="s">
        <v>1326</v>
      </c>
      <c r="BH89">
        <v>1</v>
      </c>
      <c r="BJ89" s="114">
        <v>2</v>
      </c>
      <c r="BK89" s="116">
        <v>718</v>
      </c>
      <c r="BL89" s="120">
        <f t="shared" si="22"/>
        <v>2718</v>
      </c>
      <c r="BN89" s="5" t="s">
        <v>256</v>
      </c>
    </row>
    <row r="90" spans="1:66" hidden="1" outlineLevel="1">
      <c r="A90" t="s">
        <v>1056</v>
      </c>
      <c r="B90" t="s">
        <v>1326</v>
      </c>
      <c r="C90" s="1">
        <f t="shared" si="23"/>
        <v>4792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0</v>
      </c>
      <c r="G90" s="132">
        <f t="shared" si="26"/>
        <v>1033</v>
      </c>
      <c r="H90" s="137">
        <f t="shared" si="27"/>
        <v>0.21556761268781302</v>
      </c>
      <c r="I90" s="2"/>
      <c r="J90" s="2">
        <f t="shared" si="28"/>
        <v>0.5569699499165276</v>
      </c>
      <c r="K90" s="2">
        <f t="shared" si="29"/>
        <v>0.34140233722871455</v>
      </c>
      <c r="L90" s="2">
        <f t="shared" si="30"/>
        <v>0</v>
      </c>
      <c r="M90" s="2">
        <f t="shared" si="31"/>
        <v>0.10162771285475786</v>
      </c>
      <c r="N90" s="63">
        <v>2669</v>
      </c>
      <c r="O90" s="63">
        <v>1636</v>
      </c>
      <c r="P90" s="63"/>
      <c r="Q90" s="63">
        <v>190</v>
      </c>
      <c r="R90" s="63">
        <v>105</v>
      </c>
      <c r="S90" s="63">
        <v>73</v>
      </c>
      <c r="T90" s="63">
        <v>28</v>
      </c>
      <c r="U90" s="63"/>
      <c r="V90" s="63"/>
      <c r="W90" s="63">
        <v>91</v>
      </c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W90" s="5">
        <f>IF(Q90&gt;0,RANK(Q90,(N90:P90,Q90:AE90)),0)</f>
        <v>3</v>
      </c>
      <c r="AX90" s="5">
        <f>IF(R90&gt;0,RANK(R90,(N90:P90,Q90:AE90)),0)</f>
        <v>4</v>
      </c>
      <c r="AY90" s="5">
        <f>IF(T90&gt;0,RANK(T90,(N90:P90,Q90:AE90)),0)</f>
        <v>7</v>
      </c>
      <c r="AZ90" s="5">
        <f>IF(S90&gt;0,RANK(S90,(N90:P90,Q90:AE90)),0)</f>
        <v>6</v>
      </c>
      <c r="BA90" s="2">
        <f t="shared" si="32"/>
        <v>3.964941569282137E-2</v>
      </c>
      <c r="BB90" s="2">
        <f t="shared" si="33"/>
        <v>2.191151919866444E-2</v>
      </c>
      <c r="BC90" s="2">
        <f t="shared" si="34"/>
        <v>5.8430717863105176E-3</v>
      </c>
      <c r="BD90" s="2">
        <f t="shared" si="35"/>
        <v>1.5233722871452421E-2</v>
      </c>
      <c r="BF90" t="s">
        <v>1056</v>
      </c>
      <c r="BG90" t="s">
        <v>1326</v>
      </c>
      <c r="BH90">
        <v>1</v>
      </c>
      <c r="BJ90" s="114">
        <v>2</v>
      </c>
      <c r="BK90" s="116">
        <v>719</v>
      </c>
      <c r="BL90" s="120">
        <f t="shared" si="22"/>
        <v>2719</v>
      </c>
      <c r="BN90" s="5" t="s">
        <v>256</v>
      </c>
    </row>
    <row r="91" spans="1:66" hidden="1" outlineLevel="1">
      <c r="A91" t="s">
        <v>3194</v>
      </c>
      <c r="B91" t="s">
        <v>1326</v>
      </c>
      <c r="C91" s="1">
        <f t="shared" si="23"/>
        <v>7140</v>
      </c>
      <c r="D91" s="5">
        <f>IF(N91&gt;0, RANK(N91,(N91:P91,Q91:AE91)),0)</f>
        <v>1</v>
      </c>
      <c r="E91" s="5">
        <f>IF(O91&gt;0,RANK(O91,(N91:P91,Q91:AE91)),0)</f>
        <v>2</v>
      </c>
      <c r="F91" s="5">
        <f>IF(P91&gt;0,RANK(P91,(N91:P91,Q91:AE91)),0)</f>
        <v>0</v>
      </c>
      <c r="G91" s="132">
        <f t="shared" si="26"/>
        <v>1964</v>
      </c>
      <c r="H91" s="137">
        <f t="shared" si="27"/>
        <v>0.2750700280112045</v>
      </c>
      <c r="I91" s="2"/>
      <c r="J91" s="2">
        <f t="shared" si="28"/>
        <v>0.58137254901960789</v>
      </c>
      <c r="K91" s="2">
        <f t="shared" si="29"/>
        <v>0.30630252100840338</v>
      </c>
      <c r="L91" s="2">
        <f t="shared" si="30"/>
        <v>0</v>
      </c>
      <c r="M91" s="2">
        <f t="shared" si="31"/>
        <v>0.11232492997198873</v>
      </c>
      <c r="N91" s="63">
        <v>4151</v>
      </c>
      <c r="O91" s="63">
        <v>2187</v>
      </c>
      <c r="P91" s="63"/>
      <c r="Q91" s="63">
        <v>395</v>
      </c>
      <c r="R91" s="63">
        <v>134</v>
      </c>
      <c r="S91" s="63">
        <v>50</v>
      </c>
      <c r="T91" s="63">
        <v>22</v>
      </c>
      <c r="U91" s="63"/>
      <c r="V91" s="63"/>
      <c r="W91" s="63">
        <v>201</v>
      </c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W91" s="5">
        <f>IF(Q91&gt;0,RANK(Q91,(N91:P91,Q91:AE91)),0)</f>
        <v>3</v>
      </c>
      <c r="AX91" s="5">
        <f>IF(R91&gt;0,RANK(R91,(N91:P91,Q91:AE91)),0)</f>
        <v>5</v>
      </c>
      <c r="AY91" s="5">
        <f>IF(T91&gt;0,RANK(T91,(N91:P91,Q91:AE91)),0)</f>
        <v>7</v>
      </c>
      <c r="AZ91" s="5">
        <f>IF(S91&gt;0,RANK(S91,(N91:P91,Q91:AE91)),0)</f>
        <v>6</v>
      </c>
      <c r="BA91" s="2">
        <f t="shared" si="32"/>
        <v>5.5322128851540614E-2</v>
      </c>
      <c r="BB91" s="2">
        <f t="shared" si="33"/>
        <v>1.876750700280112E-2</v>
      </c>
      <c r="BC91" s="2">
        <f t="shared" si="34"/>
        <v>3.0812324929971988E-3</v>
      </c>
      <c r="BD91" s="2">
        <f t="shared" si="35"/>
        <v>7.0028011204481795E-3</v>
      </c>
      <c r="BF91" t="s">
        <v>3194</v>
      </c>
      <c r="BG91" t="s">
        <v>1326</v>
      </c>
      <c r="BH91">
        <v>1</v>
      </c>
      <c r="BJ91" s="114">
        <v>2</v>
      </c>
      <c r="BK91" s="116">
        <v>720</v>
      </c>
      <c r="BL91" s="120">
        <f t="shared" si="22"/>
        <v>2720</v>
      </c>
      <c r="BN91" s="5" t="s">
        <v>256</v>
      </c>
    </row>
    <row r="92" spans="1:66" hidden="1" outlineLevel="1">
      <c r="A92" t="s">
        <v>297</v>
      </c>
      <c r="B92" t="s">
        <v>1326</v>
      </c>
      <c r="C92" s="1">
        <f t="shared" si="23"/>
        <v>8647</v>
      </c>
      <c r="D92" s="5">
        <f>IF(N92&gt;0, RANK(N92,(N92:P92,Q92:AE92)),0)</f>
        <v>1</v>
      </c>
      <c r="E92" s="5">
        <f>IF(O92&gt;0,RANK(O92,(N92:P92,Q92:AE92)),0)</f>
        <v>2</v>
      </c>
      <c r="F92" s="5">
        <f>IF(P92&gt;0,RANK(P92,(N92:P92,Q92:AE92)),0)</f>
        <v>0</v>
      </c>
      <c r="G92" s="132">
        <f t="shared" si="26"/>
        <v>745</v>
      </c>
      <c r="H92" s="137">
        <f t="shared" si="27"/>
        <v>8.6157048687406035E-2</v>
      </c>
      <c r="I92" s="2"/>
      <c r="J92" s="2">
        <f t="shared" si="28"/>
        <v>0.48849311900080955</v>
      </c>
      <c r="K92" s="2">
        <f t="shared" si="29"/>
        <v>0.40233607031340352</v>
      </c>
      <c r="L92" s="2">
        <f t="shared" si="30"/>
        <v>0</v>
      </c>
      <c r="M92" s="2">
        <f t="shared" si="31"/>
        <v>0.10917081068578699</v>
      </c>
      <c r="N92" s="63">
        <v>4224</v>
      </c>
      <c r="O92" s="63">
        <v>3479</v>
      </c>
      <c r="P92" s="63"/>
      <c r="Q92" s="63">
        <v>526</v>
      </c>
      <c r="R92" s="63">
        <v>134</v>
      </c>
      <c r="S92" s="63">
        <v>43</v>
      </c>
      <c r="T92" s="63">
        <v>29</v>
      </c>
      <c r="U92" s="63"/>
      <c r="V92" s="63"/>
      <c r="W92" s="63">
        <v>212</v>
      </c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W92" s="5">
        <f>IF(Q92&gt;0,RANK(Q92,(N92:P92,Q92:AE92)),0)</f>
        <v>3</v>
      </c>
      <c r="AX92" s="5">
        <f>IF(R92&gt;0,RANK(R92,(N92:P92,Q92:AE92)),0)</f>
        <v>5</v>
      </c>
      <c r="AY92" s="5">
        <f>IF(T92&gt;0,RANK(T92,(N92:P92,Q92:AE92)),0)</f>
        <v>7</v>
      </c>
      <c r="AZ92" s="5">
        <f>IF(S92&gt;0,RANK(S92,(N92:P92,Q92:AE92)),0)</f>
        <v>6</v>
      </c>
      <c r="BA92" s="2">
        <f t="shared" si="32"/>
        <v>6.0830345784665202E-2</v>
      </c>
      <c r="BB92" s="2">
        <f t="shared" si="33"/>
        <v>1.5496704059211287E-2</v>
      </c>
      <c r="BC92" s="2">
        <f t="shared" si="34"/>
        <v>3.3537643113218459E-3</v>
      </c>
      <c r="BD92" s="2">
        <f t="shared" si="35"/>
        <v>4.972822944373771E-3</v>
      </c>
      <c r="BF92" t="s">
        <v>297</v>
      </c>
      <c r="BG92" t="s">
        <v>1326</v>
      </c>
      <c r="BH92">
        <v>1</v>
      </c>
      <c r="BJ92" s="114">
        <v>2</v>
      </c>
      <c r="BK92" s="116">
        <v>721</v>
      </c>
      <c r="BL92" s="120">
        <f t="shared" si="22"/>
        <v>2721</v>
      </c>
      <c r="BN92" s="5" t="s">
        <v>256</v>
      </c>
    </row>
    <row r="93" spans="1:66" hidden="1" outlineLevel="1">
      <c r="A93" t="s">
        <v>191</v>
      </c>
      <c r="B93" t="s">
        <v>1326</v>
      </c>
      <c r="C93" s="1">
        <f t="shared" si="23"/>
        <v>8372</v>
      </c>
      <c r="D93" s="5">
        <f>IF(N93&gt;0, RANK(N93,(N93:P93,Q93:AE93)),0)</f>
        <v>2</v>
      </c>
      <c r="E93" s="5">
        <f>IF(O93&gt;0,RANK(O93,(N93:P93,Q93:AE93)),0)</f>
        <v>1</v>
      </c>
      <c r="F93" s="5">
        <f>IF(P93&gt;0,RANK(P93,(N93:P93,Q93:AE93)),0)</f>
        <v>0</v>
      </c>
      <c r="G93" s="132">
        <f t="shared" si="26"/>
        <v>933</v>
      </c>
      <c r="H93" s="137">
        <f t="shared" si="27"/>
        <v>0.11144290492116579</v>
      </c>
      <c r="I93" s="2"/>
      <c r="J93" s="2">
        <f t="shared" si="28"/>
        <v>0.39058767319636883</v>
      </c>
      <c r="K93" s="2">
        <f t="shared" si="29"/>
        <v>0.5020305781175346</v>
      </c>
      <c r="L93" s="2">
        <f t="shared" si="30"/>
        <v>0</v>
      </c>
      <c r="M93" s="2">
        <f t="shared" si="31"/>
        <v>0.10738174868609651</v>
      </c>
      <c r="N93" s="63">
        <v>3270</v>
      </c>
      <c r="O93" s="63">
        <v>4203</v>
      </c>
      <c r="P93" s="63"/>
      <c r="Q93" s="63">
        <v>446</v>
      </c>
      <c r="R93" s="63">
        <v>121</v>
      </c>
      <c r="S93" s="63">
        <v>47</v>
      </c>
      <c r="T93" s="63">
        <v>40</v>
      </c>
      <c r="U93" s="63"/>
      <c r="V93" s="63"/>
      <c r="W93" s="63">
        <v>245</v>
      </c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W93" s="5">
        <f>IF(Q93&gt;0,RANK(Q93,(N93:P93,Q93:AE93)),0)</f>
        <v>3</v>
      </c>
      <c r="AX93" s="5">
        <f>IF(R93&gt;0,RANK(R93,(N93:P93,Q93:AE93)),0)</f>
        <v>5</v>
      </c>
      <c r="AY93" s="5">
        <f>IF(T93&gt;0,RANK(T93,(N93:P93,Q93:AE93)),0)</f>
        <v>7</v>
      </c>
      <c r="AZ93" s="5">
        <f>IF(S93&gt;0,RANK(S93,(N93:P93,Q93:AE93)),0)</f>
        <v>6</v>
      </c>
      <c r="BA93" s="2">
        <f t="shared" si="32"/>
        <v>5.327281414237936E-2</v>
      </c>
      <c r="BB93" s="2">
        <f t="shared" si="33"/>
        <v>1.4452938365981844E-2</v>
      </c>
      <c r="BC93" s="2">
        <f t="shared" si="34"/>
        <v>4.7778308647873869E-3</v>
      </c>
      <c r="BD93" s="2">
        <f t="shared" si="35"/>
        <v>5.613951266125179E-3</v>
      </c>
      <c r="BF93" t="s">
        <v>191</v>
      </c>
      <c r="BG93" t="s">
        <v>1326</v>
      </c>
      <c r="BH93">
        <v>1</v>
      </c>
      <c r="BJ93" s="114">
        <v>2</v>
      </c>
      <c r="BK93" s="116">
        <v>722</v>
      </c>
      <c r="BL93" s="120">
        <f t="shared" si="22"/>
        <v>2722</v>
      </c>
      <c r="BN93" s="5" t="s">
        <v>256</v>
      </c>
    </row>
    <row r="94" spans="1:66" hidden="1" outlineLevel="1">
      <c r="A94" t="s">
        <v>1855</v>
      </c>
      <c r="B94" t="s">
        <v>1326</v>
      </c>
      <c r="C94" s="1">
        <f t="shared" si="23"/>
        <v>6924</v>
      </c>
      <c r="D94" s="5">
        <f>IF(N94&gt;0, RANK(N94,(N94:P94,Q94:AE94)),0)</f>
        <v>2</v>
      </c>
      <c r="E94" s="5">
        <f>IF(O94&gt;0,RANK(O94,(N94:P94,Q94:AE94)),0)</f>
        <v>1</v>
      </c>
      <c r="F94" s="5">
        <f>IF(P94&gt;0,RANK(P94,(N94:P94,Q94:AE94)),0)</f>
        <v>0</v>
      </c>
      <c r="G94" s="132">
        <f t="shared" si="26"/>
        <v>352</v>
      </c>
      <c r="H94" s="137">
        <f t="shared" si="27"/>
        <v>5.0837666088965915E-2</v>
      </c>
      <c r="I94" s="2"/>
      <c r="J94" s="2">
        <f t="shared" si="28"/>
        <v>0.41796649335644137</v>
      </c>
      <c r="K94" s="2">
        <f t="shared" si="29"/>
        <v>0.46880415944540726</v>
      </c>
      <c r="L94" s="2">
        <f t="shared" si="30"/>
        <v>0</v>
      </c>
      <c r="M94" s="2">
        <f t="shared" si="31"/>
        <v>0.11322934719815142</v>
      </c>
      <c r="N94" s="63">
        <v>2894</v>
      </c>
      <c r="O94" s="63">
        <v>3246</v>
      </c>
      <c r="P94" s="63"/>
      <c r="Q94" s="63">
        <v>424</v>
      </c>
      <c r="R94" s="63">
        <v>108</v>
      </c>
      <c r="S94" s="63">
        <v>69</v>
      </c>
      <c r="T94" s="63">
        <v>31</v>
      </c>
      <c r="U94" s="63"/>
      <c r="V94" s="63"/>
      <c r="W94" s="63">
        <v>152</v>
      </c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W94" s="5">
        <f>IF(Q94&gt;0,RANK(Q94,(N94:P94,Q94:AE94)),0)</f>
        <v>3</v>
      </c>
      <c r="AX94" s="5">
        <f>IF(R94&gt;0,RANK(R94,(N94:P94,Q94:AE94)),0)</f>
        <v>5</v>
      </c>
      <c r="AY94" s="5">
        <f>IF(T94&gt;0,RANK(T94,(N94:P94,Q94:AE94)),0)</f>
        <v>7</v>
      </c>
      <c r="AZ94" s="5">
        <f>IF(S94&gt;0,RANK(S94,(N94:P94,Q94:AE94)),0)</f>
        <v>6</v>
      </c>
      <c r="BA94" s="2">
        <f t="shared" si="32"/>
        <v>6.1236279607163491E-2</v>
      </c>
      <c r="BB94" s="2">
        <f t="shared" si="33"/>
        <v>1.5597920277296361E-2</v>
      </c>
      <c r="BC94" s="2">
        <f t="shared" si="34"/>
        <v>4.4771808203350662E-3</v>
      </c>
      <c r="BD94" s="2">
        <f t="shared" si="35"/>
        <v>9.9653379549393406E-3</v>
      </c>
      <c r="BF94" t="s">
        <v>1855</v>
      </c>
      <c r="BG94" t="s">
        <v>1326</v>
      </c>
      <c r="BH94">
        <v>1</v>
      </c>
      <c r="BJ94" s="114">
        <v>2</v>
      </c>
      <c r="BK94" s="116">
        <v>723</v>
      </c>
      <c r="BL94" s="120">
        <f t="shared" si="22"/>
        <v>2723</v>
      </c>
      <c r="BN94" s="5" t="s">
        <v>256</v>
      </c>
    </row>
    <row r="95" spans="1:66" hidden="1" outlineLevel="1">
      <c r="A95" t="s">
        <v>641</v>
      </c>
      <c r="B95" t="s">
        <v>1326</v>
      </c>
      <c r="C95" s="1">
        <f t="shared" si="23"/>
        <v>9290</v>
      </c>
      <c r="D95" s="5">
        <f>IF(N95&gt;0, RANK(N95,(N95:P95,Q95:AE95)),0)</f>
        <v>2</v>
      </c>
      <c r="E95" s="5">
        <f>IF(O95&gt;0,RANK(O95,(N95:P95,Q95:AE95)),0)</f>
        <v>1</v>
      </c>
      <c r="F95" s="5">
        <f>IF(P95&gt;0,RANK(P95,(N95:P95,Q95:AE95)),0)</f>
        <v>0</v>
      </c>
      <c r="G95" s="132">
        <f t="shared" si="26"/>
        <v>1131</v>
      </c>
      <c r="H95" s="137">
        <f t="shared" si="27"/>
        <v>0.1217438105489774</v>
      </c>
      <c r="I95" s="2"/>
      <c r="J95" s="2">
        <f t="shared" si="28"/>
        <v>0.3851453175457481</v>
      </c>
      <c r="K95" s="2">
        <f t="shared" si="29"/>
        <v>0.50688912809472553</v>
      </c>
      <c r="L95" s="2">
        <f t="shared" si="30"/>
        <v>0</v>
      </c>
      <c r="M95" s="2">
        <f t="shared" si="31"/>
        <v>0.10796555435952637</v>
      </c>
      <c r="N95" s="63">
        <v>3578</v>
      </c>
      <c r="O95" s="63">
        <v>4709</v>
      </c>
      <c r="P95" s="63"/>
      <c r="Q95" s="63">
        <v>574</v>
      </c>
      <c r="R95" s="63">
        <v>118</v>
      </c>
      <c r="S95" s="63">
        <v>58</v>
      </c>
      <c r="T95" s="63">
        <v>20</v>
      </c>
      <c r="U95" s="63"/>
      <c r="V95" s="63"/>
      <c r="W95" s="63">
        <v>233</v>
      </c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W95" s="5">
        <f>IF(Q95&gt;0,RANK(Q95,(N95:P95,Q95:AE95)),0)</f>
        <v>3</v>
      </c>
      <c r="AX95" s="5">
        <f>IF(R95&gt;0,RANK(R95,(N95:P95,Q95:AE95)),0)</f>
        <v>5</v>
      </c>
      <c r="AY95" s="5">
        <f>IF(T95&gt;0,RANK(T95,(N95:P95,Q95:AE95)),0)</f>
        <v>7</v>
      </c>
      <c r="AZ95" s="5">
        <f>IF(S95&gt;0,RANK(S95,(N95:P95,Q95:AE95)),0)</f>
        <v>6</v>
      </c>
      <c r="BA95" s="2">
        <f t="shared" si="32"/>
        <v>6.1786867599569431E-2</v>
      </c>
      <c r="BB95" s="2">
        <f t="shared" si="33"/>
        <v>1.2701829924650162E-2</v>
      </c>
      <c r="BC95" s="2">
        <f t="shared" si="34"/>
        <v>2.1528525296017221E-3</v>
      </c>
      <c r="BD95" s="2">
        <f t="shared" si="35"/>
        <v>6.2432723358449944E-3</v>
      </c>
      <c r="BF95" t="s">
        <v>641</v>
      </c>
      <c r="BG95" t="s">
        <v>1326</v>
      </c>
      <c r="BH95">
        <v>1</v>
      </c>
      <c r="BJ95" s="114">
        <v>2</v>
      </c>
      <c r="BK95" s="116">
        <v>724</v>
      </c>
      <c r="BL95" s="120">
        <f t="shared" si="22"/>
        <v>2724</v>
      </c>
      <c r="BN95" s="5" t="s">
        <v>256</v>
      </c>
    </row>
    <row r="96" spans="1:66" hidden="1" outlineLevel="1">
      <c r="A96" t="s">
        <v>734</v>
      </c>
      <c r="B96" t="s">
        <v>1326</v>
      </c>
      <c r="C96" s="1">
        <f t="shared" si="23"/>
        <v>8127</v>
      </c>
      <c r="D96" s="5">
        <f>IF(N96&gt;0, RANK(N96,(N96:P96,Q96:AE96)),0)</f>
        <v>2</v>
      </c>
      <c r="E96" s="5">
        <f>IF(O96&gt;0,RANK(O96,(N96:P96,Q96:AE96)),0)</f>
        <v>1</v>
      </c>
      <c r="F96" s="5">
        <f>IF(P96&gt;0,RANK(P96,(N96:P96,Q96:AE96)),0)</f>
        <v>0</v>
      </c>
      <c r="G96" s="132">
        <f t="shared" si="26"/>
        <v>438</v>
      </c>
      <c r="H96" s="137">
        <f t="shared" si="27"/>
        <v>5.3894425987449243E-2</v>
      </c>
      <c r="I96" s="2"/>
      <c r="J96" s="2">
        <f t="shared" si="28"/>
        <v>0.41565153193060173</v>
      </c>
      <c r="K96" s="2">
        <f t="shared" si="29"/>
        <v>0.46954595791805093</v>
      </c>
      <c r="L96" s="2">
        <f t="shared" si="30"/>
        <v>0</v>
      </c>
      <c r="M96" s="2">
        <f t="shared" si="31"/>
        <v>0.11480251015134729</v>
      </c>
      <c r="N96" s="63">
        <v>3378</v>
      </c>
      <c r="O96" s="63">
        <v>3816</v>
      </c>
      <c r="P96" s="63"/>
      <c r="Q96" s="63">
        <v>521</v>
      </c>
      <c r="R96" s="63">
        <v>121</v>
      </c>
      <c r="S96" s="63">
        <v>67</v>
      </c>
      <c r="T96" s="63">
        <v>31</v>
      </c>
      <c r="U96" s="63"/>
      <c r="V96" s="63"/>
      <c r="W96" s="63">
        <v>193</v>
      </c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W96" s="5">
        <f>IF(Q96&gt;0,RANK(Q96,(N96:P96,Q96:AE96)),0)</f>
        <v>3</v>
      </c>
      <c r="AX96" s="5">
        <f>IF(R96&gt;0,RANK(R96,(N96:P96,Q96:AE96)),0)</f>
        <v>5</v>
      </c>
      <c r="AY96" s="5">
        <f>IF(T96&gt;0,RANK(T96,(N96:P96,Q96:AE96)),0)</f>
        <v>7</v>
      </c>
      <c r="AZ96" s="5">
        <f>IF(S96&gt;0,RANK(S96,(N96:P96,Q96:AE96)),0)</f>
        <v>6</v>
      </c>
      <c r="BA96" s="2">
        <f t="shared" si="32"/>
        <v>6.41072966654362E-2</v>
      </c>
      <c r="BB96" s="2">
        <f t="shared" si="33"/>
        <v>1.488864279561954E-2</v>
      </c>
      <c r="BC96" s="2">
        <f t="shared" si="34"/>
        <v>3.8144456749107914E-3</v>
      </c>
      <c r="BD96" s="2">
        <f t="shared" si="35"/>
        <v>8.2441245231942902E-3</v>
      </c>
      <c r="BF96" t="s">
        <v>734</v>
      </c>
      <c r="BG96" t="s">
        <v>1326</v>
      </c>
      <c r="BH96">
        <v>1</v>
      </c>
      <c r="BJ96" s="114">
        <v>2</v>
      </c>
      <c r="BK96" s="116">
        <v>725</v>
      </c>
      <c r="BL96" s="120">
        <f t="shared" si="22"/>
        <v>2725</v>
      </c>
      <c r="BN96" s="5" t="s">
        <v>256</v>
      </c>
    </row>
    <row r="97" spans="1:66" hidden="1" outlineLevel="1">
      <c r="A97" t="s">
        <v>2726</v>
      </c>
      <c r="B97" t="s">
        <v>1326</v>
      </c>
      <c r="C97" s="1">
        <f t="shared" si="23"/>
        <v>8905</v>
      </c>
      <c r="D97" s="5">
        <f>IF(N97&gt;0, RANK(N97,(N97:P97,Q97:AE97)),0)</f>
        <v>2</v>
      </c>
      <c r="E97" s="5">
        <f>IF(O97&gt;0,RANK(O97,(N97:P97,Q97:AE97)),0)</f>
        <v>1</v>
      </c>
      <c r="F97" s="5">
        <f>IF(P97&gt;0,RANK(P97,(N97:P97,Q97:AE97)),0)</f>
        <v>0</v>
      </c>
      <c r="G97" s="132">
        <f t="shared" si="26"/>
        <v>1174</v>
      </c>
      <c r="H97" s="137">
        <f t="shared" si="27"/>
        <v>0.13183604716451433</v>
      </c>
      <c r="I97" s="2"/>
      <c r="J97" s="2">
        <f t="shared" si="28"/>
        <v>0.37888826501965189</v>
      </c>
      <c r="K97" s="2">
        <f t="shared" si="29"/>
        <v>0.51072431218416625</v>
      </c>
      <c r="L97" s="2">
        <f t="shared" si="30"/>
        <v>0</v>
      </c>
      <c r="M97" s="2">
        <f t="shared" si="31"/>
        <v>0.11038742279618186</v>
      </c>
      <c r="N97" s="63">
        <v>3374</v>
      </c>
      <c r="O97" s="63">
        <v>4548</v>
      </c>
      <c r="P97" s="63"/>
      <c r="Q97" s="63">
        <v>536</v>
      </c>
      <c r="R97" s="63">
        <v>108</v>
      </c>
      <c r="S97" s="63">
        <v>65</v>
      </c>
      <c r="T97" s="63">
        <v>26</v>
      </c>
      <c r="U97" s="63"/>
      <c r="V97" s="63"/>
      <c r="W97" s="63">
        <v>248</v>
      </c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W97" s="5">
        <f>IF(Q97&gt;0,RANK(Q97,(N97:P97,Q97:AE97)),0)</f>
        <v>3</v>
      </c>
      <c r="AX97" s="5">
        <f>IF(R97&gt;0,RANK(R97,(N97:P97,Q97:AE97)),0)</f>
        <v>5</v>
      </c>
      <c r="AY97" s="5">
        <f>IF(T97&gt;0,RANK(T97,(N97:P97,Q97:AE97)),0)</f>
        <v>7</v>
      </c>
      <c r="AZ97" s="5">
        <f>IF(S97&gt;0,RANK(S97,(N97:P97,Q97:AE97)),0)</f>
        <v>6</v>
      </c>
      <c r="BA97" s="2">
        <f t="shared" si="32"/>
        <v>6.0190903986524422E-2</v>
      </c>
      <c r="BB97" s="2">
        <f t="shared" si="33"/>
        <v>1.2128017967434027E-2</v>
      </c>
      <c r="BC97" s="2">
        <f t="shared" si="34"/>
        <v>2.9197080291970801E-3</v>
      </c>
      <c r="BD97" s="2">
        <f t="shared" si="35"/>
        <v>7.2992700729927005E-3</v>
      </c>
      <c r="BF97" t="s">
        <v>2726</v>
      </c>
      <c r="BG97" t="s">
        <v>1326</v>
      </c>
      <c r="BH97">
        <v>1</v>
      </c>
      <c r="BJ97" s="114">
        <v>2</v>
      </c>
      <c r="BK97" s="116">
        <v>726</v>
      </c>
      <c r="BL97" s="120">
        <f t="shared" si="22"/>
        <v>2726</v>
      </c>
      <c r="BN97" s="5" t="s">
        <v>256</v>
      </c>
    </row>
    <row r="98" spans="1:66" hidden="1" outlineLevel="1">
      <c r="A98" t="s">
        <v>2529</v>
      </c>
      <c r="B98" t="s">
        <v>1326</v>
      </c>
      <c r="C98" s="1">
        <f t="shared" si="23"/>
        <v>8783</v>
      </c>
      <c r="D98" s="5">
        <f>IF(N98&gt;0, RANK(N98,(N98:P98,Q98:AE98)),0)</f>
        <v>2</v>
      </c>
      <c r="E98" s="5">
        <f>IF(O98&gt;0,RANK(O98,(N98:P98,Q98:AE98)),0)</f>
        <v>1</v>
      </c>
      <c r="F98" s="5">
        <f>IF(P98&gt;0,RANK(P98,(N98:P98,Q98:AE98)),0)</f>
        <v>0</v>
      </c>
      <c r="G98" s="132">
        <f t="shared" si="26"/>
        <v>356</v>
      </c>
      <c r="H98" s="137">
        <f t="shared" si="27"/>
        <v>4.0532847546396446E-2</v>
      </c>
      <c r="I98" s="2"/>
      <c r="J98" s="2">
        <f t="shared" si="28"/>
        <v>0.42457019241716953</v>
      </c>
      <c r="K98" s="2">
        <f t="shared" si="29"/>
        <v>0.465103039963566</v>
      </c>
      <c r="L98" s="2">
        <f t="shared" si="30"/>
        <v>0</v>
      </c>
      <c r="M98" s="2">
        <f t="shared" si="31"/>
        <v>0.11032676761926447</v>
      </c>
      <c r="N98" s="63">
        <v>3729</v>
      </c>
      <c r="O98" s="63">
        <v>4085</v>
      </c>
      <c r="P98" s="63"/>
      <c r="Q98" s="63">
        <v>489</v>
      </c>
      <c r="R98" s="63">
        <v>139</v>
      </c>
      <c r="S98" s="63">
        <v>66</v>
      </c>
      <c r="T98" s="63">
        <v>38</v>
      </c>
      <c r="U98" s="63"/>
      <c r="V98" s="63"/>
      <c r="W98" s="63">
        <v>237</v>
      </c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W98" s="5">
        <f>IF(Q98&gt;0,RANK(Q98,(N98:P98,Q98:AE98)),0)</f>
        <v>3</v>
      </c>
      <c r="AX98" s="5">
        <f>IF(R98&gt;0,RANK(R98,(N98:P98,Q98:AE98)),0)</f>
        <v>5</v>
      </c>
      <c r="AY98" s="5">
        <f>IF(T98&gt;0,RANK(T98,(N98:P98,Q98:AE98)),0)</f>
        <v>7</v>
      </c>
      <c r="AZ98" s="5">
        <f>IF(S98&gt;0,RANK(S98,(N98:P98,Q98:AE98)),0)</f>
        <v>6</v>
      </c>
      <c r="BA98" s="2">
        <f t="shared" si="32"/>
        <v>5.5675737219628825E-2</v>
      </c>
      <c r="BB98" s="2">
        <f t="shared" si="33"/>
        <v>1.5826027553227828E-2</v>
      </c>
      <c r="BC98" s="2">
        <f t="shared" si="34"/>
        <v>4.3265399066378229E-3</v>
      </c>
      <c r="BD98" s="2">
        <f t="shared" si="35"/>
        <v>7.5145166799499034E-3</v>
      </c>
      <c r="BF98" t="s">
        <v>2529</v>
      </c>
      <c r="BG98" t="s">
        <v>1326</v>
      </c>
      <c r="BH98">
        <v>1</v>
      </c>
      <c r="BJ98" s="114">
        <v>2</v>
      </c>
      <c r="BK98" s="116">
        <v>727</v>
      </c>
      <c r="BL98" s="120">
        <f t="shared" si="22"/>
        <v>2727</v>
      </c>
      <c r="BN98" s="5" t="s">
        <v>256</v>
      </c>
    </row>
    <row r="99" spans="1:66" hidden="1" outlineLevel="1">
      <c r="A99" t="s">
        <v>2633</v>
      </c>
      <c r="B99" t="s">
        <v>1326</v>
      </c>
      <c r="C99" s="1">
        <f t="shared" si="23"/>
        <v>11427</v>
      </c>
      <c r="D99" s="5">
        <f>IF(N99&gt;0, RANK(N99,(N99:P99,Q99:AE99)),0)</f>
        <v>2</v>
      </c>
      <c r="E99" s="5">
        <f>IF(O99&gt;0,RANK(O99,(N99:P99,Q99:AE99)),0)</f>
        <v>1</v>
      </c>
      <c r="F99" s="5">
        <f>IF(P99&gt;0,RANK(P99,(N99:P99,Q99:AE99)),0)</f>
        <v>0</v>
      </c>
      <c r="G99" s="132">
        <f t="shared" si="26"/>
        <v>674</v>
      </c>
      <c r="H99" s="137">
        <f t="shared" si="27"/>
        <v>5.8983110177649428E-2</v>
      </c>
      <c r="I99" s="2"/>
      <c r="J99" s="2">
        <f t="shared" si="28"/>
        <v>0.41559464426358622</v>
      </c>
      <c r="K99" s="2">
        <f t="shared" si="29"/>
        <v>0.47457775444123568</v>
      </c>
      <c r="L99" s="2">
        <f t="shared" si="30"/>
        <v>0</v>
      </c>
      <c r="M99" s="2">
        <f t="shared" si="31"/>
        <v>0.10982760129517805</v>
      </c>
      <c r="N99" s="63">
        <v>4749</v>
      </c>
      <c r="O99" s="63">
        <v>5423</v>
      </c>
      <c r="P99" s="63"/>
      <c r="Q99" s="63">
        <v>696</v>
      </c>
      <c r="R99" s="63">
        <v>143</v>
      </c>
      <c r="S99" s="63">
        <v>61</v>
      </c>
      <c r="T99" s="63">
        <v>29</v>
      </c>
      <c r="U99" s="63"/>
      <c r="V99" s="63"/>
      <c r="W99" s="63">
        <v>326</v>
      </c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W99" s="5">
        <f>IF(Q99&gt;0,RANK(Q99,(N99:P99,Q99:AE99)),0)</f>
        <v>3</v>
      </c>
      <c r="AX99" s="5">
        <f>IF(R99&gt;0,RANK(R99,(N99:P99,Q99:AE99)),0)</f>
        <v>5</v>
      </c>
      <c r="AY99" s="5">
        <f>IF(T99&gt;0,RANK(T99,(N99:P99,Q99:AE99)),0)</f>
        <v>7</v>
      </c>
      <c r="AZ99" s="5">
        <f>IF(S99&gt;0,RANK(S99,(N99:P99,Q99:AE99)),0)</f>
        <v>6</v>
      </c>
      <c r="BA99" s="2">
        <f t="shared" si="32"/>
        <v>6.0908374901548962E-2</v>
      </c>
      <c r="BB99" s="2">
        <f t="shared" si="33"/>
        <v>1.2514220705346985E-2</v>
      </c>
      <c r="BC99" s="2">
        <f t="shared" si="34"/>
        <v>2.5378489542312067E-3</v>
      </c>
      <c r="BD99" s="2">
        <f t="shared" si="35"/>
        <v>5.3382340071759871E-3</v>
      </c>
      <c r="BF99" t="s">
        <v>2633</v>
      </c>
      <c r="BG99" t="s">
        <v>1326</v>
      </c>
      <c r="BH99">
        <v>1</v>
      </c>
      <c r="BJ99" s="114">
        <v>2</v>
      </c>
      <c r="BK99" s="116">
        <v>728</v>
      </c>
      <c r="BL99" s="120">
        <f t="shared" si="22"/>
        <v>2728</v>
      </c>
      <c r="BN99" s="5" t="s">
        <v>256</v>
      </c>
    </row>
    <row r="100" spans="1:66" hidden="1" outlineLevel="1">
      <c r="A100" t="s">
        <v>2767</v>
      </c>
      <c r="B100" t="s">
        <v>1326</v>
      </c>
      <c r="C100" s="1">
        <f t="shared" si="23"/>
        <v>9394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0</v>
      </c>
      <c r="G100" s="132">
        <f t="shared" si="26"/>
        <v>4246</v>
      </c>
      <c r="H100" s="137">
        <f t="shared" si="27"/>
        <v>0.45199063231850117</v>
      </c>
      <c r="I100" s="2"/>
      <c r="J100" s="2">
        <f t="shared" si="28"/>
        <v>0.22365339578454332</v>
      </c>
      <c r="K100" s="2">
        <f t="shared" si="29"/>
        <v>0.67564402810304447</v>
      </c>
      <c r="L100" s="2">
        <f t="shared" si="30"/>
        <v>0</v>
      </c>
      <c r="M100" s="2">
        <f t="shared" si="31"/>
        <v>0.10070257611241218</v>
      </c>
      <c r="N100" s="63">
        <v>2101</v>
      </c>
      <c r="O100" s="63">
        <v>6347</v>
      </c>
      <c r="P100" s="63"/>
      <c r="Q100" s="63">
        <v>463</v>
      </c>
      <c r="R100" s="63">
        <v>136</v>
      </c>
      <c r="S100" s="63">
        <v>85</v>
      </c>
      <c r="T100" s="63">
        <v>34</v>
      </c>
      <c r="U100" s="63"/>
      <c r="V100" s="63"/>
      <c r="W100" s="63">
        <v>228</v>
      </c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W100" s="5">
        <f>IF(Q100&gt;0,RANK(Q100,(N100:P100,Q100:AE100)),0)</f>
        <v>3</v>
      </c>
      <c r="AX100" s="5">
        <f>IF(R100&gt;0,RANK(R100,(N100:P100,Q100:AE100)),0)</f>
        <v>5</v>
      </c>
      <c r="AY100" s="5">
        <f>IF(T100&gt;0,RANK(T100,(N100:P100,Q100:AE100)),0)</f>
        <v>7</v>
      </c>
      <c r="AZ100" s="5">
        <f>IF(S100&gt;0,RANK(S100,(N100:P100,Q100:AE100)),0)</f>
        <v>6</v>
      </c>
      <c r="BA100" s="2">
        <f t="shared" si="32"/>
        <v>4.9286778794975519E-2</v>
      </c>
      <c r="BB100" s="2">
        <f t="shared" si="33"/>
        <v>1.4477325952735789E-2</v>
      </c>
      <c r="BC100" s="2">
        <f t="shared" si="34"/>
        <v>3.6193314881839472E-3</v>
      </c>
      <c r="BD100" s="2">
        <f t="shared" si="35"/>
        <v>9.0483287204598684E-3</v>
      </c>
      <c r="BF100" t="s">
        <v>2767</v>
      </c>
      <c r="BG100" t="s">
        <v>1326</v>
      </c>
      <c r="BH100">
        <v>1</v>
      </c>
      <c r="BJ100" s="114">
        <v>2</v>
      </c>
      <c r="BK100" s="116">
        <v>729</v>
      </c>
      <c r="BL100" s="120">
        <f t="shared" si="22"/>
        <v>2729</v>
      </c>
      <c r="BN100" s="5" t="s">
        <v>256</v>
      </c>
    </row>
    <row r="101" spans="1:66" hidden="1" outlineLevel="1">
      <c r="A101" t="s">
        <v>1241</v>
      </c>
      <c r="B101" t="s">
        <v>1326</v>
      </c>
      <c r="C101" s="1">
        <f t="shared" si="23"/>
        <v>8950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0</v>
      </c>
      <c r="G101" s="132">
        <f t="shared" si="26"/>
        <v>4378</v>
      </c>
      <c r="H101" s="137">
        <f t="shared" si="27"/>
        <v>0.48916201117318436</v>
      </c>
      <c r="I101" s="2"/>
      <c r="J101" s="2">
        <f t="shared" si="28"/>
        <v>0.20290502793296089</v>
      </c>
      <c r="K101" s="2">
        <f t="shared" si="29"/>
        <v>0.6920670391061452</v>
      </c>
      <c r="L101" s="2">
        <f t="shared" si="30"/>
        <v>0</v>
      </c>
      <c r="M101" s="2">
        <f t="shared" si="31"/>
        <v>0.10502793296089385</v>
      </c>
      <c r="N101" s="63">
        <v>1816</v>
      </c>
      <c r="O101" s="63">
        <v>6194</v>
      </c>
      <c r="P101" s="63"/>
      <c r="Q101" s="63">
        <v>502</v>
      </c>
      <c r="R101" s="63">
        <v>128</v>
      </c>
      <c r="S101" s="63">
        <v>87</v>
      </c>
      <c r="T101" s="63">
        <v>28</v>
      </c>
      <c r="U101" s="63"/>
      <c r="V101" s="63"/>
      <c r="W101" s="63">
        <v>195</v>
      </c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W101" s="5">
        <f>IF(Q101&gt;0,RANK(Q101,(N101:P101,Q101:AE101)),0)</f>
        <v>3</v>
      </c>
      <c r="AX101" s="5">
        <f>IF(R101&gt;0,RANK(R101,(N101:P101,Q101:AE101)),0)</f>
        <v>5</v>
      </c>
      <c r="AY101" s="5">
        <f>IF(T101&gt;0,RANK(T101,(N101:P101,Q101:AE101)),0)</f>
        <v>7</v>
      </c>
      <c r="AZ101" s="5">
        <f>IF(S101&gt;0,RANK(S101,(N101:P101,Q101:AE101)),0)</f>
        <v>6</v>
      </c>
      <c r="BA101" s="2">
        <f t="shared" si="32"/>
        <v>5.6089385474860337E-2</v>
      </c>
      <c r="BB101" s="2">
        <f t="shared" si="33"/>
        <v>1.4301675977653631E-2</v>
      </c>
      <c r="BC101" s="2">
        <f t="shared" si="34"/>
        <v>3.1284916201117317E-3</v>
      </c>
      <c r="BD101" s="2">
        <f t="shared" si="35"/>
        <v>9.720670391061453E-3</v>
      </c>
      <c r="BF101" t="s">
        <v>1241</v>
      </c>
      <c r="BG101" t="s">
        <v>1326</v>
      </c>
      <c r="BH101">
        <v>1</v>
      </c>
      <c r="BJ101" s="114">
        <v>2</v>
      </c>
      <c r="BK101" s="116">
        <v>730</v>
      </c>
      <c r="BL101" s="120">
        <f t="shared" si="22"/>
        <v>2730</v>
      </c>
      <c r="BN101" s="5" t="s">
        <v>256</v>
      </c>
    </row>
    <row r="102" spans="1:66" hidden="1" outlineLevel="1">
      <c r="A102" t="s">
        <v>2235</v>
      </c>
      <c r="B102" t="s">
        <v>1326</v>
      </c>
      <c r="C102" s="1">
        <f t="shared" si="23"/>
        <v>10182</v>
      </c>
      <c r="D102" s="5">
        <f>IF(N102&gt;0, RANK(N102,(N102:P102,Q102:AE102)),0)</f>
        <v>2</v>
      </c>
      <c r="E102" s="5">
        <f>IF(O102&gt;0,RANK(O102,(N102:P102,Q102:AE102)),0)</f>
        <v>1</v>
      </c>
      <c r="F102" s="5">
        <f>IF(P102&gt;0,RANK(P102,(N102:P102,Q102:AE102)),0)</f>
        <v>0</v>
      </c>
      <c r="G102" s="132">
        <f t="shared" si="26"/>
        <v>2151</v>
      </c>
      <c r="H102" s="137">
        <f t="shared" si="27"/>
        <v>0.21125515615792576</v>
      </c>
      <c r="I102" s="2"/>
      <c r="J102" s="2">
        <f t="shared" si="28"/>
        <v>0.34040463563150658</v>
      </c>
      <c r="K102" s="2">
        <f t="shared" si="29"/>
        <v>0.55165979178943236</v>
      </c>
      <c r="L102" s="2">
        <f t="shared" si="30"/>
        <v>0</v>
      </c>
      <c r="M102" s="2">
        <f t="shared" si="31"/>
        <v>0.10793557257906106</v>
      </c>
      <c r="N102" s="63">
        <v>3466</v>
      </c>
      <c r="O102" s="63">
        <v>5617</v>
      </c>
      <c r="P102" s="63"/>
      <c r="Q102" s="63">
        <v>500</v>
      </c>
      <c r="R102" s="63">
        <v>252</v>
      </c>
      <c r="S102" s="63">
        <v>104</v>
      </c>
      <c r="T102" s="63">
        <v>32</v>
      </c>
      <c r="U102" s="63"/>
      <c r="V102" s="63"/>
      <c r="W102" s="63">
        <v>211</v>
      </c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W102" s="5">
        <f>IF(Q102&gt;0,RANK(Q102,(N102:P102,Q102:AE102)),0)</f>
        <v>3</v>
      </c>
      <c r="AX102" s="5">
        <f>IF(R102&gt;0,RANK(R102,(N102:P102,Q102:AE102)),0)</f>
        <v>4</v>
      </c>
      <c r="AY102" s="5">
        <f>IF(T102&gt;0,RANK(T102,(N102:P102,Q102:AE102)),0)</f>
        <v>7</v>
      </c>
      <c r="AZ102" s="5">
        <f>IF(S102&gt;0,RANK(S102,(N102:P102,Q102:AE102)),0)</f>
        <v>6</v>
      </c>
      <c r="BA102" s="2">
        <f t="shared" si="32"/>
        <v>4.910626595953644E-2</v>
      </c>
      <c r="BB102" s="2">
        <f t="shared" si="33"/>
        <v>2.4749558043606363E-2</v>
      </c>
      <c r="BC102" s="2">
        <f t="shared" si="34"/>
        <v>3.142801021410332E-3</v>
      </c>
      <c r="BD102" s="2">
        <f t="shared" si="35"/>
        <v>1.0214103319583579E-2</v>
      </c>
      <c r="BF102" t="s">
        <v>2235</v>
      </c>
      <c r="BG102" t="s">
        <v>1326</v>
      </c>
      <c r="BH102">
        <v>1</v>
      </c>
      <c r="BJ102" s="114">
        <v>2</v>
      </c>
      <c r="BK102" s="116">
        <v>731</v>
      </c>
      <c r="BL102" s="120">
        <f t="shared" si="22"/>
        <v>2731</v>
      </c>
      <c r="BN102" s="5" t="s">
        <v>256</v>
      </c>
    </row>
    <row r="103" spans="1:66" hidden="1" outlineLevel="1">
      <c r="A103" t="s">
        <v>1176</v>
      </c>
      <c r="B103" t="s">
        <v>1326</v>
      </c>
      <c r="C103" s="1">
        <f t="shared" si="23"/>
        <v>7472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>IF(P103&gt;0,RANK(P103,(N103:P103,Q103:AE103)),0)</f>
        <v>0</v>
      </c>
      <c r="G103" s="132">
        <f t="shared" si="26"/>
        <v>1063</v>
      </c>
      <c r="H103" s="137">
        <f t="shared" si="27"/>
        <v>0.14226445396145609</v>
      </c>
      <c r="I103" s="2"/>
      <c r="J103" s="2">
        <f t="shared" si="28"/>
        <v>0.36148286937901497</v>
      </c>
      <c r="K103" s="2">
        <f t="shared" si="29"/>
        <v>0.50374732334047112</v>
      </c>
      <c r="L103" s="2">
        <f t="shared" si="30"/>
        <v>0</v>
      </c>
      <c r="M103" s="2">
        <f t="shared" si="31"/>
        <v>0.13476980728051391</v>
      </c>
      <c r="N103" s="63">
        <v>2701</v>
      </c>
      <c r="O103" s="63">
        <v>3764</v>
      </c>
      <c r="P103" s="63"/>
      <c r="Q103" s="63">
        <v>519</v>
      </c>
      <c r="R103" s="63">
        <v>177</v>
      </c>
      <c r="S103" s="63">
        <v>83</v>
      </c>
      <c r="T103" s="63">
        <v>39</v>
      </c>
      <c r="U103" s="63"/>
      <c r="V103" s="63"/>
      <c r="W103" s="63">
        <v>189</v>
      </c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W103" s="5">
        <f>IF(Q103&gt;0,RANK(Q103,(N103:P103,Q103:AE103)),0)</f>
        <v>3</v>
      </c>
      <c r="AX103" s="5">
        <f>IF(R103&gt;0,RANK(R103,(N103:P103,Q103:AE103)),0)</f>
        <v>5</v>
      </c>
      <c r="AY103" s="5">
        <f>IF(T103&gt;0,RANK(T103,(N103:P103,Q103:AE103)),0)</f>
        <v>7</v>
      </c>
      <c r="AZ103" s="5">
        <f>IF(S103&gt;0,RANK(S103,(N103:P103,Q103:AE103)),0)</f>
        <v>6</v>
      </c>
      <c r="BA103" s="2">
        <f t="shared" si="32"/>
        <v>6.9459314775160597E-2</v>
      </c>
      <c r="BB103" s="2">
        <f t="shared" si="33"/>
        <v>2.3688436830835116E-2</v>
      </c>
      <c r="BC103" s="2">
        <f t="shared" si="34"/>
        <v>5.2194860813704501E-3</v>
      </c>
      <c r="BD103" s="2">
        <f t="shared" si="35"/>
        <v>1.1108137044967881E-2</v>
      </c>
      <c r="BF103" t="s">
        <v>1176</v>
      </c>
      <c r="BG103" t="s">
        <v>1326</v>
      </c>
      <c r="BH103">
        <v>1</v>
      </c>
      <c r="BJ103" s="114">
        <v>2</v>
      </c>
      <c r="BK103" s="116">
        <v>732</v>
      </c>
      <c r="BL103" s="120">
        <f t="shared" si="22"/>
        <v>2732</v>
      </c>
      <c r="BN103" s="5" t="s">
        <v>256</v>
      </c>
    </row>
    <row r="104" spans="1:66" hidden="1" outlineLevel="1">
      <c r="A104" t="s">
        <v>1359</v>
      </c>
      <c r="B104" t="s">
        <v>1326</v>
      </c>
      <c r="C104" s="1">
        <f t="shared" si="23"/>
        <v>9934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>IF(P104&gt;0,RANK(P104,(N104:P104,Q104:AE104)),0)</f>
        <v>0</v>
      </c>
      <c r="G104" s="132">
        <f t="shared" si="26"/>
        <v>3246</v>
      </c>
      <c r="H104" s="137">
        <f t="shared" si="27"/>
        <v>0.32675659351721359</v>
      </c>
      <c r="I104" s="2"/>
      <c r="J104" s="2">
        <f t="shared" si="28"/>
        <v>0.60177169317495471</v>
      </c>
      <c r="K104" s="2">
        <f t="shared" si="29"/>
        <v>0.27501509965774107</v>
      </c>
      <c r="L104" s="2">
        <f t="shared" si="30"/>
        <v>0</v>
      </c>
      <c r="M104" s="2">
        <f t="shared" si="31"/>
        <v>0.12321320716730422</v>
      </c>
      <c r="N104" s="63">
        <v>5978</v>
      </c>
      <c r="O104" s="63">
        <v>2732</v>
      </c>
      <c r="P104" s="63"/>
      <c r="Q104" s="63">
        <v>513</v>
      </c>
      <c r="R104" s="63">
        <v>306</v>
      </c>
      <c r="S104" s="63">
        <v>99</v>
      </c>
      <c r="T104" s="63">
        <v>32</v>
      </c>
      <c r="U104" s="63"/>
      <c r="V104" s="63"/>
      <c r="W104" s="63">
        <v>274</v>
      </c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W104" s="5">
        <f>IF(Q104&gt;0,RANK(Q104,(N104:P104,Q104:AE104)),0)</f>
        <v>3</v>
      </c>
      <c r="AX104" s="5">
        <f>IF(R104&gt;0,RANK(R104,(N104:P104,Q104:AE104)),0)</f>
        <v>4</v>
      </c>
      <c r="AY104" s="5">
        <f>IF(T104&gt;0,RANK(T104,(N104:P104,Q104:AE104)),0)</f>
        <v>7</v>
      </c>
      <c r="AZ104" s="5">
        <f>IF(S104&gt;0,RANK(S104,(N104:P104,Q104:AE104)),0)</f>
        <v>6</v>
      </c>
      <c r="BA104" s="2">
        <f t="shared" si="32"/>
        <v>5.1640829474531913E-2</v>
      </c>
      <c r="BB104" s="2">
        <f t="shared" si="33"/>
        <v>3.0803301791826051E-2</v>
      </c>
      <c r="BC104" s="2">
        <f t="shared" si="34"/>
        <v>3.2212603180994566E-3</v>
      </c>
      <c r="BD104" s="2">
        <f t="shared" si="35"/>
        <v>9.9657741091201939E-3</v>
      </c>
      <c r="BF104" t="s">
        <v>1359</v>
      </c>
      <c r="BG104" t="s">
        <v>1326</v>
      </c>
      <c r="BH104">
        <v>1</v>
      </c>
      <c r="BJ104" s="114">
        <v>2</v>
      </c>
      <c r="BK104" s="116">
        <v>733</v>
      </c>
      <c r="BL104" s="120">
        <f t="shared" si="22"/>
        <v>2733</v>
      </c>
      <c r="BN104" s="5" t="s">
        <v>256</v>
      </c>
    </row>
    <row r="105" spans="1:66" hidden="1" outlineLevel="1">
      <c r="A105" t="s">
        <v>2382</v>
      </c>
      <c r="B105" t="s">
        <v>1326</v>
      </c>
      <c r="C105" s="1">
        <f t="shared" si="23"/>
        <v>9431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0</v>
      </c>
      <c r="G105" s="132">
        <f t="shared" si="26"/>
        <v>265</v>
      </c>
      <c r="H105" s="137">
        <f t="shared" si="27"/>
        <v>2.8098823030431555E-2</v>
      </c>
      <c r="I105" s="2"/>
      <c r="J105" s="2">
        <f t="shared" si="28"/>
        <v>0.44746050259781572</v>
      </c>
      <c r="K105" s="2">
        <f t="shared" si="29"/>
        <v>0.41936167956738418</v>
      </c>
      <c r="L105" s="2">
        <f t="shared" si="30"/>
        <v>0</v>
      </c>
      <c r="M105" s="2">
        <f t="shared" si="31"/>
        <v>0.13317781783480004</v>
      </c>
      <c r="N105" s="63">
        <v>4220</v>
      </c>
      <c r="O105" s="63">
        <v>3955</v>
      </c>
      <c r="P105" s="63"/>
      <c r="Q105" s="63">
        <v>609</v>
      </c>
      <c r="R105" s="63">
        <v>229</v>
      </c>
      <c r="S105" s="63">
        <v>99</v>
      </c>
      <c r="T105" s="63">
        <v>46</v>
      </c>
      <c r="U105" s="63"/>
      <c r="V105" s="63"/>
      <c r="W105" s="63">
        <v>273</v>
      </c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W105" s="5">
        <f>IF(Q105&gt;0,RANK(Q105,(N105:P105,Q105:AE105)),0)</f>
        <v>3</v>
      </c>
      <c r="AX105" s="5">
        <f>IF(R105&gt;0,RANK(R105,(N105:P105,Q105:AE105)),0)</f>
        <v>5</v>
      </c>
      <c r="AY105" s="5">
        <f>IF(T105&gt;0,RANK(T105,(N105:P105,Q105:AE105)),0)</f>
        <v>7</v>
      </c>
      <c r="AZ105" s="5">
        <f>IF(S105&gt;0,RANK(S105,(N105:P105,Q105:AE105)),0)</f>
        <v>6</v>
      </c>
      <c r="BA105" s="2">
        <f t="shared" si="32"/>
        <v>6.4574276322765342E-2</v>
      </c>
      <c r="BB105" s="2">
        <f t="shared" si="33"/>
        <v>2.4281624430071043E-2</v>
      </c>
      <c r="BC105" s="2">
        <f t="shared" si="34"/>
        <v>4.8775315449051003E-3</v>
      </c>
      <c r="BD105" s="2">
        <f t="shared" si="35"/>
        <v>1.0497296150991412E-2</v>
      </c>
      <c r="BF105" t="s">
        <v>2382</v>
      </c>
      <c r="BG105" t="s">
        <v>1326</v>
      </c>
      <c r="BH105">
        <v>1</v>
      </c>
      <c r="BJ105" s="114">
        <v>2</v>
      </c>
      <c r="BK105" s="116">
        <v>734</v>
      </c>
      <c r="BL105" s="120">
        <f t="shared" si="22"/>
        <v>2734</v>
      </c>
      <c r="BN105" s="5" t="s">
        <v>256</v>
      </c>
    </row>
    <row r="106" spans="1:66" hidden="1" outlineLevel="1">
      <c r="A106" t="s">
        <v>2054</v>
      </c>
      <c r="B106" t="s">
        <v>1326</v>
      </c>
      <c r="C106" s="1">
        <f t="shared" si="23"/>
        <v>9042</v>
      </c>
      <c r="D106" s="5">
        <f>IF(N106&gt;0, RANK(N106,(N106:P106,Q106:AE106)),0)</f>
        <v>2</v>
      </c>
      <c r="E106" s="5">
        <f>IF(O106&gt;0,RANK(O106,(N106:P106,Q106:AE106)),0)</f>
        <v>1</v>
      </c>
      <c r="F106" s="5">
        <f>IF(P106&gt;0,RANK(P106,(N106:P106,Q106:AE106)),0)</f>
        <v>0</v>
      </c>
      <c r="G106" s="132">
        <f t="shared" si="26"/>
        <v>356</v>
      </c>
      <c r="H106" s="137">
        <f t="shared" si="27"/>
        <v>3.9371820393718206E-2</v>
      </c>
      <c r="I106" s="2"/>
      <c r="J106" s="2">
        <f t="shared" si="28"/>
        <v>0.4146206591462066</v>
      </c>
      <c r="K106" s="2">
        <f t="shared" si="29"/>
        <v>0.45399247953992478</v>
      </c>
      <c r="L106" s="2">
        <f t="shared" si="30"/>
        <v>0</v>
      </c>
      <c r="M106" s="2">
        <f t="shared" si="31"/>
        <v>0.13138686131386862</v>
      </c>
      <c r="N106" s="63">
        <v>3749</v>
      </c>
      <c r="O106" s="63">
        <v>4105</v>
      </c>
      <c r="P106" s="63"/>
      <c r="Q106" s="63">
        <v>450</v>
      </c>
      <c r="R106" s="63">
        <v>278</v>
      </c>
      <c r="S106" s="63">
        <v>148</v>
      </c>
      <c r="T106" s="63">
        <v>63</v>
      </c>
      <c r="U106" s="63"/>
      <c r="V106" s="63"/>
      <c r="W106" s="63">
        <v>249</v>
      </c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W106" s="5">
        <f>IF(Q106&gt;0,RANK(Q106,(N106:P106,Q106:AE106)),0)</f>
        <v>3</v>
      </c>
      <c r="AX106" s="5">
        <f>IF(R106&gt;0,RANK(R106,(N106:P106,Q106:AE106)),0)</f>
        <v>4</v>
      </c>
      <c r="AY106" s="5">
        <f>IF(T106&gt;0,RANK(T106,(N106:P106,Q106:AE106)),0)</f>
        <v>7</v>
      </c>
      <c r="AZ106" s="5">
        <f>IF(S106&gt;0,RANK(S106,(N106:P106,Q106:AE106)),0)</f>
        <v>6</v>
      </c>
      <c r="BA106" s="2">
        <f t="shared" si="32"/>
        <v>4.9767750497677503E-2</v>
      </c>
      <c r="BB106" s="2">
        <f t="shared" si="33"/>
        <v>3.0745410307454105E-2</v>
      </c>
      <c r="BC106" s="2">
        <f t="shared" si="34"/>
        <v>6.9674850696748508E-3</v>
      </c>
      <c r="BD106" s="2">
        <f t="shared" si="35"/>
        <v>1.6368060163680601E-2</v>
      </c>
      <c r="BF106" t="s">
        <v>2054</v>
      </c>
      <c r="BG106" t="s">
        <v>1326</v>
      </c>
      <c r="BH106">
        <v>1</v>
      </c>
      <c r="BJ106" s="114">
        <v>2</v>
      </c>
      <c r="BK106" s="116">
        <v>735</v>
      </c>
      <c r="BL106" s="120">
        <f t="shared" si="22"/>
        <v>2735</v>
      </c>
      <c r="BN106" s="5" t="s">
        <v>256</v>
      </c>
    </row>
    <row r="107" spans="1:66" hidden="1" outlineLevel="1">
      <c r="A107" t="s">
        <v>1427</v>
      </c>
      <c r="B107" t="s">
        <v>1326</v>
      </c>
      <c r="C107" s="1">
        <f t="shared" si="23"/>
        <v>8264</v>
      </c>
      <c r="D107" s="5">
        <f>IF(N107&gt;0, RANK(N107,(N107:P107,Q107:AE107)),0)</f>
        <v>2</v>
      </c>
      <c r="E107" s="5">
        <f>IF(O107&gt;0,RANK(O107,(N107:P107,Q107:AE107)),0)</f>
        <v>1</v>
      </c>
      <c r="F107" s="5">
        <f>IF(P107&gt;0,RANK(P107,(N107:P107,Q107:AE107)),0)</f>
        <v>0</v>
      </c>
      <c r="G107" s="132">
        <f t="shared" si="26"/>
        <v>1767</v>
      </c>
      <c r="H107" s="137">
        <f t="shared" si="27"/>
        <v>0.21381897386253632</v>
      </c>
      <c r="I107" s="2"/>
      <c r="J107" s="2">
        <f t="shared" si="28"/>
        <v>0.32587124878993223</v>
      </c>
      <c r="K107" s="2">
        <f t="shared" si="29"/>
        <v>0.53969022265246858</v>
      </c>
      <c r="L107" s="2">
        <f t="shared" si="30"/>
        <v>0</v>
      </c>
      <c r="M107" s="2">
        <f t="shared" si="31"/>
        <v>0.13443852855759919</v>
      </c>
      <c r="N107" s="63">
        <v>2693</v>
      </c>
      <c r="O107" s="63">
        <v>4460</v>
      </c>
      <c r="P107" s="63"/>
      <c r="Q107" s="63">
        <v>585</v>
      </c>
      <c r="R107" s="63">
        <v>173</v>
      </c>
      <c r="S107" s="63">
        <v>110</v>
      </c>
      <c r="T107" s="63">
        <v>37</v>
      </c>
      <c r="U107" s="63"/>
      <c r="V107" s="63"/>
      <c r="W107" s="63">
        <v>206</v>
      </c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W107" s="5">
        <f>IF(Q107&gt;0,RANK(Q107,(N107:P107,Q107:AE107)),0)</f>
        <v>3</v>
      </c>
      <c r="AX107" s="5">
        <f>IF(R107&gt;0,RANK(R107,(N107:P107,Q107:AE107)),0)</f>
        <v>5</v>
      </c>
      <c r="AY107" s="5">
        <f>IF(T107&gt;0,RANK(T107,(N107:P107,Q107:AE107)),0)</f>
        <v>7</v>
      </c>
      <c r="AZ107" s="5">
        <f>IF(S107&gt;0,RANK(S107,(N107:P107,Q107:AE107)),0)</f>
        <v>6</v>
      </c>
      <c r="BA107" s="2">
        <f t="shared" si="32"/>
        <v>7.0788964181994193E-2</v>
      </c>
      <c r="BB107" s="2">
        <f t="shared" si="33"/>
        <v>2.0934172313649566E-2</v>
      </c>
      <c r="BC107" s="2">
        <f t="shared" si="34"/>
        <v>4.4772507260406585E-3</v>
      </c>
      <c r="BD107" s="2">
        <f t="shared" si="35"/>
        <v>1.3310745401742497E-2</v>
      </c>
      <c r="BF107" t="s">
        <v>1427</v>
      </c>
      <c r="BG107" t="s">
        <v>1326</v>
      </c>
      <c r="BH107">
        <v>1</v>
      </c>
      <c r="BJ107" s="114">
        <v>2</v>
      </c>
      <c r="BK107" s="116">
        <v>736</v>
      </c>
      <c r="BL107" s="120">
        <f t="shared" si="22"/>
        <v>2736</v>
      </c>
      <c r="BN107" s="5" t="s">
        <v>256</v>
      </c>
    </row>
    <row r="108" spans="1:66" hidden="1" outlineLevel="1">
      <c r="A108" t="s">
        <v>700</v>
      </c>
      <c r="B108" t="s">
        <v>1326</v>
      </c>
      <c r="C108" s="1">
        <f t="shared" si="23"/>
        <v>5062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0</v>
      </c>
      <c r="G108" s="132">
        <f t="shared" si="26"/>
        <v>483</v>
      </c>
      <c r="H108" s="137">
        <f t="shared" si="27"/>
        <v>9.5416831291979448E-2</v>
      </c>
      <c r="I108" s="2"/>
      <c r="J108" s="2">
        <f t="shared" si="28"/>
        <v>0.47826945871197157</v>
      </c>
      <c r="K108" s="2">
        <f t="shared" si="29"/>
        <v>0.3828526274199921</v>
      </c>
      <c r="L108" s="2">
        <f t="shared" si="30"/>
        <v>0</v>
      </c>
      <c r="M108" s="2">
        <f t="shared" si="31"/>
        <v>0.13887791386803633</v>
      </c>
      <c r="N108" s="63">
        <v>2421</v>
      </c>
      <c r="O108" s="63">
        <v>1938</v>
      </c>
      <c r="P108" s="63"/>
      <c r="Q108" s="63">
        <v>302</v>
      </c>
      <c r="R108" s="63">
        <v>92</v>
      </c>
      <c r="S108" s="63">
        <v>118</v>
      </c>
      <c r="T108" s="63">
        <v>34</v>
      </c>
      <c r="U108" s="63"/>
      <c r="V108" s="63"/>
      <c r="W108" s="63">
        <v>157</v>
      </c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W108" s="5">
        <f>IF(Q108&gt;0,RANK(Q108,(N108:P108,Q108:AE108)),0)</f>
        <v>3</v>
      </c>
      <c r="AX108" s="5">
        <f>IF(R108&gt;0,RANK(R108,(N108:P108,Q108:AE108)),0)</f>
        <v>6</v>
      </c>
      <c r="AY108" s="5">
        <f>IF(T108&gt;0,RANK(T108,(N108:P108,Q108:AE108)),0)</f>
        <v>7</v>
      </c>
      <c r="AZ108" s="5">
        <f>IF(S108&gt;0,RANK(S108,(N108:P108,Q108:AE108)),0)</f>
        <v>5</v>
      </c>
      <c r="BA108" s="2">
        <f t="shared" si="32"/>
        <v>5.9660213354405377E-2</v>
      </c>
      <c r="BB108" s="2">
        <f t="shared" si="33"/>
        <v>1.8174634531805612E-2</v>
      </c>
      <c r="BC108" s="2">
        <f t="shared" si="34"/>
        <v>6.716712761754247E-3</v>
      </c>
      <c r="BD108" s="2">
        <f t="shared" si="35"/>
        <v>2.3310944290794153E-2</v>
      </c>
      <c r="BF108" t="s">
        <v>700</v>
      </c>
      <c r="BG108" t="s">
        <v>1326</v>
      </c>
      <c r="BH108">
        <v>1</v>
      </c>
      <c r="BJ108" s="114">
        <v>2</v>
      </c>
      <c r="BK108" s="116">
        <v>737</v>
      </c>
      <c r="BL108" s="120">
        <f t="shared" si="22"/>
        <v>2737</v>
      </c>
      <c r="BN108" s="5" t="s">
        <v>256</v>
      </c>
    </row>
    <row r="109" spans="1:66" hidden="1" outlineLevel="1">
      <c r="A109" t="s">
        <v>2637</v>
      </c>
      <c r="B109" t="s">
        <v>1326</v>
      </c>
      <c r="C109" s="1">
        <f t="shared" si="23"/>
        <v>5095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0</v>
      </c>
      <c r="G109" s="132">
        <f t="shared" si="26"/>
        <v>1615</v>
      </c>
      <c r="H109" s="137">
        <f t="shared" si="27"/>
        <v>0.31697742885181551</v>
      </c>
      <c r="I109" s="2"/>
      <c r="J109" s="2">
        <f t="shared" si="28"/>
        <v>0.54131501472031407</v>
      </c>
      <c r="K109" s="2">
        <f t="shared" si="29"/>
        <v>0.22433758586849853</v>
      </c>
      <c r="L109" s="2">
        <f t="shared" si="30"/>
        <v>0</v>
      </c>
      <c r="M109" s="2">
        <f t="shared" si="31"/>
        <v>0.2343473994111874</v>
      </c>
      <c r="N109" s="63">
        <v>2758</v>
      </c>
      <c r="O109" s="63">
        <v>1143</v>
      </c>
      <c r="P109" s="63"/>
      <c r="Q109" s="63">
        <v>273</v>
      </c>
      <c r="R109" s="63">
        <v>263</v>
      </c>
      <c r="S109" s="63">
        <v>310</v>
      </c>
      <c r="T109" s="63">
        <v>36</v>
      </c>
      <c r="U109" s="63"/>
      <c r="V109" s="63"/>
      <c r="W109" s="63">
        <v>312</v>
      </c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W109" s="5">
        <f>IF(Q109&gt;0,RANK(Q109,(N109:P109,Q109:AE109)),0)</f>
        <v>5</v>
      </c>
      <c r="AX109" s="5">
        <f>IF(R109&gt;0,RANK(R109,(N109:P109,Q109:AE109)),0)</f>
        <v>6</v>
      </c>
      <c r="AY109" s="5">
        <f>IF(T109&gt;0,RANK(T109,(N109:P109,Q109:AE109)),0)</f>
        <v>7</v>
      </c>
      <c r="AZ109" s="5">
        <f>IF(S109&gt;0,RANK(S109,(N109:P109,Q109:AE109)),0)</f>
        <v>4</v>
      </c>
      <c r="BA109" s="2">
        <f t="shared" si="32"/>
        <v>5.3581943081452407E-2</v>
      </c>
      <c r="BB109" s="2">
        <f t="shared" si="33"/>
        <v>5.1619234543670262E-2</v>
      </c>
      <c r="BC109" s="2">
        <f t="shared" si="34"/>
        <v>7.0657507360157015E-3</v>
      </c>
      <c r="BD109" s="2">
        <f t="shared" si="35"/>
        <v>6.0843964671246323E-2</v>
      </c>
      <c r="BF109" t="s">
        <v>2637</v>
      </c>
      <c r="BG109" t="s">
        <v>1326</v>
      </c>
      <c r="BH109">
        <v>1</v>
      </c>
      <c r="BJ109" s="114">
        <v>2</v>
      </c>
      <c r="BK109" s="116">
        <v>738</v>
      </c>
      <c r="BL109" s="120">
        <f t="shared" si="22"/>
        <v>2738</v>
      </c>
      <c r="BN109" s="5" t="s">
        <v>256</v>
      </c>
    </row>
    <row r="110" spans="1:66" hidden="1" outlineLevel="1">
      <c r="A110" t="s">
        <v>1796</v>
      </c>
      <c r="B110" t="s">
        <v>1326</v>
      </c>
      <c r="C110" s="1">
        <f t="shared" si="23"/>
        <v>5639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0</v>
      </c>
      <c r="G110" s="132">
        <f t="shared" si="26"/>
        <v>1737</v>
      </c>
      <c r="H110" s="137">
        <f t="shared" si="27"/>
        <v>0.3080333392445469</v>
      </c>
      <c r="I110" s="2"/>
      <c r="J110" s="2">
        <f t="shared" si="28"/>
        <v>0.55719099131051608</v>
      </c>
      <c r="K110" s="2">
        <f t="shared" si="29"/>
        <v>0.24915765206596915</v>
      </c>
      <c r="L110" s="2">
        <f t="shared" si="30"/>
        <v>0</v>
      </c>
      <c r="M110" s="2">
        <f t="shared" si="31"/>
        <v>0.19365135662351476</v>
      </c>
      <c r="N110" s="63">
        <v>3142</v>
      </c>
      <c r="O110" s="63">
        <v>1405</v>
      </c>
      <c r="P110" s="63"/>
      <c r="Q110" s="63">
        <v>277</v>
      </c>
      <c r="R110" s="63">
        <v>101</v>
      </c>
      <c r="S110" s="63">
        <v>301</v>
      </c>
      <c r="T110" s="63">
        <v>39</v>
      </c>
      <c r="U110" s="63"/>
      <c r="V110" s="63"/>
      <c r="W110" s="63">
        <v>374</v>
      </c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W110" s="5">
        <f>IF(Q110&gt;0,RANK(Q110,(N110:P110,Q110:AE110)),0)</f>
        <v>5</v>
      </c>
      <c r="AX110" s="5">
        <f>IF(R110&gt;0,RANK(R110,(N110:P110,Q110:AE110)),0)</f>
        <v>6</v>
      </c>
      <c r="AY110" s="5">
        <f>IF(T110&gt;0,RANK(T110,(N110:P110,Q110:AE110)),0)</f>
        <v>7</v>
      </c>
      <c r="AZ110" s="5">
        <f>IF(S110&gt;0,RANK(S110,(N110:P110,Q110:AE110)),0)</f>
        <v>4</v>
      </c>
      <c r="BA110" s="2">
        <f t="shared" si="32"/>
        <v>4.9122184784536269E-2</v>
      </c>
      <c r="BB110" s="2">
        <f t="shared" si="33"/>
        <v>1.7910977123603476E-2</v>
      </c>
      <c r="BC110" s="2">
        <f t="shared" si="34"/>
        <v>6.9161198794112427E-3</v>
      </c>
      <c r="BD110" s="2">
        <f t="shared" si="35"/>
        <v>5.3378258556481643E-2</v>
      </c>
      <c r="BF110" t="s">
        <v>1796</v>
      </c>
      <c r="BG110" t="s">
        <v>1326</v>
      </c>
      <c r="BH110">
        <v>1</v>
      </c>
      <c r="BJ110" s="114">
        <v>2</v>
      </c>
      <c r="BK110" s="116">
        <v>739</v>
      </c>
      <c r="BL110" s="120">
        <f t="shared" si="22"/>
        <v>2739</v>
      </c>
      <c r="BN110" s="5" t="s">
        <v>256</v>
      </c>
    </row>
    <row r="111" spans="1:66" hidden="1" outlineLevel="1">
      <c r="A111" t="s">
        <v>2587</v>
      </c>
      <c r="B111" t="s">
        <v>1326</v>
      </c>
      <c r="C111" s="1">
        <f>SUM(N111:AU111)</f>
        <v>4610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0</v>
      </c>
      <c r="G111" s="132">
        <f>IF(C111&gt;0,MAX(N111:P111)-LARGE(N111:P111,2),0)</f>
        <v>961</v>
      </c>
      <c r="H111" s="137">
        <f>IF(C111&gt;0,G111/C111,0)</f>
        <v>0.20845986984815618</v>
      </c>
      <c r="I111" s="2"/>
      <c r="J111" s="2">
        <f t="shared" si="28"/>
        <v>0.50715835140997834</v>
      </c>
      <c r="K111" s="2">
        <f t="shared" si="29"/>
        <v>0.2986984815618221</v>
      </c>
      <c r="L111" s="2">
        <f t="shared" si="30"/>
        <v>0</v>
      </c>
      <c r="M111" s="2">
        <f>IF(C111=0,"-",(1-J111-K111-L111))</f>
        <v>0.19414316702819956</v>
      </c>
      <c r="N111" s="63">
        <v>2338</v>
      </c>
      <c r="O111" s="63">
        <v>1377</v>
      </c>
      <c r="P111" s="63"/>
      <c r="Q111" s="63">
        <v>213</v>
      </c>
      <c r="R111" s="63">
        <v>93</v>
      </c>
      <c r="S111" s="63">
        <v>265</v>
      </c>
      <c r="T111" s="63">
        <v>42</v>
      </c>
      <c r="U111" s="63"/>
      <c r="V111" s="63"/>
      <c r="W111" s="63">
        <v>282</v>
      </c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W111" s="5">
        <f>IF(Q111&gt;0,RANK(Q111,(N111:P111,Q111:AE111)),0)</f>
        <v>5</v>
      </c>
      <c r="AX111" s="5">
        <f>IF(R111&gt;0,RANK(R111,(N111:P111,Q111:AE111)),0)</f>
        <v>6</v>
      </c>
      <c r="AY111" s="5">
        <f>IF(T111&gt;0,RANK(T111,(N111:P111,Q111:AE111)),0)</f>
        <v>7</v>
      </c>
      <c r="AZ111" s="5">
        <f>IF(S111&gt;0,RANK(S111,(N111:P111,Q111:AE111)),0)</f>
        <v>4</v>
      </c>
      <c r="BA111" s="2">
        <f t="shared" ref="BA111:BB113" si="36">IF($C111=0,"-",Q111/$C111)</f>
        <v>4.6203904555314534E-2</v>
      </c>
      <c r="BB111" s="2">
        <f t="shared" si="36"/>
        <v>2.0173535791757048E-2</v>
      </c>
      <c r="BC111" s="2">
        <f>IF($C111=0,"-",T111/$C111)</f>
        <v>9.1106290672451195E-3</v>
      </c>
      <c r="BD111" s="2">
        <f>IF($C111=0,"-",S111/$C111)</f>
        <v>5.7483731019522775E-2</v>
      </c>
      <c r="BF111" t="s">
        <v>2587</v>
      </c>
      <c r="BG111" t="s">
        <v>1326</v>
      </c>
      <c r="BH111">
        <v>1</v>
      </c>
      <c r="BJ111" s="114">
        <v>2</v>
      </c>
      <c r="BK111" s="116">
        <v>740</v>
      </c>
      <c r="BL111" s="120">
        <f>1000*BJ111+BK111</f>
        <v>2740</v>
      </c>
      <c r="BN111" s="5" t="s">
        <v>256</v>
      </c>
    </row>
    <row r="112" spans="1:66" hidden="1" outlineLevel="1">
      <c r="A112" t="s">
        <v>2703</v>
      </c>
      <c r="B112" t="s">
        <v>1326</v>
      </c>
      <c r="C112" s="1">
        <f t="shared" si="23"/>
        <v>342</v>
      </c>
      <c r="D112" s="5">
        <f>IF(N112&gt;0, RANK(N112,(N112:P112,Q112:AE112)),0)</f>
        <v>1</v>
      </c>
      <c r="E112" s="5">
        <f>IF(O112&gt;0,RANK(O112,(N112:P112,Q112:AE112)),0)</f>
        <v>2</v>
      </c>
      <c r="F112" s="5">
        <f>IF(P112&gt;0,RANK(P112,(N112:P112,Q112:AE112)),0)</f>
        <v>0</v>
      </c>
      <c r="G112" s="132">
        <f>IF(C112&gt;0,MAX(N112:P112)-LARGE(N112:P112,2),0)</f>
        <v>234</v>
      </c>
      <c r="H112" s="137">
        <f>IF(C112&gt;0,G112/C112,0)</f>
        <v>0.68421052631578949</v>
      </c>
      <c r="I112" s="2"/>
      <c r="J112" s="2">
        <f t="shared" ref="J112:L113" si="37">IF($C112=0,"-",N112/$C112)</f>
        <v>0.80116959064327486</v>
      </c>
      <c r="K112" s="2">
        <f t="shared" si="37"/>
        <v>0.11695906432748537</v>
      </c>
      <c r="L112" s="2">
        <f t="shared" si="37"/>
        <v>0</v>
      </c>
      <c r="M112" s="2">
        <f>IF(C112=0,"-",(1-J112-K112-L112))</f>
        <v>8.1871345029239762E-2</v>
      </c>
      <c r="N112" s="63">
        <v>274</v>
      </c>
      <c r="O112" s="63">
        <v>40</v>
      </c>
      <c r="P112" s="63"/>
      <c r="Q112" s="63">
        <v>7</v>
      </c>
      <c r="R112" s="63">
        <v>11</v>
      </c>
      <c r="S112" s="63">
        <v>0</v>
      </c>
      <c r="T112" s="63">
        <v>1</v>
      </c>
      <c r="U112" s="63"/>
      <c r="V112" s="63"/>
      <c r="W112" s="63">
        <v>9</v>
      </c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W112" s="5">
        <f>IF(Q112&gt;0,RANK(Q112,(N112:P112,Q112:AE112)),0)</f>
        <v>5</v>
      </c>
      <c r="AX112" s="5">
        <f>IF(R112&gt;0,RANK(R112,(N112:P112,Q112:AE112)),0)</f>
        <v>3</v>
      </c>
      <c r="AY112" s="5">
        <f>IF(T112&gt;0,RANK(T112,(N112:P112,Q112:AE112)),0)</f>
        <v>6</v>
      </c>
      <c r="AZ112" s="5">
        <f>IF(S112&gt;0,RANK(S112,(N112:P112,Q112:AE112)),0)</f>
        <v>0</v>
      </c>
      <c r="BA112" s="2">
        <f t="shared" si="36"/>
        <v>2.046783625730994E-2</v>
      </c>
      <c r="BB112" s="2">
        <f t="shared" si="36"/>
        <v>3.2163742690058478E-2</v>
      </c>
      <c r="BC112" s="2">
        <f>IF($C112=0,"-",T112/$C112)</f>
        <v>2.9239766081871343E-3</v>
      </c>
      <c r="BD112" s="2">
        <f>IF($C112=0,"-",S112/$C112)</f>
        <v>0</v>
      </c>
      <c r="BF112" t="s">
        <v>2703</v>
      </c>
      <c r="BG112" t="s">
        <v>1326</v>
      </c>
      <c r="BH112">
        <v>1</v>
      </c>
      <c r="BJ112" s="114">
        <v>2</v>
      </c>
      <c r="BK112" s="116">
        <v>799</v>
      </c>
      <c r="BL112" s="120">
        <f t="shared" si="22"/>
        <v>2799</v>
      </c>
      <c r="BN112" s="5" t="s">
        <v>2703</v>
      </c>
    </row>
    <row r="113" spans="1:90" collapsed="1">
      <c r="A113" t="s">
        <v>1994</v>
      </c>
      <c r="B113" t="s">
        <v>544</v>
      </c>
      <c r="C113" s="1">
        <f t="shared" si="23"/>
        <v>318608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>IF(P113&gt;0,RANK(P113,(N113:P113,Q113:AE113)),0)</f>
        <v>0</v>
      </c>
      <c r="G113" s="132">
        <f>IF(C113&gt;0,MAX(N113:P113)-LARGE(N113:P113,2),0)</f>
        <v>46933</v>
      </c>
      <c r="H113" s="137">
        <f>IF(C113&gt;0,G113/C113,0)</f>
        <v>0.147306407874253</v>
      </c>
      <c r="I113" s="2"/>
      <c r="J113" s="2">
        <f t="shared" si="37"/>
        <v>0.36550871290111986</v>
      </c>
      <c r="K113" s="2">
        <f t="shared" si="37"/>
        <v>0.51281512077537283</v>
      </c>
      <c r="L113" s="2">
        <f t="shared" si="37"/>
        <v>0</v>
      </c>
      <c r="M113" s="2">
        <f>IF(C113=0,"-",(1-J113-K113-L113))</f>
        <v>0.12167616632350731</v>
      </c>
      <c r="N113" s="63">
        <f>SUM(N72:N112)</f>
        <v>116454</v>
      </c>
      <c r="O113" s="63">
        <f t="shared" ref="O113:W113" si="38">SUM(O72:O112)</f>
        <v>163387</v>
      </c>
      <c r="P113" s="63"/>
      <c r="Q113" s="63">
        <f t="shared" si="38"/>
        <v>18725</v>
      </c>
      <c r="R113" s="63">
        <f t="shared" si="38"/>
        <v>5735</v>
      </c>
      <c r="S113" s="63">
        <f t="shared" si="38"/>
        <v>3866</v>
      </c>
      <c r="T113" s="63">
        <f t="shared" si="38"/>
        <v>1240</v>
      </c>
      <c r="U113" s="63"/>
      <c r="V113" s="63"/>
      <c r="W113" s="63">
        <f t="shared" si="38"/>
        <v>9201</v>
      </c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W113" s="5">
        <f>IF(Q113&gt;0,RANK(Q113,(N113:P113,Q113:AE113)),0)</f>
        <v>3</v>
      </c>
      <c r="AX113" s="5">
        <f>IF(R113&gt;0,RANK(R113,(N113:P113,Q113:AE113)),0)</f>
        <v>5</v>
      </c>
      <c r="AY113" s="5">
        <f>IF(T113&gt;0,RANK(T113,(N113:P113,Q113:AE113)),0)</f>
        <v>7</v>
      </c>
      <c r="AZ113" s="5">
        <f>IF(S113&gt;0,RANK(S113,(N113:P113,Q113:AE113)),0)</f>
        <v>6</v>
      </c>
      <c r="BA113" s="2">
        <f t="shared" si="36"/>
        <v>5.8771280068297092E-2</v>
      </c>
      <c r="BB113" s="2">
        <f t="shared" si="36"/>
        <v>1.8000175764575906E-2</v>
      </c>
      <c r="BC113" s="2">
        <f>IF($C113=0,"-",T113/$C113)</f>
        <v>3.8919298950434388E-3</v>
      </c>
      <c r="BD113" s="2">
        <f>IF($C113=0,"-",S113/$C113)</f>
        <v>1.2134033043740271E-2</v>
      </c>
      <c r="BF113" t="s">
        <v>1994</v>
      </c>
      <c r="BG113" t="s">
        <v>544</v>
      </c>
      <c r="BJ113" s="114">
        <v>2</v>
      </c>
      <c r="BK113" s="116"/>
      <c r="BL113" s="114">
        <v>2</v>
      </c>
      <c r="BN113" s="5" t="s">
        <v>711</v>
      </c>
    </row>
    <row r="114" spans="1:90">
      <c r="C114" s="21"/>
      <c r="E114" s="5"/>
      <c r="G114" s="132"/>
      <c r="H114" s="137"/>
      <c r="I114" s="2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W114" s="5"/>
      <c r="AX114" s="5"/>
      <c r="AY114" s="5"/>
      <c r="AZ114" s="5"/>
      <c r="BC114" s="2" t="str">
        <f>IF($C114=0,"-",T114/$C114)</f>
        <v>-</v>
      </c>
      <c r="BD114" s="2" t="str">
        <f>IF($C114=0,"-",S114/$C114)</f>
        <v>-</v>
      </c>
      <c r="BJ114" s="114"/>
      <c r="BK114" s="116"/>
      <c r="BL114" s="120"/>
      <c r="BS114" s="63"/>
      <c r="BT114" s="63"/>
      <c r="BU114" s="63"/>
      <c r="CB114" s="132"/>
      <c r="CD114" s="132" t="s">
        <v>3626</v>
      </c>
      <c r="CE114" s="132" t="s">
        <v>3627</v>
      </c>
      <c r="CF114" s="132" t="s">
        <v>3628</v>
      </c>
      <c r="CG114" s="132" t="s">
        <v>3515</v>
      </c>
      <c r="CH114" s="132" t="s">
        <v>3510</v>
      </c>
      <c r="CI114" s="132" t="s">
        <v>3629</v>
      </c>
      <c r="CJ114" s="132" t="s">
        <v>3512</v>
      </c>
      <c r="CK114" s="132" t="s">
        <v>3630</v>
      </c>
      <c r="CL114" s="132" t="s">
        <v>3631</v>
      </c>
    </row>
    <row r="115" spans="1:90" hidden="1" outlineLevel="1">
      <c r="A115" t="s">
        <v>836</v>
      </c>
      <c r="B115" t="s">
        <v>384</v>
      </c>
      <c r="C115" s="1">
        <f t="shared" ref="C115:C130" si="39">SUM(N115:AU115)</f>
        <v>27661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>IF(P115&gt;0,RANK(P115,(N115:P115,Q115:AE115)),0)</f>
        <v>6</v>
      </c>
      <c r="G115" s="132">
        <f t="shared" ref="G115:G130" si="40">IF(C115&gt;0,MAX(N115:P115)-LARGE(N115:P115,2),0)</f>
        <v>8843</v>
      </c>
      <c r="H115" s="137">
        <f t="shared" ref="H115:H130" si="41">IF(C115&gt;0,G115/C115,0)</f>
        <v>0.31969198510538305</v>
      </c>
      <c r="I115" s="2"/>
      <c r="J115" s="2">
        <f t="shared" ref="J115:J130" si="42">IF($C115=0,"-",N115/$C115)</f>
        <v>0.61758432450019884</v>
      </c>
      <c r="K115" s="2">
        <f t="shared" ref="K115:K130" si="43">IF($C115=0,"-",O115/$C115)</f>
        <v>0.2978923393948158</v>
      </c>
      <c r="L115" s="2">
        <f t="shared" ref="L115:L130" si="44">IF($C115=0,"-",P115/$C115)</f>
        <v>2.1329669932395792E-3</v>
      </c>
      <c r="M115" s="2">
        <f t="shared" ref="M115:M130" si="45">IF(C115=0,"-",(1-J115-K115-L115))</f>
        <v>8.2390369111745784E-2</v>
      </c>
      <c r="N115" s="63">
        <v>17083</v>
      </c>
      <c r="O115" s="63">
        <v>8240</v>
      </c>
      <c r="P115" s="63">
        <v>59</v>
      </c>
      <c r="Q115" s="63">
        <v>1221</v>
      </c>
      <c r="R115" s="63">
        <v>469</v>
      </c>
      <c r="S115" s="63">
        <v>34</v>
      </c>
      <c r="T115" s="63">
        <v>0</v>
      </c>
      <c r="U115" s="63"/>
      <c r="V115" s="63"/>
      <c r="W115" s="63">
        <f>IF(Copyright!B$11=1,CA115-SUM(X115:AQ115)-SUM(S115:V115)-P115,SUM(CD115:CL115))</f>
        <v>549</v>
      </c>
      <c r="X115" s="63"/>
      <c r="Y115" s="63">
        <v>5</v>
      </c>
      <c r="Z115" s="63"/>
      <c r="AA115" s="63"/>
      <c r="AB115" s="63"/>
      <c r="AC115" s="63"/>
      <c r="AD115" s="63"/>
      <c r="AE115" s="63">
        <v>0</v>
      </c>
      <c r="AF115" s="63"/>
      <c r="AG115" s="63"/>
      <c r="AH115" s="63"/>
      <c r="AI115" s="63"/>
      <c r="AJ115" s="63"/>
      <c r="AK115" s="63"/>
      <c r="AL115" s="63"/>
      <c r="AM115" s="63">
        <v>1</v>
      </c>
      <c r="AN115" s="63"/>
      <c r="AO115" s="63"/>
      <c r="AP115" s="63"/>
      <c r="AQ115" s="63">
        <v>0</v>
      </c>
      <c r="AR115" s="63"/>
      <c r="AS115" s="63"/>
      <c r="AT115" s="63"/>
      <c r="AU115" s="63"/>
      <c r="AW115" s="5">
        <f>IF(Q115&gt;0,RANK(Q115,(N115:P115,Q115:AE115)),0)</f>
        <v>3</v>
      </c>
      <c r="AX115" s="5">
        <f>IF(R115&gt;0,RANK(R115,(N115:P115,Q115:AE115)),0)</f>
        <v>5</v>
      </c>
      <c r="AY115" s="5">
        <f>IF(T115&gt;0,RANK(T115,(N115:P115,Q115:AE115)),0)</f>
        <v>0</v>
      </c>
      <c r="AZ115" s="5">
        <f>IF(S115&gt;0,RANK(S115,(N115:P115,Q115:AE115)),0)</f>
        <v>7</v>
      </c>
      <c r="BA115" s="2">
        <f t="shared" ref="BA115:BA130" si="46">IF($C115=0,"-",Q115/$C115)</f>
        <v>4.414157116517841E-2</v>
      </c>
      <c r="BB115" s="2">
        <f t="shared" ref="BB115:BB130" si="47">IF($C115=0,"-",R115/$C115)</f>
        <v>1.6955279997107841E-2</v>
      </c>
      <c r="BC115" s="2">
        <f t="shared" ref="BC115:BC130" si="48">IF($C115=0,"-",T115/$C115)</f>
        <v>0</v>
      </c>
      <c r="BD115" s="2">
        <f t="shared" ref="BD115:BD130" si="49">IF($C115=0,"-",S115/$C115)</f>
        <v>1.2291674198329778E-3</v>
      </c>
      <c r="BF115" t="s">
        <v>836</v>
      </c>
      <c r="BG115" t="s">
        <v>384</v>
      </c>
      <c r="BH115">
        <v>1</v>
      </c>
      <c r="BJ115" s="114">
        <v>4</v>
      </c>
      <c r="BK115" s="116">
        <v>1</v>
      </c>
      <c r="BL115" s="120">
        <f t="shared" si="22"/>
        <v>4001</v>
      </c>
      <c r="BN115" s="5" t="s">
        <v>3154</v>
      </c>
      <c r="BO115" s="63">
        <v>503</v>
      </c>
      <c r="BP115" s="63">
        <v>328</v>
      </c>
      <c r="BR115" s="63"/>
      <c r="BY115" s="63">
        <f>BZ115-C115</f>
        <v>0</v>
      </c>
      <c r="BZ115" s="63">
        <f>17083+8240+1221+469+648</f>
        <v>27661</v>
      </c>
      <c r="CA115" s="63">
        <v>648</v>
      </c>
      <c r="CD115" s="63">
        <v>0</v>
      </c>
      <c r="CE115" s="63">
        <v>6</v>
      </c>
      <c r="CF115" s="63">
        <v>0</v>
      </c>
      <c r="CG115" s="132">
        <v>1</v>
      </c>
      <c r="CH115" s="132">
        <v>0</v>
      </c>
      <c r="CI115" s="132">
        <v>0</v>
      </c>
      <c r="CJ115" s="132">
        <v>0</v>
      </c>
      <c r="CK115" s="132">
        <v>0</v>
      </c>
      <c r="CL115" s="132">
        <v>0</v>
      </c>
    </row>
    <row r="116" spans="1:90" hidden="1" outlineLevel="1">
      <c r="A116" t="s">
        <v>1163</v>
      </c>
      <c r="B116" t="s">
        <v>384</v>
      </c>
      <c r="C116" s="1">
        <f t="shared" si="39"/>
        <v>50015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>IF(P116&gt;0,RANK(P116,(N116:P116,Q116:AE116)),0)</f>
        <v>6</v>
      </c>
      <c r="G116" s="132">
        <f t="shared" si="40"/>
        <v>10642</v>
      </c>
      <c r="H116" s="137">
        <f t="shared" si="41"/>
        <v>0.21277616714985503</v>
      </c>
      <c r="I116" s="2"/>
      <c r="J116" s="2">
        <f t="shared" si="42"/>
        <v>0.34889533140057982</v>
      </c>
      <c r="K116" s="2">
        <f t="shared" si="43"/>
        <v>0.56167149855043486</v>
      </c>
      <c r="L116" s="2">
        <f t="shared" si="44"/>
        <v>8.1775467359792055E-3</v>
      </c>
      <c r="M116" s="2">
        <f t="shared" si="45"/>
        <v>8.125562331300612E-2</v>
      </c>
      <c r="N116" s="63">
        <v>17450</v>
      </c>
      <c r="O116" s="63">
        <v>28092</v>
      </c>
      <c r="P116" s="63">
        <v>409</v>
      </c>
      <c r="Q116" s="63">
        <v>2394</v>
      </c>
      <c r="R116" s="63">
        <v>993</v>
      </c>
      <c r="S116" s="63">
        <v>37</v>
      </c>
      <c r="T116" s="63">
        <v>3</v>
      </c>
      <c r="U116" s="63"/>
      <c r="V116" s="63"/>
      <c r="W116" s="63">
        <f>IF(Copyright!B$11=1,CA116-SUM(X116:AQ116)-SUM(S116:V116)-P116,SUM(CD116:CL116))</f>
        <v>631</v>
      </c>
      <c r="X116" s="63"/>
      <c r="Y116" s="63">
        <v>4</v>
      </c>
      <c r="Z116" s="63"/>
      <c r="AA116" s="63"/>
      <c r="AB116" s="63"/>
      <c r="AC116" s="63"/>
      <c r="AD116" s="63"/>
      <c r="AE116" s="63">
        <v>1</v>
      </c>
      <c r="AF116" s="63"/>
      <c r="AG116" s="63"/>
      <c r="AH116" s="63"/>
      <c r="AI116" s="63"/>
      <c r="AJ116" s="63"/>
      <c r="AK116" s="63"/>
      <c r="AL116" s="63"/>
      <c r="AM116" s="63">
        <v>0</v>
      </c>
      <c r="AN116" s="63"/>
      <c r="AO116" s="63"/>
      <c r="AP116" s="63"/>
      <c r="AQ116" s="63">
        <v>1</v>
      </c>
      <c r="AR116" s="63"/>
      <c r="AS116" s="63"/>
      <c r="AT116" s="63"/>
      <c r="AU116" s="63"/>
      <c r="AW116" s="5">
        <f>IF(Q116&gt;0,RANK(Q116,(N116:P116,Q116:AE116)),0)</f>
        <v>3</v>
      </c>
      <c r="AX116" s="5">
        <f>IF(R116&gt;0,RANK(R116,(N116:P116,Q116:AE116)),0)</f>
        <v>4</v>
      </c>
      <c r="AY116" s="5">
        <f>IF(T116&gt;0,RANK(T116,(N116:P116,Q116:AE116)),0)</f>
        <v>9</v>
      </c>
      <c r="AZ116" s="5">
        <f>IF(S116&gt;0,RANK(S116,(N116:P116,Q116:AE116)),0)</f>
        <v>7</v>
      </c>
      <c r="BA116" s="2">
        <f t="shared" si="46"/>
        <v>4.7865640307907631E-2</v>
      </c>
      <c r="BB116" s="2">
        <f t="shared" si="47"/>
        <v>1.985404378686394E-2</v>
      </c>
      <c r="BC116" s="2">
        <f t="shared" si="48"/>
        <v>5.9982005398380483E-5</v>
      </c>
      <c r="BD116" s="2">
        <f t="shared" si="49"/>
        <v>7.3977806658002596E-4</v>
      </c>
      <c r="BF116" t="s">
        <v>1163</v>
      </c>
      <c r="BG116" t="s">
        <v>384</v>
      </c>
      <c r="BH116">
        <v>2</v>
      </c>
      <c r="BJ116" s="114">
        <v>4</v>
      </c>
      <c r="BK116" s="116">
        <v>3</v>
      </c>
      <c r="BL116" s="120">
        <f t="shared" si="22"/>
        <v>4003</v>
      </c>
      <c r="BN116" s="5" t="s">
        <v>3154</v>
      </c>
      <c r="BO116" s="63">
        <v>525</v>
      </c>
      <c r="BP116" s="63">
        <v>61</v>
      </c>
      <c r="BR116" s="63"/>
      <c r="BY116" s="63">
        <f>BZ116-C116</f>
        <v>0</v>
      </c>
      <c r="BZ116" s="63">
        <v>50015</v>
      </c>
      <c r="CA116" s="63">
        <v>1086</v>
      </c>
      <c r="CD116" s="63">
        <v>0</v>
      </c>
      <c r="CE116" s="63">
        <v>0</v>
      </c>
      <c r="CF116" s="63">
        <v>0</v>
      </c>
      <c r="CG116" s="132">
        <v>0</v>
      </c>
      <c r="CH116" s="132">
        <v>0</v>
      </c>
      <c r="CI116" s="132">
        <v>0</v>
      </c>
      <c r="CJ116" s="132">
        <v>0</v>
      </c>
      <c r="CK116" s="132">
        <v>0</v>
      </c>
      <c r="CL116" s="132">
        <v>0</v>
      </c>
    </row>
    <row r="117" spans="1:90" hidden="1" outlineLevel="1">
      <c r="A117" s="8" t="s">
        <v>1782</v>
      </c>
      <c r="B117" s="8" t="s">
        <v>384</v>
      </c>
      <c r="C117" s="1">
        <f t="shared" si="39"/>
        <v>59784</v>
      </c>
      <c r="D117" s="5">
        <f>IF(N117&gt;0, RANK(N117,(N117:P117,Q117:AE117)),0)</f>
        <v>1</v>
      </c>
      <c r="E117" s="5">
        <f>IF(O117&gt;0,RANK(O117,(N117:P117,Q117:AE117)),0)</f>
        <v>2</v>
      </c>
      <c r="F117" s="5">
        <f>IF(P117&gt;0,RANK(P117,(N117:P117,Q117:AE117)),0)</f>
        <v>6</v>
      </c>
      <c r="G117" s="132">
        <f t="shared" si="40"/>
        <v>11296</v>
      </c>
      <c r="H117" s="137">
        <f t="shared" si="41"/>
        <v>0.18894687541817209</v>
      </c>
      <c r="I117" s="2"/>
      <c r="J117" s="2">
        <f t="shared" si="42"/>
        <v>0.54201793121905528</v>
      </c>
      <c r="K117" s="2">
        <f t="shared" si="43"/>
        <v>0.35307105580088316</v>
      </c>
      <c r="L117" s="2">
        <f t="shared" si="44"/>
        <v>8.5976180917971372E-3</v>
      </c>
      <c r="M117" s="2">
        <f t="shared" si="45"/>
        <v>9.6313394888264417E-2</v>
      </c>
      <c r="N117" s="63">
        <v>32404</v>
      </c>
      <c r="O117" s="63">
        <v>21108</v>
      </c>
      <c r="P117" s="63">
        <v>514</v>
      </c>
      <c r="Q117" s="63">
        <v>2978</v>
      </c>
      <c r="R117" s="63">
        <v>1414</v>
      </c>
      <c r="S117" s="63">
        <v>13</v>
      </c>
      <c r="T117" s="63">
        <v>2</v>
      </c>
      <c r="U117" s="63"/>
      <c r="V117" s="63"/>
      <c r="W117" s="63">
        <f>IF(Copyright!B$11=1,CA117-SUM(X117:AQ117)-SUM(S117:V117)-P117,SUM(CD117:CL117))</f>
        <v>1346</v>
      </c>
      <c r="X117" s="63"/>
      <c r="Y117" s="63">
        <v>1</v>
      </c>
      <c r="Z117" s="63"/>
      <c r="AA117" s="63"/>
      <c r="AB117" s="63"/>
      <c r="AC117" s="63"/>
      <c r="AD117" s="63"/>
      <c r="AE117" s="63">
        <v>3</v>
      </c>
      <c r="AF117" s="63"/>
      <c r="AG117" s="63"/>
      <c r="AH117" s="63"/>
      <c r="AI117" s="63"/>
      <c r="AJ117" s="63"/>
      <c r="AK117" s="63"/>
      <c r="AL117" s="63"/>
      <c r="AM117" s="63">
        <v>1</v>
      </c>
      <c r="AN117" s="63"/>
      <c r="AO117" s="63"/>
      <c r="AP117" s="63"/>
      <c r="AQ117" s="63">
        <v>0</v>
      </c>
      <c r="AR117" s="63"/>
      <c r="AS117" s="63"/>
      <c r="AT117" s="63"/>
      <c r="AU117" s="63"/>
      <c r="AV117" s="63"/>
      <c r="AW117" s="5">
        <f>IF(Q117&gt;0,RANK(Q117,(N117:P117,Q117:AE117)),0)</f>
        <v>3</v>
      </c>
      <c r="AX117" s="5">
        <f>IF(R117&gt;0,RANK(R117,(N117:P117,Q117:AE117)),0)</f>
        <v>4</v>
      </c>
      <c r="AY117" s="5">
        <f>IF(T117&gt;0,RANK(T117,(N117:P117,Q117:AE117)),0)</f>
        <v>9</v>
      </c>
      <c r="AZ117" s="5">
        <f>IF(S117&gt;0,RANK(S117,(N117:P117,Q117:AE117)),0)</f>
        <v>7</v>
      </c>
      <c r="BA117" s="2">
        <f t="shared" si="46"/>
        <v>4.981265890539275E-2</v>
      </c>
      <c r="BB117" s="2">
        <f t="shared" si="47"/>
        <v>2.3651813194165663E-2</v>
      </c>
      <c r="BC117" s="2">
        <f t="shared" si="48"/>
        <v>3.3453766894152281E-5</v>
      </c>
      <c r="BD117" s="2">
        <f t="shared" si="49"/>
        <v>2.1744948481198983E-4</v>
      </c>
      <c r="BF117" s="8" t="s">
        <v>1782</v>
      </c>
      <c r="BG117" s="8" t="s">
        <v>384</v>
      </c>
      <c r="BH117" s="8">
        <v>1</v>
      </c>
      <c r="BI117" s="8"/>
      <c r="BJ117" s="114">
        <v>4</v>
      </c>
      <c r="BK117" s="116">
        <v>5</v>
      </c>
      <c r="BL117" s="120">
        <f t="shared" si="22"/>
        <v>4005</v>
      </c>
      <c r="BM117" s="8"/>
      <c r="BN117" s="5" t="s">
        <v>3154</v>
      </c>
      <c r="BO117" s="63">
        <v>683</v>
      </c>
      <c r="BP117" s="63">
        <v>277</v>
      </c>
      <c r="BR117" s="63"/>
      <c r="BY117" s="63">
        <f>BZ117-C117</f>
        <v>0</v>
      </c>
      <c r="BZ117" s="63">
        <v>59784</v>
      </c>
      <c r="CA117" s="63">
        <v>1880</v>
      </c>
      <c r="CD117" s="63">
        <v>0</v>
      </c>
      <c r="CE117" s="63">
        <v>1</v>
      </c>
      <c r="CF117" s="63">
        <v>0</v>
      </c>
      <c r="CG117" s="132">
        <v>0</v>
      </c>
      <c r="CH117" s="132">
        <v>0</v>
      </c>
      <c r="CI117" s="132">
        <v>0</v>
      </c>
      <c r="CJ117" s="132">
        <v>1</v>
      </c>
      <c r="CK117" s="132">
        <v>0</v>
      </c>
      <c r="CL117" s="132">
        <v>0</v>
      </c>
    </row>
    <row r="118" spans="1:90" hidden="1" outlineLevel="1">
      <c r="A118" t="s">
        <v>1439</v>
      </c>
      <c r="B118" t="s">
        <v>384</v>
      </c>
      <c r="C118" s="1">
        <f t="shared" si="39"/>
        <v>22515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6</v>
      </c>
      <c r="G118" s="132">
        <f t="shared" si="40"/>
        <v>7179</v>
      </c>
      <c r="H118" s="137">
        <f t="shared" si="41"/>
        <v>0.31885409726848768</v>
      </c>
      <c r="I118" s="2"/>
      <c r="J118" s="2">
        <f t="shared" si="42"/>
        <v>0.31103708638685323</v>
      </c>
      <c r="K118" s="2">
        <f t="shared" si="43"/>
        <v>0.62989118365534091</v>
      </c>
      <c r="L118" s="2">
        <f t="shared" si="44"/>
        <v>4.6191427936930936E-3</v>
      </c>
      <c r="M118" s="2">
        <f t="shared" si="45"/>
        <v>5.4452587164112762E-2</v>
      </c>
      <c r="N118" s="63">
        <v>7003</v>
      </c>
      <c r="O118" s="63">
        <v>14182</v>
      </c>
      <c r="P118" s="63">
        <v>104</v>
      </c>
      <c r="Q118" s="63">
        <v>803</v>
      </c>
      <c r="R118" s="63">
        <v>212</v>
      </c>
      <c r="S118" s="63">
        <v>4</v>
      </c>
      <c r="T118" s="63">
        <v>0</v>
      </c>
      <c r="U118" s="63"/>
      <c r="V118" s="63"/>
      <c r="W118" s="63">
        <f>IF(Copyright!B$11=1,CA118-SUM(X118:AQ118)-SUM(S118:V118)-P118,SUM(CD118:CL118))</f>
        <v>207</v>
      </c>
      <c r="X118" s="63"/>
      <c r="Y118" s="63">
        <v>0</v>
      </c>
      <c r="Z118" s="63"/>
      <c r="AA118" s="63"/>
      <c r="AB118" s="63"/>
      <c r="AC118" s="63"/>
      <c r="AD118" s="63"/>
      <c r="AE118" s="63">
        <v>0</v>
      </c>
      <c r="AF118" s="63"/>
      <c r="AG118" s="63"/>
      <c r="AH118" s="63"/>
      <c r="AI118" s="63"/>
      <c r="AJ118" s="63"/>
      <c r="AK118" s="63"/>
      <c r="AL118" s="63"/>
      <c r="AM118" s="63">
        <v>0</v>
      </c>
      <c r="AN118" s="63"/>
      <c r="AO118" s="63"/>
      <c r="AP118" s="63"/>
      <c r="AQ118" s="63">
        <v>0</v>
      </c>
      <c r="AR118" s="63"/>
      <c r="AS118" s="63"/>
      <c r="AT118" s="63"/>
      <c r="AU118" s="63"/>
      <c r="AW118" s="5">
        <f>IF(Q118&gt;0,RANK(Q118,(N118:P118,Q118:AE118)),0)</f>
        <v>3</v>
      </c>
      <c r="AX118" s="5">
        <f>IF(R118&gt;0,RANK(R118,(N118:P118,Q118:AE118)),0)</f>
        <v>4</v>
      </c>
      <c r="AY118" s="5">
        <f>IF(T118&gt;0,RANK(T118,(N118:P118,Q118:AE118)),0)</f>
        <v>0</v>
      </c>
      <c r="AZ118" s="5">
        <f>IF(S118&gt;0,RANK(S118,(N118:P118,Q118:AE118)),0)</f>
        <v>7</v>
      </c>
      <c r="BA118" s="2">
        <f t="shared" si="46"/>
        <v>3.5665112147457254E-2</v>
      </c>
      <c r="BB118" s="2">
        <f t="shared" si="47"/>
        <v>9.4159449256051523E-3</v>
      </c>
      <c r="BC118" s="2">
        <f t="shared" si="48"/>
        <v>0</v>
      </c>
      <c r="BD118" s="2">
        <f t="shared" si="49"/>
        <v>1.7765933821896514E-4</v>
      </c>
      <c r="BF118" t="s">
        <v>1439</v>
      </c>
      <c r="BG118" t="s">
        <v>384</v>
      </c>
      <c r="BJ118" s="114">
        <v>4</v>
      </c>
      <c r="BK118" s="116">
        <v>7</v>
      </c>
      <c r="BL118" s="120">
        <f t="shared" si="22"/>
        <v>4007</v>
      </c>
      <c r="BN118" s="5" t="s">
        <v>3154</v>
      </c>
      <c r="BO118" s="63">
        <v>337</v>
      </c>
      <c r="BP118" s="63">
        <v>101</v>
      </c>
      <c r="BR118" s="63"/>
      <c r="BY118" s="63">
        <f t="shared" ref="BY118:BY130" si="50">BZ118-C118</f>
        <v>0</v>
      </c>
      <c r="BZ118" s="63">
        <v>22515</v>
      </c>
      <c r="CA118" s="63">
        <v>315</v>
      </c>
      <c r="CD118" s="63">
        <v>4</v>
      </c>
      <c r="CE118" s="63">
        <v>0</v>
      </c>
      <c r="CF118" s="63">
        <v>0</v>
      </c>
      <c r="CG118" s="132">
        <v>0</v>
      </c>
      <c r="CH118" s="132">
        <v>0</v>
      </c>
      <c r="CI118" s="132">
        <v>0</v>
      </c>
      <c r="CJ118" s="132">
        <v>0</v>
      </c>
      <c r="CK118" s="132">
        <v>0</v>
      </c>
      <c r="CL118" s="132">
        <v>0</v>
      </c>
    </row>
    <row r="119" spans="1:90" hidden="1" outlineLevel="1">
      <c r="A119" t="s">
        <v>938</v>
      </c>
      <c r="B119" t="s">
        <v>384</v>
      </c>
      <c r="C119" s="1">
        <f t="shared" si="39"/>
        <v>12281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4</v>
      </c>
      <c r="G119" s="132">
        <f t="shared" si="40"/>
        <v>4724</v>
      </c>
      <c r="H119" s="137">
        <f t="shared" si="41"/>
        <v>0.38465922970442146</v>
      </c>
      <c r="I119" s="2"/>
      <c r="J119" s="2">
        <f t="shared" si="42"/>
        <v>0.26878918654832668</v>
      </c>
      <c r="K119" s="2">
        <f t="shared" si="43"/>
        <v>0.65344841625274819</v>
      </c>
      <c r="L119" s="2">
        <f t="shared" si="44"/>
        <v>1.457536031267812E-2</v>
      </c>
      <c r="M119" s="2">
        <f t="shared" si="45"/>
        <v>6.3187036886246967E-2</v>
      </c>
      <c r="N119" s="63">
        <v>3301</v>
      </c>
      <c r="O119" s="63">
        <v>8025</v>
      </c>
      <c r="P119" s="63">
        <v>179</v>
      </c>
      <c r="Q119" s="63">
        <v>497</v>
      </c>
      <c r="R119" s="63">
        <v>116</v>
      </c>
      <c r="S119" s="63">
        <v>14</v>
      </c>
      <c r="T119" s="63">
        <v>0</v>
      </c>
      <c r="U119" s="63"/>
      <c r="V119" s="63"/>
      <c r="W119" s="63">
        <f>IF(Copyright!B$11=1,CA119-SUM(X119:AQ119)-SUM(S119:V119)-P119,SUM(CD119:CL119))</f>
        <v>147</v>
      </c>
      <c r="X119" s="63"/>
      <c r="Y119" s="63">
        <v>2</v>
      </c>
      <c r="Z119" s="63"/>
      <c r="AA119" s="63"/>
      <c r="AB119" s="63"/>
      <c r="AC119" s="63"/>
      <c r="AD119" s="63"/>
      <c r="AE119" s="63">
        <v>0</v>
      </c>
      <c r="AF119" s="63"/>
      <c r="AG119" s="63"/>
      <c r="AH119" s="63"/>
      <c r="AI119" s="63"/>
      <c r="AJ119" s="63"/>
      <c r="AK119" s="63"/>
      <c r="AL119" s="63"/>
      <c r="AM119" s="63">
        <v>0</v>
      </c>
      <c r="AN119" s="63"/>
      <c r="AO119" s="63"/>
      <c r="AP119" s="63"/>
      <c r="AQ119" s="63">
        <v>0</v>
      </c>
      <c r="AR119" s="63"/>
      <c r="AS119" s="63"/>
      <c r="AT119" s="63"/>
      <c r="AU119" s="63"/>
      <c r="AW119" s="5">
        <f>IF(Q119&gt;0,RANK(Q119,(N119:P119,Q119:AE119)),0)</f>
        <v>3</v>
      </c>
      <c r="AX119" s="5">
        <f>IF(R119&gt;0,RANK(R119,(N119:P119,Q119:AE119)),0)</f>
        <v>6</v>
      </c>
      <c r="AY119" s="5">
        <f>IF(T119&gt;0,RANK(T119,(N119:P119,Q119:AE119)),0)</f>
        <v>0</v>
      </c>
      <c r="AZ119" s="5">
        <f>IF(S119&gt;0,RANK(S119,(N119:P119,Q119:AE119)),0)</f>
        <v>7</v>
      </c>
      <c r="BA119" s="2">
        <f t="shared" si="46"/>
        <v>4.046901718101132E-2</v>
      </c>
      <c r="BB119" s="2">
        <f t="shared" si="47"/>
        <v>9.4454848953668263E-3</v>
      </c>
      <c r="BC119" s="2">
        <f t="shared" si="48"/>
        <v>0</v>
      </c>
      <c r="BD119" s="2">
        <f t="shared" si="49"/>
        <v>1.1399723149580652E-3</v>
      </c>
      <c r="BF119" t="s">
        <v>938</v>
      </c>
      <c r="BG119" t="s">
        <v>384</v>
      </c>
      <c r="BH119">
        <v>1</v>
      </c>
      <c r="BJ119" s="114">
        <v>4</v>
      </c>
      <c r="BK119" s="116">
        <v>9</v>
      </c>
      <c r="BL119" s="120">
        <f t="shared" si="22"/>
        <v>4009</v>
      </c>
      <c r="BN119" s="5" t="s">
        <v>3154</v>
      </c>
      <c r="BO119" s="63">
        <v>207</v>
      </c>
      <c r="BP119" s="63">
        <v>47</v>
      </c>
      <c r="BR119" s="63"/>
      <c r="BY119" s="63">
        <f t="shared" si="50"/>
        <v>0</v>
      </c>
      <c r="BZ119" s="63">
        <v>12281</v>
      </c>
      <c r="CA119" s="63">
        <v>342</v>
      </c>
      <c r="CD119" s="63">
        <v>0</v>
      </c>
      <c r="CE119" s="63">
        <v>0</v>
      </c>
      <c r="CF119" s="63">
        <v>0</v>
      </c>
      <c r="CG119" s="132">
        <v>0</v>
      </c>
      <c r="CH119" s="132">
        <v>0</v>
      </c>
      <c r="CI119" s="132">
        <v>0</v>
      </c>
      <c r="CJ119" s="132">
        <v>0</v>
      </c>
      <c r="CK119" s="132">
        <v>0</v>
      </c>
      <c r="CL119" s="132">
        <v>0</v>
      </c>
    </row>
    <row r="120" spans="1:90" hidden="1" outlineLevel="1">
      <c r="A120" t="s">
        <v>3081</v>
      </c>
      <c r="B120" t="s">
        <v>384</v>
      </c>
      <c r="C120" s="1">
        <f t="shared" si="39"/>
        <v>3300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6</v>
      </c>
      <c r="G120" s="132">
        <f t="shared" si="40"/>
        <v>800</v>
      </c>
      <c r="H120" s="137">
        <f t="shared" si="41"/>
        <v>0.24242424242424243</v>
      </c>
      <c r="I120" s="2"/>
      <c r="J120" s="2">
        <f t="shared" si="42"/>
        <v>0.33090909090909093</v>
      </c>
      <c r="K120" s="2">
        <f t="shared" si="43"/>
        <v>0.57333333333333336</v>
      </c>
      <c r="L120" s="2">
        <f t="shared" si="44"/>
        <v>7.8787878787878792E-3</v>
      </c>
      <c r="M120" s="2">
        <f t="shared" si="45"/>
        <v>8.7878787878787834E-2</v>
      </c>
      <c r="N120" s="63">
        <v>1092</v>
      </c>
      <c r="O120" s="63">
        <v>1892</v>
      </c>
      <c r="P120" s="63">
        <v>26</v>
      </c>
      <c r="Q120" s="63">
        <v>200</v>
      </c>
      <c r="R120" s="63">
        <v>59</v>
      </c>
      <c r="S120" s="63">
        <v>1</v>
      </c>
      <c r="T120" s="63">
        <v>0</v>
      </c>
      <c r="U120" s="63"/>
      <c r="V120" s="63"/>
      <c r="W120" s="63">
        <f>IF(Copyright!B$11=1,CA120-SUM(X120:AQ120)-SUM(S120:V120)-P120,SUM(CD120:CL120))</f>
        <v>30</v>
      </c>
      <c r="X120" s="63"/>
      <c r="Y120" s="63">
        <v>0</v>
      </c>
      <c r="Z120" s="63"/>
      <c r="AA120" s="63"/>
      <c r="AB120" s="63"/>
      <c r="AC120" s="63"/>
      <c r="AD120" s="63"/>
      <c r="AE120" s="63">
        <v>0</v>
      </c>
      <c r="AF120" s="63"/>
      <c r="AG120" s="63"/>
      <c r="AH120" s="63"/>
      <c r="AI120" s="63"/>
      <c r="AJ120" s="63"/>
      <c r="AK120" s="63"/>
      <c r="AL120" s="63"/>
      <c r="AM120" s="63">
        <v>0</v>
      </c>
      <c r="AN120" s="63"/>
      <c r="AO120" s="63"/>
      <c r="AP120" s="63"/>
      <c r="AQ120" s="63">
        <v>0</v>
      </c>
      <c r="AR120" s="63"/>
      <c r="AS120" s="63"/>
      <c r="AT120" s="63"/>
      <c r="AU120" s="63"/>
      <c r="AW120" s="5">
        <f>IF(Q120&gt;0,RANK(Q120,(N120:P120,Q120:AE120)),0)</f>
        <v>3</v>
      </c>
      <c r="AX120" s="5">
        <f>IF(R120&gt;0,RANK(R120,(N120:P120,Q120:AE120)),0)</f>
        <v>4</v>
      </c>
      <c r="AY120" s="5">
        <f>IF(T120&gt;0,RANK(T120,(N120:P120,Q120:AE120)),0)</f>
        <v>0</v>
      </c>
      <c r="AZ120" s="5">
        <f>IF(S120&gt;0,RANK(S120,(N120:P120,Q120:AE120)),0)</f>
        <v>7</v>
      </c>
      <c r="BA120" s="2">
        <f t="shared" si="46"/>
        <v>6.0606060606060608E-2</v>
      </c>
      <c r="BB120" s="2">
        <f t="shared" si="47"/>
        <v>1.7878787878787879E-2</v>
      </c>
      <c r="BC120" s="2">
        <f t="shared" si="48"/>
        <v>0</v>
      </c>
      <c r="BD120" s="2">
        <f t="shared" si="49"/>
        <v>3.0303030303030303E-4</v>
      </c>
      <c r="BF120" t="s">
        <v>3081</v>
      </c>
      <c r="BG120" t="s">
        <v>384</v>
      </c>
      <c r="BH120">
        <v>1</v>
      </c>
      <c r="BJ120" s="114">
        <v>4</v>
      </c>
      <c r="BK120" s="116">
        <v>11</v>
      </c>
      <c r="BL120" s="120">
        <f t="shared" si="22"/>
        <v>4011</v>
      </c>
      <c r="BN120" s="5" t="s">
        <v>3154</v>
      </c>
      <c r="BO120" s="63">
        <v>71</v>
      </c>
      <c r="BP120" s="63">
        <v>5</v>
      </c>
      <c r="BR120" s="63"/>
      <c r="BY120" s="63">
        <f t="shared" si="50"/>
        <v>0</v>
      </c>
      <c r="BZ120" s="63">
        <f>1892+1092+200+59+57</f>
        <v>3300</v>
      </c>
      <c r="CA120" s="63">
        <v>57</v>
      </c>
      <c r="CD120" s="63">
        <v>0</v>
      </c>
      <c r="CE120" s="63">
        <v>0</v>
      </c>
      <c r="CF120" s="63">
        <v>0</v>
      </c>
      <c r="CG120" s="132">
        <v>0</v>
      </c>
      <c r="CH120" s="132">
        <v>0</v>
      </c>
      <c r="CI120" s="132">
        <v>0</v>
      </c>
      <c r="CJ120" s="132">
        <v>0</v>
      </c>
      <c r="CK120" s="132">
        <v>0</v>
      </c>
      <c r="CL120" s="132">
        <v>0</v>
      </c>
    </row>
    <row r="121" spans="1:90" hidden="1" outlineLevel="1">
      <c r="A121" t="s">
        <v>509</v>
      </c>
      <c r="B121" t="s">
        <v>384</v>
      </c>
      <c r="C121" s="1">
        <f t="shared" si="39"/>
        <v>5951</v>
      </c>
      <c r="D121" s="5">
        <f>IF(N121&gt;0, RANK(N121,(N121:P121,Q121:AE121)),0)</f>
        <v>2</v>
      </c>
      <c r="E121" s="5">
        <f>IF(O121&gt;0,RANK(O121,(N121:P121,Q121:AE121)),0)</f>
        <v>1</v>
      </c>
      <c r="F121" s="5">
        <f>IF(P121&gt;0,RANK(P121,(N121:P121,Q121:AE121)),0)</f>
        <v>6</v>
      </c>
      <c r="G121" s="132">
        <f t="shared" si="40"/>
        <v>2428</v>
      </c>
      <c r="H121" s="137">
        <f t="shared" si="41"/>
        <v>0.40799865568811966</v>
      </c>
      <c r="I121" s="2"/>
      <c r="J121" s="2">
        <f t="shared" si="42"/>
        <v>0.26466140144513528</v>
      </c>
      <c r="K121" s="2">
        <f t="shared" si="43"/>
        <v>0.67266005713325494</v>
      </c>
      <c r="L121" s="2">
        <f t="shared" si="44"/>
        <v>1.6803898504453034E-3</v>
      </c>
      <c r="M121" s="2">
        <f t="shared" si="45"/>
        <v>6.0998151571164477E-2</v>
      </c>
      <c r="N121" s="63">
        <v>1575</v>
      </c>
      <c r="O121" s="63">
        <v>4003</v>
      </c>
      <c r="P121" s="63">
        <v>10</v>
      </c>
      <c r="Q121" s="63">
        <v>211</v>
      </c>
      <c r="R121" s="63">
        <v>73</v>
      </c>
      <c r="S121" s="63">
        <v>2</v>
      </c>
      <c r="T121" s="63">
        <v>0</v>
      </c>
      <c r="U121" s="63"/>
      <c r="V121" s="63"/>
      <c r="W121" s="63">
        <f>IF(Copyright!B$11=1,CA121-SUM(X121:AQ121)-SUM(S121:V121)-P121,SUM(CD121:CL121))</f>
        <v>74</v>
      </c>
      <c r="X121" s="63"/>
      <c r="Y121" s="63">
        <v>3</v>
      </c>
      <c r="Z121" s="63"/>
      <c r="AA121" s="63"/>
      <c r="AB121" s="63"/>
      <c r="AC121" s="63"/>
      <c r="AD121" s="63"/>
      <c r="AE121" s="63">
        <v>0</v>
      </c>
      <c r="AF121" s="63"/>
      <c r="AG121" s="63"/>
      <c r="AH121" s="63"/>
      <c r="AI121" s="63"/>
      <c r="AJ121" s="63"/>
      <c r="AK121" s="63"/>
      <c r="AL121" s="63"/>
      <c r="AM121" s="63">
        <v>0</v>
      </c>
      <c r="AN121" s="63"/>
      <c r="AO121" s="63"/>
      <c r="AP121" s="63"/>
      <c r="AQ121" s="63">
        <v>0</v>
      </c>
      <c r="AR121" s="63"/>
      <c r="AS121" s="63"/>
      <c r="AT121" s="63"/>
      <c r="AU121" s="63"/>
      <c r="AW121" s="5">
        <f>IF(Q121&gt;0,RANK(Q121,(N121:P121,Q121:AE121)),0)</f>
        <v>3</v>
      </c>
      <c r="AX121" s="5">
        <f>IF(R121&gt;0,RANK(R121,(N121:P121,Q121:AE121)),0)</f>
        <v>5</v>
      </c>
      <c r="AY121" s="5">
        <f>IF(T121&gt;0,RANK(T121,(N121:P121,Q121:AE121)),0)</f>
        <v>0</v>
      </c>
      <c r="AZ121" s="5">
        <f>IF(S121&gt;0,RANK(S121,(N121:P121,Q121:AE121)),0)</f>
        <v>8</v>
      </c>
      <c r="BA121" s="2">
        <f t="shared" si="46"/>
        <v>3.5456225844395901E-2</v>
      </c>
      <c r="BB121" s="2">
        <f t="shared" si="47"/>
        <v>1.2266845908250714E-2</v>
      </c>
      <c r="BC121" s="2">
        <f t="shared" si="48"/>
        <v>0</v>
      </c>
      <c r="BD121" s="2">
        <f t="shared" si="49"/>
        <v>3.3607797008906068E-4</v>
      </c>
      <c r="BF121" t="s">
        <v>509</v>
      </c>
      <c r="BG121" t="s">
        <v>384</v>
      </c>
      <c r="BH121">
        <v>4</v>
      </c>
      <c r="BJ121" s="114">
        <v>4</v>
      </c>
      <c r="BK121" s="116">
        <v>12</v>
      </c>
      <c r="BL121" s="120">
        <f t="shared" si="22"/>
        <v>4012</v>
      </c>
      <c r="BN121" s="5" t="s">
        <v>3154</v>
      </c>
      <c r="BO121" s="63">
        <v>76</v>
      </c>
      <c r="BP121" s="63">
        <v>29</v>
      </c>
      <c r="BR121" s="63"/>
      <c r="BY121" s="63">
        <f t="shared" si="50"/>
        <v>0</v>
      </c>
      <c r="BZ121" s="63">
        <v>5951</v>
      </c>
      <c r="CA121" s="63">
        <v>89</v>
      </c>
      <c r="CD121" s="63">
        <v>0</v>
      </c>
      <c r="CE121" s="63">
        <v>0</v>
      </c>
      <c r="CF121" s="63">
        <v>0</v>
      </c>
      <c r="CG121" s="132">
        <v>0</v>
      </c>
      <c r="CH121" s="132">
        <v>0</v>
      </c>
      <c r="CI121" s="132">
        <v>0</v>
      </c>
      <c r="CJ121" s="132">
        <v>0</v>
      </c>
      <c r="CK121" s="132">
        <v>0</v>
      </c>
      <c r="CL121" s="132">
        <v>0</v>
      </c>
    </row>
    <row r="122" spans="1:90" hidden="1" outlineLevel="1">
      <c r="A122" t="s">
        <v>281</v>
      </c>
      <c r="B122" t="s">
        <v>384</v>
      </c>
      <c r="C122" s="1">
        <f t="shared" si="39"/>
        <v>1567834</v>
      </c>
      <c r="D122" s="5">
        <f>IF(N122&gt;0, RANK(N122,(N122:P122,Q122:AE122)),0)</f>
        <v>2</v>
      </c>
      <c r="E122" s="5">
        <f>IF(O122&gt;0,RANK(O122,(N122:P122,Q122:AE122)),0)</f>
        <v>1</v>
      </c>
      <c r="F122" s="5">
        <f>IF(P122&gt;0,RANK(P122,(N122:P122,Q122:AE122)),0)</f>
        <v>6</v>
      </c>
      <c r="G122" s="132">
        <f t="shared" si="40"/>
        <v>44454</v>
      </c>
      <c r="H122" s="137">
        <f t="shared" si="41"/>
        <v>2.835376704421514E-2</v>
      </c>
      <c r="I122" s="2"/>
      <c r="J122" s="2">
        <f t="shared" si="42"/>
        <v>0.44832998901669435</v>
      </c>
      <c r="K122" s="2">
        <f t="shared" si="43"/>
        <v>0.47668375606090951</v>
      </c>
      <c r="L122" s="2">
        <f t="shared" si="44"/>
        <v>7.3017934296615589E-3</v>
      </c>
      <c r="M122" s="2">
        <f t="shared" si="45"/>
        <v>6.7684461492734632E-2</v>
      </c>
      <c r="N122" s="63">
        <v>702907</v>
      </c>
      <c r="O122" s="63">
        <v>747361</v>
      </c>
      <c r="P122" s="63">
        <v>11448</v>
      </c>
      <c r="Q122" s="63">
        <v>67043</v>
      </c>
      <c r="R122" s="63">
        <v>19432</v>
      </c>
      <c r="S122" s="63">
        <v>616</v>
      </c>
      <c r="T122" s="63">
        <v>20</v>
      </c>
      <c r="U122" s="63"/>
      <c r="V122" s="63"/>
      <c r="W122" s="63">
        <f>IF(Copyright!B$11=1,CA122-SUM(X122:AQ122)-SUM(S122:V122)-P122,SUM(CD122:CL122))</f>
        <v>18860</v>
      </c>
      <c r="X122" s="63"/>
      <c r="Y122" s="63">
        <v>52</v>
      </c>
      <c r="Z122" s="63"/>
      <c r="AA122" s="63"/>
      <c r="AB122" s="63"/>
      <c r="AC122" s="63"/>
      <c r="AD122" s="63"/>
      <c r="AE122" s="63">
        <v>36</v>
      </c>
      <c r="AF122" s="63"/>
      <c r="AG122" s="63"/>
      <c r="AH122" s="63"/>
      <c r="AI122" s="63"/>
      <c r="AJ122" s="63"/>
      <c r="AK122" s="63"/>
      <c r="AL122" s="63"/>
      <c r="AM122" s="63">
        <v>12</v>
      </c>
      <c r="AN122" s="63"/>
      <c r="AO122" s="63"/>
      <c r="AP122" s="63"/>
      <c r="AQ122" s="63">
        <v>47</v>
      </c>
      <c r="AR122" s="63"/>
      <c r="AS122" s="63"/>
      <c r="AT122" s="63"/>
      <c r="AU122" s="63"/>
      <c r="AW122" s="5">
        <f>IF(Q122&gt;0,RANK(Q122,(N122:P122,Q122:AE122)),0)</f>
        <v>3</v>
      </c>
      <c r="AX122" s="5">
        <f>IF(R122&gt;0,RANK(R122,(N122:P122,Q122:AE122)),0)</f>
        <v>4</v>
      </c>
      <c r="AY122" s="5">
        <f>IF(T122&gt;0,RANK(T122,(N122:P122,Q122:AE122)),0)</f>
        <v>10</v>
      </c>
      <c r="AZ122" s="5">
        <f>IF(S122&gt;0,RANK(S122,(N122:P122,Q122:AE122)),0)</f>
        <v>7</v>
      </c>
      <c r="BA122" s="2">
        <f t="shared" si="46"/>
        <v>4.2761542357162813E-2</v>
      </c>
      <c r="BB122" s="2">
        <f t="shared" si="47"/>
        <v>1.2394169280676399E-2</v>
      </c>
      <c r="BC122" s="2">
        <f t="shared" si="48"/>
        <v>1.2756452532602304E-5</v>
      </c>
      <c r="BD122" s="2">
        <f t="shared" si="49"/>
        <v>3.9289873800415093E-4</v>
      </c>
      <c r="BF122" t="s">
        <v>281</v>
      </c>
      <c r="BG122" t="s">
        <v>384</v>
      </c>
      <c r="BJ122" s="114">
        <v>4</v>
      </c>
      <c r="BK122" s="116">
        <v>13</v>
      </c>
      <c r="BL122" s="120">
        <f t="shared" si="22"/>
        <v>4013</v>
      </c>
      <c r="BN122" s="5" t="s">
        <v>3154</v>
      </c>
      <c r="BO122" s="63">
        <v>19256</v>
      </c>
      <c r="BP122" s="63">
        <v>21785</v>
      </c>
      <c r="BR122" s="63"/>
      <c r="BS122" s="63"/>
      <c r="BT122" s="63"/>
      <c r="BU122" s="63"/>
      <c r="BY122" s="63">
        <f t="shared" si="50"/>
        <v>0</v>
      </c>
      <c r="BZ122" s="63">
        <v>1567834</v>
      </c>
      <c r="CA122" s="63">
        <v>31091</v>
      </c>
      <c r="CD122" s="63">
        <v>42</v>
      </c>
      <c r="CE122" s="63">
        <v>28</v>
      </c>
      <c r="CF122" s="63">
        <v>3</v>
      </c>
      <c r="CG122" s="132">
        <v>9</v>
      </c>
      <c r="CH122" s="132">
        <v>8</v>
      </c>
      <c r="CI122" s="132">
        <v>17</v>
      </c>
      <c r="CJ122" s="132">
        <v>3</v>
      </c>
      <c r="CK122" s="132">
        <v>3</v>
      </c>
      <c r="CL122" s="132">
        <v>11</v>
      </c>
    </row>
    <row r="123" spans="1:90" hidden="1" outlineLevel="1">
      <c r="A123" t="s">
        <v>2165</v>
      </c>
      <c r="B123" t="s">
        <v>384</v>
      </c>
      <c r="C123" s="1">
        <f t="shared" si="39"/>
        <v>79943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6</v>
      </c>
      <c r="G123" s="132">
        <f t="shared" si="40"/>
        <v>40827</v>
      </c>
      <c r="H123" s="137">
        <f t="shared" si="41"/>
        <v>0.51070137472949473</v>
      </c>
      <c r="I123" s="2"/>
      <c r="J123" s="2">
        <f t="shared" si="42"/>
        <v>0.21834306943697385</v>
      </c>
      <c r="K123" s="2">
        <f t="shared" si="43"/>
        <v>0.72904444416646863</v>
      </c>
      <c r="L123" s="2">
        <f t="shared" si="44"/>
        <v>2.551818170446443E-3</v>
      </c>
      <c r="M123" s="2">
        <f t="shared" si="45"/>
        <v>5.0060668226111021E-2</v>
      </c>
      <c r="N123" s="63">
        <v>17455</v>
      </c>
      <c r="O123" s="63">
        <v>58282</v>
      </c>
      <c r="P123" s="63">
        <v>204</v>
      </c>
      <c r="Q123" s="63">
        <v>2639</v>
      </c>
      <c r="R123" s="63">
        <v>740</v>
      </c>
      <c r="S123" s="63">
        <v>24</v>
      </c>
      <c r="T123" s="63">
        <v>0</v>
      </c>
      <c r="U123" s="63"/>
      <c r="V123" s="63"/>
      <c r="W123" s="63">
        <f>IF(Copyright!B$11=1,CA123-SUM(X123:AQ123)-SUM(S123:V123)-P123,SUM(CD123:CL123))</f>
        <v>598</v>
      </c>
      <c r="X123" s="63"/>
      <c r="Y123" s="63">
        <v>1</v>
      </c>
      <c r="Z123" s="63"/>
      <c r="AA123" s="63"/>
      <c r="AB123" s="63"/>
      <c r="AC123" s="63"/>
      <c r="AD123" s="63"/>
      <c r="AE123" s="63">
        <v>0</v>
      </c>
      <c r="AF123" s="63"/>
      <c r="AG123" s="63"/>
      <c r="AH123" s="63"/>
      <c r="AI123" s="63"/>
      <c r="AJ123" s="63"/>
      <c r="AK123" s="63"/>
      <c r="AL123" s="63"/>
      <c r="AM123" s="63">
        <v>0</v>
      </c>
      <c r="AN123" s="63"/>
      <c r="AO123" s="63"/>
      <c r="AP123" s="63"/>
      <c r="AQ123" s="63">
        <v>0</v>
      </c>
      <c r="AR123" s="63"/>
      <c r="AS123" s="63"/>
      <c r="AT123" s="63"/>
      <c r="AU123" s="63"/>
      <c r="AW123" s="5">
        <f>IF(Q123&gt;0,RANK(Q123,(N123:P123,Q123:AE123)),0)</f>
        <v>3</v>
      </c>
      <c r="AX123" s="5">
        <f>IF(R123&gt;0,RANK(R123,(N123:P123,Q123:AE123)),0)</f>
        <v>4</v>
      </c>
      <c r="AY123" s="5">
        <f>IF(T123&gt;0,RANK(T123,(N123:P123,Q123:AE123)),0)</f>
        <v>0</v>
      </c>
      <c r="AZ123" s="5">
        <f>IF(S123&gt;0,RANK(S123,(N123:P123,Q123:AE123)),0)</f>
        <v>7</v>
      </c>
      <c r="BA123" s="2">
        <f t="shared" si="46"/>
        <v>3.3011020352000799E-2</v>
      </c>
      <c r="BB123" s="2">
        <f t="shared" si="47"/>
        <v>9.2565953241684693E-3</v>
      </c>
      <c r="BC123" s="2">
        <f t="shared" si="48"/>
        <v>0</v>
      </c>
      <c r="BD123" s="2">
        <f t="shared" si="49"/>
        <v>3.0021390240546391E-4</v>
      </c>
      <c r="BF123" t="s">
        <v>2165</v>
      </c>
      <c r="BG123" t="s">
        <v>384</v>
      </c>
      <c r="BJ123" s="114">
        <v>4</v>
      </c>
      <c r="BK123" s="116">
        <v>15</v>
      </c>
      <c r="BL123" s="120">
        <f t="shared" si="22"/>
        <v>4015</v>
      </c>
      <c r="BN123" s="5" t="s">
        <v>3154</v>
      </c>
      <c r="BO123" s="63">
        <v>796</v>
      </c>
      <c r="BP123" s="63">
        <v>375</v>
      </c>
      <c r="BR123" s="63"/>
      <c r="BS123" s="63"/>
      <c r="BY123" s="63">
        <f t="shared" si="50"/>
        <v>0</v>
      </c>
      <c r="BZ123" s="63">
        <v>79943</v>
      </c>
      <c r="CA123" s="63">
        <v>827</v>
      </c>
      <c r="CD123" s="63">
        <v>0</v>
      </c>
      <c r="CE123" s="63">
        <v>0</v>
      </c>
      <c r="CF123" s="63">
        <v>0</v>
      </c>
      <c r="CG123" s="132">
        <v>0</v>
      </c>
      <c r="CH123" s="132">
        <v>0</v>
      </c>
      <c r="CI123" s="132">
        <v>1</v>
      </c>
      <c r="CJ123" s="132">
        <v>0</v>
      </c>
      <c r="CK123" s="132">
        <v>0</v>
      </c>
      <c r="CL123" s="132">
        <v>0</v>
      </c>
    </row>
    <row r="124" spans="1:90" hidden="1" outlineLevel="1">
      <c r="A124" t="s">
        <v>2868</v>
      </c>
      <c r="B124" t="s">
        <v>384</v>
      </c>
      <c r="C124" s="1">
        <f t="shared" si="39"/>
        <v>40294</v>
      </c>
      <c r="D124" s="5">
        <f>IF(N124&gt;0, RANK(N124,(N124:P124,Q124:AE124)),0)</f>
        <v>2</v>
      </c>
      <c r="E124" s="5">
        <f>IF(O124&gt;0,RANK(O124,(N124:P124,Q124:AE124)),0)</f>
        <v>1</v>
      </c>
      <c r="F124" s="5">
        <f>IF(P124&gt;0,RANK(P124,(N124:P124,Q124:AE124)),0)</f>
        <v>6</v>
      </c>
      <c r="G124" s="132">
        <f t="shared" si="40"/>
        <v>4118</v>
      </c>
      <c r="H124" s="137">
        <f t="shared" si="41"/>
        <v>0.10219883853675485</v>
      </c>
      <c r="I124" s="2"/>
      <c r="J124" s="2">
        <f t="shared" si="42"/>
        <v>0.4084727254678116</v>
      </c>
      <c r="K124" s="2">
        <f t="shared" si="43"/>
        <v>0.51067156400456648</v>
      </c>
      <c r="L124" s="2">
        <f t="shared" si="44"/>
        <v>1.1713902814314786E-2</v>
      </c>
      <c r="M124" s="2">
        <f t="shared" si="45"/>
        <v>6.9141807713307191E-2</v>
      </c>
      <c r="N124" s="63">
        <v>16459</v>
      </c>
      <c r="O124" s="63">
        <v>20577</v>
      </c>
      <c r="P124" s="63">
        <v>472</v>
      </c>
      <c r="Q124" s="63">
        <v>1410</v>
      </c>
      <c r="R124" s="63">
        <v>703</v>
      </c>
      <c r="S124" s="63">
        <v>24</v>
      </c>
      <c r="T124" s="63">
        <v>1</v>
      </c>
      <c r="U124" s="63"/>
      <c r="V124" s="63"/>
      <c r="W124" s="63">
        <f>IF(Copyright!B$11=1,CA124-SUM(X124:AQ124)-SUM(S124:V124)-P124,SUM(CD124:CL124))</f>
        <v>644</v>
      </c>
      <c r="X124" s="63"/>
      <c r="Y124" s="63">
        <v>1</v>
      </c>
      <c r="Z124" s="63"/>
      <c r="AA124" s="63"/>
      <c r="AB124" s="63"/>
      <c r="AC124" s="63"/>
      <c r="AD124" s="63"/>
      <c r="AE124" s="63">
        <v>0</v>
      </c>
      <c r="AF124" s="63"/>
      <c r="AG124" s="63"/>
      <c r="AH124" s="63"/>
      <c r="AI124" s="63"/>
      <c r="AJ124" s="63"/>
      <c r="AK124" s="63"/>
      <c r="AL124" s="63"/>
      <c r="AM124" s="63">
        <v>1</v>
      </c>
      <c r="AN124" s="63"/>
      <c r="AO124" s="63"/>
      <c r="AP124" s="63"/>
      <c r="AQ124" s="63">
        <v>2</v>
      </c>
      <c r="AR124" s="63"/>
      <c r="AS124" s="63"/>
      <c r="AT124" s="63"/>
      <c r="AU124" s="63"/>
      <c r="AW124" s="5">
        <f>IF(Q124&gt;0,RANK(Q124,(N124:P124,Q124:AE124)),0)</f>
        <v>3</v>
      </c>
      <c r="AX124" s="5">
        <f>IF(R124&gt;0,RANK(R124,(N124:P124,Q124:AE124)),0)</f>
        <v>4</v>
      </c>
      <c r="AY124" s="5">
        <f>IF(T124&gt;0,RANK(T124,(N124:P124,Q124:AE124)),0)</f>
        <v>8</v>
      </c>
      <c r="AZ124" s="5">
        <f>IF(S124&gt;0,RANK(S124,(N124:P124,Q124:AE124)),0)</f>
        <v>7</v>
      </c>
      <c r="BA124" s="2">
        <f t="shared" si="46"/>
        <v>3.4992802898694594E-2</v>
      </c>
      <c r="BB124" s="2">
        <f t="shared" si="47"/>
        <v>1.7446766267930708E-2</v>
      </c>
      <c r="BC124" s="2">
        <f t="shared" si="48"/>
        <v>2.481759070829404E-5</v>
      </c>
      <c r="BD124" s="2">
        <f t="shared" si="49"/>
        <v>5.9562217699905698E-4</v>
      </c>
      <c r="BF124" t="s">
        <v>2868</v>
      </c>
      <c r="BG124" t="s">
        <v>384</v>
      </c>
      <c r="BH124">
        <v>1</v>
      </c>
      <c r="BJ124" s="114">
        <v>4</v>
      </c>
      <c r="BK124" s="116">
        <v>17</v>
      </c>
      <c r="BL124" s="120">
        <f t="shared" si="22"/>
        <v>4017</v>
      </c>
      <c r="BN124" s="5" t="s">
        <v>3154</v>
      </c>
      <c r="BO124" s="63">
        <v>663</v>
      </c>
      <c r="BP124" s="63">
        <v>331</v>
      </c>
      <c r="BR124" s="63"/>
      <c r="BY124" s="63">
        <f t="shared" si="50"/>
        <v>0</v>
      </c>
      <c r="BZ124" s="63">
        <f>20577+16459+1410+703+1145</f>
        <v>40294</v>
      </c>
      <c r="CA124" s="63">
        <v>1145</v>
      </c>
      <c r="CD124" s="63">
        <v>1</v>
      </c>
      <c r="CE124" s="63">
        <v>1</v>
      </c>
      <c r="CF124" s="63">
        <v>0</v>
      </c>
      <c r="CG124" s="132">
        <v>1</v>
      </c>
      <c r="CH124" s="132">
        <v>1</v>
      </c>
      <c r="CI124" s="132">
        <v>0</v>
      </c>
      <c r="CJ124" s="132">
        <v>0</v>
      </c>
      <c r="CK124" s="132">
        <v>0</v>
      </c>
      <c r="CL124" s="132">
        <v>0</v>
      </c>
    </row>
    <row r="125" spans="1:90" hidden="1" outlineLevel="1">
      <c r="A125" t="s">
        <v>1858</v>
      </c>
      <c r="B125" t="s">
        <v>384</v>
      </c>
      <c r="C125" s="1">
        <f t="shared" si="39"/>
        <v>421640</v>
      </c>
      <c r="D125" s="5">
        <f>IF(N125&gt;0, RANK(N125,(N125:P125,Q125:AE125)),0)</f>
        <v>1</v>
      </c>
      <c r="E125" s="5">
        <f>IF(O125&gt;0,RANK(O125,(N125:P125,Q125:AE125)),0)</f>
        <v>2</v>
      </c>
      <c r="F125" s="5">
        <f>IF(P125&gt;0,RANK(P125,(N125:P125,Q125:AE125)),0)</f>
        <v>6</v>
      </c>
      <c r="G125" s="132">
        <f t="shared" si="40"/>
        <v>57233</v>
      </c>
      <c r="H125" s="137">
        <f t="shared" si="41"/>
        <v>0.13573901906839958</v>
      </c>
      <c r="I125" s="2"/>
      <c r="J125" s="2">
        <f t="shared" si="42"/>
        <v>0.53282658191822407</v>
      </c>
      <c r="K125" s="2">
        <f t="shared" si="43"/>
        <v>0.39708756284982449</v>
      </c>
      <c r="L125" s="2">
        <f t="shared" si="44"/>
        <v>5.521297789583531E-3</v>
      </c>
      <c r="M125" s="2">
        <f t="shared" si="45"/>
        <v>6.4564557442367901E-2</v>
      </c>
      <c r="N125" s="63">
        <v>224661</v>
      </c>
      <c r="O125" s="63">
        <v>167428</v>
      </c>
      <c r="P125" s="63">
        <v>2328</v>
      </c>
      <c r="Q125" s="63">
        <v>15620</v>
      </c>
      <c r="R125" s="63">
        <v>6200</v>
      </c>
      <c r="S125" s="63">
        <v>141</v>
      </c>
      <c r="T125" s="63">
        <v>3</v>
      </c>
      <c r="U125" s="63"/>
      <c r="V125" s="63"/>
      <c r="W125" s="63">
        <f>IF(Copyright!B$11=1,CA125-SUM(X125:AQ125)-SUM(S125:V125)-P125,SUM(CD125:CL125))</f>
        <v>5237</v>
      </c>
      <c r="X125" s="63"/>
      <c r="Y125" s="63">
        <v>5</v>
      </c>
      <c r="Z125" s="63"/>
      <c r="AA125" s="63"/>
      <c r="AB125" s="63"/>
      <c r="AC125" s="63"/>
      <c r="AD125" s="63"/>
      <c r="AE125" s="63">
        <v>8</v>
      </c>
      <c r="AF125" s="63"/>
      <c r="AG125" s="63"/>
      <c r="AH125" s="63"/>
      <c r="AI125" s="63"/>
      <c r="AJ125" s="63"/>
      <c r="AK125" s="63"/>
      <c r="AL125" s="63"/>
      <c r="AM125" s="63">
        <v>2</v>
      </c>
      <c r="AN125" s="63"/>
      <c r="AO125" s="63"/>
      <c r="AP125" s="63"/>
      <c r="AQ125" s="63">
        <v>7</v>
      </c>
      <c r="AR125" s="63"/>
      <c r="AS125" s="63"/>
      <c r="AT125" s="63"/>
      <c r="AU125" s="63"/>
      <c r="AW125" s="5">
        <f>IF(Q125&gt;0,RANK(Q125,(N125:P125,Q125:AE125)),0)</f>
        <v>3</v>
      </c>
      <c r="AX125" s="5">
        <f>IF(R125&gt;0,RANK(R125,(N125:P125,Q125:AE125)),0)</f>
        <v>4</v>
      </c>
      <c r="AY125" s="5">
        <f>IF(T125&gt;0,RANK(T125,(N125:P125,Q125:AE125)),0)</f>
        <v>10</v>
      </c>
      <c r="AZ125" s="5">
        <f>IF(S125&gt;0,RANK(S125,(N125:P125,Q125:AE125)),0)</f>
        <v>7</v>
      </c>
      <c r="BA125" s="2">
        <f t="shared" si="46"/>
        <v>3.7045821079593963E-2</v>
      </c>
      <c r="BB125" s="2">
        <f t="shared" si="47"/>
        <v>1.4704487240299782E-2</v>
      </c>
      <c r="BC125" s="2">
        <f t="shared" si="48"/>
        <v>7.1150744711127978E-6</v>
      </c>
      <c r="BD125" s="2">
        <f t="shared" si="49"/>
        <v>3.344085001423015E-4</v>
      </c>
      <c r="BF125" t="s">
        <v>1858</v>
      </c>
      <c r="BG125" t="s">
        <v>384</v>
      </c>
      <c r="BJ125" s="114">
        <v>4</v>
      </c>
      <c r="BK125" s="116">
        <v>19</v>
      </c>
      <c r="BL125" s="120">
        <f t="shared" si="22"/>
        <v>4019</v>
      </c>
      <c r="BN125" s="5" t="s">
        <v>3154</v>
      </c>
      <c r="BO125" s="63">
        <v>4322</v>
      </c>
      <c r="BP125" s="63">
        <v>1140</v>
      </c>
      <c r="BR125" s="63"/>
      <c r="BY125" s="63">
        <f t="shared" si="50"/>
        <v>0</v>
      </c>
      <c r="BZ125" s="63">
        <v>421640</v>
      </c>
      <c r="CA125" s="63">
        <v>7731</v>
      </c>
      <c r="CD125" s="63">
        <v>6</v>
      </c>
      <c r="CE125" s="63">
        <v>5</v>
      </c>
      <c r="CF125" s="63">
        <v>0</v>
      </c>
      <c r="CG125" s="132">
        <v>3</v>
      </c>
      <c r="CH125" s="132">
        <v>1</v>
      </c>
      <c r="CI125" s="132">
        <v>0</v>
      </c>
      <c r="CJ125" s="132">
        <v>0</v>
      </c>
      <c r="CK125" s="132">
        <v>0</v>
      </c>
      <c r="CL125" s="132">
        <v>0</v>
      </c>
    </row>
    <row r="126" spans="1:90" hidden="1" outlineLevel="1">
      <c r="A126" t="s">
        <v>489</v>
      </c>
      <c r="B126" t="s">
        <v>384</v>
      </c>
      <c r="C126" s="1">
        <f t="shared" si="39"/>
        <v>129546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>IF(P126&gt;0,RANK(P126,(N126:P126,Q126:AE126)),0)</f>
        <v>6</v>
      </c>
      <c r="G126" s="132">
        <f t="shared" si="40"/>
        <v>24927</v>
      </c>
      <c r="H126" s="137">
        <f t="shared" si="41"/>
        <v>0.19241813718679079</v>
      </c>
      <c r="I126" s="2"/>
      <c r="J126" s="2">
        <f t="shared" si="42"/>
        <v>0.36969107498494741</v>
      </c>
      <c r="K126" s="2">
        <f t="shared" si="43"/>
        <v>0.56210921217173826</v>
      </c>
      <c r="L126" s="2">
        <f t="shared" si="44"/>
        <v>7.4336529109351119E-3</v>
      </c>
      <c r="M126" s="2">
        <f t="shared" si="45"/>
        <v>6.0766059932379275E-2</v>
      </c>
      <c r="N126" s="63">
        <v>47892</v>
      </c>
      <c r="O126" s="63">
        <v>72819</v>
      </c>
      <c r="P126" s="63">
        <v>963</v>
      </c>
      <c r="Q126" s="63">
        <v>5010</v>
      </c>
      <c r="R126" s="63">
        <v>1476</v>
      </c>
      <c r="S126" s="63">
        <v>75</v>
      </c>
      <c r="T126" s="63">
        <v>0</v>
      </c>
      <c r="U126" s="63"/>
      <c r="V126" s="63"/>
      <c r="W126" s="63">
        <f>IF(Copyright!B$11=1,CA126-SUM(X126:AQ126)-SUM(S126:V126)-P126,SUM(CD126:CL126))</f>
        <v>1300</v>
      </c>
      <c r="X126" s="63"/>
      <c r="Y126" s="63">
        <v>4</v>
      </c>
      <c r="Z126" s="63"/>
      <c r="AA126" s="63"/>
      <c r="AB126" s="63"/>
      <c r="AC126" s="63"/>
      <c r="AD126" s="63"/>
      <c r="AE126" s="63">
        <v>2</v>
      </c>
      <c r="AF126" s="63"/>
      <c r="AG126" s="63"/>
      <c r="AH126" s="63"/>
      <c r="AI126" s="63"/>
      <c r="AJ126" s="63"/>
      <c r="AK126" s="63"/>
      <c r="AL126" s="63"/>
      <c r="AM126" s="63">
        <v>1</v>
      </c>
      <c r="AN126" s="63"/>
      <c r="AO126" s="63"/>
      <c r="AP126" s="63"/>
      <c r="AQ126" s="63">
        <v>4</v>
      </c>
      <c r="AR126" s="63"/>
      <c r="AS126" s="63"/>
      <c r="AT126" s="63"/>
      <c r="AU126" s="63"/>
      <c r="AW126" s="5">
        <f>IF(Q126&gt;0,RANK(Q126,(N126:P126,Q126:AE126)),0)</f>
        <v>3</v>
      </c>
      <c r="AX126" s="5">
        <f>IF(R126&gt;0,RANK(R126,(N126:P126,Q126:AE126)),0)</f>
        <v>4</v>
      </c>
      <c r="AY126" s="5">
        <f>IF(T126&gt;0,RANK(T126,(N126:P126,Q126:AE126)),0)</f>
        <v>0</v>
      </c>
      <c r="AZ126" s="5">
        <f>IF(S126&gt;0,RANK(S126,(N126:P126,Q126:AE126)),0)</f>
        <v>7</v>
      </c>
      <c r="BA126" s="2">
        <f t="shared" si="46"/>
        <v>3.8673521374646844E-2</v>
      </c>
      <c r="BB126" s="2">
        <f t="shared" si="47"/>
        <v>1.1393636237321106E-2</v>
      </c>
      <c r="BC126" s="2">
        <f t="shared" si="48"/>
        <v>0</v>
      </c>
      <c r="BD126" s="2">
        <f t="shared" si="49"/>
        <v>5.7894493075818631E-4</v>
      </c>
      <c r="BF126" t="s">
        <v>489</v>
      </c>
      <c r="BG126" t="s">
        <v>384</v>
      </c>
      <c r="BJ126" s="114">
        <v>4</v>
      </c>
      <c r="BK126" s="116">
        <v>21</v>
      </c>
      <c r="BL126" s="120">
        <f t="shared" si="22"/>
        <v>4021</v>
      </c>
      <c r="BN126" s="5" t="s">
        <v>3154</v>
      </c>
      <c r="BO126" s="63">
        <v>1531</v>
      </c>
      <c r="BP126" s="63">
        <v>551</v>
      </c>
      <c r="BR126" s="63"/>
      <c r="BY126" s="63">
        <f t="shared" si="50"/>
        <v>0</v>
      </c>
      <c r="BZ126" s="63">
        <v>129546</v>
      </c>
      <c r="CA126" s="63">
        <v>2349</v>
      </c>
      <c r="CD126" s="63">
        <v>0</v>
      </c>
      <c r="CE126" s="63">
        <v>1</v>
      </c>
      <c r="CF126" s="63">
        <v>0</v>
      </c>
      <c r="CG126" s="132">
        <v>0</v>
      </c>
      <c r="CH126" s="132">
        <v>0</v>
      </c>
      <c r="CI126" s="132">
        <v>6</v>
      </c>
      <c r="CJ126" s="132">
        <v>0</v>
      </c>
      <c r="CK126" s="132">
        <v>0</v>
      </c>
      <c r="CL126" s="132">
        <v>1</v>
      </c>
    </row>
    <row r="127" spans="1:90" hidden="1" outlineLevel="1">
      <c r="A127" t="s">
        <v>1751</v>
      </c>
      <c r="B127" t="s">
        <v>384</v>
      </c>
      <c r="C127" s="1">
        <f t="shared" si="39"/>
        <v>16433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>IF(P127&gt;0,RANK(P127,(N127:P127,Q127:AE127)),0)</f>
        <v>6</v>
      </c>
      <c r="G127" s="132">
        <f t="shared" si="40"/>
        <v>7793</v>
      </c>
      <c r="H127" s="137">
        <f t="shared" si="41"/>
        <v>0.47422868618024705</v>
      </c>
      <c r="I127" s="2"/>
      <c r="J127" s="2">
        <f t="shared" si="42"/>
        <v>0.71137345585103151</v>
      </c>
      <c r="K127" s="2">
        <f t="shared" si="43"/>
        <v>0.23714476967078441</v>
      </c>
      <c r="L127" s="2">
        <f t="shared" si="44"/>
        <v>2.6166859368344187E-3</v>
      </c>
      <c r="M127" s="2">
        <f t="shared" si="45"/>
        <v>4.8865088541349667E-2</v>
      </c>
      <c r="N127" s="63">
        <v>11690</v>
      </c>
      <c r="O127" s="63">
        <v>3897</v>
      </c>
      <c r="P127" s="63">
        <v>43</v>
      </c>
      <c r="Q127" s="63">
        <v>432</v>
      </c>
      <c r="R127" s="63">
        <v>221</v>
      </c>
      <c r="S127" s="63">
        <v>4</v>
      </c>
      <c r="T127" s="63">
        <v>0</v>
      </c>
      <c r="U127" s="63"/>
      <c r="V127" s="63"/>
      <c r="W127" s="63">
        <f>IF(Copyright!B$11=1,CA127-SUM(X127:AQ127)-SUM(S127:V127)-P127,SUM(CD127:CL127))</f>
        <v>146</v>
      </c>
      <c r="X127" s="63"/>
      <c r="Y127" s="63">
        <v>0</v>
      </c>
      <c r="Z127" s="63"/>
      <c r="AA127" s="63"/>
      <c r="AB127" s="63"/>
      <c r="AC127" s="63"/>
      <c r="AD127" s="63"/>
      <c r="AE127" s="63">
        <v>0</v>
      </c>
      <c r="AF127" s="63"/>
      <c r="AG127" s="63"/>
      <c r="AH127" s="63"/>
      <c r="AI127" s="63"/>
      <c r="AJ127" s="63"/>
      <c r="AK127" s="63"/>
      <c r="AL127" s="63"/>
      <c r="AM127" s="63">
        <v>0</v>
      </c>
      <c r="AN127" s="63"/>
      <c r="AO127" s="63"/>
      <c r="AP127" s="63"/>
      <c r="AQ127" s="63">
        <v>0</v>
      </c>
      <c r="AR127" s="63"/>
      <c r="AS127" s="63"/>
      <c r="AT127" s="63"/>
      <c r="AU127" s="63"/>
      <c r="AW127" s="5">
        <f>IF(Q127&gt;0,RANK(Q127,(N127:P127,Q127:AE127)),0)</f>
        <v>3</v>
      </c>
      <c r="AX127" s="5">
        <f>IF(R127&gt;0,RANK(R127,(N127:P127,Q127:AE127)),0)</f>
        <v>4</v>
      </c>
      <c r="AY127" s="5">
        <f>IF(T127&gt;0,RANK(T127,(N127:P127,Q127:AE127)),0)</f>
        <v>0</v>
      </c>
      <c r="AZ127" s="5">
        <f>IF(S127&gt;0,RANK(S127,(N127:P127,Q127:AE127)),0)</f>
        <v>7</v>
      </c>
      <c r="BA127" s="2">
        <f t="shared" si="46"/>
        <v>2.6288565690987645E-2</v>
      </c>
      <c r="BB127" s="2">
        <f t="shared" si="47"/>
        <v>1.3448548652102477E-2</v>
      </c>
      <c r="BC127" s="2">
        <f t="shared" si="48"/>
        <v>0</v>
      </c>
      <c r="BD127" s="2">
        <f t="shared" si="49"/>
        <v>2.4341264528692264E-4</v>
      </c>
      <c r="BF127" t="s">
        <v>1751</v>
      </c>
      <c r="BG127" t="s">
        <v>384</v>
      </c>
      <c r="BH127">
        <v>3</v>
      </c>
      <c r="BJ127" s="114">
        <v>4</v>
      </c>
      <c r="BK127" s="116">
        <v>23</v>
      </c>
      <c r="BL127" s="120">
        <f t="shared" si="22"/>
        <v>4023</v>
      </c>
      <c r="BN127" s="5" t="s">
        <v>3154</v>
      </c>
      <c r="BO127" s="63">
        <v>248</v>
      </c>
      <c r="BP127" s="63">
        <v>88</v>
      </c>
      <c r="BR127" s="63"/>
      <c r="BY127" s="63">
        <f t="shared" si="50"/>
        <v>0</v>
      </c>
      <c r="BZ127" s="63">
        <f>11690+3897+432+221+193</f>
        <v>16433</v>
      </c>
      <c r="CA127" s="63">
        <v>193</v>
      </c>
      <c r="CD127" s="63">
        <v>0</v>
      </c>
      <c r="CE127" s="63">
        <v>0</v>
      </c>
      <c r="CF127" s="63">
        <v>0</v>
      </c>
      <c r="CG127" s="132">
        <v>0</v>
      </c>
      <c r="CH127" s="132">
        <v>0</v>
      </c>
      <c r="CI127" s="132">
        <v>0</v>
      </c>
      <c r="CJ127" s="132">
        <v>0</v>
      </c>
      <c r="CK127" s="132">
        <v>0</v>
      </c>
      <c r="CL127" s="132">
        <v>0</v>
      </c>
    </row>
    <row r="128" spans="1:90" hidden="1" outlineLevel="1">
      <c r="A128" t="s">
        <v>1980</v>
      </c>
      <c r="B128" t="s">
        <v>384</v>
      </c>
      <c r="C128" s="1">
        <f t="shared" si="39"/>
        <v>114450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6</v>
      </c>
      <c r="G128" s="132">
        <f t="shared" si="40"/>
        <v>35740</v>
      </c>
      <c r="H128" s="137">
        <f t="shared" si="41"/>
        <v>0.31227610310179116</v>
      </c>
      <c r="I128" s="2"/>
      <c r="J128" s="2">
        <f t="shared" si="42"/>
        <v>0.31096548711227612</v>
      </c>
      <c r="K128" s="2">
        <f t="shared" si="43"/>
        <v>0.62324159021406733</v>
      </c>
      <c r="L128" s="2">
        <f t="shared" si="44"/>
        <v>5.2075141983398861E-3</v>
      </c>
      <c r="M128" s="2">
        <f t="shared" si="45"/>
        <v>6.0585408475316668E-2</v>
      </c>
      <c r="N128" s="63">
        <v>35590</v>
      </c>
      <c r="O128" s="63">
        <v>71330</v>
      </c>
      <c r="P128" s="63">
        <v>596</v>
      </c>
      <c r="Q128" s="63">
        <v>3996</v>
      </c>
      <c r="R128" s="63">
        <v>1588</v>
      </c>
      <c r="S128" s="63">
        <v>44</v>
      </c>
      <c r="T128" s="63">
        <v>0</v>
      </c>
      <c r="U128" s="63"/>
      <c r="V128" s="63"/>
      <c r="W128" s="63">
        <f>IF(Copyright!B$11=1,CA128-SUM(X128:AQ128)-SUM(S128:V128)-P128,SUM(CD128:CL128))</f>
        <v>1296</v>
      </c>
      <c r="X128" s="63"/>
      <c r="Y128" s="63">
        <v>6</v>
      </c>
      <c r="Z128" s="63"/>
      <c r="AA128" s="63"/>
      <c r="AB128" s="63"/>
      <c r="AC128" s="63"/>
      <c r="AD128" s="63"/>
      <c r="AE128" s="63">
        <v>2</v>
      </c>
      <c r="AF128" s="63"/>
      <c r="AG128" s="63"/>
      <c r="AH128" s="63"/>
      <c r="AI128" s="63"/>
      <c r="AJ128" s="63"/>
      <c r="AK128" s="63"/>
      <c r="AL128" s="63"/>
      <c r="AM128" s="63">
        <v>2</v>
      </c>
      <c r="AN128" s="63"/>
      <c r="AO128" s="63"/>
      <c r="AP128" s="63"/>
      <c r="AQ128" s="63">
        <v>0</v>
      </c>
      <c r="AR128" s="63"/>
      <c r="AS128" s="63"/>
      <c r="AT128" s="63"/>
      <c r="AU128" s="63"/>
      <c r="AW128" s="5">
        <f>IF(Q128&gt;0,RANK(Q128,(N128:P128,Q128:AE128)),0)</f>
        <v>3</v>
      </c>
      <c r="AX128" s="5">
        <f>IF(R128&gt;0,RANK(R128,(N128:P128,Q128:AE128)),0)</f>
        <v>4</v>
      </c>
      <c r="AY128" s="5">
        <f>IF(T128&gt;0,RANK(T128,(N128:P128,Q128:AE128)),0)</f>
        <v>0</v>
      </c>
      <c r="AZ128" s="5">
        <f>IF(S128&gt;0,RANK(S128,(N128:P128,Q128:AE128)),0)</f>
        <v>7</v>
      </c>
      <c r="BA128" s="2">
        <f t="shared" si="46"/>
        <v>3.4914809960681518E-2</v>
      </c>
      <c r="BB128" s="2">
        <f t="shared" si="47"/>
        <v>1.3875054608999564E-2</v>
      </c>
      <c r="BC128" s="2">
        <f t="shared" si="48"/>
        <v>0</v>
      </c>
      <c r="BD128" s="2">
        <f t="shared" si="49"/>
        <v>3.8444735692442117E-4</v>
      </c>
      <c r="BF128" t="s">
        <v>1980</v>
      </c>
      <c r="BG128" t="s">
        <v>384</v>
      </c>
      <c r="BJ128" s="114">
        <v>4</v>
      </c>
      <c r="BK128" s="116">
        <v>25</v>
      </c>
      <c r="BL128" s="120">
        <f t="shared" si="22"/>
        <v>4025</v>
      </c>
      <c r="BN128" s="5" t="s">
        <v>3154</v>
      </c>
      <c r="BO128" s="63">
        <v>1249</v>
      </c>
      <c r="BP128" s="63">
        <v>354</v>
      </c>
      <c r="BR128" s="63"/>
      <c r="BY128" s="63">
        <f t="shared" si="50"/>
        <v>0</v>
      </c>
      <c r="BZ128" s="63">
        <v>114450</v>
      </c>
      <c r="CA128" s="63">
        <v>1946</v>
      </c>
      <c r="CD128" s="63">
        <v>1</v>
      </c>
      <c r="CE128" s="63">
        <v>0</v>
      </c>
      <c r="CF128" s="63">
        <v>0</v>
      </c>
      <c r="CG128" s="132">
        <v>0</v>
      </c>
      <c r="CH128" s="132">
        <v>1</v>
      </c>
      <c r="CI128" s="132">
        <v>0</v>
      </c>
      <c r="CJ128" s="132">
        <v>0</v>
      </c>
      <c r="CK128" s="132">
        <v>0</v>
      </c>
      <c r="CL128" s="132">
        <v>0</v>
      </c>
    </row>
    <row r="129" spans="1:90" hidden="1" outlineLevel="1">
      <c r="A129" t="s">
        <v>511</v>
      </c>
      <c r="B129" t="s">
        <v>384</v>
      </c>
      <c r="C129" s="1">
        <f t="shared" si="39"/>
        <v>53010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>IF(P129&gt;0,RANK(P129,(N129:P129,Q129:AE129)),0)</f>
        <v>6</v>
      </c>
      <c r="G129" s="132">
        <f t="shared" si="40"/>
        <v>560</v>
      </c>
      <c r="H129" s="137">
        <f t="shared" si="41"/>
        <v>1.0564044519901906E-2</v>
      </c>
      <c r="I129" s="2"/>
      <c r="J129" s="2">
        <f t="shared" si="42"/>
        <v>0.46415770609318996</v>
      </c>
      <c r="K129" s="2">
        <f t="shared" si="43"/>
        <v>0.47472175061309185</v>
      </c>
      <c r="L129" s="2">
        <f t="shared" si="44"/>
        <v>1.7732503301263912E-3</v>
      </c>
      <c r="M129" s="2">
        <f t="shared" si="45"/>
        <v>5.93472929635918E-2</v>
      </c>
      <c r="N129" s="63">
        <v>24605</v>
      </c>
      <c r="O129" s="63">
        <v>25165</v>
      </c>
      <c r="P129" s="63">
        <v>94</v>
      </c>
      <c r="Q129" s="63">
        <v>1873</v>
      </c>
      <c r="R129" s="63">
        <v>649</v>
      </c>
      <c r="S129" s="63">
        <v>25</v>
      </c>
      <c r="T129" s="63">
        <v>0</v>
      </c>
      <c r="U129" s="63"/>
      <c r="V129" s="63"/>
      <c r="W129" s="63">
        <f>IF(Copyright!B$11=1,CA129-SUM(X129:AQ129)-SUM(S129:V129)-P129,SUM(CD129:CL129))</f>
        <v>597</v>
      </c>
      <c r="X129" s="63"/>
      <c r="Y129" s="63">
        <v>1</v>
      </c>
      <c r="Z129" s="63"/>
      <c r="AA129" s="63"/>
      <c r="AB129" s="63"/>
      <c r="AC129" s="63"/>
      <c r="AD129" s="63"/>
      <c r="AE129" s="63">
        <v>0</v>
      </c>
      <c r="AF129" s="63"/>
      <c r="AG129" s="63"/>
      <c r="AH129" s="63"/>
      <c r="AI129" s="63"/>
      <c r="AJ129" s="63"/>
      <c r="AK129" s="63"/>
      <c r="AL129" s="63"/>
      <c r="AM129" s="63">
        <v>0</v>
      </c>
      <c r="AN129" s="63"/>
      <c r="AO129" s="63"/>
      <c r="AP129" s="63"/>
      <c r="AQ129" s="63">
        <v>1</v>
      </c>
      <c r="AR129" s="63"/>
      <c r="AS129" s="63"/>
      <c r="AT129" s="63"/>
      <c r="AU129" s="63"/>
      <c r="AW129" s="5">
        <f>IF(Q129&gt;0,RANK(Q129,(N129:P129,Q129:AE129)),0)</f>
        <v>3</v>
      </c>
      <c r="AX129" s="5">
        <f>IF(R129&gt;0,RANK(R129,(N129:P129,Q129:AE129)),0)</f>
        <v>4</v>
      </c>
      <c r="AY129" s="5">
        <f>IF(T129&gt;0,RANK(T129,(N129:P129,Q129:AE129)),0)</f>
        <v>0</v>
      </c>
      <c r="AZ129" s="5">
        <f>IF(S129&gt;0,RANK(S129,(N129:P129,Q129:AE129)),0)</f>
        <v>7</v>
      </c>
      <c r="BA129" s="2">
        <f t="shared" si="46"/>
        <v>3.5332956046029054E-2</v>
      </c>
      <c r="BB129" s="2">
        <f t="shared" si="47"/>
        <v>1.2242973023957745E-2</v>
      </c>
      <c r="BC129" s="2">
        <f t="shared" si="48"/>
        <v>0</v>
      </c>
      <c r="BD129" s="2">
        <f t="shared" si="49"/>
        <v>4.7160913035276363E-4</v>
      </c>
      <c r="BF129" t="s">
        <v>511</v>
      </c>
      <c r="BG129" t="s">
        <v>384</v>
      </c>
      <c r="BJ129" s="114">
        <v>4</v>
      </c>
      <c r="BK129" s="116">
        <v>27</v>
      </c>
      <c r="BL129" s="120">
        <f t="shared" si="22"/>
        <v>4027</v>
      </c>
      <c r="BN129" s="5" t="s">
        <v>3154</v>
      </c>
      <c r="BO129" s="63">
        <v>622</v>
      </c>
      <c r="BP129" s="63">
        <v>279</v>
      </c>
      <c r="BR129" s="63"/>
      <c r="BY129" s="63">
        <f t="shared" si="50"/>
        <v>0</v>
      </c>
      <c r="BZ129" s="63">
        <v>53010</v>
      </c>
      <c r="CA129" s="63">
        <f>53010-25165-24605-1873-649</f>
        <v>718</v>
      </c>
      <c r="CD129" s="63">
        <v>2</v>
      </c>
      <c r="CE129" s="63">
        <v>0</v>
      </c>
      <c r="CF129" s="63">
        <v>0</v>
      </c>
      <c r="CG129" s="132">
        <v>0</v>
      </c>
      <c r="CH129" s="132">
        <v>0</v>
      </c>
      <c r="CI129" s="132">
        <v>0</v>
      </c>
      <c r="CJ129" s="132">
        <v>0</v>
      </c>
      <c r="CK129" s="132">
        <v>1</v>
      </c>
      <c r="CL129" s="132">
        <v>0</v>
      </c>
    </row>
    <row r="130" spans="1:90" collapsed="1">
      <c r="A130" t="s">
        <v>444</v>
      </c>
      <c r="B130" t="s">
        <v>544</v>
      </c>
      <c r="C130" s="1">
        <f t="shared" si="39"/>
        <v>2604657</v>
      </c>
      <c r="D130" s="5">
        <f>IF(N130&gt;0, RANK(N130,(N130:P130,Q130:AE130)),0)</f>
        <v>2</v>
      </c>
      <c r="E130" s="5">
        <f>IF(O130&gt;0,RANK(O130,(N130:P130,Q130:AE130)),0)</f>
        <v>1</v>
      </c>
      <c r="F130" s="5">
        <f>IF(P130&gt;0,RANK(P130,(N130:P130,Q130:AE130)),0)</f>
        <v>6</v>
      </c>
      <c r="G130" s="132">
        <f t="shared" si="40"/>
        <v>91234</v>
      </c>
      <c r="H130" s="137">
        <f t="shared" si="41"/>
        <v>3.5027260787120915E-2</v>
      </c>
      <c r="I130" s="2"/>
      <c r="J130" s="2">
        <f t="shared" si="42"/>
        <v>0.44580418842097058</v>
      </c>
      <c r="K130" s="2">
        <f t="shared" si="43"/>
        <v>0.48083144920809151</v>
      </c>
      <c r="L130" s="2">
        <f t="shared" si="44"/>
        <v>6.6991546295731069E-3</v>
      </c>
      <c r="M130" s="2">
        <f t="shared" si="45"/>
        <v>6.6665207741364807E-2</v>
      </c>
      <c r="N130" s="63">
        <f t="shared" ref="N130:T130" si="51">SUM(N115:N129)</f>
        <v>1161167</v>
      </c>
      <c r="O130" s="63">
        <f t="shared" si="51"/>
        <v>1252401</v>
      </c>
      <c r="P130" s="63">
        <f t="shared" si="51"/>
        <v>17449</v>
      </c>
      <c r="Q130" s="63">
        <f t="shared" si="51"/>
        <v>106327</v>
      </c>
      <c r="R130" s="63">
        <f t="shared" si="51"/>
        <v>34345</v>
      </c>
      <c r="S130" s="63">
        <f t="shared" si="51"/>
        <v>1058</v>
      </c>
      <c r="T130" s="63">
        <f t="shared" si="51"/>
        <v>29</v>
      </c>
      <c r="U130" s="63"/>
      <c r="V130" s="63"/>
      <c r="W130" s="63">
        <f>SUM(W115:W129)</f>
        <v>31662</v>
      </c>
      <c r="X130" s="63">
        <f>SUM(X115:X129)</f>
        <v>0</v>
      </c>
      <c r="Y130" s="63">
        <f>SUM(Y115:Y129)</f>
        <v>85</v>
      </c>
      <c r="Z130" s="63"/>
      <c r="AA130" s="63"/>
      <c r="AB130" s="63"/>
      <c r="AC130" s="63"/>
      <c r="AD130" s="63"/>
      <c r="AE130" s="63">
        <f>SUM(AE115:AE129)</f>
        <v>52</v>
      </c>
      <c r="AF130" s="63"/>
      <c r="AG130" s="63"/>
      <c r="AH130" s="63"/>
      <c r="AI130" s="63"/>
      <c r="AJ130" s="63"/>
      <c r="AK130" s="63"/>
      <c r="AL130" s="63">
        <f>SUM(AL115:AL129)</f>
        <v>0</v>
      </c>
      <c r="AM130" s="63">
        <f>SUM(AM115:AM129)</f>
        <v>20</v>
      </c>
      <c r="AN130" s="63"/>
      <c r="AO130" s="63"/>
      <c r="AP130" s="63"/>
      <c r="AQ130" s="63">
        <f>SUM(AQ115:AQ129)</f>
        <v>62</v>
      </c>
      <c r="AR130" s="63"/>
      <c r="AS130" s="63"/>
      <c r="AT130" s="63"/>
      <c r="AU130" s="63"/>
      <c r="AW130" s="5">
        <f>IF(Q130&gt;0,RANK(Q130,(N130:P130,Q130:AE130)),0)</f>
        <v>3</v>
      </c>
      <c r="AX130" s="5">
        <f>IF(R130&gt;0,RANK(R130,(N130:P130,Q130:AE130)),0)</f>
        <v>4</v>
      </c>
      <c r="AY130" s="5">
        <f>IF(T130&gt;0,RANK(T130,(N130:P130,Q130:AE130)),0)</f>
        <v>10</v>
      </c>
      <c r="AZ130" s="5">
        <f>IF(S130&gt;0,RANK(S130,(N130:P130,Q130:AE130)),0)</f>
        <v>7</v>
      </c>
      <c r="BA130" s="2">
        <f t="shared" si="46"/>
        <v>4.0821881729532911E-2</v>
      </c>
      <c r="BB130" s="2">
        <f t="shared" si="47"/>
        <v>1.3185997234952625E-2</v>
      </c>
      <c r="BC130" s="2">
        <f t="shared" si="48"/>
        <v>1.1133903619555282E-5</v>
      </c>
      <c r="BD130" s="2">
        <f t="shared" si="49"/>
        <v>4.0619551825825818E-4</v>
      </c>
      <c r="BF130" t="s">
        <v>444</v>
      </c>
      <c r="BG130" t="s">
        <v>544</v>
      </c>
      <c r="BJ130" s="114">
        <v>4</v>
      </c>
      <c r="BK130" s="116"/>
      <c r="BL130" s="114">
        <v>4</v>
      </c>
      <c r="BN130" s="5" t="s">
        <v>711</v>
      </c>
      <c r="BO130" s="63">
        <f>SUM(BO115:BO129)</f>
        <v>31089</v>
      </c>
      <c r="BP130" s="63">
        <f>SUM(BP115:BP129)</f>
        <v>25751</v>
      </c>
      <c r="BR130" s="63"/>
      <c r="BY130" s="63">
        <f t="shared" si="50"/>
        <v>0</v>
      </c>
      <c r="BZ130" s="63">
        <f>SUM(BZ115:BZ129)</f>
        <v>2604657</v>
      </c>
      <c r="CA130" s="63">
        <f>SUM(CA115:CA129)</f>
        <v>50417</v>
      </c>
      <c r="CD130" s="63">
        <f>SUM(CD115:CD129)</f>
        <v>56</v>
      </c>
      <c r="CE130" s="63">
        <f t="shared" ref="CE130:CL130" si="52">SUM(CE115:CE129)</f>
        <v>42</v>
      </c>
      <c r="CF130" s="63">
        <f t="shared" si="52"/>
        <v>3</v>
      </c>
      <c r="CG130" s="63">
        <f t="shared" si="52"/>
        <v>14</v>
      </c>
      <c r="CH130" s="63">
        <f t="shared" si="52"/>
        <v>11</v>
      </c>
      <c r="CI130" s="63">
        <f t="shared" si="52"/>
        <v>24</v>
      </c>
      <c r="CJ130" s="63">
        <f t="shared" si="52"/>
        <v>4</v>
      </c>
      <c r="CK130" s="63">
        <f t="shared" si="52"/>
        <v>4</v>
      </c>
      <c r="CL130" s="63">
        <f t="shared" si="52"/>
        <v>12</v>
      </c>
    </row>
    <row r="131" spans="1:90">
      <c r="E131" s="5"/>
      <c r="G131" s="132"/>
      <c r="H131" s="137"/>
      <c r="I131" s="2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W131" s="5"/>
      <c r="AX131" s="5"/>
      <c r="AY131" s="5"/>
      <c r="AZ131" s="5"/>
      <c r="BJ131" s="114"/>
      <c r="BK131" s="116"/>
      <c r="BL131" s="120"/>
    </row>
    <row r="132" spans="1:90" hidden="1" outlineLevel="1">
      <c r="A132" s="3" t="s">
        <v>200</v>
      </c>
      <c r="B132" s="3" t="s">
        <v>761</v>
      </c>
      <c r="C132" s="1">
        <f t="shared" ref="C132:C163" si="53">SUM(N132:AU132)</f>
        <v>6212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6</v>
      </c>
      <c r="G132" s="132">
        <f>IF(C132&gt;0,MAX(N132:P132)-LARGE(N132:P132,2),0)</f>
        <v>1887</v>
      </c>
      <c r="H132" s="137">
        <f>IF(C132&gt;0,G132/C132,0)</f>
        <v>0.3037669027688345</v>
      </c>
      <c r="I132" s="2"/>
      <c r="J132" s="2">
        <f t="shared" ref="J132:J163" si="54">IF($C132=0,"-",N132/$C132)</f>
        <v>0.31213779781068901</v>
      </c>
      <c r="K132" s="2">
        <f t="shared" ref="K132:K163" si="55">IF($C132=0,"-",O132/$C132)</f>
        <v>0.61590470057952351</v>
      </c>
      <c r="L132" s="2">
        <f t="shared" ref="L132:L163" si="56">IF($C132=0,"-",P132/$C132)</f>
        <v>7.0830650354153256E-3</v>
      </c>
      <c r="M132" s="2">
        <f t="shared" ref="M132:M163" si="57">IF(C132=0,"-",(1-J132-K132-L132))</f>
        <v>6.487443657437221E-2</v>
      </c>
      <c r="N132" s="63">
        <v>1939</v>
      </c>
      <c r="O132" s="63">
        <v>3826</v>
      </c>
      <c r="P132" s="63">
        <v>44</v>
      </c>
      <c r="Q132" s="63">
        <v>126</v>
      </c>
      <c r="R132" s="63">
        <v>64</v>
      </c>
      <c r="S132" s="63">
        <v>40</v>
      </c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>
        <v>133</v>
      </c>
      <c r="AE132" s="63"/>
      <c r="AF132" s="63"/>
      <c r="AG132" s="63"/>
      <c r="AH132" s="63"/>
      <c r="AI132" s="63"/>
      <c r="AJ132" s="63"/>
      <c r="AK132" s="63"/>
      <c r="AL132" s="63">
        <v>40</v>
      </c>
      <c r="AM132" s="63"/>
      <c r="AN132" s="63"/>
      <c r="AO132" s="63"/>
      <c r="AP132" s="63"/>
      <c r="AQ132" s="63"/>
      <c r="AR132" s="63"/>
      <c r="AS132" s="63"/>
      <c r="AT132" s="63"/>
      <c r="AU132" s="63"/>
      <c r="AW132" s="5">
        <f>IF(Q132&gt;0,RANK(Q132,(N132:P132,Q132:AE132)),0)</f>
        <v>4</v>
      </c>
      <c r="AX132" s="5">
        <f>IF(R132&gt;0,RANK(R132,(N132:P132,Q132:AE132)),0)</f>
        <v>5</v>
      </c>
      <c r="AY132" s="5">
        <f>IF(T132&gt;0,RANK(T132,(N132:P132,Q132:AE132)),0)</f>
        <v>0</v>
      </c>
      <c r="AZ132" s="5">
        <f>IF(S132&gt;0,RANK(S132,(N132:P132,Q132:AE132)),0)</f>
        <v>7</v>
      </c>
      <c r="BA132" s="2">
        <f t="shared" ref="BA132:BA163" si="58">IF($C132=0,"-",Q132/$C132)</f>
        <v>2.0283322601416614E-2</v>
      </c>
      <c r="BB132" s="2">
        <f t="shared" ref="BB132:BB163" si="59">IF($C132=0,"-",R132/$C132)</f>
        <v>1.03026400515132E-2</v>
      </c>
      <c r="BC132" s="2">
        <f t="shared" ref="BC132:BC163" si="60">IF($C132=0,"-",T132/$C132)</f>
        <v>0</v>
      </c>
      <c r="BD132" s="2">
        <f t="shared" ref="BD132:BD163" si="61">IF($C132=0,"-",S132/$C132)</f>
        <v>6.4391500321957498E-3</v>
      </c>
      <c r="BF132" s="3" t="s">
        <v>200</v>
      </c>
      <c r="BG132" s="3" t="s">
        <v>761</v>
      </c>
      <c r="BH132">
        <v>1</v>
      </c>
      <c r="BJ132" s="114">
        <v>5</v>
      </c>
      <c r="BK132" s="116">
        <v>1</v>
      </c>
      <c r="BL132" s="120">
        <f t="shared" si="22"/>
        <v>5001</v>
      </c>
      <c r="BN132" s="5" t="s">
        <v>3154</v>
      </c>
    </row>
    <row r="133" spans="1:90" hidden="1" outlineLevel="1">
      <c r="A133" s="3" t="s">
        <v>2281</v>
      </c>
      <c r="B133" s="3" t="s">
        <v>761</v>
      </c>
      <c r="C133" s="1">
        <f t="shared" si="53"/>
        <v>8083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4</v>
      </c>
      <c r="G133" s="132">
        <f>IF(C133&gt;0,MAX(N133:P133)-LARGE(N133:P133,2),0)</f>
        <v>2930</v>
      </c>
      <c r="H133" s="137">
        <f>IF(C133&gt;0,G133/C133,0)</f>
        <v>0.36248917481133242</v>
      </c>
      <c r="I133" s="2"/>
      <c r="J133" s="2">
        <f t="shared" si="54"/>
        <v>0.2979091921316343</v>
      </c>
      <c r="K133" s="2">
        <f t="shared" si="55"/>
        <v>0.66039836694296672</v>
      </c>
      <c r="L133" s="2">
        <f t="shared" si="56"/>
        <v>6.9281207472473095E-3</v>
      </c>
      <c r="M133" s="2">
        <f t="shared" si="57"/>
        <v>3.4764320178151613E-2</v>
      </c>
      <c r="N133" s="63">
        <v>2408</v>
      </c>
      <c r="O133" s="63">
        <v>5338</v>
      </c>
      <c r="P133" s="63">
        <v>56</v>
      </c>
      <c r="Q133" s="63">
        <v>156</v>
      </c>
      <c r="R133" s="63">
        <v>34</v>
      </c>
      <c r="S133" s="63">
        <v>31</v>
      </c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>
        <v>33</v>
      </c>
      <c r="AE133" s="63"/>
      <c r="AF133" s="63"/>
      <c r="AG133" s="63"/>
      <c r="AH133" s="63"/>
      <c r="AI133" s="63"/>
      <c r="AJ133" s="63"/>
      <c r="AK133" s="63"/>
      <c r="AL133" s="63">
        <v>27</v>
      </c>
      <c r="AM133" s="63"/>
      <c r="AN133" s="63"/>
      <c r="AO133" s="63"/>
      <c r="AP133" s="63"/>
      <c r="AQ133" s="63"/>
      <c r="AR133" s="63"/>
      <c r="AS133" s="63"/>
      <c r="AT133" s="63"/>
      <c r="AU133" s="63"/>
      <c r="AW133" s="5">
        <f>IF(Q133&gt;0,RANK(Q133,(N133:P133,Q133:AE133)),0)</f>
        <v>3</v>
      </c>
      <c r="AX133" s="5">
        <f>IF(R133&gt;0,RANK(R133,(N133:P133,Q133:AE133)),0)</f>
        <v>5</v>
      </c>
      <c r="AY133" s="5">
        <f>IF(T133&gt;0,RANK(T133,(N133:P133,Q133:AE133)),0)</f>
        <v>0</v>
      </c>
      <c r="AZ133" s="5">
        <f>IF(S133&gt;0,RANK(S133,(N133:P133,Q133:AE133)),0)</f>
        <v>7</v>
      </c>
      <c r="BA133" s="2">
        <f t="shared" si="58"/>
        <v>1.9299764938760362E-2</v>
      </c>
      <c r="BB133" s="2">
        <f t="shared" si="59"/>
        <v>4.2063590251144381E-3</v>
      </c>
      <c r="BC133" s="2">
        <f t="shared" si="60"/>
        <v>0</v>
      </c>
      <c r="BD133" s="2">
        <f t="shared" si="61"/>
        <v>3.8352096993690462E-3</v>
      </c>
      <c r="BF133" s="3" t="s">
        <v>2281</v>
      </c>
      <c r="BG133" s="3" t="s">
        <v>761</v>
      </c>
      <c r="BH133">
        <v>4</v>
      </c>
      <c r="BJ133" s="114">
        <v>5</v>
      </c>
      <c r="BK133" s="116">
        <v>3</v>
      </c>
      <c r="BL133" s="120">
        <f t="shared" si="22"/>
        <v>5003</v>
      </c>
      <c r="BN133" s="5" t="s">
        <v>3154</v>
      </c>
    </row>
    <row r="134" spans="1:90" hidden="1" outlineLevel="1">
      <c r="A134" s="3" t="s">
        <v>1252</v>
      </c>
      <c r="B134" s="3" t="s">
        <v>761</v>
      </c>
      <c r="C134" s="1">
        <f t="shared" si="53"/>
        <v>19766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4</v>
      </c>
      <c r="G134" s="132">
        <f>IF(C134&gt;0,MAX(N134:P134)-LARGE(N134:P134,2),0)</f>
        <v>10513</v>
      </c>
      <c r="H134" s="137">
        <f>IF(C134&gt;0,G134/C134,0)</f>
        <v>0.53187291308307194</v>
      </c>
      <c r="I134" s="2"/>
      <c r="J134" s="2">
        <f t="shared" si="54"/>
        <v>0.21091773752909035</v>
      </c>
      <c r="K134" s="2">
        <f t="shared" si="55"/>
        <v>0.74279065061216232</v>
      </c>
      <c r="L134" s="2">
        <f t="shared" si="56"/>
        <v>7.993524233532329E-3</v>
      </c>
      <c r="M134" s="2">
        <f t="shared" si="57"/>
        <v>3.8298087625214979E-2</v>
      </c>
      <c r="N134" s="63">
        <v>4169</v>
      </c>
      <c r="O134" s="63">
        <v>14682</v>
      </c>
      <c r="P134" s="63">
        <v>158</v>
      </c>
      <c r="Q134" s="63">
        <v>452</v>
      </c>
      <c r="R134" s="63">
        <v>140</v>
      </c>
      <c r="S134" s="63">
        <v>85</v>
      </c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>
        <v>38</v>
      </c>
      <c r="AE134" s="63"/>
      <c r="AF134" s="63"/>
      <c r="AG134" s="63"/>
      <c r="AH134" s="63"/>
      <c r="AI134" s="63"/>
      <c r="AJ134" s="63"/>
      <c r="AK134" s="63"/>
      <c r="AL134" s="63">
        <v>42</v>
      </c>
      <c r="AM134" s="63"/>
      <c r="AN134" s="63"/>
      <c r="AO134" s="63"/>
      <c r="AP134" s="63"/>
      <c r="AQ134" s="63"/>
      <c r="AR134" s="63"/>
      <c r="AS134" s="63"/>
      <c r="AT134" s="63"/>
      <c r="AU134" s="63"/>
      <c r="AW134" s="5">
        <f>IF(Q134&gt;0,RANK(Q134,(N134:P134,Q134:AE134)),0)</f>
        <v>3</v>
      </c>
      <c r="AX134" s="5">
        <f>IF(R134&gt;0,RANK(R134,(N134:P134,Q134:AE134)),0)</f>
        <v>5</v>
      </c>
      <c r="AY134" s="5">
        <f>IF(T134&gt;0,RANK(T134,(N134:P134,Q134:AE134)),0)</f>
        <v>0</v>
      </c>
      <c r="AZ134" s="5">
        <f>IF(S134&gt;0,RANK(S134,(N134:P134,Q134:AE134)),0)</f>
        <v>6</v>
      </c>
      <c r="BA134" s="2">
        <f t="shared" si="58"/>
        <v>2.2867550338965901E-2</v>
      </c>
      <c r="BB134" s="2">
        <f t="shared" si="59"/>
        <v>7.082869574015987E-3</v>
      </c>
      <c r="BC134" s="2">
        <f t="shared" si="60"/>
        <v>0</v>
      </c>
      <c r="BD134" s="2">
        <f t="shared" si="61"/>
        <v>4.3003136699382776E-3</v>
      </c>
      <c r="BF134" s="3" t="s">
        <v>1252</v>
      </c>
      <c r="BG134" s="3" t="s">
        <v>761</v>
      </c>
      <c r="BH134">
        <v>1</v>
      </c>
      <c r="BJ134" s="114">
        <v>5</v>
      </c>
      <c r="BK134" s="116">
        <v>5</v>
      </c>
      <c r="BL134" s="120">
        <f t="shared" si="22"/>
        <v>5005</v>
      </c>
      <c r="BN134" s="5" t="s">
        <v>3154</v>
      </c>
    </row>
    <row r="135" spans="1:90" hidden="1" outlineLevel="1">
      <c r="A135" s="3" t="s">
        <v>1098</v>
      </c>
      <c r="B135" s="3" t="s">
        <v>761</v>
      </c>
      <c r="C135" s="1">
        <f t="shared" si="53"/>
        <v>96824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4</v>
      </c>
      <c r="G135" s="132">
        <f>IF(C135&gt;0,MAX(N135:P135)-LARGE(N135:P135,2),0)</f>
        <v>32866</v>
      </c>
      <c r="H135" s="137">
        <f>IF(C135&gt;0,G135/C135,0)</f>
        <v>0.3394406345534165</v>
      </c>
      <c r="I135" s="2"/>
      <c r="J135" s="2">
        <f t="shared" si="54"/>
        <v>0.28923613980004959</v>
      </c>
      <c r="K135" s="2">
        <f t="shared" si="55"/>
        <v>0.62867677435346603</v>
      </c>
      <c r="L135" s="2">
        <f t="shared" si="56"/>
        <v>2.3888705279682725E-2</v>
      </c>
      <c r="M135" s="2">
        <f t="shared" si="57"/>
        <v>5.8198380566801662E-2</v>
      </c>
      <c r="N135" s="63">
        <v>28005</v>
      </c>
      <c r="O135" s="63">
        <v>60871</v>
      </c>
      <c r="P135" s="63">
        <v>2313</v>
      </c>
      <c r="Q135" s="63">
        <v>3871</v>
      </c>
      <c r="R135" s="63">
        <v>949</v>
      </c>
      <c r="S135" s="63">
        <v>342</v>
      </c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>
        <v>279</v>
      </c>
      <c r="AE135" s="63"/>
      <c r="AF135" s="63"/>
      <c r="AG135" s="63"/>
      <c r="AH135" s="63"/>
      <c r="AI135" s="63"/>
      <c r="AJ135" s="63"/>
      <c r="AK135" s="63"/>
      <c r="AL135" s="63">
        <v>194</v>
      </c>
      <c r="AM135" s="63"/>
      <c r="AN135" s="63"/>
      <c r="AO135" s="63"/>
      <c r="AP135" s="63"/>
      <c r="AQ135" s="63"/>
      <c r="AR135" s="63"/>
      <c r="AS135" s="63"/>
      <c r="AT135" s="63"/>
      <c r="AU135" s="63"/>
      <c r="AW135" s="5">
        <f>IF(Q135&gt;0,RANK(Q135,(N135:P135,Q135:AE135)),0)</f>
        <v>3</v>
      </c>
      <c r="AX135" s="5">
        <f>IF(R135&gt;0,RANK(R135,(N135:P135,Q135:AE135)),0)</f>
        <v>5</v>
      </c>
      <c r="AY135" s="5">
        <f>IF(T135&gt;0,RANK(T135,(N135:P135,Q135:AE135)),0)</f>
        <v>0</v>
      </c>
      <c r="AZ135" s="5">
        <f>IF(S135&gt;0,RANK(S135,(N135:P135,Q135:AE135)),0)</f>
        <v>6</v>
      </c>
      <c r="BA135" s="2">
        <f t="shared" si="58"/>
        <v>3.9979757085020245E-2</v>
      </c>
      <c r="BB135" s="2">
        <f t="shared" si="59"/>
        <v>9.8012889366272827E-3</v>
      </c>
      <c r="BC135" s="2">
        <f t="shared" si="60"/>
        <v>0</v>
      </c>
      <c r="BD135" s="2">
        <f t="shared" si="61"/>
        <v>3.5321821036106752E-3</v>
      </c>
      <c r="BF135" s="3" t="s">
        <v>1098</v>
      </c>
      <c r="BG135" s="3" t="s">
        <v>761</v>
      </c>
      <c r="BH135">
        <v>3</v>
      </c>
      <c r="BJ135" s="114">
        <v>5</v>
      </c>
      <c r="BK135" s="116">
        <v>7</v>
      </c>
      <c r="BL135" s="120">
        <f t="shared" si="22"/>
        <v>5007</v>
      </c>
      <c r="BN135" s="5" t="s">
        <v>3154</v>
      </c>
    </row>
    <row r="136" spans="1:90" hidden="1" outlineLevel="1">
      <c r="A136" s="4" t="s">
        <v>1043</v>
      </c>
      <c r="B136" s="3" t="s">
        <v>761</v>
      </c>
      <c r="C136" s="1">
        <f t="shared" si="53"/>
        <v>16111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4</v>
      </c>
      <c r="G136" s="132">
        <f t="shared" ref="G136:G199" si="62">IF(C136&gt;0,MAX(N136:P136)-LARGE(N136:P136,2),0)</f>
        <v>9309</v>
      </c>
      <c r="H136" s="137">
        <f t="shared" ref="H136:H199" si="63">IF(C136&gt;0,G136/C136,0)</f>
        <v>0.57780398485506801</v>
      </c>
      <c r="I136" s="2"/>
      <c r="J136" s="2">
        <f t="shared" si="54"/>
        <v>0.18161504562100428</v>
      </c>
      <c r="K136" s="2">
        <f t="shared" si="55"/>
        <v>0.75941903047607229</v>
      </c>
      <c r="L136" s="2">
        <f t="shared" si="56"/>
        <v>1.1544907206256595E-2</v>
      </c>
      <c r="M136" s="2">
        <f t="shared" si="57"/>
        <v>4.7421016696666839E-2</v>
      </c>
      <c r="N136" s="63">
        <v>2926</v>
      </c>
      <c r="O136" s="63">
        <v>12235</v>
      </c>
      <c r="P136" s="63">
        <v>186</v>
      </c>
      <c r="Q136" s="63">
        <v>379</v>
      </c>
      <c r="R136" s="63">
        <v>134</v>
      </c>
      <c r="S136" s="63">
        <v>105</v>
      </c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>
        <v>84</v>
      </c>
      <c r="AE136" s="63"/>
      <c r="AF136" s="63"/>
      <c r="AG136" s="63"/>
      <c r="AH136" s="63"/>
      <c r="AI136" s="63"/>
      <c r="AJ136" s="63"/>
      <c r="AK136" s="63"/>
      <c r="AL136" s="63">
        <v>62</v>
      </c>
      <c r="AM136" s="63"/>
      <c r="AN136" s="63"/>
      <c r="AO136" s="63"/>
      <c r="AP136" s="63"/>
      <c r="AQ136" s="63"/>
      <c r="AR136" s="63"/>
      <c r="AS136" s="63"/>
      <c r="AT136" s="63"/>
      <c r="AU136" s="63"/>
      <c r="AW136" s="5">
        <f>IF(Q136&gt;0,RANK(Q136,(N136:P136,Q136:AE136)),0)</f>
        <v>3</v>
      </c>
      <c r="AX136" s="5">
        <f>IF(R136&gt;0,RANK(R136,(N136:P136,Q136:AE136)),0)</f>
        <v>5</v>
      </c>
      <c r="AY136" s="5">
        <f>IF(T136&gt;0,RANK(T136,(N136:P136,Q136:AE136)),0)</f>
        <v>0</v>
      </c>
      <c r="AZ136" s="5">
        <f>IF(S136&gt;0,RANK(S136,(N136:P136,Q136:AE136)),0)</f>
        <v>6</v>
      </c>
      <c r="BA136" s="2">
        <f t="shared" si="58"/>
        <v>2.3524300167587362E-2</v>
      </c>
      <c r="BB136" s="2">
        <f t="shared" si="59"/>
        <v>8.3172987399913103E-3</v>
      </c>
      <c r="BC136" s="2">
        <f t="shared" si="60"/>
        <v>0</v>
      </c>
      <c r="BD136" s="2">
        <f t="shared" si="61"/>
        <v>6.5172863261125941E-3</v>
      </c>
      <c r="BF136" s="4" t="s">
        <v>1043</v>
      </c>
      <c r="BG136" s="3" t="s">
        <v>761</v>
      </c>
      <c r="BH136">
        <v>3</v>
      </c>
      <c r="BJ136" s="114">
        <v>5</v>
      </c>
      <c r="BK136" s="116">
        <v>9</v>
      </c>
      <c r="BL136" s="120">
        <f t="shared" si="22"/>
        <v>5009</v>
      </c>
      <c r="BN136" s="5" t="s">
        <v>3154</v>
      </c>
    </row>
    <row r="137" spans="1:90" hidden="1" outlineLevel="1">
      <c r="A137" s="4" t="s">
        <v>610</v>
      </c>
      <c r="B137" s="3" t="s">
        <v>761</v>
      </c>
      <c r="C137" s="1">
        <f t="shared" si="53"/>
        <v>3653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4</v>
      </c>
      <c r="G137" s="132">
        <f t="shared" si="62"/>
        <v>847</v>
      </c>
      <c r="H137" s="137">
        <f t="shared" si="63"/>
        <v>0.2318642211880646</v>
      </c>
      <c r="I137" s="2"/>
      <c r="J137" s="2">
        <f t="shared" si="54"/>
        <v>0.36052559540104023</v>
      </c>
      <c r="K137" s="2">
        <f t="shared" si="55"/>
        <v>0.59238981658910483</v>
      </c>
      <c r="L137" s="2">
        <f t="shared" si="56"/>
        <v>9.5811661647960573E-3</v>
      </c>
      <c r="M137" s="2">
        <f t="shared" si="57"/>
        <v>3.7503421845058879E-2</v>
      </c>
      <c r="N137" s="63">
        <v>1317</v>
      </c>
      <c r="O137" s="63">
        <v>2164</v>
      </c>
      <c r="P137" s="63">
        <v>35</v>
      </c>
      <c r="Q137" s="63">
        <v>73</v>
      </c>
      <c r="R137" s="63">
        <v>16</v>
      </c>
      <c r="S137" s="63">
        <v>15</v>
      </c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>
        <v>21</v>
      </c>
      <c r="AE137" s="63"/>
      <c r="AF137" s="63"/>
      <c r="AG137" s="63"/>
      <c r="AH137" s="63"/>
      <c r="AI137" s="63"/>
      <c r="AJ137" s="63"/>
      <c r="AK137" s="63"/>
      <c r="AL137" s="63">
        <v>12</v>
      </c>
      <c r="AM137" s="63"/>
      <c r="AN137" s="63"/>
      <c r="AO137" s="63"/>
      <c r="AP137" s="63"/>
      <c r="AQ137" s="63"/>
      <c r="AR137" s="63"/>
      <c r="AS137" s="63"/>
      <c r="AT137" s="63"/>
      <c r="AU137" s="63"/>
      <c r="AW137" s="5">
        <f>IF(Q137&gt;0,RANK(Q137,(N137:P137,Q137:AE137)),0)</f>
        <v>3</v>
      </c>
      <c r="AX137" s="5">
        <f>IF(R137&gt;0,RANK(R137,(N137:P137,Q137:AE137)),0)</f>
        <v>6</v>
      </c>
      <c r="AY137" s="5">
        <f>IF(T137&gt;0,RANK(T137,(N137:P137,Q137:AE137)),0)</f>
        <v>0</v>
      </c>
      <c r="AZ137" s="5">
        <f>IF(S137&gt;0,RANK(S137,(N137:P137,Q137:AE137)),0)</f>
        <v>7</v>
      </c>
      <c r="BA137" s="2">
        <f t="shared" si="58"/>
        <v>1.9983575143717493E-2</v>
      </c>
      <c r="BB137" s="2">
        <f t="shared" si="59"/>
        <v>4.3799616753353405E-3</v>
      </c>
      <c r="BC137" s="2">
        <f t="shared" si="60"/>
        <v>0</v>
      </c>
      <c r="BD137" s="2">
        <f t="shared" si="61"/>
        <v>4.1062140706268823E-3</v>
      </c>
      <c r="BF137" s="4" t="s">
        <v>610</v>
      </c>
      <c r="BG137" s="3" t="s">
        <v>761</v>
      </c>
      <c r="BH137">
        <v>4</v>
      </c>
      <c r="BJ137" s="114">
        <v>5</v>
      </c>
      <c r="BK137" s="116">
        <v>11</v>
      </c>
      <c r="BL137" s="120">
        <f t="shared" si="22"/>
        <v>5011</v>
      </c>
      <c r="BN137" s="5" t="s">
        <v>3154</v>
      </c>
    </row>
    <row r="138" spans="1:90" hidden="1" outlineLevel="1">
      <c r="A138" s="4" t="s">
        <v>1197</v>
      </c>
      <c r="B138" s="3" t="s">
        <v>761</v>
      </c>
      <c r="C138" s="1">
        <f t="shared" si="53"/>
        <v>2269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4</v>
      </c>
      <c r="G138" s="132">
        <f t="shared" si="62"/>
        <v>917</v>
      </c>
      <c r="H138" s="137">
        <f t="shared" si="63"/>
        <v>0.40414279418245924</v>
      </c>
      <c r="I138" s="2"/>
      <c r="J138" s="2">
        <f t="shared" si="54"/>
        <v>0.28162185985015425</v>
      </c>
      <c r="K138" s="2">
        <f t="shared" si="55"/>
        <v>0.68576465403261344</v>
      </c>
      <c r="L138" s="2">
        <f t="shared" si="56"/>
        <v>6.1701189951520498E-3</v>
      </c>
      <c r="M138" s="2">
        <f t="shared" si="57"/>
        <v>2.6443367122080199E-2</v>
      </c>
      <c r="N138" s="63">
        <v>639</v>
      </c>
      <c r="O138" s="63">
        <v>1556</v>
      </c>
      <c r="P138" s="63">
        <v>14</v>
      </c>
      <c r="Q138" s="63">
        <v>44</v>
      </c>
      <c r="R138" s="63">
        <v>3</v>
      </c>
      <c r="S138" s="63">
        <v>7</v>
      </c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>
        <v>3</v>
      </c>
      <c r="AE138" s="63"/>
      <c r="AF138" s="63"/>
      <c r="AG138" s="63"/>
      <c r="AH138" s="63"/>
      <c r="AI138" s="63"/>
      <c r="AJ138" s="63"/>
      <c r="AK138" s="63"/>
      <c r="AL138" s="63">
        <v>3</v>
      </c>
      <c r="AM138" s="63"/>
      <c r="AN138" s="63"/>
      <c r="AO138" s="63"/>
      <c r="AP138" s="63"/>
      <c r="AQ138" s="63"/>
      <c r="AR138" s="63"/>
      <c r="AS138" s="63"/>
      <c r="AT138" s="63"/>
      <c r="AU138" s="63"/>
      <c r="AW138" s="5">
        <f>IF(Q138&gt;0,RANK(Q138,(N138:P138,Q138:AE138)),0)</f>
        <v>3</v>
      </c>
      <c r="AX138" s="5">
        <f>IF(R138&gt;0,RANK(R138,(N138:P138,Q138:AE138)),0)</f>
        <v>6</v>
      </c>
      <c r="AY138" s="5">
        <f>IF(T138&gt;0,RANK(T138,(N138:P138,Q138:AE138)),0)</f>
        <v>0</v>
      </c>
      <c r="AZ138" s="5">
        <f>IF(S138&gt;0,RANK(S138,(N138:P138,Q138:AE138)),0)</f>
        <v>5</v>
      </c>
      <c r="BA138" s="2">
        <f t="shared" si="58"/>
        <v>1.9391802556192154E-2</v>
      </c>
      <c r="BB138" s="2">
        <f t="shared" si="59"/>
        <v>1.3221683561040105E-3</v>
      </c>
      <c r="BC138" s="2">
        <f t="shared" si="60"/>
        <v>0</v>
      </c>
      <c r="BD138" s="2">
        <f t="shared" si="61"/>
        <v>3.0850594975760249E-3</v>
      </c>
      <c r="BF138" s="4" t="s">
        <v>1197</v>
      </c>
      <c r="BG138" s="3" t="s">
        <v>761</v>
      </c>
      <c r="BH138">
        <v>4</v>
      </c>
      <c r="BJ138" s="114">
        <v>5</v>
      </c>
      <c r="BK138" s="116">
        <v>13</v>
      </c>
      <c r="BL138" s="120">
        <f t="shared" si="22"/>
        <v>5013</v>
      </c>
      <c r="BN138" s="5" t="s">
        <v>3154</v>
      </c>
    </row>
    <row r="139" spans="1:90" hidden="1" outlineLevel="1">
      <c r="A139" s="4" t="s">
        <v>1675</v>
      </c>
      <c r="B139" s="3" t="s">
        <v>761</v>
      </c>
      <c r="C139" s="1">
        <f t="shared" si="53"/>
        <v>10758</v>
      </c>
      <c r="D139" s="5">
        <f>IF(N139&gt;0, RANK(N139,(N139:P139,Q139:AE139)),0)</f>
        <v>2</v>
      </c>
      <c r="E139" s="5">
        <f>IF(O139&gt;0,RANK(O139,(N139:P139,Q139:AE139)),0)</f>
        <v>1</v>
      </c>
      <c r="F139" s="5">
        <f>IF(P139&gt;0,RANK(P139,(N139:P139,Q139:AE139)),0)</f>
        <v>5</v>
      </c>
      <c r="G139" s="132">
        <f t="shared" si="62"/>
        <v>3444</v>
      </c>
      <c r="H139" s="137">
        <f t="shared" si="63"/>
        <v>0.32013385387618515</v>
      </c>
      <c r="I139" s="2"/>
      <c r="J139" s="2">
        <f t="shared" si="54"/>
        <v>0.31065253764640266</v>
      </c>
      <c r="K139" s="2">
        <f t="shared" si="55"/>
        <v>0.63078639152258786</v>
      </c>
      <c r="L139" s="2">
        <f t="shared" si="56"/>
        <v>7.4363264547313629E-3</v>
      </c>
      <c r="M139" s="2">
        <f t="shared" si="57"/>
        <v>5.1124744376278113E-2</v>
      </c>
      <c r="N139" s="63">
        <v>3342</v>
      </c>
      <c r="O139" s="63">
        <v>6786</v>
      </c>
      <c r="P139" s="63">
        <v>80</v>
      </c>
      <c r="Q139" s="63">
        <v>238</v>
      </c>
      <c r="R139" s="63">
        <v>210</v>
      </c>
      <c r="S139" s="63">
        <v>32</v>
      </c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>
        <v>43</v>
      </c>
      <c r="AE139" s="63"/>
      <c r="AF139" s="63"/>
      <c r="AG139" s="63"/>
      <c r="AH139" s="63"/>
      <c r="AI139" s="63"/>
      <c r="AJ139" s="63"/>
      <c r="AK139" s="63"/>
      <c r="AL139" s="63">
        <v>27</v>
      </c>
      <c r="AM139" s="63"/>
      <c r="AN139" s="63"/>
      <c r="AO139" s="63"/>
      <c r="AP139" s="63"/>
      <c r="AQ139" s="63"/>
      <c r="AR139" s="63"/>
      <c r="AS139" s="63"/>
      <c r="AT139" s="63"/>
      <c r="AU139" s="63"/>
      <c r="AW139" s="5">
        <f>IF(Q139&gt;0,RANK(Q139,(N139:P139,Q139:AE139)),0)</f>
        <v>3</v>
      </c>
      <c r="AX139" s="5">
        <f>IF(R139&gt;0,RANK(R139,(N139:P139,Q139:AE139)),0)</f>
        <v>4</v>
      </c>
      <c r="AY139" s="5">
        <f>IF(T139&gt;0,RANK(T139,(N139:P139,Q139:AE139)),0)</f>
        <v>0</v>
      </c>
      <c r="AZ139" s="5">
        <f>IF(S139&gt;0,RANK(S139,(N139:P139,Q139:AE139)),0)</f>
        <v>7</v>
      </c>
      <c r="BA139" s="2">
        <f t="shared" si="58"/>
        <v>2.2123071202825802E-2</v>
      </c>
      <c r="BB139" s="2">
        <f t="shared" si="59"/>
        <v>1.9520356943669825E-2</v>
      </c>
      <c r="BC139" s="2">
        <f t="shared" si="60"/>
        <v>0</v>
      </c>
      <c r="BD139" s="2">
        <f t="shared" si="61"/>
        <v>2.974530581892545E-3</v>
      </c>
      <c r="BF139" s="4" t="s">
        <v>1675</v>
      </c>
      <c r="BG139" s="3" t="s">
        <v>761</v>
      </c>
      <c r="BH139">
        <v>3</v>
      </c>
      <c r="BJ139" s="114">
        <v>5</v>
      </c>
      <c r="BK139" s="116">
        <v>15</v>
      </c>
      <c r="BL139" s="120">
        <f t="shared" si="22"/>
        <v>5015</v>
      </c>
      <c r="BN139" s="5" t="s">
        <v>3154</v>
      </c>
    </row>
    <row r="140" spans="1:90" hidden="1" outlineLevel="1">
      <c r="A140" s="4" t="s">
        <v>2157</v>
      </c>
      <c r="B140" s="3" t="s">
        <v>761</v>
      </c>
      <c r="C140" s="1">
        <f t="shared" si="53"/>
        <v>4176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>IF(P140&gt;0,RANK(P140,(N140:P140,Q140:AE140)),0)</f>
        <v>4</v>
      </c>
      <c r="G140" s="132">
        <f t="shared" si="62"/>
        <v>634</v>
      </c>
      <c r="H140" s="137">
        <f t="shared" si="63"/>
        <v>0.15181992337164751</v>
      </c>
      <c r="I140" s="2"/>
      <c r="J140" s="2">
        <f t="shared" si="54"/>
        <v>0.5627394636015326</v>
      </c>
      <c r="K140" s="2">
        <f t="shared" si="55"/>
        <v>0.41091954022988508</v>
      </c>
      <c r="L140" s="2">
        <f t="shared" si="56"/>
        <v>6.4655172413793103E-3</v>
      </c>
      <c r="M140" s="2">
        <f t="shared" si="57"/>
        <v>1.9875478927203011E-2</v>
      </c>
      <c r="N140" s="63">
        <v>2350</v>
      </c>
      <c r="O140" s="63">
        <v>1716</v>
      </c>
      <c r="P140" s="63">
        <v>27</v>
      </c>
      <c r="Q140" s="63">
        <v>35</v>
      </c>
      <c r="R140" s="63">
        <v>15</v>
      </c>
      <c r="S140" s="63">
        <v>4</v>
      </c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>
        <v>16</v>
      </c>
      <c r="AE140" s="63"/>
      <c r="AF140" s="63"/>
      <c r="AG140" s="63"/>
      <c r="AH140" s="63"/>
      <c r="AI140" s="63"/>
      <c r="AJ140" s="63"/>
      <c r="AK140" s="63"/>
      <c r="AL140" s="63">
        <v>13</v>
      </c>
      <c r="AM140" s="63"/>
      <c r="AN140" s="63"/>
      <c r="AO140" s="63"/>
      <c r="AP140" s="63"/>
      <c r="AQ140" s="63"/>
      <c r="AR140" s="63"/>
      <c r="AS140" s="63"/>
      <c r="AT140" s="63"/>
      <c r="AU140" s="63"/>
      <c r="AW140" s="5">
        <f>IF(Q140&gt;0,RANK(Q140,(N140:P140,Q140:AE140)),0)</f>
        <v>3</v>
      </c>
      <c r="AX140" s="5">
        <f>IF(R140&gt;0,RANK(R140,(N140:P140,Q140:AE140)),0)</f>
        <v>6</v>
      </c>
      <c r="AY140" s="5">
        <f>IF(T140&gt;0,RANK(T140,(N140:P140,Q140:AE140)),0)</f>
        <v>0</v>
      </c>
      <c r="AZ140" s="5">
        <f>IF(S140&gt;0,RANK(S140,(N140:P140,Q140:AE140)),0)</f>
        <v>7</v>
      </c>
      <c r="BA140" s="2">
        <f t="shared" si="58"/>
        <v>8.3812260536398463E-3</v>
      </c>
      <c r="BB140" s="2">
        <f t="shared" si="59"/>
        <v>3.5919540229885057E-3</v>
      </c>
      <c r="BC140" s="2">
        <f t="shared" si="60"/>
        <v>0</v>
      </c>
      <c r="BD140" s="2">
        <f t="shared" si="61"/>
        <v>9.5785440613026815E-4</v>
      </c>
      <c r="BF140" s="4" t="s">
        <v>2157</v>
      </c>
      <c r="BG140" s="3" t="s">
        <v>761</v>
      </c>
      <c r="BH140">
        <v>1</v>
      </c>
      <c r="BJ140" s="114">
        <v>5</v>
      </c>
      <c r="BK140" s="116">
        <v>17</v>
      </c>
      <c r="BL140" s="120">
        <f t="shared" si="22"/>
        <v>5017</v>
      </c>
      <c r="BN140" s="5" t="s">
        <v>3154</v>
      </c>
    </row>
    <row r="141" spans="1:90" hidden="1" outlineLevel="1">
      <c r="A141" s="4" t="s">
        <v>392</v>
      </c>
      <c r="B141" s="3" t="s">
        <v>761</v>
      </c>
      <c r="C141" s="1">
        <f t="shared" si="53"/>
        <v>8526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4</v>
      </c>
      <c r="G141" s="132">
        <f t="shared" si="62"/>
        <v>784</v>
      </c>
      <c r="H141" s="137">
        <f t="shared" si="63"/>
        <v>9.1954022988505746E-2</v>
      </c>
      <c r="I141" s="2"/>
      <c r="J141" s="2">
        <f t="shared" si="54"/>
        <v>0.42458362655406989</v>
      </c>
      <c r="K141" s="2">
        <f t="shared" si="55"/>
        <v>0.51653764954257564</v>
      </c>
      <c r="L141" s="2">
        <f t="shared" si="56"/>
        <v>1.6537649542575653E-2</v>
      </c>
      <c r="M141" s="2">
        <f t="shared" si="57"/>
        <v>4.2341074360778816E-2</v>
      </c>
      <c r="N141" s="63">
        <v>3620</v>
      </c>
      <c r="O141" s="63">
        <v>4404</v>
      </c>
      <c r="P141" s="63">
        <v>141</v>
      </c>
      <c r="Q141" s="63">
        <v>196</v>
      </c>
      <c r="R141" s="63">
        <v>68</v>
      </c>
      <c r="S141" s="63">
        <v>42</v>
      </c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>
        <v>34</v>
      </c>
      <c r="AE141" s="63"/>
      <c r="AF141" s="63"/>
      <c r="AG141" s="63"/>
      <c r="AH141" s="63"/>
      <c r="AI141" s="63"/>
      <c r="AJ141" s="63"/>
      <c r="AK141" s="63"/>
      <c r="AL141" s="63">
        <v>21</v>
      </c>
      <c r="AM141" s="63"/>
      <c r="AN141" s="63"/>
      <c r="AO141" s="63"/>
      <c r="AP141" s="63"/>
      <c r="AQ141" s="63"/>
      <c r="AR141" s="63"/>
      <c r="AS141" s="63"/>
      <c r="AT141" s="63"/>
      <c r="AU141" s="63"/>
      <c r="AW141" s="5">
        <f>IF(Q141&gt;0,RANK(Q141,(N141:P141,Q141:AE141)),0)</f>
        <v>3</v>
      </c>
      <c r="AX141" s="5">
        <f>IF(R141&gt;0,RANK(R141,(N141:P141,Q141:AE141)),0)</f>
        <v>5</v>
      </c>
      <c r="AY141" s="5">
        <f>IF(T141&gt;0,RANK(T141,(N141:P141,Q141:AE141)),0)</f>
        <v>0</v>
      </c>
      <c r="AZ141" s="5">
        <f>IF(S141&gt;0,RANK(S141,(N141:P141,Q141:AE141)),0)</f>
        <v>6</v>
      </c>
      <c r="BA141" s="2">
        <f t="shared" si="58"/>
        <v>2.2988505747126436E-2</v>
      </c>
      <c r="BB141" s="2">
        <f t="shared" si="59"/>
        <v>7.9756040347173356E-3</v>
      </c>
      <c r="BC141" s="2">
        <f t="shared" si="60"/>
        <v>0</v>
      </c>
      <c r="BD141" s="2">
        <f t="shared" si="61"/>
        <v>4.9261083743842365E-3</v>
      </c>
      <c r="BF141" s="4" t="s">
        <v>392</v>
      </c>
      <c r="BG141" s="3" t="s">
        <v>761</v>
      </c>
      <c r="BH141">
        <v>4</v>
      </c>
      <c r="BJ141" s="114">
        <v>5</v>
      </c>
      <c r="BK141" s="116">
        <v>19</v>
      </c>
      <c r="BL141" s="120">
        <f t="shared" si="22"/>
        <v>5019</v>
      </c>
      <c r="BN141" s="5" t="s">
        <v>3154</v>
      </c>
    </row>
    <row r="142" spans="1:90" hidden="1" outlineLevel="1">
      <c r="A142" s="4" t="s">
        <v>3093</v>
      </c>
      <c r="B142" s="3" t="s">
        <v>761</v>
      </c>
      <c r="C142" s="1">
        <f t="shared" si="53"/>
        <v>5200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6</v>
      </c>
      <c r="G142" s="132">
        <f t="shared" si="62"/>
        <v>2582</v>
      </c>
      <c r="H142" s="137">
        <f t="shared" si="63"/>
        <v>0.49653846153846154</v>
      </c>
      <c r="I142" s="2"/>
      <c r="J142" s="2">
        <f t="shared" si="54"/>
        <v>0.23057692307692307</v>
      </c>
      <c r="K142" s="2">
        <f t="shared" si="55"/>
        <v>0.72711538461538461</v>
      </c>
      <c r="L142" s="2">
        <f t="shared" si="56"/>
        <v>3.8461538461538464E-3</v>
      </c>
      <c r="M142" s="2">
        <f t="shared" si="57"/>
        <v>3.8461538461538533E-2</v>
      </c>
      <c r="N142" s="63">
        <v>1199</v>
      </c>
      <c r="O142" s="63">
        <v>3781</v>
      </c>
      <c r="P142" s="63">
        <v>20</v>
      </c>
      <c r="Q142" s="63">
        <v>100</v>
      </c>
      <c r="R142" s="63">
        <v>35</v>
      </c>
      <c r="S142" s="63">
        <v>19</v>
      </c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>
        <v>27</v>
      </c>
      <c r="AE142" s="63"/>
      <c r="AF142" s="63"/>
      <c r="AG142" s="63"/>
      <c r="AH142" s="63"/>
      <c r="AI142" s="63"/>
      <c r="AJ142" s="63"/>
      <c r="AK142" s="63"/>
      <c r="AL142" s="63">
        <v>19</v>
      </c>
      <c r="AM142" s="63"/>
      <c r="AN142" s="63"/>
      <c r="AO142" s="63"/>
      <c r="AP142" s="63"/>
      <c r="AQ142" s="63"/>
      <c r="AR142" s="63"/>
      <c r="AS142" s="63"/>
      <c r="AT142" s="63"/>
      <c r="AU142" s="63"/>
      <c r="AW142" s="5">
        <f>IF(Q142&gt;0,RANK(Q142,(N142:P142,Q142:AE142)),0)</f>
        <v>3</v>
      </c>
      <c r="AX142" s="5">
        <f>IF(R142&gt;0,RANK(R142,(N142:P142,Q142:AE142)),0)</f>
        <v>4</v>
      </c>
      <c r="AY142" s="5">
        <f>IF(T142&gt;0,RANK(T142,(N142:P142,Q142:AE142)),0)</f>
        <v>0</v>
      </c>
      <c r="AZ142" s="5">
        <f>IF(S142&gt;0,RANK(S142,(N142:P142,Q142:AE142)),0)</f>
        <v>7</v>
      </c>
      <c r="BA142" s="2">
        <f t="shared" si="58"/>
        <v>1.9230769230769232E-2</v>
      </c>
      <c r="BB142" s="2">
        <f t="shared" si="59"/>
        <v>6.7307692307692311E-3</v>
      </c>
      <c r="BC142" s="2">
        <f t="shared" si="60"/>
        <v>0</v>
      </c>
      <c r="BD142" s="2">
        <f t="shared" si="61"/>
        <v>3.6538461538461538E-3</v>
      </c>
      <c r="BF142" s="4" t="s">
        <v>3093</v>
      </c>
      <c r="BG142" s="3" t="s">
        <v>761</v>
      </c>
      <c r="BH142">
        <v>1</v>
      </c>
      <c r="BJ142" s="114">
        <v>5</v>
      </c>
      <c r="BK142" s="116">
        <v>21</v>
      </c>
      <c r="BL142" s="120">
        <f t="shared" si="22"/>
        <v>5021</v>
      </c>
      <c r="BN142" s="5" t="s">
        <v>3154</v>
      </c>
    </row>
    <row r="143" spans="1:90" hidden="1" outlineLevel="1">
      <c r="A143" s="4" t="s">
        <v>1017</v>
      </c>
      <c r="B143" s="3" t="s">
        <v>761</v>
      </c>
      <c r="C143" s="1">
        <f t="shared" si="53"/>
        <v>12085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4</v>
      </c>
      <c r="G143" s="132">
        <f t="shared" si="62"/>
        <v>7357</v>
      </c>
      <c r="H143" s="137">
        <f t="shared" si="63"/>
        <v>0.6087712039718659</v>
      </c>
      <c r="I143" s="2"/>
      <c r="J143" s="2">
        <f t="shared" si="54"/>
        <v>0.17385188249896566</v>
      </c>
      <c r="K143" s="2">
        <f t="shared" si="55"/>
        <v>0.78262308647083156</v>
      </c>
      <c r="L143" s="2">
        <f t="shared" si="56"/>
        <v>9.3504344228382292E-3</v>
      </c>
      <c r="M143" s="2">
        <f t="shared" si="57"/>
        <v>3.4174596607364549E-2</v>
      </c>
      <c r="N143" s="63">
        <v>2101</v>
      </c>
      <c r="O143" s="63">
        <v>9458</v>
      </c>
      <c r="P143" s="63">
        <v>113</v>
      </c>
      <c r="Q143" s="63">
        <v>229</v>
      </c>
      <c r="R143" s="63">
        <v>63</v>
      </c>
      <c r="S143" s="63">
        <v>42</v>
      </c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>
        <v>44</v>
      </c>
      <c r="AE143" s="63"/>
      <c r="AF143" s="63"/>
      <c r="AG143" s="63"/>
      <c r="AH143" s="63"/>
      <c r="AI143" s="63"/>
      <c r="AJ143" s="63"/>
      <c r="AK143" s="63"/>
      <c r="AL143" s="63">
        <v>35</v>
      </c>
      <c r="AM143" s="63"/>
      <c r="AN143" s="63"/>
      <c r="AO143" s="63"/>
      <c r="AP143" s="63"/>
      <c r="AQ143" s="63"/>
      <c r="AR143" s="63"/>
      <c r="AS143" s="63"/>
      <c r="AT143" s="63"/>
      <c r="AU143" s="63"/>
      <c r="AW143" s="5">
        <f>IF(Q143&gt;0,RANK(Q143,(N143:P143,Q143:AE143)),0)</f>
        <v>3</v>
      </c>
      <c r="AX143" s="5">
        <f>IF(R143&gt;0,RANK(R143,(N143:P143,Q143:AE143)),0)</f>
        <v>5</v>
      </c>
      <c r="AY143" s="5">
        <f>IF(T143&gt;0,RANK(T143,(N143:P143,Q143:AE143)),0)</f>
        <v>0</v>
      </c>
      <c r="AZ143" s="5">
        <f>IF(S143&gt;0,RANK(S143,(N143:P143,Q143:AE143)),0)</f>
        <v>7</v>
      </c>
      <c r="BA143" s="2">
        <f t="shared" si="58"/>
        <v>1.8949110467521721E-2</v>
      </c>
      <c r="BB143" s="2">
        <f t="shared" si="59"/>
        <v>5.2130740587505173E-3</v>
      </c>
      <c r="BC143" s="2">
        <f t="shared" si="60"/>
        <v>0</v>
      </c>
      <c r="BD143" s="2">
        <f t="shared" si="61"/>
        <v>3.4753827058336779E-3</v>
      </c>
      <c r="BF143" s="4" t="s">
        <v>1017</v>
      </c>
      <c r="BG143" s="3" t="s">
        <v>761</v>
      </c>
      <c r="BH143">
        <v>1</v>
      </c>
      <c r="BJ143" s="114">
        <v>5</v>
      </c>
      <c r="BK143" s="116">
        <v>23</v>
      </c>
      <c r="BL143" s="120">
        <f t="shared" si="22"/>
        <v>5023</v>
      </c>
      <c r="BN143" s="5" t="s">
        <v>3154</v>
      </c>
    </row>
    <row r="144" spans="1:90" hidden="1" outlineLevel="1">
      <c r="A144" s="4" t="s">
        <v>2925</v>
      </c>
      <c r="B144" s="3" t="s">
        <v>761</v>
      </c>
      <c r="C144" s="1">
        <f t="shared" si="53"/>
        <v>3354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4</v>
      </c>
      <c r="G144" s="132">
        <f t="shared" si="62"/>
        <v>1739</v>
      </c>
      <c r="H144" s="137">
        <f t="shared" si="63"/>
        <v>0.51848539057841381</v>
      </c>
      <c r="I144" s="2"/>
      <c r="J144" s="2">
        <f t="shared" si="54"/>
        <v>0.21556350626118068</v>
      </c>
      <c r="K144" s="2">
        <f t="shared" si="55"/>
        <v>0.73404889683959451</v>
      </c>
      <c r="L144" s="2">
        <f t="shared" si="56"/>
        <v>1.5802027429934407E-2</v>
      </c>
      <c r="M144" s="2">
        <f t="shared" si="57"/>
        <v>3.4585569469290381E-2</v>
      </c>
      <c r="N144" s="63">
        <v>723</v>
      </c>
      <c r="O144" s="63">
        <v>2462</v>
      </c>
      <c r="P144" s="63">
        <v>53</v>
      </c>
      <c r="Q144" s="63">
        <v>59</v>
      </c>
      <c r="R144" s="63">
        <v>8</v>
      </c>
      <c r="S144" s="63">
        <v>11</v>
      </c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>
        <v>32</v>
      </c>
      <c r="AE144" s="63"/>
      <c r="AF144" s="63"/>
      <c r="AG144" s="63"/>
      <c r="AH144" s="63"/>
      <c r="AI144" s="63"/>
      <c r="AJ144" s="63"/>
      <c r="AK144" s="63"/>
      <c r="AL144" s="63">
        <v>6</v>
      </c>
      <c r="AM144" s="63"/>
      <c r="AN144" s="63"/>
      <c r="AO144" s="63"/>
      <c r="AP144" s="63"/>
      <c r="AQ144" s="63"/>
      <c r="AR144" s="63"/>
      <c r="AS144" s="63"/>
      <c r="AT144" s="63"/>
      <c r="AU144" s="63"/>
      <c r="AW144" s="5">
        <f>IF(Q144&gt;0,RANK(Q144,(N144:P144,Q144:AE144)),0)</f>
        <v>3</v>
      </c>
      <c r="AX144" s="5">
        <f>IF(R144&gt;0,RANK(R144,(N144:P144,Q144:AE144)),0)</f>
        <v>7</v>
      </c>
      <c r="AY144" s="5">
        <f>IF(T144&gt;0,RANK(T144,(N144:P144,Q144:AE144)),0)</f>
        <v>0</v>
      </c>
      <c r="AZ144" s="5">
        <f>IF(S144&gt;0,RANK(S144,(N144:P144,Q144:AE144)),0)</f>
        <v>6</v>
      </c>
      <c r="BA144" s="2">
        <f t="shared" si="58"/>
        <v>1.7590936195587357E-2</v>
      </c>
      <c r="BB144" s="2">
        <f t="shared" si="59"/>
        <v>2.3852116875372688E-3</v>
      </c>
      <c r="BC144" s="2">
        <f t="shared" si="60"/>
        <v>0</v>
      </c>
      <c r="BD144" s="2">
        <f t="shared" si="61"/>
        <v>3.2796660703637449E-3</v>
      </c>
      <c r="BF144" s="4" t="s">
        <v>2925</v>
      </c>
      <c r="BG144" s="3" t="s">
        <v>761</v>
      </c>
      <c r="BH144">
        <v>4</v>
      </c>
      <c r="BJ144" s="114">
        <v>5</v>
      </c>
      <c r="BK144" s="116">
        <v>25</v>
      </c>
      <c r="BL144" s="120">
        <f t="shared" si="22"/>
        <v>5025</v>
      </c>
      <c r="BN144" s="5" t="s">
        <v>3154</v>
      </c>
    </row>
    <row r="145" spans="1:66" hidden="1" outlineLevel="1">
      <c r="A145" s="4" t="s">
        <v>1496</v>
      </c>
      <c r="B145" s="3" t="s">
        <v>761</v>
      </c>
      <c r="C145" s="1">
        <f t="shared" si="53"/>
        <v>8887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4</v>
      </c>
      <c r="G145" s="132">
        <f t="shared" si="62"/>
        <v>2316</v>
      </c>
      <c r="H145" s="137">
        <f t="shared" si="63"/>
        <v>0.26060537864296163</v>
      </c>
      <c r="I145" s="2"/>
      <c r="J145" s="2">
        <f t="shared" si="54"/>
        <v>0.35332508157983572</v>
      </c>
      <c r="K145" s="2">
        <f t="shared" si="55"/>
        <v>0.61393046022279729</v>
      </c>
      <c r="L145" s="2">
        <f t="shared" si="56"/>
        <v>5.626195566557894E-3</v>
      </c>
      <c r="M145" s="2">
        <f t="shared" si="57"/>
        <v>2.7118262630809149E-2</v>
      </c>
      <c r="N145" s="63">
        <v>3140</v>
      </c>
      <c r="O145" s="63">
        <v>5456</v>
      </c>
      <c r="P145" s="63">
        <v>50</v>
      </c>
      <c r="Q145" s="63">
        <v>117</v>
      </c>
      <c r="R145" s="63">
        <v>40</v>
      </c>
      <c r="S145" s="63">
        <v>46</v>
      </c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>
        <v>18</v>
      </c>
      <c r="AE145" s="63"/>
      <c r="AF145" s="63"/>
      <c r="AG145" s="63"/>
      <c r="AH145" s="63"/>
      <c r="AI145" s="63"/>
      <c r="AJ145" s="63"/>
      <c r="AK145" s="63"/>
      <c r="AL145" s="63">
        <v>20</v>
      </c>
      <c r="AM145" s="63"/>
      <c r="AN145" s="63"/>
      <c r="AO145" s="63"/>
      <c r="AP145" s="63"/>
      <c r="AQ145" s="63"/>
      <c r="AR145" s="63"/>
      <c r="AS145" s="63"/>
      <c r="AT145" s="63"/>
      <c r="AU145" s="63"/>
      <c r="AW145" s="5">
        <f>IF(Q145&gt;0,RANK(Q145,(N145:P145,Q145:AE145)),0)</f>
        <v>3</v>
      </c>
      <c r="AX145" s="5">
        <f>IF(R145&gt;0,RANK(R145,(N145:P145,Q145:AE145)),0)</f>
        <v>6</v>
      </c>
      <c r="AY145" s="5">
        <f>IF(T145&gt;0,RANK(T145,(N145:P145,Q145:AE145)),0)</f>
        <v>0</v>
      </c>
      <c r="AZ145" s="5">
        <f>IF(S145&gt;0,RANK(S145,(N145:P145,Q145:AE145)),0)</f>
        <v>5</v>
      </c>
      <c r="BA145" s="2">
        <f t="shared" si="58"/>
        <v>1.316529762574547E-2</v>
      </c>
      <c r="BB145" s="2">
        <f t="shared" si="59"/>
        <v>4.500956453246315E-3</v>
      </c>
      <c r="BC145" s="2">
        <f t="shared" si="60"/>
        <v>0</v>
      </c>
      <c r="BD145" s="2">
        <f t="shared" si="61"/>
        <v>5.1760999212332624E-3</v>
      </c>
      <c r="BF145" s="4" t="s">
        <v>1496</v>
      </c>
      <c r="BG145" s="3" t="s">
        <v>761</v>
      </c>
      <c r="BH145">
        <v>4</v>
      </c>
      <c r="BJ145" s="114">
        <v>5</v>
      </c>
      <c r="BK145" s="116">
        <v>27</v>
      </c>
      <c r="BL145" s="120">
        <f t="shared" si="22"/>
        <v>5027</v>
      </c>
      <c r="BN145" s="5" t="s">
        <v>3154</v>
      </c>
    </row>
    <row r="146" spans="1:66" hidden="1" outlineLevel="1">
      <c r="A146" s="4" t="s">
        <v>2457</v>
      </c>
      <c r="B146" s="3" t="s">
        <v>761</v>
      </c>
      <c r="C146" s="1">
        <f t="shared" si="53"/>
        <v>7927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4</v>
      </c>
      <c r="G146" s="132">
        <f t="shared" si="62"/>
        <v>2193</v>
      </c>
      <c r="H146" s="137">
        <f t="shared" si="63"/>
        <v>0.27664942601236281</v>
      </c>
      <c r="I146" s="2"/>
      <c r="J146" s="2">
        <f t="shared" si="54"/>
        <v>0.33505739876371893</v>
      </c>
      <c r="K146" s="2">
        <f t="shared" si="55"/>
        <v>0.61170682477608174</v>
      </c>
      <c r="L146" s="2">
        <f t="shared" si="56"/>
        <v>1.0596694840418822E-2</v>
      </c>
      <c r="M146" s="2">
        <f t="shared" si="57"/>
        <v>4.2639081619780569E-2</v>
      </c>
      <c r="N146" s="63">
        <v>2656</v>
      </c>
      <c r="O146" s="63">
        <v>4849</v>
      </c>
      <c r="P146" s="63">
        <v>84</v>
      </c>
      <c r="Q146" s="63">
        <v>171</v>
      </c>
      <c r="R146" s="63">
        <v>43</v>
      </c>
      <c r="S146" s="63">
        <v>30</v>
      </c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>
        <v>69</v>
      </c>
      <c r="AE146" s="63"/>
      <c r="AF146" s="63"/>
      <c r="AG146" s="63"/>
      <c r="AH146" s="63"/>
      <c r="AI146" s="63"/>
      <c r="AJ146" s="63"/>
      <c r="AK146" s="63"/>
      <c r="AL146" s="63">
        <v>25</v>
      </c>
      <c r="AM146" s="63"/>
      <c r="AN146" s="63"/>
      <c r="AO146" s="63"/>
      <c r="AP146" s="63"/>
      <c r="AQ146" s="63"/>
      <c r="AR146" s="63"/>
      <c r="AS146" s="63"/>
      <c r="AT146" s="63"/>
      <c r="AU146" s="63"/>
      <c r="AW146" s="5">
        <f>IF(Q146&gt;0,RANK(Q146,(N146:P146,Q146:AE146)),0)</f>
        <v>3</v>
      </c>
      <c r="AX146" s="5">
        <f>IF(R146&gt;0,RANK(R146,(N146:P146,Q146:AE146)),0)</f>
        <v>6</v>
      </c>
      <c r="AY146" s="5">
        <f>IF(T146&gt;0,RANK(T146,(N146:P146,Q146:AE146)),0)</f>
        <v>0</v>
      </c>
      <c r="AZ146" s="5">
        <f>IF(S146&gt;0,RANK(S146,(N146:P146,Q146:AE146)),0)</f>
        <v>7</v>
      </c>
      <c r="BA146" s="2">
        <f t="shared" si="58"/>
        <v>2.157184306799546E-2</v>
      </c>
      <c r="BB146" s="2">
        <f t="shared" si="59"/>
        <v>5.4244985492620159E-3</v>
      </c>
      <c r="BC146" s="2">
        <f t="shared" si="60"/>
        <v>0</v>
      </c>
      <c r="BD146" s="2">
        <f t="shared" si="61"/>
        <v>3.7845338715781504E-3</v>
      </c>
      <c r="BF146" s="4" t="s">
        <v>2457</v>
      </c>
      <c r="BG146" s="3" t="s">
        <v>761</v>
      </c>
      <c r="BH146">
        <v>2</v>
      </c>
      <c r="BJ146" s="114">
        <v>5</v>
      </c>
      <c r="BK146" s="116">
        <v>29</v>
      </c>
      <c r="BL146" s="120">
        <f t="shared" si="22"/>
        <v>5029</v>
      </c>
      <c r="BN146" s="5" t="s">
        <v>3154</v>
      </c>
    </row>
    <row r="147" spans="1:66" hidden="1" outlineLevel="1">
      <c r="A147" s="4" t="s">
        <v>622</v>
      </c>
      <c r="B147" s="3" t="s">
        <v>761</v>
      </c>
      <c r="C147" s="1">
        <f t="shared" si="53"/>
        <v>35573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4</v>
      </c>
      <c r="G147" s="132">
        <f t="shared" si="62"/>
        <v>12354</v>
      </c>
      <c r="H147" s="137">
        <f t="shared" si="63"/>
        <v>0.3472858628735277</v>
      </c>
      <c r="I147" s="2"/>
      <c r="J147" s="2">
        <f t="shared" si="54"/>
        <v>0.29623590925702076</v>
      </c>
      <c r="K147" s="2">
        <f t="shared" si="55"/>
        <v>0.6435217721305484</v>
      </c>
      <c r="L147" s="2">
        <f t="shared" si="56"/>
        <v>1.2368931492986254E-2</v>
      </c>
      <c r="M147" s="2">
        <f t="shared" si="57"/>
        <v>4.7873387119444534E-2</v>
      </c>
      <c r="N147" s="63">
        <v>10538</v>
      </c>
      <c r="O147" s="63">
        <v>22892</v>
      </c>
      <c r="P147" s="63">
        <v>440</v>
      </c>
      <c r="Q147" s="63">
        <v>1031</v>
      </c>
      <c r="R147" s="63">
        <v>304</v>
      </c>
      <c r="S147" s="63">
        <v>134</v>
      </c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>
        <v>139</v>
      </c>
      <c r="AE147" s="63"/>
      <c r="AF147" s="63"/>
      <c r="AG147" s="63"/>
      <c r="AH147" s="63"/>
      <c r="AI147" s="63"/>
      <c r="AJ147" s="63"/>
      <c r="AK147" s="63"/>
      <c r="AL147" s="63">
        <v>95</v>
      </c>
      <c r="AM147" s="63"/>
      <c r="AN147" s="63"/>
      <c r="AO147" s="63"/>
      <c r="AP147" s="63"/>
      <c r="AQ147" s="63"/>
      <c r="AR147" s="63"/>
      <c r="AS147" s="63"/>
      <c r="AT147" s="63"/>
      <c r="AU147" s="63"/>
      <c r="AW147" s="5">
        <f>IF(Q147&gt;0,RANK(Q147,(N147:P147,Q147:AE147)),0)</f>
        <v>3</v>
      </c>
      <c r="AX147" s="5">
        <f>IF(R147&gt;0,RANK(R147,(N147:P147,Q147:AE147)),0)</f>
        <v>5</v>
      </c>
      <c r="AY147" s="5">
        <f>IF(T147&gt;0,RANK(T147,(N147:P147,Q147:AE147)),0)</f>
        <v>0</v>
      </c>
      <c r="AZ147" s="5">
        <f>IF(S147&gt;0,RANK(S147,(N147:P147,Q147:AE147)),0)</f>
        <v>7</v>
      </c>
      <c r="BA147" s="2">
        <f t="shared" si="58"/>
        <v>2.8982655384701881E-2</v>
      </c>
      <c r="BB147" s="2">
        <f t="shared" si="59"/>
        <v>8.5458072133359573E-3</v>
      </c>
      <c r="BC147" s="2">
        <f t="shared" si="60"/>
        <v>0</v>
      </c>
      <c r="BD147" s="2">
        <f t="shared" si="61"/>
        <v>3.7669018637730865E-3</v>
      </c>
      <c r="BF147" s="4" t="s">
        <v>622</v>
      </c>
      <c r="BG147" s="3" t="s">
        <v>761</v>
      </c>
      <c r="BH147">
        <v>1</v>
      </c>
      <c r="BJ147" s="114">
        <v>5</v>
      </c>
      <c r="BK147" s="116">
        <v>31</v>
      </c>
      <c r="BL147" s="120">
        <f t="shared" si="22"/>
        <v>5031</v>
      </c>
      <c r="BN147" s="5" t="s">
        <v>3154</v>
      </c>
    </row>
    <row r="148" spans="1:66" hidden="1" outlineLevel="1">
      <c r="A148" s="4" t="s">
        <v>1875</v>
      </c>
      <c r="B148" s="3" t="s">
        <v>761</v>
      </c>
      <c r="C148" s="1">
        <f t="shared" si="53"/>
        <v>22450</v>
      </c>
      <c r="D148" s="5">
        <f>IF(N148&gt;0, RANK(N148,(N148:P148,Q148:AE148)),0)</f>
        <v>2</v>
      </c>
      <c r="E148" s="5">
        <f>IF(O148&gt;0,RANK(O148,(N148:P148,Q148:AE148)),0)</f>
        <v>1</v>
      </c>
      <c r="F148" s="5">
        <f>IF(P148&gt;0,RANK(P148,(N148:P148,Q148:AE148)),0)</f>
        <v>4</v>
      </c>
      <c r="G148" s="132">
        <f t="shared" si="62"/>
        <v>12198</v>
      </c>
      <c r="H148" s="137">
        <f t="shared" si="63"/>
        <v>0.54334075723830733</v>
      </c>
      <c r="I148" s="2"/>
      <c r="J148" s="2">
        <f t="shared" si="54"/>
        <v>0.19991091314031181</v>
      </c>
      <c r="K148" s="2">
        <f t="shared" si="55"/>
        <v>0.74325167037861917</v>
      </c>
      <c r="L148" s="2">
        <f t="shared" si="56"/>
        <v>1.1046770601336303E-2</v>
      </c>
      <c r="M148" s="2">
        <f t="shared" si="57"/>
        <v>4.5790645879732687E-2</v>
      </c>
      <c r="N148" s="63">
        <v>4488</v>
      </c>
      <c r="O148" s="63">
        <v>16686</v>
      </c>
      <c r="P148" s="63">
        <v>248</v>
      </c>
      <c r="Q148" s="63">
        <v>581</v>
      </c>
      <c r="R148" s="63">
        <v>173</v>
      </c>
      <c r="S148" s="63">
        <v>80</v>
      </c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>
        <v>119</v>
      </c>
      <c r="AE148" s="63"/>
      <c r="AF148" s="63"/>
      <c r="AG148" s="63"/>
      <c r="AH148" s="63"/>
      <c r="AI148" s="63"/>
      <c r="AJ148" s="63"/>
      <c r="AK148" s="63"/>
      <c r="AL148" s="63">
        <v>75</v>
      </c>
      <c r="AM148" s="63"/>
      <c r="AN148" s="63"/>
      <c r="AO148" s="63"/>
      <c r="AP148" s="63"/>
      <c r="AQ148" s="63"/>
      <c r="AR148" s="63"/>
      <c r="AS148" s="63"/>
      <c r="AT148" s="63"/>
      <c r="AU148" s="63"/>
      <c r="AW148" s="5">
        <f>IF(Q148&gt;0,RANK(Q148,(N148:P148,Q148:AE148)),0)</f>
        <v>3</v>
      </c>
      <c r="AX148" s="5">
        <f>IF(R148&gt;0,RANK(R148,(N148:P148,Q148:AE148)),0)</f>
        <v>5</v>
      </c>
      <c r="AY148" s="5">
        <f>IF(T148&gt;0,RANK(T148,(N148:P148,Q148:AE148)),0)</f>
        <v>0</v>
      </c>
      <c r="AZ148" s="5">
        <f>IF(S148&gt;0,RANK(S148,(N148:P148,Q148:AE148)),0)</f>
        <v>7</v>
      </c>
      <c r="BA148" s="2">
        <f t="shared" si="58"/>
        <v>2.5879732739420937E-2</v>
      </c>
      <c r="BB148" s="2">
        <f t="shared" si="59"/>
        <v>7.7060133630289535E-3</v>
      </c>
      <c r="BC148" s="2">
        <f t="shared" si="60"/>
        <v>0</v>
      </c>
      <c r="BD148" s="2">
        <f t="shared" si="61"/>
        <v>3.5634743875278397E-3</v>
      </c>
      <c r="BF148" s="4" t="s">
        <v>1875</v>
      </c>
      <c r="BG148" s="3" t="s">
        <v>761</v>
      </c>
      <c r="BJ148" s="114">
        <v>5</v>
      </c>
      <c r="BK148" s="116">
        <v>33</v>
      </c>
      <c r="BL148" s="120">
        <f t="shared" si="22"/>
        <v>5033</v>
      </c>
      <c r="BN148" s="5" t="s">
        <v>3154</v>
      </c>
    </row>
    <row r="149" spans="1:66" hidden="1" outlineLevel="1">
      <c r="A149" s="4" t="s">
        <v>1856</v>
      </c>
      <c r="B149" s="3" t="s">
        <v>761</v>
      </c>
      <c r="C149" s="1">
        <f t="shared" si="53"/>
        <v>15952</v>
      </c>
      <c r="D149" s="5">
        <f>IF(N149&gt;0, RANK(N149,(N149:P149,Q149:AE149)),0)</f>
        <v>1</v>
      </c>
      <c r="E149" s="5">
        <f>IF(O149&gt;0,RANK(O149,(N149:P149,Q149:AE149)),0)</f>
        <v>2</v>
      </c>
      <c r="F149" s="5">
        <f>IF(P149&gt;0,RANK(P149,(N149:P149,Q149:AE149)),0)</f>
        <v>4</v>
      </c>
      <c r="G149" s="132">
        <f t="shared" si="62"/>
        <v>1446</v>
      </c>
      <c r="H149" s="137">
        <f t="shared" si="63"/>
        <v>9.0646940822467409E-2</v>
      </c>
      <c r="I149" s="2"/>
      <c r="J149" s="2">
        <f t="shared" si="54"/>
        <v>0.52720661985957873</v>
      </c>
      <c r="K149" s="2">
        <f t="shared" si="55"/>
        <v>0.43655967903711135</v>
      </c>
      <c r="L149" s="2">
        <f t="shared" si="56"/>
        <v>6.0807422266800403E-3</v>
      </c>
      <c r="M149" s="2">
        <f t="shared" si="57"/>
        <v>3.0152958876629884E-2</v>
      </c>
      <c r="N149" s="63">
        <v>8410</v>
      </c>
      <c r="O149" s="63">
        <v>6964</v>
      </c>
      <c r="P149" s="63">
        <v>97</v>
      </c>
      <c r="Q149" s="63">
        <v>242</v>
      </c>
      <c r="R149" s="63">
        <v>96</v>
      </c>
      <c r="S149" s="63">
        <v>58</v>
      </c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>
        <v>37</v>
      </c>
      <c r="AE149" s="63"/>
      <c r="AF149" s="63"/>
      <c r="AG149" s="63"/>
      <c r="AH149" s="63"/>
      <c r="AI149" s="63"/>
      <c r="AJ149" s="63"/>
      <c r="AK149" s="63"/>
      <c r="AL149" s="63">
        <v>48</v>
      </c>
      <c r="AM149" s="63"/>
      <c r="AN149" s="63"/>
      <c r="AO149" s="63"/>
      <c r="AP149" s="63"/>
      <c r="AQ149" s="63"/>
      <c r="AR149" s="63"/>
      <c r="AS149" s="63"/>
      <c r="AT149" s="63"/>
      <c r="AU149" s="63"/>
      <c r="AW149" s="5">
        <f>IF(Q149&gt;0,RANK(Q149,(N149:P149,Q149:AE149)),0)</f>
        <v>3</v>
      </c>
      <c r="AX149" s="5">
        <f>IF(R149&gt;0,RANK(R149,(N149:P149,Q149:AE149)),0)</f>
        <v>5</v>
      </c>
      <c r="AY149" s="5">
        <f>IF(T149&gt;0,RANK(T149,(N149:P149,Q149:AE149)),0)</f>
        <v>0</v>
      </c>
      <c r="AZ149" s="5">
        <f>IF(S149&gt;0,RANK(S149,(N149:P149,Q149:AE149)),0)</f>
        <v>6</v>
      </c>
      <c r="BA149" s="2">
        <f t="shared" si="58"/>
        <v>1.5170511534603812E-2</v>
      </c>
      <c r="BB149" s="2">
        <f t="shared" si="59"/>
        <v>6.018054162487462E-3</v>
      </c>
      <c r="BC149" s="2">
        <f t="shared" si="60"/>
        <v>0</v>
      </c>
      <c r="BD149" s="2">
        <f t="shared" si="61"/>
        <v>3.6359077231695085E-3</v>
      </c>
      <c r="BF149" s="4" t="s">
        <v>1856</v>
      </c>
      <c r="BG149" s="3" t="s">
        <v>761</v>
      </c>
      <c r="BH149">
        <v>1</v>
      </c>
      <c r="BJ149" s="114">
        <v>5</v>
      </c>
      <c r="BK149" s="116">
        <v>35</v>
      </c>
      <c r="BL149" s="120">
        <f t="shared" si="22"/>
        <v>5035</v>
      </c>
      <c r="BN149" s="5" t="s">
        <v>3154</v>
      </c>
    </row>
    <row r="150" spans="1:66" hidden="1" outlineLevel="1">
      <c r="A150" s="4" t="s">
        <v>2459</v>
      </c>
      <c r="B150" s="3" t="s">
        <v>761</v>
      </c>
      <c r="C150" s="1">
        <f t="shared" si="53"/>
        <v>6874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6</v>
      </c>
      <c r="G150" s="132">
        <f t="shared" si="62"/>
        <v>2585</v>
      </c>
      <c r="H150" s="137">
        <f t="shared" si="63"/>
        <v>0.37605469886528947</v>
      </c>
      <c r="I150" s="2"/>
      <c r="J150" s="2">
        <f t="shared" si="54"/>
        <v>0.29080593540878674</v>
      </c>
      <c r="K150" s="2">
        <f t="shared" si="55"/>
        <v>0.66686063427407627</v>
      </c>
      <c r="L150" s="2">
        <f t="shared" si="56"/>
        <v>4.6552225778295027E-3</v>
      </c>
      <c r="M150" s="2">
        <f t="shared" si="57"/>
        <v>3.7678207739307489E-2</v>
      </c>
      <c r="N150" s="63">
        <v>1999</v>
      </c>
      <c r="O150" s="63">
        <v>4584</v>
      </c>
      <c r="P150" s="63">
        <v>32</v>
      </c>
      <c r="Q150" s="63">
        <v>105</v>
      </c>
      <c r="R150" s="63">
        <v>24</v>
      </c>
      <c r="S150" s="63">
        <v>44</v>
      </c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>
        <v>54</v>
      </c>
      <c r="AE150" s="63"/>
      <c r="AF150" s="63"/>
      <c r="AG150" s="63"/>
      <c r="AH150" s="63"/>
      <c r="AI150" s="63"/>
      <c r="AJ150" s="63"/>
      <c r="AK150" s="63"/>
      <c r="AL150" s="63">
        <v>32</v>
      </c>
      <c r="AM150" s="63"/>
      <c r="AN150" s="63"/>
      <c r="AO150" s="63"/>
      <c r="AP150" s="63"/>
      <c r="AQ150" s="63"/>
      <c r="AR150" s="63"/>
      <c r="AS150" s="63"/>
      <c r="AT150" s="63"/>
      <c r="AU150" s="63"/>
      <c r="AW150" s="5">
        <f>IF(Q150&gt;0,RANK(Q150,(N150:P150,Q150:AE150)),0)</f>
        <v>3</v>
      </c>
      <c r="AX150" s="5">
        <f>IF(R150&gt;0,RANK(R150,(N150:P150,Q150:AE150)),0)</f>
        <v>7</v>
      </c>
      <c r="AY150" s="5">
        <f>IF(T150&gt;0,RANK(T150,(N150:P150,Q150:AE150)),0)</f>
        <v>0</v>
      </c>
      <c r="AZ150" s="5">
        <f>IF(S150&gt;0,RANK(S150,(N150:P150,Q150:AE150)),0)</f>
        <v>5</v>
      </c>
      <c r="BA150" s="2">
        <f t="shared" si="58"/>
        <v>1.5274949083503055E-2</v>
      </c>
      <c r="BB150" s="2">
        <f t="shared" si="59"/>
        <v>3.4914169333721268E-3</v>
      </c>
      <c r="BC150" s="2">
        <f t="shared" si="60"/>
        <v>0</v>
      </c>
      <c r="BD150" s="2">
        <f t="shared" si="61"/>
        <v>6.400931044515566E-3</v>
      </c>
      <c r="BF150" s="4" t="s">
        <v>2459</v>
      </c>
      <c r="BG150" s="3" t="s">
        <v>761</v>
      </c>
      <c r="BH150">
        <v>1</v>
      </c>
      <c r="BJ150" s="114">
        <v>5</v>
      </c>
      <c r="BK150" s="116">
        <v>37</v>
      </c>
      <c r="BL150" s="120">
        <f t="shared" si="22"/>
        <v>5037</v>
      </c>
      <c r="BN150" s="5" t="s">
        <v>3154</v>
      </c>
    </row>
    <row r="151" spans="1:66" hidden="1" outlineLevel="1">
      <c r="A151" s="4" t="s">
        <v>1086</v>
      </c>
      <c r="B151" s="3" t="s">
        <v>761</v>
      </c>
      <c r="C151" s="1">
        <f t="shared" si="53"/>
        <v>2771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>IF(P151&gt;0,RANK(P151,(N151:P151,Q151:AE151)),0)</f>
        <v>3</v>
      </c>
      <c r="G151" s="132">
        <f t="shared" si="62"/>
        <v>344</v>
      </c>
      <c r="H151" s="137">
        <f t="shared" si="63"/>
        <v>0.12414290869722122</v>
      </c>
      <c r="I151" s="2"/>
      <c r="J151" s="2">
        <f t="shared" si="54"/>
        <v>0.42042583904727537</v>
      </c>
      <c r="K151" s="2">
        <f t="shared" si="55"/>
        <v>0.5445687477444966</v>
      </c>
      <c r="L151" s="2">
        <f t="shared" si="56"/>
        <v>1.0104655359076146E-2</v>
      </c>
      <c r="M151" s="2">
        <f t="shared" si="57"/>
        <v>2.4900757849151883E-2</v>
      </c>
      <c r="N151" s="63">
        <v>1165</v>
      </c>
      <c r="O151" s="63">
        <v>1509</v>
      </c>
      <c r="P151" s="63">
        <v>28</v>
      </c>
      <c r="Q151" s="63">
        <v>26</v>
      </c>
      <c r="R151" s="63">
        <v>12</v>
      </c>
      <c r="S151" s="63">
        <v>8</v>
      </c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>
        <v>13</v>
      </c>
      <c r="AE151" s="63"/>
      <c r="AF151" s="63"/>
      <c r="AG151" s="63"/>
      <c r="AH151" s="63"/>
      <c r="AI151" s="63"/>
      <c r="AJ151" s="63"/>
      <c r="AK151" s="63"/>
      <c r="AL151" s="63">
        <v>10</v>
      </c>
      <c r="AM151" s="63"/>
      <c r="AN151" s="63"/>
      <c r="AO151" s="63"/>
      <c r="AP151" s="63"/>
      <c r="AQ151" s="63"/>
      <c r="AR151" s="63"/>
      <c r="AS151" s="63"/>
      <c r="AT151" s="63"/>
      <c r="AU151" s="63"/>
      <c r="AW151" s="5">
        <f>IF(Q151&gt;0,RANK(Q151,(N151:P151,Q151:AE151)),0)</f>
        <v>4</v>
      </c>
      <c r="AX151" s="5">
        <f>IF(R151&gt;0,RANK(R151,(N151:P151,Q151:AE151)),0)</f>
        <v>6</v>
      </c>
      <c r="AY151" s="5">
        <f>IF(T151&gt;0,RANK(T151,(N151:P151,Q151:AE151)),0)</f>
        <v>0</v>
      </c>
      <c r="AZ151" s="5">
        <f>IF(S151&gt;0,RANK(S151,(N151:P151,Q151:AE151)),0)</f>
        <v>7</v>
      </c>
      <c r="BA151" s="2">
        <f t="shared" si="58"/>
        <v>9.3828942619992774E-3</v>
      </c>
      <c r="BB151" s="2">
        <f t="shared" si="59"/>
        <v>4.3305665824612052E-3</v>
      </c>
      <c r="BC151" s="2">
        <f t="shared" si="60"/>
        <v>0</v>
      </c>
      <c r="BD151" s="2">
        <f t="shared" si="61"/>
        <v>2.88704438830747E-3</v>
      </c>
      <c r="BF151" s="4" t="s">
        <v>1086</v>
      </c>
      <c r="BG151" s="3" t="s">
        <v>761</v>
      </c>
      <c r="BH151">
        <v>4</v>
      </c>
      <c r="BJ151" s="114">
        <v>5</v>
      </c>
      <c r="BK151" s="116">
        <v>39</v>
      </c>
      <c r="BL151" s="120">
        <f t="shared" si="22"/>
        <v>5039</v>
      </c>
      <c r="BN151" s="5" t="s">
        <v>3154</v>
      </c>
    </row>
    <row r="152" spans="1:66" hidden="1" outlineLevel="1">
      <c r="A152" s="4" t="s">
        <v>1076</v>
      </c>
      <c r="B152" s="3" t="s">
        <v>761</v>
      </c>
      <c r="C152" s="1">
        <f t="shared" si="53"/>
        <v>4257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>IF(P152&gt;0,RANK(P152,(N152:P152,Q152:AE152)),0)</f>
        <v>4</v>
      </c>
      <c r="G152" s="132">
        <f t="shared" si="62"/>
        <v>309</v>
      </c>
      <c r="H152" s="137">
        <f t="shared" si="63"/>
        <v>7.2586328400281883E-2</v>
      </c>
      <c r="I152" s="2"/>
      <c r="J152" s="2">
        <f t="shared" si="54"/>
        <v>0.52337326755931413</v>
      </c>
      <c r="K152" s="2">
        <f t="shared" si="55"/>
        <v>0.45078693915903217</v>
      </c>
      <c r="L152" s="2">
        <f t="shared" si="56"/>
        <v>6.1075875029363404E-3</v>
      </c>
      <c r="M152" s="2">
        <f t="shared" si="57"/>
        <v>1.9732205778717361E-2</v>
      </c>
      <c r="N152" s="63">
        <v>2228</v>
      </c>
      <c r="O152" s="63">
        <v>1919</v>
      </c>
      <c r="P152" s="63">
        <v>26</v>
      </c>
      <c r="Q152" s="63">
        <v>44</v>
      </c>
      <c r="R152" s="63">
        <v>4</v>
      </c>
      <c r="S152" s="63">
        <v>8</v>
      </c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>
        <v>12</v>
      </c>
      <c r="AE152" s="63"/>
      <c r="AF152" s="63"/>
      <c r="AG152" s="63"/>
      <c r="AH152" s="63"/>
      <c r="AI152" s="63"/>
      <c r="AJ152" s="63"/>
      <c r="AK152" s="63"/>
      <c r="AL152" s="63">
        <v>16</v>
      </c>
      <c r="AM152" s="63"/>
      <c r="AN152" s="63"/>
      <c r="AO152" s="63"/>
      <c r="AP152" s="63"/>
      <c r="AQ152" s="63"/>
      <c r="AR152" s="63"/>
      <c r="AS152" s="63"/>
      <c r="AT152" s="63"/>
      <c r="AU152" s="63"/>
      <c r="AW152" s="5">
        <f>IF(Q152&gt;0,RANK(Q152,(N152:P152,Q152:AE152)),0)</f>
        <v>3</v>
      </c>
      <c r="AX152" s="5">
        <f>IF(R152&gt;0,RANK(R152,(N152:P152,Q152:AE152)),0)</f>
        <v>7</v>
      </c>
      <c r="AY152" s="5">
        <f>IF(T152&gt;0,RANK(T152,(N152:P152,Q152:AE152)),0)</f>
        <v>0</v>
      </c>
      <c r="AZ152" s="5">
        <f>IF(S152&gt;0,RANK(S152,(N152:P152,Q152:AE152)),0)</f>
        <v>6</v>
      </c>
      <c r="BA152" s="2">
        <f t="shared" si="58"/>
        <v>1.0335917312661499E-2</v>
      </c>
      <c r="BB152" s="2">
        <f t="shared" si="59"/>
        <v>9.3962884660559083E-4</v>
      </c>
      <c r="BC152" s="2">
        <f t="shared" si="60"/>
        <v>0</v>
      </c>
      <c r="BD152" s="2">
        <f t="shared" si="61"/>
        <v>1.8792576932111817E-3</v>
      </c>
      <c r="BF152" s="4" t="s">
        <v>1076</v>
      </c>
      <c r="BG152" s="3" t="s">
        <v>761</v>
      </c>
      <c r="BH152">
        <v>1</v>
      </c>
      <c r="BJ152" s="114">
        <v>5</v>
      </c>
      <c r="BK152" s="116">
        <v>41</v>
      </c>
      <c r="BL152" s="120">
        <f t="shared" si="22"/>
        <v>5041</v>
      </c>
      <c r="BN152" s="5" t="s">
        <v>3154</v>
      </c>
    </row>
    <row r="153" spans="1:66" hidden="1" outlineLevel="1">
      <c r="A153" s="4" t="s">
        <v>1257</v>
      </c>
      <c r="B153" s="3" t="s">
        <v>761</v>
      </c>
      <c r="C153" s="1">
        <f t="shared" si="53"/>
        <v>6595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5</v>
      </c>
      <c r="G153" s="132">
        <f t="shared" si="62"/>
        <v>1603</v>
      </c>
      <c r="H153" s="137">
        <f t="shared" si="63"/>
        <v>0.24306292645943897</v>
      </c>
      <c r="I153" s="2"/>
      <c r="J153" s="2">
        <f t="shared" si="54"/>
        <v>0.35860500379075055</v>
      </c>
      <c r="K153" s="2">
        <f t="shared" si="55"/>
        <v>0.6016679302501895</v>
      </c>
      <c r="L153" s="2">
        <f t="shared" si="56"/>
        <v>5.7619408642911292E-3</v>
      </c>
      <c r="M153" s="2">
        <f t="shared" si="57"/>
        <v>3.3965125094768817E-2</v>
      </c>
      <c r="N153" s="63">
        <v>2365</v>
      </c>
      <c r="O153" s="63">
        <v>3968</v>
      </c>
      <c r="P153" s="63">
        <v>38</v>
      </c>
      <c r="Q153" s="63">
        <v>111</v>
      </c>
      <c r="R153" s="63">
        <v>43</v>
      </c>
      <c r="S153" s="63">
        <v>18</v>
      </c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>
        <v>28</v>
      </c>
      <c r="AE153" s="63"/>
      <c r="AF153" s="63"/>
      <c r="AG153" s="63"/>
      <c r="AH153" s="63"/>
      <c r="AI153" s="63"/>
      <c r="AJ153" s="63"/>
      <c r="AK153" s="63"/>
      <c r="AL153" s="63">
        <v>24</v>
      </c>
      <c r="AM153" s="63"/>
      <c r="AN153" s="63"/>
      <c r="AO153" s="63"/>
      <c r="AP153" s="63"/>
      <c r="AQ153" s="63"/>
      <c r="AR153" s="63"/>
      <c r="AS153" s="63"/>
      <c r="AT153" s="63"/>
      <c r="AU153" s="63"/>
      <c r="AW153" s="5">
        <f>IF(Q153&gt;0,RANK(Q153,(N153:P153,Q153:AE153)),0)</f>
        <v>3</v>
      </c>
      <c r="AX153" s="5">
        <f>IF(R153&gt;0,RANK(R153,(N153:P153,Q153:AE153)),0)</f>
        <v>4</v>
      </c>
      <c r="AY153" s="5">
        <f>IF(T153&gt;0,RANK(T153,(N153:P153,Q153:AE153)),0)</f>
        <v>0</v>
      </c>
      <c r="AZ153" s="5">
        <f>IF(S153&gt;0,RANK(S153,(N153:P153,Q153:AE153)),0)</f>
        <v>7</v>
      </c>
      <c r="BA153" s="2">
        <f t="shared" si="58"/>
        <v>1.683093252463988E-2</v>
      </c>
      <c r="BB153" s="2">
        <f t="shared" si="59"/>
        <v>6.5200909780136467E-3</v>
      </c>
      <c r="BC153" s="2">
        <f t="shared" si="60"/>
        <v>0</v>
      </c>
      <c r="BD153" s="2">
        <f t="shared" si="61"/>
        <v>2.7293404094010615E-3</v>
      </c>
      <c r="BF153" s="4" t="s">
        <v>1257</v>
      </c>
      <c r="BG153" s="3" t="s">
        <v>761</v>
      </c>
      <c r="BH153">
        <v>4</v>
      </c>
      <c r="BJ153" s="114">
        <v>5</v>
      </c>
      <c r="BK153" s="116">
        <v>43</v>
      </c>
      <c r="BL153" s="120">
        <f t="shared" si="22"/>
        <v>5043</v>
      </c>
      <c r="BN153" s="5" t="s">
        <v>3154</v>
      </c>
    </row>
    <row r="154" spans="1:66" hidden="1" outlineLevel="1">
      <c r="A154" s="4" t="s">
        <v>2203</v>
      </c>
      <c r="B154" s="3" t="s">
        <v>761</v>
      </c>
      <c r="C154" s="1">
        <f t="shared" si="53"/>
        <v>47527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4</v>
      </c>
      <c r="G154" s="132">
        <f t="shared" si="62"/>
        <v>14717</v>
      </c>
      <c r="H154" s="137">
        <f t="shared" si="63"/>
        <v>0.30965556420560947</v>
      </c>
      <c r="I154" s="2"/>
      <c r="J154" s="2">
        <f t="shared" si="54"/>
        <v>0.3078039851032045</v>
      </c>
      <c r="K154" s="2">
        <f t="shared" si="55"/>
        <v>0.61745954930881397</v>
      </c>
      <c r="L154" s="2">
        <f t="shared" si="56"/>
        <v>1.7632082816083489E-2</v>
      </c>
      <c r="M154" s="2">
        <f t="shared" si="57"/>
        <v>5.7104382771898041E-2</v>
      </c>
      <c r="N154" s="63">
        <v>14629</v>
      </c>
      <c r="O154" s="63">
        <v>29346</v>
      </c>
      <c r="P154" s="63">
        <v>838</v>
      </c>
      <c r="Q154" s="63">
        <v>1675</v>
      </c>
      <c r="R154" s="63">
        <v>511</v>
      </c>
      <c r="S154" s="63">
        <v>210</v>
      </c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>
        <v>176</v>
      </c>
      <c r="AE154" s="63"/>
      <c r="AF154" s="63"/>
      <c r="AG154" s="63"/>
      <c r="AH154" s="63"/>
      <c r="AI154" s="63"/>
      <c r="AJ154" s="63"/>
      <c r="AK154" s="63"/>
      <c r="AL154" s="63">
        <v>142</v>
      </c>
      <c r="AM154" s="63"/>
      <c r="AN154" s="63"/>
      <c r="AO154" s="63"/>
      <c r="AP154" s="63"/>
      <c r="AQ154" s="63"/>
      <c r="AR154" s="63"/>
      <c r="AS154" s="63"/>
      <c r="AT154" s="63"/>
      <c r="AU154" s="63"/>
      <c r="AW154" s="5">
        <f>IF(Q154&gt;0,RANK(Q154,(N154:P154,Q154:AE154)),0)</f>
        <v>3</v>
      </c>
      <c r="AX154" s="5">
        <f>IF(R154&gt;0,RANK(R154,(N154:P154,Q154:AE154)),0)</f>
        <v>5</v>
      </c>
      <c r="AY154" s="5">
        <f>IF(T154&gt;0,RANK(T154,(N154:P154,Q154:AE154)),0)</f>
        <v>0</v>
      </c>
      <c r="AZ154" s="5">
        <f>IF(S154&gt;0,RANK(S154,(N154:P154,Q154:AE154)),0)</f>
        <v>6</v>
      </c>
      <c r="BA154" s="2">
        <f t="shared" si="58"/>
        <v>3.5243124960548738E-2</v>
      </c>
      <c r="BB154" s="2">
        <f t="shared" si="59"/>
        <v>1.0751783196919646E-2</v>
      </c>
      <c r="BC154" s="2">
        <f t="shared" si="60"/>
        <v>0</v>
      </c>
      <c r="BD154" s="2">
        <f t="shared" si="61"/>
        <v>4.4185410398299915E-3</v>
      </c>
      <c r="BF154" s="4" t="s">
        <v>2203</v>
      </c>
      <c r="BG154" s="3" t="s">
        <v>761</v>
      </c>
      <c r="BH154">
        <v>2</v>
      </c>
      <c r="BJ154" s="114">
        <v>5</v>
      </c>
      <c r="BK154" s="116">
        <v>45</v>
      </c>
      <c r="BL154" s="120">
        <f t="shared" si="22"/>
        <v>5045</v>
      </c>
      <c r="BN154" s="5" t="s">
        <v>3154</v>
      </c>
    </row>
    <row r="155" spans="1:66" hidden="1" outlineLevel="1">
      <c r="A155" s="4" t="s">
        <v>1138</v>
      </c>
      <c r="B155" s="3" t="s">
        <v>761</v>
      </c>
      <c r="C155" s="1">
        <f t="shared" si="53"/>
        <v>6770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4</v>
      </c>
      <c r="G155" s="132">
        <f t="shared" si="62"/>
        <v>3663</v>
      </c>
      <c r="H155" s="137">
        <f t="shared" si="63"/>
        <v>0.54106351550960119</v>
      </c>
      <c r="I155" s="2"/>
      <c r="J155" s="2">
        <f t="shared" si="54"/>
        <v>0.20324963072378138</v>
      </c>
      <c r="K155" s="2">
        <f t="shared" si="55"/>
        <v>0.74431314623338252</v>
      </c>
      <c r="L155" s="2">
        <f t="shared" si="56"/>
        <v>9.8966026587887744E-3</v>
      </c>
      <c r="M155" s="2">
        <f t="shared" si="57"/>
        <v>4.2540620384047267E-2</v>
      </c>
      <c r="N155" s="63">
        <v>1376</v>
      </c>
      <c r="O155" s="63">
        <v>5039</v>
      </c>
      <c r="P155" s="63">
        <v>67</v>
      </c>
      <c r="Q155" s="63">
        <v>177</v>
      </c>
      <c r="R155" s="63">
        <v>34</v>
      </c>
      <c r="S155" s="63">
        <v>29</v>
      </c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>
        <v>21</v>
      </c>
      <c r="AE155" s="63"/>
      <c r="AF155" s="63"/>
      <c r="AG155" s="63"/>
      <c r="AH155" s="63"/>
      <c r="AI155" s="63"/>
      <c r="AJ155" s="63"/>
      <c r="AK155" s="63"/>
      <c r="AL155" s="63">
        <v>27</v>
      </c>
      <c r="AM155" s="63"/>
      <c r="AN155" s="63"/>
      <c r="AO155" s="63"/>
      <c r="AP155" s="63"/>
      <c r="AQ155" s="63"/>
      <c r="AR155" s="63"/>
      <c r="AS155" s="63"/>
      <c r="AT155" s="63"/>
      <c r="AU155" s="63"/>
      <c r="AW155" s="5">
        <f>IF(Q155&gt;0,RANK(Q155,(N155:P155,Q155:AE155)),0)</f>
        <v>3</v>
      </c>
      <c r="AX155" s="5">
        <f>IF(R155&gt;0,RANK(R155,(N155:P155,Q155:AE155)),0)</f>
        <v>5</v>
      </c>
      <c r="AY155" s="5">
        <f>IF(T155&gt;0,RANK(T155,(N155:P155,Q155:AE155)),0)</f>
        <v>0</v>
      </c>
      <c r="AZ155" s="5">
        <f>IF(S155&gt;0,RANK(S155,(N155:P155,Q155:AE155)),0)</f>
        <v>6</v>
      </c>
      <c r="BA155" s="2">
        <f t="shared" si="58"/>
        <v>2.6144756277695715E-2</v>
      </c>
      <c r="BB155" s="2">
        <f t="shared" si="59"/>
        <v>5.0221565731166911E-3</v>
      </c>
      <c r="BC155" s="2">
        <f t="shared" si="60"/>
        <v>0</v>
      </c>
      <c r="BD155" s="2">
        <f t="shared" si="61"/>
        <v>4.2836041358936486E-3</v>
      </c>
      <c r="BF155" s="4" t="s">
        <v>1138</v>
      </c>
      <c r="BG155" s="3" t="s">
        <v>761</v>
      </c>
      <c r="BH155">
        <v>4</v>
      </c>
      <c r="BJ155" s="114">
        <v>5</v>
      </c>
      <c r="BK155" s="116">
        <v>47</v>
      </c>
      <c r="BL155" s="120">
        <f t="shared" si="22"/>
        <v>5047</v>
      </c>
      <c r="BN155" s="5" t="s">
        <v>3154</v>
      </c>
    </row>
    <row r="156" spans="1:66" hidden="1" outlineLevel="1">
      <c r="A156" s="4" t="s">
        <v>2388</v>
      </c>
      <c r="B156" s="3" t="s">
        <v>761</v>
      </c>
      <c r="C156" s="1">
        <f t="shared" si="53"/>
        <v>4772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5</v>
      </c>
      <c r="G156" s="132">
        <f t="shared" si="62"/>
        <v>2404</v>
      </c>
      <c r="H156" s="137">
        <f t="shared" si="63"/>
        <v>0.50377200335289185</v>
      </c>
      <c r="I156" s="2"/>
      <c r="J156" s="2">
        <f t="shared" si="54"/>
        <v>0.22359597652975691</v>
      </c>
      <c r="K156" s="2">
        <f t="shared" si="55"/>
        <v>0.72736797988264879</v>
      </c>
      <c r="L156" s="2">
        <f t="shared" si="56"/>
        <v>5.6580050293378037E-3</v>
      </c>
      <c r="M156" s="2">
        <f t="shared" si="57"/>
        <v>4.3378038558256476E-2</v>
      </c>
      <c r="N156" s="63">
        <v>1067</v>
      </c>
      <c r="O156" s="63">
        <v>3471</v>
      </c>
      <c r="P156" s="63">
        <v>27</v>
      </c>
      <c r="Q156" s="63">
        <v>107</v>
      </c>
      <c r="R156" s="63">
        <v>41</v>
      </c>
      <c r="S156" s="63">
        <v>18</v>
      </c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>
        <v>19</v>
      </c>
      <c r="AE156" s="63"/>
      <c r="AF156" s="63"/>
      <c r="AG156" s="63"/>
      <c r="AH156" s="63"/>
      <c r="AI156" s="63"/>
      <c r="AJ156" s="63"/>
      <c r="AK156" s="63"/>
      <c r="AL156" s="63">
        <v>22</v>
      </c>
      <c r="AM156" s="63"/>
      <c r="AN156" s="63"/>
      <c r="AO156" s="63"/>
      <c r="AP156" s="63"/>
      <c r="AQ156" s="63"/>
      <c r="AR156" s="63"/>
      <c r="AS156" s="63"/>
      <c r="AT156" s="63"/>
      <c r="AU156" s="63"/>
      <c r="AW156" s="5">
        <f>IF(Q156&gt;0,RANK(Q156,(N156:P156,Q156:AE156)),0)</f>
        <v>3</v>
      </c>
      <c r="AX156" s="5">
        <f>IF(R156&gt;0,RANK(R156,(N156:P156,Q156:AE156)),0)</f>
        <v>4</v>
      </c>
      <c r="AY156" s="5">
        <f>IF(T156&gt;0,RANK(T156,(N156:P156,Q156:AE156)),0)</f>
        <v>0</v>
      </c>
      <c r="AZ156" s="5">
        <f>IF(S156&gt;0,RANK(S156,(N156:P156,Q156:AE156)),0)</f>
        <v>7</v>
      </c>
      <c r="BA156" s="2">
        <f t="shared" si="58"/>
        <v>2.2422464375523889E-2</v>
      </c>
      <c r="BB156" s="2">
        <f t="shared" si="59"/>
        <v>8.5917854149203682E-3</v>
      </c>
      <c r="BC156" s="2">
        <f t="shared" si="60"/>
        <v>0</v>
      </c>
      <c r="BD156" s="2">
        <f t="shared" si="61"/>
        <v>3.7720033528918693E-3</v>
      </c>
      <c r="BF156" s="4" t="s">
        <v>2388</v>
      </c>
      <c r="BG156" s="3" t="s">
        <v>761</v>
      </c>
      <c r="BH156">
        <v>1</v>
      </c>
      <c r="BJ156" s="114">
        <v>5</v>
      </c>
      <c r="BK156" s="116">
        <v>49</v>
      </c>
      <c r="BL156" s="120">
        <f t="shared" si="22"/>
        <v>5049</v>
      </c>
      <c r="BN156" s="5" t="s">
        <v>3154</v>
      </c>
    </row>
    <row r="157" spans="1:66" hidden="1" outlineLevel="1">
      <c r="A157" s="4" t="s">
        <v>645</v>
      </c>
      <c r="B157" s="3" t="s">
        <v>761</v>
      </c>
      <c r="C157" s="1">
        <f t="shared" si="53"/>
        <v>40805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4</v>
      </c>
      <c r="G157" s="132">
        <f t="shared" si="62"/>
        <v>13776</v>
      </c>
      <c r="H157" s="137">
        <f t="shared" si="63"/>
        <v>0.33760568557774784</v>
      </c>
      <c r="I157" s="2"/>
      <c r="J157" s="2">
        <f t="shared" si="54"/>
        <v>0.30170322264428379</v>
      </c>
      <c r="K157" s="2">
        <f t="shared" si="55"/>
        <v>0.63930890822203157</v>
      </c>
      <c r="L157" s="2">
        <f t="shared" si="56"/>
        <v>9.7782134542335492E-3</v>
      </c>
      <c r="M157" s="2">
        <f t="shared" si="57"/>
        <v>4.9209655679451153E-2</v>
      </c>
      <c r="N157" s="63">
        <v>12311</v>
      </c>
      <c r="O157" s="63">
        <v>26087</v>
      </c>
      <c r="P157" s="63">
        <v>399</v>
      </c>
      <c r="Q157" s="63">
        <v>989</v>
      </c>
      <c r="R157" s="63">
        <v>387</v>
      </c>
      <c r="S157" s="63">
        <v>171</v>
      </c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>
        <v>279</v>
      </c>
      <c r="AE157" s="63"/>
      <c r="AF157" s="63"/>
      <c r="AG157" s="63"/>
      <c r="AH157" s="63"/>
      <c r="AI157" s="63"/>
      <c r="AJ157" s="63"/>
      <c r="AK157" s="63"/>
      <c r="AL157" s="63">
        <v>182</v>
      </c>
      <c r="AM157" s="63"/>
      <c r="AN157" s="63"/>
      <c r="AO157" s="63"/>
      <c r="AP157" s="63"/>
      <c r="AQ157" s="63"/>
      <c r="AR157" s="63"/>
      <c r="AS157" s="63"/>
      <c r="AT157" s="63"/>
      <c r="AU157" s="63"/>
      <c r="AW157" s="5">
        <f>IF(Q157&gt;0,RANK(Q157,(N157:P157,Q157:AE157)),0)</f>
        <v>3</v>
      </c>
      <c r="AX157" s="5">
        <f>IF(R157&gt;0,RANK(R157,(N157:P157,Q157:AE157)),0)</f>
        <v>5</v>
      </c>
      <c r="AY157" s="5">
        <f>IF(T157&gt;0,RANK(T157,(N157:P157,Q157:AE157)),0)</f>
        <v>0</v>
      </c>
      <c r="AZ157" s="5">
        <f>IF(S157&gt;0,RANK(S157,(N157:P157,Q157:AE157)),0)</f>
        <v>7</v>
      </c>
      <c r="BA157" s="2">
        <f t="shared" si="58"/>
        <v>2.4237225830167873E-2</v>
      </c>
      <c r="BB157" s="2">
        <f t="shared" si="59"/>
        <v>9.4841318465874284E-3</v>
      </c>
      <c r="BC157" s="2">
        <f t="shared" si="60"/>
        <v>0</v>
      </c>
      <c r="BD157" s="2">
        <f t="shared" si="61"/>
        <v>4.1906629089572354E-3</v>
      </c>
      <c r="BF157" s="4" t="s">
        <v>645</v>
      </c>
      <c r="BG157" s="3" t="s">
        <v>761</v>
      </c>
      <c r="BH157">
        <v>4</v>
      </c>
      <c r="BJ157" s="114">
        <v>5</v>
      </c>
      <c r="BK157" s="116">
        <v>51</v>
      </c>
      <c r="BL157" s="120">
        <f t="shared" si="22"/>
        <v>5051</v>
      </c>
      <c r="BN157" s="5" t="s">
        <v>3154</v>
      </c>
    </row>
    <row r="158" spans="1:66" hidden="1" outlineLevel="1">
      <c r="A158" s="4" t="s">
        <v>1417</v>
      </c>
      <c r="B158" s="3" t="s">
        <v>761</v>
      </c>
      <c r="C158" s="1">
        <f t="shared" si="53"/>
        <v>7445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4</v>
      </c>
      <c r="G158" s="132">
        <f t="shared" si="62"/>
        <v>4352</v>
      </c>
      <c r="H158" s="137">
        <f t="shared" si="63"/>
        <v>0.58455339153794494</v>
      </c>
      <c r="I158" s="2"/>
      <c r="J158" s="2">
        <f t="shared" si="54"/>
        <v>0.18441907320349227</v>
      </c>
      <c r="K158" s="2">
        <f t="shared" si="55"/>
        <v>0.76897246474143721</v>
      </c>
      <c r="L158" s="2">
        <f t="shared" si="56"/>
        <v>6.8502350570852919E-3</v>
      </c>
      <c r="M158" s="2">
        <f t="shared" si="57"/>
        <v>3.975822699798523E-2</v>
      </c>
      <c r="N158" s="63">
        <v>1373</v>
      </c>
      <c r="O158" s="63">
        <v>5725</v>
      </c>
      <c r="P158" s="63">
        <v>51</v>
      </c>
      <c r="Q158" s="63">
        <v>177</v>
      </c>
      <c r="R158" s="63">
        <v>30</v>
      </c>
      <c r="S158" s="63">
        <v>36</v>
      </c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>
        <v>21</v>
      </c>
      <c r="AE158" s="63"/>
      <c r="AF158" s="63"/>
      <c r="AG158" s="63"/>
      <c r="AH158" s="63"/>
      <c r="AI158" s="63"/>
      <c r="AJ158" s="63"/>
      <c r="AK158" s="63"/>
      <c r="AL158" s="63">
        <v>32</v>
      </c>
      <c r="AM158" s="63"/>
      <c r="AN158" s="63"/>
      <c r="AO158" s="63"/>
      <c r="AP158" s="63"/>
      <c r="AQ158" s="63"/>
      <c r="AR158" s="63"/>
      <c r="AS158" s="63"/>
      <c r="AT158" s="63"/>
      <c r="AU158" s="63"/>
      <c r="AW158" s="5">
        <f>IF(Q158&gt;0,RANK(Q158,(N158:P158,Q158:AE158)),0)</f>
        <v>3</v>
      </c>
      <c r="AX158" s="5">
        <f>IF(R158&gt;0,RANK(R158,(N158:P158,Q158:AE158)),0)</f>
        <v>6</v>
      </c>
      <c r="AY158" s="5">
        <f>IF(T158&gt;0,RANK(T158,(N158:P158,Q158:AE158)),0)</f>
        <v>0</v>
      </c>
      <c r="AZ158" s="5">
        <f>IF(S158&gt;0,RANK(S158,(N158:P158,Q158:AE158)),0)</f>
        <v>5</v>
      </c>
      <c r="BA158" s="2">
        <f t="shared" si="58"/>
        <v>2.3774345198119544E-2</v>
      </c>
      <c r="BB158" s="2">
        <f t="shared" si="59"/>
        <v>4.0295500335795834E-3</v>
      </c>
      <c r="BC158" s="2">
        <f t="shared" si="60"/>
        <v>0</v>
      </c>
      <c r="BD158" s="2">
        <f t="shared" si="61"/>
        <v>4.8354600402955002E-3</v>
      </c>
      <c r="BF158" s="4" t="s">
        <v>1417</v>
      </c>
      <c r="BG158" s="3" t="s">
        <v>761</v>
      </c>
      <c r="BH158">
        <v>4</v>
      </c>
      <c r="BJ158" s="114">
        <v>5</v>
      </c>
      <c r="BK158" s="116">
        <v>53</v>
      </c>
      <c r="BL158" s="120">
        <f t="shared" si="22"/>
        <v>5053</v>
      </c>
      <c r="BN158" s="5" t="s">
        <v>3154</v>
      </c>
    </row>
    <row r="159" spans="1:66" hidden="1" outlineLevel="1">
      <c r="A159" s="4" t="s">
        <v>2189</v>
      </c>
      <c r="B159" s="3" t="s">
        <v>761</v>
      </c>
      <c r="C159" s="1">
        <f t="shared" si="53"/>
        <v>14600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4</v>
      </c>
      <c r="G159" s="132">
        <f t="shared" si="62"/>
        <v>7649</v>
      </c>
      <c r="H159" s="137">
        <f t="shared" si="63"/>
        <v>0.5239041095890411</v>
      </c>
      <c r="I159" s="2"/>
      <c r="J159" s="2">
        <f t="shared" si="54"/>
        <v>0.21034246575342466</v>
      </c>
      <c r="K159" s="2">
        <f t="shared" si="55"/>
        <v>0.73424657534246573</v>
      </c>
      <c r="L159" s="2">
        <f t="shared" si="56"/>
        <v>9.452054794520548E-3</v>
      </c>
      <c r="M159" s="2">
        <f t="shared" si="57"/>
        <v>4.5958904109589083E-2</v>
      </c>
      <c r="N159" s="63">
        <v>3071</v>
      </c>
      <c r="O159" s="63">
        <v>10720</v>
      </c>
      <c r="P159" s="63">
        <v>138</v>
      </c>
      <c r="Q159" s="63">
        <v>404</v>
      </c>
      <c r="R159" s="63">
        <v>97</v>
      </c>
      <c r="S159" s="63">
        <v>35</v>
      </c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>
        <v>98</v>
      </c>
      <c r="AE159" s="63"/>
      <c r="AF159" s="63"/>
      <c r="AG159" s="63"/>
      <c r="AH159" s="63"/>
      <c r="AI159" s="63"/>
      <c r="AJ159" s="63"/>
      <c r="AK159" s="63"/>
      <c r="AL159" s="63">
        <v>37</v>
      </c>
      <c r="AM159" s="63"/>
      <c r="AN159" s="63"/>
      <c r="AO159" s="63"/>
      <c r="AP159" s="63"/>
      <c r="AQ159" s="63"/>
      <c r="AR159" s="63"/>
      <c r="AS159" s="63"/>
      <c r="AT159" s="63"/>
      <c r="AU159" s="63"/>
      <c r="AW159" s="5">
        <f>IF(Q159&gt;0,RANK(Q159,(N159:P159,Q159:AE159)),0)</f>
        <v>3</v>
      </c>
      <c r="AX159" s="5">
        <f>IF(R159&gt;0,RANK(R159,(N159:P159,Q159:AE159)),0)</f>
        <v>6</v>
      </c>
      <c r="AY159" s="5">
        <f>IF(T159&gt;0,RANK(T159,(N159:P159,Q159:AE159)),0)</f>
        <v>0</v>
      </c>
      <c r="AZ159" s="5">
        <f>IF(S159&gt;0,RANK(S159,(N159:P159,Q159:AE159)),0)</f>
        <v>7</v>
      </c>
      <c r="BA159" s="2">
        <f t="shared" si="58"/>
        <v>2.7671232876712328E-2</v>
      </c>
      <c r="BB159" s="2">
        <f t="shared" si="59"/>
        <v>6.6438356164383559E-3</v>
      </c>
      <c r="BC159" s="2">
        <f t="shared" si="60"/>
        <v>0</v>
      </c>
      <c r="BD159" s="2">
        <f t="shared" si="61"/>
        <v>2.3972602739726029E-3</v>
      </c>
      <c r="BF159" s="4" t="s">
        <v>2189</v>
      </c>
      <c r="BG159" s="3" t="s">
        <v>761</v>
      </c>
      <c r="BH159">
        <v>1</v>
      </c>
      <c r="BJ159" s="114">
        <v>5</v>
      </c>
      <c r="BK159" s="116">
        <v>55</v>
      </c>
      <c r="BL159" s="120">
        <f t="shared" si="22"/>
        <v>5055</v>
      </c>
      <c r="BN159" s="5" t="s">
        <v>3154</v>
      </c>
    </row>
    <row r="160" spans="1:66" hidden="1" outlineLevel="1">
      <c r="A160" s="4" t="s">
        <v>2969</v>
      </c>
      <c r="B160" s="3" t="s">
        <v>761</v>
      </c>
      <c r="C160" s="1">
        <f t="shared" si="53"/>
        <v>7049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4</v>
      </c>
      <c r="G160" s="132">
        <f t="shared" si="62"/>
        <v>2024</v>
      </c>
      <c r="H160" s="137">
        <f t="shared" si="63"/>
        <v>0.28713292665626328</v>
      </c>
      <c r="I160" s="2"/>
      <c r="J160" s="2">
        <f t="shared" si="54"/>
        <v>0.33721095190807204</v>
      </c>
      <c r="K160" s="2">
        <f t="shared" si="55"/>
        <v>0.62434387856433538</v>
      </c>
      <c r="L160" s="2">
        <f t="shared" si="56"/>
        <v>6.8094765214924101E-3</v>
      </c>
      <c r="M160" s="2">
        <f t="shared" si="57"/>
        <v>3.1635693006100168E-2</v>
      </c>
      <c r="N160" s="63">
        <v>2377</v>
      </c>
      <c r="O160" s="63">
        <v>4401</v>
      </c>
      <c r="P160" s="63">
        <v>48</v>
      </c>
      <c r="Q160" s="63">
        <v>106</v>
      </c>
      <c r="R160" s="63">
        <v>22</v>
      </c>
      <c r="S160" s="63">
        <v>38</v>
      </c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>
        <v>37</v>
      </c>
      <c r="AE160" s="63"/>
      <c r="AF160" s="63"/>
      <c r="AG160" s="63"/>
      <c r="AH160" s="63"/>
      <c r="AI160" s="63"/>
      <c r="AJ160" s="63"/>
      <c r="AK160" s="63"/>
      <c r="AL160" s="63">
        <v>20</v>
      </c>
      <c r="AM160" s="63"/>
      <c r="AN160" s="63"/>
      <c r="AO160" s="63"/>
      <c r="AP160" s="63"/>
      <c r="AQ160" s="63"/>
      <c r="AR160" s="63"/>
      <c r="AS160" s="63"/>
      <c r="AT160" s="63"/>
      <c r="AU160" s="63"/>
      <c r="AW160" s="5">
        <f>IF(Q160&gt;0,RANK(Q160,(N160:P160,Q160:AE160)),0)</f>
        <v>3</v>
      </c>
      <c r="AX160" s="5">
        <f>IF(R160&gt;0,RANK(R160,(N160:P160,Q160:AE160)),0)</f>
        <v>7</v>
      </c>
      <c r="AY160" s="5">
        <f>IF(T160&gt;0,RANK(T160,(N160:P160,Q160:AE160)),0)</f>
        <v>0</v>
      </c>
      <c r="AZ160" s="5">
        <f>IF(S160&gt;0,RANK(S160,(N160:P160,Q160:AE160)),0)</f>
        <v>5</v>
      </c>
      <c r="BA160" s="2">
        <f t="shared" si="58"/>
        <v>1.5037593984962405E-2</v>
      </c>
      <c r="BB160" s="2">
        <f t="shared" si="59"/>
        <v>3.121010072350688E-3</v>
      </c>
      <c r="BC160" s="2">
        <f t="shared" si="60"/>
        <v>0</v>
      </c>
      <c r="BD160" s="2">
        <f t="shared" si="61"/>
        <v>5.3908355795148251E-3</v>
      </c>
      <c r="BF160" s="4" t="s">
        <v>2969</v>
      </c>
      <c r="BG160" s="3" t="s">
        <v>761</v>
      </c>
      <c r="BH160">
        <v>4</v>
      </c>
      <c r="BJ160" s="114">
        <v>5</v>
      </c>
      <c r="BK160" s="116">
        <v>57</v>
      </c>
      <c r="BL160" s="120">
        <f t="shared" si="22"/>
        <v>5057</v>
      </c>
      <c r="BN160" s="5" t="s">
        <v>3154</v>
      </c>
    </row>
    <row r="161" spans="1:66" hidden="1" outlineLevel="1">
      <c r="A161" s="4" t="s">
        <v>1483</v>
      </c>
      <c r="B161" s="3" t="s">
        <v>761</v>
      </c>
      <c r="C161" s="1">
        <f t="shared" si="53"/>
        <v>11944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5</v>
      </c>
      <c r="G161" s="132">
        <f t="shared" si="62"/>
        <v>5023</v>
      </c>
      <c r="H161" s="137">
        <f t="shared" si="63"/>
        <v>0.42054588077695915</v>
      </c>
      <c r="I161" s="2"/>
      <c r="J161" s="2">
        <f t="shared" si="54"/>
        <v>0.26364701942397856</v>
      </c>
      <c r="K161" s="2">
        <f t="shared" si="55"/>
        <v>0.6841929002009377</v>
      </c>
      <c r="L161" s="2">
        <f t="shared" si="56"/>
        <v>7.8700602813127924E-3</v>
      </c>
      <c r="M161" s="2">
        <f t="shared" si="57"/>
        <v>4.4290020093770893E-2</v>
      </c>
      <c r="N161" s="63">
        <v>3149</v>
      </c>
      <c r="O161" s="63">
        <v>8172</v>
      </c>
      <c r="P161" s="63">
        <v>94</v>
      </c>
      <c r="Q161" s="63">
        <v>239</v>
      </c>
      <c r="R161" s="63">
        <v>112</v>
      </c>
      <c r="S161" s="63">
        <v>30</v>
      </c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>
        <v>77</v>
      </c>
      <c r="AE161" s="63"/>
      <c r="AF161" s="63"/>
      <c r="AG161" s="63"/>
      <c r="AH161" s="63"/>
      <c r="AI161" s="63"/>
      <c r="AJ161" s="63"/>
      <c r="AK161" s="63"/>
      <c r="AL161" s="63">
        <v>71</v>
      </c>
      <c r="AM161" s="63"/>
      <c r="AN161" s="63"/>
      <c r="AO161" s="63"/>
      <c r="AP161" s="63"/>
      <c r="AQ161" s="63"/>
      <c r="AR161" s="63"/>
      <c r="AS161" s="63"/>
      <c r="AT161" s="63"/>
      <c r="AU161" s="63"/>
      <c r="AW161" s="5">
        <f>IF(Q161&gt;0,RANK(Q161,(N161:P161,Q161:AE161)),0)</f>
        <v>3</v>
      </c>
      <c r="AX161" s="5">
        <f>IF(R161&gt;0,RANK(R161,(N161:P161,Q161:AE161)),0)</f>
        <v>4</v>
      </c>
      <c r="AY161" s="5">
        <f>IF(T161&gt;0,RANK(T161,(N161:P161,Q161:AE161)),0)</f>
        <v>0</v>
      </c>
      <c r="AZ161" s="5">
        <f>IF(S161&gt;0,RANK(S161,(N161:P161,Q161:AE161)),0)</f>
        <v>7</v>
      </c>
      <c r="BA161" s="2">
        <f t="shared" si="58"/>
        <v>2.0010046885465507E-2</v>
      </c>
      <c r="BB161" s="2">
        <f t="shared" si="59"/>
        <v>9.3770931011386473E-3</v>
      </c>
      <c r="BC161" s="2">
        <f t="shared" si="60"/>
        <v>0</v>
      </c>
      <c r="BD161" s="2">
        <f t="shared" si="61"/>
        <v>2.5117213663764233E-3</v>
      </c>
      <c r="BF161" s="4" t="s">
        <v>1483</v>
      </c>
      <c r="BG161" s="3" t="s">
        <v>761</v>
      </c>
      <c r="BH161">
        <v>4</v>
      </c>
      <c r="BJ161" s="114">
        <v>5</v>
      </c>
      <c r="BK161" s="116">
        <v>59</v>
      </c>
      <c r="BL161" s="120">
        <f t="shared" si="22"/>
        <v>5059</v>
      </c>
      <c r="BN161" s="5" t="s">
        <v>3154</v>
      </c>
    </row>
    <row r="162" spans="1:66" hidden="1" outlineLevel="1">
      <c r="A162" s="4" t="s">
        <v>1049</v>
      </c>
      <c r="B162" s="3" t="s">
        <v>761</v>
      </c>
      <c r="C162" s="1">
        <f t="shared" si="53"/>
        <v>4674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4</v>
      </c>
      <c r="G162" s="132">
        <f t="shared" si="62"/>
        <v>1806</v>
      </c>
      <c r="H162" s="137">
        <f t="shared" si="63"/>
        <v>0.38639281129653402</v>
      </c>
      <c r="I162" s="2"/>
      <c r="J162" s="2">
        <f t="shared" si="54"/>
        <v>0.28904578519469404</v>
      </c>
      <c r="K162" s="2">
        <f t="shared" si="55"/>
        <v>0.67543859649122806</v>
      </c>
      <c r="L162" s="2">
        <f t="shared" si="56"/>
        <v>7.9161317928968765E-3</v>
      </c>
      <c r="M162" s="2">
        <f t="shared" si="57"/>
        <v>2.7599486521181025E-2</v>
      </c>
      <c r="N162" s="63">
        <v>1351</v>
      </c>
      <c r="O162" s="63">
        <v>3157</v>
      </c>
      <c r="P162" s="63">
        <v>37</v>
      </c>
      <c r="Q162" s="63">
        <v>60</v>
      </c>
      <c r="R162" s="63">
        <v>22</v>
      </c>
      <c r="S162" s="63">
        <v>13</v>
      </c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>
        <v>20</v>
      </c>
      <c r="AE162" s="63"/>
      <c r="AF162" s="63"/>
      <c r="AG162" s="63"/>
      <c r="AH162" s="63"/>
      <c r="AI162" s="63"/>
      <c r="AJ162" s="63"/>
      <c r="AK162" s="63"/>
      <c r="AL162" s="63">
        <v>14</v>
      </c>
      <c r="AM162" s="63"/>
      <c r="AN162" s="63"/>
      <c r="AO162" s="63"/>
      <c r="AP162" s="63"/>
      <c r="AQ162" s="63"/>
      <c r="AR162" s="63"/>
      <c r="AS162" s="63"/>
      <c r="AT162" s="63"/>
      <c r="AU162" s="63"/>
      <c r="AW162" s="5">
        <f>IF(Q162&gt;0,RANK(Q162,(N162:P162,Q162:AE162)),0)</f>
        <v>3</v>
      </c>
      <c r="AX162" s="5">
        <f>IF(R162&gt;0,RANK(R162,(N162:P162,Q162:AE162)),0)</f>
        <v>5</v>
      </c>
      <c r="AY162" s="5">
        <f>IF(T162&gt;0,RANK(T162,(N162:P162,Q162:AE162)),0)</f>
        <v>0</v>
      </c>
      <c r="AZ162" s="5">
        <f>IF(S162&gt;0,RANK(S162,(N162:P162,Q162:AE162)),0)</f>
        <v>7</v>
      </c>
      <c r="BA162" s="2">
        <f t="shared" si="58"/>
        <v>1.2836970474967908E-2</v>
      </c>
      <c r="BB162" s="2">
        <f t="shared" si="59"/>
        <v>4.7068891741548994E-3</v>
      </c>
      <c r="BC162" s="2">
        <f t="shared" si="60"/>
        <v>0</v>
      </c>
      <c r="BD162" s="2">
        <f t="shared" si="61"/>
        <v>2.7813436029097134E-3</v>
      </c>
      <c r="BF162" s="4" t="s">
        <v>1049</v>
      </c>
      <c r="BG162" s="3" t="s">
        <v>761</v>
      </c>
      <c r="BH162">
        <v>4</v>
      </c>
      <c r="BJ162" s="114">
        <v>5</v>
      </c>
      <c r="BK162" s="116">
        <v>61</v>
      </c>
      <c r="BL162" s="120">
        <f t="shared" si="22"/>
        <v>5061</v>
      </c>
      <c r="BN162" s="5" t="s">
        <v>3154</v>
      </c>
    </row>
    <row r="163" spans="1:66" hidden="1" outlineLevel="1">
      <c r="A163" s="4" t="s">
        <v>948</v>
      </c>
      <c r="B163" s="3" t="s">
        <v>761</v>
      </c>
      <c r="C163" s="1">
        <f t="shared" si="53"/>
        <v>13614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4</v>
      </c>
      <c r="G163" s="132">
        <f t="shared" si="62"/>
        <v>7055</v>
      </c>
      <c r="H163" s="137">
        <f t="shared" si="63"/>
        <v>0.51821654179521082</v>
      </c>
      <c r="I163" s="2"/>
      <c r="J163" s="2">
        <f t="shared" si="54"/>
        <v>0.21162039077420303</v>
      </c>
      <c r="K163" s="2">
        <f t="shared" si="55"/>
        <v>0.72983693256941384</v>
      </c>
      <c r="L163" s="2">
        <f t="shared" si="56"/>
        <v>1.1385338622006757E-2</v>
      </c>
      <c r="M163" s="2">
        <f t="shared" si="57"/>
        <v>4.715733803437637E-2</v>
      </c>
      <c r="N163" s="63">
        <v>2881</v>
      </c>
      <c r="O163" s="63">
        <v>9936</v>
      </c>
      <c r="P163" s="63">
        <v>155</v>
      </c>
      <c r="Q163" s="63">
        <v>352</v>
      </c>
      <c r="R163" s="63">
        <v>85</v>
      </c>
      <c r="S163" s="63">
        <v>57</v>
      </c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>
        <v>101</v>
      </c>
      <c r="AE163" s="63"/>
      <c r="AF163" s="63"/>
      <c r="AG163" s="63"/>
      <c r="AH163" s="63"/>
      <c r="AI163" s="63"/>
      <c r="AJ163" s="63"/>
      <c r="AK163" s="63"/>
      <c r="AL163" s="63">
        <v>47</v>
      </c>
      <c r="AM163" s="63"/>
      <c r="AN163" s="63"/>
      <c r="AO163" s="63"/>
      <c r="AP163" s="63"/>
      <c r="AQ163" s="63"/>
      <c r="AR163" s="63"/>
      <c r="AS163" s="63"/>
      <c r="AT163" s="63"/>
      <c r="AU163" s="63"/>
      <c r="AW163" s="5">
        <f>IF(Q163&gt;0,RANK(Q163,(N163:P163,Q163:AE163)),0)</f>
        <v>3</v>
      </c>
      <c r="AX163" s="5">
        <f>IF(R163&gt;0,RANK(R163,(N163:P163,Q163:AE163)),0)</f>
        <v>6</v>
      </c>
      <c r="AY163" s="5">
        <f>IF(T163&gt;0,RANK(T163,(N163:P163,Q163:AE163)),0)</f>
        <v>0</v>
      </c>
      <c r="AZ163" s="5">
        <f>IF(S163&gt;0,RANK(S163,(N163:P163,Q163:AE163)),0)</f>
        <v>7</v>
      </c>
      <c r="BA163" s="2">
        <f t="shared" si="58"/>
        <v>2.585573674158954E-2</v>
      </c>
      <c r="BB163" s="2">
        <f t="shared" si="59"/>
        <v>6.243572792713383E-3</v>
      </c>
      <c r="BC163" s="2">
        <f t="shared" si="60"/>
        <v>0</v>
      </c>
      <c r="BD163" s="2">
        <f t="shared" si="61"/>
        <v>4.1868664609960339E-3</v>
      </c>
      <c r="BF163" s="4" t="s">
        <v>948</v>
      </c>
      <c r="BG163" s="3" t="s">
        <v>761</v>
      </c>
      <c r="BH163">
        <v>1</v>
      </c>
      <c r="BJ163" s="114">
        <v>5</v>
      </c>
      <c r="BK163" s="116">
        <v>63</v>
      </c>
      <c r="BL163" s="120">
        <f t="shared" si="22"/>
        <v>5063</v>
      </c>
      <c r="BN163" s="5" t="s">
        <v>3154</v>
      </c>
    </row>
    <row r="164" spans="1:66" hidden="1" outlineLevel="1">
      <c r="A164" s="4" t="s">
        <v>1527</v>
      </c>
      <c r="B164" s="3" t="s">
        <v>761</v>
      </c>
      <c r="C164" s="1">
        <f t="shared" ref="C164:C195" si="64">SUM(N164:AU164)</f>
        <v>5448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4</v>
      </c>
      <c r="G164" s="132">
        <f t="shared" si="62"/>
        <v>2929</v>
      </c>
      <c r="H164" s="137">
        <f t="shared" si="63"/>
        <v>0.53762848751835535</v>
      </c>
      <c r="I164" s="2"/>
      <c r="J164" s="2">
        <f t="shared" ref="J164:J195" si="65">IF($C164=0,"-",N164/$C164)</f>
        <v>0.20429515418502203</v>
      </c>
      <c r="K164" s="2">
        <f t="shared" ref="K164:K195" si="66">IF($C164=0,"-",O164/$C164)</f>
        <v>0.74192364170337743</v>
      </c>
      <c r="L164" s="2">
        <f t="shared" ref="L164:L195" si="67">IF($C164=0,"-",P164/$C164)</f>
        <v>8.9941262848751841E-3</v>
      </c>
      <c r="M164" s="2">
        <f t="shared" ref="M164:M195" si="68">IF(C164=0,"-",(1-J164-K164-L164))</f>
        <v>4.4787077826725405E-2</v>
      </c>
      <c r="N164" s="63">
        <v>1113</v>
      </c>
      <c r="O164" s="63">
        <v>4042</v>
      </c>
      <c r="P164" s="63">
        <v>49</v>
      </c>
      <c r="Q164" s="63">
        <v>125</v>
      </c>
      <c r="R164" s="63">
        <v>45</v>
      </c>
      <c r="S164" s="63">
        <v>32</v>
      </c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>
        <v>30</v>
      </c>
      <c r="AE164" s="63"/>
      <c r="AF164" s="63"/>
      <c r="AG164" s="63"/>
      <c r="AH164" s="63"/>
      <c r="AI164" s="63"/>
      <c r="AJ164" s="63"/>
      <c r="AK164" s="63"/>
      <c r="AL164" s="63">
        <v>12</v>
      </c>
      <c r="AM164" s="63"/>
      <c r="AN164" s="63"/>
      <c r="AO164" s="63"/>
      <c r="AP164" s="63"/>
      <c r="AQ164" s="63"/>
      <c r="AR164" s="63"/>
      <c r="AS164" s="63"/>
      <c r="AT164" s="63"/>
      <c r="AU164" s="63"/>
      <c r="AW164" s="5">
        <f>IF(Q164&gt;0,RANK(Q164,(N164:P164,Q164:AE164)),0)</f>
        <v>3</v>
      </c>
      <c r="AX164" s="5">
        <f>IF(R164&gt;0,RANK(R164,(N164:P164,Q164:AE164)),0)</f>
        <v>5</v>
      </c>
      <c r="AY164" s="5">
        <f>IF(T164&gt;0,RANK(T164,(N164:P164,Q164:AE164)),0)</f>
        <v>0</v>
      </c>
      <c r="AZ164" s="5">
        <f>IF(S164&gt;0,RANK(S164,(N164:P164,Q164:AE164)),0)</f>
        <v>6</v>
      </c>
      <c r="BA164" s="2">
        <f t="shared" ref="BA164:BA195" si="69">IF($C164=0,"-",Q164/$C164)</f>
        <v>2.2944199706314245E-2</v>
      </c>
      <c r="BB164" s="2">
        <f t="shared" ref="BB164:BB195" si="70">IF($C164=0,"-",R164/$C164)</f>
        <v>8.2599118942731278E-3</v>
      </c>
      <c r="BC164" s="2">
        <f t="shared" ref="BC164:BC195" si="71">IF($C164=0,"-",T164/$C164)</f>
        <v>0</v>
      </c>
      <c r="BD164" s="2">
        <f t="shared" ref="BD164:BD195" si="72">IF($C164=0,"-",S164/$C164)</f>
        <v>5.8737151248164461E-3</v>
      </c>
      <c r="BF164" s="4" t="s">
        <v>1527</v>
      </c>
      <c r="BG164" s="3" t="s">
        <v>761</v>
      </c>
      <c r="BH164">
        <v>1</v>
      </c>
      <c r="BJ164" s="114">
        <v>5</v>
      </c>
      <c r="BK164" s="116">
        <v>65</v>
      </c>
      <c r="BL164" s="120">
        <f t="shared" si="22"/>
        <v>5065</v>
      </c>
      <c r="BN164" s="5" t="s">
        <v>3154</v>
      </c>
    </row>
    <row r="165" spans="1:66" hidden="1" outlineLevel="1">
      <c r="A165" s="4" t="s">
        <v>2921</v>
      </c>
      <c r="B165" s="3" t="s">
        <v>761</v>
      </c>
      <c r="C165" s="1">
        <f t="shared" si="64"/>
        <v>5156</v>
      </c>
      <c r="D165" s="5">
        <f>IF(N165&gt;0, RANK(N165,(N165:P165,Q165:AE165)),0)</f>
        <v>2</v>
      </c>
      <c r="E165" s="5">
        <f>IF(O165&gt;0,RANK(O165,(N165:P165,Q165:AE165)),0)</f>
        <v>1</v>
      </c>
      <c r="F165" s="5">
        <f>IF(P165&gt;0,RANK(P165,(N165:P165,Q165:AE165)),0)</f>
        <v>4</v>
      </c>
      <c r="G165" s="132">
        <f t="shared" si="62"/>
        <v>1684</v>
      </c>
      <c r="H165" s="137">
        <f t="shared" si="63"/>
        <v>0.32660977501939487</v>
      </c>
      <c r="I165" s="2"/>
      <c r="J165" s="2">
        <f t="shared" si="65"/>
        <v>0.30702094647013189</v>
      </c>
      <c r="K165" s="2">
        <f t="shared" si="66"/>
        <v>0.63363072148952682</v>
      </c>
      <c r="L165" s="2">
        <f t="shared" si="67"/>
        <v>1.1249030256012413E-2</v>
      </c>
      <c r="M165" s="2">
        <f t="shared" si="68"/>
        <v>4.8099301784328877E-2</v>
      </c>
      <c r="N165" s="63">
        <v>1583</v>
      </c>
      <c r="O165" s="63">
        <v>3267</v>
      </c>
      <c r="P165" s="63">
        <v>58</v>
      </c>
      <c r="Q165" s="63">
        <v>111</v>
      </c>
      <c r="R165" s="63">
        <v>26</v>
      </c>
      <c r="S165" s="63">
        <v>48</v>
      </c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>
        <v>31</v>
      </c>
      <c r="AE165" s="63"/>
      <c r="AF165" s="63"/>
      <c r="AG165" s="63"/>
      <c r="AH165" s="63"/>
      <c r="AI165" s="63"/>
      <c r="AJ165" s="63"/>
      <c r="AK165" s="63"/>
      <c r="AL165" s="63">
        <v>32</v>
      </c>
      <c r="AM165" s="63"/>
      <c r="AN165" s="63"/>
      <c r="AO165" s="63"/>
      <c r="AP165" s="63"/>
      <c r="AQ165" s="63"/>
      <c r="AR165" s="63"/>
      <c r="AS165" s="63"/>
      <c r="AT165" s="63"/>
      <c r="AU165" s="63"/>
      <c r="AW165" s="5">
        <f>IF(Q165&gt;0,RANK(Q165,(N165:P165,Q165:AE165)),0)</f>
        <v>3</v>
      </c>
      <c r="AX165" s="5">
        <f>IF(R165&gt;0,RANK(R165,(N165:P165,Q165:AE165)),0)</f>
        <v>7</v>
      </c>
      <c r="AY165" s="5">
        <f>IF(T165&gt;0,RANK(T165,(N165:P165,Q165:AE165)),0)</f>
        <v>0</v>
      </c>
      <c r="AZ165" s="5">
        <f>IF(S165&gt;0,RANK(S165,(N165:P165,Q165:AE165)),0)</f>
        <v>5</v>
      </c>
      <c r="BA165" s="2">
        <f t="shared" si="69"/>
        <v>2.1528316524437548E-2</v>
      </c>
      <c r="BB165" s="2">
        <f t="shared" si="70"/>
        <v>5.0426687354538403E-3</v>
      </c>
      <c r="BC165" s="2">
        <f t="shared" si="71"/>
        <v>0</v>
      </c>
      <c r="BD165" s="2">
        <f t="shared" si="72"/>
        <v>9.3095422808378587E-3</v>
      </c>
      <c r="BF165" s="4" t="s">
        <v>2921</v>
      </c>
      <c r="BG165" s="3" t="s">
        <v>761</v>
      </c>
      <c r="BH165">
        <v>1</v>
      </c>
      <c r="BJ165" s="114">
        <v>5</v>
      </c>
      <c r="BK165" s="116">
        <v>67</v>
      </c>
      <c r="BL165" s="120">
        <f t="shared" si="22"/>
        <v>5067</v>
      </c>
      <c r="BN165" s="5" t="s">
        <v>3154</v>
      </c>
    </row>
    <row r="166" spans="1:66" hidden="1" outlineLevel="1">
      <c r="A166" s="4" t="s">
        <v>1092</v>
      </c>
      <c r="B166" s="3" t="s">
        <v>761</v>
      </c>
      <c r="C166" s="1">
        <f t="shared" si="64"/>
        <v>25894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>IF(P166&gt;0,RANK(P166,(N166:P166,Q166:AE166)),0)</f>
        <v>5</v>
      </c>
      <c r="G166" s="132">
        <f t="shared" si="62"/>
        <v>6522</v>
      </c>
      <c r="H166" s="137">
        <f t="shared" si="63"/>
        <v>0.25187302077701396</v>
      </c>
      <c r="I166" s="2"/>
      <c r="J166" s="2">
        <f t="shared" si="65"/>
        <v>0.60909863288792776</v>
      </c>
      <c r="K166" s="2">
        <f t="shared" si="66"/>
        <v>0.35722561211091375</v>
      </c>
      <c r="L166" s="2">
        <f t="shared" si="67"/>
        <v>5.3294199428439021E-3</v>
      </c>
      <c r="M166" s="2">
        <f t="shared" si="68"/>
        <v>2.834633505831459E-2</v>
      </c>
      <c r="N166" s="63">
        <v>15772</v>
      </c>
      <c r="O166" s="63">
        <v>9250</v>
      </c>
      <c r="P166" s="63">
        <v>138</v>
      </c>
      <c r="Q166" s="63">
        <v>296</v>
      </c>
      <c r="R166" s="63">
        <v>157</v>
      </c>
      <c r="S166" s="63">
        <v>106</v>
      </c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>
        <v>82</v>
      </c>
      <c r="AE166" s="63"/>
      <c r="AF166" s="63"/>
      <c r="AG166" s="63"/>
      <c r="AH166" s="63"/>
      <c r="AI166" s="63"/>
      <c r="AJ166" s="63"/>
      <c r="AK166" s="63"/>
      <c r="AL166" s="63">
        <v>93</v>
      </c>
      <c r="AM166" s="63"/>
      <c r="AN166" s="63"/>
      <c r="AO166" s="63"/>
      <c r="AP166" s="63"/>
      <c r="AQ166" s="63"/>
      <c r="AR166" s="63"/>
      <c r="AS166" s="63"/>
      <c r="AT166" s="63"/>
      <c r="AU166" s="63"/>
      <c r="AW166" s="5">
        <f>IF(Q166&gt;0,RANK(Q166,(N166:P166,Q166:AE166)),0)</f>
        <v>3</v>
      </c>
      <c r="AX166" s="5">
        <f>IF(R166&gt;0,RANK(R166,(N166:P166,Q166:AE166)),0)</f>
        <v>4</v>
      </c>
      <c r="AY166" s="5">
        <f>IF(T166&gt;0,RANK(T166,(N166:P166,Q166:AE166)),0)</f>
        <v>0</v>
      </c>
      <c r="AZ166" s="5">
        <f>IF(S166&gt;0,RANK(S166,(N166:P166,Q166:AE166)),0)</f>
        <v>6</v>
      </c>
      <c r="BA166" s="2">
        <f t="shared" si="69"/>
        <v>1.143121958754924E-2</v>
      </c>
      <c r="BB166" s="2">
        <f t="shared" si="70"/>
        <v>6.0631806596122655E-3</v>
      </c>
      <c r="BC166" s="2">
        <f t="shared" si="71"/>
        <v>0</v>
      </c>
      <c r="BD166" s="2">
        <f t="shared" si="72"/>
        <v>4.0936124198656058E-3</v>
      </c>
      <c r="BF166" s="4" t="s">
        <v>1092</v>
      </c>
      <c r="BG166" s="3" t="s">
        <v>761</v>
      </c>
      <c r="BJ166" s="114">
        <v>5</v>
      </c>
      <c r="BK166" s="116">
        <v>69</v>
      </c>
      <c r="BL166" s="120">
        <f t="shared" si="22"/>
        <v>5069</v>
      </c>
      <c r="BN166" s="5" t="s">
        <v>3154</v>
      </c>
    </row>
    <row r="167" spans="1:66" hidden="1" outlineLevel="1">
      <c r="A167" s="4" t="s">
        <v>1361</v>
      </c>
      <c r="B167" s="3" t="s">
        <v>761</v>
      </c>
      <c r="C167" s="1">
        <f t="shared" si="64"/>
        <v>9112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5</v>
      </c>
      <c r="G167" s="132">
        <f t="shared" si="62"/>
        <v>3664</v>
      </c>
      <c r="H167" s="137">
        <f t="shared" si="63"/>
        <v>0.40210711150131695</v>
      </c>
      <c r="I167" s="2"/>
      <c r="J167" s="2">
        <f t="shared" si="65"/>
        <v>0.26635206321334504</v>
      </c>
      <c r="K167" s="2">
        <f t="shared" si="66"/>
        <v>0.66845917471466199</v>
      </c>
      <c r="L167" s="2">
        <f t="shared" si="67"/>
        <v>9.7673397717295881E-3</v>
      </c>
      <c r="M167" s="2">
        <f t="shared" si="68"/>
        <v>5.5421422300263389E-2</v>
      </c>
      <c r="N167" s="63">
        <v>2427</v>
      </c>
      <c r="O167" s="63">
        <v>6091</v>
      </c>
      <c r="P167" s="63">
        <v>89</v>
      </c>
      <c r="Q167" s="63">
        <v>294</v>
      </c>
      <c r="R167" s="63">
        <v>90</v>
      </c>
      <c r="S167" s="63">
        <v>55</v>
      </c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>
        <v>40</v>
      </c>
      <c r="AE167" s="63"/>
      <c r="AF167" s="63"/>
      <c r="AG167" s="63"/>
      <c r="AH167" s="63"/>
      <c r="AI167" s="63"/>
      <c r="AJ167" s="63"/>
      <c r="AK167" s="63"/>
      <c r="AL167" s="63">
        <v>26</v>
      </c>
      <c r="AM167" s="63"/>
      <c r="AN167" s="63"/>
      <c r="AO167" s="63"/>
      <c r="AP167" s="63"/>
      <c r="AQ167" s="63"/>
      <c r="AR167" s="63"/>
      <c r="AS167" s="63"/>
      <c r="AT167" s="63"/>
      <c r="AU167" s="63"/>
      <c r="AW167" s="5">
        <f>IF(Q167&gt;0,RANK(Q167,(N167:P167,Q167:AE167)),0)</f>
        <v>3</v>
      </c>
      <c r="AX167" s="5">
        <f>IF(R167&gt;0,RANK(R167,(N167:P167,Q167:AE167)),0)</f>
        <v>4</v>
      </c>
      <c r="AY167" s="5">
        <f>IF(T167&gt;0,RANK(T167,(N167:P167,Q167:AE167)),0)</f>
        <v>0</v>
      </c>
      <c r="AZ167" s="5">
        <f>IF(S167&gt;0,RANK(S167,(N167:P167,Q167:AE167)),0)</f>
        <v>6</v>
      </c>
      <c r="BA167" s="2">
        <f t="shared" si="69"/>
        <v>3.2265144863915712E-2</v>
      </c>
      <c r="BB167" s="2">
        <f t="shared" si="70"/>
        <v>9.8770851624231781E-3</v>
      </c>
      <c r="BC167" s="2">
        <f t="shared" si="71"/>
        <v>0</v>
      </c>
      <c r="BD167" s="2">
        <f t="shared" si="72"/>
        <v>6.0359964881474982E-3</v>
      </c>
      <c r="BF167" s="4" t="s">
        <v>1361</v>
      </c>
      <c r="BG167" s="3" t="s">
        <v>761</v>
      </c>
      <c r="BH167">
        <v>4</v>
      </c>
      <c r="BJ167" s="114">
        <v>5</v>
      </c>
      <c r="BK167" s="116">
        <v>71</v>
      </c>
      <c r="BL167" s="120">
        <f t="shared" si="22"/>
        <v>5071</v>
      </c>
      <c r="BN167" s="5" t="s">
        <v>3154</v>
      </c>
    </row>
    <row r="168" spans="1:66" hidden="1" outlineLevel="1">
      <c r="A168" s="4" t="s">
        <v>496</v>
      </c>
      <c r="B168" s="3" t="s">
        <v>761</v>
      </c>
      <c r="C168" s="1">
        <f t="shared" si="64"/>
        <v>2860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5</v>
      </c>
      <c r="G168" s="132">
        <f t="shared" si="62"/>
        <v>726</v>
      </c>
      <c r="H168" s="137">
        <f t="shared" si="63"/>
        <v>0.25384615384615383</v>
      </c>
      <c r="I168" s="2"/>
      <c r="J168" s="2">
        <f t="shared" si="65"/>
        <v>0.36083916083916084</v>
      </c>
      <c r="K168" s="2">
        <f t="shared" si="66"/>
        <v>0.61468531468531473</v>
      </c>
      <c r="L168" s="2">
        <f t="shared" si="67"/>
        <v>4.5454545454545452E-3</v>
      </c>
      <c r="M168" s="2">
        <f t="shared" si="68"/>
        <v>1.9930069930069932E-2</v>
      </c>
      <c r="N168" s="63">
        <v>1032</v>
      </c>
      <c r="O168" s="63">
        <v>1758</v>
      </c>
      <c r="P168" s="63">
        <v>13</v>
      </c>
      <c r="Q168" s="63">
        <v>26</v>
      </c>
      <c r="R168" s="63">
        <v>5</v>
      </c>
      <c r="S168" s="63">
        <v>5</v>
      </c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>
        <v>14</v>
      </c>
      <c r="AE168" s="63"/>
      <c r="AF168" s="63"/>
      <c r="AG168" s="63"/>
      <c r="AH168" s="63"/>
      <c r="AI168" s="63"/>
      <c r="AJ168" s="63"/>
      <c r="AK168" s="63"/>
      <c r="AL168" s="63">
        <v>7</v>
      </c>
      <c r="AM168" s="63"/>
      <c r="AN168" s="63"/>
      <c r="AO168" s="63"/>
      <c r="AP168" s="63"/>
      <c r="AQ168" s="63"/>
      <c r="AR168" s="63"/>
      <c r="AS168" s="63"/>
      <c r="AT168" s="63"/>
      <c r="AU168" s="63"/>
      <c r="AW168" s="5">
        <f>IF(Q168&gt;0,RANK(Q168,(N168:P168,Q168:AE168)),0)</f>
        <v>3</v>
      </c>
      <c r="AX168" s="5">
        <f>IF(R168&gt;0,RANK(R168,(N168:P168,Q168:AE168)),0)</f>
        <v>6</v>
      </c>
      <c r="AY168" s="5">
        <f>IF(T168&gt;0,RANK(T168,(N168:P168,Q168:AE168)),0)</f>
        <v>0</v>
      </c>
      <c r="AZ168" s="5">
        <f>IF(S168&gt;0,RANK(S168,(N168:P168,Q168:AE168)),0)</f>
        <v>6</v>
      </c>
      <c r="BA168" s="2">
        <f t="shared" si="69"/>
        <v>9.0909090909090905E-3</v>
      </c>
      <c r="BB168" s="2">
        <f t="shared" si="70"/>
        <v>1.7482517482517483E-3</v>
      </c>
      <c r="BC168" s="2">
        <f t="shared" si="71"/>
        <v>0</v>
      </c>
      <c r="BD168" s="2">
        <f t="shared" si="72"/>
        <v>1.7482517482517483E-3</v>
      </c>
      <c r="BF168" s="4" t="s">
        <v>496</v>
      </c>
      <c r="BG168" s="3" t="s">
        <v>761</v>
      </c>
      <c r="BH168">
        <v>4</v>
      </c>
      <c r="BJ168" s="114">
        <v>5</v>
      </c>
      <c r="BK168" s="116">
        <v>73</v>
      </c>
      <c r="BL168" s="120">
        <f t="shared" si="22"/>
        <v>5073</v>
      </c>
      <c r="BN168" s="5" t="s">
        <v>3154</v>
      </c>
    </row>
    <row r="169" spans="1:66" hidden="1" outlineLevel="1">
      <c r="A169" s="4" t="s">
        <v>548</v>
      </c>
      <c r="B169" s="3" t="s">
        <v>761</v>
      </c>
      <c r="C169" s="1">
        <f t="shared" si="64"/>
        <v>5685</v>
      </c>
      <c r="D169" s="5">
        <f>IF(N169&gt;0, RANK(N169,(N169:P169,Q169:AE169)),0)</f>
        <v>2</v>
      </c>
      <c r="E169" s="5">
        <f>IF(O169&gt;0,RANK(O169,(N169:P169,Q169:AE169)),0)</f>
        <v>1</v>
      </c>
      <c r="F169" s="5">
        <f>IF(P169&gt;0,RANK(P169,(N169:P169,Q169:AE169)),0)</f>
        <v>4</v>
      </c>
      <c r="G169" s="132">
        <f t="shared" si="62"/>
        <v>2801</v>
      </c>
      <c r="H169" s="137">
        <f t="shared" si="63"/>
        <v>0.4927000879507476</v>
      </c>
      <c r="I169" s="2"/>
      <c r="J169" s="2">
        <f t="shared" si="65"/>
        <v>0.22216358839050132</v>
      </c>
      <c r="K169" s="2">
        <f t="shared" si="66"/>
        <v>0.71486367634124892</v>
      </c>
      <c r="L169" s="2">
        <f t="shared" si="67"/>
        <v>9.8504837291116983E-3</v>
      </c>
      <c r="M169" s="2">
        <f t="shared" si="68"/>
        <v>5.3122251539138063E-2</v>
      </c>
      <c r="N169" s="63">
        <v>1263</v>
      </c>
      <c r="O169" s="63">
        <v>4064</v>
      </c>
      <c r="P169" s="63">
        <v>56</v>
      </c>
      <c r="Q169" s="63">
        <v>165</v>
      </c>
      <c r="R169" s="63">
        <v>39</v>
      </c>
      <c r="S169" s="63">
        <v>36</v>
      </c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>
        <v>40</v>
      </c>
      <c r="AE169" s="63"/>
      <c r="AF169" s="63"/>
      <c r="AG169" s="63"/>
      <c r="AH169" s="63"/>
      <c r="AI169" s="63"/>
      <c r="AJ169" s="63"/>
      <c r="AK169" s="63"/>
      <c r="AL169" s="63">
        <v>22</v>
      </c>
      <c r="AM169" s="63"/>
      <c r="AN169" s="63"/>
      <c r="AO169" s="63"/>
      <c r="AP169" s="63"/>
      <c r="AQ169" s="63"/>
      <c r="AR169" s="63"/>
      <c r="AS169" s="63"/>
      <c r="AT169" s="63"/>
      <c r="AU169" s="63"/>
      <c r="AW169" s="5">
        <f>IF(Q169&gt;0,RANK(Q169,(N169:P169,Q169:AE169)),0)</f>
        <v>3</v>
      </c>
      <c r="AX169" s="5">
        <f>IF(R169&gt;0,RANK(R169,(N169:P169,Q169:AE169)),0)</f>
        <v>6</v>
      </c>
      <c r="AY169" s="5">
        <f>IF(T169&gt;0,RANK(T169,(N169:P169,Q169:AE169)),0)</f>
        <v>0</v>
      </c>
      <c r="AZ169" s="5">
        <f>IF(S169&gt;0,RANK(S169,(N169:P169,Q169:AE169)),0)</f>
        <v>7</v>
      </c>
      <c r="BA169" s="2">
        <f t="shared" si="69"/>
        <v>2.9023746701846966E-2</v>
      </c>
      <c r="BB169" s="2">
        <f t="shared" si="70"/>
        <v>6.8601583113456462E-3</v>
      </c>
      <c r="BC169" s="2">
        <f t="shared" si="71"/>
        <v>0</v>
      </c>
      <c r="BD169" s="2">
        <f t="shared" si="72"/>
        <v>6.3324538258575196E-3</v>
      </c>
      <c r="BF169" s="4" t="s">
        <v>548</v>
      </c>
      <c r="BG169" s="3" t="s">
        <v>761</v>
      </c>
      <c r="BH169">
        <v>1</v>
      </c>
      <c r="BJ169" s="114">
        <v>5</v>
      </c>
      <c r="BK169" s="116">
        <v>75</v>
      </c>
      <c r="BL169" s="120">
        <f t="shared" ref="BL169:BL232" si="73">1000*BJ169+BK169</f>
        <v>5075</v>
      </c>
      <c r="BN169" s="5" t="s">
        <v>3154</v>
      </c>
    </row>
    <row r="170" spans="1:66" hidden="1" outlineLevel="1">
      <c r="A170" s="4" t="s">
        <v>97</v>
      </c>
      <c r="B170" s="3" t="s">
        <v>761</v>
      </c>
      <c r="C170" s="1">
        <f t="shared" si="64"/>
        <v>3026</v>
      </c>
      <c r="D170" s="5">
        <f>IF(N170&gt;0, RANK(N170,(N170:P170,Q170:AE170)),0)</f>
        <v>1</v>
      </c>
      <c r="E170" s="5">
        <f>IF(O170&gt;0,RANK(O170,(N170:P170,Q170:AE170)),0)</f>
        <v>2</v>
      </c>
      <c r="F170" s="5">
        <f>IF(P170&gt;0,RANK(P170,(N170:P170,Q170:AE170)),0)</f>
        <v>4</v>
      </c>
      <c r="G170" s="132">
        <f t="shared" si="62"/>
        <v>506</v>
      </c>
      <c r="H170" s="137">
        <f t="shared" si="63"/>
        <v>0.16721744877726372</v>
      </c>
      <c r="I170" s="2"/>
      <c r="J170" s="2">
        <f t="shared" si="65"/>
        <v>0.57336417713152676</v>
      </c>
      <c r="K170" s="2">
        <f t="shared" si="66"/>
        <v>0.40614672835426308</v>
      </c>
      <c r="L170" s="2">
        <f t="shared" si="67"/>
        <v>5.2875082617316587E-3</v>
      </c>
      <c r="M170" s="2">
        <f t="shared" si="68"/>
        <v>1.5201586252478501E-2</v>
      </c>
      <c r="N170" s="63">
        <v>1735</v>
      </c>
      <c r="O170" s="63">
        <v>1229</v>
      </c>
      <c r="P170" s="63">
        <v>16</v>
      </c>
      <c r="Q170" s="63">
        <v>22</v>
      </c>
      <c r="R170" s="63">
        <v>6</v>
      </c>
      <c r="S170" s="63">
        <v>3</v>
      </c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>
        <v>12</v>
      </c>
      <c r="AE170" s="63"/>
      <c r="AF170" s="63"/>
      <c r="AG170" s="63"/>
      <c r="AH170" s="63"/>
      <c r="AI170" s="63"/>
      <c r="AJ170" s="63"/>
      <c r="AK170" s="63"/>
      <c r="AL170" s="63">
        <v>3</v>
      </c>
      <c r="AM170" s="63"/>
      <c r="AN170" s="63"/>
      <c r="AO170" s="63"/>
      <c r="AP170" s="63"/>
      <c r="AQ170" s="63"/>
      <c r="AR170" s="63"/>
      <c r="AS170" s="63"/>
      <c r="AT170" s="63"/>
      <c r="AU170" s="63"/>
      <c r="AW170" s="5">
        <f>IF(Q170&gt;0,RANK(Q170,(N170:P170,Q170:AE170)),0)</f>
        <v>3</v>
      </c>
      <c r="AX170" s="5">
        <f>IF(R170&gt;0,RANK(R170,(N170:P170,Q170:AE170)),0)</f>
        <v>6</v>
      </c>
      <c r="AY170" s="5">
        <f>IF(T170&gt;0,RANK(T170,(N170:P170,Q170:AE170)),0)</f>
        <v>0</v>
      </c>
      <c r="AZ170" s="5">
        <f>IF(S170&gt;0,RANK(S170,(N170:P170,Q170:AE170)),0)</f>
        <v>7</v>
      </c>
      <c r="BA170" s="2">
        <f t="shared" si="69"/>
        <v>7.2703238598810314E-3</v>
      </c>
      <c r="BB170" s="2">
        <f t="shared" si="70"/>
        <v>1.9828155981493722E-3</v>
      </c>
      <c r="BC170" s="2">
        <f t="shared" si="71"/>
        <v>0</v>
      </c>
      <c r="BD170" s="2">
        <f t="shared" si="72"/>
        <v>9.9140779907468612E-4</v>
      </c>
      <c r="BF170" s="4" t="s">
        <v>97</v>
      </c>
      <c r="BG170" s="3" t="s">
        <v>761</v>
      </c>
      <c r="BH170">
        <v>1</v>
      </c>
      <c r="BJ170" s="114">
        <v>5</v>
      </c>
      <c r="BK170" s="116">
        <v>77</v>
      </c>
      <c r="BL170" s="120">
        <f t="shared" si="73"/>
        <v>5077</v>
      </c>
      <c r="BN170" s="5" t="s">
        <v>3154</v>
      </c>
    </row>
    <row r="171" spans="1:66" hidden="1" outlineLevel="1">
      <c r="A171" s="4" t="s">
        <v>1597</v>
      </c>
      <c r="B171" s="3" t="s">
        <v>761</v>
      </c>
      <c r="C171" s="1">
        <f t="shared" si="64"/>
        <v>3826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6</v>
      </c>
      <c r="G171" s="132">
        <f t="shared" si="62"/>
        <v>1203</v>
      </c>
      <c r="H171" s="137">
        <f t="shared" si="63"/>
        <v>0.31442760062728697</v>
      </c>
      <c r="I171" s="2"/>
      <c r="J171" s="2">
        <f t="shared" si="65"/>
        <v>0.32723470987976999</v>
      </c>
      <c r="K171" s="2">
        <f t="shared" si="66"/>
        <v>0.64166231050705702</v>
      </c>
      <c r="L171" s="2">
        <f t="shared" si="67"/>
        <v>3.1364349189754314E-3</v>
      </c>
      <c r="M171" s="2">
        <f t="shared" si="68"/>
        <v>2.7966544694197557E-2</v>
      </c>
      <c r="N171" s="63">
        <v>1252</v>
      </c>
      <c r="O171" s="63">
        <v>2455</v>
      </c>
      <c r="P171" s="63">
        <v>12</v>
      </c>
      <c r="Q171" s="63">
        <v>48</v>
      </c>
      <c r="R171" s="63">
        <v>16</v>
      </c>
      <c r="S171" s="63">
        <v>22</v>
      </c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>
        <v>8</v>
      </c>
      <c r="AE171" s="63"/>
      <c r="AF171" s="63"/>
      <c r="AG171" s="63"/>
      <c r="AH171" s="63"/>
      <c r="AI171" s="63"/>
      <c r="AJ171" s="63"/>
      <c r="AK171" s="63"/>
      <c r="AL171" s="63">
        <v>13</v>
      </c>
      <c r="AM171" s="63"/>
      <c r="AN171" s="63"/>
      <c r="AO171" s="63"/>
      <c r="AP171" s="63"/>
      <c r="AQ171" s="63"/>
      <c r="AR171" s="63"/>
      <c r="AS171" s="63"/>
      <c r="AT171" s="63"/>
      <c r="AU171" s="63"/>
      <c r="AW171" s="5">
        <f>IF(Q171&gt;0,RANK(Q171,(N171:P171,Q171:AE171)),0)</f>
        <v>3</v>
      </c>
      <c r="AX171" s="5">
        <f>IF(R171&gt;0,RANK(R171,(N171:P171,Q171:AE171)),0)</f>
        <v>5</v>
      </c>
      <c r="AY171" s="5">
        <f>IF(T171&gt;0,RANK(T171,(N171:P171,Q171:AE171)),0)</f>
        <v>0</v>
      </c>
      <c r="AZ171" s="5">
        <f>IF(S171&gt;0,RANK(S171,(N171:P171,Q171:AE171)),0)</f>
        <v>4</v>
      </c>
      <c r="BA171" s="2">
        <f t="shared" si="69"/>
        <v>1.2545739675901725E-2</v>
      </c>
      <c r="BB171" s="2">
        <f t="shared" si="70"/>
        <v>4.1819132253005748E-3</v>
      </c>
      <c r="BC171" s="2">
        <f t="shared" si="71"/>
        <v>0</v>
      </c>
      <c r="BD171" s="2">
        <f t="shared" si="72"/>
        <v>5.7501306847882903E-3</v>
      </c>
      <c r="BF171" s="4" t="s">
        <v>1597</v>
      </c>
      <c r="BG171" s="3" t="s">
        <v>761</v>
      </c>
      <c r="BH171">
        <v>1</v>
      </c>
      <c r="BJ171" s="114">
        <v>5</v>
      </c>
      <c r="BK171" s="116">
        <v>79</v>
      </c>
      <c r="BL171" s="120">
        <f t="shared" si="73"/>
        <v>5079</v>
      </c>
      <c r="BN171" s="5" t="s">
        <v>3154</v>
      </c>
    </row>
    <row r="172" spans="1:66" hidden="1" outlineLevel="1">
      <c r="A172" s="4" t="s">
        <v>2918</v>
      </c>
      <c r="B172" s="3" t="s">
        <v>761</v>
      </c>
      <c r="C172" s="1">
        <f t="shared" si="64"/>
        <v>5227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5</v>
      </c>
      <c r="G172" s="132">
        <f t="shared" si="62"/>
        <v>2208</v>
      </c>
      <c r="H172" s="137">
        <f t="shared" si="63"/>
        <v>0.42242203941075185</v>
      </c>
      <c r="I172" s="2"/>
      <c r="J172" s="2">
        <f t="shared" si="65"/>
        <v>0.2672661182322556</v>
      </c>
      <c r="K172" s="2">
        <f t="shared" si="66"/>
        <v>0.6896881576430075</v>
      </c>
      <c r="L172" s="2">
        <f t="shared" si="67"/>
        <v>6.5046872010713604E-3</v>
      </c>
      <c r="M172" s="2">
        <f t="shared" si="68"/>
        <v>3.6541036923665587E-2</v>
      </c>
      <c r="N172" s="63">
        <v>1397</v>
      </c>
      <c r="O172" s="63">
        <v>3605</v>
      </c>
      <c r="P172" s="63">
        <v>34</v>
      </c>
      <c r="Q172" s="63">
        <v>85</v>
      </c>
      <c r="R172" s="63">
        <v>14</v>
      </c>
      <c r="S172" s="63">
        <v>42</v>
      </c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>
        <v>24</v>
      </c>
      <c r="AE172" s="63"/>
      <c r="AF172" s="63"/>
      <c r="AG172" s="63"/>
      <c r="AH172" s="63"/>
      <c r="AI172" s="63"/>
      <c r="AJ172" s="63"/>
      <c r="AK172" s="63"/>
      <c r="AL172" s="63">
        <v>26</v>
      </c>
      <c r="AM172" s="63"/>
      <c r="AN172" s="63"/>
      <c r="AO172" s="63"/>
      <c r="AP172" s="63"/>
      <c r="AQ172" s="63"/>
      <c r="AR172" s="63"/>
      <c r="AS172" s="63"/>
      <c r="AT172" s="63"/>
      <c r="AU172" s="63"/>
      <c r="AW172" s="5">
        <f>IF(Q172&gt;0,RANK(Q172,(N172:P172,Q172:AE172)),0)</f>
        <v>3</v>
      </c>
      <c r="AX172" s="5">
        <f>IF(R172&gt;0,RANK(R172,(N172:P172,Q172:AE172)),0)</f>
        <v>7</v>
      </c>
      <c r="AY172" s="5">
        <f>IF(T172&gt;0,RANK(T172,(N172:P172,Q172:AE172)),0)</f>
        <v>0</v>
      </c>
      <c r="AZ172" s="5">
        <f>IF(S172&gt;0,RANK(S172,(N172:P172,Q172:AE172)),0)</f>
        <v>4</v>
      </c>
      <c r="BA172" s="2">
        <f t="shared" si="69"/>
        <v>1.6261718002678401E-2</v>
      </c>
      <c r="BB172" s="2">
        <f t="shared" si="70"/>
        <v>2.6784006122058542E-3</v>
      </c>
      <c r="BC172" s="2">
        <f t="shared" si="71"/>
        <v>0</v>
      </c>
      <c r="BD172" s="2">
        <f t="shared" si="72"/>
        <v>8.0352018366175622E-3</v>
      </c>
      <c r="BF172" s="4" t="s">
        <v>2918</v>
      </c>
      <c r="BG172" s="3" t="s">
        <v>761</v>
      </c>
      <c r="BH172">
        <v>4</v>
      </c>
      <c r="BJ172" s="114">
        <v>5</v>
      </c>
      <c r="BK172" s="116">
        <v>81</v>
      </c>
      <c r="BL172" s="120">
        <f t="shared" si="73"/>
        <v>5081</v>
      </c>
      <c r="BN172" s="5" t="s">
        <v>3154</v>
      </c>
    </row>
    <row r="173" spans="1:66" hidden="1" outlineLevel="1">
      <c r="A173" s="4" t="s">
        <v>844</v>
      </c>
      <c r="B173" s="3" t="s">
        <v>761</v>
      </c>
      <c r="C173" s="1">
        <f t="shared" si="64"/>
        <v>7921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4</v>
      </c>
      <c r="G173" s="132">
        <f t="shared" si="62"/>
        <v>4031</v>
      </c>
      <c r="H173" s="137">
        <f t="shared" si="63"/>
        <v>0.50890039136472665</v>
      </c>
      <c r="I173" s="2"/>
      <c r="J173" s="2">
        <f t="shared" si="65"/>
        <v>0.21651306653200353</v>
      </c>
      <c r="K173" s="2">
        <f t="shared" si="66"/>
        <v>0.72541345789673017</v>
      </c>
      <c r="L173" s="2">
        <f t="shared" si="67"/>
        <v>8.8372680217144294E-3</v>
      </c>
      <c r="M173" s="2">
        <f t="shared" si="68"/>
        <v>4.9236207549551866E-2</v>
      </c>
      <c r="N173" s="63">
        <v>1715</v>
      </c>
      <c r="O173" s="63">
        <v>5746</v>
      </c>
      <c r="P173" s="63">
        <v>70</v>
      </c>
      <c r="Q173" s="63">
        <v>195</v>
      </c>
      <c r="R173" s="63">
        <v>54</v>
      </c>
      <c r="S173" s="63">
        <v>46</v>
      </c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>
        <v>62</v>
      </c>
      <c r="AE173" s="63"/>
      <c r="AF173" s="63"/>
      <c r="AG173" s="63"/>
      <c r="AH173" s="63"/>
      <c r="AI173" s="63"/>
      <c r="AJ173" s="63"/>
      <c r="AK173" s="63"/>
      <c r="AL173" s="63">
        <v>33</v>
      </c>
      <c r="AM173" s="63"/>
      <c r="AN173" s="63"/>
      <c r="AO173" s="63"/>
      <c r="AP173" s="63"/>
      <c r="AQ173" s="63"/>
      <c r="AR173" s="63"/>
      <c r="AS173" s="63"/>
      <c r="AT173" s="63"/>
      <c r="AU173" s="63"/>
      <c r="AW173" s="5">
        <f>IF(Q173&gt;0,RANK(Q173,(N173:P173,Q173:AE173)),0)</f>
        <v>3</v>
      </c>
      <c r="AX173" s="5">
        <f>IF(R173&gt;0,RANK(R173,(N173:P173,Q173:AE173)),0)</f>
        <v>6</v>
      </c>
      <c r="AY173" s="5">
        <f>IF(T173&gt;0,RANK(T173,(N173:P173,Q173:AE173)),0)</f>
        <v>0</v>
      </c>
      <c r="AZ173" s="5">
        <f>IF(S173&gt;0,RANK(S173,(N173:P173,Q173:AE173)),0)</f>
        <v>7</v>
      </c>
      <c r="BA173" s="2">
        <f t="shared" si="69"/>
        <v>2.4618103774775912E-2</v>
      </c>
      <c r="BB173" s="2">
        <f t="shared" si="70"/>
        <v>6.8173210453225603E-3</v>
      </c>
      <c r="BC173" s="2">
        <f t="shared" si="71"/>
        <v>0</v>
      </c>
      <c r="BD173" s="2">
        <f t="shared" si="72"/>
        <v>5.8073475571266252E-3</v>
      </c>
      <c r="BF173" s="4" t="s">
        <v>844</v>
      </c>
      <c r="BG173" s="3" t="s">
        <v>761</v>
      </c>
      <c r="BH173">
        <v>4</v>
      </c>
      <c r="BJ173" s="114">
        <v>5</v>
      </c>
      <c r="BK173" s="116">
        <v>83</v>
      </c>
      <c r="BL173" s="120">
        <f t="shared" si="73"/>
        <v>5083</v>
      </c>
      <c r="BN173" s="5" t="s">
        <v>3154</v>
      </c>
    </row>
    <row r="174" spans="1:66" hidden="1" outlineLevel="1">
      <c r="A174" s="4" t="s">
        <v>1278</v>
      </c>
      <c r="B174" s="3" t="s">
        <v>761</v>
      </c>
      <c r="C174" s="1">
        <f t="shared" si="64"/>
        <v>27100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4</v>
      </c>
      <c r="G174" s="132">
        <f t="shared" si="62"/>
        <v>14294</v>
      </c>
      <c r="H174" s="137">
        <f t="shared" si="63"/>
        <v>0.52745387453874537</v>
      </c>
      <c r="I174" s="2"/>
      <c r="J174" s="2">
        <f t="shared" si="65"/>
        <v>0.20900369003690036</v>
      </c>
      <c r="K174" s="2">
        <f t="shared" si="66"/>
        <v>0.73645756457564571</v>
      </c>
      <c r="L174" s="2">
        <f t="shared" si="67"/>
        <v>8.9667896678966783E-3</v>
      </c>
      <c r="M174" s="2">
        <f t="shared" si="68"/>
        <v>4.5571955719557279E-2</v>
      </c>
      <c r="N174" s="63">
        <v>5664</v>
      </c>
      <c r="O174" s="63">
        <v>19958</v>
      </c>
      <c r="P174" s="63">
        <v>243</v>
      </c>
      <c r="Q174" s="63">
        <v>767</v>
      </c>
      <c r="R174" s="63">
        <v>172</v>
      </c>
      <c r="S174" s="63">
        <v>78</v>
      </c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>
        <v>119</v>
      </c>
      <c r="AE174" s="63"/>
      <c r="AF174" s="63"/>
      <c r="AG174" s="63"/>
      <c r="AH174" s="63"/>
      <c r="AI174" s="63"/>
      <c r="AJ174" s="63"/>
      <c r="AK174" s="63"/>
      <c r="AL174" s="63">
        <v>99</v>
      </c>
      <c r="AM174" s="63"/>
      <c r="AN174" s="63"/>
      <c r="AO174" s="63"/>
      <c r="AP174" s="63"/>
      <c r="AQ174" s="63"/>
      <c r="AR174" s="63"/>
      <c r="AS174" s="63"/>
      <c r="AT174" s="63"/>
      <c r="AU174" s="63"/>
      <c r="AW174" s="5">
        <f>IF(Q174&gt;0,RANK(Q174,(N174:P174,Q174:AE174)),0)</f>
        <v>3</v>
      </c>
      <c r="AX174" s="5">
        <f>IF(R174&gt;0,RANK(R174,(N174:P174,Q174:AE174)),0)</f>
        <v>5</v>
      </c>
      <c r="AY174" s="5">
        <f>IF(T174&gt;0,RANK(T174,(N174:P174,Q174:AE174)),0)</f>
        <v>0</v>
      </c>
      <c r="AZ174" s="5">
        <f>IF(S174&gt;0,RANK(S174,(N174:P174,Q174:AE174)),0)</f>
        <v>7</v>
      </c>
      <c r="BA174" s="2">
        <f t="shared" si="69"/>
        <v>2.8302583025830257E-2</v>
      </c>
      <c r="BB174" s="2">
        <f t="shared" si="70"/>
        <v>6.3468634686346861E-3</v>
      </c>
      <c r="BC174" s="2">
        <f t="shared" si="71"/>
        <v>0</v>
      </c>
      <c r="BD174" s="2">
        <f t="shared" si="72"/>
        <v>2.8782287822878227E-3</v>
      </c>
      <c r="BF174" s="4" t="s">
        <v>1278</v>
      </c>
      <c r="BG174" s="3" t="s">
        <v>761</v>
      </c>
      <c r="BH174">
        <v>1</v>
      </c>
      <c r="BJ174" s="114">
        <v>5</v>
      </c>
      <c r="BK174" s="116">
        <v>85</v>
      </c>
      <c r="BL174" s="120">
        <f t="shared" si="73"/>
        <v>5085</v>
      </c>
      <c r="BN174" s="5" t="s">
        <v>3154</v>
      </c>
    </row>
    <row r="175" spans="1:66" hidden="1" outlineLevel="1">
      <c r="A175" s="4" t="s">
        <v>1650</v>
      </c>
      <c r="B175" s="3" t="s">
        <v>761</v>
      </c>
      <c r="C175" s="1">
        <f t="shared" si="64"/>
        <v>6841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5</v>
      </c>
      <c r="G175" s="132">
        <f t="shared" si="62"/>
        <v>3340</v>
      </c>
      <c r="H175" s="137">
        <f t="shared" si="63"/>
        <v>0.48823271451542172</v>
      </c>
      <c r="I175" s="2"/>
      <c r="J175" s="2">
        <f t="shared" si="65"/>
        <v>0.23212980558397894</v>
      </c>
      <c r="K175" s="2">
        <f t="shared" si="66"/>
        <v>0.72036252009940072</v>
      </c>
      <c r="L175" s="2">
        <f t="shared" si="67"/>
        <v>6.8703405934804852E-3</v>
      </c>
      <c r="M175" s="2">
        <f t="shared" si="68"/>
        <v>4.0637333723139914E-2</v>
      </c>
      <c r="N175" s="63">
        <v>1588</v>
      </c>
      <c r="O175" s="63">
        <v>4928</v>
      </c>
      <c r="P175" s="63">
        <v>47</v>
      </c>
      <c r="Q175" s="63">
        <v>144</v>
      </c>
      <c r="R175" s="63">
        <v>54</v>
      </c>
      <c r="S175" s="63">
        <v>23</v>
      </c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>
        <v>43</v>
      </c>
      <c r="AE175" s="63"/>
      <c r="AF175" s="63"/>
      <c r="AG175" s="63"/>
      <c r="AH175" s="63"/>
      <c r="AI175" s="63"/>
      <c r="AJ175" s="63"/>
      <c r="AK175" s="63"/>
      <c r="AL175" s="63">
        <v>14</v>
      </c>
      <c r="AM175" s="63"/>
      <c r="AN175" s="63"/>
      <c r="AO175" s="63"/>
      <c r="AP175" s="63"/>
      <c r="AQ175" s="63"/>
      <c r="AR175" s="63"/>
      <c r="AS175" s="63"/>
      <c r="AT175" s="63"/>
      <c r="AU175" s="63"/>
      <c r="AW175" s="5">
        <f>IF(Q175&gt;0,RANK(Q175,(N175:P175,Q175:AE175)),0)</f>
        <v>3</v>
      </c>
      <c r="AX175" s="5">
        <f>IF(R175&gt;0,RANK(R175,(N175:P175,Q175:AE175)),0)</f>
        <v>4</v>
      </c>
      <c r="AY175" s="5">
        <f>IF(T175&gt;0,RANK(T175,(N175:P175,Q175:AE175)),0)</f>
        <v>0</v>
      </c>
      <c r="AZ175" s="5">
        <f>IF(S175&gt;0,RANK(S175,(N175:P175,Q175:AE175)),0)</f>
        <v>7</v>
      </c>
      <c r="BA175" s="2">
        <f t="shared" si="69"/>
        <v>2.1049554158748721E-2</v>
      </c>
      <c r="BB175" s="2">
        <f t="shared" si="70"/>
        <v>7.8935828095307702E-3</v>
      </c>
      <c r="BC175" s="2">
        <f t="shared" si="71"/>
        <v>0</v>
      </c>
      <c r="BD175" s="2">
        <f t="shared" si="72"/>
        <v>3.3620815670223651E-3</v>
      </c>
      <c r="BF175" s="4" t="s">
        <v>1650</v>
      </c>
      <c r="BG175" s="3" t="s">
        <v>761</v>
      </c>
      <c r="BH175">
        <v>4</v>
      </c>
      <c r="BJ175" s="114">
        <v>5</v>
      </c>
      <c r="BK175" s="116">
        <v>87</v>
      </c>
      <c r="BL175" s="120">
        <f t="shared" si="73"/>
        <v>5087</v>
      </c>
      <c r="BN175" s="5" t="s">
        <v>3154</v>
      </c>
    </row>
    <row r="176" spans="1:66" hidden="1" outlineLevel="1">
      <c r="A176" s="4" t="s">
        <v>1826</v>
      </c>
      <c r="B176" s="3" t="s">
        <v>761</v>
      </c>
      <c r="C176" s="1">
        <f t="shared" si="64"/>
        <v>7107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4</v>
      </c>
      <c r="G176" s="132">
        <f t="shared" si="62"/>
        <v>3902</v>
      </c>
      <c r="H176" s="137">
        <f t="shared" si="63"/>
        <v>0.54903616153088508</v>
      </c>
      <c r="I176" s="2"/>
      <c r="J176" s="2">
        <f t="shared" si="65"/>
        <v>0.2017728999577881</v>
      </c>
      <c r="K176" s="2">
        <f t="shared" si="66"/>
        <v>0.7508090614886731</v>
      </c>
      <c r="L176" s="2">
        <f t="shared" si="67"/>
        <v>8.5830870972280846E-3</v>
      </c>
      <c r="M176" s="2">
        <f t="shared" si="68"/>
        <v>3.8834951456310683E-2</v>
      </c>
      <c r="N176" s="63">
        <v>1434</v>
      </c>
      <c r="O176" s="63">
        <v>5336</v>
      </c>
      <c r="P176" s="63">
        <v>61</v>
      </c>
      <c r="Q176" s="63">
        <v>157</v>
      </c>
      <c r="R176" s="63">
        <v>56</v>
      </c>
      <c r="S176" s="63">
        <v>25</v>
      </c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>
        <v>21</v>
      </c>
      <c r="AE176" s="63"/>
      <c r="AF176" s="63"/>
      <c r="AG176" s="63"/>
      <c r="AH176" s="63"/>
      <c r="AI176" s="63"/>
      <c r="AJ176" s="63"/>
      <c r="AK176" s="63"/>
      <c r="AL176" s="63">
        <v>17</v>
      </c>
      <c r="AM176" s="63"/>
      <c r="AN176" s="63"/>
      <c r="AO176" s="63"/>
      <c r="AP176" s="63"/>
      <c r="AQ176" s="63"/>
      <c r="AR176" s="63"/>
      <c r="AS176" s="63"/>
      <c r="AT176" s="63"/>
      <c r="AU176" s="63"/>
      <c r="AW176" s="5">
        <f>IF(Q176&gt;0,RANK(Q176,(N176:P176,Q176:AE176)),0)</f>
        <v>3</v>
      </c>
      <c r="AX176" s="5">
        <f>IF(R176&gt;0,RANK(R176,(N176:P176,Q176:AE176)),0)</f>
        <v>5</v>
      </c>
      <c r="AY176" s="5">
        <f>IF(T176&gt;0,RANK(T176,(N176:P176,Q176:AE176)),0)</f>
        <v>0</v>
      </c>
      <c r="AZ176" s="5">
        <f>IF(S176&gt;0,RANK(S176,(N176:P176,Q176:AE176)),0)</f>
        <v>6</v>
      </c>
      <c r="BA176" s="2">
        <f t="shared" si="69"/>
        <v>2.2090896299423103E-2</v>
      </c>
      <c r="BB176" s="2">
        <f t="shared" si="70"/>
        <v>7.8795553679470946E-3</v>
      </c>
      <c r="BC176" s="2">
        <f t="shared" si="71"/>
        <v>0</v>
      </c>
      <c r="BD176" s="2">
        <f t="shared" si="72"/>
        <v>3.5176586464049529E-3</v>
      </c>
      <c r="BF176" s="4" t="s">
        <v>1826</v>
      </c>
      <c r="BG176" s="3" t="s">
        <v>761</v>
      </c>
      <c r="BH176">
        <v>3</v>
      </c>
      <c r="BJ176" s="114">
        <v>5</v>
      </c>
      <c r="BK176" s="116">
        <v>89</v>
      </c>
      <c r="BL176" s="120">
        <f t="shared" si="73"/>
        <v>5089</v>
      </c>
      <c r="BN176" s="5" t="s">
        <v>3154</v>
      </c>
    </row>
    <row r="177" spans="1:66" hidden="1" outlineLevel="1">
      <c r="A177" s="4" t="s">
        <v>1266</v>
      </c>
      <c r="B177" s="3" t="s">
        <v>761</v>
      </c>
      <c r="C177" s="1">
        <f t="shared" si="64"/>
        <v>16091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4</v>
      </c>
      <c r="G177" s="132">
        <f t="shared" si="62"/>
        <v>7021</v>
      </c>
      <c r="H177" s="137">
        <f t="shared" si="63"/>
        <v>0.43633086818718536</v>
      </c>
      <c r="I177" s="2"/>
      <c r="J177" s="2">
        <f t="shared" si="65"/>
        <v>0.26555217202162701</v>
      </c>
      <c r="K177" s="2">
        <f t="shared" si="66"/>
        <v>0.70188304020881243</v>
      </c>
      <c r="L177" s="2">
        <f t="shared" si="67"/>
        <v>4.6609906158722268E-3</v>
      </c>
      <c r="M177" s="2">
        <f t="shared" si="68"/>
        <v>2.7903797153688396E-2</v>
      </c>
      <c r="N177" s="63">
        <v>4273</v>
      </c>
      <c r="O177" s="63">
        <v>11294</v>
      </c>
      <c r="P177" s="63">
        <v>75</v>
      </c>
      <c r="Q177" s="63">
        <v>237</v>
      </c>
      <c r="R177" s="63">
        <v>69</v>
      </c>
      <c r="S177" s="63">
        <v>65</v>
      </c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>
        <v>56</v>
      </c>
      <c r="AE177" s="63"/>
      <c r="AF177" s="63"/>
      <c r="AG177" s="63"/>
      <c r="AH177" s="63"/>
      <c r="AI177" s="63"/>
      <c r="AJ177" s="63"/>
      <c r="AK177" s="63"/>
      <c r="AL177" s="63">
        <v>22</v>
      </c>
      <c r="AM177" s="63"/>
      <c r="AN177" s="63"/>
      <c r="AO177" s="63"/>
      <c r="AP177" s="63"/>
      <c r="AQ177" s="63"/>
      <c r="AR177" s="63"/>
      <c r="AS177" s="63"/>
      <c r="AT177" s="63"/>
      <c r="AU177" s="63"/>
      <c r="AW177" s="5">
        <f>IF(Q177&gt;0,RANK(Q177,(N177:P177,Q177:AE177)),0)</f>
        <v>3</v>
      </c>
      <c r="AX177" s="5">
        <f>IF(R177&gt;0,RANK(R177,(N177:P177,Q177:AE177)),0)</f>
        <v>5</v>
      </c>
      <c r="AY177" s="5">
        <f>IF(T177&gt;0,RANK(T177,(N177:P177,Q177:AE177)),0)</f>
        <v>0</v>
      </c>
      <c r="AZ177" s="5">
        <f>IF(S177&gt;0,RANK(S177,(N177:P177,Q177:AE177)),0)</f>
        <v>6</v>
      </c>
      <c r="BA177" s="2">
        <f t="shared" si="69"/>
        <v>1.4728730346156236E-2</v>
      </c>
      <c r="BB177" s="2">
        <f t="shared" si="70"/>
        <v>4.2881113666024488E-3</v>
      </c>
      <c r="BC177" s="2">
        <f t="shared" si="71"/>
        <v>0</v>
      </c>
      <c r="BD177" s="2">
        <f t="shared" si="72"/>
        <v>4.0395252004225965E-3</v>
      </c>
      <c r="BF177" s="4" t="s">
        <v>1266</v>
      </c>
      <c r="BG177" s="3" t="s">
        <v>761</v>
      </c>
      <c r="BH177">
        <v>4</v>
      </c>
      <c r="BJ177" s="114">
        <v>5</v>
      </c>
      <c r="BK177" s="116">
        <v>91</v>
      </c>
      <c r="BL177" s="120">
        <f t="shared" si="73"/>
        <v>5091</v>
      </c>
      <c r="BN177" s="5" t="s">
        <v>3154</v>
      </c>
    </row>
    <row r="178" spans="1:66" hidden="1" outlineLevel="1">
      <c r="A178" s="4" t="s">
        <v>526</v>
      </c>
      <c r="B178" s="3" t="s">
        <v>761</v>
      </c>
      <c r="C178" s="1">
        <f t="shared" si="64"/>
        <v>13204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4</v>
      </c>
      <c r="G178" s="132">
        <f t="shared" si="62"/>
        <v>1391</v>
      </c>
      <c r="H178" s="137">
        <f t="shared" si="63"/>
        <v>0.10534686458648894</v>
      </c>
      <c r="I178" s="2"/>
      <c r="J178" s="2">
        <f t="shared" si="65"/>
        <v>0.42941532868827625</v>
      </c>
      <c r="K178" s="2">
        <f t="shared" si="66"/>
        <v>0.53476219327476526</v>
      </c>
      <c r="L178" s="2">
        <f t="shared" si="67"/>
        <v>6.134504695546804E-3</v>
      </c>
      <c r="M178" s="2">
        <f t="shared" si="68"/>
        <v>2.968797334141168E-2</v>
      </c>
      <c r="N178" s="63">
        <v>5670</v>
      </c>
      <c r="O178" s="63">
        <v>7061</v>
      </c>
      <c r="P178" s="63">
        <v>81</v>
      </c>
      <c r="Q178" s="63">
        <v>181</v>
      </c>
      <c r="R178" s="63">
        <v>65</v>
      </c>
      <c r="S178" s="63">
        <v>41</v>
      </c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>
        <v>49</v>
      </c>
      <c r="AE178" s="63"/>
      <c r="AF178" s="63"/>
      <c r="AG178" s="63"/>
      <c r="AH178" s="63"/>
      <c r="AI178" s="63"/>
      <c r="AJ178" s="63"/>
      <c r="AK178" s="63"/>
      <c r="AL178" s="63">
        <v>56</v>
      </c>
      <c r="AM178" s="63"/>
      <c r="AN178" s="63"/>
      <c r="AO178" s="63"/>
      <c r="AP178" s="63"/>
      <c r="AQ178" s="63"/>
      <c r="AR178" s="63"/>
      <c r="AS178" s="63"/>
      <c r="AT178" s="63"/>
      <c r="AU178" s="63"/>
      <c r="AW178" s="5">
        <f>IF(Q178&gt;0,RANK(Q178,(N178:P178,Q178:AE178)),0)</f>
        <v>3</v>
      </c>
      <c r="AX178" s="5">
        <f>IF(R178&gt;0,RANK(R178,(N178:P178,Q178:AE178)),0)</f>
        <v>5</v>
      </c>
      <c r="AY178" s="5">
        <f>IF(T178&gt;0,RANK(T178,(N178:P178,Q178:AE178)),0)</f>
        <v>0</v>
      </c>
      <c r="AZ178" s="5">
        <f>IF(S178&gt;0,RANK(S178,(N178:P178,Q178:AE178)),0)</f>
        <v>7</v>
      </c>
      <c r="BA178" s="2">
        <f t="shared" si="69"/>
        <v>1.3707967282641623E-2</v>
      </c>
      <c r="BB178" s="2">
        <f t="shared" si="70"/>
        <v>4.9227506816116326E-3</v>
      </c>
      <c r="BC178" s="2">
        <f t="shared" si="71"/>
        <v>0</v>
      </c>
      <c r="BD178" s="2">
        <f t="shared" si="72"/>
        <v>3.105119660708876E-3</v>
      </c>
      <c r="BF178" s="4" t="s">
        <v>526</v>
      </c>
      <c r="BG178" s="3" t="s">
        <v>761</v>
      </c>
      <c r="BH178">
        <v>1</v>
      </c>
      <c r="BJ178" s="114">
        <v>5</v>
      </c>
      <c r="BK178" s="116">
        <v>93</v>
      </c>
      <c r="BL178" s="120">
        <f t="shared" si="73"/>
        <v>5093</v>
      </c>
      <c r="BN178" s="5" t="s">
        <v>3154</v>
      </c>
    </row>
    <row r="179" spans="1:66" hidden="1" outlineLevel="1">
      <c r="A179" s="4" t="s">
        <v>644</v>
      </c>
      <c r="B179" s="3" t="s">
        <v>761</v>
      </c>
      <c r="C179" s="1">
        <f t="shared" si="64"/>
        <v>2884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4</v>
      </c>
      <c r="G179" s="132">
        <f t="shared" si="62"/>
        <v>177</v>
      </c>
      <c r="H179" s="137">
        <f t="shared" si="63"/>
        <v>6.1373092926490985E-2</v>
      </c>
      <c r="I179" s="2"/>
      <c r="J179" s="2">
        <f t="shared" si="65"/>
        <v>0.45492371705963941</v>
      </c>
      <c r="K179" s="2">
        <f t="shared" si="66"/>
        <v>0.51629680998613037</v>
      </c>
      <c r="L179" s="2">
        <f t="shared" si="67"/>
        <v>4.160887656033287E-3</v>
      </c>
      <c r="M179" s="2">
        <f t="shared" si="68"/>
        <v>2.4618585298196938E-2</v>
      </c>
      <c r="N179" s="63">
        <v>1312</v>
      </c>
      <c r="O179" s="63">
        <v>1489</v>
      </c>
      <c r="P179" s="63">
        <v>12</v>
      </c>
      <c r="Q179" s="63">
        <v>37</v>
      </c>
      <c r="R179" s="63">
        <v>9</v>
      </c>
      <c r="S179" s="63">
        <v>6</v>
      </c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>
        <v>11</v>
      </c>
      <c r="AE179" s="63"/>
      <c r="AF179" s="63"/>
      <c r="AG179" s="63"/>
      <c r="AH179" s="63"/>
      <c r="AI179" s="63"/>
      <c r="AJ179" s="63"/>
      <c r="AK179" s="63"/>
      <c r="AL179" s="63">
        <v>8</v>
      </c>
      <c r="AM179" s="63"/>
      <c r="AN179" s="63"/>
      <c r="AO179" s="63"/>
      <c r="AP179" s="63"/>
      <c r="AQ179" s="63"/>
      <c r="AR179" s="63"/>
      <c r="AS179" s="63"/>
      <c r="AT179" s="63"/>
      <c r="AU179" s="63"/>
      <c r="AW179" s="5">
        <f>IF(Q179&gt;0,RANK(Q179,(N179:P179,Q179:AE179)),0)</f>
        <v>3</v>
      </c>
      <c r="AX179" s="5">
        <f>IF(R179&gt;0,RANK(R179,(N179:P179,Q179:AE179)),0)</f>
        <v>6</v>
      </c>
      <c r="AY179" s="5">
        <f>IF(T179&gt;0,RANK(T179,(N179:P179,Q179:AE179)),0)</f>
        <v>0</v>
      </c>
      <c r="AZ179" s="5">
        <f>IF(S179&gt;0,RANK(S179,(N179:P179,Q179:AE179)),0)</f>
        <v>7</v>
      </c>
      <c r="BA179" s="2">
        <f t="shared" si="69"/>
        <v>1.2829403606102635E-2</v>
      </c>
      <c r="BB179" s="2">
        <f t="shared" si="70"/>
        <v>3.1206657420249652E-3</v>
      </c>
      <c r="BC179" s="2">
        <f t="shared" si="71"/>
        <v>0</v>
      </c>
      <c r="BD179" s="2">
        <f t="shared" si="72"/>
        <v>2.0804438280166435E-3</v>
      </c>
      <c r="BF179" s="4" t="s">
        <v>644</v>
      </c>
      <c r="BG179" s="3" t="s">
        <v>761</v>
      </c>
      <c r="BH179">
        <v>1</v>
      </c>
      <c r="BJ179" s="114">
        <v>5</v>
      </c>
      <c r="BK179" s="116">
        <v>95</v>
      </c>
      <c r="BL179" s="120">
        <f t="shared" si="73"/>
        <v>5095</v>
      </c>
      <c r="BN179" s="5" t="s">
        <v>3154</v>
      </c>
    </row>
    <row r="180" spans="1:66" hidden="1" outlineLevel="1">
      <c r="A180" s="4" t="s">
        <v>1406</v>
      </c>
      <c r="B180" s="3" t="s">
        <v>761</v>
      </c>
      <c r="C180" s="1">
        <f t="shared" si="64"/>
        <v>3559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5</v>
      </c>
      <c r="G180" s="132">
        <f t="shared" si="62"/>
        <v>1895</v>
      </c>
      <c r="H180" s="137">
        <f t="shared" si="63"/>
        <v>0.5324529362180388</v>
      </c>
      <c r="I180" s="2"/>
      <c r="J180" s="2">
        <f t="shared" si="65"/>
        <v>0.21017139645967969</v>
      </c>
      <c r="K180" s="2">
        <f t="shared" si="66"/>
        <v>0.74262433267771844</v>
      </c>
      <c r="L180" s="2">
        <f t="shared" si="67"/>
        <v>7.8673784771003084E-3</v>
      </c>
      <c r="M180" s="2">
        <f t="shared" si="68"/>
        <v>3.9336892385501615E-2</v>
      </c>
      <c r="N180" s="63">
        <v>748</v>
      </c>
      <c r="O180" s="63">
        <v>2643</v>
      </c>
      <c r="P180" s="63">
        <v>28</v>
      </c>
      <c r="Q180" s="63">
        <v>52</v>
      </c>
      <c r="R180" s="63">
        <v>33</v>
      </c>
      <c r="S180" s="63">
        <v>10</v>
      </c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>
        <v>24</v>
      </c>
      <c r="AE180" s="63"/>
      <c r="AF180" s="63"/>
      <c r="AG180" s="63"/>
      <c r="AH180" s="63"/>
      <c r="AI180" s="63"/>
      <c r="AJ180" s="63"/>
      <c r="AK180" s="63"/>
      <c r="AL180" s="63">
        <v>21</v>
      </c>
      <c r="AM180" s="63"/>
      <c r="AN180" s="63"/>
      <c r="AO180" s="63"/>
      <c r="AP180" s="63"/>
      <c r="AQ180" s="63"/>
      <c r="AR180" s="63"/>
      <c r="AS180" s="63"/>
      <c r="AT180" s="63"/>
      <c r="AU180" s="63"/>
      <c r="AW180" s="5">
        <f>IF(Q180&gt;0,RANK(Q180,(N180:P180,Q180:AE180)),0)</f>
        <v>3</v>
      </c>
      <c r="AX180" s="5">
        <f>IF(R180&gt;0,RANK(R180,(N180:P180,Q180:AE180)),0)</f>
        <v>4</v>
      </c>
      <c r="AY180" s="5">
        <f>IF(T180&gt;0,RANK(T180,(N180:P180,Q180:AE180)),0)</f>
        <v>0</v>
      </c>
      <c r="AZ180" s="5">
        <f>IF(S180&gt;0,RANK(S180,(N180:P180,Q180:AE180)),0)</f>
        <v>7</v>
      </c>
      <c r="BA180" s="2">
        <f t="shared" si="69"/>
        <v>1.4610845743186288E-2</v>
      </c>
      <c r="BB180" s="2">
        <f t="shared" si="70"/>
        <v>9.2722674908682218E-3</v>
      </c>
      <c r="BC180" s="2">
        <f t="shared" si="71"/>
        <v>0</v>
      </c>
      <c r="BD180" s="2">
        <f t="shared" si="72"/>
        <v>2.8097780275358245E-3</v>
      </c>
      <c r="BF180" s="4" t="s">
        <v>1406</v>
      </c>
      <c r="BG180" s="3" t="s">
        <v>761</v>
      </c>
      <c r="BH180">
        <v>4</v>
      </c>
      <c r="BJ180" s="114">
        <v>5</v>
      </c>
      <c r="BK180" s="116">
        <v>97</v>
      </c>
      <c r="BL180" s="120">
        <f t="shared" si="73"/>
        <v>5097</v>
      </c>
      <c r="BN180" s="5" t="s">
        <v>3154</v>
      </c>
    </row>
    <row r="181" spans="1:66" hidden="1" outlineLevel="1">
      <c r="A181" s="4" t="s">
        <v>2354</v>
      </c>
      <c r="B181" s="3" t="s">
        <v>761</v>
      </c>
      <c r="C181" s="1">
        <f t="shared" si="64"/>
        <v>3246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5</v>
      </c>
      <c r="G181" s="132">
        <f t="shared" si="62"/>
        <v>843</v>
      </c>
      <c r="H181" s="137">
        <f t="shared" si="63"/>
        <v>0.25970425138632164</v>
      </c>
      <c r="I181" s="2"/>
      <c r="J181" s="2">
        <f t="shared" si="65"/>
        <v>0.35643869377695625</v>
      </c>
      <c r="K181" s="2">
        <f t="shared" si="66"/>
        <v>0.61614294516327783</v>
      </c>
      <c r="L181" s="2">
        <f t="shared" si="67"/>
        <v>4.6210720887245845E-3</v>
      </c>
      <c r="M181" s="2">
        <f t="shared" si="68"/>
        <v>2.2797288971041333E-2</v>
      </c>
      <c r="N181" s="63">
        <v>1157</v>
      </c>
      <c r="O181" s="63">
        <v>2000</v>
      </c>
      <c r="P181" s="63">
        <v>15</v>
      </c>
      <c r="Q181" s="63">
        <v>35</v>
      </c>
      <c r="R181" s="63">
        <v>6</v>
      </c>
      <c r="S181" s="63">
        <v>10</v>
      </c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>
        <v>16</v>
      </c>
      <c r="AE181" s="63"/>
      <c r="AF181" s="63"/>
      <c r="AG181" s="63"/>
      <c r="AH181" s="63"/>
      <c r="AI181" s="63"/>
      <c r="AJ181" s="63"/>
      <c r="AK181" s="63"/>
      <c r="AL181" s="63">
        <v>7</v>
      </c>
      <c r="AM181" s="63"/>
      <c r="AN181" s="63"/>
      <c r="AO181" s="63"/>
      <c r="AP181" s="63"/>
      <c r="AQ181" s="63"/>
      <c r="AR181" s="63"/>
      <c r="AS181" s="63"/>
      <c r="AT181" s="63"/>
      <c r="AU181" s="63"/>
      <c r="AW181" s="5">
        <f>IF(Q181&gt;0,RANK(Q181,(N181:P181,Q181:AE181)),0)</f>
        <v>3</v>
      </c>
      <c r="AX181" s="5">
        <f>IF(R181&gt;0,RANK(R181,(N181:P181,Q181:AE181)),0)</f>
        <v>7</v>
      </c>
      <c r="AY181" s="5">
        <f>IF(T181&gt;0,RANK(T181,(N181:P181,Q181:AE181)),0)</f>
        <v>0</v>
      </c>
      <c r="AZ181" s="5">
        <f>IF(S181&gt;0,RANK(S181,(N181:P181,Q181:AE181)),0)</f>
        <v>6</v>
      </c>
      <c r="BA181" s="2">
        <f t="shared" si="69"/>
        <v>1.0782501540357363E-2</v>
      </c>
      <c r="BB181" s="2">
        <f t="shared" si="70"/>
        <v>1.8484288354898336E-3</v>
      </c>
      <c r="BC181" s="2">
        <f t="shared" si="71"/>
        <v>0</v>
      </c>
      <c r="BD181" s="2">
        <f t="shared" si="72"/>
        <v>3.0807147258163892E-3</v>
      </c>
      <c r="BF181" s="4" t="s">
        <v>2354</v>
      </c>
      <c r="BG181" s="3" t="s">
        <v>761</v>
      </c>
      <c r="BH181">
        <v>4</v>
      </c>
      <c r="BJ181" s="114">
        <v>5</v>
      </c>
      <c r="BK181" s="116">
        <v>99</v>
      </c>
      <c r="BL181" s="120">
        <f t="shared" si="73"/>
        <v>5099</v>
      </c>
      <c r="BN181" s="5" t="s">
        <v>3154</v>
      </c>
    </row>
    <row r="182" spans="1:66" hidden="1" outlineLevel="1">
      <c r="A182" s="4" t="s">
        <v>1136</v>
      </c>
      <c r="B182" s="3" t="s">
        <v>761</v>
      </c>
      <c r="C182" s="1">
        <f t="shared" si="64"/>
        <v>3753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5</v>
      </c>
      <c r="G182" s="132">
        <f t="shared" si="62"/>
        <v>2176</v>
      </c>
      <c r="H182" s="137">
        <f t="shared" si="63"/>
        <v>0.57980282440714093</v>
      </c>
      <c r="I182" s="2"/>
      <c r="J182" s="2">
        <f t="shared" si="65"/>
        <v>0.18625099920063948</v>
      </c>
      <c r="K182" s="2">
        <f t="shared" si="66"/>
        <v>0.7660538236077804</v>
      </c>
      <c r="L182" s="2">
        <f t="shared" si="67"/>
        <v>5.8619770849986678E-3</v>
      </c>
      <c r="M182" s="2">
        <f t="shared" si="68"/>
        <v>4.1833200106581453E-2</v>
      </c>
      <c r="N182" s="63">
        <v>699</v>
      </c>
      <c r="O182" s="63">
        <v>2875</v>
      </c>
      <c r="P182" s="63">
        <v>22</v>
      </c>
      <c r="Q182" s="63">
        <v>49</v>
      </c>
      <c r="R182" s="63">
        <v>69</v>
      </c>
      <c r="S182" s="63">
        <v>15</v>
      </c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>
        <v>13</v>
      </c>
      <c r="AE182" s="63"/>
      <c r="AF182" s="63"/>
      <c r="AG182" s="63"/>
      <c r="AH182" s="63"/>
      <c r="AI182" s="63"/>
      <c r="AJ182" s="63"/>
      <c r="AK182" s="63"/>
      <c r="AL182" s="63">
        <v>11</v>
      </c>
      <c r="AM182" s="63"/>
      <c r="AN182" s="63"/>
      <c r="AO182" s="63"/>
      <c r="AP182" s="63"/>
      <c r="AQ182" s="63"/>
      <c r="AR182" s="63"/>
      <c r="AS182" s="63"/>
      <c r="AT182" s="63"/>
      <c r="AU182" s="63"/>
      <c r="AW182" s="5">
        <f>IF(Q182&gt;0,RANK(Q182,(N182:P182,Q182:AE182)),0)</f>
        <v>4</v>
      </c>
      <c r="AX182" s="5">
        <f>IF(R182&gt;0,RANK(R182,(N182:P182,Q182:AE182)),0)</f>
        <v>3</v>
      </c>
      <c r="AY182" s="5">
        <f>IF(T182&gt;0,RANK(T182,(N182:P182,Q182:AE182)),0)</f>
        <v>0</v>
      </c>
      <c r="AZ182" s="5">
        <f>IF(S182&gt;0,RANK(S182,(N182:P182,Q182:AE182)),0)</f>
        <v>6</v>
      </c>
      <c r="BA182" s="2">
        <f t="shared" si="69"/>
        <v>1.3056221689315214E-2</v>
      </c>
      <c r="BB182" s="2">
        <f t="shared" si="70"/>
        <v>1.838529176658673E-2</v>
      </c>
      <c r="BC182" s="2">
        <f t="shared" si="71"/>
        <v>0</v>
      </c>
      <c r="BD182" s="2">
        <f t="shared" si="72"/>
        <v>3.9968025579536371E-3</v>
      </c>
      <c r="BF182" s="4" t="s">
        <v>1136</v>
      </c>
      <c r="BG182" s="3" t="s">
        <v>761</v>
      </c>
      <c r="BJ182" s="114">
        <v>5</v>
      </c>
      <c r="BK182" s="116">
        <v>101</v>
      </c>
      <c r="BL182" s="120">
        <f t="shared" si="73"/>
        <v>5101</v>
      </c>
      <c r="BN182" s="5" t="s">
        <v>3154</v>
      </c>
    </row>
    <row r="183" spans="1:66" hidden="1" outlineLevel="1">
      <c r="A183" s="4" t="s">
        <v>187</v>
      </c>
      <c r="B183" s="3" t="s">
        <v>761</v>
      </c>
      <c r="C183" s="1">
        <f t="shared" si="64"/>
        <v>9935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4</v>
      </c>
      <c r="G183" s="132">
        <f t="shared" si="62"/>
        <v>1030</v>
      </c>
      <c r="H183" s="137">
        <f t="shared" si="63"/>
        <v>0.10367388022143935</v>
      </c>
      <c r="I183" s="2"/>
      <c r="J183" s="2">
        <f t="shared" si="65"/>
        <v>0.43492702566683444</v>
      </c>
      <c r="K183" s="2">
        <f t="shared" si="66"/>
        <v>0.53860090588827381</v>
      </c>
      <c r="L183" s="2">
        <f t="shared" si="67"/>
        <v>4.8314041268243584E-3</v>
      </c>
      <c r="M183" s="2">
        <f t="shared" si="68"/>
        <v>2.1640664318067337E-2</v>
      </c>
      <c r="N183" s="63">
        <v>4321</v>
      </c>
      <c r="O183" s="63">
        <v>5351</v>
      </c>
      <c r="P183" s="63">
        <v>48</v>
      </c>
      <c r="Q183" s="63">
        <v>97</v>
      </c>
      <c r="R183" s="63">
        <v>24</v>
      </c>
      <c r="S183" s="63">
        <v>20</v>
      </c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>
        <v>40</v>
      </c>
      <c r="AE183" s="63"/>
      <c r="AF183" s="63"/>
      <c r="AG183" s="63"/>
      <c r="AH183" s="63"/>
      <c r="AI183" s="63"/>
      <c r="AJ183" s="63"/>
      <c r="AK183" s="63"/>
      <c r="AL183" s="63">
        <v>34</v>
      </c>
      <c r="AM183" s="63"/>
      <c r="AN183" s="63"/>
      <c r="AO183" s="63"/>
      <c r="AP183" s="63"/>
      <c r="AQ183" s="63"/>
      <c r="AR183" s="63"/>
      <c r="AS183" s="63"/>
      <c r="AT183" s="63"/>
      <c r="AU183" s="63"/>
      <c r="AW183" s="5">
        <f>IF(Q183&gt;0,RANK(Q183,(N183:P183,Q183:AE183)),0)</f>
        <v>3</v>
      </c>
      <c r="AX183" s="5">
        <f>IF(R183&gt;0,RANK(R183,(N183:P183,Q183:AE183)),0)</f>
        <v>6</v>
      </c>
      <c r="AY183" s="5">
        <f>IF(T183&gt;0,RANK(T183,(N183:P183,Q183:AE183)),0)</f>
        <v>0</v>
      </c>
      <c r="AZ183" s="5">
        <f>IF(S183&gt;0,RANK(S183,(N183:P183,Q183:AE183)),0)</f>
        <v>7</v>
      </c>
      <c r="BA183" s="2">
        <f t="shared" si="69"/>
        <v>9.76346250629089E-3</v>
      </c>
      <c r="BB183" s="2">
        <f t="shared" si="70"/>
        <v>2.4157020634121792E-3</v>
      </c>
      <c r="BC183" s="2">
        <f t="shared" si="71"/>
        <v>0</v>
      </c>
      <c r="BD183" s="2">
        <f t="shared" si="72"/>
        <v>2.0130850528434826E-3</v>
      </c>
      <c r="BF183" s="4" t="s">
        <v>187</v>
      </c>
      <c r="BG183" s="3" t="s">
        <v>761</v>
      </c>
      <c r="BH183">
        <v>4</v>
      </c>
      <c r="BJ183" s="114">
        <v>5</v>
      </c>
      <c r="BK183" s="116">
        <v>103</v>
      </c>
      <c r="BL183" s="120">
        <f t="shared" si="73"/>
        <v>5103</v>
      </c>
      <c r="BN183" s="5" t="s">
        <v>3154</v>
      </c>
    </row>
    <row r="184" spans="1:66" hidden="1" outlineLevel="1">
      <c r="A184" s="4" t="s">
        <v>2118</v>
      </c>
      <c r="B184" s="3" t="s">
        <v>761</v>
      </c>
      <c r="C184" s="1">
        <f t="shared" si="64"/>
        <v>4306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>IF(P184&gt;0,RANK(P184,(N184:P184,Q184:AE184)),0)</f>
        <v>4</v>
      </c>
      <c r="G184" s="132">
        <f t="shared" si="62"/>
        <v>1959</v>
      </c>
      <c r="H184" s="137">
        <f t="shared" si="63"/>
        <v>0.45494658615884814</v>
      </c>
      <c r="I184" s="2"/>
      <c r="J184" s="2">
        <f t="shared" si="65"/>
        <v>0.24361356247097074</v>
      </c>
      <c r="K184" s="2">
        <f t="shared" si="66"/>
        <v>0.69856014862981886</v>
      </c>
      <c r="L184" s="2">
        <f t="shared" si="67"/>
        <v>1.137947050627032E-2</v>
      </c>
      <c r="M184" s="2">
        <f t="shared" si="68"/>
        <v>4.6446818392940056E-2</v>
      </c>
      <c r="N184" s="63">
        <v>1049</v>
      </c>
      <c r="O184" s="63">
        <v>3008</v>
      </c>
      <c r="P184" s="63">
        <v>49</v>
      </c>
      <c r="Q184" s="63">
        <v>113</v>
      </c>
      <c r="R184" s="63">
        <v>38</v>
      </c>
      <c r="S184" s="63">
        <v>15</v>
      </c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>
        <v>13</v>
      </c>
      <c r="AE184" s="63"/>
      <c r="AF184" s="63"/>
      <c r="AG184" s="63"/>
      <c r="AH184" s="63"/>
      <c r="AI184" s="63"/>
      <c r="AJ184" s="63"/>
      <c r="AK184" s="63"/>
      <c r="AL184" s="63">
        <v>21</v>
      </c>
      <c r="AM184" s="63"/>
      <c r="AN184" s="63"/>
      <c r="AO184" s="63"/>
      <c r="AP184" s="63"/>
      <c r="AQ184" s="63"/>
      <c r="AR184" s="63"/>
      <c r="AS184" s="63"/>
      <c r="AT184" s="63"/>
      <c r="AU184" s="63"/>
      <c r="AW184" s="5">
        <f>IF(Q184&gt;0,RANK(Q184,(N184:P184,Q184:AE184)),0)</f>
        <v>3</v>
      </c>
      <c r="AX184" s="5">
        <f>IF(R184&gt;0,RANK(R184,(N184:P184,Q184:AE184)),0)</f>
        <v>5</v>
      </c>
      <c r="AY184" s="5">
        <f>IF(T184&gt;0,RANK(T184,(N184:P184,Q184:AE184)),0)</f>
        <v>0</v>
      </c>
      <c r="AZ184" s="5">
        <f>IF(S184&gt;0,RANK(S184,(N184:P184,Q184:AE184)),0)</f>
        <v>6</v>
      </c>
      <c r="BA184" s="2">
        <f t="shared" si="69"/>
        <v>2.6242452392011149E-2</v>
      </c>
      <c r="BB184" s="2">
        <f t="shared" si="70"/>
        <v>8.8248954946586154E-3</v>
      </c>
      <c r="BC184" s="2">
        <f t="shared" si="71"/>
        <v>0</v>
      </c>
      <c r="BD184" s="2">
        <f t="shared" si="72"/>
        <v>3.4835113794705061E-3</v>
      </c>
      <c r="BF184" s="4" t="s">
        <v>2118</v>
      </c>
      <c r="BG184" s="3" t="s">
        <v>761</v>
      </c>
      <c r="BH184">
        <v>2</v>
      </c>
      <c r="BJ184" s="114">
        <v>5</v>
      </c>
      <c r="BK184" s="116">
        <v>105</v>
      </c>
      <c r="BL184" s="120">
        <f t="shared" si="73"/>
        <v>5105</v>
      </c>
      <c r="BN184" s="5" t="s">
        <v>3154</v>
      </c>
    </row>
    <row r="185" spans="1:66" hidden="1" outlineLevel="1">
      <c r="A185" s="4" t="s">
        <v>2486</v>
      </c>
      <c r="B185" s="3" t="s">
        <v>761</v>
      </c>
      <c r="C185" s="1">
        <f t="shared" si="64"/>
        <v>6953</v>
      </c>
      <c r="D185" s="5">
        <f>IF(N185&gt;0, RANK(N185,(N185:P185,Q185:AE185)),0)</f>
        <v>1</v>
      </c>
      <c r="E185" s="5">
        <f>IF(O185&gt;0,RANK(O185,(N185:P185,Q185:AE185)),0)</f>
        <v>2</v>
      </c>
      <c r="F185" s="5">
        <f>IF(P185&gt;0,RANK(P185,(N185:P185,Q185:AE185)),0)</f>
        <v>4</v>
      </c>
      <c r="G185" s="132">
        <f t="shared" si="62"/>
        <v>1864</v>
      </c>
      <c r="H185" s="137">
        <f t="shared" si="63"/>
        <v>0.26808571839493744</v>
      </c>
      <c r="I185" s="2"/>
      <c r="J185" s="2">
        <f t="shared" si="65"/>
        <v>0.619876312383144</v>
      </c>
      <c r="K185" s="2">
        <f t="shared" si="66"/>
        <v>0.35179059398820656</v>
      </c>
      <c r="L185" s="2">
        <f t="shared" si="67"/>
        <v>5.4652667913131026E-3</v>
      </c>
      <c r="M185" s="2">
        <f t="shared" si="68"/>
        <v>2.286782683733634E-2</v>
      </c>
      <c r="N185" s="63">
        <v>4310</v>
      </c>
      <c r="O185" s="63">
        <v>2446</v>
      </c>
      <c r="P185" s="63">
        <v>38</v>
      </c>
      <c r="Q185" s="63">
        <v>62</v>
      </c>
      <c r="R185" s="63">
        <v>20</v>
      </c>
      <c r="S185" s="63">
        <v>26</v>
      </c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>
        <v>31</v>
      </c>
      <c r="AE185" s="63"/>
      <c r="AF185" s="63"/>
      <c r="AG185" s="63"/>
      <c r="AH185" s="63"/>
      <c r="AI185" s="63"/>
      <c r="AJ185" s="63"/>
      <c r="AK185" s="63"/>
      <c r="AL185" s="63">
        <v>20</v>
      </c>
      <c r="AM185" s="63"/>
      <c r="AN185" s="63"/>
      <c r="AO185" s="63"/>
      <c r="AP185" s="63"/>
      <c r="AQ185" s="63"/>
      <c r="AR185" s="63"/>
      <c r="AS185" s="63"/>
      <c r="AT185" s="63"/>
      <c r="AU185" s="63"/>
      <c r="AW185" s="5">
        <f>IF(Q185&gt;0,RANK(Q185,(N185:P185,Q185:AE185)),0)</f>
        <v>3</v>
      </c>
      <c r="AX185" s="5">
        <f>IF(R185&gt;0,RANK(R185,(N185:P185,Q185:AE185)),0)</f>
        <v>7</v>
      </c>
      <c r="AY185" s="5">
        <f>IF(T185&gt;0,RANK(T185,(N185:P185,Q185:AE185)),0)</f>
        <v>0</v>
      </c>
      <c r="AZ185" s="5">
        <f>IF(S185&gt;0,RANK(S185,(N185:P185,Q185:AE185)),0)</f>
        <v>6</v>
      </c>
      <c r="BA185" s="2">
        <f t="shared" si="69"/>
        <v>8.9170142384582193E-3</v>
      </c>
      <c r="BB185" s="2">
        <f t="shared" si="70"/>
        <v>2.8764562059542644E-3</v>
      </c>
      <c r="BC185" s="2">
        <f t="shared" si="71"/>
        <v>0</v>
      </c>
      <c r="BD185" s="2">
        <f t="shared" si="72"/>
        <v>3.7393930677405438E-3</v>
      </c>
      <c r="BF185" s="4" t="s">
        <v>2486</v>
      </c>
      <c r="BG185" s="3" t="s">
        <v>761</v>
      </c>
      <c r="BH185">
        <v>1</v>
      </c>
      <c r="BJ185" s="114">
        <v>5</v>
      </c>
      <c r="BK185" s="116">
        <v>107</v>
      </c>
      <c r="BL185" s="120">
        <f t="shared" si="73"/>
        <v>5107</v>
      </c>
      <c r="BN185" s="5" t="s">
        <v>3154</v>
      </c>
    </row>
    <row r="186" spans="1:66" hidden="1" outlineLevel="1">
      <c r="A186" s="4" t="s">
        <v>2655</v>
      </c>
      <c r="B186" s="3" t="s">
        <v>761</v>
      </c>
      <c r="C186" s="1">
        <f t="shared" si="64"/>
        <v>3981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4</v>
      </c>
      <c r="G186" s="132">
        <f t="shared" si="62"/>
        <v>2465</v>
      </c>
      <c r="H186" s="137">
        <f t="shared" si="63"/>
        <v>0.6191911580005024</v>
      </c>
      <c r="I186" s="2"/>
      <c r="J186" s="2">
        <f t="shared" si="65"/>
        <v>0.1720673197689023</v>
      </c>
      <c r="K186" s="2">
        <f t="shared" si="66"/>
        <v>0.79125847776940472</v>
      </c>
      <c r="L186" s="2">
        <f t="shared" si="67"/>
        <v>6.0286360211002261E-3</v>
      </c>
      <c r="M186" s="2">
        <f t="shared" si="68"/>
        <v>3.0645566440592725E-2</v>
      </c>
      <c r="N186" s="63">
        <v>685</v>
      </c>
      <c r="O186" s="63">
        <v>3150</v>
      </c>
      <c r="P186" s="63">
        <v>24</v>
      </c>
      <c r="Q186" s="63">
        <v>73</v>
      </c>
      <c r="R186" s="63">
        <v>8</v>
      </c>
      <c r="S186" s="63">
        <v>10</v>
      </c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>
        <v>23</v>
      </c>
      <c r="AE186" s="63"/>
      <c r="AF186" s="63"/>
      <c r="AG186" s="63"/>
      <c r="AH186" s="63"/>
      <c r="AI186" s="63"/>
      <c r="AJ186" s="63"/>
      <c r="AK186" s="63"/>
      <c r="AL186" s="63">
        <v>8</v>
      </c>
      <c r="AM186" s="63"/>
      <c r="AN186" s="63"/>
      <c r="AO186" s="63"/>
      <c r="AP186" s="63"/>
      <c r="AQ186" s="63"/>
      <c r="AR186" s="63"/>
      <c r="AS186" s="63"/>
      <c r="AT186" s="63"/>
      <c r="AU186" s="63"/>
      <c r="AW186" s="5">
        <f>IF(Q186&gt;0,RANK(Q186,(N186:P186,Q186:AE186)),0)</f>
        <v>3</v>
      </c>
      <c r="AX186" s="5">
        <f>IF(R186&gt;0,RANK(R186,(N186:P186,Q186:AE186)),0)</f>
        <v>7</v>
      </c>
      <c r="AY186" s="5">
        <f>IF(T186&gt;0,RANK(T186,(N186:P186,Q186:AE186)),0)</f>
        <v>0</v>
      </c>
      <c r="AZ186" s="5">
        <f>IF(S186&gt;0,RANK(S186,(N186:P186,Q186:AE186)),0)</f>
        <v>6</v>
      </c>
      <c r="BA186" s="2">
        <f t="shared" si="69"/>
        <v>1.833710123084652E-2</v>
      </c>
      <c r="BB186" s="2">
        <f t="shared" si="70"/>
        <v>2.0095453403667419E-3</v>
      </c>
      <c r="BC186" s="2">
        <f t="shared" si="71"/>
        <v>0</v>
      </c>
      <c r="BD186" s="2">
        <f t="shared" si="72"/>
        <v>2.5119316754584277E-3</v>
      </c>
      <c r="BF186" s="4" t="s">
        <v>2655</v>
      </c>
      <c r="BG186" s="3" t="s">
        <v>761</v>
      </c>
      <c r="BH186">
        <v>4</v>
      </c>
      <c r="BJ186" s="114">
        <v>5</v>
      </c>
      <c r="BK186" s="116">
        <v>109</v>
      </c>
      <c r="BL186" s="120">
        <f t="shared" si="73"/>
        <v>5109</v>
      </c>
      <c r="BN186" s="5" t="s">
        <v>3154</v>
      </c>
    </row>
    <row r="187" spans="1:66" hidden="1" outlineLevel="1">
      <c r="A187" s="4" t="s">
        <v>2433</v>
      </c>
      <c r="B187" s="3" t="s">
        <v>761</v>
      </c>
      <c r="C187" s="1">
        <f t="shared" si="64"/>
        <v>7722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4</v>
      </c>
      <c r="G187" s="132">
        <f t="shared" si="62"/>
        <v>3622</v>
      </c>
      <c r="H187" s="137">
        <f t="shared" si="63"/>
        <v>0.46904946904946904</v>
      </c>
      <c r="I187" s="2"/>
      <c r="J187" s="2">
        <f t="shared" si="65"/>
        <v>0.24346024346024345</v>
      </c>
      <c r="K187" s="2">
        <f t="shared" si="66"/>
        <v>0.71250971250971251</v>
      </c>
      <c r="L187" s="2">
        <f t="shared" si="67"/>
        <v>6.4750064750064753E-3</v>
      </c>
      <c r="M187" s="2">
        <f t="shared" si="68"/>
        <v>3.7555037555037592E-2</v>
      </c>
      <c r="N187" s="63">
        <v>1880</v>
      </c>
      <c r="O187" s="63">
        <v>5502</v>
      </c>
      <c r="P187" s="63">
        <v>50</v>
      </c>
      <c r="Q187" s="63">
        <v>154</v>
      </c>
      <c r="R187" s="63">
        <v>34</v>
      </c>
      <c r="S187" s="63">
        <v>25</v>
      </c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>
        <v>50</v>
      </c>
      <c r="AE187" s="63"/>
      <c r="AF187" s="63"/>
      <c r="AG187" s="63"/>
      <c r="AH187" s="63"/>
      <c r="AI187" s="63"/>
      <c r="AJ187" s="63"/>
      <c r="AK187" s="63"/>
      <c r="AL187" s="63">
        <v>27</v>
      </c>
      <c r="AM187" s="63"/>
      <c r="AN187" s="63"/>
      <c r="AO187" s="63"/>
      <c r="AP187" s="63"/>
      <c r="AQ187" s="63"/>
      <c r="AR187" s="63"/>
      <c r="AS187" s="63"/>
      <c r="AT187" s="63"/>
      <c r="AU187" s="63"/>
      <c r="AW187" s="5">
        <f>IF(Q187&gt;0,RANK(Q187,(N187:P187,Q187:AE187)),0)</f>
        <v>3</v>
      </c>
      <c r="AX187" s="5">
        <f>IF(R187&gt;0,RANK(R187,(N187:P187,Q187:AE187)),0)</f>
        <v>6</v>
      </c>
      <c r="AY187" s="5">
        <f>IF(T187&gt;0,RANK(T187,(N187:P187,Q187:AE187)),0)</f>
        <v>0</v>
      </c>
      <c r="AZ187" s="5">
        <f>IF(S187&gt;0,RANK(S187,(N187:P187,Q187:AE187)),0)</f>
        <v>7</v>
      </c>
      <c r="BA187" s="2">
        <f t="shared" si="69"/>
        <v>1.9943019943019943E-2</v>
      </c>
      <c r="BB187" s="2">
        <f t="shared" si="70"/>
        <v>4.4030044030044027E-3</v>
      </c>
      <c r="BC187" s="2">
        <f t="shared" si="71"/>
        <v>0</v>
      </c>
      <c r="BD187" s="2">
        <f t="shared" si="72"/>
        <v>3.2375032375032376E-3</v>
      </c>
      <c r="BF187" s="4" t="s">
        <v>2433</v>
      </c>
      <c r="BG187" s="3" t="s">
        <v>761</v>
      </c>
      <c r="BH187">
        <v>1</v>
      </c>
      <c r="BJ187" s="114">
        <v>5</v>
      </c>
      <c r="BK187" s="116">
        <v>111</v>
      </c>
      <c r="BL187" s="120">
        <f t="shared" si="73"/>
        <v>5111</v>
      </c>
      <c r="BN187" s="5" t="s">
        <v>3154</v>
      </c>
    </row>
    <row r="188" spans="1:66" hidden="1" outlineLevel="1">
      <c r="A188" s="4" t="s">
        <v>879</v>
      </c>
      <c r="B188" s="3" t="s">
        <v>761</v>
      </c>
      <c r="C188" s="1">
        <f t="shared" si="64"/>
        <v>8231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4</v>
      </c>
      <c r="G188" s="132">
        <f t="shared" si="62"/>
        <v>5406</v>
      </c>
      <c r="H188" s="137">
        <f t="shared" si="63"/>
        <v>0.65678532377596888</v>
      </c>
      <c r="I188" s="2"/>
      <c r="J188" s="2">
        <f t="shared" si="65"/>
        <v>0.14724820799416838</v>
      </c>
      <c r="K188" s="2">
        <f t="shared" si="66"/>
        <v>0.80403353177013726</v>
      </c>
      <c r="L188" s="2">
        <f t="shared" si="67"/>
        <v>1.1420240554003159E-2</v>
      </c>
      <c r="M188" s="2">
        <f t="shared" si="68"/>
        <v>3.7298019681691205E-2</v>
      </c>
      <c r="N188" s="63">
        <v>1212</v>
      </c>
      <c r="O188" s="63">
        <v>6618</v>
      </c>
      <c r="P188" s="63">
        <v>94</v>
      </c>
      <c r="Q188" s="63">
        <v>164</v>
      </c>
      <c r="R188" s="63">
        <v>56</v>
      </c>
      <c r="S188" s="63">
        <v>35</v>
      </c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>
        <v>36</v>
      </c>
      <c r="AE188" s="63"/>
      <c r="AF188" s="63"/>
      <c r="AG188" s="63"/>
      <c r="AH188" s="63"/>
      <c r="AI188" s="63"/>
      <c r="AJ188" s="63"/>
      <c r="AK188" s="63"/>
      <c r="AL188" s="63">
        <v>16</v>
      </c>
      <c r="AM188" s="63"/>
      <c r="AN188" s="63"/>
      <c r="AO188" s="63"/>
      <c r="AP188" s="63"/>
      <c r="AQ188" s="63"/>
      <c r="AR188" s="63"/>
      <c r="AS188" s="63"/>
      <c r="AT188" s="63"/>
      <c r="AU188" s="63"/>
      <c r="AW188" s="5">
        <f>IF(Q188&gt;0,RANK(Q188,(N188:P188,Q188:AE188)),0)</f>
        <v>3</v>
      </c>
      <c r="AX188" s="5">
        <f>IF(R188&gt;0,RANK(R188,(N188:P188,Q188:AE188)),0)</f>
        <v>5</v>
      </c>
      <c r="AY188" s="5">
        <f>IF(T188&gt;0,RANK(T188,(N188:P188,Q188:AE188)),0)</f>
        <v>0</v>
      </c>
      <c r="AZ188" s="5">
        <f>IF(S188&gt;0,RANK(S188,(N188:P188,Q188:AE188)),0)</f>
        <v>7</v>
      </c>
      <c r="BA188" s="2">
        <f t="shared" si="69"/>
        <v>1.9924675009111895E-2</v>
      </c>
      <c r="BB188" s="2">
        <f t="shared" si="70"/>
        <v>6.8035475640869881E-3</v>
      </c>
      <c r="BC188" s="2">
        <f t="shared" si="71"/>
        <v>0</v>
      </c>
      <c r="BD188" s="2">
        <f t="shared" si="72"/>
        <v>4.2522172275543677E-3</v>
      </c>
      <c r="BF188" s="4" t="s">
        <v>879</v>
      </c>
      <c r="BG188" s="3" t="s">
        <v>761</v>
      </c>
      <c r="BH188">
        <v>4</v>
      </c>
      <c r="BJ188" s="114">
        <v>5</v>
      </c>
      <c r="BK188" s="116">
        <v>113</v>
      </c>
      <c r="BL188" s="120">
        <f t="shared" si="73"/>
        <v>5113</v>
      </c>
      <c r="BN188" s="5" t="s">
        <v>3154</v>
      </c>
    </row>
    <row r="189" spans="1:66" hidden="1" outlineLevel="1">
      <c r="A189" s="4" t="s">
        <v>567</v>
      </c>
      <c r="B189" s="3" t="s">
        <v>761</v>
      </c>
      <c r="C189" s="1">
        <f t="shared" si="64"/>
        <v>22569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4</v>
      </c>
      <c r="G189" s="132">
        <f t="shared" si="62"/>
        <v>11256</v>
      </c>
      <c r="H189" s="137">
        <f t="shared" si="63"/>
        <v>0.49873720590190085</v>
      </c>
      <c r="I189" s="2"/>
      <c r="J189" s="2">
        <f t="shared" si="65"/>
        <v>0.22154282422792326</v>
      </c>
      <c r="K189" s="2">
        <f t="shared" si="66"/>
        <v>0.72028003012982411</v>
      </c>
      <c r="L189" s="2">
        <f t="shared" si="67"/>
        <v>1.0323895609021224E-2</v>
      </c>
      <c r="M189" s="2">
        <f t="shared" si="68"/>
        <v>4.7853250033231404E-2</v>
      </c>
      <c r="N189" s="63">
        <v>5000</v>
      </c>
      <c r="O189" s="63">
        <v>16256</v>
      </c>
      <c r="P189" s="63">
        <v>233</v>
      </c>
      <c r="Q189" s="63">
        <v>618</v>
      </c>
      <c r="R189" s="63">
        <v>225</v>
      </c>
      <c r="S189" s="63">
        <v>82</v>
      </c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>
        <v>94</v>
      </c>
      <c r="AE189" s="63"/>
      <c r="AF189" s="63"/>
      <c r="AG189" s="63"/>
      <c r="AH189" s="63"/>
      <c r="AI189" s="63"/>
      <c r="AJ189" s="63"/>
      <c r="AK189" s="63"/>
      <c r="AL189" s="63">
        <v>61</v>
      </c>
      <c r="AM189" s="63"/>
      <c r="AN189" s="63"/>
      <c r="AO189" s="63"/>
      <c r="AP189" s="63"/>
      <c r="AQ189" s="63"/>
      <c r="AR189" s="63"/>
      <c r="AS189" s="63"/>
      <c r="AT189" s="63"/>
      <c r="AU189" s="63"/>
      <c r="AW189" s="5">
        <f>IF(Q189&gt;0,RANK(Q189,(N189:P189,Q189:AE189)),0)</f>
        <v>3</v>
      </c>
      <c r="AX189" s="5">
        <f>IF(R189&gt;0,RANK(R189,(N189:P189,Q189:AE189)),0)</f>
        <v>5</v>
      </c>
      <c r="AY189" s="5">
        <f>IF(T189&gt;0,RANK(T189,(N189:P189,Q189:AE189)),0)</f>
        <v>0</v>
      </c>
      <c r="AZ189" s="5">
        <f>IF(S189&gt;0,RANK(S189,(N189:P189,Q189:AE189)),0)</f>
        <v>7</v>
      </c>
      <c r="BA189" s="2">
        <f t="shared" si="69"/>
        <v>2.7382693074571314E-2</v>
      </c>
      <c r="BB189" s="2">
        <f t="shared" si="70"/>
        <v>9.9694270902565465E-3</v>
      </c>
      <c r="BC189" s="2">
        <f t="shared" si="71"/>
        <v>0</v>
      </c>
      <c r="BD189" s="2">
        <f t="shared" si="72"/>
        <v>3.6333023173379412E-3</v>
      </c>
      <c r="BF189" s="4" t="s">
        <v>567</v>
      </c>
      <c r="BG189" s="3" t="s">
        <v>761</v>
      </c>
      <c r="BH189">
        <v>3</v>
      </c>
      <c r="BJ189" s="114">
        <v>5</v>
      </c>
      <c r="BK189" s="116">
        <v>115</v>
      </c>
      <c r="BL189" s="120">
        <f t="shared" si="73"/>
        <v>5115</v>
      </c>
      <c r="BN189" s="5" t="s">
        <v>3154</v>
      </c>
    </row>
    <row r="190" spans="1:66" hidden="1" outlineLevel="1">
      <c r="A190" s="4" t="s">
        <v>1922</v>
      </c>
      <c r="B190" s="3" t="s">
        <v>761</v>
      </c>
      <c r="C190" s="1">
        <f t="shared" si="64"/>
        <v>3444</v>
      </c>
      <c r="D190" s="5">
        <f>IF(N190&gt;0, RANK(N190,(N190:P190,Q190:AE190)),0)</f>
        <v>2</v>
      </c>
      <c r="E190" s="5">
        <f>IF(O190&gt;0,RANK(O190,(N190:P190,Q190:AE190)),0)</f>
        <v>1</v>
      </c>
      <c r="F190" s="5">
        <f>IF(P190&gt;0,RANK(P190,(N190:P190,Q190:AE190)),0)</f>
        <v>4</v>
      </c>
      <c r="G190" s="132">
        <f t="shared" si="62"/>
        <v>1691</v>
      </c>
      <c r="H190" s="137">
        <f t="shared" si="63"/>
        <v>0.49099883855981419</v>
      </c>
      <c r="I190" s="2"/>
      <c r="J190" s="2">
        <f t="shared" si="65"/>
        <v>0.23635307781649245</v>
      </c>
      <c r="K190" s="2">
        <f t="shared" si="66"/>
        <v>0.72735191637630658</v>
      </c>
      <c r="L190" s="2">
        <f t="shared" si="67"/>
        <v>1.0452961672473868E-2</v>
      </c>
      <c r="M190" s="2">
        <f t="shared" si="68"/>
        <v>2.5842044134727151E-2</v>
      </c>
      <c r="N190" s="63">
        <v>814</v>
      </c>
      <c r="O190" s="63">
        <v>2505</v>
      </c>
      <c r="P190" s="63">
        <v>36</v>
      </c>
      <c r="Q190" s="63">
        <v>56</v>
      </c>
      <c r="R190" s="63">
        <v>10</v>
      </c>
      <c r="S190" s="63">
        <v>8</v>
      </c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>
        <v>9</v>
      </c>
      <c r="AE190" s="63"/>
      <c r="AF190" s="63"/>
      <c r="AG190" s="63"/>
      <c r="AH190" s="63"/>
      <c r="AI190" s="63"/>
      <c r="AJ190" s="63"/>
      <c r="AK190" s="63"/>
      <c r="AL190" s="63">
        <v>6</v>
      </c>
      <c r="AM190" s="63"/>
      <c r="AN190" s="63"/>
      <c r="AO190" s="63"/>
      <c r="AP190" s="63"/>
      <c r="AQ190" s="63"/>
      <c r="AR190" s="63"/>
      <c r="AS190" s="63"/>
      <c r="AT190" s="63"/>
      <c r="AU190" s="63"/>
      <c r="AW190" s="5">
        <f>IF(Q190&gt;0,RANK(Q190,(N190:P190,Q190:AE190)),0)</f>
        <v>3</v>
      </c>
      <c r="AX190" s="5">
        <f>IF(R190&gt;0,RANK(R190,(N190:P190,Q190:AE190)),0)</f>
        <v>5</v>
      </c>
      <c r="AY190" s="5">
        <f>IF(T190&gt;0,RANK(T190,(N190:P190,Q190:AE190)),0)</f>
        <v>0</v>
      </c>
      <c r="AZ190" s="5">
        <f>IF(S190&gt;0,RANK(S190,(N190:P190,Q190:AE190)),0)</f>
        <v>7</v>
      </c>
      <c r="BA190" s="2">
        <f t="shared" si="69"/>
        <v>1.6260162601626018E-2</v>
      </c>
      <c r="BB190" s="2">
        <f t="shared" si="70"/>
        <v>2.9036004645760743E-3</v>
      </c>
      <c r="BC190" s="2">
        <f t="shared" si="71"/>
        <v>0</v>
      </c>
      <c r="BD190" s="2">
        <f t="shared" si="72"/>
        <v>2.3228803716608595E-3</v>
      </c>
      <c r="BF190" s="4" t="s">
        <v>1922</v>
      </c>
      <c r="BG190" s="3" t="s">
        <v>761</v>
      </c>
      <c r="BH190">
        <v>1</v>
      </c>
      <c r="BJ190" s="114">
        <v>5</v>
      </c>
      <c r="BK190" s="116">
        <v>117</v>
      </c>
      <c r="BL190" s="120">
        <f t="shared" si="73"/>
        <v>5117</v>
      </c>
      <c r="BN190" s="5" t="s">
        <v>3154</v>
      </c>
    </row>
    <row r="191" spans="1:66" hidden="1" outlineLevel="1">
      <c r="A191" s="4" t="s">
        <v>2087</v>
      </c>
      <c r="B191" s="3" t="s">
        <v>761</v>
      </c>
      <c r="C191" s="1">
        <f t="shared" si="64"/>
        <v>159776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>IF(P191&gt;0,RANK(P191,(N191:P191,Q191:AE191)),0)</f>
        <v>4</v>
      </c>
      <c r="G191" s="132">
        <f t="shared" si="62"/>
        <v>28317</v>
      </c>
      <c r="H191" s="137">
        <f t="shared" si="63"/>
        <v>0.17722937111956741</v>
      </c>
      <c r="I191" s="2"/>
      <c r="J191" s="2">
        <f t="shared" si="65"/>
        <v>0.56062237131984782</v>
      </c>
      <c r="K191" s="2">
        <f t="shared" si="66"/>
        <v>0.38339300020028039</v>
      </c>
      <c r="L191" s="2">
        <f t="shared" si="67"/>
        <v>1.1021680352493492E-2</v>
      </c>
      <c r="M191" s="2">
        <f t="shared" si="68"/>
        <v>4.4962948127378298E-2</v>
      </c>
      <c r="N191" s="63">
        <v>89574</v>
      </c>
      <c r="O191" s="63">
        <v>61257</v>
      </c>
      <c r="P191" s="63">
        <v>1761</v>
      </c>
      <c r="Q191" s="63">
        <v>4328</v>
      </c>
      <c r="R191" s="63">
        <v>1553</v>
      </c>
      <c r="S191" s="63">
        <v>403</v>
      </c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>
        <v>529</v>
      </c>
      <c r="AE191" s="63"/>
      <c r="AF191" s="63"/>
      <c r="AG191" s="63"/>
      <c r="AH191" s="63"/>
      <c r="AI191" s="63"/>
      <c r="AJ191" s="63"/>
      <c r="AK191" s="63"/>
      <c r="AL191" s="63">
        <v>371</v>
      </c>
      <c r="AM191" s="63"/>
      <c r="AN191" s="63"/>
      <c r="AO191" s="63"/>
      <c r="AP191" s="63"/>
      <c r="AQ191" s="63"/>
      <c r="AR191" s="63"/>
      <c r="AS191" s="63"/>
      <c r="AT191" s="63"/>
      <c r="AU191" s="63"/>
      <c r="AW191" s="5">
        <f>IF(Q191&gt;0,RANK(Q191,(N191:P191,Q191:AE191)),0)</f>
        <v>3</v>
      </c>
      <c r="AX191" s="5">
        <f>IF(R191&gt;0,RANK(R191,(N191:P191,Q191:AE191)),0)</f>
        <v>5</v>
      </c>
      <c r="AY191" s="5">
        <f>IF(T191&gt;0,RANK(T191,(N191:P191,Q191:AE191)),0)</f>
        <v>0</v>
      </c>
      <c r="AZ191" s="5">
        <f>IF(S191&gt;0,RANK(S191,(N191:P191,Q191:AE191)),0)</f>
        <v>7</v>
      </c>
      <c r="BA191" s="2">
        <f t="shared" si="69"/>
        <v>2.7087923092329262E-2</v>
      </c>
      <c r="BB191" s="2">
        <f t="shared" si="70"/>
        <v>9.7198578009212895E-3</v>
      </c>
      <c r="BC191" s="2">
        <f t="shared" si="71"/>
        <v>0</v>
      </c>
      <c r="BD191" s="2">
        <f t="shared" si="72"/>
        <v>2.5222811936711398E-3</v>
      </c>
      <c r="BF191" s="4" t="s">
        <v>2087</v>
      </c>
      <c r="BG191" s="3" t="s">
        <v>761</v>
      </c>
      <c r="BH191">
        <v>2</v>
      </c>
      <c r="BJ191" s="114">
        <v>5</v>
      </c>
      <c r="BK191" s="116">
        <v>119</v>
      </c>
      <c r="BL191" s="120">
        <f t="shared" si="73"/>
        <v>5119</v>
      </c>
      <c r="BN191" s="5" t="s">
        <v>3154</v>
      </c>
    </row>
    <row r="192" spans="1:66" hidden="1" outlineLevel="1">
      <c r="A192" s="4" t="s">
        <v>1460</v>
      </c>
      <c r="B192" s="3" t="s">
        <v>761</v>
      </c>
      <c r="C192" s="1">
        <f t="shared" si="64"/>
        <v>6379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>IF(P192&gt;0,RANK(P192,(N192:P192,Q192:AE192)),0)</f>
        <v>4</v>
      </c>
      <c r="G192" s="132">
        <f t="shared" si="62"/>
        <v>3084</v>
      </c>
      <c r="H192" s="137">
        <f t="shared" si="63"/>
        <v>0.48346135757955794</v>
      </c>
      <c r="I192" s="2"/>
      <c r="J192" s="2">
        <f t="shared" si="65"/>
        <v>0.22338924596331713</v>
      </c>
      <c r="K192" s="2">
        <f t="shared" si="66"/>
        <v>0.7068506035428751</v>
      </c>
      <c r="L192" s="2">
        <f t="shared" si="67"/>
        <v>1.0189684903589905E-2</v>
      </c>
      <c r="M192" s="2">
        <f t="shared" si="68"/>
        <v>5.9570465590217891E-2</v>
      </c>
      <c r="N192" s="63">
        <v>1425</v>
      </c>
      <c r="O192" s="63">
        <v>4509</v>
      </c>
      <c r="P192" s="63">
        <v>65</v>
      </c>
      <c r="Q192" s="63">
        <v>203</v>
      </c>
      <c r="R192" s="63">
        <v>53</v>
      </c>
      <c r="S192" s="63">
        <v>61</v>
      </c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>
        <v>38</v>
      </c>
      <c r="AE192" s="63"/>
      <c r="AF192" s="63"/>
      <c r="AG192" s="63"/>
      <c r="AH192" s="63"/>
      <c r="AI192" s="63"/>
      <c r="AJ192" s="63"/>
      <c r="AK192" s="63"/>
      <c r="AL192" s="63">
        <v>25</v>
      </c>
      <c r="AM192" s="63"/>
      <c r="AN192" s="63"/>
      <c r="AO192" s="63"/>
      <c r="AP192" s="63"/>
      <c r="AQ192" s="63"/>
      <c r="AR192" s="63"/>
      <c r="AS192" s="63"/>
      <c r="AT192" s="63"/>
      <c r="AU192" s="63"/>
      <c r="AW192" s="5">
        <f>IF(Q192&gt;0,RANK(Q192,(N192:P192,Q192:AE192)),0)</f>
        <v>3</v>
      </c>
      <c r="AX192" s="5">
        <f>IF(R192&gt;0,RANK(R192,(N192:P192,Q192:AE192)),0)</f>
        <v>6</v>
      </c>
      <c r="AY192" s="5">
        <f>IF(T192&gt;0,RANK(T192,(N192:P192,Q192:AE192)),0)</f>
        <v>0</v>
      </c>
      <c r="AZ192" s="5">
        <f>IF(S192&gt;0,RANK(S192,(N192:P192,Q192:AE192)),0)</f>
        <v>5</v>
      </c>
      <c r="BA192" s="2">
        <f t="shared" si="69"/>
        <v>3.1823169775826929E-2</v>
      </c>
      <c r="BB192" s="2">
        <f t="shared" si="70"/>
        <v>8.308512306004075E-3</v>
      </c>
      <c r="BC192" s="2">
        <f t="shared" si="71"/>
        <v>0</v>
      </c>
      <c r="BD192" s="2">
        <f t="shared" si="72"/>
        <v>9.5626273710612952E-3</v>
      </c>
      <c r="BF192" s="4" t="s">
        <v>1460</v>
      </c>
      <c r="BG192" s="3" t="s">
        <v>761</v>
      </c>
      <c r="BH192">
        <v>1</v>
      </c>
      <c r="BJ192" s="114">
        <v>5</v>
      </c>
      <c r="BK192" s="116">
        <v>121</v>
      </c>
      <c r="BL192" s="120">
        <f t="shared" si="73"/>
        <v>5121</v>
      </c>
      <c r="BN192" s="5" t="s">
        <v>3154</v>
      </c>
    </row>
    <row r="193" spans="1:82" hidden="1" outlineLevel="1">
      <c r="A193" s="4" t="s">
        <v>2762</v>
      </c>
      <c r="B193" s="3" t="s">
        <v>761</v>
      </c>
      <c r="C193" s="1">
        <f t="shared" si="64"/>
        <v>7430</v>
      </c>
      <c r="D193" s="5">
        <f>IF(N193&gt;0, RANK(N193,(N193:P193,Q193:AE193)),0)</f>
        <v>1</v>
      </c>
      <c r="E193" s="5">
        <f>IF(O193&gt;0,RANK(O193,(N193:P193,Q193:AE193)),0)</f>
        <v>2</v>
      </c>
      <c r="F193" s="5">
        <f>IF(P193&gt;0,RANK(P193,(N193:P193,Q193:AE193)),0)</f>
        <v>5</v>
      </c>
      <c r="G193" s="132">
        <f t="shared" si="62"/>
        <v>836</v>
      </c>
      <c r="H193" s="137">
        <f t="shared" si="63"/>
        <v>0.11251682368775236</v>
      </c>
      <c r="I193" s="2"/>
      <c r="J193" s="2">
        <f t="shared" si="65"/>
        <v>0.54253028263795422</v>
      </c>
      <c r="K193" s="2">
        <f t="shared" si="66"/>
        <v>0.43001345895020188</v>
      </c>
      <c r="L193" s="2">
        <f t="shared" si="67"/>
        <v>2.4226110363391655E-3</v>
      </c>
      <c r="M193" s="2">
        <f t="shared" si="68"/>
        <v>2.5033647375504738E-2</v>
      </c>
      <c r="N193" s="63">
        <v>4031</v>
      </c>
      <c r="O193" s="63">
        <v>3195</v>
      </c>
      <c r="P193" s="63">
        <v>18</v>
      </c>
      <c r="Q193" s="63">
        <v>64</v>
      </c>
      <c r="R193" s="63">
        <v>18</v>
      </c>
      <c r="S193" s="63">
        <v>56</v>
      </c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>
        <v>18</v>
      </c>
      <c r="AE193" s="63"/>
      <c r="AF193" s="63"/>
      <c r="AG193" s="63"/>
      <c r="AH193" s="63"/>
      <c r="AI193" s="63"/>
      <c r="AJ193" s="63"/>
      <c r="AK193" s="63"/>
      <c r="AL193" s="63">
        <v>30</v>
      </c>
      <c r="AM193" s="63"/>
      <c r="AN193" s="63"/>
      <c r="AO193" s="63"/>
      <c r="AP193" s="63"/>
      <c r="AQ193" s="63"/>
      <c r="AR193" s="63"/>
      <c r="AS193" s="63"/>
      <c r="AT193" s="63"/>
      <c r="AU193" s="63"/>
      <c r="AW193" s="5">
        <f>IF(Q193&gt;0,RANK(Q193,(N193:P193,Q193:AE193)),0)</f>
        <v>3</v>
      </c>
      <c r="AX193" s="5">
        <f>IF(R193&gt;0,RANK(R193,(N193:P193,Q193:AE193)),0)</f>
        <v>5</v>
      </c>
      <c r="AY193" s="5">
        <f>IF(T193&gt;0,RANK(T193,(N193:P193,Q193:AE193)),0)</f>
        <v>0</v>
      </c>
      <c r="AZ193" s="5">
        <f>IF(S193&gt;0,RANK(S193,(N193:P193,Q193:AE193)),0)</f>
        <v>4</v>
      </c>
      <c r="BA193" s="2">
        <f t="shared" si="69"/>
        <v>8.6137281292059213E-3</v>
      </c>
      <c r="BB193" s="2">
        <f t="shared" si="70"/>
        <v>2.4226110363391655E-3</v>
      </c>
      <c r="BC193" s="2">
        <f t="shared" si="71"/>
        <v>0</v>
      </c>
      <c r="BD193" s="2">
        <f t="shared" si="72"/>
        <v>7.5370121130551816E-3</v>
      </c>
      <c r="BF193" s="4" t="s">
        <v>2762</v>
      </c>
      <c r="BG193" s="3" t="s">
        <v>761</v>
      </c>
      <c r="BH193">
        <v>1</v>
      </c>
      <c r="BJ193" s="114">
        <v>5</v>
      </c>
      <c r="BK193" s="116">
        <v>123</v>
      </c>
      <c r="BL193" s="120">
        <f t="shared" si="73"/>
        <v>5123</v>
      </c>
      <c r="BN193" s="5" t="s">
        <v>3154</v>
      </c>
    </row>
    <row r="194" spans="1:82" hidden="1" outlineLevel="1">
      <c r="A194" s="4" t="s">
        <v>649</v>
      </c>
      <c r="B194" s="3" t="s">
        <v>761</v>
      </c>
      <c r="C194" s="1">
        <f t="shared" si="64"/>
        <v>52100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4</v>
      </c>
      <c r="G194" s="132">
        <f t="shared" si="62"/>
        <v>22607</v>
      </c>
      <c r="H194" s="137">
        <f t="shared" si="63"/>
        <v>0.433915547024952</v>
      </c>
      <c r="I194" s="2"/>
      <c r="J194" s="2">
        <f t="shared" si="65"/>
        <v>0.25443378119001919</v>
      </c>
      <c r="K194" s="2">
        <f t="shared" si="66"/>
        <v>0.68834932821497119</v>
      </c>
      <c r="L194" s="2">
        <f t="shared" si="67"/>
        <v>1.1650671785028792E-2</v>
      </c>
      <c r="M194" s="2">
        <f t="shared" si="68"/>
        <v>4.5566218809980769E-2</v>
      </c>
      <c r="N194" s="63">
        <v>13256</v>
      </c>
      <c r="O194" s="63">
        <v>35863</v>
      </c>
      <c r="P194" s="63">
        <v>607</v>
      </c>
      <c r="Q194" s="63">
        <v>1466</v>
      </c>
      <c r="R194" s="63">
        <v>326</v>
      </c>
      <c r="S194" s="63">
        <v>186</v>
      </c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>
        <v>193</v>
      </c>
      <c r="AE194" s="63"/>
      <c r="AF194" s="63"/>
      <c r="AG194" s="63"/>
      <c r="AH194" s="63"/>
      <c r="AI194" s="63"/>
      <c r="AJ194" s="63"/>
      <c r="AK194" s="63"/>
      <c r="AL194" s="63">
        <v>203</v>
      </c>
      <c r="AM194" s="63"/>
      <c r="AN194" s="63"/>
      <c r="AO194" s="63"/>
      <c r="AP194" s="63"/>
      <c r="AQ194" s="63"/>
      <c r="AR194" s="63"/>
      <c r="AS194" s="63"/>
      <c r="AT194" s="63"/>
      <c r="AU194" s="63"/>
      <c r="AW194" s="5">
        <f>IF(Q194&gt;0,RANK(Q194,(N194:P194,Q194:AE194)),0)</f>
        <v>3</v>
      </c>
      <c r="AX194" s="5">
        <f>IF(R194&gt;0,RANK(R194,(N194:P194,Q194:AE194)),0)</f>
        <v>5</v>
      </c>
      <c r="AY194" s="5">
        <f>IF(T194&gt;0,RANK(T194,(N194:P194,Q194:AE194)),0)</f>
        <v>0</v>
      </c>
      <c r="AZ194" s="5">
        <f>IF(S194&gt;0,RANK(S194,(N194:P194,Q194:AE194)),0)</f>
        <v>7</v>
      </c>
      <c r="BA194" s="2">
        <f t="shared" si="69"/>
        <v>2.8138195777351247E-2</v>
      </c>
      <c r="BB194" s="2">
        <f t="shared" si="70"/>
        <v>6.2571976967370439E-3</v>
      </c>
      <c r="BC194" s="2">
        <f t="shared" si="71"/>
        <v>0</v>
      </c>
      <c r="BD194" s="2">
        <f t="shared" si="72"/>
        <v>3.5700575815738964E-3</v>
      </c>
      <c r="BF194" s="4" t="s">
        <v>649</v>
      </c>
      <c r="BG194" s="3" t="s">
        <v>761</v>
      </c>
      <c r="BH194">
        <v>2</v>
      </c>
      <c r="BJ194" s="114">
        <v>5</v>
      </c>
      <c r="BK194" s="116">
        <v>125</v>
      </c>
      <c r="BL194" s="120">
        <f t="shared" si="73"/>
        <v>5125</v>
      </c>
      <c r="BN194" s="5" t="s">
        <v>3154</v>
      </c>
    </row>
    <row r="195" spans="1:82" hidden="1" outlineLevel="1">
      <c r="A195" s="4" t="s">
        <v>830</v>
      </c>
      <c r="B195" s="3" t="s">
        <v>761</v>
      </c>
      <c r="C195" s="1">
        <f t="shared" si="64"/>
        <v>3510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5</v>
      </c>
      <c r="G195" s="132">
        <f t="shared" si="62"/>
        <v>2129</v>
      </c>
      <c r="H195" s="137">
        <f t="shared" si="63"/>
        <v>0.60655270655270654</v>
      </c>
      <c r="I195" s="2"/>
      <c r="J195" s="2">
        <f t="shared" si="65"/>
        <v>0.17150997150997152</v>
      </c>
      <c r="K195" s="2">
        <f t="shared" si="66"/>
        <v>0.77806267806267804</v>
      </c>
      <c r="L195" s="2">
        <f t="shared" si="67"/>
        <v>6.2678062678062675E-3</v>
      </c>
      <c r="M195" s="2">
        <f t="shared" si="68"/>
        <v>4.4159544159544206E-2</v>
      </c>
      <c r="N195" s="63">
        <v>602</v>
      </c>
      <c r="O195" s="63">
        <v>2731</v>
      </c>
      <c r="P195" s="63">
        <v>22</v>
      </c>
      <c r="Q195" s="63">
        <v>83</v>
      </c>
      <c r="R195" s="63">
        <v>25</v>
      </c>
      <c r="S195" s="63">
        <v>9</v>
      </c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>
        <v>16</v>
      </c>
      <c r="AE195" s="63"/>
      <c r="AF195" s="63"/>
      <c r="AG195" s="63"/>
      <c r="AH195" s="63"/>
      <c r="AI195" s="63"/>
      <c r="AJ195" s="63"/>
      <c r="AK195" s="63"/>
      <c r="AL195" s="63">
        <v>22</v>
      </c>
      <c r="AM195" s="63"/>
      <c r="AN195" s="63"/>
      <c r="AO195" s="63"/>
      <c r="AP195" s="63"/>
      <c r="AQ195" s="63"/>
      <c r="AR195" s="63"/>
      <c r="AS195" s="63"/>
      <c r="AT195" s="63"/>
      <c r="AU195" s="63"/>
      <c r="AW195" s="5">
        <f>IF(Q195&gt;0,RANK(Q195,(N195:P195,Q195:AE195)),0)</f>
        <v>3</v>
      </c>
      <c r="AX195" s="5">
        <f>IF(R195&gt;0,RANK(R195,(N195:P195,Q195:AE195)),0)</f>
        <v>4</v>
      </c>
      <c r="AY195" s="5">
        <f>IF(T195&gt;0,RANK(T195,(N195:P195,Q195:AE195)),0)</f>
        <v>0</v>
      </c>
      <c r="AZ195" s="5">
        <f>IF(S195&gt;0,RANK(S195,(N195:P195,Q195:AE195)),0)</f>
        <v>7</v>
      </c>
      <c r="BA195" s="2">
        <f t="shared" si="69"/>
        <v>2.3646723646723648E-2</v>
      </c>
      <c r="BB195" s="2">
        <f t="shared" si="70"/>
        <v>7.1225071225071226E-3</v>
      </c>
      <c r="BC195" s="2">
        <f t="shared" si="71"/>
        <v>0</v>
      </c>
      <c r="BD195" s="2">
        <f t="shared" si="72"/>
        <v>2.5641025641025641E-3</v>
      </c>
      <c r="BF195" s="4" t="s">
        <v>830</v>
      </c>
      <c r="BG195" s="3" t="s">
        <v>761</v>
      </c>
      <c r="BH195">
        <v>4</v>
      </c>
      <c r="BJ195" s="114">
        <v>5</v>
      </c>
      <c r="BK195" s="116">
        <v>127</v>
      </c>
      <c r="BL195" s="120">
        <f t="shared" si="73"/>
        <v>5127</v>
      </c>
      <c r="BN195" s="5" t="s">
        <v>3154</v>
      </c>
    </row>
    <row r="196" spans="1:82" hidden="1" outlineLevel="1">
      <c r="A196" s="4" t="s">
        <v>176</v>
      </c>
      <c r="B196" s="3" t="s">
        <v>761</v>
      </c>
      <c r="C196" s="1">
        <f t="shared" ref="C196:C207" si="74">SUM(N196:AU196)</f>
        <v>3728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4</v>
      </c>
      <c r="G196" s="132">
        <f t="shared" si="62"/>
        <v>2354</v>
      </c>
      <c r="H196" s="137">
        <f t="shared" si="63"/>
        <v>0.63143776824034337</v>
      </c>
      <c r="I196" s="2"/>
      <c r="J196" s="2">
        <f t="shared" ref="J196:J207" si="75">IF($C196=0,"-",N196/$C196)</f>
        <v>0.16121244635193133</v>
      </c>
      <c r="K196" s="2">
        <f t="shared" ref="K196:K207" si="76">IF($C196=0,"-",O196/$C196)</f>
        <v>0.79265021459227469</v>
      </c>
      <c r="L196" s="2">
        <f t="shared" ref="L196:L207" si="77">IF($C196=0,"-",P196/$C196)</f>
        <v>8.0472103004291841E-3</v>
      </c>
      <c r="M196" s="2">
        <f t="shared" ref="M196:M207" si="78">IF(C196=0,"-",(1-J196-K196-L196))</f>
        <v>3.8090128755364799E-2</v>
      </c>
      <c r="N196" s="63">
        <v>601</v>
      </c>
      <c r="O196" s="63">
        <v>2955</v>
      </c>
      <c r="P196" s="63">
        <v>30</v>
      </c>
      <c r="Q196" s="63">
        <v>68</v>
      </c>
      <c r="R196" s="63">
        <v>18</v>
      </c>
      <c r="S196" s="63">
        <v>16</v>
      </c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>
        <v>22</v>
      </c>
      <c r="AE196" s="63"/>
      <c r="AF196" s="63"/>
      <c r="AG196" s="63"/>
      <c r="AH196" s="63"/>
      <c r="AI196" s="63"/>
      <c r="AJ196" s="63"/>
      <c r="AK196" s="63"/>
      <c r="AL196" s="63">
        <v>18</v>
      </c>
      <c r="AM196" s="63"/>
      <c r="AN196" s="63"/>
      <c r="AO196" s="63"/>
      <c r="AP196" s="63"/>
      <c r="AQ196" s="63"/>
      <c r="AR196" s="63"/>
      <c r="AS196" s="63"/>
      <c r="AT196" s="63"/>
      <c r="AU196" s="63"/>
      <c r="AW196" s="5">
        <f>IF(Q196&gt;0,RANK(Q196,(N196:P196,Q196:AE196)),0)</f>
        <v>3</v>
      </c>
      <c r="AX196" s="5">
        <f>IF(R196&gt;0,RANK(R196,(N196:P196,Q196:AE196)),0)</f>
        <v>6</v>
      </c>
      <c r="AY196" s="5">
        <f>IF(T196&gt;0,RANK(T196,(N196:P196,Q196:AE196)),0)</f>
        <v>0</v>
      </c>
      <c r="AZ196" s="5">
        <f>IF(S196&gt;0,RANK(S196,(N196:P196,Q196:AE196)),0)</f>
        <v>7</v>
      </c>
      <c r="BA196" s="2">
        <f t="shared" ref="BA196:BA207" si="79">IF($C196=0,"-",Q196/$C196)</f>
        <v>1.8240343347639486E-2</v>
      </c>
      <c r="BB196" s="2">
        <f t="shared" ref="BB196:BB207" si="80">IF($C196=0,"-",R196/$C196)</f>
        <v>4.8283261802575111E-3</v>
      </c>
      <c r="BC196" s="2">
        <f t="shared" ref="BC196:BC207" si="81">IF($C196=0,"-",T196/$C196)</f>
        <v>0</v>
      </c>
      <c r="BD196" s="2">
        <f t="shared" ref="BD196:BD207" si="82">IF($C196=0,"-",S196/$C196)</f>
        <v>4.2918454935622317E-3</v>
      </c>
      <c r="BF196" s="4" t="s">
        <v>176</v>
      </c>
      <c r="BG196" s="3" t="s">
        <v>761</v>
      </c>
      <c r="BJ196" s="114">
        <v>5</v>
      </c>
      <c r="BK196" s="116">
        <v>129</v>
      </c>
      <c r="BL196" s="120">
        <f t="shared" si="73"/>
        <v>5129</v>
      </c>
      <c r="BN196" s="5" t="s">
        <v>3154</v>
      </c>
    </row>
    <row r="197" spans="1:82" hidden="1" outlineLevel="1">
      <c r="A197" s="4" t="s">
        <v>2304</v>
      </c>
      <c r="B197" s="3" t="s">
        <v>761</v>
      </c>
      <c r="C197" s="1">
        <f t="shared" si="74"/>
        <v>44637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4</v>
      </c>
      <c r="G197" s="132">
        <f t="shared" si="62"/>
        <v>16827</v>
      </c>
      <c r="H197" s="137">
        <f t="shared" si="63"/>
        <v>0.37697425902278381</v>
      </c>
      <c r="I197" s="2"/>
      <c r="J197" s="2">
        <f t="shared" si="75"/>
        <v>0.27555615296726932</v>
      </c>
      <c r="K197" s="2">
        <f t="shared" si="76"/>
        <v>0.65253041199005313</v>
      </c>
      <c r="L197" s="2">
        <f t="shared" si="77"/>
        <v>1.274727244214441E-2</v>
      </c>
      <c r="M197" s="2">
        <f t="shared" si="78"/>
        <v>5.9166162600533145E-2</v>
      </c>
      <c r="N197" s="63">
        <v>12300</v>
      </c>
      <c r="O197" s="63">
        <v>29127</v>
      </c>
      <c r="P197" s="63">
        <v>569</v>
      </c>
      <c r="Q197" s="63">
        <v>1630</v>
      </c>
      <c r="R197" s="63">
        <v>481</v>
      </c>
      <c r="S197" s="63">
        <v>232</v>
      </c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>
        <v>173</v>
      </c>
      <c r="AE197" s="63"/>
      <c r="AF197" s="63"/>
      <c r="AG197" s="63"/>
      <c r="AH197" s="63"/>
      <c r="AI197" s="63"/>
      <c r="AJ197" s="63"/>
      <c r="AK197" s="63"/>
      <c r="AL197" s="63">
        <v>125</v>
      </c>
      <c r="AM197" s="63"/>
      <c r="AN197" s="63"/>
      <c r="AO197" s="63"/>
      <c r="AP197" s="63"/>
      <c r="AQ197" s="63"/>
      <c r="AR197" s="63"/>
      <c r="AS197" s="63"/>
      <c r="AT197" s="63"/>
      <c r="AU197" s="63"/>
      <c r="AW197" s="5">
        <f>IF(Q197&gt;0,RANK(Q197,(N197:P197,Q197:AE197)),0)</f>
        <v>3</v>
      </c>
      <c r="AX197" s="5">
        <f>IF(R197&gt;0,RANK(R197,(N197:P197,Q197:AE197)),0)</f>
        <v>5</v>
      </c>
      <c r="AY197" s="5">
        <f>IF(T197&gt;0,RANK(T197,(N197:P197,Q197:AE197)),0)</f>
        <v>0</v>
      </c>
      <c r="AZ197" s="5">
        <f>IF(S197&gt;0,RANK(S197,(N197:P197,Q197:AE197)),0)</f>
        <v>6</v>
      </c>
      <c r="BA197" s="2">
        <f t="shared" si="79"/>
        <v>3.6516791002979589E-2</v>
      </c>
      <c r="BB197" s="2">
        <f t="shared" si="80"/>
        <v>1.0775813786768824E-2</v>
      </c>
      <c r="BC197" s="2">
        <f t="shared" si="81"/>
        <v>0</v>
      </c>
      <c r="BD197" s="2">
        <f t="shared" si="82"/>
        <v>5.1974819096265428E-3</v>
      </c>
      <c r="BF197" s="4" t="s">
        <v>2304</v>
      </c>
      <c r="BG197" s="3" t="s">
        <v>761</v>
      </c>
      <c r="BJ197" s="114">
        <v>5</v>
      </c>
      <c r="BK197" s="116">
        <v>131</v>
      </c>
      <c r="BL197" s="120">
        <f t="shared" si="73"/>
        <v>5131</v>
      </c>
      <c r="BN197" s="5" t="s">
        <v>3154</v>
      </c>
    </row>
    <row r="198" spans="1:82" hidden="1" outlineLevel="1">
      <c r="A198" s="4" t="s">
        <v>808</v>
      </c>
      <c r="B198" s="3" t="s">
        <v>761</v>
      </c>
      <c r="C198" s="1">
        <f t="shared" si="74"/>
        <v>4562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5</v>
      </c>
      <c r="G198" s="132">
        <f t="shared" si="62"/>
        <v>2207</v>
      </c>
      <c r="H198" s="137">
        <f t="shared" si="63"/>
        <v>0.48377904427882507</v>
      </c>
      <c r="I198" s="2"/>
      <c r="J198" s="2">
        <f t="shared" si="75"/>
        <v>0.23564226216571679</v>
      </c>
      <c r="K198" s="2">
        <f t="shared" si="76"/>
        <v>0.71942130644454183</v>
      </c>
      <c r="L198" s="2">
        <f t="shared" si="77"/>
        <v>9.6448925909688732E-3</v>
      </c>
      <c r="M198" s="2">
        <f t="shared" si="78"/>
        <v>3.5291538798772476E-2</v>
      </c>
      <c r="N198" s="63">
        <v>1075</v>
      </c>
      <c r="O198" s="63">
        <v>3282</v>
      </c>
      <c r="P198" s="63">
        <v>44</v>
      </c>
      <c r="Q198" s="63">
        <v>83</v>
      </c>
      <c r="R198" s="63">
        <v>20</v>
      </c>
      <c r="S198" s="63">
        <v>7</v>
      </c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>
        <v>47</v>
      </c>
      <c r="AE198" s="63"/>
      <c r="AF198" s="63"/>
      <c r="AG198" s="63"/>
      <c r="AH198" s="63"/>
      <c r="AI198" s="63"/>
      <c r="AJ198" s="63"/>
      <c r="AK198" s="63"/>
      <c r="AL198" s="63">
        <v>4</v>
      </c>
      <c r="AM198" s="63"/>
      <c r="AN198" s="63"/>
      <c r="AO198" s="63"/>
      <c r="AP198" s="63"/>
      <c r="AQ198" s="63"/>
      <c r="AR198" s="63"/>
      <c r="AS198" s="63"/>
      <c r="AT198" s="63"/>
      <c r="AU198" s="63"/>
      <c r="AW198" s="5">
        <f>IF(Q198&gt;0,RANK(Q198,(N198:P198,Q198:AE198)),0)</f>
        <v>3</v>
      </c>
      <c r="AX198" s="5">
        <f>IF(R198&gt;0,RANK(R198,(N198:P198,Q198:AE198)),0)</f>
        <v>6</v>
      </c>
      <c r="AY198" s="5">
        <f>IF(T198&gt;0,RANK(T198,(N198:P198,Q198:AE198)),0)</f>
        <v>0</v>
      </c>
      <c r="AZ198" s="5">
        <f>IF(S198&gt;0,RANK(S198,(N198:P198,Q198:AE198)),0)</f>
        <v>7</v>
      </c>
      <c r="BA198" s="2">
        <f t="shared" si="79"/>
        <v>1.819377466023674E-2</v>
      </c>
      <c r="BB198" s="2">
        <f t="shared" si="80"/>
        <v>4.384042086804033E-3</v>
      </c>
      <c r="BC198" s="2">
        <f t="shared" si="81"/>
        <v>0</v>
      </c>
      <c r="BD198" s="2">
        <f t="shared" si="82"/>
        <v>1.5344147303814116E-3</v>
      </c>
      <c r="BF198" s="4" t="s">
        <v>808</v>
      </c>
      <c r="BG198" s="3" t="s">
        <v>761</v>
      </c>
      <c r="BH198">
        <v>4</v>
      </c>
      <c r="BJ198" s="114">
        <v>5</v>
      </c>
      <c r="BK198" s="116">
        <v>133</v>
      </c>
      <c r="BL198" s="120">
        <f t="shared" si="73"/>
        <v>5133</v>
      </c>
      <c r="BN198" s="5" t="s">
        <v>3154</v>
      </c>
    </row>
    <row r="199" spans="1:82" hidden="1" outlineLevel="1">
      <c r="A199" s="4" t="s">
        <v>1642</v>
      </c>
      <c r="B199" s="3" t="s">
        <v>761</v>
      </c>
      <c r="C199" s="1">
        <f t="shared" si="74"/>
        <v>7249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4</v>
      </c>
      <c r="G199" s="132">
        <f t="shared" si="62"/>
        <v>3935</v>
      </c>
      <c r="H199" s="137">
        <f t="shared" si="63"/>
        <v>0.54283349427507244</v>
      </c>
      <c r="I199" s="2"/>
      <c r="J199" s="2">
        <f t="shared" si="75"/>
        <v>0.20306249137812113</v>
      </c>
      <c r="K199" s="2">
        <f t="shared" si="76"/>
        <v>0.74589598565319359</v>
      </c>
      <c r="L199" s="2">
        <f t="shared" si="77"/>
        <v>7.7252034763415642E-3</v>
      </c>
      <c r="M199" s="2">
        <f t="shared" si="78"/>
        <v>4.3316319492343686E-2</v>
      </c>
      <c r="N199" s="63">
        <v>1472</v>
      </c>
      <c r="O199" s="63">
        <v>5407</v>
      </c>
      <c r="P199" s="63">
        <v>56</v>
      </c>
      <c r="Q199" s="63">
        <v>155</v>
      </c>
      <c r="R199" s="63">
        <v>49</v>
      </c>
      <c r="S199" s="63">
        <v>36</v>
      </c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>
        <v>52</v>
      </c>
      <c r="AE199" s="63"/>
      <c r="AF199" s="63"/>
      <c r="AG199" s="63"/>
      <c r="AH199" s="63"/>
      <c r="AI199" s="63"/>
      <c r="AJ199" s="63"/>
      <c r="AK199" s="63"/>
      <c r="AL199" s="63">
        <v>22</v>
      </c>
      <c r="AM199" s="63"/>
      <c r="AN199" s="63"/>
      <c r="AO199" s="63"/>
      <c r="AP199" s="63"/>
      <c r="AQ199" s="63"/>
      <c r="AR199" s="63"/>
      <c r="AS199" s="63"/>
      <c r="AT199" s="63"/>
      <c r="AU199" s="63"/>
      <c r="AW199" s="5">
        <f>IF(Q199&gt;0,RANK(Q199,(N199:P199,Q199:AE199)),0)</f>
        <v>3</v>
      </c>
      <c r="AX199" s="5">
        <f>IF(R199&gt;0,RANK(R199,(N199:P199,Q199:AE199)),0)</f>
        <v>6</v>
      </c>
      <c r="AY199" s="5">
        <f>IF(T199&gt;0,RANK(T199,(N199:P199,Q199:AE199)),0)</f>
        <v>0</v>
      </c>
      <c r="AZ199" s="5">
        <f>IF(S199&gt;0,RANK(S199,(N199:P199,Q199:AE199)),0)</f>
        <v>7</v>
      </c>
      <c r="BA199" s="2">
        <f t="shared" si="79"/>
        <v>2.1382259622016831E-2</v>
      </c>
      <c r="BB199" s="2">
        <f t="shared" si="80"/>
        <v>6.7595530417988688E-3</v>
      </c>
      <c r="BC199" s="2">
        <f t="shared" si="81"/>
        <v>0</v>
      </c>
      <c r="BD199" s="2">
        <f t="shared" si="82"/>
        <v>4.9662022347910055E-3</v>
      </c>
      <c r="BF199" s="4" t="s">
        <v>1642</v>
      </c>
      <c r="BG199" s="3" t="s">
        <v>761</v>
      </c>
      <c r="BH199">
        <v>1</v>
      </c>
      <c r="BJ199" s="114">
        <v>5</v>
      </c>
      <c r="BK199" s="116">
        <v>135</v>
      </c>
      <c r="BL199" s="120">
        <f t="shared" si="73"/>
        <v>5135</v>
      </c>
      <c r="BN199" s="5" t="s">
        <v>3154</v>
      </c>
    </row>
    <row r="200" spans="1:82" hidden="1" outlineLevel="1">
      <c r="A200" s="4" t="s">
        <v>1106</v>
      </c>
      <c r="B200" s="3" t="s">
        <v>761</v>
      </c>
      <c r="C200" s="1">
        <f t="shared" si="74"/>
        <v>5577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3</v>
      </c>
      <c r="G200" s="132">
        <f t="shared" ref="G200:G263" si="83">IF(C200&gt;0,MAX(N200:P200)-LARGE(N200:P200,2),0)</f>
        <v>2910</v>
      </c>
      <c r="H200" s="137">
        <f t="shared" ref="H200:H263" si="84">IF(C200&gt;0,G200/C200,0)</f>
        <v>0.52178590640129097</v>
      </c>
      <c r="I200" s="2"/>
      <c r="J200" s="2">
        <f t="shared" si="75"/>
        <v>0.2157073695535234</v>
      </c>
      <c r="K200" s="2">
        <f t="shared" si="76"/>
        <v>0.7374932759548144</v>
      </c>
      <c r="L200" s="2">
        <f t="shared" si="77"/>
        <v>2.151694459386767E-2</v>
      </c>
      <c r="M200" s="2">
        <f t="shared" si="78"/>
        <v>2.5282409897794501E-2</v>
      </c>
      <c r="N200" s="63">
        <v>1203</v>
      </c>
      <c r="O200" s="63">
        <v>4113</v>
      </c>
      <c r="P200" s="63">
        <v>120</v>
      </c>
      <c r="Q200" s="63">
        <v>0</v>
      </c>
      <c r="R200" s="63">
        <v>62</v>
      </c>
      <c r="S200" s="63">
        <v>21</v>
      </c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>
        <v>35</v>
      </c>
      <c r="AE200" s="63"/>
      <c r="AF200" s="63"/>
      <c r="AG200" s="63"/>
      <c r="AH200" s="63"/>
      <c r="AI200" s="63"/>
      <c r="AJ200" s="63"/>
      <c r="AK200" s="63"/>
      <c r="AL200" s="63">
        <v>23</v>
      </c>
      <c r="AM200" s="63"/>
      <c r="AN200" s="63"/>
      <c r="AO200" s="63"/>
      <c r="AP200" s="63"/>
      <c r="AQ200" s="63"/>
      <c r="AR200" s="63"/>
      <c r="AS200" s="63"/>
      <c r="AT200" s="63"/>
      <c r="AU200" s="63"/>
      <c r="AW200" s="5">
        <f>IF(Q200&gt;0,RANK(Q200,(N200:P200,Q200:AE200)),0)</f>
        <v>0</v>
      </c>
      <c r="AX200" s="5">
        <f>IF(R200&gt;0,RANK(R200,(N200:P200,Q200:AE200)),0)</f>
        <v>4</v>
      </c>
      <c r="AY200" s="5">
        <f>IF(T200&gt;0,RANK(T200,(N200:P200,Q200:AE200)),0)</f>
        <v>0</v>
      </c>
      <c r="AZ200" s="5">
        <f>IF(S200&gt;0,RANK(S200,(N200:P200,Q200:AE200)),0)</f>
        <v>6</v>
      </c>
      <c r="BA200" s="2">
        <f t="shared" si="79"/>
        <v>0</v>
      </c>
      <c r="BB200" s="2">
        <f t="shared" si="80"/>
        <v>1.1117088040164964E-2</v>
      </c>
      <c r="BC200" s="2">
        <f t="shared" si="81"/>
        <v>0</v>
      </c>
      <c r="BD200" s="2">
        <f t="shared" si="82"/>
        <v>3.7654653039268424E-3</v>
      </c>
      <c r="BF200" s="4" t="s">
        <v>1106</v>
      </c>
      <c r="BG200" s="3" t="s">
        <v>761</v>
      </c>
      <c r="BH200">
        <v>1</v>
      </c>
      <c r="BJ200" s="114">
        <v>5</v>
      </c>
      <c r="BK200" s="116">
        <v>137</v>
      </c>
      <c r="BL200" s="120">
        <f t="shared" si="73"/>
        <v>5137</v>
      </c>
      <c r="BN200" s="5" t="s">
        <v>3154</v>
      </c>
    </row>
    <row r="201" spans="1:82" hidden="1" outlineLevel="1">
      <c r="A201" s="4" t="s">
        <v>1513</v>
      </c>
      <c r="B201" s="3" t="s">
        <v>761</v>
      </c>
      <c r="C201" s="1">
        <f t="shared" si="74"/>
        <v>16894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4</v>
      </c>
      <c r="G201" s="132">
        <f t="shared" si="83"/>
        <v>4601</v>
      </c>
      <c r="H201" s="137">
        <f t="shared" si="84"/>
        <v>0.27234521131762757</v>
      </c>
      <c r="I201" s="2"/>
      <c r="J201" s="2">
        <f t="shared" si="75"/>
        <v>0.34657274772108443</v>
      </c>
      <c r="K201" s="2">
        <f t="shared" si="76"/>
        <v>0.61891795903871194</v>
      </c>
      <c r="L201" s="2">
        <f t="shared" si="77"/>
        <v>5.7416834379069494E-3</v>
      </c>
      <c r="M201" s="2">
        <f t="shared" si="78"/>
        <v>2.8767609802296625E-2</v>
      </c>
      <c r="N201" s="63">
        <v>5855</v>
      </c>
      <c r="O201" s="63">
        <v>10456</v>
      </c>
      <c r="P201" s="63">
        <v>97</v>
      </c>
      <c r="Q201" s="63">
        <v>275</v>
      </c>
      <c r="R201" s="63">
        <v>70</v>
      </c>
      <c r="S201" s="63">
        <v>41</v>
      </c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>
        <v>66</v>
      </c>
      <c r="AE201" s="63"/>
      <c r="AF201" s="63"/>
      <c r="AG201" s="63"/>
      <c r="AH201" s="63"/>
      <c r="AI201" s="63"/>
      <c r="AJ201" s="63"/>
      <c r="AK201" s="63"/>
      <c r="AL201" s="63">
        <v>34</v>
      </c>
      <c r="AM201" s="63"/>
      <c r="AN201" s="63"/>
      <c r="AO201" s="63"/>
      <c r="AP201" s="63"/>
      <c r="AQ201" s="63"/>
      <c r="AR201" s="63"/>
      <c r="AS201" s="63"/>
      <c r="AT201" s="63"/>
      <c r="AU201" s="63"/>
      <c r="AW201" s="5">
        <f>IF(Q201&gt;0,RANK(Q201,(N201:P201,Q201:AE201)),0)</f>
        <v>3</v>
      </c>
      <c r="AX201" s="5">
        <f>IF(R201&gt;0,RANK(R201,(N201:P201,Q201:AE201)),0)</f>
        <v>5</v>
      </c>
      <c r="AY201" s="5">
        <f>IF(T201&gt;0,RANK(T201,(N201:P201,Q201:AE201)),0)</f>
        <v>0</v>
      </c>
      <c r="AZ201" s="5">
        <f>IF(S201&gt;0,RANK(S201,(N201:P201,Q201:AE201)),0)</f>
        <v>7</v>
      </c>
      <c r="BA201" s="2">
        <f t="shared" si="79"/>
        <v>1.6277968509530012E-2</v>
      </c>
      <c r="BB201" s="2">
        <f t="shared" si="80"/>
        <v>4.1434828933349117E-3</v>
      </c>
      <c r="BC201" s="2">
        <f t="shared" si="81"/>
        <v>0</v>
      </c>
      <c r="BD201" s="2">
        <f t="shared" si="82"/>
        <v>2.4268971232390196E-3</v>
      </c>
      <c r="BF201" s="4" t="s">
        <v>1513</v>
      </c>
      <c r="BG201" s="3" t="s">
        <v>761</v>
      </c>
      <c r="BH201">
        <v>4</v>
      </c>
      <c r="BJ201" s="114">
        <v>5</v>
      </c>
      <c r="BK201" s="116">
        <v>139</v>
      </c>
      <c r="BL201" s="120">
        <f t="shared" si="73"/>
        <v>5139</v>
      </c>
      <c r="BN201" s="5" t="s">
        <v>3154</v>
      </c>
    </row>
    <row r="202" spans="1:82" hidden="1" outlineLevel="1">
      <c r="A202" s="4" t="s">
        <v>1598</v>
      </c>
      <c r="B202" s="3" t="s">
        <v>761</v>
      </c>
      <c r="C202" s="1">
        <f t="shared" si="74"/>
        <v>7339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4</v>
      </c>
      <c r="G202" s="132">
        <f t="shared" si="83"/>
        <v>3833</v>
      </c>
      <c r="H202" s="137">
        <f t="shared" si="84"/>
        <v>0.52227823954217201</v>
      </c>
      <c r="I202" s="2"/>
      <c r="J202" s="2">
        <f t="shared" si="75"/>
        <v>0.21106417768088295</v>
      </c>
      <c r="K202" s="2">
        <f t="shared" si="76"/>
        <v>0.73334241722305493</v>
      </c>
      <c r="L202" s="2">
        <f t="shared" si="77"/>
        <v>7.4942090203024931E-3</v>
      </c>
      <c r="M202" s="2">
        <f t="shared" si="78"/>
        <v>4.8099196075759652E-2</v>
      </c>
      <c r="N202" s="63">
        <v>1549</v>
      </c>
      <c r="O202" s="63">
        <v>5382</v>
      </c>
      <c r="P202" s="63">
        <v>55</v>
      </c>
      <c r="Q202" s="63">
        <v>182</v>
      </c>
      <c r="R202" s="63">
        <v>53</v>
      </c>
      <c r="S202" s="63">
        <v>46</v>
      </c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>
        <v>51</v>
      </c>
      <c r="AE202" s="63"/>
      <c r="AF202" s="63"/>
      <c r="AG202" s="63"/>
      <c r="AH202" s="63"/>
      <c r="AI202" s="63"/>
      <c r="AJ202" s="63"/>
      <c r="AK202" s="63"/>
      <c r="AL202" s="63">
        <v>21</v>
      </c>
      <c r="AM202" s="63"/>
      <c r="AN202" s="63"/>
      <c r="AO202" s="63"/>
      <c r="AP202" s="63"/>
      <c r="AQ202" s="63"/>
      <c r="AR202" s="63"/>
      <c r="AS202" s="63"/>
      <c r="AT202" s="63"/>
      <c r="AU202" s="63"/>
      <c r="AW202" s="5">
        <f>IF(Q202&gt;0,RANK(Q202,(N202:P202,Q202:AE202)),0)</f>
        <v>3</v>
      </c>
      <c r="AX202" s="5">
        <f>IF(R202&gt;0,RANK(R202,(N202:P202,Q202:AE202)),0)</f>
        <v>5</v>
      </c>
      <c r="AY202" s="5">
        <f>IF(T202&gt;0,RANK(T202,(N202:P202,Q202:AE202)),0)</f>
        <v>0</v>
      </c>
      <c r="AZ202" s="5">
        <f>IF(S202&gt;0,RANK(S202,(N202:P202,Q202:AE202)),0)</f>
        <v>7</v>
      </c>
      <c r="BA202" s="2">
        <f t="shared" si="79"/>
        <v>2.4799018939910069E-2</v>
      </c>
      <c r="BB202" s="2">
        <f t="shared" si="80"/>
        <v>7.2216923286551301E-3</v>
      </c>
      <c r="BC202" s="2">
        <f t="shared" si="81"/>
        <v>0</v>
      </c>
      <c r="BD202" s="2">
        <f t="shared" si="82"/>
        <v>6.2678839078893584E-3</v>
      </c>
      <c r="BF202" s="4" t="s">
        <v>1598</v>
      </c>
      <c r="BG202" s="3" t="s">
        <v>761</v>
      </c>
      <c r="BH202">
        <v>2</v>
      </c>
      <c r="BJ202" s="114">
        <v>5</v>
      </c>
      <c r="BK202" s="116">
        <v>141</v>
      </c>
      <c r="BL202" s="120">
        <f t="shared" si="73"/>
        <v>5141</v>
      </c>
      <c r="BN202" s="5" t="s">
        <v>3154</v>
      </c>
    </row>
    <row r="203" spans="1:82" hidden="1" outlineLevel="1">
      <c r="A203" s="4" t="s">
        <v>692</v>
      </c>
      <c r="B203" s="3" t="s">
        <v>761</v>
      </c>
      <c r="C203" s="1">
        <f t="shared" si="74"/>
        <v>81861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4</v>
      </c>
      <c r="G203" s="132">
        <f t="shared" si="83"/>
        <v>8110</v>
      </c>
      <c r="H203" s="137">
        <f t="shared" si="84"/>
        <v>9.9070375392433518E-2</v>
      </c>
      <c r="I203" s="2"/>
      <c r="J203" s="2">
        <f t="shared" si="75"/>
        <v>0.40759335947520797</v>
      </c>
      <c r="K203" s="2">
        <f t="shared" si="76"/>
        <v>0.50666373486764149</v>
      </c>
      <c r="L203" s="2">
        <f t="shared" si="77"/>
        <v>1.7566362492517803E-2</v>
      </c>
      <c r="M203" s="2">
        <f t="shared" si="78"/>
        <v>6.8176543164632786E-2</v>
      </c>
      <c r="N203" s="63">
        <v>33366</v>
      </c>
      <c r="O203" s="63">
        <v>41476</v>
      </c>
      <c r="P203" s="63">
        <v>1438</v>
      </c>
      <c r="Q203" s="63">
        <v>3360</v>
      </c>
      <c r="R203" s="63">
        <v>1316</v>
      </c>
      <c r="S203" s="63">
        <v>566</v>
      </c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>
        <v>124</v>
      </c>
      <c r="AE203" s="63"/>
      <c r="AF203" s="63"/>
      <c r="AG203" s="63"/>
      <c r="AH203" s="63"/>
      <c r="AI203" s="63"/>
      <c r="AJ203" s="63"/>
      <c r="AK203" s="63"/>
      <c r="AL203" s="63">
        <v>215</v>
      </c>
      <c r="AM203" s="63"/>
      <c r="AN203" s="63"/>
      <c r="AO203" s="63"/>
      <c r="AP203" s="63"/>
      <c r="AQ203" s="63"/>
      <c r="AR203" s="63"/>
      <c r="AS203" s="63"/>
      <c r="AT203" s="63"/>
      <c r="AU203" s="63"/>
      <c r="AW203" s="5">
        <f>IF(Q203&gt;0,RANK(Q203,(N203:P203,Q203:AE203)),0)</f>
        <v>3</v>
      </c>
      <c r="AX203" s="5">
        <f>IF(R203&gt;0,RANK(R203,(N203:P203,Q203:AE203)),0)</f>
        <v>5</v>
      </c>
      <c r="AY203" s="5">
        <f>IF(T203&gt;0,RANK(T203,(N203:P203,Q203:AE203)),0)</f>
        <v>0</v>
      </c>
      <c r="AZ203" s="5">
        <f>IF(S203&gt;0,RANK(S203,(N203:P203,Q203:AE203)),0)</f>
        <v>6</v>
      </c>
      <c r="BA203" s="2">
        <f t="shared" si="79"/>
        <v>4.1045186352475539E-2</v>
      </c>
      <c r="BB203" s="2">
        <f t="shared" si="80"/>
        <v>1.6076031321386252E-2</v>
      </c>
      <c r="BC203" s="2">
        <f t="shared" si="81"/>
        <v>0</v>
      </c>
      <c r="BD203" s="2">
        <f t="shared" si="82"/>
        <v>6.9141593677086773E-3</v>
      </c>
      <c r="BF203" s="4" t="s">
        <v>692</v>
      </c>
      <c r="BG203" s="3" t="s">
        <v>761</v>
      </c>
      <c r="BH203">
        <v>3</v>
      </c>
      <c r="BJ203" s="114">
        <v>5</v>
      </c>
      <c r="BK203" s="116">
        <v>143</v>
      </c>
      <c r="BL203" s="120">
        <f t="shared" si="73"/>
        <v>5143</v>
      </c>
      <c r="BN203" s="5" t="s">
        <v>3154</v>
      </c>
    </row>
    <row r="204" spans="1:82" hidden="1" outlineLevel="1">
      <c r="A204" s="4" t="s">
        <v>1976</v>
      </c>
      <c r="B204" s="3" t="s">
        <v>761</v>
      </c>
      <c r="C204" s="1">
        <f t="shared" si="74"/>
        <v>27999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>IF(P204&gt;0,RANK(P204,(N204:P204,Q204:AE204)),0)</f>
        <v>4</v>
      </c>
      <c r="G204" s="132">
        <f t="shared" si="83"/>
        <v>15907</v>
      </c>
      <c r="H204" s="137">
        <f t="shared" si="84"/>
        <v>0.56812743312261149</v>
      </c>
      <c r="I204" s="2"/>
      <c r="J204" s="2">
        <f t="shared" si="75"/>
        <v>0.18464945176613451</v>
      </c>
      <c r="K204" s="2">
        <f t="shared" si="76"/>
        <v>0.75277688488874606</v>
      </c>
      <c r="L204" s="2">
        <f t="shared" si="77"/>
        <v>1.7679202828672452E-2</v>
      </c>
      <c r="M204" s="2">
        <f t="shared" si="78"/>
        <v>4.4894460516446924E-2</v>
      </c>
      <c r="N204" s="63">
        <v>5170</v>
      </c>
      <c r="O204" s="63">
        <v>21077</v>
      </c>
      <c r="P204" s="63">
        <v>495</v>
      </c>
      <c r="Q204" s="63">
        <v>695</v>
      </c>
      <c r="R204" s="63">
        <v>151</v>
      </c>
      <c r="S204" s="63">
        <v>178</v>
      </c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>
        <v>148</v>
      </c>
      <c r="AE204" s="63"/>
      <c r="AF204" s="63"/>
      <c r="AG204" s="63"/>
      <c r="AH204" s="63"/>
      <c r="AI204" s="63"/>
      <c r="AJ204" s="63"/>
      <c r="AK204" s="63"/>
      <c r="AL204" s="63">
        <v>85</v>
      </c>
      <c r="AM204" s="63"/>
      <c r="AN204" s="63"/>
      <c r="AO204" s="63"/>
      <c r="AP204" s="63"/>
      <c r="AQ204" s="63"/>
      <c r="AR204" s="63"/>
      <c r="AS204" s="63"/>
      <c r="AT204" s="63"/>
      <c r="AU204" s="63"/>
      <c r="AW204" s="5">
        <f>IF(Q204&gt;0,RANK(Q204,(N204:P204,Q204:AE204)),0)</f>
        <v>3</v>
      </c>
      <c r="AX204" s="5">
        <f>IF(R204&gt;0,RANK(R204,(N204:P204,Q204:AE204)),0)</f>
        <v>6</v>
      </c>
      <c r="AY204" s="5">
        <f>IF(T204&gt;0,RANK(T204,(N204:P204,Q204:AE204)),0)</f>
        <v>0</v>
      </c>
      <c r="AZ204" s="5">
        <f>IF(S204&gt;0,RANK(S204,(N204:P204,Q204:AE204)),0)</f>
        <v>5</v>
      </c>
      <c r="BA204" s="2">
        <f t="shared" si="79"/>
        <v>2.4822315082681526E-2</v>
      </c>
      <c r="BB204" s="2">
        <f t="shared" si="80"/>
        <v>5.3930497517768496E-3</v>
      </c>
      <c r="BC204" s="2">
        <f t="shared" si="81"/>
        <v>0</v>
      </c>
      <c r="BD204" s="2">
        <f t="shared" si="82"/>
        <v>6.3573699060680737E-3</v>
      </c>
      <c r="BF204" s="4" t="s">
        <v>1976</v>
      </c>
      <c r="BG204" s="3" t="s">
        <v>761</v>
      </c>
      <c r="BH204">
        <v>2</v>
      </c>
      <c r="BJ204" s="114">
        <v>5</v>
      </c>
      <c r="BK204" s="116">
        <v>145</v>
      </c>
      <c r="BL204" s="120">
        <f t="shared" si="73"/>
        <v>5145</v>
      </c>
      <c r="BN204" s="5" t="s">
        <v>3154</v>
      </c>
    </row>
    <row r="205" spans="1:82" hidden="1" outlineLevel="1">
      <c r="A205" s="4" t="s">
        <v>3197</v>
      </c>
      <c r="B205" s="3" t="s">
        <v>761</v>
      </c>
      <c r="C205" s="1">
        <f t="shared" si="74"/>
        <v>2571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4</v>
      </c>
      <c r="G205" s="132">
        <f t="shared" si="83"/>
        <v>229</v>
      </c>
      <c r="H205" s="137">
        <f t="shared" si="84"/>
        <v>8.9070400622325949E-2</v>
      </c>
      <c r="I205" s="2"/>
      <c r="J205" s="2">
        <f t="shared" si="75"/>
        <v>0.43485025281991441</v>
      </c>
      <c r="K205" s="2">
        <f t="shared" si="76"/>
        <v>0.52392065344224037</v>
      </c>
      <c r="L205" s="2">
        <f t="shared" si="77"/>
        <v>6.2232594321275769E-3</v>
      </c>
      <c r="M205" s="2">
        <f t="shared" si="78"/>
        <v>3.5005834305717645E-2</v>
      </c>
      <c r="N205" s="63">
        <v>1118</v>
      </c>
      <c r="O205" s="63">
        <v>1347</v>
      </c>
      <c r="P205" s="63">
        <v>16</v>
      </c>
      <c r="Q205" s="63">
        <v>45</v>
      </c>
      <c r="R205" s="63">
        <v>12</v>
      </c>
      <c r="S205" s="63">
        <v>12</v>
      </c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>
        <v>14</v>
      </c>
      <c r="AE205" s="63"/>
      <c r="AF205" s="63"/>
      <c r="AG205" s="63"/>
      <c r="AH205" s="63"/>
      <c r="AI205" s="63"/>
      <c r="AJ205" s="63"/>
      <c r="AK205" s="63"/>
      <c r="AL205" s="63">
        <v>7</v>
      </c>
      <c r="AM205" s="63"/>
      <c r="AN205" s="63"/>
      <c r="AO205" s="63"/>
      <c r="AP205" s="63"/>
      <c r="AQ205" s="63"/>
      <c r="AR205" s="63"/>
      <c r="AS205" s="63"/>
      <c r="AT205" s="63"/>
      <c r="AU205" s="63"/>
      <c r="AW205" s="5">
        <f>IF(Q205&gt;0,RANK(Q205,(N205:P205,Q205:AE205)),0)</f>
        <v>3</v>
      </c>
      <c r="AX205" s="5">
        <f>IF(R205&gt;0,RANK(R205,(N205:P205,Q205:AE205)),0)</f>
        <v>6</v>
      </c>
      <c r="AY205" s="5">
        <f>IF(T205&gt;0,RANK(T205,(N205:P205,Q205:AE205)),0)</f>
        <v>0</v>
      </c>
      <c r="AZ205" s="5">
        <f>IF(S205&gt;0,RANK(S205,(N205:P205,Q205:AE205)),0)</f>
        <v>6</v>
      </c>
      <c r="BA205" s="2">
        <f t="shared" si="79"/>
        <v>1.7502917152858809E-2</v>
      </c>
      <c r="BB205" s="2">
        <f t="shared" si="80"/>
        <v>4.6674445740956822E-3</v>
      </c>
      <c r="BC205" s="2">
        <f t="shared" si="81"/>
        <v>0</v>
      </c>
      <c r="BD205" s="2">
        <f t="shared" si="82"/>
        <v>4.6674445740956822E-3</v>
      </c>
      <c r="BF205" s="4" t="s">
        <v>3197</v>
      </c>
      <c r="BG205" s="3" t="s">
        <v>761</v>
      </c>
      <c r="BH205">
        <v>1</v>
      </c>
      <c r="BJ205" s="114">
        <v>5</v>
      </c>
      <c r="BK205" s="116">
        <v>147</v>
      </c>
      <c r="BL205" s="120">
        <f t="shared" si="73"/>
        <v>5147</v>
      </c>
      <c r="BN205" s="5" t="s">
        <v>3154</v>
      </c>
    </row>
    <row r="206" spans="1:82" hidden="1" outlineLevel="1">
      <c r="A206" s="4" t="s">
        <v>2461</v>
      </c>
      <c r="B206" s="3" t="s">
        <v>761</v>
      </c>
      <c r="C206" s="1">
        <f t="shared" si="74"/>
        <v>6439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6</v>
      </c>
      <c r="G206" s="132">
        <f t="shared" si="83"/>
        <v>3128</v>
      </c>
      <c r="H206" s="137">
        <f t="shared" si="84"/>
        <v>0.48578971890045036</v>
      </c>
      <c r="I206" s="2"/>
      <c r="J206" s="2">
        <f t="shared" si="75"/>
        <v>0.22984935548998292</v>
      </c>
      <c r="K206" s="2">
        <f t="shared" si="76"/>
        <v>0.71563907439043328</v>
      </c>
      <c r="L206" s="2">
        <f t="shared" si="77"/>
        <v>5.2803230315266346E-3</v>
      </c>
      <c r="M206" s="2">
        <f t="shared" si="78"/>
        <v>4.9231247088057109E-2</v>
      </c>
      <c r="N206" s="63">
        <v>1480</v>
      </c>
      <c r="O206" s="63">
        <v>4608</v>
      </c>
      <c r="P206" s="63">
        <v>34</v>
      </c>
      <c r="Q206" s="63">
        <v>157</v>
      </c>
      <c r="R206" s="63">
        <v>47</v>
      </c>
      <c r="S206" s="63">
        <v>16</v>
      </c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>
        <v>67</v>
      </c>
      <c r="AE206" s="63"/>
      <c r="AF206" s="63"/>
      <c r="AG206" s="63"/>
      <c r="AH206" s="63"/>
      <c r="AI206" s="63"/>
      <c r="AJ206" s="63"/>
      <c r="AK206" s="63"/>
      <c r="AL206" s="63">
        <v>30</v>
      </c>
      <c r="AM206" s="63"/>
      <c r="AN206" s="63"/>
      <c r="AO206" s="63"/>
      <c r="AP206" s="63"/>
      <c r="AQ206" s="63"/>
      <c r="AR206" s="63"/>
      <c r="AS206" s="63"/>
      <c r="AT206" s="63"/>
      <c r="AU206" s="63"/>
      <c r="AW206" s="5">
        <f>IF(Q206&gt;0,RANK(Q206,(N206:P206,Q206:AE206)),0)</f>
        <v>3</v>
      </c>
      <c r="AX206" s="5">
        <f>IF(R206&gt;0,RANK(R206,(N206:P206,Q206:AE206)),0)</f>
        <v>5</v>
      </c>
      <c r="AY206" s="5">
        <f>IF(T206&gt;0,RANK(T206,(N206:P206,Q206:AE206)),0)</f>
        <v>0</v>
      </c>
      <c r="AZ206" s="5">
        <f>IF(S206&gt;0,RANK(S206,(N206:P206,Q206:AE206)),0)</f>
        <v>7</v>
      </c>
      <c r="BA206" s="2">
        <f t="shared" si="79"/>
        <v>2.4382668116167107E-2</v>
      </c>
      <c r="BB206" s="2">
        <f t="shared" si="80"/>
        <v>7.2992700729927005E-3</v>
      </c>
      <c r="BC206" s="2">
        <f t="shared" si="81"/>
        <v>0</v>
      </c>
      <c r="BD206" s="2">
        <f t="shared" si="82"/>
        <v>2.4848578971890046E-3</v>
      </c>
      <c r="BF206" s="4" t="s">
        <v>2461</v>
      </c>
      <c r="BG206" s="3" t="s">
        <v>761</v>
      </c>
      <c r="BH206">
        <v>4</v>
      </c>
      <c r="BJ206" s="114">
        <v>5</v>
      </c>
      <c r="BK206" s="116">
        <v>149</v>
      </c>
      <c r="BL206" s="120">
        <f t="shared" si="73"/>
        <v>5149</v>
      </c>
      <c r="BN206" s="5" t="s">
        <v>3154</v>
      </c>
    </row>
    <row r="207" spans="1:82" collapsed="1">
      <c r="A207" s="4" t="s">
        <v>200</v>
      </c>
      <c r="B207" s="3" t="s">
        <v>544</v>
      </c>
      <c r="C207" s="1">
        <f t="shared" si="74"/>
        <v>1130635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>IF(P207&gt;0,RANK(P207,(N207:P207,Q207:AE207)),0)</f>
        <v>4</v>
      </c>
      <c r="G207" s="132">
        <f t="shared" si="83"/>
        <v>304378</v>
      </c>
      <c r="H207" s="137">
        <f t="shared" si="84"/>
        <v>0.26920978034467358</v>
      </c>
      <c r="I207" s="2"/>
      <c r="J207" s="2">
        <f t="shared" si="75"/>
        <v>0.33653124129360934</v>
      </c>
      <c r="K207" s="2">
        <f t="shared" si="76"/>
        <v>0.60574102163828292</v>
      </c>
      <c r="L207" s="2">
        <f t="shared" si="77"/>
        <v>1.1723500510774918E-2</v>
      </c>
      <c r="M207" s="2">
        <f t="shared" si="78"/>
        <v>4.6004236557332823E-2</v>
      </c>
      <c r="N207" s="63">
        <f t="shared" ref="N207:S207" si="85">SUM(N132:N206)</f>
        <v>380494</v>
      </c>
      <c r="O207" s="63">
        <f t="shared" si="85"/>
        <v>684872</v>
      </c>
      <c r="P207" s="63">
        <f t="shared" si="85"/>
        <v>13255</v>
      </c>
      <c r="Q207" s="63">
        <f t="shared" si="85"/>
        <v>29829</v>
      </c>
      <c r="R207" s="63">
        <f t="shared" si="85"/>
        <v>9473</v>
      </c>
      <c r="S207" s="63">
        <f t="shared" si="85"/>
        <v>4613</v>
      </c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>
        <f>SUM(AD132:AD206)</f>
        <v>4709</v>
      </c>
      <c r="AE207" s="63"/>
      <c r="AF207" s="63"/>
      <c r="AG207" s="63"/>
      <c r="AH207" s="63"/>
      <c r="AI207" s="63"/>
      <c r="AJ207" s="63"/>
      <c r="AK207" s="63"/>
      <c r="AL207" s="63">
        <f>SUM(AL132:AL206)</f>
        <v>3390</v>
      </c>
      <c r="AM207" s="63"/>
      <c r="AN207" s="63"/>
      <c r="AO207" s="63"/>
      <c r="AP207" s="63"/>
      <c r="AQ207" s="63"/>
      <c r="AR207" s="63"/>
      <c r="AS207" s="63"/>
      <c r="AT207" s="63"/>
      <c r="AU207" s="63"/>
      <c r="AW207" s="5">
        <f>IF(Q207&gt;0,RANK(Q207,(N207:P207,Q207:AE207)),0)</f>
        <v>3</v>
      </c>
      <c r="AX207" s="5">
        <f>IF(R207&gt;0,RANK(R207,(N207:P207,Q207:AE207)),0)</f>
        <v>5</v>
      </c>
      <c r="AY207" s="5">
        <f>IF(T207&gt;0,RANK(T207,(N207:P207,Q207:AE207)),0)</f>
        <v>0</v>
      </c>
      <c r="AZ207" s="5">
        <f>IF(S207&gt;0,RANK(S207,(N207:P207,Q207:AE207)),0)</f>
        <v>7</v>
      </c>
      <c r="BA207" s="2">
        <f t="shared" si="79"/>
        <v>2.6382519557593742E-2</v>
      </c>
      <c r="BB207" s="2">
        <f t="shared" si="80"/>
        <v>8.3784775811822556E-3</v>
      </c>
      <c r="BC207" s="2">
        <f t="shared" si="81"/>
        <v>0</v>
      </c>
      <c r="BD207" s="2">
        <f t="shared" si="82"/>
        <v>4.0800081370203469E-3</v>
      </c>
      <c r="BF207" s="4" t="s">
        <v>200</v>
      </c>
      <c r="BG207" s="3" t="s">
        <v>544</v>
      </c>
      <c r="BJ207" s="114">
        <v>5</v>
      </c>
      <c r="BK207" s="116"/>
      <c r="BL207" s="114">
        <v>5</v>
      </c>
      <c r="BN207" s="5" t="s">
        <v>711</v>
      </c>
      <c r="BO207" s="63">
        <f>SUM(BO132:BO206)</f>
        <v>0</v>
      </c>
      <c r="BP207" s="63">
        <f>SUM(BP132:BP206)</f>
        <v>0</v>
      </c>
    </row>
    <row r="208" spans="1:82">
      <c r="A208" s="4"/>
      <c r="B208" s="4"/>
      <c r="C208" s="1"/>
      <c r="E208" s="5"/>
      <c r="F208" s="5"/>
      <c r="G208" s="132"/>
      <c r="H208" s="137"/>
      <c r="I208" s="2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W208" s="5"/>
      <c r="AX208" s="5"/>
      <c r="AY208" s="5"/>
      <c r="AZ208" s="5"/>
      <c r="BF208" s="4"/>
      <c r="BG208" s="4"/>
      <c r="BJ208" s="114"/>
      <c r="BK208" s="116"/>
      <c r="BL208" s="120"/>
      <c r="CA208" s="132"/>
      <c r="CB208" s="132"/>
      <c r="CC208" s="132"/>
      <c r="CD208" s="132" t="s">
        <v>3252</v>
      </c>
    </row>
    <row r="209" spans="1:81" ht="13" hidden="1" customHeight="1" outlineLevel="1">
      <c r="A209" s="4" t="s">
        <v>2175</v>
      </c>
      <c r="B209" s="4" t="s">
        <v>907</v>
      </c>
      <c r="C209" s="1">
        <f t="shared" ref="C209:C240" si="86">SUM(N209:AU209)</f>
        <v>659543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7</v>
      </c>
      <c r="G209" s="132">
        <f t="shared" si="83"/>
        <v>418920</v>
      </c>
      <c r="H209" s="137">
        <f t="shared" si="84"/>
        <v>0.63516707780993809</v>
      </c>
      <c r="I209" s="2"/>
      <c r="J209" s="2">
        <f t="shared" ref="J209:J240" si="87">IF($C209=0,"-",N209/$C209)</f>
        <v>0.78060414559778513</v>
      </c>
      <c r="K209" s="2">
        <f t="shared" ref="K209:K240" si="88">IF($C209=0,"-",O209/$C209)</f>
        <v>0.14543706778784704</v>
      </c>
      <c r="L209" s="2">
        <f t="shared" ref="L209:L240" si="89">IF($C209=0,"-",P209/$C209)</f>
        <v>1.9574159683295859E-3</v>
      </c>
      <c r="M209" s="2">
        <f t="shared" ref="M209:M240" si="90">IF(C209=0,"-",(1-J209-K209-L209))</f>
        <v>7.2001370646038246E-2</v>
      </c>
      <c r="N209" s="63">
        <v>514842</v>
      </c>
      <c r="O209" s="63">
        <v>95922</v>
      </c>
      <c r="P209" s="63">
        <v>1291</v>
      </c>
      <c r="Q209" s="63">
        <v>16906</v>
      </c>
      <c r="R209" s="63">
        <v>17830</v>
      </c>
      <c r="S209" s="63"/>
      <c r="T209" s="63"/>
      <c r="U209" s="63"/>
      <c r="V209" s="63">
        <v>3162</v>
      </c>
      <c r="W209" s="63">
        <f>IF(Copyright!B$11=1,IF(CA209&gt;0,CA209-P209-SUM(Y209:AM209)-SUM(AN209:AQ209)-X209-SUM(S209:U209),SUM(CB209:CF209)),SUM(CC209:CF209))</f>
        <v>9483</v>
      </c>
      <c r="X209" s="63"/>
      <c r="Y209" s="63"/>
      <c r="Z209" s="63"/>
      <c r="AA209" s="63"/>
      <c r="AB209" s="63"/>
      <c r="AC209" s="63"/>
      <c r="AD209" s="63"/>
      <c r="AE209" s="63">
        <v>27</v>
      </c>
      <c r="AF209" s="63">
        <v>9</v>
      </c>
      <c r="AG209" s="63"/>
      <c r="AH209" s="63"/>
      <c r="AI209" s="63"/>
      <c r="AJ209" s="63"/>
      <c r="AK209" s="63"/>
      <c r="AL209" s="63"/>
      <c r="AM209" s="63"/>
      <c r="AN209" s="63">
        <v>71</v>
      </c>
      <c r="AO209" s="63"/>
      <c r="AP209" s="63"/>
      <c r="AQ209" s="63"/>
      <c r="AR209" s="63"/>
      <c r="AS209" s="63"/>
      <c r="AT209" s="63"/>
      <c r="AU209" s="63"/>
      <c r="AW209" s="5">
        <f>IF(Q209&gt;0,RANK(Q209,(N209:P209,Q209:AE209)),0)</f>
        <v>4</v>
      </c>
      <c r="AX209" s="5">
        <f>IF(R209&gt;0,RANK(R209,(N209:P209,Q209:AE209)),0)</f>
        <v>3</v>
      </c>
      <c r="AY209" s="5">
        <f>IF(T209&gt;0,RANK(T209,(N209:P209,Q209:AE209)),0)</f>
        <v>0</v>
      </c>
      <c r="AZ209" s="5">
        <f>IF(S209&gt;0,RANK(S209,(N209:P209,Q209:AE209)),0)</f>
        <v>0</v>
      </c>
      <c r="BA209" s="2">
        <f t="shared" ref="BA209:BA240" si="91">IF($C209=0,"-",Q209/$C209)</f>
        <v>2.5632900356762182E-2</v>
      </c>
      <c r="BB209" s="2">
        <f t="shared" ref="BB209:BB240" si="92">IF($C209=0,"-",R209/$C209)</f>
        <v>2.7033870422398541E-2</v>
      </c>
      <c r="BC209" s="2">
        <f t="shared" ref="BC209:BC240" si="93">IF($C209=0,"-",T209/$C209)</f>
        <v>0</v>
      </c>
      <c r="BD209" s="2">
        <f t="shared" ref="BD209:BD240" si="94">IF($C209=0,"-",S209/$C209)</f>
        <v>0</v>
      </c>
      <c r="BF209" s="4" t="s">
        <v>2175</v>
      </c>
      <c r="BG209" s="4" t="s">
        <v>907</v>
      </c>
      <c r="BJ209" s="114">
        <v>6</v>
      </c>
      <c r="BK209" s="116">
        <v>1</v>
      </c>
      <c r="BL209" s="120">
        <f t="shared" si="73"/>
        <v>6001</v>
      </c>
      <c r="BN209" s="5" t="s">
        <v>3154</v>
      </c>
      <c r="BO209" s="63">
        <v>8868</v>
      </c>
      <c r="BP209" s="63">
        <v>1834</v>
      </c>
      <c r="BR209" s="63"/>
      <c r="BX209" s="63" t="s">
        <v>4307</v>
      </c>
      <c r="BY209" s="63">
        <f>BZ209-C209</f>
        <v>0</v>
      </c>
      <c r="BZ209" s="63">
        <f>17830+514842+3162+95922+16906+10881</f>
        <v>659543</v>
      </c>
      <c r="CA209" s="63">
        <v>10881</v>
      </c>
      <c r="CB209" s="8"/>
      <c r="CC209" s="63">
        <v>4206</v>
      </c>
    </row>
    <row r="210" spans="1:81" ht="13" hidden="1" customHeight="1" outlineLevel="1">
      <c r="A210" s="4" t="s">
        <v>474</v>
      </c>
      <c r="B210" s="4" t="s">
        <v>907</v>
      </c>
      <c r="C210" s="1">
        <f t="shared" si="86"/>
        <v>602</v>
      </c>
      <c r="D210" s="5">
        <f>IF(N210&gt;0, RANK(N210,(N210:P210,Q210:AE210)),0)</f>
        <v>1</v>
      </c>
      <c r="E210" s="5">
        <f>IF(O210&gt;0,RANK(O210,(N210:P210,Q210:AE210)),0)</f>
        <v>2</v>
      </c>
      <c r="F210" s="5">
        <f>IF(P210&gt;0,RANK(P210,(N210:P210,Q210:AE210)),0)</f>
        <v>6</v>
      </c>
      <c r="G210" s="132">
        <f t="shared" si="83"/>
        <v>117</v>
      </c>
      <c r="H210" s="137">
        <f t="shared" si="84"/>
        <v>0.19435215946843853</v>
      </c>
      <c r="I210" s="2"/>
      <c r="J210" s="2">
        <f t="shared" si="87"/>
        <v>0.55481727574750828</v>
      </c>
      <c r="K210" s="2">
        <f t="shared" si="88"/>
        <v>0.36046511627906974</v>
      </c>
      <c r="L210" s="2">
        <f t="shared" si="89"/>
        <v>1.6611295681063123E-3</v>
      </c>
      <c r="M210" s="2">
        <f t="shared" si="90"/>
        <v>8.3056478405315673E-2</v>
      </c>
      <c r="N210" s="63">
        <v>334</v>
      </c>
      <c r="O210" s="63">
        <v>217</v>
      </c>
      <c r="P210" s="63">
        <v>1</v>
      </c>
      <c r="Q210" s="63">
        <v>25</v>
      </c>
      <c r="R210" s="63">
        <v>21</v>
      </c>
      <c r="S210" s="63"/>
      <c r="T210" s="63"/>
      <c r="U210" s="63"/>
      <c r="V210" s="63">
        <v>3</v>
      </c>
      <c r="W210" s="63">
        <f>IF(Copyright!B$11=1,IF(CA210&gt;0,CA210-P210-SUM(Y210:AM210)-SUM(AN210:AQ210)-X210-SUM(S210:U210),SUM(CB210:CF210)),SUM(CC210:CF210))</f>
        <v>1</v>
      </c>
      <c r="X210" s="63"/>
      <c r="Y210" s="63"/>
      <c r="Z210" s="63"/>
      <c r="AA210" s="63"/>
      <c r="AB210" s="63"/>
      <c r="AC210" s="63"/>
      <c r="AD210" s="63"/>
      <c r="AE210" s="63">
        <v>0</v>
      </c>
      <c r="AF210" s="63">
        <v>0</v>
      </c>
      <c r="AG210" s="63"/>
      <c r="AH210" s="63"/>
      <c r="AI210" s="63"/>
      <c r="AJ210" s="63"/>
      <c r="AK210" s="63"/>
      <c r="AL210" s="63"/>
      <c r="AM210" s="63"/>
      <c r="AN210" s="63">
        <v>0</v>
      </c>
      <c r="AO210" s="63"/>
      <c r="AP210" s="63"/>
      <c r="AQ210" s="63"/>
      <c r="AR210" s="63"/>
      <c r="AS210" s="63"/>
      <c r="AT210" s="63"/>
      <c r="AU210" s="63"/>
      <c r="AW210" s="5">
        <f>IF(Q210&gt;0,RANK(Q210,(N210:P210,Q210:AE210)),0)</f>
        <v>3</v>
      </c>
      <c r="AX210" s="5">
        <f>IF(R210&gt;0,RANK(R210,(N210:P210,Q210:AE210)),0)</f>
        <v>4</v>
      </c>
      <c r="AY210" s="5">
        <f>IF(T210&gt;0,RANK(T210,(N210:P210,Q210:AE210)),0)</f>
        <v>0</v>
      </c>
      <c r="AZ210" s="5">
        <f>IF(S210&gt;0,RANK(S210,(N210:P210,Q210:AE210)),0)</f>
        <v>0</v>
      </c>
      <c r="BA210" s="2">
        <f t="shared" si="91"/>
        <v>4.1528239202657809E-2</v>
      </c>
      <c r="BB210" s="2">
        <f t="shared" si="92"/>
        <v>3.4883720930232558E-2</v>
      </c>
      <c r="BC210" s="2">
        <f t="shared" si="93"/>
        <v>0</v>
      </c>
      <c r="BD210" s="2">
        <f t="shared" si="94"/>
        <v>0</v>
      </c>
      <c r="BF210" s="4" t="s">
        <v>474</v>
      </c>
      <c r="BG210" s="4" t="s">
        <v>907</v>
      </c>
      <c r="BH210">
        <v>4</v>
      </c>
      <c r="BJ210" s="114">
        <v>6</v>
      </c>
      <c r="BK210" s="116">
        <v>3</v>
      </c>
      <c r="BL210" s="120">
        <f t="shared" si="73"/>
        <v>6003</v>
      </c>
      <c r="BN210" s="5" t="s">
        <v>3154</v>
      </c>
      <c r="BR210" s="63"/>
      <c r="BX210" s="63" t="s">
        <v>4308</v>
      </c>
      <c r="BY210" s="63">
        <f t="shared" ref="BY210:BY267" si="95">BZ210-C210</f>
        <v>-602</v>
      </c>
      <c r="CA210" s="63">
        <v>2</v>
      </c>
      <c r="CB210" s="8"/>
      <c r="CC210" s="63">
        <v>1</v>
      </c>
    </row>
    <row r="211" spans="1:81" ht="13" hidden="1" customHeight="1" outlineLevel="1">
      <c r="A211" s="4" t="s">
        <v>285</v>
      </c>
      <c r="B211" s="4" t="s">
        <v>907</v>
      </c>
      <c r="C211" s="1">
        <f t="shared" si="86"/>
        <v>17963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>IF(P211&gt;0,RANK(P211,(N211:P211,Q211:AE211)),0)</f>
        <v>6</v>
      </c>
      <c r="G211" s="132">
        <f t="shared" si="83"/>
        <v>4481</v>
      </c>
      <c r="H211" s="137">
        <f t="shared" si="84"/>
        <v>0.24945721761398429</v>
      </c>
      <c r="I211" s="2"/>
      <c r="J211" s="2">
        <f t="shared" si="87"/>
        <v>0.33424260980905196</v>
      </c>
      <c r="K211" s="2">
        <f t="shared" si="88"/>
        <v>0.58369982742303628</v>
      </c>
      <c r="L211" s="2">
        <f t="shared" si="89"/>
        <v>3.2845293102488449E-3</v>
      </c>
      <c r="M211" s="2">
        <f t="shared" si="90"/>
        <v>7.8773033457662914E-2</v>
      </c>
      <c r="N211" s="63">
        <v>6004</v>
      </c>
      <c r="O211" s="63">
        <v>10485</v>
      </c>
      <c r="P211" s="63">
        <v>59</v>
      </c>
      <c r="Q211" s="63">
        <v>804</v>
      </c>
      <c r="R211" s="63">
        <v>227</v>
      </c>
      <c r="S211" s="63"/>
      <c r="T211" s="63"/>
      <c r="U211" s="63"/>
      <c r="V211" s="63">
        <v>55</v>
      </c>
      <c r="W211" s="63">
        <f>IF(Copyright!B$11=1,IF(CA211&gt;0,CA211-P211-SUM(Y211:AM211)-SUM(AN211:AQ211)-X211-SUM(S211:U211),SUM(CB211:CF211)),SUM(CC211:CF211))</f>
        <v>329</v>
      </c>
      <c r="X211" s="63"/>
      <c r="Y211" s="63"/>
      <c r="Z211" s="63"/>
      <c r="AA211" s="63"/>
      <c r="AB211" s="63"/>
      <c r="AC211" s="63"/>
      <c r="AD211" s="63"/>
      <c r="AE211" s="63">
        <v>0</v>
      </c>
      <c r="AF211" s="63">
        <v>0</v>
      </c>
      <c r="AG211" s="63"/>
      <c r="AH211" s="63"/>
      <c r="AI211" s="63"/>
      <c r="AJ211" s="63"/>
      <c r="AK211" s="63"/>
      <c r="AL211" s="63"/>
      <c r="AM211" s="63"/>
      <c r="AN211" s="63">
        <v>0</v>
      </c>
      <c r="AO211" s="63"/>
      <c r="AP211" s="63"/>
      <c r="AQ211" s="63"/>
      <c r="AR211" s="63"/>
      <c r="AS211" s="63"/>
      <c r="AT211" s="63"/>
      <c r="AU211" s="63"/>
      <c r="AW211" s="5">
        <f>IF(Q211&gt;0,RANK(Q211,(N211:P211,Q211:AE211)),0)</f>
        <v>3</v>
      </c>
      <c r="AX211" s="5">
        <f>IF(R211&gt;0,RANK(R211,(N211:P211,Q211:AE211)),0)</f>
        <v>5</v>
      </c>
      <c r="AY211" s="5">
        <f>IF(T211&gt;0,RANK(T211,(N211:P211,Q211:AE211)),0)</f>
        <v>0</v>
      </c>
      <c r="AZ211" s="5">
        <f>IF(S211&gt;0,RANK(S211,(N211:P211,Q211:AE211)),0)</f>
        <v>0</v>
      </c>
      <c r="BA211" s="2">
        <f t="shared" si="91"/>
        <v>4.4758670600679173E-2</v>
      </c>
      <c r="BB211" s="2">
        <f t="shared" si="92"/>
        <v>1.2637087346211657E-2</v>
      </c>
      <c r="BC211" s="2">
        <f t="shared" si="93"/>
        <v>0</v>
      </c>
      <c r="BD211" s="2">
        <f t="shared" si="94"/>
        <v>0</v>
      </c>
      <c r="BF211" s="4" t="s">
        <v>285</v>
      </c>
      <c r="BG211" s="4" t="s">
        <v>907</v>
      </c>
      <c r="BH211">
        <v>4</v>
      </c>
      <c r="BJ211" s="114">
        <v>6</v>
      </c>
      <c r="BK211" s="116">
        <v>5</v>
      </c>
      <c r="BL211" s="120">
        <f t="shared" si="73"/>
        <v>6005</v>
      </c>
      <c r="BN211" s="5" t="s">
        <v>3154</v>
      </c>
      <c r="BR211" s="63"/>
      <c r="BX211" s="63" t="s">
        <v>4309</v>
      </c>
      <c r="BY211" s="63">
        <f t="shared" si="95"/>
        <v>0</v>
      </c>
      <c r="BZ211" s="63">
        <f>227+6004+55+10485+804+388</f>
        <v>17963</v>
      </c>
      <c r="CA211" s="63">
        <v>388</v>
      </c>
      <c r="CB211" s="8"/>
      <c r="CC211" s="63">
        <v>100</v>
      </c>
    </row>
    <row r="212" spans="1:81" ht="13" hidden="1" customHeight="1" outlineLevel="1">
      <c r="A212" s="4" t="s">
        <v>141</v>
      </c>
      <c r="B212" s="4" t="s">
        <v>907</v>
      </c>
      <c r="C212" s="1">
        <f t="shared" si="86"/>
        <v>97002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>IF(P212&gt;0,RANK(P212,(N212:P212,Q212:AE212)),0)</f>
        <v>7</v>
      </c>
      <c r="G212" s="132">
        <f t="shared" si="83"/>
        <v>3577</v>
      </c>
      <c r="H212" s="137">
        <f t="shared" si="84"/>
        <v>3.6875528339621863E-2</v>
      </c>
      <c r="I212" s="2"/>
      <c r="J212" s="2">
        <f t="shared" si="87"/>
        <v>0.42851693779509703</v>
      </c>
      <c r="K212" s="2">
        <f t="shared" si="88"/>
        <v>0.46539246613471885</v>
      </c>
      <c r="L212" s="2">
        <f t="shared" si="89"/>
        <v>3.5050823694356818E-3</v>
      </c>
      <c r="M212" s="2">
        <f t="shared" si="90"/>
        <v>0.10258551370074843</v>
      </c>
      <c r="N212" s="63">
        <v>41567</v>
      </c>
      <c r="O212" s="63">
        <v>45144</v>
      </c>
      <c r="P212" s="63">
        <v>340</v>
      </c>
      <c r="Q212" s="63">
        <v>4625</v>
      </c>
      <c r="R212" s="63">
        <v>2594</v>
      </c>
      <c r="S212" s="63"/>
      <c r="T212" s="63"/>
      <c r="U212" s="63"/>
      <c r="V212" s="63">
        <v>501</v>
      </c>
      <c r="W212" s="63">
        <f>IF(Copyright!B$11=1,IF(CA212&gt;0,CA212-P212-SUM(Y212:AM212)-SUM(AN212:AQ212)-X212-SUM(S212:U212),SUM(CB212:CF212)),SUM(CC212:CF212))</f>
        <v>2220</v>
      </c>
      <c r="X212" s="63"/>
      <c r="Y212" s="63"/>
      <c r="Z212" s="63"/>
      <c r="AA212" s="63"/>
      <c r="AB212" s="63"/>
      <c r="AC212" s="63"/>
      <c r="AD212" s="63"/>
      <c r="AE212" s="63">
        <v>0</v>
      </c>
      <c r="AF212" s="63">
        <v>1</v>
      </c>
      <c r="AG212" s="63"/>
      <c r="AH212" s="63"/>
      <c r="AI212" s="63"/>
      <c r="AJ212" s="63"/>
      <c r="AK212" s="63"/>
      <c r="AL212" s="63"/>
      <c r="AM212" s="63"/>
      <c r="AN212" s="63">
        <v>10</v>
      </c>
      <c r="AO212" s="63"/>
      <c r="AP212" s="63"/>
      <c r="AQ212" s="63"/>
      <c r="AR212" s="63"/>
      <c r="AS212" s="63"/>
      <c r="AT212" s="63"/>
      <c r="AU212" s="63"/>
      <c r="AW212" s="5">
        <f>IF(Q212&gt;0,RANK(Q212,(N212:P212,Q212:AE212)),0)</f>
        <v>3</v>
      </c>
      <c r="AX212" s="5">
        <f>IF(R212&gt;0,RANK(R212,(N212:P212,Q212:AE212)),0)</f>
        <v>4</v>
      </c>
      <c r="AY212" s="5">
        <f>IF(T212&gt;0,RANK(T212,(N212:P212,Q212:AE212)),0)</f>
        <v>0</v>
      </c>
      <c r="AZ212" s="5">
        <f>IF(S212&gt;0,RANK(S212,(N212:P212,Q212:AE212)),0)</f>
        <v>0</v>
      </c>
      <c r="BA212" s="2">
        <f t="shared" si="91"/>
        <v>4.7679429290117731E-2</v>
      </c>
      <c r="BB212" s="2">
        <f t="shared" si="92"/>
        <v>2.674171666563576E-2</v>
      </c>
      <c r="BC212" s="2">
        <f t="shared" si="93"/>
        <v>0</v>
      </c>
      <c r="BD212" s="2">
        <f t="shared" si="94"/>
        <v>0</v>
      </c>
      <c r="BF212" s="4" t="s">
        <v>141</v>
      </c>
      <c r="BG212" s="4" t="s">
        <v>907</v>
      </c>
      <c r="BH212">
        <v>1</v>
      </c>
      <c r="BJ212" s="114">
        <v>6</v>
      </c>
      <c r="BK212" s="116">
        <v>7</v>
      </c>
      <c r="BL212" s="120">
        <f t="shared" si="73"/>
        <v>6007</v>
      </c>
      <c r="BN212" s="5" t="s">
        <v>3154</v>
      </c>
      <c r="BO212" s="63">
        <v>1727</v>
      </c>
      <c r="BP212" s="63">
        <v>150</v>
      </c>
      <c r="BR212" s="63"/>
      <c r="BX212" s="63" t="s">
        <v>4310</v>
      </c>
      <c r="BY212" s="63">
        <f t="shared" si="95"/>
        <v>0</v>
      </c>
      <c r="BZ212" s="63">
        <v>97002</v>
      </c>
      <c r="CA212" s="63">
        <v>2571</v>
      </c>
      <c r="CB212" s="8"/>
      <c r="CC212" s="63">
        <v>782</v>
      </c>
    </row>
    <row r="213" spans="1:81" ht="13" hidden="1" customHeight="1" outlineLevel="1">
      <c r="A213" s="4" t="s">
        <v>990</v>
      </c>
      <c r="B213" s="4" t="s">
        <v>907</v>
      </c>
      <c r="C213" s="1">
        <f t="shared" si="86"/>
        <v>23531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7</v>
      </c>
      <c r="G213" s="132">
        <f t="shared" si="83"/>
        <v>5567</v>
      </c>
      <c r="H213" s="137">
        <f t="shared" si="84"/>
        <v>0.2365815307466746</v>
      </c>
      <c r="I213" s="2"/>
      <c r="J213" s="2">
        <f t="shared" si="87"/>
        <v>0.33759721218817729</v>
      </c>
      <c r="K213" s="2">
        <f t="shared" si="88"/>
        <v>0.57417874293485194</v>
      </c>
      <c r="L213" s="2">
        <f t="shared" si="89"/>
        <v>9.3493689175980622E-4</v>
      </c>
      <c r="M213" s="2">
        <f t="shared" si="90"/>
        <v>8.7289107985210973E-2</v>
      </c>
      <c r="N213" s="63">
        <v>7944</v>
      </c>
      <c r="O213" s="63">
        <v>13511</v>
      </c>
      <c r="P213" s="63">
        <v>22</v>
      </c>
      <c r="Q213" s="63">
        <v>1104</v>
      </c>
      <c r="R213" s="63">
        <v>424</v>
      </c>
      <c r="S213" s="63"/>
      <c r="T213" s="63"/>
      <c r="U213" s="63"/>
      <c r="V213" s="63">
        <v>56</v>
      </c>
      <c r="W213" s="63">
        <f>IF(Copyright!B$11=1,IF(CA213&gt;0,CA213-P213-SUM(Y213:AM213)-SUM(AN213:AQ213)-X213-SUM(S213:U213),SUM(CB213:CF213)),SUM(CC213:CF213))</f>
        <v>470</v>
      </c>
      <c r="X213" s="63"/>
      <c r="Y213" s="63"/>
      <c r="Z213" s="63"/>
      <c r="AA213" s="63"/>
      <c r="AB213" s="63"/>
      <c r="AC213" s="63"/>
      <c r="AD213" s="63"/>
      <c r="AE213" s="63">
        <v>0</v>
      </c>
      <c r="AF213" s="63">
        <v>0</v>
      </c>
      <c r="AG213" s="63"/>
      <c r="AH213" s="63"/>
      <c r="AI213" s="63"/>
      <c r="AJ213" s="63"/>
      <c r="AK213" s="63"/>
      <c r="AL213" s="63"/>
      <c r="AM213" s="63"/>
      <c r="AN213" s="63">
        <v>0</v>
      </c>
      <c r="AO213" s="63"/>
      <c r="AP213" s="63"/>
      <c r="AQ213" s="63"/>
      <c r="AR213" s="63"/>
      <c r="AS213" s="63"/>
      <c r="AT213" s="63"/>
      <c r="AU213" s="63"/>
      <c r="AW213" s="5">
        <f>IF(Q213&gt;0,RANK(Q213,(N213:P213,Q213:AE213)),0)</f>
        <v>3</v>
      </c>
      <c r="AX213" s="5">
        <f>IF(R213&gt;0,RANK(R213,(N213:P213,Q213:AE213)),0)</f>
        <v>5</v>
      </c>
      <c r="AY213" s="5">
        <f>IF(T213&gt;0,RANK(T213,(N213:P213,Q213:AE213)),0)</f>
        <v>0</v>
      </c>
      <c r="AZ213" s="5">
        <f>IF(S213&gt;0,RANK(S213,(N213:P213,Q213:AE213)),0)</f>
        <v>0</v>
      </c>
      <c r="BA213" s="2">
        <f t="shared" si="91"/>
        <v>4.6916833113764822E-2</v>
      </c>
      <c r="BB213" s="2">
        <f t="shared" si="92"/>
        <v>1.8018783732098084E-2</v>
      </c>
      <c r="BC213" s="2">
        <f t="shared" si="93"/>
        <v>0</v>
      </c>
      <c r="BD213" s="2">
        <f t="shared" si="94"/>
        <v>0</v>
      </c>
      <c r="BF213" s="4" t="s">
        <v>990</v>
      </c>
      <c r="BG213" s="4" t="s">
        <v>907</v>
      </c>
      <c r="BH213">
        <v>4</v>
      </c>
      <c r="BJ213" s="114">
        <v>6</v>
      </c>
      <c r="BK213" s="116">
        <v>9</v>
      </c>
      <c r="BL213" s="120">
        <f t="shared" si="73"/>
        <v>6009</v>
      </c>
      <c r="BN213" s="5" t="s">
        <v>3154</v>
      </c>
      <c r="BR213" s="63"/>
      <c r="BX213" s="63" t="s">
        <v>4311</v>
      </c>
      <c r="BY213" s="63">
        <f t="shared" si="95"/>
        <v>0</v>
      </c>
      <c r="BZ213" s="63">
        <v>23531</v>
      </c>
      <c r="CA213" s="63">
        <v>492</v>
      </c>
      <c r="CB213" s="8"/>
      <c r="CC213" s="63">
        <v>75</v>
      </c>
    </row>
    <row r="214" spans="1:81" ht="13" hidden="1" customHeight="1" outlineLevel="1">
      <c r="A214" s="4" t="s">
        <v>1542</v>
      </c>
      <c r="B214" s="4" t="s">
        <v>907</v>
      </c>
      <c r="C214" s="1">
        <f t="shared" si="86"/>
        <v>6697</v>
      </c>
      <c r="D214" s="5">
        <f>IF(N214&gt;0, RANK(N214,(N214:P214,Q214:AE214)),0)</f>
        <v>2</v>
      </c>
      <c r="E214" s="5">
        <f>IF(O214&gt;0,RANK(O214,(N214:P214,Q214:AE214)),0)</f>
        <v>1</v>
      </c>
      <c r="F214" s="5">
        <f>IF(P214&gt;0,RANK(P214,(N214:P214,Q214:AE214)),0)</f>
        <v>7</v>
      </c>
      <c r="G214" s="132">
        <f t="shared" si="83"/>
        <v>890</v>
      </c>
      <c r="H214" s="137">
        <f t="shared" si="84"/>
        <v>0.132895326265492</v>
      </c>
      <c r="I214" s="2"/>
      <c r="J214" s="2">
        <f t="shared" si="87"/>
        <v>0.39734209347469018</v>
      </c>
      <c r="K214" s="2">
        <f t="shared" si="88"/>
        <v>0.53023741974018213</v>
      </c>
      <c r="L214" s="2">
        <f t="shared" si="89"/>
        <v>1.7918470957144991E-3</v>
      </c>
      <c r="M214" s="2">
        <f t="shared" si="90"/>
        <v>7.0628639689413186E-2</v>
      </c>
      <c r="N214" s="63">
        <v>2661</v>
      </c>
      <c r="O214" s="63">
        <v>3551</v>
      </c>
      <c r="P214" s="63">
        <v>12</v>
      </c>
      <c r="Q214" s="63">
        <v>260</v>
      </c>
      <c r="R214" s="63">
        <v>85</v>
      </c>
      <c r="S214" s="63"/>
      <c r="T214" s="63"/>
      <c r="U214" s="63"/>
      <c r="V214" s="63">
        <v>39</v>
      </c>
      <c r="W214" s="63">
        <f>IF(Copyright!B$11=1,IF(CA214&gt;0,CA214-P214-SUM(Y214:AM214)-SUM(AN214:AQ214)-X214-SUM(S214:U214),SUM(CB214:CF214)),SUM(CC214:CF214))</f>
        <v>89</v>
      </c>
      <c r="X214" s="63"/>
      <c r="Y214" s="63"/>
      <c r="Z214" s="63"/>
      <c r="AA214" s="63"/>
      <c r="AB214" s="63"/>
      <c r="AC214" s="63"/>
      <c r="AD214" s="63"/>
      <c r="AE214" s="63">
        <v>0</v>
      </c>
      <c r="AF214" s="63">
        <v>0</v>
      </c>
      <c r="AG214" s="63"/>
      <c r="AH214" s="63"/>
      <c r="AI214" s="63"/>
      <c r="AJ214" s="63"/>
      <c r="AK214" s="63"/>
      <c r="AL214" s="63"/>
      <c r="AM214" s="63"/>
      <c r="AN214" s="63">
        <v>0</v>
      </c>
      <c r="AO214" s="63"/>
      <c r="AP214" s="63"/>
      <c r="AQ214" s="63"/>
      <c r="AR214" s="63"/>
      <c r="AS214" s="63"/>
      <c r="AT214" s="63"/>
      <c r="AU214" s="63"/>
      <c r="AW214" s="5">
        <f>IF(Q214&gt;0,RANK(Q214,(N214:P214,Q214:AE214)),0)</f>
        <v>3</v>
      </c>
      <c r="AX214" s="5">
        <f>IF(R214&gt;0,RANK(R214,(N214:P214,Q214:AE214)),0)</f>
        <v>5</v>
      </c>
      <c r="AY214" s="5">
        <f>IF(T214&gt;0,RANK(T214,(N214:P214,Q214:AE214)),0)</f>
        <v>0</v>
      </c>
      <c r="AZ214" s="5">
        <f>IF(S214&gt;0,RANK(S214,(N214:P214,Q214:AE214)),0)</f>
        <v>0</v>
      </c>
      <c r="BA214" s="2">
        <f t="shared" si="91"/>
        <v>3.8823353740480814E-2</v>
      </c>
      <c r="BB214" s="2">
        <f t="shared" si="92"/>
        <v>1.2692250261311034E-2</v>
      </c>
      <c r="BC214" s="2">
        <f t="shared" si="93"/>
        <v>0</v>
      </c>
      <c r="BD214" s="2">
        <f t="shared" si="94"/>
        <v>0</v>
      </c>
      <c r="BF214" s="4" t="s">
        <v>1542</v>
      </c>
      <c r="BG214" s="4" t="s">
        <v>907</v>
      </c>
      <c r="BH214">
        <v>3</v>
      </c>
      <c r="BJ214" s="114">
        <v>6</v>
      </c>
      <c r="BK214" s="116">
        <v>11</v>
      </c>
      <c r="BL214" s="120">
        <f t="shared" si="73"/>
        <v>6011</v>
      </c>
      <c r="BN214" s="5" t="s">
        <v>3154</v>
      </c>
      <c r="BO214" s="63">
        <v>95</v>
      </c>
      <c r="BP214" s="63">
        <v>22</v>
      </c>
      <c r="BR214" s="63"/>
      <c r="BX214" s="63" t="s">
        <v>4312</v>
      </c>
      <c r="BY214" s="63">
        <f t="shared" si="95"/>
        <v>0</v>
      </c>
      <c r="BZ214" s="63">
        <v>6697</v>
      </c>
      <c r="CA214" s="63">
        <v>101</v>
      </c>
      <c r="CB214" s="8"/>
      <c r="CC214" s="63">
        <v>24</v>
      </c>
    </row>
    <row r="215" spans="1:81" ht="13" hidden="1" customHeight="1" outlineLevel="1">
      <c r="A215" s="4" t="s">
        <v>582</v>
      </c>
      <c r="B215" s="4" t="s">
        <v>907</v>
      </c>
      <c r="C215" s="1">
        <f t="shared" si="86"/>
        <v>473014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>IF(P215&gt;0,RANK(P215,(N215:P215,Q215:AE215)),0)</f>
        <v>7</v>
      </c>
      <c r="G215" s="132">
        <f t="shared" si="83"/>
        <v>203331</v>
      </c>
      <c r="H215" s="137">
        <f t="shared" si="84"/>
        <v>0.42986254106643779</v>
      </c>
      <c r="I215" s="2"/>
      <c r="J215" s="2">
        <f t="shared" si="87"/>
        <v>0.67500539096094403</v>
      </c>
      <c r="K215" s="2">
        <f t="shared" si="88"/>
        <v>0.2451428498945063</v>
      </c>
      <c r="L215" s="2">
        <f t="shared" si="89"/>
        <v>2.8646086585175068E-3</v>
      </c>
      <c r="M215" s="2">
        <f t="shared" si="90"/>
        <v>7.6987150486032163E-2</v>
      </c>
      <c r="N215" s="63">
        <v>319287</v>
      </c>
      <c r="O215" s="63">
        <v>115956</v>
      </c>
      <c r="P215" s="63">
        <v>1355</v>
      </c>
      <c r="Q215" s="63">
        <v>16123</v>
      </c>
      <c r="R215" s="63">
        <v>8637</v>
      </c>
      <c r="S215" s="63"/>
      <c r="T215" s="63"/>
      <c r="U215" s="63"/>
      <c r="V215" s="63">
        <v>1566</v>
      </c>
      <c r="W215" s="63">
        <f>IF(Copyright!B$11=1,IF(CA215&gt;0,CA215-P215-SUM(Y215:AM215)-SUM(AN215:AQ215)-X215-SUM(S215:U215),SUM(CB215:CF215)),SUM(CC215:CF215))</f>
        <v>10043</v>
      </c>
      <c r="X215" s="63"/>
      <c r="Y215" s="63"/>
      <c r="Z215" s="63"/>
      <c r="AA215" s="63"/>
      <c r="AB215" s="63"/>
      <c r="AC215" s="63"/>
      <c r="AD215" s="63"/>
      <c r="AE215" s="63">
        <v>11</v>
      </c>
      <c r="AF215" s="63">
        <v>0</v>
      </c>
      <c r="AG215" s="63"/>
      <c r="AH215" s="63"/>
      <c r="AI215" s="63"/>
      <c r="AJ215" s="63"/>
      <c r="AK215" s="63"/>
      <c r="AL215" s="63"/>
      <c r="AM215" s="63"/>
      <c r="AN215" s="63">
        <v>36</v>
      </c>
      <c r="AO215" s="63"/>
      <c r="AP215" s="63"/>
      <c r="AQ215" s="63"/>
      <c r="AR215" s="63"/>
      <c r="AS215" s="63"/>
      <c r="AT215" s="63"/>
      <c r="AU215" s="63"/>
      <c r="AW215" s="5">
        <f>IF(Q215&gt;0,RANK(Q215,(N215:P215,Q215:AE215)),0)</f>
        <v>3</v>
      </c>
      <c r="AX215" s="5">
        <f>IF(R215&gt;0,RANK(R215,(N215:P215,Q215:AE215)),0)</f>
        <v>5</v>
      </c>
      <c r="AY215" s="5">
        <f>IF(T215&gt;0,RANK(T215,(N215:P215,Q215:AE215)),0)</f>
        <v>0</v>
      </c>
      <c r="AZ215" s="5">
        <f>IF(S215&gt;0,RANK(S215,(N215:P215,Q215:AE215)),0)</f>
        <v>0</v>
      </c>
      <c r="BA215" s="2">
        <f t="shared" si="91"/>
        <v>3.4085671882861816E-2</v>
      </c>
      <c r="BB215" s="2">
        <f t="shared" si="92"/>
        <v>1.8259501832926722E-2</v>
      </c>
      <c r="BC215" s="2">
        <f t="shared" si="93"/>
        <v>0</v>
      </c>
      <c r="BD215" s="2">
        <f t="shared" si="94"/>
        <v>0</v>
      </c>
      <c r="BF215" s="4" t="s">
        <v>582</v>
      </c>
      <c r="BG215" s="4" t="s">
        <v>907</v>
      </c>
      <c r="BJ215" s="114">
        <v>6</v>
      </c>
      <c r="BK215" s="116">
        <v>13</v>
      </c>
      <c r="BL215" s="120">
        <f t="shared" si="73"/>
        <v>6013</v>
      </c>
      <c r="BN215" s="5" t="s">
        <v>3154</v>
      </c>
      <c r="BR215" s="63"/>
      <c r="BS215" s="128"/>
      <c r="BX215" s="63" t="s">
        <v>4313</v>
      </c>
      <c r="BY215" s="63">
        <f t="shared" si="95"/>
        <v>0</v>
      </c>
      <c r="BZ215" s="63">
        <v>473014</v>
      </c>
      <c r="CA215" s="63">
        <v>11445</v>
      </c>
      <c r="CB215" s="8"/>
      <c r="CC215" s="63">
        <v>3204</v>
      </c>
    </row>
    <row r="216" spans="1:81" ht="13" hidden="1" customHeight="1" outlineLevel="1">
      <c r="A216" s="4" t="s">
        <v>1862</v>
      </c>
      <c r="B216" s="4" t="s">
        <v>907</v>
      </c>
      <c r="C216" s="1">
        <f t="shared" si="86"/>
        <v>9558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7</v>
      </c>
      <c r="G216" s="132">
        <f t="shared" si="83"/>
        <v>1649</v>
      </c>
      <c r="H216" s="137">
        <f t="shared" si="84"/>
        <v>0.17252563297761037</v>
      </c>
      <c r="I216" s="2"/>
      <c r="J216" s="2">
        <f t="shared" si="87"/>
        <v>0.36461602845783636</v>
      </c>
      <c r="K216" s="2">
        <f t="shared" si="88"/>
        <v>0.53714166143544673</v>
      </c>
      <c r="L216" s="2">
        <f t="shared" si="89"/>
        <v>6.0682151077631301E-3</v>
      </c>
      <c r="M216" s="2">
        <f t="shared" si="90"/>
        <v>9.2174094998953779E-2</v>
      </c>
      <c r="N216" s="63">
        <v>3485</v>
      </c>
      <c r="O216" s="63">
        <v>5134</v>
      </c>
      <c r="P216" s="63">
        <v>58</v>
      </c>
      <c r="Q216" s="63">
        <v>416</v>
      </c>
      <c r="R216" s="63">
        <v>245</v>
      </c>
      <c r="S216" s="63"/>
      <c r="T216" s="63"/>
      <c r="U216" s="63"/>
      <c r="V216" s="63">
        <v>81</v>
      </c>
      <c r="W216" s="63">
        <f>IF(Copyright!B$11=1,IF(CA216&gt;0,CA216-P216-SUM(Y216:AM216)-SUM(AN216:AQ216)-X216-SUM(S216:U216),SUM(CB216:CF216)),SUM(CC216:CF216))</f>
        <v>139</v>
      </c>
      <c r="X216" s="63"/>
      <c r="Y216" s="63"/>
      <c r="Z216" s="63"/>
      <c r="AA216" s="63"/>
      <c r="AB216" s="63"/>
      <c r="AC216" s="63"/>
      <c r="AD216" s="63"/>
      <c r="AE216" s="63">
        <v>0</v>
      </c>
      <c r="AF216" s="63">
        <v>0</v>
      </c>
      <c r="AG216" s="63"/>
      <c r="AH216" s="63"/>
      <c r="AI216" s="63"/>
      <c r="AJ216" s="63"/>
      <c r="AK216" s="63"/>
      <c r="AL216" s="63"/>
      <c r="AM216" s="63"/>
      <c r="AN216" s="63">
        <v>0</v>
      </c>
      <c r="AO216" s="63"/>
      <c r="AP216" s="63"/>
      <c r="AQ216" s="63"/>
      <c r="AR216" s="63"/>
      <c r="AS216" s="63"/>
      <c r="AT216" s="63"/>
      <c r="AU216" s="63"/>
      <c r="AW216" s="5">
        <f>IF(Q216&gt;0,RANK(Q216,(N216:P216,Q216:AE216)),0)</f>
        <v>3</v>
      </c>
      <c r="AX216" s="5">
        <f>IF(R216&gt;0,RANK(R216,(N216:P216,Q216:AE216)),0)</f>
        <v>4</v>
      </c>
      <c r="AY216" s="5">
        <f>IF(T216&gt;0,RANK(T216,(N216:P216,Q216:AE216)),0)</f>
        <v>0</v>
      </c>
      <c r="AZ216" s="5">
        <f>IF(S216&gt;0,RANK(S216,(N216:P216,Q216:AE216)),0)</f>
        <v>0</v>
      </c>
      <c r="BA216" s="2">
        <f t="shared" si="91"/>
        <v>4.3523749738439005E-2</v>
      </c>
      <c r="BB216" s="2">
        <f t="shared" si="92"/>
        <v>2.5632977610378742E-2</v>
      </c>
      <c r="BC216" s="2">
        <f t="shared" si="93"/>
        <v>0</v>
      </c>
      <c r="BD216" s="2">
        <f t="shared" si="94"/>
        <v>0</v>
      </c>
      <c r="BF216" s="4" t="s">
        <v>1862</v>
      </c>
      <c r="BG216" s="4" t="s">
        <v>907</v>
      </c>
      <c r="BH216">
        <v>2</v>
      </c>
      <c r="BJ216" s="114">
        <v>6</v>
      </c>
      <c r="BK216" s="116">
        <v>15</v>
      </c>
      <c r="BL216" s="120">
        <f t="shared" si="73"/>
        <v>6015</v>
      </c>
      <c r="BN216" s="5" t="s">
        <v>3154</v>
      </c>
      <c r="BR216" s="63"/>
      <c r="BY216" s="63">
        <f t="shared" si="95"/>
        <v>-9558</v>
      </c>
      <c r="CA216" s="63">
        <f>58+139</f>
        <v>197</v>
      </c>
      <c r="CB216" s="8"/>
      <c r="CC216" s="63">
        <v>139</v>
      </c>
    </row>
    <row r="217" spans="1:81" ht="13" hidden="1" customHeight="1" outlineLevel="1">
      <c r="A217" s="4" t="s">
        <v>1859</v>
      </c>
      <c r="B217" s="4" t="s">
        <v>907</v>
      </c>
      <c r="C217" s="1">
        <f t="shared" si="86"/>
        <v>95149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>IF(P217&gt;0,RANK(P217,(N217:P217,Q217:AE217)),0)</f>
        <v>6</v>
      </c>
      <c r="G217" s="132">
        <f t="shared" si="83"/>
        <v>12843</v>
      </c>
      <c r="H217" s="137">
        <f t="shared" si="84"/>
        <v>0.13497777170543043</v>
      </c>
      <c r="I217" s="2"/>
      <c r="J217" s="2">
        <f t="shared" si="87"/>
        <v>0.38259992222724359</v>
      </c>
      <c r="K217" s="2">
        <f t="shared" si="88"/>
        <v>0.51757769393267405</v>
      </c>
      <c r="L217" s="2">
        <f t="shared" si="89"/>
        <v>6.0746828658209753E-3</v>
      </c>
      <c r="M217" s="2">
        <f t="shared" si="90"/>
        <v>9.3747700974261383E-2</v>
      </c>
      <c r="N217" s="63">
        <v>36404</v>
      </c>
      <c r="O217" s="63">
        <v>49247</v>
      </c>
      <c r="P217" s="63">
        <v>578</v>
      </c>
      <c r="Q217" s="63">
        <v>5027</v>
      </c>
      <c r="R217" s="63">
        <v>1425</v>
      </c>
      <c r="S217" s="63"/>
      <c r="T217" s="63"/>
      <c r="U217" s="63"/>
      <c r="V217" s="63">
        <v>190</v>
      </c>
      <c r="W217" s="63">
        <f>IF(Copyright!B$11=1,IF(CA217&gt;0,CA217-P217-SUM(Y217:AM217)-SUM(AN217:AQ217)-X217-SUM(S217:U217),SUM(CB217:CF217)),SUM(CC217:CF217))</f>
        <v>2271</v>
      </c>
      <c r="X217" s="63"/>
      <c r="Y217" s="63"/>
      <c r="Z217" s="63"/>
      <c r="AA217" s="63"/>
      <c r="AB217" s="63"/>
      <c r="AC217" s="63"/>
      <c r="AD217" s="63"/>
      <c r="AE217" s="63">
        <v>3</v>
      </c>
      <c r="AF217" s="63">
        <v>0</v>
      </c>
      <c r="AG217" s="63"/>
      <c r="AH217" s="63"/>
      <c r="AI217" s="63"/>
      <c r="AJ217" s="63"/>
      <c r="AK217" s="63"/>
      <c r="AL217" s="63"/>
      <c r="AM217" s="63"/>
      <c r="AN217" s="63">
        <v>4</v>
      </c>
      <c r="AO217" s="63"/>
      <c r="AP217" s="63"/>
      <c r="AQ217" s="63"/>
      <c r="AR217" s="63"/>
      <c r="AS217" s="63"/>
      <c r="AT217" s="63"/>
      <c r="AU217" s="63"/>
      <c r="AW217" s="5">
        <f>IF(Q217&gt;0,RANK(Q217,(N217:P217,Q217:AE217)),0)</f>
        <v>3</v>
      </c>
      <c r="AX217" s="5">
        <f>IF(R217&gt;0,RANK(R217,(N217:P217,Q217:AE217)),0)</f>
        <v>5</v>
      </c>
      <c r="AY217" s="5">
        <f>IF(T217&gt;0,RANK(T217,(N217:P217,Q217:AE217)),0)</f>
        <v>0</v>
      </c>
      <c r="AZ217" s="5">
        <f>IF(S217&gt;0,RANK(S217,(N217:P217,Q217:AE217)),0)</f>
        <v>0</v>
      </c>
      <c r="BA217" s="2">
        <f t="shared" si="91"/>
        <v>5.2832925201526028E-2</v>
      </c>
      <c r="BB217" s="2">
        <f t="shared" si="92"/>
        <v>1.4976510525596697E-2</v>
      </c>
      <c r="BC217" s="2">
        <f t="shared" si="93"/>
        <v>0</v>
      </c>
      <c r="BD217" s="2">
        <f t="shared" si="94"/>
        <v>0</v>
      </c>
      <c r="BF217" s="4" t="s">
        <v>1859</v>
      </c>
      <c r="BG217" s="4" t="s">
        <v>907</v>
      </c>
      <c r="BH217">
        <v>4</v>
      </c>
      <c r="BJ217" s="114">
        <v>6</v>
      </c>
      <c r="BK217" s="116">
        <v>17</v>
      </c>
      <c r="BL217" s="120">
        <f t="shared" si="73"/>
        <v>6017</v>
      </c>
      <c r="BN217" s="5" t="s">
        <v>3154</v>
      </c>
      <c r="BR217" s="63"/>
      <c r="BX217" s="63" t="s">
        <v>4314</v>
      </c>
      <c r="BY217" s="63">
        <f t="shared" si="95"/>
        <v>0</v>
      </c>
      <c r="BZ217" s="63">
        <v>95149</v>
      </c>
      <c r="CA217" s="63">
        <f>95149-36404-49247-5027-1425-190</f>
        <v>2856</v>
      </c>
      <c r="CB217" s="8"/>
      <c r="CC217" s="63">
        <v>713</v>
      </c>
    </row>
    <row r="218" spans="1:81" ht="13" hidden="1" customHeight="1" outlineLevel="1">
      <c r="A218" s="4" t="s">
        <v>1505</v>
      </c>
      <c r="B218" s="4" t="s">
        <v>907</v>
      </c>
      <c r="C218" s="1">
        <f t="shared" si="86"/>
        <v>287062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>IF(P218&gt;0,RANK(P218,(N218:P218,Q218:AE218)),0)</f>
        <v>6</v>
      </c>
      <c r="G218" s="132">
        <f t="shared" si="83"/>
        <v>17292</v>
      </c>
      <c r="H218" s="137">
        <f t="shared" si="84"/>
        <v>6.0237858023702198E-2</v>
      </c>
      <c r="I218" s="2"/>
      <c r="J218" s="2">
        <f t="shared" si="87"/>
        <v>0.49237098605876084</v>
      </c>
      <c r="K218" s="2">
        <f t="shared" si="88"/>
        <v>0.43213312803505866</v>
      </c>
      <c r="L218" s="2">
        <f t="shared" si="89"/>
        <v>3.7274177703771312E-3</v>
      </c>
      <c r="M218" s="2">
        <f t="shared" si="90"/>
        <v>7.176846813580337E-2</v>
      </c>
      <c r="N218" s="63">
        <v>141341</v>
      </c>
      <c r="O218" s="63">
        <v>124049</v>
      </c>
      <c r="P218" s="63">
        <v>1070</v>
      </c>
      <c r="Q218" s="63">
        <v>9246</v>
      </c>
      <c r="R218" s="63">
        <v>4300</v>
      </c>
      <c r="S218" s="63"/>
      <c r="T218" s="63"/>
      <c r="U218" s="63"/>
      <c r="V218" s="63">
        <v>875</v>
      </c>
      <c r="W218" s="63">
        <f>IF(Copyright!B$11=1,IF(CA218&gt;0,CA218-P218-SUM(Y218:AM218)-SUM(AN218:AQ218)-X218-SUM(S218:U218),SUM(CB218:CF218)),SUM(CC218:CF218))</f>
        <v>6160</v>
      </c>
      <c r="X218" s="63"/>
      <c r="Y218" s="63"/>
      <c r="Z218" s="63"/>
      <c r="AA218" s="63"/>
      <c r="AB218" s="63"/>
      <c r="AC218" s="63"/>
      <c r="AD218" s="63"/>
      <c r="AE218" s="63">
        <v>3</v>
      </c>
      <c r="AF218" s="63">
        <v>1</v>
      </c>
      <c r="AG218" s="63"/>
      <c r="AH218" s="63"/>
      <c r="AI218" s="63"/>
      <c r="AJ218" s="63"/>
      <c r="AK218" s="63"/>
      <c r="AL218" s="63"/>
      <c r="AM218" s="63"/>
      <c r="AN218" s="63">
        <v>17</v>
      </c>
      <c r="AO218" s="63"/>
      <c r="AP218" s="63"/>
      <c r="AQ218" s="63"/>
      <c r="AR218" s="63"/>
      <c r="AS218" s="63"/>
      <c r="AT218" s="63"/>
      <c r="AU218" s="63"/>
      <c r="AW218" s="5">
        <f>IF(Q218&gt;0,RANK(Q218,(N218:P218,Q218:AE218)),0)</f>
        <v>3</v>
      </c>
      <c r="AX218" s="5">
        <f>IF(R218&gt;0,RANK(R218,(N218:P218,Q218:AE218)),0)</f>
        <v>5</v>
      </c>
      <c r="AY218" s="5">
        <f>IF(T218&gt;0,RANK(T218,(N218:P218,Q218:AE218)),0)</f>
        <v>0</v>
      </c>
      <c r="AZ218" s="5">
        <f>IF(S218&gt;0,RANK(S218,(N218:P218,Q218:AE218)),0)</f>
        <v>0</v>
      </c>
      <c r="BA218" s="2">
        <f t="shared" si="91"/>
        <v>3.220906981767005E-2</v>
      </c>
      <c r="BB218" s="2">
        <f t="shared" si="92"/>
        <v>1.497934244170249E-2</v>
      </c>
      <c r="BC218" s="2">
        <f t="shared" si="93"/>
        <v>0</v>
      </c>
      <c r="BD218" s="2">
        <f t="shared" si="94"/>
        <v>0</v>
      </c>
      <c r="BF218" s="4" t="s">
        <v>1505</v>
      </c>
      <c r="BG218" s="4" t="s">
        <v>907</v>
      </c>
      <c r="BJ218" s="114">
        <v>6</v>
      </c>
      <c r="BK218" s="116">
        <v>19</v>
      </c>
      <c r="BL218" s="120">
        <f t="shared" si="73"/>
        <v>6019</v>
      </c>
      <c r="BN218" s="5" t="s">
        <v>3154</v>
      </c>
      <c r="BO218" s="63">
        <v>4293</v>
      </c>
      <c r="BP218" s="63">
        <v>535</v>
      </c>
      <c r="BR218" s="63"/>
      <c r="BX218" s="63" t="s">
        <v>4315</v>
      </c>
      <c r="BY218" s="63">
        <f t="shared" si="95"/>
        <v>0</v>
      </c>
      <c r="BZ218" s="63">
        <v>287062</v>
      </c>
      <c r="CA218" s="63">
        <f>4743+1+3+17+1070+1417</f>
        <v>7251</v>
      </c>
      <c r="CB218" s="8"/>
      <c r="CC218" s="63">
        <v>1417</v>
      </c>
    </row>
    <row r="219" spans="1:81" ht="13" hidden="1" customHeight="1" outlineLevel="1">
      <c r="A219" s="4" t="s">
        <v>1680</v>
      </c>
      <c r="B219" s="4" t="s">
        <v>907</v>
      </c>
      <c r="C219" s="1">
        <f t="shared" si="86"/>
        <v>9470</v>
      </c>
      <c r="D219" s="5">
        <f>IF(N219&gt;0, RANK(N219,(N219:P219,Q219:AE219)),0)</f>
        <v>2</v>
      </c>
      <c r="E219" s="5">
        <f>IF(O219&gt;0,RANK(O219,(N219:P219,Q219:AE219)),0)</f>
        <v>1</v>
      </c>
      <c r="F219" s="5">
        <f>IF(P219&gt;0,RANK(P219,(N219:P219,Q219:AE219)),0)</f>
        <v>7</v>
      </c>
      <c r="G219" s="132">
        <f t="shared" si="83"/>
        <v>2723</v>
      </c>
      <c r="H219" s="137">
        <f t="shared" si="84"/>
        <v>0.28753959873284057</v>
      </c>
      <c r="I219" s="2"/>
      <c r="J219" s="2">
        <f t="shared" si="87"/>
        <v>0.32365364308342132</v>
      </c>
      <c r="K219" s="2">
        <f t="shared" si="88"/>
        <v>0.61119324181626189</v>
      </c>
      <c r="L219" s="2">
        <f t="shared" si="89"/>
        <v>3.2734952481520592E-3</v>
      </c>
      <c r="M219" s="2">
        <f t="shared" si="90"/>
        <v>6.1879619852164683E-2</v>
      </c>
      <c r="N219" s="63">
        <v>3065</v>
      </c>
      <c r="O219" s="63">
        <v>5788</v>
      </c>
      <c r="P219" s="63">
        <v>31</v>
      </c>
      <c r="Q219" s="63">
        <v>375</v>
      </c>
      <c r="R219" s="63">
        <v>97</v>
      </c>
      <c r="S219" s="63"/>
      <c r="T219" s="63"/>
      <c r="U219" s="63"/>
      <c r="V219" s="63">
        <v>54</v>
      </c>
      <c r="W219" s="63">
        <f>IF(Copyright!B$11=1,IF(CA219&gt;0,CA219-P219-SUM(Y219:AM219)-SUM(AN219:AQ219)-X219-SUM(S219:U219),SUM(CB219:CF219)),SUM(CC219:CF219))</f>
        <v>58</v>
      </c>
      <c r="X219" s="63"/>
      <c r="Y219" s="63"/>
      <c r="Z219" s="63"/>
      <c r="AA219" s="63"/>
      <c r="AB219" s="63"/>
      <c r="AC219" s="63"/>
      <c r="AD219" s="63"/>
      <c r="AE219" s="63">
        <v>0</v>
      </c>
      <c r="AF219" s="63">
        <v>0</v>
      </c>
      <c r="AG219" s="63"/>
      <c r="AH219" s="63"/>
      <c r="AI219" s="63"/>
      <c r="AJ219" s="63"/>
      <c r="AK219" s="63"/>
      <c r="AL219" s="63"/>
      <c r="AM219" s="63"/>
      <c r="AN219" s="63">
        <v>2</v>
      </c>
      <c r="AO219" s="63"/>
      <c r="AP219" s="63"/>
      <c r="AQ219" s="63"/>
      <c r="AR219" s="63"/>
      <c r="AS219" s="63"/>
      <c r="AT219" s="63"/>
      <c r="AU219" s="63"/>
      <c r="AW219" s="5">
        <f>IF(Q219&gt;0,RANK(Q219,(N219:P219,Q219:AE219)),0)</f>
        <v>3</v>
      </c>
      <c r="AX219" s="5">
        <f>IF(R219&gt;0,RANK(R219,(N219:P219,Q219:AE219)),0)</f>
        <v>4</v>
      </c>
      <c r="AY219" s="5">
        <f>IF(T219&gt;0,RANK(T219,(N219:P219,Q219:AE219)),0)</f>
        <v>0</v>
      </c>
      <c r="AZ219" s="5">
        <f>IF(S219&gt;0,RANK(S219,(N219:P219,Q219:AE219)),0)</f>
        <v>0</v>
      </c>
      <c r="BA219" s="2">
        <f t="shared" si="91"/>
        <v>3.95987328405491E-2</v>
      </c>
      <c r="BB219" s="2">
        <f t="shared" si="92"/>
        <v>1.0242872228088701E-2</v>
      </c>
      <c r="BC219" s="2">
        <f t="shared" si="93"/>
        <v>0</v>
      </c>
      <c r="BD219" s="2">
        <f t="shared" si="94"/>
        <v>0</v>
      </c>
      <c r="BF219" s="4" t="s">
        <v>1680</v>
      </c>
      <c r="BG219" s="4" t="s">
        <v>907</v>
      </c>
      <c r="BJ219" s="114">
        <v>6</v>
      </c>
      <c r="BK219" s="116">
        <v>21</v>
      </c>
      <c r="BL219" s="120">
        <f t="shared" si="73"/>
        <v>6021</v>
      </c>
      <c r="BN219" s="5" t="s">
        <v>3154</v>
      </c>
      <c r="BR219" s="63"/>
      <c r="BY219" s="63">
        <f t="shared" si="95"/>
        <v>-9470</v>
      </c>
      <c r="CA219" s="63">
        <f>58+31+2</f>
        <v>91</v>
      </c>
      <c r="CB219" s="8"/>
      <c r="CC219" s="63">
        <v>58</v>
      </c>
    </row>
    <row r="220" spans="1:81" ht="13" hidden="1" customHeight="1" outlineLevel="1">
      <c r="A220" s="4" t="s">
        <v>1878</v>
      </c>
      <c r="B220" s="4" t="s">
        <v>907</v>
      </c>
      <c r="C220" s="1">
        <f t="shared" si="86"/>
        <v>60014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7</v>
      </c>
      <c r="G220" s="132">
        <f t="shared" si="83"/>
        <v>14827</v>
      </c>
      <c r="H220" s="137">
        <f t="shared" si="84"/>
        <v>0.24705901956210219</v>
      </c>
      <c r="I220" s="2"/>
      <c r="J220" s="2">
        <f t="shared" si="87"/>
        <v>0.55320425234112036</v>
      </c>
      <c r="K220" s="2">
        <f t="shared" si="88"/>
        <v>0.30614523277901823</v>
      </c>
      <c r="L220" s="2">
        <f t="shared" si="89"/>
        <v>3.0159629419802044E-3</v>
      </c>
      <c r="M220" s="2">
        <f t="shared" si="90"/>
        <v>0.13763455193788121</v>
      </c>
      <c r="N220" s="63">
        <v>33200</v>
      </c>
      <c r="O220" s="63">
        <v>18373</v>
      </c>
      <c r="P220" s="63">
        <v>181</v>
      </c>
      <c r="Q220" s="63">
        <v>2163</v>
      </c>
      <c r="R220" s="63">
        <v>3681</v>
      </c>
      <c r="S220" s="63"/>
      <c r="T220" s="63"/>
      <c r="U220" s="63"/>
      <c r="V220" s="63">
        <v>379</v>
      </c>
      <c r="W220" s="63">
        <f>IF(Copyright!B$11=1,IF(CA220&gt;0,CA220-P220-SUM(Y220:AM220)-SUM(AN220:AQ220)-X220-SUM(S220:U220),SUM(CB220:CF220)),SUM(CC220:CF220))</f>
        <v>2032</v>
      </c>
      <c r="X220" s="63"/>
      <c r="Y220" s="63"/>
      <c r="Z220" s="63"/>
      <c r="AA220" s="63"/>
      <c r="AB220" s="63"/>
      <c r="AC220" s="63"/>
      <c r="AD220" s="63"/>
      <c r="AE220" s="63">
        <v>0</v>
      </c>
      <c r="AF220" s="63">
        <v>0</v>
      </c>
      <c r="AG220" s="63"/>
      <c r="AH220" s="63"/>
      <c r="AI220" s="63"/>
      <c r="AJ220" s="63"/>
      <c r="AK220" s="63"/>
      <c r="AL220" s="63"/>
      <c r="AM220" s="63"/>
      <c r="AN220" s="63">
        <v>5</v>
      </c>
      <c r="AO220" s="63"/>
      <c r="AP220" s="63"/>
      <c r="AQ220" s="63"/>
      <c r="AR220" s="63"/>
      <c r="AS220" s="63"/>
      <c r="AT220" s="63"/>
      <c r="AU220" s="63"/>
      <c r="AW220" s="5">
        <f>IF(Q220&gt;0,RANK(Q220,(N220:P220,Q220:AE220)),0)</f>
        <v>4</v>
      </c>
      <c r="AX220" s="5">
        <f>IF(R220&gt;0,RANK(R220,(N220:P220,Q220:AE220)),0)</f>
        <v>3</v>
      </c>
      <c r="AY220" s="5">
        <f>IF(T220&gt;0,RANK(T220,(N220:P220,Q220:AE220)),0)</f>
        <v>0</v>
      </c>
      <c r="AZ220" s="5">
        <f>IF(S220&gt;0,RANK(S220,(N220:P220,Q220:AE220)),0)</f>
        <v>0</v>
      </c>
      <c r="BA220" s="2">
        <f t="shared" si="91"/>
        <v>3.6041590295597691E-2</v>
      </c>
      <c r="BB220" s="2">
        <f t="shared" si="92"/>
        <v>6.1335688339387476E-2</v>
      </c>
      <c r="BC220" s="2">
        <f t="shared" si="93"/>
        <v>0</v>
      </c>
      <c r="BD220" s="2">
        <f t="shared" si="94"/>
        <v>0</v>
      </c>
      <c r="BF220" s="4" t="s">
        <v>1878</v>
      </c>
      <c r="BG220" s="4" t="s">
        <v>907</v>
      </c>
      <c r="BH220">
        <v>2</v>
      </c>
      <c r="BJ220" s="114">
        <v>6</v>
      </c>
      <c r="BK220" s="116">
        <v>23</v>
      </c>
      <c r="BL220" s="120">
        <f t="shared" si="73"/>
        <v>6023</v>
      </c>
      <c r="BN220" s="5" t="s">
        <v>3154</v>
      </c>
      <c r="BO220" s="63">
        <v>936</v>
      </c>
      <c r="BP220" s="63">
        <v>33</v>
      </c>
      <c r="BR220" s="63"/>
      <c r="BX220" s="63" t="s">
        <v>4316</v>
      </c>
      <c r="BY220" s="63">
        <f t="shared" si="95"/>
        <v>0</v>
      </c>
      <c r="BZ220" s="63">
        <v>60014</v>
      </c>
      <c r="CA220" s="132">
        <f>768+1264+181+5</f>
        <v>2218</v>
      </c>
      <c r="CB220" s="8"/>
      <c r="CC220" s="63">
        <v>1264</v>
      </c>
    </row>
    <row r="221" spans="1:81" ht="13" hidden="1" customHeight="1" outlineLevel="1">
      <c r="A221" s="4" t="s">
        <v>1646</v>
      </c>
      <c r="B221" s="4" t="s">
        <v>907</v>
      </c>
      <c r="C221" s="1">
        <f t="shared" si="86"/>
        <v>48091</v>
      </c>
      <c r="D221" s="5">
        <f>IF(N221&gt;0, RANK(N221,(N221:P221,Q221:AE221)),0)</f>
        <v>1</v>
      </c>
      <c r="E221" s="5">
        <f>IF(O221&gt;0,RANK(O221,(N221:P221,Q221:AE221)),0)</f>
        <v>2</v>
      </c>
      <c r="F221" s="5">
        <f>IF(P221&gt;0,RANK(P221,(N221:P221,Q221:AE221)),0)</f>
        <v>7</v>
      </c>
      <c r="G221" s="132">
        <f t="shared" si="83"/>
        <v>19963</v>
      </c>
      <c r="H221" s="137">
        <f t="shared" si="84"/>
        <v>0.41510885612692605</v>
      </c>
      <c r="I221" s="2"/>
      <c r="J221" s="2">
        <f t="shared" si="87"/>
        <v>0.67927470836539061</v>
      </c>
      <c r="K221" s="2">
        <f t="shared" si="88"/>
        <v>0.26416585223846456</v>
      </c>
      <c r="L221" s="2">
        <f t="shared" si="89"/>
        <v>1.6843068349587241E-3</v>
      </c>
      <c r="M221" s="2">
        <f t="shared" si="90"/>
        <v>5.4875132561186105E-2</v>
      </c>
      <c r="N221" s="63">
        <v>32667</v>
      </c>
      <c r="O221" s="63">
        <v>12704</v>
      </c>
      <c r="P221" s="63">
        <v>81</v>
      </c>
      <c r="Q221" s="63">
        <v>1221</v>
      </c>
      <c r="R221" s="63">
        <v>745</v>
      </c>
      <c r="S221" s="63"/>
      <c r="T221" s="63"/>
      <c r="U221" s="63"/>
      <c r="V221" s="63">
        <v>339</v>
      </c>
      <c r="W221" s="63">
        <f>IF(Copyright!B$11=1,IF(CA221&gt;0,CA221-P221-SUM(Y221:AM221)-SUM(AN221:AQ221)-X221-SUM(S221:U221),SUM(CB221:CF221)),SUM(CC221:CF221))</f>
        <v>291</v>
      </c>
      <c r="X221" s="63"/>
      <c r="Y221" s="63"/>
      <c r="Z221" s="63"/>
      <c r="AA221" s="63"/>
      <c r="AB221" s="63"/>
      <c r="AC221" s="63"/>
      <c r="AD221" s="63"/>
      <c r="AE221" s="63">
        <v>0</v>
      </c>
      <c r="AF221" s="63">
        <v>0</v>
      </c>
      <c r="AG221" s="63"/>
      <c r="AH221" s="63"/>
      <c r="AI221" s="63"/>
      <c r="AJ221" s="63"/>
      <c r="AK221" s="63"/>
      <c r="AL221" s="63"/>
      <c r="AM221" s="63"/>
      <c r="AN221" s="63">
        <v>43</v>
      </c>
      <c r="AO221" s="63"/>
      <c r="AP221" s="63"/>
      <c r="AQ221" s="63"/>
      <c r="AR221" s="63"/>
      <c r="AS221" s="63"/>
      <c r="AT221" s="63"/>
      <c r="AU221" s="63"/>
      <c r="AW221" s="5">
        <f>IF(Q221&gt;0,RANK(Q221,(N221:P221,Q221:AE221)),0)</f>
        <v>3</v>
      </c>
      <c r="AX221" s="5">
        <f>IF(R221&gt;0,RANK(R221,(N221:P221,Q221:AE221)),0)</f>
        <v>4</v>
      </c>
      <c r="AY221" s="5">
        <f>IF(T221&gt;0,RANK(T221,(N221:P221,Q221:AE221)),0)</f>
        <v>0</v>
      </c>
      <c r="AZ221" s="5">
        <f>IF(S221&gt;0,RANK(S221,(N221:P221,Q221:AE221)),0)</f>
        <v>0</v>
      </c>
      <c r="BA221" s="2">
        <f t="shared" si="91"/>
        <v>2.5389365993637062E-2</v>
      </c>
      <c r="BB221" s="2">
        <f t="shared" si="92"/>
        <v>1.5491464099311722E-2</v>
      </c>
      <c r="BC221" s="2">
        <f t="shared" si="93"/>
        <v>0</v>
      </c>
      <c r="BD221" s="2">
        <f t="shared" si="94"/>
        <v>0</v>
      </c>
      <c r="BF221" s="4" t="s">
        <v>1646</v>
      </c>
      <c r="BG221" s="4" t="s">
        <v>907</v>
      </c>
      <c r="BH221">
        <v>51</v>
      </c>
      <c r="BJ221" s="114">
        <v>6</v>
      </c>
      <c r="BK221" s="116">
        <v>25</v>
      </c>
      <c r="BL221" s="120">
        <f t="shared" si="73"/>
        <v>6025</v>
      </c>
      <c r="BN221" s="5" t="s">
        <v>3154</v>
      </c>
      <c r="BR221" s="63"/>
      <c r="BS221" s="128"/>
      <c r="BY221" s="63">
        <f t="shared" si="95"/>
        <v>-48091</v>
      </c>
      <c r="CA221" s="63">
        <f>291+81+43</f>
        <v>415</v>
      </c>
      <c r="CB221" s="8"/>
      <c r="CC221" s="63">
        <v>291</v>
      </c>
    </row>
    <row r="222" spans="1:81" ht="13" hidden="1" customHeight="1" outlineLevel="1">
      <c r="A222" s="4" t="s">
        <v>2554</v>
      </c>
      <c r="B222" s="4" t="s">
        <v>907</v>
      </c>
      <c r="C222" s="1">
        <f t="shared" si="86"/>
        <v>8179</v>
      </c>
      <c r="D222" s="5">
        <f>IF(N222&gt;0, RANK(N222,(N222:P222,Q222:AE222)),0)</f>
        <v>2</v>
      </c>
      <c r="E222" s="5">
        <f>IF(O222&gt;0,RANK(O222,(N222:P222,Q222:AE222)),0)</f>
        <v>1</v>
      </c>
      <c r="F222" s="5">
        <f>IF(P222&gt;0,RANK(P222,(N222:P222,Q222:AE222)),0)</f>
        <v>7</v>
      </c>
      <c r="G222" s="132">
        <f t="shared" si="83"/>
        <v>1093</v>
      </c>
      <c r="H222" s="137">
        <f t="shared" si="84"/>
        <v>0.1336349186942169</v>
      </c>
      <c r="I222" s="2"/>
      <c r="J222" s="2">
        <f t="shared" si="87"/>
        <v>0.38574397848147696</v>
      </c>
      <c r="K222" s="2">
        <f t="shared" si="88"/>
        <v>0.51937889717569385</v>
      </c>
      <c r="L222" s="2">
        <f t="shared" si="89"/>
        <v>2.9343440518400784E-3</v>
      </c>
      <c r="M222" s="2">
        <f t="shared" si="90"/>
        <v>9.1942780290989165E-2</v>
      </c>
      <c r="N222" s="63">
        <v>3155</v>
      </c>
      <c r="O222" s="63">
        <v>4248</v>
      </c>
      <c r="P222" s="63">
        <v>24</v>
      </c>
      <c r="Q222" s="63">
        <v>328</v>
      </c>
      <c r="R222" s="63">
        <v>214</v>
      </c>
      <c r="S222" s="63"/>
      <c r="T222" s="63"/>
      <c r="U222" s="63"/>
      <c r="V222" s="63">
        <v>51</v>
      </c>
      <c r="W222" s="63">
        <f>IF(Copyright!B$11=1,IF(CA222&gt;0,CA222-P222-SUM(Y222:AM222)-SUM(AN222:AQ222)-X222-SUM(S222:U222),SUM(CB222:CF222)),SUM(CC222:CF222))</f>
        <v>159</v>
      </c>
      <c r="X222" s="63"/>
      <c r="Y222" s="63"/>
      <c r="Z222" s="63"/>
      <c r="AA222" s="63"/>
      <c r="AB222" s="63"/>
      <c r="AC222" s="63"/>
      <c r="AD222" s="63"/>
      <c r="AE222" s="63">
        <v>0</v>
      </c>
      <c r="AF222" s="63">
        <v>0</v>
      </c>
      <c r="AG222" s="63"/>
      <c r="AH222" s="63"/>
      <c r="AI222" s="63"/>
      <c r="AJ222" s="63"/>
      <c r="AK222" s="63"/>
      <c r="AL222" s="63"/>
      <c r="AM222" s="63"/>
      <c r="AN222" s="63">
        <v>0</v>
      </c>
      <c r="AO222" s="63"/>
      <c r="AP222" s="63"/>
      <c r="AQ222" s="63"/>
      <c r="AR222" s="63"/>
      <c r="AS222" s="63"/>
      <c r="AT222" s="63"/>
      <c r="AU222" s="63"/>
      <c r="AW222" s="5">
        <f>IF(Q222&gt;0,RANK(Q222,(N222:P222,Q222:AE222)),0)</f>
        <v>3</v>
      </c>
      <c r="AX222" s="5">
        <f>IF(R222&gt;0,RANK(R222,(N222:P222,Q222:AE222)),0)</f>
        <v>4</v>
      </c>
      <c r="AY222" s="5">
        <f>IF(T222&gt;0,RANK(T222,(N222:P222,Q222:AE222)),0)</f>
        <v>0</v>
      </c>
      <c r="AZ222" s="5">
        <f>IF(S222&gt;0,RANK(S222,(N222:P222,Q222:AE222)),0)</f>
        <v>0</v>
      </c>
      <c r="BA222" s="2">
        <f t="shared" si="91"/>
        <v>4.0102702041814403E-2</v>
      </c>
      <c r="BB222" s="2">
        <f t="shared" si="92"/>
        <v>2.616456779557403E-2</v>
      </c>
      <c r="BC222" s="2">
        <f t="shared" si="93"/>
        <v>0</v>
      </c>
      <c r="BD222" s="2">
        <f t="shared" si="94"/>
        <v>0</v>
      </c>
      <c r="BF222" s="4" t="s">
        <v>2554</v>
      </c>
      <c r="BG222" s="4" t="s">
        <v>907</v>
      </c>
      <c r="BH222">
        <v>8</v>
      </c>
      <c r="BJ222" s="114">
        <v>6</v>
      </c>
      <c r="BK222" s="116">
        <v>27</v>
      </c>
      <c r="BL222" s="120">
        <f t="shared" si="73"/>
        <v>6027</v>
      </c>
      <c r="BN222" s="5" t="s">
        <v>3154</v>
      </c>
      <c r="BR222" s="63"/>
      <c r="BX222" s="63" t="s">
        <v>4317</v>
      </c>
      <c r="BY222" s="63">
        <f t="shared" si="95"/>
        <v>0</v>
      </c>
      <c r="BZ222" s="63">
        <v>8179</v>
      </c>
      <c r="CA222" s="63">
        <v>183</v>
      </c>
      <c r="CB222" s="8"/>
      <c r="CC222" s="63">
        <v>66</v>
      </c>
    </row>
    <row r="223" spans="1:81" ht="13" hidden="1" customHeight="1" outlineLevel="1">
      <c r="A223" s="4" t="s">
        <v>304</v>
      </c>
      <c r="B223" s="4" t="s">
        <v>907</v>
      </c>
      <c r="C223" s="1">
        <f t="shared" si="86"/>
        <v>244163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7</v>
      </c>
      <c r="G223" s="132">
        <f t="shared" si="83"/>
        <v>30895</v>
      </c>
      <c r="H223" s="137">
        <f t="shared" si="84"/>
        <v>0.12653432338233064</v>
      </c>
      <c r="I223" s="2"/>
      <c r="J223" s="2">
        <f t="shared" si="87"/>
        <v>0.40419310051072438</v>
      </c>
      <c r="K223" s="2">
        <f t="shared" si="88"/>
        <v>0.53072742389305505</v>
      </c>
      <c r="L223" s="2">
        <f t="shared" si="89"/>
        <v>3.6492015579756149E-3</v>
      </c>
      <c r="M223" s="2">
        <f t="shared" si="90"/>
        <v>6.14302740382449E-2</v>
      </c>
      <c r="N223" s="63">
        <v>98689</v>
      </c>
      <c r="O223" s="63">
        <v>129584</v>
      </c>
      <c r="P223" s="63">
        <v>891</v>
      </c>
      <c r="Q223" s="63">
        <v>9359</v>
      </c>
      <c r="R223" s="63">
        <v>2887</v>
      </c>
      <c r="S223" s="63"/>
      <c r="T223" s="63"/>
      <c r="U223" s="63"/>
      <c r="V223" s="63">
        <v>1522</v>
      </c>
      <c r="W223" s="63">
        <f>IF(Copyright!B$11=1,IF(CA223&gt;0,CA223-P223-SUM(Y223:AM223)-SUM(AN223:AQ223)-X223-SUM(S223:U223),SUM(CB223:CF223)),SUM(CC223:CF223))</f>
        <v>1199</v>
      </c>
      <c r="X223" s="63"/>
      <c r="Y223" s="63"/>
      <c r="Z223" s="63"/>
      <c r="AA223" s="63"/>
      <c r="AB223" s="63"/>
      <c r="AC223" s="63"/>
      <c r="AD223" s="63"/>
      <c r="AE223" s="63">
        <v>3</v>
      </c>
      <c r="AF223" s="63">
        <v>2</v>
      </c>
      <c r="AG223" s="63"/>
      <c r="AH223" s="63"/>
      <c r="AI223" s="63"/>
      <c r="AJ223" s="63"/>
      <c r="AK223" s="63"/>
      <c r="AL223" s="63"/>
      <c r="AM223" s="63"/>
      <c r="AN223" s="63">
        <v>27</v>
      </c>
      <c r="AO223" s="63"/>
      <c r="AP223" s="63"/>
      <c r="AQ223" s="63"/>
      <c r="AR223" s="63"/>
      <c r="AS223" s="63"/>
      <c r="AT223" s="63"/>
      <c r="AU223" s="63"/>
      <c r="AW223" s="5">
        <f>IF(Q223&gt;0,RANK(Q223,(N223:P223,Q223:AE223)),0)</f>
        <v>3</v>
      </c>
      <c r="AX223" s="5">
        <f>IF(R223&gt;0,RANK(R223,(N223:P223,Q223:AE223)),0)</f>
        <v>4</v>
      </c>
      <c r="AY223" s="5">
        <f>IF(T223&gt;0,RANK(T223,(N223:P223,Q223:AE223)),0)</f>
        <v>0</v>
      </c>
      <c r="AZ223" s="5">
        <f>IF(S223&gt;0,RANK(S223,(N223:P223,Q223:AE223)),0)</f>
        <v>0</v>
      </c>
      <c r="BA223" s="2">
        <f t="shared" si="91"/>
        <v>3.8330951044998625E-2</v>
      </c>
      <c r="BB223" s="2">
        <f t="shared" si="92"/>
        <v>1.1824068347784062E-2</v>
      </c>
      <c r="BC223" s="2">
        <f t="shared" si="93"/>
        <v>0</v>
      </c>
      <c r="BD223" s="2">
        <f t="shared" si="94"/>
        <v>0</v>
      </c>
      <c r="BF223" s="4" t="s">
        <v>304</v>
      </c>
      <c r="BG223" s="4" t="s">
        <v>907</v>
      </c>
      <c r="BJ223" s="114">
        <v>6</v>
      </c>
      <c r="BK223" s="116">
        <v>29</v>
      </c>
      <c r="BL223" s="120">
        <f t="shared" si="73"/>
        <v>6029</v>
      </c>
      <c r="BN223" s="5" t="s">
        <v>3154</v>
      </c>
      <c r="BR223" s="63"/>
      <c r="BS223" s="128"/>
      <c r="BY223" s="63">
        <f t="shared" si="95"/>
        <v>-244163</v>
      </c>
      <c r="CA223" s="63">
        <f>1199+891+2+3+27</f>
        <v>2122</v>
      </c>
      <c r="CB223" s="8"/>
      <c r="CC223" s="63">
        <v>1199</v>
      </c>
    </row>
    <row r="224" spans="1:81" ht="13" hidden="1" customHeight="1" outlineLevel="1">
      <c r="A224" s="4" t="s">
        <v>463</v>
      </c>
      <c r="B224" s="4" t="s">
        <v>907</v>
      </c>
      <c r="C224" s="1">
        <f t="shared" si="86"/>
        <v>34310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>IF(P224&gt;0,RANK(P224,(N224:P224,Q224:AE224)),0)</f>
        <v>7</v>
      </c>
      <c r="G224" s="132">
        <f t="shared" si="83"/>
        <v>4476</v>
      </c>
      <c r="H224" s="137">
        <f t="shared" si="84"/>
        <v>0.13045759253861847</v>
      </c>
      <c r="I224" s="2"/>
      <c r="J224" s="2">
        <f t="shared" si="87"/>
        <v>0.39688137569221799</v>
      </c>
      <c r="K224" s="2">
        <f t="shared" si="88"/>
        <v>0.52733896823083648</v>
      </c>
      <c r="L224" s="2">
        <f t="shared" si="89"/>
        <v>2.6231419411250363E-3</v>
      </c>
      <c r="M224" s="2">
        <f t="shared" si="90"/>
        <v>7.3156514135820444E-2</v>
      </c>
      <c r="N224" s="63">
        <v>13617</v>
      </c>
      <c r="O224" s="63">
        <v>18093</v>
      </c>
      <c r="P224" s="63">
        <v>90</v>
      </c>
      <c r="Q224" s="63">
        <v>1338</v>
      </c>
      <c r="R224" s="63">
        <v>411</v>
      </c>
      <c r="S224" s="63"/>
      <c r="T224" s="63"/>
      <c r="U224" s="63"/>
      <c r="V224" s="63">
        <v>251</v>
      </c>
      <c r="W224" s="63">
        <f>IF(Copyright!B$11=1,IF(CA224&gt;0,CA224-P224-SUM(Y224:AM224)-SUM(AN224:AQ224)-X224-SUM(S224:U224),SUM(CB224:CF224)),SUM(CC224:CF224))</f>
        <v>510</v>
      </c>
      <c r="X224" s="63"/>
      <c r="Y224" s="63"/>
      <c r="Z224" s="63"/>
      <c r="AA224" s="63"/>
      <c r="AB224" s="63"/>
      <c r="AC224" s="63"/>
      <c r="AD224" s="63"/>
      <c r="AE224" s="63">
        <v>0</v>
      </c>
      <c r="AF224" s="63">
        <v>0</v>
      </c>
      <c r="AG224" s="63"/>
      <c r="AH224" s="63"/>
      <c r="AI224" s="63"/>
      <c r="AJ224" s="63"/>
      <c r="AK224" s="63"/>
      <c r="AL224" s="63"/>
      <c r="AM224" s="63"/>
      <c r="AN224" s="63">
        <v>0</v>
      </c>
      <c r="AO224" s="63"/>
      <c r="AP224" s="63"/>
      <c r="AQ224" s="63"/>
      <c r="AR224" s="63"/>
      <c r="AS224" s="63"/>
      <c r="AT224" s="63"/>
      <c r="AU224" s="63"/>
      <c r="AW224" s="5">
        <f>IF(Q224&gt;0,RANK(Q224,(N224:P224,Q224:AE224)),0)</f>
        <v>3</v>
      </c>
      <c r="AX224" s="5">
        <f>IF(R224&gt;0,RANK(R224,(N224:P224,Q224:AE224)),0)</f>
        <v>5</v>
      </c>
      <c r="AY224" s="5">
        <f>IF(T224&gt;0,RANK(T224,(N224:P224,Q224:AE224)),0)</f>
        <v>0</v>
      </c>
      <c r="AZ224" s="5">
        <f>IF(S224&gt;0,RANK(S224,(N224:P224,Q224:AE224)),0)</f>
        <v>0</v>
      </c>
      <c r="BA224" s="2">
        <f t="shared" si="91"/>
        <v>3.8997376858058874E-2</v>
      </c>
      <c r="BB224" s="2">
        <f t="shared" si="92"/>
        <v>1.1979014864471E-2</v>
      </c>
      <c r="BC224" s="2">
        <f t="shared" si="93"/>
        <v>0</v>
      </c>
      <c r="BD224" s="2">
        <f t="shared" si="94"/>
        <v>0</v>
      </c>
      <c r="BF224" s="4" t="s">
        <v>463</v>
      </c>
      <c r="BG224" s="4" t="s">
        <v>907</v>
      </c>
      <c r="BH224">
        <v>21</v>
      </c>
      <c r="BJ224" s="114">
        <v>6</v>
      </c>
      <c r="BK224" s="116">
        <v>31</v>
      </c>
      <c r="BL224" s="120">
        <f t="shared" si="73"/>
        <v>6031</v>
      </c>
      <c r="BN224" s="5" t="s">
        <v>3154</v>
      </c>
      <c r="BR224" s="63"/>
      <c r="BS224" s="128"/>
      <c r="BX224" s="63" t="s">
        <v>4318</v>
      </c>
      <c r="BY224" s="63">
        <f t="shared" si="95"/>
        <v>0</v>
      </c>
      <c r="BZ224" s="63">
        <v>34310</v>
      </c>
      <c r="CA224" s="63">
        <v>600</v>
      </c>
      <c r="CB224" s="8"/>
      <c r="CC224" s="63">
        <v>115</v>
      </c>
    </row>
    <row r="225" spans="1:81" ht="13" hidden="1" customHeight="1" outlineLevel="1">
      <c r="A225" s="4" t="s">
        <v>820</v>
      </c>
      <c r="B225" s="4" t="s">
        <v>907</v>
      </c>
      <c r="C225" s="1">
        <f t="shared" si="86"/>
        <v>24684</v>
      </c>
      <c r="D225" s="5">
        <f>IF(N225&gt;0, RANK(N225,(N225:P225,Q225:AE225)),0)</f>
        <v>1</v>
      </c>
      <c r="E225" s="5">
        <f>IF(O225&gt;0,RANK(O225,(N225:P225,Q225:AE225)),0)</f>
        <v>2</v>
      </c>
      <c r="F225" s="5">
        <f>IF(P225&gt;0,RANK(P225,(N225:P225,Q225:AE225)),0)</f>
        <v>7</v>
      </c>
      <c r="G225" s="132">
        <f t="shared" si="83"/>
        <v>897</v>
      </c>
      <c r="H225" s="137">
        <f t="shared" si="84"/>
        <v>3.6339329120077785E-2</v>
      </c>
      <c r="I225" s="2"/>
      <c r="J225" s="2">
        <f t="shared" si="87"/>
        <v>0.46588883487279209</v>
      </c>
      <c r="K225" s="2">
        <f t="shared" si="88"/>
        <v>0.42954950575271433</v>
      </c>
      <c r="L225" s="2">
        <f t="shared" si="89"/>
        <v>2.1471398476746069E-3</v>
      </c>
      <c r="M225" s="2">
        <f t="shared" si="90"/>
        <v>0.10241451952681897</v>
      </c>
      <c r="N225" s="63">
        <v>11500</v>
      </c>
      <c r="O225" s="63">
        <v>10603</v>
      </c>
      <c r="P225" s="63">
        <v>53</v>
      </c>
      <c r="Q225" s="63">
        <v>1095</v>
      </c>
      <c r="R225" s="63">
        <v>931</v>
      </c>
      <c r="S225" s="63"/>
      <c r="T225" s="63"/>
      <c r="U225" s="63"/>
      <c r="V225" s="63">
        <v>103</v>
      </c>
      <c r="W225" s="63">
        <f>IF(Copyright!B$11=1,IF(CA225&gt;0,CA225-P225-SUM(Y225:AM225)-SUM(AN225:AQ225)-X225-SUM(S225:U225),SUM(CB225:CF225)),SUM(CC225:CF225))</f>
        <v>398</v>
      </c>
      <c r="X225" s="63"/>
      <c r="Y225" s="63"/>
      <c r="Z225" s="63"/>
      <c r="AA225" s="63"/>
      <c r="AB225" s="63"/>
      <c r="AC225" s="63"/>
      <c r="AD225" s="63"/>
      <c r="AE225" s="63">
        <v>0</v>
      </c>
      <c r="AF225" s="63">
        <v>0</v>
      </c>
      <c r="AG225" s="63"/>
      <c r="AH225" s="63"/>
      <c r="AI225" s="63"/>
      <c r="AJ225" s="63"/>
      <c r="AK225" s="63"/>
      <c r="AL225" s="63"/>
      <c r="AM225" s="63"/>
      <c r="AN225" s="63">
        <v>1</v>
      </c>
      <c r="AO225" s="63"/>
      <c r="AP225" s="63"/>
      <c r="AQ225" s="63"/>
      <c r="AR225" s="63"/>
      <c r="AS225" s="63"/>
      <c r="AT225" s="63"/>
      <c r="AU225" s="63"/>
      <c r="AW225" s="5">
        <f>IF(Q225&gt;0,RANK(Q225,(N225:P225,Q225:AE225)),0)</f>
        <v>3</v>
      </c>
      <c r="AX225" s="5">
        <f>IF(R225&gt;0,RANK(R225,(N225:P225,Q225:AE225)),0)</f>
        <v>4</v>
      </c>
      <c r="AY225" s="5">
        <f>IF(T225&gt;0,RANK(T225,(N225:P225,Q225:AE225)),0)</f>
        <v>0</v>
      </c>
      <c r="AZ225" s="5">
        <f>IF(S225&gt;0,RANK(S225,(N225:P225,Q225:AE225)),0)</f>
        <v>0</v>
      </c>
      <c r="BA225" s="2">
        <f t="shared" si="91"/>
        <v>4.4360719494409333E-2</v>
      </c>
      <c r="BB225" s="2">
        <f t="shared" si="92"/>
        <v>3.7716739588397344E-2</v>
      </c>
      <c r="BC225" s="2">
        <f t="shared" si="93"/>
        <v>0</v>
      </c>
      <c r="BD225" s="2">
        <f t="shared" si="94"/>
        <v>0</v>
      </c>
      <c r="BF225" s="4" t="s">
        <v>820</v>
      </c>
      <c r="BG225" s="4" t="s">
        <v>907</v>
      </c>
      <c r="BJ225" s="114">
        <v>6</v>
      </c>
      <c r="BK225" s="116">
        <v>33</v>
      </c>
      <c r="BL225" s="120">
        <f t="shared" si="73"/>
        <v>6033</v>
      </c>
      <c r="BN225" s="5" t="s">
        <v>3154</v>
      </c>
      <c r="BR225" s="63"/>
      <c r="BS225" s="128"/>
      <c r="BX225" s="63" t="s">
        <v>4319</v>
      </c>
      <c r="BY225" s="63">
        <f t="shared" si="95"/>
        <v>0</v>
      </c>
      <c r="BZ225" s="63">
        <f>11500+10603+1095+931+452+103</f>
        <v>24684</v>
      </c>
      <c r="CA225" s="63">
        <v>452</v>
      </c>
      <c r="CB225" s="8"/>
      <c r="CC225" s="63">
        <v>219</v>
      </c>
    </row>
    <row r="226" spans="1:81" ht="13" hidden="1" customHeight="1" outlineLevel="1">
      <c r="A226" s="4" t="s">
        <v>1339</v>
      </c>
      <c r="B226" s="4" t="s">
        <v>907</v>
      </c>
      <c r="C226" s="1">
        <f t="shared" si="86"/>
        <v>10699</v>
      </c>
      <c r="D226" s="5">
        <f>IF(N226&gt;0, RANK(N226,(N226:P226,Q226:AE226)),0)</f>
        <v>2</v>
      </c>
      <c r="E226" s="5">
        <f>IF(O226&gt;0,RANK(O226,(N226:P226,Q226:AE226)),0)</f>
        <v>1</v>
      </c>
      <c r="F226" s="5">
        <f>IF(P226&gt;0,RANK(P226,(N226:P226,Q226:AE226)),0)</f>
        <v>6</v>
      </c>
      <c r="G226" s="132">
        <f t="shared" si="83"/>
        <v>5350</v>
      </c>
      <c r="H226" s="137">
        <f t="shared" si="84"/>
        <v>0.5000467333395644</v>
      </c>
      <c r="I226" s="2"/>
      <c r="J226" s="2">
        <f t="shared" si="87"/>
        <v>0.20786989438265258</v>
      </c>
      <c r="K226" s="2">
        <f t="shared" si="88"/>
        <v>0.70791662772221708</v>
      </c>
      <c r="L226" s="2">
        <f t="shared" si="89"/>
        <v>4.3929339190578558E-3</v>
      </c>
      <c r="M226" s="2">
        <f t="shared" si="90"/>
        <v>7.9820543976072481E-2</v>
      </c>
      <c r="N226" s="63">
        <v>2224</v>
      </c>
      <c r="O226" s="63">
        <v>7574</v>
      </c>
      <c r="P226" s="63">
        <v>47</v>
      </c>
      <c r="Q226" s="63">
        <v>473</v>
      </c>
      <c r="R226" s="63">
        <v>105</v>
      </c>
      <c r="S226" s="63"/>
      <c r="T226" s="63"/>
      <c r="U226" s="63"/>
      <c r="V226" s="63">
        <v>46</v>
      </c>
      <c r="W226" s="63">
        <f>IF(Copyright!B$11=1,IF(CA226&gt;0,CA226-P226-SUM(Y226:AM226)-SUM(AN226:AQ226)-X226-SUM(S226:U226),SUM(CB226:CF226)),SUM(CC226:CF226))</f>
        <v>227</v>
      </c>
      <c r="X226" s="63"/>
      <c r="Y226" s="63"/>
      <c r="Z226" s="63"/>
      <c r="AA226" s="63"/>
      <c r="AB226" s="63"/>
      <c r="AC226" s="63"/>
      <c r="AD226" s="63"/>
      <c r="AE226" s="63">
        <v>2</v>
      </c>
      <c r="AF226" s="63">
        <v>0</v>
      </c>
      <c r="AG226" s="63"/>
      <c r="AH226" s="63"/>
      <c r="AI226" s="63"/>
      <c r="AJ226" s="63"/>
      <c r="AK226" s="63"/>
      <c r="AL226" s="63"/>
      <c r="AM226" s="63"/>
      <c r="AN226" s="63">
        <v>1</v>
      </c>
      <c r="AO226" s="63"/>
      <c r="AP226" s="63"/>
      <c r="AQ226" s="63"/>
      <c r="AR226" s="63"/>
      <c r="AS226" s="63"/>
      <c r="AT226" s="63"/>
      <c r="AU226" s="63"/>
      <c r="AW226" s="5">
        <f>IF(Q226&gt;0,RANK(Q226,(N226:P226,Q226:AE226)),0)</f>
        <v>3</v>
      </c>
      <c r="AX226" s="5">
        <f>IF(R226&gt;0,RANK(R226,(N226:P226,Q226:AE226)),0)</f>
        <v>5</v>
      </c>
      <c r="AY226" s="5">
        <f>IF(T226&gt;0,RANK(T226,(N226:P226,Q226:AE226)),0)</f>
        <v>0</v>
      </c>
      <c r="AZ226" s="5">
        <f>IF(S226&gt;0,RANK(S226,(N226:P226,Q226:AE226)),0)</f>
        <v>0</v>
      </c>
      <c r="BA226" s="2">
        <f t="shared" si="91"/>
        <v>4.4209739227965228E-2</v>
      </c>
      <c r="BB226" s="2">
        <f t="shared" si="92"/>
        <v>9.8140013085335071E-3</v>
      </c>
      <c r="BC226" s="2">
        <f t="shared" si="93"/>
        <v>0</v>
      </c>
      <c r="BD226" s="2">
        <f t="shared" si="94"/>
        <v>0</v>
      </c>
      <c r="BF226" s="4" t="s">
        <v>1339</v>
      </c>
      <c r="BG226" s="4" t="s">
        <v>907</v>
      </c>
      <c r="BH226">
        <v>1</v>
      </c>
      <c r="BJ226" s="114">
        <v>6</v>
      </c>
      <c r="BK226" s="116">
        <v>35</v>
      </c>
      <c r="BL226" s="120">
        <f t="shared" si="73"/>
        <v>6035</v>
      </c>
      <c r="BN226" s="5" t="s">
        <v>3154</v>
      </c>
      <c r="BR226" s="63"/>
      <c r="BX226" s="63" t="s">
        <v>4320</v>
      </c>
      <c r="BY226" s="63">
        <f t="shared" si="95"/>
        <v>0</v>
      </c>
      <c r="BZ226" s="63">
        <v>10699</v>
      </c>
      <c r="CA226" s="63">
        <f>175+47+52+3</f>
        <v>277</v>
      </c>
      <c r="CB226" s="8"/>
      <c r="CC226" s="63">
        <v>52</v>
      </c>
    </row>
    <row r="227" spans="1:81" ht="13" hidden="1" customHeight="1" outlineLevel="1">
      <c r="A227" s="4" t="s">
        <v>991</v>
      </c>
      <c r="B227" s="4" t="s">
        <v>907</v>
      </c>
      <c r="C227" s="1">
        <f t="shared" si="86"/>
        <v>3434308</v>
      </c>
      <c r="D227" s="5">
        <f>IF(N227&gt;0, RANK(N227,(N227:P227,Q227:AE227)),0)</f>
        <v>1</v>
      </c>
      <c r="E227" s="5">
        <f>IF(O227&gt;0,RANK(O227,(N227:P227,Q227:AE227)),0)</f>
        <v>2</v>
      </c>
      <c r="F227" s="5">
        <f>IF(P227&gt;0,RANK(P227,(N227:P227,Q227:AE227)),0)</f>
        <v>7</v>
      </c>
      <c r="G227" s="132">
        <f t="shared" si="83"/>
        <v>1694621</v>
      </c>
      <c r="H227" s="137">
        <f t="shared" si="84"/>
        <v>0.49343885289263512</v>
      </c>
      <c r="I227" s="2"/>
      <c r="J227" s="2">
        <f t="shared" si="87"/>
        <v>0.7175722154215638</v>
      </c>
      <c r="K227" s="2">
        <f t="shared" si="88"/>
        <v>0.22413336252892868</v>
      </c>
      <c r="L227" s="2">
        <f t="shared" si="89"/>
        <v>1.341463840750451E-3</v>
      </c>
      <c r="M227" s="2">
        <f t="shared" si="90"/>
        <v>5.6952958208757072E-2</v>
      </c>
      <c r="N227" s="63">
        <v>2464364</v>
      </c>
      <c r="O227" s="63">
        <v>769743</v>
      </c>
      <c r="P227" s="63">
        <v>4607</v>
      </c>
      <c r="Q227" s="63">
        <v>88968</v>
      </c>
      <c r="R227" s="63">
        <v>76465</v>
      </c>
      <c r="S227" s="63"/>
      <c r="T227" s="63"/>
      <c r="U227" s="63"/>
      <c r="V227" s="63">
        <v>21993</v>
      </c>
      <c r="W227" s="63">
        <f>IF(Copyright!B$11=1,IF(CA227&gt;0,CA227-P227-SUM(Y227:AM227)-SUM(AN227:AQ227)-X227-SUM(S227:U227),SUM(CB227:CF227)),SUM(CC227:CF227))</f>
        <v>7724</v>
      </c>
      <c r="X227" s="63"/>
      <c r="Y227" s="63"/>
      <c r="Z227" s="132"/>
      <c r="AA227" s="63"/>
      <c r="AB227" s="63"/>
      <c r="AC227" s="63"/>
      <c r="AD227" s="63"/>
      <c r="AE227" s="63">
        <v>155</v>
      </c>
      <c r="AF227" s="63">
        <v>15</v>
      </c>
      <c r="AG227" s="63"/>
      <c r="AH227" s="63"/>
      <c r="AI227" s="63"/>
      <c r="AJ227" s="63"/>
      <c r="AK227" s="63"/>
      <c r="AL227" s="63"/>
      <c r="AM227" s="63"/>
      <c r="AN227" s="63">
        <v>274</v>
      </c>
      <c r="AO227" s="63"/>
      <c r="AP227" s="63"/>
      <c r="AQ227" s="63"/>
      <c r="AR227" s="63"/>
      <c r="AS227" s="63"/>
      <c r="AT227" s="63"/>
      <c r="AU227" s="63"/>
      <c r="AW227" s="5">
        <f>IF(Q227&gt;0,RANK(Q227,(N227:P227,Q227:AE227)),0)</f>
        <v>3</v>
      </c>
      <c r="AX227" s="5">
        <f>IF(R227&gt;0,RANK(R227,(N227:P227,Q227:AE227)),0)</f>
        <v>4</v>
      </c>
      <c r="AY227" s="5">
        <f>IF(T227&gt;0,RANK(T227,(N227:P227,Q227:AE227)),0)</f>
        <v>0</v>
      </c>
      <c r="AZ227" s="5">
        <f>IF(S227&gt;0,RANK(S227,(N227:P227,Q227:AE227)),0)</f>
        <v>0</v>
      </c>
      <c r="BA227" s="2">
        <f t="shared" si="91"/>
        <v>2.5905655520704608E-2</v>
      </c>
      <c r="BB227" s="2">
        <f t="shared" si="92"/>
        <v>2.2265038546338885E-2</v>
      </c>
      <c r="BC227" s="2">
        <f t="shared" si="93"/>
        <v>0</v>
      </c>
      <c r="BD227" s="2">
        <f t="shared" si="94"/>
        <v>0</v>
      </c>
      <c r="BF227" s="4" t="s">
        <v>991</v>
      </c>
      <c r="BG227" s="4" t="s">
        <v>907</v>
      </c>
      <c r="BJ227" s="114">
        <v>6</v>
      </c>
      <c r="BK227" s="116">
        <v>37</v>
      </c>
      <c r="BL227" s="120">
        <f t="shared" si="73"/>
        <v>6037</v>
      </c>
      <c r="BN227" s="5" t="s">
        <v>3154</v>
      </c>
      <c r="BR227" s="63"/>
      <c r="BY227" s="63">
        <f t="shared" si="95"/>
        <v>-3434308</v>
      </c>
      <c r="CA227" s="63">
        <f>155+274+4607+7724+15</f>
        <v>12775</v>
      </c>
      <c r="CB227" s="8"/>
      <c r="CC227" s="63">
        <v>7724</v>
      </c>
    </row>
    <row r="228" spans="1:81" ht="13" hidden="1" customHeight="1" outlineLevel="1">
      <c r="A228" s="4" t="s">
        <v>2796</v>
      </c>
      <c r="B228" s="4" t="s">
        <v>907</v>
      </c>
      <c r="C228" s="1">
        <f t="shared" si="86"/>
        <v>43507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>IF(P228&gt;0,RANK(P228,(N228:P228,Q228:AE228)),0)</f>
        <v>7</v>
      </c>
      <c r="G228" s="132">
        <f t="shared" si="83"/>
        <v>6328</v>
      </c>
      <c r="H228" s="137">
        <f t="shared" si="84"/>
        <v>0.145447858965224</v>
      </c>
      <c r="I228" s="2"/>
      <c r="J228" s="2">
        <f t="shared" si="87"/>
        <v>0.39140827912749671</v>
      </c>
      <c r="K228" s="2">
        <f t="shared" si="88"/>
        <v>0.5368561380927207</v>
      </c>
      <c r="L228" s="2">
        <f t="shared" si="89"/>
        <v>3.3327970211690073E-3</v>
      </c>
      <c r="M228" s="2">
        <f t="shared" si="90"/>
        <v>6.8402785758613638E-2</v>
      </c>
      <c r="N228" s="63">
        <v>17029</v>
      </c>
      <c r="O228" s="63">
        <v>23357</v>
      </c>
      <c r="P228" s="63">
        <v>145</v>
      </c>
      <c r="Q228" s="63">
        <v>1558</v>
      </c>
      <c r="R228" s="63">
        <v>644</v>
      </c>
      <c r="S228" s="63"/>
      <c r="T228" s="63"/>
      <c r="U228" s="63"/>
      <c r="V228" s="63">
        <v>187</v>
      </c>
      <c r="W228" s="63">
        <f>IF(Copyright!B$11=1,IF(CA228&gt;0,CA228-P228-SUM(Y228:AM228)-SUM(AN228:AQ228)-X228-SUM(S228:U228),SUM(CB228:CF228)),SUM(CC228:CF228))</f>
        <v>578</v>
      </c>
      <c r="X228" s="63"/>
      <c r="Y228" s="63"/>
      <c r="Z228" s="63"/>
      <c r="AA228" s="63"/>
      <c r="AB228" s="63"/>
      <c r="AC228" s="63"/>
      <c r="AD228" s="63"/>
      <c r="AE228" s="63">
        <v>0</v>
      </c>
      <c r="AF228" s="63">
        <v>0</v>
      </c>
      <c r="AG228" s="63"/>
      <c r="AH228" s="63"/>
      <c r="AI228" s="63"/>
      <c r="AJ228" s="63"/>
      <c r="AK228" s="63"/>
      <c r="AL228" s="63"/>
      <c r="AM228" s="63"/>
      <c r="AN228" s="63">
        <v>9</v>
      </c>
      <c r="AO228" s="63"/>
      <c r="AP228" s="63"/>
      <c r="AQ228" s="63"/>
      <c r="AR228" s="63"/>
      <c r="AS228" s="63"/>
      <c r="AT228" s="63"/>
      <c r="AU228" s="63"/>
      <c r="AW228" s="5">
        <f>IF(Q228&gt;0,RANK(Q228,(N228:P228,Q228:AE228)),0)</f>
        <v>3</v>
      </c>
      <c r="AX228" s="5">
        <f>IF(R228&gt;0,RANK(R228,(N228:P228,Q228:AE228)),0)</f>
        <v>4</v>
      </c>
      <c r="AY228" s="5">
        <f>IF(T228&gt;0,RANK(T228,(N228:P228,Q228:AE228)),0)</f>
        <v>0</v>
      </c>
      <c r="AZ228" s="5">
        <f>IF(S228&gt;0,RANK(S228,(N228:P228,Q228:AE228)),0)</f>
        <v>0</v>
      </c>
      <c r="BA228" s="2">
        <f t="shared" si="91"/>
        <v>3.581032937228492E-2</v>
      </c>
      <c r="BB228" s="2">
        <f t="shared" si="92"/>
        <v>1.4802215735398902E-2</v>
      </c>
      <c r="BC228" s="2">
        <f t="shared" si="93"/>
        <v>0</v>
      </c>
      <c r="BD228" s="2">
        <f t="shared" si="94"/>
        <v>0</v>
      </c>
      <c r="BF228" s="4" t="s">
        <v>2796</v>
      </c>
      <c r="BG228" s="4" t="s">
        <v>907</v>
      </c>
      <c r="BJ228" s="114">
        <v>6</v>
      </c>
      <c r="BK228" s="116">
        <v>39</v>
      </c>
      <c r="BL228" s="120">
        <f t="shared" si="73"/>
        <v>6039</v>
      </c>
      <c r="BN228" s="5" t="s">
        <v>3154</v>
      </c>
      <c r="BR228" s="63"/>
      <c r="BX228" s="63" t="s">
        <v>4321</v>
      </c>
      <c r="BY228" s="63">
        <f t="shared" si="95"/>
        <v>0</v>
      </c>
      <c r="BZ228" s="63">
        <f>23357+17029+1558+732+644+187</f>
        <v>43507</v>
      </c>
      <c r="CA228" s="63">
        <v>732</v>
      </c>
      <c r="CB228" s="8"/>
      <c r="CC228" s="63">
        <v>183</v>
      </c>
    </row>
    <row r="229" spans="1:81" ht="13" hidden="1" customHeight="1" outlineLevel="1">
      <c r="A229" s="4" t="s">
        <v>1838</v>
      </c>
      <c r="B229" s="4" t="s">
        <v>907</v>
      </c>
      <c r="C229" s="1">
        <f t="shared" si="86"/>
        <v>140683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>IF(P229&gt;0,RANK(P229,(N229:P229,Q229:AE229)),0)</f>
        <v>7</v>
      </c>
      <c r="G229" s="132">
        <f t="shared" si="83"/>
        <v>86936</v>
      </c>
      <c r="H229" s="137">
        <f t="shared" si="84"/>
        <v>0.61795668275484605</v>
      </c>
      <c r="I229" s="2"/>
      <c r="J229" s="2">
        <f t="shared" si="87"/>
        <v>0.77270885608069206</v>
      </c>
      <c r="K229" s="2">
        <f t="shared" si="88"/>
        <v>0.15475217332584604</v>
      </c>
      <c r="L229" s="2">
        <f t="shared" si="89"/>
        <v>1.7699366661217064E-3</v>
      </c>
      <c r="M229" s="2">
        <f t="shared" si="90"/>
        <v>7.0769033927340186E-2</v>
      </c>
      <c r="N229" s="63">
        <v>108707</v>
      </c>
      <c r="O229" s="63">
        <v>21771</v>
      </c>
      <c r="P229" s="63">
        <v>249</v>
      </c>
      <c r="Q229" s="63">
        <v>4180</v>
      </c>
      <c r="R229" s="63">
        <v>3109</v>
      </c>
      <c r="S229" s="63"/>
      <c r="T229" s="63"/>
      <c r="U229" s="63"/>
      <c r="V229" s="63">
        <v>351</v>
      </c>
      <c r="W229" s="63">
        <f>IF(Copyright!B$11=1,IF(CA229&gt;0,CA229-P229-SUM(Y229:AM229)-SUM(AN229:AQ229)-X229-SUM(S229:U229),SUM(CB229:CF229)),SUM(CC229:CF229))</f>
        <v>2306</v>
      </c>
      <c r="X229" s="63"/>
      <c r="Y229" s="63"/>
      <c r="Z229" s="63"/>
      <c r="AA229" s="63"/>
      <c r="AB229" s="63"/>
      <c r="AC229" s="63"/>
      <c r="AD229" s="63"/>
      <c r="AE229" s="63">
        <v>6</v>
      </c>
      <c r="AF229" s="63">
        <v>0</v>
      </c>
      <c r="AG229" s="63"/>
      <c r="AH229" s="63"/>
      <c r="AI229" s="63"/>
      <c r="AJ229" s="63"/>
      <c r="AK229" s="63"/>
      <c r="AL229" s="63"/>
      <c r="AM229" s="63"/>
      <c r="AN229" s="63">
        <v>4</v>
      </c>
      <c r="AO229" s="63"/>
      <c r="AP229" s="63"/>
      <c r="AQ229" s="63"/>
      <c r="AR229" s="63"/>
      <c r="AS229" s="63"/>
      <c r="AT229" s="63"/>
      <c r="AU229" s="63"/>
      <c r="AW229" s="5">
        <f>IF(Q229&gt;0,RANK(Q229,(N229:P229,Q229:AE229)),0)</f>
        <v>3</v>
      </c>
      <c r="AX229" s="5">
        <f>IF(R229&gt;0,RANK(R229,(N229:P229,Q229:AE229)),0)</f>
        <v>4</v>
      </c>
      <c r="AY229" s="5">
        <f>IF(T229&gt;0,RANK(T229,(N229:P229,Q229:AE229)),0)</f>
        <v>0</v>
      </c>
      <c r="AZ229" s="5">
        <f>IF(S229&gt;0,RANK(S229,(N229:P229,Q229:AE229)),0)</f>
        <v>0</v>
      </c>
      <c r="BA229" s="2">
        <f t="shared" si="91"/>
        <v>2.9712189816822217E-2</v>
      </c>
      <c r="BB229" s="2">
        <f t="shared" si="92"/>
        <v>2.2099329698684275E-2</v>
      </c>
      <c r="BC229" s="2">
        <f t="shared" si="93"/>
        <v>0</v>
      </c>
      <c r="BD229" s="2">
        <f t="shared" si="94"/>
        <v>0</v>
      </c>
      <c r="BF229" s="4" t="s">
        <v>1838</v>
      </c>
      <c r="BG229" s="4" t="s">
        <v>907</v>
      </c>
      <c r="BH229">
        <v>2</v>
      </c>
      <c r="BJ229" s="114">
        <v>6</v>
      </c>
      <c r="BK229" s="116">
        <v>41</v>
      </c>
      <c r="BL229" s="120">
        <f t="shared" si="73"/>
        <v>6041</v>
      </c>
      <c r="BN229" s="5" t="s">
        <v>3154</v>
      </c>
      <c r="BR229" s="63"/>
      <c r="BS229" s="128"/>
      <c r="BX229" s="1" t="s">
        <v>4322</v>
      </c>
      <c r="BY229" s="63">
        <f t="shared" si="95"/>
        <v>0</v>
      </c>
      <c r="BZ229" s="63">
        <v>140683</v>
      </c>
      <c r="CA229" s="63">
        <v>2565</v>
      </c>
      <c r="CB229" s="8"/>
      <c r="CC229" s="63">
        <v>896</v>
      </c>
    </row>
    <row r="230" spans="1:81" ht="13" hidden="1" customHeight="1" outlineLevel="1">
      <c r="A230" s="4" t="s">
        <v>1555</v>
      </c>
      <c r="B230" s="4" t="s">
        <v>907</v>
      </c>
      <c r="C230" s="1">
        <f t="shared" si="86"/>
        <v>8877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>IF(P230&gt;0,RANK(P230,(N230:P230,Q230:AE230)),0)</f>
        <v>0</v>
      </c>
      <c r="G230" s="132">
        <f t="shared" si="83"/>
        <v>2063</v>
      </c>
      <c r="H230" s="137">
        <f t="shared" si="84"/>
        <v>0.23239833277007999</v>
      </c>
      <c r="I230" s="2"/>
      <c r="J230" s="2">
        <f t="shared" si="87"/>
        <v>0.35169539258758592</v>
      </c>
      <c r="K230" s="2">
        <f t="shared" si="88"/>
        <v>0.5840937253576659</v>
      </c>
      <c r="L230" s="2">
        <f t="shared" si="89"/>
        <v>0</v>
      </c>
      <c r="M230" s="2">
        <f t="shared" si="90"/>
        <v>6.4210882054748231E-2</v>
      </c>
      <c r="N230" s="63">
        <v>3122</v>
      </c>
      <c r="O230" s="63">
        <v>5185</v>
      </c>
      <c r="P230" s="63">
        <v>0</v>
      </c>
      <c r="Q230" s="63">
        <v>326</v>
      </c>
      <c r="R230" s="63">
        <v>189</v>
      </c>
      <c r="S230" s="63"/>
      <c r="T230" s="63"/>
      <c r="U230" s="63"/>
      <c r="V230" s="63">
        <v>55</v>
      </c>
      <c r="W230" s="63">
        <f>IF(Copyright!B$11=1,IF(CA230&gt;0,CA230-P230-SUM(Y230:AM230)-SUM(AN230:AQ230)-X230-SUM(S230:U230),SUM(CB230:CF230)),SUM(CC230:CF230))</f>
        <v>0</v>
      </c>
      <c r="X230" s="63"/>
      <c r="Y230" s="63"/>
      <c r="Z230" s="63"/>
      <c r="AA230" s="63"/>
      <c r="AB230" s="63"/>
      <c r="AC230" s="63"/>
      <c r="AD230" s="63"/>
      <c r="AE230" s="63">
        <v>0</v>
      </c>
      <c r="AF230" s="63">
        <v>0</v>
      </c>
      <c r="AG230" s="63"/>
      <c r="AH230" s="63"/>
      <c r="AI230" s="63"/>
      <c r="AJ230" s="63"/>
      <c r="AK230" s="63"/>
      <c r="AL230" s="63"/>
      <c r="AM230" s="63"/>
      <c r="AN230" s="63">
        <v>0</v>
      </c>
      <c r="AO230" s="63"/>
      <c r="AP230" s="63"/>
      <c r="AQ230" s="63"/>
      <c r="AR230" s="63"/>
      <c r="AS230" s="63"/>
      <c r="AT230" s="63"/>
      <c r="AU230" s="63"/>
      <c r="AW230" s="5">
        <f>IF(Q230&gt;0,RANK(Q230,(N230:P230,Q230:AE230)),0)</f>
        <v>3</v>
      </c>
      <c r="AX230" s="5">
        <f>IF(R230&gt;0,RANK(R230,(N230:P230,Q230:AE230)),0)</f>
        <v>4</v>
      </c>
      <c r="AY230" s="5">
        <f>IF(T230&gt;0,RANK(T230,(N230:P230,Q230:AE230)),0)</f>
        <v>0</v>
      </c>
      <c r="AZ230" s="5">
        <f>IF(S230&gt;0,RANK(S230,(N230:P230,Q230:AE230)),0)</f>
        <v>0</v>
      </c>
      <c r="BA230" s="2">
        <f t="shared" si="91"/>
        <v>3.6724118508505127E-2</v>
      </c>
      <c r="BB230" s="2">
        <f t="shared" si="92"/>
        <v>2.1290976681311254E-2</v>
      </c>
      <c r="BC230" s="2">
        <f t="shared" si="93"/>
        <v>0</v>
      </c>
      <c r="BD230" s="2">
        <f t="shared" si="94"/>
        <v>0</v>
      </c>
      <c r="BF230" s="4" t="s">
        <v>1555</v>
      </c>
      <c r="BG230" s="4" t="s">
        <v>907</v>
      </c>
      <c r="BH230">
        <v>4</v>
      </c>
      <c r="BJ230" s="114">
        <v>6</v>
      </c>
      <c r="BK230" s="116">
        <v>43</v>
      </c>
      <c r="BL230" s="120">
        <f t="shared" si="73"/>
        <v>6043</v>
      </c>
      <c r="BN230" s="5" t="s">
        <v>3154</v>
      </c>
      <c r="BR230" s="63"/>
      <c r="BY230" s="63">
        <f t="shared" si="95"/>
        <v>-8877</v>
      </c>
      <c r="CA230" s="63">
        <v>0</v>
      </c>
      <c r="CB230" s="8"/>
      <c r="CC230" s="63">
        <v>0</v>
      </c>
    </row>
    <row r="231" spans="1:81" ht="13" hidden="1" customHeight="1" outlineLevel="1">
      <c r="A231" s="4" t="s">
        <v>173</v>
      </c>
      <c r="B231" s="4" t="s">
        <v>907</v>
      </c>
      <c r="C231" s="1">
        <f t="shared" si="86"/>
        <v>37915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7</v>
      </c>
      <c r="G231" s="132">
        <f t="shared" si="83"/>
        <v>11191</v>
      </c>
      <c r="H231" s="137">
        <f t="shared" si="84"/>
        <v>0.29516022682315707</v>
      </c>
      <c r="I231" s="2"/>
      <c r="J231" s="2">
        <f t="shared" si="87"/>
        <v>0.58232889357773965</v>
      </c>
      <c r="K231" s="2">
        <f t="shared" si="88"/>
        <v>0.28716866675458264</v>
      </c>
      <c r="L231" s="2">
        <f t="shared" si="89"/>
        <v>3.2704734274034025E-3</v>
      </c>
      <c r="M231" s="2">
        <f t="shared" si="90"/>
        <v>0.1272319662402743</v>
      </c>
      <c r="N231" s="63">
        <v>22079</v>
      </c>
      <c r="O231" s="63">
        <v>10888</v>
      </c>
      <c r="P231" s="63">
        <v>124</v>
      </c>
      <c r="Q231" s="63">
        <v>1331</v>
      </c>
      <c r="R231" s="63">
        <v>2108</v>
      </c>
      <c r="S231" s="63"/>
      <c r="T231" s="63"/>
      <c r="U231" s="63"/>
      <c r="V231" s="63">
        <v>151</v>
      </c>
      <c r="W231" s="63">
        <f>IF(Copyright!B$11=1,IF(CA231&gt;0,CA231-P231-SUM(Y231:AM231)-SUM(AN231:AQ231)-X231-SUM(S231:U231),SUM(CB231:CF231)),SUM(CC231:CF231))</f>
        <v>1227</v>
      </c>
      <c r="X231" s="63"/>
      <c r="Y231" s="63"/>
      <c r="Z231" s="63"/>
      <c r="AA231" s="63"/>
      <c r="AB231" s="63"/>
      <c r="AC231" s="63"/>
      <c r="AD231" s="63"/>
      <c r="AE231" s="63">
        <v>3</v>
      </c>
      <c r="AF231" s="63">
        <v>0</v>
      </c>
      <c r="AG231" s="63"/>
      <c r="AH231" s="63"/>
      <c r="AI231" s="63"/>
      <c r="AJ231" s="63"/>
      <c r="AK231" s="63"/>
      <c r="AL231" s="63"/>
      <c r="AM231" s="63"/>
      <c r="AN231" s="63">
        <v>4</v>
      </c>
      <c r="AO231" s="63"/>
      <c r="AP231" s="63"/>
      <c r="AQ231" s="63"/>
      <c r="AR231" s="63"/>
      <c r="AS231" s="63"/>
      <c r="AT231" s="63"/>
      <c r="AU231" s="63"/>
      <c r="AW231" s="5">
        <f>IF(Q231&gt;0,RANK(Q231,(N231:P231,Q231:AE231)),0)</f>
        <v>4</v>
      </c>
      <c r="AX231" s="5">
        <f>IF(R231&gt;0,RANK(R231,(N231:P231,Q231:AE231)),0)</f>
        <v>3</v>
      </c>
      <c r="AY231" s="5">
        <f>IF(T231&gt;0,RANK(T231,(N231:P231,Q231:AE231)),0)</f>
        <v>0</v>
      </c>
      <c r="AZ231" s="5">
        <f>IF(S231&gt;0,RANK(S231,(N231:P231,Q231:AE231)),0)</f>
        <v>0</v>
      </c>
      <c r="BA231" s="2">
        <f t="shared" si="91"/>
        <v>3.5104839773176841E-2</v>
      </c>
      <c r="BB231" s="2">
        <f t="shared" si="92"/>
        <v>5.559804826585784E-2</v>
      </c>
      <c r="BC231" s="2">
        <f t="shared" si="93"/>
        <v>0</v>
      </c>
      <c r="BD231" s="2">
        <f t="shared" si="94"/>
        <v>0</v>
      </c>
      <c r="BF231" s="4" t="s">
        <v>173</v>
      </c>
      <c r="BG231" s="4" t="s">
        <v>907</v>
      </c>
      <c r="BH231">
        <v>2</v>
      </c>
      <c r="BJ231" s="114">
        <v>6</v>
      </c>
      <c r="BK231" s="116">
        <v>45</v>
      </c>
      <c r="BL231" s="120">
        <f t="shared" si="73"/>
        <v>6045</v>
      </c>
      <c r="BN231" s="5" t="s">
        <v>3154</v>
      </c>
      <c r="BR231" s="63"/>
      <c r="BS231" s="128"/>
      <c r="BX231" s="63" t="s">
        <v>4323</v>
      </c>
      <c r="BY231" s="63">
        <f t="shared" si="95"/>
        <v>0</v>
      </c>
      <c r="BZ231" s="63">
        <v>37915</v>
      </c>
      <c r="CA231" s="63">
        <v>1358</v>
      </c>
      <c r="CB231" s="8"/>
      <c r="CC231" s="63">
        <v>789</v>
      </c>
    </row>
    <row r="232" spans="1:81" ht="13" hidden="1" customHeight="1" outlineLevel="1">
      <c r="A232" s="4" t="s">
        <v>438</v>
      </c>
      <c r="B232" s="4" t="s">
        <v>907</v>
      </c>
      <c r="C232" s="1">
        <f t="shared" si="86"/>
        <v>70789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>IF(P232&gt;0,RANK(P232,(N232:P232,Q232:AE232)),0)</f>
        <v>7</v>
      </c>
      <c r="G232" s="132">
        <f t="shared" si="83"/>
        <v>8592</v>
      </c>
      <c r="H232" s="137">
        <f t="shared" si="84"/>
        <v>0.12137478986848239</v>
      </c>
      <c r="I232" s="2"/>
      <c r="J232" s="2">
        <f t="shared" si="87"/>
        <v>0.52715817429261613</v>
      </c>
      <c r="K232" s="2">
        <f t="shared" si="88"/>
        <v>0.4057833844241337</v>
      </c>
      <c r="L232" s="2">
        <f t="shared" si="89"/>
        <v>2.2884911497549052E-3</v>
      </c>
      <c r="M232" s="2">
        <f t="shared" si="90"/>
        <v>6.4769950133495263E-2</v>
      </c>
      <c r="N232" s="63">
        <v>37317</v>
      </c>
      <c r="O232" s="63">
        <v>28725</v>
      </c>
      <c r="P232" s="63">
        <v>162</v>
      </c>
      <c r="Q232" s="63">
        <v>2410</v>
      </c>
      <c r="R232" s="63">
        <v>1209</v>
      </c>
      <c r="S232" s="63"/>
      <c r="T232" s="63"/>
      <c r="U232" s="63"/>
      <c r="V232" s="63">
        <v>454</v>
      </c>
      <c r="W232" s="63">
        <f>IF(Copyright!B$11=1,IF(CA232&gt;0,CA232-P232-SUM(Y232:AM232)-SUM(AN232:AQ232)-X232-SUM(S232:U232),SUM(CB232:CF232)),SUM(CC232:CF232))</f>
        <v>506</v>
      </c>
      <c r="X232" s="63"/>
      <c r="Y232" s="63"/>
      <c r="Z232" s="63"/>
      <c r="AA232" s="63"/>
      <c r="AB232" s="63"/>
      <c r="AC232" s="63"/>
      <c r="AD232" s="63"/>
      <c r="AE232" s="63">
        <v>0</v>
      </c>
      <c r="AF232" s="63">
        <v>0</v>
      </c>
      <c r="AG232" s="63"/>
      <c r="AH232" s="63"/>
      <c r="AI232" s="63"/>
      <c r="AJ232" s="63"/>
      <c r="AK232" s="63"/>
      <c r="AL232" s="63"/>
      <c r="AM232" s="63"/>
      <c r="AN232" s="63">
        <v>6</v>
      </c>
      <c r="AO232" s="63"/>
      <c r="AP232" s="63"/>
      <c r="AQ232" s="63"/>
      <c r="AR232" s="63"/>
      <c r="AS232" s="63"/>
      <c r="AT232" s="63"/>
      <c r="AU232" s="63"/>
      <c r="AW232" s="5">
        <f>IF(Q232&gt;0,RANK(Q232,(N232:P232,Q232:AE232)),0)</f>
        <v>3</v>
      </c>
      <c r="AX232" s="5">
        <f>IF(R232&gt;0,RANK(R232,(N232:P232,Q232:AE232)),0)</f>
        <v>4</v>
      </c>
      <c r="AY232" s="5">
        <f>IF(T232&gt;0,RANK(T232,(N232:P232,Q232:AE232)),0)</f>
        <v>0</v>
      </c>
      <c r="AZ232" s="5">
        <f>IF(S232&gt;0,RANK(S232,(N232:P232,Q232:AE232)),0)</f>
        <v>0</v>
      </c>
      <c r="BA232" s="2">
        <f t="shared" si="91"/>
        <v>3.4044837474748901E-2</v>
      </c>
      <c r="BB232" s="2">
        <f t="shared" si="92"/>
        <v>1.7078924691689385E-2</v>
      </c>
      <c r="BC232" s="2">
        <f t="shared" si="93"/>
        <v>0</v>
      </c>
      <c r="BD232" s="2">
        <f t="shared" si="94"/>
        <v>0</v>
      </c>
      <c r="BF232" s="4" t="s">
        <v>438</v>
      </c>
      <c r="BG232" s="4" t="s">
        <v>907</v>
      </c>
      <c r="BH232">
        <v>16</v>
      </c>
      <c r="BJ232" s="114">
        <v>6</v>
      </c>
      <c r="BK232" s="116">
        <v>47</v>
      </c>
      <c r="BL232" s="120">
        <f t="shared" si="73"/>
        <v>6047</v>
      </c>
      <c r="BN232" s="5" t="s">
        <v>3154</v>
      </c>
      <c r="BR232" s="63"/>
      <c r="BY232" s="63">
        <f t="shared" si="95"/>
        <v>-70789</v>
      </c>
      <c r="CA232" s="63">
        <v>0</v>
      </c>
      <c r="CB232" s="8"/>
      <c r="CC232" s="63">
        <v>506</v>
      </c>
    </row>
    <row r="233" spans="1:81" ht="13" hidden="1" customHeight="1" outlineLevel="1">
      <c r="A233" s="4" t="s">
        <v>1750</v>
      </c>
      <c r="B233" s="4" t="s">
        <v>907</v>
      </c>
      <c r="C233" s="1">
        <f t="shared" si="86"/>
        <v>3843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>IF(P233&gt;0,RANK(P233,(N233:P233,Q233:AE233)),0)</f>
        <v>7</v>
      </c>
      <c r="G233" s="132">
        <f t="shared" si="83"/>
        <v>1819</v>
      </c>
      <c r="H233" s="137">
        <f t="shared" si="84"/>
        <v>0.47332812906583399</v>
      </c>
      <c r="I233" s="2"/>
      <c r="J233" s="2">
        <f t="shared" si="87"/>
        <v>0.22820712984647412</v>
      </c>
      <c r="K233" s="2">
        <f t="shared" si="88"/>
        <v>0.70153525891230806</v>
      </c>
      <c r="L233" s="2">
        <f t="shared" si="89"/>
        <v>2.8623471246422066E-3</v>
      </c>
      <c r="M233" s="2">
        <f t="shared" si="90"/>
        <v>6.7395264116575676E-2</v>
      </c>
      <c r="N233" s="63">
        <v>877</v>
      </c>
      <c r="O233" s="63">
        <v>2696</v>
      </c>
      <c r="P233" s="63">
        <v>11</v>
      </c>
      <c r="Q233" s="63">
        <v>122</v>
      </c>
      <c r="R233" s="63">
        <v>50</v>
      </c>
      <c r="S233" s="63"/>
      <c r="T233" s="63"/>
      <c r="U233" s="63"/>
      <c r="V233" s="63">
        <v>13</v>
      </c>
      <c r="W233" s="63">
        <f>IF(Copyright!B$11=1,IF(CA233&gt;0,CA233-P233-SUM(Y233:AM233)-SUM(AN233:AQ233)-X233-SUM(S233:U233),SUM(CB233:CF233)),SUM(CC233:CF233))</f>
        <v>74</v>
      </c>
      <c r="X233" s="63"/>
      <c r="Y233" s="63"/>
      <c r="Z233" s="63"/>
      <c r="AA233" s="63"/>
      <c r="AB233" s="63"/>
      <c r="AC233" s="63"/>
      <c r="AD233" s="63"/>
      <c r="AE233" s="63">
        <v>0</v>
      </c>
      <c r="AF233" s="63">
        <v>0</v>
      </c>
      <c r="AG233" s="63"/>
      <c r="AH233" s="63"/>
      <c r="AI233" s="63"/>
      <c r="AJ233" s="63"/>
      <c r="AK233" s="63"/>
      <c r="AL233" s="63"/>
      <c r="AM233" s="63"/>
      <c r="AN233" s="63">
        <v>0</v>
      </c>
      <c r="AO233" s="63"/>
      <c r="AP233" s="63"/>
      <c r="AQ233" s="63"/>
      <c r="AR233" s="63"/>
      <c r="AS233" s="63"/>
      <c r="AT233" s="63"/>
      <c r="AU233" s="63"/>
      <c r="AW233" s="5">
        <f>IF(Q233&gt;0,RANK(Q233,(N233:P233,Q233:AE233)),0)</f>
        <v>3</v>
      </c>
      <c r="AX233" s="5">
        <f>IF(R233&gt;0,RANK(R233,(N233:P233,Q233:AE233)),0)</f>
        <v>5</v>
      </c>
      <c r="AY233" s="5">
        <f>IF(T233&gt;0,RANK(T233,(N233:P233,Q233:AE233)),0)</f>
        <v>0</v>
      </c>
      <c r="AZ233" s="5">
        <f>IF(S233&gt;0,RANK(S233,(N233:P233,Q233:AE233)),0)</f>
        <v>0</v>
      </c>
      <c r="BA233" s="2">
        <f t="shared" si="91"/>
        <v>3.1746031746031744E-2</v>
      </c>
      <c r="BB233" s="2">
        <f t="shared" si="92"/>
        <v>1.3010668748373666E-2</v>
      </c>
      <c r="BC233" s="2">
        <f t="shared" si="93"/>
        <v>0</v>
      </c>
      <c r="BD233" s="2">
        <f t="shared" si="94"/>
        <v>0</v>
      </c>
      <c r="BF233" s="4" t="s">
        <v>1750</v>
      </c>
      <c r="BG233" s="4" t="s">
        <v>907</v>
      </c>
      <c r="BH233">
        <v>1</v>
      </c>
      <c r="BJ233" s="114">
        <v>6</v>
      </c>
      <c r="BK233" s="116">
        <v>49</v>
      </c>
      <c r="BL233" s="120">
        <f t="shared" ref="BL233:BL296" si="96">1000*BJ233+BK233</f>
        <v>6049</v>
      </c>
      <c r="BN233" s="5" t="s">
        <v>3154</v>
      </c>
      <c r="BR233" s="63"/>
      <c r="BX233" s="63" t="s">
        <v>4324</v>
      </c>
      <c r="BY233" s="63">
        <f t="shared" si="95"/>
        <v>0</v>
      </c>
      <c r="BZ233" s="63">
        <v>3843</v>
      </c>
      <c r="CA233" s="63">
        <v>85</v>
      </c>
      <c r="CB233" s="8"/>
      <c r="CC233" s="63">
        <v>19</v>
      </c>
    </row>
    <row r="234" spans="1:81" ht="13" hidden="1" customHeight="1" outlineLevel="1">
      <c r="A234" s="4" t="s">
        <v>222</v>
      </c>
      <c r="B234" s="4" t="s">
        <v>907</v>
      </c>
      <c r="C234" s="1">
        <f t="shared" si="86"/>
        <v>5281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7</v>
      </c>
      <c r="G234" s="132">
        <f t="shared" si="83"/>
        <v>662</v>
      </c>
      <c r="H234" s="137">
        <f t="shared" si="84"/>
        <v>0.12535504639272865</v>
      </c>
      <c r="I234" s="2"/>
      <c r="J234" s="2">
        <f t="shared" si="87"/>
        <v>0.52508994508615792</v>
      </c>
      <c r="K234" s="2">
        <f t="shared" si="88"/>
        <v>0.39973489869342926</v>
      </c>
      <c r="L234" s="2">
        <f t="shared" si="89"/>
        <v>5.6807422836583981E-4</v>
      </c>
      <c r="M234" s="2">
        <f t="shared" si="90"/>
        <v>7.4607081992046978E-2</v>
      </c>
      <c r="N234" s="63">
        <v>2773</v>
      </c>
      <c r="O234" s="63">
        <v>2111</v>
      </c>
      <c r="P234" s="63">
        <v>3</v>
      </c>
      <c r="Q234" s="63">
        <v>222</v>
      </c>
      <c r="R234" s="63">
        <v>142</v>
      </c>
      <c r="S234" s="63"/>
      <c r="T234" s="63"/>
      <c r="U234" s="63"/>
      <c r="V234" s="63">
        <v>23</v>
      </c>
      <c r="W234" s="63">
        <f>IF(Copyright!B$11=1,IF(CA234&gt;0,CA234-P234-SUM(Y234:AM234)-SUM(AN234:AQ234)-X234-SUM(S234:U234),SUM(CB234:CF234)),SUM(CC234:CF234))</f>
        <v>7</v>
      </c>
      <c r="X234" s="63"/>
      <c r="Y234" s="63"/>
      <c r="Z234" s="63"/>
      <c r="AA234" s="63"/>
      <c r="AB234" s="63"/>
      <c r="AC234" s="63"/>
      <c r="AD234" s="63"/>
      <c r="AE234" s="63">
        <v>0</v>
      </c>
      <c r="AF234" s="63">
        <v>0</v>
      </c>
      <c r="AG234" s="63"/>
      <c r="AH234" s="63"/>
      <c r="AI234" s="63"/>
      <c r="AJ234" s="63"/>
      <c r="AK234" s="63"/>
      <c r="AL234" s="63"/>
      <c r="AM234" s="63"/>
      <c r="AN234" s="63">
        <v>0</v>
      </c>
      <c r="AO234" s="63"/>
      <c r="AP234" s="63"/>
      <c r="AQ234" s="63"/>
      <c r="AR234" s="63"/>
      <c r="AS234" s="63"/>
      <c r="AT234" s="63"/>
      <c r="AU234" s="63"/>
      <c r="AW234" s="5">
        <f>IF(Q234&gt;0,RANK(Q234,(N234:P234,Q234:AE234)),0)</f>
        <v>3</v>
      </c>
      <c r="AX234" s="5">
        <f>IF(R234&gt;0,RANK(R234,(N234:P234,Q234:AE234)),0)</f>
        <v>4</v>
      </c>
      <c r="AY234" s="5">
        <f>IF(T234&gt;0,RANK(T234,(N234:P234,Q234:AE234)),0)</f>
        <v>0</v>
      </c>
      <c r="AZ234" s="5">
        <f>IF(S234&gt;0,RANK(S234,(N234:P234,Q234:AE234)),0)</f>
        <v>0</v>
      </c>
      <c r="BA234" s="2">
        <f t="shared" si="91"/>
        <v>4.2037492899072146E-2</v>
      </c>
      <c r="BB234" s="2">
        <f t="shared" si="92"/>
        <v>2.6888846809316417E-2</v>
      </c>
      <c r="BC234" s="2">
        <f t="shared" si="93"/>
        <v>0</v>
      </c>
      <c r="BD234" s="2">
        <f t="shared" si="94"/>
        <v>0</v>
      </c>
      <c r="BF234" s="4" t="s">
        <v>222</v>
      </c>
      <c r="BG234" s="4" t="s">
        <v>907</v>
      </c>
      <c r="BH234">
        <v>8</v>
      </c>
      <c r="BJ234" s="114">
        <v>6</v>
      </c>
      <c r="BK234" s="116">
        <v>51</v>
      </c>
      <c r="BL234" s="120">
        <f t="shared" si="96"/>
        <v>6051</v>
      </c>
      <c r="BN234" s="5" t="s">
        <v>3154</v>
      </c>
      <c r="BR234" s="63"/>
      <c r="BX234" s="63" t="s">
        <v>4325</v>
      </c>
      <c r="BY234" s="63">
        <f t="shared" si="95"/>
        <v>0</v>
      </c>
      <c r="BZ234" s="63">
        <v>5281</v>
      </c>
      <c r="CA234" s="63">
        <v>10</v>
      </c>
      <c r="CB234" s="8"/>
      <c r="CC234" s="63">
        <v>2</v>
      </c>
    </row>
    <row r="235" spans="1:81" ht="13" hidden="1" customHeight="1" outlineLevel="1">
      <c r="A235" s="4" t="s">
        <v>114</v>
      </c>
      <c r="B235" s="4" t="s">
        <v>907</v>
      </c>
      <c r="C235" s="1">
        <f t="shared" si="86"/>
        <v>133408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7</v>
      </c>
      <c r="G235" s="132">
        <f t="shared" si="83"/>
        <v>54193</v>
      </c>
      <c r="H235" s="137">
        <f t="shared" si="84"/>
        <v>0.40622001679059727</v>
      </c>
      <c r="I235" s="2"/>
      <c r="J235" s="2">
        <f t="shared" si="87"/>
        <v>0.66778603981770213</v>
      </c>
      <c r="K235" s="2">
        <f t="shared" si="88"/>
        <v>0.2615660230271048</v>
      </c>
      <c r="L235" s="2">
        <f t="shared" si="89"/>
        <v>2.6834972415447351E-3</v>
      </c>
      <c r="M235" s="2">
        <f t="shared" si="90"/>
        <v>6.7964439913648339E-2</v>
      </c>
      <c r="N235" s="63">
        <v>89088</v>
      </c>
      <c r="O235" s="63">
        <v>34895</v>
      </c>
      <c r="P235" s="63">
        <v>358</v>
      </c>
      <c r="Q235" s="63">
        <v>4547</v>
      </c>
      <c r="R235" s="63">
        <v>2823</v>
      </c>
      <c r="S235" s="63"/>
      <c r="T235" s="63"/>
      <c r="U235" s="63"/>
      <c r="V235" s="63">
        <v>661</v>
      </c>
      <c r="W235" s="63">
        <f>IF(Copyright!B$11=1,IF(CA235&gt;0,CA235-P235-SUM(Y235:AM235)-SUM(AN235:AQ235)-X235-SUM(S235:U235),SUM(CB235:CF235)),SUM(CC235:CF235))</f>
        <v>1025</v>
      </c>
      <c r="X235" s="63"/>
      <c r="Y235" s="63"/>
      <c r="Z235" s="63"/>
      <c r="AA235" s="63"/>
      <c r="AB235" s="63"/>
      <c r="AC235" s="63"/>
      <c r="AD235" s="63"/>
      <c r="AE235" s="63">
        <v>2</v>
      </c>
      <c r="AF235" s="63">
        <v>1</v>
      </c>
      <c r="AG235" s="63"/>
      <c r="AH235" s="63"/>
      <c r="AI235" s="63"/>
      <c r="AJ235" s="63"/>
      <c r="AK235" s="63"/>
      <c r="AL235" s="63"/>
      <c r="AM235" s="63"/>
      <c r="AN235" s="63">
        <v>8</v>
      </c>
      <c r="AO235" s="63"/>
      <c r="AP235" s="63"/>
      <c r="AQ235" s="63"/>
      <c r="AR235" s="63"/>
      <c r="AS235" s="63"/>
      <c r="AT235" s="63"/>
      <c r="AU235" s="63"/>
      <c r="AW235" s="5">
        <f>IF(Q235&gt;0,RANK(Q235,(N235:P235,Q235:AE235)),0)</f>
        <v>3</v>
      </c>
      <c r="AX235" s="5">
        <f>IF(R235&gt;0,RANK(R235,(N235:P235,Q235:AE235)),0)</f>
        <v>4</v>
      </c>
      <c r="AY235" s="5">
        <f>IF(T235&gt;0,RANK(T235,(N235:P235,Q235:AE235)),0)</f>
        <v>0</v>
      </c>
      <c r="AZ235" s="5">
        <f>IF(S235&gt;0,RANK(S235,(N235:P235,Q235:AE235)),0)</f>
        <v>0</v>
      </c>
      <c r="BA235" s="2">
        <f t="shared" si="91"/>
        <v>3.4083413288558406E-2</v>
      </c>
      <c r="BB235" s="2">
        <f t="shared" si="92"/>
        <v>2.1160650035979851E-2</v>
      </c>
      <c r="BC235" s="2">
        <f t="shared" si="93"/>
        <v>0</v>
      </c>
      <c r="BD235" s="2">
        <f t="shared" si="94"/>
        <v>0</v>
      </c>
      <c r="BF235" s="4" t="s">
        <v>114</v>
      </c>
      <c r="BG235" s="4" t="s">
        <v>907</v>
      </c>
      <c r="BH235">
        <v>20</v>
      </c>
      <c r="BJ235" s="114">
        <v>6</v>
      </c>
      <c r="BK235" s="116">
        <v>53</v>
      </c>
      <c r="BL235" s="120">
        <f t="shared" si="96"/>
        <v>6053</v>
      </c>
      <c r="BN235" s="5" t="s">
        <v>3154</v>
      </c>
      <c r="BR235" s="63"/>
      <c r="BS235" s="128"/>
      <c r="BY235" s="63">
        <f t="shared" si="95"/>
        <v>-133408</v>
      </c>
      <c r="CA235" s="63">
        <f>2+8+358+1025+1</f>
        <v>1394</v>
      </c>
      <c r="CB235" s="8"/>
      <c r="CC235" s="63">
        <v>1025</v>
      </c>
    </row>
    <row r="236" spans="1:81" ht="13" hidden="1" customHeight="1" outlineLevel="1">
      <c r="A236" s="4" t="s">
        <v>2353</v>
      </c>
      <c r="B236" s="4" t="s">
        <v>907</v>
      </c>
      <c r="C236" s="1">
        <f t="shared" si="86"/>
        <v>61372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>IF(P236&gt;0,RANK(P236,(N236:P236,Q236:AE236)),0)</f>
        <v>7</v>
      </c>
      <c r="G236" s="132">
        <f t="shared" si="83"/>
        <v>21788</v>
      </c>
      <c r="H236" s="137">
        <f t="shared" si="84"/>
        <v>0.35501531643094569</v>
      </c>
      <c r="I236" s="2"/>
      <c r="J236" s="2">
        <f t="shared" si="87"/>
        <v>0.63871146451150362</v>
      </c>
      <c r="K236" s="2">
        <f t="shared" si="88"/>
        <v>0.28369614808055793</v>
      </c>
      <c r="L236" s="2">
        <f t="shared" si="89"/>
        <v>2.5092876230202697E-3</v>
      </c>
      <c r="M236" s="2">
        <f t="shared" si="90"/>
        <v>7.5083099784918172E-2</v>
      </c>
      <c r="N236" s="63">
        <v>39199</v>
      </c>
      <c r="O236" s="63">
        <v>17411</v>
      </c>
      <c r="P236" s="63">
        <v>154</v>
      </c>
      <c r="Q236" s="63">
        <v>2551</v>
      </c>
      <c r="R236" s="63">
        <v>1262</v>
      </c>
      <c r="S236" s="63"/>
      <c r="T236" s="63"/>
      <c r="U236" s="63"/>
      <c r="V236" s="63">
        <v>207</v>
      </c>
      <c r="W236" s="63">
        <f>IF(Copyright!B$11=1,IF(CA236&gt;0,CA236-P236-SUM(Y236:AM236)-SUM(AN236:AQ236)-X236-SUM(S236:U236),SUM(CB236:CF236)),SUM(CC236:CF236))</f>
        <v>585</v>
      </c>
      <c r="X236" s="63"/>
      <c r="Y236" s="63"/>
      <c r="Z236" s="63"/>
      <c r="AA236" s="63"/>
      <c r="AB236" s="63"/>
      <c r="AC236" s="63"/>
      <c r="AD236" s="63"/>
      <c r="AE236" s="63">
        <v>0</v>
      </c>
      <c r="AF236" s="63">
        <v>0</v>
      </c>
      <c r="AG236" s="63"/>
      <c r="AH236" s="63"/>
      <c r="AI236" s="63"/>
      <c r="AJ236" s="63"/>
      <c r="AK236" s="63"/>
      <c r="AL236" s="63"/>
      <c r="AM236" s="63"/>
      <c r="AN236" s="63">
        <v>3</v>
      </c>
      <c r="AO236" s="63"/>
      <c r="AP236" s="63"/>
      <c r="AQ236" s="63"/>
      <c r="AR236" s="63"/>
      <c r="AS236" s="63"/>
      <c r="AT236" s="63"/>
      <c r="AU236" s="63"/>
      <c r="AW236" s="5">
        <f>IF(Q236&gt;0,RANK(Q236,(N236:P236,Q236:AE236)),0)</f>
        <v>3</v>
      </c>
      <c r="AX236" s="5">
        <f>IF(R236&gt;0,RANK(R236,(N236:P236,Q236:AE236)),0)</f>
        <v>4</v>
      </c>
      <c r="AY236" s="5">
        <f>IF(T236&gt;0,RANK(T236,(N236:P236,Q236:AE236)),0)</f>
        <v>0</v>
      </c>
      <c r="AZ236" s="5">
        <f>IF(S236&gt;0,RANK(S236,(N236:P236,Q236:AE236)),0)</f>
        <v>0</v>
      </c>
      <c r="BA236" s="2">
        <f t="shared" si="91"/>
        <v>4.1566186534576027E-2</v>
      </c>
      <c r="BB236" s="2">
        <f t="shared" si="92"/>
        <v>2.0563123248386887E-2</v>
      </c>
      <c r="BC236" s="2">
        <f t="shared" si="93"/>
        <v>0</v>
      </c>
      <c r="BD236" s="2">
        <f t="shared" si="94"/>
        <v>0</v>
      </c>
      <c r="BF236" s="4" t="s">
        <v>2353</v>
      </c>
      <c r="BG236" s="4" t="s">
        <v>907</v>
      </c>
      <c r="BH236">
        <v>5</v>
      </c>
      <c r="BJ236" s="114">
        <v>6</v>
      </c>
      <c r="BK236" s="116">
        <v>55</v>
      </c>
      <c r="BL236" s="120">
        <f t="shared" si="96"/>
        <v>6055</v>
      </c>
      <c r="BN236" s="5" t="s">
        <v>3154</v>
      </c>
      <c r="BR236" s="63"/>
      <c r="BS236" s="128"/>
      <c r="BY236" s="63">
        <f t="shared" si="95"/>
        <v>-61372</v>
      </c>
      <c r="CA236" s="63">
        <f>3+154+585</f>
        <v>742</v>
      </c>
      <c r="CB236" s="8"/>
      <c r="CC236" s="63">
        <v>585</v>
      </c>
    </row>
    <row r="237" spans="1:81" ht="13" hidden="1" customHeight="1" outlineLevel="1">
      <c r="A237" s="4" t="s">
        <v>2354</v>
      </c>
      <c r="B237" s="4" t="s">
        <v>907</v>
      </c>
      <c r="C237" s="1">
        <f t="shared" si="86"/>
        <v>54935</v>
      </c>
      <c r="D237" s="5">
        <f>IF(N237&gt;0, RANK(N237,(N237:P237,Q237:AE237)),0)</f>
        <v>1</v>
      </c>
      <c r="E237" s="5">
        <f>IF(O237&gt;0,RANK(O237,(N237:P237,Q237:AE237)),0)</f>
        <v>2</v>
      </c>
      <c r="F237" s="5">
        <f>IF(P237&gt;0,RANK(P237,(N237:P237,Q237:AE237)),0)</f>
        <v>6</v>
      </c>
      <c r="G237" s="132">
        <f t="shared" si="83"/>
        <v>2688</v>
      </c>
      <c r="H237" s="137">
        <f t="shared" si="84"/>
        <v>4.8930554291435335E-2</v>
      </c>
      <c r="I237" s="2"/>
      <c r="J237" s="2">
        <f t="shared" si="87"/>
        <v>0.47425138800400474</v>
      </c>
      <c r="K237" s="2">
        <f t="shared" si="88"/>
        <v>0.4253208337125694</v>
      </c>
      <c r="L237" s="2">
        <f t="shared" si="89"/>
        <v>3.2583962865204335E-3</v>
      </c>
      <c r="M237" s="2">
        <f t="shared" si="90"/>
        <v>9.7169381996905488E-2</v>
      </c>
      <c r="N237" s="63">
        <v>26053</v>
      </c>
      <c r="O237" s="63">
        <v>23365</v>
      </c>
      <c r="P237" s="63">
        <v>179</v>
      </c>
      <c r="Q237" s="63">
        <v>2378</v>
      </c>
      <c r="R237" s="63">
        <v>2189</v>
      </c>
      <c r="S237" s="63"/>
      <c r="T237" s="63"/>
      <c r="U237" s="63"/>
      <c r="V237" s="63">
        <v>85</v>
      </c>
      <c r="W237" s="63">
        <f>IF(Copyright!B$11=1,IF(CA237&gt;0,CA237-P237-SUM(Y237:AM237)-SUM(AN237:AQ237)-X237-SUM(S237:U237),SUM(CB237:CF237)),SUM(CC237:CF237))</f>
        <v>685</v>
      </c>
      <c r="X237" s="63"/>
      <c r="Y237" s="63"/>
      <c r="Z237" s="63"/>
      <c r="AA237" s="63"/>
      <c r="AB237" s="63"/>
      <c r="AC237" s="63"/>
      <c r="AD237" s="63"/>
      <c r="AE237" s="63">
        <v>0</v>
      </c>
      <c r="AF237" s="63">
        <v>1</v>
      </c>
      <c r="AG237" s="63"/>
      <c r="AH237" s="63"/>
      <c r="AI237" s="63"/>
      <c r="AJ237" s="63"/>
      <c r="AK237" s="63"/>
      <c r="AL237" s="63"/>
      <c r="AM237" s="63"/>
      <c r="AN237" s="63">
        <v>0</v>
      </c>
      <c r="AO237" s="63"/>
      <c r="AP237" s="63"/>
      <c r="AQ237" s="63"/>
      <c r="AR237" s="63"/>
      <c r="AS237" s="63"/>
      <c r="AT237" s="63"/>
      <c r="AU237" s="63"/>
      <c r="AW237" s="5">
        <f>IF(Q237&gt;0,RANK(Q237,(N237:P237,Q237:AE237)),0)</f>
        <v>3</v>
      </c>
      <c r="AX237" s="5">
        <f>IF(R237&gt;0,RANK(R237,(N237:P237,Q237:AE237)),0)</f>
        <v>4</v>
      </c>
      <c r="AY237" s="5">
        <f>IF(T237&gt;0,RANK(T237,(N237:P237,Q237:AE237)),0)</f>
        <v>0</v>
      </c>
      <c r="AZ237" s="5">
        <f>IF(S237&gt;0,RANK(S237,(N237:P237,Q237:AE237)),0)</f>
        <v>0</v>
      </c>
      <c r="BA237" s="2">
        <f t="shared" si="91"/>
        <v>4.3287521616455812E-2</v>
      </c>
      <c r="BB237" s="2">
        <f t="shared" si="92"/>
        <v>3.9847092017839265E-2</v>
      </c>
      <c r="BC237" s="2">
        <f t="shared" si="93"/>
        <v>0</v>
      </c>
      <c r="BD237" s="2">
        <f t="shared" si="94"/>
        <v>0</v>
      </c>
      <c r="BF237" s="4" t="s">
        <v>2354</v>
      </c>
      <c r="BG237" s="4" t="s">
        <v>907</v>
      </c>
      <c r="BJ237" s="114">
        <v>6</v>
      </c>
      <c r="BK237" s="116">
        <v>57</v>
      </c>
      <c r="BL237" s="120">
        <f t="shared" si="96"/>
        <v>6057</v>
      </c>
      <c r="BN237" s="5" t="s">
        <v>3154</v>
      </c>
      <c r="BR237" s="63"/>
      <c r="BY237" s="63">
        <f t="shared" si="95"/>
        <v>-54935</v>
      </c>
      <c r="CA237" s="63">
        <f>685+179+1</f>
        <v>865</v>
      </c>
      <c r="CB237" s="8"/>
      <c r="CC237" s="63">
        <v>685</v>
      </c>
    </row>
    <row r="238" spans="1:81" ht="13" hidden="1" customHeight="1" outlineLevel="1">
      <c r="A238" s="4" t="s">
        <v>2013</v>
      </c>
      <c r="B238" s="4" t="s">
        <v>907</v>
      </c>
      <c r="C238" s="1">
        <f t="shared" si="86"/>
        <v>1197521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>IF(P238&gt;0,RANK(P238,(N238:P238,Q238:AE238)),0)</f>
        <v>6</v>
      </c>
      <c r="G238" s="132">
        <f t="shared" si="83"/>
        <v>102813</v>
      </c>
      <c r="H238" s="137">
        <f t="shared" si="84"/>
        <v>8.5854861835408317E-2</v>
      </c>
      <c r="I238" s="2"/>
      <c r="J238" s="2">
        <f t="shared" si="87"/>
        <v>0.50935307188767465</v>
      </c>
      <c r="K238" s="2">
        <f t="shared" si="88"/>
        <v>0.42349821005226629</v>
      </c>
      <c r="L238" s="2">
        <f t="shared" si="89"/>
        <v>4.1059822750498737E-3</v>
      </c>
      <c r="M238" s="2">
        <f t="shared" si="90"/>
        <v>6.3042735785009185E-2</v>
      </c>
      <c r="N238" s="63">
        <v>609961</v>
      </c>
      <c r="O238" s="63">
        <v>507148</v>
      </c>
      <c r="P238" s="63">
        <v>4917</v>
      </c>
      <c r="Q238" s="63">
        <v>46128</v>
      </c>
      <c r="R238" s="63">
        <v>18068</v>
      </c>
      <c r="S238" s="63"/>
      <c r="T238" s="63"/>
      <c r="U238" s="63"/>
      <c r="V238" s="63">
        <v>4898</v>
      </c>
      <c r="W238" s="63">
        <f>IF(Copyright!B$11=1,IF(CA238&gt;0,CA238-P238-SUM(Y238:AM238)-SUM(AN238:AQ238)-X238-SUM(S238:U238),SUM(CB238:CF238)),SUM(CC238:CF238))</f>
        <v>6239</v>
      </c>
      <c r="X238" s="63"/>
      <c r="Y238" s="63"/>
      <c r="Z238" s="63"/>
      <c r="AA238" s="63"/>
      <c r="AB238" s="63"/>
      <c r="AC238" s="63"/>
      <c r="AD238" s="63"/>
      <c r="AE238" s="63">
        <v>27</v>
      </c>
      <c r="AF238" s="63">
        <v>4</v>
      </c>
      <c r="AG238" s="63"/>
      <c r="AH238" s="63"/>
      <c r="AI238" s="63"/>
      <c r="AJ238" s="63"/>
      <c r="AK238" s="63"/>
      <c r="AL238" s="63"/>
      <c r="AM238" s="63"/>
      <c r="AN238" s="63">
        <v>131</v>
      </c>
      <c r="AO238" s="63"/>
      <c r="AP238" s="63"/>
      <c r="AQ238" s="63"/>
      <c r="AR238" s="63"/>
      <c r="AS238" s="63"/>
      <c r="AT238" s="63"/>
      <c r="AU238" s="63"/>
      <c r="AW238" s="5">
        <f>IF(Q238&gt;0,RANK(Q238,(N238:P238,Q238:AE238)),0)</f>
        <v>3</v>
      </c>
      <c r="AX238" s="5">
        <f>IF(R238&gt;0,RANK(R238,(N238:P238,Q238:AE238)),0)</f>
        <v>4</v>
      </c>
      <c r="AY238" s="5">
        <f>IF(T238&gt;0,RANK(T238,(N238:P238,Q238:AE238)),0)</f>
        <v>0</v>
      </c>
      <c r="AZ238" s="5">
        <f>IF(S238&gt;0,RANK(S238,(N238:P238,Q238:AE238)),0)</f>
        <v>0</v>
      </c>
      <c r="BA238" s="2">
        <f t="shared" si="91"/>
        <v>3.8519575022066418E-2</v>
      </c>
      <c r="BB238" s="2">
        <f t="shared" si="92"/>
        <v>1.5087835620419182E-2</v>
      </c>
      <c r="BC238" s="2">
        <f t="shared" si="93"/>
        <v>0</v>
      </c>
      <c r="BD238" s="2">
        <f t="shared" si="94"/>
        <v>0</v>
      </c>
      <c r="BF238" s="4" t="s">
        <v>2013</v>
      </c>
      <c r="BG238" s="4" t="s">
        <v>907</v>
      </c>
      <c r="BJ238" s="114">
        <v>6</v>
      </c>
      <c r="BK238" s="116">
        <v>59</v>
      </c>
      <c r="BL238" s="120">
        <f t="shared" si="96"/>
        <v>6059</v>
      </c>
      <c r="BN238" s="5" t="s">
        <v>3154</v>
      </c>
      <c r="BR238" s="63"/>
      <c r="BY238" s="63">
        <f t="shared" si="95"/>
        <v>-1197521</v>
      </c>
      <c r="CA238" s="63">
        <f>6239+4917+131+27+4</f>
        <v>11318</v>
      </c>
      <c r="CB238" s="8"/>
      <c r="CC238" s="63">
        <v>6239</v>
      </c>
    </row>
    <row r="239" spans="1:81" ht="13" hidden="1" customHeight="1" outlineLevel="1">
      <c r="A239" s="4" t="s">
        <v>1849</v>
      </c>
      <c r="B239" s="4" t="s">
        <v>907</v>
      </c>
      <c r="C239" s="1">
        <f t="shared" si="86"/>
        <v>186024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6</v>
      </c>
      <c r="G239" s="132">
        <f t="shared" si="83"/>
        <v>21629</v>
      </c>
      <c r="H239" s="137">
        <f t="shared" si="84"/>
        <v>0.11626994366318325</v>
      </c>
      <c r="I239" s="2"/>
      <c r="J239" s="2">
        <f t="shared" si="87"/>
        <v>0.39515868920139335</v>
      </c>
      <c r="K239" s="2">
        <f t="shared" si="88"/>
        <v>0.51142863286457663</v>
      </c>
      <c r="L239" s="2">
        <f t="shared" si="89"/>
        <v>5.5476712682234553E-3</v>
      </c>
      <c r="M239" s="2">
        <f t="shared" si="90"/>
        <v>8.7865006665806503E-2</v>
      </c>
      <c r="N239" s="63">
        <v>73509</v>
      </c>
      <c r="O239" s="63">
        <v>95138</v>
      </c>
      <c r="P239" s="63">
        <v>1032</v>
      </c>
      <c r="Q239" s="63">
        <v>9245</v>
      </c>
      <c r="R239" s="63">
        <v>2501</v>
      </c>
      <c r="S239" s="63"/>
      <c r="T239" s="63"/>
      <c r="U239" s="63"/>
      <c r="V239" s="63">
        <v>238</v>
      </c>
      <c r="W239" s="63">
        <f>IF(Copyright!B$11=1,IF(CA239&gt;0,CA239-P239-SUM(Y239:AM239)-SUM(AN239:AQ239)-X239-SUM(S239:U239),SUM(CB239:CF239)),SUM(CC239:CF239))</f>
        <v>4317</v>
      </c>
      <c r="X239" s="63"/>
      <c r="Y239" s="63"/>
      <c r="Z239" s="63"/>
      <c r="AA239" s="63"/>
      <c r="AB239" s="63"/>
      <c r="AC239" s="63"/>
      <c r="AD239" s="63"/>
      <c r="AE239" s="63">
        <v>10</v>
      </c>
      <c r="AF239" s="63">
        <v>1</v>
      </c>
      <c r="AG239" s="63"/>
      <c r="AH239" s="63"/>
      <c r="AI239" s="63"/>
      <c r="AJ239" s="63"/>
      <c r="AK239" s="63"/>
      <c r="AL239" s="63"/>
      <c r="AM239" s="63"/>
      <c r="AN239" s="63">
        <v>33</v>
      </c>
      <c r="AO239" s="63"/>
      <c r="AP239" s="63"/>
      <c r="AQ239" s="63"/>
      <c r="AR239" s="63"/>
      <c r="AS239" s="63"/>
      <c r="AT239" s="63"/>
      <c r="AU239" s="63"/>
      <c r="AW239" s="5">
        <f>IF(Q239&gt;0,RANK(Q239,(N239:P239,Q239:AE239)),0)</f>
        <v>3</v>
      </c>
      <c r="AX239" s="5">
        <f>IF(R239&gt;0,RANK(R239,(N239:P239,Q239:AE239)),0)</f>
        <v>5</v>
      </c>
      <c r="AY239" s="5">
        <f>IF(T239&gt;0,RANK(T239,(N239:P239,Q239:AE239)),0)</f>
        <v>0</v>
      </c>
      <c r="AZ239" s="5">
        <f>IF(S239&gt;0,RANK(S239,(N239:P239,Q239:AE239)),0)</f>
        <v>0</v>
      </c>
      <c r="BA239" s="2">
        <f t="shared" si="91"/>
        <v>4.9697888444501785E-2</v>
      </c>
      <c r="BB239" s="2">
        <f t="shared" si="92"/>
        <v>1.3444501784715951E-2</v>
      </c>
      <c r="BC239" s="2">
        <f t="shared" si="93"/>
        <v>0</v>
      </c>
      <c r="BD239" s="2">
        <f t="shared" si="94"/>
        <v>0</v>
      </c>
      <c r="BF239" s="4" t="s">
        <v>1849</v>
      </c>
      <c r="BG239" s="4" t="s">
        <v>907</v>
      </c>
      <c r="BJ239" s="114">
        <v>6</v>
      </c>
      <c r="BK239" s="116">
        <v>61</v>
      </c>
      <c r="BL239" s="120">
        <f t="shared" si="96"/>
        <v>6061</v>
      </c>
      <c r="BN239" s="5" t="s">
        <v>3154</v>
      </c>
      <c r="BR239" s="63"/>
      <c r="BX239" s="63" t="s">
        <v>4326</v>
      </c>
      <c r="BY239" s="63">
        <f t="shared" si="95"/>
        <v>0</v>
      </c>
      <c r="BZ239" s="63">
        <v>186024</v>
      </c>
      <c r="CA239" s="63">
        <f>3185+1+10+33+1032+1132</f>
        <v>5393</v>
      </c>
      <c r="CB239" s="8"/>
      <c r="CC239" s="63">
        <v>1132</v>
      </c>
    </row>
    <row r="240" spans="1:81" ht="13" hidden="1" customHeight="1" outlineLevel="1">
      <c r="A240" s="4" t="s">
        <v>94</v>
      </c>
      <c r="B240" s="4" t="s">
        <v>907</v>
      </c>
      <c r="C240" s="1">
        <f t="shared" si="86"/>
        <v>9850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>IF(P240&gt;0,RANK(P240,(N240:P240,Q240:AE240)),0)</f>
        <v>6</v>
      </c>
      <c r="G240" s="132">
        <f t="shared" si="83"/>
        <v>1961</v>
      </c>
      <c r="H240" s="137">
        <f t="shared" si="84"/>
        <v>0.19908629441624365</v>
      </c>
      <c r="I240" s="2"/>
      <c r="J240" s="2">
        <f t="shared" si="87"/>
        <v>0.35116751269035534</v>
      </c>
      <c r="K240" s="2">
        <f t="shared" si="88"/>
        <v>0.55025380710659899</v>
      </c>
      <c r="L240" s="2">
        <f t="shared" si="89"/>
        <v>5.1776649746192891E-3</v>
      </c>
      <c r="M240" s="2">
        <f t="shared" si="90"/>
        <v>9.3401015228426434E-2</v>
      </c>
      <c r="N240" s="63">
        <v>3459</v>
      </c>
      <c r="O240" s="63">
        <v>5420</v>
      </c>
      <c r="P240" s="63">
        <v>51</v>
      </c>
      <c r="Q240" s="63">
        <v>411</v>
      </c>
      <c r="R240" s="63">
        <v>186</v>
      </c>
      <c r="S240" s="63"/>
      <c r="T240" s="63"/>
      <c r="U240" s="63"/>
      <c r="V240" s="63">
        <v>29</v>
      </c>
      <c r="W240" s="63">
        <f>IF(Copyright!B$11=1,IF(CA240&gt;0,CA240-P240-SUM(Y240:AM240)-SUM(AN240:AQ240)-X240-SUM(S240:U240),SUM(CB240:CF240)),SUM(CC240:CF240))</f>
        <v>294</v>
      </c>
      <c r="X240" s="63"/>
      <c r="Y240" s="63"/>
      <c r="Z240" s="63"/>
      <c r="AA240" s="63"/>
      <c r="AB240" s="63"/>
      <c r="AC240" s="63"/>
      <c r="AD240" s="63"/>
      <c r="AE240" s="63">
        <v>0</v>
      </c>
      <c r="AF240" s="63">
        <v>0</v>
      </c>
      <c r="AG240" s="63"/>
      <c r="AH240" s="63"/>
      <c r="AI240" s="63"/>
      <c r="AJ240" s="63"/>
      <c r="AK240" s="63"/>
      <c r="AL240" s="63"/>
      <c r="AM240" s="63"/>
      <c r="AN240" s="63">
        <v>0</v>
      </c>
      <c r="AO240" s="63"/>
      <c r="AP240" s="63"/>
      <c r="AQ240" s="63"/>
      <c r="AR240" s="63"/>
      <c r="AS240" s="63"/>
      <c r="AT240" s="63"/>
      <c r="AU240" s="63"/>
      <c r="AW240" s="5">
        <f>IF(Q240&gt;0,RANK(Q240,(N240:P240,Q240:AE240)),0)</f>
        <v>3</v>
      </c>
      <c r="AX240" s="5">
        <f>IF(R240&gt;0,RANK(R240,(N240:P240,Q240:AE240)),0)</f>
        <v>5</v>
      </c>
      <c r="AY240" s="5">
        <f>IF(T240&gt;0,RANK(T240,(N240:P240,Q240:AE240)),0)</f>
        <v>0</v>
      </c>
      <c r="AZ240" s="5">
        <f>IF(S240&gt;0,RANK(S240,(N240:P240,Q240:AE240)),0)</f>
        <v>0</v>
      </c>
      <c r="BA240" s="2">
        <f t="shared" si="91"/>
        <v>4.1725888324873096E-2</v>
      </c>
      <c r="BB240" s="2">
        <f t="shared" si="92"/>
        <v>1.8883248730964468E-2</v>
      </c>
      <c r="BC240" s="2">
        <f t="shared" si="93"/>
        <v>0</v>
      </c>
      <c r="BD240" s="2">
        <f t="shared" si="94"/>
        <v>0</v>
      </c>
      <c r="BF240" s="4" t="s">
        <v>94</v>
      </c>
      <c r="BG240" s="4" t="s">
        <v>907</v>
      </c>
      <c r="BH240">
        <v>1</v>
      </c>
      <c r="BJ240" s="114">
        <v>6</v>
      </c>
      <c r="BK240" s="116">
        <v>63</v>
      </c>
      <c r="BL240" s="120">
        <f t="shared" si="96"/>
        <v>6063</v>
      </c>
      <c r="BN240" s="5" t="s">
        <v>3154</v>
      </c>
      <c r="BR240" s="63"/>
      <c r="BX240" s="63" t="s">
        <v>4327</v>
      </c>
      <c r="BY240" s="63">
        <f t="shared" si="95"/>
        <v>0</v>
      </c>
      <c r="BZ240" s="63">
        <v>9850</v>
      </c>
      <c r="CA240" s="63">
        <v>345</v>
      </c>
      <c r="CB240" s="8"/>
      <c r="CC240" s="63">
        <v>120</v>
      </c>
    </row>
    <row r="241" spans="1:81" ht="13" hidden="1" customHeight="1" outlineLevel="1">
      <c r="A241" s="4" t="s">
        <v>1448</v>
      </c>
      <c r="B241" s="4" t="s">
        <v>907</v>
      </c>
      <c r="C241" s="1">
        <f t="shared" ref="C241:C267" si="97">SUM(N241:AU241)</f>
        <v>751391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7</v>
      </c>
      <c r="G241" s="132">
        <f t="shared" si="83"/>
        <v>40452</v>
      </c>
      <c r="H241" s="137">
        <f t="shared" si="84"/>
        <v>5.3836151883639806E-2</v>
      </c>
      <c r="I241" s="2"/>
      <c r="J241" s="2">
        <f t="shared" ref="J241:J267" si="98">IF($C241=0,"-",N241/$C241)</f>
        <v>0.49733760452281167</v>
      </c>
      <c r="K241" s="2">
        <f t="shared" ref="K241:K267" si="99">IF($C241=0,"-",O241/$C241)</f>
        <v>0.4435014526391719</v>
      </c>
      <c r="L241" s="2">
        <f t="shared" ref="L241:L267" si="100">IF($C241=0,"-",P241/$C241)</f>
        <v>2.8853153684300185E-3</v>
      </c>
      <c r="M241" s="2">
        <f t="shared" ref="M241:M267" si="101">IF(C241=0,"-",(1-J241-K241-L241))</f>
        <v>5.6275627469586351E-2</v>
      </c>
      <c r="N241" s="63">
        <v>373695</v>
      </c>
      <c r="O241" s="63">
        <v>333243</v>
      </c>
      <c r="P241" s="63">
        <v>2168</v>
      </c>
      <c r="Q241" s="63">
        <v>24089</v>
      </c>
      <c r="R241" s="63">
        <v>11320</v>
      </c>
      <c r="S241" s="63"/>
      <c r="T241" s="63"/>
      <c r="U241" s="63"/>
      <c r="V241" s="63">
        <v>3433</v>
      </c>
      <c r="W241" s="63">
        <f>IF(Copyright!B$11=1,IF(CA241&gt;0,CA241-P241-SUM(Y241:AM241)-SUM(AN241:AQ241)-X241-SUM(S241:U241),SUM(CB241:CF241)),SUM(CC241:CF241))</f>
        <v>3387</v>
      </c>
      <c r="X241" s="63"/>
      <c r="Y241" s="63"/>
      <c r="Z241" s="63"/>
      <c r="AA241" s="63"/>
      <c r="AB241" s="63"/>
      <c r="AC241" s="63"/>
      <c r="AD241" s="63"/>
      <c r="AE241" s="63">
        <v>4</v>
      </c>
      <c r="AF241" s="63">
        <v>3</v>
      </c>
      <c r="AG241" s="63"/>
      <c r="AH241" s="63"/>
      <c r="AI241" s="63"/>
      <c r="AJ241" s="63"/>
      <c r="AK241" s="63"/>
      <c r="AL241" s="63"/>
      <c r="AM241" s="63"/>
      <c r="AN241" s="63">
        <v>49</v>
      </c>
      <c r="AO241" s="63"/>
      <c r="AP241" s="63"/>
      <c r="AQ241" s="63"/>
      <c r="AR241" s="63"/>
      <c r="AS241" s="63"/>
      <c r="AT241" s="63"/>
      <c r="AU241" s="63"/>
      <c r="AW241" s="5">
        <f>IF(Q241&gt;0,RANK(Q241,(N241:P241,Q241:AE241)),0)</f>
        <v>3</v>
      </c>
      <c r="AX241" s="5">
        <f>IF(R241&gt;0,RANK(R241,(N241:P241,Q241:AE241)),0)</f>
        <v>4</v>
      </c>
      <c r="AY241" s="5">
        <f>IF(T241&gt;0,RANK(T241,(N241:P241,Q241:AE241)),0)</f>
        <v>0</v>
      </c>
      <c r="AZ241" s="5">
        <f>IF(S241&gt;0,RANK(S241,(N241:P241,Q241:AE241)),0)</f>
        <v>0</v>
      </c>
      <c r="BA241" s="2">
        <f t="shared" ref="BA241:BA267" si="102">IF($C241=0,"-",Q241/$C241)</f>
        <v>3.2059207523113802E-2</v>
      </c>
      <c r="BB241" s="2">
        <f t="shared" ref="BB241:BB267" si="103">IF($C241=0,"-",R241/$C241)</f>
        <v>1.5065392052872606E-2</v>
      </c>
      <c r="BC241" s="2">
        <f t="shared" ref="BC241:BC267" si="104">IF($C241=0,"-",T241/$C241)</f>
        <v>0</v>
      </c>
      <c r="BD241" s="2">
        <f t="shared" ref="BD241:BD267" si="105">IF($C241=0,"-",S241/$C241)</f>
        <v>0</v>
      </c>
      <c r="BF241" s="4" t="s">
        <v>1448</v>
      </c>
      <c r="BG241" s="4" t="s">
        <v>907</v>
      </c>
      <c r="BJ241" s="114">
        <v>6</v>
      </c>
      <c r="BK241" s="116">
        <v>65</v>
      </c>
      <c r="BL241" s="120">
        <f t="shared" si="96"/>
        <v>6065</v>
      </c>
      <c r="BN241" s="5" t="s">
        <v>3154</v>
      </c>
      <c r="BR241" s="63"/>
      <c r="BS241" s="128"/>
      <c r="BY241" s="63">
        <f t="shared" si="95"/>
        <v>-751391</v>
      </c>
      <c r="CA241" s="63">
        <f>4+49+2168+3387+3</f>
        <v>5611</v>
      </c>
      <c r="CB241" s="8"/>
      <c r="CC241" s="63">
        <v>3387</v>
      </c>
    </row>
    <row r="242" spans="1:81" ht="13" hidden="1" customHeight="1" outlineLevel="1">
      <c r="A242" s="4" t="s">
        <v>740</v>
      </c>
      <c r="B242" s="4" t="s">
        <v>907</v>
      </c>
      <c r="C242" s="1">
        <f t="shared" si="97"/>
        <v>562285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7</v>
      </c>
      <c r="G242" s="132">
        <f t="shared" si="83"/>
        <v>136234</v>
      </c>
      <c r="H242" s="137">
        <f t="shared" si="84"/>
        <v>0.24228638501827365</v>
      </c>
      <c r="I242" s="2"/>
      <c r="J242" s="2">
        <f t="shared" si="98"/>
        <v>0.57981806379327205</v>
      </c>
      <c r="K242" s="2">
        <f t="shared" si="99"/>
        <v>0.33753167877499846</v>
      </c>
      <c r="L242" s="2">
        <f t="shared" si="100"/>
        <v>3.9214988840178917E-3</v>
      </c>
      <c r="M242" s="2">
        <f t="shared" si="101"/>
        <v>7.8728758547711594E-2</v>
      </c>
      <c r="N242" s="63">
        <v>326023</v>
      </c>
      <c r="O242" s="63">
        <v>189789</v>
      </c>
      <c r="P242" s="63">
        <v>2205</v>
      </c>
      <c r="Q242" s="63">
        <v>24412</v>
      </c>
      <c r="R242" s="63">
        <v>9846</v>
      </c>
      <c r="S242" s="63"/>
      <c r="T242" s="63"/>
      <c r="U242" s="63"/>
      <c r="V242" s="63">
        <v>2556</v>
      </c>
      <c r="W242" s="63">
        <f>IF(Copyright!B$11=1,IF(CA242&gt;0,CA242-P242-SUM(Y242:AM242)-SUM(AN242:AQ242)-X242-SUM(S242:U242),SUM(CB242:CF242)),SUM(CC242:CF242))</f>
        <v>7384</v>
      </c>
      <c r="X242" s="63"/>
      <c r="Y242" s="63"/>
      <c r="Z242" s="63"/>
      <c r="AA242" s="63"/>
      <c r="AB242" s="63"/>
      <c r="AC242" s="63"/>
      <c r="AD242" s="63"/>
      <c r="AE242" s="63">
        <v>5</v>
      </c>
      <c r="AF242" s="63">
        <v>0</v>
      </c>
      <c r="AG242" s="63"/>
      <c r="AH242" s="63"/>
      <c r="AI242" s="63"/>
      <c r="AJ242" s="63"/>
      <c r="AK242" s="63"/>
      <c r="AL242" s="63"/>
      <c r="AM242" s="63"/>
      <c r="AN242" s="63">
        <v>65</v>
      </c>
      <c r="AO242" s="63"/>
      <c r="AP242" s="63"/>
      <c r="AQ242" s="63"/>
      <c r="AR242" s="63"/>
      <c r="AS242" s="63"/>
      <c r="AT242" s="63"/>
      <c r="AU242" s="63"/>
      <c r="AW242" s="5">
        <f>IF(Q242&gt;0,RANK(Q242,(N242:P242,Q242:AE242)),0)</f>
        <v>3</v>
      </c>
      <c r="AX242" s="5">
        <f>IF(R242&gt;0,RANK(R242,(N242:P242,Q242:AE242)),0)</f>
        <v>4</v>
      </c>
      <c r="AY242" s="5">
        <f>IF(T242&gt;0,RANK(T242,(N242:P242,Q242:AE242)),0)</f>
        <v>0</v>
      </c>
      <c r="AZ242" s="5">
        <f>IF(S242&gt;0,RANK(S242,(N242:P242,Q242:AE242)),0)</f>
        <v>0</v>
      </c>
      <c r="BA242" s="2">
        <f t="shared" si="102"/>
        <v>4.3415705558569051E-2</v>
      </c>
      <c r="BB242" s="2">
        <f t="shared" si="103"/>
        <v>1.7510692975981932E-2</v>
      </c>
      <c r="BC242" s="2">
        <f t="shared" si="104"/>
        <v>0</v>
      </c>
      <c r="BD242" s="2">
        <f t="shared" si="105"/>
        <v>0</v>
      </c>
      <c r="BF242" s="4" t="s">
        <v>740</v>
      </c>
      <c r="BG242" s="4" t="s">
        <v>907</v>
      </c>
      <c r="BJ242" s="114">
        <v>6</v>
      </c>
      <c r="BK242" s="116">
        <v>67</v>
      </c>
      <c r="BL242" s="120">
        <f t="shared" si="96"/>
        <v>6067</v>
      </c>
      <c r="BN242" s="5" t="s">
        <v>3154</v>
      </c>
      <c r="BO242" s="63">
        <v>12543</v>
      </c>
      <c r="BP242" s="63">
        <v>883</v>
      </c>
      <c r="BR242" s="63"/>
      <c r="BX242" s="63" t="s">
        <v>4328</v>
      </c>
      <c r="BY242" s="63">
        <f t="shared" si="95"/>
        <v>13426</v>
      </c>
      <c r="BZ242" s="63">
        <f>575711-BW242-BV242</f>
        <v>575711</v>
      </c>
      <c r="CA242" s="63">
        <v>9659</v>
      </c>
      <c r="CB242" s="8"/>
      <c r="CC242" s="63">
        <v>4429</v>
      </c>
    </row>
    <row r="243" spans="1:81" ht="13" hidden="1" customHeight="1" outlineLevel="1">
      <c r="A243" s="4" t="s">
        <v>619</v>
      </c>
      <c r="B243" s="4" t="s">
        <v>907</v>
      </c>
      <c r="C243" s="1">
        <f t="shared" si="97"/>
        <v>22122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7</v>
      </c>
      <c r="G243" s="132">
        <f t="shared" si="83"/>
        <v>4680</v>
      </c>
      <c r="H243" s="137">
        <f t="shared" si="84"/>
        <v>0.21155410903173311</v>
      </c>
      <c r="I243" s="2"/>
      <c r="J243" s="2">
        <f t="shared" si="98"/>
        <v>0.56599764939878849</v>
      </c>
      <c r="K243" s="2">
        <f t="shared" si="99"/>
        <v>0.35444354036705544</v>
      </c>
      <c r="L243" s="2">
        <f t="shared" si="100"/>
        <v>3.8875327728053522E-3</v>
      </c>
      <c r="M243" s="2">
        <f t="shared" si="101"/>
        <v>7.5671277461350717E-2</v>
      </c>
      <c r="N243" s="63">
        <v>12521</v>
      </c>
      <c r="O243" s="63">
        <v>7841</v>
      </c>
      <c r="P243" s="63">
        <v>86</v>
      </c>
      <c r="Q243" s="63">
        <v>815</v>
      </c>
      <c r="R243" s="63">
        <v>364</v>
      </c>
      <c r="S243" s="63"/>
      <c r="T243" s="63"/>
      <c r="U243" s="63"/>
      <c r="V243" s="63">
        <v>138</v>
      </c>
      <c r="W243" s="63">
        <f>IF(Copyright!B$11=1,IF(CA243&gt;0,CA243-P243-SUM(Y243:AM243)-SUM(AN243:AQ243)-X243-SUM(S243:U243),SUM(CB243:CF243)),SUM(CC243:CF243))</f>
        <v>356</v>
      </c>
      <c r="X243" s="63"/>
      <c r="Y243" s="63"/>
      <c r="Z243" s="63"/>
      <c r="AA243" s="63"/>
      <c r="AB243" s="63"/>
      <c r="AC243" s="63"/>
      <c r="AD243" s="63"/>
      <c r="AE243" s="63">
        <v>1</v>
      </c>
      <c r="AF243" s="63">
        <v>0</v>
      </c>
      <c r="AG243" s="63"/>
      <c r="AH243" s="63"/>
      <c r="AI243" s="63"/>
      <c r="AJ243" s="63"/>
      <c r="AK243" s="63"/>
      <c r="AL243" s="63"/>
      <c r="AM243" s="63"/>
      <c r="AN243" s="63">
        <v>0</v>
      </c>
      <c r="AO243" s="63"/>
      <c r="AP243" s="63"/>
      <c r="AQ243" s="63"/>
      <c r="AR243" s="63"/>
      <c r="AS243" s="63"/>
      <c r="AT243" s="63"/>
      <c r="AU243" s="63"/>
      <c r="AW243" s="5">
        <f>IF(Q243&gt;0,RANK(Q243,(N243:P243,Q243:AE243)),0)</f>
        <v>3</v>
      </c>
      <c r="AX243" s="5">
        <f>IF(R243&gt;0,RANK(R243,(N243:P243,Q243:AE243)),0)</f>
        <v>4</v>
      </c>
      <c r="AY243" s="5">
        <f>IF(T243&gt;0,RANK(T243,(N243:P243,Q243:AE243)),0)</f>
        <v>0</v>
      </c>
      <c r="AZ243" s="5">
        <f>IF(S243&gt;0,RANK(S243,(N243:P243,Q243:AE243)),0)</f>
        <v>0</v>
      </c>
      <c r="BA243" s="2">
        <f t="shared" si="102"/>
        <v>3.6841153602748394E-2</v>
      </c>
      <c r="BB243" s="2">
        <f t="shared" si="103"/>
        <v>1.645420848024591E-2</v>
      </c>
      <c r="BC243" s="2">
        <f t="shared" si="104"/>
        <v>0</v>
      </c>
      <c r="BD243" s="2">
        <f t="shared" si="105"/>
        <v>0</v>
      </c>
      <c r="BF243" s="4" t="s">
        <v>619</v>
      </c>
      <c r="BG243" s="4" t="s">
        <v>907</v>
      </c>
      <c r="BH243">
        <v>20</v>
      </c>
      <c r="BJ243" s="114">
        <v>6</v>
      </c>
      <c r="BK243" s="116">
        <v>69</v>
      </c>
      <c r="BL243" s="120">
        <f t="shared" si="96"/>
        <v>6069</v>
      </c>
      <c r="BN243" s="5" t="s">
        <v>3154</v>
      </c>
      <c r="BR243" s="63"/>
      <c r="BX243" s="63" t="s">
        <v>4329</v>
      </c>
      <c r="BY243" s="63">
        <f t="shared" si="95"/>
        <v>0</v>
      </c>
      <c r="BZ243" s="63">
        <v>22122</v>
      </c>
      <c r="CA243" s="63">
        <v>443</v>
      </c>
      <c r="CB243" s="8"/>
      <c r="CC243" s="63">
        <v>158</v>
      </c>
    </row>
    <row r="244" spans="1:81" ht="13" hidden="1" customHeight="1" outlineLevel="1">
      <c r="A244" s="4" t="s">
        <v>1221</v>
      </c>
      <c r="B244" s="4" t="s">
        <v>907</v>
      </c>
      <c r="C244" s="1">
        <f t="shared" si="97"/>
        <v>653983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7</v>
      </c>
      <c r="G244" s="132">
        <f t="shared" si="83"/>
        <v>69593</v>
      </c>
      <c r="H244" s="137">
        <f t="shared" si="84"/>
        <v>0.10641408109996743</v>
      </c>
      <c r="I244" s="2"/>
      <c r="J244" s="2">
        <f t="shared" si="98"/>
        <v>0.5211649232472404</v>
      </c>
      <c r="K244" s="2">
        <f t="shared" si="99"/>
        <v>0.41475084214727292</v>
      </c>
      <c r="L244" s="2">
        <f t="shared" si="100"/>
        <v>2.870105186220437E-3</v>
      </c>
      <c r="M244" s="2">
        <f t="shared" si="101"/>
        <v>6.1214129419266239E-2</v>
      </c>
      <c r="N244" s="63">
        <v>340833</v>
      </c>
      <c r="O244" s="63">
        <v>271240</v>
      </c>
      <c r="P244" s="63">
        <v>1877</v>
      </c>
      <c r="Q244" s="63">
        <v>21050</v>
      </c>
      <c r="R244" s="63">
        <v>10604</v>
      </c>
      <c r="S244" s="63"/>
      <c r="T244" s="63"/>
      <c r="U244" s="63"/>
      <c r="V244" s="63">
        <v>3786</v>
      </c>
      <c r="W244" s="63">
        <f>IF(Copyright!B$11=1,IF(CA244&gt;0,CA244-P244-SUM(Y244:AM244)-SUM(AN244:AQ244)-X244-SUM(S244:U244),SUM(CB244:CF244)),SUM(CC244:CF244))</f>
        <v>4551</v>
      </c>
      <c r="X244" s="63"/>
      <c r="Y244" s="63"/>
      <c r="Z244" s="63"/>
      <c r="AA244" s="63"/>
      <c r="AB244" s="63"/>
      <c r="AC244" s="63"/>
      <c r="AD244" s="63"/>
      <c r="AE244" s="63">
        <v>5</v>
      </c>
      <c r="AF244" s="63">
        <v>0</v>
      </c>
      <c r="AG244" s="63"/>
      <c r="AH244" s="63"/>
      <c r="AI244" s="63"/>
      <c r="AJ244" s="63"/>
      <c r="AK244" s="63"/>
      <c r="AL244" s="63"/>
      <c r="AM244" s="63"/>
      <c r="AN244" s="63">
        <v>37</v>
      </c>
      <c r="AO244" s="63"/>
      <c r="AP244" s="63"/>
      <c r="AQ244" s="63"/>
      <c r="AR244" s="63"/>
      <c r="AS244" s="63"/>
      <c r="AT244" s="63"/>
      <c r="AU244" s="63"/>
      <c r="AW244" s="5">
        <f>IF(Q244&gt;0,RANK(Q244,(N244:P244,Q244:AE244)),0)</f>
        <v>3</v>
      </c>
      <c r="AX244" s="5">
        <f>IF(R244&gt;0,RANK(R244,(N244:P244,Q244:AE244)),0)</f>
        <v>4</v>
      </c>
      <c r="AY244" s="5">
        <f>IF(T244&gt;0,RANK(T244,(N244:P244,Q244:AE244)),0)</f>
        <v>0</v>
      </c>
      <c r="AZ244" s="5">
        <f>IF(S244&gt;0,RANK(S244,(N244:P244,Q244:AE244)),0)</f>
        <v>0</v>
      </c>
      <c r="BA244" s="2">
        <f t="shared" si="102"/>
        <v>3.2187381017549387E-2</v>
      </c>
      <c r="BB244" s="2">
        <f t="shared" si="103"/>
        <v>1.6214488755823927E-2</v>
      </c>
      <c r="BC244" s="2">
        <f t="shared" si="104"/>
        <v>0</v>
      </c>
      <c r="BD244" s="2">
        <f t="shared" si="105"/>
        <v>0</v>
      </c>
      <c r="BF244" s="4" t="s">
        <v>1221</v>
      </c>
      <c r="BG244" s="4" t="s">
        <v>907</v>
      </c>
      <c r="BJ244" s="114">
        <v>6</v>
      </c>
      <c r="BK244" s="116">
        <v>71</v>
      </c>
      <c r="BL244" s="120">
        <f t="shared" si="96"/>
        <v>6071</v>
      </c>
      <c r="BN244" s="5" t="s">
        <v>3154</v>
      </c>
      <c r="BR244" s="63"/>
      <c r="BY244" s="63">
        <f t="shared" si="95"/>
        <v>-653983</v>
      </c>
      <c r="CA244" s="63">
        <f>5+37+1877+4551</f>
        <v>6470</v>
      </c>
      <c r="CB244" s="8"/>
      <c r="CC244" s="63">
        <v>4551</v>
      </c>
    </row>
    <row r="245" spans="1:81" ht="13" hidden="1" customHeight="1" outlineLevel="1">
      <c r="A245" s="4" t="s">
        <v>2242</v>
      </c>
      <c r="B245" s="4" t="s">
        <v>907</v>
      </c>
      <c r="C245" s="1">
        <f t="shared" si="97"/>
        <v>1306400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6</v>
      </c>
      <c r="G245" s="132">
        <f t="shared" si="83"/>
        <v>257710</v>
      </c>
      <c r="H245" s="137">
        <f t="shared" si="84"/>
        <v>0.19726729944886712</v>
      </c>
      <c r="I245" s="2"/>
      <c r="J245" s="2">
        <f t="shared" si="98"/>
        <v>0.56297917942437237</v>
      </c>
      <c r="K245" s="2">
        <f t="shared" si="99"/>
        <v>0.36571187997550519</v>
      </c>
      <c r="L245" s="2">
        <f t="shared" si="100"/>
        <v>3.7132578077158605E-3</v>
      </c>
      <c r="M245" s="2">
        <f t="shared" si="101"/>
        <v>6.7595682792406575E-2</v>
      </c>
      <c r="N245" s="63">
        <v>735476</v>
      </c>
      <c r="O245" s="63">
        <v>477766</v>
      </c>
      <c r="P245" s="63">
        <v>4851</v>
      </c>
      <c r="Q245" s="63">
        <v>51663</v>
      </c>
      <c r="R245" s="63">
        <v>22820</v>
      </c>
      <c r="S245" s="63"/>
      <c r="T245" s="63"/>
      <c r="U245" s="63"/>
      <c r="V245" s="63">
        <v>3353</v>
      </c>
      <c r="W245" s="63">
        <f>IF(Copyright!B$11=1,IF(CA245&gt;0,CA245-P245-SUM(Y245:AM245)-SUM(AN245:AQ245)-X245-SUM(S245:U245),SUM(CB245:CF245)),SUM(CC245:CF245))</f>
        <v>10255</v>
      </c>
      <c r="X245" s="63"/>
      <c r="Y245" s="63"/>
      <c r="Z245" s="63"/>
      <c r="AA245" s="63"/>
      <c r="AB245" s="63"/>
      <c r="AC245" s="63"/>
      <c r="AD245" s="63"/>
      <c r="AE245" s="63">
        <v>42</v>
      </c>
      <c r="AF245" s="63">
        <v>22</v>
      </c>
      <c r="AG245" s="63"/>
      <c r="AH245" s="63"/>
      <c r="AI245" s="63"/>
      <c r="AJ245" s="63"/>
      <c r="AK245" s="63"/>
      <c r="AL245" s="63"/>
      <c r="AM245" s="63"/>
      <c r="AN245" s="63">
        <v>152</v>
      </c>
      <c r="AO245" s="63"/>
      <c r="AP245" s="63"/>
      <c r="AQ245" s="63"/>
      <c r="AR245" s="63"/>
      <c r="AS245" s="63"/>
      <c r="AT245" s="63"/>
      <c r="AU245" s="63"/>
      <c r="AW245" s="5">
        <f>IF(Q245&gt;0,RANK(Q245,(N245:P245,Q245:AE245)),0)</f>
        <v>3</v>
      </c>
      <c r="AX245" s="5">
        <f>IF(R245&gt;0,RANK(R245,(N245:P245,Q245:AE245)),0)</f>
        <v>4</v>
      </c>
      <c r="AY245" s="5">
        <f>IF(T245&gt;0,RANK(T245,(N245:P245,Q245:AE245)),0)</f>
        <v>0</v>
      </c>
      <c r="AZ245" s="5">
        <f>IF(S245&gt;0,RANK(S245,(N245:P245,Q245:AE245)),0)</f>
        <v>0</v>
      </c>
      <c r="BA245" s="2">
        <f t="shared" si="102"/>
        <v>3.9546080832823023E-2</v>
      </c>
      <c r="BB245" s="2">
        <f t="shared" si="103"/>
        <v>1.7467850581751376E-2</v>
      </c>
      <c r="BC245" s="2">
        <f t="shared" si="104"/>
        <v>0</v>
      </c>
      <c r="BD245" s="2">
        <f t="shared" si="105"/>
        <v>0</v>
      </c>
      <c r="BF245" s="4" t="s">
        <v>2242</v>
      </c>
      <c r="BG245" s="4" t="s">
        <v>907</v>
      </c>
      <c r="BJ245" s="114">
        <v>6</v>
      </c>
      <c r="BK245" s="116">
        <v>73</v>
      </c>
      <c r="BL245" s="120">
        <f t="shared" si="96"/>
        <v>6073</v>
      </c>
      <c r="BN245" s="5" t="s">
        <v>3154</v>
      </c>
      <c r="BR245" s="63"/>
      <c r="BY245" s="63">
        <f t="shared" si="95"/>
        <v>-1306400</v>
      </c>
      <c r="CA245" s="63">
        <f>42+152+4851+10255+22</f>
        <v>15322</v>
      </c>
      <c r="CB245" s="8"/>
      <c r="CC245" s="63">
        <v>10255</v>
      </c>
    </row>
    <row r="246" spans="1:81" ht="13" hidden="1" customHeight="1" outlineLevel="1">
      <c r="A246" s="4" t="s">
        <v>2244</v>
      </c>
      <c r="B246" s="4" t="s">
        <v>907</v>
      </c>
      <c r="C246" s="1">
        <f t="shared" si="97"/>
        <v>408541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7</v>
      </c>
      <c r="G246" s="132">
        <f t="shared" si="83"/>
        <v>307396</v>
      </c>
      <c r="H246" s="137">
        <f t="shared" si="84"/>
        <v>0.75242386933012839</v>
      </c>
      <c r="I246" s="2"/>
      <c r="J246" s="2">
        <f t="shared" si="98"/>
        <v>0.84467409635752588</v>
      </c>
      <c r="K246" s="2">
        <f t="shared" si="99"/>
        <v>9.2250227027397491E-2</v>
      </c>
      <c r="L246" s="2">
        <f t="shared" si="100"/>
        <v>9.1300505946771563E-4</v>
      </c>
      <c r="M246" s="2">
        <f t="shared" si="101"/>
        <v>6.2162671555608909E-2</v>
      </c>
      <c r="N246" s="63">
        <v>345084</v>
      </c>
      <c r="O246" s="63">
        <v>37688</v>
      </c>
      <c r="P246" s="63">
        <v>373</v>
      </c>
      <c r="Q246" s="63">
        <v>8883</v>
      </c>
      <c r="R246" s="63">
        <v>9904</v>
      </c>
      <c r="S246" s="63"/>
      <c r="T246" s="63"/>
      <c r="U246" s="63"/>
      <c r="V246" s="63">
        <v>1799</v>
      </c>
      <c r="W246" s="63">
        <f>IF(Copyright!B$11=1,IF(CA246&gt;0,CA246-P246-SUM(Y246:AM246)-SUM(AN246:AQ246)-X246-SUM(S246:U246),SUM(CB246:CF246)),SUM(CC246:CF246))</f>
        <v>4770</v>
      </c>
      <c r="X246" s="63"/>
      <c r="Y246" s="63"/>
      <c r="Z246" s="63"/>
      <c r="AA246" s="63"/>
      <c r="AB246" s="63"/>
      <c r="AC246" s="63"/>
      <c r="AD246" s="63"/>
      <c r="AE246" s="63">
        <v>13</v>
      </c>
      <c r="AF246" s="63">
        <v>5</v>
      </c>
      <c r="AG246" s="63"/>
      <c r="AH246" s="63"/>
      <c r="AI246" s="63"/>
      <c r="AJ246" s="63"/>
      <c r="AK246" s="63"/>
      <c r="AL246" s="63"/>
      <c r="AM246" s="63"/>
      <c r="AN246" s="63">
        <v>22</v>
      </c>
      <c r="AO246" s="63"/>
      <c r="AP246" s="63"/>
      <c r="AQ246" s="63"/>
      <c r="AR246" s="63"/>
      <c r="AS246" s="63"/>
      <c r="AT246" s="63"/>
      <c r="AU246" s="63"/>
      <c r="AW246" s="5">
        <f>IF(Q246&gt;0,RANK(Q246,(N246:P246,Q246:AE246)),0)</f>
        <v>4</v>
      </c>
      <c r="AX246" s="5">
        <f>IF(R246&gt;0,RANK(R246,(N246:P246,Q246:AE246)),0)</f>
        <v>3</v>
      </c>
      <c r="AY246" s="5">
        <f>IF(T246&gt;0,RANK(T246,(N246:P246,Q246:AE246)),0)</f>
        <v>0</v>
      </c>
      <c r="AZ246" s="5">
        <f>IF(S246&gt;0,RANK(S246,(N246:P246,Q246:AE246)),0)</f>
        <v>0</v>
      </c>
      <c r="BA246" s="2">
        <f t="shared" si="102"/>
        <v>2.1743227729897365E-2</v>
      </c>
      <c r="BB246" s="2">
        <f t="shared" si="103"/>
        <v>2.4242364903400149E-2</v>
      </c>
      <c r="BC246" s="2">
        <f t="shared" si="104"/>
        <v>0</v>
      </c>
      <c r="BD246" s="2">
        <f t="shared" si="105"/>
        <v>0</v>
      </c>
      <c r="BF246" s="4" t="s">
        <v>2244</v>
      </c>
      <c r="BG246" s="4" t="s">
        <v>907</v>
      </c>
      <c r="BJ246" s="114">
        <v>6</v>
      </c>
      <c r="BK246" s="116">
        <v>75</v>
      </c>
      <c r="BL246" s="120">
        <f t="shared" si="96"/>
        <v>6075</v>
      </c>
      <c r="BN246" s="5" t="s">
        <v>3154</v>
      </c>
      <c r="BO246" s="63">
        <v>5218</v>
      </c>
      <c r="BP246" s="63">
        <v>769</v>
      </c>
      <c r="BR246" s="63"/>
      <c r="BX246" s="63" t="s">
        <v>4330</v>
      </c>
      <c r="BY246" s="63">
        <f t="shared" si="95"/>
        <v>0</v>
      </c>
      <c r="BZ246" s="63">
        <v>408541</v>
      </c>
      <c r="CA246" s="63">
        <f>2749+2021+373+22+13+5</f>
        <v>5183</v>
      </c>
      <c r="CB246" s="128"/>
      <c r="CC246" s="132">
        <v>2021</v>
      </c>
    </row>
    <row r="247" spans="1:81" ht="13" hidden="1" customHeight="1" outlineLevel="1">
      <c r="A247" s="4" t="s">
        <v>3065</v>
      </c>
      <c r="B247" s="4" t="s">
        <v>907</v>
      </c>
      <c r="C247" s="1">
        <f t="shared" si="97"/>
        <v>227002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7</v>
      </c>
      <c r="G247" s="132">
        <f t="shared" si="83"/>
        <v>32188</v>
      </c>
      <c r="H247" s="137">
        <f t="shared" si="84"/>
        <v>0.14179610752328173</v>
      </c>
      <c r="I247" s="2"/>
      <c r="J247" s="2">
        <f t="shared" si="98"/>
        <v>0.53358120192773628</v>
      </c>
      <c r="K247" s="2">
        <f t="shared" si="99"/>
        <v>0.39178509440445458</v>
      </c>
      <c r="L247" s="2">
        <f t="shared" si="100"/>
        <v>2.7180377265398543E-3</v>
      </c>
      <c r="M247" s="2">
        <f t="shared" si="101"/>
        <v>7.1915665941269288E-2</v>
      </c>
      <c r="N247" s="63">
        <v>121124</v>
      </c>
      <c r="O247" s="63">
        <v>88936</v>
      </c>
      <c r="P247" s="63">
        <v>617</v>
      </c>
      <c r="Q247" s="63">
        <v>8049</v>
      </c>
      <c r="R247" s="63">
        <v>3134</v>
      </c>
      <c r="S247" s="63"/>
      <c r="T247" s="63"/>
      <c r="U247" s="63"/>
      <c r="V247" s="63">
        <v>903</v>
      </c>
      <c r="W247" s="63">
        <f>IF(Copyright!B$11=1,IF(CA247&gt;0,CA247-P247-SUM(Y247:AM247)-SUM(AN247:AQ247)-X247-SUM(S247:U247),SUM(CB247:CF247)),SUM(CC247:CF247))</f>
        <v>4208</v>
      </c>
      <c r="X247" s="63"/>
      <c r="Y247" s="63"/>
      <c r="Z247" s="63"/>
      <c r="AA247" s="63"/>
      <c r="AB247" s="63"/>
      <c r="AC247" s="63"/>
      <c r="AD247" s="63"/>
      <c r="AE247" s="63">
        <v>5</v>
      </c>
      <c r="AF247" s="63">
        <v>0</v>
      </c>
      <c r="AG247" s="63"/>
      <c r="AH247" s="63"/>
      <c r="AI247" s="63"/>
      <c r="AJ247" s="63"/>
      <c r="AK247" s="63"/>
      <c r="AL247" s="63"/>
      <c r="AM247" s="63"/>
      <c r="AN247" s="63">
        <v>26</v>
      </c>
      <c r="AO247" s="63"/>
      <c r="AP247" s="63"/>
      <c r="AQ247" s="63"/>
      <c r="AR247" s="63"/>
      <c r="AS247" s="63"/>
      <c r="AT247" s="63"/>
      <c r="AU247" s="63"/>
      <c r="AW247" s="5">
        <f>IF(Q247&gt;0,RANK(Q247,(N247:P247,Q247:AE247)),0)</f>
        <v>3</v>
      </c>
      <c r="AX247" s="5">
        <f>IF(R247&gt;0,RANK(R247,(N247:P247,Q247:AE247)),0)</f>
        <v>5</v>
      </c>
      <c r="AY247" s="5">
        <f>IF(T247&gt;0,RANK(T247,(N247:P247,Q247:AE247)),0)</f>
        <v>0</v>
      </c>
      <c r="AZ247" s="5">
        <f>IF(S247&gt;0,RANK(S247,(N247:P247,Q247:AE247)),0)</f>
        <v>0</v>
      </c>
      <c r="BA247" s="2">
        <f t="shared" si="102"/>
        <v>3.5457837375882151E-2</v>
      </c>
      <c r="BB247" s="2">
        <f t="shared" si="103"/>
        <v>1.3806045761711351E-2</v>
      </c>
      <c r="BC247" s="2">
        <f t="shared" si="104"/>
        <v>0</v>
      </c>
      <c r="BD247" s="2">
        <f t="shared" si="105"/>
        <v>0</v>
      </c>
      <c r="BF247" s="4" t="s">
        <v>3065</v>
      </c>
      <c r="BG247" s="4" t="s">
        <v>907</v>
      </c>
      <c r="BJ247" s="114">
        <v>6</v>
      </c>
      <c r="BK247" s="116">
        <v>77</v>
      </c>
      <c r="BL247" s="120">
        <f t="shared" si="96"/>
        <v>6077</v>
      </c>
      <c r="BN247" s="5" t="s">
        <v>3154</v>
      </c>
      <c r="BR247" s="63"/>
      <c r="BS247" s="128"/>
      <c r="BX247" s="63" t="s">
        <v>4331</v>
      </c>
      <c r="BY247" s="63">
        <f t="shared" si="95"/>
        <v>0</v>
      </c>
      <c r="BZ247" s="63">
        <v>227002</v>
      </c>
      <c r="CA247" s="63">
        <v>4856</v>
      </c>
      <c r="CB247" s="8"/>
      <c r="CC247" s="63">
        <v>1372</v>
      </c>
    </row>
    <row r="248" spans="1:81" ht="13" hidden="1" customHeight="1" outlineLevel="1">
      <c r="A248" s="4" t="s">
        <v>334</v>
      </c>
      <c r="B248" s="4" t="s">
        <v>907</v>
      </c>
      <c r="C248" s="1">
        <f t="shared" si="97"/>
        <v>137202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6</v>
      </c>
      <c r="G248" s="132">
        <f t="shared" si="83"/>
        <v>10943</v>
      </c>
      <c r="H248" s="137">
        <f t="shared" si="84"/>
        <v>7.9758312561041378E-2</v>
      </c>
      <c r="I248" s="2"/>
      <c r="J248" s="2">
        <f t="shared" si="98"/>
        <v>0.48911094590457865</v>
      </c>
      <c r="K248" s="2">
        <f t="shared" si="99"/>
        <v>0.40935263334353728</v>
      </c>
      <c r="L248" s="2">
        <f t="shared" si="100"/>
        <v>5.1165434906196702E-3</v>
      </c>
      <c r="M248" s="2">
        <f t="shared" si="101"/>
        <v>9.6419877261264456E-2</v>
      </c>
      <c r="N248" s="63">
        <v>67107</v>
      </c>
      <c r="O248" s="63">
        <v>56164</v>
      </c>
      <c r="P248" s="63">
        <v>702</v>
      </c>
      <c r="Q248" s="63">
        <v>6473</v>
      </c>
      <c r="R248" s="63">
        <v>2848</v>
      </c>
      <c r="S248" s="63"/>
      <c r="T248" s="63"/>
      <c r="U248" s="63"/>
      <c r="V248" s="63">
        <v>425</v>
      </c>
      <c r="W248" s="63">
        <f>IF(Copyright!B$11=1,IF(CA248&gt;0,CA248-P248-SUM(Y248:AM248)-SUM(AN248:AQ248)-X248-SUM(S248:U248),SUM(CB248:CF248)),SUM(CC248:CF248))</f>
        <v>3466</v>
      </c>
      <c r="X248" s="63"/>
      <c r="Y248" s="63"/>
      <c r="Z248" s="63"/>
      <c r="AA248" s="63"/>
      <c r="AB248" s="63"/>
      <c r="AC248" s="63"/>
      <c r="AD248" s="63"/>
      <c r="AE248" s="63">
        <v>3</v>
      </c>
      <c r="AF248" s="63">
        <v>1</v>
      </c>
      <c r="AG248" s="63"/>
      <c r="AH248" s="63"/>
      <c r="AI248" s="63"/>
      <c r="AJ248" s="63"/>
      <c r="AK248" s="63"/>
      <c r="AL248" s="63"/>
      <c r="AM248" s="63"/>
      <c r="AN248" s="63">
        <v>13</v>
      </c>
      <c r="AO248" s="63"/>
      <c r="AP248" s="63"/>
      <c r="AQ248" s="63"/>
      <c r="AR248" s="63"/>
      <c r="AS248" s="63"/>
      <c r="AT248" s="63"/>
      <c r="AU248" s="63"/>
      <c r="AW248" s="5">
        <f>IF(Q248&gt;0,RANK(Q248,(N248:P248,Q248:AE248)),0)</f>
        <v>3</v>
      </c>
      <c r="AX248" s="5">
        <f>IF(R248&gt;0,RANK(R248,(N248:P248,Q248:AE248)),0)</f>
        <v>5</v>
      </c>
      <c r="AY248" s="5">
        <f>IF(T248&gt;0,RANK(T248,(N248:P248,Q248:AE248)),0)</f>
        <v>0</v>
      </c>
      <c r="AZ248" s="5">
        <f>IF(S248&gt;0,RANK(S248,(N248:P248,Q248:AE248)),0)</f>
        <v>0</v>
      </c>
      <c r="BA248" s="2">
        <f t="shared" si="102"/>
        <v>4.7178612556668269E-2</v>
      </c>
      <c r="BB248" s="2">
        <f t="shared" si="103"/>
        <v>2.0757714902115129E-2</v>
      </c>
      <c r="BC248" s="2">
        <f t="shared" si="104"/>
        <v>0</v>
      </c>
      <c r="BD248" s="2">
        <f t="shared" si="105"/>
        <v>0</v>
      </c>
      <c r="BF248" s="4" t="s">
        <v>334</v>
      </c>
      <c r="BG248" s="4" t="s">
        <v>907</v>
      </c>
      <c r="BH248">
        <v>24</v>
      </c>
      <c r="BJ248" s="114">
        <v>6</v>
      </c>
      <c r="BK248" s="116">
        <v>79</v>
      </c>
      <c r="BL248" s="120">
        <f t="shared" si="96"/>
        <v>6079</v>
      </c>
      <c r="BN248" s="5" t="s">
        <v>3154</v>
      </c>
      <c r="BR248" s="63"/>
      <c r="BS248" s="128"/>
      <c r="BX248" s="63" t="s">
        <v>4332</v>
      </c>
      <c r="BY248" s="63">
        <f t="shared" si="95"/>
        <v>0</v>
      </c>
      <c r="BZ248" s="63">
        <v>137202</v>
      </c>
      <c r="CA248" s="63">
        <v>4185</v>
      </c>
      <c r="CB248" s="8"/>
      <c r="CC248" s="63">
        <v>1273</v>
      </c>
    </row>
    <row r="249" spans="1:81" ht="13" hidden="1" customHeight="1" outlineLevel="1">
      <c r="A249" s="4" t="s">
        <v>505</v>
      </c>
      <c r="B249" s="4" t="s">
        <v>907</v>
      </c>
      <c r="C249" s="1">
        <f t="shared" si="97"/>
        <v>314384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7</v>
      </c>
      <c r="G249" s="132">
        <f t="shared" si="83"/>
        <v>179953</v>
      </c>
      <c r="H249" s="137">
        <f t="shared" si="84"/>
        <v>0.57239872258130187</v>
      </c>
      <c r="I249" s="2"/>
      <c r="J249" s="2">
        <f t="shared" si="98"/>
        <v>0.75666064430759838</v>
      </c>
      <c r="K249" s="2">
        <f t="shared" si="99"/>
        <v>0.18426192172629649</v>
      </c>
      <c r="L249" s="2">
        <f t="shared" si="100"/>
        <v>2.4174258231971094E-3</v>
      </c>
      <c r="M249" s="2">
        <f t="shared" si="101"/>
        <v>5.6660008142908017E-2</v>
      </c>
      <c r="N249" s="63">
        <v>237882</v>
      </c>
      <c r="O249" s="63">
        <v>57929</v>
      </c>
      <c r="P249" s="63">
        <v>760</v>
      </c>
      <c r="Q249" s="63">
        <v>9464</v>
      </c>
      <c r="R249" s="63">
        <v>5102</v>
      </c>
      <c r="S249" s="63"/>
      <c r="T249" s="63"/>
      <c r="U249" s="63"/>
      <c r="V249" s="63">
        <v>1047</v>
      </c>
      <c r="W249" s="63">
        <f>IF(Copyright!B$11=1,IF(CA249&gt;0,CA249-P249-SUM(Y249:AM249)-SUM(AN249:AQ249)-X249-SUM(S249:U249),SUM(CB249:CF249)),SUM(CC249:CF249))</f>
        <v>2159</v>
      </c>
      <c r="X249" s="63"/>
      <c r="Y249" s="63"/>
      <c r="Z249" s="63"/>
      <c r="AA249" s="63"/>
      <c r="AB249" s="63"/>
      <c r="AC249" s="63"/>
      <c r="AD249" s="63"/>
      <c r="AE249" s="63">
        <v>15</v>
      </c>
      <c r="AF249" s="63">
        <v>3</v>
      </c>
      <c r="AG249" s="63"/>
      <c r="AH249" s="63"/>
      <c r="AI249" s="63"/>
      <c r="AJ249" s="63"/>
      <c r="AK249" s="63"/>
      <c r="AL249" s="63"/>
      <c r="AM249" s="63"/>
      <c r="AN249" s="63">
        <v>23</v>
      </c>
      <c r="AO249" s="63"/>
      <c r="AP249" s="63"/>
      <c r="AQ249" s="63"/>
      <c r="AR249" s="63"/>
      <c r="AS249" s="63"/>
      <c r="AT249" s="63"/>
      <c r="AU249" s="63"/>
      <c r="AW249" s="5">
        <f>IF(Q249&gt;0,RANK(Q249,(N249:P249,Q249:AE249)),0)</f>
        <v>3</v>
      </c>
      <c r="AX249" s="5">
        <f>IF(R249&gt;0,RANK(R249,(N249:P249,Q249:AE249)),0)</f>
        <v>4</v>
      </c>
      <c r="AY249" s="5">
        <f>IF(T249&gt;0,RANK(T249,(N249:P249,Q249:AE249)),0)</f>
        <v>0</v>
      </c>
      <c r="AZ249" s="5">
        <f>IF(S249&gt;0,RANK(S249,(N249:P249,Q249:AE249)),0)</f>
        <v>0</v>
      </c>
      <c r="BA249" s="2">
        <f t="shared" si="102"/>
        <v>3.0103313145707161E-2</v>
      </c>
      <c r="BB249" s="2">
        <f t="shared" si="103"/>
        <v>1.6228561249936383E-2</v>
      </c>
      <c r="BC249" s="2">
        <f t="shared" si="104"/>
        <v>0</v>
      </c>
      <c r="BD249" s="2">
        <f t="shared" si="105"/>
        <v>0</v>
      </c>
      <c r="BF249" s="4" t="s">
        <v>505</v>
      </c>
      <c r="BG249" s="4" t="s">
        <v>907</v>
      </c>
      <c r="BJ249" s="114">
        <v>6</v>
      </c>
      <c r="BK249" s="116">
        <v>81</v>
      </c>
      <c r="BL249" s="120">
        <f t="shared" si="96"/>
        <v>6081</v>
      </c>
      <c r="BN249" s="5" t="s">
        <v>3154</v>
      </c>
      <c r="BR249" s="63"/>
      <c r="BS249" s="128"/>
      <c r="BY249" s="63">
        <f t="shared" si="95"/>
        <v>-314384</v>
      </c>
      <c r="CA249" s="63">
        <f>2159+760+23+15+3</f>
        <v>2960</v>
      </c>
      <c r="CB249" s="128"/>
      <c r="CC249" s="132">
        <v>2159</v>
      </c>
    </row>
    <row r="250" spans="1:81" ht="13" hidden="1" customHeight="1" outlineLevel="1">
      <c r="A250" s="4" t="s">
        <v>382</v>
      </c>
      <c r="B250" s="4" t="s">
        <v>907</v>
      </c>
      <c r="C250" s="1">
        <f t="shared" si="97"/>
        <v>178878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6</v>
      </c>
      <c r="G250" s="132">
        <f t="shared" si="83"/>
        <v>50777</v>
      </c>
      <c r="H250" s="137">
        <f t="shared" si="84"/>
        <v>0.28386386252082424</v>
      </c>
      <c r="I250" s="2"/>
      <c r="J250" s="2">
        <f t="shared" si="98"/>
        <v>0.59896689363700395</v>
      </c>
      <c r="K250" s="2">
        <f t="shared" si="99"/>
        <v>0.31510303111617977</v>
      </c>
      <c r="L250" s="2">
        <f t="shared" si="100"/>
        <v>4.097764957121614E-3</v>
      </c>
      <c r="M250" s="2">
        <f t="shared" si="101"/>
        <v>8.1832310289694676E-2</v>
      </c>
      <c r="N250" s="63">
        <v>107142</v>
      </c>
      <c r="O250" s="63">
        <v>56365</v>
      </c>
      <c r="P250" s="63">
        <v>733</v>
      </c>
      <c r="Q250" s="63">
        <v>6748</v>
      </c>
      <c r="R250" s="63">
        <v>3719</v>
      </c>
      <c r="S250" s="63"/>
      <c r="T250" s="63"/>
      <c r="U250" s="63"/>
      <c r="V250" s="63">
        <v>693</v>
      </c>
      <c r="W250" s="63">
        <f>IF(Copyright!B$11=1,IF(CA250&gt;0,CA250-P250-SUM(Y250:AM250)-SUM(AN250:AQ250)-X250-SUM(S250:U250),SUM(CB250:CF250)),SUM(CC250:CF250))</f>
        <v>3458</v>
      </c>
      <c r="X250" s="63"/>
      <c r="Y250" s="63"/>
      <c r="Z250" s="63"/>
      <c r="AA250" s="63"/>
      <c r="AB250" s="63"/>
      <c r="AC250" s="63"/>
      <c r="AD250" s="63"/>
      <c r="AE250" s="63">
        <v>1</v>
      </c>
      <c r="AF250" s="63">
        <v>1</v>
      </c>
      <c r="AG250" s="63"/>
      <c r="AH250" s="63"/>
      <c r="AI250" s="63"/>
      <c r="AJ250" s="63"/>
      <c r="AK250" s="63"/>
      <c r="AL250" s="63"/>
      <c r="AM250" s="63"/>
      <c r="AN250" s="63">
        <v>18</v>
      </c>
      <c r="AO250" s="63"/>
      <c r="AP250" s="63"/>
      <c r="AQ250" s="63"/>
      <c r="AR250" s="63"/>
      <c r="AS250" s="63"/>
      <c r="AT250" s="63"/>
      <c r="AU250" s="63"/>
      <c r="AW250" s="5">
        <f>IF(Q250&gt;0,RANK(Q250,(N250:P250,Q250:AE250)),0)</f>
        <v>3</v>
      </c>
      <c r="AX250" s="5">
        <f>IF(R250&gt;0,RANK(R250,(N250:P250,Q250:AE250)),0)</f>
        <v>4</v>
      </c>
      <c r="AY250" s="5">
        <f>IF(T250&gt;0,RANK(T250,(N250:P250,Q250:AE250)),0)</f>
        <v>0</v>
      </c>
      <c r="AZ250" s="5">
        <f>IF(S250&gt;0,RANK(S250,(N250:P250,Q250:AE250)),0)</f>
        <v>0</v>
      </c>
      <c r="BA250" s="2">
        <f t="shared" si="102"/>
        <v>3.7724035376066369E-2</v>
      </c>
      <c r="BB250" s="2">
        <f t="shared" si="103"/>
        <v>2.0790706515054953E-2</v>
      </c>
      <c r="BC250" s="2">
        <f t="shared" si="104"/>
        <v>0</v>
      </c>
      <c r="BD250" s="2">
        <f t="shared" si="105"/>
        <v>0</v>
      </c>
      <c r="BF250" s="4" t="s">
        <v>382</v>
      </c>
      <c r="BG250" s="4" t="s">
        <v>907</v>
      </c>
      <c r="BH250">
        <v>24</v>
      </c>
      <c r="BJ250" s="114">
        <v>6</v>
      </c>
      <c r="BK250" s="116">
        <v>83</v>
      </c>
      <c r="BL250" s="120">
        <f t="shared" si="96"/>
        <v>6083</v>
      </c>
      <c r="BN250" s="5" t="s">
        <v>3154</v>
      </c>
      <c r="BR250" s="63"/>
      <c r="BS250" s="128"/>
      <c r="BX250" s="63" t="s">
        <v>4333</v>
      </c>
      <c r="BY250" s="63">
        <f t="shared" si="95"/>
        <v>0</v>
      </c>
      <c r="BZ250" s="63">
        <v>178878</v>
      </c>
      <c r="CA250" s="63">
        <v>4211</v>
      </c>
      <c r="CB250" s="128"/>
      <c r="CC250" s="132">
        <v>1366</v>
      </c>
    </row>
    <row r="251" spans="1:81" ht="13" hidden="1" customHeight="1" outlineLevel="1">
      <c r="A251" s="4" t="s">
        <v>978</v>
      </c>
      <c r="B251" s="4" t="s">
        <v>907</v>
      </c>
      <c r="C251" s="1">
        <f t="shared" si="97"/>
        <v>703709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7</v>
      </c>
      <c r="G251" s="132">
        <f t="shared" si="83"/>
        <v>366858</v>
      </c>
      <c r="H251" s="137">
        <f t="shared" si="84"/>
        <v>0.52132060269230607</v>
      </c>
      <c r="I251" s="2"/>
      <c r="J251" s="2">
        <f t="shared" si="98"/>
        <v>0.72712442216882267</v>
      </c>
      <c r="K251" s="2">
        <f t="shared" si="99"/>
        <v>0.20580381947651658</v>
      </c>
      <c r="L251" s="2">
        <f t="shared" si="100"/>
        <v>3.2627122859022694E-3</v>
      </c>
      <c r="M251" s="2">
        <f t="shared" si="101"/>
        <v>6.3809046068758479E-2</v>
      </c>
      <c r="N251" s="63">
        <v>511684</v>
      </c>
      <c r="O251" s="63">
        <v>144826</v>
      </c>
      <c r="P251" s="63">
        <v>2296</v>
      </c>
      <c r="Q251" s="63">
        <v>25325</v>
      </c>
      <c r="R251" s="63">
        <v>12664</v>
      </c>
      <c r="S251" s="63"/>
      <c r="T251" s="63"/>
      <c r="U251" s="63"/>
      <c r="V251" s="63">
        <v>2759</v>
      </c>
      <c r="W251" s="63">
        <f>IF(Copyright!B$11=1,IF(CA251&gt;0,CA251-P251-SUM(Y251:AM251)-SUM(AN251:AQ251)-X251-SUM(S251:U251),SUM(CB251:CF251)),SUM(CC251:CF251))</f>
        <v>4066</v>
      </c>
      <c r="X251" s="63"/>
      <c r="Y251" s="63"/>
      <c r="Z251" s="63"/>
      <c r="AA251" s="63"/>
      <c r="AB251" s="63"/>
      <c r="AC251" s="63"/>
      <c r="AD251" s="63"/>
      <c r="AE251" s="63">
        <v>25</v>
      </c>
      <c r="AF251" s="63">
        <v>3</v>
      </c>
      <c r="AG251" s="63"/>
      <c r="AH251" s="63"/>
      <c r="AI251" s="63"/>
      <c r="AJ251" s="63"/>
      <c r="AK251" s="63"/>
      <c r="AL251" s="63"/>
      <c r="AM251" s="63"/>
      <c r="AN251" s="63">
        <v>61</v>
      </c>
      <c r="AO251" s="63"/>
      <c r="AP251" s="63"/>
      <c r="AQ251" s="63"/>
      <c r="AR251" s="63"/>
      <c r="AS251" s="63"/>
      <c r="AT251" s="63"/>
      <c r="AU251" s="63"/>
      <c r="AW251" s="5">
        <f>IF(Q251&gt;0,RANK(Q251,(N251:P251,Q251:AE251)),0)</f>
        <v>3</v>
      </c>
      <c r="AX251" s="5">
        <f>IF(R251&gt;0,RANK(R251,(N251:P251,Q251:AE251)),0)</f>
        <v>4</v>
      </c>
      <c r="AY251" s="5">
        <f>IF(T251&gt;0,RANK(T251,(N251:P251,Q251:AE251)),0)</f>
        <v>0</v>
      </c>
      <c r="AZ251" s="5">
        <f>IF(S251&gt;0,RANK(S251,(N251:P251,Q251:AE251)),0)</f>
        <v>0</v>
      </c>
      <c r="BA251" s="2">
        <f t="shared" si="102"/>
        <v>3.5987887038534394E-2</v>
      </c>
      <c r="BB251" s="2">
        <f t="shared" si="103"/>
        <v>1.7996075082171749E-2</v>
      </c>
      <c r="BC251" s="2">
        <f t="shared" si="104"/>
        <v>0</v>
      </c>
      <c r="BD251" s="2">
        <f t="shared" si="105"/>
        <v>0</v>
      </c>
      <c r="BF251" s="4" t="s">
        <v>978</v>
      </c>
      <c r="BG251" s="4" t="s">
        <v>907</v>
      </c>
      <c r="BJ251" s="114">
        <v>6</v>
      </c>
      <c r="BK251" s="116">
        <v>85</v>
      </c>
      <c r="BL251" s="120">
        <f t="shared" si="96"/>
        <v>6085</v>
      </c>
      <c r="BN251" s="5" t="s">
        <v>3154</v>
      </c>
      <c r="BR251" s="63"/>
      <c r="BY251" s="63">
        <f t="shared" si="95"/>
        <v>-703709</v>
      </c>
      <c r="CA251" s="63">
        <f>4066+2296+3+25+61</f>
        <v>6451</v>
      </c>
      <c r="CB251" s="8"/>
      <c r="CC251" s="63">
        <v>4066</v>
      </c>
    </row>
    <row r="252" spans="1:81" ht="13" hidden="1" customHeight="1" outlineLevel="1">
      <c r="A252" s="4" t="s">
        <v>1751</v>
      </c>
      <c r="B252" s="4" t="s">
        <v>907</v>
      </c>
      <c r="C252" s="1">
        <f t="shared" si="97"/>
        <v>130012</v>
      </c>
      <c r="D252" s="5">
        <f>IF(N252&gt;0, RANK(N252,(N252:P252,Q252:AE252)),0)</f>
        <v>1</v>
      </c>
      <c r="E252" s="5">
        <f>IF(O252&gt;0,RANK(O252,(N252:P252,Q252:AE252)),0)</f>
        <v>2</v>
      </c>
      <c r="F252" s="5">
        <f>IF(P252&gt;0,RANK(P252,(N252:P252,Q252:AE252)),0)</f>
        <v>7</v>
      </c>
      <c r="G252" s="132">
        <f t="shared" si="83"/>
        <v>72811</v>
      </c>
      <c r="H252" s="137">
        <f t="shared" si="84"/>
        <v>0.56003292003815031</v>
      </c>
      <c r="I252" s="2"/>
      <c r="J252" s="2">
        <f t="shared" si="98"/>
        <v>0.73261698920099683</v>
      </c>
      <c r="K252" s="2">
        <f t="shared" si="99"/>
        <v>0.17258406916284649</v>
      </c>
      <c r="L252" s="2">
        <f t="shared" si="100"/>
        <v>2.1767221487247329E-3</v>
      </c>
      <c r="M252" s="2">
        <f t="shared" si="101"/>
        <v>9.2622219487431948E-2</v>
      </c>
      <c r="N252" s="63">
        <v>95249</v>
      </c>
      <c r="O252" s="63">
        <v>22438</v>
      </c>
      <c r="P252" s="63">
        <v>283</v>
      </c>
      <c r="Q252" s="63">
        <v>4325</v>
      </c>
      <c r="R252" s="63">
        <v>4485</v>
      </c>
      <c r="S252" s="63"/>
      <c r="T252" s="63"/>
      <c r="U252" s="63"/>
      <c r="V252" s="63">
        <v>627</v>
      </c>
      <c r="W252" s="63">
        <f>IF(Copyright!B$11=1,IF(CA252&gt;0,CA252-P252-SUM(Y252:AM252)-SUM(AN252:AQ252)-X252-SUM(S252:U252),SUM(CB252:CF252)),SUM(CC252:CF252))</f>
        <v>2586</v>
      </c>
      <c r="X252" s="63"/>
      <c r="Y252" s="63"/>
      <c r="Z252" s="63"/>
      <c r="AA252" s="63"/>
      <c r="AB252" s="63"/>
      <c r="AC252" s="63"/>
      <c r="AD252" s="63"/>
      <c r="AE252" s="63">
        <v>4</v>
      </c>
      <c r="AF252" s="63">
        <v>5</v>
      </c>
      <c r="AG252" s="63"/>
      <c r="AH252" s="63"/>
      <c r="AI252" s="63"/>
      <c r="AJ252" s="63"/>
      <c r="AK252" s="63"/>
      <c r="AL252" s="63"/>
      <c r="AM252" s="63"/>
      <c r="AN252" s="63">
        <v>10</v>
      </c>
      <c r="AO252" s="63"/>
      <c r="AP252" s="63"/>
      <c r="AQ252" s="63"/>
      <c r="AR252" s="63"/>
      <c r="AS252" s="63"/>
      <c r="AT252" s="63"/>
      <c r="AU252" s="63"/>
      <c r="AW252" s="5">
        <f>IF(Q252&gt;0,RANK(Q252,(N252:P252,Q252:AE252)),0)</f>
        <v>4</v>
      </c>
      <c r="AX252" s="5">
        <f>IF(R252&gt;0,RANK(R252,(N252:P252,Q252:AE252)),0)</f>
        <v>3</v>
      </c>
      <c r="AY252" s="5">
        <f>IF(T252&gt;0,RANK(T252,(N252:P252,Q252:AE252)),0)</f>
        <v>0</v>
      </c>
      <c r="AZ252" s="5">
        <f>IF(S252&gt;0,RANK(S252,(N252:P252,Q252:AE252)),0)</f>
        <v>0</v>
      </c>
      <c r="BA252" s="2">
        <f t="shared" si="102"/>
        <v>3.3266160046764914E-2</v>
      </c>
      <c r="BB252" s="2">
        <f t="shared" si="103"/>
        <v>3.4496815678552749E-2</v>
      </c>
      <c r="BC252" s="2">
        <f t="shared" si="104"/>
        <v>0</v>
      </c>
      <c r="BD252" s="2">
        <f t="shared" si="105"/>
        <v>0</v>
      </c>
      <c r="BF252" s="4" t="s">
        <v>1751</v>
      </c>
      <c r="BG252" s="4" t="s">
        <v>907</v>
      </c>
      <c r="BJ252" s="114">
        <v>6</v>
      </c>
      <c r="BK252" s="116">
        <v>87</v>
      </c>
      <c r="BL252" s="120">
        <f t="shared" si="96"/>
        <v>6087</v>
      </c>
      <c r="BN252" s="5" t="s">
        <v>3154</v>
      </c>
      <c r="BR252" s="63"/>
      <c r="BS252" s="128"/>
      <c r="BX252" s="63" t="s">
        <v>4334</v>
      </c>
      <c r="BY252" s="63">
        <f t="shared" si="95"/>
        <v>0</v>
      </c>
      <c r="BZ252" s="63">
        <v>130012</v>
      </c>
      <c r="CA252" s="63">
        <v>2888</v>
      </c>
      <c r="CB252" s="128"/>
      <c r="CC252" s="132">
        <v>1395</v>
      </c>
    </row>
    <row r="253" spans="1:81" ht="13" hidden="1" customHeight="1" outlineLevel="1">
      <c r="A253" s="4" t="s">
        <v>1125</v>
      </c>
      <c r="B253" s="4" t="s">
        <v>907</v>
      </c>
      <c r="C253" s="1">
        <f t="shared" si="97"/>
        <v>81024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6</v>
      </c>
      <c r="G253" s="132">
        <f t="shared" si="83"/>
        <v>29477</v>
      </c>
      <c r="H253" s="137">
        <f t="shared" si="84"/>
        <v>0.36380578593996843</v>
      </c>
      <c r="I253" s="2"/>
      <c r="J253" s="2">
        <f t="shared" si="98"/>
        <v>0.27523943522906791</v>
      </c>
      <c r="K253" s="2">
        <f t="shared" si="99"/>
        <v>0.63904522116903628</v>
      </c>
      <c r="L253" s="2">
        <f t="shared" si="100"/>
        <v>5.418147709320695E-3</v>
      </c>
      <c r="M253" s="2">
        <f t="shared" si="101"/>
        <v>8.0297195892575113E-2</v>
      </c>
      <c r="N253" s="63">
        <v>22301</v>
      </c>
      <c r="O253" s="63">
        <v>51778</v>
      </c>
      <c r="P253" s="63">
        <v>439</v>
      </c>
      <c r="Q253" s="63">
        <v>3382</v>
      </c>
      <c r="R253" s="63">
        <v>1300</v>
      </c>
      <c r="S253" s="63"/>
      <c r="T253" s="63"/>
      <c r="U253" s="63"/>
      <c r="V253" s="63">
        <v>329</v>
      </c>
      <c r="W253" s="63">
        <f>IF(Copyright!B$11=1,IF(CA253&gt;0,CA253-P253-SUM(Y253:AM253)-SUM(AN253:AQ253)-X253-SUM(S253:U253),SUM(CB253:CF253)),SUM(CC253:CF253))</f>
        <v>1491</v>
      </c>
      <c r="X253" s="63"/>
      <c r="Y253" s="63"/>
      <c r="Z253" s="63"/>
      <c r="AA253" s="63"/>
      <c r="AB253" s="63"/>
      <c r="AC253" s="63"/>
      <c r="AD253" s="63"/>
      <c r="AE253" s="63">
        <v>2</v>
      </c>
      <c r="AF253" s="63">
        <v>0</v>
      </c>
      <c r="AG253" s="63"/>
      <c r="AH253" s="63"/>
      <c r="AI253" s="63"/>
      <c r="AJ253" s="63"/>
      <c r="AK253" s="63"/>
      <c r="AL253" s="63"/>
      <c r="AM253" s="63"/>
      <c r="AN253" s="63">
        <v>2</v>
      </c>
      <c r="AO253" s="63"/>
      <c r="AP253" s="63"/>
      <c r="AQ253" s="63"/>
      <c r="AR253" s="63"/>
      <c r="AS253" s="63"/>
      <c r="AT253" s="63"/>
      <c r="AU253" s="63"/>
      <c r="AW253" s="5">
        <f>IF(Q253&gt;0,RANK(Q253,(N253:P253,Q253:AE253)),0)</f>
        <v>3</v>
      </c>
      <c r="AX253" s="5">
        <f>IF(R253&gt;0,RANK(R253,(N253:P253,Q253:AE253)),0)</f>
        <v>5</v>
      </c>
      <c r="AY253" s="5">
        <f>IF(T253&gt;0,RANK(T253,(N253:P253,Q253:AE253)),0)</f>
        <v>0</v>
      </c>
      <c r="AZ253" s="5">
        <f>IF(S253&gt;0,RANK(S253,(N253:P253,Q253:AE253)),0)</f>
        <v>0</v>
      </c>
      <c r="BA253" s="2">
        <f t="shared" si="102"/>
        <v>4.1740718799368089E-2</v>
      </c>
      <c r="BB253" s="2">
        <f t="shared" si="103"/>
        <v>1.6044628751974724E-2</v>
      </c>
      <c r="BC253" s="2">
        <f t="shared" si="104"/>
        <v>0</v>
      </c>
      <c r="BD253" s="2">
        <f t="shared" si="105"/>
        <v>0</v>
      </c>
      <c r="BF253" s="4" t="s">
        <v>1125</v>
      </c>
      <c r="BG253" s="4" t="s">
        <v>907</v>
      </c>
      <c r="BH253">
        <v>1</v>
      </c>
      <c r="BJ253" s="114">
        <v>6</v>
      </c>
      <c r="BK253" s="116">
        <v>89</v>
      </c>
      <c r="BL253" s="120">
        <f t="shared" si="96"/>
        <v>6089</v>
      </c>
      <c r="BN253" s="5" t="s">
        <v>3154</v>
      </c>
      <c r="BO253" s="63">
        <v>1290</v>
      </c>
      <c r="BP253" s="63">
        <v>112</v>
      </c>
      <c r="BR253" s="63"/>
      <c r="BX253" s="63" t="s">
        <v>4335</v>
      </c>
      <c r="BY253" s="63">
        <f t="shared" si="95"/>
        <v>0</v>
      </c>
      <c r="BZ253" s="63">
        <v>81024</v>
      </c>
      <c r="CA253" s="63">
        <v>1934</v>
      </c>
      <c r="CB253" s="8"/>
      <c r="CC253" s="63">
        <v>520</v>
      </c>
    </row>
    <row r="254" spans="1:81" ht="13" hidden="1" customHeight="1" outlineLevel="1">
      <c r="A254" s="4" t="s">
        <v>2605</v>
      </c>
      <c r="B254" s="4" t="s">
        <v>907</v>
      </c>
      <c r="C254" s="1">
        <f t="shared" si="97"/>
        <v>1858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7</v>
      </c>
      <c r="G254" s="132">
        <f t="shared" si="83"/>
        <v>447</v>
      </c>
      <c r="H254" s="137">
        <f t="shared" si="84"/>
        <v>0.24058127018299247</v>
      </c>
      <c r="I254" s="2"/>
      <c r="J254" s="2">
        <f t="shared" si="98"/>
        <v>0.32346609257265879</v>
      </c>
      <c r="K254" s="2">
        <f t="shared" si="99"/>
        <v>0.56404736275565126</v>
      </c>
      <c r="L254" s="2">
        <f t="shared" si="100"/>
        <v>3.2292787944025836E-3</v>
      </c>
      <c r="M254" s="2">
        <f t="shared" si="101"/>
        <v>0.10925726587728736</v>
      </c>
      <c r="N254" s="63">
        <v>601</v>
      </c>
      <c r="O254" s="63">
        <v>1048</v>
      </c>
      <c r="P254" s="63">
        <v>6</v>
      </c>
      <c r="Q254" s="63">
        <v>98</v>
      </c>
      <c r="R254" s="63">
        <v>42</v>
      </c>
      <c r="S254" s="63"/>
      <c r="T254" s="63"/>
      <c r="U254" s="63"/>
      <c r="V254" s="63">
        <v>15</v>
      </c>
      <c r="W254" s="63">
        <f>IF(Copyright!B$11=1,IF(CA254&gt;0,CA254-P254-SUM(Y254:AM254)-SUM(AN254:AQ254)-X254-SUM(S254:U254),SUM(CB254:CF254)),SUM(CC254:CF254))</f>
        <v>48</v>
      </c>
      <c r="X254" s="63"/>
      <c r="Y254" s="63"/>
      <c r="Z254" s="63"/>
      <c r="AA254" s="63"/>
      <c r="AB254" s="63"/>
      <c r="AC254" s="63"/>
      <c r="AD254" s="63"/>
      <c r="AE254" s="63">
        <v>0</v>
      </c>
      <c r="AF254" s="63">
        <v>0</v>
      </c>
      <c r="AG254" s="63"/>
      <c r="AH254" s="63"/>
      <c r="AI254" s="63"/>
      <c r="AJ254" s="63"/>
      <c r="AK254" s="63"/>
      <c r="AL254" s="63"/>
      <c r="AM254" s="63"/>
      <c r="AN254" s="63">
        <v>0</v>
      </c>
      <c r="AO254" s="63"/>
      <c r="AP254" s="63"/>
      <c r="AQ254" s="63"/>
      <c r="AR254" s="63"/>
      <c r="AS254" s="63"/>
      <c r="AT254" s="63"/>
      <c r="AU254" s="63"/>
      <c r="AW254" s="5">
        <f>IF(Q254&gt;0,RANK(Q254,(N254:P254,Q254:AE254)),0)</f>
        <v>3</v>
      </c>
      <c r="AX254" s="5">
        <f>IF(R254&gt;0,RANK(R254,(N254:P254,Q254:AE254)),0)</f>
        <v>5</v>
      </c>
      <c r="AY254" s="5">
        <f>IF(T254&gt;0,RANK(T254,(N254:P254,Q254:AE254)),0)</f>
        <v>0</v>
      </c>
      <c r="AZ254" s="5">
        <f>IF(S254&gt;0,RANK(S254,(N254:P254,Q254:AE254)),0)</f>
        <v>0</v>
      </c>
      <c r="BA254" s="2">
        <f t="shared" si="102"/>
        <v>5.2744886975242197E-2</v>
      </c>
      <c r="BB254" s="2">
        <f t="shared" si="103"/>
        <v>2.2604951560818085E-2</v>
      </c>
      <c r="BC254" s="2">
        <f t="shared" si="104"/>
        <v>0</v>
      </c>
      <c r="BD254" s="2">
        <f t="shared" si="105"/>
        <v>0</v>
      </c>
      <c r="BF254" s="4" t="s">
        <v>2605</v>
      </c>
      <c r="BG254" s="4" t="s">
        <v>907</v>
      </c>
      <c r="BH254">
        <v>1</v>
      </c>
      <c r="BJ254" s="114">
        <v>6</v>
      </c>
      <c r="BK254" s="116">
        <v>91</v>
      </c>
      <c r="BL254" s="120">
        <f t="shared" si="96"/>
        <v>6091</v>
      </c>
      <c r="BN254" s="5" t="s">
        <v>3154</v>
      </c>
      <c r="BO254" s="63">
        <v>43</v>
      </c>
      <c r="BP254" s="63">
        <v>1</v>
      </c>
      <c r="BR254" s="63"/>
      <c r="BX254" s="63" t="s">
        <v>4336</v>
      </c>
      <c r="BY254" s="63">
        <f t="shared" si="95"/>
        <v>0</v>
      </c>
      <c r="BZ254" s="63">
        <v>1858</v>
      </c>
      <c r="CA254" s="63">
        <v>54</v>
      </c>
      <c r="CB254" s="8"/>
      <c r="CC254" s="63">
        <v>20</v>
      </c>
    </row>
    <row r="255" spans="1:81" ht="13" hidden="1" customHeight="1" outlineLevel="1">
      <c r="A255" s="4" t="s">
        <v>2606</v>
      </c>
      <c r="B255" s="4" t="s">
        <v>907</v>
      </c>
      <c r="C255" s="1">
        <f t="shared" si="97"/>
        <v>20493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>IF(P255&gt;0,RANK(P255,(N255:P255,Q255:AE255)),0)</f>
        <v>6</v>
      </c>
      <c r="G255" s="132">
        <f t="shared" si="83"/>
        <v>4107</v>
      </c>
      <c r="H255" s="137">
        <f t="shared" si="84"/>
        <v>0.20040989606206996</v>
      </c>
      <c r="I255" s="2"/>
      <c r="J255" s="2">
        <f t="shared" si="98"/>
        <v>0.35299858488264285</v>
      </c>
      <c r="K255" s="2">
        <f t="shared" si="99"/>
        <v>0.55340848094471284</v>
      </c>
      <c r="L255" s="2">
        <f t="shared" si="100"/>
        <v>5.0749036256282631E-3</v>
      </c>
      <c r="M255" s="2">
        <f t="shared" si="101"/>
        <v>8.8518030547015986E-2</v>
      </c>
      <c r="N255" s="63">
        <v>7234</v>
      </c>
      <c r="O255" s="63">
        <v>11341</v>
      </c>
      <c r="P255" s="63">
        <v>104</v>
      </c>
      <c r="Q255" s="63">
        <v>875</v>
      </c>
      <c r="R255" s="63">
        <v>575</v>
      </c>
      <c r="S255" s="63"/>
      <c r="T255" s="63"/>
      <c r="U255" s="63"/>
      <c r="V255" s="63">
        <v>88</v>
      </c>
      <c r="W255" s="63">
        <f>IF(Copyright!B$11=1,IF(CA255&gt;0,CA255-P255-SUM(Y255:AM255)-SUM(AN255:AQ255)-X255-SUM(S255:U255),SUM(CB255:CF255)),SUM(CC255:CF255))</f>
        <v>270</v>
      </c>
      <c r="X255" s="63"/>
      <c r="Y255" s="63"/>
      <c r="Z255" s="63"/>
      <c r="AA255" s="63"/>
      <c r="AB255" s="63"/>
      <c r="AC255" s="63"/>
      <c r="AD255" s="63"/>
      <c r="AE255" s="63">
        <v>1</v>
      </c>
      <c r="AF255" s="63">
        <v>0</v>
      </c>
      <c r="AG255" s="63"/>
      <c r="AH255" s="63"/>
      <c r="AI255" s="63"/>
      <c r="AJ255" s="63"/>
      <c r="AK255" s="63"/>
      <c r="AL255" s="63"/>
      <c r="AM255" s="63"/>
      <c r="AN255" s="63">
        <v>5</v>
      </c>
      <c r="AO255" s="63"/>
      <c r="AP255" s="63"/>
      <c r="AQ255" s="63"/>
      <c r="AR255" s="63"/>
      <c r="AS255" s="63"/>
      <c r="AT255" s="63"/>
      <c r="AU255" s="63"/>
      <c r="AW255" s="5">
        <f>IF(Q255&gt;0,RANK(Q255,(N255:P255,Q255:AE255)),0)</f>
        <v>3</v>
      </c>
      <c r="AX255" s="5">
        <f>IF(R255&gt;0,RANK(R255,(N255:P255,Q255:AE255)),0)</f>
        <v>4</v>
      </c>
      <c r="AY255" s="5">
        <f>IF(T255&gt;0,RANK(T255,(N255:P255,Q255:AE255)),0)</f>
        <v>0</v>
      </c>
      <c r="AZ255" s="5">
        <f>IF(S255&gt;0,RANK(S255,(N255:P255,Q255:AE255)),0)</f>
        <v>0</v>
      </c>
      <c r="BA255" s="2">
        <f t="shared" si="102"/>
        <v>4.2697506465622405E-2</v>
      </c>
      <c r="BB255" s="2">
        <f t="shared" si="103"/>
        <v>2.8058361391694726E-2</v>
      </c>
      <c r="BC255" s="2">
        <f t="shared" si="104"/>
        <v>0</v>
      </c>
      <c r="BD255" s="2">
        <f t="shared" si="105"/>
        <v>0</v>
      </c>
      <c r="BF255" s="4" t="s">
        <v>2606</v>
      </c>
      <c r="BG255" s="4" t="s">
        <v>907</v>
      </c>
      <c r="BH255">
        <v>1</v>
      </c>
      <c r="BJ255" s="114">
        <v>6</v>
      </c>
      <c r="BK255" s="116">
        <v>93</v>
      </c>
      <c r="BL255" s="120">
        <f t="shared" si="96"/>
        <v>6093</v>
      </c>
      <c r="BN255" s="5" t="s">
        <v>3154</v>
      </c>
      <c r="BR255" s="63"/>
      <c r="BY255" s="63">
        <f t="shared" si="95"/>
        <v>0</v>
      </c>
      <c r="BZ255" s="63">
        <v>20493</v>
      </c>
      <c r="CA255" s="63">
        <v>380</v>
      </c>
      <c r="CB255" s="128"/>
      <c r="CC255" s="132">
        <v>269</v>
      </c>
    </row>
    <row r="256" spans="1:81" ht="13" hidden="1" customHeight="1" outlineLevel="1">
      <c r="A256" s="4" t="s">
        <v>2006</v>
      </c>
      <c r="B256" s="4" t="s">
        <v>907</v>
      </c>
      <c r="C256" s="1">
        <f t="shared" si="97"/>
        <v>168150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7</v>
      </c>
      <c r="G256" s="132">
        <f t="shared" si="83"/>
        <v>50440</v>
      </c>
      <c r="H256" s="137">
        <f t="shared" si="84"/>
        <v>0.29997026464466248</v>
      </c>
      <c r="I256" s="2"/>
      <c r="J256" s="2">
        <f t="shared" si="98"/>
        <v>0.60874219446922395</v>
      </c>
      <c r="K256" s="2">
        <f t="shared" si="99"/>
        <v>0.30877192982456142</v>
      </c>
      <c r="L256" s="2">
        <f t="shared" si="100"/>
        <v>3.312518584597086E-3</v>
      </c>
      <c r="M256" s="2">
        <f t="shared" si="101"/>
        <v>7.9173357121617549E-2</v>
      </c>
      <c r="N256" s="63">
        <v>102360</v>
      </c>
      <c r="O256" s="63">
        <v>51920</v>
      </c>
      <c r="P256" s="63">
        <v>557</v>
      </c>
      <c r="Q256" s="63">
        <v>6254</v>
      </c>
      <c r="R256" s="63">
        <v>2771</v>
      </c>
      <c r="S256" s="63"/>
      <c r="T256" s="63"/>
      <c r="U256" s="63"/>
      <c r="V256" s="63">
        <v>804</v>
      </c>
      <c r="W256" s="63">
        <f>IF(Copyright!B$11=1,IF(CA256&gt;0,CA256-P256-SUM(Y256:AM256)-SUM(AN256:AQ256)-X256-SUM(S256:U256),SUM(CB256:CF256)),SUM(CC256:CF256))</f>
        <v>3474</v>
      </c>
      <c r="X256" s="63"/>
      <c r="Y256" s="63"/>
      <c r="Z256" s="63"/>
      <c r="AA256" s="63"/>
      <c r="AB256" s="63"/>
      <c r="AC256" s="63"/>
      <c r="AD256" s="63"/>
      <c r="AE256" s="63">
        <v>0</v>
      </c>
      <c r="AF256" s="63">
        <v>0</v>
      </c>
      <c r="AG256" s="63"/>
      <c r="AH256" s="63"/>
      <c r="AI256" s="63"/>
      <c r="AJ256" s="63"/>
      <c r="AK256" s="63"/>
      <c r="AL256" s="63"/>
      <c r="AM256" s="63"/>
      <c r="AN256" s="63">
        <v>10</v>
      </c>
      <c r="AO256" s="63"/>
      <c r="AP256" s="63"/>
      <c r="AQ256" s="63"/>
      <c r="AR256" s="63"/>
      <c r="AS256" s="63"/>
      <c r="AT256" s="63"/>
      <c r="AU256" s="63"/>
      <c r="AW256" s="5">
        <f>IF(Q256&gt;0,RANK(Q256,(N256:P256,Q256:AE256)),0)</f>
        <v>3</v>
      </c>
      <c r="AX256" s="5">
        <f>IF(R256&gt;0,RANK(R256,(N256:P256,Q256:AE256)),0)</f>
        <v>5</v>
      </c>
      <c r="AY256" s="5">
        <f>IF(T256&gt;0,RANK(T256,(N256:P256,Q256:AE256)),0)</f>
        <v>0</v>
      </c>
      <c r="AZ256" s="5">
        <f>IF(S256&gt;0,RANK(S256,(N256:P256,Q256:AE256)),0)</f>
        <v>0</v>
      </c>
      <c r="BA256" s="2">
        <f t="shared" si="102"/>
        <v>3.7192982456140354E-2</v>
      </c>
      <c r="BB256" s="2">
        <f t="shared" si="103"/>
        <v>1.6479333928040438E-2</v>
      </c>
      <c r="BC256" s="2">
        <f t="shared" si="104"/>
        <v>0</v>
      </c>
      <c r="BD256" s="2">
        <f t="shared" si="105"/>
        <v>0</v>
      </c>
      <c r="BF256" s="4" t="s">
        <v>2006</v>
      </c>
      <c r="BG256" s="4" t="s">
        <v>907</v>
      </c>
      <c r="BJ256" s="114">
        <v>6</v>
      </c>
      <c r="BK256" s="116">
        <v>95</v>
      </c>
      <c r="BL256" s="120">
        <f t="shared" si="96"/>
        <v>6095</v>
      </c>
      <c r="BN256" s="5" t="s">
        <v>3154</v>
      </c>
      <c r="BO256" s="63">
        <v>2189</v>
      </c>
      <c r="BP256" s="63">
        <v>289</v>
      </c>
      <c r="BR256" s="63"/>
      <c r="BS256" s="128"/>
      <c r="BX256" s="63" t="s">
        <v>4337</v>
      </c>
      <c r="BY256" s="63">
        <f t="shared" si="95"/>
        <v>0</v>
      </c>
      <c r="BZ256" s="63">
        <f>102360+51920+6254+4041+2771+804</f>
        <v>168150</v>
      </c>
      <c r="CA256" s="63">
        <v>4041</v>
      </c>
      <c r="CB256" s="8"/>
      <c r="CC256" s="63">
        <v>1437</v>
      </c>
    </row>
    <row r="257" spans="1:87" ht="13" hidden="1" customHeight="1" outlineLevel="1">
      <c r="A257" s="4" t="s">
        <v>1821</v>
      </c>
      <c r="B257" s="4" t="s">
        <v>907</v>
      </c>
      <c r="C257" s="1">
        <f t="shared" si="97"/>
        <v>233303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7</v>
      </c>
      <c r="G257" s="132">
        <f t="shared" si="83"/>
        <v>109027</v>
      </c>
      <c r="H257" s="137">
        <f t="shared" si="84"/>
        <v>0.46731932294055373</v>
      </c>
      <c r="I257" s="2"/>
      <c r="J257" s="2">
        <f t="shared" si="98"/>
        <v>0.68766796826444576</v>
      </c>
      <c r="K257" s="2">
        <f t="shared" si="99"/>
        <v>0.22034864532389212</v>
      </c>
      <c r="L257" s="2">
        <f t="shared" si="100"/>
        <v>2.3274454250481135E-3</v>
      </c>
      <c r="M257" s="2">
        <f t="shared" si="101"/>
        <v>8.9655940986614002E-2</v>
      </c>
      <c r="N257" s="63">
        <v>160435</v>
      </c>
      <c r="O257" s="63">
        <v>51408</v>
      </c>
      <c r="P257" s="63">
        <v>543</v>
      </c>
      <c r="Q257" s="63">
        <v>8987</v>
      </c>
      <c r="R257" s="63">
        <v>7347</v>
      </c>
      <c r="S257" s="63"/>
      <c r="T257" s="63"/>
      <c r="U257" s="63"/>
      <c r="V257" s="63">
        <v>679</v>
      </c>
      <c r="W257" s="63">
        <f>IF(Copyright!B$11=1,IF(CA257&gt;0,CA257-P257-SUM(Y257:AM257)-SUM(AN257:AQ257)-X257-SUM(S257:U257),SUM(CB257:CF257)),SUM(CC257:CF257))</f>
        <v>3885</v>
      </c>
      <c r="X257" s="63"/>
      <c r="Y257" s="63"/>
      <c r="Z257" s="63"/>
      <c r="AA257" s="63"/>
      <c r="AB257" s="63"/>
      <c r="AC257" s="63"/>
      <c r="AD257" s="63"/>
      <c r="AE257" s="63">
        <v>8</v>
      </c>
      <c r="AF257" s="63">
        <v>2</v>
      </c>
      <c r="AG257" s="63"/>
      <c r="AH257" s="63"/>
      <c r="AI257" s="63"/>
      <c r="AJ257" s="63"/>
      <c r="AK257" s="63"/>
      <c r="AL257" s="63"/>
      <c r="AM257" s="63"/>
      <c r="AN257" s="63">
        <v>9</v>
      </c>
      <c r="AO257" s="63"/>
      <c r="AP257" s="63"/>
      <c r="AQ257" s="63"/>
      <c r="AR257" s="63"/>
      <c r="AS257" s="63"/>
      <c r="AT257" s="63"/>
      <c r="AU257" s="63"/>
      <c r="AW257" s="5">
        <f>IF(Q257&gt;0,RANK(Q257,(N257:P257,Q257:AE257)),0)</f>
        <v>3</v>
      </c>
      <c r="AX257" s="5">
        <f>IF(R257&gt;0,RANK(R257,(N257:P257,Q257:AE257)),0)</f>
        <v>4</v>
      </c>
      <c r="AY257" s="5">
        <f>IF(T257&gt;0,RANK(T257,(N257:P257,Q257:AE257)),0)</f>
        <v>0</v>
      </c>
      <c r="AZ257" s="5">
        <f>IF(S257&gt;0,RANK(S257,(N257:P257,Q257:AE257)),0)</f>
        <v>0</v>
      </c>
      <c r="BA257" s="2">
        <f t="shared" si="102"/>
        <v>3.8520721979571633E-2</v>
      </c>
      <c r="BB257" s="2">
        <f t="shared" si="103"/>
        <v>3.1491236717916184E-2</v>
      </c>
      <c r="BC257" s="2">
        <f t="shared" si="104"/>
        <v>0</v>
      </c>
      <c r="BD257" s="2">
        <f t="shared" si="105"/>
        <v>0</v>
      </c>
      <c r="BF257" s="4" t="s">
        <v>1821</v>
      </c>
      <c r="BG257" s="4" t="s">
        <v>907</v>
      </c>
      <c r="BJ257" s="114">
        <v>6</v>
      </c>
      <c r="BK257" s="116">
        <v>97</v>
      </c>
      <c r="BL257" s="120">
        <f t="shared" si="96"/>
        <v>6097</v>
      </c>
      <c r="BN257" s="5" t="s">
        <v>3154</v>
      </c>
      <c r="BR257" s="63"/>
      <c r="BS257" s="128"/>
      <c r="BX257" s="63" t="s">
        <v>4338</v>
      </c>
      <c r="BY257" s="63">
        <f t="shared" si="95"/>
        <v>0</v>
      </c>
      <c r="BZ257" s="63">
        <f>160435+51408+8987+7347+4447+679</f>
        <v>233303</v>
      </c>
      <c r="CA257" s="63">
        <v>4447</v>
      </c>
      <c r="CB257" s="8"/>
      <c r="CC257" s="63">
        <v>1835</v>
      </c>
    </row>
    <row r="258" spans="1:87" ht="13" hidden="1" customHeight="1" outlineLevel="1">
      <c r="A258" s="4" t="s">
        <v>1564</v>
      </c>
      <c r="B258" s="4" t="s">
        <v>907</v>
      </c>
      <c r="C258" s="1">
        <f t="shared" si="97"/>
        <v>174406</v>
      </c>
      <c r="D258" s="5">
        <f>IF(N258&gt;0, RANK(N258,(N258:P258,Q258:AE258)),0)</f>
        <v>1</v>
      </c>
      <c r="E258" s="5">
        <f>IF(O258&gt;0,RANK(O258,(N258:P258,Q258:AE258)),0)</f>
        <v>2</v>
      </c>
      <c r="F258" s="5">
        <f>IF(P258&gt;0,RANK(P258,(N258:P258,Q258:AE258)),0)</f>
        <v>7</v>
      </c>
      <c r="G258" s="132">
        <f t="shared" si="83"/>
        <v>3153</v>
      </c>
      <c r="H258" s="137">
        <f t="shared" si="84"/>
        <v>1.8078506473401146E-2</v>
      </c>
      <c r="I258" s="2"/>
      <c r="J258" s="2">
        <f t="shared" si="98"/>
        <v>0.46814329782232261</v>
      </c>
      <c r="K258" s="2">
        <f t="shared" si="99"/>
        <v>0.45006479134892147</v>
      </c>
      <c r="L258" s="2">
        <f t="shared" si="100"/>
        <v>3.2280999506897699E-3</v>
      </c>
      <c r="M258" s="2">
        <f t="shared" si="101"/>
        <v>7.8563810878066201E-2</v>
      </c>
      <c r="N258" s="63">
        <v>81647</v>
      </c>
      <c r="O258" s="63">
        <v>78494</v>
      </c>
      <c r="P258" s="63">
        <v>563</v>
      </c>
      <c r="Q258" s="63">
        <v>6662</v>
      </c>
      <c r="R258" s="63">
        <v>2562</v>
      </c>
      <c r="S258" s="63"/>
      <c r="T258" s="63"/>
      <c r="U258" s="63"/>
      <c r="V258" s="63">
        <v>986</v>
      </c>
      <c r="W258" s="63">
        <f>IF(Copyright!B$11=1,IF(CA258&gt;0,CA258-P258-SUM(Y258:AM258)-SUM(AN258:AQ258)-X258-SUM(S258:U258),SUM(CB258:CF258)),SUM(CC258:CF258))</f>
        <v>3444</v>
      </c>
      <c r="X258" s="63"/>
      <c r="Y258" s="63"/>
      <c r="Z258" s="63"/>
      <c r="AA258" s="63"/>
      <c r="AB258" s="63"/>
      <c r="AC258" s="63"/>
      <c r="AD258" s="63"/>
      <c r="AE258" s="63">
        <v>2</v>
      </c>
      <c r="AF258" s="63">
        <v>0</v>
      </c>
      <c r="AG258" s="63"/>
      <c r="AH258" s="63"/>
      <c r="AI258" s="63"/>
      <c r="AJ258" s="63"/>
      <c r="AK258" s="63"/>
      <c r="AL258" s="63"/>
      <c r="AM258" s="63"/>
      <c r="AN258" s="63">
        <v>46</v>
      </c>
      <c r="AO258" s="63"/>
      <c r="AP258" s="63"/>
      <c r="AQ258" s="63"/>
      <c r="AR258" s="63"/>
      <c r="AS258" s="63"/>
      <c r="AT258" s="63"/>
      <c r="AU258" s="63"/>
      <c r="AW258" s="5">
        <f>IF(Q258&gt;0,RANK(Q258,(N258:P258,Q258:AE258)),0)</f>
        <v>3</v>
      </c>
      <c r="AX258" s="5">
        <f>IF(R258&gt;0,RANK(R258,(N258:P258,Q258:AE258)),0)</f>
        <v>5</v>
      </c>
      <c r="AY258" s="5">
        <f>IF(T258&gt;0,RANK(T258,(N258:P258,Q258:AE258)),0)</f>
        <v>0</v>
      </c>
      <c r="AZ258" s="5">
        <f>IF(S258&gt;0,RANK(S258,(N258:P258,Q258:AE258)),0)</f>
        <v>0</v>
      </c>
      <c r="BA258" s="2">
        <f t="shared" si="102"/>
        <v>3.8198227125213584E-2</v>
      </c>
      <c r="BB258" s="2">
        <f t="shared" si="103"/>
        <v>1.468986158733071E-2</v>
      </c>
      <c r="BC258" s="2">
        <f t="shared" si="104"/>
        <v>0</v>
      </c>
      <c r="BD258" s="2">
        <f t="shared" si="105"/>
        <v>0</v>
      </c>
      <c r="BF258" s="4" t="s">
        <v>1564</v>
      </c>
      <c r="BG258" s="4" t="s">
        <v>907</v>
      </c>
      <c r="BH258">
        <v>10</v>
      </c>
      <c r="BJ258" s="114">
        <v>6</v>
      </c>
      <c r="BK258" s="116">
        <v>99</v>
      </c>
      <c r="BL258" s="120">
        <f t="shared" si="96"/>
        <v>6099</v>
      </c>
      <c r="BN258" s="5" t="s">
        <v>3154</v>
      </c>
      <c r="BO258" s="63">
        <v>2320</v>
      </c>
      <c r="BP258" s="63">
        <v>266</v>
      </c>
      <c r="BR258" s="63"/>
      <c r="BX258" s="63" t="s">
        <v>4339</v>
      </c>
      <c r="BY258" s="63">
        <f t="shared" si="95"/>
        <v>0</v>
      </c>
      <c r="BZ258" s="63">
        <f>81647+78494+6662+4055+2562+986</f>
        <v>174406</v>
      </c>
      <c r="CA258" s="63">
        <v>4055</v>
      </c>
      <c r="CB258" s="8"/>
      <c r="CC258" s="63">
        <v>1184</v>
      </c>
    </row>
    <row r="259" spans="1:87" ht="13" hidden="1" customHeight="1" outlineLevel="1">
      <c r="A259" s="4" t="s">
        <v>1096</v>
      </c>
      <c r="B259" s="4" t="s">
        <v>907</v>
      </c>
      <c r="C259" s="1">
        <f t="shared" si="97"/>
        <v>33824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7</v>
      </c>
      <c r="G259" s="132">
        <f t="shared" si="83"/>
        <v>5100</v>
      </c>
      <c r="H259" s="137">
        <f t="shared" si="84"/>
        <v>0.15078051087984862</v>
      </c>
      <c r="I259" s="2"/>
      <c r="J259" s="2">
        <f t="shared" si="98"/>
        <v>0.38658940397350994</v>
      </c>
      <c r="K259" s="2">
        <f t="shared" si="99"/>
        <v>0.53736991485335861</v>
      </c>
      <c r="L259" s="2">
        <f t="shared" si="100"/>
        <v>3.9616840113528857E-3</v>
      </c>
      <c r="M259" s="2">
        <f t="shared" si="101"/>
        <v>7.2078997161778569E-2</v>
      </c>
      <c r="N259" s="63">
        <v>13076</v>
      </c>
      <c r="O259" s="63">
        <v>18176</v>
      </c>
      <c r="P259" s="63">
        <v>134</v>
      </c>
      <c r="Q259" s="63">
        <v>1437</v>
      </c>
      <c r="R259" s="63">
        <v>382</v>
      </c>
      <c r="S259" s="63"/>
      <c r="T259" s="63"/>
      <c r="U259" s="63"/>
      <c r="V259" s="63">
        <v>198</v>
      </c>
      <c r="W259" s="63">
        <f>IF(Copyright!B$11=1,IF(CA259&gt;0,CA259-P259-SUM(Y259:AM259)-SUM(AN259:AQ259)-X259-SUM(S259:U259),SUM(CB259:CF259)),SUM(CC259:CF259))</f>
        <v>421</v>
      </c>
      <c r="X259" s="63"/>
      <c r="Y259" s="63"/>
      <c r="Z259" s="63"/>
      <c r="AA259" s="63"/>
      <c r="AB259" s="63"/>
      <c r="AC259" s="63"/>
      <c r="AD259" s="63"/>
      <c r="AE259" s="63">
        <v>0</v>
      </c>
      <c r="AF259" s="63">
        <v>0</v>
      </c>
      <c r="AG259" s="63"/>
      <c r="AH259" s="63"/>
      <c r="AI259" s="63"/>
      <c r="AJ259" s="63"/>
      <c r="AK259" s="63"/>
      <c r="AL259" s="63"/>
      <c r="AM259" s="63"/>
      <c r="AN259" s="63">
        <v>0</v>
      </c>
      <c r="AO259" s="63"/>
      <c r="AP259" s="63"/>
      <c r="AQ259" s="63"/>
      <c r="AR259" s="63"/>
      <c r="AS259" s="63"/>
      <c r="AT259" s="63"/>
      <c r="AU259" s="63"/>
      <c r="AW259" s="5">
        <f>IF(Q259&gt;0,RANK(Q259,(N259:P259,Q259:AE259)),0)</f>
        <v>3</v>
      </c>
      <c r="AX259" s="5">
        <f>IF(R259&gt;0,RANK(R259,(N259:P259,Q259:AE259)),0)</f>
        <v>5</v>
      </c>
      <c r="AY259" s="5">
        <f>IF(T259&gt;0,RANK(T259,(N259:P259,Q259:AE259)),0)</f>
        <v>0</v>
      </c>
      <c r="AZ259" s="5">
        <f>IF(S259&gt;0,RANK(S259,(N259:P259,Q259:AE259)),0)</f>
        <v>0</v>
      </c>
      <c r="BA259" s="2">
        <f t="shared" si="102"/>
        <v>4.2484626300851466E-2</v>
      </c>
      <c r="BB259" s="2">
        <f t="shared" si="103"/>
        <v>1.1293755912961211E-2</v>
      </c>
      <c r="BC259" s="2">
        <f t="shared" si="104"/>
        <v>0</v>
      </c>
      <c r="BD259" s="2">
        <f t="shared" si="105"/>
        <v>0</v>
      </c>
      <c r="BF259" s="4" t="s">
        <v>1096</v>
      </c>
      <c r="BG259" s="4" t="s">
        <v>907</v>
      </c>
      <c r="BH259">
        <v>3</v>
      </c>
      <c r="BJ259" s="114">
        <v>6</v>
      </c>
      <c r="BK259" s="116">
        <v>101</v>
      </c>
      <c r="BL259" s="120">
        <f t="shared" si="96"/>
        <v>6101</v>
      </c>
      <c r="BN259" s="5" t="s">
        <v>3154</v>
      </c>
      <c r="BR259" s="63"/>
      <c r="BS259" s="128"/>
      <c r="BX259" s="63" t="s">
        <v>4340</v>
      </c>
      <c r="BY259" s="63">
        <f t="shared" si="95"/>
        <v>0</v>
      </c>
      <c r="BZ259" s="63">
        <v>33824</v>
      </c>
      <c r="CA259" s="63">
        <v>555</v>
      </c>
      <c r="CB259" s="8"/>
      <c r="CC259" s="63">
        <v>120</v>
      </c>
    </row>
    <row r="260" spans="1:87" ht="13" hidden="1" customHeight="1" outlineLevel="1">
      <c r="A260" s="4" t="s">
        <v>207</v>
      </c>
      <c r="B260" s="4" t="s">
        <v>907</v>
      </c>
      <c r="C260" s="1">
        <f t="shared" si="97"/>
        <v>23908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7</v>
      </c>
      <c r="G260" s="132">
        <f t="shared" si="83"/>
        <v>8685</v>
      </c>
      <c r="H260" s="137">
        <f t="shared" si="84"/>
        <v>0.36326752551447217</v>
      </c>
      <c r="I260" s="2"/>
      <c r="J260" s="2">
        <f t="shared" si="98"/>
        <v>0.28480006692320564</v>
      </c>
      <c r="K260" s="2">
        <f t="shared" si="99"/>
        <v>0.64806759243767775</v>
      </c>
      <c r="L260" s="2">
        <f t="shared" si="100"/>
        <v>3.4298142881044004E-3</v>
      </c>
      <c r="M260" s="2">
        <f t="shared" si="101"/>
        <v>6.3702526351012256E-2</v>
      </c>
      <c r="N260" s="63">
        <v>6809</v>
      </c>
      <c r="O260" s="63">
        <v>15494</v>
      </c>
      <c r="P260" s="63">
        <v>82</v>
      </c>
      <c r="Q260" s="63">
        <v>953</v>
      </c>
      <c r="R260" s="63">
        <v>290</v>
      </c>
      <c r="S260" s="63"/>
      <c r="T260" s="63"/>
      <c r="U260" s="63"/>
      <c r="V260" s="63">
        <v>138</v>
      </c>
      <c r="W260" s="63">
        <f>IF(Copyright!B$11=1,IF(CA260&gt;0,CA260-P260-SUM(Y260:AM260)-SUM(AN260:AQ260)-X260-SUM(S260:U260),SUM(CB260:CF260)),SUM(CC260:CF260))</f>
        <v>139</v>
      </c>
      <c r="X260" s="63"/>
      <c r="Y260" s="63"/>
      <c r="Z260" s="63"/>
      <c r="AA260" s="63"/>
      <c r="AB260" s="63"/>
      <c r="AC260" s="63"/>
      <c r="AD260" s="63"/>
      <c r="AE260" s="63">
        <v>0</v>
      </c>
      <c r="AF260" s="63">
        <v>0</v>
      </c>
      <c r="AG260" s="63"/>
      <c r="AH260" s="63"/>
      <c r="AI260" s="63"/>
      <c r="AJ260" s="63"/>
      <c r="AK260" s="63"/>
      <c r="AL260" s="63"/>
      <c r="AM260" s="63"/>
      <c r="AN260" s="63">
        <v>3</v>
      </c>
      <c r="AO260" s="63"/>
      <c r="AP260" s="63"/>
      <c r="AQ260" s="63"/>
      <c r="AR260" s="63"/>
      <c r="AS260" s="63"/>
      <c r="AT260" s="63"/>
      <c r="AU260" s="63"/>
      <c r="AW260" s="5">
        <f>IF(Q260&gt;0,RANK(Q260,(N260:P260,Q260:AE260)),0)</f>
        <v>3</v>
      </c>
      <c r="AX260" s="5">
        <f>IF(R260&gt;0,RANK(R260,(N260:P260,Q260:AE260)),0)</f>
        <v>4</v>
      </c>
      <c r="AY260" s="5">
        <f>IF(T260&gt;0,RANK(T260,(N260:P260,Q260:AE260)),0)</f>
        <v>0</v>
      </c>
      <c r="AZ260" s="5">
        <f>IF(S260&gt;0,RANK(S260,(N260:P260,Q260:AE260)),0)</f>
        <v>0</v>
      </c>
      <c r="BA260" s="2">
        <f t="shared" si="102"/>
        <v>3.9861134348335284E-2</v>
      </c>
      <c r="BB260" s="2">
        <f t="shared" si="103"/>
        <v>1.2129831018905806E-2</v>
      </c>
      <c r="BC260" s="2">
        <f t="shared" si="104"/>
        <v>0</v>
      </c>
      <c r="BD260" s="2">
        <f t="shared" si="105"/>
        <v>0</v>
      </c>
      <c r="BF260" s="4" t="s">
        <v>207</v>
      </c>
      <c r="BG260" s="4" t="s">
        <v>907</v>
      </c>
      <c r="BH260">
        <v>1</v>
      </c>
      <c r="BJ260" s="114">
        <v>6</v>
      </c>
      <c r="BK260" s="116">
        <v>103</v>
      </c>
      <c r="BL260" s="120">
        <f t="shared" si="96"/>
        <v>6103</v>
      </c>
      <c r="BN260" s="5" t="s">
        <v>3154</v>
      </c>
      <c r="BR260" s="63"/>
      <c r="BX260" s="63" t="s">
        <v>4341</v>
      </c>
      <c r="BY260" s="63">
        <f t="shared" si="95"/>
        <v>0</v>
      </c>
      <c r="BZ260" s="63">
        <v>23908</v>
      </c>
      <c r="CA260" s="63">
        <f>139+82+3</f>
        <v>224</v>
      </c>
      <c r="CB260" s="8"/>
      <c r="CC260" s="63">
        <v>139</v>
      </c>
    </row>
    <row r="261" spans="1:87" ht="13" hidden="1" customHeight="1" outlineLevel="1">
      <c r="A261" s="4" t="s">
        <v>439</v>
      </c>
      <c r="B261" s="4" t="s">
        <v>907</v>
      </c>
      <c r="C261" s="1">
        <f t="shared" si="97"/>
        <v>5784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7</v>
      </c>
      <c r="G261" s="132">
        <f t="shared" si="83"/>
        <v>598</v>
      </c>
      <c r="H261" s="137">
        <f t="shared" si="84"/>
        <v>0.10338865836791147</v>
      </c>
      <c r="I261" s="2"/>
      <c r="J261" s="2">
        <f t="shared" si="98"/>
        <v>0.38278008298755184</v>
      </c>
      <c r="K261" s="2">
        <f t="shared" si="99"/>
        <v>0.48616874135546334</v>
      </c>
      <c r="L261" s="2">
        <f t="shared" si="100"/>
        <v>3.1120331950207467E-3</v>
      </c>
      <c r="M261" s="2">
        <f t="shared" si="101"/>
        <v>0.12793914246196408</v>
      </c>
      <c r="N261" s="63">
        <v>2214</v>
      </c>
      <c r="O261" s="63">
        <v>2812</v>
      </c>
      <c r="P261" s="63">
        <v>18</v>
      </c>
      <c r="Q261" s="63">
        <v>302</v>
      </c>
      <c r="R261" s="63">
        <v>239</v>
      </c>
      <c r="S261" s="63"/>
      <c r="T261" s="63"/>
      <c r="U261" s="63"/>
      <c r="V261" s="63">
        <v>21</v>
      </c>
      <c r="W261" s="63">
        <f>IF(Copyright!B$11=1,IF(CA261&gt;0,CA261-P261-SUM(Y261:AM261)-SUM(AN261:AQ261)-X261-SUM(S261:U261),SUM(CB261:CF261)),SUM(CC261:CF261))</f>
        <v>178</v>
      </c>
      <c r="X261" s="63"/>
      <c r="Y261" s="63"/>
      <c r="Z261" s="63"/>
      <c r="AA261" s="63"/>
      <c r="AB261" s="63"/>
      <c r="AC261" s="63"/>
      <c r="AD261" s="63"/>
      <c r="AE261" s="63">
        <v>0</v>
      </c>
      <c r="AF261" s="63">
        <v>0</v>
      </c>
      <c r="AG261" s="63"/>
      <c r="AH261" s="63"/>
      <c r="AI261" s="63"/>
      <c r="AJ261" s="63"/>
      <c r="AK261" s="63"/>
      <c r="AL261" s="63"/>
      <c r="AM261" s="63"/>
      <c r="AN261" s="63">
        <v>0</v>
      </c>
      <c r="AO261" s="63"/>
      <c r="AP261" s="63"/>
      <c r="AQ261" s="63"/>
      <c r="AR261" s="63"/>
      <c r="AS261" s="63"/>
      <c r="AT261" s="63"/>
      <c r="AU261" s="63"/>
      <c r="AW261" s="5">
        <f>IF(Q261&gt;0,RANK(Q261,(N261:P261,Q261:AE261)),0)</f>
        <v>3</v>
      </c>
      <c r="AX261" s="5">
        <f>IF(R261&gt;0,RANK(R261,(N261:P261,Q261:AE261)),0)</f>
        <v>4</v>
      </c>
      <c r="AY261" s="5">
        <f>IF(T261&gt;0,RANK(T261,(N261:P261,Q261:AE261)),0)</f>
        <v>0</v>
      </c>
      <c r="AZ261" s="5">
        <f>IF(S261&gt;0,RANK(S261,(N261:P261,Q261:AE261)),0)</f>
        <v>0</v>
      </c>
      <c r="BA261" s="2">
        <f t="shared" si="102"/>
        <v>5.2213001383125866E-2</v>
      </c>
      <c r="BB261" s="2">
        <f t="shared" si="103"/>
        <v>4.1320885200553249E-2</v>
      </c>
      <c r="BC261" s="2">
        <f t="shared" si="104"/>
        <v>0</v>
      </c>
      <c r="BD261" s="2">
        <f t="shared" si="105"/>
        <v>0</v>
      </c>
      <c r="BF261" s="4" t="s">
        <v>439</v>
      </c>
      <c r="BG261" s="4" t="s">
        <v>907</v>
      </c>
      <c r="BH261">
        <v>2</v>
      </c>
      <c r="BJ261" s="114">
        <v>6</v>
      </c>
      <c r="BK261" s="116">
        <v>105</v>
      </c>
      <c r="BL261" s="120">
        <f t="shared" si="96"/>
        <v>6105</v>
      </c>
      <c r="BN261" s="5" t="s">
        <v>3154</v>
      </c>
      <c r="BR261" s="63"/>
      <c r="BS261" s="128"/>
      <c r="BX261" s="63" t="s">
        <v>4342</v>
      </c>
      <c r="BY261" s="63">
        <f t="shared" si="95"/>
        <v>0</v>
      </c>
      <c r="BZ261" s="63">
        <v>5784</v>
      </c>
      <c r="CA261" s="63">
        <v>196</v>
      </c>
      <c r="CB261" s="8"/>
      <c r="CC261" s="63">
        <v>80</v>
      </c>
    </row>
    <row r="262" spans="1:87" ht="13" hidden="1" customHeight="1" outlineLevel="1">
      <c r="A262" s="4" t="s">
        <v>1517</v>
      </c>
      <c r="B262" s="4" t="s">
        <v>907</v>
      </c>
      <c r="C262" s="1">
        <f t="shared" si="97"/>
        <v>114102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7</v>
      </c>
      <c r="G262" s="132">
        <f t="shared" si="83"/>
        <v>10714</v>
      </c>
      <c r="H262" s="137">
        <f t="shared" si="84"/>
        <v>9.3898441745105254E-2</v>
      </c>
      <c r="I262" s="2"/>
      <c r="J262" s="2">
        <f t="shared" si="98"/>
        <v>0.41703914041822226</v>
      </c>
      <c r="K262" s="2">
        <f t="shared" si="99"/>
        <v>0.51093758216332752</v>
      </c>
      <c r="L262" s="2">
        <f t="shared" si="100"/>
        <v>1.4285463883192231E-3</v>
      </c>
      <c r="M262" s="2">
        <f t="shared" si="101"/>
        <v>7.0594731030130933E-2</v>
      </c>
      <c r="N262" s="63">
        <v>47585</v>
      </c>
      <c r="O262" s="63">
        <v>58299</v>
      </c>
      <c r="P262" s="63">
        <v>163</v>
      </c>
      <c r="Q262" s="63">
        <v>3800</v>
      </c>
      <c r="R262" s="63">
        <v>1620</v>
      </c>
      <c r="S262" s="63"/>
      <c r="T262" s="63"/>
      <c r="U262" s="63"/>
      <c r="V262" s="63">
        <v>636</v>
      </c>
      <c r="W262" s="63">
        <f>IF(Copyright!B$11=1,IF(CA262&gt;0,CA262-P262-SUM(Y262:AM262)-SUM(AN262:AQ262)-X262-SUM(S262:U262),SUM(CB262:CF262)),SUM(CC262:CF262))</f>
        <v>1994</v>
      </c>
      <c r="X262" s="63"/>
      <c r="Y262" s="63"/>
      <c r="Z262" s="63"/>
      <c r="AA262" s="63"/>
      <c r="AB262" s="63"/>
      <c r="AC262" s="63"/>
      <c r="AD262" s="63"/>
      <c r="AE262" s="63">
        <v>0</v>
      </c>
      <c r="AF262" s="63">
        <v>0</v>
      </c>
      <c r="AG262" s="63"/>
      <c r="AH262" s="63"/>
      <c r="AI262" s="63"/>
      <c r="AJ262" s="63"/>
      <c r="AK262" s="63"/>
      <c r="AL262" s="63"/>
      <c r="AM262" s="63"/>
      <c r="AN262" s="63">
        <v>5</v>
      </c>
      <c r="AO262" s="63"/>
      <c r="AP262" s="63"/>
      <c r="AQ262" s="63"/>
      <c r="AR262" s="63"/>
      <c r="AS262" s="63"/>
      <c r="AT262" s="63"/>
      <c r="AU262" s="63"/>
      <c r="AW262" s="5">
        <f>IF(Q262&gt;0,RANK(Q262,(N262:P262,Q262:AE262)),0)</f>
        <v>3</v>
      </c>
      <c r="AX262" s="5">
        <f>IF(R262&gt;0,RANK(R262,(N262:P262,Q262:AE262)),0)</f>
        <v>5</v>
      </c>
      <c r="AY262" s="5">
        <f>IF(T262&gt;0,RANK(T262,(N262:P262,Q262:AE262)),0)</f>
        <v>0</v>
      </c>
      <c r="AZ262" s="5">
        <f>IF(S262&gt;0,RANK(S262,(N262:P262,Q262:AE262)),0)</f>
        <v>0</v>
      </c>
      <c r="BA262" s="2">
        <f t="shared" si="102"/>
        <v>3.3303535433208881E-2</v>
      </c>
      <c r="BB262" s="2">
        <f t="shared" si="103"/>
        <v>1.419782300047326E-2</v>
      </c>
      <c r="BC262" s="2">
        <f t="shared" si="104"/>
        <v>0</v>
      </c>
      <c r="BD262" s="2">
        <f t="shared" si="105"/>
        <v>0</v>
      </c>
      <c r="BF262" s="4" t="s">
        <v>1517</v>
      </c>
      <c r="BG262" s="4" t="s">
        <v>907</v>
      </c>
      <c r="BJ262" s="114">
        <v>6</v>
      </c>
      <c r="BK262" s="116">
        <v>107</v>
      </c>
      <c r="BL262" s="120">
        <f t="shared" si="96"/>
        <v>6107</v>
      </c>
      <c r="BN262" s="5" t="s">
        <v>3154</v>
      </c>
      <c r="BR262" s="63"/>
      <c r="BS262" s="128"/>
      <c r="BX262" s="63" t="s">
        <v>4343</v>
      </c>
      <c r="BY262" s="63">
        <f t="shared" si="95"/>
        <v>0</v>
      </c>
      <c r="BZ262" s="63">
        <v>114102</v>
      </c>
      <c r="CA262" s="63">
        <v>2162</v>
      </c>
      <c r="CB262" s="8"/>
      <c r="CC262" s="63">
        <v>226</v>
      </c>
    </row>
    <row r="263" spans="1:87" ht="13" hidden="1" customHeight="1" outlineLevel="1">
      <c r="A263" s="4" t="s">
        <v>2887</v>
      </c>
      <c r="B263" s="4" t="s">
        <v>907</v>
      </c>
      <c r="C263" s="1">
        <f t="shared" si="97"/>
        <v>25893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>IF(P263&gt;0,RANK(P263,(N263:P263,Q263:AE263)),0)</f>
        <v>6</v>
      </c>
      <c r="G263" s="132">
        <f t="shared" si="83"/>
        <v>5428</v>
      </c>
      <c r="H263" s="137">
        <f t="shared" si="84"/>
        <v>0.20963194685822423</v>
      </c>
      <c r="I263" s="2"/>
      <c r="J263" s="2">
        <f t="shared" si="98"/>
        <v>0.35233460780906034</v>
      </c>
      <c r="K263" s="2">
        <f t="shared" si="99"/>
        <v>0.56196655466728462</v>
      </c>
      <c r="L263" s="2">
        <f t="shared" si="100"/>
        <v>2.742053836944348E-3</v>
      </c>
      <c r="M263" s="2">
        <f t="shared" si="101"/>
        <v>8.2956783686710694E-2</v>
      </c>
      <c r="N263" s="63">
        <v>9123</v>
      </c>
      <c r="O263" s="63">
        <v>14551</v>
      </c>
      <c r="P263" s="63">
        <v>71</v>
      </c>
      <c r="Q263" s="63">
        <v>1101</v>
      </c>
      <c r="R263" s="63">
        <v>384</v>
      </c>
      <c r="S263" s="63"/>
      <c r="T263" s="63"/>
      <c r="U263" s="63"/>
      <c r="V263" s="63">
        <v>63</v>
      </c>
      <c r="W263" s="63">
        <f>IF(Copyright!B$11=1,IF(CA263&gt;0,CA263-P263-SUM(Y263:AM263)-SUM(AN263:AQ263)-X263-SUM(S263:U263),SUM(CB263:CF263)),SUM(CC263:CF263))</f>
        <v>600</v>
      </c>
      <c r="X263" s="63"/>
      <c r="Y263" s="63"/>
      <c r="Z263" s="63"/>
      <c r="AA263" s="63"/>
      <c r="AB263" s="63"/>
      <c r="AC263" s="63"/>
      <c r="AD263" s="63"/>
      <c r="AE263" s="63">
        <v>0</v>
      </c>
      <c r="AF263" s="63">
        <v>0</v>
      </c>
      <c r="AG263" s="63"/>
      <c r="AH263" s="63"/>
      <c r="AI263" s="63"/>
      <c r="AJ263" s="63"/>
      <c r="AK263" s="63"/>
      <c r="AL263" s="63"/>
      <c r="AM263" s="63"/>
      <c r="AN263" s="63">
        <v>0</v>
      </c>
      <c r="AO263" s="63"/>
      <c r="AP263" s="63"/>
      <c r="AQ263" s="63"/>
      <c r="AR263" s="63"/>
      <c r="AS263" s="63"/>
      <c r="AT263" s="63"/>
      <c r="AU263" s="63"/>
      <c r="AW263" s="5">
        <f>IF(Q263&gt;0,RANK(Q263,(N263:P263,Q263:AE263)),0)</f>
        <v>3</v>
      </c>
      <c r="AX263" s="5">
        <f>IF(R263&gt;0,RANK(R263,(N263:P263,Q263:AE263)),0)</f>
        <v>5</v>
      </c>
      <c r="AY263" s="5">
        <f>IF(T263&gt;0,RANK(T263,(N263:P263,Q263:AE263)),0)</f>
        <v>0</v>
      </c>
      <c r="AZ263" s="5">
        <f>IF(S263&gt;0,RANK(S263,(N263:P263,Q263:AE263)),0)</f>
        <v>0</v>
      </c>
      <c r="BA263" s="2">
        <f t="shared" si="102"/>
        <v>4.2521144710925732E-2</v>
      </c>
      <c r="BB263" s="2">
        <f t="shared" si="103"/>
        <v>1.4830263005445488E-2</v>
      </c>
      <c r="BC263" s="2">
        <f t="shared" si="104"/>
        <v>0</v>
      </c>
      <c r="BD263" s="2">
        <f t="shared" si="105"/>
        <v>0</v>
      </c>
      <c r="BF263" s="4" t="s">
        <v>2887</v>
      </c>
      <c r="BG263" s="4" t="s">
        <v>907</v>
      </c>
      <c r="BH263">
        <v>4</v>
      </c>
      <c r="BJ263" s="114">
        <v>6</v>
      </c>
      <c r="BK263" s="116">
        <v>109</v>
      </c>
      <c r="BL263" s="120">
        <f t="shared" si="96"/>
        <v>6109</v>
      </c>
      <c r="BN263" s="5" t="s">
        <v>3154</v>
      </c>
      <c r="BO263" s="63">
        <v>478</v>
      </c>
      <c r="BP263" s="63">
        <v>33</v>
      </c>
      <c r="BR263" s="63"/>
      <c r="BS263" s="128"/>
      <c r="BX263" s="63" t="s">
        <v>4344</v>
      </c>
      <c r="BY263" s="63">
        <f t="shared" si="95"/>
        <v>0</v>
      </c>
      <c r="BZ263" s="63">
        <f>14551+9123+1101+671+384+63</f>
        <v>25893</v>
      </c>
      <c r="CA263" s="63">
        <v>671</v>
      </c>
      <c r="CB263" s="8"/>
      <c r="CC263" s="63">
        <v>236</v>
      </c>
    </row>
    <row r="264" spans="1:87" ht="13" hidden="1" customHeight="1" outlineLevel="1">
      <c r="A264" s="4" t="s">
        <v>2030</v>
      </c>
      <c r="B264" s="4" t="s">
        <v>907</v>
      </c>
      <c r="C264" s="1">
        <f t="shared" si="97"/>
        <v>356107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7</v>
      </c>
      <c r="G264" s="132">
        <f t="shared" ref="G264:G327" si="106">IF(C264&gt;0,MAX(N264:P264)-LARGE(N264:P264,2),0)</f>
        <v>62079</v>
      </c>
      <c r="H264" s="137">
        <f t="shared" ref="H264:H327" si="107">IF(C264&gt;0,G264/C264,0)</f>
        <v>0.1743268175014813</v>
      </c>
      <c r="I264" s="2"/>
      <c r="J264" s="2">
        <f t="shared" si="98"/>
        <v>0.54590895433114206</v>
      </c>
      <c r="K264" s="2">
        <f t="shared" si="99"/>
        <v>0.37158213682966074</v>
      </c>
      <c r="L264" s="2">
        <f t="shared" si="100"/>
        <v>3.993181824563965E-3</v>
      </c>
      <c r="M264" s="2">
        <f t="shared" si="101"/>
        <v>7.8515727014633233E-2</v>
      </c>
      <c r="N264" s="63">
        <v>194402</v>
      </c>
      <c r="O264" s="63">
        <v>132323</v>
      </c>
      <c r="P264" s="63">
        <v>1422</v>
      </c>
      <c r="Q264" s="63">
        <v>13679</v>
      </c>
      <c r="R264" s="63">
        <v>6315</v>
      </c>
      <c r="S264" s="63"/>
      <c r="T264" s="63"/>
      <c r="U264" s="63"/>
      <c r="V264" s="63">
        <v>1481</v>
      </c>
      <c r="W264" s="63">
        <f>IF(Copyright!B$11=1,IF(CA264&gt;0,CA264-P264-SUM(Y264:AM264)-SUM(AN264:AQ264)-X264-SUM(S264:U264),SUM(CB264:CF264)),SUM(CC264:CF264))</f>
        <v>6412</v>
      </c>
      <c r="X264" s="63"/>
      <c r="Y264" s="63"/>
      <c r="Z264" s="63"/>
      <c r="AA264" s="63"/>
      <c r="AB264" s="63"/>
      <c r="AC264" s="63"/>
      <c r="AD264" s="63"/>
      <c r="AE264" s="63">
        <v>9</v>
      </c>
      <c r="AF264" s="63">
        <v>4</v>
      </c>
      <c r="AG264" s="63"/>
      <c r="AH264" s="63"/>
      <c r="AI264" s="63"/>
      <c r="AJ264" s="63"/>
      <c r="AK264" s="63"/>
      <c r="AL264" s="63"/>
      <c r="AM264" s="63"/>
      <c r="AN264" s="63">
        <v>60</v>
      </c>
      <c r="AO264" s="63"/>
      <c r="AP264" s="63"/>
      <c r="AQ264" s="63"/>
      <c r="AR264" s="63"/>
      <c r="AS264" s="63"/>
      <c r="AT264" s="63"/>
      <c r="AU264" s="63"/>
      <c r="AW264" s="5">
        <f>IF(Q264&gt;0,RANK(Q264,(N264:P264,Q264:AE264)),0)</f>
        <v>3</v>
      </c>
      <c r="AX264" s="5">
        <f>IF(R264&gt;0,RANK(R264,(N264:P264,Q264:AE264)),0)</f>
        <v>5</v>
      </c>
      <c r="AY264" s="5">
        <f>IF(T264&gt;0,RANK(T264,(N264:P264,Q264:AE264)),0)</f>
        <v>0</v>
      </c>
      <c r="AZ264" s="5">
        <f>IF(S264&gt;0,RANK(S264,(N264:P264,Q264:AE264)),0)</f>
        <v>0</v>
      </c>
      <c r="BA264" s="2">
        <f t="shared" si="102"/>
        <v>3.841261193966982E-2</v>
      </c>
      <c r="BB264" s="2">
        <f t="shared" si="103"/>
        <v>1.7733434052124783E-2</v>
      </c>
      <c r="BC264" s="2">
        <f t="shared" si="104"/>
        <v>0</v>
      </c>
      <c r="BD264" s="2">
        <f t="shared" si="105"/>
        <v>0</v>
      </c>
      <c r="BF264" s="4" t="s">
        <v>2030</v>
      </c>
      <c r="BG264" s="4" t="s">
        <v>907</v>
      </c>
      <c r="BJ264" s="114">
        <v>6</v>
      </c>
      <c r="BK264" s="116">
        <v>111</v>
      </c>
      <c r="BL264" s="120">
        <f t="shared" si="96"/>
        <v>6111</v>
      </c>
      <c r="BN264" s="5" t="s">
        <v>3154</v>
      </c>
      <c r="BR264" s="63"/>
      <c r="BX264" s="63" t="s">
        <v>4345</v>
      </c>
      <c r="BY264" s="63">
        <f t="shared" si="95"/>
        <v>0</v>
      </c>
      <c r="BZ264" s="63">
        <v>356107</v>
      </c>
      <c r="CA264" s="63">
        <v>7907</v>
      </c>
      <c r="CB264" s="8"/>
      <c r="CC264" s="63">
        <v>2031</v>
      </c>
    </row>
    <row r="265" spans="1:87" ht="13" hidden="1" customHeight="1" outlineLevel="1">
      <c r="A265" s="4" t="s">
        <v>677</v>
      </c>
      <c r="B265" s="4" t="s">
        <v>907</v>
      </c>
      <c r="C265" s="1">
        <f t="shared" si="97"/>
        <v>82090</v>
      </c>
      <c r="D265" s="5">
        <f>IF(N265&gt;0, RANK(N265,(N265:P265,Q265:AE265)),0)</f>
        <v>1</v>
      </c>
      <c r="E265" s="5">
        <f>IF(O265&gt;0,RANK(O265,(N265:P265,Q265:AE265)),0)</f>
        <v>2</v>
      </c>
      <c r="F265" s="5">
        <f>IF(P265&gt;0,RANK(P265,(N265:P265,Q265:AE265)),0)</f>
        <v>7</v>
      </c>
      <c r="G265" s="132">
        <f t="shared" si="106"/>
        <v>34013</v>
      </c>
      <c r="H265" s="137">
        <f t="shared" si="107"/>
        <v>0.41433792179315387</v>
      </c>
      <c r="I265" s="2"/>
      <c r="J265" s="2">
        <f t="shared" si="98"/>
        <v>0.66697527104397614</v>
      </c>
      <c r="K265" s="2">
        <f t="shared" si="99"/>
        <v>0.25263734925082226</v>
      </c>
      <c r="L265" s="2">
        <f t="shared" si="100"/>
        <v>3.1185284443903034E-3</v>
      </c>
      <c r="M265" s="2">
        <f t="shared" si="101"/>
        <v>7.7268851260811303E-2</v>
      </c>
      <c r="N265" s="63">
        <v>54752</v>
      </c>
      <c r="O265" s="63">
        <v>20739</v>
      </c>
      <c r="P265" s="63">
        <v>256</v>
      </c>
      <c r="Q265" s="63">
        <v>3346</v>
      </c>
      <c r="R265" s="63">
        <v>1779</v>
      </c>
      <c r="S265" s="63"/>
      <c r="T265" s="63"/>
      <c r="U265" s="63"/>
      <c r="V265" s="63">
        <v>358</v>
      </c>
      <c r="W265" s="63">
        <f>IF(Copyright!B$11=1,IF(CA265&gt;0,CA265-P265-SUM(Y265:AM265)-SUM(AN265:AQ265)-X265-SUM(S265:U265),SUM(CB265:CF265)),SUM(CC265:CF265))</f>
        <v>844</v>
      </c>
      <c r="X265" s="63"/>
      <c r="Y265" s="63"/>
      <c r="Z265" s="63"/>
      <c r="AA265" s="63"/>
      <c r="AB265" s="63"/>
      <c r="AC265" s="63"/>
      <c r="AD265" s="63"/>
      <c r="AE265" s="63">
        <v>5</v>
      </c>
      <c r="AF265" s="63">
        <v>0</v>
      </c>
      <c r="AG265" s="63"/>
      <c r="AH265" s="63"/>
      <c r="AI265" s="63"/>
      <c r="AJ265" s="63"/>
      <c r="AK265" s="63"/>
      <c r="AL265" s="63"/>
      <c r="AM265" s="63"/>
      <c r="AN265" s="63">
        <v>11</v>
      </c>
      <c r="AO265" s="63"/>
      <c r="AP265" s="63"/>
      <c r="AQ265" s="63"/>
      <c r="AR265" s="63"/>
      <c r="AS265" s="63"/>
      <c r="AT265" s="63"/>
      <c r="AU265" s="63"/>
      <c r="AW265" s="5">
        <f>IF(Q265&gt;0,RANK(Q265,(N265:P265,Q265:AE265)),0)</f>
        <v>3</v>
      </c>
      <c r="AX265" s="5">
        <f>IF(R265&gt;0,RANK(R265,(N265:P265,Q265:AE265)),0)</f>
        <v>4</v>
      </c>
      <c r="AY265" s="5">
        <f>IF(T265&gt;0,RANK(T265,(N265:P265,Q265:AE265)),0)</f>
        <v>0</v>
      </c>
      <c r="AZ265" s="5">
        <f>IF(S265&gt;0,RANK(S265,(N265:P265,Q265:AE265)),0)</f>
        <v>0</v>
      </c>
      <c r="BA265" s="2">
        <f t="shared" si="102"/>
        <v>4.0760141308320133E-2</v>
      </c>
      <c r="BB265" s="2">
        <f t="shared" si="103"/>
        <v>2.1671336338165429E-2</v>
      </c>
      <c r="BC265" s="2">
        <f t="shared" si="104"/>
        <v>0</v>
      </c>
      <c r="BD265" s="2">
        <f t="shared" si="105"/>
        <v>0</v>
      </c>
      <c r="BF265" s="4" t="s">
        <v>677</v>
      </c>
      <c r="BG265" s="4" t="s">
        <v>907</v>
      </c>
      <c r="BJ265" s="114">
        <v>6</v>
      </c>
      <c r="BK265" s="116">
        <v>113</v>
      </c>
      <c r="BL265" s="120">
        <f t="shared" si="96"/>
        <v>6113</v>
      </c>
      <c r="BN265" s="5" t="s">
        <v>3154</v>
      </c>
      <c r="BR265" s="63"/>
      <c r="BU265" s="128"/>
      <c r="BY265" s="63">
        <f t="shared" si="95"/>
        <v>-82090</v>
      </c>
      <c r="CA265" s="63">
        <f>844+256+11+5</f>
        <v>1116</v>
      </c>
      <c r="CB265" s="128"/>
      <c r="CC265" s="132">
        <v>844</v>
      </c>
    </row>
    <row r="266" spans="1:87" ht="13" hidden="1" customHeight="1" outlineLevel="1">
      <c r="A266" s="4" t="s">
        <v>69</v>
      </c>
      <c r="B266" s="4" t="s">
        <v>907</v>
      </c>
      <c r="C266" s="1">
        <f t="shared" si="97"/>
        <v>22998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>IF(P266&gt;0,RANK(P266,(N266:P266,Q266:AE266)),0)</f>
        <v>7</v>
      </c>
      <c r="G266" s="132">
        <f t="shared" si="106"/>
        <v>5260</v>
      </c>
      <c r="H266" s="137">
        <f t="shared" si="107"/>
        <v>0.22871554048178103</v>
      </c>
      <c r="I266" s="2"/>
      <c r="J266" s="2">
        <f t="shared" si="98"/>
        <v>0.34394295156100529</v>
      </c>
      <c r="K266" s="2">
        <f t="shared" si="99"/>
        <v>0.57265849204278629</v>
      </c>
      <c r="L266" s="2">
        <f t="shared" si="100"/>
        <v>4.8265066527524133E-3</v>
      </c>
      <c r="M266" s="2">
        <f t="shared" si="101"/>
        <v>7.8572049743455996E-2</v>
      </c>
      <c r="N266" s="63">
        <v>7910</v>
      </c>
      <c r="O266" s="63">
        <v>13170</v>
      </c>
      <c r="P266" s="63">
        <v>111</v>
      </c>
      <c r="Q266" s="63">
        <v>1063</v>
      </c>
      <c r="R266" s="63">
        <v>438</v>
      </c>
      <c r="S266" s="63"/>
      <c r="T266" s="63"/>
      <c r="U266" s="63"/>
      <c r="V266" s="63">
        <v>168</v>
      </c>
      <c r="W266" s="63">
        <f>IF(Copyright!B$11=1,IF(CA266&gt;0,CA266-P266-SUM(Y266:AM266)-SUM(AN266:AQ266)-X266-SUM(S266:U266),SUM(CB266:CF266)),SUM(CC266:CF266))</f>
        <v>138</v>
      </c>
      <c r="X266" s="63"/>
      <c r="Y266" s="63"/>
      <c r="Z266" s="63"/>
      <c r="AA266" s="63"/>
      <c r="AB266" s="63"/>
      <c r="AC266" s="63"/>
      <c r="AD266" s="63"/>
      <c r="AE266" s="63">
        <v>0</v>
      </c>
      <c r="AF266" s="63">
        <v>0</v>
      </c>
      <c r="AG266" s="63"/>
      <c r="AH266" s="63"/>
      <c r="AI266" s="63"/>
      <c r="AJ266" s="63"/>
      <c r="AK266" s="63"/>
      <c r="AL266" s="63"/>
      <c r="AM266" s="63"/>
      <c r="AN266" s="63">
        <v>0</v>
      </c>
      <c r="AO266" s="63"/>
      <c r="AP266" s="63"/>
      <c r="AQ266" s="63"/>
      <c r="AR266" s="63"/>
      <c r="AS266" s="63"/>
      <c r="AT266" s="63"/>
      <c r="AU266" s="63"/>
      <c r="AW266" s="5">
        <f>IF(Q266&gt;0,RANK(Q266,(N266:P266,Q266:AE266)),0)</f>
        <v>3</v>
      </c>
      <c r="AX266" s="5">
        <f>IF(R266&gt;0,RANK(R266,(N266:P266,Q266:AE266)),0)</f>
        <v>4</v>
      </c>
      <c r="AY266" s="5">
        <f>IF(T266&gt;0,RANK(T266,(N266:P266,Q266:AE266)),0)</f>
        <v>0</v>
      </c>
      <c r="AZ266" s="5">
        <f>IF(S266&gt;0,RANK(S266,(N266:P266,Q266:AE266)),0)</f>
        <v>0</v>
      </c>
      <c r="BA266" s="2">
        <f t="shared" si="102"/>
        <v>4.6221410557439779E-2</v>
      </c>
      <c r="BB266" s="2">
        <f t="shared" si="103"/>
        <v>1.9045134359509521E-2</v>
      </c>
      <c r="BC266" s="2">
        <f t="shared" si="104"/>
        <v>0</v>
      </c>
      <c r="BD266" s="2">
        <f t="shared" si="105"/>
        <v>0</v>
      </c>
      <c r="BF266" s="4" t="s">
        <v>69</v>
      </c>
      <c r="BG266" s="4" t="s">
        <v>907</v>
      </c>
      <c r="BH266">
        <v>3</v>
      </c>
      <c r="BJ266" s="114">
        <v>6</v>
      </c>
      <c r="BK266" s="116">
        <v>115</v>
      </c>
      <c r="BL266" s="120">
        <f t="shared" si="96"/>
        <v>6115</v>
      </c>
      <c r="BN266" s="5" t="s">
        <v>3154</v>
      </c>
      <c r="BR266" s="63"/>
      <c r="BU266" s="128"/>
      <c r="BY266" s="63">
        <f t="shared" si="95"/>
        <v>-22998</v>
      </c>
      <c r="CA266" s="63">
        <v>0</v>
      </c>
      <c r="CB266" s="128"/>
      <c r="CC266" s="132">
        <v>138</v>
      </c>
    </row>
    <row r="267" spans="1:87" collapsed="1">
      <c r="A267" s="4" t="s">
        <v>2629</v>
      </c>
      <c r="B267" s="4" t="s">
        <v>544</v>
      </c>
      <c r="C267" s="1">
        <f t="shared" si="97"/>
        <v>14237893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>IF(P267&gt;0,RANK(P267,(N267:P267,Q267:AE267)),0)</f>
        <v>7</v>
      </c>
      <c r="G267" s="132">
        <f t="shared" si="106"/>
        <v>4269978</v>
      </c>
      <c r="H267" s="137">
        <f t="shared" si="107"/>
        <v>0.29990238021875848</v>
      </c>
      <c r="I267" s="2"/>
      <c r="J267" s="2">
        <f t="shared" si="98"/>
        <v>0.61482355570448521</v>
      </c>
      <c r="K267" s="2">
        <f t="shared" si="99"/>
        <v>0.31492117548572673</v>
      </c>
      <c r="L267" s="2">
        <f t="shared" si="100"/>
        <v>2.7810294683349567E-3</v>
      </c>
      <c r="M267" s="2">
        <f t="shared" si="101"/>
        <v>6.7474239341453093E-2</v>
      </c>
      <c r="N267" s="63">
        <f t="shared" ref="N267:O267" si="108">SUM(N209:N266)</f>
        <v>8753792</v>
      </c>
      <c r="O267" s="63">
        <f t="shared" si="108"/>
        <v>4483814</v>
      </c>
      <c r="P267" s="63">
        <f t="shared" ref="P267:V267" si="109">SUM(P209:P266)</f>
        <v>39596</v>
      </c>
      <c r="Q267" s="63">
        <f t="shared" si="109"/>
        <v>478500</v>
      </c>
      <c r="R267" s="63">
        <f t="shared" si="109"/>
        <v>278658</v>
      </c>
      <c r="S267" s="63"/>
      <c r="T267" s="63"/>
      <c r="U267" s="63"/>
      <c r="V267" s="63">
        <f t="shared" si="109"/>
        <v>66101</v>
      </c>
      <c r="W267" s="63">
        <f>SUM(W209:W266)</f>
        <v>135630</v>
      </c>
      <c r="X267" s="63"/>
      <c r="Y267" s="63"/>
      <c r="Z267" s="63"/>
      <c r="AA267" s="63"/>
      <c r="AB267" s="63"/>
      <c r="AC267" s="63"/>
      <c r="AD267" s="63"/>
      <c r="AE267" s="63">
        <f>SUM(AE209:AE266)</f>
        <v>402</v>
      </c>
      <c r="AF267" s="63">
        <f>SUM(AF209:AF266)</f>
        <v>84</v>
      </c>
      <c r="AG267" s="63"/>
      <c r="AH267" s="63"/>
      <c r="AI267" s="63"/>
      <c r="AJ267" s="63"/>
      <c r="AK267" s="63"/>
      <c r="AL267" s="63"/>
      <c r="AM267" s="63"/>
      <c r="AN267" s="63">
        <f>SUM(AN209:AN266)</f>
        <v>1316</v>
      </c>
      <c r="AO267" s="63"/>
      <c r="AP267" s="63"/>
      <c r="AQ267" s="63"/>
      <c r="AR267" s="63"/>
      <c r="AS267" s="63"/>
      <c r="AT267" s="63"/>
      <c r="AU267" s="63"/>
      <c r="AW267" s="5">
        <f>IF(Q267&gt;0,RANK(Q267,(N267:P267,Q267:AE267)),0)</f>
        <v>3</v>
      </c>
      <c r="AX267" s="5">
        <f>IF(R267&gt;0,RANK(R267,(N267:P267,Q267:AE267)),0)</f>
        <v>4</v>
      </c>
      <c r="AY267" s="5">
        <f>IF(T267&gt;0,RANK(T267,(N267:P267,Q267:AE267)),0)</f>
        <v>0</v>
      </c>
      <c r="AZ267" s="5">
        <f>IF(S267&gt;0,RANK(S267,(N267:P267,Q267:AE267)),0)</f>
        <v>0</v>
      </c>
      <c r="BA267" s="2">
        <f t="shared" si="102"/>
        <v>3.3607500772761811E-2</v>
      </c>
      <c r="BB267" s="2">
        <f t="shared" si="103"/>
        <v>1.9571575653785291E-2</v>
      </c>
      <c r="BC267" s="2">
        <f t="shared" si="104"/>
        <v>0</v>
      </c>
      <c r="BD267" s="2">
        <f t="shared" si="105"/>
        <v>0</v>
      </c>
      <c r="BF267" s="4" t="s">
        <v>2629</v>
      </c>
      <c r="BG267" s="4" t="s">
        <v>544</v>
      </c>
      <c r="BJ267" s="114">
        <v>6</v>
      </c>
      <c r="BK267" s="116"/>
      <c r="BL267" s="114">
        <v>6</v>
      </c>
      <c r="BN267" s="5" t="s">
        <v>711</v>
      </c>
      <c r="BO267" s="63">
        <f>SUM(BO209:BO266)</f>
        <v>40000</v>
      </c>
      <c r="BP267" s="63">
        <f>SUM(BP209:BP266)</f>
        <v>4927</v>
      </c>
      <c r="BQ267" s="63">
        <f>SUM(BQ209:BQ266)</f>
        <v>0</v>
      </c>
      <c r="BR267" s="63"/>
      <c r="BY267" s="63">
        <f t="shared" si="95"/>
        <v>-14237893</v>
      </c>
      <c r="CA267" s="63">
        <f>SUM(CA209:CA266)</f>
        <v>176105</v>
      </c>
      <c r="CC267" s="63">
        <f>SUM(CC209:CC266)</f>
        <v>79341</v>
      </c>
      <c r="CD267" s="63">
        <f>SUM(CD209:CD266)</f>
        <v>0</v>
      </c>
    </row>
    <row r="268" spans="1:87">
      <c r="A268" s="4"/>
      <c r="B268" s="4"/>
      <c r="C268" s="1"/>
      <c r="E268" s="5"/>
      <c r="F268" s="5"/>
      <c r="G268" s="132"/>
      <c r="H268" s="137"/>
      <c r="I268" s="2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W268" s="5"/>
      <c r="AX268" s="5"/>
      <c r="AY268" s="5"/>
      <c r="AZ268" s="5"/>
      <c r="BF268" s="4"/>
      <c r="BG268" s="4"/>
      <c r="BJ268" s="114"/>
      <c r="BK268" s="116"/>
      <c r="BL268" s="120"/>
      <c r="CD268" s="132" t="s">
        <v>4301</v>
      </c>
      <c r="CE268" s="132" t="s">
        <v>4302</v>
      </c>
      <c r="CF268" s="132" t="s">
        <v>4303</v>
      </c>
      <c r="CG268" s="132" t="s">
        <v>4304</v>
      </c>
      <c r="CH268" s="132" t="s">
        <v>4305</v>
      </c>
      <c r="CI268" s="132" t="s">
        <v>4306</v>
      </c>
    </row>
    <row r="269" spans="1:87" hidden="1" outlineLevel="1">
      <c r="A269" t="s">
        <v>1026</v>
      </c>
      <c r="B269" t="s">
        <v>2722</v>
      </c>
      <c r="C269" s="1">
        <f t="shared" ref="C269:C300" si="110">SUM(N269:AU269)</f>
        <v>193677</v>
      </c>
      <c r="D269" s="5">
        <f>IF(N269&gt;0, RANK(N269,(N269:P269,Q269:AE269)),0)</f>
        <v>1</v>
      </c>
      <c r="E269" s="5">
        <f>IF(O269&gt;0,RANK(O269,(N269:P269,Q269:AE269)),0)</f>
        <v>2</v>
      </c>
      <c r="F269" s="5">
        <f>IF(P269&gt;0,RANK(P269,(N269:P269,Q269:AE269)),0)</f>
        <v>5</v>
      </c>
      <c r="G269" s="132">
        <f t="shared" si="106"/>
        <v>16476</v>
      </c>
      <c r="H269" s="137">
        <f t="shared" si="107"/>
        <v>8.5069471336297026E-2</v>
      </c>
      <c r="I269" s="2"/>
      <c r="J269" s="2">
        <f t="shared" ref="J269:J301" si="111">IF($C269=0,"-",N269/$C269)</f>
        <v>0.49855171238711876</v>
      </c>
      <c r="K269" s="2">
        <f t="shared" ref="K269:K301" si="112">IF($C269=0,"-",O269/$C269)</f>
        <v>0.41348224105082171</v>
      </c>
      <c r="L269" s="2">
        <f t="shared" ref="L269:L301" si="113">IF($C269=0,"-",P269/$C269)</f>
        <v>9.355783082141916E-3</v>
      </c>
      <c r="M269" s="2">
        <f t="shared" ref="M269:M301" si="114">IF(C269=0,"-",(1-J269-K269-L269))</f>
        <v>7.8610263479917564E-2</v>
      </c>
      <c r="N269" s="63">
        <v>96558</v>
      </c>
      <c r="O269" s="63">
        <v>80082</v>
      </c>
      <c r="P269" s="63">
        <v>1812</v>
      </c>
      <c r="Q269" s="63">
        <v>9893</v>
      </c>
      <c r="R269" s="63">
        <v>2703</v>
      </c>
      <c r="S269" s="63">
        <v>993</v>
      </c>
      <c r="T269" s="63">
        <v>139</v>
      </c>
      <c r="U269" s="63">
        <v>11</v>
      </c>
      <c r="V269" s="63">
        <v>64</v>
      </c>
      <c r="W269" s="63">
        <f>IF(Copyright!B$11=1,IF(CA269&gt;0,CA269-Z269,SUM(CC269:CP269)),SUM(CC269:CP269))</f>
        <v>12</v>
      </c>
      <c r="X269" s="63">
        <v>42</v>
      </c>
      <c r="Y269" s="63">
        <v>69</v>
      </c>
      <c r="Z269" s="63"/>
      <c r="AA269" s="63"/>
      <c r="AB269" s="63"/>
      <c r="AC269" s="63"/>
      <c r="AD269" s="63">
        <v>19</v>
      </c>
      <c r="AE269" s="63">
        <v>17</v>
      </c>
      <c r="AF269" s="63"/>
      <c r="AG269" s="63">
        <v>593</v>
      </c>
      <c r="AH269" s="63">
        <v>145</v>
      </c>
      <c r="AI269" s="63">
        <v>23</v>
      </c>
      <c r="AJ269" s="63"/>
      <c r="AK269" s="63">
        <v>31</v>
      </c>
      <c r="AL269" s="63"/>
      <c r="AM269" s="63">
        <v>121</v>
      </c>
      <c r="AN269" s="63">
        <v>51</v>
      </c>
      <c r="AO269" s="63">
        <v>73</v>
      </c>
      <c r="AP269" s="63">
        <v>71</v>
      </c>
      <c r="AQ269" s="63">
        <v>155</v>
      </c>
      <c r="AR269" s="63"/>
      <c r="AS269" s="63"/>
      <c r="AT269" s="63"/>
      <c r="AU269" s="63"/>
      <c r="AW269" s="5">
        <f>IF(Q269&gt;0,RANK(Q269,(N269:P269,Q269:AE269)),0)</f>
        <v>3</v>
      </c>
      <c r="AX269" s="5">
        <f>IF(R269&gt;0,RANK(R269,(N269:P269,Q269:AE269)),0)</f>
        <v>4</v>
      </c>
      <c r="AY269" s="5">
        <f>IF(T269&gt;0,RANK(T269,(N269:P269,Q269:AE269)),0)</f>
        <v>7</v>
      </c>
      <c r="AZ269" s="5">
        <f>IF(S269&gt;0,RANK(S269,(N269:P269,Q269:AE269)),0)</f>
        <v>6</v>
      </c>
      <c r="BA269" s="2">
        <f t="shared" ref="BA269:BA301" si="115">IF($C269=0,"-",Q269/$C269)</f>
        <v>5.1079890745932659E-2</v>
      </c>
      <c r="BB269" s="2">
        <f t="shared" ref="BB269:BB301" si="116">IF($C269=0,"-",R269/$C269)</f>
        <v>1.395622608776468E-2</v>
      </c>
      <c r="BC269" s="2">
        <f t="shared" ref="BC269:BC301" si="117">IF($C269=0,"-",T269/$C269)</f>
        <v>7.176897618199373E-4</v>
      </c>
      <c r="BD269" s="2">
        <f t="shared" ref="BD269:BD301" si="118">IF($C269=0,"-",S269/$C269)</f>
        <v>5.1270930466704879E-3</v>
      </c>
      <c r="BF269" t="s">
        <v>1026</v>
      </c>
      <c r="BG269" t="s">
        <v>2722</v>
      </c>
      <c r="BH269" s="1"/>
      <c r="BI269" s="1"/>
      <c r="BJ269" s="114">
        <v>8</v>
      </c>
      <c r="BK269" s="116">
        <v>1</v>
      </c>
      <c r="BL269" s="120">
        <f t="shared" si="96"/>
        <v>8001</v>
      </c>
      <c r="BM269" s="1"/>
      <c r="BN269" s="5" t="s">
        <v>3154</v>
      </c>
      <c r="BO269" s="1"/>
      <c r="BR269" s="63"/>
      <c r="CD269" s="63">
        <v>2</v>
      </c>
      <c r="CE269" s="63">
        <v>0</v>
      </c>
      <c r="CF269" s="63">
        <v>4</v>
      </c>
      <c r="CG269" s="8">
        <v>3</v>
      </c>
      <c r="CH269" s="8">
        <v>2</v>
      </c>
      <c r="CI269" s="8">
        <v>1</v>
      </c>
    </row>
    <row r="270" spans="1:87" hidden="1" outlineLevel="1">
      <c r="A270" t="s">
        <v>1027</v>
      </c>
      <c r="B270" t="s">
        <v>2722</v>
      </c>
      <c r="C270" s="1">
        <f t="shared" si="110"/>
        <v>6939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>IF(P270&gt;0,RANK(P270,(N270:P270,Q270:AE270)),0)</f>
        <v>5</v>
      </c>
      <c r="G270" s="132">
        <f t="shared" si="106"/>
        <v>143</v>
      </c>
      <c r="H270" s="137">
        <f t="shared" si="107"/>
        <v>2.0608156794927224E-2</v>
      </c>
      <c r="I270" s="2"/>
      <c r="J270" s="2">
        <f t="shared" si="111"/>
        <v>0.45957630782533504</v>
      </c>
      <c r="K270" s="2">
        <f t="shared" si="112"/>
        <v>0.43896815103040782</v>
      </c>
      <c r="L270" s="2">
        <f t="shared" si="113"/>
        <v>1.0376134889753566E-2</v>
      </c>
      <c r="M270" s="2">
        <f t="shared" si="114"/>
        <v>9.1079406254503628E-2</v>
      </c>
      <c r="N270" s="63">
        <v>3189</v>
      </c>
      <c r="O270" s="63">
        <v>3046</v>
      </c>
      <c r="P270" s="63">
        <v>72</v>
      </c>
      <c r="Q270" s="63">
        <v>405</v>
      </c>
      <c r="R270" s="63">
        <v>117</v>
      </c>
      <c r="S270" s="63">
        <v>35</v>
      </c>
      <c r="T270" s="63">
        <v>13</v>
      </c>
      <c r="U270" s="63">
        <v>1</v>
      </c>
      <c r="V270" s="63">
        <v>1</v>
      </c>
      <c r="W270" s="63">
        <f>IF(Copyright!B$11=1,IF(CA270&gt;0,CA270-Z270,SUM(CC270:CP270)),SUM(CC270:CP270))</f>
        <v>0</v>
      </c>
      <c r="X270" s="63">
        <v>5</v>
      </c>
      <c r="Y270" s="63">
        <v>5</v>
      </c>
      <c r="Z270" s="63"/>
      <c r="AA270" s="63"/>
      <c r="AB270" s="63"/>
      <c r="AC270" s="63"/>
      <c r="AD270" s="63">
        <v>1</v>
      </c>
      <c r="AE270" s="63">
        <v>1</v>
      </c>
      <c r="AF270" s="63"/>
      <c r="AG270" s="63">
        <v>23</v>
      </c>
      <c r="AH270" s="63">
        <v>2</v>
      </c>
      <c r="AI270" s="63">
        <v>1</v>
      </c>
      <c r="AJ270" s="63"/>
      <c r="AK270" s="63">
        <v>1</v>
      </c>
      <c r="AL270" s="63"/>
      <c r="AM270" s="63">
        <v>4</v>
      </c>
      <c r="AN270" s="63">
        <v>3</v>
      </c>
      <c r="AO270" s="63">
        <v>6</v>
      </c>
      <c r="AP270" s="63">
        <v>2</v>
      </c>
      <c r="AQ270" s="63">
        <v>6</v>
      </c>
      <c r="AR270" s="63"/>
      <c r="AS270" s="63"/>
      <c r="AT270" s="63"/>
      <c r="AU270" s="63"/>
      <c r="AW270" s="5">
        <f>IF(Q270&gt;0,RANK(Q270,(N270:P270,Q270:AE270)),0)</f>
        <v>3</v>
      </c>
      <c r="AX270" s="5">
        <f>IF(R270&gt;0,RANK(R270,(N270:P270,Q270:AE270)),0)</f>
        <v>4</v>
      </c>
      <c r="AY270" s="5">
        <f>IF(T270&gt;0,RANK(T270,(N270:P270,Q270:AE270)),0)</f>
        <v>7</v>
      </c>
      <c r="AZ270" s="5">
        <f>IF(S270&gt;0,RANK(S270,(N270:P270,Q270:AE270)),0)</f>
        <v>6</v>
      </c>
      <c r="BA270" s="2">
        <f t="shared" si="115"/>
        <v>5.8365758754863814E-2</v>
      </c>
      <c r="BB270" s="2">
        <f t="shared" si="116"/>
        <v>1.6861219195849545E-2</v>
      </c>
      <c r="BC270" s="2">
        <f t="shared" si="117"/>
        <v>1.8734687995388384E-3</v>
      </c>
      <c r="BD270" s="2">
        <f t="shared" si="118"/>
        <v>5.0439544602968725E-3</v>
      </c>
      <c r="BF270" t="s">
        <v>1027</v>
      </c>
      <c r="BG270" t="s">
        <v>2722</v>
      </c>
      <c r="BH270" s="1">
        <v>3</v>
      </c>
      <c r="BI270" s="1"/>
      <c r="BJ270" s="114">
        <v>8</v>
      </c>
      <c r="BK270" s="116">
        <v>3</v>
      </c>
      <c r="BL270" s="120">
        <f t="shared" si="96"/>
        <v>8003</v>
      </c>
      <c r="BM270" s="1"/>
      <c r="BN270" s="5" t="s">
        <v>3154</v>
      </c>
      <c r="BR270" s="63"/>
      <c r="BZ270" s="63">
        <f t="shared" ref="BZ270:BZ328" si="119">C270</f>
        <v>6939</v>
      </c>
      <c r="CC270" s="132"/>
      <c r="CD270" s="132">
        <v>0</v>
      </c>
      <c r="CE270" s="132">
        <v>0</v>
      </c>
      <c r="CF270" s="132">
        <v>0</v>
      </c>
      <c r="CG270" s="132">
        <v>0</v>
      </c>
      <c r="CH270" s="132">
        <v>0</v>
      </c>
      <c r="CI270" s="8">
        <v>0</v>
      </c>
    </row>
    <row r="271" spans="1:87" hidden="1" outlineLevel="1">
      <c r="A271" t="s">
        <v>1203</v>
      </c>
      <c r="B271" t="s">
        <v>2722</v>
      </c>
      <c r="C271" s="1">
        <f t="shared" si="110"/>
        <v>303048</v>
      </c>
      <c r="D271" s="5">
        <f>IF(N271&gt;0, RANK(N271,(N271:P271,Q271:AE271)),0)</f>
        <v>1</v>
      </c>
      <c r="E271" s="5">
        <f>IF(O271&gt;0,RANK(O271,(N271:P271,Q271:AE271)),0)</f>
        <v>2</v>
      </c>
      <c r="F271" s="5">
        <f>IF(P271&gt;0,RANK(P271,(N271:P271,Q271:AE271)),0)</f>
        <v>5</v>
      </c>
      <c r="G271" s="132">
        <f t="shared" si="106"/>
        <v>42832</v>
      </c>
      <c r="H271" s="137">
        <f t="shared" si="107"/>
        <v>0.14133734589899949</v>
      </c>
      <c r="I271" s="2"/>
      <c r="J271" s="2">
        <f t="shared" si="111"/>
        <v>0.52758968876217627</v>
      </c>
      <c r="K271" s="2">
        <f t="shared" si="112"/>
        <v>0.38625234286317678</v>
      </c>
      <c r="L271" s="2">
        <f t="shared" si="113"/>
        <v>1.121274517568174E-2</v>
      </c>
      <c r="M271" s="2">
        <f t="shared" si="114"/>
        <v>7.4945223198965211E-2</v>
      </c>
      <c r="N271" s="63">
        <v>159885</v>
      </c>
      <c r="O271" s="63">
        <v>117053</v>
      </c>
      <c r="P271" s="63">
        <v>3398</v>
      </c>
      <c r="Q271" s="63">
        <v>16002</v>
      </c>
      <c r="R271" s="63">
        <v>3829</v>
      </c>
      <c r="S271" s="63">
        <v>1096</v>
      </c>
      <c r="T271" s="63">
        <v>117</v>
      </c>
      <c r="U271" s="63">
        <v>21</v>
      </c>
      <c r="V271" s="63">
        <v>43</v>
      </c>
      <c r="W271" s="63">
        <f>IF(Copyright!B$11=1,IF(CA271&gt;0,CA271-Z271,SUM(CC271:CP271)),SUM(CC271:CP271))</f>
        <v>2</v>
      </c>
      <c r="X271" s="63">
        <v>37</v>
      </c>
      <c r="Y271" s="63">
        <v>88</v>
      </c>
      <c r="Z271" s="63"/>
      <c r="AA271" s="63"/>
      <c r="AB271" s="63"/>
      <c r="AC271" s="63"/>
      <c r="AD271" s="63">
        <v>18</v>
      </c>
      <c r="AE271" s="63">
        <v>50</v>
      </c>
      <c r="AF271" s="63"/>
      <c r="AG271" s="63">
        <v>594</v>
      </c>
      <c r="AH271" s="63">
        <v>132</v>
      </c>
      <c r="AI271" s="63">
        <v>47</v>
      </c>
      <c r="AJ271" s="63"/>
      <c r="AK271" s="63">
        <v>47</v>
      </c>
      <c r="AL271" s="63"/>
      <c r="AM271" s="63">
        <v>86</v>
      </c>
      <c r="AN271" s="63">
        <v>115</v>
      </c>
      <c r="AO271" s="63">
        <v>88</v>
      </c>
      <c r="AP271" s="63">
        <v>89</v>
      </c>
      <c r="AQ271" s="63">
        <v>211</v>
      </c>
      <c r="AR271" s="63"/>
      <c r="AS271" s="63"/>
      <c r="AT271" s="63"/>
      <c r="AU271" s="63"/>
      <c r="AW271" s="5">
        <f>IF(Q271&gt;0,RANK(Q271,(N271:P271,Q271:AE271)),0)</f>
        <v>3</v>
      </c>
      <c r="AX271" s="5">
        <f>IF(R271&gt;0,RANK(R271,(N271:P271,Q271:AE271)),0)</f>
        <v>4</v>
      </c>
      <c r="AY271" s="5">
        <f>IF(T271&gt;0,RANK(T271,(N271:P271,Q271:AE271)),0)</f>
        <v>7</v>
      </c>
      <c r="AZ271" s="5">
        <f>IF(S271&gt;0,RANK(S271,(N271:P271,Q271:AE271)),0)</f>
        <v>6</v>
      </c>
      <c r="BA271" s="2">
        <f t="shared" si="115"/>
        <v>5.2803516274649562E-2</v>
      </c>
      <c r="BB271" s="2">
        <f t="shared" si="116"/>
        <v>1.2634962118212297E-2</v>
      </c>
      <c r="BC271" s="2">
        <f t="shared" si="117"/>
        <v>3.8607745307674032E-4</v>
      </c>
      <c r="BD271" s="2">
        <f t="shared" si="118"/>
        <v>3.616588791214593E-3</v>
      </c>
      <c r="BF271" t="s">
        <v>1203</v>
      </c>
      <c r="BG271" t="s">
        <v>2722</v>
      </c>
      <c r="BH271" s="1"/>
      <c r="BI271" s="1"/>
      <c r="BJ271" s="114">
        <v>8</v>
      </c>
      <c r="BK271" s="116">
        <v>5</v>
      </c>
      <c r="BL271" s="120">
        <f t="shared" si="96"/>
        <v>8005</v>
      </c>
      <c r="BM271" s="1"/>
      <c r="BN271" s="5" t="s">
        <v>3154</v>
      </c>
      <c r="BR271" s="63"/>
      <c r="BZ271" s="63">
        <f t="shared" si="119"/>
        <v>303048</v>
      </c>
      <c r="CD271" s="63">
        <v>0</v>
      </c>
      <c r="CE271" s="63">
        <v>0</v>
      </c>
      <c r="CF271" s="63">
        <v>0</v>
      </c>
      <c r="CG271" s="8">
        <v>1</v>
      </c>
      <c r="CH271" s="8">
        <v>1</v>
      </c>
      <c r="CI271" s="8">
        <v>0</v>
      </c>
    </row>
    <row r="272" spans="1:87" hidden="1" outlineLevel="1">
      <c r="A272" t="s">
        <v>2914</v>
      </c>
      <c r="B272" t="s">
        <v>2722</v>
      </c>
      <c r="C272" s="1">
        <f t="shared" si="110"/>
        <v>7339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5</v>
      </c>
      <c r="G272" s="132">
        <f t="shared" si="106"/>
        <v>1764</v>
      </c>
      <c r="H272" s="137">
        <f t="shared" si="107"/>
        <v>0.24035972203297451</v>
      </c>
      <c r="I272" s="2"/>
      <c r="J272" s="2">
        <f t="shared" si="111"/>
        <v>0.34064586455920426</v>
      </c>
      <c r="K272" s="2">
        <f t="shared" si="112"/>
        <v>0.58100558659217882</v>
      </c>
      <c r="L272" s="2">
        <f t="shared" si="113"/>
        <v>6.949175637007767E-3</v>
      </c>
      <c r="M272" s="2">
        <f t="shared" si="114"/>
        <v>7.1399373211609093E-2</v>
      </c>
      <c r="N272" s="63">
        <v>2500</v>
      </c>
      <c r="O272" s="63">
        <v>4264</v>
      </c>
      <c r="P272" s="63">
        <v>51</v>
      </c>
      <c r="Q272" s="63">
        <v>331</v>
      </c>
      <c r="R272" s="63">
        <v>116</v>
      </c>
      <c r="S272" s="63">
        <v>43</v>
      </c>
      <c r="T272" s="63">
        <v>3</v>
      </c>
      <c r="U272" s="63">
        <v>1</v>
      </c>
      <c r="V272" s="63">
        <v>0</v>
      </c>
      <c r="W272" s="63">
        <f>IF(Copyright!B$11=1,IF(CA272&gt;0,CA272-Z272,SUM(CC272:CP272)),SUM(CC272:CP272))</f>
        <v>0</v>
      </c>
      <c r="X272" s="63">
        <v>0</v>
      </c>
      <c r="Y272" s="63">
        <v>0</v>
      </c>
      <c r="Z272" s="63"/>
      <c r="AA272" s="63"/>
      <c r="AB272" s="63"/>
      <c r="AC272" s="63"/>
      <c r="AD272" s="63">
        <v>0</v>
      </c>
      <c r="AE272" s="63">
        <v>3</v>
      </c>
      <c r="AF272" s="63"/>
      <c r="AG272" s="63">
        <v>17</v>
      </c>
      <c r="AH272" s="63">
        <v>2</v>
      </c>
      <c r="AI272" s="63">
        <v>0</v>
      </c>
      <c r="AJ272" s="63"/>
      <c r="AK272" s="63">
        <v>4</v>
      </c>
      <c r="AL272" s="63"/>
      <c r="AM272" s="63">
        <v>1</v>
      </c>
      <c r="AN272" s="63">
        <v>0</v>
      </c>
      <c r="AO272" s="63">
        <v>0</v>
      </c>
      <c r="AP272" s="63">
        <v>1</v>
      </c>
      <c r="AQ272" s="63">
        <v>2</v>
      </c>
      <c r="AR272" s="63"/>
      <c r="AS272" s="63"/>
      <c r="AT272" s="63"/>
      <c r="AU272" s="63"/>
      <c r="AW272" s="5">
        <f>IF(Q272&gt;0,RANK(Q272,(N272:P272,Q272:AE272)),0)</f>
        <v>3</v>
      </c>
      <c r="AX272" s="5">
        <f>IF(R272&gt;0,RANK(R272,(N272:P272,Q272:AE272)),0)</f>
        <v>4</v>
      </c>
      <c r="AY272" s="5">
        <f>IF(T272&gt;0,RANK(T272,(N272:P272,Q272:AE272)),0)</f>
        <v>7</v>
      </c>
      <c r="AZ272" s="5">
        <f>IF(S272&gt;0,RANK(S272,(N272:P272,Q272:AE272)),0)</f>
        <v>6</v>
      </c>
      <c r="BA272" s="2">
        <f t="shared" si="115"/>
        <v>4.5101512467638639E-2</v>
      </c>
      <c r="BB272" s="2">
        <f t="shared" si="116"/>
        <v>1.5805968115547079E-2</v>
      </c>
      <c r="BC272" s="2">
        <f t="shared" si="117"/>
        <v>4.0877503747104509E-4</v>
      </c>
      <c r="BD272" s="2">
        <f t="shared" si="118"/>
        <v>5.859108870418313E-3</v>
      </c>
      <c r="BF272" t="s">
        <v>2914</v>
      </c>
      <c r="BG272" t="s">
        <v>2722</v>
      </c>
      <c r="BH272" s="1">
        <v>3</v>
      </c>
      <c r="BI272" s="1"/>
      <c r="BJ272" s="114">
        <v>8</v>
      </c>
      <c r="BK272" s="116">
        <v>7</v>
      </c>
      <c r="BL272" s="120">
        <f t="shared" si="96"/>
        <v>8007</v>
      </c>
      <c r="BM272" s="1"/>
      <c r="BN272" s="5" t="s">
        <v>3154</v>
      </c>
      <c r="BR272" s="63"/>
      <c r="BZ272" s="63">
        <f t="shared" si="119"/>
        <v>7339</v>
      </c>
      <c r="CD272" s="63">
        <v>0</v>
      </c>
      <c r="CE272" s="63">
        <v>0</v>
      </c>
      <c r="CF272" s="63">
        <v>0</v>
      </c>
      <c r="CG272" s="8">
        <v>0</v>
      </c>
      <c r="CH272" s="8">
        <v>0</v>
      </c>
      <c r="CI272" s="8">
        <v>0</v>
      </c>
    </row>
    <row r="273" spans="1:87" hidden="1" outlineLevel="1">
      <c r="A273" t="s">
        <v>1389</v>
      </c>
      <c r="B273" t="s">
        <v>2722</v>
      </c>
      <c r="C273" s="1">
        <f t="shared" si="110"/>
        <v>2153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6</v>
      </c>
      <c r="G273" s="132">
        <f t="shared" si="106"/>
        <v>1470</v>
      </c>
      <c r="H273" s="137">
        <f t="shared" si="107"/>
        <v>0.68276823037621925</v>
      </c>
      <c r="I273" s="2"/>
      <c r="J273" s="2">
        <f t="shared" si="111"/>
        <v>0.13144449605202044</v>
      </c>
      <c r="K273" s="2">
        <f t="shared" si="112"/>
        <v>0.81421272642823972</v>
      </c>
      <c r="L273" s="2">
        <f t="shared" si="113"/>
        <v>6.9670227589410123E-3</v>
      </c>
      <c r="M273" s="2">
        <f t="shared" si="114"/>
        <v>4.7375754760798805E-2</v>
      </c>
      <c r="N273" s="63">
        <v>283</v>
      </c>
      <c r="O273" s="63">
        <v>1753</v>
      </c>
      <c r="P273" s="63">
        <v>15</v>
      </c>
      <c r="Q273" s="63">
        <v>51</v>
      </c>
      <c r="R273" s="63">
        <v>18</v>
      </c>
      <c r="S273" s="63">
        <v>20</v>
      </c>
      <c r="T273" s="63">
        <v>1</v>
      </c>
      <c r="U273" s="63">
        <v>2</v>
      </c>
      <c r="V273" s="63">
        <v>0</v>
      </c>
      <c r="W273" s="63">
        <f>IF(Copyright!B$11=1,IF(CA273&gt;0,CA273-Z273,SUM(CC273:CP273)),SUM(CC273:CP273))</f>
        <v>0</v>
      </c>
      <c r="X273" s="63">
        <v>1</v>
      </c>
      <c r="Y273" s="63">
        <v>0</v>
      </c>
      <c r="Z273" s="63"/>
      <c r="AA273" s="63"/>
      <c r="AB273" s="63"/>
      <c r="AC273" s="63"/>
      <c r="AD273" s="63">
        <v>0</v>
      </c>
      <c r="AE273" s="63">
        <v>0</v>
      </c>
      <c r="AF273" s="63"/>
      <c r="AG273" s="63">
        <v>3</v>
      </c>
      <c r="AH273" s="63">
        <v>0</v>
      </c>
      <c r="AI273" s="63">
        <v>0</v>
      </c>
      <c r="AJ273" s="63"/>
      <c r="AK273" s="63">
        <v>0</v>
      </c>
      <c r="AL273" s="63"/>
      <c r="AM273" s="63">
        <v>1</v>
      </c>
      <c r="AN273" s="63">
        <v>0</v>
      </c>
      <c r="AO273" s="63">
        <v>1</v>
      </c>
      <c r="AP273" s="63">
        <v>1</v>
      </c>
      <c r="AQ273" s="63">
        <v>3</v>
      </c>
      <c r="AR273" s="63"/>
      <c r="AS273" s="63"/>
      <c r="AT273" s="63"/>
      <c r="AU273" s="63"/>
      <c r="AW273" s="5">
        <f>IF(Q273&gt;0,RANK(Q273,(N273:P273,Q273:AE273)),0)</f>
        <v>3</v>
      </c>
      <c r="AX273" s="5">
        <f>IF(R273&gt;0,RANK(R273,(N273:P273,Q273:AE273)),0)</f>
        <v>5</v>
      </c>
      <c r="AY273" s="5">
        <f>IF(T273&gt;0,RANK(T273,(N273:P273,Q273:AE273)),0)</f>
        <v>8</v>
      </c>
      <c r="AZ273" s="5">
        <f>IF(S273&gt;0,RANK(S273,(N273:P273,Q273:AE273)),0)</f>
        <v>4</v>
      </c>
      <c r="BA273" s="2">
        <f t="shared" si="115"/>
        <v>2.3687877380399444E-2</v>
      </c>
      <c r="BB273" s="2">
        <f t="shared" si="116"/>
        <v>8.3604273107292151E-3</v>
      </c>
      <c r="BC273" s="2">
        <f t="shared" si="117"/>
        <v>4.6446818392940084E-4</v>
      </c>
      <c r="BD273" s="2">
        <f t="shared" si="118"/>
        <v>9.2893636785880175E-3</v>
      </c>
      <c r="BF273" t="s">
        <v>1389</v>
      </c>
      <c r="BG273" t="s">
        <v>2722</v>
      </c>
      <c r="BH273" s="1">
        <v>4</v>
      </c>
      <c r="BI273" s="1"/>
      <c r="BJ273" s="114">
        <v>8</v>
      </c>
      <c r="BK273" s="116">
        <v>9</v>
      </c>
      <c r="BL273" s="120">
        <f t="shared" si="96"/>
        <v>8009</v>
      </c>
      <c r="BM273" s="1"/>
      <c r="BN273" s="5" t="s">
        <v>3154</v>
      </c>
      <c r="BR273" s="63"/>
      <c r="BZ273" s="63">
        <f t="shared" si="119"/>
        <v>2153</v>
      </c>
      <c r="CD273" s="63">
        <v>0</v>
      </c>
      <c r="CE273" s="63">
        <v>0</v>
      </c>
      <c r="CF273" s="63">
        <v>0</v>
      </c>
      <c r="CG273" s="8">
        <v>0</v>
      </c>
      <c r="CH273" s="8">
        <v>0</v>
      </c>
      <c r="CI273" s="8">
        <v>0</v>
      </c>
    </row>
    <row r="274" spans="1:87" hidden="1" outlineLevel="1">
      <c r="A274" t="s">
        <v>2962</v>
      </c>
      <c r="B274" t="s">
        <v>2722</v>
      </c>
      <c r="C274" s="1">
        <f t="shared" si="110"/>
        <v>1927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>IF(P274&gt;0,RANK(P274,(N274:P274,Q274:AE274)),0)</f>
        <v>6</v>
      </c>
      <c r="G274" s="132">
        <f t="shared" si="106"/>
        <v>598</v>
      </c>
      <c r="H274" s="137">
        <f t="shared" si="107"/>
        <v>0.31032693305656461</v>
      </c>
      <c r="I274" s="2"/>
      <c r="J274" s="2">
        <f t="shared" si="111"/>
        <v>0.30617540217955369</v>
      </c>
      <c r="K274" s="2">
        <f t="shared" si="112"/>
        <v>0.6165023352361183</v>
      </c>
      <c r="L274" s="2">
        <f t="shared" si="113"/>
        <v>2.5947067981318111E-3</v>
      </c>
      <c r="M274" s="2">
        <f t="shared" si="114"/>
        <v>7.4727555786196137E-2</v>
      </c>
      <c r="N274" s="63">
        <v>590</v>
      </c>
      <c r="O274" s="63">
        <v>1188</v>
      </c>
      <c r="P274" s="63">
        <v>5</v>
      </c>
      <c r="Q274" s="63">
        <v>83</v>
      </c>
      <c r="R274" s="63">
        <v>20</v>
      </c>
      <c r="S274" s="63">
        <v>12</v>
      </c>
      <c r="T274" s="63">
        <v>2</v>
      </c>
      <c r="U274" s="63">
        <v>2</v>
      </c>
      <c r="V274" s="63">
        <v>0</v>
      </c>
      <c r="W274" s="63">
        <f>IF(Copyright!B$11=1,IF(CA274&gt;0,CA274-Z274,SUM(CC274:CP274)),SUM(CC274:CP274))</f>
        <v>0</v>
      </c>
      <c r="X274" s="63">
        <v>0</v>
      </c>
      <c r="Y274" s="63">
        <v>0</v>
      </c>
      <c r="Z274" s="63"/>
      <c r="AA274" s="63"/>
      <c r="AB274" s="63"/>
      <c r="AC274" s="63"/>
      <c r="AD274" s="63">
        <v>1</v>
      </c>
      <c r="AE274" s="63">
        <v>1</v>
      </c>
      <c r="AF274" s="63"/>
      <c r="AG274" s="63">
        <v>13</v>
      </c>
      <c r="AH274" s="63">
        <v>0</v>
      </c>
      <c r="AI274" s="63">
        <v>2</v>
      </c>
      <c r="AJ274" s="63"/>
      <c r="AK274" s="63">
        <v>0</v>
      </c>
      <c r="AL274" s="63"/>
      <c r="AM274" s="63">
        <v>1</v>
      </c>
      <c r="AN274" s="63">
        <v>0</v>
      </c>
      <c r="AO274" s="63">
        <v>3</v>
      </c>
      <c r="AP274" s="63">
        <v>0</v>
      </c>
      <c r="AQ274" s="63">
        <v>4</v>
      </c>
      <c r="AR274" s="63"/>
      <c r="AS274" s="63"/>
      <c r="AT274" s="63"/>
      <c r="AU274" s="63"/>
      <c r="AW274" s="5">
        <f>IF(Q274&gt;0,RANK(Q274,(N274:P274,Q274:AE274)),0)</f>
        <v>3</v>
      </c>
      <c r="AX274" s="5">
        <f>IF(R274&gt;0,RANK(R274,(N274:P274,Q274:AE274)),0)</f>
        <v>4</v>
      </c>
      <c r="AY274" s="5">
        <f>IF(T274&gt;0,RANK(T274,(N274:P274,Q274:AE274)),0)</f>
        <v>7</v>
      </c>
      <c r="AZ274" s="5">
        <f>IF(S274&gt;0,RANK(S274,(N274:P274,Q274:AE274)),0)</f>
        <v>5</v>
      </c>
      <c r="BA274" s="2">
        <f t="shared" si="115"/>
        <v>4.3072132848988066E-2</v>
      </c>
      <c r="BB274" s="2">
        <f t="shared" si="116"/>
        <v>1.0378827192527244E-2</v>
      </c>
      <c r="BC274" s="2">
        <f t="shared" si="117"/>
        <v>1.0378827192527244E-3</v>
      </c>
      <c r="BD274" s="2">
        <f t="shared" si="118"/>
        <v>6.2272963155163468E-3</v>
      </c>
      <c r="BF274" t="s">
        <v>2962</v>
      </c>
      <c r="BG274" t="s">
        <v>2722</v>
      </c>
      <c r="BH274" s="1">
        <v>4</v>
      </c>
      <c r="BI274" s="1"/>
      <c r="BJ274" s="114">
        <v>8</v>
      </c>
      <c r="BK274" s="116">
        <v>11</v>
      </c>
      <c r="BL274" s="120">
        <f t="shared" si="96"/>
        <v>8011</v>
      </c>
      <c r="BM274" s="1"/>
      <c r="BN274" s="5" t="s">
        <v>3154</v>
      </c>
      <c r="BR274" s="63"/>
      <c r="BZ274" s="63">
        <f t="shared" si="119"/>
        <v>1927</v>
      </c>
      <c r="CD274" s="63">
        <v>0</v>
      </c>
      <c r="CE274" s="63">
        <v>0</v>
      </c>
      <c r="CF274" s="63">
        <v>0</v>
      </c>
      <c r="CG274" s="8">
        <v>0</v>
      </c>
      <c r="CH274" s="8">
        <v>0</v>
      </c>
      <c r="CI274" s="8">
        <v>0</v>
      </c>
    </row>
    <row r="275" spans="1:87" hidden="1" outlineLevel="1">
      <c r="A275" t="s">
        <v>2186</v>
      </c>
      <c r="B275" t="s">
        <v>2722</v>
      </c>
      <c r="C275" s="1">
        <f t="shared" si="110"/>
        <v>188145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5</v>
      </c>
      <c r="G275" s="132">
        <f t="shared" si="106"/>
        <v>90938</v>
      </c>
      <c r="H275" s="137">
        <f t="shared" si="107"/>
        <v>0.48333997714528687</v>
      </c>
      <c r="I275" s="2"/>
      <c r="J275" s="2">
        <f t="shared" si="111"/>
        <v>0.70336176884849455</v>
      </c>
      <c r="K275" s="2">
        <f t="shared" si="112"/>
        <v>0.22002179170320763</v>
      </c>
      <c r="L275" s="2">
        <f t="shared" si="113"/>
        <v>7.8290680060591564E-3</v>
      </c>
      <c r="M275" s="2">
        <f t="shared" si="114"/>
        <v>6.8787371442238662E-2</v>
      </c>
      <c r="N275" s="63">
        <v>132334</v>
      </c>
      <c r="O275" s="63">
        <v>41396</v>
      </c>
      <c r="P275" s="63">
        <v>1473</v>
      </c>
      <c r="Q275" s="63">
        <v>8034</v>
      </c>
      <c r="R275" s="63">
        <v>3733</v>
      </c>
      <c r="S275" s="63">
        <v>502</v>
      </c>
      <c r="T275" s="63">
        <v>59</v>
      </c>
      <c r="U275" s="63">
        <v>33</v>
      </c>
      <c r="V275" s="63">
        <v>30</v>
      </c>
      <c r="W275" s="63">
        <f>IF(Copyright!B$11=1,IF(CA275&gt;0,CA275-Z275,SUM(CC275:CP275)),SUM(CC275:CP275))</f>
        <v>3</v>
      </c>
      <c r="X275" s="63">
        <v>32</v>
      </c>
      <c r="Y275" s="63">
        <v>18</v>
      </c>
      <c r="Z275" s="63"/>
      <c r="AA275" s="63"/>
      <c r="AB275" s="63"/>
      <c r="AC275" s="63"/>
      <c r="AD275" s="63">
        <v>6</v>
      </c>
      <c r="AE275" s="63">
        <v>30</v>
      </c>
      <c r="AF275" s="63"/>
      <c r="AG275" s="63">
        <v>197</v>
      </c>
      <c r="AH275" s="63">
        <v>28</v>
      </c>
      <c r="AI275" s="63">
        <v>17</v>
      </c>
      <c r="AJ275" s="63"/>
      <c r="AK275" s="63">
        <v>23</v>
      </c>
      <c r="AL275" s="63"/>
      <c r="AM275" s="63">
        <v>25</v>
      </c>
      <c r="AN275" s="63">
        <v>63</v>
      </c>
      <c r="AO275" s="63">
        <v>24</v>
      </c>
      <c r="AP275" s="63">
        <v>38</v>
      </c>
      <c r="AQ275" s="63">
        <v>47</v>
      </c>
      <c r="AR275" s="63"/>
      <c r="AS275" s="63"/>
      <c r="AT275" s="63"/>
      <c r="AU275" s="63"/>
      <c r="AW275" s="5">
        <f>IF(Q275&gt;0,RANK(Q275,(N275:P275,Q275:AE275)),0)</f>
        <v>3</v>
      </c>
      <c r="AX275" s="5">
        <f>IF(R275&gt;0,RANK(R275,(N275:P275,Q275:AE275)),0)</f>
        <v>4</v>
      </c>
      <c r="AY275" s="5">
        <f>IF(T275&gt;0,RANK(T275,(N275:P275,Q275:AE275)),0)</f>
        <v>7</v>
      </c>
      <c r="AZ275" s="5">
        <f>IF(S275&gt;0,RANK(S275,(N275:P275,Q275:AE275)),0)</f>
        <v>6</v>
      </c>
      <c r="BA275" s="2">
        <f t="shared" si="115"/>
        <v>4.2701108187833854E-2</v>
      </c>
      <c r="BB275" s="2">
        <f t="shared" si="116"/>
        <v>1.984108001807117E-2</v>
      </c>
      <c r="BC275" s="2">
        <f t="shared" si="117"/>
        <v>3.1358792420739322E-4</v>
      </c>
      <c r="BD275" s="2">
        <f t="shared" si="118"/>
        <v>2.668154880544261E-3</v>
      </c>
      <c r="BF275" t="s">
        <v>2186</v>
      </c>
      <c r="BG275" t="s">
        <v>2722</v>
      </c>
      <c r="BH275" s="1"/>
      <c r="BJ275" s="114">
        <v>8</v>
      </c>
      <c r="BK275" s="116">
        <v>13</v>
      </c>
      <c r="BL275" s="120">
        <f t="shared" si="96"/>
        <v>8013</v>
      </c>
      <c r="BN275" s="5" t="s">
        <v>3154</v>
      </c>
      <c r="BR275" s="63"/>
      <c r="BZ275" s="63">
        <f t="shared" si="119"/>
        <v>188145</v>
      </c>
      <c r="CD275" s="63">
        <v>0</v>
      </c>
      <c r="CE275" s="63">
        <v>0</v>
      </c>
      <c r="CF275" s="63">
        <v>0</v>
      </c>
      <c r="CG275" s="8">
        <v>2</v>
      </c>
      <c r="CH275" s="8">
        <v>0</v>
      </c>
      <c r="CI275" s="8">
        <v>1</v>
      </c>
    </row>
    <row r="276" spans="1:87" hidden="1" outlineLevel="1">
      <c r="A276" t="s">
        <v>64</v>
      </c>
      <c r="B276" t="s">
        <v>2722</v>
      </c>
      <c r="C276" s="1">
        <f t="shared" si="110"/>
        <v>37690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4</v>
      </c>
      <c r="G276" s="132">
        <f t="shared" si="106"/>
        <v>5364</v>
      </c>
      <c r="H276" s="137">
        <f t="shared" si="107"/>
        <v>0.14231891748474396</v>
      </c>
      <c r="I276" s="2"/>
      <c r="J276" s="2">
        <f>IF($C276=0,"-",N276/$C276)</f>
        <v>0.52350756168745027</v>
      </c>
      <c r="K276" s="2">
        <f>IF($C276=0,"-",O276/$C276)</f>
        <v>0.38118864420270626</v>
      </c>
      <c r="L276" s="2">
        <f>IF($C276=0,"-",P276/$C276)</f>
        <v>1.4433536747147785E-2</v>
      </c>
      <c r="M276" s="2">
        <f>IF(C276=0,"-",(1-J276-K276-L276))</f>
        <v>8.087025736269568E-2</v>
      </c>
      <c r="N276" s="63">
        <v>19731</v>
      </c>
      <c r="O276" s="63">
        <v>14367</v>
      </c>
      <c r="P276" s="63">
        <v>544</v>
      </c>
      <c r="Q276" s="63">
        <v>2174</v>
      </c>
      <c r="R276" s="63">
        <v>497</v>
      </c>
      <c r="S276" s="63">
        <v>152</v>
      </c>
      <c r="T276" s="63">
        <v>8</v>
      </c>
      <c r="U276" s="63">
        <v>7</v>
      </c>
      <c r="V276" s="63">
        <v>4</v>
      </c>
      <c r="W276" s="63">
        <f>IF(Copyright!B$11=1,IF(CA276&gt;0,CA276-Z276,SUM(CC276:CP276)),SUM(CC276:CP276))</f>
        <v>1</v>
      </c>
      <c r="X276" s="63">
        <v>8</v>
      </c>
      <c r="Y276" s="63">
        <v>6</v>
      </c>
      <c r="Z276" s="63"/>
      <c r="AA276" s="63"/>
      <c r="AB276" s="63"/>
      <c r="AC276" s="63"/>
      <c r="AD276" s="63">
        <v>2</v>
      </c>
      <c r="AE276" s="63">
        <v>10</v>
      </c>
      <c r="AF276" s="63"/>
      <c r="AG276" s="63">
        <v>70</v>
      </c>
      <c r="AH276" s="63">
        <v>14</v>
      </c>
      <c r="AI276" s="63">
        <v>4</v>
      </c>
      <c r="AJ276" s="63"/>
      <c r="AK276" s="63">
        <v>10</v>
      </c>
      <c r="AL276" s="63"/>
      <c r="AM276" s="63">
        <v>9</v>
      </c>
      <c r="AN276" s="63">
        <v>24</v>
      </c>
      <c r="AO276" s="63">
        <v>9</v>
      </c>
      <c r="AP276" s="63">
        <v>11</v>
      </c>
      <c r="AQ276" s="63">
        <v>28</v>
      </c>
      <c r="AR276" s="63"/>
      <c r="AS276" s="63"/>
      <c r="AT276" s="63"/>
      <c r="AU276" s="63"/>
      <c r="AW276" s="5">
        <f>IF(Q276&gt;0,RANK(Q276,(N276:P276,Q276:AE276)),0)</f>
        <v>3</v>
      </c>
      <c r="AX276" s="5">
        <f>IF(R276&gt;0,RANK(R276,(N276:P276,Q276:AE276)),0)</f>
        <v>5</v>
      </c>
      <c r="AY276" s="5">
        <f>IF(T276&gt;0,RANK(T276,(N276:P276,Q276:AE276)),0)</f>
        <v>8</v>
      </c>
      <c r="AZ276" s="5">
        <f>IF(S276&gt;0,RANK(S276,(N276:P276,Q276:AE276)),0)</f>
        <v>6</v>
      </c>
      <c r="BA276" s="2">
        <f>IF($C276=0,"-",Q276/$C276)</f>
        <v>5.7681082515256034E-2</v>
      </c>
      <c r="BB276" s="2">
        <f>IF($C276=0,"-",R276/$C276)</f>
        <v>1.3186521623772884E-2</v>
      </c>
      <c r="BC276" s="2">
        <f>IF($C276=0,"-",T276/$C276)</f>
        <v>2.122578933404086E-4</v>
      </c>
      <c r="BD276" s="2">
        <f>IF($C276=0,"-",S276/$C276)</f>
        <v>4.0328999734677634E-3</v>
      </c>
      <c r="BF276" t="s">
        <v>64</v>
      </c>
      <c r="BG276" t="s">
        <v>2722</v>
      </c>
      <c r="BH276" s="1">
        <v>2</v>
      </c>
      <c r="BI276" s="1"/>
      <c r="BJ276" s="114">
        <v>8</v>
      </c>
      <c r="BK276" s="116">
        <v>14</v>
      </c>
      <c r="BL276" s="120">
        <f t="shared" si="96"/>
        <v>8014</v>
      </c>
      <c r="BM276" s="1"/>
      <c r="BN276" s="5" t="s">
        <v>3154</v>
      </c>
      <c r="BR276" s="63"/>
      <c r="CD276" s="63">
        <v>0</v>
      </c>
      <c r="CE276" s="63">
        <v>0</v>
      </c>
      <c r="CF276" s="63">
        <v>0</v>
      </c>
      <c r="CG276" s="8">
        <v>1</v>
      </c>
      <c r="CH276" s="8">
        <v>0</v>
      </c>
      <c r="CI276" s="8">
        <v>0</v>
      </c>
    </row>
    <row r="277" spans="1:87" hidden="1" outlineLevel="1">
      <c r="A277" t="s">
        <v>436</v>
      </c>
      <c r="B277" t="s">
        <v>2722</v>
      </c>
      <c r="C277" s="1">
        <f t="shared" si="110"/>
        <v>11250</v>
      </c>
      <c r="D277" s="5">
        <f>IF(N277&gt;0, RANK(N277,(N277:P277,Q277:AE277)),0)</f>
        <v>2</v>
      </c>
      <c r="E277" s="5">
        <f>IF(O277&gt;0,RANK(O277,(N277:P277,Q277:AE277)),0)</f>
        <v>1</v>
      </c>
      <c r="F277" s="5">
        <f>IF(P277&gt;0,RANK(P277,(N277:P277,Q277:AE277)),0)</f>
        <v>5</v>
      </c>
      <c r="G277" s="132">
        <f t="shared" si="106"/>
        <v>503</v>
      </c>
      <c r="H277" s="137">
        <f t="shared" si="107"/>
        <v>4.4711111111111111E-2</v>
      </c>
      <c r="I277" s="2"/>
      <c r="J277" s="2">
        <f t="shared" si="111"/>
        <v>0.43448888888888887</v>
      </c>
      <c r="K277" s="2">
        <f t="shared" si="112"/>
        <v>0.47920000000000001</v>
      </c>
      <c r="L277" s="2">
        <f t="shared" si="113"/>
        <v>8.6222222222222221E-3</v>
      </c>
      <c r="M277" s="2">
        <f t="shared" si="114"/>
        <v>7.7688888888888835E-2</v>
      </c>
      <c r="N277" s="63">
        <v>4888</v>
      </c>
      <c r="O277" s="63">
        <v>5391</v>
      </c>
      <c r="P277" s="63">
        <v>97</v>
      </c>
      <c r="Q277" s="63">
        <v>537</v>
      </c>
      <c r="R277" s="63">
        <v>198</v>
      </c>
      <c r="S277" s="63">
        <v>66</v>
      </c>
      <c r="T277" s="63">
        <v>2</v>
      </c>
      <c r="U277" s="63">
        <v>0</v>
      </c>
      <c r="V277" s="63">
        <v>2</v>
      </c>
      <c r="W277" s="63">
        <f>IF(Copyright!B$11=1,IF(CA277&gt;0,CA277-Z277,SUM(CC277:CP277)),SUM(CC277:CP277))</f>
        <v>0</v>
      </c>
      <c r="X277" s="63">
        <v>4</v>
      </c>
      <c r="Y277" s="63">
        <v>4</v>
      </c>
      <c r="Z277" s="63"/>
      <c r="AA277" s="63"/>
      <c r="AB277" s="63"/>
      <c r="AC277" s="63"/>
      <c r="AD277" s="63">
        <v>1</v>
      </c>
      <c r="AE277" s="63">
        <v>3</v>
      </c>
      <c r="AF277" s="63"/>
      <c r="AG277" s="63">
        <v>23</v>
      </c>
      <c r="AH277" s="63">
        <v>2</v>
      </c>
      <c r="AI277" s="63">
        <v>1</v>
      </c>
      <c r="AJ277" s="63"/>
      <c r="AK277" s="63">
        <v>3</v>
      </c>
      <c r="AL277" s="63"/>
      <c r="AM277" s="63">
        <v>4</v>
      </c>
      <c r="AN277" s="63">
        <v>3</v>
      </c>
      <c r="AO277" s="63">
        <v>2</v>
      </c>
      <c r="AP277" s="63">
        <v>3</v>
      </c>
      <c r="AQ277" s="63">
        <v>16</v>
      </c>
      <c r="AR277" s="63"/>
      <c r="AS277" s="63"/>
      <c r="AT277" s="63"/>
      <c r="AU277" s="63"/>
      <c r="AW277" s="5">
        <f>IF(Q277&gt;0,RANK(Q277,(N277:P277,Q277:AE277)),0)</f>
        <v>3</v>
      </c>
      <c r="AX277" s="5">
        <f>IF(R277&gt;0,RANK(R277,(N277:P277,Q277:AE277)),0)</f>
        <v>4</v>
      </c>
      <c r="AY277" s="5">
        <f>IF(T277&gt;0,RANK(T277,(N277:P277,Q277:AE277)),0)</f>
        <v>10</v>
      </c>
      <c r="AZ277" s="5">
        <f>IF(S277&gt;0,RANK(S277,(N277:P277,Q277:AE277)),0)</f>
        <v>6</v>
      </c>
      <c r="BA277" s="2">
        <f t="shared" si="115"/>
        <v>4.7733333333333336E-2</v>
      </c>
      <c r="BB277" s="2">
        <f t="shared" si="116"/>
        <v>1.7600000000000001E-2</v>
      </c>
      <c r="BC277" s="2">
        <f t="shared" si="117"/>
        <v>1.7777777777777779E-4</v>
      </c>
      <c r="BD277" s="2">
        <f t="shared" si="118"/>
        <v>5.8666666666666667E-3</v>
      </c>
      <c r="BF277" t="s">
        <v>436</v>
      </c>
      <c r="BG277" t="s">
        <v>2722</v>
      </c>
      <c r="BH277" s="1">
        <v>5</v>
      </c>
      <c r="BJ277" s="114">
        <v>8</v>
      </c>
      <c r="BK277" s="116">
        <v>15</v>
      </c>
      <c r="BL277" s="120">
        <f t="shared" si="96"/>
        <v>8015</v>
      </c>
      <c r="BN277" s="5" t="s">
        <v>3154</v>
      </c>
      <c r="BR277" s="63"/>
      <c r="BZ277" s="63">
        <f t="shared" si="119"/>
        <v>11250</v>
      </c>
      <c r="CD277" s="63">
        <v>0</v>
      </c>
      <c r="CE277" s="63">
        <v>0</v>
      </c>
      <c r="CF277" s="63">
        <v>0</v>
      </c>
      <c r="CG277" s="8">
        <v>0</v>
      </c>
      <c r="CH277" s="8">
        <v>0</v>
      </c>
      <c r="CI277" s="8">
        <v>0</v>
      </c>
    </row>
    <row r="278" spans="1:87" hidden="1" outlineLevel="1">
      <c r="A278" t="s">
        <v>2001</v>
      </c>
      <c r="B278" t="s">
        <v>2722</v>
      </c>
      <c r="C278" s="1">
        <f t="shared" si="110"/>
        <v>1102</v>
      </c>
      <c r="D278" s="5">
        <f>IF(N278&gt;0, RANK(N278,(N278:P278,Q278:AE278)),0)</f>
        <v>2</v>
      </c>
      <c r="E278" s="5">
        <f>IF(O278&gt;0,RANK(O278,(N278:P278,Q278:AE278)),0)</f>
        <v>1</v>
      </c>
      <c r="F278" s="5">
        <f>IF(P278&gt;0,RANK(P278,(N278:P278,Q278:AE278)),0)</f>
        <v>0</v>
      </c>
      <c r="G278" s="132">
        <f t="shared" si="106"/>
        <v>793</v>
      </c>
      <c r="H278" s="137">
        <f t="shared" si="107"/>
        <v>0.7196007259528131</v>
      </c>
      <c r="I278" s="2"/>
      <c r="J278" s="2">
        <f t="shared" si="111"/>
        <v>0.11978221415607986</v>
      </c>
      <c r="K278" s="2">
        <f t="shared" si="112"/>
        <v>0.83938294010889292</v>
      </c>
      <c r="L278" s="2">
        <f t="shared" si="113"/>
        <v>0</v>
      </c>
      <c r="M278" s="2">
        <f t="shared" si="114"/>
        <v>4.083484573502727E-2</v>
      </c>
      <c r="N278" s="63">
        <v>132</v>
      </c>
      <c r="O278" s="63">
        <v>925</v>
      </c>
      <c r="P278" s="63">
        <v>0</v>
      </c>
      <c r="Q278" s="63">
        <v>31</v>
      </c>
      <c r="R278" s="63">
        <v>4</v>
      </c>
      <c r="S278" s="63">
        <v>6</v>
      </c>
      <c r="T278" s="63">
        <v>0</v>
      </c>
      <c r="U278" s="63">
        <v>0</v>
      </c>
      <c r="V278" s="63">
        <v>0</v>
      </c>
      <c r="W278" s="63">
        <f>IF(Copyright!B$11=1,IF(CA278&gt;0,CA278-Z278,SUM(CC278:CP278)),SUM(CC278:CP278))</f>
        <v>0</v>
      </c>
      <c r="X278" s="63">
        <v>0</v>
      </c>
      <c r="Y278" s="63">
        <v>0</v>
      </c>
      <c r="Z278" s="63"/>
      <c r="AA278" s="63"/>
      <c r="AB278" s="63"/>
      <c r="AC278" s="63"/>
      <c r="AD278" s="63">
        <v>0</v>
      </c>
      <c r="AE278" s="63">
        <v>1</v>
      </c>
      <c r="AF278" s="63"/>
      <c r="AG278" s="63">
        <v>2</v>
      </c>
      <c r="AH278" s="63">
        <v>0</v>
      </c>
      <c r="AI278" s="63">
        <v>0</v>
      </c>
      <c r="AJ278" s="63"/>
      <c r="AK278" s="63">
        <v>0</v>
      </c>
      <c r="AL278" s="63"/>
      <c r="AM278" s="63">
        <v>0</v>
      </c>
      <c r="AN278" s="63">
        <v>0</v>
      </c>
      <c r="AO278" s="63">
        <v>0</v>
      </c>
      <c r="AP278" s="63">
        <v>0</v>
      </c>
      <c r="AQ278" s="63">
        <v>1</v>
      </c>
      <c r="AR278" s="63"/>
      <c r="AS278" s="63"/>
      <c r="AT278" s="63"/>
      <c r="AU278" s="63"/>
      <c r="AW278" s="5">
        <f>IF(Q278&gt;0,RANK(Q278,(N278:P278,Q278:AE278)),0)</f>
        <v>3</v>
      </c>
      <c r="AX278" s="5">
        <f>IF(R278&gt;0,RANK(R278,(N278:P278,Q278:AE278)),0)</f>
        <v>5</v>
      </c>
      <c r="AY278" s="5">
        <f>IF(T278&gt;0,RANK(T278,(N278:P278,Q278:AE278)),0)</f>
        <v>0</v>
      </c>
      <c r="AZ278" s="5">
        <f>IF(S278&gt;0,RANK(S278,(N278:P278,Q278:AE278)),0)</f>
        <v>4</v>
      </c>
      <c r="BA278" s="2">
        <f t="shared" si="115"/>
        <v>2.8130671506352088E-2</v>
      </c>
      <c r="BB278" s="2">
        <f t="shared" si="116"/>
        <v>3.629764065335753E-3</v>
      </c>
      <c r="BC278" s="2">
        <f t="shared" si="117"/>
        <v>0</v>
      </c>
      <c r="BD278" s="2">
        <f t="shared" si="118"/>
        <v>5.4446460980036296E-3</v>
      </c>
      <c r="BF278" t="s">
        <v>2001</v>
      </c>
      <c r="BG278" t="s">
        <v>2722</v>
      </c>
      <c r="BH278" s="1">
        <v>4</v>
      </c>
      <c r="BJ278" s="114">
        <v>8</v>
      </c>
      <c r="BK278" s="116">
        <v>17</v>
      </c>
      <c r="BL278" s="120">
        <f t="shared" si="96"/>
        <v>8017</v>
      </c>
      <c r="BN278" s="5" t="s">
        <v>3154</v>
      </c>
      <c r="BR278" s="63"/>
      <c r="BZ278" s="63">
        <f t="shared" si="119"/>
        <v>1102</v>
      </c>
      <c r="CD278" s="63">
        <v>0</v>
      </c>
      <c r="CE278" s="63">
        <v>0</v>
      </c>
      <c r="CF278" s="63">
        <v>0</v>
      </c>
      <c r="CG278" s="8">
        <v>0</v>
      </c>
      <c r="CH278" s="8">
        <v>0</v>
      </c>
      <c r="CI278" s="8">
        <v>0</v>
      </c>
    </row>
    <row r="279" spans="1:87" hidden="1" outlineLevel="1">
      <c r="A279" t="s">
        <v>1828</v>
      </c>
      <c r="B279" t="s">
        <v>2722</v>
      </c>
      <c r="C279" s="1">
        <f t="shared" si="110"/>
        <v>5866</v>
      </c>
      <c r="D279" s="5">
        <f>IF(N279&gt;0, RANK(N279,(N279:P279,Q279:AE279)),0)</f>
        <v>1</v>
      </c>
      <c r="E279" s="5">
        <f>IF(O279&gt;0,RANK(O279,(N279:P279,Q279:AE279)),0)</f>
        <v>2</v>
      </c>
      <c r="F279" s="5">
        <f>IF(P279&gt;0,RANK(P279,(N279:P279,Q279:AE279)),0)</f>
        <v>5</v>
      </c>
      <c r="G279" s="132">
        <f t="shared" si="106"/>
        <v>154</v>
      </c>
      <c r="H279" s="137">
        <f t="shared" si="107"/>
        <v>2.6252983293556086E-2</v>
      </c>
      <c r="I279" s="2"/>
      <c r="J279" s="2">
        <f t="shared" si="111"/>
        <v>0.4652233208319127</v>
      </c>
      <c r="K279" s="2">
        <f t="shared" si="112"/>
        <v>0.43897033753835663</v>
      </c>
      <c r="L279" s="2">
        <f t="shared" si="113"/>
        <v>4.9437436072280938E-3</v>
      </c>
      <c r="M279" s="2">
        <f t="shared" si="114"/>
        <v>9.086259802250253E-2</v>
      </c>
      <c r="N279" s="63">
        <v>2729</v>
      </c>
      <c r="O279" s="63">
        <v>2575</v>
      </c>
      <c r="P279" s="63">
        <v>29</v>
      </c>
      <c r="Q279" s="63">
        <v>365</v>
      </c>
      <c r="R279" s="63">
        <v>118</v>
      </c>
      <c r="S279" s="63">
        <v>22</v>
      </c>
      <c r="T279" s="63">
        <v>0</v>
      </c>
      <c r="U279" s="63">
        <v>0</v>
      </c>
      <c r="V279" s="63">
        <v>2</v>
      </c>
      <c r="W279" s="63">
        <f>IF(Copyright!B$11=1,IF(CA279&gt;0,CA279-Z279,SUM(CC279:CP279)),SUM(CC279:CP279))</f>
        <v>0</v>
      </c>
      <c r="X279" s="63">
        <v>0</v>
      </c>
      <c r="Y279" s="63">
        <v>1</v>
      </c>
      <c r="Z279" s="63"/>
      <c r="AA279" s="63"/>
      <c r="AB279" s="63"/>
      <c r="AC279" s="63"/>
      <c r="AD279" s="63">
        <v>0</v>
      </c>
      <c r="AE279" s="63">
        <v>2</v>
      </c>
      <c r="AF279" s="63"/>
      <c r="AG279" s="63">
        <v>10</v>
      </c>
      <c r="AH279" s="63">
        <v>0</v>
      </c>
      <c r="AI279" s="63">
        <v>0</v>
      </c>
      <c r="AJ279" s="63"/>
      <c r="AK279" s="63">
        <v>0</v>
      </c>
      <c r="AL279" s="63"/>
      <c r="AM279" s="63">
        <v>2</v>
      </c>
      <c r="AN279" s="63">
        <v>0</v>
      </c>
      <c r="AO279" s="63">
        <v>1</v>
      </c>
      <c r="AP279" s="63">
        <v>6</v>
      </c>
      <c r="AQ279" s="63">
        <v>4</v>
      </c>
      <c r="AR279" s="63"/>
      <c r="AS279" s="63"/>
      <c r="AT279" s="63"/>
      <c r="AU279" s="63"/>
      <c r="AW279" s="5">
        <f>IF(Q279&gt;0,RANK(Q279,(N279:P279,Q279:AE279)),0)</f>
        <v>3</v>
      </c>
      <c r="AX279" s="5">
        <f>IF(R279&gt;0,RANK(R279,(N279:P279,Q279:AE279)),0)</f>
        <v>4</v>
      </c>
      <c r="AY279" s="5">
        <f>IF(T279&gt;0,RANK(T279,(N279:P279,Q279:AE279)),0)</f>
        <v>0</v>
      </c>
      <c r="AZ279" s="5">
        <f>IF(S279&gt;0,RANK(S279,(N279:P279,Q279:AE279)),0)</f>
        <v>6</v>
      </c>
      <c r="BA279" s="2">
        <f t="shared" si="115"/>
        <v>6.2222979884077739E-2</v>
      </c>
      <c r="BB279" s="2">
        <f t="shared" si="116"/>
        <v>2.0115922263893624E-2</v>
      </c>
      <c r="BC279" s="2">
        <f t="shared" si="117"/>
        <v>0</v>
      </c>
      <c r="BD279" s="2">
        <f t="shared" si="118"/>
        <v>3.7504261847937266E-3</v>
      </c>
      <c r="BF279" t="s">
        <v>1828</v>
      </c>
      <c r="BG279" t="s">
        <v>2722</v>
      </c>
      <c r="BH279" s="1">
        <v>2</v>
      </c>
      <c r="BJ279" s="114">
        <v>8</v>
      </c>
      <c r="BK279" s="116">
        <v>19</v>
      </c>
      <c r="BL279" s="120">
        <f t="shared" si="96"/>
        <v>8019</v>
      </c>
      <c r="BN279" s="5" t="s">
        <v>3154</v>
      </c>
      <c r="BR279" s="63"/>
      <c r="BZ279" s="63">
        <f t="shared" si="119"/>
        <v>5866</v>
      </c>
      <c r="CD279" s="63">
        <v>0</v>
      </c>
      <c r="CE279" s="63">
        <v>0</v>
      </c>
      <c r="CF279" s="63">
        <v>0</v>
      </c>
      <c r="CG279" s="8">
        <v>0</v>
      </c>
      <c r="CH279" s="8">
        <v>0</v>
      </c>
      <c r="CI279" s="8">
        <v>0</v>
      </c>
    </row>
    <row r="280" spans="1:87" hidden="1" outlineLevel="1">
      <c r="A280" t="s">
        <v>2019</v>
      </c>
      <c r="B280" t="s">
        <v>2722</v>
      </c>
      <c r="C280" s="1">
        <f t="shared" si="110"/>
        <v>4022</v>
      </c>
      <c r="D280" s="5">
        <f>IF(N280&gt;0, RANK(N280,(N280:P280,Q280:AE280)),0)</f>
        <v>2</v>
      </c>
      <c r="E280" s="5">
        <f>IF(O280&gt;0,RANK(O280,(N280:P280,Q280:AE280)),0)</f>
        <v>1</v>
      </c>
      <c r="F280" s="5">
        <f>IF(P280&gt;0,RANK(P280,(N280:P280,Q280:AE280)),0)</f>
        <v>4</v>
      </c>
      <c r="G280" s="132">
        <f t="shared" si="106"/>
        <v>143</v>
      </c>
      <c r="H280" s="137">
        <f t="shared" si="107"/>
        <v>3.5554450522128293E-2</v>
      </c>
      <c r="I280" s="2"/>
      <c r="J280" s="2">
        <f t="shared" si="111"/>
        <v>0.44032819492789654</v>
      </c>
      <c r="K280" s="2">
        <f t="shared" si="112"/>
        <v>0.47588264545002484</v>
      </c>
      <c r="L280" s="2">
        <f t="shared" si="113"/>
        <v>2.2128294380905023E-2</v>
      </c>
      <c r="M280" s="2">
        <f t="shared" si="114"/>
        <v>6.166086524117359E-2</v>
      </c>
      <c r="N280" s="63">
        <v>1771</v>
      </c>
      <c r="O280" s="63">
        <v>1914</v>
      </c>
      <c r="P280" s="63">
        <v>89</v>
      </c>
      <c r="Q280" s="63">
        <v>166</v>
      </c>
      <c r="R280" s="63">
        <v>24</v>
      </c>
      <c r="S280" s="63">
        <v>39</v>
      </c>
      <c r="T280" s="63">
        <v>1</v>
      </c>
      <c r="U280" s="63">
        <v>0</v>
      </c>
      <c r="V280" s="63">
        <v>2</v>
      </c>
      <c r="W280" s="63">
        <f>IF(Copyright!B$11=1,IF(CA280&gt;0,CA280-Z280,SUM(CC280:CP280)),SUM(CC280:CP280))</f>
        <v>0</v>
      </c>
      <c r="X280" s="63">
        <v>0</v>
      </c>
      <c r="Y280" s="63">
        <v>0</v>
      </c>
      <c r="Z280" s="63"/>
      <c r="AA280" s="63"/>
      <c r="AB280" s="63"/>
      <c r="AC280" s="63"/>
      <c r="AD280" s="63">
        <v>0</v>
      </c>
      <c r="AE280" s="63">
        <v>0</v>
      </c>
      <c r="AF280" s="63"/>
      <c r="AG280" s="63">
        <v>4</v>
      </c>
      <c r="AH280" s="63">
        <v>0</v>
      </c>
      <c r="AI280" s="63">
        <v>0</v>
      </c>
      <c r="AJ280" s="63"/>
      <c r="AK280" s="63">
        <v>0</v>
      </c>
      <c r="AL280" s="63"/>
      <c r="AM280" s="63">
        <v>5</v>
      </c>
      <c r="AN280" s="63">
        <v>1</v>
      </c>
      <c r="AO280" s="63">
        <v>0</v>
      </c>
      <c r="AP280" s="63">
        <v>5</v>
      </c>
      <c r="AQ280" s="63">
        <v>1</v>
      </c>
      <c r="AR280" s="63"/>
      <c r="AS280" s="63"/>
      <c r="AT280" s="63"/>
      <c r="AU280" s="63"/>
      <c r="AW280" s="5">
        <f>IF(Q280&gt;0,RANK(Q280,(N280:P280,Q280:AE280)),0)</f>
        <v>3</v>
      </c>
      <c r="AX280" s="5">
        <f>IF(R280&gt;0,RANK(R280,(N280:P280,Q280:AE280)),0)</f>
        <v>6</v>
      </c>
      <c r="AY280" s="5">
        <f>IF(T280&gt;0,RANK(T280,(N280:P280,Q280:AE280)),0)</f>
        <v>8</v>
      </c>
      <c r="AZ280" s="5">
        <f>IF(S280&gt;0,RANK(S280,(N280:P280,Q280:AE280)),0)</f>
        <v>5</v>
      </c>
      <c r="BA280" s="2">
        <f t="shared" si="115"/>
        <v>4.1272998508204872E-2</v>
      </c>
      <c r="BB280" s="2">
        <f t="shared" si="116"/>
        <v>5.9671805072103431E-3</v>
      </c>
      <c r="BC280" s="2">
        <f t="shared" si="117"/>
        <v>2.4863252113376428E-4</v>
      </c>
      <c r="BD280" s="2">
        <f t="shared" si="118"/>
        <v>9.6966683242168082E-3</v>
      </c>
      <c r="BF280" t="s">
        <v>2019</v>
      </c>
      <c r="BG280" t="s">
        <v>2722</v>
      </c>
      <c r="BH280" s="1">
        <v>3</v>
      </c>
      <c r="BJ280" s="114">
        <v>8</v>
      </c>
      <c r="BK280" s="116">
        <v>21</v>
      </c>
      <c r="BL280" s="120">
        <f t="shared" si="96"/>
        <v>8021</v>
      </c>
      <c r="BN280" s="5" t="s">
        <v>3154</v>
      </c>
      <c r="BR280" s="63"/>
      <c r="BZ280" s="63">
        <f t="shared" si="119"/>
        <v>4022</v>
      </c>
      <c r="CD280" s="63">
        <v>0</v>
      </c>
      <c r="CE280" s="63">
        <v>0</v>
      </c>
      <c r="CF280" s="63">
        <v>0</v>
      </c>
      <c r="CG280" s="8">
        <v>0</v>
      </c>
      <c r="CH280" s="8">
        <v>0</v>
      </c>
      <c r="CI280" s="8">
        <v>0</v>
      </c>
    </row>
    <row r="281" spans="1:87" hidden="1" outlineLevel="1">
      <c r="A281" t="s">
        <v>401</v>
      </c>
      <c r="B281" t="s">
        <v>2722</v>
      </c>
      <c r="C281" s="1">
        <f t="shared" si="110"/>
        <v>1848</v>
      </c>
      <c r="D281" s="5">
        <f>IF(N281&gt;0, RANK(N281,(N281:P281,Q281:AE281)),0)</f>
        <v>1</v>
      </c>
      <c r="E281" s="5">
        <f>IF(O281&gt;0,RANK(O281,(N281:P281,Q281:AE281)),0)</f>
        <v>2</v>
      </c>
      <c r="F281" s="5">
        <f>IF(P281&gt;0,RANK(P281,(N281:P281,Q281:AE281)),0)</f>
        <v>6</v>
      </c>
      <c r="G281" s="132">
        <f t="shared" si="106"/>
        <v>537</v>
      </c>
      <c r="H281" s="137">
        <f t="shared" si="107"/>
        <v>0.29058441558441561</v>
      </c>
      <c r="I281" s="2"/>
      <c r="J281" s="2">
        <f t="shared" si="111"/>
        <v>0.60876623376623373</v>
      </c>
      <c r="K281" s="2">
        <f t="shared" si="112"/>
        <v>0.31818181818181818</v>
      </c>
      <c r="L281" s="2">
        <f t="shared" si="113"/>
        <v>3.246753246753247E-3</v>
      </c>
      <c r="M281" s="2">
        <f t="shared" si="114"/>
        <v>6.9805194805194842E-2</v>
      </c>
      <c r="N281" s="63">
        <v>1125</v>
      </c>
      <c r="O281" s="63">
        <v>588</v>
      </c>
      <c r="P281" s="63">
        <v>6</v>
      </c>
      <c r="Q281" s="63">
        <v>83</v>
      </c>
      <c r="R281" s="63">
        <v>19</v>
      </c>
      <c r="S281" s="63">
        <v>9</v>
      </c>
      <c r="T281" s="63">
        <v>3</v>
      </c>
      <c r="U281" s="63">
        <v>1</v>
      </c>
      <c r="V281" s="63">
        <v>0</v>
      </c>
      <c r="W281" s="63">
        <f>IF(Copyright!B$11=1,IF(CA281&gt;0,CA281-Z281,SUM(CC281:CP281)),SUM(CC281:CP281))</f>
        <v>0</v>
      </c>
      <c r="X281" s="63">
        <v>0</v>
      </c>
      <c r="Y281" s="63">
        <v>0</v>
      </c>
      <c r="Z281" s="63"/>
      <c r="AA281" s="63"/>
      <c r="AB281" s="63"/>
      <c r="AC281" s="63"/>
      <c r="AD281" s="63">
        <v>0</v>
      </c>
      <c r="AE281" s="63">
        <v>0</v>
      </c>
      <c r="AF281" s="63"/>
      <c r="AG281" s="63">
        <v>6</v>
      </c>
      <c r="AH281" s="63">
        <v>1</v>
      </c>
      <c r="AI281" s="63">
        <v>0</v>
      </c>
      <c r="AJ281" s="63"/>
      <c r="AK281" s="63">
        <v>3</v>
      </c>
      <c r="AL281" s="63"/>
      <c r="AM281" s="63">
        <v>4</v>
      </c>
      <c r="AN281" s="63">
        <v>0</v>
      </c>
      <c r="AO281" s="63">
        <v>0</v>
      </c>
      <c r="AP281" s="63">
        <v>0</v>
      </c>
      <c r="AQ281" s="63">
        <v>0</v>
      </c>
      <c r="AR281" s="63"/>
      <c r="AS281" s="63"/>
      <c r="AT281" s="63"/>
      <c r="AU281" s="63"/>
      <c r="AW281" s="5">
        <f>IF(Q281&gt;0,RANK(Q281,(N281:P281,Q281:AE281)),0)</f>
        <v>3</v>
      </c>
      <c r="AX281" s="5">
        <f>IF(R281&gt;0,RANK(R281,(N281:P281,Q281:AE281)),0)</f>
        <v>4</v>
      </c>
      <c r="AY281" s="5">
        <f>IF(T281&gt;0,RANK(T281,(N281:P281,Q281:AE281)),0)</f>
        <v>7</v>
      </c>
      <c r="AZ281" s="5">
        <f>IF(S281&gt;0,RANK(S281,(N281:P281,Q281:AE281)),0)</f>
        <v>5</v>
      </c>
      <c r="BA281" s="2">
        <f t="shared" si="115"/>
        <v>4.4913419913419912E-2</v>
      </c>
      <c r="BB281" s="2">
        <f t="shared" si="116"/>
        <v>1.0281385281385282E-2</v>
      </c>
      <c r="BC281" s="2">
        <f t="shared" si="117"/>
        <v>1.6233766233766235E-3</v>
      </c>
      <c r="BD281" s="2">
        <f t="shared" si="118"/>
        <v>4.87012987012987E-3</v>
      </c>
      <c r="BF281" t="s">
        <v>401</v>
      </c>
      <c r="BG281" t="s">
        <v>2722</v>
      </c>
      <c r="BH281" s="1">
        <v>3</v>
      </c>
      <c r="BJ281" s="114">
        <v>8</v>
      </c>
      <c r="BK281" s="116">
        <v>23</v>
      </c>
      <c r="BL281" s="120">
        <f t="shared" si="96"/>
        <v>8023</v>
      </c>
      <c r="BN281" s="5" t="s">
        <v>3154</v>
      </c>
      <c r="BR281" s="63"/>
      <c r="BZ281" s="63">
        <f t="shared" si="119"/>
        <v>1848</v>
      </c>
      <c r="CD281" s="63">
        <v>0</v>
      </c>
      <c r="CE281" s="63">
        <v>0</v>
      </c>
      <c r="CF281" s="63">
        <v>0</v>
      </c>
      <c r="CG281" s="8">
        <v>0</v>
      </c>
      <c r="CH281" s="8">
        <v>0</v>
      </c>
      <c r="CI281" s="8">
        <v>0</v>
      </c>
    </row>
    <row r="282" spans="1:87" hidden="1" outlineLevel="1">
      <c r="A282" t="s">
        <v>467</v>
      </c>
      <c r="B282" t="s">
        <v>2722</v>
      </c>
      <c r="C282" s="1">
        <f t="shared" si="110"/>
        <v>1527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6</v>
      </c>
      <c r="G282" s="132">
        <f t="shared" si="106"/>
        <v>740</v>
      </c>
      <c r="H282" s="137">
        <f t="shared" si="107"/>
        <v>0.48461034708578915</v>
      </c>
      <c r="I282" s="2"/>
      <c r="J282" s="2">
        <f t="shared" si="111"/>
        <v>0.22200392927308449</v>
      </c>
      <c r="K282" s="2">
        <f t="shared" si="112"/>
        <v>0.70661427635887364</v>
      </c>
      <c r="L282" s="2">
        <f t="shared" si="113"/>
        <v>4.5841519318926003E-3</v>
      </c>
      <c r="M282" s="2">
        <f t="shared" si="114"/>
        <v>6.6797642436149329E-2</v>
      </c>
      <c r="N282" s="63">
        <v>339</v>
      </c>
      <c r="O282" s="63">
        <v>1079</v>
      </c>
      <c r="P282" s="63">
        <v>7</v>
      </c>
      <c r="Q282" s="63">
        <v>63</v>
      </c>
      <c r="R282" s="63">
        <v>11</v>
      </c>
      <c r="S282" s="63">
        <v>12</v>
      </c>
      <c r="T282" s="63">
        <v>0</v>
      </c>
      <c r="U282" s="63">
        <v>0</v>
      </c>
      <c r="V282" s="63">
        <v>0</v>
      </c>
      <c r="W282" s="63">
        <f>IF(Copyright!B$11=1,IF(CA282&gt;0,CA282-Z282,SUM(CC282:CP282)),SUM(CC282:CP282))</f>
        <v>0</v>
      </c>
      <c r="X282" s="63">
        <v>0</v>
      </c>
      <c r="Y282" s="63">
        <v>0</v>
      </c>
      <c r="Z282" s="63"/>
      <c r="AA282" s="63"/>
      <c r="AB282" s="63"/>
      <c r="AC282" s="63"/>
      <c r="AD282" s="63">
        <v>0</v>
      </c>
      <c r="AE282" s="63">
        <v>0</v>
      </c>
      <c r="AF282" s="63"/>
      <c r="AG282" s="63">
        <v>5</v>
      </c>
      <c r="AH282" s="63">
        <v>2</v>
      </c>
      <c r="AI282" s="63">
        <v>1</v>
      </c>
      <c r="AJ282" s="63"/>
      <c r="AK282" s="63">
        <v>0</v>
      </c>
      <c r="AL282" s="63"/>
      <c r="AM282" s="63">
        <v>2</v>
      </c>
      <c r="AN282" s="63">
        <v>1</v>
      </c>
      <c r="AO282" s="63">
        <v>1</v>
      </c>
      <c r="AP282" s="63">
        <v>1</v>
      </c>
      <c r="AQ282" s="63">
        <v>3</v>
      </c>
      <c r="AR282" s="63"/>
      <c r="AS282" s="63"/>
      <c r="AT282" s="63"/>
      <c r="AU282" s="63"/>
      <c r="AW282" s="5">
        <f>IF(Q282&gt;0,RANK(Q282,(N282:P282,Q282:AE282)),0)</f>
        <v>3</v>
      </c>
      <c r="AX282" s="5">
        <f>IF(R282&gt;0,RANK(R282,(N282:P282,Q282:AE282)),0)</f>
        <v>5</v>
      </c>
      <c r="AY282" s="5">
        <f>IF(T282&gt;0,RANK(T282,(N282:P282,Q282:AE282)),0)</f>
        <v>0</v>
      </c>
      <c r="AZ282" s="5">
        <f>IF(S282&gt;0,RANK(S282,(N282:P282,Q282:AE282)),0)</f>
        <v>4</v>
      </c>
      <c r="BA282" s="2">
        <f t="shared" si="115"/>
        <v>4.1257367387033402E-2</v>
      </c>
      <c r="BB282" s="2">
        <f t="shared" si="116"/>
        <v>7.2036673215455137E-3</v>
      </c>
      <c r="BC282" s="2">
        <f t="shared" si="117"/>
        <v>0</v>
      </c>
      <c r="BD282" s="2">
        <f t="shared" si="118"/>
        <v>7.8585461689587421E-3</v>
      </c>
      <c r="BF282" t="s">
        <v>467</v>
      </c>
      <c r="BG282" t="s">
        <v>2722</v>
      </c>
      <c r="BH282" s="1">
        <v>4</v>
      </c>
      <c r="BJ282" s="114">
        <v>8</v>
      </c>
      <c r="BK282" s="116">
        <v>25</v>
      </c>
      <c r="BL282" s="120">
        <f t="shared" si="96"/>
        <v>8025</v>
      </c>
      <c r="BN282" s="5" t="s">
        <v>3154</v>
      </c>
      <c r="BR282" s="63"/>
      <c r="BZ282" s="63">
        <f t="shared" si="119"/>
        <v>1527</v>
      </c>
      <c r="CD282" s="63">
        <v>0</v>
      </c>
      <c r="CE282" s="63">
        <v>0</v>
      </c>
      <c r="CF282" s="63">
        <v>0</v>
      </c>
      <c r="CG282" s="8">
        <v>0</v>
      </c>
      <c r="CH282" s="8">
        <v>0</v>
      </c>
      <c r="CI282" s="8">
        <v>0</v>
      </c>
    </row>
    <row r="283" spans="1:87" hidden="1" outlineLevel="1">
      <c r="A283" t="s">
        <v>2631</v>
      </c>
      <c r="B283" t="s">
        <v>2722</v>
      </c>
      <c r="C283" s="1">
        <f t="shared" si="110"/>
        <v>3066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6</v>
      </c>
      <c r="G283" s="132">
        <f t="shared" si="106"/>
        <v>1264</v>
      </c>
      <c r="H283" s="137">
        <f t="shared" si="107"/>
        <v>0.41226353555120676</v>
      </c>
      <c r="I283" s="2"/>
      <c r="J283" s="2">
        <f t="shared" si="111"/>
        <v>0.2599478147423353</v>
      </c>
      <c r="K283" s="2">
        <f t="shared" si="112"/>
        <v>0.67221135029354206</v>
      </c>
      <c r="L283" s="2">
        <f t="shared" si="113"/>
        <v>2.9354207436399216E-3</v>
      </c>
      <c r="M283" s="2">
        <f t="shared" si="114"/>
        <v>6.490541422048271E-2</v>
      </c>
      <c r="N283" s="63">
        <v>797</v>
      </c>
      <c r="O283" s="63">
        <v>2061</v>
      </c>
      <c r="P283" s="63">
        <v>9</v>
      </c>
      <c r="Q283" s="63">
        <v>141</v>
      </c>
      <c r="R283" s="63">
        <v>24</v>
      </c>
      <c r="S283" s="63">
        <v>19</v>
      </c>
      <c r="T283" s="63">
        <v>0</v>
      </c>
      <c r="U283" s="63">
        <v>0</v>
      </c>
      <c r="V283" s="63">
        <v>1</v>
      </c>
      <c r="W283" s="63">
        <f>IF(Copyright!B$11=1,IF(CA283&gt;0,CA283-Z283,SUM(CC283:CP283)),SUM(CC283:CP283))</f>
        <v>0</v>
      </c>
      <c r="X283" s="63">
        <v>0</v>
      </c>
      <c r="Y283" s="63">
        <v>0</v>
      </c>
      <c r="Z283" s="63"/>
      <c r="AA283" s="63"/>
      <c r="AB283" s="63"/>
      <c r="AC283" s="63"/>
      <c r="AD283" s="63">
        <v>1</v>
      </c>
      <c r="AE283" s="63">
        <v>0</v>
      </c>
      <c r="AF283" s="63"/>
      <c r="AG283" s="63">
        <v>4</v>
      </c>
      <c r="AH283" s="63">
        <v>2</v>
      </c>
      <c r="AI283" s="63">
        <v>0</v>
      </c>
      <c r="AJ283" s="63"/>
      <c r="AK283" s="63">
        <v>0</v>
      </c>
      <c r="AL283" s="63"/>
      <c r="AM283" s="63">
        <v>0</v>
      </c>
      <c r="AN283" s="63">
        <v>0</v>
      </c>
      <c r="AO283" s="63">
        <v>0</v>
      </c>
      <c r="AP283" s="63">
        <v>1</v>
      </c>
      <c r="AQ283" s="63">
        <v>6</v>
      </c>
      <c r="AR283" s="63"/>
      <c r="AS283" s="63"/>
      <c r="AT283" s="63"/>
      <c r="AU283" s="63"/>
      <c r="AW283" s="5">
        <f>IF(Q283&gt;0,RANK(Q283,(N283:P283,Q283:AE283)),0)</f>
        <v>3</v>
      </c>
      <c r="AX283" s="5">
        <f>IF(R283&gt;0,RANK(R283,(N283:P283,Q283:AE283)),0)</f>
        <v>4</v>
      </c>
      <c r="AY283" s="5">
        <f>IF(T283&gt;0,RANK(T283,(N283:P283,Q283:AE283)),0)</f>
        <v>0</v>
      </c>
      <c r="AZ283" s="5">
        <f>IF(S283&gt;0,RANK(S283,(N283:P283,Q283:AE283)),0)</f>
        <v>5</v>
      </c>
      <c r="BA283" s="2">
        <f t="shared" si="115"/>
        <v>4.5988258317025438E-2</v>
      </c>
      <c r="BB283" s="2">
        <f t="shared" si="116"/>
        <v>7.8277886497064575E-3</v>
      </c>
      <c r="BC283" s="2">
        <f t="shared" si="117"/>
        <v>0</v>
      </c>
      <c r="BD283" s="2">
        <f t="shared" si="118"/>
        <v>6.1969993476842788E-3</v>
      </c>
      <c r="BF283" t="s">
        <v>2631</v>
      </c>
      <c r="BG283" t="s">
        <v>2722</v>
      </c>
      <c r="BH283" s="1">
        <v>3</v>
      </c>
      <c r="BJ283" s="114">
        <v>8</v>
      </c>
      <c r="BK283" s="116">
        <v>27</v>
      </c>
      <c r="BL283" s="120">
        <f t="shared" si="96"/>
        <v>8027</v>
      </c>
      <c r="BN283" s="5" t="s">
        <v>3154</v>
      </c>
      <c r="BR283" s="63"/>
      <c r="BZ283" s="63">
        <f t="shared" si="119"/>
        <v>3066</v>
      </c>
      <c r="CD283" s="63">
        <v>0</v>
      </c>
      <c r="CE283" s="63">
        <v>0</v>
      </c>
      <c r="CF283" s="63">
        <v>0</v>
      </c>
      <c r="CG283" s="8">
        <v>0</v>
      </c>
      <c r="CH283" s="8">
        <v>0</v>
      </c>
      <c r="CI283" s="8">
        <v>0</v>
      </c>
    </row>
    <row r="284" spans="1:87" hidden="1" outlineLevel="1">
      <c r="A284" t="s">
        <v>2632</v>
      </c>
      <c r="B284" t="s">
        <v>2722</v>
      </c>
      <c r="C284" s="1">
        <f t="shared" si="110"/>
        <v>16790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>IF(P284&gt;0,RANK(P284,(N284:P284,Q284:AE284)),0)</f>
        <v>5</v>
      </c>
      <c r="G284" s="132">
        <f t="shared" si="106"/>
        <v>7568</v>
      </c>
      <c r="H284" s="137">
        <f t="shared" si="107"/>
        <v>0.45074449076831447</v>
      </c>
      <c r="I284" s="2"/>
      <c r="J284" s="2">
        <f t="shared" si="111"/>
        <v>0.24341870160810006</v>
      </c>
      <c r="K284" s="2">
        <f t="shared" si="112"/>
        <v>0.69416319237641455</v>
      </c>
      <c r="L284" s="2">
        <f t="shared" si="113"/>
        <v>7.7427039904705182E-3</v>
      </c>
      <c r="M284" s="2">
        <f t="shared" si="114"/>
        <v>5.4675402025014849E-2</v>
      </c>
      <c r="N284" s="63">
        <v>4087</v>
      </c>
      <c r="O284" s="63">
        <v>11655</v>
      </c>
      <c r="P284" s="63">
        <v>130</v>
      </c>
      <c r="Q284" s="63">
        <v>475</v>
      </c>
      <c r="R284" s="63">
        <v>255</v>
      </c>
      <c r="S284" s="63">
        <v>100</v>
      </c>
      <c r="T284" s="63">
        <v>6</v>
      </c>
      <c r="U284" s="63">
        <v>2</v>
      </c>
      <c r="V284" s="63">
        <v>1</v>
      </c>
      <c r="W284" s="63">
        <f>IF(Copyright!B$11=1,IF(CA284&gt;0,CA284-Z284,SUM(CC284:CP284)),SUM(CC284:CP284))</f>
        <v>0</v>
      </c>
      <c r="X284" s="63">
        <v>8</v>
      </c>
      <c r="Y284" s="63">
        <v>3</v>
      </c>
      <c r="Z284" s="63"/>
      <c r="AA284" s="63"/>
      <c r="AB284" s="63"/>
      <c r="AC284" s="63"/>
      <c r="AD284" s="63">
        <v>3</v>
      </c>
      <c r="AE284" s="63">
        <v>0</v>
      </c>
      <c r="AF284" s="63"/>
      <c r="AG284" s="63">
        <v>24</v>
      </c>
      <c r="AH284" s="63">
        <v>10</v>
      </c>
      <c r="AI284" s="63">
        <v>3</v>
      </c>
      <c r="AJ284" s="63"/>
      <c r="AK284" s="63">
        <v>1</v>
      </c>
      <c r="AL284" s="63"/>
      <c r="AM284" s="63">
        <v>4</v>
      </c>
      <c r="AN284" s="63">
        <v>3</v>
      </c>
      <c r="AO284" s="63">
        <v>6</v>
      </c>
      <c r="AP284" s="63">
        <v>3</v>
      </c>
      <c r="AQ284" s="63">
        <v>11</v>
      </c>
      <c r="AR284" s="63"/>
      <c r="AS284" s="63"/>
      <c r="AT284" s="63"/>
      <c r="AU284" s="63"/>
      <c r="AW284" s="5">
        <f>IF(Q284&gt;0,RANK(Q284,(N284:P284,Q284:AE284)),0)</f>
        <v>3</v>
      </c>
      <c r="AX284" s="5">
        <f>IF(R284&gt;0,RANK(R284,(N284:P284,Q284:AE284)),0)</f>
        <v>4</v>
      </c>
      <c r="AY284" s="5">
        <f>IF(T284&gt;0,RANK(T284,(N284:P284,Q284:AE284)),0)</f>
        <v>8</v>
      </c>
      <c r="AZ284" s="5">
        <f>IF(S284&gt;0,RANK(S284,(N284:P284,Q284:AE284)),0)</f>
        <v>6</v>
      </c>
      <c r="BA284" s="2">
        <f t="shared" si="115"/>
        <v>2.8290649195949969E-2</v>
      </c>
      <c r="BB284" s="2">
        <f t="shared" si="116"/>
        <v>1.5187611673615247E-2</v>
      </c>
      <c r="BC284" s="2">
        <f t="shared" si="117"/>
        <v>3.5735556879094697E-4</v>
      </c>
      <c r="BD284" s="2">
        <f t="shared" si="118"/>
        <v>5.9559261465157833E-3</v>
      </c>
      <c r="BF284" t="s">
        <v>2632</v>
      </c>
      <c r="BG284" t="s">
        <v>2722</v>
      </c>
      <c r="BH284" s="1">
        <v>3</v>
      </c>
      <c r="BJ284" s="114">
        <v>8</v>
      </c>
      <c r="BK284" s="116">
        <v>29</v>
      </c>
      <c r="BL284" s="120">
        <f t="shared" si="96"/>
        <v>8029</v>
      </c>
      <c r="BN284" s="5" t="s">
        <v>3154</v>
      </c>
      <c r="BR284" s="63"/>
      <c r="BZ284" s="63">
        <f t="shared" si="119"/>
        <v>16790</v>
      </c>
      <c r="CD284" s="63">
        <v>0</v>
      </c>
      <c r="CE284" s="63">
        <v>0</v>
      </c>
      <c r="CF284" s="63">
        <v>0</v>
      </c>
      <c r="CG284" s="8">
        <v>0</v>
      </c>
      <c r="CH284" s="8">
        <v>0</v>
      </c>
      <c r="CI284" s="8">
        <v>0</v>
      </c>
    </row>
    <row r="285" spans="1:87" hidden="1" outlineLevel="1">
      <c r="A285" t="s">
        <v>781</v>
      </c>
      <c r="B285" t="s">
        <v>2722</v>
      </c>
      <c r="C285" s="1">
        <f t="shared" si="110"/>
        <v>331852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>IF(P285&gt;0,RANK(P285,(N285:P285,Q285:AE285)),0)</f>
        <v>5</v>
      </c>
      <c r="G285" s="132">
        <f t="shared" si="106"/>
        <v>181861</v>
      </c>
      <c r="H285" s="137">
        <f t="shared" si="107"/>
        <v>0.54801839374178851</v>
      </c>
      <c r="I285" s="2"/>
      <c r="J285" s="2">
        <f t="shared" si="111"/>
        <v>0.73692790762146976</v>
      </c>
      <c r="K285" s="2">
        <f t="shared" si="112"/>
        <v>0.1889095138796813</v>
      </c>
      <c r="L285" s="2">
        <f t="shared" si="113"/>
        <v>6.3582560900642456E-3</v>
      </c>
      <c r="M285" s="2">
        <f t="shared" si="114"/>
        <v>6.7804322408784701E-2</v>
      </c>
      <c r="N285" s="63">
        <v>244551</v>
      </c>
      <c r="O285" s="63">
        <v>62690</v>
      </c>
      <c r="P285" s="63">
        <v>2110</v>
      </c>
      <c r="Q285" s="63">
        <v>14861</v>
      </c>
      <c r="R285" s="63">
        <v>5580</v>
      </c>
      <c r="S285" s="63">
        <v>623</v>
      </c>
      <c r="T285" s="63">
        <v>166</v>
      </c>
      <c r="U285" s="63">
        <v>54</v>
      </c>
      <c r="V285" s="63">
        <v>75</v>
      </c>
      <c r="W285" s="63">
        <f>IF(Copyright!B$11=1,IF(CA285&gt;0,CA285-Z285,SUM(CC285:CP285)),SUM(CC285:CP285))</f>
        <v>0</v>
      </c>
      <c r="X285" s="63">
        <v>62</v>
      </c>
      <c r="Y285" s="63">
        <v>75</v>
      </c>
      <c r="Z285" s="63"/>
      <c r="AA285" s="63"/>
      <c r="AB285" s="63"/>
      <c r="AC285" s="63"/>
      <c r="AD285" s="63">
        <v>20</v>
      </c>
      <c r="AE285" s="63">
        <v>43</v>
      </c>
      <c r="AF285" s="63"/>
      <c r="AG285" s="63">
        <v>290</v>
      </c>
      <c r="AH285" s="63">
        <v>110</v>
      </c>
      <c r="AI285" s="63">
        <v>46</v>
      </c>
      <c r="AJ285" s="63"/>
      <c r="AK285" s="63">
        <v>45</v>
      </c>
      <c r="AL285" s="63"/>
      <c r="AM285" s="63">
        <v>83</v>
      </c>
      <c r="AN285" s="63">
        <v>121</v>
      </c>
      <c r="AO285" s="63">
        <v>49</v>
      </c>
      <c r="AP285" s="63">
        <v>76</v>
      </c>
      <c r="AQ285" s="63">
        <v>122</v>
      </c>
      <c r="AR285" s="63"/>
      <c r="AS285" s="63"/>
      <c r="AT285" s="63"/>
      <c r="AU285" s="63"/>
      <c r="AW285" s="5">
        <f>IF(Q285&gt;0,RANK(Q285,(N285:P285,Q285:AE285)),0)</f>
        <v>3</v>
      </c>
      <c r="AX285" s="5">
        <f>IF(R285&gt;0,RANK(R285,(N285:P285,Q285:AE285)),0)</f>
        <v>4</v>
      </c>
      <c r="AY285" s="5">
        <f>IF(T285&gt;0,RANK(T285,(N285:P285,Q285:AE285)),0)</f>
        <v>7</v>
      </c>
      <c r="AZ285" s="5">
        <f>IF(S285&gt;0,RANK(S285,(N285:P285,Q285:AE285)),0)</f>
        <v>6</v>
      </c>
      <c r="BA285" s="2">
        <f t="shared" si="115"/>
        <v>4.4782011258030691E-2</v>
      </c>
      <c r="BB285" s="2">
        <f t="shared" si="116"/>
        <v>1.6814724636283643E-2</v>
      </c>
      <c r="BC285" s="2">
        <f t="shared" si="117"/>
        <v>5.0022299097187903E-4</v>
      </c>
      <c r="BD285" s="2">
        <f t="shared" si="118"/>
        <v>1.8773429119004858E-3</v>
      </c>
      <c r="BF285" t="s">
        <v>781</v>
      </c>
      <c r="BG285" t="s">
        <v>2722</v>
      </c>
      <c r="BH285" s="1">
        <v>1</v>
      </c>
      <c r="BJ285" s="114">
        <v>8</v>
      </c>
      <c r="BK285" s="116">
        <v>31</v>
      </c>
      <c r="BL285" s="120">
        <f t="shared" si="96"/>
        <v>8031</v>
      </c>
      <c r="BN285" s="5" t="s">
        <v>3154</v>
      </c>
      <c r="BR285" s="63"/>
      <c r="CD285" s="63">
        <v>0</v>
      </c>
      <c r="CE285" s="63">
        <v>0</v>
      </c>
      <c r="CF285" s="63">
        <v>0</v>
      </c>
      <c r="CG285" s="8">
        <v>0</v>
      </c>
      <c r="CH285" s="8">
        <v>0</v>
      </c>
      <c r="CI285" s="8">
        <v>0</v>
      </c>
    </row>
    <row r="286" spans="1:87" hidden="1" outlineLevel="1">
      <c r="A286" t="s">
        <v>451</v>
      </c>
      <c r="B286" t="s">
        <v>2722</v>
      </c>
      <c r="C286" s="1">
        <f t="shared" si="110"/>
        <v>1255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5</v>
      </c>
      <c r="G286" s="132">
        <f t="shared" si="106"/>
        <v>702</v>
      </c>
      <c r="H286" s="137">
        <f t="shared" si="107"/>
        <v>0.5593625498007968</v>
      </c>
      <c r="I286" s="2"/>
      <c r="J286" s="2">
        <f t="shared" si="111"/>
        <v>0.19282868525896416</v>
      </c>
      <c r="K286" s="2">
        <f t="shared" si="112"/>
        <v>0.75219123505976093</v>
      </c>
      <c r="L286" s="2">
        <f t="shared" si="113"/>
        <v>8.7649402390438252E-3</v>
      </c>
      <c r="M286" s="2">
        <f t="shared" si="114"/>
        <v>4.6215139442231115E-2</v>
      </c>
      <c r="N286" s="63">
        <v>242</v>
      </c>
      <c r="O286" s="63">
        <v>944</v>
      </c>
      <c r="P286" s="63">
        <v>11</v>
      </c>
      <c r="Q286" s="63">
        <v>31</v>
      </c>
      <c r="R286" s="63">
        <v>13</v>
      </c>
      <c r="S286" s="63">
        <v>7</v>
      </c>
      <c r="T286" s="63">
        <v>0</v>
      </c>
      <c r="U286" s="63">
        <v>0</v>
      </c>
      <c r="V286" s="63">
        <v>1</v>
      </c>
      <c r="W286" s="63">
        <f>IF(Copyright!B$11=1,IF(CA286&gt;0,CA286-Z286,SUM(CC286:CP286)),SUM(CC286:CP286))</f>
        <v>0</v>
      </c>
      <c r="X286" s="63">
        <v>0</v>
      </c>
      <c r="Y286" s="63">
        <v>1</v>
      </c>
      <c r="Z286" s="63"/>
      <c r="AA286" s="63"/>
      <c r="AB286" s="63"/>
      <c r="AC286" s="63"/>
      <c r="AD286" s="63">
        <v>1</v>
      </c>
      <c r="AE286" s="63">
        <v>0</v>
      </c>
      <c r="AF286" s="63"/>
      <c r="AG286" s="63">
        <v>2</v>
      </c>
      <c r="AH286" s="63">
        <v>0</v>
      </c>
      <c r="AI286" s="63">
        <v>1</v>
      </c>
      <c r="AJ286" s="63"/>
      <c r="AK286" s="63">
        <v>1</v>
      </c>
      <c r="AL286" s="63"/>
      <c r="AM286" s="63">
        <v>0</v>
      </c>
      <c r="AN286" s="63">
        <v>0</v>
      </c>
      <c r="AO286" s="63">
        <v>0</v>
      </c>
      <c r="AP286" s="63">
        <v>0</v>
      </c>
      <c r="AQ286" s="63">
        <v>0</v>
      </c>
      <c r="AR286" s="63"/>
      <c r="AS286" s="63"/>
      <c r="AT286" s="63"/>
      <c r="AU286" s="63"/>
      <c r="AW286" s="5">
        <f>IF(Q286&gt;0,RANK(Q286,(N286:P286,Q286:AE286)),0)</f>
        <v>3</v>
      </c>
      <c r="AX286" s="5">
        <f>IF(R286&gt;0,RANK(R286,(N286:P286,Q286:AE286)),0)</f>
        <v>4</v>
      </c>
      <c r="AY286" s="5">
        <f>IF(T286&gt;0,RANK(T286,(N286:P286,Q286:AE286)),0)</f>
        <v>0</v>
      </c>
      <c r="AZ286" s="5">
        <f>IF(S286&gt;0,RANK(S286,(N286:P286,Q286:AE286)),0)</f>
        <v>6</v>
      </c>
      <c r="BA286" s="2">
        <f t="shared" si="115"/>
        <v>2.4701195219123506E-2</v>
      </c>
      <c r="BB286" s="2">
        <f t="shared" si="116"/>
        <v>1.0358565737051793E-2</v>
      </c>
      <c r="BC286" s="2">
        <f t="shared" si="117"/>
        <v>0</v>
      </c>
      <c r="BD286" s="2">
        <f t="shared" si="118"/>
        <v>5.5776892430278889E-3</v>
      </c>
      <c r="BF286" t="s">
        <v>451</v>
      </c>
      <c r="BG286" t="s">
        <v>2722</v>
      </c>
      <c r="BH286" s="1">
        <v>3</v>
      </c>
      <c r="BJ286" s="114">
        <v>8</v>
      </c>
      <c r="BK286" s="116">
        <v>33</v>
      </c>
      <c r="BL286" s="120">
        <f t="shared" si="96"/>
        <v>8033</v>
      </c>
      <c r="BN286" s="5" t="s">
        <v>3154</v>
      </c>
      <c r="BR286" s="63"/>
      <c r="BZ286" s="63">
        <f t="shared" si="119"/>
        <v>1255</v>
      </c>
      <c r="CD286" s="63">
        <v>0</v>
      </c>
      <c r="CE286" s="63">
        <v>0</v>
      </c>
      <c r="CF286" s="63">
        <v>0</v>
      </c>
      <c r="CG286" s="8">
        <v>0</v>
      </c>
      <c r="CH286" s="8">
        <v>0</v>
      </c>
      <c r="CI286" s="8">
        <v>0</v>
      </c>
    </row>
    <row r="287" spans="1:87" hidden="1" outlineLevel="1">
      <c r="A287" t="s">
        <v>1148</v>
      </c>
      <c r="B287" t="s">
        <v>2722</v>
      </c>
      <c r="C287" s="1">
        <f t="shared" si="110"/>
        <v>187500</v>
      </c>
      <c r="D287" s="5">
        <f>IF(N287&gt;0, RANK(N287,(N287:P287,Q287:AE287)),0)</f>
        <v>2</v>
      </c>
      <c r="E287" s="5">
        <f>IF(O287&gt;0,RANK(O287,(N287:P287,Q287:AE287)),0)</f>
        <v>1</v>
      </c>
      <c r="F287" s="5">
        <f>IF(P287&gt;0,RANK(P287,(N287:P287,Q287:AE287)),0)</f>
        <v>4</v>
      </c>
      <c r="G287" s="132">
        <f t="shared" si="106"/>
        <v>33916</v>
      </c>
      <c r="H287" s="137">
        <f t="shared" si="107"/>
        <v>0.18088533333333334</v>
      </c>
      <c r="I287" s="2"/>
      <c r="J287" s="2">
        <f t="shared" si="111"/>
        <v>0.36617066666666664</v>
      </c>
      <c r="K287" s="2">
        <f t="shared" si="112"/>
        <v>0.54705599999999999</v>
      </c>
      <c r="L287" s="2">
        <f t="shared" si="113"/>
        <v>1.6544E-2</v>
      </c>
      <c r="M287" s="2">
        <f t="shared" si="114"/>
        <v>7.0229333333333366E-2</v>
      </c>
      <c r="N287" s="63">
        <v>68657</v>
      </c>
      <c r="O287" s="63">
        <v>102573</v>
      </c>
      <c r="P287" s="63">
        <v>3102</v>
      </c>
      <c r="Q287" s="63">
        <v>10212</v>
      </c>
      <c r="R287" s="63">
        <v>1477</v>
      </c>
      <c r="S287" s="63">
        <v>695</v>
      </c>
      <c r="T287" s="63">
        <v>45</v>
      </c>
      <c r="U287" s="63">
        <v>12</v>
      </c>
      <c r="V287" s="63">
        <v>10</v>
      </c>
      <c r="W287" s="63">
        <f>IF(Copyright!B$11=1,IF(CA287&gt;0,CA287-Z287,SUM(CC287:CP287)),SUM(CC287:CP287))</f>
        <v>1</v>
      </c>
      <c r="X287" s="63">
        <v>13</v>
      </c>
      <c r="Y287" s="63">
        <v>37</v>
      </c>
      <c r="Z287" s="63"/>
      <c r="AA287" s="63"/>
      <c r="AB287" s="63"/>
      <c r="AC287" s="63"/>
      <c r="AD287" s="63">
        <v>7</v>
      </c>
      <c r="AE287" s="63">
        <v>29</v>
      </c>
      <c r="AF287" s="63"/>
      <c r="AG287" s="63">
        <v>253</v>
      </c>
      <c r="AH287" s="63">
        <v>64</v>
      </c>
      <c r="AI287" s="63">
        <v>15</v>
      </c>
      <c r="AJ287" s="63"/>
      <c r="AK287" s="63">
        <v>13</v>
      </c>
      <c r="AL287" s="63"/>
      <c r="AM287" s="63">
        <v>38</v>
      </c>
      <c r="AN287" s="63">
        <v>52</v>
      </c>
      <c r="AO287" s="63">
        <v>40</v>
      </c>
      <c r="AP287" s="63">
        <v>51</v>
      </c>
      <c r="AQ287" s="63">
        <v>104</v>
      </c>
      <c r="AR287" s="63"/>
      <c r="AS287" s="63"/>
      <c r="AT287" s="63"/>
      <c r="AU287" s="63"/>
      <c r="AW287" s="5">
        <f>IF(Q287&gt;0,RANK(Q287,(N287:P287,Q287:AE287)),0)</f>
        <v>3</v>
      </c>
      <c r="AX287" s="5">
        <f>IF(R287&gt;0,RANK(R287,(N287:P287,Q287:AE287)),0)</f>
        <v>5</v>
      </c>
      <c r="AY287" s="5">
        <f>IF(T287&gt;0,RANK(T287,(N287:P287,Q287:AE287)),0)</f>
        <v>7</v>
      </c>
      <c r="AZ287" s="5">
        <f>IF(S287&gt;0,RANK(S287,(N287:P287,Q287:AE287)),0)</f>
        <v>6</v>
      </c>
      <c r="BA287" s="2">
        <f t="shared" si="115"/>
        <v>5.4463999999999999E-2</v>
      </c>
      <c r="BB287" s="2">
        <f t="shared" si="116"/>
        <v>7.8773333333333334E-3</v>
      </c>
      <c r="BC287" s="2">
        <f t="shared" si="117"/>
        <v>2.4000000000000001E-4</v>
      </c>
      <c r="BD287" s="2">
        <f t="shared" si="118"/>
        <v>3.7066666666666667E-3</v>
      </c>
      <c r="BF287" t="s">
        <v>1148</v>
      </c>
      <c r="BG287" t="s">
        <v>2722</v>
      </c>
      <c r="BH287" s="1"/>
      <c r="BJ287" s="114">
        <v>8</v>
      </c>
      <c r="BK287" s="116">
        <v>35</v>
      </c>
      <c r="BL287" s="120">
        <f t="shared" si="96"/>
        <v>8035</v>
      </c>
      <c r="BN287" s="5" t="s">
        <v>3154</v>
      </c>
      <c r="BR287" s="63"/>
      <c r="BZ287" s="63">
        <f t="shared" si="119"/>
        <v>187500</v>
      </c>
      <c r="CD287" s="63">
        <v>0</v>
      </c>
      <c r="CE287" s="63">
        <v>0</v>
      </c>
      <c r="CF287" s="63">
        <v>1</v>
      </c>
      <c r="CG287" s="8">
        <v>0</v>
      </c>
      <c r="CH287" s="8">
        <v>0</v>
      </c>
      <c r="CI287" s="8">
        <v>0</v>
      </c>
    </row>
    <row r="288" spans="1:87" hidden="1" outlineLevel="1">
      <c r="A288" t="s">
        <v>968</v>
      </c>
      <c r="B288" t="s">
        <v>2722</v>
      </c>
      <c r="C288" s="1">
        <f t="shared" si="110"/>
        <v>25223</v>
      </c>
      <c r="D288" s="5">
        <f>IF(N288&gt;0, RANK(N288,(N288:P288,Q288:AE288)),0)</f>
        <v>1</v>
      </c>
      <c r="E288" s="5">
        <f>IF(O288&gt;0,RANK(O288,(N288:P288,Q288:AE288)),0)</f>
        <v>2</v>
      </c>
      <c r="F288" s="5">
        <f>IF(P288&gt;0,RANK(P288,(N288:P288,Q288:AE288)),0)</f>
        <v>5</v>
      </c>
      <c r="G288" s="132">
        <f t="shared" si="106"/>
        <v>5109</v>
      </c>
      <c r="H288" s="137">
        <f t="shared" si="107"/>
        <v>0.20255322523094002</v>
      </c>
      <c r="I288" s="2"/>
      <c r="J288" s="2">
        <f t="shared" si="111"/>
        <v>0.55897395234508185</v>
      </c>
      <c r="K288" s="2">
        <f t="shared" si="112"/>
        <v>0.35642072711414186</v>
      </c>
      <c r="L288" s="2">
        <f t="shared" si="113"/>
        <v>6.5416484954208464E-3</v>
      </c>
      <c r="M288" s="2">
        <f t="shared" si="114"/>
        <v>7.8063672045355456E-2</v>
      </c>
      <c r="N288" s="63">
        <v>14099</v>
      </c>
      <c r="O288" s="63">
        <v>8990</v>
      </c>
      <c r="P288" s="63">
        <v>165</v>
      </c>
      <c r="Q288" s="63">
        <v>1368</v>
      </c>
      <c r="R288" s="63">
        <v>423</v>
      </c>
      <c r="S288" s="63">
        <v>62</v>
      </c>
      <c r="T288" s="63">
        <v>18</v>
      </c>
      <c r="U288" s="63">
        <v>2</v>
      </c>
      <c r="V288" s="63">
        <v>7</v>
      </c>
      <c r="W288" s="63">
        <f>IF(Copyright!B$11=1,IF(CA288&gt;0,CA288-Z288,SUM(CC288:CP288)),SUM(CC288:CP288))</f>
        <v>0</v>
      </c>
      <c r="X288" s="63">
        <v>7</v>
      </c>
      <c r="Y288" s="63">
        <v>4</v>
      </c>
      <c r="Z288" s="63"/>
      <c r="AA288" s="63"/>
      <c r="AB288" s="63"/>
      <c r="AC288" s="63"/>
      <c r="AD288" s="63">
        <v>0</v>
      </c>
      <c r="AE288" s="63">
        <v>6</v>
      </c>
      <c r="AF288" s="63"/>
      <c r="AG288" s="63">
        <v>30</v>
      </c>
      <c r="AH288" s="63">
        <v>6</v>
      </c>
      <c r="AI288" s="63">
        <v>1</v>
      </c>
      <c r="AJ288" s="63"/>
      <c r="AK288" s="63">
        <v>1</v>
      </c>
      <c r="AL288" s="63"/>
      <c r="AM288" s="63">
        <v>5</v>
      </c>
      <c r="AN288" s="63">
        <v>2</v>
      </c>
      <c r="AO288" s="63">
        <v>2</v>
      </c>
      <c r="AP288" s="63">
        <v>12</v>
      </c>
      <c r="AQ288" s="63">
        <v>13</v>
      </c>
      <c r="AR288" s="63"/>
      <c r="AS288" s="63"/>
      <c r="AT288" s="63"/>
      <c r="AU288" s="63"/>
      <c r="AW288" s="5">
        <f>IF(Q288&gt;0,RANK(Q288,(N288:P288,Q288:AE288)),0)</f>
        <v>3</v>
      </c>
      <c r="AX288" s="5">
        <f>IF(R288&gt;0,RANK(R288,(N288:P288,Q288:AE288)),0)</f>
        <v>4</v>
      </c>
      <c r="AY288" s="5">
        <f>IF(T288&gt;0,RANK(T288,(N288:P288,Q288:AE288)),0)</f>
        <v>7</v>
      </c>
      <c r="AZ288" s="5">
        <f>IF(S288&gt;0,RANK(S288,(N288:P288,Q288:AE288)),0)</f>
        <v>6</v>
      </c>
      <c r="BA288" s="2">
        <f t="shared" si="115"/>
        <v>5.4236212980216469E-2</v>
      </c>
      <c r="BB288" s="2">
        <f t="shared" si="116"/>
        <v>1.6770407960987988E-2</v>
      </c>
      <c r="BC288" s="2">
        <f t="shared" si="117"/>
        <v>7.1363438131863779E-4</v>
      </c>
      <c r="BD288" s="2">
        <f t="shared" si="118"/>
        <v>2.4580739800975299E-3</v>
      </c>
      <c r="BF288" t="s">
        <v>968</v>
      </c>
      <c r="BG288" t="s">
        <v>2722</v>
      </c>
      <c r="BH288" s="1"/>
      <c r="BJ288" s="114">
        <v>8</v>
      </c>
      <c r="BK288" s="116">
        <v>37</v>
      </c>
      <c r="BL288" s="120">
        <f t="shared" si="96"/>
        <v>8037</v>
      </c>
      <c r="BN288" s="5" t="s">
        <v>3154</v>
      </c>
      <c r="BR288" s="63"/>
      <c r="BZ288" s="63">
        <f t="shared" si="119"/>
        <v>25223</v>
      </c>
      <c r="CD288" s="63">
        <v>0</v>
      </c>
      <c r="CE288" s="63">
        <v>0</v>
      </c>
      <c r="CF288" s="63">
        <v>0</v>
      </c>
      <c r="CG288" s="8">
        <v>0</v>
      </c>
      <c r="CH288" s="8">
        <v>0</v>
      </c>
      <c r="CI288" s="8">
        <v>0</v>
      </c>
    </row>
    <row r="289" spans="1:87" hidden="1" outlineLevel="1">
      <c r="A289" t="s">
        <v>468</v>
      </c>
      <c r="B289" t="s">
        <v>2722</v>
      </c>
      <c r="C289" s="1">
        <f t="shared" si="110"/>
        <v>15980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4</v>
      </c>
      <c r="G289" s="132">
        <f t="shared" si="106"/>
        <v>8571</v>
      </c>
      <c r="H289" s="137">
        <f t="shared" si="107"/>
        <v>0.53635794743429288</v>
      </c>
      <c r="I289" s="2"/>
      <c r="J289" s="2">
        <f t="shared" si="111"/>
        <v>0.19612015018773468</v>
      </c>
      <c r="K289" s="2">
        <f t="shared" si="112"/>
        <v>0.73247809762202754</v>
      </c>
      <c r="L289" s="2">
        <f t="shared" si="113"/>
        <v>1.0638297872340425E-2</v>
      </c>
      <c r="M289" s="2">
        <f t="shared" si="114"/>
        <v>6.0763454317897383E-2</v>
      </c>
      <c r="N289" s="63">
        <v>3134</v>
      </c>
      <c r="O289" s="63">
        <v>11705</v>
      </c>
      <c r="P289" s="63">
        <v>170</v>
      </c>
      <c r="Q289" s="63">
        <v>666</v>
      </c>
      <c r="R289" s="63">
        <v>138</v>
      </c>
      <c r="S289" s="63">
        <v>92</v>
      </c>
      <c r="T289" s="63">
        <v>2</v>
      </c>
      <c r="U289" s="63">
        <v>0</v>
      </c>
      <c r="V289" s="63">
        <v>1</v>
      </c>
      <c r="W289" s="63">
        <f>IF(Copyright!B$11=1,IF(CA289&gt;0,CA289-Z289,SUM(CC289:CP289)),SUM(CC289:CP289))</f>
        <v>2</v>
      </c>
      <c r="X289" s="63">
        <v>3</v>
      </c>
      <c r="Y289" s="63">
        <v>4</v>
      </c>
      <c r="Z289" s="63"/>
      <c r="AA289" s="63"/>
      <c r="AB289" s="63"/>
      <c r="AC289" s="63"/>
      <c r="AD289" s="63">
        <v>2</v>
      </c>
      <c r="AE289" s="63">
        <v>1</v>
      </c>
      <c r="AF289" s="63"/>
      <c r="AG289" s="63">
        <v>33</v>
      </c>
      <c r="AH289" s="63">
        <v>5</v>
      </c>
      <c r="AI289" s="63">
        <v>0</v>
      </c>
      <c r="AJ289" s="63"/>
      <c r="AK289" s="63">
        <v>1</v>
      </c>
      <c r="AL289" s="63"/>
      <c r="AM289" s="63">
        <v>0</v>
      </c>
      <c r="AN289" s="63">
        <v>2</v>
      </c>
      <c r="AO289" s="63">
        <v>1</v>
      </c>
      <c r="AP289" s="63">
        <v>6</v>
      </c>
      <c r="AQ289" s="63">
        <v>12</v>
      </c>
      <c r="AR289" s="63"/>
      <c r="AS289" s="63"/>
      <c r="AT289" s="63"/>
      <c r="AU289" s="63"/>
      <c r="AW289" s="5">
        <f>IF(Q289&gt;0,RANK(Q289,(N289:P289,Q289:AE289)),0)</f>
        <v>3</v>
      </c>
      <c r="AX289" s="5">
        <f>IF(R289&gt;0,RANK(R289,(N289:P289,Q289:AE289)),0)</f>
        <v>5</v>
      </c>
      <c r="AY289" s="5">
        <f>IF(T289&gt;0,RANK(T289,(N289:P289,Q289:AE289)),0)</f>
        <v>9</v>
      </c>
      <c r="AZ289" s="5">
        <f>IF(S289&gt;0,RANK(S289,(N289:P289,Q289:AE289)),0)</f>
        <v>6</v>
      </c>
      <c r="BA289" s="2">
        <f t="shared" si="115"/>
        <v>4.1677096370463081E-2</v>
      </c>
      <c r="BB289" s="2">
        <f t="shared" si="116"/>
        <v>8.6357947434292873E-3</v>
      </c>
      <c r="BC289" s="2">
        <f t="shared" si="117"/>
        <v>1.2515644555694618E-4</v>
      </c>
      <c r="BD289" s="2">
        <f t="shared" si="118"/>
        <v>5.7571964956195246E-3</v>
      </c>
      <c r="BF289" t="s">
        <v>468</v>
      </c>
      <c r="BG289" t="s">
        <v>2722</v>
      </c>
      <c r="BH289" s="1">
        <v>4</v>
      </c>
      <c r="BJ289" s="114">
        <v>8</v>
      </c>
      <c r="BK289" s="116">
        <v>39</v>
      </c>
      <c r="BL289" s="120">
        <f t="shared" si="96"/>
        <v>8039</v>
      </c>
      <c r="BN289" s="5" t="s">
        <v>3154</v>
      </c>
      <c r="BR289" s="63"/>
      <c r="BZ289" s="63">
        <f t="shared" si="119"/>
        <v>15980</v>
      </c>
      <c r="CD289" s="63">
        <v>0</v>
      </c>
      <c r="CE289" s="63">
        <v>0</v>
      </c>
      <c r="CF289" s="63">
        <v>0</v>
      </c>
      <c r="CG289" s="8">
        <v>2</v>
      </c>
      <c r="CH289" s="8">
        <v>0</v>
      </c>
      <c r="CI289" s="8">
        <v>0</v>
      </c>
    </row>
    <row r="290" spans="1:87" hidden="1" outlineLevel="1">
      <c r="A290" t="s">
        <v>992</v>
      </c>
      <c r="B290" t="s">
        <v>2722</v>
      </c>
      <c r="C290" s="1">
        <f t="shared" si="110"/>
        <v>318968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4</v>
      </c>
      <c r="G290" s="132">
        <f t="shared" si="106"/>
        <v>71218</v>
      </c>
      <c r="H290" s="137">
        <f t="shared" si="107"/>
        <v>0.22327631611948534</v>
      </c>
      <c r="I290" s="2"/>
      <c r="J290" s="2">
        <f t="shared" si="111"/>
        <v>0.33862331017531538</v>
      </c>
      <c r="K290" s="2">
        <f t="shared" si="112"/>
        <v>0.56189962629480072</v>
      </c>
      <c r="L290" s="2">
        <f t="shared" si="113"/>
        <v>1.3405733490506885E-2</v>
      </c>
      <c r="M290" s="2">
        <f t="shared" si="114"/>
        <v>8.6071330039377059E-2</v>
      </c>
      <c r="N290" s="63">
        <v>108010</v>
      </c>
      <c r="O290" s="63">
        <v>179228</v>
      </c>
      <c r="P290" s="63">
        <v>4276</v>
      </c>
      <c r="Q290" s="63">
        <v>19877</v>
      </c>
      <c r="R290" s="63">
        <v>4093</v>
      </c>
      <c r="S290" s="63">
        <v>1436</v>
      </c>
      <c r="T290" s="63">
        <v>112</v>
      </c>
      <c r="U290" s="63">
        <v>34</v>
      </c>
      <c r="V290" s="63">
        <v>58</v>
      </c>
      <c r="W290" s="63">
        <f>IF(Copyright!B$11=1,IF(CA290&gt;0,CA290-Z290,SUM(CC290:CP290)),SUM(CC290:CP290))</f>
        <v>1</v>
      </c>
      <c r="X290" s="63">
        <v>40</v>
      </c>
      <c r="Y290" s="63">
        <v>92</v>
      </c>
      <c r="Z290" s="63"/>
      <c r="AA290" s="63"/>
      <c r="AB290" s="63"/>
      <c r="AC290" s="63"/>
      <c r="AD290" s="63">
        <v>20</v>
      </c>
      <c r="AE290" s="63">
        <v>51</v>
      </c>
      <c r="AF290" s="63"/>
      <c r="AG290" s="63">
        <v>724</v>
      </c>
      <c r="AH290" s="63">
        <v>126</v>
      </c>
      <c r="AI290" s="63">
        <v>29</v>
      </c>
      <c r="AJ290" s="63"/>
      <c r="AK290" s="63">
        <v>52</v>
      </c>
      <c r="AL290" s="63"/>
      <c r="AM290" s="63">
        <v>131</v>
      </c>
      <c r="AN290" s="63">
        <v>94</v>
      </c>
      <c r="AO290" s="63">
        <v>87</v>
      </c>
      <c r="AP290" s="63">
        <v>79</v>
      </c>
      <c r="AQ290" s="63">
        <v>318</v>
      </c>
      <c r="AR290" s="63"/>
      <c r="AS290" s="63"/>
      <c r="AT290" s="63"/>
      <c r="AU290" s="63"/>
      <c r="AW290" s="5">
        <f>IF(Q290&gt;0,RANK(Q290,(N290:P290,Q290:AE290)),0)</f>
        <v>3</v>
      </c>
      <c r="AX290" s="5">
        <f>IF(R290&gt;0,RANK(R290,(N290:P290,Q290:AE290)),0)</f>
        <v>5</v>
      </c>
      <c r="AY290" s="5">
        <f>IF(T290&gt;0,RANK(T290,(N290:P290,Q290:AE290)),0)</f>
        <v>7</v>
      </c>
      <c r="AZ290" s="5">
        <f>IF(S290&gt;0,RANK(S290,(N290:P290,Q290:AE290)),0)</f>
        <v>6</v>
      </c>
      <c r="BA290" s="2">
        <f t="shared" si="115"/>
        <v>6.2316596022171503E-2</v>
      </c>
      <c r="BB290" s="2">
        <f t="shared" si="116"/>
        <v>1.2832008226530561E-2</v>
      </c>
      <c r="BC290" s="2">
        <f t="shared" si="117"/>
        <v>3.5113240199643851E-4</v>
      </c>
      <c r="BD290" s="2">
        <f t="shared" si="118"/>
        <v>4.5020190113114799E-3</v>
      </c>
      <c r="BF290" t="s">
        <v>992</v>
      </c>
      <c r="BG290" t="s">
        <v>2722</v>
      </c>
      <c r="BH290" s="1">
        <v>5</v>
      </c>
      <c r="BJ290" s="114">
        <v>8</v>
      </c>
      <c r="BK290" s="116">
        <v>41</v>
      </c>
      <c r="BL290" s="120">
        <f t="shared" si="96"/>
        <v>8041</v>
      </c>
      <c r="BN290" s="5" t="s">
        <v>3154</v>
      </c>
      <c r="BR290" s="63"/>
      <c r="BZ290" s="63">
        <f t="shared" si="119"/>
        <v>318968</v>
      </c>
      <c r="CD290" s="63">
        <v>0</v>
      </c>
      <c r="CE290" s="63">
        <v>1</v>
      </c>
      <c r="CF290" s="63">
        <v>0</v>
      </c>
      <c r="CG290" s="8">
        <v>0</v>
      </c>
      <c r="CH290" s="8">
        <v>0</v>
      </c>
      <c r="CI290" s="8">
        <v>0</v>
      </c>
    </row>
    <row r="291" spans="1:87" hidden="1" outlineLevel="1">
      <c r="A291" t="s">
        <v>1757</v>
      </c>
      <c r="B291" t="s">
        <v>2722</v>
      </c>
      <c r="C291" s="1">
        <f t="shared" si="110"/>
        <v>21973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>IF(P291&gt;0,RANK(P291,(N291:P291,Q291:AE291)),0)</f>
        <v>6</v>
      </c>
      <c r="G291" s="132">
        <f t="shared" si="106"/>
        <v>9825</v>
      </c>
      <c r="H291" s="137">
        <f t="shared" si="107"/>
        <v>0.44713967141491828</v>
      </c>
      <c r="I291" s="2"/>
      <c r="J291" s="2">
        <f t="shared" si="111"/>
        <v>0.24106858417148319</v>
      </c>
      <c r="K291" s="2">
        <f t="shared" si="112"/>
        <v>0.68820825558640153</v>
      </c>
      <c r="L291" s="2">
        <f t="shared" si="113"/>
        <v>6.0528830837846444E-3</v>
      </c>
      <c r="M291" s="2">
        <f t="shared" si="114"/>
        <v>6.4670277158330583E-2</v>
      </c>
      <c r="N291" s="63">
        <v>5297</v>
      </c>
      <c r="O291" s="63">
        <v>15122</v>
      </c>
      <c r="P291" s="63">
        <v>133</v>
      </c>
      <c r="Q291" s="63">
        <v>890</v>
      </c>
      <c r="R291" s="63">
        <v>243</v>
      </c>
      <c r="S291" s="63">
        <v>142</v>
      </c>
      <c r="T291" s="63">
        <v>6</v>
      </c>
      <c r="U291" s="63">
        <v>2</v>
      </c>
      <c r="V291" s="63">
        <v>7</v>
      </c>
      <c r="W291" s="63">
        <f>IF(Copyright!B$11=1,IF(CA291&gt;0,CA291-Z291,SUM(CC291:CP291)),SUM(CC291:CP291))</f>
        <v>0</v>
      </c>
      <c r="X291" s="63">
        <v>2</v>
      </c>
      <c r="Y291" s="63">
        <v>7</v>
      </c>
      <c r="Z291" s="63"/>
      <c r="AA291" s="63"/>
      <c r="AB291" s="63"/>
      <c r="AC291" s="63"/>
      <c r="AD291" s="63">
        <v>1</v>
      </c>
      <c r="AE291" s="63">
        <v>3</v>
      </c>
      <c r="AF291" s="63"/>
      <c r="AG291" s="63">
        <v>56</v>
      </c>
      <c r="AH291" s="63">
        <v>7</v>
      </c>
      <c r="AI291" s="63">
        <v>1</v>
      </c>
      <c r="AJ291" s="63"/>
      <c r="AK291" s="63">
        <v>2</v>
      </c>
      <c r="AL291" s="63"/>
      <c r="AM291" s="63">
        <v>8</v>
      </c>
      <c r="AN291" s="63">
        <v>6</v>
      </c>
      <c r="AO291" s="63">
        <v>9</v>
      </c>
      <c r="AP291" s="63">
        <v>4</v>
      </c>
      <c r="AQ291" s="63">
        <v>25</v>
      </c>
      <c r="AR291" s="63"/>
      <c r="AS291" s="63"/>
      <c r="AT291" s="63"/>
      <c r="AU291" s="63"/>
      <c r="AW291" s="5">
        <f>IF(Q291&gt;0,RANK(Q291,(N291:P291,Q291:AE291)),0)</f>
        <v>3</v>
      </c>
      <c r="AX291" s="5">
        <f>IF(R291&gt;0,RANK(R291,(N291:P291,Q291:AE291)),0)</f>
        <v>4</v>
      </c>
      <c r="AY291" s="5">
        <f>IF(T291&gt;0,RANK(T291,(N291:P291,Q291:AE291)),0)</f>
        <v>9</v>
      </c>
      <c r="AZ291" s="5">
        <f>IF(S291&gt;0,RANK(S291,(N291:P291,Q291:AE291)),0)</f>
        <v>5</v>
      </c>
      <c r="BA291" s="2">
        <f t="shared" si="115"/>
        <v>4.0504255222318299E-2</v>
      </c>
      <c r="BB291" s="2">
        <f t="shared" si="116"/>
        <v>1.1059026987666682E-2</v>
      </c>
      <c r="BC291" s="2">
        <f t="shared" si="117"/>
        <v>2.7306239475720205E-4</v>
      </c>
      <c r="BD291" s="2">
        <f t="shared" si="118"/>
        <v>6.4624766759204481E-3</v>
      </c>
      <c r="BF291" t="s">
        <v>1757</v>
      </c>
      <c r="BG291" t="s">
        <v>2722</v>
      </c>
      <c r="BH291" s="1">
        <v>5</v>
      </c>
      <c r="BJ291" s="114">
        <v>8</v>
      </c>
      <c r="BK291" s="116">
        <v>43</v>
      </c>
      <c r="BL291" s="120">
        <f t="shared" si="96"/>
        <v>8043</v>
      </c>
      <c r="BN291" s="5" t="s">
        <v>3154</v>
      </c>
      <c r="BR291" s="63"/>
      <c r="BZ291" s="63">
        <f t="shared" si="119"/>
        <v>21973</v>
      </c>
      <c r="CD291" s="63">
        <v>0</v>
      </c>
      <c r="CE291" s="63">
        <v>0</v>
      </c>
      <c r="CF291" s="63">
        <v>0</v>
      </c>
      <c r="CG291" s="8">
        <v>0</v>
      </c>
      <c r="CH291" s="8">
        <v>0</v>
      </c>
      <c r="CI291" s="8">
        <v>0</v>
      </c>
    </row>
    <row r="292" spans="1:87" hidden="1" outlineLevel="1">
      <c r="A292" t="s">
        <v>2946</v>
      </c>
      <c r="B292" t="s">
        <v>2722</v>
      </c>
      <c r="C292" s="1">
        <f t="shared" si="110"/>
        <v>26470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>IF(P292&gt;0,RANK(P292,(N292:P292,Q292:AE292)),0)</f>
        <v>5</v>
      </c>
      <c r="G292" s="132">
        <f t="shared" si="106"/>
        <v>1861</v>
      </c>
      <c r="H292" s="137">
        <f t="shared" si="107"/>
        <v>7.0306006800151116E-2</v>
      </c>
      <c r="I292" s="2"/>
      <c r="J292" s="2">
        <f t="shared" si="111"/>
        <v>0.42580279561768042</v>
      </c>
      <c r="K292" s="2">
        <f t="shared" si="112"/>
        <v>0.49610880241783151</v>
      </c>
      <c r="L292" s="2">
        <f t="shared" si="113"/>
        <v>6.9890442009822437E-3</v>
      </c>
      <c r="M292" s="2">
        <f t="shared" si="114"/>
        <v>7.109935776350583E-2</v>
      </c>
      <c r="N292" s="63">
        <v>11271</v>
      </c>
      <c r="O292" s="63">
        <v>13132</v>
      </c>
      <c r="P292" s="63">
        <v>185</v>
      </c>
      <c r="Q292" s="63">
        <v>1135</v>
      </c>
      <c r="R292" s="63">
        <v>468</v>
      </c>
      <c r="S292" s="63">
        <v>150</v>
      </c>
      <c r="T292" s="63">
        <v>9</v>
      </c>
      <c r="U292" s="63">
        <v>2</v>
      </c>
      <c r="V292" s="63">
        <v>4</v>
      </c>
      <c r="W292" s="63">
        <f>IF(Copyright!B$11=1,IF(CA292&gt;0,CA292-Z292,SUM(CC292:CP292)),SUM(CC292:CP292))</f>
        <v>0</v>
      </c>
      <c r="X292" s="63">
        <v>2</v>
      </c>
      <c r="Y292" s="63">
        <v>7</v>
      </c>
      <c r="Z292" s="63"/>
      <c r="AA292" s="63"/>
      <c r="AB292" s="63"/>
      <c r="AC292" s="63"/>
      <c r="AD292" s="63">
        <v>1</v>
      </c>
      <c r="AE292" s="63">
        <v>0</v>
      </c>
      <c r="AF292" s="63"/>
      <c r="AG292" s="63">
        <v>41</v>
      </c>
      <c r="AH292" s="63">
        <v>12</v>
      </c>
      <c r="AI292" s="63">
        <v>3</v>
      </c>
      <c r="AJ292" s="63"/>
      <c r="AK292" s="63">
        <v>5</v>
      </c>
      <c r="AL292" s="63"/>
      <c r="AM292" s="63">
        <v>8</v>
      </c>
      <c r="AN292" s="63">
        <v>2</v>
      </c>
      <c r="AO292" s="63">
        <v>7</v>
      </c>
      <c r="AP292" s="63">
        <v>9</v>
      </c>
      <c r="AQ292" s="63">
        <v>17</v>
      </c>
      <c r="AR292" s="63"/>
      <c r="AS292" s="63"/>
      <c r="AT292" s="63"/>
      <c r="AU292" s="63"/>
      <c r="AW292" s="5">
        <f>IF(Q292&gt;0,RANK(Q292,(N292:P292,Q292:AE292)),0)</f>
        <v>3</v>
      </c>
      <c r="AX292" s="5">
        <f>IF(R292&gt;0,RANK(R292,(N292:P292,Q292:AE292)),0)</f>
        <v>4</v>
      </c>
      <c r="AY292" s="5">
        <f>IF(T292&gt;0,RANK(T292,(N292:P292,Q292:AE292)),0)</f>
        <v>7</v>
      </c>
      <c r="AZ292" s="5">
        <f>IF(S292&gt;0,RANK(S292,(N292:P292,Q292:AE292)),0)</f>
        <v>6</v>
      </c>
      <c r="BA292" s="2">
        <f t="shared" si="115"/>
        <v>4.287873063845863E-2</v>
      </c>
      <c r="BB292" s="2">
        <f t="shared" si="116"/>
        <v>1.7680392897619947E-2</v>
      </c>
      <c r="BC292" s="2">
        <f t="shared" si="117"/>
        <v>3.4000755572346055E-4</v>
      </c>
      <c r="BD292" s="2">
        <f t="shared" si="118"/>
        <v>5.6667925953910086E-3</v>
      </c>
      <c r="BF292" t="s">
        <v>2946</v>
      </c>
      <c r="BG292" t="s">
        <v>2722</v>
      </c>
      <c r="BH292" s="1">
        <v>3</v>
      </c>
      <c r="BJ292" s="114">
        <v>8</v>
      </c>
      <c r="BK292" s="116">
        <v>45</v>
      </c>
      <c r="BL292" s="120">
        <f t="shared" si="96"/>
        <v>8045</v>
      </c>
      <c r="BN292" s="5" t="s">
        <v>3154</v>
      </c>
      <c r="BR292" s="63"/>
      <c r="BZ292" s="63">
        <f t="shared" si="119"/>
        <v>26470</v>
      </c>
      <c r="CD292" s="63">
        <v>0</v>
      </c>
      <c r="CE292" s="63">
        <v>0</v>
      </c>
      <c r="CF292" s="63">
        <v>0</v>
      </c>
      <c r="CG292" s="8">
        <v>0</v>
      </c>
      <c r="CH292" s="8">
        <v>0</v>
      </c>
      <c r="CI292" s="8">
        <v>0</v>
      </c>
    </row>
    <row r="293" spans="1:87" hidden="1" outlineLevel="1">
      <c r="A293" t="s">
        <v>1909</v>
      </c>
      <c r="B293" t="s">
        <v>2722</v>
      </c>
      <c r="C293" s="1">
        <f t="shared" si="110"/>
        <v>3576</v>
      </c>
      <c r="D293" s="5">
        <f>IF(N293&gt;0, RANK(N293,(N293:P293,Q293:AE293)),0)</f>
        <v>1</v>
      </c>
      <c r="E293" s="5">
        <f>IF(O293&gt;0,RANK(O293,(N293:P293,Q293:AE293)),0)</f>
        <v>2</v>
      </c>
      <c r="F293" s="5">
        <f>IF(P293&gt;0,RANK(P293,(N293:P293,Q293:AE293)),0)</f>
        <v>5</v>
      </c>
      <c r="G293" s="132">
        <f t="shared" si="106"/>
        <v>68</v>
      </c>
      <c r="H293" s="137">
        <f t="shared" si="107"/>
        <v>1.901565995525727E-2</v>
      </c>
      <c r="I293" s="2"/>
      <c r="J293" s="2">
        <f t="shared" si="111"/>
        <v>0.45693512304250561</v>
      </c>
      <c r="K293" s="2">
        <f t="shared" si="112"/>
        <v>0.43791946308724833</v>
      </c>
      <c r="L293" s="2">
        <f t="shared" si="113"/>
        <v>7.829977628635347E-3</v>
      </c>
      <c r="M293" s="2">
        <f t="shared" si="114"/>
        <v>9.7315436241610709E-2</v>
      </c>
      <c r="N293" s="63">
        <v>1634</v>
      </c>
      <c r="O293" s="63">
        <v>1566</v>
      </c>
      <c r="P293" s="63">
        <v>28</v>
      </c>
      <c r="Q293" s="63">
        <v>193</v>
      </c>
      <c r="R293" s="63">
        <v>122</v>
      </c>
      <c r="S293" s="63">
        <v>12</v>
      </c>
      <c r="T293" s="63">
        <v>2</v>
      </c>
      <c r="U293" s="63">
        <v>0</v>
      </c>
      <c r="V293" s="63">
        <v>0</v>
      </c>
      <c r="W293" s="63">
        <f>IF(Copyright!B$11=1,IF(CA293&gt;0,CA293-Z293,SUM(CC293:CP293)),SUM(CC293:CP293))</f>
        <v>0</v>
      </c>
      <c r="X293" s="63">
        <v>1</v>
      </c>
      <c r="Y293" s="63">
        <v>0</v>
      </c>
      <c r="Z293" s="63"/>
      <c r="AA293" s="63"/>
      <c r="AB293" s="63"/>
      <c r="AC293" s="63"/>
      <c r="AD293" s="63">
        <v>0</v>
      </c>
      <c r="AE293" s="63">
        <v>0</v>
      </c>
      <c r="AF293" s="63"/>
      <c r="AG293" s="63">
        <v>12</v>
      </c>
      <c r="AH293" s="63">
        <v>0</v>
      </c>
      <c r="AI293" s="63">
        <v>0</v>
      </c>
      <c r="AJ293" s="63"/>
      <c r="AK293" s="63">
        <v>0</v>
      </c>
      <c r="AL293" s="63"/>
      <c r="AM293" s="63">
        <v>1</v>
      </c>
      <c r="AN293" s="63">
        <v>0</v>
      </c>
      <c r="AO293" s="63">
        <v>2</v>
      </c>
      <c r="AP293" s="63">
        <v>0</v>
      </c>
      <c r="AQ293" s="63">
        <v>3</v>
      </c>
      <c r="AR293" s="63"/>
      <c r="AS293" s="63"/>
      <c r="AT293" s="63"/>
      <c r="AU293" s="63"/>
      <c r="AW293" s="5">
        <f>IF(Q293&gt;0,RANK(Q293,(N293:P293,Q293:AE293)),0)</f>
        <v>3</v>
      </c>
      <c r="AX293" s="5">
        <f>IF(R293&gt;0,RANK(R293,(N293:P293,Q293:AE293)),0)</f>
        <v>4</v>
      </c>
      <c r="AY293" s="5">
        <f>IF(T293&gt;0,RANK(T293,(N293:P293,Q293:AE293)),0)</f>
        <v>7</v>
      </c>
      <c r="AZ293" s="5">
        <f>IF(S293&gt;0,RANK(S293,(N293:P293,Q293:AE293)),0)</f>
        <v>6</v>
      </c>
      <c r="BA293" s="2">
        <f t="shared" si="115"/>
        <v>5.3970917225950786E-2</v>
      </c>
      <c r="BB293" s="2">
        <f t="shared" si="116"/>
        <v>3.411633109619687E-2</v>
      </c>
      <c r="BC293" s="2">
        <f t="shared" si="117"/>
        <v>5.5928411633109618E-4</v>
      </c>
      <c r="BD293" s="2">
        <f t="shared" si="118"/>
        <v>3.3557046979865771E-3</v>
      </c>
      <c r="BF293" t="s">
        <v>1909</v>
      </c>
      <c r="BG293" t="s">
        <v>2722</v>
      </c>
      <c r="BH293" s="1">
        <v>2</v>
      </c>
      <c r="BJ293" s="114">
        <v>8</v>
      </c>
      <c r="BK293" s="116">
        <v>47</v>
      </c>
      <c r="BL293" s="120">
        <f t="shared" si="96"/>
        <v>8047</v>
      </c>
      <c r="BN293" s="5" t="s">
        <v>3154</v>
      </c>
      <c r="BR293" s="63"/>
      <c r="BZ293" s="63">
        <f t="shared" si="119"/>
        <v>3576</v>
      </c>
      <c r="CD293" s="63">
        <v>0</v>
      </c>
      <c r="CE293" s="63">
        <v>0</v>
      </c>
      <c r="CF293" s="63">
        <v>0</v>
      </c>
      <c r="CG293" s="8">
        <v>0</v>
      </c>
      <c r="CH293" s="8">
        <v>0</v>
      </c>
      <c r="CI293" s="8">
        <v>0</v>
      </c>
    </row>
    <row r="294" spans="1:87" hidden="1" outlineLevel="1">
      <c r="A294" t="s">
        <v>2402</v>
      </c>
      <c r="B294" t="s">
        <v>2722</v>
      </c>
      <c r="C294" s="1">
        <f t="shared" si="110"/>
        <v>8588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>IF(P294&gt;0,RANK(P294,(N294:P294,Q294:AE294)),0)</f>
        <v>5</v>
      </c>
      <c r="G294" s="132">
        <f t="shared" si="106"/>
        <v>1136</v>
      </c>
      <c r="H294" s="137">
        <f t="shared" si="107"/>
        <v>0.13227759664648348</v>
      </c>
      <c r="I294" s="2"/>
      <c r="J294" s="2">
        <f t="shared" si="111"/>
        <v>0.39101071262226361</v>
      </c>
      <c r="K294" s="2">
        <f t="shared" si="112"/>
        <v>0.52328830926874714</v>
      </c>
      <c r="L294" s="2">
        <f t="shared" si="113"/>
        <v>7.1029343269678625E-3</v>
      </c>
      <c r="M294" s="2">
        <f t="shared" si="114"/>
        <v>7.8598043782021385E-2</v>
      </c>
      <c r="N294" s="63">
        <v>3358</v>
      </c>
      <c r="O294" s="63">
        <v>4494</v>
      </c>
      <c r="P294" s="63">
        <v>61</v>
      </c>
      <c r="Q294" s="63">
        <v>487</v>
      </c>
      <c r="R294" s="63">
        <v>128</v>
      </c>
      <c r="S294" s="63">
        <v>23</v>
      </c>
      <c r="T294" s="63">
        <v>1</v>
      </c>
      <c r="U294" s="63">
        <v>0</v>
      </c>
      <c r="V294" s="63">
        <v>0</v>
      </c>
      <c r="W294" s="63">
        <f>IF(Copyright!B$11=1,IF(CA294&gt;0,CA294-Z294,SUM(CC294:CP294)),SUM(CC294:CP294))</f>
        <v>0</v>
      </c>
      <c r="X294" s="63">
        <v>0</v>
      </c>
      <c r="Y294" s="63">
        <v>4</v>
      </c>
      <c r="Z294" s="63"/>
      <c r="AA294" s="63"/>
      <c r="AB294" s="63"/>
      <c r="AC294" s="63"/>
      <c r="AD294" s="63">
        <v>0</v>
      </c>
      <c r="AE294" s="63">
        <v>1</v>
      </c>
      <c r="AF294" s="63"/>
      <c r="AG294" s="63">
        <v>15</v>
      </c>
      <c r="AH294" s="63">
        <v>2</v>
      </c>
      <c r="AI294" s="63">
        <v>2</v>
      </c>
      <c r="AJ294" s="63"/>
      <c r="AK294" s="63">
        <v>1</v>
      </c>
      <c r="AL294" s="63"/>
      <c r="AM294" s="63">
        <v>2</v>
      </c>
      <c r="AN294" s="63">
        <v>0</v>
      </c>
      <c r="AO294" s="63">
        <v>4</v>
      </c>
      <c r="AP294" s="63">
        <v>2</v>
      </c>
      <c r="AQ294" s="63">
        <v>3</v>
      </c>
      <c r="AR294" s="63"/>
      <c r="AS294" s="63"/>
      <c r="AT294" s="63"/>
      <c r="AU294" s="63"/>
      <c r="AW294" s="5">
        <f>IF(Q294&gt;0,RANK(Q294,(N294:P294,Q294:AE294)),0)</f>
        <v>3</v>
      </c>
      <c r="AX294" s="5">
        <f>IF(R294&gt;0,RANK(R294,(N294:P294,Q294:AE294)),0)</f>
        <v>4</v>
      </c>
      <c r="AY294" s="5">
        <f>IF(T294&gt;0,RANK(T294,(N294:P294,Q294:AE294)),0)</f>
        <v>8</v>
      </c>
      <c r="AZ294" s="5">
        <f>IF(S294&gt;0,RANK(S294,(N294:P294,Q294:AE294)),0)</f>
        <v>6</v>
      </c>
      <c r="BA294" s="2">
        <f t="shared" si="115"/>
        <v>5.6707033069399164E-2</v>
      </c>
      <c r="BB294" s="2">
        <f t="shared" si="116"/>
        <v>1.4904517931998137E-2</v>
      </c>
      <c r="BC294" s="2">
        <f t="shared" si="117"/>
        <v>1.1644154634373545E-4</v>
      </c>
      <c r="BD294" s="2">
        <f t="shared" si="118"/>
        <v>2.6781555659059152E-3</v>
      </c>
      <c r="BF294" t="s">
        <v>2402</v>
      </c>
      <c r="BG294" t="s">
        <v>2722</v>
      </c>
      <c r="BH294" s="1">
        <v>2</v>
      </c>
      <c r="BJ294" s="114">
        <v>8</v>
      </c>
      <c r="BK294" s="116">
        <v>49</v>
      </c>
      <c r="BL294" s="120">
        <f t="shared" si="96"/>
        <v>8049</v>
      </c>
      <c r="BN294" s="5" t="s">
        <v>3154</v>
      </c>
      <c r="BR294" s="63"/>
      <c r="BZ294" s="63">
        <f t="shared" si="119"/>
        <v>8588</v>
      </c>
      <c r="CD294" s="63">
        <v>0</v>
      </c>
      <c r="CE294" s="63">
        <v>0</v>
      </c>
      <c r="CF294" s="63">
        <v>0</v>
      </c>
      <c r="CG294" s="8">
        <v>0</v>
      </c>
      <c r="CH294" s="8">
        <v>0</v>
      </c>
      <c r="CI294" s="8">
        <v>0</v>
      </c>
    </row>
    <row r="295" spans="1:87" hidden="1" outlineLevel="1">
      <c r="A295" t="s">
        <v>2269</v>
      </c>
      <c r="B295" t="s">
        <v>2722</v>
      </c>
      <c r="C295" s="1">
        <f t="shared" si="110"/>
        <v>9412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>IF(P295&gt;0,RANK(P295,(N295:P295,Q295:AE295)),0)</f>
        <v>5</v>
      </c>
      <c r="G295" s="132">
        <f t="shared" si="106"/>
        <v>1839</v>
      </c>
      <c r="H295" s="137">
        <f t="shared" si="107"/>
        <v>0.19538886527836805</v>
      </c>
      <c r="I295" s="2"/>
      <c r="J295" s="2">
        <f t="shared" si="111"/>
        <v>0.54483637909052274</v>
      </c>
      <c r="K295" s="2">
        <f t="shared" si="112"/>
        <v>0.34944751381215472</v>
      </c>
      <c r="L295" s="2">
        <f t="shared" si="113"/>
        <v>7.0123246918827025E-3</v>
      </c>
      <c r="M295" s="2">
        <f t="shared" si="114"/>
        <v>9.8703782405439838E-2</v>
      </c>
      <c r="N295" s="63">
        <v>5128</v>
      </c>
      <c r="O295" s="63">
        <v>3289</v>
      </c>
      <c r="P295" s="63">
        <v>66</v>
      </c>
      <c r="Q295" s="63">
        <v>595</v>
      </c>
      <c r="R295" s="63">
        <v>249</v>
      </c>
      <c r="S295" s="63">
        <v>48</v>
      </c>
      <c r="T295" s="63">
        <v>6</v>
      </c>
      <c r="U295" s="63">
        <v>2</v>
      </c>
      <c r="V295" s="63">
        <v>1</v>
      </c>
      <c r="W295" s="63">
        <f>IF(Copyright!B$11=1,IF(CA295&gt;0,CA295-Z295,SUM(CC295:CP295)),SUM(CC295:CP295))</f>
        <v>0</v>
      </c>
      <c r="X295" s="63">
        <v>3</v>
      </c>
      <c r="Y295" s="63">
        <v>0</v>
      </c>
      <c r="Z295" s="63"/>
      <c r="AA295" s="63"/>
      <c r="AB295" s="63"/>
      <c r="AC295" s="63"/>
      <c r="AD295" s="63">
        <v>0</v>
      </c>
      <c r="AE295" s="63">
        <v>0</v>
      </c>
      <c r="AF295" s="63"/>
      <c r="AG295" s="63">
        <v>9</v>
      </c>
      <c r="AH295" s="63">
        <v>2</v>
      </c>
      <c r="AI295" s="63">
        <v>0</v>
      </c>
      <c r="AJ295" s="63"/>
      <c r="AK295" s="63">
        <v>2</v>
      </c>
      <c r="AL295" s="63"/>
      <c r="AM295" s="63">
        <v>1</v>
      </c>
      <c r="AN295" s="63">
        <v>2</v>
      </c>
      <c r="AO295" s="63">
        <v>2</v>
      </c>
      <c r="AP295" s="63">
        <v>2</v>
      </c>
      <c r="AQ295" s="63">
        <v>5</v>
      </c>
      <c r="AR295" s="63"/>
      <c r="AS295" s="63"/>
      <c r="AT295" s="63"/>
      <c r="AU295" s="63"/>
      <c r="AW295" s="5">
        <f>IF(Q295&gt;0,RANK(Q295,(N295:P295,Q295:AE295)),0)</f>
        <v>3</v>
      </c>
      <c r="AX295" s="5">
        <f>IF(R295&gt;0,RANK(R295,(N295:P295,Q295:AE295)),0)</f>
        <v>4</v>
      </c>
      <c r="AY295" s="5">
        <f>IF(T295&gt;0,RANK(T295,(N295:P295,Q295:AE295)),0)</f>
        <v>7</v>
      </c>
      <c r="AZ295" s="5">
        <f>IF(S295&gt;0,RANK(S295,(N295:P295,Q295:AE295)),0)</f>
        <v>6</v>
      </c>
      <c r="BA295" s="2">
        <f t="shared" si="115"/>
        <v>6.3217169570760734E-2</v>
      </c>
      <c r="BB295" s="2">
        <f t="shared" si="116"/>
        <v>2.6455588610284742E-2</v>
      </c>
      <c r="BC295" s="2">
        <f t="shared" si="117"/>
        <v>6.3748406289842758E-4</v>
      </c>
      <c r="BD295" s="2">
        <f t="shared" si="118"/>
        <v>5.0998725031874206E-3</v>
      </c>
      <c r="BF295" t="s">
        <v>2269</v>
      </c>
      <c r="BG295" t="s">
        <v>2722</v>
      </c>
      <c r="BH295" s="1">
        <v>3</v>
      </c>
      <c r="BJ295" s="114">
        <v>8</v>
      </c>
      <c r="BK295" s="116">
        <v>51</v>
      </c>
      <c r="BL295" s="120">
        <f t="shared" si="96"/>
        <v>8051</v>
      </c>
      <c r="BN295" s="5" t="s">
        <v>3154</v>
      </c>
      <c r="BR295" s="63"/>
      <c r="BZ295" s="63">
        <f t="shared" si="119"/>
        <v>9412</v>
      </c>
      <c r="CD295" s="63">
        <v>0</v>
      </c>
      <c r="CE295" s="63">
        <v>0</v>
      </c>
      <c r="CF295" s="63">
        <v>0</v>
      </c>
      <c r="CG295" s="8">
        <v>0</v>
      </c>
      <c r="CH295" s="8">
        <v>0</v>
      </c>
      <c r="CI295" s="8">
        <v>0</v>
      </c>
    </row>
    <row r="296" spans="1:87" hidden="1" outlineLevel="1">
      <c r="A296" t="s">
        <v>1671</v>
      </c>
      <c r="B296" t="s">
        <v>2722</v>
      </c>
      <c r="C296" s="1">
        <f t="shared" si="110"/>
        <v>589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>IF(P296&gt;0,RANK(P296,(N296:P296,Q296:AE296)),0)</f>
        <v>5</v>
      </c>
      <c r="G296" s="132">
        <f t="shared" si="106"/>
        <v>142</v>
      </c>
      <c r="H296" s="137">
        <f t="shared" si="107"/>
        <v>0.24108658743633277</v>
      </c>
      <c r="I296" s="2"/>
      <c r="J296" s="2">
        <f t="shared" si="111"/>
        <v>0.33446519524617996</v>
      </c>
      <c r="K296" s="2">
        <f t="shared" si="112"/>
        <v>0.57555178268251272</v>
      </c>
      <c r="L296" s="2">
        <f t="shared" si="113"/>
        <v>1.3582342954159592E-2</v>
      </c>
      <c r="M296" s="2">
        <f t="shared" si="114"/>
        <v>7.6400679117147777E-2</v>
      </c>
      <c r="N296" s="63">
        <v>197</v>
      </c>
      <c r="O296" s="63">
        <v>339</v>
      </c>
      <c r="P296" s="63">
        <v>8</v>
      </c>
      <c r="Q296" s="63">
        <v>27</v>
      </c>
      <c r="R296" s="63">
        <v>11</v>
      </c>
      <c r="S296" s="63">
        <v>2</v>
      </c>
      <c r="T296" s="63">
        <v>0</v>
      </c>
      <c r="U296" s="63">
        <v>0</v>
      </c>
      <c r="V296" s="63">
        <v>1</v>
      </c>
      <c r="W296" s="63">
        <f>IF(Copyright!B$11=1,IF(CA296&gt;0,CA296-Z296,SUM(CC296:CP296)),SUM(CC296:CP296))</f>
        <v>0</v>
      </c>
      <c r="X296" s="63">
        <v>0</v>
      </c>
      <c r="Y296" s="63">
        <v>1</v>
      </c>
      <c r="Z296" s="63"/>
      <c r="AA296" s="63"/>
      <c r="AB296" s="63"/>
      <c r="AC296" s="63"/>
      <c r="AD296" s="63">
        <v>0</v>
      </c>
      <c r="AE296" s="63">
        <v>1</v>
      </c>
      <c r="AF296" s="63"/>
      <c r="AG296" s="63">
        <v>1</v>
      </c>
      <c r="AH296" s="63">
        <v>1</v>
      </c>
      <c r="AI296" s="63">
        <v>0</v>
      </c>
      <c r="AJ296" s="63"/>
      <c r="AK296" s="63">
        <v>0</v>
      </c>
      <c r="AL296" s="63"/>
      <c r="AM296" s="63">
        <v>0</v>
      </c>
      <c r="AN296" s="63">
        <v>0</v>
      </c>
      <c r="AO296" s="63">
        <v>0</v>
      </c>
      <c r="AP296" s="63">
        <v>0</v>
      </c>
      <c r="AQ296" s="63">
        <v>0</v>
      </c>
      <c r="AR296" s="63"/>
      <c r="AS296" s="63"/>
      <c r="AT296" s="63"/>
      <c r="AU296" s="63"/>
      <c r="AW296" s="5">
        <f>IF(Q296&gt;0,RANK(Q296,(N296:P296,Q296:AE296)),0)</f>
        <v>3</v>
      </c>
      <c r="AX296" s="5">
        <f>IF(R296&gt;0,RANK(R296,(N296:P296,Q296:AE296)),0)</f>
        <v>4</v>
      </c>
      <c r="AY296" s="5">
        <f>IF(T296&gt;0,RANK(T296,(N296:P296,Q296:AE296)),0)</f>
        <v>0</v>
      </c>
      <c r="AZ296" s="5">
        <f>IF(S296&gt;0,RANK(S296,(N296:P296,Q296:AE296)),0)</f>
        <v>6</v>
      </c>
      <c r="BA296" s="2">
        <f t="shared" si="115"/>
        <v>4.5840407470288627E-2</v>
      </c>
      <c r="BB296" s="2">
        <f t="shared" si="116"/>
        <v>1.8675721561969439E-2</v>
      </c>
      <c r="BC296" s="2">
        <f t="shared" si="117"/>
        <v>0</v>
      </c>
      <c r="BD296" s="2">
        <f t="shared" si="118"/>
        <v>3.3955857385398981E-3</v>
      </c>
      <c r="BF296" t="s">
        <v>1671</v>
      </c>
      <c r="BG296" t="s">
        <v>2722</v>
      </c>
      <c r="BH296" s="1">
        <v>3</v>
      </c>
      <c r="BJ296" s="114">
        <v>8</v>
      </c>
      <c r="BK296" s="116">
        <v>53</v>
      </c>
      <c r="BL296" s="120">
        <f t="shared" si="96"/>
        <v>8053</v>
      </c>
      <c r="BN296" s="5" t="s">
        <v>3154</v>
      </c>
      <c r="BR296" s="63"/>
      <c r="BZ296" s="63">
        <f t="shared" si="119"/>
        <v>589</v>
      </c>
      <c r="CD296" s="63">
        <v>0</v>
      </c>
      <c r="CE296" s="63">
        <v>0</v>
      </c>
      <c r="CF296" s="63">
        <v>0</v>
      </c>
      <c r="CG296" s="8">
        <v>0</v>
      </c>
      <c r="CH296" s="8">
        <v>0</v>
      </c>
      <c r="CI296" s="8">
        <v>0</v>
      </c>
    </row>
    <row r="297" spans="1:87" hidden="1" outlineLevel="1">
      <c r="A297" t="s">
        <v>1715</v>
      </c>
      <c r="B297" t="s">
        <v>2722</v>
      </c>
      <c r="C297" s="1">
        <f t="shared" si="110"/>
        <v>3783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6</v>
      </c>
      <c r="G297" s="132">
        <f t="shared" si="106"/>
        <v>250</v>
      </c>
      <c r="H297" s="137">
        <f t="shared" si="107"/>
        <v>6.6085117631509385E-2</v>
      </c>
      <c r="I297" s="2"/>
      <c r="J297" s="2">
        <f t="shared" si="111"/>
        <v>0.43166798836901932</v>
      </c>
      <c r="K297" s="2">
        <f t="shared" si="112"/>
        <v>0.49775310600052869</v>
      </c>
      <c r="L297" s="2">
        <f t="shared" si="113"/>
        <v>3.4364261168384879E-3</v>
      </c>
      <c r="M297" s="2">
        <f t="shared" si="114"/>
        <v>6.7142479513613504E-2</v>
      </c>
      <c r="N297" s="63">
        <v>1633</v>
      </c>
      <c r="O297" s="63">
        <v>1883</v>
      </c>
      <c r="P297" s="63">
        <v>13</v>
      </c>
      <c r="Q297" s="63">
        <v>151</v>
      </c>
      <c r="R297" s="63">
        <v>48</v>
      </c>
      <c r="S297" s="63">
        <v>27</v>
      </c>
      <c r="T297" s="63">
        <v>3</v>
      </c>
      <c r="U297" s="63">
        <v>0</v>
      </c>
      <c r="V297" s="63">
        <v>1</v>
      </c>
      <c r="W297" s="63">
        <f>IF(Copyright!B$11=1,IF(CA297&gt;0,CA297-Z297,SUM(CC297:CP297)),SUM(CC297:CP297))</f>
        <v>0</v>
      </c>
      <c r="X297" s="63">
        <v>0</v>
      </c>
      <c r="Y297" s="63">
        <v>1</v>
      </c>
      <c r="Z297" s="63"/>
      <c r="AA297" s="63"/>
      <c r="AB297" s="63"/>
      <c r="AC297" s="63"/>
      <c r="AD297" s="63">
        <v>1</v>
      </c>
      <c r="AE297" s="63">
        <v>0</v>
      </c>
      <c r="AF297" s="63"/>
      <c r="AG297" s="63">
        <v>10</v>
      </c>
      <c r="AH297" s="63">
        <v>1</v>
      </c>
      <c r="AI297" s="63">
        <v>0</v>
      </c>
      <c r="AJ297" s="63"/>
      <c r="AK297" s="63">
        <v>0</v>
      </c>
      <c r="AL297" s="63"/>
      <c r="AM297" s="63">
        <v>2</v>
      </c>
      <c r="AN297" s="63">
        <v>3</v>
      </c>
      <c r="AO297" s="63">
        <v>5</v>
      </c>
      <c r="AP297" s="63">
        <v>0</v>
      </c>
      <c r="AQ297" s="63">
        <v>1</v>
      </c>
      <c r="AR297" s="63"/>
      <c r="AS297" s="63"/>
      <c r="AT297" s="63"/>
      <c r="AU297" s="63"/>
      <c r="AW297" s="5">
        <f>IF(Q297&gt;0,RANK(Q297,(N297:P297,Q297:AE297)),0)</f>
        <v>3</v>
      </c>
      <c r="AX297" s="5">
        <f>IF(R297&gt;0,RANK(R297,(N297:P297,Q297:AE297)),0)</f>
        <v>4</v>
      </c>
      <c r="AY297" s="5">
        <f>IF(T297&gt;0,RANK(T297,(N297:P297,Q297:AE297)),0)</f>
        <v>7</v>
      </c>
      <c r="AZ297" s="5">
        <f>IF(S297&gt;0,RANK(S297,(N297:P297,Q297:AE297)),0)</f>
        <v>5</v>
      </c>
      <c r="BA297" s="2">
        <f t="shared" si="115"/>
        <v>3.9915411049431665E-2</v>
      </c>
      <c r="BB297" s="2">
        <f t="shared" si="116"/>
        <v>1.2688342585249802E-2</v>
      </c>
      <c r="BC297" s="2">
        <f t="shared" si="117"/>
        <v>7.9302141157811261E-4</v>
      </c>
      <c r="BD297" s="2">
        <f t="shared" si="118"/>
        <v>7.1371927042030133E-3</v>
      </c>
      <c r="BF297" t="s">
        <v>1715</v>
      </c>
      <c r="BG297" t="s">
        <v>2722</v>
      </c>
      <c r="BH297" s="1">
        <v>3</v>
      </c>
      <c r="BJ297" s="114">
        <v>8</v>
      </c>
      <c r="BK297" s="116">
        <v>55</v>
      </c>
      <c r="BL297" s="120">
        <f t="shared" ref="BL297:BL360" si="120">1000*BJ297+BK297</f>
        <v>8055</v>
      </c>
      <c r="BN297" s="5" t="s">
        <v>3154</v>
      </c>
      <c r="BR297" s="63"/>
      <c r="CD297" s="63">
        <v>0</v>
      </c>
      <c r="CE297" s="63">
        <v>0</v>
      </c>
      <c r="CF297" s="63">
        <v>0</v>
      </c>
      <c r="CG297" s="8">
        <v>0</v>
      </c>
      <c r="CH297" s="8">
        <v>0</v>
      </c>
      <c r="CI297" s="8">
        <v>0</v>
      </c>
    </row>
    <row r="298" spans="1:87" hidden="1" outlineLevel="1">
      <c r="A298" t="s">
        <v>2921</v>
      </c>
      <c r="B298" t="s">
        <v>2722</v>
      </c>
      <c r="C298" s="1">
        <f t="shared" si="110"/>
        <v>861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>IF(P298&gt;0,RANK(P298,(N298:P298,Q298:AE298)),0)</f>
        <v>6</v>
      </c>
      <c r="G298" s="132">
        <f t="shared" si="106"/>
        <v>458</v>
      </c>
      <c r="H298" s="137">
        <f t="shared" si="107"/>
        <v>0.53193960511033678</v>
      </c>
      <c r="I298" s="2"/>
      <c r="J298" s="2">
        <f t="shared" si="111"/>
        <v>0.19860627177700349</v>
      </c>
      <c r="K298" s="2">
        <f t="shared" si="112"/>
        <v>0.7305458768873403</v>
      </c>
      <c r="L298" s="2">
        <f t="shared" si="113"/>
        <v>4.6457607433217189E-3</v>
      </c>
      <c r="M298" s="2">
        <f t="shared" si="114"/>
        <v>6.6202090592334464E-2</v>
      </c>
      <c r="N298" s="63">
        <v>171</v>
      </c>
      <c r="O298" s="63">
        <v>629</v>
      </c>
      <c r="P298" s="63">
        <v>4</v>
      </c>
      <c r="Q298" s="63">
        <v>41</v>
      </c>
      <c r="R298" s="63">
        <v>7</v>
      </c>
      <c r="S298" s="63">
        <v>6</v>
      </c>
      <c r="T298" s="63">
        <v>0</v>
      </c>
      <c r="U298" s="63">
        <v>0</v>
      </c>
      <c r="V298" s="63">
        <v>0</v>
      </c>
      <c r="W298" s="63">
        <f>IF(Copyright!B$11=1,IF(CA298&gt;0,CA298-Z298,SUM(CC298:CP298)),SUM(CC298:CP298))</f>
        <v>0</v>
      </c>
      <c r="X298" s="63">
        <v>0</v>
      </c>
      <c r="Y298" s="63">
        <v>1</v>
      </c>
      <c r="Z298" s="63"/>
      <c r="AA298" s="63"/>
      <c r="AB298" s="63"/>
      <c r="AC298" s="63"/>
      <c r="AD298" s="63">
        <v>0</v>
      </c>
      <c r="AE298" s="63">
        <v>0</v>
      </c>
      <c r="AF298" s="63"/>
      <c r="AG298" s="63">
        <v>1</v>
      </c>
      <c r="AH298" s="63">
        <v>0</v>
      </c>
      <c r="AI298" s="63">
        <v>0</v>
      </c>
      <c r="AJ298" s="63"/>
      <c r="AK298" s="63">
        <v>0</v>
      </c>
      <c r="AL298" s="63"/>
      <c r="AM298" s="63">
        <v>0</v>
      </c>
      <c r="AN298" s="63">
        <v>0</v>
      </c>
      <c r="AO298" s="63">
        <v>0</v>
      </c>
      <c r="AP298" s="63">
        <v>0</v>
      </c>
      <c r="AQ298" s="63">
        <v>1</v>
      </c>
      <c r="AR298" s="63"/>
      <c r="AS298" s="63"/>
      <c r="AT298" s="63"/>
      <c r="AU298" s="63"/>
      <c r="AW298" s="5">
        <f>IF(Q298&gt;0,RANK(Q298,(N298:P298,Q298:AE298)),0)</f>
        <v>3</v>
      </c>
      <c r="AX298" s="5">
        <f>IF(R298&gt;0,RANK(R298,(N298:P298,Q298:AE298)),0)</f>
        <v>4</v>
      </c>
      <c r="AY298" s="5">
        <f>IF(T298&gt;0,RANK(T298,(N298:P298,Q298:AE298)),0)</f>
        <v>0</v>
      </c>
      <c r="AZ298" s="5">
        <f>IF(S298&gt;0,RANK(S298,(N298:P298,Q298:AE298)),0)</f>
        <v>5</v>
      </c>
      <c r="BA298" s="2">
        <f t="shared" si="115"/>
        <v>4.7619047619047616E-2</v>
      </c>
      <c r="BB298" s="2">
        <f t="shared" si="116"/>
        <v>8.130081300813009E-3</v>
      </c>
      <c r="BC298" s="2">
        <f t="shared" si="117"/>
        <v>0</v>
      </c>
      <c r="BD298" s="2">
        <f t="shared" si="118"/>
        <v>6.9686411149825784E-3</v>
      </c>
      <c r="BF298" t="s">
        <v>2921</v>
      </c>
      <c r="BG298" t="s">
        <v>2722</v>
      </c>
      <c r="BH298" s="1">
        <v>3</v>
      </c>
      <c r="BJ298" s="114">
        <v>8</v>
      </c>
      <c r="BK298" s="116">
        <v>57</v>
      </c>
      <c r="BL298" s="120">
        <f t="shared" si="120"/>
        <v>8057</v>
      </c>
      <c r="BN298" s="5" t="s">
        <v>3154</v>
      </c>
      <c r="BR298" s="63"/>
      <c r="BZ298" s="63">
        <f t="shared" si="119"/>
        <v>861</v>
      </c>
      <c r="CD298" s="63">
        <v>0</v>
      </c>
      <c r="CE298" s="63">
        <v>0</v>
      </c>
      <c r="CF298" s="63">
        <v>0</v>
      </c>
      <c r="CG298" s="8">
        <v>0</v>
      </c>
      <c r="CH298" s="8">
        <v>0</v>
      </c>
      <c r="CI298" s="8">
        <v>0</v>
      </c>
    </row>
    <row r="299" spans="1:87" hidden="1" outlineLevel="1">
      <c r="A299" t="s">
        <v>1092</v>
      </c>
      <c r="B299" t="s">
        <v>2722</v>
      </c>
      <c r="C299" s="1">
        <f t="shared" si="110"/>
        <v>328883</v>
      </c>
      <c r="D299" s="5">
        <f>IF(N299&gt;0, RANK(N299,(N299:P299,Q299:AE299)),0)</f>
        <v>1</v>
      </c>
      <c r="E299" s="5">
        <f>IF(O299&gt;0,RANK(O299,(N299:P299,Q299:AE299)),0)</f>
        <v>2</v>
      </c>
      <c r="F299" s="5">
        <f>IF(P299&gt;0,RANK(P299,(N299:P299,Q299:AE299)),0)</f>
        <v>5</v>
      </c>
      <c r="G299" s="132">
        <f t="shared" si="106"/>
        <v>22599</v>
      </c>
      <c r="H299" s="137">
        <f t="shared" si="107"/>
        <v>6.8714406034972919E-2</v>
      </c>
      <c r="I299" s="2"/>
      <c r="J299" s="2">
        <f t="shared" si="111"/>
        <v>0.48885469908751744</v>
      </c>
      <c r="K299" s="2">
        <f t="shared" si="112"/>
        <v>0.42014029305254452</v>
      </c>
      <c r="L299" s="2">
        <f t="shared" si="113"/>
        <v>1.0760665647053816E-2</v>
      </c>
      <c r="M299" s="2">
        <f t="shared" si="114"/>
        <v>8.024434221288422E-2</v>
      </c>
      <c r="N299" s="63">
        <v>160776</v>
      </c>
      <c r="O299" s="63">
        <v>138177</v>
      </c>
      <c r="P299" s="63">
        <v>3539</v>
      </c>
      <c r="Q299" s="63">
        <v>18537</v>
      </c>
      <c r="R299" s="63">
        <v>4579</v>
      </c>
      <c r="S299" s="63">
        <v>1369</v>
      </c>
      <c r="T299" s="63">
        <v>132</v>
      </c>
      <c r="U299" s="63">
        <v>31</v>
      </c>
      <c r="V299" s="63">
        <v>54</v>
      </c>
      <c r="W299" s="63">
        <f>IF(Copyright!B$11=1,IF(CA299&gt;0,CA299-Z299,SUM(CC299:CP299)),SUM(CC299:CP299))</f>
        <v>1</v>
      </c>
      <c r="X299" s="63">
        <v>51</v>
      </c>
      <c r="Y299" s="63">
        <v>94</v>
      </c>
      <c r="Z299" s="63"/>
      <c r="AA299" s="63"/>
      <c r="AB299" s="63"/>
      <c r="AC299" s="63"/>
      <c r="AD299" s="63">
        <v>22</v>
      </c>
      <c r="AE299" s="63">
        <v>53</v>
      </c>
      <c r="AF299" s="63"/>
      <c r="AG299" s="63">
        <v>588</v>
      </c>
      <c r="AH299" s="63">
        <v>134</v>
      </c>
      <c r="AI299" s="63">
        <v>47</v>
      </c>
      <c r="AJ299" s="63"/>
      <c r="AK299" s="63">
        <v>53</v>
      </c>
      <c r="AL299" s="63"/>
      <c r="AM299" s="63">
        <v>91</v>
      </c>
      <c r="AN299" s="63">
        <v>123</v>
      </c>
      <c r="AO299" s="63">
        <v>112</v>
      </c>
      <c r="AP299" s="63">
        <v>91</v>
      </c>
      <c r="AQ299" s="63">
        <v>229</v>
      </c>
      <c r="AR299" s="63"/>
      <c r="AS299" s="63"/>
      <c r="AT299" s="63"/>
      <c r="AU299" s="63"/>
      <c r="AW299" s="5">
        <f>IF(Q299&gt;0,RANK(Q299,(N299:P299,Q299:AE299)),0)</f>
        <v>3</v>
      </c>
      <c r="AX299" s="5">
        <f>IF(R299&gt;0,RANK(R299,(N299:P299,Q299:AE299)),0)</f>
        <v>4</v>
      </c>
      <c r="AY299" s="5">
        <f>IF(T299&gt;0,RANK(T299,(N299:P299,Q299:AE299)),0)</f>
        <v>7</v>
      </c>
      <c r="AZ299" s="5">
        <f>IF(S299&gt;0,RANK(S299,(N299:P299,Q299:AE299)),0)</f>
        <v>6</v>
      </c>
      <c r="BA299" s="2">
        <f t="shared" si="115"/>
        <v>5.6363509211482504E-2</v>
      </c>
      <c r="BB299" s="2">
        <f t="shared" si="116"/>
        <v>1.3922884430025267E-2</v>
      </c>
      <c r="BC299" s="2">
        <f t="shared" si="117"/>
        <v>4.0135853783868428E-4</v>
      </c>
      <c r="BD299" s="2">
        <f t="shared" si="118"/>
        <v>4.162574532584536E-3</v>
      </c>
      <c r="BF299" t="s">
        <v>1092</v>
      </c>
      <c r="BG299" t="s">
        <v>2722</v>
      </c>
      <c r="BH299" s="1"/>
      <c r="BJ299" s="114">
        <v>8</v>
      </c>
      <c r="BK299" s="116">
        <v>59</v>
      </c>
      <c r="BL299" s="120">
        <f t="shared" si="120"/>
        <v>8059</v>
      </c>
      <c r="BN299" s="5" t="s">
        <v>3154</v>
      </c>
      <c r="BR299" s="63"/>
      <c r="BZ299" s="63">
        <f t="shared" si="119"/>
        <v>328883</v>
      </c>
      <c r="CD299" s="63">
        <v>0</v>
      </c>
      <c r="CE299" s="63">
        <v>0</v>
      </c>
      <c r="CF299" s="63">
        <v>0</v>
      </c>
      <c r="CG299" s="8">
        <v>0</v>
      </c>
      <c r="CH299" s="8">
        <v>1</v>
      </c>
      <c r="CI299" s="8">
        <v>0</v>
      </c>
    </row>
    <row r="300" spans="1:87" hidden="1" outlineLevel="1">
      <c r="A300" t="s">
        <v>1238</v>
      </c>
      <c r="B300" t="s">
        <v>2722</v>
      </c>
      <c r="C300" s="1">
        <f t="shared" si="110"/>
        <v>855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4</v>
      </c>
      <c r="G300" s="132">
        <f t="shared" si="106"/>
        <v>637</v>
      </c>
      <c r="H300" s="137">
        <f t="shared" si="107"/>
        <v>0.74502923976608182</v>
      </c>
      <c r="I300" s="2"/>
      <c r="J300" s="2">
        <f t="shared" si="111"/>
        <v>0.1064327485380117</v>
      </c>
      <c r="K300" s="2">
        <f t="shared" si="112"/>
        <v>0.85146198830409359</v>
      </c>
      <c r="L300" s="2">
        <f t="shared" si="113"/>
        <v>5.8479532163742687E-3</v>
      </c>
      <c r="M300" s="2">
        <f t="shared" si="114"/>
        <v>3.6257309941520488E-2</v>
      </c>
      <c r="N300" s="63">
        <v>91</v>
      </c>
      <c r="O300" s="63">
        <v>728</v>
      </c>
      <c r="P300" s="63">
        <v>5</v>
      </c>
      <c r="Q300" s="63">
        <v>24</v>
      </c>
      <c r="R300" s="63">
        <v>1</v>
      </c>
      <c r="S300" s="63">
        <v>1</v>
      </c>
      <c r="T300" s="63">
        <v>0</v>
      </c>
      <c r="U300" s="63">
        <v>0</v>
      </c>
      <c r="V300" s="63">
        <v>0</v>
      </c>
      <c r="W300" s="63">
        <f>IF(Copyright!B$11=1,IF(CA300&gt;0,CA300-Z300,SUM(CC300:CP300)),SUM(CC300:CP300))</f>
        <v>0</v>
      </c>
      <c r="X300" s="63">
        <v>0</v>
      </c>
      <c r="Y300" s="63">
        <v>0</v>
      </c>
      <c r="Z300" s="63"/>
      <c r="AA300" s="63"/>
      <c r="AB300" s="63"/>
      <c r="AC300" s="63"/>
      <c r="AD300" s="63">
        <v>0</v>
      </c>
      <c r="AE300" s="63">
        <v>0</v>
      </c>
      <c r="AF300" s="63"/>
      <c r="AG300" s="63">
        <v>0</v>
      </c>
      <c r="AH300" s="63">
        <v>1</v>
      </c>
      <c r="AI300" s="63">
        <v>0</v>
      </c>
      <c r="AJ300" s="63"/>
      <c r="AK300" s="63">
        <v>0</v>
      </c>
      <c r="AL300" s="63"/>
      <c r="AM300" s="63">
        <v>0</v>
      </c>
      <c r="AN300" s="63">
        <v>0</v>
      </c>
      <c r="AO300" s="63">
        <v>1</v>
      </c>
      <c r="AP300" s="63">
        <v>0</v>
      </c>
      <c r="AQ300" s="63">
        <v>3</v>
      </c>
      <c r="AR300" s="63"/>
      <c r="AS300" s="63"/>
      <c r="AT300" s="63"/>
      <c r="AU300" s="63"/>
      <c r="AW300" s="5">
        <f>IF(Q300&gt;0,RANK(Q300,(N300:P300,Q300:AE300)),0)</f>
        <v>3</v>
      </c>
      <c r="AX300" s="5">
        <f>IF(R300&gt;0,RANK(R300,(N300:P300,Q300:AE300)),0)</f>
        <v>5</v>
      </c>
      <c r="AY300" s="5">
        <f>IF(T300&gt;0,RANK(T300,(N300:P300,Q300:AE300)),0)</f>
        <v>0</v>
      </c>
      <c r="AZ300" s="5">
        <f>IF(S300&gt;0,RANK(S300,(N300:P300,Q300:AE300)),0)</f>
        <v>5</v>
      </c>
      <c r="BA300" s="2">
        <f t="shared" si="115"/>
        <v>2.8070175438596492E-2</v>
      </c>
      <c r="BB300" s="2">
        <f t="shared" si="116"/>
        <v>1.1695906432748538E-3</v>
      </c>
      <c r="BC300" s="2">
        <f t="shared" si="117"/>
        <v>0</v>
      </c>
      <c r="BD300" s="2">
        <f t="shared" si="118"/>
        <v>1.1695906432748538E-3</v>
      </c>
      <c r="BF300" t="s">
        <v>1238</v>
      </c>
      <c r="BG300" t="s">
        <v>2722</v>
      </c>
      <c r="BH300" s="1">
        <v>4</v>
      </c>
      <c r="BJ300" s="114">
        <v>8</v>
      </c>
      <c r="BK300" s="116">
        <v>61</v>
      </c>
      <c r="BL300" s="120">
        <f t="shared" si="120"/>
        <v>8061</v>
      </c>
      <c r="BN300" s="5" t="s">
        <v>3154</v>
      </c>
      <c r="BR300" s="63"/>
      <c r="BZ300" s="63">
        <f t="shared" si="119"/>
        <v>855</v>
      </c>
      <c r="CD300" s="63">
        <v>0</v>
      </c>
      <c r="CE300" s="63">
        <v>0</v>
      </c>
      <c r="CF300" s="63">
        <v>0</v>
      </c>
      <c r="CG300" s="8">
        <v>0</v>
      </c>
      <c r="CH300" s="8">
        <v>0</v>
      </c>
      <c r="CI300" s="8">
        <v>0</v>
      </c>
    </row>
    <row r="301" spans="1:87" hidden="1" outlineLevel="1">
      <c r="A301" t="s">
        <v>3208</v>
      </c>
      <c r="B301" t="s">
        <v>2722</v>
      </c>
      <c r="C301" s="1">
        <f t="shared" ref="C301:C333" si="121">SUM(N301:AU301)</f>
        <v>3702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>IF(P301&gt;0,RANK(P301,(N301:P301,Q301:AE301)),0)</f>
        <v>5</v>
      </c>
      <c r="G301" s="132">
        <f t="shared" si="106"/>
        <v>2431</v>
      </c>
      <c r="H301" s="137">
        <f t="shared" si="107"/>
        <v>0.65667206915180987</v>
      </c>
      <c r="I301" s="2"/>
      <c r="J301" s="2">
        <f t="shared" si="111"/>
        <v>0.14478660183684494</v>
      </c>
      <c r="K301" s="2">
        <f t="shared" si="112"/>
        <v>0.80145867098865475</v>
      </c>
      <c r="L301" s="2">
        <f t="shared" si="113"/>
        <v>6.4829821717990272E-3</v>
      </c>
      <c r="M301" s="2">
        <f t="shared" si="114"/>
        <v>4.7271745002701336E-2</v>
      </c>
      <c r="N301" s="63">
        <v>536</v>
      </c>
      <c r="O301" s="63">
        <v>2967</v>
      </c>
      <c r="P301" s="63">
        <v>24</v>
      </c>
      <c r="Q301" s="63">
        <v>95</v>
      </c>
      <c r="R301" s="63">
        <v>16</v>
      </c>
      <c r="S301" s="63">
        <v>36</v>
      </c>
      <c r="T301" s="63">
        <v>1</v>
      </c>
      <c r="U301" s="63">
        <v>0</v>
      </c>
      <c r="V301" s="63">
        <v>0</v>
      </c>
      <c r="W301" s="63">
        <f>IF(Copyright!B$11=1,IF(CA301&gt;0,CA301-Z301,SUM(CC301:CP301)),SUM(CC301:CP301))</f>
        <v>0</v>
      </c>
      <c r="X301" s="63">
        <v>1</v>
      </c>
      <c r="Y301" s="63">
        <v>1</v>
      </c>
      <c r="Z301" s="63"/>
      <c r="AA301" s="63"/>
      <c r="AB301" s="63"/>
      <c r="AC301" s="63"/>
      <c r="AD301" s="63">
        <v>0</v>
      </c>
      <c r="AE301" s="63">
        <v>1</v>
      </c>
      <c r="AF301" s="63"/>
      <c r="AG301" s="63">
        <v>13</v>
      </c>
      <c r="AH301" s="63">
        <v>4</v>
      </c>
      <c r="AI301" s="63">
        <v>1</v>
      </c>
      <c r="AJ301" s="63"/>
      <c r="AK301" s="63">
        <v>0</v>
      </c>
      <c r="AL301" s="63"/>
      <c r="AM301" s="63">
        <v>1</v>
      </c>
      <c r="AN301" s="63">
        <v>0</v>
      </c>
      <c r="AO301" s="63">
        <v>1</v>
      </c>
      <c r="AP301" s="63">
        <v>0</v>
      </c>
      <c r="AQ301" s="63">
        <v>4</v>
      </c>
      <c r="AR301" s="63"/>
      <c r="AS301" s="63"/>
      <c r="AT301" s="63"/>
      <c r="AU301" s="63"/>
      <c r="AW301" s="5">
        <f>IF(Q301&gt;0,RANK(Q301,(N301:P301,Q301:AE301)),0)</f>
        <v>3</v>
      </c>
      <c r="AX301" s="5">
        <f>IF(R301&gt;0,RANK(R301,(N301:P301,Q301:AE301)),0)</f>
        <v>6</v>
      </c>
      <c r="AY301" s="5">
        <f>IF(T301&gt;0,RANK(T301,(N301:P301,Q301:AE301)),0)</f>
        <v>7</v>
      </c>
      <c r="AZ301" s="5">
        <f>IF(S301&gt;0,RANK(S301,(N301:P301,Q301:AE301)),0)</f>
        <v>4</v>
      </c>
      <c r="BA301" s="2">
        <f t="shared" si="115"/>
        <v>2.5661804430037818E-2</v>
      </c>
      <c r="BB301" s="2">
        <f t="shared" si="116"/>
        <v>4.3219881145326851E-3</v>
      </c>
      <c r="BC301" s="2">
        <f t="shared" si="117"/>
        <v>2.7012425715829282E-4</v>
      </c>
      <c r="BD301" s="2">
        <f t="shared" si="118"/>
        <v>9.7244732576985422E-3</v>
      </c>
      <c r="BF301" t="s">
        <v>3208</v>
      </c>
      <c r="BG301" t="s">
        <v>2722</v>
      </c>
      <c r="BH301" s="1">
        <v>4</v>
      </c>
      <c r="BJ301" s="114">
        <v>8</v>
      </c>
      <c r="BK301" s="116">
        <v>63</v>
      </c>
      <c r="BL301" s="120">
        <f t="shared" si="120"/>
        <v>8063</v>
      </c>
      <c r="BN301" s="5" t="s">
        <v>3154</v>
      </c>
      <c r="BR301" s="63"/>
      <c r="BZ301" s="63">
        <f t="shared" si="119"/>
        <v>3702</v>
      </c>
      <c r="CD301" s="63">
        <v>0</v>
      </c>
      <c r="CE301" s="63">
        <v>0</v>
      </c>
      <c r="CF301" s="63">
        <v>0</v>
      </c>
      <c r="CG301" s="8">
        <v>0</v>
      </c>
      <c r="CH301" s="8">
        <v>0</v>
      </c>
      <c r="CI301" s="8">
        <v>0</v>
      </c>
    </row>
    <row r="302" spans="1:87" hidden="1" outlineLevel="1">
      <c r="A302" t="s">
        <v>820</v>
      </c>
      <c r="B302" t="s">
        <v>2722</v>
      </c>
      <c r="C302" s="1">
        <f t="shared" si="121"/>
        <v>3199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5</v>
      </c>
      <c r="G302" s="132">
        <f t="shared" si="106"/>
        <v>346</v>
      </c>
      <c r="H302" s="137">
        <f t="shared" si="107"/>
        <v>0.10815879962488277</v>
      </c>
      <c r="I302" s="2"/>
      <c r="J302" s="2">
        <f t="shared" ref="J302:J333" si="122">IF($C302=0,"-",N302/$C302)</f>
        <v>0.50515786183182243</v>
      </c>
      <c r="K302" s="2">
        <f t="shared" ref="K302:K333" si="123">IF($C302=0,"-",O302/$C302)</f>
        <v>0.39699906220693965</v>
      </c>
      <c r="L302" s="2">
        <f t="shared" ref="L302:L333" si="124">IF($C302=0,"-",P302/$C302)</f>
        <v>8.7527352297592995E-3</v>
      </c>
      <c r="M302" s="2">
        <f t="shared" ref="M302:M333" si="125">IF(C302=0,"-",(1-J302-K302-L302))</f>
        <v>8.9090340731478618E-2</v>
      </c>
      <c r="N302" s="63">
        <v>1616</v>
      </c>
      <c r="O302" s="63">
        <v>1270</v>
      </c>
      <c r="P302" s="63">
        <v>28</v>
      </c>
      <c r="Q302" s="63">
        <v>173</v>
      </c>
      <c r="R302" s="63">
        <v>78</v>
      </c>
      <c r="S302" s="63">
        <v>20</v>
      </c>
      <c r="T302" s="63">
        <v>0</v>
      </c>
      <c r="U302" s="63">
        <v>0</v>
      </c>
      <c r="V302" s="63">
        <v>0</v>
      </c>
      <c r="W302" s="63">
        <f>IF(Copyright!B$11=1,IF(CA302&gt;0,CA302-Z302,SUM(CC302:CP302)),SUM(CC302:CP302))</f>
        <v>0</v>
      </c>
      <c r="X302" s="63">
        <v>0</v>
      </c>
      <c r="Y302" s="63">
        <v>0</v>
      </c>
      <c r="Z302" s="63"/>
      <c r="AA302" s="63"/>
      <c r="AB302" s="63"/>
      <c r="AC302" s="63"/>
      <c r="AD302" s="63">
        <v>1</v>
      </c>
      <c r="AE302" s="63">
        <v>1</v>
      </c>
      <c r="AF302" s="63"/>
      <c r="AG302" s="63">
        <v>6</v>
      </c>
      <c r="AH302" s="63">
        <v>1</v>
      </c>
      <c r="AI302" s="63">
        <v>0</v>
      </c>
      <c r="AJ302" s="63"/>
      <c r="AK302" s="63">
        <v>0</v>
      </c>
      <c r="AL302" s="63"/>
      <c r="AM302" s="63">
        <v>0</v>
      </c>
      <c r="AN302" s="63">
        <v>0</v>
      </c>
      <c r="AO302" s="63">
        <v>3</v>
      </c>
      <c r="AP302" s="63">
        <v>1</v>
      </c>
      <c r="AQ302" s="63">
        <v>1</v>
      </c>
      <c r="AR302" s="63"/>
      <c r="AS302" s="63"/>
      <c r="AT302" s="63"/>
      <c r="AU302" s="63"/>
      <c r="AW302" s="5">
        <f>IF(Q302&gt;0,RANK(Q302,(N302:P302,Q302:AE302)),0)</f>
        <v>3</v>
      </c>
      <c r="AX302" s="5">
        <f>IF(R302&gt;0,RANK(R302,(N302:P302,Q302:AE302)),0)</f>
        <v>4</v>
      </c>
      <c r="AY302" s="5">
        <f>IF(T302&gt;0,RANK(T302,(N302:P302,Q302:AE302)),0)</f>
        <v>0</v>
      </c>
      <c r="AZ302" s="5">
        <f>IF(S302&gt;0,RANK(S302,(N302:P302,Q302:AE302)),0)</f>
        <v>6</v>
      </c>
      <c r="BA302" s="2">
        <f t="shared" ref="BA302:BA333" si="126">IF($C302=0,"-",Q302/$C302)</f>
        <v>5.4079399812441385E-2</v>
      </c>
      <c r="BB302" s="2">
        <f t="shared" ref="BB302:BB333" si="127">IF($C302=0,"-",R302/$C302)</f>
        <v>2.4382619568615191E-2</v>
      </c>
      <c r="BC302" s="2">
        <f t="shared" ref="BC302:BC333" si="128">IF($C302=0,"-",T302/$C302)</f>
        <v>0</v>
      </c>
      <c r="BD302" s="2">
        <f t="shared" ref="BD302:BD333" si="129">IF($C302=0,"-",S302/$C302)</f>
        <v>6.2519537355423573E-3</v>
      </c>
      <c r="BF302" t="s">
        <v>820</v>
      </c>
      <c r="BG302" t="s">
        <v>2722</v>
      </c>
      <c r="BH302" s="1">
        <v>3</v>
      </c>
      <c r="BJ302" s="114">
        <v>8</v>
      </c>
      <c r="BK302" s="116">
        <v>65</v>
      </c>
      <c r="BL302" s="120">
        <f t="shared" si="120"/>
        <v>8065</v>
      </c>
      <c r="BN302" s="5" t="s">
        <v>3154</v>
      </c>
      <c r="BR302" s="63"/>
      <c r="BZ302" s="63">
        <f t="shared" si="119"/>
        <v>3199</v>
      </c>
      <c r="CD302" s="63">
        <v>0</v>
      </c>
      <c r="CE302" s="63">
        <v>0</v>
      </c>
      <c r="CF302" s="63">
        <v>0</v>
      </c>
      <c r="CG302" s="8">
        <v>0</v>
      </c>
      <c r="CH302" s="8">
        <v>0</v>
      </c>
      <c r="CI302" s="8">
        <v>0</v>
      </c>
    </row>
    <row r="303" spans="1:87" hidden="1" outlineLevel="1">
      <c r="A303" t="s">
        <v>2845</v>
      </c>
      <c r="B303" t="s">
        <v>2722</v>
      </c>
      <c r="C303" s="1">
        <f t="shared" si="121"/>
        <v>31150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5</v>
      </c>
      <c r="G303" s="132">
        <f t="shared" si="106"/>
        <v>2938</v>
      </c>
      <c r="H303" s="137">
        <f t="shared" si="107"/>
        <v>9.4317817014446234E-2</v>
      </c>
      <c r="I303" s="2"/>
      <c r="J303" s="2">
        <f t="shared" si="122"/>
        <v>0.4983948635634029</v>
      </c>
      <c r="K303" s="2">
        <f t="shared" si="123"/>
        <v>0.40407704654895665</v>
      </c>
      <c r="L303" s="2">
        <f t="shared" si="124"/>
        <v>7.8651685393258432E-3</v>
      </c>
      <c r="M303" s="2">
        <f t="shared" si="125"/>
        <v>8.9662921348314606E-2</v>
      </c>
      <c r="N303" s="63">
        <v>15525</v>
      </c>
      <c r="O303" s="63">
        <v>12587</v>
      </c>
      <c r="P303" s="63">
        <v>245</v>
      </c>
      <c r="Q303" s="63">
        <v>1878</v>
      </c>
      <c r="R303" s="63">
        <v>665</v>
      </c>
      <c r="S303" s="63">
        <v>127</v>
      </c>
      <c r="T303" s="63">
        <v>11</v>
      </c>
      <c r="U303" s="63">
        <v>5</v>
      </c>
      <c r="V303" s="63">
        <v>7</v>
      </c>
      <c r="W303" s="63">
        <f>IF(Copyright!B$11=1,IF(CA303&gt;0,CA303-Z303,SUM(CC303:CP303)),SUM(CC303:CP303))</f>
        <v>0</v>
      </c>
      <c r="X303" s="63">
        <v>3</v>
      </c>
      <c r="Y303" s="63">
        <v>7</v>
      </c>
      <c r="Z303" s="63"/>
      <c r="AA303" s="63"/>
      <c r="AB303" s="63"/>
      <c r="AC303" s="63"/>
      <c r="AD303" s="63">
        <v>1</v>
      </c>
      <c r="AE303" s="63">
        <v>2</v>
      </c>
      <c r="AF303" s="63"/>
      <c r="AG303" s="63">
        <v>38</v>
      </c>
      <c r="AH303" s="63">
        <v>8</v>
      </c>
      <c r="AI303" s="63">
        <v>3</v>
      </c>
      <c r="AJ303" s="63"/>
      <c r="AK303" s="63">
        <v>2</v>
      </c>
      <c r="AL303" s="63"/>
      <c r="AM303" s="63">
        <v>8</v>
      </c>
      <c r="AN303" s="63">
        <v>7</v>
      </c>
      <c r="AO303" s="63">
        <v>3</v>
      </c>
      <c r="AP303" s="63">
        <v>6</v>
      </c>
      <c r="AQ303" s="63">
        <v>12</v>
      </c>
      <c r="AR303" s="63"/>
      <c r="AS303" s="63"/>
      <c r="AT303" s="63"/>
      <c r="AU303" s="63"/>
      <c r="AW303" s="5">
        <f>IF(Q303&gt;0,RANK(Q303,(N303:P303,Q303:AE303)),0)</f>
        <v>3</v>
      </c>
      <c r="AX303" s="5">
        <f>IF(R303&gt;0,RANK(R303,(N303:P303,Q303:AE303)),0)</f>
        <v>4</v>
      </c>
      <c r="AY303" s="5">
        <f>IF(T303&gt;0,RANK(T303,(N303:P303,Q303:AE303)),0)</f>
        <v>7</v>
      </c>
      <c r="AZ303" s="5">
        <f>IF(S303&gt;0,RANK(S303,(N303:P303,Q303:AE303)),0)</f>
        <v>6</v>
      </c>
      <c r="BA303" s="2">
        <f t="shared" si="126"/>
        <v>6.0288924558587483E-2</v>
      </c>
      <c r="BB303" s="2">
        <f t="shared" si="127"/>
        <v>2.1348314606741574E-2</v>
      </c>
      <c r="BC303" s="2">
        <f t="shared" si="128"/>
        <v>3.5313001605136434E-4</v>
      </c>
      <c r="BD303" s="2">
        <f t="shared" si="129"/>
        <v>4.0770465489566613E-3</v>
      </c>
      <c r="BF303" t="s">
        <v>2845</v>
      </c>
      <c r="BG303" t="s">
        <v>2722</v>
      </c>
      <c r="BH303" s="1">
        <v>3</v>
      </c>
      <c r="BJ303" s="114">
        <v>8</v>
      </c>
      <c r="BK303" s="116">
        <v>67</v>
      </c>
      <c r="BL303" s="120">
        <f t="shared" si="120"/>
        <v>8067</v>
      </c>
      <c r="BN303" s="5" t="s">
        <v>3154</v>
      </c>
      <c r="BR303" s="63"/>
      <c r="CD303" s="63">
        <v>0</v>
      </c>
      <c r="CE303" s="63">
        <v>0</v>
      </c>
      <c r="CF303" s="63">
        <v>0</v>
      </c>
      <c r="CG303" s="8">
        <v>0</v>
      </c>
      <c r="CH303" s="8">
        <v>0</v>
      </c>
      <c r="CI303" s="8">
        <v>0</v>
      </c>
    </row>
    <row r="304" spans="1:87" hidden="1" outlineLevel="1">
      <c r="A304" t="s">
        <v>969</v>
      </c>
      <c r="B304" t="s">
        <v>2722</v>
      </c>
      <c r="C304" s="1">
        <f t="shared" si="121"/>
        <v>195981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>IF(P304&gt;0,RANK(P304,(N304:P304,Q304:AE304)),0)</f>
        <v>5</v>
      </c>
      <c r="G304" s="132">
        <f t="shared" si="106"/>
        <v>9683</v>
      </c>
      <c r="H304" s="137">
        <f t="shared" si="107"/>
        <v>4.9407850761043162E-2</v>
      </c>
      <c r="I304" s="2"/>
      <c r="J304" s="2">
        <f t="shared" si="122"/>
        <v>0.47511238334328326</v>
      </c>
      <c r="K304" s="2">
        <f t="shared" si="123"/>
        <v>0.42570453258224011</v>
      </c>
      <c r="L304" s="2">
        <f t="shared" si="124"/>
        <v>1.3685000076538032E-2</v>
      </c>
      <c r="M304" s="2">
        <f t="shared" si="125"/>
        <v>8.549808399793854E-2</v>
      </c>
      <c r="N304" s="63">
        <v>93113</v>
      </c>
      <c r="O304" s="63">
        <v>83430</v>
      </c>
      <c r="P304" s="63">
        <v>2682</v>
      </c>
      <c r="Q304" s="63">
        <v>11510</v>
      </c>
      <c r="R304" s="63">
        <v>3203</v>
      </c>
      <c r="S304" s="63">
        <v>1026</v>
      </c>
      <c r="T304" s="63">
        <v>83</v>
      </c>
      <c r="U304" s="63">
        <v>18</v>
      </c>
      <c r="V304" s="63">
        <v>35</v>
      </c>
      <c r="W304" s="63">
        <f>IF(Copyright!B$11=1,IF(CA304&gt;0,CA304-Z304,SUM(CC304:CP304)),SUM(CC304:CP304))</f>
        <v>1</v>
      </c>
      <c r="X304" s="63">
        <v>29</v>
      </c>
      <c r="Y304" s="63">
        <v>27</v>
      </c>
      <c r="Z304" s="63"/>
      <c r="AA304" s="63"/>
      <c r="AB304" s="63"/>
      <c r="AC304" s="63"/>
      <c r="AD304" s="63">
        <v>16</v>
      </c>
      <c r="AE304" s="63">
        <v>32</v>
      </c>
      <c r="AF304" s="63"/>
      <c r="AG304" s="63">
        <v>334</v>
      </c>
      <c r="AH304" s="63">
        <v>58</v>
      </c>
      <c r="AI304" s="63">
        <v>24</v>
      </c>
      <c r="AJ304" s="63"/>
      <c r="AK304" s="63">
        <v>29</v>
      </c>
      <c r="AL304" s="63"/>
      <c r="AM304" s="63">
        <v>41</v>
      </c>
      <c r="AN304" s="63">
        <v>76</v>
      </c>
      <c r="AO304" s="63">
        <v>45</v>
      </c>
      <c r="AP304" s="63">
        <v>48</v>
      </c>
      <c r="AQ304" s="63">
        <v>121</v>
      </c>
      <c r="AR304" s="63"/>
      <c r="AS304" s="63"/>
      <c r="AT304" s="63"/>
      <c r="AU304" s="63"/>
      <c r="AW304" s="5">
        <f>IF(Q304&gt;0,RANK(Q304,(N304:P304,Q304:AE304)),0)</f>
        <v>3</v>
      </c>
      <c r="AX304" s="5">
        <f>IF(R304&gt;0,RANK(R304,(N304:P304,Q304:AE304)),0)</f>
        <v>4</v>
      </c>
      <c r="AY304" s="5">
        <f>IF(T304&gt;0,RANK(T304,(N304:P304,Q304:AE304)),0)</f>
        <v>7</v>
      </c>
      <c r="AZ304" s="5">
        <f>IF(S304&gt;0,RANK(S304,(N304:P304,Q304:AE304)),0)</f>
        <v>6</v>
      </c>
      <c r="BA304" s="2">
        <f t="shared" si="126"/>
        <v>5.8730183027946588E-2</v>
      </c>
      <c r="BB304" s="2">
        <f t="shared" si="127"/>
        <v>1.6343421045917718E-2</v>
      </c>
      <c r="BC304" s="2">
        <f t="shared" si="128"/>
        <v>4.2351044233879817E-4</v>
      </c>
      <c r="BD304" s="2">
        <f t="shared" si="129"/>
        <v>5.235201371561529E-3</v>
      </c>
      <c r="BF304" t="s">
        <v>969</v>
      </c>
      <c r="BG304" t="s">
        <v>2722</v>
      </c>
      <c r="BH304" s="1">
        <v>2</v>
      </c>
      <c r="BJ304" s="114">
        <v>8</v>
      </c>
      <c r="BK304" s="116">
        <v>69</v>
      </c>
      <c r="BL304" s="120">
        <f t="shared" si="120"/>
        <v>8069</v>
      </c>
      <c r="BN304" s="5" t="s">
        <v>3154</v>
      </c>
      <c r="BR304" s="63"/>
      <c r="BZ304" s="63">
        <f t="shared" si="119"/>
        <v>195981</v>
      </c>
      <c r="CD304" s="63">
        <v>0</v>
      </c>
      <c r="CE304" s="63">
        <v>0</v>
      </c>
      <c r="CF304" s="63">
        <v>0</v>
      </c>
      <c r="CG304" s="8">
        <v>1</v>
      </c>
      <c r="CH304" s="8">
        <v>0</v>
      </c>
      <c r="CI304" s="8">
        <v>0</v>
      </c>
    </row>
    <row r="305" spans="1:87" hidden="1" outlineLevel="1">
      <c r="A305" t="s">
        <v>2748</v>
      </c>
      <c r="B305" t="s">
        <v>2722</v>
      </c>
      <c r="C305" s="1">
        <f t="shared" si="121"/>
        <v>6793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6</v>
      </c>
      <c r="G305" s="132">
        <f t="shared" si="106"/>
        <v>1060</v>
      </c>
      <c r="H305" s="137">
        <f t="shared" si="107"/>
        <v>0.15604298542617401</v>
      </c>
      <c r="I305" s="2"/>
      <c r="J305" s="2">
        <f t="shared" si="122"/>
        <v>0.39010746356543502</v>
      </c>
      <c r="K305" s="2">
        <f t="shared" si="123"/>
        <v>0.54615044899160903</v>
      </c>
      <c r="L305" s="2">
        <f t="shared" si="124"/>
        <v>3.6802590902399531E-3</v>
      </c>
      <c r="M305" s="2">
        <f t="shared" si="125"/>
        <v>6.0061828352716E-2</v>
      </c>
      <c r="N305" s="63">
        <v>2650</v>
      </c>
      <c r="O305" s="63">
        <v>3710</v>
      </c>
      <c r="P305" s="63">
        <v>25</v>
      </c>
      <c r="Q305" s="63">
        <v>251</v>
      </c>
      <c r="R305" s="63">
        <v>62</v>
      </c>
      <c r="S305" s="63">
        <v>30</v>
      </c>
      <c r="T305" s="63">
        <v>5</v>
      </c>
      <c r="U305" s="63">
        <v>1</v>
      </c>
      <c r="V305" s="63">
        <v>1</v>
      </c>
      <c r="W305" s="63">
        <f>IF(Copyright!B$11=1,IF(CA305&gt;0,CA305-Z305,SUM(CC305:CP305)),SUM(CC305:CP305))</f>
        <v>0</v>
      </c>
      <c r="X305" s="63">
        <v>2</v>
      </c>
      <c r="Y305" s="63">
        <v>4</v>
      </c>
      <c r="Z305" s="63"/>
      <c r="AA305" s="63"/>
      <c r="AB305" s="63"/>
      <c r="AC305" s="63"/>
      <c r="AD305" s="63">
        <v>1</v>
      </c>
      <c r="AE305" s="63">
        <v>0</v>
      </c>
      <c r="AF305" s="63"/>
      <c r="AG305" s="63">
        <v>23</v>
      </c>
      <c r="AH305" s="63">
        <v>4</v>
      </c>
      <c r="AI305" s="63">
        <v>2</v>
      </c>
      <c r="AJ305" s="63"/>
      <c r="AK305" s="63">
        <v>1</v>
      </c>
      <c r="AL305" s="63"/>
      <c r="AM305" s="63">
        <v>5</v>
      </c>
      <c r="AN305" s="63">
        <v>3</v>
      </c>
      <c r="AO305" s="63">
        <v>7</v>
      </c>
      <c r="AP305" s="63">
        <v>4</v>
      </c>
      <c r="AQ305" s="63">
        <v>2</v>
      </c>
      <c r="AR305" s="63"/>
      <c r="AS305" s="63"/>
      <c r="AT305" s="63"/>
      <c r="AU305" s="63"/>
      <c r="AW305" s="5">
        <f>IF(Q305&gt;0,RANK(Q305,(N305:P305,Q305:AE305)),0)</f>
        <v>3</v>
      </c>
      <c r="AX305" s="5">
        <f>IF(R305&gt;0,RANK(R305,(N305:P305,Q305:AE305)),0)</f>
        <v>4</v>
      </c>
      <c r="AY305" s="5">
        <f>IF(T305&gt;0,RANK(T305,(N305:P305,Q305:AE305)),0)</f>
        <v>7</v>
      </c>
      <c r="AZ305" s="5">
        <f>IF(S305&gt;0,RANK(S305,(N305:P305,Q305:AE305)),0)</f>
        <v>5</v>
      </c>
      <c r="BA305" s="2">
        <f t="shared" si="126"/>
        <v>3.6949801266009129E-2</v>
      </c>
      <c r="BB305" s="2">
        <f t="shared" si="127"/>
        <v>9.1270425437950838E-3</v>
      </c>
      <c r="BC305" s="2">
        <f t="shared" si="128"/>
        <v>7.3605181804799061E-4</v>
      </c>
      <c r="BD305" s="2">
        <f t="shared" si="129"/>
        <v>4.4163109082879437E-3</v>
      </c>
      <c r="BF305" t="s">
        <v>2748</v>
      </c>
      <c r="BG305" t="s">
        <v>2722</v>
      </c>
      <c r="BH305" s="1">
        <v>4</v>
      </c>
      <c r="BJ305" s="114">
        <v>8</v>
      </c>
      <c r="BK305" s="116">
        <v>71</v>
      </c>
      <c r="BL305" s="120">
        <f t="shared" si="120"/>
        <v>8071</v>
      </c>
      <c r="BN305" s="5" t="s">
        <v>3154</v>
      </c>
      <c r="BR305" s="63"/>
      <c r="BZ305" s="63">
        <f t="shared" si="119"/>
        <v>6793</v>
      </c>
      <c r="CD305" s="63">
        <v>0</v>
      </c>
      <c r="CE305" s="63">
        <v>0</v>
      </c>
      <c r="CF305" s="63">
        <v>0</v>
      </c>
      <c r="CG305" s="8">
        <v>0</v>
      </c>
      <c r="CH305" s="8">
        <v>0</v>
      </c>
      <c r="CI305" s="8">
        <v>0</v>
      </c>
    </row>
    <row r="306" spans="1:87" hidden="1" outlineLevel="1">
      <c r="A306" t="s">
        <v>1597</v>
      </c>
      <c r="B306" t="s">
        <v>2722</v>
      </c>
      <c r="C306" s="1">
        <f t="shared" si="121"/>
        <v>2436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5</v>
      </c>
      <c r="G306" s="132">
        <f t="shared" si="106"/>
        <v>1483</v>
      </c>
      <c r="H306" s="137">
        <f t="shared" si="107"/>
        <v>0.60878489326765184</v>
      </c>
      <c r="I306" s="2"/>
      <c r="J306" s="2">
        <f t="shared" si="122"/>
        <v>0.16789819376026272</v>
      </c>
      <c r="K306" s="2">
        <f t="shared" si="123"/>
        <v>0.77668308702791466</v>
      </c>
      <c r="L306" s="2">
        <f t="shared" si="124"/>
        <v>4.9261083743842365E-3</v>
      </c>
      <c r="M306" s="2">
        <f t="shared" si="125"/>
        <v>5.0492610837438383E-2</v>
      </c>
      <c r="N306" s="63">
        <v>409</v>
      </c>
      <c r="O306" s="63">
        <v>1892</v>
      </c>
      <c r="P306" s="63">
        <v>12</v>
      </c>
      <c r="Q306" s="63">
        <v>77</v>
      </c>
      <c r="R306" s="63">
        <v>9</v>
      </c>
      <c r="S306" s="63">
        <v>16</v>
      </c>
      <c r="T306" s="63">
        <v>2</v>
      </c>
      <c r="U306" s="63">
        <v>0</v>
      </c>
      <c r="V306" s="63">
        <v>1</v>
      </c>
      <c r="W306" s="63">
        <f>IF(Copyright!B$11=1,IF(CA306&gt;0,CA306-Z306,SUM(CC306:CP306)),SUM(CC306:CP306))</f>
        <v>0</v>
      </c>
      <c r="X306" s="63">
        <v>0</v>
      </c>
      <c r="Y306" s="63">
        <v>3</v>
      </c>
      <c r="Z306" s="63"/>
      <c r="AA306" s="63"/>
      <c r="AB306" s="63"/>
      <c r="AC306" s="63"/>
      <c r="AD306" s="63">
        <v>0</v>
      </c>
      <c r="AE306" s="63">
        <v>0</v>
      </c>
      <c r="AF306" s="63"/>
      <c r="AG306" s="63">
        <v>6</v>
      </c>
      <c r="AH306" s="63">
        <v>0</v>
      </c>
      <c r="AI306" s="63">
        <v>0</v>
      </c>
      <c r="AJ306" s="63"/>
      <c r="AK306" s="63">
        <v>0</v>
      </c>
      <c r="AL306" s="63"/>
      <c r="AM306" s="63">
        <v>0</v>
      </c>
      <c r="AN306" s="63">
        <v>0</v>
      </c>
      <c r="AO306" s="63">
        <v>1</v>
      </c>
      <c r="AP306" s="63">
        <v>1</v>
      </c>
      <c r="AQ306" s="63">
        <v>7</v>
      </c>
      <c r="AR306" s="63"/>
      <c r="AS306" s="63"/>
      <c r="AT306" s="63"/>
      <c r="AU306" s="63"/>
      <c r="AW306" s="5">
        <f>IF(Q306&gt;0,RANK(Q306,(N306:P306,Q306:AE306)),0)</f>
        <v>3</v>
      </c>
      <c r="AX306" s="5">
        <f>IF(R306&gt;0,RANK(R306,(N306:P306,Q306:AE306)),0)</f>
        <v>6</v>
      </c>
      <c r="AY306" s="5">
        <f>IF(T306&gt;0,RANK(T306,(N306:P306,Q306:AE306)),0)</f>
        <v>8</v>
      </c>
      <c r="AZ306" s="5">
        <f>IF(S306&gt;0,RANK(S306,(N306:P306,Q306:AE306)),0)</f>
        <v>4</v>
      </c>
      <c r="BA306" s="2">
        <f t="shared" si="126"/>
        <v>3.1609195402298854E-2</v>
      </c>
      <c r="BB306" s="2">
        <f t="shared" si="127"/>
        <v>3.6945812807881772E-3</v>
      </c>
      <c r="BC306" s="2">
        <f t="shared" si="128"/>
        <v>8.2101806239737272E-4</v>
      </c>
      <c r="BD306" s="2">
        <f t="shared" si="129"/>
        <v>6.5681444991789817E-3</v>
      </c>
      <c r="BF306" t="s">
        <v>1597</v>
      </c>
      <c r="BG306" t="s">
        <v>2722</v>
      </c>
      <c r="BH306" s="1">
        <v>4</v>
      </c>
      <c r="BJ306" s="114">
        <v>8</v>
      </c>
      <c r="BK306" s="116">
        <v>73</v>
      </c>
      <c r="BL306" s="120">
        <f t="shared" si="120"/>
        <v>8073</v>
      </c>
      <c r="BN306" s="5" t="s">
        <v>3154</v>
      </c>
      <c r="BR306" s="63"/>
      <c r="BZ306" s="63">
        <f t="shared" si="119"/>
        <v>2436</v>
      </c>
      <c r="CD306" s="63">
        <v>0</v>
      </c>
      <c r="CE306" s="63">
        <v>0</v>
      </c>
      <c r="CF306" s="63">
        <v>0</v>
      </c>
      <c r="CG306" s="8">
        <v>0</v>
      </c>
      <c r="CH306" s="8">
        <v>0</v>
      </c>
      <c r="CI306" s="8">
        <v>0</v>
      </c>
    </row>
    <row r="307" spans="1:87" hidden="1" outlineLevel="1">
      <c r="A307" t="s">
        <v>844</v>
      </c>
      <c r="B307" t="s">
        <v>2722</v>
      </c>
      <c r="C307" s="1">
        <f t="shared" si="121"/>
        <v>9722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5</v>
      </c>
      <c r="G307" s="132">
        <f t="shared" si="106"/>
        <v>5431</v>
      </c>
      <c r="H307" s="137">
        <f t="shared" si="107"/>
        <v>0.55862991154083519</v>
      </c>
      <c r="I307" s="2"/>
      <c r="J307" s="2">
        <f t="shared" si="122"/>
        <v>0.19039292326681753</v>
      </c>
      <c r="K307" s="2">
        <f t="shared" si="123"/>
        <v>0.74902283480765275</v>
      </c>
      <c r="L307" s="2">
        <f t="shared" si="124"/>
        <v>6.8915860933964207E-3</v>
      </c>
      <c r="M307" s="2">
        <f t="shared" si="125"/>
        <v>5.3692655832133271E-2</v>
      </c>
      <c r="N307" s="63">
        <v>1851</v>
      </c>
      <c r="O307" s="63">
        <v>7282</v>
      </c>
      <c r="P307" s="63">
        <v>67</v>
      </c>
      <c r="Q307" s="63">
        <v>319</v>
      </c>
      <c r="R307" s="63">
        <v>65</v>
      </c>
      <c r="S307" s="63">
        <v>73</v>
      </c>
      <c r="T307" s="63">
        <v>5</v>
      </c>
      <c r="U307" s="63">
        <v>0</v>
      </c>
      <c r="V307" s="63">
        <v>2</v>
      </c>
      <c r="W307" s="63">
        <f>IF(Copyright!B$11=1,IF(CA307&gt;0,CA307-Z307,SUM(CC307:CP307)),SUM(CC307:CP307))</f>
        <v>0</v>
      </c>
      <c r="X307" s="63">
        <v>3</v>
      </c>
      <c r="Y307" s="63">
        <v>5</v>
      </c>
      <c r="Z307" s="63"/>
      <c r="AA307" s="63"/>
      <c r="AB307" s="63"/>
      <c r="AC307" s="63"/>
      <c r="AD307" s="63">
        <v>1</v>
      </c>
      <c r="AE307" s="63">
        <v>1</v>
      </c>
      <c r="AF307" s="63"/>
      <c r="AG307" s="63">
        <v>25</v>
      </c>
      <c r="AH307" s="63">
        <v>6</v>
      </c>
      <c r="AI307" s="63">
        <v>4</v>
      </c>
      <c r="AJ307" s="63"/>
      <c r="AK307" s="63">
        <v>0</v>
      </c>
      <c r="AL307" s="63"/>
      <c r="AM307" s="63">
        <v>4</v>
      </c>
      <c r="AN307" s="63">
        <v>0</v>
      </c>
      <c r="AO307" s="63">
        <v>2</v>
      </c>
      <c r="AP307" s="63">
        <v>1</v>
      </c>
      <c r="AQ307" s="63">
        <v>6</v>
      </c>
      <c r="AR307" s="63"/>
      <c r="AS307" s="63"/>
      <c r="AT307" s="63"/>
      <c r="AU307" s="63"/>
      <c r="AW307" s="5">
        <f>IF(Q307&gt;0,RANK(Q307,(N307:P307,Q307:AE307)),0)</f>
        <v>3</v>
      </c>
      <c r="AX307" s="5">
        <f>IF(R307&gt;0,RANK(R307,(N307:P307,Q307:AE307)),0)</f>
        <v>6</v>
      </c>
      <c r="AY307" s="5">
        <f>IF(T307&gt;0,RANK(T307,(N307:P307,Q307:AE307)),0)</f>
        <v>7</v>
      </c>
      <c r="AZ307" s="5">
        <f>IF(S307&gt;0,RANK(S307,(N307:P307,Q307:AE307)),0)</f>
        <v>4</v>
      </c>
      <c r="BA307" s="2">
        <f t="shared" si="126"/>
        <v>3.2812178564081466E-2</v>
      </c>
      <c r="BB307" s="2">
        <f t="shared" si="127"/>
        <v>6.6858671055338411E-3</v>
      </c>
      <c r="BC307" s="2">
        <f t="shared" si="128"/>
        <v>5.142974696564493E-4</v>
      </c>
      <c r="BD307" s="2">
        <f t="shared" si="129"/>
        <v>7.5087430569841596E-3</v>
      </c>
      <c r="BF307" t="s">
        <v>844</v>
      </c>
      <c r="BG307" t="s">
        <v>2722</v>
      </c>
      <c r="BH307" s="1">
        <v>4</v>
      </c>
      <c r="BJ307" s="114">
        <v>8</v>
      </c>
      <c r="BK307" s="116">
        <v>75</v>
      </c>
      <c r="BL307" s="120">
        <f t="shared" si="120"/>
        <v>8075</v>
      </c>
      <c r="BN307" s="5" t="s">
        <v>3154</v>
      </c>
      <c r="BR307" s="63"/>
      <c r="BZ307" s="63">
        <f t="shared" si="119"/>
        <v>9722</v>
      </c>
      <c r="CD307" s="63">
        <v>0</v>
      </c>
      <c r="CE307" s="63">
        <v>0</v>
      </c>
      <c r="CF307" s="63">
        <v>0</v>
      </c>
      <c r="CG307" s="8">
        <v>0</v>
      </c>
      <c r="CH307" s="8">
        <v>0</v>
      </c>
      <c r="CI307" s="8">
        <v>0</v>
      </c>
    </row>
    <row r="308" spans="1:87" hidden="1" outlineLevel="1">
      <c r="A308" t="s">
        <v>717</v>
      </c>
      <c r="B308" t="s">
        <v>2722</v>
      </c>
      <c r="C308" s="1">
        <f t="shared" si="121"/>
        <v>77654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4</v>
      </c>
      <c r="G308" s="132">
        <f t="shared" si="106"/>
        <v>28050</v>
      </c>
      <c r="H308" s="137">
        <f t="shared" si="107"/>
        <v>0.36121770932598452</v>
      </c>
      <c r="I308" s="2"/>
      <c r="J308" s="2">
        <f t="shared" si="122"/>
        <v>0.27981816776985086</v>
      </c>
      <c r="K308" s="2">
        <f t="shared" si="123"/>
        <v>0.64103587709583543</v>
      </c>
      <c r="L308" s="2">
        <f t="shared" si="124"/>
        <v>1.1332320292579906E-2</v>
      </c>
      <c r="M308" s="2">
        <f t="shared" si="125"/>
        <v>6.7813634841733861E-2</v>
      </c>
      <c r="N308" s="63">
        <v>21729</v>
      </c>
      <c r="O308" s="63">
        <v>49779</v>
      </c>
      <c r="P308" s="63">
        <v>880</v>
      </c>
      <c r="Q308" s="63">
        <v>3675</v>
      </c>
      <c r="R308" s="63">
        <v>712</v>
      </c>
      <c r="S308" s="63">
        <v>442</v>
      </c>
      <c r="T308" s="63">
        <v>34</v>
      </c>
      <c r="U308" s="63">
        <v>2</v>
      </c>
      <c r="V308" s="63">
        <v>10</v>
      </c>
      <c r="W308" s="63">
        <f>IF(Copyright!B$11=1,IF(CA308&gt;0,CA308-Z308,SUM(CC308:CP308)),SUM(CC308:CP308))</f>
        <v>1</v>
      </c>
      <c r="X308" s="63">
        <v>10</v>
      </c>
      <c r="Y308" s="63">
        <v>25</v>
      </c>
      <c r="Z308" s="63"/>
      <c r="AA308" s="63"/>
      <c r="AB308" s="63"/>
      <c r="AC308" s="63"/>
      <c r="AD308" s="63">
        <v>9</v>
      </c>
      <c r="AE308" s="63">
        <v>9</v>
      </c>
      <c r="AF308" s="63"/>
      <c r="AG308" s="63">
        <v>169</v>
      </c>
      <c r="AH308" s="63">
        <v>40</v>
      </c>
      <c r="AI308" s="63">
        <v>6</v>
      </c>
      <c r="AJ308" s="63"/>
      <c r="AK308" s="63">
        <v>4</v>
      </c>
      <c r="AL308" s="63"/>
      <c r="AM308" s="63">
        <v>20</v>
      </c>
      <c r="AN308" s="63">
        <v>11</v>
      </c>
      <c r="AO308" s="63">
        <v>25</v>
      </c>
      <c r="AP308" s="63">
        <v>19</v>
      </c>
      <c r="AQ308" s="63">
        <v>43</v>
      </c>
      <c r="AR308" s="63"/>
      <c r="AS308" s="63"/>
      <c r="AT308" s="63"/>
      <c r="AU308" s="63"/>
      <c r="AW308" s="5">
        <f>IF(Q308&gt;0,RANK(Q308,(N308:P308,Q308:AE308)),0)</f>
        <v>3</v>
      </c>
      <c r="AX308" s="5">
        <f>IF(R308&gt;0,RANK(R308,(N308:P308,Q308:AE308)),0)</f>
        <v>5</v>
      </c>
      <c r="AY308" s="5">
        <f>IF(T308&gt;0,RANK(T308,(N308:P308,Q308:AE308)),0)</f>
        <v>7</v>
      </c>
      <c r="AZ308" s="5">
        <f>IF(S308&gt;0,RANK(S308,(N308:P308,Q308:AE308)),0)</f>
        <v>6</v>
      </c>
      <c r="BA308" s="2">
        <f t="shared" si="126"/>
        <v>4.732531485821722E-2</v>
      </c>
      <c r="BB308" s="2">
        <f t="shared" si="127"/>
        <v>9.1688773276328329E-3</v>
      </c>
      <c r="BC308" s="2">
        <f t="shared" si="128"/>
        <v>4.3783964766785997E-4</v>
      </c>
      <c r="BD308" s="2">
        <f t="shared" si="129"/>
        <v>5.6919154196821801E-3</v>
      </c>
      <c r="BF308" t="s">
        <v>717</v>
      </c>
      <c r="BG308" t="s">
        <v>2722</v>
      </c>
      <c r="BH308" s="1">
        <v>3</v>
      </c>
      <c r="BJ308" s="114">
        <v>8</v>
      </c>
      <c r="BK308" s="116">
        <v>77</v>
      </c>
      <c r="BL308" s="120">
        <f t="shared" si="120"/>
        <v>8077</v>
      </c>
      <c r="BN308" s="5" t="s">
        <v>3154</v>
      </c>
      <c r="BR308" s="63"/>
      <c r="BZ308" s="63">
        <f t="shared" si="119"/>
        <v>77654</v>
      </c>
      <c r="CD308" s="63">
        <v>1</v>
      </c>
      <c r="CE308" s="63">
        <v>0</v>
      </c>
      <c r="CF308" s="63">
        <v>0</v>
      </c>
      <c r="CG308" s="8">
        <v>0</v>
      </c>
      <c r="CH308" s="8">
        <v>0</v>
      </c>
      <c r="CI308" s="8">
        <v>0</v>
      </c>
    </row>
    <row r="309" spans="1:87" hidden="1" outlineLevel="1">
      <c r="A309" t="s">
        <v>1873</v>
      </c>
      <c r="B309" t="s">
        <v>2722</v>
      </c>
      <c r="C309" s="1">
        <f t="shared" si="121"/>
        <v>652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6</v>
      </c>
      <c r="G309" s="132">
        <f t="shared" si="106"/>
        <v>107</v>
      </c>
      <c r="H309" s="137">
        <f t="shared" si="107"/>
        <v>0.16411042944785276</v>
      </c>
      <c r="I309" s="2"/>
      <c r="J309" s="2">
        <f t="shared" si="122"/>
        <v>0.36349693251533743</v>
      </c>
      <c r="K309" s="2">
        <f t="shared" si="123"/>
        <v>0.52760736196319014</v>
      </c>
      <c r="L309" s="2">
        <f t="shared" si="124"/>
        <v>7.6687116564417178E-3</v>
      </c>
      <c r="M309" s="2">
        <f t="shared" si="125"/>
        <v>0.10122699386503071</v>
      </c>
      <c r="N309" s="63">
        <v>237</v>
      </c>
      <c r="O309" s="63">
        <v>344</v>
      </c>
      <c r="P309" s="63">
        <v>5</v>
      </c>
      <c r="Q309" s="63">
        <v>42</v>
      </c>
      <c r="R309" s="63">
        <v>11</v>
      </c>
      <c r="S309" s="63">
        <v>6</v>
      </c>
      <c r="T309" s="63">
        <v>0</v>
      </c>
      <c r="U309" s="63">
        <v>1</v>
      </c>
      <c r="V309" s="63">
        <v>1</v>
      </c>
      <c r="W309" s="63">
        <f>IF(Copyright!B$11=1,IF(CA309&gt;0,CA309-Z309,SUM(CC309:CP309)),SUM(CC309:CP309))</f>
        <v>0</v>
      </c>
      <c r="X309" s="63">
        <v>0</v>
      </c>
      <c r="Y309" s="63">
        <v>0</v>
      </c>
      <c r="Z309" s="63"/>
      <c r="AA309" s="63"/>
      <c r="AB309" s="63"/>
      <c r="AC309" s="63"/>
      <c r="AD309" s="63">
        <v>0</v>
      </c>
      <c r="AE309" s="63">
        <v>1</v>
      </c>
      <c r="AF309" s="63"/>
      <c r="AG309" s="63">
        <v>4</v>
      </c>
      <c r="AH309" s="63">
        <v>0</v>
      </c>
      <c r="AI309" s="63">
        <v>0</v>
      </c>
      <c r="AJ309" s="63"/>
      <c r="AK309" s="63">
        <v>0</v>
      </c>
      <c r="AL309" s="63"/>
      <c r="AM309" s="63">
        <v>0</v>
      </c>
      <c r="AN309" s="63">
        <v>0</v>
      </c>
      <c r="AO309" s="63">
        <v>0</v>
      </c>
      <c r="AP309" s="63">
        <v>0</v>
      </c>
      <c r="AQ309" s="63">
        <v>0</v>
      </c>
      <c r="AR309" s="63"/>
      <c r="AS309" s="63"/>
      <c r="AT309" s="63"/>
      <c r="AU309" s="63"/>
      <c r="AW309" s="5">
        <f>IF(Q309&gt;0,RANK(Q309,(N309:P309,Q309:AE309)),0)</f>
        <v>3</v>
      </c>
      <c r="AX309" s="5">
        <f>IF(R309&gt;0,RANK(R309,(N309:P309,Q309:AE309)),0)</f>
        <v>4</v>
      </c>
      <c r="AY309" s="5">
        <f>IF(T309&gt;0,RANK(T309,(N309:P309,Q309:AE309)),0)</f>
        <v>0</v>
      </c>
      <c r="AZ309" s="5">
        <f>IF(S309&gt;0,RANK(S309,(N309:P309,Q309:AE309)),0)</f>
        <v>5</v>
      </c>
      <c r="BA309" s="2">
        <f t="shared" si="126"/>
        <v>6.4417177914110432E-2</v>
      </c>
      <c r="BB309" s="2">
        <f t="shared" si="127"/>
        <v>1.6871165644171779E-2</v>
      </c>
      <c r="BC309" s="2">
        <f t="shared" si="128"/>
        <v>0</v>
      </c>
      <c r="BD309" s="2">
        <f t="shared" si="129"/>
        <v>9.202453987730062E-3</v>
      </c>
      <c r="BF309" t="s">
        <v>1873</v>
      </c>
      <c r="BG309" t="s">
        <v>2722</v>
      </c>
      <c r="BH309" s="1">
        <v>3</v>
      </c>
      <c r="BJ309" s="114">
        <v>8</v>
      </c>
      <c r="BK309" s="116">
        <v>79</v>
      </c>
      <c r="BL309" s="120">
        <f t="shared" si="120"/>
        <v>8079</v>
      </c>
      <c r="BN309" s="5" t="s">
        <v>3154</v>
      </c>
      <c r="BR309" s="63"/>
      <c r="BZ309" s="63">
        <f t="shared" si="119"/>
        <v>652</v>
      </c>
      <c r="CD309" s="63">
        <v>0</v>
      </c>
      <c r="CE309" s="63">
        <v>0</v>
      </c>
      <c r="CF309" s="63">
        <v>0</v>
      </c>
      <c r="CG309" s="8">
        <v>0</v>
      </c>
      <c r="CH309" s="8">
        <v>0</v>
      </c>
      <c r="CI309" s="8">
        <v>0</v>
      </c>
    </row>
    <row r="310" spans="1:87" hidden="1" outlineLevel="1">
      <c r="A310" t="s">
        <v>1892</v>
      </c>
      <c r="B310" t="s">
        <v>2722</v>
      </c>
      <c r="C310" s="1">
        <f t="shared" si="121"/>
        <v>6525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4</v>
      </c>
      <c r="G310" s="132">
        <f t="shared" si="106"/>
        <v>4431</v>
      </c>
      <c r="H310" s="137">
        <f t="shared" si="107"/>
        <v>0.679080459770115</v>
      </c>
      <c r="I310" s="2"/>
      <c r="J310" s="2">
        <f t="shared" si="122"/>
        <v>0.1339463601532567</v>
      </c>
      <c r="K310" s="2">
        <f t="shared" si="123"/>
        <v>0.81302681992337167</v>
      </c>
      <c r="L310" s="2">
        <f t="shared" si="124"/>
        <v>9.1954022988505746E-3</v>
      </c>
      <c r="M310" s="2">
        <f t="shared" si="125"/>
        <v>4.3831417624521085E-2</v>
      </c>
      <c r="N310" s="63">
        <v>874</v>
      </c>
      <c r="O310" s="63">
        <v>5305</v>
      </c>
      <c r="P310" s="63">
        <v>60</v>
      </c>
      <c r="Q310" s="63">
        <v>179</v>
      </c>
      <c r="R310" s="63">
        <v>31</v>
      </c>
      <c r="S310" s="63">
        <v>41</v>
      </c>
      <c r="T310" s="63">
        <v>0</v>
      </c>
      <c r="U310" s="63">
        <v>0</v>
      </c>
      <c r="V310" s="63">
        <v>0</v>
      </c>
      <c r="W310" s="63">
        <f>IF(Copyright!B$11=1,IF(CA310&gt;0,CA310-Z310,SUM(CC310:CP310)),SUM(CC310:CP310))</f>
        <v>0</v>
      </c>
      <c r="X310" s="63">
        <v>1</v>
      </c>
      <c r="Y310" s="63">
        <v>6</v>
      </c>
      <c r="Z310" s="63"/>
      <c r="AA310" s="63"/>
      <c r="AB310" s="63"/>
      <c r="AC310" s="63"/>
      <c r="AD310" s="63">
        <v>0</v>
      </c>
      <c r="AE310" s="63">
        <v>0</v>
      </c>
      <c r="AF310" s="63"/>
      <c r="AG310" s="63">
        <v>13</v>
      </c>
      <c r="AH310" s="63">
        <v>0</v>
      </c>
      <c r="AI310" s="63">
        <v>0</v>
      </c>
      <c r="AJ310" s="63"/>
      <c r="AK310" s="63">
        <v>0</v>
      </c>
      <c r="AL310" s="63"/>
      <c r="AM310" s="63">
        <v>2</v>
      </c>
      <c r="AN310" s="63">
        <v>0</v>
      </c>
      <c r="AO310" s="63">
        <v>4</v>
      </c>
      <c r="AP310" s="63">
        <v>2</v>
      </c>
      <c r="AQ310" s="63">
        <v>7</v>
      </c>
      <c r="AR310" s="63"/>
      <c r="AS310" s="63"/>
      <c r="AT310" s="63"/>
      <c r="AU310" s="63"/>
      <c r="AW310" s="5">
        <f>IF(Q310&gt;0,RANK(Q310,(N310:P310,Q310:AE310)),0)</f>
        <v>3</v>
      </c>
      <c r="AX310" s="5">
        <f>IF(R310&gt;0,RANK(R310,(N310:P310,Q310:AE310)),0)</f>
        <v>6</v>
      </c>
      <c r="AY310" s="5">
        <f>IF(T310&gt;0,RANK(T310,(N310:P310,Q310:AE310)),0)</f>
        <v>0</v>
      </c>
      <c r="AZ310" s="5">
        <f>IF(S310&gt;0,RANK(S310,(N310:P310,Q310:AE310)),0)</f>
        <v>5</v>
      </c>
      <c r="BA310" s="2">
        <f t="shared" si="126"/>
        <v>2.7432950191570882E-2</v>
      </c>
      <c r="BB310" s="2">
        <f t="shared" si="127"/>
        <v>4.7509578544061301E-3</v>
      </c>
      <c r="BC310" s="2">
        <f t="shared" si="128"/>
        <v>0</v>
      </c>
      <c r="BD310" s="2">
        <f t="shared" si="129"/>
        <v>6.2835249042145595E-3</v>
      </c>
      <c r="BF310" t="s">
        <v>1892</v>
      </c>
      <c r="BG310" t="s">
        <v>2722</v>
      </c>
      <c r="BH310" s="1">
        <v>3</v>
      </c>
      <c r="BJ310" s="114">
        <v>8</v>
      </c>
      <c r="BK310" s="116">
        <v>81</v>
      </c>
      <c r="BL310" s="120">
        <f t="shared" si="120"/>
        <v>8081</v>
      </c>
      <c r="BN310" s="5" t="s">
        <v>3154</v>
      </c>
      <c r="BR310" s="63"/>
      <c r="BZ310" s="63">
        <f t="shared" si="119"/>
        <v>6525</v>
      </c>
      <c r="CD310" s="63">
        <v>0</v>
      </c>
      <c r="CE310" s="63">
        <v>0</v>
      </c>
      <c r="CF310" s="63">
        <v>0</v>
      </c>
      <c r="CG310" s="8">
        <v>0</v>
      </c>
      <c r="CH310" s="8">
        <v>0</v>
      </c>
      <c r="CI310" s="8">
        <v>0</v>
      </c>
    </row>
    <row r="311" spans="1:87" hidden="1" outlineLevel="1">
      <c r="A311" t="s">
        <v>1893</v>
      </c>
      <c r="B311" t="s">
        <v>2722</v>
      </c>
      <c r="C311" s="1">
        <f t="shared" si="121"/>
        <v>12858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5</v>
      </c>
      <c r="G311" s="132">
        <f t="shared" si="106"/>
        <v>3880</v>
      </c>
      <c r="H311" s="137">
        <f t="shared" si="107"/>
        <v>0.30175766060040443</v>
      </c>
      <c r="I311" s="2"/>
      <c r="J311" s="2">
        <f t="shared" si="122"/>
        <v>0.30899051174366154</v>
      </c>
      <c r="K311" s="2">
        <f t="shared" si="123"/>
        <v>0.61074817234406598</v>
      </c>
      <c r="L311" s="2">
        <f t="shared" si="124"/>
        <v>1.0032664489034065E-2</v>
      </c>
      <c r="M311" s="2">
        <f t="shared" si="125"/>
        <v>7.022865142323842E-2</v>
      </c>
      <c r="N311" s="63">
        <v>3973</v>
      </c>
      <c r="O311" s="63">
        <v>7853</v>
      </c>
      <c r="P311" s="63">
        <v>129</v>
      </c>
      <c r="Q311" s="63">
        <v>544</v>
      </c>
      <c r="R311" s="63">
        <v>235</v>
      </c>
      <c r="S311" s="63">
        <v>58</v>
      </c>
      <c r="T311" s="63">
        <v>7</v>
      </c>
      <c r="U311" s="63">
        <v>2</v>
      </c>
      <c r="V311" s="63">
        <v>1</v>
      </c>
      <c r="W311" s="63">
        <f>IF(Copyright!B$11=1,IF(CA311&gt;0,CA311-Z311,SUM(CC311:CP311)),SUM(CC311:CP311))</f>
        <v>0</v>
      </c>
      <c r="X311" s="63">
        <v>5</v>
      </c>
      <c r="Y311" s="63">
        <v>1</v>
      </c>
      <c r="Z311" s="63"/>
      <c r="AA311" s="63"/>
      <c r="AB311" s="63"/>
      <c r="AC311" s="63"/>
      <c r="AD311" s="63">
        <v>0</v>
      </c>
      <c r="AE311" s="63">
        <v>3</v>
      </c>
      <c r="AF311" s="63"/>
      <c r="AG311" s="63">
        <v>26</v>
      </c>
      <c r="AH311" s="63">
        <v>4</v>
      </c>
      <c r="AI311" s="63">
        <v>2</v>
      </c>
      <c r="AJ311" s="63"/>
      <c r="AK311" s="63">
        <v>0</v>
      </c>
      <c r="AL311" s="63"/>
      <c r="AM311" s="63">
        <v>5</v>
      </c>
      <c r="AN311" s="63">
        <v>0</v>
      </c>
      <c r="AO311" s="63">
        <v>5</v>
      </c>
      <c r="AP311" s="63">
        <v>0</v>
      </c>
      <c r="AQ311" s="63">
        <v>5</v>
      </c>
      <c r="AR311" s="63"/>
      <c r="AS311" s="63"/>
      <c r="AT311" s="63"/>
      <c r="AU311" s="63"/>
      <c r="AW311" s="5">
        <f>IF(Q311&gt;0,RANK(Q311,(N311:P311,Q311:AE311)),0)</f>
        <v>3</v>
      </c>
      <c r="AX311" s="5">
        <f>IF(R311&gt;0,RANK(R311,(N311:P311,Q311:AE311)),0)</f>
        <v>4</v>
      </c>
      <c r="AY311" s="5">
        <f>IF(T311&gt;0,RANK(T311,(N311:P311,Q311:AE311)),0)</f>
        <v>7</v>
      </c>
      <c r="AZ311" s="5">
        <f>IF(S311&gt;0,RANK(S311,(N311:P311,Q311:AE311)),0)</f>
        <v>6</v>
      </c>
      <c r="BA311" s="2">
        <f t="shared" si="126"/>
        <v>4.2308290558407215E-2</v>
      </c>
      <c r="BB311" s="2">
        <f t="shared" si="127"/>
        <v>1.8276559340488413E-2</v>
      </c>
      <c r="BC311" s="2">
        <f t="shared" si="128"/>
        <v>5.4440815056773994E-4</v>
      </c>
      <c r="BD311" s="2">
        <f t="shared" si="129"/>
        <v>4.5108103904184169E-3</v>
      </c>
      <c r="BF311" t="s">
        <v>1893</v>
      </c>
      <c r="BG311" t="s">
        <v>2722</v>
      </c>
      <c r="BH311" s="1">
        <v>3</v>
      </c>
      <c r="BJ311" s="114">
        <v>8</v>
      </c>
      <c r="BK311" s="116">
        <v>83</v>
      </c>
      <c r="BL311" s="120">
        <f t="shared" si="120"/>
        <v>8083</v>
      </c>
      <c r="BN311" s="5" t="s">
        <v>3154</v>
      </c>
      <c r="BR311" s="63"/>
      <c r="BZ311" s="63">
        <f t="shared" si="119"/>
        <v>12858</v>
      </c>
      <c r="CD311" s="63">
        <v>0</v>
      </c>
      <c r="CE311" s="63">
        <v>0</v>
      </c>
      <c r="CF311" s="63">
        <v>0</v>
      </c>
      <c r="CG311" s="8">
        <v>0</v>
      </c>
      <c r="CH311" s="8">
        <v>0</v>
      </c>
      <c r="CI311" s="8">
        <v>0</v>
      </c>
    </row>
    <row r="312" spans="1:87" hidden="1" outlineLevel="1">
      <c r="A312" t="s">
        <v>1908</v>
      </c>
      <c r="B312" t="s">
        <v>2722</v>
      </c>
      <c r="C312" s="1">
        <f t="shared" si="121"/>
        <v>21186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4</v>
      </c>
      <c r="G312" s="132">
        <f t="shared" si="106"/>
        <v>8916</v>
      </c>
      <c r="H312" s="137">
        <f t="shared" si="107"/>
        <v>0.42084395355423393</v>
      </c>
      <c r="I312" s="2"/>
      <c r="J312" s="2">
        <f t="shared" si="122"/>
        <v>0.25800056641178137</v>
      </c>
      <c r="K312" s="2">
        <f t="shared" si="123"/>
        <v>0.67884451996601525</v>
      </c>
      <c r="L312" s="2">
        <f t="shared" si="124"/>
        <v>9.9594071556688372E-3</v>
      </c>
      <c r="M312" s="2">
        <f t="shared" si="125"/>
        <v>5.3195506466534544E-2</v>
      </c>
      <c r="N312" s="63">
        <v>5466</v>
      </c>
      <c r="O312" s="63">
        <v>14382</v>
      </c>
      <c r="P312" s="63">
        <v>211</v>
      </c>
      <c r="Q312" s="63">
        <v>735</v>
      </c>
      <c r="R312" s="63">
        <v>138</v>
      </c>
      <c r="S312" s="63">
        <v>144</v>
      </c>
      <c r="T312" s="63">
        <v>11</v>
      </c>
      <c r="U312" s="63">
        <v>2</v>
      </c>
      <c r="V312" s="63">
        <v>3</v>
      </c>
      <c r="W312" s="63">
        <f>IF(Copyright!B$11=1,IF(CA312&gt;0,CA312-Z312,SUM(CC312:CP312)),SUM(CC312:CP312))</f>
        <v>0</v>
      </c>
      <c r="X312" s="63">
        <v>15</v>
      </c>
      <c r="Y312" s="63">
        <v>3</v>
      </c>
      <c r="Z312" s="63"/>
      <c r="AA312" s="63"/>
      <c r="AB312" s="63"/>
      <c r="AC312" s="63"/>
      <c r="AD312" s="63">
        <v>2</v>
      </c>
      <c r="AE312" s="63">
        <v>4</v>
      </c>
      <c r="AF312" s="63"/>
      <c r="AG312" s="63">
        <v>33</v>
      </c>
      <c r="AH312" s="63">
        <v>4</v>
      </c>
      <c r="AI312" s="63">
        <v>3</v>
      </c>
      <c r="AJ312" s="63"/>
      <c r="AK312" s="63">
        <v>3</v>
      </c>
      <c r="AL312" s="63"/>
      <c r="AM312" s="63">
        <v>6</v>
      </c>
      <c r="AN312" s="63">
        <v>2</v>
      </c>
      <c r="AO312" s="63">
        <v>5</v>
      </c>
      <c r="AP312" s="63">
        <v>3</v>
      </c>
      <c r="AQ312" s="63">
        <v>11</v>
      </c>
      <c r="AR312" s="63"/>
      <c r="AS312" s="63"/>
      <c r="AT312" s="63"/>
      <c r="AU312" s="63"/>
      <c r="AW312" s="5">
        <f>IF(Q312&gt;0,RANK(Q312,(N312:P312,Q312:AE312)),0)</f>
        <v>3</v>
      </c>
      <c r="AX312" s="5">
        <f>IF(R312&gt;0,RANK(R312,(N312:P312,Q312:AE312)),0)</f>
        <v>6</v>
      </c>
      <c r="AY312" s="5">
        <f>IF(T312&gt;0,RANK(T312,(N312:P312,Q312:AE312)),0)</f>
        <v>8</v>
      </c>
      <c r="AZ312" s="5">
        <f>IF(S312&gt;0,RANK(S312,(N312:P312,Q312:AE312)),0)</f>
        <v>5</v>
      </c>
      <c r="BA312" s="2">
        <f t="shared" si="126"/>
        <v>3.4692721608609457E-2</v>
      </c>
      <c r="BB312" s="2">
        <f t="shared" si="127"/>
        <v>6.5137354856981029E-3</v>
      </c>
      <c r="BC312" s="2">
        <f t="shared" si="128"/>
        <v>5.1921079958463135E-4</v>
      </c>
      <c r="BD312" s="2">
        <f t="shared" si="129"/>
        <v>6.7969413763806288E-3</v>
      </c>
      <c r="BF312" t="s">
        <v>1908</v>
      </c>
      <c r="BG312" t="s">
        <v>2722</v>
      </c>
      <c r="BH312" s="1">
        <v>3</v>
      </c>
      <c r="BJ312" s="114">
        <v>8</v>
      </c>
      <c r="BK312" s="116">
        <v>85</v>
      </c>
      <c r="BL312" s="120">
        <f t="shared" si="120"/>
        <v>8085</v>
      </c>
      <c r="BN312" s="5" t="s">
        <v>3154</v>
      </c>
      <c r="BR312" s="63"/>
      <c r="BZ312" s="63">
        <f t="shared" si="119"/>
        <v>21186</v>
      </c>
      <c r="CD312" s="63">
        <v>0</v>
      </c>
      <c r="CE312" s="63">
        <v>0</v>
      </c>
      <c r="CF312" s="63">
        <v>0</v>
      </c>
      <c r="CG312" s="8">
        <v>0</v>
      </c>
      <c r="CH312" s="8">
        <v>0</v>
      </c>
      <c r="CI312" s="8">
        <v>0</v>
      </c>
    </row>
    <row r="313" spans="1:87" hidden="1" outlineLevel="1">
      <c r="A313" t="s">
        <v>1145</v>
      </c>
      <c r="B313" t="s">
        <v>2722</v>
      </c>
      <c r="C313" s="1">
        <f t="shared" si="121"/>
        <v>11960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4</v>
      </c>
      <c r="G313" s="132">
        <f t="shared" si="106"/>
        <v>4994</v>
      </c>
      <c r="H313" s="137">
        <f t="shared" si="107"/>
        <v>0.41755852842809366</v>
      </c>
      <c r="I313" s="2"/>
      <c r="J313" s="2">
        <f t="shared" si="122"/>
        <v>0.26346153846153847</v>
      </c>
      <c r="K313" s="2">
        <f t="shared" si="123"/>
        <v>0.68102006688963213</v>
      </c>
      <c r="L313" s="2">
        <f t="shared" si="124"/>
        <v>6.688963210702341E-3</v>
      </c>
      <c r="M313" s="2">
        <f t="shared" si="125"/>
        <v>4.8829431438127117E-2</v>
      </c>
      <c r="N313" s="63">
        <v>3151</v>
      </c>
      <c r="O313" s="63">
        <v>8145</v>
      </c>
      <c r="P313" s="63">
        <v>80</v>
      </c>
      <c r="Q313" s="63">
        <v>350</v>
      </c>
      <c r="R313" s="63">
        <v>80</v>
      </c>
      <c r="S313" s="63">
        <v>74</v>
      </c>
      <c r="T313" s="63">
        <v>6</v>
      </c>
      <c r="U313" s="63">
        <v>0</v>
      </c>
      <c r="V313" s="63">
        <v>4</v>
      </c>
      <c r="W313" s="63">
        <f>IF(Copyright!B$11=1,IF(CA313&gt;0,CA313-Z313,SUM(CC313:CP313)),SUM(CC313:CP313))</f>
        <v>0</v>
      </c>
      <c r="X313" s="63">
        <v>1</v>
      </c>
      <c r="Y313" s="63">
        <v>0</v>
      </c>
      <c r="Z313" s="63"/>
      <c r="AA313" s="63"/>
      <c r="AB313" s="63"/>
      <c r="AC313" s="63"/>
      <c r="AD313" s="63">
        <v>2</v>
      </c>
      <c r="AE313" s="63">
        <v>3</v>
      </c>
      <c r="AF313" s="63"/>
      <c r="AG313" s="63">
        <v>30</v>
      </c>
      <c r="AH313" s="63">
        <v>8</v>
      </c>
      <c r="AI313" s="63">
        <v>2</v>
      </c>
      <c r="AJ313" s="63"/>
      <c r="AK313" s="63">
        <v>1</v>
      </c>
      <c r="AL313" s="63"/>
      <c r="AM313" s="63">
        <v>4</v>
      </c>
      <c r="AN313" s="63">
        <v>2</v>
      </c>
      <c r="AO313" s="63">
        <v>7</v>
      </c>
      <c r="AP313" s="63">
        <v>4</v>
      </c>
      <c r="AQ313" s="63">
        <v>6</v>
      </c>
      <c r="AR313" s="63"/>
      <c r="AS313" s="63"/>
      <c r="AT313" s="63"/>
      <c r="AU313" s="63"/>
      <c r="AW313" s="5">
        <f>IF(Q313&gt;0,RANK(Q313,(N313:P313,Q313:AE313)),0)</f>
        <v>3</v>
      </c>
      <c r="AX313" s="5">
        <f>IF(R313&gt;0,RANK(R313,(N313:P313,Q313:AE313)),0)</f>
        <v>4</v>
      </c>
      <c r="AY313" s="5">
        <f>IF(T313&gt;0,RANK(T313,(N313:P313,Q313:AE313)),0)</f>
        <v>7</v>
      </c>
      <c r="AZ313" s="5">
        <f>IF(S313&gt;0,RANK(S313,(N313:P313,Q313:AE313)),0)</f>
        <v>6</v>
      </c>
      <c r="BA313" s="2">
        <f t="shared" si="126"/>
        <v>2.9264214046822744E-2</v>
      </c>
      <c r="BB313" s="2">
        <f t="shared" si="127"/>
        <v>6.688963210702341E-3</v>
      </c>
      <c r="BC313" s="2">
        <f t="shared" si="128"/>
        <v>5.0167224080267553E-4</v>
      </c>
      <c r="BD313" s="2">
        <f t="shared" si="129"/>
        <v>6.1872909698996656E-3</v>
      </c>
      <c r="BF313" t="s">
        <v>1145</v>
      </c>
      <c r="BG313" t="s">
        <v>2722</v>
      </c>
      <c r="BH313" s="1">
        <v>4</v>
      </c>
      <c r="BJ313" s="114">
        <v>8</v>
      </c>
      <c r="BK313" s="116">
        <v>87</v>
      </c>
      <c r="BL313" s="120">
        <f t="shared" si="120"/>
        <v>8087</v>
      </c>
      <c r="BN313" s="5" t="s">
        <v>3154</v>
      </c>
      <c r="BR313" s="63"/>
      <c r="BZ313" s="63">
        <f t="shared" si="119"/>
        <v>11960</v>
      </c>
      <c r="CD313" s="63">
        <v>0</v>
      </c>
      <c r="CE313" s="63">
        <v>0</v>
      </c>
      <c r="CF313" s="63">
        <v>0</v>
      </c>
      <c r="CG313" s="8">
        <v>0</v>
      </c>
      <c r="CH313" s="8">
        <v>0</v>
      </c>
      <c r="CI313" s="8">
        <v>0</v>
      </c>
    </row>
    <row r="314" spans="1:87" hidden="1" outlineLevel="1">
      <c r="A314" t="s">
        <v>2051</v>
      </c>
      <c r="B314" t="s">
        <v>2722</v>
      </c>
      <c r="C314" s="1">
        <f t="shared" si="121"/>
        <v>8452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>IF(P314&gt;0,RANK(P314,(N314:P314,Q314:AE314)),0)</f>
        <v>6</v>
      </c>
      <c r="G314" s="132">
        <f t="shared" si="106"/>
        <v>1985</v>
      </c>
      <c r="H314" s="137">
        <f t="shared" si="107"/>
        <v>0.23485565546616186</v>
      </c>
      <c r="I314" s="2"/>
      <c r="J314" s="2">
        <f t="shared" si="122"/>
        <v>0.34820160908660674</v>
      </c>
      <c r="K314" s="2">
        <f t="shared" si="123"/>
        <v>0.58305726455276863</v>
      </c>
      <c r="L314" s="2">
        <f t="shared" si="124"/>
        <v>6.0340747752011354E-3</v>
      </c>
      <c r="M314" s="2">
        <f t="shared" si="125"/>
        <v>6.2707051585423543E-2</v>
      </c>
      <c r="N314" s="63">
        <v>2943</v>
      </c>
      <c r="O314" s="63">
        <v>4928</v>
      </c>
      <c r="P314" s="63">
        <v>51</v>
      </c>
      <c r="Q314" s="63">
        <v>320</v>
      </c>
      <c r="R314" s="63">
        <v>57</v>
      </c>
      <c r="S314" s="63">
        <v>63</v>
      </c>
      <c r="T314" s="63">
        <v>12</v>
      </c>
      <c r="U314" s="63">
        <v>0</v>
      </c>
      <c r="V314" s="63">
        <v>1</v>
      </c>
      <c r="W314" s="63">
        <f>IF(Copyright!B$11=1,IF(CA314&gt;0,CA314-Z314,SUM(CC314:CP314)),SUM(CC314:CP314))</f>
        <v>0</v>
      </c>
      <c r="X314" s="63">
        <v>0</v>
      </c>
      <c r="Y314" s="63">
        <v>7</v>
      </c>
      <c r="Z314" s="63"/>
      <c r="AA314" s="63"/>
      <c r="AB314" s="63"/>
      <c r="AC314" s="63"/>
      <c r="AD314" s="63">
        <v>0</v>
      </c>
      <c r="AE314" s="63">
        <v>1</v>
      </c>
      <c r="AF314" s="63"/>
      <c r="AG314" s="63">
        <v>34</v>
      </c>
      <c r="AH314" s="63">
        <v>6</v>
      </c>
      <c r="AI314" s="63">
        <v>0</v>
      </c>
      <c r="AJ314" s="63"/>
      <c r="AK314" s="63">
        <v>0</v>
      </c>
      <c r="AL314" s="63"/>
      <c r="AM314" s="63">
        <v>7</v>
      </c>
      <c r="AN314" s="63">
        <v>4</v>
      </c>
      <c r="AO314" s="63">
        <v>7</v>
      </c>
      <c r="AP314" s="63">
        <v>5</v>
      </c>
      <c r="AQ314" s="63">
        <v>6</v>
      </c>
      <c r="AR314" s="63"/>
      <c r="AS314" s="63"/>
      <c r="AT314" s="63"/>
      <c r="AU314" s="63"/>
      <c r="AW314" s="5">
        <f>IF(Q314&gt;0,RANK(Q314,(N314:P314,Q314:AE314)),0)</f>
        <v>3</v>
      </c>
      <c r="AX314" s="5">
        <f>IF(R314&gt;0,RANK(R314,(N314:P314,Q314:AE314)),0)</f>
        <v>5</v>
      </c>
      <c r="AY314" s="5">
        <f>IF(T314&gt;0,RANK(T314,(N314:P314,Q314:AE314)),0)</f>
        <v>7</v>
      </c>
      <c r="AZ314" s="5">
        <f>IF(S314&gt;0,RANK(S314,(N314:P314,Q314:AE314)),0)</f>
        <v>4</v>
      </c>
      <c r="BA314" s="2">
        <f t="shared" si="126"/>
        <v>3.7860861334595361E-2</v>
      </c>
      <c r="BB314" s="2">
        <f t="shared" si="127"/>
        <v>6.7439659252247989E-3</v>
      </c>
      <c r="BC314" s="2">
        <f t="shared" si="128"/>
        <v>1.419782300047326E-3</v>
      </c>
      <c r="BD314" s="2">
        <f t="shared" si="129"/>
        <v>7.4538570752484615E-3</v>
      </c>
      <c r="BF314" t="s">
        <v>2051</v>
      </c>
      <c r="BG314" t="s">
        <v>2722</v>
      </c>
      <c r="BH314" s="1">
        <v>4</v>
      </c>
      <c r="BJ314" s="114">
        <v>8</v>
      </c>
      <c r="BK314" s="116">
        <v>89</v>
      </c>
      <c r="BL314" s="120">
        <f t="shared" si="120"/>
        <v>8089</v>
      </c>
      <c r="BN314" s="5" t="s">
        <v>3154</v>
      </c>
      <c r="BR314" s="63"/>
      <c r="BZ314" s="63">
        <f t="shared" si="119"/>
        <v>8452</v>
      </c>
      <c r="CD314" s="63">
        <v>0</v>
      </c>
      <c r="CE314" s="63">
        <v>0</v>
      </c>
      <c r="CF314" s="63">
        <v>0</v>
      </c>
      <c r="CG314" s="8">
        <v>0</v>
      </c>
      <c r="CH314" s="8">
        <v>0</v>
      </c>
      <c r="CI314" s="8">
        <v>0</v>
      </c>
    </row>
    <row r="315" spans="1:87" hidden="1" outlineLevel="1">
      <c r="A315" t="s">
        <v>2155</v>
      </c>
      <c r="B315" t="s">
        <v>2722</v>
      </c>
      <c r="C315" s="1">
        <f t="shared" si="121"/>
        <v>3310</v>
      </c>
      <c r="D315" s="5">
        <f>IF(N315&gt;0, RANK(N315,(N315:P315,Q315:AE315)),0)</f>
        <v>1</v>
      </c>
      <c r="E315" s="5">
        <f>IF(O315&gt;0,RANK(O315,(N315:P315,Q315:AE315)),0)</f>
        <v>2</v>
      </c>
      <c r="F315" s="5">
        <f>IF(P315&gt;0,RANK(P315,(N315:P315,Q315:AE315)),0)</f>
        <v>5</v>
      </c>
      <c r="G315" s="132">
        <f t="shared" si="106"/>
        <v>346</v>
      </c>
      <c r="H315" s="137">
        <f t="shared" si="107"/>
        <v>0.10453172205438066</v>
      </c>
      <c r="I315" s="2"/>
      <c r="J315" s="2">
        <f t="shared" si="122"/>
        <v>0.51268882175226582</v>
      </c>
      <c r="K315" s="2">
        <f t="shared" si="123"/>
        <v>0.40815709969788522</v>
      </c>
      <c r="L315" s="2">
        <f t="shared" si="124"/>
        <v>1.1178247734138972E-2</v>
      </c>
      <c r="M315" s="2">
        <f t="shared" si="125"/>
        <v>6.7975830815709987E-2</v>
      </c>
      <c r="N315" s="63">
        <v>1697</v>
      </c>
      <c r="O315" s="63">
        <v>1351</v>
      </c>
      <c r="P315" s="63">
        <v>37</v>
      </c>
      <c r="Q315" s="63">
        <v>150</v>
      </c>
      <c r="R315" s="63">
        <v>61</v>
      </c>
      <c r="S315" s="63">
        <v>7</v>
      </c>
      <c r="T315" s="63">
        <v>0</v>
      </c>
      <c r="U315" s="63">
        <v>0</v>
      </c>
      <c r="V315" s="63">
        <v>1</v>
      </c>
      <c r="W315" s="63">
        <f>IF(Copyright!B$11=1,IF(CA315&gt;0,CA315-Z315,SUM(CC315:CP315)),SUM(CC315:CP315))</f>
        <v>0</v>
      </c>
      <c r="X315" s="63">
        <v>0</v>
      </c>
      <c r="Y315" s="63">
        <v>0</v>
      </c>
      <c r="Z315" s="63"/>
      <c r="AA315" s="63"/>
      <c r="AB315" s="63"/>
      <c r="AC315" s="63"/>
      <c r="AD315" s="63">
        <v>1</v>
      </c>
      <c r="AE315" s="63">
        <v>0</v>
      </c>
      <c r="AF315" s="63"/>
      <c r="AG315" s="63">
        <v>3</v>
      </c>
      <c r="AH315" s="63">
        <v>0</v>
      </c>
      <c r="AI315" s="63">
        <v>0</v>
      </c>
      <c r="AJ315" s="63"/>
      <c r="AK315" s="63">
        <v>0</v>
      </c>
      <c r="AL315" s="63"/>
      <c r="AM315" s="63">
        <v>1</v>
      </c>
      <c r="AN315" s="63">
        <v>0</v>
      </c>
      <c r="AO315" s="63">
        <v>1</v>
      </c>
      <c r="AP315" s="63">
        <v>0</v>
      </c>
      <c r="AQ315" s="63">
        <v>0</v>
      </c>
      <c r="AR315" s="63"/>
      <c r="AS315" s="63"/>
      <c r="AT315" s="63"/>
      <c r="AU315" s="63"/>
      <c r="AW315" s="5">
        <f>IF(Q315&gt;0,RANK(Q315,(N315:P315,Q315:AE315)),0)</f>
        <v>3</v>
      </c>
      <c r="AX315" s="5">
        <f>IF(R315&gt;0,RANK(R315,(N315:P315,Q315:AE315)),0)</f>
        <v>4</v>
      </c>
      <c r="AY315" s="5">
        <f>IF(T315&gt;0,RANK(T315,(N315:P315,Q315:AE315)),0)</f>
        <v>0</v>
      </c>
      <c r="AZ315" s="5">
        <f>IF(S315&gt;0,RANK(S315,(N315:P315,Q315:AE315)),0)</f>
        <v>6</v>
      </c>
      <c r="BA315" s="2">
        <f t="shared" si="126"/>
        <v>4.5317220543806644E-2</v>
      </c>
      <c r="BB315" s="2">
        <f t="shared" si="127"/>
        <v>1.8429003021148038E-2</v>
      </c>
      <c r="BC315" s="2">
        <f t="shared" si="128"/>
        <v>0</v>
      </c>
      <c r="BD315" s="2">
        <f t="shared" si="129"/>
        <v>2.1148036253776435E-3</v>
      </c>
      <c r="BF315" t="s">
        <v>2155</v>
      </c>
      <c r="BG315" t="s">
        <v>2722</v>
      </c>
      <c r="BH315" s="1">
        <v>3</v>
      </c>
      <c r="BJ315" s="114">
        <v>8</v>
      </c>
      <c r="BK315" s="116">
        <v>91</v>
      </c>
      <c r="BL315" s="120">
        <f t="shared" si="120"/>
        <v>8091</v>
      </c>
      <c r="BN315" s="5" t="s">
        <v>3154</v>
      </c>
      <c r="BR315" s="63"/>
      <c r="BZ315" s="63">
        <f t="shared" si="119"/>
        <v>3310</v>
      </c>
      <c r="CD315" s="63">
        <v>0</v>
      </c>
      <c r="CE315" s="63">
        <v>0</v>
      </c>
      <c r="CF315" s="63">
        <v>0</v>
      </c>
      <c r="CG315" s="8">
        <v>0</v>
      </c>
      <c r="CH315" s="8">
        <v>0</v>
      </c>
      <c r="CI315" s="8">
        <v>0</v>
      </c>
    </row>
    <row r="316" spans="1:87" hidden="1" outlineLevel="1">
      <c r="A316" t="s">
        <v>2780</v>
      </c>
      <c r="B316" t="s">
        <v>2722</v>
      </c>
      <c r="C316" s="1">
        <f t="shared" si="121"/>
        <v>10417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5</v>
      </c>
      <c r="G316" s="132">
        <f t="shared" si="106"/>
        <v>2714</v>
      </c>
      <c r="H316" s="137">
        <f t="shared" si="107"/>
        <v>0.26053566285878854</v>
      </c>
      <c r="I316" s="2"/>
      <c r="J316" s="2">
        <f t="shared" si="122"/>
        <v>0.32840549102428723</v>
      </c>
      <c r="K316" s="2">
        <f t="shared" si="123"/>
        <v>0.58894115388307577</v>
      </c>
      <c r="L316" s="2">
        <f t="shared" si="124"/>
        <v>6.8157818949793605E-3</v>
      </c>
      <c r="M316" s="2">
        <f t="shared" si="125"/>
        <v>7.5837573197657576E-2</v>
      </c>
      <c r="N316" s="63">
        <v>3421</v>
      </c>
      <c r="O316" s="63">
        <v>6135</v>
      </c>
      <c r="P316" s="63">
        <v>71</v>
      </c>
      <c r="Q316" s="63">
        <v>509</v>
      </c>
      <c r="R316" s="63">
        <v>169</v>
      </c>
      <c r="S316" s="63">
        <v>58</v>
      </c>
      <c r="T316" s="63">
        <v>3</v>
      </c>
      <c r="U316" s="63">
        <v>0</v>
      </c>
      <c r="V316" s="63">
        <v>1</v>
      </c>
      <c r="W316" s="63">
        <f>IF(Copyright!B$11=1,IF(CA316&gt;0,CA316-Z316,SUM(CC316:CP316)),SUM(CC316:CP316))</f>
        <v>0</v>
      </c>
      <c r="X316" s="63">
        <v>2</v>
      </c>
      <c r="Y316" s="63">
        <v>3</v>
      </c>
      <c r="Z316" s="63"/>
      <c r="AA316" s="63"/>
      <c r="AB316" s="63"/>
      <c r="AC316" s="63"/>
      <c r="AD316" s="63">
        <v>0</v>
      </c>
      <c r="AE316" s="63">
        <v>0</v>
      </c>
      <c r="AF316" s="63"/>
      <c r="AG316" s="63">
        <v>22</v>
      </c>
      <c r="AH316" s="63">
        <v>5</v>
      </c>
      <c r="AI316" s="63">
        <v>2</v>
      </c>
      <c r="AJ316" s="63"/>
      <c r="AK316" s="63">
        <v>1</v>
      </c>
      <c r="AL316" s="63"/>
      <c r="AM316" s="63">
        <v>2</v>
      </c>
      <c r="AN316" s="63">
        <v>1</v>
      </c>
      <c r="AO316" s="63">
        <v>4</v>
      </c>
      <c r="AP316" s="63">
        <v>2</v>
      </c>
      <c r="AQ316" s="63">
        <v>6</v>
      </c>
      <c r="AR316" s="63"/>
      <c r="AS316" s="63"/>
      <c r="AT316" s="63"/>
      <c r="AU316" s="63"/>
      <c r="AW316" s="5">
        <f>IF(Q316&gt;0,RANK(Q316,(N316:P316,Q316:AE316)),0)</f>
        <v>3</v>
      </c>
      <c r="AX316" s="5">
        <f>IF(R316&gt;0,RANK(R316,(N316:P316,Q316:AE316)),0)</f>
        <v>4</v>
      </c>
      <c r="AY316" s="5">
        <f>IF(T316&gt;0,RANK(T316,(N316:P316,Q316:AE316)),0)</f>
        <v>7</v>
      </c>
      <c r="AZ316" s="5">
        <f>IF(S316&gt;0,RANK(S316,(N316:P316,Q316:AE316)),0)</f>
        <v>6</v>
      </c>
      <c r="BA316" s="2">
        <f t="shared" si="126"/>
        <v>4.8862436402035136E-2</v>
      </c>
      <c r="BB316" s="2">
        <f t="shared" si="127"/>
        <v>1.6223480848612845E-2</v>
      </c>
      <c r="BC316" s="2">
        <f t="shared" si="128"/>
        <v>2.8799078429490258E-4</v>
      </c>
      <c r="BD316" s="2">
        <f t="shared" si="129"/>
        <v>5.5678218297014496E-3</v>
      </c>
      <c r="BF316" t="s">
        <v>2780</v>
      </c>
      <c r="BG316" t="s">
        <v>2722</v>
      </c>
      <c r="BH316" s="1"/>
      <c r="BJ316" s="114">
        <v>8</v>
      </c>
      <c r="BK316" s="116">
        <v>93</v>
      </c>
      <c r="BL316" s="120">
        <f t="shared" si="120"/>
        <v>8093</v>
      </c>
      <c r="BN316" s="5" t="s">
        <v>3154</v>
      </c>
      <c r="BR316" s="63"/>
      <c r="BZ316" s="63">
        <f t="shared" si="119"/>
        <v>10417</v>
      </c>
      <c r="CD316" s="63">
        <v>0</v>
      </c>
      <c r="CE316" s="63">
        <v>0</v>
      </c>
      <c r="CF316" s="63">
        <v>0</v>
      </c>
      <c r="CG316" s="8">
        <v>0</v>
      </c>
      <c r="CH316" s="8">
        <v>0</v>
      </c>
      <c r="CI316" s="8">
        <v>0</v>
      </c>
    </row>
    <row r="317" spans="1:87" hidden="1" outlineLevel="1">
      <c r="A317" t="s">
        <v>2486</v>
      </c>
      <c r="B317" t="s">
        <v>2722</v>
      </c>
      <c r="C317" s="1">
        <f t="shared" si="121"/>
        <v>2332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>IF(P317&gt;0,RANK(P317,(N317:P317,Q317:AE317)),0)</f>
        <v>5</v>
      </c>
      <c r="G317" s="132">
        <f t="shared" si="106"/>
        <v>1355</v>
      </c>
      <c r="H317" s="137">
        <f t="shared" si="107"/>
        <v>0.58104631217838765</v>
      </c>
      <c r="I317" s="2"/>
      <c r="J317" s="2">
        <f t="shared" si="122"/>
        <v>0.18696397941680962</v>
      </c>
      <c r="K317" s="2">
        <f t="shared" si="123"/>
        <v>0.76801029159519729</v>
      </c>
      <c r="L317" s="2">
        <f t="shared" si="124"/>
        <v>3.8593481989708405E-3</v>
      </c>
      <c r="M317" s="2">
        <f t="shared" si="125"/>
        <v>4.1166380789022225E-2</v>
      </c>
      <c r="N317" s="63">
        <v>436</v>
      </c>
      <c r="O317" s="63">
        <v>1791</v>
      </c>
      <c r="P317" s="63">
        <v>9</v>
      </c>
      <c r="Q317" s="63">
        <v>60</v>
      </c>
      <c r="R317" s="63">
        <v>9</v>
      </c>
      <c r="S317" s="63">
        <v>15</v>
      </c>
      <c r="T317" s="63">
        <v>0</v>
      </c>
      <c r="U317" s="63">
        <v>0</v>
      </c>
      <c r="V317" s="63">
        <v>0</v>
      </c>
      <c r="W317" s="63">
        <f>IF(Copyright!B$11=1,IF(CA317&gt;0,CA317-Z317,SUM(CC317:CP317)),SUM(CC317:CP317))</f>
        <v>0</v>
      </c>
      <c r="X317" s="63">
        <v>0</v>
      </c>
      <c r="Y317" s="63">
        <v>0</v>
      </c>
      <c r="Z317" s="63"/>
      <c r="AA317" s="63"/>
      <c r="AB317" s="63"/>
      <c r="AC317" s="63"/>
      <c r="AD317" s="63">
        <v>0</v>
      </c>
      <c r="AE317" s="63">
        <v>1</v>
      </c>
      <c r="AF317" s="63"/>
      <c r="AG317" s="63">
        <v>4</v>
      </c>
      <c r="AH317" s="63">
        <v>2</v>
      </c>
      <c r="AI317" s="63">
        <v>0</v>
      </c>
      <c r="AJ317" s="63"/>
      <c r="AK317" s="63">
        <v>0</v>
      </c>
      <c r="AL317" s="63"/>
      <c r="AM317" s="63">
        <v>1</v>
      </c>
      <c r="AN317" s="63">
        <v>2</v>
      </c>
      <c r="AO317" s="63">
        <v>2</v>
      </c>
      <c r="AP317" s="63">
        <v>0</v>
      </c>
      <c r="AQ317" s="63">
        <v>0</v>
      </c>
      <c r="AR317" s="63"/>
      <c r="AS317" s="63"/>
      <c r="AT317" s="63"/>
      <c r="AU317" s="63"/>
      <c r="AW317" s="5">
        <f>IF(Q317&gt;0,RANK(Q317,(N317:P317,Q317:AE317)),0)</f>
        <v>3</v>
      </c>
      <c r="AX317" s="5">
        <f>IF(R317&gt;0,RANK(R317,(N317:P317,Q317:AE317)),0)</f>
        <v>5</v>
      </c>
      <c r="AY317" s="5">
        <f>IF(T317&gt;0,RANK(T317,(N317:P317,Q317:AE317)),0)</f>
        <v>0</v>
      </c>
      <c r="AZ317" s="5">
        <f>IF(S317&gt;0,RANK(S317,(N317:P317,Q317:AE317)),0)</f>
        <v>4</v>
      </c>
      <c r="BA317" s="2">
        <f t="shared" si="126"/>
        <v>2.5728987993138937E-2</v>
      </c>
      <c r="BB317" s="2">
        <f t="shared" si="127"/>
        <v>3.8593481989708405E-3</v>
      </c>
      <c r="BC317" s="2">
        <f t="shared" si="128"/>
        <v>0</v>
      </c>
      <c r="BD317" s="2">
        <f t="shared" si="129"/>
        <v>6.4322469982847344E-3</v>
      </c>
      <c r="BF317" t="s">
        <v>2486</v>
      </c>
      <c r="BG317" t="s">
        <v>2722</v>
      </c>
      <c r="BH317" s="1">
        <v>4</v>
      </c>
      <c r="BJ317" s="114">
        <v>8</v>
      </c>
      <c r="BK317" s="116">
        <v>95</v>
      </c>
      <c r="BL317" s="120">
        <f t="shared" si="120"/>
        <v>8095</v>
      </c>
      <c r="BN317" s="5" t="s">
        <v>3154</v>
      </c>
      <c r="BR317" s="63"/>
      <c r="BZ317" s="63">
        <f t="shared" si="119"/>
        <v>2332</v>
      </c>
      <c r="CD317" s="63">
        <v>0</v>
      </c>
      <c r="CE317" s="63">
        <v>0</v>
      </c>
      <c r="CF317" s="63">
        <v>0</v>
      </c>
      <c r="CG317" s="8">
        <v>0</v>
      </c>
      <c r="CH317" s="8">
        <v>0</v>
      </c>
      <c r="CI317" s="8">
        <v>0</v>
      </c>
    </row>
    <row r="318" spans="1:87" hidden="1" outlineLevel="1">
      <c r="A318" t="s">
        <v>1296</v>
      </c>
      <c r="B318" t="s">
        <v>2722</v>
      </c>
      <c r="C318" s="1">
        <f t="shared" si="121"/>
        <v>10523</v>
      </c>
      <c r="D318" s="5">
        <f>IF(N318&gt;0, RANK(N318,(N318:P318,Q318:AE318)),0)</f>
        <v>1</v>
      </c>
      <c r="E318" s="5">
        <f>IF(O318&gt;0,RANK(O318,(N318:P318,Q318:AE318)),0)</f>
        <v>2</v>
      </c>
      <c r="F318" s="5">
        <f>IF(P318&gt;0,RANK(P318,(N318:P318,Q318:AE318)),0)</f>
        <v>5</v>
      </c>
      <c r="G318" s="132">
        <f t="shared" si="106"/>
        <v>4783</v>
      </c>
      <c r="H318" s="137">
        <f t="shared" si="107"/>
        <v>0.45452817637555831</v>
      </c>
      <c r="I318" s="2"/>
      <c r="J318" s="2">
        <f t="shared" si="122"/>
        <v>0.69685450917038871</v>
      </c>
      <c r="K318" s="2">
        <f t="shared" si="123"/>
        <v>0.24232633279483037</v>
      </c>
      <c r="L318" s="2">
        <f t="shared" si="124"/>
        <v>3.9912572460325006E-3</v>
      </c>
      <c r="M318" s="2">
        <f t="shared" si="125"/>
        <v>5.6827900788748414E-2</v>
      </c>
      <c r="N318" s="63">
        <v>7333</v>
      </c>
      <c r="O318" s="63">
        <v>2550</v>
      </c>
      <c r="P318" s="63">
        <v>42</v>
      </c>
      <c r="Q318" s="63">
        <v>374</v>
      </c>
      <c r="R318" s="63">
        <v>186</v>
      </c>
      <c r="S318" s="63">
        <v>16</v>
      </c>
      <c r="T318" s="63">
        <v>2</v>
      </c>
      <c r="U318" s="63">
        <v>1</v>
      </c>
      <c r="V318" s="63">
        <v>0</v>
      </c>
      <c r="W318" s="63">
        <f>IF(Copyright!B$11=1,IF(CA318&gt;0,CA318-Z318,SUM(CC318:CP318)),SUM(CC318:CP318))</f>
        <v>0</v>
      </c>
      <c r="X318" s="63">
        <v>1</v>
      </c>
      <c r="Y318" s="63">
        <v>1</v>
      </c>
      <c r="Z318" s="63"/>
      <c r="AA318" s="63"/>
      <c r="AB318" s="63"/>
      <c r="AC318" s="63"/>
      <c r="AD318" s="63">
        <v>1</v>
      </c>
      <c r="AE318" s="63">
        <v>1</v>
      </c>
      <c r="AF318" s="63"/>
      <c r="AG318" s="63">
        <v>8</v>
      </c>
      <c r="AH318" s="63">
        <v>0</v>
      </c>
      <c r="AI318" s="63">
        <v>0</v>
      </c>
      <c r="AJ318" s="63"/>
      <c r="AK318" s="63">
        <v>3</v>
      </c>
      <c r="AL318" s="63"/>
      <c r="AM318" s="63">
        <v>0</v>
      </c>
      <c r="AN318" s="63">
        <v>0</v>
      </c>
      <c r="AO318" s="63">
        <v>0</v>
      </c>
      <c r="AP318" s="63">
        <v>2</v>
      </c>
      <c r="AQ318" s="63">
        <v>2</v>
      </c>
      <c r="AR318" s="63"/>
      <c r="AS318" s="63"/>
      <c r="AT318" s="63"/>
      <c r="AU318" s="63"/>
      <c r="AW318" s="5">
        <f>IF(Q318&gt;0,RANK(Q318,(N318:P318,Q318:AE318)),0)</f>
        <v>3</v>
      </c>
      <c r="AX318" s="5">
        <f>IF(R318&gt;0,RANK(R318,(N318:P318,Q318:AE318)),0)</f>
        <v>4</v>
      </c>
      <c r="AY318" s="5">
        <f>IF(T318&gt;0,RANK(T318,(N318:P318,Q318:AE318)),0)</f>
        <v>7</v>
      </c>
      <c r="AZ318" s="5">
        <f>IF(S318&gt;0,RANK(S318,(N318:P318,Q318:AE318)),0)</f>
        <v>6</v>
      </c>
      <c r="BA318" s="2">
        <f t="shared" si="126"/>
        <v>3.5541195476575124E-2</v>
      </c>
      <c r="BB318" s="2">
        <f t="shared" si="127"/>
        <v>1.7675567803858216E-2</v>
      </c>
      <c r="BC318" s="2">
        <f t="shared" si="128"/>
        <v>1.900598688586905E-4</v>
      </c>
      <c r="BD318" s="2">
        <f t="shared" si="129"/>
        <v>1.520478950869524E-3</v>
      </c>
      <c r="BF318" t="s">
        <v>1296</v>
      </c>
      <c r="BG318" t="s">
        <v>2722</v>
      </c>
      <c r="BH318" s="1">
        <v>3</v>
      </c>
      <c r="BJ318" s="114">
        <v>8</v>
      </c>
      <c r="BK318" s="116">
        <v>97</v>
      </c>
      <c r="BL318" s="120">
        <f t="shared" si="120"/>
        <v>8097</v>
      </c>
      <c r="BN318" s="5" t="s">
        <v>3154</v>
      </c>
      <c r="BR318" s="63"/>
      <c r="BZ318" s="63">
        <f t="shared" si="119"/>
        <v>10523</v>
      </c>
      <c r="CD318" s="63">
        <v>0</v>
      </c>
      <c r="CE318" s="63">
        <v>0</v>
      </c>
      <c r="CF318" s="63">
        <v>0</v>
      </c>
      <c r="CG318" s="8">
        <v>0</v>
      </c>
      <c r="CH318" s="8">
        <v>0</v>
      </c>
      <c r="CI318" s="8">
        <v>0</v>
      </c>
    </row>
    <row r="319" spans="1:87" hidden="1" outlineLevel="1">
      <c r="A319" t="s">
        <v>447</v>
      </c>
      <c r="B319" t="s">
        <v>2722</v>
      </c>
      <c r="C319" s="1">
        <f t="shared" si="121"/>
        <v>5016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>IF(P319&gt;0,RANK(P319,(N319:P319,Q319:AE319)),0)</f>
        <v>4</v>
      </c>
      <c r="G319" s="132">
        <f t="shared" si="106"/>
        <v>2345</v>
      </c>
      <c r="H319" s="137">
        <f t="shared" si="107"/>
        <v>0.46750398724082937</v>
      </c>
      <c r="I319" s="2"/>
      <c r="J319" s="2">
        <f t="shared" si="122"/>
        <v>0.23644338118022329</v>
      </c>
      <c r="K319" s="2">
        <f t="shared" si="123"/>
        <v>0.70394736842105265</v>
      </c>
      <c r="L319" s="2">
        <f t="shared" si="124"/>
        <v>9.5693779904306216E-3</v>
      </c>
      <c r="M319" s="2">
        <f t="shared" si="125"/>
        <v>5.0039872408293377E-2</v>
      </c>
      <c r="N319" s="63">
        <v>1186</v>
      </c>
      <c r="O319" s="63">
        <v>3531</v>
      </c>
      <c r="P319" s="63">
        <v>48</v>
      </c>
      <c r="Q319" s="63">
        <v>155</v>
      </c>
      <c r="R319" s="63">
        <v>30</v>
      </c>
      <c r="S319" s="63">
        <v>23</v>
      </c>
      <c r="T319" s="63">
        <v>2</v>
      </c>
      <c r="U319" s="63">
        <v>0</v>
      </c>
      <c r="V319" s="63">
        <v>0</v>
      </c>
      <c r="W319" s="63">
        <f>IF(Copyright!B$11=1,IF(CA319&gt;0,CA319-Z319,SUM(CC319:CP319)),SUM(CC319:CP319))</f>
        <v>0</v>
      </c>
      <c r="X319" s="63">
        <v>1</v>
      </c>
      <c r="Y319" s="63">
        <v>3</v>
      </c>
      <c r="Z319" s="63"/>
      <c r="AA319" s="63"/>
      <c r="AB319" s="63"/>
      <c r="AC319" s="63"/>
      <c r="AD319" s="63">
        <v>1</v>
      </c>
      <c r="AE319" s="63">
        <v>0</v>
      </c>
      <c r="AF319" s="63"/>
      <c r="AG319" s="63">
        <v>10</v>
      </c>
      <c r="AH319" s="63">
        <v>4</v>
      </c>
      <c r="AI319" s="63">
        <v>1</v>
      </c>
      <c r="AJ319" s="63"/>
      <c r="AK319" s="63">
        <v>1</v>
      </c>
      <c r="AL319" s="63"/>
      <c r="AM319" s="63">
        <v>5</v>
      </c>
      <c r="AN319" s="63">
        <v>2</v>
      </c>
      <c r="AO319" s="63">
        <v>5</v>
      </c>
      <c r="AP319" s="63">
        <v>3</v>
      </c>
      <c r="AQ319" s="63">
        <v>5</v>
      </c>
      <c r="AR319" s="63"/>
      <c r="AS319" s="63"/>
      <c r="AT319" s="63"/>
      <c r="AU319" s="63"/>
      <c r="AW319" s="5">
        <f>IF(Q319&gt;0,RANK(Q319,(N319:P319,Q319:AE319)),0)</f>
        <v>3</v>
      </c>
      <c r="AX319" s="5">
        <f>IF(R319&gt;0,RANK(R319,(N319:P319,Q319:AE319)),0)</f>
        <v>5</v>
      </c>
      <c r="AY319" s="5">
        <f>IF(T319&gt;0,RANK(T319,(N319:P319,Q319:AE319)),0)</f>
        <v>8</v>
      </c>
      <c r="AZ319" s="5">
        <f>IF(S319&gt;0,RANK(S319,(N319:P319,Q319:AE319)),0)</f>
        <v>6</v>
      </c>
      <c r="BA319" s="2">
        <f t="shared" si="126"/>
        <v>3.0901116427432217E-2</v>
      </c>
      <c r="BB319" s="2">
        <f t="shared" si="127"/>
        <v>5.9808612440191387E-3</v>
      </c>
      <c r="BC319" s="2">
        <f t="shared" si="128"/>
        <v>3.9872408293460925E-4</v>
      </c>
      <c r="BD319" s="2">
        <f t="shared" si="129"/>
        <v>4.5853269537480066E-3</v>
      </c>
      <c r="BF319" t="s">
        <v>447</v>
      </c>
      <c r="BG319" t="s">
        <v>2722</v>
      </c>
      <c r="BH319" s="1">
        <v>4</v>
      </c>
      <c r="BJ319" s="114">
        <v>8</v>
      </c>
      <c r="BK319" s="116">
        <v>99</v>
      </c>
      <c r="BL319" s="120">
        <f t="shared" si="120"/>
        <v>8099</v>
      </c>
      <c r="BN319" s="5" t="s">
        <v>3154</v>
      </c>
      <c r="BR319" s="63"/>
      <c r="BZ319" s="63">
        <f t="shared" si="119"/>
        <v>5016</v>
      </c>
      <c r="CD319" s="63">
        <v>0</v>
      </c>
      <c r="CE319" s="63">
        <v>0</v>
      </c>
      <c r="CF319" s="63">
        <v>0</v>
      </c>
      <c r="CG319" s="8">
        <v>0</v>
      </c>
      <c r="CH319" s="8">
        <v>0</v>
      </c>
      <c r="CI319" s="8">
        <v>0</v>
      </c>
    </row>
    <row r="320" spans="1:87" hidden="1" outlineLevel="1">
      <c r="A320" t="s">
        <v>2561</v>
      </c>
      <c r="B320" t="s">
        <v>2722</v>
      </c>
      <c r="C320" s="1">
        <f t="shared" si="121"/>
        <v>78646</v>
      </c>
      <c r="D320" s="5">
        <f>IF(N320&gt;0, RANK(N320,(N320:P320,Q320:AE320)),0)</f>
        <v>2</v>
      </c>
      <c r="E320" s="5">
        <f>IF(O320&gt;0,RANK(O320,(N320:P320,Q320:AE320)),0)</f>
        <v>1</v>
      </c>
      <c r="F320" s="5">
        <f>IF(P320&gt;0,RANK(P320,(N320:P320,Q320:AE320)),0)</f>
        <v>5</v>
      </c>
      <c r="G320" s="132">
        <f t="shared" si="106"/>
        <v>390</v>
      </c>
      <c r="H320" s="137">
        <f t="shared" si="107"/>
        <v>4.9589298883605014E-3</v>
      </c>
      <c r="I320" s="2"/>
      <c r="J320" s="2">
        <f t="shared" si="122"/>
        <v>0.45615797370495637</v>
      </c>
      <c r="K320" s="2">
        <f t="shared" si="123"/>
        <v>0.46111690359331686</v>
      </c>
      <c r="L320" s="2">
        <f t="shared" si="124"/>
        <v>5.6074053352999521E-3</v>
      </c>
      <c r="M320" s="2">
        <f t="shared" si="125"/>
        <v>7.7117717366426822E-2</v>
      </c>
      <c r="N320" s="63">
        <v>35875</v>
      </c>
      <c r="O320" s="63">
        <v>36265</v>
      </c>
      <c r="P320" s="63">
        <v>441</v>
      </c>
      <c r="Q320" s="63">
        <v>4072</v>
      </c>
      <c r="R320" s="63">
        <v>942</v>
      </c>
      <c r="S320" s="63">
        <v>427</v>
      </c>
      <c r="T320" s="63">
        <v>93</v>
      </c>
      <c r="U320" s="63">
        <v>8</v>
      </c>
      <c r="V320" s="63">
        <v>51</v>
      </c>
      <c r="W320" s="63">
        <f>IF(Copyright!B$11=1,IF(CA320&gt;0,CA320-Z320,SUM(CC320:CP320)),SUM(CC320:CP320))</f>
        <v>0</v>
      </c>
      <c r="X320" s="63">
        <v>28</v>
      </c>
      <c r="Y320" s="63">
        <v>35</v>
      </c>
      <c r="Z320" s="63"/>
      <c r="AA320" s="63"/>
      <c r="AB320" s="63"/>
      <c r="AC320" s="63"/>
      <c r="AD320" s="63">
        <v>10</v>
      </c>
      <c r="AE320" s="63">
        <v>6</v>
      </c>
      <c r="AF320" s="63"/>
      <c r="AG320" s="63">
        <v>134</v>
      </c>
      <c r="AH320" s="63">
        <v>24</v>
      </c>
      <c r="AI320" s="63">
        <v>21</v>
      </c>
      <c r="AJ320" s="63"/>
      <c r="AK320" s="63">
        <v>11</v>
      </c>
      <c r="AL320" s="63"/>
      <c r="AM320" s="63">
        <v>62</v>
      </c>
      <c r="AN320" s="63">
        <v>25</v>
      </c>
      <c r="AO320" s="63">
        <v>32</v>
      </c>
      <c r="AP320" s="63">
        <v>30</v>
      </c>
      <c r="AQ320" s="63">
        <v>54</v>
      </c>
      <c r="AR320" s="63"/>
      <c r="AS320" s="63"/>
      <c r="AT320" s="63"/>
      <c r="AU320" s="63"/>
      <c r="AW320" s="5">
        <f>IF(Q320&gt;0,RANK(Q320,(N320:P320,Q320:AE320)),0)</f>
        <v>3</v>
      </c>
      <c r="AX320" s="5">
        <f>IF(R320&gt;0,RANK(R320,(N320:P320,Q320:AE320)),0)</f>
        <v>4</v>
      </c>
      <c r="AY320" s="5">
        <f>IF(T320&gt;0,RANK(T320,(N320:P320,Q320:AE320)),0)</f>
        <v>7</v>
      </c>
      <c r="AZ320" s="5">
        <f>IF(S320&gt;0,RANK(S320,(N320:P320,Q320:AE320)),0)</f>
        <v>6</v>
      </c>
      <c r="BA320" s="2">
        <f t="shared" si="126"/>
        <v>5.1776314116420419E-2</v>
      </c>
      <c r="BB320" s="2">
        <f t="shared" si="127"/>
        <v>1.1977722961116903E-2</v>
      </c>
      <c r="BC320" s="2">
        <f t="shared" si="128"/>
        <v>1.1825140503013503E-3</v>
      </c>
      <c r="BD320" s="2">
        <f t="shared" si="129"/>
        <v>5.4293924675126518E-3</v>
      </c>
      <c r="BF320" t="s">
        <v>2561</v>
      </c>
      <c r="BG320" t="s">
        <v>2722</v>
      </c>
      <c r="BH320" s="1">
        <v>3</v>
      </c>
      <c r="BJ320" s="114">
        <v>8</v>
      </c>
      <c r="BK320" s="116">
        <v>101</v>
      </c>
      <c r="BL320" s="120">
        <f t="shared" si="120"/>
        <v>8101</v>
      </c>
      <c r="BN320" s="5" t="s">
        <v>3154</v>
      </c>
      <c r="BR320" s="63"/>
      <c r="BZ320" s="63">
        <f t="shared" si="119"/>
        <v>78646</v>
      </c>
      <c r="CD320" s="63">
        <v>0</v>
      </c>
      <c r="CE320" s="63">
        <v>0</v>
      </c>
      <c r="CF320" s="63">
        <v>0</v>
      </c>
      <c r="CG320" s="8">
        <v>0</v>
      </c>
      <c r="CH320" s="8">
        <v>0</v>
      </c>
      <c r="CI320" s="8">
        <v>0</v>
      </c>
    </row>
    <row r="321" spans="1:93" hidden="1" outlineLevel="1">
      <c r="A321" t="s">
        <v>2595</v>
      </c>
      <c r="B321" t="s">
        <v>2722</v>
      </c>
      <c r="C321" s="1">
        <f t="shared" si="121"/>
        <v>3450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4</v>
      </c>
      <c r="G321" s="132">
        <f t="shared" si="106"/>
        <v>2355</v>
      </c>
      <c r="H321" s="137">
        <f t="shared" si="107"/>
        <v>0.68260869565217386</v>
      </c>
      <c r="I321" s="2"/>
      <c r="J321" s="2">
        <f t="shared" si="122"/>
        <v>0.12637681159420289</v>
      </c>
      <c r="K321" s="2">
        <f t="shared" si="123"/>
        <v>0.80898550724637686</v>
      </c>
      <c r="L321" s="2">
        <f t="shared" si="124"/>
        <v>1.5072463768115942E-2</v>
      </c>
      <c r="M321" s="2">
        <f t="shared" si="125"/>
        <v>4.9565217391304317E-2</v>
      </c>
      <c r="N321" s="63">
        <v>436</v>
      </c>
      <c r="O321" s="63">
        <v>2791</v>
      </c>
      <c r="P321" s="63">
        <v>52</v>
      </c>
      <c r="Q321" s="63">
        <v>118</v>
      </c>
      <c r="R321" s="63">
        <v>16</v>
      </c>
      <c r="S321" s="63">
        <v>22</v>
      </c>
      <c r="T321" s="63">
        <v>1</v>
      </c>
      <c r="U321" s="63">
        <v>0</v>
      </c>
      <c r="V321" s="63">
        <v>0</v>
      </c>
      <c r="W321" s="63">
        <f>IF(Copyright!B$11=1,IF(CA321&gt;0,CA321-Z321,SUM(CC321:CP321)),SUM(CC321:CP321))</f>
        <v>0</v>
      </c>
      <c r="X321" s="63">
        <v>1</v>
      </c>
      <c r="Y321" s="63">
        <v>0</v>
      </c>
      <c r="Z321" s="63"/>
      <c r="AA321" s="63"/>
      <c r="AB321" s="63"/>
      <c r="AC321" s="63"/>
      <c r="AD321" s="63">
        <v>0</v>
      </c>
      <c r="AE321" s="63">
        <v>0</v>
      </c>
      <c r="AF321" s="63"/>
      <c r="AG321" s="63">
        <v>6</v>
      </c>
      <c r="AH321" s="63">
        <v>1</v>
      </c>
      <c r="AI321" s="63">
        <v>1</v>
      </c>
      <c r="AJ321" s="63"/>
      <c r="AK321" s="63">
        <v>0</v>
      </c>
      <c r="AL321" s="63"/>
      <c r="AM321" s="63">
        <v>1</v>
      </c>
      <c r="AN321" s="63">
        <v>1</v>
      </c>
      <c r="AO321" s="63">
        <v>1</v>
      </c>
      <c r="AP321" s="63">
        <v>0</v>
      </c>
      <c r="AQ321" s="63">
        <v>2</v>
      </c>
      <c r="AR321" s="63"/>
      <c r="AS321" s="63"/>
      <c r="AT321" s="63"/>
      <c r="AU321" s="63"/>
      <c r="AW321" s="5">
        <f>IF(Q321&gt;0,RANK(Q321,(N321:P321,Q321:AE321)),0)</f>
        <v>3</v>
      </c>
      <c r="AX321" s="5">
        <f>IF(R321&gt;0,RANK(R321,(N321:P321,Q321:AE321)),0)</f>
        <v>6</v>
      </c>
      <c r="AY321" s="5">
        <f>IF(T321&gt;0,RANK(T321,(N321:P321,Q321:AE321)),0)</f>
        <v>7</v>
      </c>
      <c r="AZ321" s="5">
        <f>IF(S321&gt;0,RANK(S321,(N321:P321,Q321:AE321)),0)</f>
        <v>5</v>
      </c>
      <c r="BA321" s="2">
        <f t="shared" si="126"/>
        <v>3.4202898550724635E-2</v>
      </c>
      <c r="BB321" s="2">
        <f t="shared" si="127"/>
        <v>4.6376811594202897E-3</v>
      </c>
      <c r="BC321" s="2">
        <f t="shared" si="128"/>
        <v>2.8985507246376811E-4</v>
      </c>
      <c r="BD321" s="2">
        <f t="shared" si="129"/>
        <v>6.3768115942028983E-3</v>
      </c>
      <c r="BF321" t="s">
        <v>2595</v>
      </c>
      <c r="BG321" t="s">
        <v>2722</v>
      </c>
      <c r="BH321" s="1">
        <v>3</v>
      </c>
      <c r="BJ321" s="114">
        <v>8</v>
      </c>
      <c r="BK321" s="116">
        <v>103</v>
      </c>
      <c r="BL321" s="120">
        <f t="shared" si="120"/>
        <v>8103</v>
      </c>
      <c r="BN321" s="5" t="s">
        <v>3154</v>
      </c>
      <c r="BR321" s="63"/>
      <c r="BZ321" s="63">
        <f t="shared" si="119"/>
        <v>3450</v>
      </c>
      <c r="CD321" s="63">
        <v>0</v>
      </c>
      <c r="CE321" s="63">
        <v>0</v>
      </c>
      <c r="CF321" s="63">
        <v>0</v>
      </c>
      <c r="CG321" s="8">
        <v>0</v>
      </c>
      <c r="CH321" s="8">
        <v>0</v>
      </c>
      <c r="CI321" s="8">
        <v>0</v>
      </c>
    </row>
    <row r="322" spans="1:93" hidden="1" outlineLevel="1">
      <c r="A322" t="s">
        <v>239</v>
      </c>
      <c r="B322" t="s">
        <v>2722</v>
      </c>
      <c r="C322" s="1">
        <f t="shared" si="121"/>
        <v>5534</v>
      </c>
      <c r="D322" s="5">
        <f>IF(N322&gt;0, RANK(N322,(N322:P322,Q322:AE322)),0)</f>
        <v>2</v>
      </c>
      <c r="E322" s="5">
        <f>IF(O322&gt;0,RANK(O322,(N322:P322,Q322:AE322)),0)</f>
        <v>1</v>
      </c>
      <c r="F322" s="5">
        <f>IF(P322&gt;0,RANK(P322,(N322:P322,Q322:AE322)),0)</f>
        <v>6</v>
      </c>
      <c r="G322" s="132">
        <f t="shared" si="106"/>
        <v>1084</v>
      </c>
      <c r="H322" s="137">
        <f t="shared" si="107"/>
        <v>0.19588001445608963</v>
      </c>
      <c r="I322" s="2"/>
      <c r="J322" s="2">
        <f t="shared" si="122"/>
        <v>0.36158294181423922</v>
      </c>
      <c r="K322" s="2">
        <f t="shared" si="123"/>
        <v>0.55746295627032882</v>
      </c>
      <c r="L322" s="2">
        <f t="shared" si="124"/>
        <v>8.492952656306469E-3</v>
      </c>
      <c r="M322" s="2">
        <f t="shared" si="125"/>
        <v>7.2461149259125487E-2</v>
      </c>
      <c r="N322" s="63">
        <v>2001</v>
      </c>
      <c r="O322" s="63">
        <v>3085</v>
      </c>
      <c r="P322" s="63">
        <v>47</v>
      </c>
      <c r="Q322" s="63">
        <v>232</v>
      </c>
      <c r="R322" s="63">
        <v>61</v>
      </c>
      <c r="S322" s="63">
        <v>52</v>
      </c>
      <c r="T322" s="63">
        <v>8</v>
      </c>
      <c r="U322" s="63">
        <v>0</v>
      </c>
      <c r="V322" s="63">
        <v>3</v>
      </c>
      <c r="W322" s="63">
        <f>IF(Copyright!B$11=1,IF(CA322&gt;0,CA322-Z322,SUM(CC322:CP322)),SUM(CC322:CP322))</f>
        <v>0</v>
      </c>
      <c r="X322" s="63">
        <v>0</v>
      </c>
      <c r="Y322" s="63">
        <v>0</v>
      </c>
      <c r="Z322" s="63"/>
      <c r="AA322" s="63"/>
      <c r="AB322" s="63"/>
      <c r="AC322" s="63"/>
      <c r="AD322" s="63">
        <v>0</v>
      </c>
      <c r="AE322" s="63">
        <v>2</v>
      </c>
      <c r="AF322" s="63"/>
      <c r="AG322" s="63">
        <v>21</v>
      </c>
      <c r="AH322" s="63">
        <v>4</v>
      </c>
      <c r="AI322" s="63">
        <v>1</v>
      </c>
      <c r="AJ322" s="63"/>
      <c r="AK322" s="63">
        <v>0</v>
      </c>
      <c r="AL322" s="63"/>
      <c r="AM322" s="63">
        <v>2</v>
      </c>
      <c r="AN322" s="63">
        <v>1</v>
      </c>
      <c r="AO322" s="63">
        <v>2</v>
      </c>
      <c r="AP322" s="63">
        <v>5</v>
      </c>
      <c r="AQ322" s="63">
        <v>7</v>
      </c>
      <c r="AR322" s="63"/>
      <c r="AS322" s="63"/>
      <c r="AT322" s="63"/>
      <c r="AU322" s="63"/>
      <c r="AW322" s="5">
        <f>IF(Q322&gt;0,RANK(Q322,(N322:P322,Q322:AE322)),0)</f>
        <v>3</v>
      </c>
      <c r="AX322" s="5">
        <f>IF(R322&gt;0,RANK(R322,(N322:P322,Q322:AE322)),0)</f>
        <v>4</v>
      </c>
      <c r="AY322" s="5">
        <f>IF(T322&gt;0,RANK(T322,(N322:P322,Q322:AE322)),0)</f>
        <v>7</v>
      </c>
      <c r="AZ322" s="5">
        <f>IF(S322&gt;0,RANK(S322,(N322:P322,Q322:AE322)),0)</f>
        <v>5</v>
      </c>
      <c r="BA322" s="2">
        <f t="shared" si="126"/>
        <v>4.192265992049151E-2</v>
      </c>
      <c r="BB322" s="2">
        <f t="shared" si="127"/>
        <v>1.1022768341163716E-2</v>
      </c>
      <c r="BC322" s="2">
        <f t="shared" si="128"/>
        <v>1.4456089627755693E-3</v>
      </c>
      <c r="BD322" s="2">
        <f t="shared" si="129"/>
        <v>9.3964582580411994E-3</v>
      </c>
      <c r="BF322" t="s">
        <v>239</v>
      </c>
      <c r="BG322" t="s">
        <v>2722</v>
      </c>
      <c r="BH322" s="1">
        <v>3</v>
      </c>
      <c r="BJ322" s="114">
        <v>8</v>
      </c>
      <c r="BK322" s="116">
        <v>105</v>
      </c>
      <c r="BL322" s="120">
        <f t="shared" si="120"/>
        <v>8105</v>
      </c>
      <c r="BN322" s="5" t="s">
        <v>3154</v>
      </c>
      <c r="BR322" s="63"/>
      <c r="BZ322" s="63">
        <f t="shared" si="119"/>
        <v>5534</v>
      </c>
      <c r="CD322" s="63">
        <v>0</v>
      </c>
      <c r="CE322" s="63">
        <v>0</v>
      </c>
      <c r="CF322" s="63">
        <v>0</v>
      </c>
      <c r="CG322" s="8">
        <v>0</v>
      </c>
      <c r="CH322" s="8">
        <v>0</v>
      </c>
      <c r="CI322" s="8">
        <v>0</v>
      </c>
    </row>
    <row r="323" spans="1:93" hidden="1" outlineLevel="1">
      <c r="A323" t="s">
        <v>2305</v>
      </c>
      <c r="B323" t="s">
        <v>2722</v>
      </c>
      <c r="C323" s="1">
        <f t="shared" si="121"/>
        <v>13986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5</v>
      </c>
      <c r="G323" s="132">
        <f t="shared" si="106"/>
        <v>2370</v>
      </c>
      <c r="H323" s="137">
        <f t="shared" si="107"/>
        <v>0.16945516945516945</v>
      </c>
      <c r="I323" s="2"/>
      <c r="J323" s="2">
        <f t="shared" si="122"/>
        <v>0.54340054340054345</v>
      </c>
      <c r="K323" s="2">
        <f t="shared" si="123"/>
        <v>0.37394537394537397</v>
      </c>
      <c r="L323" s="2">
        <f t="shared" si="124"/>
        <v>8.3655083655083656E-3</v>
      </c>
      <c r="M323" s="2">
        <f t="shared" si="125"/>
        <v>7.4288574288574216E-2</v>
      </c>
      <c r="N323" s="63">
        <v>7600</v>
      </c>
      <c r="O323" s="63">
        <v>5230</v>
      </c>
      <c r="P323" s="63">
        <v>117</v>
      </c>
      <c r="Q323" s="63">
        <v>722</v>
      </c>
      <c r="R323" s="63">
        <v>206</v>
      </c>
      <c r="S323" s="63">
        <v>58</v>
      </c>
      <c r="T323" s="63">
        <v>5</v>
      </c>
      <c r="U323" s="63">
        <v>0</v>
      </c>
      <c r="V323" s="63">
        <v>4</v>
      </c>
      <c r="W323" s="63">
        <f>IF(Copyright!B$11=1,IF(CA323&gt;0,CA323-Z323,SUM(CC323:CP323)),SUM(CC323:CP323))</f>
        <v>0</v>
      </c>
      <c r="X323" s="63">
        <v>3</v>
      </c>
      <c r="Y323" s="63">
        <v>0</v>
      </c>
      <c r="Z323" s="63"/>
      <c r="AA323" s="63"/>
      <c r="AB323" s="63"/>
      <c r="AC323" s="63"/>
      <c r="AD323" s="63">
        <v>3</v>
      </c>
      <c r="AE323" s="63">
        <v>3</v>
      </c>
      <c r="AF323" s="63"/>
      <c r="AG323" s="63">
        <v>14</v>
      </c>
      <c r="AH323" s="63">
        <v>4</v>
      </c>
      <c r="AI323" s="63">
        <v>2</v>
      </c>
      <c r="AJ323" s="63"/>
      <c r="AK323" s="63">
        <v>0</v>
      </c>
      <c r="AL323" s="63"/>
      <c r="AM323" s="63">
        <v>4</v>
      </c>
      <c r="AN323" s="63">
        <v>1</v>
      </c>
      <c r="AO323" s="63">
        <v>3</v>
      </c>
      <c r="AP323" s="63">
        <v>3</v>
      </c>
      <c r="AQ323" s="63">
        <v>4</v>
      </c>
      <c r="AR323" s="63"/>
      <c r="AS323" s="63"/>
      <c r="AT323" s="63"/>
      <c r="AU323" s="63"/>
      <c r="AW323" s="5">
        <f>IF(Q323&gt;0,RANK(Q323,(N323:P323,Q323:AE323)),0)</f>
        <v>3</v>
      </c>
      <c r="AX323" s="5">
        <f>IF(R323&gt;0,RANK(R323,(N323:P323,Q323:AE323)),0)</f>
        <v>4</v>
      </c>
      <c r="AY323" s="5">
        <f>IF(T323&gt;0,RANK(T323,(N323:P323,Q323:AE323)),0)</f>
        <v>7</v>
      </c>
      <c r="AZ323" s="5">
        <f>IF(S323&gt;0,RANK(S323,(N323:P323,Q323:AE323)),0)</f>
        <v>6</v>
      </c>
      <c r="BA323" s="2">
        <f t="shared" si="126"/>
        <v>5.162305162305162E-2</v>
      </c>
      <c r="BB323" s="2">
        <f t="shared" si="127"/>
        <v>1.4729014729014729E-2</v>
      </c>
      <c r="BC323" s="2">
        <f t="shared" si="128"/>
        <v>3.5750035750035751E-4</v>
      </c>
      <c r="BD323" s="2">
        <f t="shared" si="129"/>
        <v>4.1470041470041468E-3</v>
      </c>
      <c r="BF323" t="s">
        <v>2305</v>
      </c>
      <c r="BG323" t="s">
        <v>2722</v>
      </c>
      <c r="BH323" s="1">
        <v>3</v>
      </c>
      <c r="BJ323" s="114">
        <v>8</v>
      </c>
      <c r="BK323" s="116">
        <v>107</v>
      </c>
      <c r="BL323" s="120">
        <f t="shared" si="120"/>
        <v>8107</v>
      </c>
      <c r="BN323" s="5" t="s">
        <v>3154</v>
      </c>
      <c r="BR323" s="63"/>
      <c r="BZ323" s="63">
        <f t="shared" si="119"/>
        <v>13986</v>
      </c>
      <c r="CD323" s="63">
        <v>0</v>
      </c>
      <c r="CE323" s="63">
        <v>0</v>
      </c>
      <c r="CF323" s="63">
        <v>0</v>
      </c>
      <c r="CG323" s="8">
        <v>0</v>
      </c>
      <c r="CH323" s="8">
        <v>0</v>
      </c>
      <c r="CI323" s="8">
        <v>0</v>
      </c>
    </row>
    <row r="324" spans="1:93" hidden="1" outlineLevel="1">
      <c r="A324" t="s">
        <v>705</v>
      </c>
      <c r="B324" t="s">
        <v>2722</v>
      </c>
      <c r="C324" s="1">
        <f t="shared" si="121"/>
        <v>2835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6</v>
      </c>
      <c r="G324" s="132">
        <f t="shared" si="106"/>
        <v>270</v>
      </c>
      <c r="H324" s="137">
        <f t="shared" si="107"/>
        <v>9.5238095238095233E-2</v>
      </c>
      <c r="I324" s="2"/>
      <c r="J324" s="2">
        <f t="shared" si="122"/>
        <v>0.49982363315696648</v>
      </c>
      <c r="K324" s="2">
        <f t="shared" si="123"/>
        <v>0.40458553791887125</v>
      </c>
      <c r="L324" s="2">
        <f t="shared" si="124"/>
        <v>4.9382716049382715E-3</v>
      </c>
      <c r="M324" s="2">
        <f t="shared" si="125"/>
        <v>9.0652557319223934E-2</v>
      </c>
      <c r="N324" s="63">
        <v>1417</v>
      </c>
      <c r="O324" s="63">
        <v>1147</v>
      </c>
      <c r="P324" s="63">
        <v>14</v>
      </c>
      <c r="Q324" s="63">
        <v>92</v>
      </c>
      <c r="R324" s="63">
        <v>129</v>
      </c>
      <c r="S324" s="63">
        <v>16</v>
      </c>
      <c r="T324" s="63">
        <v>4</v>
      </c>
      <c r="U324" s="63">
        <v>0</v>
      </c>
      <c r="V324" s="63">
        <v>0</v>
      </c>
      <c r="W324" s="63">
        <f>IF(Copyright!B$11=1,IF(CA324&gt;0,CA324-Z324,SUM(CC324:CP324)),SUM(CC324:CP324))</f>
        <v>0</v>
      </c>
      <c r="X324" s="63">
        <v>0</v>
      </c>
      <c r="Y324" s="63">
        <v>0</v>
      </c>
      <c r="Z324" s="63"/>
      <c r="AA324" s="63"/>
      <c r="AB324" s="63"/>
      <c r="AC324" s="63"/>
      <c r="AD324" s="63">
        <v>0</v>
      </c>
      <c r="AE324" s="63">
        <v>0</v>
      </c>
      <c r="AF324" s="63"/>
      <c r="AG324" s="63">
        <v>7</v>
      </c>
      <c r="AH324" s="63">
        <v>2</v>
      </c>
      <c r="AI324" s="63">
        <v>1</v>
      </c>
      <c r="AJ324" s="63"/>
      <c r="AK324" s="63">
        <v>2</v>
      </c>
      <c r="AL324" s="63"/>
      <c r="AM324" s="63">
        <v>1</v>
      </c>
      <c r="AN324" s="63">
        <v>0</v>
      </c>
      <c r="AO324" s="63">
        <v>2</v>
      </c>
      <c r="AP324" s="63">
        <v>0</v>
      </c>
      <c r="AQ324" s="63">
        <v>1</v>
      </c>
      <c r="AR324" s="63"/>
      <c r="AS324" s="63"/>
      <c r="AT324" s="63"/>
      <c r="AU324" s="63"/>
      <c r="AW324" s="5">
        <f>IF(Q324&gt;0,RANK(Q324,(N324:P324,Q324:AE324)),0)</f>
        <v>4</v>
      </c>
      <c r="AX324" s="5">
        <f>IF(R324&gt;0,RANK(R324,(N324:P324,Q324:AE324)),0)</f>
        <v>3</v>
      </c>
      <c r="AY324" s="5">
        <f>IF(T324&gt;0,RANK(T324,(N324:P324,Q324:AE324)),0)</f>
        <v>7</v>
      </c>
      <c r="AZ324" s="5">
        <f>IF(S324&gt;0,RANK(S324,(N324:P324,Q324:AE324)),0)</f>
        <v>5</v>
      </c>
      <c r="BA324" s="2">
        <f t="shared" si="126"/>
        <v>3.2451499118165784E-2</v>
      </c>
      <c r="BB324" s="2">
        <f t="shared" si="127"/>
        <v>4.5502645502645503E-2</v>
      </c>
      <c r="BC324" s="2">
        <f t="shared" si="128"/>
        <v>1.4109347442680777E-3</v>
      </c>
      <c r="BD324" s="2">
        <f t="shared" si="129"/>
        <v>5.6437389770723108E-3</v>
      </c>
      <c r="BF324" t="s">
        <v>705</v>
      </c>
      <c r="BG324" t="s">
        <v>2722</v>
      </c>
      <c r="BH324" s="1">
        <v>3</v>
      </c>
      <c r="BJ324" s="114">
        <v>8</v>
      </c>
      <c r="BK324" s="116">
        <v>109</v>
      </c>
      <c r="BL324" s="120">
        <f t="shared" si="120"/>
        <v>8109</v>
      </c>
      <c r="BN324" s="5" t="s">
        <v>3154</v>
      </c>
      <c r="BR324" s="63"/>
      <c r="BZ324" s="63">
        <f t="shared" si="119"/>
        <v>2835</v>
      </c>
      <c r="CD324" s="63">
        <v>0</v>
      </c>
      <c r="CE324" s="63">
        <v>0</v>
      </c>
      <c r="CF324" s="63">
        <v>0</v>
      </c>
      <c r="CG324" s="8">
        <v>0</v>
      </c>
      <c r="CH324" s="8">
        <v>0</v>
      </c>
      <c r="CI324" s="8">
        <v>0</v>
      </c>
    </row>
    <row r="325" spans="1:93" hidden="1" outlineLevel="1">
      <c r="A325" t="s">
        <v>2518</v>
      </c>
      <c r="B325" t="s">
        <v>2722</v>
      </c>
      <c r="C325" s="1">
        <f t="shared" si="121"/>
        <v>506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5</v>
      </c>
      <c r="G325" s="132">
        <f t="shared" si="106"/>
        <v>50</v>
      </c>
      <c r="H325" s="137">
        <f t="shared" si="107"/>
        <v>9.8814229249011856E-2</v>
      </c>
      <c r="I325" s="2"/>
      <c r="J325" s="2">
        <f t="shared" si="122"/>
        <v>0.52371541501976282</v>
      </c>
      <c r="K325" s="2">
        <f t="shared" si="123"/>
        <v>0.42490118577075098</v>
      </c>
      <c r="L325" s="2">
        <f t="shared" si="124"/>
        <v>3.952569169960474E-3</v>
      </c>
      <c r="M325" s="2">
        <f t="shared" si="125"/>
        <v>4.743083003952573E-2</v>
      </c>
      <c r="N325" s="63">
        <v>265</v>
      </c>
      <c r="O325" s="63">
        <v>215</v>
      </c>
      <c r="P325" s="63">
        <v>2</v>
      </c>
      <c r="Q325" s="63">
        <v>17</v>
      </c>
      <c r="R325" s="63">
        <v>4</v>
      </c>
      <c r="S325" s="63">
        <v>0</v>
      </c>
      <c r="T325" s="63">
        <v>0</v>
      </c>
      <c r="U325" s="63">
        <v>0</v>
      </c>
      <c r="V325" s="63">
        <v>0</v>
      </c>
      <c r="W325" s="63">
        <f>IF(Copyright!B$11=1,IF(CA325&gt;0,CA325-Z325,SUM(CC325:CP325)),SUM(CC325:CP325))</f>
        <v>0</v>
      </c>
      <c r="X325" s="63">
        <v>0</v>
      </c>
      <c r="Y325" s="63">
        <v>0</v>
      </c>
      <c r="Z325" s="63"/>
      <c r="AA325" s="63"/>
      <c r="AB325" s="63"/>
      <c r="AC325" s="63"/>
      <c r="AD325" s="63">
        <v>0</v>
      </c>
      <c r="AE325" s="63">
        <v>0</v>
      </c>
      <c r="AF325" s="63"/>
      <c r="AG325" s="63">
        <v>0</v>
      </c>
      <c r="AH325" s="63">
        <v>0</v>
      </c>
      <c r="AI325" s="63">
        <v>0</v>
      </c>
      <c r="AJ325" s="63"/>
      <c r="AK325" s="63">
        <v>0</v>
      </c>
      <c r="AL325" s="63"/>
      <c r="AM325" s="63">
        <v>0</v>
      </c>
      <c r="AN325" s="63">
        <v>0</v>
      </c>
      <c r="AO325" s="63">
        <v>0</v>
      </c>
      <c r="AP325" s="63">
        <v>2</v>
      </c>
      <c r="AQ325" s="63">
        <v>1</v>
      </c>
      <c r="AR325" s="63"/>
      <c r="AS325" s="63"/>
      <c r="AT325" s="63"/>
      <c r="AU325" s="63"/>
      <c r="AW325" s="5">
        <f>IF(Q325&gt;0,RANK(Q325,(N325:P325,Q325:AE325)),0)</f>
        <v>3</v>
      </c>
      <c r="AX325" s="5">
        <f>IF(R325&gt;0,RANK(R325,(N325:P325,Q325:AE325)),0)</f>
        <v>4</v>
      </c>
      <c r="AY325" s="5">
        <f>IF(T325&gt;0,RANK(T325,(N325:P325,Q325:AE325)),0)</f>
        <v>0</v>
      </c>
      <c r="AZ325" s="5">
        <f>IF(S325&gt;0,RANK(S325,(N325:P325,Q325:AE325)),0)</f>
        <v>0</v>
      </c>
      <c r="BA325" s="2">
        <f t="shared" si="126"/>
        <v>3.3596837944664032E-2</v>
      </c>
      <c r="BB325" s="2">
        <f t="shared" si="127"/>
        <v>7.9051383399209481E-3</v>
      </c>
      <c r="BC325" s="2">
        <f t="shared" si="128"/>
        <v>0</v>
      </c>
      <c r="BD325" s="2">
        <f t="shared" si="129"/>
        <v>0</v>
      </c>
      <c r="BF325" t="s">
        <v>2518</v>
      </c>
      <c r="BG325" t="s">
        <v>2722</v>
      </c>
      <c r="BH325" s="1">
        <v>3</v>
      </c>
      <c r="BJ325" s="114">
        <v>8</v>
      </c>
      <c r="BK325" s="116">
        <v>111</v>
      </c>
      <c r="BL325" s="120">
        <f t="shared" si="120"/>
        <v>8111</v>
      </c>
      <c r="BN325" s="5" t="s">
        <v>3154</v>
      </c>
      <c r="BR325" s="63"/>
      <c r="BZ325" s="63">
        <f t="shared" si="119"/>
        <v>506</v>
      </c>
      <c r="CD325" s="63">
        <v>0</v>
      </c>
      <c r="CE325" s="63">
        <v>0</v>
      </c>
      <c r="CF325" s="63">
        <v>0</v>
      </c>
      <c r="CG325" s="8">
        <v>0</v>
      </c>
      <c r="CH325" s="8">
        <v>0</v>
      </c>
      <c r="CI325" s="8">
        <v>0</v>
      </c>
    </row>
    <row r="326" spans="1:93" hidden="1" outlineLevel="1">
      <c r="A326" t="s">
        <v>2473</v>
      </c>
      <c r="B326" t="s">
        <v>2722</v>
      </c>
      <c r="C326" s="1">
        <f t="shared" si="121"/>
        <v>4329</v>
      </c>
      <c r="D326" s="5">
        <f>IF(N326&gt;0, RANK(N326,(N326:P326,Q326:AE326)),0)</f>
        <v>1</v>
      </c>
      <c r="E326" s="5">
        <f>IF(O326&gt;0,RANK(O326,(N326:P326,Q326:AE326)),0)</f>
        <v>2</v>
      </c>
      <c r="F326" s="5">
        <f>IF(P326&gt;0,RANK(P326,(N326:P326,Q326:AE326)),0)</f>
        <v>5</v>
      </c>
      <c r="G326" s="132">
        <f t="shared" si="106"/>
        <v>1942</v>
      </c>
      <c r="H326" s="137">
        <f t="shared" si="107"/>
        <v>0.44860244860244858</v>
      </c>
      <c r="I326" s="2"/>
      <c r="J326" s="2">
        <f t="shared" si="122"/>
        <v>0.68722568722568722</v>
      </c>
      <c r="K326" s="2">
        <f t="shared" si="123"/>
        <v>0.23862323862323861</v>
      </c>
      <c r="L326" s="2">
        <f t="shared" si="124"/>
        <v>3.4650034650034649E-3</v>
      </c>
      <c r="M326" s="2">
        <f t="shared" si="125"/>
        <v>7.0686070686070704E-2</v>
      </c>
      <c r="N326" s="63">
        <v>2975</v>
      </c>
      <c r="O326" s="63">
        <v>1033</v>
      </c>
      <c r="P326" s="63">
        <v>15</v>
      </c>
      <c r="Q326" s="63">
        <v>154</v>
      </c>
      <c r="R326" s="63">
        <v>128</v>
      </c>
      <c r="S326" s="63">
        <v>15</v>
      </c>
      <c r="T326" s="63">
        <v>0</v>
      </c>
      <c r="U326" s="63">
        <v>0</v>
      </c>
      <c r="V326" s="63">
        <v>0</v>
      </c>
      <c r="W326" s="63">
        <f>IF(Copyright!B$11=1,IF(CA326&gt;0,CA326-Z326,SUM(CC326:CP326)),SUM(CC326:CP326))</f>
        <v>0</v>
      </c>
      <c r="X326" s="63">
        <v>0</v>
      </c>
      <c r="Y326" s="63">
        <v>0</v>
      </c>
      <c r="Z326" s="63"/>
      <c r="AA326" s="63"/>
      <c r="AB326" s="63"/>
      <c r="AC326" s="63"/>
      <c r="AD326" s="63">
        <v>0</v>
      </c>
      <c r="AE326" s="63">
        <v>0</v>
      </c>
      <c r="AF326" s="63"/>
      <c r="AG326" s="63">
        <v>2</v>
      </c>
      <c r="AH326" s="63">
        <v>0</v>
      </c>
      <c r="AI326" s="63">
        <v>0</v>
      </c>
      <c r="AJ326" s="63"/>
      <c r="AK326" s="63">
        <v>1</v>
      </c>
      <c r="AL326" s="63"/>
      <c r="AM326" s="63">
        <v>1</v>
      </c>
      <c r="AN326" s="63">
        <v>0</v>
      </c>
      <c r="AO326" s="63">
        <v>2</v>
      </c>
      <c r="AP326" s="63">
        <v>2</v>
      </c>
      <c r="AQ326" s="63">
        <v>1</v>
      </c>
      <c r="AR326" s="63"/>
      <c r="AS326" s="63"/>
      <c r="AT326" s="63"/>
      <c r="AU326" s="63"/>
      <c r="AW326" s="5">
        <f>IF(Q326&gt;0,RANK(Q326,(N326:P326,Q326:AE326)),0)</f>
        <v>3</v>
      </c>
      <c r="AX326" s="5">
        <f>IF(R326&gt;0,RANK(R326,(N326:P326,Q326:AE326)),0)</f>
        <v>4</v>
      </c>
      <c r="AY326" s="5">
        <f>IF(T326&gt;0,RANK(T326,(N326:P326,Q326:AE326)),0)</f>
        <v>0</v>
      </c>
      <c r="AZ326" s="5">
        <f>IF(S326&gt;0,RANK(S326,(N326:P326,Q326:AE326)),0)</f>
        <v>5</v>
      </c>
      <c r="BA326" s="2">
        <f t="shared" si="126"/>
        <v>3.5574035574035573E-2</v>
      </c>
      <c r="BB326" s="2">
        <f t="shared" si="127"/>
        <v>2.9568029568029567E-2</v>
      </c>
      <c r="BC326" s="2">
        <f t="shared" si="128"/>
        <v>0</v>
      </c>
      <c r="BD326" s="2">
        <f t="shared" si="129"/>
        <v>3.4650034650034649E-3</v>
      </c>
      <c r="BF326" t="s">
        <v>2473</v>
      </c>
      <c r="BG326" t="s">
        <v>2722</v>
      </c>
      <c r="BH326" s="1">
        <v>3</v>
      </c>
      <c r="BJ326" s="114">
        <v>8</v>
      </c>
      <c r="BK326" s="116">
        <v>113</v>
      </c>
      <c r="BL326" s="120">
        <f t="shared" si="120"/>
        <v>8113</v>
      </c>
      <c r="BN326" s="5" t="s">
        <v>3154</v>
      </c>
      <c r="BR326" s="63"/>
      <c r="BZ326" s="63">
        <f t="shared" si="119"/>
        <v>4329</v>
      </c>
      <c r="CD326" s="63">
        <v>0</v>
      </c>
      <c r="CE326" s="63">
        <v>0</v>
      </c>
      <c r="CF326" s="63">
        <v>0</v>
      </c>
      <c r="CG326" s="8">
        <v>0</v>
      </c>
      <c r="CH326" s="8">
        <v>0</v>
      </c>
      <c r="CI326" s="8">
        <v>0</v>
      </c>
    </row>
    <row r="327" spans="1:93" hidden="1" outlineLevel="1">
      <c r="A327" t="s">
        <v>2832</v>
      </c>
      <c r="B327" t="s">
        <v>2722</v>
      </c>
      <c r="C327" s="1">
        <f t="shared" si="121"/>
        <v>1364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>IF(P327&gt;0,RANK(P327,(N327:P327,Q327:AE327)),0)</f>
        <v>5</v>
      </c>
      <c r="G327" s="132">
        <f t="shared" si="106"/>
        <v>748</v>
      </c>
      <c r="H327" s="137">
        <f t="shared" si="107"/>
        <v>0.54838709677419351</v>
      </c>
      <c r="I327" s="2"/>
      <c r="J327" s="2">
        <f t="shared" si="122"/>
        <v>0.19574780058651026</v>
      </c>
      <c r="K327" s="2">
        <f t="shared" si="123"/>
        <v>0.74413489736070382</v>
      </c>
      <c r="L327" s="2">
        <f t="shared" si="124"/>
        <v>8.7976539589442824E-3</v>
      </c>
      <c r="M327" s="2">
        <f t="shared" si="125"/>
        <v>5.131964809384159E-2</v>
      </c>
      <c r="N327" s="63">
        <v>267</v>
      </c>
      <c r="O327" s="63">
        <v>1015</v>
      </c>
      <c r="P327" s="63">
        <v>12</v>
      </c>
      <c r="Q327" s="63">
        <v>28</v>
      </c>
      <c r="R327" s="63">
        <v>21</v>
      </c>
      <c r="S327" s="63">
        <v>9</v>
      </c>
      <c r="T327" s="63">
        <v>1</v>
      </c>
      <c r="U327" s="63">
        <v>0</v>
      </c>
      <c r="V327" s="63">
        <v>0</v>
      </c>
      <c r="W327" s="63">
        <f>IF(Copyright!B$11=1,IF(CA327&gt;0,CA327-Z327,SUM(CC327:CP327)),SUM(CC327:CP327))</f>
        <v>0</v>
      </c>
      <c r="X327" s="63">
        <v>1</v>
      </c>
      <c r="Y327" s="63">
        <v>0</v>
      </c>
      <c r="Z327" s="63"/>
      <c r="AA327" s="63"/>
      <c r="AB327" s="63"/>
      <c r="AC327" s="63"/>
      <c r="AD327" s="63">
        <v>0</v>
      </c>
      <c r="AE327" s="63">
        <v>1</v>
      </c>
      <c r="AF327" s="63"/>
      <c r="AG327" s="63">
        <v>6</v>
      </c>
      <c r="AH327" s="63">
        <v>0</v>
      </c>
      <c r="AI327" s="63">
        <v>0</v>
      </c>
      <c r="AJ327" s="63"/>
      <c r="AK327" s="63">
        <v>0</v>
      </c>
      <c r="AL327" s="63"/>
      <c r="AM327" s="63">
        <v>0</v>
      </c>
      <c r="AN327" s="63">
        <v>0</v>
      </c>
      <c r="AO327" s="63">
        <v>1</v>
      </c>
      <c r="AP327" s="63">
        <v>0</v>
      </c>
      <c r="AQ327" s="63">
        <v>2</v>
      </c>
      <c r="AR327" s="63"/>
      <c r="AS327" s="63"/>
      <c r="AT327" s="63"/>
      <c r="AU327" s="63"/>
      <c r="AW327" s="5">
        <f>IF(Q327&gt;0,RANK(Q327,(N327:P327,Q327:AE327)),0)</f>
        <v>3</v>
      </c>
      <c r="AX327" s="5">
        <f>IF(R327&gt;0,RANK(R327,(N327:P327,Q327:AE327)),0)</f>
        <v>4</v>
      </c>
      <c r="AY327" s="5">
        <f>IF(T327&gt;0,RANK(T327,(N327:P327,Q327:AE327)),0)</f>
        <v>7</v>
      </c>
      <c r="AZ327" s="5">
        <f>IF(S327&gt;0,RANK(S327,(N327:P327,Q327:AE327)),0)</f>
        <v>6</v>
      </c>
      <c r="BA327" s="2">
        <f t="shared" si="126"/>
        <v>2.0527859237536656E-2</v>
      </c>
      <c r="BB327" s="2">
        <f t="shared" si="127"/>
        <v>1.5395894428152493E-2</v>
      </c>
      <c r="BC327" s="2">
        <f t="shared" si="128"/>
        <v>7.3313782991202346E-4</v>
      </c>
      <c r="BD327" s="2">
        <f t="shared" si="129"/>
        <v>6.5982404692082114E-3</v>
      </c>
      <c r="BF327" t="s">
        <v>2832</v>
      </c>
      <c r="BG327" t="s">
        <v>2722</v>
      </c>
      <c r="BH327" s="1">
        <v>4</v>
      </c>
      <c r="BJ327" s="114">
        <v>8</v>
      </c>
      <c r="BK327" s="116">
        <v>115</v>
      </c>
      <c r="BL327" s="120">
        <f t="shared" si="120"/>
        <v>8115</v>
      </c>
      <c r="BN327" s="5" t="s">
        <v>3154</v>
      </c>
      <c r="BR327" s="63"/>
      <c r="BZ327" s="63">
        <f t="shared" si="119"/>
        <v>1364</v>
      </c>
      <c r="CD327" s="63">
        <v>0</v>
      </c>
      <c r="CE327" s="63">
        <v>0</v>
      </c>
      <c r="CF327" s="63">
        <v>0</v>
      </c>
      <c r="CG327" s="8">
        <v>0</v>
      </c>
      <c r="CH327" s="8">
        <v>0</v>
      </c>
      <c r="CI327" s="8">
        <v>0</v>
      </c>
    </row>
    <row r="328" spans="1:93" hidden="1" outlineLevel="1">
      <c r="A328" t="s">
        <v>2927</v>
      </c>
      <c r="B328" t="s">
        <v>2722</v>
      </c>
      <c r="C328" s="1">
        <f t="shared" si="121"/>
        <v>16174</v>
      </c>
      <c r="D328" s="5">
        <f>IF(N328&gt;0, RANK(N328,(N328:P328,Q328:AE328)),0)</f>
        <v>1</v>
      </c>
      <c r="E328" s="5">
        <f>IF(O328&gt;0,RANK(O328,(N328:P328,Q328:AE328)),0)</f>
        <v>2</v>
      </c>
      <c r="F328" s="5">
        <f>IF(P328&gt;0,RANK(P328,(N328:P328,Q328:AE328)),0)</f>
        <v>5</v>
      </c>
      <c r="G328" s="132">
        <f t="shared" ref="G328:G333" si="130">IF(C328&gt;0,MAX(N328:P328)-LARGE(N328:P328,2),0)</f>
        <v>4457</v>
      </c>
      <c r="H328" s="137">
        <f t="shared" ref="H328:H333" si="131">IF(C328&gt;0,G328/C328,0)</f>
        <v>0.27556572276493135</v>
      </c>
      <c r="I328" s="2"/>
      <c r="J328" s="2">
        <f t="shared" si="122"/>
        <v>0.59088660813651539</v>
      </c>
      <c r="K328" s="2">
        <f t="shared" si="123"/>
        <v>0.31532088537158404</v>
      </c>
      <c r="L328" s="2">
        <f t="shared" si="124"/>
        <v>6.9865215778409789E-3</v>
      </c>
      <c r="M328" s="2">
        <f t="shared" si="125"/>
        <v>8.6805984914059595E-2</v>
      </c>
      <c r="N328" s="63">
        <v>9557</v>
      </c>
      <c r="O328" s="63">
        <v>5100</v>
      </c>
      <c r="P328" s="63">
        <v>113</v>
      </c>
      <c r="Q328" s="63">
        <v>1000</v>
      </c>
      <c r="R328" s="63">
        <v>302</v>
      </c>
      <c r="S328" s="63">
        <v>46</v>
      </c>
      <c r="T328" s="63">
        <v>9</v>
      </c>
      <c r="U328" s="63">
        <v>0</v>
      </c>
      <c r="V328" s="63">
        <v>3</v>
      </c>
      <c r="W328" s="63">
        <f>IF(Copyright!B$11=1,IF(CA328&gt;0,CA328-Z328,SUM(CC328:CP328)),SUM(CC328:CP328))</f>
        <v>0</v>
      </c>
      <c r="X328" s="63">
        <v>1</v>
      </c>
      <c r="Y328" s="63">
        <v>3</v>
      </c>
      <c r="Z328" s="63"/>
      <c r="AA328" s="63"/>
      <c r="AB328" s="63"/>
      <c r="AC328" s="63"/>
      <c r="AD328" s="63">
        <v>0</v>
      </c>
      <c r="AE328" s="63">
        <v>2</v>
      </c>
      <c r="AF328" s="63"/>
      <c r="AG328" s="63">
        <v>8</v>
      </c>
      <c r="AH328" s="63">
        <v>6</v>
      </c>
      <c r="AI328" s="63">
        <v>1</v>
      </c>
      <c r="AJ328" s="63"/>
      <c r="AK328" s="63">
        <v>2</v>
      </c>
      <c r="AL328" s="63"/>
      <c r="AM328" s="63">
        <v>2</v>
      </c>
      <c r="AN328" s="63">
        <v>1</v>
      </c>
      <c r="AO328" s="63">
        <v>6</v>
      </c>
      <c r="AP328" s="63">
        <v>7</v>
      </c>
      <c r="AQ328" s="63">
        <v>5</v>
      </c>
      <c r="AR328" s="63"/>
      <c r="AS328" s="63"/>
      <c r="AT328" s="63"/>
      <c r="AU328" s="63"/>
      <c r="AW328" s="5">
        <f>IF(Q328&gt;0,RANK(Q328,(N328:P328,Q328:AE328)),0)</f>
        <v>3</v>
      </c>
      <c r="AX328" s="5">
        <f>IF(R328&gt;0,RANK(R328,(N328:P328,Q328:AE328)),0)</f>
        <v>4</v>
      </c>
      <c r="AY328" s="5">
        <f>IF(T328&gt;0,RANK(T328,(N328:P328,Q328:AE328)),0)</f>
        <v>7</v>
      </c>
      <c r="AZ328" s="5">
        <f>IF(S328&gt;0,RANK(S328,(N328:P328,Q328:AE328)),0)</f>
        <v>6</v>
      </c>
      <c r="BA328" s="2">
        <f t="shared" si="126"/>
        <v>6.1827624582663533E-2</v>
      </c>
      <c r="BB328" s="2">
        <f t="shared" si="127"/>
        <v>1.8671942623964388E-2</v>
      </c>
      <c r="BC328" s="2">
        <f t="shared" si="128"/>
        <v>5.5644862124397182E-4</v>
      </c>
      <c r="BD328" s="2">
        <f t="shared" si="129"/>
        <v>2.8440707308025224E-3</v>
      </c>
      <c r="BF328" t="s">
        <v>2927</v>
      </c>
      <c r="BG328" t="s">
        <v>2722</v>
      </c>
      <c r="BH328" s="1">
        <v>2</v>
      </c>
      <c r="BJ328" s="114">
        <v>8</v>
      </c>
      <c r="BK328" s="116">
        <v>117</v>
      </c>
      <c r="BL328" s="120">
        <f t="shared" si="120"/>
        <v>8117</v>
      </c>
      <c r="BN328" s="5" t="s">
        <v>3154</v>
      </c>
      <c r="BR328" s="63"/>
      <c r="BZ328" s="63">
        <f t="shared" si="119"/>
        <v>16174</v>
      </c>
      <c r="CD328" s="63">
        <v>0</v>
      </c>
      <c r="CE328" s="63">
        <v>0</v>
      </c>
      <c r="CF328" s="63">
        <v>0</v>
      </c>
      <c r="CG328" s="8">
        <v>0</v>
      </c>
      <c r="CH328" s="8">
        <v>0</v>
      </c>
      <c r="CI328" s="8">
        <v>0</v>
      </c>
    </row>
    <row r="329" spans="1:93" hidden="1" outlineLevel="1">
      <c r="A329" t="s">
        <v>3014</v>
      </c>
      <c r="B329" t="s">
        <v>2722</v>
      </c>
      <c r="C329" s="1">
        <f t="shared" si="121"/>
        <v>14444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5</v>
      </c>
      <c r="G329" s="132">
        <f t="shared" si="130"/>
        <v>6142</v>
      </c>
      <c r="H329" s="137">
        <f t="shared" si="131"/>
        <v>0.42522846856826363</v>
      </c>
      <c r="I329" s="2"/>
      <c r="J329" s="2">
        <f t="shared" si="122"/>
        <v>0.24944613680420935</v>
      </c>
      <c r="K329" s="2">
        <f t="shared" si="123"/>
        <v>0.67467460537247304</v>
      </c>
      <c r="L329" s="2">
        <f t="shared" si="124"/>
        <v>8.3771808363334258E-3</v>
      </c>
      <c r="M329" s="2">
        <f t="shared" si="125"/>
        <v>6.7502076986984183E-2</v>
      </c>
      <c r="N329" s="63">
        <v>3603</v>
      </c>
      <c r="O329" s="63">
        <v>9745</v>
      </c>
      <c r="P329" s="63">
        <v>121</v>
      </c>
      <c r="Q329" s="63">
        <v>674</v>
      </c>
      <c r="R329" s="63">
        <v>165</v>
      </c>
      <c r="S329" s="63">
        <v>74</v>
      </c>
      <c r="T329" s="63">
        <v>0</v>
      </c>
      <c r="U329" s="63">
        <v>0</v>
      </c>
      <c r="V329" s="63">
        <v>2</v>
      </c>
      <c r="W329" s="63">
        <f>IF(Copyright!B$11=1,IF(CA329&gt;0,CA329-Z329,SUM(CC329:CP329)),SUM(CC329:CP329))</f>
        <v>0</v>
      </c>
      <c r="X329" s="63">
        <v>3</v>
      </c>
      <c r="Y329" s="63">
        <v>1</v>
      </c>
      <c r="Z329" s="63"/>
      <c r="AA329" s="63"/>
      <c r="AB329" s="63"/>
      <c r="AC329" s="63"/>
      <c r="AD329" s="63">
        <v>0</v>
      </c>
      <c r="AE329" s="63">
        <v>1</v>
      </c>
      <c r="AF329" s="63"/>
      <c r="AG329" s="63">
        <v>26</v>
      </c>
      <c r="AH329" s="63">
        <v>2</v>
      </c>
      <c r="AI329" s="63">
        <v>1</v>
      </c>
      <c r="AJ329" s="63"/>
      <c r="AK329" s="63">
        <v>1</v>
      </c>
      <c r="AL329" s="63"/>
      <c r="AM329" s="63">
        <v>0</v>
      </c>
      <c r="AN329" s="63">
        <v>6</v>
      </c>
      <c r="AO329" s="63">
        <v>1</v>
      </c>
      <c r="AP329" s="63">
        <v>0</v>
      </c>
      <c r="AQ329" s="63">
        <v>18</v>
      </c>
      <c r="AR329" s="63"/>
      <c r="AS329" s="63"/>
      <c r="AT329" s="63"/>
      <c r="AU329" s="63"/>
      <c r="AW329" s="5">
        <f>IF(Q329&gt;0,RANK(Q329,(N329:P329,Q329:AE329)),0)</f>
        <v>3</v>
      </c>
      <c r="AX329" s="5">
        <f>IF(R329&gt;0,RANK(R329,(N329:P329,Q329:AE329)),0)</f>
        <v>4</v>
      </c>
      <c r="AY329" s="5">
        <f>IF(T329&gt;0,RANK(T329,(N329:P329,Q329:AE329)),0)</f>
        <v>0</v>
      </c>
      <c r="AZ329" s="5">
        <f>IF(S329&gt;0,RANK(S329,(N329:P329,Q329:AE329)),0)</f>
        <v>6</v>
      </c>
      <c r="BA329" s="2">
        <f t="shared" si="126"/>
        <v>4.6662974245361394E-2</v>
      </c>
      <c r="BB329" s="2">
        <f t="shared" si="127"/>
        <v>1.1423428413181945E-2</v>
      </c>
      <c r="BC329" s="2">
        <f t="shared" si="128"/>
        <v>0</v>
      </c>
      <c r="BD329" s="2">
        <f t="shared" si="129"/>
        <v>5.123234561063417E-3</v>
      </c>
      <c r="BF329" t="s">
        <v>3014</v>
      </c>
      <c r="BG329" t="s">
        <v>2722</v>
      </c>
      <c r="BH329" s="1">
        <v>5</v>
      </c>
      <c r="BJ329" s="114">
        <v>8</v>
      </c>
      <c r="BK329" s="116">
        <v>119</v>
      </c>
      <c r="BL329" s="120">
        <f t="shared" si="120"/>
        <v>8119</v>
      </c>
      <c r="BN329" s="5" t="s">
        <v>3154</v>
      </c>
      <c r="BR329" s="63"/>
      <c r="CD329" s="63">
        <v>0</v>
      </c>
      <c r="CE329" s="63">
        <v>0</v>
      </c>
      <c r="CF329" s="63">
        <v>0</v>
      </c>
      <c r="CG329" s="8">
        <v>0</v>
      </c>
      <c r="CH329" s="8">
        <v>0</v>
      </c>
      <c r="CI329" s="8">
        <v>0</v>
      </c>
    </row>
    <row r="330" spans="1:93" hidden="1" outlineLevel="1">
      <c r="A330" t="s">
        <v>692</v>
      </c>
      <c r="B330" t="s">
        <v>2722</v>
      </c>
      <c r="C330" s="1">
        <f t="shared" si="121"/>
        <v>2733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4</v>
      </c>
      <c r="G330" s="132">
        <f t="shared" si="130"/>
        <v>2003</v>
      </c>
      <c r="H330" s="137">
        <f t="shared" si="131"/>
        <v>0.73289425539699959</v>
      </c>
      <c r="I330" s="2"/>
      <c r="J330" s="2">
        <f t="shared" si="122"/>
        <v>0.10830589096231248</v>
      </c>
      <c r="K330" s="2">
        <f t="shared" si="123"/>
        <v>0.84120014635931206</v>
      </c>
      <c r="L330" s="2">
        <f t="shared" si="124"/>
        <v>5.8543724844493227E-3</v>
      </c>
      <c r="M330" s="2">
        <f t="shared" si="125"/>
        <v>4.4639590193926146E-2</v>
      </c>
      <c r="N330" s="63">
        <v>296</v>
      </c>
      <c r="O330" s="63">
        <v>2299</v>
      </c>
      <c r="P330" s="63">
        <v>16</v>
      </c>
      <c r="Q330" s="63">
        <v>82</v>
      </c>
      <c r="R330" s="63">
        <v>11</v>
      </c>
      <c r="S330" s="63">
        <v>14</v>
      </c>
      <c r="T330" s="63">
        <v>2</v>
      </c>
      <c r="U330" s="63">
        <v>0</v>
      </c>
      <c r="V330" s="63">
        <v>0</v>
      </c>
      <c r="W330" s="63">
        <f>IF(Copyright!B$11=1,IF(CA330&gt;0,CA330-Z330,SUM(CC330:CP330)),SUM(CC330:CP330))</f>
        <v>0</v>
      </c>
      <c r="X330" s="63">
        <v>0</v>
      </c>
      <c r="Y330" s="63">
        <v>1</v>
      </c>
      <c r="Z330" s="63"/>
      <c r="AA330" s="63"/>
      <c r="AB330" s="63"/>
      <c r="AC330" s="63"/>
      <c r="AD330" s="63">
        <v>0</v>
      </c>
      <c r="AE330" s="63">
        <v>0</v>
      </c>
      <c r="AF330" s="63"/>
      <c r="AG330" s="63">
        <v>6</v>
      </c>
      <c r="AH330" s="63">
        <v>1</v>
      </c>
      <c r="AI330" s="63">
        <v>1</v>
      </c>
      <c r="AJ330" s="63"/>
      <c r="AK330" s="63">
        <v>1</v>
      </c>
      <c r="AL330" s="63"/>
      <c r="AM330" s="63">
        <v>0</v>
      </c>
      <c r="AN330" s="63">
        <v>0</v>
      </c>
      <c r="AO330" s="63">
        <v>1</v>
      </c>
      <c r="AP330" s="63">
        <v>0</v>
      </c>
      <c r="AQ330" s="63">
        <v>2</v>
      </c>
      <c r="AR330" s="63"/>
      <c r="AS330" s="63"/>
      <c r="AT330" s="63"/>
      <c r="AU330" s="63"/>
      <c r="AW330" s="5">
        <f>IF(Q330&gt;0,RANK(Q330,(N330:P330,Q330:AE330)),0)</f>
        <v>3</v>
      </c>
      <c r="AX330" s="5">
        <f>IF(R330&gt;0,RANK(R330,(N330:P330,Q330:AE330)),0)</f>
        <v>6</v>
      </c>
      <c r="AY330" s="5">
        <f>IF(T330&gt;0,RANK(T330,(N330:P330,Q330:AE330)),0)</f>
        <v>7</v>
      </c>
      <c r="AZ330" s="5">
        <f>IF(S330&gt;0,RANK(S330,(N330:P330,Q330:AE330)),0)</f>
        <v>5</v>
      </c>
      <c r="BA330" s="2">
        <f t="shared" si="126"/>
        <v>3.0003658982802779E-2</v>
      </c>
      <c r="BB330" s="2">
        <f t="shared" si="127"/>
        <v>4.0248810830589097E-3</v>
      </c>
      <c r="BC330" s="2">
        <f t="shared" si="128"/>
        <v>7.3179656055616534E-4</v>
      </c>
      <c r="BD330" s="2">
        <f t="shared" si="129"/>
        <v>5.122575923893158E-3</v>
      </c>
      <c r="BF330" t="s">
        <v>692</v>
      </c>
      <c r="BG330" t="s">
        <v>2722</v>
      </c>
      <c r="BH330" s="1">
        <v>4</v>
      </c>
      <c r="BJ330" s="114">
        <v>8</v>
      </c>
      <c r="BK330" s="116">
        <v>121</v>
      </c>
      <c r="BL330" s="120">
        <f t="shared" si="120"/>
        <v>8121</v>
      </c>
      <c r="BN330" s="5" t="s">
        <v>3154</v>
      </c>
      <c r="BR330" s="63"/>
      <c r="BZ330" s="63">
        <f>C330</f>
        <v>2733</v>
      </c>
      <c r="CD330" s="63">
        <v>0</v>
      </c>
      <c r="CE330" s="63">
        <v>0</v>
      </c>
      <c r="CF330" s="63">
        <v>0</v>
      </c>
      <c r="CG330" s="8">
        <v>0</v>
      </c>
      <c r="CH330" s="8">
        <v>0</v>
      </c>
      <c r="CI330" s="8">
        <v>0</v>
      </c>
    </row>
    <row r="331" spans="1:93" hidden="1" outlineLevel="1">
      <c r="A331" t="s">
        <v>769</v>
      </c>
      <c r="B331" t="s">
        <v>2722</v>
      </c>
      <c r="C331" s="1">
        <f t="shared" si="121"/>
        <v>135430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4</v>
      </c>
      <c r="G331" s="132">
        <f t="shared" si="130"/>
        <v>30132</v>
      </c>
      <c r="H331" s="137">
        <f t="shared" si="131"/>
        <v>0.22249132393118215</v>
      </c>
      <c r="I331" s="2"/>
      <c r="J331" s="2">
        <f t="shared" si="122"/>
        <v>0.34349110241453151</v>
      </c>
      <c r="K331" s="2">
        <f t="shared" si="123"/>
        <v>0.56598242634571361</v>
      </c>
      <c r="L331" s="2">
        <f t="shared" si="124"/>
        <v>1.1924979694307022E-2</v>
      </c>
      <c r="M331" s="2">
        <f t="shared" si="125"/>
        <v>7.8601491545447863E-2</v>
      </c>
      <c r="N331" s="63">
        <v>46519</v>
      </c>
      <c r="O331" s="63">
        <v>76651</v>
      </c>
      <c r="P331" s="63">
        <v>1615</v>
      </c>
      <c r="Q331" s="63">
        <v>7487</v>
      </c>
      <c r="R331" s="63">
        <v>1353</v>
      </c>
      <c r="S331" s="63">
        <v>844</v>
      </c>
      <c r="T331" s="63">
        <v>90</v>
      </c>
      <c r="U331" s="63">
        <v>11</v>
      </c>
      <c r="V331" s="63">
        <v>30</v>
      </c>
      <c r="W331" s="63">
        <f>IF(Copyright!B$11=1,IF(CA331&gt;0,CA331-Z331,SUM(CC331:CP331)),SUM(CC331:CP331))</f>
        <v>2</v>
      </c>
      <c r="X331" s="63">
        <v>20</v>
      </c>
      <c r="Y331" s="63">
        <v>52</v>
      </c>
      <c r="Z331" s="63"/>
      <c r="AA331" s="63"/>
      <c r="AB331" s="63"/>
      <c r="AC331" s="63"/>
      <c r="AD331" s="63">
        <v>9</v>
      </c>
      <c r="AE331" s="63">
        <v>11</v>
      </c>
      <c r="AF331" s="63"/>
      <c r="AG331" s="63">
        <v>332</v>
      </c>
      <c r="AH331" s="63">
        <v>84</v>
      </c>
      <c r="AI331" s="63">
        <v>14</v>
      </c>
      <c r="AJ331" s="63"/>
      <c r="AK331" s="63">
        <v>20</v>
      </c>
      <c r="AL331" s="63"/>
      <c r="AM331" s="63">
        <v>48</v>
      </c>
      <c r="AN331" s="63">
        <v>46</v>
      </c>
      <c r="AO331" s="63">
        <v>35</v>
      </c>
      <c r="AP331" s="63">
        <v>37</v>
      </c>
      <c r="AQ331" s="63">
        <v>120</v>
      </c>
      <c r="AR331" s="63"/>
      <c r="AS331" s="63"/>
      <c r="AT331" s="63"/>
      <c r="AU331" s="63"/>
      <c r="AW331" s="5">
        <f>IF(Q331&gt;0,RANK(Q331,(N331:P331,Q331:AE331)),0)</f>
        <v>3</v>
      </c>
      <c r="AX331" s="5">
        <f>IF(R331&gt;0,RANK(R331,(N331:P331,Q331:AE331)),0)</f>
        <v>5</v>
      </c>
      <c r="AY331" s="5">
        <f>IF(T331&gt;0,RANK(T331,(N331:P331,Q331:AE331)),0)</f>
        <v>7</v>
      </c>
      <c r="AZ331" s="5">
        <f>IF(S331&gt;0,RANK(S331,(N331:P331,Q331:AE331)),0)</f>
        <v>6</v>
      </c>
      <c r="BA331" s="2">
        <f t="shared" si="126"/>
        <v>5.5283172118437571E-2</v>
      </c>
      <c r="BB331" s="2">
        <f t="shared" si="127"/>
        <v>9.9904009451377094E-3</v>
      </c>
      <c r="BC331" s="2">
        <f t="shared" si="128"/>
        <v>6.6454995200472566E-4</v>
      </c>
      <c r="BD331" s="2">
        <f t="shared" si="129"/>
        <v>6.2320017721332055E-3</v>
      </c>
      <c r="BF331" t="s">
        <v>769</v>
      </c>
      <c r="BG331" t="s">
        <v>2722</v>
      </c>
      <c r="BH331" s="1">
        <v>4</v>
      </c>
      <c r="BJ331" s="114">
        <v>8</v>
      </c>
      <c r="BK331" s="116">
        <v>123</v>
      </c>
      <c r="BL331" s="120">
        <f t="shared" si="120"/>
        <v>8123</v>
      </c>
      <c r="BN331" s="5" t="s">
        <v>3154</v>
      </c>
      <c r="BR331" s="63"/>
      <c r="CD331" s="63">
        <v>0</v>
      </c>
      <c r="CE331" s="63">
        <v>0</v>
      </c>
      <c r="CF331" s="63">
        <v>1</v>
      </c>
      <c r="CG331" s="8">
        <v>1</v>
      </c>
      <c r="CH331" s="8">
        <v>0</v>
      </c>
      <c r="CI331" s="8">
        <v>0</v>
      </c>
    </row>
    <row r="332" spans="1:93" hidden="1" outlineLevel="1">
      <c r="A332" t="s">
        <v>511</v>
      </c>
      <c r="B332" t="s">
        <v>2722</v>
      </c>
      <c r="C332" s="1">
        <f t="shared" si="121"/>
        <v>4791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>IF(P332&gt;0,RANK(P332,(N332:P332,Q332:AE332)),0)</f>
        <v>4</v>
      </c>
      <c r="G332" s="132">
        <f t="shared" si="130"/>
        <v>3124</v>
      </c>
      <c r="H332" s="137">
        <f t="shared" si="131"/>
        <v>0.65205593821749108</v>
      </c>
      <c r="I332" s="2"/>
      <c r="J332" s="2">
        <f t="shared" si="122"/>
        <v>0.15153412648716344</v>
      </c>
      <c r="K332" s="2">
        <f t="shared" si="123"/>
        <v>0.80359006470465455</v>
      </c>
      <c r="L332" s="2">
        <f t="shared" si="124"/>
        <v>6.8879148403256105E-3</v>
      </c>
      <c r="M332" s="2">
        <f t="shared" si="125"/>
        <v>3.7987893967856373E-2</v>
      </c>
      <c r="N332" s="63">
        <v>726</v>
      </c>
      <c r="O332" s="63">
        <v>3850</v>
      </c>
      <c r="P332" s="63">
        <v>33</v>
      </c>
      <c r="Q332" s="63">
        <v>118</v>
      </c>
      <c r="R332" s="63">
        <v>16</v>
      </c>
      <c r="S332" s="63">
        <v>26</v>
      </c>
      <c r="T332" s="63">
        <v>2</v>
      </c>
      <c r="U332" s="63">
        <v>0</v>
      </c>
      <c r="V332" s="63">
        <v>0</v>
      </c>
      <c r="W332" s="63">
        <f>IF(Copyright!B$11=1,IF(CA332&gt;0,CA332-Z332,SUM(CC332:CP332)),SUM(CC332:CP332))</f>
        <v>0</v>
      </c>
      <c r="X332" s="63">
        <v>0</v>
      </c>
      <c r="Y332" s="63">
        <v>0</v>
      </c>
      <c r="Z332" s="63"/>
      <c r="AA332" s="63"/>
      <c r="AB332" s="63"/>
      <c r="AC332" s="63"/>
      <c r="AD332" s="63">
        <v>0</v>
      </c>
      <c r="AE332" s="63">
        <v>0</v>
      </c>
      <c r="AF332" s="63"/>
      <c r="AG332" s="63">
        <v>12</v>
      </c>
      <c r="AH332" s="63">
        <v>3</v>
      </c>
      <c r="AI332" s="63">
        <v>0</v>
      </c>
      <c r="AJ332" s="63"/>
      <c r="AK332" s="63">
        <v>0</v>
      </c>
      <c r="AL332" s="63"/>
      <c r="AM332" s="63">
        <v>0</v>
      </c>
      <c r="AN332" s="63">
        <v>0</v>
      </c>
      <c r="AO332" s="63">
        <v>1</v>
      </c>
      <c r="AP332" s="63">
        <v>0</v>
      </c>
      <c r="AQ332" s="63">
        <v>4</v>
      </c>
      <c r="AR332" s="63"/>
      <c r="AS332" s="63"/>
      <c r="AT332" s="63"/>
      <c r="AU332" s="63"/>
      <c r="AW332" s="5">
        <f>IF(Q332&gt;0,RANK(Q332,(N332:P332,Q332:AE332)),0)</f>
        <v>3</v>
      </c>
      <c r="AX332" s="5">
        <f>IF(R332&gt;0,RANK(R332,(N332:P332,Q332:AE332)),0)</f>
        <v>6</v>
      </c>
      <c r="AY332" s="5">
        <f>IF(T332&gt;0,RANK(T332,(N332:P332,Q332:AE332)),0)</f>
        <v>7</v>
      </c>
      <c r="AZ332" s="5">
        <f>IF(S332&gt;0,RANK(S332,(N332:P332,Q332:AE332)),0)</f>
        <v>5</v>
      </c>
      <c r="BA332" s="2">
        <f t="shared" si="126"/>
        <v>2.4629513671467335E-2</v>
      </c>
      <c r="BB332" s="2">
        <f t="shared" si="127"/>
        <v>3.3395950740972655E-3</v>
      </c>
      <c r="BC332" s="2">
        <f t="shared" si="128"/>
        <v>4.1744938426215819E-4</v>
      </c>
      <c r="BD332" s="2">
        <f t="shared" si="129"/>
        <v>5.4268419954080572E-3</v>
      </c>
      <c r="BF332" t="s">
        <v>511</v>
      </c>
      <c r="BG332" t="s">
        <v>2722</v>
      </c>
      <c r="BH332" s="1">
        <v>4</v>
      </c>
      <c r="BJ332" s="114">
        <v>8</v>
      </c>
      <c r="BK332" s="116">
        <v>125</v>
      </c>
      <c r="BL332" s="120">
        <f t="shared" si="120"/>
        <v>8125</v>
      </c>
      <c r="BN332" s="5" t="s">
        <v>3154</v>
      </c>
      <c r="BR332" s="63"/>
      <c r="BZ332" s="63">
        <f>C332</f>
        <v>4791</v>
      </c>
      <c r="CD332" s="63">
        <v>0</v>
      </c>
      <c r="CE332" s="63">
        <v>0</v>
      </c>
      <c r="CF332" s="63">
        <v>0</v>
      </c>
      <c r="CG332" s="8">
        <v>0</v>
      </c>
      <c r="CH332" s="8">
        <v>0</v>
      </c>
      <c r="CI332" s="8">
        <v>0</v>
      </c>
    </row>
    <row r="333" spans="1:93" collapsed="1">
      <c r="A333" t="s">
        <v>1865</v>
      </c>
      <c r="B333" t="s">
        <v>544</v>
      </c>
      <c r="C333" s="1">
        <f t="shared" si="121"/>
        <v>2780247</v>
      </c>
      <c r="D333" s="5">
        <f>IF(N333&gt;0, RANK(N333,(N333:P333,Q333:AE333)),0)</f>
        <v>1</v>
      </c>
      <c r="E333" s="5">
        <f>IF(O333&gt;0,RANK(O333,(N333:P333,Q333:AE333)),0)</f>
        <v>2</v>
      </c>
      <c r="F333" s="5">
        <f>IF(P333&gt;0,RANK(P333,(N333:P333,Q333:AE333)),0)</f>
        <v>5</v>
      </c>
      <c r="G333" s="132">
        <f t="shared" si="130"/>
        <v>136386</v>
      </c>
      <c r="H333" s="137">
        <f t="shared" si="131"/>
        <v>4.9055353714975686E-2</v>
      </c>
      <c r="I333" s="2"/>
      <c r="J333" s="2">
        <f t="shared" si="122"/>
        <v>0.48156512712719407</v>
      </c>
      <c r="K333" s="2">
        <f t="shared" si="123"/>
        <v>0.43250977341221841</v>
      </c>
      <c r="L333" s="2">
        <f t="shared" si="124"/>
        <v>1.0400874454679746E-2</v>
      </c>
      <c r="M333" s="2">
        <f t="shared" si="125"/>
        <v>7.5524225005907719E-2</v>
      </c>
      <c r="N333" s="63">
        <f>SUM(N269:N332)</f>
        <v>1338870</v>
      </c>
      <c r="O333" s="63">
        <f>SUM(O269:O332)</f>
        <v>1202484</v>
      </c>
      <c r="P333" s="63">
        <f>SUM(P269:P332)</f>
        <v>28917</v>
      </c>
      <c r="Q333" s="63">
        <f t="shared" ref="Q333:Y333" si="132">SUM(Q269:Q332)</f>
        <v>144121</v>
      </c>
      <c r="R333" s="63">
        <f t="shared" si="132"/>
        <v>38437</v>
      </c>
      <c r="S333" s="63">
        <f t="shared" si="132"/>
        <v>11699</v>
      </c>
      <c r="T333" s="63">
        <f t="shared" si="132"/>
        <v>1255</v>
      </c>
      <c r="U333" s="63">
        <f t="shared" si="132"/>
        <v>271</v>
      </c>
      <c r="V333" s="63">
        <f t="shared" si="132"/>
        <v>531</v>
      </c>
      <c r="W333" s="63">
        <f t="shared" si="132"/>
        <v>27</v>
      </c>
      <c r="X333" s="63">
        <f t="shared" si="132"/>
        <v>452</v>
      </c>
      <c r="Y333" s="63">
        <f t="shared" si="132"/>
        <v>710</v>
      </c>
      <c r="Z333" s="63"/>
      <c r="AA333" s="63"/>
      <c r="AB333" s="63"/>
      <c r="AC333" s="63"/>
      <c r="AD333" s="63">
        <f>SUM(AD269:AD332)</f>
        <v>185</v>
      </c>
      <c r="AE333" s="63">
        <f>SUM(AE269:AE332)</f>
        <v>392</v>
      </c>
      <c r="AF333" s="63"/>
      <c r="AG333" s="63">
        <f>SUM(AG269:AG332)</f>
        <v>5028</v>
      </c>
      <c r="AH333" s="63">
        <f>SUM(AH269:AH332)</f>
        <v>1096</v>
      </c>
      <c r="AI333" s="63">
        <f>SUM(AI269:AI332)</f>
        <v>337</v>
      </c>
      <c r="AJ333" s="63"/>
      <c r="AK333" s="63">
        <f>SUM(AK269:AK332)</f>
        <v>382</v>
      </c>
      <c r="AL333" s="63"/>
      <c r="AM333" s="63">
        <f>SUM(AM269:AM332)</f>
        <v>872</v>
      </c>
      <c r="AN333" s="63">
        <f>SUM(AN269:AN332)</f>
        <v>862</v>
      </c>
      <c r="AO333" s="63">
        <f>SUM(AO269:AO332)</f>
        <v>749</v>
      </c>
      <c r="AP333" s="63">
        <f>SUM(AP269:AP332)</f>
        <v>751</v>
      </c>
      <c r="AQ333" s="63">
        <f>SUM(AQ269:AQ332)</f>
        <v>1819</v>
      </c>
      <c r="AR333" s="63"/>
      <c r="AS333" s="63"/>
      <c r="AT333" s="63"/>
      <c r="AU333" s="63"/>
      <c r="AW333" s="5">
        <f>IF(Q333&gt;0,RANK(Q333,(N333:P333,Q333:AE333)),0)</f>
        <v>3</v>
      </c>
      <c r="AX333" s="5">
        <f>IF(R333&gt;0,RANK(R333,(N333:P333,Q333:AE333)),0)</f>
        <v>4</v>
      </c>
      <c r="AY333" s="5">
        <f>IF(T333&gt;0,RANK(T333,(N333:P333,Q333:AE333)),0)</f>
        <v>7</v>
      </c>
      <c r="AZ333" s="5">
        <f>IF(S333&gt;0,RANK(S333,(N333:P333,Q333:AE333)),0)</f>
        <v>6</v>
      </c>
      <c r="BA333" s="2">
        <f t="shared" si="126"/>
        <v>5.1837480626721298E-2</v>
      </c>
      <c r="BB333" s="2">
        <f t="shared" si="127"/>
        <v>1.3825030653751267E-2</v>
      </c>
      <c r="BC333" s="2">
        <f t="shared" si="128"/>
        <v>4.5139874262970159E-4</v>
      </c>
      <c r="BD333" s="2">
        <f t="shared" si="129"/>
        <v>4.2078995139640469E-3</v>
      </c>
      <c r="BF333" t="s">
        <v>1865</v>
      </c>
      <c r="BG333" t="s">
        <v>544</v>
      </c>
      <c r="BJ333" s="114">
        <v>8</v>
      </c>
      <c r="BK333" s="116"/>
      <c r="BL333" s="114">
        <v>8</v>
      </c>
      <c r="BN333" s="5" t="s">
        <v>711</v>
      </c>
      <c r="CA333" s="63">
        <f>SUM(CA269:CA332)</f>
        <v>0</v>
      </c>
      <c r="CD333" s="63">
        <f>SUM(CD269:CD332)</f>
        <v>3</v>
      </c>
      <c r="CE333" s="63">
        <f t="shared" ref="CE333:CI333" si="133">SUM(CE269:CE332)</f>
        <v>1</v>
      </c>
      <c r="CF333" s="63">
        <f t="shared" si="133"/>
        <v>6</v>
      </c>
      <c r="CG333" s="63">
        <f t="shared" si="133"/>
        <v>11</v>
      </c>
      <c r="CH333" s="63">
        <f t="shared" si="133"/>
        <v>4</v>
      </c>
      <c r="CI333" s="63">
        <f t="shared" si="133"/>
        <v>2</v>
      </c>
    </row>
    <row r="334" spans="1:93">
      <c r="C334" s="1"/>
      <c r="E334" s="5"/>
      <c r="F334" s="5"/>
      <c r="G334" s="132"/>
      <c r="H334" s="137"/>
      <c r="I334" s="2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W334" s="5"/>
      <c r="AX334" s="5"/>
      <c r="AY334" s="5"/>
      <c r="AZ334" s="5"/>
      <c r="BJ334" s="114"/>
      <c r="BK334" s="116"/>
      <c r="BL334" s="120"/>
      <c r="CD334" s="63" t="s">
        <v>3581</v>
      </c>
      <c r="CE334" s="63" t="s">
        <v>3582</v>
      </c>
      <c r="CF334" s="63" t="s">
        <v>3583</v>
      </c>
      <c r="CG334" s="8" t="s">
        <v>3584</v>
      </c>
      <c r="CH334" s="8" t="s">
        <v>3585</v>
      </c>
      <c r="CI334" s="8" t="s">
        <v>3586</v>
      </c>
      <c r="CJ334" s="8" t="s">
        <v>3587</v>
      </c>
      <c r="CK334" s="8" t="s">
        <v>3588</v>
      </c>
      <c r="CL334" s="8" t="s">
        <v>3589</v>
      </c>
      <c r="CM334" s="8" t="s">
        <v>3590</v>
      </c>
      <c r="CN334" s="8" t="s">
        <v>3591</v>
      </c>
      <c r="CO334" s="8" t="s">
        <v>3592</v>
      </c>
    </row>
    <row r="335" spans="1:93" hidden="1" outlineLevel="1">
      <c r="A335" t="s">
        <v>280</v>
      </c>
      <c r="B335" t="s">
        <v>1485</v>
      </c>
      <c r="C335" s="1">
        <f t="shared" ref="C335:C343" si="134">SUM(N335:AU335)</f>
        <v>421209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5</v>
      </c>
      <c r="G335" s="132">
        <f t="shared" ref="G335:G343" si="135">IF(C335&gt;0,MAX(N335:P335)-LARGE(N335:P335,2),0)</f>
        <v>83775</v>
      </c>
      <c r="H335" s="137">
        <f t="shared" ref="H335:H343" si="136">IF(C335&gt;0,G335/C335,0)</f>
        <v>0.19889176157204619</v>
      </c>
      <c r="I335" s="2"/>
      <c r="J335" s="2">
        <f t="shared" ref="J335:J343" si="137">IF($C335=0,"-",N335/$C335)</f>
        <v>0.57893349857196785</v>
      </c>
      <c r="K335" s="2">
        <f t="shared" ref="K335:K343" si="138">IF($C335=0,"-",O335/$C335)</f>
        <v>0.38004173699992166</v>
      </c>
      <c r="L335" s="2">
        <f t="shared" ref="L335:L343" si="139">IF($C335=0,"-",P335/$C335)</f>
        <v>1.452960406828914E-3</v>
      </c>
      <c r="M335" s="2">
        <f t="shared" ref="M335:M343" si="140">IF(C335=0,"-",(1-J335-K335-L335))</f>
        <v>3.9571804021281569E-2</v>
      </c>
      <c r="N335" s="63">
        <f>SUMIF(Town!$BB$3:$BB$171,$BL335,Town!N$3:N$171)</f>
        <v>243852</v>
      </c>
      <c r="O335" s="63">
        <f>SUMIF(Town!$BB$3:$BB$171,$BL335,Town!O$3:O$171)</f>
        <v>160077</v>
      </c>
      <c r="P335" s="63">
        <f>SUMIF(Town!$BB$3:$BB$171,$BL335,Town!P$3:P$171)</f>
        <v>612</v>
      </c>
      <c r="Q335" s="63">
        <f>SUMIF(Town!$BB$3:$BB$171,$BL335,Town!Q$3:Q$171)</f>
        <v>11691</v>
      </c>
      <c r="R335" s="63">
        <f>SUMIF(Town!$BB$3:$BB$171,$BL335,Town!R$3:R$171)</f>
        <v>4866</v>
      </c>
      <c r="S335" s="63">
        <f>SUMIF(Town!$BB$3:$BB$171,$BL335,Town!S$3:S$171)</f>
        <v>28</v>
      </c>
      <c r="T335" s="63">
        <f>SUMIF(Town!$BB$3:$BB$171,$BL335,Town!T$3:T$171)</f>
        <v>2</v>
      </c>
      <c r="U335" s="63"/>
      <c r="V335" s="63">
        <f>SUMIF(Town!$BB$3:$BB$171,$BL335,Town!V$3:V$171)</f>
        <v>3</v>
      </c>
      <c r="W335" s="63">
        <f>SUMIF(Town!$BB$3:$BB$171,$BL335,Town!W$3:W$171)</f>
        <v>68</v>
      </c>
      <c r="X335" s="63"/>
      <c r="Y335" s="63">
        <f>SUMIF(Town!$BB$3:$BB$171,$BL335,Town!Y$3:Y$171)</f>
        <v>4</v>
      </c>
      <c r="Z335" s="63"/>
      <c r="AA335" s="63"/>
      <c r="AB335" s="63"/>
      <c r="AC335" s="63"/>
      <c r="AD335" s="63"/>
      <c r="AE335" s="63">
        <f>SUMIF(Town!$BB$3:$BB$171,$BL335,Town!AE$3:AE$171)</f>
        <v>4</v>
      </c>
      <c r="AF335" s="63"/>
      <c r="AG335" s="63"/>
      <c r="AH335" s="63"/>
      <c r="AI335" s="63"/>
      <c r="AJ335" s="63"/>
      <c r="AK335" s="63"/>
      <c r="AL335" s="63"/>
      <c r="AM335" s="63">
        <f>SUMIF(Town!$BB$3:$BB$171,$BL335,Town!AM$3:AM$171)</f>
        <v>1</v>
      </c>
      <c r="AN335" s="63"/>
      <c r="AO335" s="63"/>
      <c r="AP335" s="63"/>
      <c r="AQ335" s="63">
        <f>SUMIF(Town!$BB$3:$BB$171,$BL335,Town!AQ$3:AQ$171)</f>
        <v>1</v>
      </c>
      <c r="AR335" s="63"/>
      <c r="AS335" s="63"/>
      <c r="AT335" s="63"/>
      <c r="AU335" s="63"/>
      <c r="AW335" s="5">
        <f>IF(Q335&gt;0,RANK(Q335,(N335:P335,Q335:AE335)),0)</f>
        <v>3</v>
      </c>
      <c r="AX335" s="5">
        <f>IF(R335&gt;0,RANK(R335,(N335:P335,Q335:AE335)),0)</f>
        <v>4</v>
      </c>
      <c r="AY335" s="5">
        <f>IF(T335&gt;0,RANK(T335,(N335:P335,Q335:AE335)),0)</f>
        <v>11</v>
      </c>
      <c r="AZ335" s="5">
        <f>IF(S335&gt;0,RANK(S335,(N335:P335,Q335:AE335)),0)</f>
        <v>7</v>
      </c>
      <c r="BA335" s="2">
        <f t="shared" ref="BA335:BA343" si="141">IF($C335=0,"-",Q335/$C335)</f>
        <v>2.7755817183393518E-2</v>
      </c>
      <c r="BB335" s="2">
        <f t="shared" ref="BB335:BB343" si="142">IF($C335=0,"-",R335/$C335)</f>
        <v>1.1552459705276952E-2</v>
      </c>
      <c r="BC335" s="2">
        <f t="shared" ref="BC335:BC343" si="143">IF($C335=0,"-",T335/$C335)</f>
        <v>4.7482366236239017E-6</v>
      </c>
      <c r="BD335" s="2">
        <f t="shared" ref="BD335:BD343" si="144">IF($C335=0,"-",S335/$C335)</f>
        <v>6.6475312730734622E-5</v>
      </c>
      <c r="BF335" t="s">
        <v>280</v>
      </c>
      <c r="BG335" t="s">
        <v>1485</v>
      </c>
      <c r="BJ335" s="114">
        <v>9</v>
      </c>
      <c r="BK335" s="116">
        <v>1</v>
      </c>
      <c r="BL335" s="120">
        <f t="shared" si="120"/>
        <v>9001</v>
      </c>
      <c r="BN335" s="5" t="s">
        <v>3154</v>
      </c>
      <c r="CD335" s="63">
        <f>SUMIF(Town!$BB$3:$BB$171,$BL335,Town!BS$3:BS$171)</f>
        <v>27</v>
      </c>
      <c r="CE335" s="63">
        <f>SUMIF(Town!$BB$3:$BB$171,$BL335,Town!BT$3:BT$171)</f>
        <v>3</v>
      </c>
      <c r="CF335" s="63">
        <f>SUMIF(Town!$BB$3:$BB$171,$BL335,Town!BU$3:BU$171)</f>
        <v>4</v>
      </c>
      <c r="CG335" s="63">
        <f>SUMIF(Town!$BB$3:$BB$171,$BL335,Town!BV$3:BV$171)</f>
        <v>27</v>
      </c>
      <c r="CH335" s="63">
        <f>SUMIF(Town!$BB$3:$BB$171,$BL335,Town!BW$3:BW$171)</f>
        <v>0</v>
      </c>
      <c r="CI335" s="63">
        <f>SUMIF(Town!$BB$3:$BB$171,$BL335,Town!BX$3:BX$171)</f>
        <v>0</v>
      </c>
      <c r="CJ335" s="63">
        <f>SUMIF(Town!$BB$3:$BB$171,$BL335,Town!BY$3:BY$171)</f>
        <v>3</v>
      </c>
      <c r="CK335" s="63">
        <f>SUMIF(Town!$BB$3:$BB$171,$BL335,Town!BZ$3:BZ$171)</f>
        <v>0</v>
      </c>
      <c r="CL335" s="63">
        <f>SUMIF(Town!$BB$3:$BB$171,$BL335,Town!CA$3:CA$171)</f>
        <v>0</v>
      </c>
      <c r="CM335" s="63">
        <f>SUMIF(Town!$BB$3:$BB$171,$BL335,Town!CB$3:CB$171)</f>
        <v>0</v>
      </c>
      <c r="CN335" s="63">
        <f>SUMIF(Town!$BB$3:$BB$171,$BL335,Town!CC$3:CC$171)</f>
        <v>0</v>
      </c>
      <c r="CO335" s="63">
        <f>SUMIF(Town!$BB$3:$BB$171,$BL335,Town!CD$3:CD$171)</f>
        <v>4</v>
      </c>
    </row>
    <row r="336" spans="1:93" hidden="1" outlineLevel="1">
      <c r="A336" t="s">
        <v>1737</v>
      </c>
      <c r="B336" t="s">
        <v>1485</v>
      </c>
      <c r="C336" s="1">
        <f t="shared" si="134"/>
        <v>406864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>IF(P336&gt;0,RANK(P336,(N336:P336,Q336:AE336)),0)</f>
        <v>5</v>
      </c>
      <c r="G336" s="132">
        <f t="shared" si="135"/>
        <v>92230</v>
      </c>
      <c r="H336" s="137">
        <f t="shared" si="136"/>
        <v>0.22668508395925913</v>
      </c>
      <c r="I336" s="2"/>
      <c r="J336" s="2">
        <f t="shared" si="137"/>
        <v>0.59086820165952258</v>
      </c>
      <c r="K336" s="2">
        <f t="shared" si="138"/>
        <v>0.36418311770026346</v>
      </c>
      <c r="L336" s="2">
        <f t="shared" si="139"/>
        <v>1.327224822053561E-3</v>
      </c>
      <c r="M336" s="2">
        <f t="shared" si="140"/>
        <v>4.3621455818160397E-2</v>
      </c>
      <c r="N336" s="63">
        <f>SUMIF(Town!$BB$3:$BB$171,$BL336,Town!N$3:N$171)</f>
        <v>240403</v>
      </c>
      <c r="O336" s="63">
        <f>SUMIF(Town!$BB$3:$BB$171,$BL336,Town!O$3:O$171)</f>
        <v>148173</v>
      </c>
      <c r="P336" s="63">
        <f>SUMIF(Town!$BB$3:$BB$171,$BL336,Town!P$3:P$171)</f>
        <v>540</v>
      </c>
      <c r="Q336" s="63">
        <f>SUMIF(Town!$BB$3:$BB$171,$BL336,Town!Q$3:Q$171)</f>
        <v>11997</v>
      </c>
      <c r="R336" s="63">
        <f>SUMIF(Town!$BB$3:$BB$171,$BL336,Town!R$3:R$171)</f>
        <v>5680</v>
      </c>
      <c r="S336" s="63">
        <f>SUMIF(Town!$BB$3:$BB$171,$BL336,Town!S$3:S$171)</f>
        <v>33</v>
      </c>
      <c r="T336" s="63">
        <f>SUMIF(Town!$BB$3:$BB$171,$BL336,Town!T$3:T$171)</f>
        <v>2</v>
      </c>
      <c r="U336" s="63"/>
      <c r="V336" s="63">
        <f>SUMIF(Town!$BB$3:$BB$171,$BL336,Town!V$3:V$171)</f>
        <v>3</v>
      </c>
      <c r="W336" s="63">
        <f>SUMIF(Town!$BB$3:$BB$171,$BL336,Town!W$3:W$171)</f>
        <v>23</v>
      </c>
      <c r="X336" s="63"/>
      <c r="Y336" s="63">
        <f>SUMIF(Town!$BB$3:$BB$171,$BL336,Town!Y$3:Y$171)</f>
        <v>4</v>
      </c>
      <c r="Z336" s="63"/>
      <c r="AA336" s="63"/>
      <c r="AB336" s="63"/>
      <c r="AC336" s="63"/>
      <c r="AD336" s="63"/>
      <c r="AE336" s="63">
        <f>SUMIF(Town!$BB$3:$BB$171,$BL336,Town!AE$3:AE$171)</f>
        <v>6</v>
      </c>
      <c r="AF336" s="63"/>
      <c r="AG336" s="63"/>
      <c r="AH336" s="63"/>
      <c r="AI336" s="63"/>
      <c r="AJ336" s="63"/>
      <c r="AK336" s="63"/>
      <c r="AL336" s="63"/>
      <c r="AM336" s="63">
        <f>SUMIF(Town!$BB$3:$BB$171,$BL336,Town!AM$3:AM$171)</f>
        <v>0</v>
      </c>
      <c r="AN336" s="63"/>
      <c r="AO336" s="63"/>
      <c r="AP336" s="63"/>
      <c r="AQ336" s="63">
        <f>SUMIF(Town!$BB$3:$BB$171,$BL336,Town!AQ$3:AQ$171)</f>
        <v>0</v>
      </c>
      <c r="AR336" s="63"/>
      <c r="AS336" s="63"/>
      <c r="AT336" s="63"/>
      <c r="AU336" s="63"/>
      <c r="AW336" s="5">
        <f>IF(Q336&gt;0,RANK(Q336,(N336:P336,Q336:AE336)),0)</f>
        <v>3</v>
      </c>
      <c r="AX336" s="5">
        <f>IF(R336&gt;0,RANK(R336,(N336:P336,Q336:AE336)),0)</f>
        <v>4</v>
      </c>
      <c r="AY336" s="5">
        <f>IF(T336&gt;0,RANK(T336,(N336:P336,Q336:AE336)),0)</f>
        <v>11</v>
      </c>
      <c r="AZ336" s="5">
        <f>IF(S336&gt;0,RANK(S336,(N336:P336,Q336:AE336)),0)</f>
        <v>6</v>
      </c>
      <c r="BA336" s="2">
        <f t="shared" si="141"/>
        <v>2.9486511463289945E-2</v>
      </c>
      <c r="BB336" s="2">
        <f t="shared" si="142"/>
        <v>1.3960438869007826E-2</v>
      </c>
      <c r="BC336" s="2">
        <f t="shared" si="143"/>
        <v>4.9156474890872628E-6</v>
      </c>
      <c r="BD336" s="2">
        <f t="shared" si="144"/>
        <v>8.1108183569939831E-5</v>
      </c>
      <c r="BF336" t="s">
        <v>1737</v>
      </c>
      <c r="BG336" t="s">
        <v>1485</v>
      </c>
      <c r="BJ336" s="114">
        <v>9</v>
      </c>
      <c r="BK336" s="116">
        <v>3</v>
      </c>
      <c r="BL336" s="120">
        <f t="shared" si="120"/>
        <v>9003</v>
      </c>
      <c r="BN336" s="5" t="s">
        <v>3154</v>
      </c>
      <c r="CD336" s="63">
        <f>SUMIF(Town!$BB$3:$BB$171,$BL336,Town!BS$3:BS$171)</f>
        <v>6</v>
      </c>
      <c r="CE336" s="63">
        <f>SUMIF(Town!$BB$3:$BB$171,$BL336,Town!BT$3:BT$171)</f>
        <v>0</v>
      </c>
      <c r="CF336" s="63">
        <f>SUMIF(Town!$BB$3:$BB$171,$BL336,Town!BU$3:BU$171)</f>
        <v>3</v>
      </c>
      <c r="CG336" s="63">
        <f>SUMIF(Town!$BB$3:$BB$171,$BL336,Town!BV$3:BV$171)</f>
        <v>6</v>
      </c>
      <c r="CH336" s="63">
        <f>SUMIF(Town!$BB$3:$BB$171,$BL336,Town!BW$3:BW$171)</f>
        <v>0</v>
      </c>
      <c r="CI336" s="63">
        <f>SUMIF(Town!$BB$3:$BB$171,$BL336,Town!BX$3:BX$171)</f>
        <v>3</v>
      </c>
      <c r="CJ336" s="63">
        <f>SUMIF(Town!$BB$3:$BB$171,$BL336,Town!BY$3:BY$171)</f>
        <v>3</v>
      </c>
      <c r="CK336" s="63">
        <f>SUMIF(Town!$BB$3:$BB$171,$BL336,Town!BZ$3:BZ$171)</f>
        <v>0</v>
      </c>
      <c r="CL336" s="63">
        <f>SUMIF(Town!$BB$3:$BB$171,$BL336,Town!CA$3:CA$171)</f>
        <v>1</v>
      </c>
      <c r="CM336" s="63">
        <f>SUMIF(Town!$BB$3:$BB$171,$BL336,Town!CB$3:CB$171)</f>
        <v>0</v>
      </c>
      <c r="CN336" s="63">
        <f>SUMIF(Town!$BB$3:$BB$171,$BL336,Town!CC$3:CC$171)</f>
        <v>0</v>
      </c>
      <c r="CO336" s="63">
        <f>SUMIF(Town!$BB$3:$BB$171,$BL336,Town!CD$3:CD$171)</f>
        <v>1</v>
      </c>
    </row>
    <row r="337" spans="1:93" hidden="1" outlineLevel="1">
      <c r="A337" t="s">
        <v>1276</v>
      </c>
      <c r="B337" t="s">
        <v>1485</v>
      </c>
      <c r="C337" s="1">
        <f t="shared" si="134"/>
        <v>97442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>IF(P337&gt;0,RANK(P337,(N337:P337,Q337:AE337)),0)</f>
        <v>5</v>
      </c>
      <c r="G337" s="132">
        <f t="shared" si="135"/>
        <v>13276</v>
      </c>
      <c r="H337" s="137">
        <f t="shared" si="136"/>
        <v>0.13624515096159767</v>
      </c>
      <c r="I337" s="2"/>
      <c r="J337" s="2">
        <f t="shared" si="137"/>
        <v>0.40819153958252086</v>
      </c>
      <c r="K337" s="2">
        <f t="shared" si="138"/>
        <v>0.54443669054411858</v>
      </c>
      <c r="L337" s="2">
        <f t="shared" si="139"/>
        <v>9.1336384721167467E-4</v>
      </c>
      <c r="M337" s="2">
        <f t="shared" si="140"/>
        <v>4.6458406026148882E-2</v>
      </c>
      <c r="N337" s="63">
        <f>SUMIF(Town!$BB$3:$BB$171,$BL337,Town!N$3:N$171)</f>
        <v>39775</v>
      </c>
      <c r="O337" s="63">
        <f>SUMIF(Town!$BB$3:$BB$171,$BL337,Town!O$3:O$171)</f>
        <v>53051</v>
      </c>
      <c r="P337" s="63">
        <f>SUMIF(Town!$BB$3:$BB$171,$BL337,Town!P$3:P$171)</f>
        <v>89</v>
      </c>
      <c r="Q337" s="63">
        <f>SUMIF(Town!$BB$3:$BB$171,$BL337,Town!Q$3:Q$171)</f>
        <v>3004</v>
      </c>
      <c r="R337" s="63">
        <f>SUMIF(Town!$BB$3:$BB$171,$BL337,Town!R$3:R$171)</f>
        <v>1441</v>
      </c>
      <c r="S337" s="63">
        <f>SUMIF(Town!$BB$3:$BB$171,$BL337,Town!S$3:S$171)</f>
        <v>13</v>
      </c>
      <c r="T337" s="63">
        <f>SUMIF(Town!$BB$3:$BB$171,$BL337,Town!T$3:T$171)</f>
        <v>3</v>
      </c>
      <c r="U337" s="63"/>
      <c r="V337" s="63">
        <f>SUMIF(Town!$BB$3:$BB$171,$BL337,Town!V$3:V$171)</f>
        <v>3</v>
      </c>
      <c r="W337" s="63">
        <f>SUMIF(Town!$BB$3:$BB$171,$BL337,Town!W$3:W$171)</f>
        <v>47</v>
      </c>
      <c r="X337" s="63"/>
      <c r="Y337" s="63">
        <f>SUMIF(Town!$BB$3:$BB$171,$BL337,Town!Y$3:Y$171)</f>
        <v>5</v>
      </c>
      <c r="Z337" s="63"/>
      <c r="AA337" s="63"/>
      <c r="AB337" s="63"/>
      <c r="AC337" s="63"/>
      <c r="AD337" s="63"/>
      <c r="AE337" s="63">
        <f>SUMIF(Town!$BB$3:$BB$171,$BL337,Town!AE$3:AE$171)</f>
        <v>4</v>
      </c>
      <c r="AF337" s="63"/>
      <c r="AG337" s="63"/>
      <c r="AH337" s="63"/>
      <c r="AI337" s="63"/>
      <c r="AJ337" s="63"/>
      <c r="AK337" s="63"/>
      <c r="AL337" s="63"/>
      <c r="AM337" s="63">
        <f>SUMIF(Town!$BB$3:$BB$171,$BL337,Town!AM$3:AM$171)</f>
        <v>3</v>
      </c>
      <c r="AN337" s="63"/>
      <c r="AO337" s="63"/>
      <c r="AP337" s="63"/>
      <c r="AQ337" s="63">
        <f>SUMIF(Town!$BB$3:$BB$171,$BL337,Town!AQ$3:AQ$171)</f>
        <v>4</v>
      </c>
      <c r="AR337" s="63"/>
      <c r="AS337" s="63"/>
      <c r="AT337" s="63"/>
      <c r="AU337" s="63"/>
      <c r="AW337" s="5">
        <f>IF(Q337&gt;0,RANK(Q337,(N337:P337,Q337:AE337)),0)</f>
        <v>3</v>
      </c>
      <c r="AX337" s="5">
        <f>IF(R337&gt;0,RANK(R337,(N337:P337,Q337:AE337)),0)</f>
        <v>4</v>
      </c>
      <c r="AY337" s="5">
        <f>IF(T337&gt;0,RANK(T337,(N337:P337,Q337:AE337)),0)</f>
        <v>10</v>
      </c>
      <c r="AZ337" s="5">
        <f>IF(S337&gt;0,RANK(S337,(N337:P337,Q337:AE337)),0)</f>
        <v>7</v>
      </c>
      <c r="BA337" s="2">
        <f t="shared" si="141"/>
        <v>3.0828595472178321E-2</v>
      </c>
      <c r="BB337" s="2">
        <f t="shared" si="142"/>
        <v>1.4788284312719361E-2</v>
      </c>
      <c r="BC337" s="2">
        <f t="shared" si="143"/>
        <v>3.0787545411629484E-5</v>
      </c>
      <c r="BD337" s="2">
        <f t="shared" si="144"/>
        <v>1.3341269678372776E-4</v>
      </c>
      <c r="BF337" t="s">
        <v>1276</v>
      </c>
      <c r="BG337" t="s">
        <v>1485</v>
      </c>
      <c r="BJ337" s="114">
        <v>9</v>
      </c>
      <c r="BK337" s="116">
        <v>5</v>
      </c>
      <c r="BL337" s="120">
        <f t="shared" si="120"/>
        <v>9005</v>
      </c>
      <c r="BN337" s="5" t="s">
        <v>3154</v>
      </c>
      <c r="CD337" s="63">
        <f>SUMIF(Town!$BB$3:$BB$171,$BL337,Town!BS$3:BS$171)</f>
        <v>4</v>
      </c>
      <c r="CE337" s="63">
        <f>SUMIF(Town!$BB$3:$BB$171,$BL337,Town!BT$3:BT$171)</f>
        <v>3</v>
      </c>
      <c r="CF337" s="63">
        <f>SUMIF(Town!$BB$3:$BB$171,$BL337,Town!BU$3:BU$171)</f>
        <v>5</v>
      </c>
      <c r="CG337" s="63">
        <f>SUMIF(Town!$BB$3:$BB$171,$BL337,Town!BV$3:BV$171)</f>
        <v>3</v>
      </c>
      <c r="CH337" s="63">
        <f>SUMIF(Town!$BB$3:$BB$171,$BL337,Town!BW$3:BW$171)</f>
        <v>3</v>
      </c>
      <c r="CI337" s="63">
        <f>SUMIF(Town!$BB$3:$BB$171,$BL337,Town!BX$3:BX$171)</f>
        <v>4</v>
      </c>
      <c r="CJ337" s="63">
        <f>SUMIF(Town!$BB$3:$BB$171,$BL337,Town!BY$3:BY$171)</f>
        <v>3</v>
      </c>
      <c r="CK337" s="63">
        <f>SUMIF(Town!$BB$3:$BB$171,$BL337,Town!BZ$3:BZ$171)</f>
        <v>3</v>
      </c>
      <c r="CL337" s="63">
        <f>SUMIF(Town!$BB$3:$BB$171,$BL337,Town!CA$3:CA$171)</f>
        <v>3</v>
      </c>
      <c r="CM337" s="63">
        <f>SUMIF(Town!$BB$3:$BB$171,$BL337,Town!CB$3:CB$171)</f>
        <v>3</v>
      </c>
      <c r="CN337" s="63">
        <f>SUMIF(Town!$BB$3:$BB$171,$BL337,Town!CC$3:CC$171)</f>
        <v>3</v>
      </c>
      <c r="CO337" s="63">
        <f>SUMIF(Town!$BB$3:$BB$171,$BL337,Town!CD$3:CD$171)</f>
        <v>10</v>
      </c>
    </row>
    <row r="338" spans="1:93" hidden="1" outlineLevel="1">
      <c r="A338" t="s">
        <v>503</v>
      </c>
      <c r="B338" t="s">
        <v>1485</v>
      </c>
      <c r="C338" s="1">
        <f t="shared" si="134"/>
        <v>88624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5</v>
      </c>
      <c r="G338" s="132">
        <f t="shared" si="135"/>
        <v>6490</v>
      </c>
      <c r="H338" s="137">
        <f t="shared" si="136"/>
        <v>7.3230727568153089E-2</v>
      </c>
      <c r="I338" s="2"/>
      <c r="J338" s="2">
        <f t="shared" si="137"/>
        <v>0.51179138833724502</v>
      </c>
      <c r="K338" s="2">
        <f t="shared" si="138"/>
        <v>0.43856066076909189</v>
      </c>
      <c r="L338" s="2">
        <f t="shared" si="139"/>
        <v>1.4443040259974724E-3</v>
      </c>
      <c r="M338" s="2">
        <f t="shared" si="140"/>
        <v>4.8203646867665609E-2</v>
      </c>
      <c r="N338" s="63">
        <f>SUMIF(Town!$BB$3:$BB$171,$BL338,Town!N$3:N$171)</f>
        <v>45357</v>
      </c>
      <c r="O338" s="63">
        <f>SUMIF(Town!$BB$3:$BB$171,$BL338,Town!O$3:O$171)</f>
        <v>38867</v>
      </c>
      <c r="P338" s="63">
        <f>SUMIF(Town!$BB$3:$BB$171,$BL338,Town!P$3:P$171)</f>
        <v>128</v>
      </c>
      <c r="Q338" s="63">
        <f>SUMIF(Town!$BB$3:$BB$171,$BL338,Town!Q$3:Q$171)</f>
        <v>2760</v>
      </c>
      <c r="R338" s="63">
        <f>SUMIF(Town!$BB$3:$BB$171,$BL338,Town!R$3:R$171)</f>
        <v>1497</v>
      </c>
      <c r="S338" s="63">
        <f>SUMIF(Town!$BB$3:$BB$171,$BL338,Town!S$3:S$171)</f>
        <v>3</v>
      </c>
      <c r="T338" s="63">
        <f>SUMIF(Town!$BB$3:$BB$171,$BL338,Town!T$3:T$171)</f>
        <v>1</v>
      </c>
      <c r="U338" s="63"/>
      <c r="V338" s="63">
        <f>SUMIF(Town!$BB$3:$BB$171,$BL338,Town!V$3:V$171)</f>
        <v>1</v>
      </c>
      <c r="W338" s="63">
        <f>SUMIF(Town!$BB$3:$BB$171,$BL338,Town!W$3:W$171)</f>
        <v>5</v>
      </c>
      <c r="X338" s="63"/>
      <c r="Y338" s="63">
        <f>SUMIF(Town!$BB$3:$BB$171,$BL338,Town!Y$3:Y$171)</f>
        <v>0</v>
      </c>
      <c r="Z338" s="63"/>
      <c r="AA338" s="63"/>
      <c r="AB338" s="63"/>
      <c r="AC338" s="63"/>
      <c r="AD338" s="63"/>
      <c r="AE338" s="63">
        <f>SUMIF(Town!$BB$3:$BB$171,$BL338,Town!AE$3:AE$171)</f>
        <v>5</v>
      </c>
      <c r="AF338" s="63"/>
      <c r="AG338" s="63"/>
      <c r="AH338" s="63"/>
      <c r="AI338" s="63"/>
      <c r="AJ338" s="63"/>
      <c r="AK338" s="63"/>
      <c r="AL338" s="63"/>
      <c r="AM338" s="63">
        <f>SUMIF(Town!$BB$3:$BB$171,$BL338,Town!AM$3:AM$171)</f>
        <v>0</v>
      </c>
      <c r="AN338" s="63"/>
      <c r="AO338" s="63"/>
      <c r="AP338" s="63"/>
      <c r="AQ338" s="63">
        <f>SUMIF(Town!$BB$3:$BB$171,$BL338,Town!AQ$3:AQ$171)</f>
        <v>0</v>
      </c>
      <c r="AR338" s="63"/>
      <c r="AS338" s="63"/>
      <c r="AT338" s="63"/>
      <c r="AU338" s="63"/>
      <c r="AW338" s="5">
        <f>IF(Q338&gt;0,RANK(Q338,(N338:P338,Q338:AE338)),0)</f>
        <v>3</v>
      </c>
      <c r="AX338" s="5">
        <f>IF(R338&gt;0,RANK(R338,(N338:P338,Q338:AE338)),0)</f>
        <v>4</v>
      </c>
      <c r="AY338" s="5">
        <f>IF(T338&gt;0,RANK(T338,(N338:P338,Q338:AE338)),0)</f>
        <v>9</v>
      </c>
      <c r="AZ338" s="5">
        <f>IF(S338&gt;0,RANK(S338,(N338:P338,Q338:AE338)),0)</f>
        <v>8</v>
      </c>
      <c r="BA338" s="2">
        <f t="shared" si="141"/>
        <v>3.1142805560570499E-2</v>
      </c>
      <c r="BB338" s="2">
        <f t="shared" si="142"/>
        <v>1.6891586929048564E-2</v>
      </c>
      <c r="BC338" s="2">
        <f t="shared" si="143"/>
        <v>1.1283625203105253E-5</v>
      </c>
      <c r="BD338" s="2">
        <f t="shared" si="144"/>
        <v>3.3850875609315763E-5</v>
      </c>
      <c r="BF338" t="s">
        <v>503</v>
      </c>
      <c r="BG338" t="s">
        <v>1485</v>
      </c>
      <c r="BJ338" s="114">
        <v>9</v>
      </c>
      <c r="BK338" s="116">
        <v>7</v>
      </c>
      <c r="BL338" s="120">
        <f t="shared" si="120"/>
        <v>9007</v>
      </c>
      <c r="BN338" s="5" t="s">
        <v>3154</v>
      </c>
      <c r="CD338" s="63">
        <f>SUMIF(Town!$BB$3:$BB$171,$BL338,Town!BS$3:BS$171)</f>
        <v>0</v>
      </c>
      <c r="CE338" s="63">
        <f>SUMIF(Town!$BB$3:$BB$171,$BL338,Town!BT$3:BT$171)</f>
        <v>0</v>
      </c>
      <c r="CF338" s="63">
        <f>SUMIF(Town!$BB$3:$BB$171,$BL338,Town!BU$3:BU$171)</f>
        <v>0</v>
      </c>
      <c r="CG338" s="63">
        <f>SUMIF(Town!$BB$3:$BB$171,$BL338,Town!BV$3:BV$171)</f>
        <v>2</v>
      </c>
      <c r="CH338" s="63">
        <f>SUMIF(Town!$BB$3:$BB$171,$BL338,Town!BW$3:BW$171)</f>
        <v>0</v>
      </c>
      <c r="CI338" s="63">
        <f>SUMIF(Town!$BB$3:$BB$171,$BL338,Town!BX$3:BX$171)</f>
        <v>1</v>
      </c>
      <c r="CJ338" s="63">
        <f>SUMIF(Town!$BB$3:$BB$171,$BL338,Town!BY$3:BY$171)</f>
        <v>1</v>
      </c>
      <c r="CK338" s="63">
        <f>SUMIF(Town!$BB$3:$BB$171,$BL338,Town!BZ$3:BZ$171)</f>
        <v>0</v>
      </c>
      <c r="CL338" s="63">
        <f>SUMIF(Town!$BB$3:$BB$171,$BL338,Town!CA$3:CA$171)</f>
        <v>0</v>
      </c>
      <c r="CM338" s="63">
        <f>SUMIF(Town!$BB$3:$BB$171,$BL338,Town!CB$3:CB$171)</f>
        <v>0</v>
      </c>
      <c r="CN338" s="63">
        <f>SUMIF(Town!$BB$3:$BB$171,$BL338,Town!CC$3:CC$171)</f>
        <v>0</v>
      </c>
      <c r="CO338" s="63">
        <f>SUMIF(Town!$BB$3:$BB$171,$BL338,Town!CD$3:CD$171)</f>
        <v>1</v>
      </c>
    </row>
    <row r="339" spans="1:93" hidden="1" outlineLevel="1">
      <c r="A339" t="s">
        <v>2797</v>
      </c>
      <c r="B339" t="s">
        <v>1485</v>
      </c>
      <c r="C339" s="1">
        <f t="shared" si="134"/>
        <v>379006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5</v>
      </c>
      <c r="G339" s="132">
        <f t="shared" si="135"/>
        <v>46561</v>
      </c>
      <c r="H339" s="137">
        <f t="shared" si="136"/>
        <v>0.12285029788446621</v>
      </c>
      <c r="I339" s="2"/>
      <c r="J339" s="2">
        <f t="shared" si="137"/>
        <v>0.54249536946644639</v>
      </c>
      <c r="K339" s="2">
        <f t="shared" si="138"/>
        <v>0.41964507158198022</v>
      </c>
      <c r="L339" s="2">
        <f t="shared" si="139"/>
        <v>9.9734568845875784E-4</v>
      </c>
      <c r="M339" s="2">
        <f t="shared" si="140"/>
        <v>3.6862213263114632E-2</v>
      </c>
      <c r="N339" s="63">
        <f>SUMIF(Town!$BB$3:$BB$171,$BL339,Town!N$3:N$171)</f>
        <v>205609</v>
      </c>
      <c r="O339" s="63">
        <f>SUMIF(Town!$BB$3:$BB$171,$BL339,Town!O$3:O$171)</f>
        <v>159048</v>
      </c>
      <c r="P339" s="63">
        <f>SUMIF(Town!$BB$3:$BB$171,$BL339,Town!P$3:P$171)</f>
        <v>378</v>
      </c>
      <c r="Q339" s="63">
        <f>SUMIF(Town!$BB$3:$BB$171,$BL339,Town!Q$3:Q$171)</f>
        <v>9119</v>
      </c>
      <c r="R339" s="63">
        <f>SUMIF(Town!$BB$3:$BB$171,$BL339,Town!R$3:R$171)</f>
        <v>4757</v>
      </c>
      <c r="S339" s="63">
        <f>SUMIF(Town!$BB$3:$BB$171,$BL339,Town!S$3:S$171)</f>
        <v>32</v>
      </c>
      <c r="T339" s="63">
        <f>SUMIF(Town!$BB$3:$BB$171,$BL339,Town!T$3:T$171)</f>
        <v>1</v>
      </c>
      <c r="U339" s="63"/>
      <c r="V339" s="63">
        <f>SUMIF(Town!$BB$3:$BB$171,$BL339,Town!V$3:V$171)</f>
        <v>23</v>
      </c>
      <c r="W339" s="63">
        <f>SUMIF(Town!$BB$3:$BB$171,$BL339,Town!W$3:W$171)</f>
        <v>28</v>
      </c>
      <c r="X339" s="63"/>
      <c r="Y339" s="63">
        <f>SUMIF(Town!$BB$3:$BB$171,$BL339,Town!Y$3:Y$171)</f>
        <v>7</v>
      </c>
      <c r="Z339" s="63"/>
      <c r="AA339" s="63"/>
      <c r="AB339" s="63"/>
      <c r="AC339" s="63"/>
      <c r="AD339" s="63"/>
      <c r="AE339" s="63">
        <f>SUMIF(Town!$BB$3:$BB$171,$BL339,Town!AE$3:AE$171)</f>
        <v>2</v>
      </c>
      <c r="AF339" s="63"/>
      <c r="AG339" s="63"/>
      <c r="AH339" s="63"/>
      <c r="AI339" s="63"/>
      <c r="AJ339" s="63"/>
      <c r="AK339" s="63"/>
      <c r="AL339" s="63"/>
      <c r="AM339" s="63">
        <f>SUMIF(Town!$BB$3:$BB$171,$BL339,Town!AM$3:AM$171)</f>
        <v>0</v>
      </c>
      <c r="AN339" s="63"/>
      <c r="AO339" s="63"/>
      <c r="AP339" s="63"/>
      <c r="AQ339" s="63">
        <f>SUMIF(Town!$BB$3:$BB$171,$BL339,Town!AQ$3:AQ$171)</f>
        <v>2</v>
      </c>
      <c r="AR339" s="63"/>
      <c r="AS339" s="63"/>
      <c r="AT339" s="63"/>
      <c r="AU339" s="63"/>
      <c r="AW339" s="5">
        <f>IF(Q339&gt;0,RANK(Q339,(N339:P339,Q339:AE339)),0)</f>
        <v>3</v>
      </c>
      <c r="AX339" s="5">
        <f>IF(R339&gt;0,RANK(R339,(N339:P339,Q339:AE339)),0)</f>
        <v>4</v>
      </c>
      <c r="AY339" s="5">
        <f>IF(T339&gt;0,RANK(T339,(N339:P339,Q339:AE339)),0)</f>
        <v>11</v>
      </c>
      <c r="AZ339" s="5">
        <f>IF(S339&gt;0,RANK(S339,(N339:P339,Q339:AE339)),0)</f>
        <v>6</v>
      </c>
      <c r="BA339" s="2">
        <f t="shared" si="141"/>
        <v>2.406030511390321E-2</v>
      </c>
      <c r="BB339" s="2">
        <f t="shared" si="142"/>
        <v>1.2551252486768019E-2</v>
      </c>
      <c r="BC339" s="2">
        <f t="shared" si="143"/>
        <v>2.6384806572983016E-6</v>
      </c>
      <c r="BD339" s="2">
        <f t="shared" si="144"/>
        <v>8.443138103354565E-5</v>
      </c>
      <c r="BF339" t="s">
        <v>2797</v>
      </c>
      <c r="BG339" t="s">
        <v>1485</v>
      </c>
      <c r="BJ339" s="114">
        <v>9</v>
      </c>
      <c r="BK339" s="116">
        <v>9</v>
      </c>
      <c r="BL339" s="120">
        <f t="shared" si="120"/>
        <v>9009</v>
      </c>
      <c r="BN339" s="5" t="s">
        <v>3154</v>
      </c>
      <c r="CD339" s="63">
        <f>SUMIF(Town!$BB$3:$BB$171,$BL339,Town!BS$3:BS$171)</f>
        <v>3</v>
      </c>
      <c r="CE339" s="63">
        <f>SUMIF(Town!$BB$3:$BB$171,$BL339,Town!BT$3:BT$171)</f>
        <v>1</v>
      </c>
      <c r="CF339" s="63">
        <f>SUMIF(Town!$BB$3:$BB$171,$BL339,Town!BU$3:BU$171)</f>
        <v>5</v>
      </c>
      <c r="CG339" s="63">
        <f>SUMIF(Town!$BB$3:$BB$171,$BL339,Town!BV$3:BV$171)</f>
        <v>12</v>
      </c>
      <c r="CH339" s="63">
        <f>SUMIF(Town!$BB$3:$BB$171,$BL339,Town!BW$3:BW$171)</f>
        <v>2</v>
      </c>
      <c r="CI339" s="63">
        <f>SUMIF(Town!$BB$3:$BB$171,$BL339,Town!BX$3:BX$171)</f>
        <v>1</v>
      </c>
      <c r="CJ339" s="63">
        <f>SUMIF(Town!$BB$3:$BB$171,$BL339,Town!BY$3:BY$171)</f>
        <v>1</v>
      </c>
      <c r="CK339" s="63">
        <f>SUMIF(Town!$BB$3:$BB$171,$BL339,Town!BZ$3:BZ$171)</f>
        <v>0</v>
      </c>
      <c r="CL339" s="63">
        <f>SUMIF(Town!$BB$3:$BB$171,$BL339,Town!CA$3:CA$171)</f>
        <v>0</v>
      </c>
      <c r="CM339" s="63">
        <f>SUMIF(Town!$BB$3:$BB$171,$BL339,Town!CB$3:CB$171)</f>
        <v>1</v>
      </c>
      <c r="CN339" s="63">
        <f>SUMIF(Town!$BB$3:$BB$171,$BL339,Town!CC$3:CC$171)</f>
        <v>0</v>
      </c>
      <c r="CO339" s="63">
        <f>SUMIF(Town!$BB$3:$BB$171,$BL339,Town!CD$3:CD$171)</f>
        <v>2</v>
      </c>
    </row>
    <row r="340" spans="1:93" hidden="1" outlineLevel="1">
      <c r="A340" t="s">
        <v>130</v>
      </c>
      <c r="B340" t="s">
        <v>1485</v>
      </c>
      <c r="C340" s="1">
        <f t="shared" si="134"/>
        <v>123528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5</v>
      </c>
      <c r="G340" s="132">
        <f t="shared" si="135"/>
        <v>8220</v>
      </c>
      <c r="H340" s="137">
        <f t="shared" si="136"/>
        <v>6.6543617641344477E-2</v>
      </c>
      <c r="I340" s="2"/>
      <c r="J340" s="2">
        <f t="shared" si="137"/>
        <v>0.50416099993523733</v>
      </c>
      <c r="K340" s="2">
        <f t="shared" si="138"/>
        <v>0.43761738229389291</v>
      </c>
      <c r="L340" s="2">
        <f t="shared" si="139"/>
        <v>1.2547762450618484E-3</v>
      </c>
      <c r="M340" s="2">
        <f t="shared" si="140"/>
        <v>5.6966841525807915E-2</v>
      </c>
      <c r="N340" s="63">
        <f>SUMIF(Town!$BB$3:$BB$171,$BL340,Town!N$3:N$171)</f>
        <v>62278</v>
      </c>
      <c r="O340" s="63">
        <f>SUMIF(Town!$BB$3:$BB$171,$BL340,Town!O$3:O$171)</f>
        <v>54058</v>
      </c>
      <c r="P340" s="63">
        <f>SUMIF(Town!$BB$3:$BB$171,$BL340,Town!P$3:P$171)</f>
        <v>155</v>
      </c>
      <c r="Q340" s="63">
        <f>SUMIF(Town!$BB$3:$BB$171,$BL340,Town!Q$3:Q$171)</f>
        <v>4744</v>
      </c>
      <c r="R340" s="63">
        <f>SUMIF(Town!$BB$3:$BB$171,$BL340,Town!R$3:R$171)</f>
        <v>2220</v>
      </c>
      <c r="S340" s="63">
        <f>SUMIF(Town!$BB$3:$BB$171,$BL340,Town!S$3:S$171)</f>
        <v>24</v>
      </c>
      <c r="T340" s="63">
        <f>SUMIF(Town!$BB$3:$BB$171,$BL340,Town!T$3:T$171)</f>
        <v>1</v>
      </c>
      <c r="U340" s="63"/>
      <c r="V340" s="63">
        <f>SUMIF(Town!$BB$3:$BB$171,$BL340,Town!V$3:V$171)</f>
        <v>4</v>
      </c>
      <c r="W340" s="63">
        <f>SUMIF(Town!$BB$3:$BB$171,$BL340,Town!W$3:W$171)</f>
        <v>38</v>
      </c>
      <c r="X340" s="63"/>
      <c r="Y340" s="63">
        <f>SUMIF(Town!$BB$3:$BB$171,$BL340,Town!Y$3:Y$171)</f>
        <v>1</v>
      </c>
      <c r="Z340" s="63"/>
      <c r="AA340" s="63"/>
      <c r="AB340" s="63"/>
      <c r="AC340" s="63"/>
      <c r="AD340" s="63"/>
      <c r="AE340" s="63">
        <f>SUMIF(Town!$BB$3:$BB$171,$BL340,Town!AE$3:AE$171)</f>
        <v>1</v>
      </c>
      <c r="AF340" s="63"/>
      <c r="AG340" s="63"/>
      <c r="AH340" s="63"/>
      <c r="AI340" s="63"/>
      <c r="AJ340" s="63"/>
      <c r="AK340" s="63"/>
      <c r="AL340" s="63"/>
      <c r="AM340" s="63">
        <f>SUMIF(Town!$BB$3:$BB$171,$BL340,Town!AM$3:AM$171)</f>
        <v>0</v>
      </c>
      <c r="AN340" s="63"/>
      <c r="AO340" s="63"/>
      <c r="AP340" s="63"/>
      <c r="AQ340" s="63">
        <f>SUMIF(Town!$BB$3:$BB$171,$BL340,Town!AQ$3:AQ$171)</f>
        <v>4</v>
      </c>
      <c r="AR340" s="63"/>
      <c r="AS340" s="63"/>
      <c r="AT340" s="63"/>
      <c r="AU340" s="63"/>
      <c r="AW340" s="5">
        <f>IF(Q340&gt;0,RANK(Q340,(N340:P340,Q340:AE340)),0)</f>
        <v>3</v>
      </c>
      <c r="AX340" s="5">
        <f>IF(R340&gt;0,RANK(R340,(N340:P340,Q340:AE340)),0)</f>
        <v>4</v>
      </c>
      <c r="AY340" s="5">
        <f>IF(T340&gt;0,RANK(T340,(N340:P340,Q340:AE340)),0)</f>
        <v>9</v>
      </c>
      <c r="AZ340" s="5">
        <f>IF(S340&gt;0,RANK(S340,(N340:P340,Q340:AE340)),0)</f>
        <v>7</v>
      </c>
      <c r="BA340" s="2">
        <f t="shared" si="141"/>
        <v>3.8404248429505863E-2</v>
      </c>
      <c r="BB340" s="2">
        <f t="shared" si="142"/>
        <v>1.7971633961530988E-2</v>
      </c>
      <c r="BC340" s="2">
        <f t="shared" si="143"/>
        <v>8.0953306133022478E-6</v>
      </c>
      <c r="BD340" s="2">
        <f t="shared" si="144"/>
        <v>1.9428793471925395E-4</v>
      </c>
      <c r="BF340" t="s">
        <v>130</v>
      </c>
      <c r="BG340" t="s">
        <v>1485</v>
      </c>
      <c r="BH340">
        <v>2</v>
      </c>
      <c r="BJ340" s="114">
        <v>9</v>
      </c>
      <c r="BK340" s="116">
        <v>11</v>
      </c>
      <c r="BL340" s="120">
        <f t="shared" si="120"/>
        <v>9011</v>
      </c>
      <c r="BN340" s="5" t="s">
        <v>3154</v>
      </c>
      <c r="CD340" s="63">
        <f>SUMIF(Town!$BB$3:$BB$171,$BL340,Town!BS$3:BS$171)</f>
        <v>1</v>
      </c>
      <c r="CE340" s="63">
        <f>SUMIF(Town!$BB$3:$BB$171,$BL340,Town!BT$3:BT$171)</f>
        <v>4</v>
      </c>
      <c r="CF340" s="63">
        <f>SUMIF(Town!$BB$3:$BB$171,$BL340,Town!BU$3:BU$171)</f>
        <v>2</v>
      </c>
      <c r="CG340" s="63">
        <f>SUMIF(Town!$BB$3:$BB$171,$BL340,Town!BV$3:BV$171)</f>
        <v>5</v>
      </c>
      <c r="CH340" s="63">
        <f>SUMIF(Town!$BB$3:$BB$171,$BL340,Town!BW$3:BW$171)</f>
        <v>0</v>
      </c>
      <c r="CI340" s="63">
        <f>SUMIF(Town!$BB$3:$BB$171,$BL340,Town!BX$3:BX$171)</f>
        <v>1</v>
      </c>
      <c r="CJ340" s="63">
        <f>SUMIF(Town!$BB$3:$BB$171,$BL340,Town!BY$3:BY$171)</f>
        <v>15</v>
      </c>
      <c r="CK340" s="63">
        <f>SUMIF(Town!$BB$3:$BB$171,$BL340,Town!BZ$3:BZ$171)</f>
        <v>0</v>
      </c>
      <c r="CL340" s="63">
        <f>SUMIF(Town!$BB$3:$BB$171,$BL340,Town!CA$3:CA$171)</f>
        <v>0</v>
      </c>
      <c r="CM340" s="63">
        <f>SUMIF(Town!$BB$3:$BB$171,$BL340,Town!CB$3:CB$171)</f>
        <v>10</v>
      </c>
      <c r="CN340" s="63">
        <f>SUMIF(Town!$BB$3:$BB$171,$BL340,Town!CC$3:CC$171)</f>
        <v>0</v>
      </c>
      <c r="CO340" s="63">
        <f>SUMIF(Town!$BB$3:$BB$171,$BL340,Town!CD$3:CD$171)</f>
        <v>0</v>
      </c>
    </row>
    <row r="341" spans="1:93" hidden="1" outlineLevel="1">
      <c r="A341" t="s">
        <v>67</v>
      </c>
      <c r="B341" t="s">
        <v>1485</v>
      </c>
      <c r="C341" s="1">
        <f t="shared" si="134"/>
        <v>77424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>IF(P341&gt;0,RANK(P341,(N341:P341,Q341:AE341)),0)</f>
        <v>5</v>
      </c>
      <c r="G341" s="132">
        <f t="shared" si="135"/>
        <v>4312</v>
      </c>
      <c r="H341" s="137">
        <f t="shared" si="136"/>
        <v>5.5693325067162638E-2</v>
      </c>
      <c r="I341" s="2"/>
      <c r="J341" s="2">
        <f t="shared" si="137"/>
        <v>0.49733932630708821</v>
      </c>
      <c r="K341" s="2">
        <f t="shared" si="138"/>
        <v>0.44164600123992559</v>
      </c>
      <c r="L341" s="2">
        <f t="shared" si="139"/>
        <v>1.6661500309981402E-3</v>
      </c>
      <c r="M341" s="2">
        <f t="shared" si="140"/>
        <v>5.9348522421988056E-2</v>
      </c>
      <c r="N341" s="63">
        <f>SUMIF(Town!$BB$3:$BB$171,$BL341,Town!N$3:N$171)</f>
        <v>38506</v>
      </c>
      <c r="O341" s="63">
        <f>SUMIF(Town!$BB$3:$BB$171,$BL341,Town!O$3:O$171)</f>
        <v>34194</v>
      </c>
      <c r="P341" s="63">
        <f>SUMIF(Town!$BB$3:$BB$171,$BL341,Town!P$3:P$171)</f>
        <v>129</v>
      </c>
      <c r="Q341" s="63">
        <f>SUMIF(Town!$BB$3:$BB$171,$BL341,Town!Q$3:Q$171)</f>
        <v>3181</v>
      </c>
      <c r="R341" s="63">
        <f>SUMIF(Town!$BB$3:$BB$171,$BL341,Town!R$3:R$171)</f>
        <v>1370</v>
      </c>
      <c r="S341" s="63">
        <f>SUMIF(Town!$BB$3:$BB$171,$BL341,Town!S$3:S$171)</f>
        <v>13</v>
      </c>
      <c r="T341" s="63">
        <f>SUMIF(Town!$BB$3:$BB$171,$BL341,Town!T$3:T$171)</f>
        <v>1</v>
      </c>
      <c r="U341" s="63"/>
      <c r="V341" s="63">
        <f>SUMIF(Town!$BB$3:$BB$171,$BL341,Town!V$3:V$171)</f>
        <v>3</v>
      </c>
      <c r="W341" s="63">
        <f>SUMIF(Town!$BB$3:$BB$171,$BL341,Town!W$3:W$171)</f>
        <v>18</v>
      </c>
      <c r="X341" s="63"/>
      <c r="Y341" s="63">
        <f>SUMIF(Town!$BB$3:$BB$171,$BL341,Town!Y$3:Y$171)</f>
        <v>8</v>
      </c>
      <c r="Z341" s="63"/>
      <c r="AA341" s="63"/>
      <c r="AB341" s="63"/>
      <c r="AC341" s="63"/>
      <c r="AD341" s="63"/>
      <c r="AE341" s="63">
        <f>SUMIF(Town!$BB$3:$BB$171,$BL341,Town!AE$3:AE$171)</f>
        <v>0</v>
      </c>
      <c r="AF341" s="63"/>
      <c r="AG341" s="63"/>
      <c r="AH341" s="63"/>
      <c r="AI341" s="63"/>
      <c r="AJ341" s="63"/>
      <c r="AK341" s="63"/>
      <c r="AL341" s="63"/>
      <c r="AM341" s="63">
        <f>SUMIF(Town!$BB$3:$BB$171,$BL341,Town!AM$3:AM$171)</f>
        <v>0</v>
      </c>
      <c r="AN341" s="63"/>
      <c r="AO341" s="63"/>
      <c r="AP341" s="63"/>
      <c r="AQ341" s="63">
        <f>SUMIF(Town!$BB$3:$BB$171,$BL341,Town!AQ$3:AQ$171)</f>
        <v>1</v>
      </c>
      <c r="AR341" s="63"/>
      <c r="AS341" s="63"/>
      <c r="AT341" s="63"/>
      <c r="AU341" s="63"/>
      <c r="AW341" s="5">
        <f>IF(Q341&gt;0,RANK(Q341,(N341:P341,Q341:AE341)),0)</f>
        <v>3</v>
      </c>
      <c r="AX341" s="5">
        <f>IF(R341&gt;0,RANK(R341,(N341:P341,Q341:AE341)),0)</f>
        <v>4</v>
      </c>
      <c r="AY341" s="5">
        <f>IF(T341&gt;0,RANK(T341,(N341:P341,Q341:AE341)),0)</f>
        <v>10</v>
      </c>
      <c r="AZ341" s="5">
        <f>IF(S341&gt;0,RANK(S341,(N341:P341,Q341:AE341)),0)</f>
        <v>7</v>
      </c>
      <c r="BA341" s="2">
        <f t="shared" si="141"/>
        <v>4.108545153957429E-2</v>
      </c>
      <c r="BB341" s="2">
        <f t="shared" si="142"/>
        <v>1.7694771647034511E-2</v>
      </c>
      <c r="BC341" s="2">
        <f t="shared" si="143"/>
        <v>1.2915891713163877E-5</v>
      </c>
      <c r="BD341" s="2">
        <f t="shared" si="144"/>
        <v>1.6790659227113039E-4</v>
      </c>
      <c r="BF341" t="s">
        <v>67</v>
      </c>
      <c r="BG341" t="s">
        <v>1485</v>
      </c>
      <c r="BH341">
        <v>2</v>
      </c>
      <c r="BJ341" s="114">
        <v>9</v>
      </c>
      <c r="BK341" s="116">
        <v>13</v>
      </c>
      <c r="BL341" s="120">
        <f t="shared" si="120"/>
        <v>9013</v>
      </c>
      <c r="BN341" s="5" t="s">
        <v>3154</v>
      </c>
      <c r="CD341" s="63">
        <f>SUMIF(Town!$BB$3:$BB$171,$BL341,Town!BS$3:BS$171)</f>
        <v>1</v>
      </c>
      <c r="CE341" s="63">
        <f>SUMIF(Town!$BB$3:$BB$171,$BL341,Town!BT$3:BT$171)</f>
        <v>0</v>
      </c>
      <c r="CF341" s="63">
        <f>SUMIF(Town!$BB$3:$BB$171,$BL341,Town!BU$3:BU$171)</f>
        <v>0</v>
      </c>
      <c r="CG341" s="63">
        <f>SUMIF(Town!$BB$3:$BB$171,$BL341,Town!BV$3:BV$171)</f>
        <v>2</v>
      </c>
      <c r="CH341" s="63">
        <f>SUMIF(Town!$BB$3:$BB$171,$BL341,Town!BW$3:BW$171)</f>
        <v>0</v>
      </c>
      <c r="CI341" s="63">
        <f>SUMIF(Town!$BB$3:$BB$171,$BL341,Town!BX$3:BX$171)</f>
        <v>3</v>
      </c>
      <c r="CJ341" s="63">
        <f>SUMIF(Town!$BB$3:$BB$171,$BL341,Town!BY$3:BY$171)</f>
        <v>8</v>
      </c>
      <c r="CK341" s="63">
        <f>SUMIF(Town!$BB$3:$BB$171,$BL341,Town!BZ$3:BZ$171)</f>
        <v>0</v>
      </c>
      <c r="CL341" s="63">
        <f>SUMIF(Town!$BB$3:$BB$171,$BL341,Town!CA$3:CA$171)</f>
        <v>2</v>
      </c>
      <c r="CM341" s="63">
        <f>SUMIF(Town!$BB$3:$BB$171,$BL341,Town!CB$3:CB$171)</f>
        <v>1</v>
      </c>
      <c r="CN341" s="63">
        <f>SUMIF(Town!$BB$3:$BB$171,$BL341,Town!CC$3:CC$171)</f>
        <v>1</v>
      </c>
      <c r="CO341" s="63">
        <f>SUMIF(Town!$BB$3:$BB$171,$BL341,Town!CD$3:CD$171)</f>
        <v>0</v>
      </c>
    </row>
    <row r="342" spans="1:93" hidden="1" outlineLevel="1">
      <c r="A342" t="s">
        <v>2129</v>
      </c>
      <c r="B342" t="s">
        <v>1485</v>
      </c>
      <c r="C342" s="1">
        <f t="shared" si="134"/>
        <v>50823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>IF(P342&gt;0,RANK(P342,(N342:P342,Q342:AE342)),0)</f>
        <v>5</v>
      </c>
      <c r="G342" s="132">
        <f t="shared" si="135"/>
        <v>3955</v>
      </c>
      <c r="H342" s="137">
        <f t="shared" si="136"/>
        <v>7.7819097652637587E-2</v>
      </c>
      <c r="I342" s="2"/>
      <c r="J342" s="2">
        <f t="shared" si="137"/>
        <v>0.4287822442594888</v>
      </c>
      <c r="K342" s="2">
        <f t="shared" si="138"/>
        <v>0.50660134191212636</v>
      </c>
      <c r="L342" s="2">
        <f t="shared" si="139"/>
        <v>1.5150620781929441E-3</v>
      </c>
      <c r="M342" s="2">
        <f t="shared" si="140"/>
        <v>6.3101351750191839E-2</v>
      </c>
      <c r="N342" s="63">
        <f>SUMIF(Town!$BB$3:$BB$171,$BL342,Town!N$3:N$171)</f>
        <v>21792</v>
      </c>
      <c r="O342" s="63">
        <f>SUMIF(Town!$BB$3:$BB$171,$BL342,Town!O$3:O$171)</f>
        <v>25747</v>
      </c>
      <c r="P342" s="63">
        <f>SUMIF(Town!$BB$3:$BB$171,$BL342,Town!P$3:P$171)</f>
        <v>77</v>
      </c>
      <c r="Q342" s="63">
        <f>SUMIF(Town!$BB$3:$BB$171,$BL342,Town!Q$3:Q$171)</f>
        <v>2180</v>
      </c>
      <c r="R342" s="63">
        <f>SUMIF(Town!$BB$3:$BB$171,$BL342,Town!R$3:R$171)</f>
        <v>1010</v>
      </c>
      <c r="S342" s="63">
        <f>SUMIF(Town!$BB$3:$BB$171,$BL342,Town!S$3:S$171)</f>
        <v>1</v>
      </c>
      <c r="T342" s="63">
        <f>SUMIF(Town!$BB$3:$BB$171,$BL342,Town!T$3:T$171)</f>
        <v>1</v>
      </c>
      <c r="U342" s="63"/>
      <c r="V342" s="63">
        <f>SUMIF(Town!$BB$3:$BB$171,$BL342,Town!V$3:V$171)</f>
        <v>1</v>
      </c>
      <c r="W342" s="63">
        <f>SUMIF(Town!$BB$3:$BB$171,$BL342,Town!W$3:W$171)</f>
        <v>11</v>
      </c>
      <c r="X342" s="63"/>
      <c r="Y342" s="63">
        <f>SUMIF(Town!$BB$3:$BB$171,$BL342,Town!Y$3:Y$171)</f>
        <v>2</v>
      </c>
      <c r="Z342" s="63"/>
      <c r="AA342" s="63"/>
      <c r="AB342" s="63"/>
      <c r="AC342" s="63"/>
      <c r="AD342" s="63"/>
      <c r="AE342" s="63">
        <f>SUMIF(Town!$BB$3:$BB$171,$BL342,Town!AE$3:AE$171)</f>
        <v>1</v>
      </c>
      <c r="AF342" s="63"/>
      <c r="AG342" s="63"/>
      <c r="AH342" s="63"/>
      <c r="AI342" s="63"/>
      <c r="AJ342" s="63"/>
      <c r="AK342" s="63"/>
      <c r="AL342" s="63"/>
      <c r="AM342" s="63">
        <f>SUMIF(Town!$BB$3:$BB$171,$BL342,Town!AM$3:AM$171)</f>
        <v>0</v>
      </c>
      <c r="AN342" s="63"/>
      <c r="AO342" s="63"/>
      <c r="AP342" s="63"/>
      <c r="AQ342" s="63">
        <f>SUMIF(Town!$BB$3:$BB$171,$BL342,Town!AQ$3:AQ$171)</f>
        <v>0</v>
      </c>
      <c r="AR342" s="63"/>
      <c r="AS342" s="63"/>
      <c r="AT342" s="63"/>
      <c r="AU342" s="63"/>
      <c r="AW342" s="5">
        <f>IF(Q342&gt;0,RANK(Q342,(N342:P342,Q342:AE342)),0)</f>
        <v>3</v>
      </c>
      <c r="AX342" s="5">
        <f>IF(R342&gt;0,RANK(R342,(N342:P342,Q342:AE342)),0)</f>
        <v>4</v>
      </c>
      <c r="AY342" s="5">
        <f>IF(T342&gt;0,RANK(T342,(N342:P342,Q342:AE342)),0)</f>
        <v>8</v>
      </c>
      <c r="AZ342" s="5">
        <f>IF(S342&gt;0,RANK(S342,(N342:P342,Q342:AE342)),0)</f>
        <v>8</v>
      </c>
      <c r="BA342" s="2">
        <f t="shared" si="141"/>
        <v>4.2893965330657383E-2</v>
      </c>
      <c r="BB342" s="2">
        <f t="shared" si="142"/>
        <v>1.9872892194478877E-2</v>
      </c>
      <c r="BC342" s="2">
        <f t="shared" si="143"/>
        <v>1.9676130885622652E-5</v>
      </c>
      <c r="BD342" s="2">
        <f t="shared" si="144"/>
        <v>1.9676130885622652E-5</v>
      </c>
      <c r="BF342" t="s">
        <v>2129</v>
      </c>
      <c r="BG342" t="s">
        <v>1485</v>
      </c>
      <c r="BH342">
        <v>2</v>
      </c>
      <c r="BJ342" s="114">
        <v>9</v>
      </c>
      <c r="BK342" s="116">
        <v>15</v>
      </c>
      <c r="BL342" s="120">
        <f t="shared" si="120"/>
        <v>9015</v>
      </c>
      <c r="BN342" s="5" t="s">
        <v>3154</v>
      </c>
      <c r="CD342" s="63">
        <f>SUMIF(Town!$BB$3:$BB$171,$BL342,Town!BS$3:BS$171)</f>
        <v>0</v>
      </c>
      <c r="CE342" s="63">
        <f>SUMIF(Town!$BB$3:$BB$171,$BL342,Town!BT$3:BT$171)</f>
        <v>1</v>
      </c>
      <c r="CF342" s="63">
        <f>SUMIF(Town!$BB$3:$BB$171,$BL342,Town!BU$3:BU$171)</f>
        <v>0</v>
      </c>
      <c r="CG342" s="63">
        <f>SUMIF(Town!$BB$3:$BB$171,$BL342,Town!BV$3:BV$171)</f>
        <v>0</v>
      </c>
      <c r="CH342" s="63">
        <f>SUMIF(Town!$BB$3:$BB$171,$BL342,Town!BW$3:BW$171)</f>
        <v>0</v>
      </c>
      <c r="CI342" s="63">
        <f>SUMIF(Town!$BB$3:$BB$171,$BL342,Town!BX$3:BX$171)</f>
        <v>0</v>
      </c>
      <c r="CJ342" s="63">
        <f>SUMIF(Town!$BB$3:$BB$171,$BL342,Town!BY$3:BY$171)</f>
        <v>10</v>
      </c>
      <c r="CK342" s="63">
        <f>SUMIF(Town!$BB$3:$BB$171,$BL342,Town!BZ$3:BZ$171)</f>
        <v>0</v>
      </c>
      <c r="CL342" s="63">
        <f>SUMIF(Town!$BB$3:$BB$171,$BL342,Town!CA$3:CA$171)</f>
        <v>0</v>
      </c>
      <c r="CM342" s="63">
        <f>SUMIF(Town!$BB$3:$BB$171,$BL342,Town!CB$3:CB$171)</f>
        <v>0</v>
      </c>
      <c r="CN342" s="63">
        <f>SUMIF(Town!$BB$3:$BB$171,$BL342,Town!CC$3:CC$171)</f>
        <v>0</v>
      </c>
      <c r="CO342" s="63">
        <f>SUMIF(Town!$BB$3:$BB$171,$BL342,Town!CD$3:CD$171)</f>
        <v>0</v>
      </c>
    </row>
    <row r="343" spans="1:93" collapsed="1">
      <c r="A343" t="s">
        <v>1033</v>
      </c>
      <c r="B343" t="s">
        <v>544</v>
      </c>
      <c r="C343" s="1">
        <f t="shared" si="134"/>
        <v>1644920</v>
      </c>
      <c r="D343" s="5">
        <f>IF(N343&gt;0, RANK(N343,(N343:P343,Q343:AE343)),0)</f>
        <v>1</v>
      </c>
      <c r="E343" s="5">
        <f>IF(O343&gt;0,RANK(O343,(N343:P343,Q343:AE343)),0)</f>
        <v>2</v>
      </c>
      <c r="F343" s="5">
        <f>IF(P343&gt;0,RANK(P343,(N343:P343,Q343:AE343)),0)</f>
        <v>5</v>
      </c>
      <c r="G343" s="132">
        <f t="shared" si="135"/>
        <v>224357</v>
      </c>
      <c r="H343" s="137">
        <f t="shared" si="136"/>
        <v>0.13639386717895094</v>
      </c>
      <c r="I343" s="2"/>
      <c r="J343" s="2">
        <f t="shared" si="137"/>
        <v>0.54566301096709868</v>
      </c>
      <c r="K343" s="2">
        <f t="shared" si="138"/>
        <v>0.40926914378814777</v>
      </c>
      <c r="L343" s="2">
        <f t="shared" si="139"/>
        <v>1.2815212897891691E-3</v>
      </c>
      <c r="M343" s="2">
        <f t="shared" si="140"/>
        <v>4.3786323954964373E-2</v>
      </c>
      <c r="N343" s="63">
        <f t="shared" ref="N343:T343" si="145">SUM(N335:N342)</f>
        <v>897572</v>
      </c>
      <c r="O343" s="63">
        <f t="shared" si="145"/>
        <v>673215</v>
      </c>
      <c r="P343" s="63">
        <f t="shared" si="145"/>
        <v>2108</v>
      </c>
      <c r="Q343" s="63">
        <f t="shared" si="145"/>
        <v>48676</v>
      </c>
      <c r="R343" s="63">
        <f t="shared" si="145"/>
        <v>22841</v>
      </c>
      <c r="S343" s="63">
        <f t="shared" si="145"/>
        <v>147</v>
      </c>
      <c r="T343" s="63">
        <f t="shared" si="145"/>
        <v>12</v>
      </c>
      <c r="U343" s="63"/>
      <c r="V343" s="63">
        <f>SUM(V335:V342)</f>
        <v>41</v>
      </c>
      <c r="W343" s="63">
        <f>SUM(W335:W342)</f>
        <v>238</v>
      </c>
      <c r="X343" s="63"/>
      <c r="Y343" s="63">
        <f>SUM(Y335:Y342)</f>
        <v>31</v>
      </c>
      <c r="Z343" s="63"/>
      <c r="AA343" s="63"/>
      <c r="AB343" s="63"/>
      <c r="AC343" s="63"/>
      <c r="AD343" s="63"/>
      <c r="AE343" s="63">
        <f>SUM(AE335:AE342)</f>
        <v>23</v>
      </c>
      <c r="AF343" s="63"/>
      <c r="AG343" s="63"/>
      <c r="AH343" s="63"/>
      <c r="AI343" s="63"/>
      <c r="AJ343" s="63"/>
      <c r="AK343" s="63"/>
      <c r="AL343" s="63"/>
      <c r="AM343" s="63">
        <f>SUM(AM335:AM342)</f>
        <v>4</v>
      </c>
      <c r="AN343" s="63"/>
      <c r="AO343" s="63"/>
      <c r="AP343" s="63"/>
      <c r="AQ343" s="63">
        <f>SUM(AQ335:AQ342)</f>
        <v>12</v>
      </c>
      <c r="AR343" s="63"/>
      <c r="AS343" s="63"/>
      <c r="AT343" s="63"/>
      <c r="AU343" s="63"/>
      <c r="AW343" s="5">
        <f>IF(Q343&gt;0,RANK(Q343,(N343:P343,Q343:AE343)),0)</f>
        <v>3</v>
      </c>
      <c r="AX343" s="5">
        <f>IF(R343&gt;0,RANK(R343,(N343:P343,Q343:AE343)),0)</f>
        <v>4</v>
      </c>
      <c r="AY343" s="5">
        <f>IF(T343&gt;0,RANK(T343,(N343:P343,Q343:AE343)),0)</f>
        <v>11</v>
      </c>
      <c r="AZ343" s="5">
        <f>IF(S343&gt;0,RANK(S343,(N343:P343,Q343:AE343)),0)</f>
        <v>7</v>
      </c>
      <c r="BA343" s="2">
        <f t="shared" si="141"/>
        <v>2.9591712666877417E-2</v>
      </c>
      <c r="BB343" s="2">
        <f t="shared" si="142"/>
        <v>1.3885781679352187E-2</v>
      </c>
      <c r="BC343" s="2">
        <f t="shared" si="143"/>
        <v>7.2951876079079834E-6</v>
      </c>
      <c r="BD343" s="2">
        <f t="shared" si="144"/>
        <v>8.9366048196872801E-5</v>
      </c>
      <c r="BF343" t="s">
        <v>1033</v>
      </c>
      <c r="BG343" t="s">
        <v>544</v>
      </c>
      <c r="BJ343" s="114">
        <v>9</v>
      </c>
      <c r="BK343" s="116"/>
      <c r="BL343" s="114">
        <v>9</v>
      </c>
      <c r="BN343" s="5" t="s">
        <v>711</v>
      </c>
      <c r="CD343" s="63">
        <f>SUM(CD335:CD342)</f>
        <v>42</v>
      </c>
      <c r="CE343" s="63">
        <f t="shared" ref="CE343:CO343" si="146">SUM(CE335:CE342)</f>
        <v>12</v>
      </c>
      <c r="CF343" s="63">
        <f t="shared" si="146"/>
        <v>19</v>
      </c>
      <c r="CG343" s="63">
        <f t="shared" si="146"/>
        <v>57</v>
      </c>
      <c r="CH343" s="63">
        <f t="shared" si="146"/>
        <v>5</v>
      </c>
      <c r="CI343" s="63">
        <f t="shared" si="146"/>
        <v>13</v>
      </c>
      <c r="CJ343" s="63">
        <f t="shared" si="146"/>
        <v>44</v>
      </c>
      <c r="CK343" s="63">
        <f t="shared" si="146"/>
        <v>3</v>
      </c>
      <c r="CL343" s="63">
        <f t="shared" si="146"/>
        <v>6</v>
      </c>
      <c r="CM343" s="63">
        <f t="shared" si="146"/>
        <v>15</v>
      </c>
      <c r="CN343" s="63">
        <f t="shared" si="146"/>
        <v>4</v>
      </c>
      <c r="CO343" s="63">
        <f t="shared" si="146"/>
        <v>18</v>
      </c>
    </row>
    <row r="344" spans="1:93">
      <c r="C344" s="1"/>
      <c r="E344" s="5"/>
      <c r="F344" s="5"/>
      <c r="G344" s="132"/>
      <c r="H344" s="137"/>
      <c r="I344" s="2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W344" s="5"/>
      <c r="AX344" s="5"/>
      <c r="AY344" s="5"/>
      <c r="AZ344" s="5"/>
      <c r="BJ344" s="114"/>
      <c r="BK344" s="116"/>
      <c r="BL344" s="120"/>
      <c r="CD344" s="132" t="s">
        <v>3626</v>
      </c>
      <c r="CE344" s="132" t="s">
        <v>4370</v>
      </c>
      <c r="CF344" s="132" t="s">
        <v>3351</v>
      </c>
      <c r="CG344" s="132" t="s">
        <v>4371</v>
      </c>
      <c r="CH344" s="132" t="s">
        <v>3687</v>
      </c>
      <c r="CI344" s="132" t="s">
        <v>3534</v>
      </c>
      <c r="CJ344" s="132" t="s">
        <v>4372</v>
      </c>
      <c r="CK344" s="132" t="s">
        <v>4373</v>
      </c>
    </row>
    <row r="345" spans="1:93" ht="13" hidden="1" customHeight="1" outlineLevel="1">
      <c r="A345" t="s">
        <v>725</v>
      </c>
      <c r="B345" t="s">
        <v>2024</v>
      </c>
      <c r="C345" s="1">
        <f>SUM(N345:AU345)</f>
        <v>74729</v>
      </c>
      <c r="D345" s="5">
        <f>IF(N345&gt;0, RANK(N345,(N345:P345,Q345:AE345)),0)</f>
        <v>2</v>
      </c>
      <c r="E345" s="5">
        <f>IF(O345&gt;0,RANK(O345,(N345:P345,Q345:AE345)),0)</f>
        <v>1</v>
      </c>
      <c r="F345" s="5">
        <f>IF(P345&gt;0,RANK(P345,(N345:P345,Q345:AE345)),0)</f>
        <v>6</v>
      </c>
      <c r="G345" s="132">
        <f>IF(C345&gt;0,MAX(N345:P345)-LARGE(N345:P345,2),0)</f>
        <v>3640</v>
      </c>
      <c r="H345" s="137">
        <f>IF(C345&gt;0,G345/C345,0)</f>
        <v>4.8709336402199946E-2</v>
      </c>
      <c r="I345" s="2"/>
      <c r="J345" s="2">
        <f t="shared" ref="J345:L348" si="147">IF($C345=0,"-",N345/$C345)</f>
        <v>0.44629260394224463</v>
      </c>
      <c r="K345" s="2">
        <f t="shared" si="147"/>
        <v>0.49500194034444461</v>
      </c>
      <c r="L345" s="2">
        <f t="shared" si="147"/>
        <v>1.4586037549010424E-3</v>
      </c>
      <c r="M345" s="2">
        <f>IF(C345=0,"-",(1-J345-K345-L345))</f>
        <v>5.7246851958409777E-2</v>
      </c>
      <c r="N345" s="63">
        <v>33351</v>
      </c>
      <c r="O345" s="63">
        <v>36991</v>
      </c>
      <c r="P345" s="63">
        <v>109</v>
      </c>
      <c r="Q345" s="63">
        <v>2876</v>
      </c>
      <c r="R345" s="63">
        <v>1042</v>
      </c>
      <c r="S345" s="63">
        <v>16</v>
      </c>
      <c r="T345" s="63">
        <v>0</v>
      </c>
      <c r="U345" s="63"/>
      <c r="V345" s="63">
        <v>0</v>
      </c>
      <c r="W345" s="63">
        <f>SUM(CB345:CK345)</f>
        <v>341</v>
      </c>
      <c r="X345" s="63"/>
      <c r="Y345" s="63">
        <v>0</v>
      </c>
      <c r="Z345" s="63">
        <v>1</v>
      </c>
      <c r="AA345" s="63"/>
      <c r="AB345" s="63"/>
      <c r="AC345" s="63"/>
      <c r="AD345" s="63"/>
      <c r="AE345" s="63"/>
      <c r="AF345" s="63">
        <v>0</v>
      </c>
      <c r="AG345" s="63"/>
      <c r="AH345" s="63"/>
      <c r="AI345" s="63"/>
      <c r="AJ345" s="63"/>
      <c r="AK345" s="63"/>
      <c r="AL345" s="63">
        <v>0</v>
      </c>
      <c r="AM345" s="63">
        <v>0</v>
      </c>
      <c r="AN345" s="63"/>
      <c r="AO345" s="63"/>
      <c r="AP345" s="63"/>
      <c r="AQ345" s="63">
        <v>2</v>
      </c>
      <c r="AR345" s="63"/>
      <c r="AS345" s="63"/>
      <c r="AT345" s="63"/>
      <c r="AU345" s="63"/>
      <c r="AW345" s="5">
        <f>IF(Q345&gt;0,RANK(Q345,(N345:P345,Q345:AE345)),0)</f>
        <v>3</v>
      </c>
      <c r="AX345" s="5">
        <f>IF(R345&gt;0,RANK(R345,(N345:P345,Q345:AE345)),0)</f>
        <v>4</v>
      </c>
      <c r="AY345" s="5">
        <f>IF(T345&gt;0,RANK(T345,(N345:P345,Q345:AE345)),0)</f>
        <v>0</v>
      </c>
      <c r="AZ345" s="5">
        <f>IF(S345&gt;0,RANK(S345,(N345:P345,Q345:AE345)),0)</f>
        <v>7</v>
      </c>
      <c r="BA345" s="2">
        <f t="shared" ref="BA345:BB348" si="148">IF($C345=0,"-",Q345/$C345)</f>
        <v>3.8485728432067871E-2</v>
      </c>
      <c r="BB345" s="2">
        <f t="shared" si="148"/>
        <v>1.3943716629420974E-2</v>
      </c>
      <c r="BC345" s="2">
        <f>IF($C345=0,"-",T345/$C345)</f>
        <v>0</v>
      </c>
      <c r="BD345" s="2">
        <f>IF($C345=0,"-",S345/$C345)</f>
        <v>2.1410697319648329E-4</v>
      </c>
      <c r="BF345" t="s">
        <v>725</v>
      </c>
      <c r="BG345" t="s">
        <v>2024</v>
      </c>
      <c r="BH345" s="63">
        <v>1</v>
      </c>
      <c r="BJ345" s="114">
        <v>10</v>
      </c>
      <c r="BK345" s="116">
        <v>1</v>
      </c>
      <c r="BL345" s="120">
        <f t="shared" si="120"/>
        <v>10001</v>
      </c>
      <c r="BN345" s="5" t="s">
        <v>3154</v>
      </c>
      <c r="BR345" s="63"/>
      <c r="CB345" s="63">
        <v>338</v>
      </c>
      <c r="CD345" s="63">
        <v>1</v>
      </c>
      <c r="CE345" s="63">
        <v>1</v>
      </c>
      <c r="CF345" s="132">
        <v>0</v>
      </c>
      <c r="CG345" s="132">
        <v>0</v>
      </c>
      <c r="CH345" s="132">
        <v>0</v>
      </c>
      <c r="CI345" s="132">
        <v>0</v>
      </c>
      <c r="CJ345" s="132">
        <v>1</v>
      </c>
      <c r="CK345" s="132">
        <v>0</v>
      </c>
    </row>
    <row r="346" spans="1:93" ht="13" hidden="1" customHeight="1" outlineLevel="1">
      <c r="A346" t="s">
        <v>2534</v>
      </c>
      <c r="B346" t="s">
        <v>2024</v>
      </c>
      <c r="C346" s="1">
        <f>SUM(N346:AU346)</f>
        <v>262979</v>
      </c>
      <c r="D346" s="5">
        <f>IF(N346&gt;0, RANK(N346,(N346:P346,Q346:AE346)),0)</f>
        <v>1</v>
      </c>
      <c r="E346" s="5">
        <f>IF(O346&gt;0,RANK(O346,(N346:P346,Q346:AE346)),0)</f>
        <v>2</v>
      </c>
      <c r="F346" s="5">
        <f>IF(P346&gt;0,RANK(P346,(N346:P346,Q346:AE346)),0)</f>
        <v>6</v>
      </c>
      <c r="G346" s="132">
        <f>IF(C346&gt;0,MAX(N346:P346)-LARGE(N346:P346,2),0)</f>
        <v>77394</v>
      </c>
      <c r="H346" s="137">
        <f>IF(C346&gt;0,G346/C346,0)</f>
        <v>0.29429726327957745</v>
      </c>
      <c r="I346" s="2"/>
      <c r="J346" s="2">
        <f t="shared" si="147"/>
        <v>0.61951334517204792</v>
      </c>
      <c r="K346" s="2">
        <f t="shared" si="147"/>
        <v>0.32521608189247048</v>
      </c>
      <c r="L346" s="2">
        <f t="shared" si="147"/>
        <v>1.9545286886025119E-3</v>
      </c>
      <c r="M346" s="2">
        <f>IF(C346=0,"-",(1-J346-K346-L346))</f>
        <v>5.3316044246879087E-2</v>
      </c>
      <c r="N346" s="63">
        <v>162919</v>
      </c>
      <c r="O346" s="63">
        <v>85525</v>
      </c>
      <c r="P346" s="63">
        <v>514</v>
      </c>
      <c r="Q346" s="63">
        <v>9107</v>
      </c>
      <c r="R346" s="63">
        <v>3956</v>
      </c>
      <c r="S346" s="63">
        <v>47</v>
      </c>
      <c r="T346" s="63">
        <v>3</v>
      </c>
      <c r="U346" s="63"/>
      <c r="V346" s="63">
        <v>3</v>
      </c>
      <c r="W346" s="63">
        <f t="shared" ref="W346:W347" si="149">SUM(CB346:CK346)</f>
        <v>895</v>
      </c>
      <c r="X346" s="63"/>
      <c r="Y346" s="63">
        <v>5</v>
      </c>
      <c r="Z346" s="63">
        <v>0</v>
      </c>
      <c r="AA346" s="63"/>
      <c r="AB346" s="63"/>
      <c r="AC346" s="63"/>
      <c r="AD346" s="63"/>
      <c r="AE346" s="63"/>
      <c r="AF346" s="63">
        <v>2</v>
      </c>
      <c r="AG346" s="63"/>
      <c r="AH346" s="63"/>
      <c r="AI346" s="63"/>
      <c r="AJ346" s="63"/>
      <c r="AK346" s="63"/>
      <c r="AL346" s="63">
        <v>1</v>
      </c>
      <c r="AM346" s="63">
        <v>1</v>
      </c>
      <c r="AN346" s="63"/>
      <c r="AO346" s="63"/>
      <c r="AP346" s="63"/>
      <c r="AQ346" s="63">
        <v>1</v>
      </c>
      <c r="AR346" s="63"/>
      <c r="AS346" s="63"/>
      <c r="AT346" s="63"/>
      <c r="AU346" s="63"/>
      <c r="AW346" s="5">
        <f>IF(Q346&gt;0,RANK(Q346,(N346:P346,Q346:AE346)),0)</f>
        <v>3</v>
      </c>
      <c r="AX346" s="5">
        <f>IF(R346&gt;0,RANK(R346,(N346:P346,Q346:AE346)),0)</f>
        <v>4</v>
      </c>
      <c r="AY346" s="5">
        <f>IF(T346&gt;0,RANK(T346,(N346:P346,Q346:AE346)),0)</f>
        <v>9</v>
      </c>
      <c r="AZ346" s="5">
        <f>IF(S346&gt;0,RANK(S346,(N346:P346,Q346:AE346)),0)</f>
        <v>7</v>
      </c>
      <c r="BA346" s="2">
        <f t="shared" si="148"/>
        <v>3.4630141570239449E-2</v>
      </c>
      <c r="BB346" s="2">
        <f t="shared" si="148"/>
        <v>1.5043026249244236E-2</v>
      </c>
      <c r="BC346" s="2">
        <f>IF($C346=0,"-",T346/$C346)</f>
        <v>1.1407754991843455E-5</v>
      </c>
      <c r="BD346" s="2">
        <f>IF($C346=0,"-",S346/$C346)</f>
        <v>1.7872149487221413E-4</v>
      </c>
      <c r="BF346" t="s">
        <v>2534</v>
      </c>
      <c r="BG346" t="s">
        <v>2024</v>
      </c>
      <c r="BH346" s="63">
        <v>1</v>
      </c>
      <c r="BJ346" s="114">
        <v>10</v>
      </c>
      <c r="BK346" s="116">
        <v>3</v>
      </c>
      <c r="BL346" s="120">
        <f t="shared" si="120"/>
        <v>10003</v>
      </c>
      <c r="BN346" s="5" t="s">
        <v>3154</v>
      </c>
      <c r="BR346" s="63"/>
      <c r="CB346" s="63">
        <v>884</v>
      </c>
      <c r="CD346" s="63">
        <v>2</v>
      </c>
      <c r="CE346" s="63">
        <v>1</v>
      </c>
      <c r="CF346" s="63">
        <v>3</v>
      </c>
      <c r="CG346" s="132">
        <v>1</v>
      </c>
      <c r="CH346" s="132">
        <v>1</v>
      </c>
      <c r="CI346" s="132">
        <v>1</v>
      </c>
      <c r="CJ346" s="132">
        <v>0</v>
      </c>
      <c r="CK346" s="132">
        <v>2</v>
      </c>
    </row>
    <row r="347" spans="1:93" ht="13" hidden="1" customHeight="1" outlineLevel="1">
      <c r="A347" t="s">
        <v>56</v>
      </c>
      <c r="B347" t="s">
        <v>2024</v>
      </c>
      <c r="C347" s="1">
        <f>SUM(N347:AU347)</f>
        <v>106106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>IF(P347&gt;0,RANK(P347,(N347:P347,Q347:AE347)),0)</f>
        <v>6</v>
      </c>
      <c r="G347" s="132">
        <f>IF(C347&gt;0,MAX(N347:P347)-LARGE(N347:P347,2),0)</f>
        <v>23278</v>
      </c>
      <c r="H347" s="137">
        <f>IF(C347&gt;0,G347/C347,0)</f>
        <v>0.21938438919570996</v>
      </c>
      <c r="I347" s="2"/>
      <c r="J347" s="2">
        <f t="shared" si="147"/>
        <v>0.37069534239345558</v>
      </c>
      <c r="K347" s="2">
        <f t="shared" si="147"/>
        <v>0.5900797315891656</v>
      </c>
      <c r="L347" s="2">
        <f t="shared" si="147"/>
        <v>7.8223663129323509E-4</v>
      </c>
      <c r="M347" s="2">
        <f>IF(C347=0,"-",(1-J347-K347-L347))</f>
        <v>3.8442689386085582E-2</v>
      </c>
      <c r="N347" s="63">
        <v>39333</v>
      </c>
      <c r="O347" s="63">
        <v>62611</v>
      </c>
      <c r="P347" s="63">
        <v>83</v>
      </c>
      <c r="Q347" s="63">
        <v>2774</v>
      </c>
      <c r="R347" s="63">
        <v>1105</v>
      </c>
      <c r="S347" s="63">
        <v>11</v>
      </c>
      <c r="T347" s="63">
        <v>0</v>
      </c>
      <c r="U347" s="63"/>
      <c r="V347" s="63">
        <v>0</v>
      </c>
      <c r="W347" s="63">
        <f t="shared" si="149"/>
        <v>187</v>
      </c>
      <c r="X347" s="63"/>
      <c r="Y347" s="63">
        <v>2</v>
      </c>
      <c r="Z347" s="63">
        <v>0</v>
      </c>
      <c r="AA347" s="63"/>
      <c r="AB347" s="63"/>
      <c r="AC347" s="63"/>
      <c r="AD347" s="63"/>
      <c r="AE347" s="63"/>
      <c r="AF347" s="63">
        <v>0</v>
      </c>
      <c r="AG347" s="63"/>
      <c r="AH347" s="63"/>
      <c r="AI347" s="63"/>
      <c r="AJ347" s="63"/>
      <c r="AK347" s="63"/>
      <c r="AL347" s="63">
        <v>0</v>
      </c>
      <c r="AM347" s="63">
        <v>0</v>
      </c>
      <c r="AN347" s="63"/>
      <c r="AO347" s="63"/>
      <c r="AP347" s="63"/>
      <c r="AQ347" s="63">
        <v>0</v>
      </c>
      <c r="AR347" s="63"/>
      <c r="AS347" s="63"/>
      <c r="AT347" s="63"/>
      <c r="AU347" s="63"/>
      <c r="AW347" s="5">
        <f>IF(Q347&gt;0,RANK(Q347,(N347:P347,Q347:AE347)),0)</f>
        <v>3</v>
      </c>
      <c r="AX347" s="5">
        <f>IF(R347&gt;0,RANK(R347,(N347:P347,Q347:AE347)),0)</f>
        <v>4</v>
      </c>
      <c r="AY347" s="5">
        <f>IF(T347&gt;0,RANK(T347,(N347:P347,Q347:AE347)),0)</f>
        <v>0</v>
      </c>
      <c r="AZ347" s="5">
        <f>IF(S347&gt;0,RANK(S347,(N347:P347,Q347:AE347)),0)</f>
        <v>7</v>
      </c>
      <c r="BA347" s="2">
        <f t="shared" si="148"/>
        <v>2.6143667653101617E-2</v>
      </c>
      <c r="BB347" s="2">
        <f t="shared" si="148"/>
        <v>1.0414114187699093E-2</v>
      </c>
      <c r="BC347" s="2">
        <f>IF($C347=0,"-",T347/$C347)</f>
        <v>0</v>
      </c>
      <c r="BD347" s="2">
        <f>IF($C347=0,"-",S347/$C347)</f>
        <v>1.0366991499066971E-4</v>
      </c>
      <c r="BF347" t="s">
        <v>56</v>
      </c>
      <c r="BG347" t="s">
        <v>2024</v>
      </c>
      <c r="BH347" s="63">
        <v>1</v>
      </c>
      <c r="BJ347" s="114">
        <v>10</v>
      </c>
      <c r="BK347" s="116">
        <v>5</v>
      </c>
      <c r="BL347" s="120">
        <f t="shared" si="120"/>
        <v>10005</v>
      </c>
      <c r="BN347" s="5" t="s">
        <v>3154</v>
      </c>
      <c r="BR347" s="63"/>
      <c r="CB347" s="63">
        <v>185</v>
      </c>
      <c r="CD347" s="63">
        <v>1</v>
      </c>
      <c r="CE347" s="63">
        <v>1</v>
      </c>
      <c r="CF347" s="63">
        <v>0</v>
      </c>
      <c r="CG347" s="132">
        <v>0</v>
      </c>
      <c r="CH347" s="132">
        <v>0</v>
      </c>
      <c r="CI347" s="132">
        <v>0</v>
      </c>
      <c r="CJ347" s="132">
        <v>0</v>
      </c>
      <c r="CK347" s="132">
        <v>0</v>
      </c>
    </row>
    <row r="348" spans="1:93" collapsed="1">
      <c r="A348" t="s">
        <v>1708</v>
      </c>
      <c r="B348" t="s">
        <v>544</v>
      </c>
      <c r="C348" s="1">
        <f>SUM(N348:AU348)</f>
        <v>443814</v>
      </c>
      <c r="D348" s="5">
        <f>IF(N348&gt;0, RANK(N348,(N348:P348,Q348:AE348)),0)</f>
        <v>1</v>
      </c>
      <c r="E348" s="5">
        <f>IF(O348&gt;0,RANK(O348,(N348:P348,Q348:AE348)),0)</f>
        <v>2</v>
      </c>
      <c r="F348" s="5">
        <f>IF(P348&gt;0,RANK(P348,(N348:P348,Q348:AE348)),0)</f>
        <v>6</v>
      </c>
      <c r="G348" s="132">
        <f>IF(C348&gt;0,MAX(N348:P348)-LARGE(N348:P348,2),0)</f>
        <v>50476</v>
      </c>
      <c r="H348" s="137">
        <f>IF(C348&gt;0,G348/C348,0)</f>
        <v>0.113732329309125</v>
      </c>
      <c r="I348" s="2"/>
      <c r="J348" s="2">
        <f t="shared" si="147"/>
        <v>0.53085977459025624</v>
      </c>
      <c r="K348" s="2">
        <f t="shared" si="147"/>
        <v>0.41712744528113127</v>
      </c>
      <c r="L348" s="2">
        <f t="shared" si="147"/>
        <v>1.5907564880783391E-3</v>
      </c>
      <c r="M348" s="2">
        <f>IF(C348=0,"-",(1-J348-K348-L348))</f>
        <v>5.042202364053415E-2</v>
      </c>
      <c r="N348" s="63">
        <f t="shared" ref="N348:T348" si="150">SUM(N345:N347)</f>
        <v>235603</v>
      </c>
      <c r="O348" s="63">
        <f t="shared" si="150"/>
        <v>185127</v>
      </c>
      <c r="P348" s="63">
        <f t="shared" si="150"/>
        <v>706</v>
      </c>
      <c r="Q348" s="63">
        <f t="shared" si="150"/>
        <v>14757</v>
      </c>
      <c r="R348" s="63">
        <f t="shared" si="150"/>
        <v>6103</v>
      </c>
      <c r="S348" s="63">
        <f t="shared" si="150"/>
        <v>74</v>
      </c>
      <c r="T348" s="63">
        <f t="shared" si="150"/>
        <v>3</v>
      </c>
      <c r="U348" s="63"/>
      <c r="V348" s="63">
        <f>SUM(V345:V347)</f>
        <v>3</v>
      </c>
      <c r="W348" s="63">
        <f>SUM(W345:W347)</f>
        <v>1423</v>
      </c>
      <c r="X348" s="63"/>
      <c r="Y348" s="63">
        <f>SUM(Y345:Y347)</f>
        <v>7</v>
      </c>
      <c r="Z348" s="63">
        <f>SUM(Z345:Z347)</f>
        <v>1</v>
      </c>
      <c r="AA348" s="63"/>
      <c r="AB348" s="63"/>
      <c r="AC348" s="63"/>
      <c r="AD348" s="63"/>
      <c r="AE348" s="63"/>
      <c r="AF348" s="63">
        <f>SUM(AF345:AF347)</f>
        <v>2</v>
      </c>
      <c r="AG348" s="63"/>
      <c r="AH348" s="63"/>
      <c r="AI348" s="63"/>
      <c r="AJ348" s="63"/>
      <c r="AK348" s="63"/>
      <c r="AL348" s="63">
        <f>SUM(AL345:AL347)</f>
        <v>1</v>
      </c>
      <c r="AM348" s="63">
        <f>SUM(AM345:AM347)</f>
        <v>1</v>
      </c>
      <c r="AN348" s="63"/>
      <c r="AO348" s="63"/>
      <c r="AP348" s="63"/>
      <c r="AQ348" s="63">
        <f>SUM(AQ345:AQ347)</f>
        <v>3</v>
      </c>
      <c r="AR348" s="63"/>
      <c r="AS348" s="63"/>
      <c r="AT348" s="63"/>
      <c r="AU348" s="63"/>
      <c r="AW348" s="5">
        <f>IF(Q348&gt;0,RANK(Q348,(N348:P348,Q348:AE348)),0)</f>
        <v>3</v>
      </c>
      <c r="AX348" s="5">
        <f>IF(R348&gt;0,RANK(R348,(N348:P348,Q348:AE348)),0)</f>
        <v>4</v>
      </c>
      <c r="AY348" s="5">
        <f>IF(T348&gt;0,RANK(T348,(N348:P348,Q348:AE348)),0)</f>
        <v>9</v>
      </c>
      <c r="AZ348" s="5">
        <f>IF(S348&gt;0,RANK(S348,(N348:P348,Q348:AE348)),0)</f>
        <v>7</v>
      </c>
      <c r="BA348" s="2">
        <f t="shared" si="148"/>
        <v>3.3250415714691291E-2</v>
      </c>
      <c r="BB348" s="2">
        <f t="shared" si="148"/>
        <v>1.3751256156858504E-2</v>
      </c>
      <c r="BC348" s="2">
        <f>IF($C348=0,"-",T348/$C348)</f>
        <v>6.7595884762535658E-6</v>
      </c>
      <c r="BD348" s="2">
        <f>IF($C348=0,"-",S348/$C348)</f>
        <v>1.6673651574758796E-4</v>
      </c>
      <c r="BF348" t="s">
        <v>1708</v>
      </c>
      <c r="BG348" t="s">
        <v>544</v>
      </c>
      <c r="BJ348" s="114">
        <v>10</v>
      </c>
      <c r="BK348" s="116"/>
      <c r="BL348" s="114">
        <v>10</v>
      </c>
      <c r="BN348" s="5" t="s">
        <v>711</v>
      </c>
      <c r="BR348" s="63"/>
      <c r="CA348" s="63">
        <f>SUM(CA345:CA347)</f>
        <v>0</v>
      </c>
      <c r="CB348" s="63">
        <f>SUM(CB345:CB347)</f>
        <v>1407</v>
      </c>
      <c r="CD348" s="63">
        <f t="shared" ref="CD348:CK348" si="151">SUM(CD345:CD347)</f>
        <v>4</v>
      </c>
      <c r="CE348" s="63">
        <f t="shared" si="151"/>
        <v>3</v>
      </c>
      <c r="CF348" s="63">
        <f t="shared" si="151"/>
        <v>3</v>
      </c>
      <c r="CG348" s="63">
        <f t="shared" si="151"/>
        <v>1</v>
      </c>
      <c r="CH348" s="63">
        <f t="shared" si="151"/>
        <v>1</v>
      </c>
      <c r="CI348" s="63">
        <f t="shared" si="151"/>
        <v>1</v>
      </c>
      <c r="CJ348" s="63">
        <f t="shared" si="151"/>
        <v>1</v>
      </c>
      <c r="CK348" s="63">
        <f t="shared" si="151"/>
        <v>2</v>
      </c>
    </row>
    <row r="349" spans="1:93">
      <c r="C349" s="1"/>
      <c r="E349" s="5"/>
      <c r="F349" s="5"/>
      <c r="G349" s="132"/>
      <c r="H349" s="137"/>
      <c r="I349" s="2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W349" s="5"/>
      <c r="AX349" s="5"/>
      <c r="AY349" s="5"/>
      <c r="AZ349" s="5"/>
      <c r="BJ349" s="114"/>
      <c r="BK349" s="116"/>
      <c r="BL349" s="120"/>
    </row>
    <row r="350" spans="1:93" hidden="1" outlineLevel="1">
      <c r="A350" s="8" t="s">
        <v>2535</v>
      </c>
      <c r="B350" t="s">
        <v>1001</v>
      </c>
      <c r="C350" s="1">
        <f>SUM(N350:AU350)</f>
        <v>311268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0</v>
      </c>
      <c r="G350" s="132">
        <f>IF(C350&gt;0,MAX(N350:P350)-LARGE(N350:P350,2),0)</f>
        <v>270107</v>
      </c>
      <c r="H350" s="137">
        <f>IF(C350&gt;0,G350/C350,0)</f>
        <v>0.86776347070691495</v>
      </c>
      <c r="I350" s="2"/>
      <c r="J350" s="2">
        <f>IF($C350=0,"-",N350/$C350)</f>
        <v>0.90863821529999866</v>
      </c>
      <c r="K350" s="2">
        <f>IF($C350=0,"-",O350/$C350)</f>
        <v>4.0874744593083774E-2</v>
      </c>
      <c r="L350" s="2">
        <f>IF($C350=0,"-",P350/$C350)</f>
        <v>0</v>
      </c>
      <c r="M350" s="2">
        <f>IF(C350=0,"-",(1-J350-K350-L350))</f>
        <v>5.0487040106917562E-2</v>
      </c>
      <c r="N350" s="63">
        <v>282830</v>
      </c>
      <c r="O350" s="63">
        <v>12723</v>
      </c>
      <c r="P350" s="63"/>
      <c r="Q350" s="63">
        <v>4906</v>
      </c>
      <c r="R350" s="63">
        <v>4258</v>
      </c>
      <c r="S350" s="63"/>
      <c r="T350" s="63"/>
      <c r="U350" s="63"/>
      <c r="V350" s="63"/>
      <c r="W350" s="63">
        <v>6551</v>
      </c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W350" s="5">
        <f>IF(Q350&gt;0,RANK(Q350,(N350:P350,Q350:AE350)),0)</f>
        <v>4</v>
      </c>
      <c r="AX350" s="5">
        <f>IF(R350&gt;0,RANK(R350,(N350:P350,Q350:AE350)),0)</f>
        <v>5</v>
      </c>
      <c r="AY350" s="5">
        <f>IF(T350&gt;0,RANK(T350,(N350:P350,Q350:AE350)),0)</f>
        <v>0</v>
      </c>
      <c r="AZ350" s="5">
        <f>IF(S350&gt;0,RANK(S350,(N350:P350,Q350:AE350)),0)</f>
        <v>0</v>
      </c>
      <c r="BA350" s="2">
        <f>IF($C350=0,"-",Q350/$C350)</f>
        <v>1.5761337496947969E-2</v>
      </c>
      <c r="BB350" s="2">
        <f>IF($C350=0,"-",R350/$C350)</f>
        <v>1.3679530179780767E-2</v>
      </c>
      <c r="BC350" s="2">
        <f>IF($C350=0,"-",T350/$C350)</f>
        <v>0</v>
      </c>
      <c r="BD350" s="2">
        <f>IF($C350=0,"-",S350/$C350)</f>
        <v>0</v>
      </c>
      <c r="BF350" s="8" t="s">
        <v>2535</v>
      </c>
      <c r="BG350" t="s">
        <v>1001</v>
      </c>
      <c r="BJ350" s="114">
        <v>11</v>
      </c>
      <c r="BK350" s="116">
        <v>1</v>
      </c>
      <c r="BL350" s="120">
        <f t="shared" si="120"/>
        <v>11001</v>
      </c>
      <c r="BN350" s="5" t="s">
        <v>3154</v>
      </c>
      <c r="BO350" s="63">
        <v>1064</v>
      </c>
      <c r="BP350" s="63">
        <v>243</v>
      </c>
      <c r="BR350" s="63"/>
    </row>
    <row r="351" spans="1:93" collapsed="1">
      <c r="A351" s="8" t="s">
        <v>2535</v>
      </c>
      <c r="B351" t="s">
        <v>544</v>
      </c>
      <c r="C351" s="1">
        <f>SUM(N351:AU351)</f>
        <v>311268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>IF(P351&gt;0,RANK(P351,(N351:P351,Q351:AE351)),0)</f>
        <v>0</v>
      </c>
      <c r="G351" s="132">
        <f>IF(C351&gt;0,MAX(N351:P351)-LARGE(N351:P351,2),0)</f>
        <v>270107</v>
      </c>
      <c r="H351" s="137">
        <f>IF(C351&gt;0,G351/C351,0)</f>
        <v>0.86776347070691495</v>
      </c>
      <c r="I351" s="2"/>
      <c r="N351" s="63">
        <f>N350</f>
        <v>282830</v>
      </c>
      <c r="O351" s="63">
        <f>O350</f>
        <v>12723</v>
      </c>
      <c r="P351" s="63"/>
      <c r="Q351" s="63">
        <f>Q350</f>
        <v>4906</v>
      </c>
      <c r="R351" s="63">
        <f>R350</f>
        <v>4258</v>
      </c>
      <c r="S351" s="63"/>
      <c r="T351" s="63"/>
      <c r="U351" s="63"/>
      <c r="V351" s="63"/>
      <c r="W351" s="63">
        <f>W350</f>
        <v>6551</v>
      </c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W351" s="5">
        <f>IF(Q351&gt;0,RANK(Q351,(N351:P351,Q351:AE351)),0)</f>
        <v>4</v>
      </c>
      <c r="AX351" s="5">
        <f>IF(R351&gt;0,RANK(R351,(N351:P351,Q351:AE351)),0)</f>
        <v>5</v>
      </c>
      <c r="AY351" s="5">
        <f>IF(T351&gt;0,RANK(T351,(N351:P351,Q351:AE351)),0)</f>
        <v>0</v>
      </c>
      <c r="AZ351" s="5">
        <f>IF(S351&gt;0,RANK(S351,(N351:P351,Q351:AE351)),0)</f>
        <v>0</v>
      </c>
      <c r="BA351" s="2">
        <f>IF($C351=0,"-",Q351/$C351)</f>
        <v>1.5761337496947969E-2</v>
      </c>
      <c r="BB351" s="2">
        <f>IF($C351=0,"-",R351/$C351)</f>
        <v>1.3679530179780767E-2</v>
      </c>
      <c r="BC351" s="2">
        <f>IF($C351=0,"-",T351/$C351)</f>
        <v>0</v>
      </c>
      <c r="BD351" s="2">
        <f>IF($C351=0,"-",S351/$C351)</f>
        <v>0</v>
      </c>
      <c r="BF351" s="8" t="s">
        <v>2535</v>
      </c>
      <c r="BG351" t="s">
        <v>544</v>
      </c>
      <c r="BJ351" s="114">
        <v>11</v>
      </c>
      <c r="BK351" s="116"/>
      <c r="BL351" s="114">
        <v>11</v>
      </c>
      <c r="BN351" s="5" t="s">
        <v>711</v>
      </c>
      <c r="BO351" s="63">
        <f>BO350</f>
        <v>1064</v>
      </c>
      <c r="BP351" s="63">
        <f>BP350</f>
        <v>243</v>
      </c>
      <c r="BR351" s="63"/>
    </row>
    <row r="352" spans="1:93">
      <c r="C352" s="1"/>
      <c r="E352" s="5"/>
      <c r="F352" s="5"/>
      <c r="G352" s="132"/>
      <c r="H352" s="137"/>
      <c r="I352" s="2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W352" s="5"/>
      <c r="AX352" s="5"/>
      <c r="AY352" s="5"/>
      <c r="AZ352" s="5"/>
      <c r="BJ352" s="114"/>
      <c r="BK352" s="116"/>
      <c r="BL352" s="120"/>
      <c r="BU352" s="128"/>
      <c r="BV352" s="132"/>
      <c r="BW352" s="132"/>
      <c r="CA352" s="132"/>
      <c r="CB352" s="132"/>
      <c r="CD352" s="63" t="s">
        <v>3492</v>
      </c>
      <c r="CE352" s="63" t="s">
        <v>3493</v>
      </c>
      <c r="CF352" s="63" t="s">
        <v>3494</v>
      </c>
      <c r="CG352" s="8" t="s">
        <v>3495</v>
      </c>
    </row>
    <row r="353" spans="1:85" hidden="1" outlineLevel="1">
      <c r="A353" t="s">
        <v>2527</v>
      </c>
      <c r="B353" t="s">
        <v>2896</v>
      </c>
      <c r="C353" s="1">
        <f t="shared" ref="C353:C384" si="152">SUM(N353:AU353)</f>
        <v>130100</v>
      </c>
      <c r="D353" s="5">
        <f>IF(N353&gt;0, RANK(N353,(N353:P353,Q353:AE353)),0)</f>
        <v>1</v>
      </c>
      <c r="E353" s="5">
        <f>IF(O353&gt;0,RANK(O353,(N353:P353,Q353:AE353)),0)</f>
        <v>2</v>
      </c>
      <c r="F353" s="5">
        <f>IF(P353&gt;0,RANK(P353,(N353:P353,Q353:AE353)),0)</f>
        <v>0</v>
      </c>
      <c r="G353" s="132">
        <f t="shared" ref="G353:G384" si="153">IF(C353&gt;0,MAX(N353:P353)-LARGE(N353:P353,2),0)</f>
        <v>28986</v>
      </c>
      <c r="H353" s="137">
        <f t="shared" ref="H353:H384" si="154">IF(C353&gt;0,G353/C353,0)</f>
        <v>0.22279784780937739</v>
      </c>
      <c r="I353" s="2"/>
      <c r="J353" s="2">
        <f t="shared" ref="J353:J384" si="155">IF($C353=0,"-",N353/$C353)</f>
        <v>0.58278247501921598</v>
      </c>
      <c r="K353" s="2">
        <f t="shared" ref="K353:K384" si="156">IF($C353=0,"-",O353/$C353)</f>
        <v>0.35998462720983859</v>
      </c>
      <c r="L353" s="2">
        <f t="shared" ref="L353:L384" si="157">IF($C353=0,"-",P353/$C353)</f>
        <v>0</v>
      </c>
      <c r="M353" s="2">
        <f t="shared" ref="M353:M384" si="158">IF(C353=0,"-",(1-J353-K353-L353))</f>
        <v>5.7232897770945423E-2</v>
      </c>
      <c r="N353" s="63">
        <v>75820</v>
      </c>
      <c r="O353" s="63">
        <v>46834</v>
      </c>
      <c r="P353" s="63"/>
      <c r="Q353" s="63">
        <v>4059</v>
      </c>
      <c r="R353" s="63">
        <v>1507</v>
      </c>
      <c r="S353" s="63">
        <v>262</v>
      </c>
      <c r="T353" s="63">
        <v>87</v>
      </c>
      <c r="U353" s="63"/>
      <c r="V353" s="63"/>
      <c r="W353" s="63">
        <f>IF(Copyright!B$11=1,IF(CA353&gt;0,CA353-SUM(X353:AT353)-SUM(U353:V353),SUM(CC353:CG353)),SUM(CC353:CG353))</f>
        <v>1530</v>
      </c>
      <c r="X353" s="63"/>
      <c r="Y353" s="63"/>
      <c r="Z353" s="63">
        <v>1</v>
      </c>
      <c r="AA353" s="63"/>
      <c r="AB353" s="63"/>
      <c r="AC353" s="63"/>
      <c r="AD353" s="63"/>
      <c r="AE353" s="63">
        <v>0</v>
      </c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W353" s="5">
        <f>IF(Q353&gt;0,RANK(Q353,(N353:P353,Q353:AE353)),0)</f>
        <v>3</v>
      </c>
      <c r="AX353" s="5">
        <f>IF(R353&gt;0,RANK(R353,(N353:P353,Q353:AE353)),0)</f>
        <v>5</v>
      </c>
      <c r="AY353" s="5">
        <f>IF(T353&gt;0,RANK(T353,(N353:P353,Q353:AE353)),0)</f>
        <v>7</v>
      </c>
      <c r="AZ353" s="5">
        <f>IF(S353&gt;0,RANK(S353,(N353:P353,Q353:AE353)),0)</f>
        <v>6</v>
      </c>
      <c r="BA353" s="2">
        <f t="shared" ref="BA353:BA384" si="159">IF($C353=0,"-",Q353/$C353)</f>
        <v>3.1199077632590316E-2</v>
      </c>
      <c r="BB353" s="2">
        <f t="shared" ref="BB353:BB384" si="160">IF($C353=0,"-",R353/$C353)</f>
        <v>1.1583397386625673E-2</v>
      </c>
      <c r="BC353" s="2">
        <f t="shared" ref="BC353:BC384" si="161">IF($C353=0,"-",T353/$C353)</f>
        <v>6.6871637202152196E-4</v>
      </c>
      <c r="BD353" s="2">
        <f t="shared" ref="BD353:BD384" si="162">IF($C353=0,"-",S353/$C353)</f>
        <v>2.0138355111452727E-3</v>
      </c>
      <c r="BF353" t="s">
        <v>2527</v>
      </c>
      <c r="BG353" t="s">
        <v>2896</v>
      </c>
      <c r="BH353">
        <v>3</v>
      </c>
      <c r="BJ353" s="114">
        <v>12</v>
      </c>
      <c r="BK353" s="116">
        <v>1</v>
      </c>
      <c r="BL353" s="120">
        <f t="shared" si="120"/>
        <v>12001</v>
      </c>
      <c r="BN353" s="5" t="s">
        <v>3154</v>
      </c>
      <c r="BO353" s="147"/>
      <c r="BP353" s="147"/>
      <c r="BQ353" s="63">
        <f>CA353</f>
        <v>1531</v>
      </c>
      <c r="BR353" s="63"/>
      <c r="BS353" s="67"/>
      <c r="BU353" s="63"/>
      <c r="BY353" s="63">
        <f>BZ353-C353</f>
        <v>0</v>
      </c>
      <c r="BZ353" s="63">
        <v>130100</v>
      </c>
      <c r="CA353" s="63">
        <v>1531</v>
      </c>
      <c r="CB353" s="132"/>
      <c r="CD353" s="63">
        <v>1</v>
      </c>
      <c r="CE353" s="63">
        <v>0</v>
      </c>
      <c r="CF353" s="63">
        <v>0</v>
      </c>
      <c r="CG353" s="8">
        <v>0</v>
      </c>
    </row>
    <row r="354" spans="1:85" hidden="1" outlineLevel="1">
      <c r="A354" t="s">
        <v>2514</v>
      </c>
      <c r="B354" t="s">
        <v>2896</v>
      </c>
      <c r="C354" s="1">
        <f t="shared" si="152"/>
        <v>12705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32">
        <f t="shared" si="153"/>
        <v>8182</v>
      </c>
      <c r="H354" s="137">
        <f t="shared" si="154"/>
        <v>0.6439984258166076</v>
      </c>
      <c r="I354" s="2"/>
      <c r="J354" s="2">
        <f t="shared" si="155"/>
        <v>0.16623376623376623</v>
      </c>
      <c r="K354" s="2">
        <f t="shared" si="156"/>
        <v>0.81023219205037389</v>
      </c>
      <c r="L354" s="2">
        <f t="shared" si="157"/>
        <v>0</v>
      </c>
      <c r="M354" s="2">
        <f t="shared" si="158"/>
        <v>2.3534041715859821E-2</v>
      </c>
      <c r="N354" s="63">
        <v>2112</v>
      </c>
      <c r="O354" s="63">
        <v>10294</v>
      </c>
      <c r="P354" s="63"/>
      <c r="Q354" s="63">
        <v>169</v>
      </c>
      <c r="R354" s="63">
        <v>30</v>
      </c>
      <c r="S354" s="63">
        <v>23</v>
      </c>
      <c r="T354" s="63">
        <v>6</v>
      </c>
      <c r="U354" s="63"/>
      <c r="V354" s="63"/>
      <c r="W354" s="63">
        <f>IF(Copyright!B$11=1,IF(CA354&gt;0,CA354-SUM(X354:AT354)-SUM(U354:V354),SUM(CC354:CG354)),SUM(CC354:CG354))</f>
        <v>71</v>
      </c>
      <c r="X354" s="63"/>
      <c r="Y354" s="63"/>
      <c r="Z354" s="63">
        <v>0</v>
      </c>
      <c r="AA354" s="63"/>
      <c r="AB354" s="63"/>
      <c r="AC354" s="63"/>
      <c r="AD354" s="63"/>
      <c r="AE354" s="63">
        <v>0</v>
      </c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W354" s="5">
        <f>IF(Q354&gt;0,RANK(Q354,(N354:P354,Q354:AE354)),0)</f>
        <v>3</v>
      </c>
      <c r="AX354" s="5">
        <f>IF(R354&gt;0,RANK(R354,(N354:P354,Q354:AE354)),0)</f>
        <v>5</v>
      </c>
      <c r="AY354" s="5">
        <f>IF(T354&gt;0,RANK(T354,(N354:P354,Q354:AE354)),0)</f>
        <v>7</v>
      </c>
      <c r="AZ354" s="5">
        <f>IF(S354&gt;0,RANK(S354,(N354:P354,Q354:AE354)),0)</f>
        <v>6</v>
      </c>
      <c r="BA354" s="2">
        <f t="shared" si="159"/>
        <v>1.3301849665486028E-2</v>
      </c>
      <c r="BB354" s="2">
        <f t="shared" si="160"/>
        <v>2.3612750885478157E-3</v>
      </c>
      <c r="BC354" s="2">
        <f t="shared" si="161"/>
        <v>4.7225501770956318E-4</v>
      </c>
      <c r="BD354" s="2">
        <f t="shared" si="162"/>
        <v>1.8103109012199922E-3</v>
      </c>
      <c r="BF354" t="s">
        <v>2514</v>
      </c>
      <c r="BG354" t="s">
        <v>2896</v>
      </c>
      <c r="BH354">
        <v>5</v>
      </c>
      <c r="BJ354" s="114">
        <v>12</v>
      </c>
      <c r="BK354" s="116">
        <v>3</v>
      </c>
      <c r="BL354" s="120">
        <f t="shared" si="120"/>
        <v>12003</v>
      </c>
      <c r="BN354" s="5" t="s">
        <v>3154</v>
      </c>
      <c r="BQ354" s="63">
        <f t="shared" ref="BQ354:BQ417" si="163">CA354</f>
        <v>71</v>
      </c>
      <c r="BR354" s="63"/>
      <c r="BS354" s="132"/>
      <c r="BT354" s="63"/>
      <c r="BU354" s="63"/>
      <c r="BY354" s="63">
        <f t="shared" ref="BY354:BY417" si="164">BZ354-C354</f>
        <v>0</v>
      </c>
      <c r="BZ354" s="63">
        <v>12705</v>
      </c>
      <c r="CA354" s="63">
        <v>71</v>
      </c>
      <c r="CB354" s="132"/>
      <c r="CD354" s="63">
        <v>0</v>
      </c>
      <c r="CE354" s="63">
        <v>0</v>
      </c>
      <c r="CF354" s="63">
        <v>0</v>
      </c>
      <c r="CG354" s="8">
        <v>0</v>
      </c>
    </row>
    <row r="355" spans="1:85" hidden="1" outlineLevel="1">
      <c r="A355" t="s">
        <v>3099</v>
      </c>
      <c r="B355" t="s">
        <v>2896</v>
      </c>
      <c r="C355" s="1">
        <f t="shared" si="152"/>
        <v>88222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32">
        <f t="shared" si="153"/>
        <v>40397</v>
      </c>
      <c r="H355" s="137">
        <f t="shared" si="154"/>
        <v>0.45790165718301556</v>
      </c>
      <c r="I355" s="2"/>
      <c r="J355" s="2">
        <f t="shared" si="155"/>
        <v>0.24706989186370745</v>
      </c>
      <c r="K355" s="2">
        <f t="shared" si="156"/>
        <v>0.70497154904672299</v>
      </c>
      <c r="L355" s="2">
        <f t="shared" si="157"/>
        <v>0</v>
      </c>
      <c r="M355" s="2">
        <f t="shared" si="158"/>
        <v>4.7958559089569586E-2</v>
      </c>
      <c r="N355" s="63">
        <v>21797</v>
      </c>
      <c r="O355" s="63">
        <v>62194</v>
      </c>
      <c r="P355" s="63"/>
      <c r="Q355" s="63">
        <v>2652</v>
      </c>
      <c r="R355" s="63">
        <v>562</v>
      </c>
      <c r="S355" s="63">
        <v>179</v>
      </c>
      <c r="T355" s="63">
        <v>65</v>
      </c>
      <c r="U355" s="63"/>
      <c r="V355" s="63"/>
      <c r="W355" s="63">
        <f>IF(Copyright!B$11=1,IF(CA355&gt;0,CA355-SUM(X355:AT355)-SUM(U355:V355),SUM(CC355:CG355)),SUM(CC355:CG355))</f>
        <v>773</v>
      </c>
      <c r="X355" s="63"/>
      <c r="Y355" s="63"/>
      <c r="Z355" s="63">
        <v>0</v>
      </c>
      <c r="AA355" s="63"/>
      <c r="AB355" s="63"/>
      <c r="AC355" s="63"/>
      <c r="AD355" s="63"/>
      <c r="AE355" s="63">
        <v>0</v>
      </c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W355" s="5">
        <f>IF(Q355&gt;0,RANK(Q355,(N355:P355,Q355:AE355)),0)</f>
        <v>3</v>
      </c>
      <c r="AX355" s="5">
        <f>IF(R355&gt;0,RANK(R355,(N355:P355,Q355:AE355)),0)</f>
        <v>5</v>
      </c>
      <c r="AY355" s="5">
        <f>IF(T355&gt;0,RANK(T355,(N355:P355,Q355:AE355)),0)</f>
        <v>7</v>
      </c>
      <c r="AZ355" s="5">
        <f>IF(S355&gt;0,RANK(S355,(N355:P355,Q355:AE355)),0)</f>
        <v>6</v>
      </c>
      <c r="BA355" s="2">
        <f t="shared" si="159"/>
        <v>3.0060529119720705E-2</v>
      </c>
      <c r="BB355" s="2">
        <f t="shared" si="160"/>
        <v>6.370293124164041E-3</v>
      </c>
      <c r="BC355" s="2">
        <f t="shared" si="161"/>
        <v>7.3677767450295846E-4</v>
      </c>
      <c r="BD355" s="2">
        <f t="shared" si="162"/>
        <v>2.0289723651696857E-3</v>
      </c>
      <c r="BF355" t="s">
        <v>3099</v>
      </c>
      <c r="BG355" t="s">
        <v>2896</v>
      </c>
      <c r="BH355">
        <v>2</v>
      </c>
      <c r="BJ355" s="114">
        <v>12</v>
      </c>
      <c r="BK355" s="116">
        <v>5</v>
      </c>
      <c r="BL355" s="120">
        <f t="shared" si="120"/>
        <v>12005</v>
      </c>
      <c r="BN355" s="5" t="s">
        <v>3154</v>
      </c>
      <c r="BO355" s="63">
        <v>416</v>
      </c>
      <c r="BP355" s="63">
        <v>70</v>
      </c>
      <c r="BQ355" s="63">
        <f t="shared" si="163"/>
        <v>773</v>
      </c>
      <c r="BR355" s="63"/>
      <c r="BS355" s="63"/>
      <c r="BU355" s="63"/>
      <c r="BY355" s="63">
        <f t="shared" si="164"/>
        <v>0</v>
      </c>
      <c r="BZ355" s="63">
        <f>88708-486</f>
        <v>88222</v>
      </c>
      <c r="CA355" s="63">
        <v>773</v>
      </c>
      <c r="CB355" s="132"/>
      <c r="CD355" s="63">
        <v>0</v>
      </c>
      <c r="CE355" s="63">
        <v>0</v>
      </c>
      <c r="CF355" s="63">
        <v>1</v>
      </c>
      <c r="CG355" s="8">
        <v>3</v>
      </c>
    </row>
    <row r="356" spans="1:85" hidden="1" outlineLevel="1">
      <c r="A356" t="s">
        <v>2276</v>
      </c>
      <c r="B356" t="s">
        <v>2896</v>
      </c>
      <c r="C356" s="1">
        <f t="shared" si="152"/>
        <v>12158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32">
        <f t="shared" si="153"/>
        <v>5989</v>
      </c>
      <c r="H356" s="137">
        <f t="shared" si="154"/>
        <v>0.49259746668860011</v>
      </c>
      <c r="I356" s="2"/>
      <c r="J356" s="2">
        <f t="shared" si="155"/>
        <v>0.24050008225037012</v>
      </c>
      <c r="K356" s="2">
        <f t="shared" si="156"/>
        <v>0.73309754893897028</v>
      </c>
      <c r="L356" s="2">
        <f t="shared" si="157"/>
        <v>0</v>
      </c>
      <c r="M356" s="2">
        <f t="shared" si="158"/>
        <v>2.6402368810659604E-2</v>
      </c>
      <c r="N356" s="63">
        <v>2924</v>
      </c>
      <c r="O356" s="63">
        <v>8913</v>
      </c>
      <c r="P356" s="63"/>
      <c r="Q356" s="63">
        <v>177</v>
      </c>
      <c r="R356" s="63">
        <v>47</v>
      </c>
      <c r="S356" s="63">
        <v>33</v>
      </c>
      <c r="T356" s="63">
        <v>4</v>
      </c>
      <c r="U356" s="63"/>
      <c r="V356" s="63"/>
      <c r="W356" s="63">
        <f>IF(Copyright!B$11=1,IF(CA356&gt;0,CA356-SUM(X356:AT356)-SUM(U356:V356),SUM(CC356:CG356)),SUM(CC356:CG356))</f>
        <v>60</v>
      </c>
      <c r="X356" s="63"/>
      <c r="Y356" s="63"/>
      <c r="Z356" s="63">
        <v>0</v>
      </c>
      <c r="AA356" s="63"/>
      <c r="AB356" s="63"/>
      <c r="AC356" s="63"/>
      <c r="AD356" s="63"/>
      <c r="AE356" s="63">
        <v>0</v>
      </c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W356" s="5">
        <f>IF(Q356&gt;0,RANK(Q356,(N356:P356,Q356:AE356)),0)</f>
        <v>3</v>
      </c>
      <c r="AX356" s="5">
        <f>IF(R356&gt;0,RANK(R356,(N356:P356,Q356:AE356)),0)</f>
        <v>5</v>
      </c>
      <c r="AY356" s="5">
        <f>IF(T356&gt;0,RANK(T356,(N356:P356,Q356:AE356)),0)</f>
        <v>7</v>
      </c>
      <c r="AZ356" s="5">
        <f>IF(S356&gt;0,RANK(S356,(N356:P356,Q356:AE356)),0)</f>
        <v>6</v>
      </c>
      <c r="BA356" s="2">
        <f t="shared" si="159"/>
        <v>1.4558315512419807E-2</v>
      </c>
      <c r="BB356" s="2">
        <f t="shared" si="160"/>
        <v>3.8657673959532819E-3</v>
      </c>
      <c r="BC356" s="2">
        <f t="shared" si="161"/>
        <v>3.2900148050666228E-4</v>
      </c>
      <c r="BD356" s="2">
        <f t="shared" si="162"/>
        <v>2.714262214179964E-3</v>
      </c>
      <c r="BF356" t="s">
        <v>2276</v>
      </c>
      <c r="BG356" t="s">
        <v>2896</v>
      </c>
      <c r="BH356">
        <v>3</v>
      </c>
      <c r="BJ356" s="114">
        <v>12</v>
      </c>
      <c r="BK356" s="116">
        <v>7</v>
      </c>
      <c r="BL356" s="120">
        <f t="shared" si="120"/>
        <v>12007</v>
      </c>
      <c r="BN356" s="5" t="s">
        <v>3154</v>
      </c>
      <c r="BQ356" s="63">
        <f t="shared" si="163"/>
        <v>60</v>
      </c>
      <c r="BR356" s="63"/>
      <c r="BS356" s="132"/>
      <c r="BT356" s="63"/>
      <c r="BU356" s="63"/>
      <c r="BY356" s="63">
        <f t="shared" si="164"/>
        <v>0</v>
      </c>
      <c r="BZ356" s="63">
        <v>12158</v>
      </c>
      <c r="CA356" s="63">
        <v>60</v>
      </c>
      <c r="CB356" s="132"/>
      <c r="CD356" s="63">
        <v>0</v>
      </c>
      <c r="CE356" s="63">
        <v>0</v>
      </c>
      <c r="CF356" s="63">
        <v>0</v>
      </c>
      <c r="CG356" s="8">
        <v>0</v>
      </c>
    </row>
    <row r="357" spans="1:85" hidden="1" outlineLevel="1">
      <c r="A357" t="s">
        <v>1365</v>
      </c>
      <c r="B357" t="s">
        <v>2896</v>
      </c>
      <c r="C357" s="1">
        <f t="shared" si="152"/>
        <v>318141</v>
      </c>
      <c r="D357" s="5">
        <f>IF(N357&gt;0, RANK(N357,(N357:P357,Q357:AE357)),0)</f>
        <v>2</v>
      </c>
      <c r="E357" s="5">
        <f>IF(O357&gt;0,RANK(O357,(N357:P357,Q357:AE357)),0)</f>
        <v>1</v>
      </c>
      <c r="F357" s="5">
        <f>IF(P357&gt;0,RANK(P357,(N357:P357,Q357:AE357)),0)</f>
        <v>0</v>
      </c>
      <c r="G357" s="132">
        <f t="shared" si="153"/>
        <v>62169</v>
      </c>
      <c r="H357" s="137">
        <f t="shared" si="154"/>
        <v>0.19541335445604308</v>
      </c>
      <c r="I357" s="2"/>
      <c r="J357" s="2">
        <f t="shared" si="155"/>
        <v>0.37618225880977302</v>
      </c>
      <c r="K357" s="2">
        <f t="shared" si="156"/>
        <v>0.57159561326581609</v>
      </c>
      <c r="L357" s="2">
        <f t="shared" si="157"/>
        <v>0</v>
      </c>
      <c r="M357" s="2">
        <f t="shared" si="158"/>
        <v>5.2222127924410944E-2</v>
      </c>
      <c r="N357" s="63">
        <v>119679</v>
      </c>
      <c r="O357" s="63">
        <v>181848</v>
      </c>
      <c r="P357" s="63"/>
      <c r="Q357" s="63">
        <v>9451</v>
      </c>
      <c r="R357" s="63">
        <v>2708</v>
      </c>
      <c r="S357" s="63">
        <v>744</v>
      </c>
      <c r="T357" s="63">
        <v>314</v>
      </c>
      <c r="U357" s="63"/>
      <c r="V357" s="63"/>
      <c r="W357" s="63">
        <f>IF(Copyright!B$11=1,IF(CA357&gt;0,CA357-SUM(X357:AT357)-SUM(U357:V357),SUM(CC357:CG357)),SUM(CC357:CG357))</f>
        <v>3393</v>
      </c>
      <c r="X357" s="63"/>
      <c r="Y357" s="63"/>
      <c r="Z357" s="63">
        <v>2</v>
      </c>
      <c r="AA357" s="63"/>
      <c r="AB357" s="63"/>
      <c r="AC357" s="63"/>
      <c r="AD357" s="63"/>
      <c r="AE357" s="63">
        <v>2</v>
      </c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W357" s="5">
        <f>IF(Q357&gt;0,RANK(Q357,(N357:P357,Q357:AE357)),0)</f>
        <v>3</v>
      </c>
      <c r="AX357" s="5">
        <f>IF(R357&gt;0,RANK(R357,(N357:P357,Q357:AE357)),0)</f>
        <v>5</v>
      </c>
      <c r="AY357" s="5">
        <f>IF(T357&gt;0,RANK(T357,(N357:P357,Q357:AE357)),0)</f>
        <v>7</v>
      </c>
      <c r="AZ357" s="5">
        <f>IF(S357&gt;0,RANK(S357,(N357:P357,Q357:AE357)),0)</f>
        <v>6</v>
      </c>
      <c r="BA357" s="2">
        <f t="shared" si="159"/>
        <v>2.9706953834934824E-2</v>
      </c>
      <c r="BB357" s="2">
        <f t="shared" si="160"/>
        <v>8.5119491043279556E-3</v>
      </c>
      <c r="BC357" s="2">
        <f t="shared" si="161"/>
        <v>9.8698375877362562E-4</v>
      </c>
      <c r="BD357" s="2">
        <f t="shared" si="162"/>
        <v>2.3385857214254058E-3</v>
      </c>
      <c r="BF357" t="s">
        <v>1365</v>
      </c>
      <c r="BG357" t="s">
        <v>2896</v>
      </c>
      <c r="BH357">
        <v>8</v>
      </c>
      <c r="BJ357" s="114">
        <v>12</v>
      </c>
      <c r="BK357" s="116">
        <v>9</v>
      </c>
      <c r="BL357" s="120">
        <f t="shared" si="120"/>
        <v>12009</v>
      </c>
      <c r="BN357" s="5" t="s">
        <v>3154</v>
      </c>
      <c r="BQ357" s="63">
        <f t="shared" si="163"/>
        <v>3397</v>
      </c>
      <c r="BR357" s="63"/>
      <c r="BS357" s="132"/>
      <c r="BU357" s="63"/>
      <c r="BY357" s="63">
        <f t="shared" si="164"/>
        <v>0</v>
      </c>
      <c r="BZ357" s="63">
        <v>318141</v>
      </c>
      <c r="CA357" s="63">
        <v>3397</v>
      </c>
      <c r="CB357" s="132"/>
      <c r="CD357" s="63">
        <v>2</v>
      </c>
      <c r="CE357" s="63">
        <v>0</v>
      </c>
      <c r="CF357" s="63">
        <v>2</v>
      </c>
      <c r="CG357" s="8">
        <v>0</v>
      </c>
    </row>
    <row r="358" spans="1:85" hidden="1" outlineLevel="1">
      <c r="A358" t="s">
        <v>2541</v>
      </c>
      <c r="B358" t="s">
        <v>2896</v>
      </c>
      <c r="C358" s="1">
        <f t="shared" si="152"/>
        <v>837388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>IF(P358&gt;0,RANK(P358,(N358:P358,Q358:AE358)),0)</f>
        <v>0</v>
      </c>
      <c r="G358" s="132">
        <f t="shared" si="153"/>
        <v>292369</v>
      </c>
      <c r="H358" s="137">
        <f t="shared" si="154"/>
        <v>0.34914400492961445</v>
      </c>
      <c r="I358" s="2"/>
      <c r="J358" s="2">
        <f t="shared" si="155"/>
        <v>0.66076896253588535</v>
      </c>
      <c r="K358" s="2">
        <f t="shared" si="156"/>
        <v>0.3116249576062709</v>
      </c>
      <c r="L358" s="2">
        <f t="shared" si="157"/>
        <v>0</v>
      </c>
      <c r="M358" s="2">
        <f t="shared" si="158"/>
        <v>2.7606079857843746E-2</v>
      </c>
      <c r="N358" s="63">
        <v>553320</v>
      </c>
      <c r="O358" s="63">
        <v>260951</v>
      </c>
      <c r="P358" s="63"/>
      <c r="Q358" s="63">
        <v>11078</v>
      </c>
      <c r="R358" s="63">
        <v>5094</v>
      </c>
      <c r="S358" s="63">
        <v>907</v>
      </c>
      <c r="T358" s="63">
        <v>600</v>
      </c>
      <c r="U358" s="63"/>
      <c r="V358" s="63"/>
      <c r="W358" s="63">
        <f>IF(Copyright!B$11=1,IF(CA358&gt;0,CA358-SUM(X358:AT358)-SUM(U358:V358),SUM(CC358:CG358)),SUM(CC358:CG358))</f>
        <v>5438</v>
      </c>
      <c r="X358" s="63"/>
      <c r="Y358" s="63"/>
      <c r="Z358" s="63">
        <v>0</v>
      </c>
      <c r="AA358" s="63"/>
      <c r="AB358" s="63"/>
      <c r="AC358" s="63"/>
      <c r="AD358" s="63"/>
      <c r="AE358" s="63">
        <v>0</v>
      </c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W358" s="5">
        <f>IF(Q358&gt;0,RANK(Q358,(N358:P358,Q358:AE358)),0)</f>
        <v>3</v>
      </c>
      <c r="AX358" s="5">
        <f>IF(R358&gt;0,RANK(R358,(N358:P358,Q358:AE358)),0)</f>
        <v>5</v>
      </c>
      <c r="AY358" s="5">
        <f>IF(T358&gt;0,RANK(T358,(N358:P358,Q358:AE358)),0)</f>
        <v>7</v>
      </c>
      <c r="AZ358" s="5">
        <f>IF(S358&gt;0,RANK(S358,(N358:P358,Q358:AE358)),0)</f>
        <v>6</v>
      </c>
      <c r="BA358" s="2">
        <f t="shared" si="159"/>
        <v>1.322923184951301E-2</v>
      </c>
      <c r="BB358" s="2">
        <f t="shared" si="160"/>
        <v>6.083201574419504E-3</v>
      </c>
      <c r="BC358" s="2">
        <f t="shared" si="161"/>
        <v>7.1651373079146109E-4</v>
      </c>
      <c r="BD358" s="2">
        <f t="shared" si="162"/>
        <v>1.0831299230464253E-3</v>
      </c>
      <c r="BF358" t="s">
        <v>2541</v>
      </c>
      <c r="BG358" t="s">
        <v>2896</v>
      </c>
      <c r="BJ358" s="114">
        <v>12</v>
      </c>
      <c r="BK358" s="116">
        <v>11</v>
      </c>
      <c r="BL358" s="120">
        <f t="shared" si="120"/>
        <v>12011</v>
      </c>
      <c r="BN358" s="5" t="s">
        <v>3154</v>
      </c>
      <c r="BO358" s="147"/>
      <c r="BP358" s="147"/>
      <c r="BQ358" s="63">
        <f t="shared" si="163"/>
        <v>5438</v>
      </c>
      <c r="BR358" s="63"/>
      <c r="BS358" s="67"/>
      <c r="BU358" s="63"/>
      <c r="BY358" s="63">
        <f t="shared" si="164"/>
        <v>0</v>
      </c>
      <c r="BZ358" s="63">
        <v>837388</v>
      </c>
      <c r="CA358" s="63">
        <v>5438</v>
      </c>
      <c r="CB358" s="132"/>
      <c r="CD358" s="63">
        <v>1</v>
      </c>
      <c r="CE358" s="63">
        <v>0</v>
      </c>
      <c r="CF358" s="63">
        <v>0</v>
      </c>
      <c r="CG358" s="8">
        <v>0</v>
      </c>
    </row>
    <row r="359" spans="1:85" hidden="1" outlineLevel="1">
      <c r="A359" t="s">
        <v>1197</v>
      </c>
      <c r="B359" t="s">
        <v>2896</v>
      </c>
      <c r="C359" s="1">
        <f t="shared" si="152"/>
        <v>6128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32">
        <f t="shared" si="153"/>
        <v>3414</v>
      </c>
      <c r="H359" s="137">
        <f t="shared" si="154"/>
        <v>0.55711488250652741</v>
      </c>
      <c r="I359" s="2"/>
      <c r="J359" s="2">
        <f t="shared" si="155"/>
        <v>0.2025130548302872</v>
      </c>
      <c r="K359" s="2">
        <f t="shared" si="156"/>
        <v>0.75962793733681466</v>
      </c>
      <c r="L359" s="2">
        <f t="shared" si="157"/>
        <v>0</v>
      </c>
      <c r="M359" s="2">
        <f t="shared" si="158"/>
        <v>3.7859007832898195E-2</v>
      </c>
      <c r="N359" s="63">
        <v>1241</v>
      </c>
      <c r="O359" s="63">
        <v>4655</v>
      </c>
      <c r="P359" s="63"/>
      <c r="Q359" s="63">
        <v>124</v>
      </c>
      <c r="R359" s="63">
        <v>25</v>
      </c>
      <c r="S359" s="63">
        <v>25</v>
      </c>
      <c r="T359" s="63">
        <v>11</v>
      </c>
      <c r="U359" s="63"/>
      <c r="V359" s="63"/>
      <c r="W359" s="63">
        <f>IF(Copyright!B$11=1,IF(CA359&gt;0,CA359-SUM(X359:AT359)-SUM(U359:V359),SUM(CC359:CG359)),SUM(CC359:CG359))</f>
        <v>47</v>
      </c>
      <c r="X359" s="63"/>
      <c r="Y359" s="63"/>
      <c r="Z359" s="63">
        <v>0</v>
      </c>
      <c r="AA359" s="63"/>
      <c r="AB359" s="63"/>
      <c r="AC359" s="63"/>
      <c r="AD359" s="63"/>
      <c r="AE359" s="63">
        <v>0</v>
      </c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W359" s="5">
        <f>IF(Q359&gt;0,RANK(Q359,(N359:P359,Q359:AE359)),0)</f>
        <v>3</v>
      </c>
      <c r="AX359" s="5">
        <f>IF(R359&gt;0,RANK(R359,(N359:P359,Q359:AE359)),0)</f>
        <v>5</v>
      </c>
      <c r="AY359" s="5">
        <f>IF(T359&gt;0,RANK(T359,(N359:P359,Q359:AE359)),0)</f>
        <v>7</v>
      </c>
      <c r="AZ359" s="5">
        <f>IF(S359&gt;0,RANK(S359,(N359:P359,Q359:AE359)),0)</f>
        <v>5</v>
      </c>
      <c r="BA359" s="2">
        <f t="shared" si="159"/>
        <v>2.0234986945169713E-2</v>
      </c>
      <c r="BB359" s="2">
        <f t="shared" si="160"/>
        <v>4.0796344647519587E-3</v>
      </c>
      <c r="BC359" s="2">
        <f t="shared" si="161"/>
        <v>1.7950391644908617E-3</v>
      </c>
      <c r="BD359" s="2">
        <f t="shared" si="162"/>
        <v>4.0796344647519587E-3</v>
      </c>
      <c r="BF359" t="s">
        <v>1197</v>
      </c>
      <c r="BG359" t="s">
        <v>2896</v>
      </c>
      <c r="BH359">
        <v>2</v>
      </c>
      <c r="BJ359" s="114">
        <v>12</v>
      </c>
      <c r="BK359" s="116">
        <v>13</v>
      </c>
      <c r="BL359" s="120">
        <f t="shared" si="120"/>
        <v>12013</v>
      </c>
      <c r="BN359" s="5" t="s">
        <v>3154</v>
      </c>
      <c r="BQ359" s="63">
        <f t="shared" si="163"/>
        <v>47</v>
      </c>
      <c r="BR359" s="63"/>
      <c r="BS359" s="132"/>
      <c r="BU359" s="63"/>
      <c r="BY359" s="63">
        <f t="shared" si="164"/>
        <v>0</v>
      </c>
      <c r="BZ359" s="63">
        <v>6128</v>
      </c>
      <c r="CA359" s="63">
        <v>47</v>
      </c>
      <c r="CB359" s="132"/>
      <c r="CD359" s="63">
        <v>0</v>
      </c>
      <c r="CE359" s="63">
        <v>0</v>
      </c>
      <c r="CF359" s="63">
        <v>0</v>
      </c>
      <c r="CG359" s="8">
        <v>0</v>
      </c>
    </row>
    <row r="360" spans="1:85" hidden="1" outlineLevel="1">
      <c r="A360" t="s">
        <v>1188</v>
      </c>
      <c r="B360" t="s">
        <v>2896</v>
      </c>
      <c r="C360" s="1">
        <f t="shared" si="152"/>
        <v>97187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32">
        <f t="shared" si="153"/>
        <v>26773</v>
      </c>
      <c r="H360" s="137">
        <f t="shared" si="154"/>
        <v>0.27547923076131581</v>
      </c>
      <c r="I360" s="2"/>
      <c r="J360" s="2">
        <f t="shared" si="155"/>
        <v>0.34413038780906913</v>
      </c>
      <c r="K360" s="2">
        <f t="shared" si="156"/>
        <v>0.61960961857038488</v>
      </c>
      <c r="L360" s="2">
        <f t="shared" si="157"/>
        <v>0</v>
      </c>
      <c r="M360" s="2">
        <f t="shared" si="158"/>
        <v>3.6259993620545994E-2</v>
      </c>
      <c r="N360" s="63">
        <v>33445</v>
      </c>
      <c r="O360" s="63">
        <v>60218</v>
      </c>
      <c r="P360" s="63"/>
      <c r="Q360" s="63">
        <v>1946</v>
      </c>
      <c r="R360" s="63">
        <v>567</v>
      </c>
      <c r="S360" s="63">
        <v>127</v>
      </c>
      <c r="T360" s="63">
        <v>68</v>
      </c>
      <c r="U360" s="63"/>
      <c r="V360" s="63"/>
      <c r="W360" s="63">
        <f>IF(Copyright!B$11=1,IF(CA360&gt;0,CA360-SUM(X360:AT360)-SUM(U360:V360),SUM(CC360:CG360)),SUM(CC360:CG360))</f>
        <v>813</v>
      </c>
      <c r="X360" s="63"/>
      <c r="Y360" s="63"/>
      <c r="Z360" s="63">
        <v>2</v>
      </c>
      <c r="AA360" s="63"/>
      <c r="AB360" s="63"/>
      <c r="AC360" s="63"/>
      <c r="AD360" s="63"/>
      <c r="AE360" s="63">
        <v>1</v>
      </c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W360" s="5">
        <f>IF(Q360&gt;0,RANK(Q360,(N360:P360,Q360:AE360)),0)</f>
        <v>3</v>
      </c>
      <c r="AX360" s="5">
        <f>IF(R360&gt;0,RANK(R360,(N360:P360,Q360:AE360)),0)</f>
        <v>5</v>
      </c>
      <c r="AY360" s="5">
        <f>IF(T360&gt;0,RANK(T360,(N360:P360,Q360:AE360)),0)</f>
        <v>7</v>
      </c>
      <c r="AZ360" s="5">
        <f>IF(S360&gt;0,RANK(S360,(N360:P360,Q360:AE360)),0)</f>
        <v>6</v>
      </c>
      <c r="BA360" s="2">
        <f t="shared" si="159"/>
        <v>2.0023254138928047E-2</v>
      </c>
      <c r="BB360" s="2">
        <f t="shared" si="160"/>
        <v>5.8341136160186035E-3</v>
      </c>
      <c r="BC360" s="2">
        <f t="shared" si="161"/>
        <v>6.9968205624208995E-4</v>
      </c>
      <c r="BD360" s="2">
        <f t="shared" si="162"/>
        <v>1.3067591344521387E-3</v>
      </c>
      <c r="BF360" t="s">
        <v>1188</v>
      </c>
      <c r="BG360" t="s">
        <v>2896</v>
      </c>
      <c r="BH360">
        <v>17</v>
      </c>
      <c r="BJ360" s="114">
        <v>12</v>
      </c>
      <c r="BK360" s="116">
        <v>15</v>
      </c>
      <c r="BL360" s="120">
        <f t="shared" si="120"/>
        <v>12015</v>
      </c>
      <c r="BN360" s="5" t="s">
        <v>3154</v>
      </c>
      <c r="BO360" s="63">
        <v>607</v>
      </c>
      <c r="BP360" s="63">
        <v>379</v>
      </c>
      <c r="BQ360" s="63">
        <f t="shared" si="163"/>
        <v>816</v>
      </c>
      <c r="BR360" s="63"/>
      <c r="BS360" s="63"/>
      <c r="BU360" s="63"/>
      <c r="BY360" s="63">
        <f t="shared" si="164"/>
        <v>0</v>
      </c>
      <c r="BZ360" s="63">
        <v>97187</v>
      </c>
      <c r="CA360" s="63">
        <v>816</v>
      </c>
      <c r="CB360" s="132"/>
      <c r="CD360" s="63">
        <v>0</v>
      </c>
      <c r="CE360" s="63">
        <v>0</v>
      </c>
      <c r="CF360" s="63">
        <v>0</v>
      </c>
      <c r="CG360" s="8">
        <v>0</v>
      </c>
    </row>
    <row r="361" spans="1:85" hidden="1" outlineLevel="1">
      <c r="A361" t="s">
        <v>2947</v>
      </c>
      <c r="B361" t="s">
        <v>2896</v>
      </c>
      <c r="C361" s="1">
        <f t="shared" si="152"/>
        <v>80412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32">
        <f t="shared" si="153"/>
        <v>31667</v>
      </c>
      <c r="H361" s="137">
        <f t="shared" si="154"/>
        <v>0.39380938168432572</v>
      </c>
      <c r="I361" s="2"/>
      <c r="J361" s="2">
        <f t="shared" si="155"/>
        <v>0.28340297468039594</v>
      </c>
      <c r="K361" s="2">
        <f t="shared" si="156"/>
        <v>0.67721235636472166</v>
      </c>
      <c r="L361" s="2">
        <f t="shared" si="157"/>
        <v>0</v>
      </c>
      <c r="M361" s="2">
        <f t="shared" si="158"/>
        <v>3.9384668954882462E-2</v>
      </c>
      <c r="N361" s="63">
        <v>22789</v>
      </c>
      <c r="O361" s="63">
        <v>54456</v>
      </c>
      <c r="P361" s="63"/>
      <c r="Q361" s="63">
        <v>1724</v>
      </c>
      <c r="R361" s="63">
        <v>480</v>
      </c>
      <c r="S361" s="63">
        <v>182</v>
      </c>
      <c r="T361" s="63">
        <v>68</v>
      </c>
      <c r="U361" s="63"/>
      <c r="V361" s="63"/>
      <c r="W361" s="63">
        <f>IF(Copyright!B$11=1,IF(CA361&gt;0,CA361-SUM(X361:AT361)-SUM(U361:V361),SUM(CC361:CG361)),SUM(CC361:CG361))</f>
        <v>712</v>
      </c>
      <c r="X361" s="63"/>
      <c r="Y361" s="63"/>
      <c r="Z361" s="63">
        <v>0</v>
      </c>
      <c r="AA361" s="63"/>
      <c r="AB361" s="63"/>
      <c r="AC361" s="63"/>
      <c r="AD361" s="63"/>
      <c r="AE361" s="63">
        <v>1</v>
      </c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W361" s="5">
        <f>IF(Q361&gt;0,RANK(Q361,(N361:P361,Q361:AE361)),0)</f>
        <v>3</v>
      </c>
      <c r="AX361" s="5">
        <f>IF(R361&gt;0,RANK(R361,(N361:P361,Q361:AE361)),0)</f>
        <v>5</v>
      </c>
      <c r="AY361" s="5">
        <f>IF(T361&gt;0,RANK(T361,(N361:P361,Q361:AE361)),0)</f>
        <v>7</v>
      </c>
      <c r="AZ361" s="5">
        <f>IF(S361&gt;0,RANK(S361,(N361:P361,Q361:AE361)),0)</f>
        <v>6</v>
      </c>
      <c r="BA361" s="2">
        <f t="shared" si="159"/>
        <v>2.1439586131423171E-2</v>
      </c>
      <c r="BB361" s="2">
        <f t="shared" si="160"/>
        <v>5.9692583196537833E-3</v>
      </c>
      <c r="BC361" s="2">
        <f t="shared" si="161"/>
        <v>8.4564492861761921E-4</v>
      </c>
      <c r="BD361" s="2">
        <f t="shared" si="162"/>
        <v>2.2633437795353925E-3</v>
      </c>
      <c r="BF361" t="s">
        <v>2947</v>
      </c>
      <c r="BG361" t="s">
        <v>2896</v>
      </c>
      <c r="BH361">
        <v>11</v>
      </c>
      <c r="BJ361" s="114">
        <v>12</v>
      </c>
      <c r="BK361" s="116">
        <v>17</v>
      </c>
      <c r="BL361" s="120">
        <f t="shared" ref="BL361:BL424" si="165">1000*BJ361+BK361</f>
        <v>12017</v>
      </c>
      <c r="BN361" s="5" t="s">
        <v>3154</v>
      </c>
      <c r="BQ361" s="63">
        <f t="shared" si="163"/>
        <v>713</v>
      </c>
      <c r="BR361" s="63"/>
      <c r="BS361" s="132"/>
      <c r="BU361" s="63"/>
      <c r="BY361" s="63">
        <f t="shared" si="164"/>
        <v>0</v>
      </c>
      <c r="BZ361" s="63">
        <v>80412</v>
      </c>
      <c r="CA361" s="63">
        <v>713</v>
      </c>
      <c r="CB361" s="132"/>
      <c r="CD361" s="63">
        <v>0</v>
      </c>
      <c r="CE361" s="63">
        <v>0</v>
      </c>
      <c r="CF361" s="63">
        <v>0</v>
      </c>
      <c r="CG361" s="8">
        <v>0</v>
      </c>
    </row>
    <row r="362" spans="1:85" hidden="1" outlineLevel="1">
      <c r="A362" t="s">
        <v>3093</v>
      </c>
      <c r="B362" t="s">
        <v>2896</v>
      </c>
      <c r="C362" s="1">
        <f t="shared" si="152"/>
        <v>107317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32">
        <f t="shared" si="153"/>
        <v>47141</v>
      </c>
      <c r="H362" s="137">
        <f t="shared" si="154"/>
        <v>0.43926870859230133</v>
      </c>
      <c r="I362" s="2"/>
      <c r="J362" s="2">
        <f t="shared" si="155"/>
        <v>0.25925063130724862</v>
      </c>
      <c r="K362" s="2">
        <f t="shared" si="156"/>
        <v>0.69851933989954995</v>
      </c>
      <c r="L362" s="2">
        <f t="shared" si="157"/>
        <v>0</v>
      </c>
      <c r="M362" s="2">
        <f t="shared" si="158"/>
        <v>4.2230028793201368E-2</v>
      </c>
      <c r="N362" s="63">
        <v>27822</v>
      </c>
      <c r="O362" s="63">
        <v>74963</v>
      </c>
      <c r="P362" s="63"/>
      <c r="Q362" s="63">
        <v>2806</v>
      </c>
      <c r="R362" s="63">
        <v>571</v>
      </c>
      <c r="S362" s="63">
        <v>223</v>
      </c>
      <c r="T362" s="63">
        <v>98</v>
      </c>
      <c r="U362" s="63"/>
      <c r="V362" s="63"/>
      <c r="W362" s="63">
        <f>IF(Copyright!B$11=1,IF(CA362&gt;0,CA362-SUM(X362:AT362)-SUM(U362:V362),SUM(CC362:CG362)),SUM(CC362:CG362))</f>
        <v>834</v>
      </c>
      <c r="X362" s="63"/>
      <c r="Y362" s="63"/>
      <c r="Z362" s="63">
        <v>0</v>
      </c>
      <c r="AA362" s="63"/>
      <c r="AB362" s="63"/>
      <c r="AC362" s="63"/>
      <c r="AD362" s="63"/>
      <c r="AE362" s="63">
        <v>0</v>
      </c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W362" s="5">
        <f>IF(Q362&gt;0,RANK(Q362,(N362:P362,Q362:AE362)),0)</f>
        <v>3</v>
      </c>
      <c r="AX362" s="5">
        <f>IF(R362&gt;0,RANK(R362,(N362:P362,Q362:AE362)),0)</f>
        <v>5</v>
      </c>
      <c r="AY362" s="5">
        <f>IF(T362&gt;0,RANK(T362,(N362:P362,Q362:AE362)),0)</f>
        <v>7</v>
      </c>
      <c r="AZ362" s="5">
        <f>IF(S362&gt;0,RANK(S362,(N362:P362,Q362:AE362)),0)</f>
        <v>6</v>
      </c>
      <c r="BA362" s="2">
        <f t="shared" si="159"/>
        <v>2.6146836009206371E-2</v>
      </c>
      <c r="BB362" s="2">
        <f t="shared" si="160"/>
        <v>5.3206854459218952E-3</v>
      </c>
      <c r="BC362" s="2">
        <f t="shared" si="161"/>
        <v>9.1318244080620969E-4</v>
      </c>
      <c r="BD362" s="2">
        <f t="shared" si="162"/>
        <v>2.0779559622427016E-3</v>
      </c>
      <c r="BF362" t="s">
        <v>3093</v>
      </c>
      <c r="BG362" t="s">
        <v>2896</v>
      </c>
      <c r="BH362">
        <v>3</v>
      </c>
      <c r="BJ362" s="114">
        <v>12</v>
      </c>
      <c r="BK362" s="116">
        <v>19</v>
      </c>
      <c r="BL362" s="120">
        <f t="shared" si="165"/>
        <v>12019</v>
      </c>
      <c r="BN362" s="5" t="s">
        <v>3154</v>
      </c>
      <c r="BO362" s="63">
        <v>461</v>
      </c>
      <c r="BP362" s="63">
        <v>60</v>
      </c>
      <c r="BQ362" s="63">
        <f t="shared" si="163"/>
        <v>834</v>
      </c>
      <c r="BR362" s="63"/>
      <c r="BS362" s="63"/>
      <c r="BU362" s="63"/>
      <c r="BY362" s="63">
        <f t="shared" si="164"/>
        <v>0</v>
      </c>
      <c r="BZ362" s="63">
        <f>74963+27822+2806+223+571+98+834</f>
        <v>107317</v>
      </c>
      <c r="CA362" s="63">
        <v>834</v>
      </c>
      <c r="CB362" s="132"/>
      <c r="CD362" s="63">
        <v>0</v>
      </c>
      <c r="CE362" s="63">
        <v>0</v>
      </c>
      <c r="CF362" s="63">
        <v>0</v>
      </c>
      <c r="CG362" s="8">
        <v>0</v>
      </c>
    </row>
    <row r="363" spans="1:85" hidden="1" outlineLevel="1">
      <c r="A363" t="s">
        <v>3189</v>
      </c>
      <c r="B363" t="s">
        <v>2896</v>
      </c>
      <c r="C363" s="1">
        <f t="shared" si="152"/>
        <v>172510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32">
        <f t="shared" si="153"/>
        <v>44338</v>
      </c>
      <c r="H363" s="137">
        <f t="shared" si="154"/>
        <v>0.25701698452263638</v>
      </c>
      <c r="I363" s="2"/>
      <c r="J363" s="2">
        <f t="shared" si="155"/>
        <v>0.35409541475856471</v>
      </c>
      <c r="K363" s="2">
        <f t="shared" si="156"/>
        <v>0.61111239928120109</v>
      </c>
      <c r="L363" s="2">
        <f t="shared" si="157"/>
        <v>0</v>
      </c>
      <c r="M363" s="2">
        <f t="shared" si="158"/>
        <v>3.4792185960234256E-2</v>
      </c>
      <c r="N363" s="63">
        <v>61085</v>
      </c>
      <c r="O363" s="63">
        <v>105423</v>
      </c>
      <c r="P363" s="63"/>
      <c r="Q363" s="63">
        <v>3263</v>
      </c>
      <c r="R363" s="63">
        <v>747</v>
      </c>
      <c r="S363" s="63">
        <v>172</v>
      </c>
      <c r="T363" s="63">
        <v>98</v>
      </c>
      <c r="U363" s="63"/>
      <c r="V363" s="63"/>
      <c r="W363" s="63">
        <f>IF(Copyright!B$11=1,IF(CA363&gt;0,CA363-SUM(X363:AT363)-SUM(U363:V363),SUM(CC363:CG363)),SUM(CC363:CG363))</f>
        <v>1722</v>
      </c>
      <c r="X363" s="63"/>
      <c r="Y363" s="63"/>
      <c r="Z363" s="63">
        <v>0</v>
      </c>
      <c r="AA363" s="63"/>
      <c r="AB363" s="63"/>
      <c r="AC363" s="63"/>
      <c r="AD363" s="63"/>
      <c r="AE363" s="63">
        <v>0</v>
      </c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W363" s="5">
        <f>IF(Q363&gt;0,RANK(Q363,(N363:P363,Q363:AE363)),0)</f>
        <v>3</v>
      </c>
      <c r="AX363" s="5">
        <f>IF(R363&gt;0,RANK(R363,(N363:P363,Q363:AE363)),0)</f>
        <v>5</v>
      </c>
      <c r="AY363" s="5">
        <f>IF(T363&gt;0,RANK(T363,(N363:P363,Q363:AE363)),0)</f>
        <v>7</v>
      </c>
      <c r="AZ363" s="5">
        <f>IF(S363&gt;0,RANK(S363,(N363:P363,Q363:AE363)),0)</f>
        <v>6</v>
      </c>
      <c r="BA363" s="2">
        <f t="shared" si="159"/>
        <v>1.8914845516201959E-2</v>
      </c>
      <c r="BB363" s="2">
        <f t="shared" si="160"/>
        <v>4.3301837574633356E-3</v>
      </c>
      <c r="BC363" s="2">
        <f t="shared" si="161"/>
        <v>5.6808300968059827E-4</v>
      </c>
      <c r="BD363" s="2">
        <f t="shared" si="162"/>
        <v>9.9704364964349891E-4</v>
      </c>
      <c r="BF363" t="s">
        <v>3189</v>
      </c>
      <c r="BG363" t="s">
        <v>2896</v>
      </c>
      <c r="BJ363" s="114">
        <v>12</v>
      </c>
      <c r="BK363" s="116">
        <v>21</v>
      </c>
      <c r="BL363" s="120">
        <f t="shared" si="165"/>
        <v>12021</v>
      </c>
      <c r="BN363" s="5" t="s">
        <v>3154</v>
      </c>
      <c r="BQ363" s="63">
        <f t="shared" si="163"/>
        <v>1722</v>
      </c>
      <c r="BR363" s="63"/>
      <c r="BS363" s="63"/>
      <c r="BU363" s="63"/>
      <c r="BY363" s="63">
        <f t="shared" si="164"/>
        <v>0</v>
      </c>
      <c r="BZ363" s="63">
        <v>172510</v>
      </c>
      <c r="CA363" s="63">
        <v>1722</v>
      </c>
      <c r="CB363" s="132"/>
      <c r="CD363" s="63">
        <v>0</v>
      </c>
      <c r="CE363" s="63">
        <v>0</v>
      </c>
      <c r="CF363" s="63">
        <v>1</v>
      </c>
      <c r="CG363" s="8">
        <v>0</v>
      </c>
    </row>
    <row r="364" spans="1:85" hidden="1" outlineLevel="1">
      <c r="A364" t="s">
        <v>1496</v>
      </c>
      <c r="B364" t="s">
        <v>2896</v>
      </c>
      <c r="C364" s="1">
        <f t="shared" si="152"/>
        <v>28864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32">
        <f t="shared" si="153"/>
        <v>12767</v>
      </c>
      <c r="H364" s="137">
        <f t="shared" si="154"/>
        <v>0.44231568736141907</v>
      </c>
      <c r="I364" s="2"/>
      <c r="J364" s="2">
        <f t="shared" si="155"/>
        <v>0.26333841463414637</v>
      </c>
      <c r="K364" s="2">
        <f t="shared" si="156"/>
        <v>0.70565410199556544</v>
      </c>
      <c r="L364" s="2">
        <f t="shared" si="157"/>
        <v>0</v>
      </c>
      <c r="M364" s="2">
        <f t="shared" si="158"/>
        <v>3.1007483370288136E-2</v>
      </c>
      <c r="N364" s="63">
        <v>7601</v>
      </c>
      <c r="O364" s="63">
        <v>20368</v>
      </c>
      <c r="P364" s="63"/>
      <c r="Q364" s="63">
        <v>523</v>
      </c>
      <c r="R364" s="63">
        <v>150</v>
      </c>
      <c r="S364" s="63">
        <v>44</v>
      </c>
      <c r="T364" s="63">
        <v>21</v>
      </c>
      <c r="U364" s="63"/>
      <c r="V364" s="63"/>
      <c r="W364" s="63">
        <f>IF(Copyright!B$11=1,IF(CA364&gt;0,CA364-SUM(X364:AT364)-SUM(U364:V364),SUM(CC364:CG364)),SUM(CC364:CG364))</f>
        <v>157</v>
      </c>
      <c r="X364" s="63"/>
      <c r="Y364" s="63"/>
      <c r="Z364" s="63">
        <v>0</v>
      </c>
      <c r="AA364" s="63"/>
      <c r="AB364" s="63"/>
      <c r="AC364" s="63"/>
      <c r="AD364" s="63"/>
      <c r="AE364" s="63">
        <v>0</v>
      </c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W364" s="5">
        <f>IF(Q364&gt;0,RANK(Q364,(N364:P364,Q364:AE364)),0)</f>
        <v>3</v>
      </c>
      <c r="AX364" s="5">
        <f>IF(R364&gt;0,RANK(R364,(N364:P364,Q364:AE364)),0)</f>
        <v>5</v>
      </c>
      <c r="AY364" s="5">
        <f>IF(T364&gt;0,RANK(T364,(N364:P364,Q364:AE364)),0)</f>
        <v>7</v>
      </c>
      <c r="AZ364" s="5">
        <f>IF(S364&gt;0,RANK(S364,(N364:P364,Q364:AE364)),0)</f>
        <v>6</v>
      </c>
      <c r="BA364" s="2">
        <f t="shared" si="159"/>
        <v>1.8119456762749446E-2</v>
      </c>
      <c r="BB364" s="2">
        <f t="shared" si="160"/>
        <v>5.1967849223946783E-3</v>
      </c>
      <c r="BC364" s="2">
        <f t="shared" si="161"/>
        <v>7.2754988913525497E-4</v>
      </c>
      <c r="BD364" s="2">
        <f t="shared" si="162"/>
        <v>1.5243902439024391E-3</v>
      </c>
      <c r="BF364" t="s">
        <v>1496</v>
      </c>
      <c r="BG364" t="s">
        <v>2896</v>
      </c>
      <c r="BJ364" s="114">
        <v>12</v>
      </c>
      <c r="BK364" s="116">
        <v>23</v>
      </c>
      <c r="BL364" s="120">
        <f t="shared" si="165"/>
        <v>12023</v>
      </c>
      <c r="BN364" s="5" t="s">
        <v>3154</v>
      </c>
      <c r="BO364" s="132">
        <v>150</v>
      </c>
      <c r="BP364" s="132">
        <v>2</v>
      </c>
      <c r="BQ364" s="63">
        <f t="shared" si="163"/>
        <v>157</v>
      </c>
      <c r="BR364" s="63"/>
      <c r="BS364" s="67"/>
      <c r="BU364" s="63"/>
      <c r="BY364" s="63">
        <f t="shared" si="164"/>
        <v>0</v>
      </c>
      <c r="BZ364" s="63">
        <f>29016-152</f>
        <v>28864</v>
      </c>
      <c r="CA364" s="63">
        <v>157</v>
      </c>
      <c r="CB364" s="132"/>
      <c r="CD364" s="63">
        <v>0</v>
      </c>
      <c r="CE364" s="63">
        <v>0</v>
      </c>
      <c r="CF364" s="63">
        <v>0</v>
      </c>
      <c r="CG364" s="8">
        <v>0</v>
      </c>
    </row>
    <row r="365" spans="1:85" hidden="1" outlineLevel="1">
      <c r="A365" t="s">
        <v>863</v>
      </c>
      <c r="B365" t="s">
        <v>2896</v>
      </c>
      <c r="C365" s="1">
        <f t="shared" si="152"/>
        <v>10903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32">
        <f t="shared" si="153"/>
        <v>2997</v>
      </c>
      <c r="H365" s="137">
        <f t="shared" si="154"/>
        <v>0.27487847381454644</v>
      </c>
      <c r="I365" s="2"/>
      <c r="J365" s="2">
        <f t="shared" si="155"/>
        <v>0.34678528845271944</v>
      </c>
      <c r="K365" s="2">
        <f t="shared" si="156"/>
        <v>0.62166376226726594</v>
      </c>
      <c r="L365" s="2">
        <f t="shared" si="157"/>
        <v>0</v>
      </c>
      <c r="M365" s="2">
        <f t="shared" si="158"/>
        <v>3.1550949280014673E-2</v>
      </c>
      <c r="N365" s="63">
        <v>3781</v>
      </c>
      <c r="O365" s="63">
        <v>6778</v>
      </c>
      <c r="P365" s="63"/>
      <c r="Q365" s="63">
        <v>166</v>
      </c>
      <c r="R365" s="63">
        <v>53</v>
      </c>
      <c r="S365" s="63">
        <v>22</v>
      </c>
      <c r="T365" s="63">
        <v>18</v>
      </c>
      <c r="U365" s="63"/>
      <c r="V365" s="63"/>
      <c r="W365" s="63">
        <f>IF(Copyright!B$11=1,IF(CA365&gt;0,CA365-SUM(X365:AT365)-SUM(U365:V365),SUM(CC365:CG365)),SUM(CC365:CG365))</f>
        <v>85</v>
      </c>
      <c r="X365" s="63"/>
      <c r="Y365" s="63"/>
      <c r="Z365" s="63">
        <v>0</v>
      </c>
      <c r="AA365" s="63"/>
      <c r="AB365" s="63"/>
      <c r="AC365" s="63"/>
      <c r="AD365" s="63"/>
      <c r="AE365" s="63">
        <v>0</v>
      </c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W365" s="5">
        <f>IF(Q365&gt;0,RANK(Q365,(N365:P365,Q365:AE365)),0)</f>
        <v>3</v>
      </c>
      <c r="AX365" s="5">
        <f>IF(R365&gt;0,RANK(R365,(N365:P365,Q365:AE365)),0)</f>
        <v>5</v>
      </c>
      <c r="AY365" s="5">
        <f>IF(T365&gt;0,RANK(T365,(N365:P365,Q365:AE365)),0)</f>
        <v>7</v>
      </c>
      <c r="AZ365" s="5">
        <f>IF(S365&gt;0,RANK(S365,(N365:P365,Q365:AE365)),0)</f>
        <v>6</v>
      </c>
      <c r="BA365" s="2">
        <f t="shared" si="159"/>
        <v>1.522516738512336E-2</v>
      </c>
      <c r="BB365" s="2">
        <f t="shared" si="160"/>
        <v>4.8610474181417958E-3</v>
      </c>
      <c r="BC365" s="2">
        <f t="shared" si="161"/>
        <v>1.6509217646519306E-3</v>
      </c>
      <c r="BD365" s="2">
        <f t="shared" si="162"/>
        <v>2.0177932679079154E-3</v>
      </c>
      <c r="BF365" t="s">
        <v>3136</v>
      </c>
      <c r="BG365" t="s">
        <v>2896</v>
      </c>
      <c r="BH365">
        <v>17</v>
      </c>
      <c r="BJ365" s="114">
        <v>12</v>
      </c>
      <c r="BK365" s="116">
        <v>27</v>
      </c>
      <c r="BL365" s="120">
        <f t="shared" si="165"/>
        <v>12027</v>
      </c>
      <c r="BN365" s="5" t="s">
        <v>3154</v>
      </c>
      <c r="BO365" s="147"/>
      <c r="BP365" s="147"/>
      <c r="BQ365" s="63">
        <f t="shared" si="163"/>
        <v>85</v>
      </c>
      <c r="BR365" s="63"/>
      <c r="BS365" s="67"/>
      <c r="BT365" s="63"/>
      <c r="BU365" s="63"/>
      <c r="BY365" s="63">
        <f t="shared" si="164"/>
        <v>-57</v>
      </c>
      <c r="BZ365" s="63">
        <v>10846</v>
      </c>
      <c r="CA365" s="132">
        <v>85</v>
      </c>
      <c r="CB365" s="132"/>
      <c r="CD365" s="63">
        <v>0</v>
      </c>
      <c r="CE365" s="63">
        <v>0</v>
      </c>
      <c r="CF365" s="63">
        <v>0</v>
      </c>
      <c r="CG365" s="8">
        <v>0</v>
      </c>
    </row>
    <row r="366" spans="1:85" hidden="1" outlineLevel="1">
      <c r="A366" t="s">
        <v>3132</v>
      </c>
      <c r="B366" t="s">
        <v>2896</v>
      </c>
      <c r="C366" s="1">
        <f t="shared" si="152"/>
        <v>7246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>IF(P366&gt;0,RANK(P366,(N366:P366,Q366:AE366)),0)</f>
        <v>0</v>
      </c>
      <c r="G366" s="132">
        <f t="shared" si="153"/>
        <v>4552</v>
      </c>
      <c r="H366" s="137">
        <f t="shared" si="154"/>
        <v>0.62820866685067622</v>
      </c>
      <c r="I366" s="2"/>
      <c r="J366" s="2">
        <f t="shared" si="155"/>
        <v>0.17526911399392769</v>
      </c>
      <c r="K366" s="2">
        <f t="shared" si="156"/>
        <v>0.80347778084460397</v>
      </c>
      <c r="L366" s="2">
        <f t="shared" si="157"/>
        <v>0</v>
      </c>
      <c r="M366" s="2">
        <f t="shared" si="158"/>
        <v>2.1253105161468278E-2</v>
      </c>
      <c r="N366" s="63">
        <v>1270</v>
      </c>
      <c r="O366" s="63">
        <v>5822</v>
      </c>
      <c r="P366" s="63"/>
      <c r="Q366" s="63">
        <v>77</v>
      </c>
      <c r="R366" s="63">
        <v>21</v>
      </c>
      <c r="S366" s="63">
        <v>10</v>
      </c>
      <c r="T366" s="63">
        <v>2</v>
      </c>
      <c r="U366" s="63"/>
      <c r="V366" s="63"/>
      <c r="W366" s="63">
        <f>IF(Copyright!B$11=1,IF(CA366&gt;0,CA366-SUM(X366:AT366)-SUM(U366:V366),SUM(CC366:CG366)),SUM(CC366:CG366))</f>
        <v>44</v>
      </c>
      <c r="X366" s="63"/>
      <c r="Y366" s="63"/>
      <c r="Z366" s="63">
        <v>0</v>
      </c>
      <c r="AA366" s="63"/>
      <c r="AB366" s="63"/>
      <c r="AC366" s="63"/>
      <c r="AD366" s="63"/>
      <c r="AE366" s="63">
        <v>0</v>
      </c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W366" s="5">
        <f>IF(Q366&gt;0,RANK(Q366,(N366:P366,Q366:AE366)),0)</f>
        <v>3</v>
      </c>
      <c r="AX366" s="5">
        <f>IF(R366&gt;0,RANK(R366,(N366:P366,Q366:AE366)),0)</f>
        <v>5</v>
      </c>
      <c r="AY366" s="5">
        <f>IF(T366&gt;0,RANK(T366,(N366:P366,Q366:AE366)),0)</f>
        <v>7</v>
      </c>
      <c r="AZ366" s="5">
        <f>IF(S366&gt;0,RANK(S366,(N366:P366,Q366:AE366)),0)</f>
        <v>6</v>
      </c>
      <c r="BA366" s="2">
        <f t="shared" si="159"/>
        <v>1.0626552580734198E-2</v>
      </c>
      <c r="BB366" s="2">
        <f t="shared" si="160"/>
        <v>2.8981507038365996E-3</v>
      </c>
      <c r="BC366" s="2">
        <f t="shared" si="161"/>
        <v>2.7601435274634281E-4</v>
      </c>
      <c r="BD366" s="2">
        <f t="shared" si="162"/>
        <v>1.380071763731714E-3</v>
      </c>
      <c r="BF366" t="s">
        <v>3132</v>
      </c>
      <c r="BG366" t="s">
        <v>2896</v>
      </c>
      <c r="BH366">
        <v>2</v>
      </c>
      <c r="BJ366" s="114">
        <v>12</v>
      </c>
      <c r="BK366" s="116">
        <v>29</v>
      </c>
      <c r="BL366" s="120">
        <f t="shared" si="165"/>
        <v>12029</v>
      </c>
      <c r="BN366" s="5" t="s">
        <v>3154</v>
      </c>
      <c r="BQ366" s="63">
        <f t="shared" si="163"/>
        <v>44</v>
      </c>
      <c r="BR366" s="63"/>
      <c r="BS366" s="132"/>
      <c r="BT366" s="63"/>
      <c r="BU366" s="63"/>
      <c r="BY366" s="63">
        <f t="shared" si="164"/>
        <v>0</v>
      </c>
      <c r="BZ366" s="63">
        <v>7246</v>
      </c>
      <c r="CA366" s="63">
        <v>44</v>
      </c>
      <c r="CB366" s="132"/>
      <c r="CD366" s="63">
        <v>0</v>
      </c>
      <c r="CE366" s="63">
        <v>0</v>
      </c>
      <c r="CF366" s="63">
        <v>0</v>
      </c>
      <c r="CG366" s="8">
        <v>0</v>
      </c>
    </row>
    <row r="367" spans="1:85" hidden="1" outlineLevel="1">
      <c r="A367" t="s">
        <v>2337</v>
      </c>
      <c r="B367" t="s">
        <v>2896</v>
      </c>
      <c r="C367" s="1">
        <f t="shared" si="152"/>
        <v>436573</v>
      </c>
      <c r="D367" s="5">
        <f>IF(N367&gt;0, RANK(N367,(N367:P367,Q367:AE367)),0)</f>
        <v>2</v>
      </c>
      <c r="E367" s="5">
        <f>IF(O367&gt;0,RANK(O367,(N367:P367,Q367:AE367)),0)</f>
        <v>1</v>
      </c>
      <c r="F367" s="5">
        <f>IF(P367&gt;0,RANK(P367,(N367:P367,Q367:AE367)),0)</f>
        <v>0</v>
      </c>
      <c r="G367" s="132">
        <f t="shared" si="153"/>
        <v>5968</v>
      </c>
      <c r="H367" s="137">
        <f t="shared" si="154"/>
        <v>1.3670107862831645E-2</v>
      </c>
      <c r="I367" s="2"/>
      <c r="J367" s="2">
        <f t="shared" si="155"/>
        <v>0.47117893227478563</v>
      </c>
      <c r="K367" s="2">
        <f t="shared" si="156"/>
        <v>0.48484904013761732</v>
      </c>
      <c r="L367" s="2">
        <f t="shared" si="157"/>
        <v>0</v>
      </c>
      <c r="M367" s="2">
        <f t="shared" si="158"/>
        <v>4.3972027587596996E-2</v>
      </c>
      <c r="N367" s="63">
        <v>205704</v>
      </c>
      <c r="O367" s="63">
        <v>211672</v>
      </c>
      <c r="P367" s="63"/>
      <c r="Q367" s="63">
        <v>11318</v>
      </c>
      <c r="R367" s="63">
        <v>2912</v>
      </c>
      <c r="S367" s="63">
        <v>747</v>
      </c>
      <c r="T367" s="63">
        <v>331</v>
      </c>
      <c r="U367" s="63"/>
      <c r="V367" s="63"/>
      <c r="W367" s="63">
        <f>IF(Copyright!B$11=1,IF(CA367&gt;0,CA367-SUM(X367:AT367)-SUM(U367:V367),SUM(CC367:CG367)),SUM(CC367:CG367))</f>
        <v>3879</v>
      </c>
      <c r="X367" s="63"/>
      <c r="Y367" s="63"/>
      <c r="Z367" s="63">
        <v>7</v>
      </c>
      <c r="AA367" s="63"/>
      <c r="AB367" s="63"/>
      <c r="AC367" s="63"/>
      <c r="AD367" s="63"/>
      <c r="AE367" s="63">
        <v>3</v>
      </c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W367" s="5">
        <f>IF(Q367&gt;0,RANK(Q367,(N367:P367,Q367:AE367)),0)</f>
        <v>3</v>
      </c>
      <c r="AX367" s="5">
        <f>IF(R367&gt;0,RANK(R367,(N367:P367,Q367:AE367)),0)</f>
        <v>5</v>
      </c>
      <c r="AY367" s="5">
        <f>IF(T367&gt;0,RANK(T367,(N367:P367,Q367:AE367)),0)</f>
        <v>7</v>
      </c>
      <c r="AZ367" s="5">
        <f>IF(S367&gt;0,RANK(S367,(N367:P367,Q367:AE367)),0)</f>
        <v>6</v>
      </c>
      <c r="BA367" s="2">
        <f t="shared" si="159"/>
        <v>2.5924644904746743E-2</v>
      </c>
      <c r="BB367" s="2">
        <f t="shared" si="160"/>
        <v>6.6701330590760305E-3</v>
      </c>
      <c r="BC367" s="2">
        <f t="shared" si="161"/>
        <v>7.5817789922876585E-4</v>
      </c>
      <c r="BD367" s="2">
        <f t="shared" si="162"/>
        <v>1.7110540505253418E-3</v>
      </c>
      <c r="BF367" t="s">
        <v>2337</v>
      </c>
      <c r="BG367" t="s">
        <v>2896</v>
      </c>
      <c r="BJ367" s="114">
        <v>12</v>
      </c>
      <c r="BK367" s="116">
        <v>31</v>
      </c>
      <c r="BL367" s="120">
        <f t="shared" si="165"/>
        <v>12031</v>
      </c>
      <c r="BN367" s="5" t="s">
        <v>3154</v>
      </c>
      <c r="BQ367" s="63">
        <f t="shared" si="163"/>
        <v>3889</v>
      </c>
      <c r="BR367" s="63"/>
      <c r="BS367" s="63"/>
      <c r="BT367" s="63"/>
      <c r="BU367" s="63"/>
      <c r="BY367" s="63">
        <f t="shared" si="164"/>
        <v>0</v>
      </c>
      <c r="BZ367" s="63">
        <v>436573</v>
      </c>
      <c r="CA367" s="63">
        <v>3889</v>
      </c>
      <c r="CB367" s="132"/>
      <c r="CD367" s="63">
        <v>0</v>
      </c>
      <c r="CE367" s="63">
        <v>1</v>
      </c>
      <c r="CF367" s="63">
        <v>0</v>
      </c>
      <c r="CG367" s="8">
        <v>0</v>
      </c>
    </row>
    <row r="368" spans="1:85" hidden="1" outlineLevel="1">
      <c r="A368" t="s">
        <v>751</v>
      </c>
      <c r="B368" t="s">
        <v>2896</v>
      </c>
      <c r="C368" s="1">
        <f t="shared" si="152"/>
        <v>154172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32">
        <f t="shared" si="153"/>
        <v>31347</v>
      </c>
      <c r="H368" s="137">
        <f t="shared" si="154"/>
        <v>0.20332485795086008</v>
      </c>
      <c r="I368" s="2"/>
      <c r="J368" s="2">
        <f t="shared" si="155"/>
        <v>0.37270710634875331</v>
      </c>
      <c r="K368" s="2">
        <f t="shared" si="156"/>
        <v>0.57603196429961345</v>
      </c>
      <c r="L368" s="2">
        <f t="shared" si="157"/>
        <v>0</v>
      </c>
      <c r="M368" s="2">
        <f t="shared" si="158"/>
        <v>5.1260929351633289E-2</v>
      </c>
      <c r="N368" s="63">
        <v>57461</v>
      </c>
      <c r="O368" s="63">
        <v>88808</v>
      </c>
      <c r="P368" s="63"/>
      <c r="Q368" s="63">
        <v>4612</v>
      </c>
      <c r="R368" s="63">
        <v>1055</v>
      </c>
      <c r="S368" s="63">
        <v>415</v>
      </c>
      <c r="T368" s="63">
        <v>116</v>
      </c>
      <c r="U368" s="63"/>
      <c r="V368" s="63"/>
      <c r="W368" s="63">
        <f>IF(Copyright!B$11=1,IF(CA368&gt;0,CA368-SUM(X368:AT368)-SUM(U368:V368),SUM(CC368:CG368)),SUM(CC368:CG368))</f>
        <v>1705</v>
      </c>
      <c r="X368" s="63"/>
      <c r="Y368" s="63"/>
      <c r="Z368" s="63">
        <v>0</v>
      </c>
      <c r="AA368" s="63"/>
      <c r="AB368" s="63"/>
      <c r="AC368" s="63"/>
      <c r="AD368" s="63"/>
      <c r="AE368" s="63">
        <v>0</v>
      </c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W368" s="5">
        <f>IF(Q368&gt;0,RANK(Q368,(N368:P368,Q368:AE368)),0)</f>
        <v>3</v>
      </c>
      <c r="AX368" s="5">
        <f>IF(R368&gt;0,RANK(R368,(N368:P368,Q368:AE368)),0)</f>
        <v>5</v>
      </c>
      <c r="AY368" s="5">
        <f>IF(T368&gt;0,RANK(T368,(N368:P368,Q368:AE368)),0)</f>
        <v>7</v>
      </c>
      <c r="AZ368" s="5">
        <f>IF(S368&gt;0,RANK(S368,(N368:P368,Q368:AE368)),0)</f>
        <v>6</v>
      </c>
      <c r="BA368" s="2">
        <f t="shared" si="159"/>
        <v>2.9914640790805073E-2</v>
      </c>
      <c r="BB368" s="2">
        <f t="shared" si="160"/>
        <v>6.8430065122071452E-3</v>
      </c>
      <c r="BC368" s="2">
        <f t="shared" si="161"/>
        <v>7.5240640323794201E-4</v>
      </c>
      <c r="BD368" s="2">
        <f t="shared" si="162"/>
        <v>2.6917987702047065E-3</v>
      </c>
      <c r="BF368" t="s">
        <v>751</v>
      </c>
      <c r="BG368" t="s">
        <v>2896</v>
      </c>
      <c r="BH368">
        <v>1</v>
      </c>
      <c r="BJ368" s="114">
        <v>12</v>
      </c>
      <c r="BK368" s="116">
        <v>33</v>
      </c>
      <c r="BL368" s="120">
        <f t="shared" si="165"/>
        <v>12033</v>
      </c>
      <c r="BN368" s="5" t="s">
        <v>3154</v>
      </c>
      <c r="BQ368" s="63">
        <f t="shared" si="163"/>
        <v>1705</v>
      </c>
      <c r="BR368" s="63"/>
      <c r="BS368" s="132"/>
      <c r="BU368" s="63"/>
      <c r="BY368" s="63">
        <f t="shared" si="164"/>
        <v>0</v>
      </c>
      <c r="BZ368" s="63">
        <f>88808+57461+4612+1705+1055+415+116</f>
        <v>154172</v>
      </c>
      <c r="CA368" s="63">
        <v>1705</v>
      </c>
      <c r="CB368" s="132"/>
      <c r="CD368" s="63">
        <v>1</v>
      </c>
      <c r="CE368" s="63">
        <v>0</v>
      </c>
      <c r="CF368" s="63">
        <v>0</v>
      </c>
      <c r="CG368" s="8">
        <v>1</v>
      </c>
    </row>
    <row r="369" spans="1:88" hidden="1" outlineLevel="1">
      <c r="A369" t="s">
        <v>1384</v>
      </c>
      <c r="B369" t="s">
        <v>2896</v>
      </c>
      <c r="C369" s="1">
        <f t="shared" si="152"/>
        <v>57987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32">
        <f t="shared" si="153"/>
        <v>11824</v>
      </c>
      <c r="H369" s="137">
        <f t="shared" si="154"/>
        <v>0.20390777243175195</v>
      </c>
      <c r="I369" s="2"/>
      <c r="J369" s="2">
        <f t="shared" si="155"/>
        <v>0.3798437580837084</v>
      </c>
      <c r="K369" s="2">
        <f t="shared" si="156"/>
        <v>0.58375153051546036</v>
      </c>
      <c r="L369" s="2">
        <f t="shared" si="157"/>
        <v>0</v>
      </c>
      <c r="M369" s="2">
        <f t="shared" si="158"/>
        <v>3.6404711400831236E-2</v>
      </c>
      <c r="N369" s="63">
        <v>22026</v>
      </c>
      <c r="O369" s="63">
        <v>33850</v>
      </c>
      <c r="P369" s="63"/>
      <c r="Q369" s="63">
        <v>1114</v>
      </c>
      <c r="R369" s="63">
        <v>388</v>
      </c>
      <c r="S369" s="63">
        <v>84</v>
      </c>
      <c r="T369" s="63">
        <v>41</v>
      </c>
      <c r="U369" s="63"/>
      <c r="V369" s="63"/>
      <c r="W369" s="63">
        <f>IF(Copyright!B$11=1,IF(CA369&gt;0,CA369-SUM(X369:AT369)-SUM(U369:V369),SUM(CC369:CG369)),SUM(CC369:CG369))</f>
        <v>484</v>
      </c>
      <c r="X369" s="63"/>
      <c r="Y369" s="63"/>
      <c r="Z369" s="63">
        <v>0</v>
      </c>
      <c r="AA369" s="63"/>
      <c r="AB369" s="63"/>
      <c r="AC369" s="63"/>
      <c r="AD369" s="63"/>
      <c r="AE369" s="63">
        <v>0</v>
      </c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W369" s="5">
        <f>IF(Q369&gt;0,RANK(Q369,(N369:P369,Q369:AE369)),0)</f>
        <v>3</v>
      </c>
      <c r="AX369" s="5">
        <f>IF(R369&gt;0,RANK(R369,(N369:P369,Q369:AE369)),0)</f>
        <v>5</v>
      </c>
      <c r="AY369" s="5">
        <f>IF(T369&gt;0,RANK(T369,(N369:P369,Q369:AE369)),0)</f>
        <v>7</v>
      </c>
      <c r="AZ369" s="5">
        <f>IF(S369&gt;0,RANK(S369,(N369:P369,Q369:AE369)),0)</f>
        <v>6</v>
      </c>
      <c r="BA369" s="2">
        <f t="shared" si="159"/>
        <v>1.9211202510907618E-2</v>
      </c>
      <c r="BB369" s="2">
        <f t="shared" si="160"/>
        <v>6.6911549140324551E-3</v>
      </c>
      <c r="BC369" s="2">
        <f t="shared" si="161"/>
        <v>7.0705502957559452E-4</v>
      </c>
      <c r="BD369" s="2">
        <f t="shared" si="162"/>
        <v>1.4486005483987791E-3</v>
      </c>
      <c r="BF369" t="s">
        <v>1384</v>
      </c>
      <c r="BG369" t="s">
        <v>2896</v>
      </c>
      <c r="BH369">
        <v>6</v>
      </c>
      <c r="BJ369" s="114">
        <v>12</v>
      </c>
      <c r="BK369" s="116">
        <v>35</v>
      </c>
      <c r="BL369" s="120">
        <f t="shared" si="165"/>
        <v>12035</v>
      </c>
      <c r="BN369" s="5" t="s">
        <v>3154</v>
      </c>
      <c r="BO369" s="147"/>
      <c r="BP369" s="147"/>
      <c r="BQ369" s="63">
        <f t="shared" si="163"/>
        <v>484</v>
      </c>
      <c r="BR369" s="63"/>
      <c r="BS369" s="132"/>
      <c r="BU369" s="63"/>
      <c r="BY369" s="63">
        <f t="shared" si="164"/>
        <v>0</v>
      </c>
      <c r="BZ369" s="63">
        <v>57987</v>
      </c>
      <c r="CA369" s="63">
        <v>484</v>
      </c>
      <c r="CB369" s="132"/>
      <c r="CD369" s="63">
        <v>0</v>
      </c>
      <c r="CE369" s="63">
        <v>0</v>
      </c>
      <c r="CF369" s="63">
        <v>0</v>
      </c>
      <c r="CG369" s="8">
        <v>0</v>
      </c>
    </row>
    <row r="370" spans="1:88" hidden="1" outlineLevel="1">
      <c r="A370" t="s">
        <v>1138</v>
      </c>
      <c r="B370" t="s">
        <v>2896</v>
      </c>
      <c r="C370" s="1">
        <f t="shared" si="152"/>
        <v>6059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>IF(P370&gt;0,RANK(P370,(N370:P370,Q370:AE370)),0)</f>
        <v>0</v>
      </c>
      <c r="G370" s="132">
        <f t="shared" si="153"/>
        <v>2381</v>
      </c>
      <c r="H370" s="137">
        <f t="shared" si="154"/>
        <v>0.39296913682125761</v>
      </c>
      <c r="I370" s="2"/>
      <c r="J370" s="2">
        <f t="shared" si="155"/>
        <v>0.28783627661330252</v>
      </c>
      <c r="K370" s="2">
        <f t="shared" si="156"/>
        <v>0.68080541343456014</v>
      </c>
      <c r="L370" s="2">
        <f t="shared" si="157"/>
        <v>0</v>
      </c>
      <c r="M370" s="2">
        <f t="shared" si="158"/>
        <v>3.1358309952137398E-2</v>
      </c>
      <c r="N370" s="63">
        <v>1744</v>
      </c>
      <c r="O370" s="63">
        <v>4125</v>
      </c>
      <c r="P370" s="63"/>
      <c r="Q370" s="63">
        <v>95</v>
      </c>
      <c r="R370" s="63">
        <v>33</v>
      </c>
      <c r="S370" s="63">
        <v>16</v>
      </c>
      <c r="T370" s="63">
        <v>2</v>
      </c>
      <c r="U370" s="63"/>
      <c r="V370" s="63"/>
      <c r="W370" s="63">
        <f>IF(Copyright!B$11=1,IF(CA370&gt;0,CA370-SUM(X370:AT370)-SUM(U370:V370),SUM(CC370:CG370)),SUM(CC370:CG370))</f>
        <v>44</v>
      </c>
      <c r="X370" s="63"/>
      <c r="Y370" s="63"/>
      <c r="Z370" s="63">
        <v>0</v>
      </c>
      <c r="AA370" s="63"/>
      <c r="AB370" s="63"/>
      <c r="AC370" s="63"/>
      <c r="AD370" s="63"/>
      <c r="AE370" s="63">
        <v>0</v>
      </c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W370" s="5">
        <f>IF(Q370&gt;0,RANK(Q370,(N370:P370,Q370:AE370)),0)</f>
        <v>3</v>
      </c>
      <c r="AX370" s="5">
        <f>IF(R370&gt;0,RANK(R370,(N370:P370,Q370:AE370)),0)</f>
        <v>5</v>
      </c>
      <c r="AY370" s="5">
        <f>IF(T370&gt;0,RANK(T370,(N370:P370,Q370:AE370)),0)</f>
        <v>7</v>
      </c>
      <c r="AZ370" s="5">
        <f>IF(S370&gt;0,RANK(S370,(N370:P370,Q370:AE370)),0)</f>
        <v>6</v>
      </c>
      <c r="BA370" s="2">
        <f t="shared" si="159"/>
        <v>1.5679154976068657E-2</v>
      </c>
      <c r="BB370" s="2">
        <f t="shared" si="160"/>
        <v>5.4464433074764814E-3</v>
      </c>
      <c r="BC370" s="2">
        <f t="shared" si="161"/>
        <v>3.3008747318039283E-4</v>
      </c>
      <c r="BD370" s="2">
        <f t="shared" si="162"/>
        <v>2.6406997854431426E-3</v>
      </c>
      <c r="BF370" t="s">
        <v>1138</v>
      </c>
      <c r="BG370" t="s">
        <v>2896</v>
      </c>
      <c r="BH370">
        <v>2</v>
      </c>
      <c r="BJ370" s="114">
        <v>12</v>
      </c>
      <c r="BK370" s="116">
        <v>37</v>
      </c>
      <c r="BL370" s="120">
        <f t="shared" si="165"/>
        <v>12037</v>
      </c>
      <c r="BN370" s="5" t="s">
        <v>3154</v>
      </c>
      <c r="BQ370" s="63">
        <f t="shared" si="163"/>
        <v>44</v>
      </c>
      <c r="BR370" s="63"/>
      <c r="BS370" s="63"/>
      <c r="BU370" s="63"/>
      <c r="BY370" s="63">
        <f t="shared" si="164"/>
        <v>-12</v>
      </c>
      <c r="BZ370" s="63">
        <v>6047</v>
      </c>
      <c r="CA370" s="63">
        <v>44</v>
      </c>
      <c r="CB370" s="132"/>
      <c r="CD370" s="63">
        <v>0</v>
      </c>
      <c r="CE370" s="63">
        <v>0</v>
      </c>
      <c r="CF370" s="63">
        <v>0</v>
      </c>
      <c r="CG370" s="8">
        <v>0</v>
      </c>
    </row>
    <row r="371" spans="1:88" hidden="1" outlineLevel="1">
      <c r="A371" t="s">
        <v>1455</v>
      </c>
      <c r="B371" t="s">
        <v>2896</v>
      </c>
      <c r="C371" s="1">
        <f t="shared" si="152"/>
        <v>22214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>IF(P371&gt;0,RANK(P371,(N371:P371,Q371:AE371)),0)</f>
        <v>0</v>
      </c>
      <c r="G371" s="132">
        <f t="shared" si="153"/>
        <v>8292</v>
      </c>
      <c r="H371" s="137">
        <f t="shared" si="154"/>
        <v>0.37327811290177365</v>
      </c>
      <c r="I371" s="2"/>
      <c r="J371" s="2">
        <f t="shared" si="155"/>
        <v>0.67615017556495904</v>
      </c>
      <c r="K371" s="2">
        <f t="shared" si="156"/>
        <v>0.30287206266318539</v>
      </c>
      <c r="L371" s="2">
        <f t="shared" si="157"/>
        <v>0</v>
      </c>
      <c r="M371" s="2">
        <f t="shared" si="158"/>
        <v>2.0977761771855563E-2</v>
      </c>
      <c r="N371" s="63">
        <v>15020</v>
      </c>
      <c r="O371" s="63">
        <v>6728</v>
      </c>
      <c r="P371" s="63"/>
      <c r="Q371" s="63">
        <v>229</v>
      </c>
      <c r="R371" s="63">
        <v>78</v>
      </c>
      <c r="S371" s="63">
        <v>49</v>
      </c>
      <c r="T371" s="63">
        <v>9</v>
      </c>
      <c r="U371" s="63"/>
      <c r="V371" s="63"/>
      <c r="W371" s="63">
        <f>IF(Copyright!B$11=1,IF(CA371&gt;0,CA371-SUM(X371:AT371)-SUM(U371:V371),SUM(CC371:CG371)),SUM(CC371:CG371))</f>
        <v>101</v>
      </c>
      <c r="X371" s="63"/>
      <c r="Y371" s="63"/>
      <c r="Z371" s="63">
        <v>0</v>
      </c>
      <c r="AA371" s="63"/>
      <c r="AB371" s="63"/>
      <c r="AC371" s="63"/>
      <c r="AD371" s="63"/>
      <c r="AE371" s="63">
        <v>0</v>
      </c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W371" s="5">
        <f>IF(Q371&gt;0,RANK(Q371,(N371:P371,Q371:AE371)),0)</f>
        <v>3</v>
      </c>
      <c r="AX371" s="5">
        <f>IF(R371&gt;0,RANK(R371,(N371:P371,Q371:AE371)),0)</f>
        <v>5</v>
      </c>
      <c r="AY371" s="5">
        <f>IF(T371&gt;0,RANK(T371,(N371:P371,Q371:AE371)),0)</f>
        <v>7</v>
      </c>
      <c r="AZ371" s="5">
        <f>IF(S371&gt;0,RANK(S371,(N371:P371,Q371:AE371)),0)</f>
        <v>6</v>
      </c>
      <c r="BA371" s="2">
        <f t="shared" si="159"/>
        <v>1.0308814261276672E-2</v>
      </c>
      <c r="BB371" s="2">
        <f t="shared" si="160"/>
        <v>3.5112991806968579E-3</v>
      </c>
      <c r="BC371" s="2">
        <f t="shared" si="161"/>
        <v>4.0514990546502207E-4</v>
      </c>
      <c r="BD371" s="2">
        <f t="shared" si="162"/>
        <v>2.2058161519762313E-3</v>
      </c>
      <c r="BF371" t="s">
        <v>1455</v>
      </c>
      <c r="BG371" t="s">
        <v>2896</v>
      </c>
      <c r="BH371">
        <v>5</v>
      </c>
      <c r="BJ371" s="114">
        <v>12</v>
      </c>
      <c r="BK371" s="116">
        <v>39</v>
      </c>
      <c r="BL371" s="120">
        <f t="shared" si="165"/>
        <v>12039</v>
      </c>
      <c r="BN371" s="5" t="s">
        <v>3154</v>
      </c>
      <c r="BQ371" s="63">
        <f t="shared" si="163"/>
        <v>101</v>
      </c>
      <c r="BR371" s="63"/>
      <c r="BS371" s="63"/>
      <c r="BT371" s="63"/>
      <c r="BU371" s="63"/>
      <c r="BY371" s="63">
        <f t="shared" si="164"/>
        <v>-22214</v>
      </c>
      <c r="CA371" s="132">
        <v>101</v>
      </c>
      <c r="CB371" s="132"/>
      <c r="CD371" s="63">
        <v>0</v>
      </c>
      <c r="CE371" s="63">
        <v>0</v>
      </c>
      <c r="CF371" s="63">
        <v>0</v>
      </c>
      <c r="CG371" s="8">
        <v>0</v>
      </c>
    </row>
    <row r="372" spans="1:88" hidden="1" outlineLevel="1">
      <c r="A372" t="s">
        <v>11</v>
      </c>
      <c r="B372" t="s">
        <v>2896</v>
      </c>
      <c r="C372" s="1">
        <f t="shared" si="152"/>
        <v>8472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32">
        <f t="shared" si="153"/>
        <v>5282</v>
      </c>
      <c r="H372" s="137">
        <f t="shared" si="154"/>
        <v>0.6234655335221907</v>
      </c>
      <c r="I372" s="2"/>
      <c r="J372" s="2">
        <f t="shared" si="155"/>
        <v>0.17209631728045327</v>
      </c>
      <c r="K372" s="2">
        <f t="shared" si="156"/>
        <v>0.79556185080264397</v>
      </c>
      <c r="L372" s="2">
        <f t="shared" si="157"/>
        <v>0</v>
      </c>
      <c r="M372" s="2">
        <f t="shared" si="158"/>
        <v>3.2341831916902763E-2</v>
      </c>
      <c r="N372" s="63">
        <v>1458</v>
      </c>
      <c r="O372" s="63">
        <v>6740</v>
      </c>
      <c r="P372" s="63"/>
      <c r="Q372" s="63">
        <v>155</v>
      </c>
      <c r="R372" s="63">
        <v>43</v>
      </c>
      <c r="S372" s="63">
        <v>18</v>
      </c>
      <c r="T372" s="63">
        <v>6</v>
      </c>
      <c r="U372" s="63"/>
      <c r="V372" s="63"/>
      <c r="W372" s="63">
        <f>IF(Copyright!B$11=1,IF(CA372&gt;0,CA372-SUM(X372:AT372)-SUM(U372:V372),SUM(CC372:CG372)),SUM(CC372:CG372))</f>
        <v>52</v>
      </c>
      <c r="X372" s="63"/>
      <c r="Y372" s="63"/>
      <c r="Z372" s="63">
        <v>0</v>
      </c>
      <c r="AA372" s="63"/>
      <c r="AB372" s="63"/>
      <c r="AC372" s="63"/>
      <c r="AD372" s="63"/>
      <c r="AE372" s="63">
        <v>0</v>
      </c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W372" s="5">
        <f>IF(Q372&gt;0,RANK(Q372,(N372:P372,Q372:AE372)),0)</f>
        <v>3</v>
      </c>
      <c r="AX372" s="5">
        <f>IF(R372&gt;0,RANK(R372,(N372:P372,Q372:AE372)),0)</f>
        <v>5</v>
      </c>
      <c r="AY372" s="5">
        <f>IF(T372&gt;0,RANK(T372,(N372:P372,Q372:AE372)),0)</f>
        <v>7</v>
      </c>
      <c r="AZ372" s="5">
        <f>IF(S372&gt;0,RANK(S372,(N372:P372,Q372:AE372)),0)</f>
        <v>6</v>
      </c>
      <c r="BA372" s="2">
        <f t="shared" si="159"/>
        <v>1.8295561850802645E-2</v>
      </c>
      <c r="BB372" s="2">
        <f t="shared" si="160"/>
        <v>5.0755429650613786E-3</v>
      </c>
      <c r="BC372" s="2">
        <f t="shared" si="161"/>
        <v>7.0821529745042496E-4</v>
      </c>
      <c r="BD372" s="2">
        <f t="shared" si="162"/>
        <v>2.124645892351275E-3</v>
      </c>
      <c r="BF372" t="s">
        <v>11</v>
      </c>
      <c r="BG372" t="s">
        <v>2896</v>
      </c>
      <c r="BH372">
        <v>2</v>
      </c>
      <c r="BJ372" s="114">
        <v>12</v>
      </c>
      <c r="BK372" s="116">
        <v>41</v>
      </c>
      <c r="BL372" s="120">
        <f t="shared" si="165"/>
        <v>12041</v>
      </c>
      <c r="BN372" s="5" t="s">
        <v>3154</v>
      </c>
      <c r="BO372" s="147"/>
      <c r="BP372" s="147"/>
      <c r="BQ372" s="63">
        <f t="shared" si="163"/>
        <v>52</v>
      </c>
      <c r="BR372" s="63"/>
      <c r="BS372" s="132"/>
      <c r="BU372" s="63"/>
      <c r="BY372" s="63">
        <f t="shared" si="164"/>
        <v>0</v>
      </c>
      <c r="BZ372" s="63">
        <v>8472</v>
      </c>
      <c r="CA372" s="63">
        <v>52</v>
      </c>
      <c r="CB372" s="132"/>
      <c r="CD372" s="63">
        <v>0</v>
      </c>
      <c r="CE372" s="63">
        <v>0</v>
      </c>
      <c r="CF372" s="63">
        <v>0</v>
      </c>
      <c r="CG372" s="8">
        <v>0</v>
      </c>
    </row>
    <row r="373" spans="1:88" hidden="1" outlineLevel="1">
      <c r="A373" t="s">
        <v>973</v>
      </c>
      <c r="B373" t="s">
        <v>2896</v>
      </c>
      <c r="C373" s="1">
        <f t="shared" si="152"/>
        <v>4382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32">
        <f t="shared" si="153"/>
        <v>1725</v>
      </c>
      <c r="H373" s="137">
        <f t="shared" si="154"/>
        <v>0.39365586490187127</v>
      </c>
      <c r="I373" s="2"/>
      <c r="J373" s="2">
        <f t="shared" si="155"/>
        <v>0.29005020538566867</v>
      </c>
      <c r="K373" s="2">
        <f t="shared" si="156"/>
        <v>0.68370607028753994</v>
      </c>
      <c r="L373" s="2">
        <f t="shared" si="157"/>
        <v>0</v>
      </c>
      <c r="M373" s="2">
        <f t="shared" si="158"/>
        <v>2.6243724326791451E-2</v>
      </c>
      <c r="N373" s="63">
        <v>1271</v>
      </c>
      <c r="O373" s="63">
        <v>2996</v>
      </c>
      <c r="P373" s="63"/>
      <c r="Q373" s="63">
        <v>54</v>
      </c>
      <c r="R373" s="63">
        <v>18</v>
      </c>
      <c r="S373" s="63">
        <v>9</v>
      </c>
      <c r="T373" s="63">
        <v>5</v>
      </c>
      <c r="U373" s="63"/>
      <c r="V373" s="63"/>
      <c r="W373" s="63">
        <f>IF(Copyright!B$11=1,IF(CA373&gt;0,CA373-SUM(X373:AT373)-SUM(U373:V373),SUM(CC373:CG373)),SUM(CC373:CG373))</f>
        <v>29</v>
      </c>
      <c r="X373" s="63"/>
      <c r="Y373" s="63"/>
      <c r="Z373" s="63">
        <v>0</v>
      </c>
      <c r="AA373" s="63"/>
      <c r="AB373" s="63"/>
      <c r="AC373" s="63"/>
      <c r="AD373" s="63"/>
      <c r="AE373" s="63">
        <v>0</v>
      </c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W373" s="5">
        <f>IF(Q373&gt;0,RANK(Q373,(N373:P373,Q373:AE373)),0)</f>
        <v>3</v>
      </c>
      <c r="AX373" s="5">
        <f>IF(R373&gt;0,RANK(R373,(N373:P373,Q373:AE373)),0)</f>
        <v>5</v>
      </c>
      <c r="AY373" s="5">
        <f>IF(T373&gt;0,RANK(T373,(N373:P373,Q373:AE373)),0)</f>
        <v>7</v>
      </c>
      <c r="AZ373" s="5">
        <f>IF(S373&gt;0,RANK(S373,(N373:P373,Q373:AE373)),0)</f>
        <v>6</v>
      </c>
      <c r="BA373" s="2">
        <f t="shared" si="159"/>
        <v>1.2323140118667275E-2</v>
      </c>
      <c r="BB373" s="2">
        <f t="shared" si="160"/>
        <v>4.1077133728890918E-3</v>
      </c>
      <c r="BC373" s="2">
        <f t="shared" si="161"/>
        <v>1.1410314924691922E-3</v>
      </c>
      <c r="BD373" s="2">
        <f t="shared" si="162"/>
        <v>2.0538566864445459E-3</v>
      </c>
      <c r="BF373" t="s">
        <v>973</v>
      </c>
      <c r="BG373" t="s">
        <v>2896</v>
      </c>
      <c r="BH373">
        <v>17</v>
      </c>
      <c r="BJ373" s="114">
        <v>12</v>
      </c>
      <c r="BK373" s="116">
        <v>43</v>
      </c>
      <c r="BL373" s="120">
        <f t="shared" si="165"/>
        <v>12043</v>
      </c>
      <c r="BN373" s="5" t="s">
        <v>3154</v>
      </c>
      <c r="BQ373" s="63">
        <f t="shared" si="163"/>
        <v>29</v>
      </c>
      <c r="BR373" s="63"/>
      <c r="BS373" s="67"/>
      <c r="BU373" s="63"/>
      <c r="BY373" s="63">
        <f t="shared" si="164"/>
        <v>2</v>
      </c>
      <c r="BZ373" s="63">
        <f>2996+1271+54+9+18+7+29</f>
        <v>4384</v>
      </c>
      <c r="CA373" s="132">
        <v>29</v>
      </c>
      <c r="CB373" s="132"/>
      <c r="CD373" s="63">
        <v>0</v>
      </c>
      <c r="CE373" s="63">
        <v>0</v>
      </c>
      <c r="CF373" s="63">
        <v>0</v>
      </c>
      <c r="CG373" s="8">
        <v>0</v>
      </c>
      <c r="CI373" s="63"/>
      <c r="CJ373" s="68"/>
    </row>
    <row r="374" spans="1:88" hidden="1" outlineLevel="1">
      <c r="A374" t="s">
        <v>246</v>
      </c>
      <c r="B374" t="s">
        <v>2896</v>
      </c>
      <c r="C374" s="1">
        <f t="shared" si="152"/>
        <v>7331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32">
        <f t="shared" si="153"/>
        <v>3609</v>
      </c>
      <c r="H374" s="137">
        <f t="shared" si="154"/>
        <v>0.49229300231891965</v>
      </c>
      <c r="I374" s="2"/>
      <c r="J374" s="2">
        <f t="shared" si="155"/>
        <v>0.23462010639749012</v>
      </c>
      <c r="K374" s="2">
        <f t="shared" si="156"/>
        <v>0.72691310871640979</v>
      </c>
      <c r="L374" s="2">
        <f t="shared" si="157"/>
        <v>0</v>
      </c>
      <c r="M374" s="2">
        <f t="shared" si="158"/>
        <v>3.8466784886100114E-2</v>
      </c>
      <c r="N374" s="63">
        <v>1720</v>
      </c>
      <c r="O374" s="63">
        <v>5329</v>
      </c>
      <c r="P374" s="63"/>
      <c r="Q374" s="63">
        <v>195</v>
      </c>
      <c r="R374" s="63">
        <v>27</v>
      </c>
      <c r="S374" s="63">
        <v>14</v>
      </c>
      <c r="T374" s="63">
        <v>8</v>
      </c>
      <c r="U374" s="63"/>
      <c r="V374" s="63"/>
      <c r="W374" s="63">
        <f>IF(Copyright!B$11=1,IF(CA374&gt;0,CA374-SUM(X374:AT374)-SUM(U374:V374),SUM(CC374:CG374)),SUM(CC374:CG374))</f>
        <v>38</v>
      </c>
      <c r="X374" s="63"/>
      <c r="Y374" s="63"/>
      <c r="Z374" s="63">
        <v>0</v>
      </c>
      <c r="AA374" s="63"/>
      <c r="AB374" s="63"/>
      <c r="AC374" s="63"/>
      <c r="AD374" s="63"/>
      <c r="AE374" s="63">
        <v>0</v>
      </c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W374" s="5">
        <f>IF(Q374&gt;0,RANK(Q374,(N374:P374,Q374:AE374)),0)</f>
        <v>3</v>
      </c>
      <c r="AX374" s="5">
        <f>IF(R374&gt;0,RANK(R374,(N374:P374,Q374:AE374)),0)</f>
        <v>5</v>
      </c>
      <c r="AY374" s="5">
        <f>IF(T374&gt;0,RANK(T374,(N374:P374,Q374:AE374)),0)</f>
        <v>7</v>
      </c>
      <c r="AZ374" s="5">
        <f>IF(S374&gt;0,RANK(S374,(N374:P374,Q374:AE374)),0)</f>
        <v>6</v>
      </c>
      <c r="BA374" s="2">
        <f t="shared" si="159"/>
        <v>2.6599372527622425E-2</v>
      </c>
      <c r="BB374" s="2">
        <f t="shared" si="160"/>
        <v>3.6829900422861821E-3</v>
      </c>
      <c r="BC374" s="2">
        <f t="shared" si="161"/>
        <v>1.0912563088255353E-3</v>
      </c>
      <c r="BD374" s="2">
        <f t="shared" si="162"/>
        <v>1.9096985404446869E-3</v>
      </c>
      <c r="BF374" t="s">
        <v>246</v>
      </c>
      <c r="BG374" t="s">
        <v>2896</v>
      </c>
      <c r="BH374">
        <v>2</v>
      </c>
      <c r="BJ374" s="114">
        <v>12</v>
      </c>
      <c r="BK374" s="116">
        <v>45</v>
      </c>
      <c r="BL374" s="120">
        <f t="shared" si="165"/>
        <v>12045</v>
      </c>
      <c r="BN374" s="5" t="s">
        <v>3154</v>
      </c>
      <c r="BQ374" s="63">
        <f t="shared" si="163"/>
        <v>38</v>
      </c>
      <c r="BR374" s="63"/>
      <c r="BS374" s="63"/>
      <c r="BU374" s="63"/>
      <c r="BY374" s="63">
        <f t="shared" si="164"/>
        <v>0</v>
      </c>
      <c r="BZ374" s="63">
        <f>5329+1720+195+14+27+8+38</f>
        <v>7331</v>
      </c>
      <c r="CA374" s="63">
        <v>38</v>
      </c>
      <c r="CB374" s="132"/>
      <c r="CD374" s="63">
        <v>0</v>
      </c>
      <c r="CE374" s="63">
        <v>0</v>
      </c>
      <c r="CF374" s="63">
        <v>0</v>
      </c>
      <c r="CG374" s="8">
        <v>0</v>
      </c>
      <c r="CI374" s="63"/>
      <c r="CJ374" s="68"/>
    </row>
    <row r="375" spans="1:88" hidden="1" outlineLevel="1">
      <c r="A375" t="s">
        <v>2646</v>
      </c>
      <c r="B375" t="s">
        <v>2896</v>
      </c>
      <c r="C375" s="1">
        <f t="shared" si="152"/>
        <v>5491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32">
        <f t="shared" si="153"/>
        <v>1539</v>
      </c>
      <c r="H375" s="137">
        <f t="shared" si="154"/>
        <v>0.28027681660899656</v>
      </c>
      <c r="I375" s="2"/>
      <c r="J375" s="2">
        <f t="shared" si="155"/>
        <v>0.34674922600619196</v>
      </c>
      <c r="K375" s="2">
        <f t="shared" si="156"/>
        <v>0.62702604261518846</v>
      </c>
      <c r="L375" s="2">
        <f t="shared" si="157"/>
        <v>0</v>
      </c>
      <c r="M375" s="2">
        <f t="shared" si="158"/>
        <v>2.6224731378619581E-2</v>
      </c>
      <c r="N375" s="63">
        <v>1904</v>
      </c>
      <c r="O375" s="63">
        <v>3443</v>
      </c>
      <c r="P375" s="63"/>
      <c r="Q375" s="63">
        <v>79</v>
      </c>
      <c r="R375" s="63">
        <v>17</v>
      </c>
      <c r="S375" s="63">
        <v>11</v>
      </c>
      <c r="T375" s="63">
        <v>6</v>
      </c>
      <c r="U375" s="63"/>
      <c r="V375" s="63"/>
      <c r="W375" s="63">
        <f>IF(Copyright!B$11=1,IF(CA375&gt;0,CA375-SUM(X375:AT375)-SUM(U375:V375),SUM(CC375:CG375)),SUM(CC375:CG375))</f>
        <v>31</v>
      </c>
      <c r="X375" s="63"/>
      <c r="Y375" s="63"/>
      <c r="Z375" s="63">
        <v>0</v>
      </c>
      <c r="AA375" s="63"/>
      <c r="AB375" s="63"/>
      <c r="AC375" s="63"/>
      <c r="AD375" s="63"/>
      <c r="AE375" s="63">
        <v>0</v>
      </c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W375" s="5">
        <f>IF(Q375&gt;0,RANK(Q375,(N375:P375,Q375:AE375)),0)</f>
        <v>3</v>
      </c>
      <c r="AX375" s="5">
        <f>IF(R375&gt;0,RANK(R375,(N375:P375,Q375:AE375)),0)</f>
        <v>5</v>
      </c>
      <c r="AY375" s="5">
        <f>IF(T375&gt;0,RANK(T375,(N375:P375,Q375:AE375)),0)</f>
        <v>7</v>
      </c>
      <c r="AZ375" s="5">
        <f>IF(S375&gt;0,RANK(S375,(N375:P375,Q375:AE375)),0)</f>
        <v>6</v>
      </c>
      <c r="BA375" s="2">
        <f t="shared" si="159"/>
        <v>1.4387179020214897E-2</v>
      </c>
      <c r="BB375" s="2">
        <f t="shared" si="160"/>
        <v>3.0959752321981426E-3</v>
      </c>
      <c r="BC375" s="2">
        <f t="shared" si="161"/>
        <v>1.0926971407758149E-3</v>
      </c>
      <c r="BD375" s="2">
        <f t="shared" si="162"/>
        <v>2.0032780914223274E-3</v>
      </c>
      <c r="BF375" t="s">
        <v>2646</v>
      </c>
      <c r="BG375" t="s">
        <v>2896</v>
      </c>
      <c r="BH375">
        <v>5</v>
      </c>
      <c r="BJ375" s="114">
        <v>12</v>
      </c>
      <c r="BK375" s="116">
        <v>47</v>
      </c>
      <c r="BL375" s="120">
        <f t="shared" si="165"/>
        <v>12047</v>
      </c>
      <c r="BN375" s="5" t="s">
        <v>3154</v>
      </c>
      <c r="BQ375" s="63">
        <f t="shared" si="163"/>
        <v>31</v>
      </c>
      <c r="BR375" s="63"/>
      <c r="BS375" s="63"/>
      <c r="BU375" s="63"/>
      <c r="BY375" s="63">
        <f t="shared" si="164"/>
        <v>0</v>
      </c>
      <c r="BZ375" s="63">
        <v>5491</v>
      </c>
      <c r="CA375" s="63">
        <v>31</v>
      </c>
      <c r="CB375" s="132"/>
      <c r="CD375" s="63">
        <v>0</v>
      </c>
      <c r="CE375" s="63">
        <v>0</v>
      </c>
      <c r="CF375" s="63">
        <v>0</v>
      </c>
      <c r="CG375" s="8">
        <v>0</v>
      </c>
      <c r="CJ375" s="68"/>
    </row>
    <row r="376" spans="1:88" hidden="1" outlineLevel="1">
      <c r="A376" t="s">
        <v>1181</v>
      </c>
      <c r="B376" t="s">
        <v>2896</v>
      </c>
      <c r="C376" s="1">
        <f t="shared" si="152"/>
        <v>7645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32">
        <f t="shared" si="153"/>
        <v>3093</v>
      </c>
      <c r="H376" s="137">
        <f t="shared" si="154"/>
        <v>0.40457815565729233</v>
      </c>
      <c r="I376" s="2"/>
      <c r="J376" s="2">
        <f t="shared" si="155"/>
        <v>0.28109875735775014</v>
      </c>
      <c r="K376" s="2">
        <f t="shared" si="156"/>
        <v>0.68567691301504252</v>
      </c>
      <c r="L376" s="2">
        <f t="shared" si="157"/>
        <v>0</v>
      </c>
      <c r="M376" s="2">
        <f t="shared" si="158"/>
        <v>3.3224329627207339E-2</v>
      </c>
      <c r="N376" s="63">
        <v>2149</v>
      </c>
      <c r="O376" s="63">
        <v>5242</v>
      </c>
      <c r="P376" s="63"/>
      <c r="Q376" s="63">
        <v>140</v>
      </c>
      <c r="R376" s="63">
        <v>24</v>
      </c>
      <c r="S376" s="63">
        <v>21</v>
      </c>
      <c r="T376" s="63">
        <v>7</v>
      </c>
      <c r="U376" s="63"/>
      <c r="V376" s="63"/>
      <c r="W376" s="63">
        <f>IF(Copyright!B$11=1,IF(CA376&gt;0,CA376-SUM(X376:AT376)-SUM(U376:V376),SUM(CC376:CG376)),SUM(CC376:CG376))</f>
        <v>62</v>
      </c>
      <c r="X376" s="63"/>
      <c r="Y376" s="63"/>
      <c r="Z376" s="63">
        <v>0</v>
      </c>
      <c r="AA376" s="63"/>
      <c r="AB376" s="63"/>
      <c r="AC376" s="63"/>
      <c r="AD376" s="63"/>
      <c r="AE376" s="63">
        <v>0</v>
      </c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W376" s="5">
        <f>IF(Q376&gt;0,RANK(Q376,(N376:P376,Q376:AE376)),0)</f>
        <v>3</v>
      </c>
      <c r="AX376" s="5">
        <f>IF(R376&gt;0,RANK(R376,(N376:P376,Q376:AE376)),0)</f>
        <v>5</v>
      </c>
      <c r="AY376" s="5">
        <f>IF(T376&gt;0,RANK(T376,(N376:P376,Q376:AE376)),0)</f>
        <v>7</v>
      </c>
      <c r="AZ376" s="5">
        <f>IF(S376&gt;0,RANK(S376,(N376:P376,Q376:AE376)),0)</f>
        <v>6</v>
      </c>
      <c r="BA376" s="2">
        <f t="shared" si="159"/>
        <v>1.8312622629169391E-2</v>
      </c>
      <c r="BB376" s="2">
        <f t="shared" si="160"/>
        <v>3.1393067364290385E-3</v>
      </c>
      <c r="BC376" s="2">
        <f t="shared" si="161"/>
        <v>9.1563113145846963E-4</v>
      </c>
      <c r="BD376" s="2">
        <f t="shared" si="162"/>
        <v>2.7468933943754089E-3</v>
      </c>
      <c r="BF376" t="s">
        <v>1181</v>
      </c>
      <c r="BG376" t="s">
        <v>2896</v>
      </c>
      <c r="BH376">
        <v>17</v>
      </c>
      <c r="BJ376" s="114">
        <v>12</v>
      </c>
      <c r="BK376" s="116">
        <v>49</v>
      </c>
      <c r="BL376" s="120">
        <f t="shared" si="165"/>
        <v>12049</v>
      </c>
      <c r="BN376" s="5" t="s">
        <v>3154</v>
      </c>
      <c r="BQ376" s="63">
        <f t="shared" si="163"/>
        <v>62</v>
      </c>
      <c r="BR376" s="63"/>
      <c r="BS376" s="132"/>
      <c r="BT376" s="63"/>
      <c r="BU376" s="63"/>
      <c r="BY376" s="63">
        <f t="shared" si="164"/>
        <v>-6</v>
      </c>
      <c r="BZ376" s="63">
        <v>7639</v>
      </c>
      <c r="CA376" s="63">
        <v>62</v>
      </c>
      <c r="CB376" s="132"/>
      <c r="CD376" s="63">
        <v>0</v>
      </c>
      <c r="CE376" s="63">
        <v>0</v>
      </c>
      <c r="CF376" s="63">
        <v>0</v>
      </c>
      <c r="CG376" s="8">
        <v>0</v>
      </c>
      <c r="CJ376" s="68"/>
    </row>
    <row r="377" spans="1:88" hidden="1" outlineLevel="1">
      <c r="A377" t="s">
        <v>434</v>
      </c>
      <c r="B377" t="s">
        <v>2896</v>
      </c>
      <c r="C377" s="1">
        <f t="shared" si="152"/>
        <v>11182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32">
        <f t="shared" si="153"/>
        <v>1580</v>
      </c>
      <c r="H377" s="137">
        <f t="shared" si="154"/>
        <v>0.14129851547129316</v>
      </c>
      <c r="I377" s="2"/>
      <c r="J377" s="2">
        <f t="shared" si="155"/>
        <v>0.41271686639241639</v>
      </c>
      <c r="K377" s="2">
        <f t="shared" si="156"/>
        <v>0.55401538186370958</v>
      </c>
      <c r="L377" s="2">
        <f t="shared" si="157"/>
        <v>0</v>
      </c>
      <c r="M377" s="2">
        <f t="shared" si="158"/>
        <v>3.3267751743874086E-2</v>
      </c>
      <c r="N377" s="63">
        <v>4615</v>
      </c>
      <c r="O377" s="63">
        <v>6195</v>
      </c>
      <c r="P377" s="63"/>
      <c r="Q377" s="63">
        <v>207</v>
      </c>
      <c r="R377" s="63">
        <v>52</v>
      </c>
      <c r="S377" s="63">
        <v>28</v>
      </c>
      <c r="T377" s="63">
        <v>18</v>
      </c>
      <c r="U377" s="63"/>
      <c r="V377" s="63"/>
      <c r="W377" s="63">
        <f>IF(Copyright!B$11=1,IF(CA377&gt;0,CA377-SUM(X377:AT377)-SUM(U377:V377),SUM(CC377:CG377)),SUM(CC377:CG377))</f>
        <v>67</v>
      </c>
      <c r="X377" s="63"/>
      <c r="Y377" s="63"/>
      <c r="Z377" s="63">
        <v>0</v>
      </c>
      <c r="AA377" s="63"/>
      <c r="AB377" s="63"/>
      <c r="AC377" s="63"/>
      <c r="AD377" s="63"/>
      <c r="AE377" s="63">
        <v>0</v>
      </c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W377" s="5">
        <f>IF(Q377&gt;0,RANK(Q377,(N377:P377,Q377:AE377)),0)</f>
        <v>3</v>
      </c>
      <c r="AX377" s="5">
        <f>IF(R377&gt;0,RANK(R377,(N377:P377,Q377:AE377)),0)</f>
        <v>5</v>
      </c>
      <c r="AY377" s="5">
        <f>IF(T377&gt;0,RANK(T377,(N377:P377,Q377:AE377)),0)</f>
        <v>7</v>
      </c>
      <c r="AZ377" s="5">
        <f>IF(S377&gt;0,RANK(S377,(N377:P377,Q377:AE377)),0)</f>
        <v>6</v>
      </c>
      <c r="BA377" s="2">
        <f t="shared" si="159"/>
        <v>1.8511894115542837E-2</v>
      </c>
      <c r="BB377" s="2">
        <f t="shared" si="160"/>
        <v>4.650330888928635E-3</v>
      </c>
      <c r="BC377" s="2">
        <f t="shared" si="161"/>
        <v>1.6097299230906814E-3</v>
      </c>
      <c r="BD377" s="2">
        <f t="shared" si="162"/>
        <v>2.5040243248077268E-3</v>
      </c>
      <c r="BF377" t="s">
        <v>434</v>
      </c>
      <c r="BG377" t="s">
        <v>2896</v>
      </c>
      <c r="BH377">
        <v>25</v>
      </c>
      <c r="BJ377" s="114">
        <v>12</v>
      </c>
      <c r="BK377" s="116">
        <v>51</v>
      </c>
      <c r="BL377" s="120">
        <f t="shared" si="165"/>
        <v>12051</v>
      </c>
      <c r="BN377" s="5" t="s">
        <v>3154</v>
      </c>
      <c r="BO377" s="147"/>
      <c r="BP377" s="147"/>
      <c r="BQ377" s="63">
        <f t="shared" si="163"/>
        <v>67</v>
      </c>
      <c r="BR377" s="63"/>
      <c r="BS377" s="132"/>
      <c r="BU377" s="63"/>
      <c r="BY377" s="63">
        <f t="shared" si="164"/>
        <v>0</v>
      </c>
      <c r="BZ377" s="63">
        <v>11182</v>
      </c>
      <c r="CA377" s="63">
        <v>67</v>
      </c>
      <c r="CB377" s="132"/>
      <c r="CD377" s="63">
        <v>0</v>
      </c>
      <c r="CE377" s="63">
        <v>0</v>
      </c>
      <c r="CF377" s="63">
        <v>0</v>
      </c>
      <c r="CG377" s="8">
        <v>0</v>
      </c>
      <c r="CJ377" s="68"/>
    </row>
    <row r="378" spans="1:88" hidden="1" outlineLevel="1">
      <c r="A378" t="s">
        <v>1254</v>
      </c>
      <c r="B378" t="s">
        <v>2896</v>
      </c>
      <c r="C378" s="1">
        <f t="shared" si="152"/>
        <v>94651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32">
        <f t="shared" si="153"/>
        <v>27175</v>
      </c>
      <c r="H378" s="137">
        <f t="shared" si="154"/>
        <v>0.28710737340334491</v>
      </c>
      <c r="I378" s="2"/>
      <c r="J378" s="2">
        <f t="shared" si="155"/>
        <v>0.33591826816409759</v>
      </c>
      <c r="K378" s="2">
        <f t="shared" si="156"/>
        <v>0.62302564156744245</v>
      </c>
      <c r="L378" s="2">
        <f t="shared" si="157"/>
        <v>0</v>
      </c>
      <c r="M378" s="2">
        <f t="shared" si="158"/>
        <v>4.1056090268460022E-2</v>
      </c>
      <c r="N378" s="63">
        <v>31795</v>
      </c>
      <c r="O378" s="63">
        <v>58970</v>
      </c>
      <c r="P378" s="63"/>
      <c r="Q378" s="63">
        <v>2051</v>
      </c>
      <c r="R378" s="63">
        <v>710</v>
      </c>
      <c r="S378" s="63">
        <v>190</v>
      </c>
      <c r="T378" s="63">
        <v>77</v>
      </c>
      <c r="U378" s="63"/>
      <c r="V378" s="63"/>
      <c r="W378" s="63">
        <f>IF(Copyright!B$11=1,IF(CA378&gt;0,CA378-SUM(X378:AT378)-SUM(U378:V378),SUM(CC378:CG378)),SUM(CC378:CG378))</f>
        <v>855</v>
      </c>
      <c r="X378" s="63"/>
      <c r="Y378" s="63"/>
      <c r="Z378" s="63">
        <v>0</v>
      </c>
      <c r="AA378" s="63"/>
      <c r="AB378" s="63"/>
      <c r="AC378" s="63"/>
      <c r="AD378" s="63"/>
      <c r="AE378" s="63">
        <v>3</v>
      </c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W378" s="5">
        <f>IF(Q378&gt;0,RANK(Q378,(N378:P378,Q378:AE378)),0)</f>
        <v>3</v>
      </c>
      <c r="AX378" s="5">
        <f>IF(R378&gt;0,RANK(R378,(N378:P378,Q378:AE378)),0)</f>
        <v>5</v>
      </c>
      <c r="AY378" s="5">
        <f>IF(T378&gt;0,RANK(T378,(N378:P378,Q378:AE378)),0)</f>
        <v>7</v>
      </c>
      <c r="AZ378" s="5">
        <f>IF(S378&gt;0,RANK(S378,(N378:P378,Q378:AE378)),0)</f>
        <v>6</v>
      </c>
      <c r="BA378" s="2">
        <f t="shared" si="159"/>
        <v>2.1669079037728075E-2</v>
      </c>
      <c r="BB378" s="2">
        <f t="shared" si="160"/>
        <v>7.5012414026264908E-3</v>
      </c>
      <c r="BC378" s="2">
        <f t="shared" si="161"/>
        <v>8.1351491267921095E-4</v>
      </c>
      <c r="BD378" s="2">
        <f t="shared" si="162"/>
        <v>2.0073744598577935E-3</v>
      </c>
      <c r="BF378" t="s">
        <v>1254</v>
      </c>
      <c r="BG378" t="s">
        <v>2896</v>
      </c>
      <c r="BH378">
        <v>11</v>
      </c>
      <c r="BJ378" s="114">
        <v>12</v>
      </c>
      <c r="BK378" s="116">
        <v>53</v>
      </c>
      <c r="BL378" s="120">
        <f t="shared" si="165"/>
        <v>12053</v>
      </c>
      <c r="BN378" s="5" t="s">
        <v>3154</v>
      </c>
      <c r="BQ378" s="63">
        <f t="shared" si="163"/>
        <v>858</v>
      </c>
      <c r="BR378" s="63"/>
      <c r="BS378" s="132"/>
      <c r="BT378" s="63"/>
      <c r="BU378" s="63"/>
      <c r="BY378" s="63">
        <f t="shared" si="164"/>
        <v>0</v>
      </c>
      <c r="BZ378" s="63">
        <v>94651</v>
      </c>
      <c r="CA378" s="63">
        <v>858</v>
      </c>
      <c r="CB378" s="132"/>
      <c r="CD378" s="63">
        <v>0</v>
      </c>
      <c r="CE378" s="63">
        <v>0</v>
      </c>
      <c r="CF378" s="63">
        <v>0</v>
      </c>
      <c r="CG378" s="8">
        <v>0</v>
      </c>
      <c r="CJ378" s="68"/>
    </row>
    <row r="379" spans="1:88" hidden="1" outlineLevel="1">
      <c r="A379" t="s">
        <v>1603</v>
      </c>
      <c r="B379" t="s">
        <v>2896</v>
      </c>
      <c r="C379" s="1">
        <f t="shared" si="152"/>
        <v>46011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>IF(P379&gt;0,RANK(P379,(N379:P379,Q379:AE379)),0)</f>
        <v>0</v>
      </c>
      <c r="G379" s="132">
        <f t="shared" si="153"/>
        <v>14628</v>
      </c>
      <c r="H379" s="137">
        <f t="shared" si="154"/>
        <v>0.31792397470170175</v>
      </c>
      <c r="I379" s="2"/>
      <c r="J379" s="2">
        <f t="shared" si="155"/>
        <v>0.3246397600573776</v>
      </c>
      <c r="K379" s="2">
        <f t="shared" si="156"/>
        <v>0.64256373475907935</v>
      </c>
      <c r="L379" s="2">
        <f t="shared" si="157"/>
        <v>0</v>
      </c>
      <c r="M379" s="2">
        <f t="shared" si="158"/>
        <v>3.2796505183543045E-2</v>
      </c>
      <c r="N379" s="63">
        <v>14937</v>
      </c>
      <c r="O379" s="63">
        <v>29565</v>
      </c>
      <c r="P379" s="63"/>
      <c r="Q379" s="63">
        <v>854</v>
      </c>
      <c r="R379" s="63">
        <v>186</v>
      </c>
      <c r="S379" s="63">
        <v>92</v>
      </c>
      <c r="T379" s="63">
        <v>52</v>
      </c>
      <c r="U379" s="63"/>
      <c r="V379" s="63"/>
      <c r="W379" s="63">
        <f>IF(Copyright!B$11=1,IF(CA379&gt;0,CA379-SUM(X379:AT379)-SUM(U379:V379),SUM(CC379:CG379)),SUM(CC379:CG379))</f>
        <v>325</v>
      </c>
      <c r="X379" s="63"/>
      <c r="Y379" s="63"/>
      <c r="Z379" s="63">
        <v>0</v>
      </c>
      <c r="AA379" s="63"/>
      <c r="AB379" s="63"/>
      <c r="AC379" s="63"/>
      <c r="AD379" s="63"/>
      <c r="AE379" s="63">
        <v>0</v>
      </c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W379" s="5">
        <f>IF(Q379&gt;0,RANK(Q379,(N379:P379,Q379:AE379)),0)</f>
        <v>3</v>
      </c>
      <c r="AX379" s="5">
        <f>IF(R379&gt;0,RANK(R379,(N379:P379,Q379:AE379)),0)</f>
        <v>5</v>
      </c>
      <c r="AY379" s="5">
        <f>IF(T379&gt;0,RANK(T379,(N379:P379,Q379:AE379)),0)</f>
        <v>7</v>
      </c>
      <c r="AZ379" s="5">
        <f>IF(S379&gt;0,RANK(S379,(N379:P379,Q379:AE379)),0)</f>
        <v>6</v>
      </c>
      <c r="BA379" s="2">
        <f t="shared" si="159"/>
        <v>1.8560778944165527E-2</v>
      </c>
      <c r="BB379" s="2">
        <f t="shared" si="160"/>
        <v>4.0425115733194236E-3</v>
      </c>
      <c r="BC379" s="2">
        <f t="shared" si="161"/>
        <v>1.1301645258742475E-3</v>
      </c>
      <c r="BD379" s="2">
        <f t="shared" si="162"/>
        <v>1.9995218534698224E-3</v>
      </c>
      <c r="BF379" t="s">
        <v>1603</v>
      </c>
      <c r="BG379" t="s">
        <v>2896</v>
      </c>
      <c r="BH379">
        <v>17</v>
      </c>
      <c r="BJ379" s="114">
        <v>12</v>
      </c>
      <c r="BK379" s="116">
        <v>55</v>
      </c>
      <c r="BL379" s="120">
        <f t="shared" si="165"/>
        <v>12055</v>
      </c>
      <c r="BN379" s="5" t="s">
        <v>3154</v>
      </c>
      <c r="BQ379" s="63">
        <f t="shared" si="163"/>
        <v>325</v>
      </c>
      <c r="BR379" s="63"/>
      <c r="BS379" s="63"/>
      <c r="BU379" s="63"/>
      <c r="BY379" s="63">
        <f t="shared" si="164"/>
        <v>0</v>
      </c>
      <c r="BZ379" s="63">
        <v>46011</v>
      </c>
      <c r="CA379" s="63">
        <v>325</v>
      </c>
      <c r="CB379" s="132"/>
      <c r="CD379" s="63">
        <v>0</v>
      </c>
      <c r="CE379" s="63">
        <v>0</v>
      </c>
      <c r="CF379" s="63">
        <v>0</v>
      </c>
      <c r="CG379" s="8">
        <v>0</v>
      </c>
      <c r="CJ379" s="146"/>
    </row>
    <row r="380" spans="1:88" hidden="1" outlineLevel="1">
      <c r="A380" t="s">
        <v>1161</v>
      </c>
      <c r="B380" t="s">
        <v>2896</v>
      </c>
      <c r="C380" s="1">
        <f t="shared" si="152"/>
        <v>603890</v>
      </c>
      <c r="D380" s="5">
        <f>IF(N380&gt;0, RANK(N380,(N380:P380,Q380:AE380)),0)</f>
        <v>1</v>
      </c>
      <c r="E380" s="5">
        <f>IF(O380&gt;0,RANK(O380,(N380:P380,Q380:AE380)),0)</f>
        <v>2</v>
      </c>
      <c r="F380" s="5">
        <f>IF(P380&gt;0,RANK(P380,(N380:P380,Q380:AE380)),0)</f>
        <v>0</v>
      </c>
      <c r="G380" s="132">
        <f t="shared" si="153"/>
        <v>41026</v>
      </c>
      <c r="H380" s="137">
        <f t="shared" si="154"/>
        <v>6.793621354882512E-2</v>
      </c>
      <c r="I380" s="2"/>
      <c r="J380" s="2">
        <f t="shared" si="155"/>
        <v>0.50985444369007604</v>
      </c>
      <c r="K380" s="2">
        <f t="shared" si="156"/>
        <v>0.44191823014125087</v>
      </c>
      <c r="L380" s="2">
        <f t="shared" si="157"/>
        <v>0</v>
      </c>
      <c r="M380" s="2">
        <f t="shared" si="158"/>
        <v>4.822732616867309E-2</v>
      </c>
      <c r="N380" s="63">
        <v>307896</v>
      </c>
      <c r="O380" s="63">
        <v>266870</v>
      </c>
      <c r="P380" s="63"/>
      <c r="Q380" s="63">
        <v>15703</v>
      </c>
      <c r="R380" s="63">
        <v>5032</v>
      </c>
      <c r="S380" s="63">
        <v>1323</v>
      </c>
      <c r="T380" s="63">
        <v>822</v>
      </c>
      <c r="U380" s="63"/>
      <c r="V380" s="63"/>
      <c r="W380" s="63">
        <f>IF(Copyright!B$11=1,IF(CA380&gt;0,CA380-SUM(X380:AT380)-SUM(U380:V380),SUM(CC380:CG380)),SUM(CC380:CG380))</f>
        <v>6234</v>
      </c>
      <c r="X380" s="63"/>
      <c r="Y380" s="63"/>
      <c r="Z380" s="63">
        <v>0</v>
      </c>
      <c r="AA380" s="63"/>
      <c r="AB380" s="63"/>
      <c r="AC380" s="63"/>
      <c r="AD380" s="63"/>
      <c r="AE380" s="63">
        <v>10</v>
      </c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W380" s="5">
        <f>IF(Q380&gt;0,RANK(Q380,(N380:P380,Q380:AE380)),0)</f>
        <v>3</v>
      </c>
      <c r="AX380" s="5">
        <f>IF(R380&gt;0,RANK(R380,(N380:P380,Q380:AE380)),0)</f>
        <v>5</v>
      </c>
      <c r="AY380" s="5">
        <f>IF(T380&gt;0,RANK(T380,(N380:P380,Q380:AE380)),0)</f>
        <v>7</v>
      </c>
      <c r="AZ380" s="5">
        <f>IF(S380&gt;0,RANK(S380,(N380:P380,Q380:AE380)),0)</f>
        <v>6</v>
      </c>
      <c r="BA380" s="2">
        <f t="shared" si="159"/>
        <v>2.6003080031131498E-2</v>
      </c>
      <c r="BB380" s="2">
        <f t="shared" si="160"/>
        <v>8.3326433622017259E-3</v>
      </c>
      <c r="BC380" s="2">
        <f t="shared" si="161"/>
        <v>1.3611750484359734E-3</v>
      </c>
      <c r="BD380" s="2">
        <f t="shared" si="162"/>
        <v>2.1907963370812566E-3</v>
      </c>
      <c r="BF380" t="s">
        <v>1161</v>
      </c>
      <c r="BG380" t="s">
        <v>2896</v>
      </c>
      <c r="BJ380" s="114">
        <v>12</v>
      </c>
      <c r="BK380" s="116">
        <v>57</v>
      </c>
      <c r="BL380" s="120">
        <f t="shared" si="165"/>
        <v>12057</v>
      </c>
      <c r="BN380" s="5" t="s">
        <v>3154</v>
      </c>
      <c r="BO380" s="132">
        <v>3424</v>
      </c>
      <c r="BP380" s="132">
        <v>949</v>
      </c>
      <c r="BQ380" s="63">
        <f t="shared" si="163"/>
        <v>6244</v>
      </c>
      <c r="BR380" s="63"/>
      <c r="BS380" s="132"/>
      <c r="BU380" s="63"/>
      <c r="BY380" s="63">
        <f t="shared" si="164"/>
        <v>0</v>
      </c>
      <c r="BZ380" s="63">
        <f>266870+307896+15703+1323+5032+822+6244</f>
        <v>603890</v>
      </c>
      <c r="CA380" s="63">
        <v>6244</v>
      </c>
      <c r="CB380" s="132"/>
      <c r="CD380" s="63">
        <v>3</v>
      </c>
      <c r="CE380" s="63">
        <v>0</v>
      </c>
      <c r="CF380" s="63">
        <v>1</v>
      </c>
      <c r="CG380" s="8">
        <v>0</v>
      </c>
      <c r="CJ380" s="68"/>
    </row>
    <row r="381" spans="1:88" hidden="1" outlineLevel="1">
      <c r="A381" t="s">
        <v>1435</v>
      </c>
      <c r="B381" t="s">
        <v>2896</v>
      </c>
      <c r="C381" s="1">
        <f t="shared" si="152"/>
        <v>8556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32">
        <f t="shared" si="153"/>
        <v>6630</v>
      </c>
      <c r="H381" s="137">
        <f t="shared" si="154"/>
        <v>0.77489481065918653</v>
      </c>
      <c r="I381" s="2"/>
      <c r="J381" s="2">
        <f t="shared" si="155"/>
        <v>9.9696119682094436E-2</v>
      </c>
      <c r="K381" s="2">
        <f t="shared" si="156"/>
        <v>0.87459093034128099</v>
      </c>
      <c r="L381" s="2">
        <f t="shared" si="157"/>
        <v>0</v>
      </c>
      <c r="M381" s="2">
        <f t="shared" si="158"/>
        <v>2.5712949976624544E-2</v>
      </c>
      <c r="N381" s="63">
        <v>853</v>
      </c>
      <c r="O381" s="63">
        <v>7483</v>
      </c>
      <c r="P381" s="63"/>
      <c r="Q381" s="63">
        <v>133</v>
      </c>
      <c r="R381" s="63">
        <v>19</v>
      </c>
      <c r="S381" s="63">
        <v>17</v>
      </c>
      <c r="T381" s="63">
        <v>9</v>
      </c>
      <c r="U381" s="63"/>
      <c r="V381" s="63"/>
      <c r="W381" s="63">
        <f>IF(Copyright!B$11=1,IF(CA381&gt;0,CA381-SUM(X381:AT381)-SUM(U381:V381),SUM(CC381:CG381)),SUM(CC381:CG381))</f>
        <v>42</v>
      </c>
      <c r="X381" s="63"/>
      <c r="Y381" s="63"/>
      <c r="Z381" s="63">
        <v>0</v>
      </c>
      <c r="AA381" s="63"/>
      <c r="AB381" s="63"/>
      <c r="AC381" s="63"/>
      <c r="AD381" s="63"/>
      <c r="AE381" s="63">
        <v>0</v>
      </c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W381" s="5">
        <f>IF(Q381&gt;0,RANK(Q381,(N381:P381,Q381:AE381)),0)</f>
        <v>3</v>
      </c>
      <c r="AX381" s="5">
        <f>IF(R381&gt;0,RANK(R381,(N381:P381,Q381:AE381)),0)</f>
        <v>5</v>
      </c>
      <c r="AY381" s="5">
        <f>IF(T381&gt;0,RANK(T381,(N381:P381,Q381:AE381)),0)</f>
        <v>7</v>
      </c>
      <c r="AZ381" s="5">
        <f>IF(S381&gt;0,RANK(S381,(N381:P381,Q381:AE381)),0)</f>
        <v>6</v>
      </c>
      <c r="BA381" s="2">
        <f t="shared" si="159"/>
        <v>1.5544647031323048E-2</v>
      </c>
      <c r="BB381" s="2">
        <f t="shared" si="160"/>
        <v>2.2206638616175784E-3</v>
      </c>
      <c r="BC381" s="2">
        <f t="shared" si="161"/>
        <v>1.0518934081346423E-3</v>
      </c>
      <c r="BD381" s="2">
        <f t="shared" si="162"/>
        <v>1.9869097709209909E-3</v>
      </c>
      <c r="BF381" t="s">
        <v>1435</v>
      </c>
      <c r="BG381" t="s">
        <v>2896</v>
      </c>
      <c r="BJ381" s="114">
        <v>12</v>
      </c>
      <c r="BK381" s="116">
        <v>59</v>
      </c>
      <c r="BL381" s="120">
        <f t="shared" si="165"/>
        <v>12059</v>
      </c>
      <c r="BN381" s="5" t="s">
        <v>3154</v>
      </c>
      <c r="BO381" s="132">
        <v>59</v>
      </c>
      <c r="BP381" s="132">
        <v>7</v>
      </c>
      <c r="BQ381" s="63">
        <f t="shared" si="163"/>
        <v>42</v>
      </c>
      <c r="BR381" s="63"/>
      <c r="BS381" s="132"/>
      <c r="BU381" s="63"/>
      <c r="BY381" s="63">
        <f t="shared" si="164"/>
        <v>0</v>
      </c>
      <c r="BZ381" s="63">
        <f>8622-66</f>
        <v>8556</v>
      </c>
      <c r="CA381" s="132">
        <v>42</v>
      </c>
      <c r="CB381" s="132"/>
      <c r="CD381" s="63">
        <v>0</v>
      </c>
      <c r="CE381" s="63">
        <v>0</v>
      </c>
      <c r="CF381" s="63">
        <v>0</v>
      </c>
      <c r="CG381" s="8">
        <v>0</v>
      </c>
      <c r="CJ381" s="146"/>
    </row>
    <row r="382" spans="1:88" hidden="1" outlineLevel="1">
      <c r="A382" t="s">
        <v>1123</v>
      </c>
      <c r="B382" t="s">
        <v>2896</v>
      </c>
      <c r="C382" s="1">
        <f t="shared" si="152"/>
        <v>80769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32">
        <f t="shared" si="153"/>
        <v>19577</v>
      </c>
      <c r="H382" s="137">
        <f t="shared" si="154"/>
        <v>0.24238259728361128</v>
      </c>
      <c r="I382" s="2"/>
      <c r="J382" s="2">
        <f t="shared" si="155"/>
        <v>0.35958102737436393</v>
      </c>
      <c r="K382" s="2">
        <f t="shared" si="156"/>
        <v>0.60196362465797526</v>
      </c>
      <c r="L382" s="2">
        <f t="shared" si="157"/>
        <v>0</v>
      </c>
      <c r="M382" s="2">
        <f t="shared" si="158"/>
        <v>3.8455347967660813E-2</v>
      </c>
      <c r="N382" s="63">
        <v>29043</v>
      </c>
      <c r="O382" s="63">
        <v>48620</v>
      </c>
      <c r="P382" s="63"/>
      <c r="Q382" s="63">
        <v>1723</v>
      </c>
      <c r="R382" s="63">
        <v>419</v>
      </c>
      <c r="S382" s="63">
        <v>141</v>
      </c>
      <c r="T382" s="63">
        <v>61</v>
      </c>
      <c r="U382" s="63"/>
      <c r="V382" s="63"/>
      <c r="W382" s="63">
        <f>IF(Copyright!B$11=1,IF(CA382&gt;0,CA382-SUM(X382:AT382)-SUM(U382:V382),SUM(CC382:CG382)),SUM(CC382:CG382))</f>
        <v>760</v>
      </c>
      <c r="X382" s="63"/>
      <c r="Y382" s="63"/>
      <c r="Z382" s="63">
        <v>1</v>
      </c>
      <c r="AA382" s="63"/>
      <c r="AB382" s="63"/>
      <c r="AC382" s="63"/>
      <c r="AD382" s="63"/>
      <c r="AE382" s="63">
        <v>1</v>
      </c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W382" s="5">
        <f>IF(Q382&gt;0,RANK(Q382,(N382:P382,Q382:AE382)),0)</f>
        <v>3</v>
      </c>
      <c r="AX382" s="5">
        <f>IF(R382&gt;0,RANK(R382,(N382:P382,Q382:AE382)),0)</f>
        <v>5</v>
      </c>
      <c r="AY382" s="5">
        <f>IF(T382&gt;0,RANK(T382,(N382:P382,Q382:AE382)),0)</f>
        <v>7</v>
      </c>
      <c r="AZ382" s="5">
        <f>IF(S382&gt;0,RANK(S382,(N382:P382,Q382:AE382)),0)</f>
        <v>6</v>
      </c>
      <c r="BA382" s="2">
        <f t="shared" si="159"/>
        <v>2.133244190221496E-2</v>
      </c>
      <c r="BB382" s="2">
        <f t="shared" si="160"/>
        <v>5.1876338694301031E-3</v>
      </c>
      <c r="BC382" s="2">
        <f t="shared" si="161"/>
        <v>7.5524025306738976E-4</v>
      </c>
      <c r="BD382" s="2">
        <f t="shared" si="162"/>
        <v>1.7457192734836385E-3</v>
      </c>
      <c r="BF382" t="s">
        <v>1123</v>
      </c>
      <c r="BG382" t="s">
        <v>2896</v>
      </c>
      <c r="BH382">
        <v>8</v>
      </c>
      <c r="BJ382" s="114">
        <v>12</v>
      </c>
      <c r="BK382" s="116">
        <v>61</v>
      </c>
      <c r="BL382" s="120">
        <f t="shared" si="165"/>
        <v>12061</v>
      </c>
      <c r="BN382" s="5" t="s">
        <v>3154</v>
      </c>
      <c r="BO382" s="63">
        <v>784</v>
      </c>
      <c r="BP382" s="63">
        <v>163</v>
      </c>
      <c r="BQ382" s="63">
        <f t="shared" si="163"/>
        <v>762</v>
      </c>
      <c r="BR382" s="63"/>
      <c r="BS382" s="63"/>
      <c r="BU382" s="63"/>
      <c r="BY382" s="63">
        <f t="shared" si="164"/>
        <v>0</v>
      </c>
      <c r="BZ382" s="63">
        <f>48620+29043+1723+141+419+61+762</f>
        <v>80769</v>
      </c>
      <c r="CA382" s="132">
        <v>762</v>
      </c>
      <c r="CB382" s="132"/>
      <c r="CD382" s="63">
        <v>0</v>
      </c>
      <c r="CE382" s="63">
        <v>0</v>
      </c>
      <c r="CF382" s="63">
        <v>0</v>
      </c>
      <c r="CG382" s="8">
        <v>0</v>
      </c>
      <c r="CJ382" s="68"/>
    </row>
    <row r="383" spans="1:88" hidden="1" outlineLevel="1">
      <c r="A383" t="s">
        <v>2921</v>
      </c>
      <c r="B383" t="s">
        <v>2896</v>
      </c>
      <c r="C383" s="1">
        <f t="shared" si="152"/>
        <v>21159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>IF(P383&gt;0,RANK(P383,(N383:P383,Q383:AE383)),0)</f>
        <v>0</v>
      </c>
      <c r="G383" s="132">
        <f t="shared" si="153"/>
        <v>7860</v>
      </c>
      <c r="H383" s="137">
        <f t="shared" si="154"/>
        <v>0.37147313200056714</v>
      </c>
      <c r="I383" s="2"/>
      <c r="J383" s="2">
        <f t="shared" si="155"/>
        <v>0.30232997778723003</v>
      </c>
      <c r="K383" s="2">
        <f t="shared" si="156"/>
        <v>0.67380310978779712</v>
      </c>
      <c r="L383" s="2">
        <f t="shared" si="157"/>
        <v>0</v>
      </c>
      <c r="M383" s="2">
        <f t="shared" si="158"/>
        <v>2.3866912424972853E-2</v>
      </c>
      <c r="N383" s="63">
        <v>6397</v>
      </c>
      <c r="O383" s="63">
        <v>14257</v>
      </c>
      <c r="P383" s="63"/>
      <c r="Q383" s="63">
        <v>266</v>
      </c>
      <c r="R383" s="63">
        <v>60</v>
      </c>
      <c r="S383" s="63">
        <v>42</v>
      </c>
      <c r="T383" s="63">
        <v>17</v>
      </c>
      <c r="U383" s="63"/>
      <c r="V383" s="63"/>
      <c r="W383" s="63">
        <f>IF(Copyright!B$11=1,IF(CA383&gt;0,CA383-SUM(X383:AT383)-SUM(U383:V383),SUM(CC383:CG383)),SUM(CC383:CG383))</f>
        <v>118</v>
      </c>
      <c r="X383" s="63"/>
      <c r="Y383" s="63"/>
      <c r="Z383" s="63">
        <v>1</v>
      </c>
      <c r="AA383" s="63"/>
      <c r="AB383" s="63"/>
      <c r="AC383" s="63"/>
      <c r="AD383" s="63"/>
      <c r="AE383" s="63">
        <v>1</v>
      </c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W383" s="5">
        <f>IF(Q383&gt;0,RANK(Q383,(N383:P383,Q383:AE383)),0)</f>
        <v>3</v>
      </c>
      <c r="AX383" s="5">
        <f>IF(R383&gt;0,RANK(R383,(N383:P383,Q383:AE383)),0)</f>
        <v>5</v>
      </c>
      <c r="AY383" s="5">
        <f>IF(T383&gt;0,RANK(T383,(N383:P383,Q383:AE383)),0)</f>
        <v>7</v>
      </c>
      <c r="AZ383" s="5">
        <f>IF(S383&gt;0,RANK(S383,(N383:P383,Q383:AE383)),0)</f>
        <v>6</v>
      </c>
      <c r="BA383" s="2">
        <f t="shared" si="159"/>
        <v>1.2571482584243112E-2</v>
      </c>
      <c r="BB383" s="2">
        <f t="shared" si="160"/>
        <v>2.835672763363108E-3</v>
      </c>
      <c r="BC383" s="2">
        <f t="shared" si="161"/>
        <v>8.0344061628621389E-4</v>
      </c>
      <c r="BD383" s="2">
        <f t="shared" si="162"/>
        <v>1.9849709343541756E-3</v>
      </c>
      <c r="BF383" t="s">
        <v>2921</v>
      </c>
      <c r="BG383" t="s">
        <v>2896</v>
      </c>
      <c r="BH383">
        <v>2</v>
      </c>
      <c r="BJ383" s="114">
        <v>12</v>
      </c>
      <c r="BK383" s="116">
        <v>63</v>
      </c>
      <c r="BL383" s="120">
        <f t="shared" si="165"/>
        <v>12063</v>
      </c>
      <c r="BN383" s="5" t="s">
        <v>3154</v>
      </c>
      <c r="BQ383" s="63">
        <f t="shared" si="163"/>
        <v>120</v>
      </c>
      <c r="BR383" s="63"/>
      <c r="BS383" s="63"/>
      <c r="BU383" s="63"/>
      <c r="BY383" s="63">
        <f t="shared" si="164"/>
        <v>0</v>
      </c>
      <c r="BZ383" s="63">
        <v>21159</v>
      </c>
      <c r="CA383" s="63">
        <v>120</v>
      </c>
      <c r="CB383" s="132"/>
      <c r="CD383" s="63">
        <v>0</v>
      </c>
      <c r="CE383" s="63">
        <v>0</v>
      </c>
      <c r="CF383" s="63">
        <v>0</v>
      </c>
      <c r="CG383" s="8">
        <v>0</v>
      </c>
      <c r="CJ383" s="146"/>
    </row>
    <row r="384" spans="1:88" hidden="1" outlineLevel="1">
      <c r="A384" t="s">
        <v>1092</v>
      </c>
      <c r="B384" t="s">
        <v>2896</v>
      </c>
      <c r="C384" s="1">
        <f t="shared" si="152"/>
        <v>7689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32">
        <f t="shared" si="153"/>
        <v>389</v>
      </c>
      <c r="H384" s="137">
        <f t="shared" si="154"/>
        <v>5.0591754454415397E-2</v>
      </c>
      <c r="I384" s="2"/>
      <c r="J384" s="2">
        <f t="shared" si="155"/>
        <v>0.4605280270516322</v>
      </c>
      <c r="K384" s="2">
        <f t="shared" si="156"/>
        <v>0.51111978150604764</v>
      </c>
      <c r="L384" s="2">
        <f t="shared" si="157"/>
        <v>0</v>
      </c>
      <c r="M384" s="2">
        <f t="shared" si="158"/>
        <v>2.8352191442320152E-2</v>
      </c>
      <c r="N384" s="63">
        <v>3541</v>
      </c>
      <c r="O384" s="63">
        <v>3930</v>
      </c>
      <c r="P384" s="63"/>
      <c r="Q384" s="63">
        <v>110</v>
      </c>
      <c r="R384" s="63">
        <v>42</v>
      </c>
      <c r="S384" s="63">
        <v>17</v>
      </c>
      <c r="T384" s="63">
        <v>5</v>
      </c>
      <c r="U384" s="63"/>
      <c r="V384" s="63"/>
      <c r="W384" s="63">
        <f>IF(Copyright!B$11=1,IF(CA384&gt;0,CA384-SUM(X384:AT384)-SUM(U384:V384),SUM(CC384:CG384)),SUM(CC384:CG384))</f>
        <v>44</v>
      </c>
      <c r="X384" s="63"/>
      <c r="Y384" s="63"/>
      <c r="Z384" s="63">
        <v>0</v>
      </c>
      <c r="AA384" s="63"/>
      <c r="AB384" s="63"/>
      <c r="AC384" s="63"/>
      <c r="AD384" s="63"/>
      <c r="AE384" s="63">
        <v>0</v>
      </c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W384" s="5">
        <f>IF(Q384&gt;0,RANK(Q384,(N384:P384,Q384:AE384)),0)</f>
        <v>3</v>
      </c>
      <c r="AX384" s="5">
        <f>IF(R384&gt;0,RANK(R384,(N384:P384,Q384:AE384)),0)</f>
        <v>5</v>
      </c>
      <c r="AY384" s="5">
        <f>IF(T384&gt;0,RANK(T384,(N384:P384,Q384:AE384)),0)</f>
        <v>7</v>
      </c>
      <c r="AZ384" s="5">
        <f>IF(S384&gt;0,RANK(S384,(N384:P384,Q384:AE384)),0)</f>
        <v>6</v>
      </c>
      <c r="BA384" s="2">
        <f t="shared" si="159"/>
        <v>1.4306151645207439E-2</v>
      </c>
      <c r="BB384" s="2">
        <f t="shared" si="160"/>
        <v>5.4623488099882949E-3</v>
      </c>
      <c r="BC384" s="2">
        <f t="shared" si="161"/>
        <v>6.5027962023670176E-4</v>
      </c>
      <c r="BD384" s="2">
        <f t="shared" si="162"/>
        <v>2.2109507088047859E-3</v>
      </c>
      <c r="BF384" t="s">
        <v>1092</v>
      </c>
      <c r="BG384" t="s">
        <v>2896</v>
      </c>
      <c r="BJ384" s="114">
        <v>12</v>
      </c>
      <c r="BK384" s="116">
        <v>65</v>
      </c>
      <c r="BL384" s="120">
        <f t="shared" si="165"/>
        <v>12065</v>
      </c>
      <c r="BN384" s="5" t="s">
        <v>3154</v>
      </c>
      <c r="BQ384" s="63">
        <f t="shared" si="163"/>
        <v>44</v>
      </c>
      <c r="BR384" s="63"/>
      <c r="BS384" s="63"/>
      <c r="BT384" s="63"/>
      <c r="BU384" s="63"/>
      <c r="BY384" s="63">
        <f t="shared" si="164"/>
        <v>-4</v>
      </c>
      <c r="BZ384" s="63">
        <v>7685</v>
      </c>
      <c r="CA384" s="132">
        <v>44</v>
      </c>
      <c r="CB384" s="132"/>
      <c r="CD384" s="63">
        <v>0</v>
      </c>
      <c r="CE384" s="63">
        <v>0</v>
      </c>
      <c r="CF384" s="63">
        <v>0</v>
      </c>
      <c r="CG384" s="8">
        <v>0</v>
      </c>
      <c r="CJ384" s="68"/>
    </row>
    <row r="385" spans="1:89" hidden="1" outlineLevel="1">
      <c r="A385" t="s">
        <v>496</v>
      </c>
      <c r="B385" t="s">
        <v>2896</v>
      </c>
      <c r="C385" s="1">
        <f t="shared" ref="C385:C420" si="166">SUM(N385:AU385)</f>
        <v>3411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32">
        <f t="shared" ref="G385:G420" si="167">IF(C385&gt;0,MAX(N385:P385)-LARGE(N385:P385,2),0)</f>
        <v>2291</v>
      </c>
      <c r="H385" s="137">
        <f t="shared" ref="H385:H416" si="168">IF(C385&gt;0,G385/C385,0)</f>
        <v>0.67165054236294341</v>
      </c>
      <c r="I385" s="2"/>
      <c r="J385" s="2">
        <f t="shared" ref="J385:J420" si="169">IF($C385=0,"-",N385/$C385)</f>
        <v>0.15186162415713866</v>
      </c>
      <c r="K385" s="2">
        <f t="shared" ref="K385:K420" si="170">IF($C385=0,"-",O385/$C385)</f>
        <v>0.82351216652008208</v>
      </c>
      <c r="L385" s="2">
        <f t="shared" ref="L385:L420" si="171">IF($C385=0,"-",P385/$C385)</f>
        <v>0</v>
      </c>
      <c r="M385" s="2">
        <f t="shared" ref="M385:M416" si="172">IF(C385=0,"-",(1-J385-K385-L385))</f>
        <v>2.4626209322779258E-2</v>
      </c>
      <c r="N385" s="63">
        <v>518</v>
      </c>
      <c r="O385" s="63">
        <v>2809</v>
      </c>
      <c r="P385" s="63"/>
      <c r="Q385" s="63">
        <v>47</v>
      </c>
      <c r="R385" s="63">
        <v>10</v>
      </c>
      <c r="S385" s="63">
        <v>6</v>
      </c>
      <c r="T385" s="63">
        <v>2</v>
      </c>
      <c r="U385" s="63"/>
      <c r="V385" s="63"/>
      <c r="W385" s="63">
        <f>IF(Copyright!B$11=1,IF(CA385&gt;0,CA385-SUM(X385:AT385)-SUM(U385:V385),SUM(CC385:CG385)),SUM(CC385:CG385))</f>
        <v>19</v>
      </c>
      <c r="X385" s="63"/>
      <c r="Y385" s="63"/>
      <c r="Z385" s="63">
        <v>0</v>
      </c>
      <c r="AA385" s="63"/>
      <c r="AB385" s="63"/>
      <c r="AC385" s="63"/>
      <c r="AD385" s="63"/>
      <c r="AE385" s="63">
        <v>0</v>
      </c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W385" s="5">
        <f>IF(Q385&gt;0,RANK(Q385,(N385:P385,Q385:AE385)),0)</f>
        <v>3</v>
      </c>
      <c r="AX385" s="5">
        <f>IF(R385&gt;0,RANK(R385,(N385:P385,Q385:AE385)),0)</f>
        <v>5</v>
      </c>
      <c r="AY385" s="5">
        <f>IF(T385&gt;0,RANK(T385,(N385:P385,Q385:AE385)),0)</f>
        <v>7</v>
      </c>
      <c r="AZ385" s="5">
        <f>IF(S385&gt;0,RANK(S385,(N385:P385,Q385:AE385)),0)</f>
        <v>6</v>
      </c>
      <c r="BA385" s="2">
        <f t="shared" ref="BA385:BA420" si="173">IF($C385=0,"-",Q385/$C385)</f>
        <v>1.3778950454412195E-2</v>
      </c>
      <c r="BB385" s="2">
        <f t="shared" ref="BB385:BB420" si="174">IF($C385=0,"-",R385/$C385)</f>
        <v>2.9316915860451479E-3</v>
      </c>
      <c r="BC385" s="2">
        <f t="shared" ref="BC385:BC420" si="175">IF($C385=0,"-",T385/$C385)</f>
        <v>5.863383172090296E-4</v>
      </c>
      <c r="BD385" s="2">
        <f t="shared" ref="BD385:BD420" si="176">IF($C385=0,"-",S385/$C385)</f>
        <v>1.7590149516270889E-3</v>
      </c>
      <c r="BF385" t="s">
        <v>496</v>
      </c>
      <c r="BG385" t="s">
        <v>2896</v>
      </c>
      <c r="BH385">
        <v>2</v>
      </c>
      <c r="BJ385" s="114">
        <v>12</v>
      </c>
      <c r="BK385" s="116">
        <v>67</v>
      </c>
      <c r="BL385" s="120">
        <f t="shared" si="165"/>
        <v>12067</v>
      </c>
      <c r="BN385" s="5" t="s">
        <v>3154</v>
      </c>
      <c r="BQ385" s="63">
        <f t="shared" si="163"/>
        <v>19</v>
      </c>
      <c r="BR385" s="63"/>
      <c r="BS385" s="63"/>
      <c r="BU385" s="63"/>
      <c r="BY385" s="63">
        <f t="shared" si="164"/>
        <v>0</v>
      </c>
      <c r="BZ385" s="63">
        <v>3411</v>
      </c>
      <c r="CA385" s="63">
        <v>19</v>
      </c>
      <c r="CB385" s="132"/>
      <c r="CD385" s="63">
        <v>0</v>
      </c>
      <c r="CE385" s="63">
        <v>0</v>
      </c>
      <c r="CF385" s="63">
        <v>0</v>
      </c>
      <c r="CG385" s="8">
        <v>0</v>
      </c>
    </row>
    <row r="386" spans="1:89" hidden="1" outlineLevel="1">
      <c r="A386" t="s">
        <v>820</v>
      </c>
      <c r="B386" t="s">
        <v>2896</v>
      </c>
      <c r="C386" s="1">
        <f t="shared" si="166"/>
        <v>171799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32">
        <f t="shared" si="167"/>
        <v>39350</v>
      </c>
      <c r="H386" s="137">
        <f t="shared" si="168"/>
        <v>0.22904673484711785</v>
      </c>
      <c r="I386" s="2"/>
      <c r="J386" s="2">
        <f t="shared" si="169"/>
        <v>0.36576464356602773</v>
      </c>
      <c r="K386" s="2">
        <f t="shared" si="170"/>
        <v>0.59481137841314558</v>
      </c>
      <c r="L386" s="2">
        <f t="shared" si="171"/>
        <v>0</v>
      </c>
      <c r="M386" s="2">
        <f t="shared" si="172"/>
        <v>3.9423978020826644E-2</v>
      </c>
      <c r="N386" s="63">
        <v>62838</v>
      </c>
      <c r="O386" s="63">
        <v>102188</v>
      </c>
      <c r="P386" s="63"/>
      <c r="Q386" s="63">
        <v>3985</v>
      </c>
      <c r="R386" s="63">
        <v>975</v>
      </c>
      <c r="S386" s="63">
        <v>322</v>
      </c>
      <c r="T386" s="63">
        <v>154</v>
      </c>
      <c r="U386" s="63"/>
      <c r="V386" s="63"/>
      <c r="W386" s="63">
        <f>IF(Copyright!B$11=1,IF(CA386&gt;0,CA386-SUM(X386:AT386)-SUM(U386:V386),SUM(CC386:CG386)),SUM(CC386:CG386))</f>
        <v>1337</v>
      </c>
      <c r="X386" s="63"/>
      <c r="Y386" s="63"/>
      <c r="Z386" s="63">
        <v>0</v>
      </c>
      <c r="AA386" s="63"/>
      <c r="AB386" s="63"/>
      <c r="AC386" s="63"/>
      <c r="AD386" s="63"/>
      <c r="AE386" s="63">
        <v>0</v>
      </c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W386" s="5">
        <f>IF(Q386&gt;0,RANK(Q386,(N386:P386,Q386:AE386)),0)</f>
        <v>3</v>
      </c>
      <c r="AX386" s="5">
        <f>IF(R386&gt;0,RANK(R386,(N386:P386,Q386:AE386)),0)</f>
        <v>5</v>
      </c>
      <c r="AY386" s="5">
        <f>IF(T386&gt;0,RANK(T386,(N386:P386,Q386:AE386)),0)</f>
        <v>7</v>
      </c>
      <c r="AZ386" s="5">
        <f>IF(S386&gt;0,RANK(S386,(N386:P386,Q386:AE386)),0)</f>
        <v>6</v>
      </c>
      <c r="BA386" s="2">
        <f t="shared" si="173"/>
        <v>2.3195711267236713E-2</v>
      </c>
      <c r="BB386" s="2">
        <f t="shared" si="174"/>
        <v>5.6752367592360839E-3</v>
      </c>
      <c r="BC386" s="2">
        <f t="shared" si="175"/>
        <v>8.9639637017677632E-4</v>
      </c>
      <c r="BD386" s="2">
        <f t="shared" si="176"/>
        <v>1.8742833194605323E-3</v>
      </c>
      <c r="BF386" t="s">
        <v>820</v>
      </c>
      <c r="BG386" t="s">
        <v>2896</v>
      </c>
      <c r="BJ386" s="114">
        <v>12</v>
      </c>
      <c r="BK386" s="116">
        <v>69</v>
      </c>
      <c r="BL386" s="120">
        <f t="shared" si="165"/>
        <v>12069</v>
      </c>
      <c r="BN386" s="5" t="s">
        <v>3154</v>
      </c>
      <c r="BO386" s="63">
        <v>2364</v>
      </c>
      <c r="BP386" s="63">
        <v>405</v>
      </c>
      <c r="BQ386" s="63">
        <f t="shared" si="163"/>
        <v>1337</v>
      </c>
      <c r="BR386" s="63"/>
      <c r="BS386" s="63"/>
      <c r="BU386" s="63"/>
      <c r="BY386" s="63">
        <f t="shared" si="164"/>
        <v>-171799</v>
      </c>
      <c r="CA386" s="147">
        <v>1337</v>
      </c>
      <c r="CB386" s="132"/>
      <c r="CD386" s="63">
        <v>0</v>
      </c>
      <c r="CE386" s="63">
        <v>0</v>
      </c>
      <c r="CF386" s="63">
        <v>0</v>
      </c>
      <c r="CG386" s="8">
        <v>0</v>
      </c>
      <c r="CH386" s="63"/>
      <c r="CI386" s="68"/>
    </row>
    <row r="387" spans="1:89" hidden="1" outlineLevel="1">
      <c r="A387" t="s">
        <v>97</v>
      </c>
      <c r="B387" t="s">
        <v>2896</v>
      </c>
      <c r="C387" s="1">
        <f t="shared" si="166"/>
        <v>329554</v>
      </c>
      <c r="D387" s="5">
        <f>IF(N387&gt;0, RANK(N387,(N387:P387,Q387:AE387)),0)</f>
        <v>2</v>
      </c>
      <c r="E387" s="5">
        <f>IF(O387&gt;0,RANK(O387,(N387:P387,Q387:AE387)),0)</f>
        <v>1</v>
      </c>
      <c r="F387" s="5">
        <f>IF(P387&gt;0,RANK(P387,(N387:P387,Q387:AE387)),0)</f>
        <v>0</v>
      </c>
      <c r="G387" s="132">
        <f t="shared" si="167"/>
        <v>66643</v>
      </c>
      <c r="H387" s="137">
        <f t="shared" si="168"/>
        <v>0.20222179066253179</v>
      </c>
      <c r="I387" s="2"/>
      <c r="J387" s="2">
        <f t="shared" si="169"/>
        <v>0.37902134399825216</v>
      </c>
      <c r="K387" s="2">
        <f t="shared" si="170"/>
        <v>0.58124313466078392</v>
      </c>
      <c r="L387" s="2">
        <f t="shared" si="171"/>
        <v>0</v>
      </c>
      <c r="M387" s="2">
        <f t="shared" si="172"/>
        <v>3.973552134096392E-2</v>
      </c>
      <c r="N387" s="63">
        <v>124908</v>
      </c>
      <c r="O387" s="63">
        <v>191551</v>
      </c>
      <c r="P387" s="63"/>
      <c r="Q387" s="63">
        <v>6982</v>
      </c>
      <c r="R387" s="63">
        <v>2127</v>
      </c>
      <c r="S387" s="63">
        <v>558</v>
      </c>
      <c r="T387" s="63">
        <v>292</v>
      </c>
      <c r="U387" s="63"/>
      <c r="V387" s="63"/>
      <c r="W387" s="63">
        <f>IF(Copyright!B$11=1,IF(CA387&gt;0,CA387-SUM(X387:AT387)-SUM(U387:V387),SUM(CC387:CG387)),SUM(CC387:CG387))</f>
        <v>3136</v>
      </c>
      <c r="X387" s="63"/>
      <c r="Y387" s="63"/>
      <c r="Z387" s="63">
        <v>0</v>
      </c>
      <c r="AA387" s="63"/>
      <c r="AB387" s="63"/>
      <c r="AC387" s="63"/>
      <c r="AD387" s="63"/>
      <c r="AE387" s="63">
        <v>0</v>
      </c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W387" s="5">
        <f>IF(Q387&gt;0,RANK(Q387,(N387:P387,Q387:AE387)),0)</f>
        <v>3</v>
      </c>
      <c r="AX387" s="5">
        <f>IF(R387&gt;0,RANK(R387,(N387:P387,Q387:AE387)),0)</f>
        <v>5</v>
      </c>
      <c r="AY387" s="5">
        <f>IF(T387&gt;0,RANK(T387,(N387:P387,Q387:AE387)),0)</f>
        <v>7</v>
      </c>
      <c r="AZ387" s="5">
        <f>IF(S387&gt;0,RANK(S387,(N387:P387,Q387:AE387)),0)</f>
        <v>6</v>
      </c>
      <c r="BA387" s="2">
        <f t="shared" si="173"/>
        <v>2.1186209240367283E-2</v>
      </c>
      <c r="BB387" s="2">
        <f t="shared" si="174"/>
        <v>6.4541774640878274E-3</v>
      </c>
      <c r="BC387" s="2">
        <f t="shared" si="175"/>
        <v>8.8604598942813623E-4</v>
      </c>
      <c r="BD387" s="2">
        <f t="shared" si="176"/>
        <v>1.6931974729482878E-3</v>
      </c>
      <c r="BF387" t="s">
        <v>97</v>
      </c>
      <c r="BG387" t="s">
        <v>2896</v>
      </c>
      <c r="BJ387" s="114">
        <v>12</v>
      </c>
      <c r="BK387" s="116">
        <v>71</v>
      </c>
      <c r="BL387" s="120">
        <f t="shared" si="165"/>
        <v>12071</v>
      </c>
      <c r="BN387" s="5" t="s">
        <v>3154</v>
      </c>
      <c r="BO387" s="147"/>
      <c r="BP387" s="147"/>
      <c r="BQ387" s="63">
        <f t="shared" si="163"/>
        <v>3136</v>
      </c>
      <c r="BR387" s="63"/>
      <c r="BS387" s="63"/>
      <c r="BU387" s="63"/>
      <c r="BY387" s="63">
        <f t="shared" si="164"/>
        <v>-85</v>
      </c>
      <c r="BZ387" s="63">
        <v>329469</v>
      </c>
      <c r="CA387" s="63">
        <v>3136</v>
      </c>
      <c r="CB387" s="132"/>
      <c r="CD387" s="63">
        <v>0</v>
      </c>
      <c r="CE387" s="63">
        <v>0</v>
      </c>
      <c r="CF387" s="63">
        <v>1</v>
      </c>
      <c r="CG387" s="8">
        <v>1</v>
      </c>
      <c r="CH387" s="63"/>
      <c r="CI387" s="68"/>
    </row>
    <row r="388" spans="1:89" hidden="1" outlineLevel="1">
      <c r="A388" t="s">
        <v>1048</v>
      </c>
      <c r="B388" t="s">
        <v>2896</v>
      </c>
      <c r="C388" s="1">
        <f t="shared" si="166"/>
        <v>153881</v>
      </c>
      <c r="D388" s="5">
        <f>IF(N388&gt;0, RANK(N388,(N388:P388,Q388:AE388)),0)</f>
        <v>1</v>
      </c>
      <c r="E388" s="5">
        <f>IF(O388&gt;0,RANK(O388,(N388:P388,Q388:AE388)),0)</f>
        <v>2</v>
      </c>
      <c r="F388" s="5">
        <f>IF(P388&gt;0,RANK(P388,(N388:P388,Q388:AE388)),0)</f>
        <v>0</v>
      </c>
      <c r="G388" s="132">
        <f t="shared" si="167"/>
        <v>38247</v>
      </c>
      <c r="H388" s="137">
        <f t="shared" si="168"/>
        <v>0.24854920360538338</v>
      </c>
      <c r="I388" s="2"/>
      <c r="J388" s="2">
        <f t="shared" si="169"/>
        <v>0.59830648358146876</v>
      </c>
      <c r="K388" s="2">
        <f t="shared" si="170"/>
        <v>0.34975727997608541</v>
      </c>
      <c r="L388" s="2">
        <f t="shared" si="171"/>
        <v>0</v>
      </c>
      <c r="M388" s="2">
        <f t="shared" si="172"/>
        <v>5.1936236442445827E-2</v>
      </c>
      <c r="N388" s="63">
        <v>92068</v>
      </c>
      <c r="O388" s="63">
        <v>53821</v>
      </c>
      <c r="P388" s="63"/>
      <c r="Q388" s="63">
        <v>4403</v>
      </c>
      <c r="R388" s="63">
        <v>1366</v>
      </c>
      <c r="S388" s="63">
        <v>330</v>
      </c>
      <c r="T388" s="63">
        <v>127</v>
      </c>
      <c r="U388" s="63"/>
      <c r="V388" s="63"/>
      <c r="W388" s="63">
        <f>IF(Copyright!B$11=1,IF(CA388&gt;0,CA388-SUM(X388:AT388)-SUM(U388:V388),SUM(CC388:CG388)),SUM(CC388:CG388))</f>
        <v>1757</v>
      </c>
      <c r="X388" s="63"/>
      <c r="Y388" s="63"/>
      <c r="Z388" s="63">
        <v>2</v>
      </c>
      <c r="AA388" s="63"/>
      <c r="AB388" s="63"/>
      <c r="AC388" s="63"/>
      <c r="AD388" s="63"/>
      <c r="AE388" s="63">
        <v>7</v>
      </c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W388" s="5">
        <f>IF(Q388&gt;0,RANK(Q388,(N388:P388,Q388:AE388)),0)</f>
        <v>3</v>
      </c>
      <c r="AX388" s="5">
        <f>IF(R388&gt;0,RANK(R388,(N388:P388,Q388:AE388)),0)</f>
        <v>5</v>
      </c>
      <c r="AY388" s="5">
        <f>IF(T388&gt;0,RANK(T388,(N388:P388,Q388:AE388)),0)</f>
        <v>7</v>
      </c>
      <c r="AZ388" s="5">
        <f>IF(S388&gt;0,RANK(S388,(N388:P388,Q388:AE388)),0)</f>
        <v>6</v>
      </c>
      <c r="BA388" s="2">
        <f t="shared" si="173"/>
        <v>2.8613019151162263E-2</v>
      </c>
      <c r="BB388" s="2">
        <f t="shared" si="174"/>
        <v>8.8769893619095267E-3</v>
      </c>
      <c r="BC388" s="2">
        <f t="shared" si="175"/>
        <v>8.2531306659041725E-4</v>
      </c>
      <c r="BD388" s="2">
        <f t="shared" si="176"/>
        <v>2.1445142675184069E-3</v>
      </c>
      <c r="BF388" t="s">
        <v>1048</v>
      </c>
      <c r="BG388" t="s">
        <v>2896</v>
      </c>
      <c r="BJ388" s="114">
        <v>12</v>
      </c>
      <c r="BK388" s="116">
        <v>73</v>
      </c>
      <c r="BL388" s="120">
        <f t="shared" si="165"/>
        <v>12073</v>
      </c>
      <c r="BN388" s="5" t="s">
        <v>3154</v>
      </c>
      <c r="BO388" s="63">
        <v>1113</v>
      </c>
      <c r="BP388" s="63">
        <v>61</v>
      </c>
      <c r="BQ388" s="63">
        <f t="shared" si="163"/>
        <v>1766</v>
      </c>
      <c r="BR388" s="63"/>
      <c r="BS388" s="63"/>
      <c r="BU388" s="63"/>
      <c r="BY388" s="63">
        <f t="shared" si="164"/>
        <v>0</v>
      </c>
      <c r="BZ388" s="63">
        <v>153881</v>
      </c>
      <c r="CA388" s="63">
        <v>1766</v>
      </c>
      <c r="CB388" s="132"/>
      <c r="CD388" s="63">
        <v>2</v>
      </c>
      <c r="CE388" s="63">
        <v>1</v>
      </c>
      <c r="CF388" s="63">
        <v>1</v>
      </c>
      <c r="CG388" s="8">
        <v>4</v>
      </c>
      <c r="CI388" s="68"/>
    </row>
    <row r="389" spans="1:89" hidden="1" outlineLevel="1">
      <c r="A389" t="s">
        <v>1674</v>
      </c>
      <c r="B389" t="s">
        <v>2896</v>
      </c>
      <c r="C389" s="1">
        <f t="shared" si="166"/>
        <v>19499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32">
        <f t="shared" si="167"/>
        <v>8674</v>
      </c>
      <c r="H389" s="137">
        <f t="shared" si="168"/>
        <v>0.44484332529873327</v>
      </c>
      <c r="I389" s="2"/>
      <c r="J389" s="2">
        <f t="shared" si="169"/>
        <v>0.26160315913636595</v>
      </c>
      <c r="K389" s="2">
        <f t="shared" si="170"/>
        <v>0.70644648443509928</v>
      </c>
      <c r="L389" s="2">
        <f t="shared" si="171"/>
        <v>0</v>
      </c>
      <c r="M389" s="2">
        <f t="shared" si="172"/>
        <v>3.1950356428534832E-2</v>
      </c>
      <c r="N389" s="63">
        <v>5101</v>
      </c>
      <c r="O389" s="63">
        <v>13775</v>
      </c>
      <c r="P389" s="63"/>
      <c r="Q389" s="63">
        <v>358</v>
      </c>
      <c r="R389" s="63">
        <v>102</v>
      </c>
      <c r="S389" s="63">
        <v>46</v>
      </c>
      <c r="T389" s="63">
        <v>13</v>
      </c>
      <c r="U389" s="63"/>
      <c r="V389" s="63"/>
      <c r="W389" s="63">
        <f>IF(Copyright!B$11=1,IF(CA389&gt;0,CA389-SUM(X389:AT389)-SUM(U389:V389),SUM(CC389:CG389)),SUM(CC389:CG389))</f>
        <v>104</v>
      </c>
      <c r="X389" s="63"/>
      <c r="Y389" s="63"/>
      <c r="Z389" s="63">
        <v>0</v>
      </c>
      <c r="AA389" s="63"/>
      <c r="AB389" s="63"/>
      <c r="AC389" s="63"/>
      <c r="AD389" s="63"/>
      <c r="AE389" s="63">
        <v>0</v>
      </c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W389" s="5">
        <f>IF(Q389&gt;0,RANK(Q389,(N389:P389,Q389:AE389)),0)</f>
        <v>3</v>
      </c>
      <c r="AX389" s="5">
        <f>IF(R389&gt;0,RANK(R389,(N389:P389,Q389:AE389)),0)</f>
        <v>5</v>
      </c>
      <c r="AY389" s="5">
        <f>IF(T389&gt;0,RANK(T389,(N389:P389,Q389:AE389)),0)</f>
        <v>7</v>
      </c>
      <c r="AZ389" s="5">
        <f>IF(S389&gt;0,RANK(S389,(N389:P389,Q389:AE389)),0)</f>
        <v>6</v>
      </c>
      <c r="BA389" s="2">
        <f t="shared" si="173"/>
        <v>1.8359915893122723E-2</v>
      </c>
      <c r="BB389" s="2">
        <f t="shared" si="174"/>
        <v>5.2310374891020054E-3</v>
      </c>
      <c r="BC389" s="2">
        <f t="shared" si="175"/>
        <v>6.6670085645417711E-4</v>
      </c>
      <c r="BD389" s="2">
        <f t="shared" si="176"/>
        <v>2.3590953382224729E-3</v>
      </c>
      <c r="BF389" t="s">
        <v>1674</v>
      </c>
      <c r="BG389" t="s">
        <v>2896</v>
      </c>
      <c r="BH389">
        <v>2</v>
      </c>
      <c r="BJ389" s="114">
        <v>12</v>
      </c>
      <c r="BK389" s="116">
        <v>75</v>
      </c>
      <c r="BL389" s="120">
        <f t="shared" si="165"/>
        <v>12075</v>
      </c>
      <c r="BN389" s="5" t="s">
        <v>3154</v>
      </c>
      <c r="BQ389" s="63">
        <f t="shared" si="163"/>
        <v>104</v>
      </c>
      <c r="BR389" s="63"/>
      <c r="BS389" s="63"/>
      <c r="BU389" s="63"/>
      <c r="BY389" s="63">
        <f t="shared" si="164"/>
        <v>-2</v>
      </c>
      <c r="BZ389" s="63">
        <v>19497</v>
      </c>
      <c r="CA389" s="63">
        <v>104</v>
      </c>
      <c r="CB389" s="132"/>
      <c r="CD389" s="63">
        <v>0</v>
      </c>
      <c r="CE389" s="63">
        <v>0</v>
      </c>
      <c r="CF389" s="63">
        <v>0</v>
      </c>
      <c r="CG389" s="8">
        <v>0</v>
      </c>
      <c r="CI389" s="68"/>
    </row>
    <row r="390" spans="1:89" hidden="1" outlineLevel="1">
      <c r="A390" t="s">
        <v>319</v>
      </c>
      <c r="B390" t="s">
        <v>2896</v>
      </c>
      <c r="C390" s="1">
        <f t="shared" si="166"/>
        <v>3312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32">
        <f t="shared" si="167"/>
        <v>1892</v>
      </c>
      <c r="H390" s="137">
        <f t="shared" si="168"/>
        <v>0.57125603864734298</v>
      </c>
      <c r="I390" s="2"/>
      <c r="J390" s="2">
        <f t="shared" si="169"/>
        <v>0.19655797101449277</v>
      </c>
      <c r="K390" s="2">
        <f t="shared" si="170"/>
        <v>0.76781400966183577</v>
      </c>
      <c r="L390" s="2">
        <f t="shared" si="171"/>
        <v>0</v>
      </c>
      <c r="M390" s="2">
        <f t="shared" si="172"/>
        <v>3.5628019323671434E-2</v>
      </c>
      <c r="N390" s="63">
        <v>651</v>
      </c>
      <c r="O390" s="63">
        <v>2543</v>
      </c>
      <c r="P390" s="63"/>
      <c r="Q390" s="63">
        <v>76</v>
      </c>
      <c r="R390" s="63">
        <v>17</v>
      </c>
      <c r="S390" s="63">
        <v>9</v>
      </c>
      <c r="T390" s="63">
        <v>0</v>
      </c>
      <c r="U390" s="63"/>
      <c r="V390" s="63"/>
      <c r="W390" s="63">
        <f>IF(Copyright!B$11=1,IF(CA390&gt;0,CA390-SUM(X390:AT390)-SUM(U390:V390),SUM(CC390:CG390)),SUM(CC390:CG390))</f>
        <v>16</v>
      </c>
      <c r="X390" s="63"/>
      <c r="Y390" s="63"/>
      <c r="Z390" s="63">
        <v>0</v>
      </c>
      <c r="AA390" s="63"/>
      <c r="AB390" s="63"/>
      <c r="AC390" s="63"/>
      <c r="AD390" s="63"/>
      <c r="AE390" s="63">
        <v>0</v>
      </c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W390" s="5">
        <f>IF(Q390&gt;0,RANK(Q390,(N390:P390,Q390:AE390)),0)</f>
        <v>3</v>
      </c>
      <c r="AX390" s="5">
        <f>IF(R390&gt;0,RANK(R390,(N390:P390,Q390:AE390)),0)</f>
        <v>4</v>
      </c>
      <c r="AY390" s="5">
        <f>IF(T390&gt;0,RANK(T390,(N390:P390,Q390:AE390)),0)</f>
        <v>0</v>
      </c>
      <c r="AZ390" s="5">
        <f>IF(S390&gt;0,RANK(S390,(N390:P390,Q390:AE390)),0)</f>
        <v>6</v>
      </c>
      <c r="BA390" s="2">
        <f t="shared" si="173"/>
        <v>2.2946859903381644E-2</v>
      </c>
      <c r="BB390" s="2">
        <f t="shared" si="174"/>
        <v>5.132850241545894E-3</v>
      </c>
      <c r="BC390" s="2">
        <f t="shared" si="175"/>
        <v>0</v>
      </c>
      <c r="BD390" s="2">
        <f t="shared" si="176"/>
        <v>2.717391304347826E-3</v>
      </c>
      <c r="BF390" t="s">
        <v>319</v>
      </c>
      <c r="BG390" t="s">
        <v>2896</v>
      </c>
      <c r="BH390">
        <v>2</v>
      </c>
      <c r="BJ390" s="114">
        <v>12</v>
      </c>
      <c r="BK390" s="116">
        <v>77</v>
      </c>
      <c r="BL390" s="120">
        <f t="shared" si="165"/>
        <v>12077</v>
      </c>
      <c r="BN390" s="5" t="s">
        <v>3154</v>
      </c>
      <c r="BO390" s="63">
        <v>31</v>
      </c>
      <c r="BP390" s="63">
        <v>6</v>
      </c>
      <c r="BQ390" s="63">
        <f t="shared" si="163"/>
        <v>16</v>
      </c>
      <c r="BR390" s="63"/>
      <c r="BS390" s="63"/>
      <c r="BU390" s="63"/>
      <c r="BY390" s="63">
        <f t="shared" si="164"/>
        <v>0</v>
      </c>
      <c r="BZ390" s="63">
        <f>3349-37</f>
        <v>3312</v>
      </c>
      <c r="CA390" s="63">
        <v>16</v>
      </c>
      <c r="CB390" s="132"/>
      <c r="CD390" s="63">
        <v>0</v>
      </c>
      <c r="CE390" s="63">
        <v>0</v>
      </c>
      <c r="CF390" s="63">
        <v>0</v>
      </c>
      <c r="CG390" s="8">
        <v>0</v>
      </c>
      <c r="CI390" s="68"/>
    </row>
    <row r="391" spans="1:89" hidden="1" outlineLevel="1">
      <c r="A391" t="s">
        <v>1650</v>
      </c>
      <c r="B391" t="s">
        <v>2896</v>
      </c>
      <c r="C391" s="1">
        <f t="shared" si="166"/>
        <v>8540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32">
        <f t="shared" si="167"/>
        <v>1325</v>
      </c>
      <c r="H391" s="137">
        <f t="shared" si="168"/>
        <v>0.15515222482435598</v>
      </c>
      <c r="I391" s="2"/>
      <c r="J391" s="2">
        <f t="shared" si="169"/>
        <v>0.41288056206088991</v>
      </c>
      <c r="K391" s="2">
        <f t="shared" si="170"/>
        <v>0.56803278688524594</v>
      </c>
      <c r="L391" s="2">
        <f t="shared" si="171"/>
        <v>0</v>
      </c>
      <c r="M391" s="2">
        <f t="shared" si="172"/>
        <v>1.908665105386409E-2</v>
      </c>
      <c r="N391" s="63">
        <v>3526</v>
      </c>
      <c r="O391" s="63">
        <v>4851</v>
      </c>
      <c r="P391" s="63"/>
      <c r="Q391" s="63">
        <v>95</v>
      </c>
      <c r="R391" s="63">
        <v>22</v>
      </c>
      <c r="S391" s="63">
        <v>8</v>
      </c>
      <c r="T391" s="63">
        <v>3</v>
      </c>
      <c r="U391" s="63"/>
      <c r="V391" s="63"/>
      <c r="W391" s="63">
        <f>IF(Copyright!B$11=1,IF(CA391&gt;0,CA391-SUM(X391:AT391)-SUM(U391:V391),SUM(CC391:CG391)),SUM(CC391:CG391))</f>
        <v>35</v>
      </c>
      <c r="X391" s="63"/>
      <c r="Y391" s="63"/>
      <c r="Z391" s="63">
        <v>0</v>
      </c>
      <c r="AA391" s="63"/>
      <c r="AB391" s="63"/>
      <c r="AC391" s="63"/>
      <c r="AD391" s="63"/>
      <c r="AE391" s="63">
        <v>0</v>
      </c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W391" s="5">
        <f>IF(Q391&gt;0,RANK(Q391,(N391:P391,Q391:AE391)),0)</f>
        <v>3</v>
      </c>
      <c r="AX391" s="5">
        <f>IF(R391&gt;0,RANK(R391,(N391:P391,Q391:AE391)),0)</f>
        <v>5</v>
      </c>
      <c r="AY391" s="5">
        <f>IF(T391&gt;0,RANK(T391,(N391:P391,Q391:AE391)),0)</f>
        <v>7</v>
      </c>
      <c r="AZ391" s="5">
        <f>IF(S391&gt;0,RANK(S391,(N391:P391,Q391:AE391)),0)</f>
        <v>6</v>
      </c>
      <c r="BA391" s="2">
        <f t="shared" si="173"/>
        <v>1.1124121779859485E-2</v>
      </c>
      <c r="BB391" s="2">
        <f t="shared" si="174"/>
        <v>2.5761124121779859E-3</v>
      </c>
      <c r="BC391" s="2">
        <f t="shared" si="175"/>
        <v>3.5128805620608899E-4</v>
      </c>
      <c r="BD391" s="2">
        <f t="shared" si="176"/>
        <v>9.3676814988290398E-4</v>
      </c>
      <c r="BF391" t="s">
        <v>1650</v>
      </c>
      <c r="BG391" t="s">
        <v>2896</v>
      </c>
      <c r="BH391">
        <v>5</v>
      </c>
      <c r="BJ391" s="114">
        <v>12</v>
      </c>
      <c r="BK391" s="116">
        <v>79</v>
      </c>
      <c r="BL391" s="120">
        <f t="shared" si="165"/>
        <v>12079</v>
      </c>
      <c r="BN391" s="5" t="s">
        <v>3154</v>
      </c>
      <c r="BQ391" s="63">
        <f t="shared" si="163"/>
        <v>35</v>
      </c>
      <c r="BR391" s="63"/>
      <c r="BS391" s="63"/>
      <c r="BU391" s="63"/>
      <c r="BY391" s="63">
        <f t="shared" si="164"/>
        <v>0</v>
      </c>
      <c r="BZ391" s="63">
        <v>8540</v>
      </c>
      <c r="CA391" s="63">
        <v>35</v>
      </c>
      <c r="CB391" s="132"/>
      <c r="CD391" s="63">
        <v>0</v>
      </c>
      <c r="CE391" s="63">
        <v>0</v>
      </c>
      <c r="CF391" s="63">
        <v>0</v>
      </c>
      <c r="CG391" s="8">
        <v>0</v>
      </c>
      <c r="CI391" s="68"/>
    </row>
    <row r="392" spans="1:89" hidden="1" outlineLevel="1">
      <c r="A392" t="s">
        <v>33</v>
      </c>
      <c r="B392" t="s">
        <v>2896</v>
      </c>
      <c r="C392" s="1">
        <f t="shared" si="166"/>
        <v>180757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32">
        <f t="shared" si="167"/>
        <v>30720</v>
      </c>
      <c r="H392" s="137">
        <f t="shared" si="168"/>
        <v>0.16995192440680029</v>
      </c>
      <c r="I392" s="2"/>
      <c r="J392" s="2">
        <f t="shared" si="169"/>
        <v>0.39403176640462056</v>
      </c>
      <c r="K392" s="2">
        <f t="shared" si="170"/>
        <v>0.56398369081142086</v>
      </c>
      <c r="L392" s="2">
        <f t="shared" si="171"/>
        <v>0</v>
      </c>
      <c r="M392" s="2">
        <f t="shared" si="172"/>
        <v>4.1984542783958578E-2</v>
      </c>
      <c r="N392" s="63">
        <v>71224</v>
      </c>
      <c r="O392" s="63">
        <v>101944</v>
      </c>
      <c r="P392" s="63"/>
      <c r="Q392" s="63">
        <v>4177</v>
      </c>
      <c r="R392" s="63">
        <v>1149</v>
      </c>
      <c r="S392" s="63">
        <v>319</v>
      </c>
      <c r="T392" s="63">
        <v>141</v>
      </c>
      <c r="U392" s="63"/>
      <c r="V392" s="63"/>
      <c r="W392" s="63">
        <f>IF(Copyright!B$11=1,IF(CA392&gt;0,CA392-SUM(X392:AT392)-SUM(U392:V392),SUM(CC392:CG392)),SUM(CC392:CG392))</f>
        <v>1799</v>
      </c>
      <c r="X392" s="63"/>
      <c r="Y392" s="63"/>
      <c r="Z392" s="63">
        <v>0</v>
      </c>
      <c r="AA392" s="63"/>
      <c r="AB392" s="63"/>
      <c r="AC392" s="63"/>
      <c r="AD392" s="63"/>
      <c r="AE392" s="63">
        <v>4</v>
      </c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W392" s="5">
        <f>IF(Q392&gt;0,RANK(Q392,(N392:P392,Q392:AE392)),0)</f>
        <v>3</v>
      </c>
      <c r="AX392" s="5">
        <f>IF(R392&gt;0,RANK(R392,(N392:P392,Q392:AE392)),0)</f>
        <v>5</v>
      </c>
      <c r="AY392" s="5">
        <f>IF(T392&gt;0,RANK(T392,(N392:P392,Q392:AE392)),0)</f>
        <v>7</v>
      </c>
      <c r="AZ392" s="5">
        <f>IF(S392&gt;0,RANK(S392,(N392:P392,Q392:AE392)),0)</f>
        <v>6</v>
      </c>
      <c r="BA392" s="2">
        <f t="shared" si="173"/>
        <v>2.3108372013255364E-2</v>
      </c>
      <c r="BB392" s="2">
        <f t="shared" si="174"/>
        <v>6.3566002976371593E-3</v>
      </c>
      <c r="BC392" s="2">
        <f t="shared" si="175"/>
        <v>7.8005277803902475E-4</v>
      </c>
      <c r="BD392" s="2">
        <f t="shared" si="176"/>
        <v>1.7648002566982191E-3</v>
      </c>
      <c r="BF392" t="s">
        <v>33</v>
      </c>
      <c r="BG392" t="s">
        <v>2896</v>
      </c>
      <c r="BH392">
        <v>16</v>
      </c>
      <c r="BJ392" s="114">
        <v>12</v>
      </c>
      <c r="BK392" s="116">
        <v>81</v>
      </c>
      <c r="BL392" s="120">
        <f t="shared" si="165"/>
        <v>12081</v>
      </c>
      <c r="BN392" s="5" t="s">
        <v>3154</v>
      </c>
      <c r="BQ392" s="63">
        <f>CA392</f>
        <v>1803</v>
      </c>
      <c r="BR392" s="63"/>
      <c r="BS392" s="63"/>
      <c r="BT392" s="63"/>
      <c r="BU392" s="63"/>
      <c r="BY392" s="63">
        <f t="shared" si="164"/>
        <v>0</v>
      </c>
      <c r="BZ392" s="63">
        <f>101944+71224+4177+319+1149+141+1803</f>
        <v>180757</v>
      </c>
      <c r="CA392" s="63">
        <v>1803</v>
      </c>
      <c r="CB392" s="132"/>
      <c r="CD392" s="63">
        <v>0</v>
      </c>
      <c r="CE392" s="63">
        <v>0</v>
      </c>
      <c r="CF392" s="63">
        <v>0</v>
      </c>
      <c r="CG392" s="8">
        <v>0</v>
      </c>
      <c r="CI392" s="68"/>
    </row>
    <row r="393" spans="1:89" hidden="1" outlineLevel="1">
      <c r="A393" t="s">
        <v>1826</v>
      </c>
      <c r="B393" t="s">
        <v>2896</v>
      </c>
      <c r="C393" s="1">
        <f t="shared" si="166"/>
        <v>175900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32">
        <f t="shared" si="167"/>
        <v>45792</v>
      </c>
      <c r="H393" s="137">
        <f t="shared" si="168"/>
        <v>0.26032973280272881</v>
      </c>
      <c r="I393" s="2"/>
      <c r="J393" s="2">
        <f t="shared" si="169"/>
        <v>0.35270608300170553</v>
      </c>
      <c r="K393" s="2">
        <f t="shared" si="170"/>
        <v>0.61303581580443434</v>
      </c>
      <c r="L393" s="2">
        <f t="shared" si="171"/>
        <v>0</v>
      </c>
      <c r="M393" s="2">
        <f t="shared" si="172"/>
        <v>3.4258101193860191E-2</v>
      </c>
      <c r="N393" s="63">
        <v>62041</v>
      </c>
      <c r="O393" s="63">
        <v>107833</v>
      </c>
      <c r="P393" s="63"/>
      <c r="Q393" s="63">
        <v>3365</v>
      </c>
      <c r="R393" s="63">
        <v>972</v>
      </c>
      <c r="S393" s="63">
        <v>315</v>
      </c>
      <c r="T393" s="63">
        <v>172</v>
      </c>
      <c r="U393" s="63"/>
      <c r="V393" s="63"/>
      <c r="W393" s="63">
        <f>IF(Copyright!B$11=1,IF(CA393&gt;0,CA393-SUM(X393:AT393)-SUM(U393:V393),SUM(CC393:CG393)),SUM(CC393:CG393))</f>
        <v>1201</v>
      </c>
      <c r="X393" s="63"/>
      <c r="Y393" s="63"/>
      <c r="Z393" s="63">
        <v>1</v>
      </c>
      <c r="AA393" s="63"/>
      <c r="AB393" s="63"/>
      <c r="AC393" s="63"/>
      <c r="AD393" s="63"/>
      <c r="AE393" s="63">
        <v>0</v>
      </c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W393" s="5">
        <f>IF(Q393&gt;0,RANK(Q393,(N393:P393,Q393:AE393)),0)</f>
        <v>3</v>
      </c>
      <c r="AX393" s="5">
        <f>IF(R393&gt;0,RANK(R393,(N393:P393,Q393:AE393)),0)</f>
        <v>5</v>
      </c>
      <c r="AY393" s="5">
        <f>IF(T393&gt;0,RANK(T393,(N393:P393,Q393:AE393)),0)</f>
        <v>7</v>
      </c>
      <c r="AZ393" s="5">
        <f>IF(S393&gt;0,RANK(S393,(N393:P393,Q393:AE393)),0)</f>
        <v>6</v>
      </c>
      <c r="BA393" s="2">
        <f t="shared" si="173"/>
        <v>1.9130187606594656E-2</v>
      </c>
      <c r="BB393" s="2">
        <f t="shared" si="174"/>
        <v>5.5258669698692439E-3</v>
      </c>
      <c r="BC393" s="2">
        <f t="shared" si="175"/>
        <v>9.7782831154064813E-4</v>
      </c>
      <c r="BD393" s="2">
        <f t="shared" si="176"/>
        <v>1.7907902217168847E-3</v>
      </c>
      <c r="BF393" t="s">
        <v>1826</v>
      </c>
      <c r="BG393" t="s">
        <v>2896</v>
      </c>
      <c r="BJ393" s="114">
        <v>12</v>
      </c>
      <c r="BK393" s="116">
        <v>83</v>
      </c>
      <c r="BL393" s="120">
        <f t="shared" si="165"/>
        <v>12083</v>
      </c>
      <c r="BN393" s="5" t="s">
        <v>3154</v>
      </c>
      <c r="BQ393" s="63">
        <f t="shared" si="163"/>
        <v>1202</v>
      </c>
      <c r="BR393" s="63"/>
      <c r="BS393" s="132"/>
      <c r="BU393" s="63"/>
      <c r="BY393" s="63">
        <f t="shared" si="164"/>
        <v>0</v>
      </c>
      <c r="BZ393" s="63">
        <v>175900</v>
      </c>
      <c r="CA393" s="63">
        <v>1202</v>
      </c>
      <c r="CB393" s="132"/>
      <c r="CD393" s="63">
        <v>1</v>
      </c>
      <c r="CE393" s="63">
        <v>0</v>
      </c>
      <c r="CF393" s="63">
        <v>0</v>
      </c>
      <c r="CG393" s="8">
        <v>0</v>
      </c>
      <c r="CI393" s="68"/>
      <c r="CJ393" s="63"/>
      <c r="CK393" s="68"/>
    </row>
    <row r="394" spans="1:89" hidden="1" outlineLevel="1">
      <c r="A394" t="s">
        <v>1</v>
      </c>
      <c r="B394" t="s">
        <v>2896</v>
      </c>
      <c r="C394" s="1">
        <f t="shared" si="166"/>
        <v>86633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>IF(P394&gt;0,RANK(P394,(N394:P394,Q394:AE394)),0)</f>
        <v>0</v>
      </c>
      <c r="G394" s="132">
        <f t="shared" si="167"/>
        <v>23019</v>
      </c>
      <c r="H394" s="137">
        <f t="shared" si="168"/>
        <v>0.26570706312836911</v>
      </c>
      <c r="I394" s="2"/>
      <c r="J394" s="2">
        <f t="shared" si="169"/>
        <v>0.34842381078803691</v>
      </c>
      <c r="K394" s="2">
        <f t="shared" si="170"/>
        <v>0.61413087391640597</v>
      </c>
      <c r="L394" s="2">
        <f t="shared" si="171"/>
        <v>0</v>
      </c>
      <c r="M394" s="2">
        <f t="shared" si="172"/>
        <v>3.7445315295557169E-2</v>
      </c>
      <c r="N394" s="63">
        <v>30185</v>
      </c>
      <c r="O394" s="63">
        <v>53204</v>
      </c>
      <c r="P394" s="63"/>
      <c r="Q394" s="63">
        <v>1804</v>
      </c>
      <c r="R394" s="63">
        <v>474</v>
      </c>
      <c r="S394" s="63">
        <v>86</v>
      </c>
      <c r="T394" s="63">
        <v>39</v>
      </c>
      <c r="U394" s="63"/>
      <c r="V394" s="63"/>
      <c r="W394" s="63">
        <f>IF(Copyright!B$11=1,IF(CA394&gt;0,CA394-SUM(X394:AT394)-SUM(U394:V394),SUM(CC394:CG394)),SUM(CC394:CG394))</f>
        <v>841</v>
      </c>
      <c r="X394" s="63"/>
      <c r="Y394" s="63"/>
      <c r="Z394" s="63">
        <v>0</v>
      </c>
      <c r="AA394" s="63"/>
      <c r="AB394" s="63"/>
      <c r="AC394" s="63"/>
      <c r="AD394" s="63"/>
      <c r="AE394" s="63">
        <v>0</v>
      </c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W394" s="5">
        <f>IF(Q394&gt;0,RANK(Q394,(N394:P394,Q394:AE394)),0)</f>
        <v>3</v>
      </c>
      <c r="AX394" s="5">
        <f>IF(R394&gt;0,RANK(R394,(N394:P394,Q394:AE394)),0)</f>
        <v>5</v>
      </c>
      <c r="AY394" s="5">
        <f>IF(T394&gt;0,RANK(T394,(N394:P394,Q394:AE394)),0)</f>
        <v>7</v>
      </c>
      <c r="AZ394" s="5">
        <f>IF(S394&gt;0,RANK(S394,(N394:P394,Q394:AE394)),0)</f>
        <v>6</v>
      </c>
      <c r="BA394" s="2">
        <f t="shared" si="173"/>
        <v>2.0823473734027449E-2</v>
      </c>
      <c r="BB394" s="2">
        <f t="shared" si="174"/>
        <v>5.4713561806701838E-3</v>
      </c>
      <c r="BC394" s="2">
        <f t="shared" si="175"/>
        <v>4.5017487562476195E-4</v>
      </c>
      <c r="BD394" s="2">
        <f t="shared" si="176"/>
        <v>9.9269331548024415E-4</v>
      </c>
      <c r="BF394" t="s">
        <v>1</v>
      </c>
      <c r="BG394" t="s">
        <v>2896</v>
      </c>
      <c r="BH394">
        <v>18</v>
      </c>
      <c r="BJ394" s="114">
        <v>12</v>
      </c>
      <c r="BK394" s="116">
        <v>85</v>
      </c>
      <c r="BL394" s="120">
        <f t="shared" si="165"/>
        <v>12085</v>
      </c>
      <c r="BN394" s="5" t="s">
        <v>3154</v>
      </c>
      <c r="BQ394" s="63">
        <f t="shared" si="163"/>
        <v>841</v>
      </c>
      <c r="BR394" s="63"/>
      <c r="BS394" s="132"/>
      <c r="BU394" s="63"/>
      <c r="BY394" s="63">
        <f t="shared" si="164"/>
        <v>0</v>
      </c>
      <c r="BZ394" s="63">
        <v>86633</v>
      </c>
      <c r="CA394" s="63">
        <v>841</v>
      </c>
      <c r="CB394" s="132"/>
      <c r="CD394" s="63">
        <v>0</v>
      </c>
      <c r="CE394" s="63">
        <v>0</v>
      </c>
      <c r="CF394" s="63">
        <v>0</v>
      </c>
      <c r="CG394" s="8">
        <v>0</v>
      </c>
      <c r="CI394" s="68"/>
      <c r="CJ394" s="63"/>
      <c r="CK394" s="68"/>
    </row>
    <row r="395" spans="1:89" hidden="1" outlineLevel="1">
      <c r="A395" t="s">
        <v>146</v>
      </c>
      <c r="B395" t="s">
        <v>2896</v>
      </c>
      <c r="C395" s="1">
        <f t="shared" si="166"/>
        <v>987191</v>
      </c>
      <c r="D395" s="5">
        <f>IF(N395&gt;0, RANK(N395,(N395:P395,Q395:AE395)),0)</f>
        <v>1</v>
      </c>
      <c r="E395" s="5">
        <f>IF(O395&gt;0,RANK(O395,(N395:P395,Q395:AE395)),0)</f>
        <v>2</v>
      </c>
      <c r="F395" s="5">
        <f>IF(P395&gt;0,RANK(P395,(N395:P395,Q395:AE395)),0)</f>
        <v>0</v>
      </c>
      <c r="G395" s="132">
        <f t="shared" si="167"/>
        <v>290147</v>
      </c>
      <c r="H395" s="137">
        <f t="shared" si="168"/>
        <v>0.29391171515947773</v>
      </c>
      <c r="I395" s="2"/>
      <c r="J395" s="2">
        <f t="shared" si="169"/>
        <v>0.63224441875989545</v>
      </c>
      <c r="K395" s="2">
        <f t="shared" si="170"/>
        <v>0.33833270360041773</v>
      </c>
      <c r="L395" s="2">
        <f t="shared" si="171"/>
        <v>0</v>
      </c>
      <c r="M395" s="2">
        <f t="shared" si="172"/>
        <v>2.9422877639686817E-2</v>
      </c>
      <c r="N395" s="63">
        <v>624146</v>
      </c>
      <c r="O395" s="63">
        <v>333999</v>
      </c>
      <c r="P395" s="63"/>
      <c r="Q395" s="63">
        <v>13219</v>
      </c>
      <c r="R395" s="63">
        <v>5985</v>
      </c>
      <c r="S395" s="63">
        <v>1273</v>
      </c>
      <c r="T395" s="63">
        <v>1582</v>
      </c>
      <c r="U395" s="63"/>
      <c r="V395" s="63"/>
      <c r="W395" s="63">
        <f>IF(Copyright!B$11=1,IF(CA395&gt;0,CA395-SUM(X395:AT395)-SUM(U395:V395),SUM(CC395:CG395)),SUM(CC395:CG395))</f>
        <v>6987</v>
      </c>
      <c r="X395" s="63"/>
      <c r="Y395" s="63"/>
      <c r="Z395" s="63">
        <v>0</v>
      </c>
      <c r="AA395" s="63"/>
      <c r="AB395" s="63"/>
      <c r="AC395" s="63"/>
      <c r="AD395" s="63"/>
      <c r="AE395" s="63">
        <v>0</v>
      </c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W395" s="5">
        <f>IF(Q395&gt;0,RANK(Q395,(N395:P395,Q395:AE395)),0)</f>
        <v>3</v>
      </c>
      <c r="AX395" s="5">
        <f>IF(R395&gt;0,RANK(R395,(N395:P395,Q395:AE395)),0)</f>
        <v>5</v>
      </c>
      <c r="AY395" s="5">
        <f>IF(T395&gt;0,RANK(T395,(N395:P395,Q395:AE395)),0)</f>
        <v>6</v>
      </c>
      <c r="AZ395" s="5">
        <f>IF(S395&gt;0,RANK(S395,(N395:P395,Q395:AE395)),0)</f>
        <v>7</v>
      </c>
      <c r="BA395" s="2">
        <f t="shared" si="173"/>
        <v>1.3390519159919408E-2</v>
      </c>
      <c r="BB395" s="2">
        <f t="shared" si="174"/>
        <v>6.0626565679792466E-3</v>
      </c>
      <c r="BC395" s="2">
        <f t="shared" si="175"/>
        <v>1.6025267653372042E-3</v>
      </c>
      <c r="BD395" s="2">
        <f t="shared" si="176"/>
        <v>1.2895174287447921E-3</v>
      </c>
      <c r="BF395" t="s">
        <v>146</v>
      </c>
      <c r="BG395" t="s">
        <v>2896</v>
      </c>
      <c r="BJ395" s="114">
        <v>12</v>
      </c>
      <c r="BK395" s="116">
        <v>86</v>
      </c>
      <c r="BL395" s="120">
        <f t="shared" si="165"/>
        <v>12086</v>
      </c>
      <c r="BN395" s="5" t="s">
        <v>3154</v>
      </c>
      <c r="BO395" s="147"/>
      <c r="BP395" s="147"/>
      <c r="BQ395" s="63">
        <f t="shared" si="163"/>
        <v>6987</v>
      </c>
      <c r="BR395" s="63"/>
      <c r="BS395" s="132"/>
      <c r="BU395" s="63"/>
      <c r="BY395" s="63">
        <f t="shared" si="164"/>
        <v>0</v>
      </c>
      <c r="BZ395" s="63">
        <v>987191</v>
      </c>
      <c r="CA395" s="63">
        <v>6987</v>
      </c>
      <c r="CB395" s="132"/>
      <c r="CD395" s="63">
        <v>0</v>
      </c>
      <c r="CE395" s="63">
        <v>0</v>
      </c>
      <c r="CF395" s="63">
        <v>0</v>
      </c>
      <c r="CG395" s="8">
        <v>0</v>
      </c>
      <c r="CI395" s="68"/>
      <c r="CK395" s="68"/>
    </row>
    <row r="396" spans="1:89" hidden="1" outlineLevel="1">
      <c r="A396" t="s">
        <v>644</v>
      </c>
      <c r="B396" t="s">
        <v>2896</v>
      </c>
      <c r="C396" s="1">
        <f t="shared" si="166"/>
        <v>42977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32">
        <f t="shared" si="167"/>
        <v>2933</v>
      </c>
      <c r="H396" s="137">
        <f t="shared" si="168"/>
        <v>6.8245805896177028E-2</v>
      </c>
      <c r="I396" s="2"/>
      <c r="J396" s="2">
        <f t="shared" si="169"/>
        <v>0.44142215603695001</v>
      </c>
      <c r="K396" s="2">
        <f t="shared" si="170"/>
        <v>0.50966796193312702</v>
      </c>
      <c r="L396" s="2">
        <f t="shared" si="171"/>
        <v>0</v>
      </c>
      <c r="M396" s="2">
        <f t="shared" si="172"/>
        <v>4.8909882029922969E-2</v>
      </c>
      <c r="N396" s="63">
        <v>18971</v>
      </c>
      <c r="O396" s="63">
        <v>21904</v>
      </c>
      <c r="P396" s="63"/>
      <c r="Q396" s="63">
        <v>1131</v>
      </c>
      <c r="R396" s="63">
        <v>398</v>
      </c>
      <c r="S396" s="63">
        <v>41</v>
      </c>
      <c r="T396" s="63">
        <v>33</v>
      </c>
      <c r="U396" s="63"/>
      <c r="V396" s="63"/>
      <c r="W396" s="63">
        <f>IF(Copyright!B$11=1,IF(CA396&gt;0,CA396-SUM(X396:AT396)-SUM(U396:V396),SUM(CC396:CG396)),SUM(CC396:CG396))</f>
        <v>499</v>
      </c>
      <c r="X396" s="63"/>
      <c r="Y396" s="63"/>
      <c r="Z396" s="63">
        <v>0</v>
      </c>
      <c r="AA396" s="63"/>
      <c r="AB396" s="63"/>
      <c r="AC396" s="63"/>
      <c r="AD396" s="63"/>
      <c r="AE396" s="63">
        <v>0</v>
      </c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W396" s="5">
        <f>IF(Q396&gt;0,RANK(Q396,(N396:P396,Q396:AE396)),0)</f>
        <v>3</v>
      </c>
      <c r="AX396" s="5">
        <f>IF(R396&gt;0,RANK(R396,(N396:P396,Q396:AE396)),0)</f>
        <v>5</v>
      </c>
      <c r="AY396" s="5">
        <f>IF(T396&gt;0,RANK(T396,(N396:P396,Q396:AE396)),0)</f>
        <v>7</v>
      </c>
      <c r="AZ396" s="5">
        <f>IF(S396&gt;0,RANK(S396,(N396:P396,Q396:AE396)),0)</f>
        <v>6</v>
      </c>
      <c r="BA396" s="2">
        <f t="shared" si="173"/>
        <v>2.6316401796309653E-2</v>
      </c>
      <c r="BB396" s="2">
        <f t="shared" si="174"/>
        <v>9.2607673872071115E-3</v>
      </c>
      <c r="BC396" s="2">
        <f t="shared" si="175"/>
        <v>7.6785257230611718E-4</v>
      </c>
      <c r="BD396" s="2">
        <f t="shared" si="176"/>
        <v>9.5399865044093349E-4</v>
      </c>
      <c r="BF396" t="s">
        <v>644</v>
      </c>
      <c r="BG396" t="s">
        <v>2896</v>
      </c>
      <c r="BH396">
        <v>26</v>
      </c>
      <c r="BJ396" s="114">
        <v>12</v>
      </c>
      <c r="BK396" s="116">
        <v>87</v>
      </c>
      <c r="BL396" s="120">
        <f t="shared" si="165"/>
        <v>12087</v>
      </c>
      <c r="BN396" s="5" t="s">
        <v>3154</v>
      </c>
      <c r="BO396" s="147"/>
      <c r="BP396" s="147"/>
      <c r="BQ396" s="63">
        <f t="shared" si="163"/>
        <v>499</v>
      </c>
      <c r="BR396" s="63"/>
      <c r="BS396" s="63"/>
      <c r="BU396" s="63"/>
      <c r="BY396" s="63">
        <f t="shared" si="164"/>
        <v>0</v>
      </c>
      <c r="BZ396" s="63">
        <v>42977</v>
      </c>
      <c r="CA396" s="63">
        <v>499</v>
      </c>
      <c r="CB396" s="132"/>
      <c r="CD396" s="63">
        <v>0</v>
      </c>
      <c r="CE396" s="63">
        <v>0</v>
      </c>
      <c r="CF396" s="63">
        <v>0</v>
      </c>
      <c r="CG396" s="8">
        <v>0</v>
      </c>
      <c r="CI396" s="68"/>
      <c r="CK396" s="68"/>
    </row>
    <row r="397" spans="1:89" hidden="1" outlineLevel="1">
      <c r="A397" t="s">
        <v>83</v>
      </c>
      <c r="B397" t="s">
        <v>2896</v>
      </c>
      <c r="C397" s="1">
        <f t="shared" si="166"/>
        <v>46992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32">
        <f t="shared" si="167"/>
        <v>23397</v>
      </c>
      <c r="H397" s="137">
        <f t="shared" si="168"/>
        <v>0.4978932584269663</v>
      </c>
      <c r="I397" s="2"/>
      <c r="J397" s="2">
        <f t="shared" si="169"/>
        <v>0.23129468845760981</v>
      </c>
      <c r="K397" s="2">
        <f t="shared" si="170"/>
        <v>0.72918794688457611</v>
      </c>
      <c r="L397" s="2">
        <f t="shared" si="171"/>
        <v>0</v>
      </c>
      <c r="M397" s="2">
        <f t="shared" si="172"/>
        <v>3.951736465781408E-2</v>
      </c>
      <c r="N397" s="63">
        <v>10869</v>
      </c>
      <c r="O397" s="63">
        <v>34266</v>
      </c>
      <c r="P397" s="63"/>
      <c r="Q397" s="63">
        <v>1195</v>
      </c>
      <c r="R397" s="63">
        <v>188</v>
      </c>
      <c r="S397" s="63">
        <v>67</v>
      </c>
      <c r="T397" s="63">
        <v>22</v>
      </c>
      <c r="U397" s="63"/>
      <c r="V397" s="63"/>
      <c r="W397" s="63">
        <f>IF(Copyright!B$11=1,IF(CA397&gt;0,CA397-SUM(X397:AT397)-SUM(U397:V397),SUM(CC397:CG397)),SUM(CC397:CG397))</f>
        <v>385</v>
      </c>
      <c r="X397" s="63"/>
      <c r="Y397" s="63"/>
      <c r="Z397" s="63">
        <v>0</v>
      </c>
      <c r="AA397" s="63"/>
      <c r="AB397" s="63"/>
      <c r="AC397" s="63"/>
      <c r="AD397" s="63"/>
      <c r="AE397" s="63">
        <v>0</v>
      </c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W397" s="5">
        <f>IF(Q397&gt;0,RANK(Q397,(N397:P397,Q397:AE397)),0)</f>
        <v>3</v>
      </c>
      <c r="AX397" s="5">
        <f>IF(R397&gt;0,RANK(R397,(N397:P397,Q397:AE397)),0)</f>
        <v>5</v>
      </c>
      <c r="AY397" s="5">
        <f>IF(T397&gt;0,RANK(T397,(N397:P397,Q397:AE397)),0)</f>
        <v>7</v>
      </c>
      <c r="AZ397" s="5">
        <f>IF(S397&gt;0,RANK(S397,(N397:P397,Q397:AE397)),0)</f>
        <v>6</v>
      </c>
      <c r="BA397" s="2">
        <f t="shared" si="173"/>
        <v>2.5429860401770515E-2</v>
      </c>
      <c r="BB397" s="2">
        <f t="shared" si="174"/>
        <v>4.0006809669731018E-3</v>
      </c>
      <c r="BC397" s="2">
        <f t="shared" si="175"/>
        <v>4.6816479400749064E-4</v>
      </c>
      <c r="BD397" s="2">
        <f t="shared" si="176"/>
        <v>1.4257745999319033E-3</v>
      </c>
      <c r="BF397" t="s">
        <v>83</v>
      </c>
      <c r="BG397" t="s">
        <v>2896</v>
      </c>
      <c r="BH397">
        <v>4</v>
      </c>
      <c r="BJ397" s="114">
        <v>12</v>
      </c>
      <c r="BK397" s="116">
        <v>89</v>
      </c>
      <c r="BL397" s="120">
        <f t="shared" si="165"/>
        <v>12089</v>
      </c>
      <c r="BN397" s="5" t="s">
        <v>3154</v>
      </c>
      <c r="BQ397" s="63">
        <f t="shared" si="163"/>
        <v>385</v>
      </c>
      <c r="BR397" s="63"/>
      <c r="BS397" s="63"/>
      <c r="BU397" s="63"/>
      <c r="BY397" s="63">
        <f t="shared" si="164"/>
        <v>0</v>
      </c>
      <c r="BZ397" s="63">
        <v>46992</v>
      </c>
      <c r="CA397" s="63">
        <v>385</v>
      </c>
      <c r="CB397" s="132"/>
      <c r="CD397" s="63">
        <v>0</v>
      </c>
      <c r="CE397" s="63">
        <v>0</v>
      </c>
      <c r="CF397" s="63">
        <v>0</v>
      </c>
      <c r="CG397" s="8">
        <v>0</v>
      </c>
      <c r="CI397" s="68"/>
      <c r="CK397" s="68"/>
    </row>
    <row r="398" spans="1:89" hidden="1" outlineLevel="1">
      <c r="A398" t="s">
        <v>1638</v>
      </c>
      <c r="B398" t="s">
        <v>2896</v>
      </c>
      <c r="C398" s="1">
        <f t="shared" si="166"/>
        <v>102096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32">
        <f t="shared" si="167"/>
        <v>48113</v>
      </c>
      <c r="H398" s="137">
        <f t="shared" si="168"/>
        <v>0.47125254662278637</v>
      </c>
      <c r="I398" s="2"/>
      <c r="J398" s="2">
        <f t="shared" si="169"/>
        <v>0.23291803792509011</v>
      </c>
      <c r="K398" s="2">
        <f t="shared" si="170"/>
        <v>0.70417058454787651</v>
      </c>
      <c r="L398" s="2">
        <f t="shared" si="171"/>
        <v>0</v>
      </c>
      <c r="M398" s="2">
        <f t="shared" si="172"/>
        <v>6.2911377527033352E-2</v>
      </c>
      <c r="N398" s="63">
        <v>23780</v>
      </c>
      <c r="O398" s="63">
        <v>71893</v>
      </c>
      <c r="P398" s="63"/>
      <c r="Q398" s="63">
        <v>4171</v>
      </c>
      <c r="R398" s="63">
        <v>611</v>
      </c>
      <c r="S398" s="63">
        <v>319</v>
      </c>
      <c r="T398" s="63">
        <v>78</v>
      </c>
      <c r="U398" s="63"/>
      <c r="V398" s="63"/>
      <c r="W398" s="63">
        <f>IF(Copyright!B$11=1,IF(CA398&gt;0,CA398-SUM(X398:AT398)-SUM(U398:V398),SUM(CC398:CG398)),SUM(CC398:CG398))</f>
        <v>1243</v>
      </c>
      <c r="X398" s="63"/>
      <c r="Y398" s="63"/>
      <c r="Z398" s="63">
        <v>0</v>
      </c>
      <c r="AA398" s="63"/>
      <c r="AB398" s="63"/>
      <c r="AC398" s="63"/>
      <c r="AD398" s="63"/>
      <c r="AE398" s="63">
        <v>1</v>
      </c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W398" s="5">
        <f>IF(Q398&gt;0,RANK(Q398,(N398:P398,Q398:AE398)),0)</f>
        <v>3</v>
      </c>
      <c r="AX398" s="5">
        <f>IF(R398&gt;0,RANK(R398,(N398:P398,Q398:AE398)),0)</f>
        <v>5</v>
      </c>
      <c r="AY398" s="5">
        <f>IF(T398&gt;0,RANK(T398,(N398:P398,Q398:AE398)),0)</f>
        <v>7</v>
      </c>
      <c r="AZ398" s="5">
        <f>IF(S398&gt;0,RANK(S398,(N398:P398,Q398:AE398)),0)</f>
        <v>6</v>
      </c>
      <c r="BA398" s="2">
        <f t="shared" si="173"/>
        <v>4.0853706315624509E-2</v>
      </c>
      <c r="BB398" s="2">
        <f t="shared" si="174"/>
        <v>5.9845635480332239E-3</v>
      </c>
      <c r="BC398" s="2">
        <f t="shared" si="175"/>
        <v>7.6398683591913494E-4</v>
      </c>
      <c r="BD398" s="2">
        <f t="shared" si="176"/>
        <v>3.1245102648487697E-3</v>
      </c>
      <c r="BF398" t="s">
        <v>1638</v>
      </c>
      <c r="BG398" t="s">
        <v>2896</v>
      </c>
      <c r="BH398">
        <v>1</v>
      </c>
      <c r="BJ398" s="114">
        <v>12</v>
      </c>
      <c r="BK398" s="116">
        <v>91</v>
      </c>
      <c r="BL398" s="120">
        <f t="shared" si="165"/>
        <v>12091</v>
      </c>
      <c r="BN398" s="5" t="s">
        <v>3154</v>
      </c>
      <c r="BQ398" s="63">
        <f t="shared" si="163"/>
        <v>1244</v>
      </c>
      <c r="BR398" s="63"/>
      <c r="BS398" s="63"/>
      <c r="BU398" s="63"/>
      <c r="BY398" s="63">
        <f t="shared" si="164"/>
        <v>0</v>
      </c>
      <c r="BZ398" s="63">
        <v>102096</v>
      </c>
      <c r="CA398" s="63">
        <v>1244</v>
      </c>
      <c r="CB398" s="132"/>
      <c r="CD398" s="63">
        <v>0</v>
      </c>
      <c r="CE398" s="63">
        <v>0</v>
      </c>
      <c r="CF398" s="63">
        <v>2</v>
      </c>
      <c r="CG398" s="8">
        <v>0</v>
      </c>
      <c r="CI398" s="68"/>
      <c r="CK398" s="68"/>
    </row>
    <row r="399" spans="1:89" hidden="1" outlineLevel="1">
      <c r="A399" t="s">
        <v>229</v>
      </c>
      <c r="B399" t="s">
        <v>2896</v>
      </c>
      <c r="C399" s="1">
        <f t="shared" si="166"/>
        <v>13761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>IF(P399&gt;0,RANK(P399,(N399:P399,Q399:AE399)),0)</f>
        <v>0</v>
      </c>
      <c r="G399" s="132">
        <f t="shared" si="167"/>
        <v>5397</v>
      </c>
      <c r="H399" s="137">
        <f t="shared" si="168"/>
        <v>0.39219533464137779</v>
      </c>
      <c r="I399" s="2"/>
      <c r="J399" s="2">
        <f t="shared" si="169"/>
        <v>0.28769711503524453</v>
      </c>
      <c r="K399" s="2">
        <f t="shared" si="170"/>
        <v>0.67989244967662232</v>
      </c>
      <c r="L399" s="2">
        <f t="shared" si="171"/>
        <v>0</v>
      </c>
      <c r="M399" s="2">
        <f t="shared" si="172"/>
        <v>3.2410435288133144E-2</v>
      </c>
      <c r="N399" s="63">
        <v>3959</v>
      </c>
      <c r="O399" s="63">
        <v>9356</v>
      </c>
      <c r="P399" s="63"/>
      <c r="Q399" s="63">
        <v>234</v>
      </c>
      <c r="R399" s="63">
        <v>53</v>
      </c>
      <c r="S399" s="63">
        <v>31</v>
      </c>
      <c r="T399" s="63">
        <v>20</v>
      </c>
      <c r="U399" s="63"/>
      <c r="V399" s="63"/>
      <c r="W399" s="63">
        <f>IF(Copyright!B$11=1,IF(CA399&gt;0,CA399-SUM(X399:AT399)-SUM(U399:V399),SUM(CC399:CG399)),SUM(CC399:CG399))</f>
        <v>108</v>
      </c>
      <c r="X399" s="63"/>
      <c r="Y399" s="63"/>
      <c r="Z399" s="63">
        <v>0</v>
      </c>
      <c r="AA399" s="63"/>
      <c r="AB399" s="63"/>
      <c r="AC399" s="63"/>
      <c r="AD399" s="63"/>
      <c r="AE399" s="63">
        <v>0</v>
      </c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W399" s="5">
        <f>IF(Q399&gt;0,RANK(Q399,(N399:P399,Q399:AE399)),0)</f>
        <v>3</v>
      </c>
      <c r="AX399" s="5">
        <f>IF(R399&gt;0,RANK(R399,(N399:P399,Q399:AE399)),0)</f>
        <v>5</v>
      </c>
      <c r="AY399" s="5">
        <f>IF(T399&gt;0,RANK(T399,(N399:P399,Q399:AE399)),0)</f>
        <v>7</v>
      </c>
      <c r="AZ399" s="5">
        <f>IF(S399&gt;0,RANK(S399,(N399:P399,Q399:AE399)),0)</f>
        <v>6</v>
      </c>
      <c r="BA399" s="2">
        <f t="shared" si="173"/>
        <v>1.7004578155657292E-2</v>
      </c>
      <c r="BB399" s="2">
        <f t="shared" si="174"/>
        <v>3.8514642831189595E-3</v>
      </c>
      <c r="BC399" s="2">
        <f t="shared" si="175"/>
        <v>1.4533827483467771E-3</v>
      </c>
      <c r="BD399" s="2">
        <f t="shared" si="176"/>
        <v>2.2527432599375044E-3</v>
      </c>
      <c r="BF399" t="s">
        <v>229</v>
      </c>
      <c r="BG399" t="s">
        <v>2896</v>
      </c>
      <c r="BH399">
        <v>17</v>
      </c>
      <c r="BJ399" s="114">
        <v>12</v>
      </c>
      <c r="BK399" s="116">
        <v>93</v>
      </c>
      <c r="BL399" s="120">
        <f t="shared" si="165"/>
        <v>12093</v>
      </c>
      <c r="BN399" s="5" t="s">
        <v>3154</v>
      </c>
      <c r="BQ399" s="63">
        <f t="shared" si="163"/>
        <v>108</v>
      </c>
      <c r="BR399" s="63"/>
      <c r="BS399" s="132"/>
      <c r="BU399" s="63"/>
      <c r="BY399" s="63">
        <f t="shared" si="164"/>
        <v>0</v>
      </c>
      <c r="BZ399" s="63">
        <v>13761</v>
      </c>
      <c r="CA399" s="63">
        <v>108</v>
      </c>
      <c r="CB399" s="132"/>
      <c r="CD399" s="63">
        <v>0</v>
      </c>
      <c r="CE399" s="63">
        <v>0</v>
      </c>
      <c r="CF399" s="63">
        <v>0</v>
      </c>
      <c r="CG399" s="8">
        <v>0</v>
      </c>
      <c r="CK399" s="68"/>
    </row>
    <row r="400" spans="1:89" hidden="1" outlineLevel="1">
      <c r="A400" t="s">
        <v>2013</v>
      </c>
      <c r="B400" t="s">
        <v>2896</v>
      </c>
      <c r="C400" s="1">
        <f t="shared" si="166"/>
        <v>551902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32">
        <f t="shared" si="167"/>
        <v>134678</v>
      </c>
      <c r="H400" s="137">
        <f t="shared" si="168"/>
        <v>0.24402520737377287</v>
      </c>
      <c r="I400" s="2"/>
      <c r="J400" s="2">
        <f t="shared" si="169"/>
        <v>0.59774017850995287</v>
      </c>
      <c r="K400" s="2">
        <f t="shared" si="170"/>
        <v>0.35371497113618</v>
      </c>
      <c r="L400" s="2">
        <f t="shared" si="171"/>
        <v>0</v>
      </c>
      <c r="M400" s="2">
        <f t="shared" si="172"/>
        <v>4.8544850353867131E-2</v>
      </c>
      <c r="N400" s="63">
        <v>329894</v>
      </c>
      <c r="O400" s="63">
        <v>195216</v>
      </c>
      <c r="P400" s="63"/>
      <c r="Q400" s="63">
        <v>14483</v>
      </c>
      <c r="R400" s="63">
        <v>4777</v>
      </c>
      <c r="S400" s="63">
        <v>1188</v>
      </c>
      <c r="T400" s="63">
        <v>705</v>
      </c>
      <c r="U400" s="63"/>
      <c r="V400" s="63"/>
      <c r="W400" s="63">
        <f>IF(Copyright!B$11=1,IF(CA400&gt;0,CA400-SUM(X400:AT400)-SUM(U400:V400),SUM(CC400:CG400)),SUM(CC400:CG400))</f>
        <v>5632</v>
      </c>
      <c r="X400" s="63"/>
      <c r="Y400" s="63"/>
      <c r="Z400" s="63">
        <v>0</v>
      </c>
      <c r="AA400" s="63"/>
      <c r="AB400" s="63"/>
      <c r="AC400" s="63"/>
      <c r="AD400" s="63"/>
      <c r="AE400" s="63">
        <v>7</v>
      </c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W400" s="5">
        <f>IF(Q400&gt;0,RANK(Q400,(N400:P400,Q400:AE400)),0)</f>
        <v>3</v>
      </c>
      <c r="AX400" s="5">
        <f>IF(R400&gt;0,RANK(R400,(N400:P400,Q400:AE400)),0)</f>
        <v>5</v>
      </c>
      <c r="AY400" s="5">
        <f>IF(T400&gt;0,RANK(T400,(N400:P400,Q400:AE400)),0)</f>
        <v>7</v>
      </c>
      <c r="AZ400" s="5">
        <f>IF(S400&gt;0,RANK(S400,(N400:P400,Q400:AE400)),0)</f>
        <v>6</v>
      </c>
      <c r="BA400" s="2">
        <f t="shared" si="173"/>
        <v>2.6241977742425284E-2</v>
      </c>
      <c r="BB400" s="2">
        <f t="shared" si="174"/>
        <v>8.6555221760385003E-3</v>
      </c>
      <c r="BC400" s="2">
        <f t="shared" si="175"/>
        <v>1.2774006979499983E-3</v>
      </c>
      <c r="BD400" s="2">
        <f t="shared" si="176"/>
        <v>2.1525560697370186E-3</v>
      </c>
      <c r="BF400" t="s">
        <v>2013</v>
      </c>
      <c r="BG400" t="s">
        <v>2896</v>
      </c>
      <c r="BJ400" s="114">
        <v>12</v>
      </c>
      <c r="BK400" s="116">
        <v>95</v>
      </c>
      <c r="BL400" s="120">
        <f t="shared" si="165"/>
        <v>12095</v>
      </c>
      <c r="BN400" s="5" t="s">
        <v>3154</v>
      </c>
      <c r="BO400" s="63">
        <v>3357</v>
      </c>
      <c r="BP400" s="63">
        <v>875</v>
      </c>
      <c r="BQ400" s="63">
        <f t="shared" si="163"/>
        <v>5639</v>
      </c>
      <c r="BR400" s="63"/>
      <c r="BS400" s="132"/>
      <c r="BU400" s="63"/>
      <c r="BY400" s="63">
        <f t="shared" si="164"/>
        <v>0</v>
      </c>
      <c r="BZ400" s="132">
        <f>195216+329894+14483+1188+4777+705+5639</f>
        <v>551902</v>
      </c>
      <c r="CA400" s="63">
        <v>5639</v>
      </c>
      <c r="CB400" s="132"/>
      <c r="CD400" s="63">
        <v>3</v>
      </c>
      <c r="CE400" s="63">
        <v>0</v>
      </c>
      <c r="CF400" s="63">
        <v>2</v>
      </c>
      <c r="CG400" s="8">
        <v>0</v>
      </c>
      <c r="CH400" s="63"/>
      <c r="CK400" s="146"/>
    </row>
    <row r="401" spans="1:89" hidden="1" outlineLevel="1">
      <c r="A401" t="s">
        <v>848</v>
      </c>
      <c r="B401" t="s">
        <v>2896</v>
      </c>
      <c r="C401" s="1">
        <f t="shared" si="166"/>
        <v>141468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32">
        <f t="shared" si="167"/>
        <v>35157</v>
      </c>
      <c r="H401" s="137">
        <f t="shared" si="168"/>
        <v>0.24851556535753669</v>
      </c>
      <c r="I401" s="2"/>
      <c r="J401" s="2">
        <f t="shared" si="169"/>
        <v>0.60408007464585634</v>
      </c>
      <c r="K401" s="2">
        <f t="shared" si="170"/>
        <v>0.35556450928831962</v>
      </c>
      <c r="L401" s="2">
        <f t="shared" si="171"/>
        <v>0</v>
      </c>
      <c r="M401" s="2">
        <f t="shared" si="172"/>
        <v>4.0355416065824046E-2</v>
      </c>
      <c r="N401" s="63">
        <v>85458</v>
      </c>
      <c r="O401" s="63">
        <v>50301</v>
      </c>
      <c r="P401" s="63"/>
      <c r="Q401" s="63">
        <v>2811</v>
      </c>
      <c r="R401" s="63">
        <v>1003</v>
      </c>
      <c r="S401" s="63">
        <v>358</v>
      </c>
      <c r="T401" s="63">
        <v>275</v>
      </c>
      <c r="U401" s="63"/>
      <c r="V401" s="63"/>
      <c r="W401" s="63">
        <f>IF(Copyright!B$11=1,IF(CA401&gt;0,CA401-SUM(X401:AT401)-SUM(U401:V401),SUM(CC401:CG401)),SUM(CC401:CG401))</f>
        <v>1262</v>
      </c>
      <c r="X401" s="63"/>
      <c r="Y401" s="63"/>
      <c r="Z401" s="63">
        <v>0</v>
      </c>
      <c r="AA401" s="63"/>
      <c r="AB401" s="63"/>
      <c r="AC401" s="63"/>
      <c r="AD401" s="63"/>
      <c r="AE401" s="63">
        <v>0</v>
      </c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W401" s="5">
        <f>IF(Q401&gt;0,RANK(Q401,(N401:P401,Q401:AE401)),0)</f>
        <v>3</v>
      </c>
      <c r="AX401" s="5">
        <f>IF(R401&gt;0,RANK(R401,(N401:P401,Q401:AE401)),0)</f>
        <v>5</v>
      </c>
      <c r="AY401" s="5">
        <f>IF(T401&gt;0,RANK(T401,(N401:P401,Q401:AE401)),0)</f>
        <v>7</v>
      </c>
      <c r="AZ401" s="5">
        <f>IF(S401&gt;0,RANK(S401,(N401:P401,Q401:AE401)),0)</f>
        <v>6</v>
      </c>
      <c r="BA401" s="2">
        <f t="shared" si="173"/>
        <v>1.987021799983035E-2</v>
      </c>
      <c r="BB401" s="2">
        <f t="shared" si="174"/>
        <v>7.0899426018604913E-3</v>
      </c>
      <c r="BC401" s="2">
        <f t="shared" si="175"/>
        <v>1.9439025079876721E-3</v>
      </c>
      <c r="BD401" s="2">
        <f t="shared" si="176"/>
        <v>2.5306076285803148E-3</v>
      </c>
      <c r="BF401" t="s">
        <v>848</v>
      </c>
      <c r="BG401" t="s">
        <v>2896</v>
      </c>
      <c r="BH401">
        <v>9</v>
      </c>
      <c r="BJ401" s="114">
        <v>12</v>
      </c>
      <c r="BK401" s="116">
        <v>97</v>
      </c>
      <c r="BL401" s="120">
        <f t="shared" si="165"/>
        <v>12097</v>
      </c>
      <c r="BN401" s="5" t="s">
        <v>3154</v>
      </c>
      <c r="BQ401" s="63">
        <f t="shared" si="163"/>
        <v>1262</v>
      </c>
      <c r="BR401" s="63"/>
      <c r="BS401" s="63"/>
      <c r="BU401" s="63"/>
      <c r="BY401" s="63">
        <f t="shared" si="164"/>
        <v>0</v>
      </c>
      <c r="BZ401" s="63">
        <v>141468</v>
      </c>
      <c r="CA401" s="63">
        <v>1262</v>
      </c>
      <c r="CB401" s="132"/>
      <c r="CD401" s="63">
        <v>0</v>
      </c>
      <c r="CE401" s="63">
        <v>0</v>
      </c>
      <c r="CF401" s="63">
        <v>0</v>
      </c>
      <c r="CG401" s="8">
        <v>0</v>
      </c>
      <c r="CK401" s="146"/>
    </row>
    <row r="402" spans="1:89" hidden="1" outlineLevel="1">
      <c r="A402" t="s">
        <v>426</v>
      </c>
      <c r="B402" t="s">
        <v>2896</v>
      </c>
      <c r="C402" s="1">
        <f t="shared" si="166"/>
        <v>666212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>IF(P402&gt;0,RANK(P402,(N402:P402,Q402:AE402)),0)</f>
        <v>0</v>
      </c>
      <c r="G402" s="132">
        <f t="shared" si="167"/>
        <v>102271</v>
      </c>
      <c r="H402" s="137">
        <f t="shared" si="168"/>
        <v>0.15351119463474089</v>
      </c>
      <c r="I402" s="2"/>
      <c r="J402" s="2">
        <f t="shared" si="169"/>
        <v>0.56239305206150592</v>
      </c>
      <c r="K402" s="2">
        <f t="shared" si="170"/>
        <v>0.40888185742676503</v>
      </c>
      <c r="L402" s="2">
        <f t="shared" si="171"/>
        <v>0</v>
      </c>
      <c r="M402" s="2">
        <f t="shared" si="172"/>
        <v>2.8725090511729057E-2</v>
      </c>
      <c r="N402" s="63">
        <v>374673</v>
      </c>
      <c r="O402" s="63">
        <v>272402</v>
      </c>
      <c r="P402" s="63"/>
      <c r="Q402" s="63">
        <v>10370</v>
      </c>
      <c r="R402" s="63">
        <v>3723</v>
      </c>
      <c r="S402" s="63">
        <v>719</v>
      </c>
      <c r="T402" s="63">
        <v>435</v>
      </c>
      <c r="U402" s="63"/>
      <c r="V402" s="63"/>
      <c r="W402" s="63">
        <f>IF(Copyright!B$11=1,IF(CA402&gt;0,CA402-SUM(X402:AT402)-SUM(U402:V402),SUM(CC402:CG402)),SUM(CC402:CG402))</f>
        <v>3883</v>
      </c>
      <c r="X402" s="63"/>
      <c r="Y402" s="63"/>
      <c r="Z402" s="63">
        <v>1</v>
      </c>
      <c r="AA402" s="63"/>
      <c r="AB402" s="63"/>
      <c r="AC402" s="63"/>
      <c r="AD402" s="63"/>
      <c r="AE402" s="63">
        <v>6</v>
      </c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W402" s="5">
        <f>IF(Q402&gt;0,RANK(Q402,(N402:P402,Q402:AE402)),0)</f>
        <v>3</v>
      </c>
      <c r="AX402" s="5">
        <f>IF(R402&gt;0,RANK(R402,(N402:P402,Q402:AE402)),0)</f>
        <v>5</v>
      </c>
      <c r="AY402" s="5">
        <f>IF(T402&gt;0,RANK(T402,(N402:P402,Q402:AE402)),0)</f>
        <v>7</v>
      </c>
      <c r="AZ402" s="5">
        <f>IF(S402&gt;0,RANK(S402,(N402:P402,Q402:AE402)),0)</f>
        <v>6</v>
      </c>
      <c r="BA402" s="2">
        <f t="shared" si="173"/>
        <v>1.5565615749941459E-2</v>
      </c>
      <c r="BB402" s="2">
        <f t="shared" si="174"/>
        <v>5.5883112282576718E-3</v>
      </c>
      <c r="BC402" s="2">
        <f t="shared" si="175"/>
        <v>6.5294530870053371E-4</v>
      </c>
      <c r="BD402" s="2">
        <f t="shared" si="176"/>
        <v>1.0792360389785833E-3</v>
      </c>
      <c r="BF402" t="s">
        <v>426</v>
      </c>
      <c r="BG402" t="s">
        <v>2896</v>
      </c>
      <c r="BJ402" s="114">
        <v>12</v>
      </c>
      <c r="BK402" s="116">
        <v>99</v>
      </c>
      <c r="BL402" s="120">
        <f t="shared" si="165"/>
        <v>12099</v>
      </c>
      <c r="BN402" s="5" t="s">
        <v>3154</v>
      </c>
      <c r="BO402" s="63">
        <v>5121</v>
      </c>
      <c r="BP402" s="63">
        <v>1274</v>
      </c>
      <c r="BQ402" s="63">
        <f t="shared" si="163"/>
        <v>3890</v>
      </c>
      <c r="BR402" s="63"/>
      <c r="BS402" s="63"/>
      <c r="BU402" s="63"/>
      <c r="BY402" s="63">
        <f t="shared" si="164"/>
        <v>0</v>
      </c>
      <c r="BZ402" s="63">
        <f>272402+374673+10370+719+3723+435+3890</f>
        <v>666212</v>
      </c>
      <c r="CA402" s="133">
        <v>3890</v>
      </c>
      <c r="CB402" s="132"/>
      <c r="CD402" s="63">
        <v>1</v>
      </c>
      <c r="CE402" s="63">
        <v>0</v>
      </c>
      <c r="CF402" s="63">
        <v>2</v>
      </c>
      <c r="CG402" s="8">
        <v>0</v>
      </c>
      <c r="CK402" s="68"/>
    </row>
    <row r="403" spans="1:89" hidden="1" outlineLevel="1">
      <c r="A403" t="s">
        <v>427</v>
      </c>
      <c r="B403" t="s">
        <v>2896</v>
      </c>
      <c r="C403" s="1">
        <f t="shared" si="166"/>
        <v>243265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>IF(P403&gt;0,RANK(P403,(N403:P403,Q403:AE403)),0)</f>
        <v>0</v>
      </c>
      <c r="G403" s="132">
        <f t="shared" si="167"/>
        <v>51959</v>
      </c>
      <c r="H403" s="137">
        <f t="shared" si="168"/>
        <v>0.21359011777279921</v>
      </c>
      <c r="I403" s="2"/>
      <c r="J403" s="2">
        <f t="shared" si="169"/>
        <v>0.37055063408217376</v>
      </c>
      <c r="K403" s="2">
        <f t="shared" si="170"/>
        <v>0.58414075185497294</v>
      </c>
      <c r="L403" s="2">
        <f t="shared" si="171"/>
        <v>0</v>
      </c>
      <c r="M403" s="2">
        <f t="shared" si="172"/>
        <v>4.5308614062853247E-2</v>
      </c>
      <c r="N403" s="63">
        <v>90142</v>
      </c>
      <c r="O403" s="63">
        <v>142101</v>
      </c>
      <c r="P403" s="63"/>
      <c r="Q403" s="63">
        <v>6129</v>
      </c>
      <c r="R403" s="63">
        <v>1908</v>
      </c>
      <c r="S403" s="63">
        <v>578</v>
      </c>
      <c r="T403" s="63">
        <v>273</v>
      </c>
      <c r="U403" s="63"/>
      <c r="V403" s="63"/>
      <c r="W403" s="63">
        <f>IF(Copyright!B$11=1,IF(CA403&gt;0,CA403-SUM(X403:AT403)-SUM(U403:V403),SUM(CC403:CG403)),SUM(CC403:CG403))</f>
        <v>2127</v>
      </c>
      <c r="X403" s="63"/>
      <c r="Y403" s="63"/>
      <c r="Z403" s="63">
        <v>3</v>
      </c>
      <c r="AA403" s="63"/>
      <c r="AB403" s="63"/>
      <c r="AC403" s="63"/>
      <c r="AD403" s="63"/>
      <c r="AE403" s="63">
        <v>4</v>
      </c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W403" s="5">
        <f>IF(Q403&gt;0,RANK(Q403,(N403:P403,Q403:AE403)),0)</f>
        <v>3</v>
      </c>
      <c r="AX403" s="5">
        <f>IF(R403&gt;0,RANK(R403,(N403:P403,Q403:AE403)),0)</f>
        <v>5</v>
      </c>
      <c r="AY403" s="5">
        <f>IF(T403&gt;0,RANK(T403,(N403:P403,Q403:AE403)),0)</f>
        <v>7</v>
      </c>
      <c r="AZ403" s="5">
        <f>IF(S403&gt;0,RANK(S403,(N403:P403,Q403:AE403)),0)</f>
        <v>6</v>
      </c>
      <c r="BA403" s="2">
        <f t="shared" si="173"/>
        <v>2.5194746469899082E-2</v>
      </c>
      <c r="BB403" s="2">
        <f t="shared" si="174"/>
        <v>7.8432984605265859E-3</v>
      </c>
      <c r="BC403" s="2">
        <f t="shared" si="175"/>
        <v>1.1222329558300619E-3</v>
      </c>
      <c r="BD403" s="2">
        <f t="shared" si="176"/>
        <v>2.3760097013544898E-3</v>
      </c>
      <c r="BF403" t="s">
        <v>427</v>
      </c>
      <c r="BG403" t="s">
        <v>2896</v>
      </c>
      <c r="BH403">
        <v>12</v>
      </c>
      <c r="BJ403" s="114">
        <v>12</v>
      </c>
      <c r="BK403" s="116">
        <v>101</v>
      </c>
      <c r="BL403" s="120">
        <f t="shared" si="165"/>
        <v>12101</v>
      </c>
      <c r="BN403" s="5" t="s">
        <v>3154</v>
      </c>
      <c r="BQ403" s="63">
        <f t="shared" si="163"/>
        <v>2134</v>
      </c>
      <c r="BR403" s="63"/>
      <c r="BS403" s="63"/>
      <c r="BU403" s="63"/>
      <c r="BY403" s="63">
        <f t="shared" si="164"/>
        <v>0</v>
      </c>
      <c r="BZ403" s="63">
        <v>243265</v>
      </c>
      <c r="CA403" s="63">
        <v>2134</v>
      </c>
      <c r="CB403" s="132"/>
      <c r="CD403" s="63">
        <v>0</v>
      </c>
      <c r="CE403" s="63">
        <v>0</v>
      </c>
      <c r="CF403" s="63">
        <v>1</v>
      </c>
      <c r="CG403" s="8">
        <v>0</v>
      </c>
      <c r="CK403" s="68"/>
    </row>
    <row r="404" spans="1:89" hidden="1" outlineLevel="1">
      <c r="A404" t="s">
        <v>1194</v>
      </c>
      <c r="B404" t="s">
        <v>2896</v>
      </c>
      <c r="C404" s="1">
        <f t="shared" si="166"/>
        <v>497485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>IF(P404&gt;0,RANK(P404,(N404:P404,Q404:AE404)),0)</f>
        <v>0</v>
      </c>
      <c r="G404" s="132">
        <f t="shared" si="167"/>
        <v>5500</v>
      </c>
      <c r="H404" s="137">
        <f t="shared" si="168"/>
        <v>1.1055609716875886E-2</v>
      </c>
      <c r="I404" s="2"/>
      <c r="J404" s="2">
        <f t="shared" si="169"/>
        <v>0.46976491753520205</v>
      </c>
      <c r="K404" s="2">
        <f t="shared" si="170"/>
        <v>0.48082052725207797</v>
      </c>
      <c r="L404" s="2">
        <f t="shared" si="171"/>
        <v>0</v>
      </c>
      <c r="M404" s="2">
        <f t="shared" si="172"/>
        <v>4.9414555212719924E-2</v>
      </c>
      <c r="N404" s="63">
        <v>233701</v>
      </c>
      <c r="O404" s="63">
        <v>239201</v>
      </c>
      <c r="P404" s="63"/>
      <c r="Q404" s="63">
        <v>13627</v>
      </c>
      <c r="R404" s="63">
        <v>4611</v>
      </c>
      <c r="S404" s="63">
        <v>840</v>
      </c>
      <c r="T404" s="63">
        <v>413</v>
      </c>
      <c r="U404" s="63"/>
      <c r="V404" s="63"/>
      <c r="W404" s="63">
        <f>IF(Copyright!B$11=1,IF(CA404&gt;0,CA404-SUM(X404:AT404)-SUM(U404:V404),SUM(CC404:CG404)),SUM(CC404:CG404))</f>
        <v>5085</v>
      </c>
      <c r="X404" s="63"/>
      <c r="Y404" s="63"/>
      <c r="Z404" s="63">
        <v>2</v>
      </c>
      <c r="AA404" s="63"/>
      <c r="AB404" s="63"/>
      <c r="AC404" s="63"/>
      <c r="AD404" s="63"/>
      <c r="AE404" s="63">
        <v>5</v>
      </c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W404" s="5">
        <f>IF(Q404&gt;0,RANK(Q404,(N404:P404,Q404:AE404)),0)</f>
        <v>3</v>
      </c>
      <c r="AX404" s="5">
        <f>IF(R404&gt;0,RANK(R404,(N404:P404,Q404:AE404)),0)</f>
        <v>5</v>
      </c>
      <c r="AY404" s="5">
        <f>IF(T404&gt;0,RANK(T404,(N404:P404,Q404:AE404)),0)</f>
        <v>7</v>
      </c>
      <c r="AZ404" s="5">
        <f>IF(S404&gt;0,RANK(S404,(N404:P404,Q404:AE404)),0)</f>
        <v>6</v>
      </c>
      <c r="BA404" s="2">
        <f t="shared" si="173"/>
        <v>2.7391780656703217E-2</v>
      </c>
      <c r="BB404" s="2">
        <f t="shared" si="174"/>
        <v>9.2686211644572199E-3</v>
      </c>
      <c r="BC404" s="2">
        <f t="shared" si="175"/>
        <v>8.3017578419449835E-4</v>
      </c>
      <c r="BD404" s="2">
        <f t="shared" si="176"/>
        <v>1.6884931203955899E-3</v>
      </c>
      <c r="BF404" t="s">
        <v>1194</v>
      </c>
      <c r="BG404" t="s">
        <v>2896</v>
      </c>
      <c r="BJ404" s="114">
        <v>12</v>
      </c>
      <c r="BK404" s="116">
        <v>103</v>
      </c>
      <c r="BL404" s="120">
        <f t="shared" si="165"/>
        <v>12103</v>
      </c>
      <c r="BN404" s="5" t="s">
        <v>3154</v>
      </c>
      <c r="BO404" s="63">
        <v>3857</v>
      </c>
      <c r="BP404" s="63">
        <v>770</v>
      </c>
      <c r="BQ404" s="63">
        <f t="shared" si="163"/>
        <v>5092</v>
      </c>
      <c r="BR404" s="63"/>
      <c r="BS404" s="132"/>
      <c r="BT404" s="63"/>
      <c r="BU404" s="63"/>
      <c r="BY404" s="63">
        <f t="shared" si="164"/>
        <v>0</v>
      </c>
      <c r="BZ404" s="63">
        <v>497485</v>
      </c>
      <c r="CA404" s="63">
        <v>5092</v>
      </c>
      <c r="CB404" s="132"/>
      <c r="CD404" s="63">
        <v>3</v>
      </c>
      <c r="CE404" s="63">
        <v>0</v>
      </c>
      <c r="CF404" s="63">
        <v>0</v>
      </c>
      <c r="CG404" s="8">
        <v>0</v>
      </c>
      <c r="CK404" s="68"/>
    </row>
    <row r="405" spans="1:89" hidden="1" outlineLevel="1">
      <c r="A405" t="s">
        <v>879</v>
      </c>
      <c r="B405" t="s">
        <v>2896</v>
      </c>
      <c r="C405" s="1">
        <f t="shared" si="166"/>
        <v>286969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32">
        <f t="shared" si="167"/>
        <v>39997</v>
      </c>
      <c r="H405" s="137">
        <f t="shared" si="168"/>
        <v>0.13937742404231815</v>
      </c>
      <c r="I405" s="2"/>
      <c r="J405" s="2">
        <f t="shared" si="169"/>
        <v>0.40921841732033776</v>
      </c>
      <c r="K405" s="2">
        <f t="shared" si="170"/>
        <v>0.54859584136265593</v>
      </c>
      <c r="L405" s="2">
        <f t="shared" si="171"/>
        <v>0</v>
      </c>
      <c r="M405" s="2">
        <f t="shared" si="172"/>
        <v>4.2185741317006364E-2</v>
      </c>
      <c r="N405" s="63">
        <v>117433</v>
      </c>
      <c r="O405" s="63">
        <v>157430</v>
      </c>
      <c r="P405" s="63"/>
      <c r="Q405" s="63">
        <v>6810</v>
      </c>
      <c r="R405" s="63">
        <v>1647</v>
      </c>
      <c r="S405" s="63">
        <v>671</v>
      </c>
      <c r="T405" s="63">
        <v>320</v>
      </c>
      <c r="U405" s="63"/>
      <c r="V405" s="63"/>
      <c r="W405" s="63">
        <f>IF(Copyright!B$11=1,IF(CA405&gt;0,CA405-SUM(X405:AT405)-SUM(U405:V405),SUM(CC405:CG405)),SUM(CC405:CG405))</f>
        <v>2657</v>
      </c>
      <c r="X405" s="63"/>
      <c r="Y405" s="63"/>
      <c r="Z405" s="63">
        <v>1</v>
      </c>
      <c r="AA405" s="63"/>
      <c r="AB405" s="63"/>
      <c r="AC405" s="63"/>
      <c r="AD405" s="63"/>
      <c r="AE405" s="63">
        <v>0</v>
      </c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W405" s="5">
        <f>IF(Q405&gt;0,RANK(Q405,(N405:P405,Q405:AE405)),0)</f>
        <v>3</v>
      </c>
      <c r="AX405" s="5">
        <f>IF(R405&gt;0,RANK(R405,(N405:P405,Q405:AE405)),0)</f>
        <v>5</v>
      </c>
      <c r="AY405" s="5">
        <f>IF(T405&gt;0,RANK(T405,(N405:P405,Q405:AE405)),0)</f>
        <v>7</v>
      </c>
      <c r="AZ405" s="5">
        <f>IF(S405&gt;0,RANK(S405,(N405:P405,Q405:AE405)),0)</f>
        <v>6</v>
      </c>
      <c r="BA405" s="2">
        <f t="shared" si="173"/>
        <v>2.3730786252173581E-2</v>
      </c>
      <c r="BB405" s="2">
        <f t="shared" si="174"/>
        <v>5.7392958821336102E-3</v>
      </c>
      <c r="BC405" s="2">
        <f t="shared" si="175"/>
        <v>1.1151030250654251E-3</v>
      </c>
      <c r="BD405" s="2">
        <f t="shared" si="176"/>
        <v>2.3382316556840635E-3</v>
      </c>
      <c r="BF405" t="s">
        <v>879</v>
      </c>
      <c r="BG405" t="s">
        <v>2896</v>
      </c>
      <c r="BJ405" s="114">
        <v>12</v>
      </c>
      <c r="BK405" s="116">
        <v>105</v>
      </c>
      <c r="BL405" s="120">
        <f t="shared" si="165"/>
        <v>12105</v>
      </c>
      <c r="BN405" s="5" t="s">
        <v>3154</v>
      </c>
      <c r="BO405" s="147"/>
      <c r="BP405" s="147"/>
      <c r="BQ405" s="63">
        <f t="shared" si="163"/>
        <v>2658</v>
      </c>
      <c r="BR405" s="63"/>
      <c r="BS405" s="63"/>
      <c r="BU405" s="63"/>
      <c r="BY405" s="63">
        <f t="shared" si="164"/>
        <v>-23</v>
      </c>
      <c r="BZ405" s="63">
        <v>286946</v>
      </c>
      <c r="CA405" s="133">
        <v>2658</v>
      </c>
      <c r="CB405" s="132"/>
      <c r="CD405" s="63">
        <v>2</v>
      </c>
      <c r="CE405" s="63">
        <v>0</v>
      </c>
      <c r="CF405" s="63">
        <v>0</v>
      </c>
      <c r="CG405" s="8">
        <v>0</v>
      </c>
      <c r="CK405" s="68"/>
    </row>
    <row r="406" spans="1:89" hidden="1" outlineLevel="1">
      <c r="A406" t="s">
        <v>955</v>
      </c>
      <c r="B406" t="s">
        <v>2896</v>
      </c>
      <c r="C406" s="1">
        <f t="shared" si="166"/>
        <v>33301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32">
        <f t="shared" si="167"/>
        <v>12044</v>
      </c>
      <c r="H406" s="137">
        <f t="shared" si="168"/>
        <v>0.3616708206960752</v>
      </c>
      <c r="I406" s="2"/>
      <c r="J406" s="2">
        <f t="shared" si="169"/>
        <v>0.30311402059998199</v>
      </c>
      <c r="K406" s="2">
        <f t="shared" si="170"/>
        <v>0.66478484129605719</v>
      </c>
      <c r="L406" s="2">
        <f t="shared" si="171"/>
        <v>0</v>
      </c>
      <c r="M406" s="2">
        <f t="shared" si="172"/>
        <v>3.2101138103960758E-2</v>
      </c>
      <c r="N406" s="63">
        <v>10094</v>
      </c>
      <c r="O406" s="63">
        <v>22138</v>
      </c>
      <c r="P406" s="63"/>
      <c r="Q406" s="63">
        <v>597</v>
      </c>
      <c r="R406" s="63">
        <v>219</v>
      </c>
      <c r="S406" s="63">
        <v>48</v>
      </c>
      <c r="T406" s="63">
        <v>21</v>
      </c>
      <c r="U406" s="63"/>
      <c r="V406" s="63"/>
      <c r="W406" s="63">
        <f>IF(Copyright!B$11=1,IF(CA406&gt;0,CA406-SUM(X406:AT406)-SUM(U406:V406),SUM(CC406:CG406)),SUM(CC406:CG406))</f>
        <v>184</v>
      </c>
      <c r="X406" s="63"/>
      <c r="Y406" s="63"/>
      <c r="Z406" s="63">
        <v>0</v>
      </c>
      <c r="AA406" s="63"/>
      <c r="AB406" s="63"/>
      <c r="AC406" s="63"/>
      <c r="AD406" s="63"/>
      <c r="AE406" s="63">
        <v>0</v>
      </c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W406" s="5">
        <f>IF(Q406&gt;0,RANK(Q406,(N406:P406,Q406:AE406)),0)</f>
        <v>3</v>
      </c>
      <c r="AX406" s="5">
        <f>IF(R406&gt;0,RANK(R406,(N406:P406,Q406:AE406)),0)</f>
        <v>4</v>
      </c>
      <c r="AY406" s="5">
        <f>IF(T406&gt;0,RANK(T406,(N406:P406,Q406:AE406)),0)</f>
        <v>7</v>
      </c>
      <c r="AZ406" s="5">
        <f>IF(S406&gt;0,RANK(S406,(N406:P406,Q406:AE406)),0)</f>
        <v>6</v>
      </c>
      <c r="BA406" s="2">
        <f t="shared" si="173"/>
        <v>1.7927389567880845E-2</v>
      </c>
      <c r="BB406" s="2">
        <f t="shared" si="174"/>
        <v>6.5763790877150837E-3</v>
      </c>
      <c r="BC406" s="2">
        <f t="shared" si="175"/>
        <v>6.3061169334254223E-4</v>
      </c>
      <c r="BD406" s="2">
        <f t="shared" si="176"/>
        <v>1.4413981562115253E-3</v>
      </c>
      <c r="BF406" t="s">
        <v>955</v>
      </c>
      <c r="BG406" t="s">
        <v>2896</v>
      </c>
      <c r="BH406">
        <v>3</v>
      </c>
      <c r="BJ406" s="114">
        <v>12</v>
      </c>
      <c r="BK406" s="116">
        <v>107</v>
      </c>
      <c r="BL406" s="120">
        <f t="shared" si="165"/>
        <v>12107</v>
      </c>
      <c r="BN406" s="5" t="s">
        <v>3154</v>
      </c>
      <c r="BQ406" s="63">
        <f t="shared" si="163"/>
        <v>184</v>
      </c>
      <c r="BR406" s="63"/>
      <c r="BS406" s="132"/>
      <c r="BU406" s="63"/>
      <c r="BY406" s="63">
        <f t="shared" si="164"/>
        <v>0</v>
      </c>
      <c r="BZ406" s="63">
        <v>33301</v>
      </c>
      <c r="CA406" s="63">
        <v>184</v>
      </c>
      <c r="CB406" s="132"/>
      <c r="CD406" s="63">
        <v>0</v>
      </c>
      <c r="CE406" s="63">
        <v>0</v>
      </c>
      <c r="CF406" s="63">
        <v>0</v>
      </c>
      <c r="CG406" s="8">
        <v>0</v>
      </c>
      <c r="CJ406" s="63"/>
    </row>
    <row r="407" spans="1:89" hidden="1" outlineLevel="1">
      <c r="A407" t="s">
        <v>881</v>
      </c>
      <c r="B407" t="s">
        <v>2896</v>
      </c>
      <c r="C407" s="1">
        <f t="shared" si="166"/>
        <v>137846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>IF(P407&gt;0,RANK(P407,(N407:P407,Q407:AE407)),0)</f>
        <v>0</v>
      </c>
      <c r="G407" s="132">
        <f t="shared" si="167"/>
        <v>45585</v>
      </c>
      <c r="H407" s="137">
        <f t="shared" si="168"/>
        <v>0.33069512354366465</v>
      </c>
      <c r="I407" s="2"/>
      <c r="J407" s="2">
        <f t="shared" si="169"/>
        <v>0.31266050520145672</v>
      </c>
      <c r="K407" s="2">
        <f t="shared" si="170"/>
        <v>0.64335562874512142</v>
      </c>
      <c r="L407" s="2">
        <f t="shared" si="171"/>
        <v>0</v>
      </c>
      <c r="M407" s="2">
        <f t="shared" si="172"/>
        <v>4.3983866053421861E-2</v>
      </c>
      <c r="N407" s="63">
        <v>43099</v>
      </c>
      <c r="O407" s="63">
        <v>88684</v>
      </c>
      <c r="P407" s="63"/>
      <c r="Q407" s="63">
        <v>3612</v>
      </c>
      <c r="R407" s="63">
        <v>864</v>
      </c>
      <c r="S407" s="63">
        <v>167</v>
      </c>
      <c r="T407" s="63">
        <v>87</v>
      </c>
      <c r="U407" s="63"/>
      <c r="V407" s="63"/>
      <c r="W407" s="63">
        <f>IF(Copyright!B$11=1,IF(CA407&gt;0,CA407-SUM(X407:AT407)-SUM(U407:V407),SUM(CC407:CG407)),SUM(CC407:CG407))</f>
        <v>1332</v>
      </c>
      <c r="X407" s="63"/>
      <c r="Y407" s="63"/>
      <c r="Z407" s="63">
        <v>0</v>
      </c>
      <c r="AA407" s="63"/>
      <c r="AB407" s="63"/>
      <c r="AC407" s="63"/>
      <c r="AD407" s="63"/>
      <c r="AE407" s="63">
        <v>1</v>
      </c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W407" s="5">
        <f>IF(Q407&gt;0,RANK(Q407,(N407:P407,Q407:AE407)),0)</f>
        <v>3</v>
      </c>
      <c r="AX407" s="5">
        <f>IF(R407&gt;0,RANK(R407,(N407:P407,Q407:AE407)),0)</f>
        <v>5</v>
      </c>
      <c r="AY407" s="5">
        <f>IF(T407&gt;0,RANK(T407,(N407:P407,Q407:AE407)),0)</f>
        <v>7</v>
      </c>
      <c r="AZ407" s="5">
        <f>IF(S407&gt;0,RANK(S407,(N407:P407,Q407:AE407)),0)</f>
        <v>6</v>
      </c>
      <c r="BA407" s="2">
        <f t="shared" si="173"/>
        <v>2.6203154244591791E-2</v>
      </c>
      <c r="BB407" s="2">
        <f t="shared" si="174"/>
        <v>6.2678641382412255E-3</v>
      </c>
      <c r="BC407" s="2">
        <f t="shared" si="175"/>
        <v>6.3113909725345677E-4</v>
      </c>
      <c r="BD407" s="2">
        <f t="shared" si="176"/>
        <v>1.211496887831348E-3</v>
      </c>
      <c r="BF407" t="s">
        <v>881</v>
      </c>
      <c r="BG407" t="s">
        <v>2896</v>
      </c>
      <c r="BJ407" s="114">
        <v>12</v>
      </c>
      <c r="BK407" s="116">
        <v>109</v>
      </c>
      <c r="BL407" s="120">
        <f t="shared" si="165"/>
        <v>12109</v>
      </c>
      <c r="BN407" s="5" t="s">
        <v>3154</v>
      </c>
      <c r="BQ407" s="63">
        <f t="shared" si="163"/>
        <v>1333</v>
      </c>
      <c r="BR407" s="63"/>
      <c r="BS407" s="63"/>
      <c r="BU407" s="63"/>
      <c r="BY407" s="63">
        <f t="shared" si="164"/>
        <v>0</v>
      </c>
      <c r="BZ407" s="63">
        <v>137846</v>
      </c>
      <c r="CA407" s="63">
        <v>1333</v>
      </c>
      <c r="CB407" s="132"/>
      <c r="CD407" s="63">
        <v>0</v>
      </c>
      <c r="CE407" s="63">
        <v>0</v>
      </c>
      <c r="CF407" s="63">
        <v>0</v>
      </c>
      <c r="CG407" s="8">
        <v>0</v>
      </c>
    </row>
    <row r="408" spans="1:89" hidden="1" outlineLevel="1">
      <c r="A408" t="s">
        <v>245</v>
      </c>
      <c r="B408" t="s">
        <v>2896</v>
      </c>
      <c r="C408" s="1">
        <f t="shared" si="166"/>
        <v>141993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32">
        <f t="shared" si="167"/>
        <v>3408</v>
      </c>
      <c r="H408" s="137">
        <f t="shared" si="168"/>
        <v>2.4001183156916187E-2</v>
      </c>
      <c r="I408" s="2"/>
      <c r="J408" s="2">
        <f t="shared" si="169"/>
        <v>0.47101617685378855</v>
      </c>
      <c r="K408" s="2">
        <f t="shared" si="170"/>
        <v>0.49501736001070473</v>
      </c>
      <c r="L408" s="2">
        <f t="shared" si="171"/>
        <v>0</v>
      </c>
      <c r="M408" s="2">
        <f t="shared" si="172"/>
        <v>3.3966463135506664E-2</v>
      </c>
      <c r="N408" s="63">
        <v>66881</v>
      </c>
      <c r="O408" s="63">
        <v>70289</v>
      </c>
      <c r="P408" s="63"/>
      <c r="Q408" s="63">
        <v>2475</v>
      </c>
      <c r="R408" s="63">
        <v>867</v>
      </c>
      <c r="S408" s="63">
        <v>201</v>
      </c>
      <c r="T408" s="63">
        <v>134</v>
      </c>
      <c r="U408" s="63"/>
      <c r="V408" s="63"/>
      <c r="W408" s="63">
        <f>IF(Copyright!B$11=1,IF(CA408&gt;0,CA408-SUM(X408:AT408)-SUM(U408:V408),SUM(CC408:CG408)),SUM(CC408:CG408))</f>
        <v>1146</v>
      </c>
      <c r="X408" s="63"/>
      <c r="Y408" s="63"/>
      <c r="Z408" s="63">
        <v>0</v>
      </c>
      <c r="AA408" s="63"/>
      <c r="AB408" s="63"/>
      <c r="AC408" s="63"/>
      <c r="AD408" s="63"/>
      <c r="AE408" s="63">
        <v>0</v>
      </c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W408" s="5">
        <f>IF(Q408&gt;0,RANK(Q408,(N408:P408,Q408:AE408)),0)</f>
        <v>3</v>
      </c>
      <c r="AX408" s="5">
        <f>IF(R408&gt;0,RANK(R408,(N408:P408,Q408:AE408)),0)</f>
        <v>5</v>
      </c>
      <c r="AY408" s="5">
        <f>IF(T408&gt;0,RANK(T408,(N408:P408,Q408:AE408)),0)</f>
        <v>7</v>
      </c>
      <c r="AZ408" s="5">
        <f>IF(S408&gt;0,RANK(S408,(N408:P408,Q408:AE408)),0)</f>
        <v>6</v>
      </c>
      <c r="BA408" s="2">
        <f t="shared" si="173"/>
        <v>1.7430436711668884E-2</v>
      </c>
      <c r="BB408" s="2">
        <f t="shared" si="174"/>
        <v>6.1059347996027975E-3</v>
      </c>
      <c r="BC408" s="2">
        <f t="shared" si="175"/>
        <v>9.4370849267217402E-4</v>
      </c>
      <c r="BD408" s="2">
        <f t="shared" si="176"/>
        <v>1.415562739008261E-3</v>
      </c>
      <c r="BF408" t="s">
        <v>245</v>
      </c>
      <c r="BG408" t="s">
        <v>2896</v>
      </c>
      <c r="BH408">
        <v>18</v>
      </c>
      <c r="BJ408" s="114">
        <v>12</v>
      </c>
      <c r="BK408" s="116">
        <v>111</v>
      </c>
      <c r="BL408" s="120">
        <f t="shared" si="165"/>
        <v>12111</v>
      </c>
      <c r="BN408" s="5" t="s">
        <v>3154</v>
      </c>
      <c r="BO408" s="63">
        <v>1002</v>
      </c>
      <c r="BP408" s="63">
        <v>62</v>
      </c>
      <c r="BQ408" s="63">
        <f t="shared" si="163"/>
        <v>1146</v>
      </c>
      <c r="BR408" s="63"/>
      <c r="BS408" s="63"/>
      <c r="BU408" s="63"/>
      <c r="BY408" s="63">
        <f t="shared" si="164"/>
        <v>0</v>
      </c>
      <c r="BZ408" s="63">
        <v>141993</v>
      </c>
      <c r="CA408" s="63">
        <v>1146</v>
      </c>
      <c r="CB408" s="132"/>
      <c r="CD408" s="63">
        <v>0</v>
      </c>
      <c r="CE408" s="63">
        <v>0</v>
      </c>
      <c r="CF408" s="63">
        <v>0</v>
      </c>
      <c r="CG408" s="8">
        <v>0</v>
      </c>
    </row>
    <row r="409" spans="1:89" hidden="1" outlineLevel="1">
      <c r="A409" t="s">
        <v>540</v>
      </c>
      <c r="B409" t="s">
        <v>2896</v>
      </c>
      <c r="C409" s="1">
        <f t="shared" si="166"/>
        <v>88684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32">
        <f t="shared" si="167"/>
        <v>46875</v>
      </c>
      <c r="H409" s="137">
        <f t="shared" si="168"/>
        <v>0.52856208560732487</v>
      </c>
      <c r="I409" s="2"/>
      <c r="J409" s="2">
        <f t="shared" si="169"/>
        <v>0.20819990077127778</v>
      </c>
      <c r="K409" s="2">
        <f t="shared" si="170"/>
        <v>0.73676198637860268</v>
      </c>
      <c r="L409" s="2">
        <f t="shared" si="171"/>
        <v>0</v>
      </c>
      <c r="M409" s="2">
        <f t="shared" si="172"/>
        <v>5.5038112850119503E-2</v>
      </c>
      <c r="N409" s="63">
        <v>18464</v>
      </c>
      <c r="O409" s="63">
        <v>65339</v>
      </c>
      <c r="P409" s="63"/>
      <c r="Q409" s="63">
        <v>3123</v>
      </c>
      <c r="R409" s="63">
        <v>524</v>
      </c>
      <c r="S409" s="63">
        <v>239</v>
      </c>
      <c r="T409" s="63">
        <v>55</v>
      </c>
      <c r="U409" s="63"/>
      <c r="V409" s="63"/>
      <c r="W409" s="63">
        <f>IF(Copyright!B$11=1,IF(CA409&gt;0,CA409-SUM(X409:AT409)-SUM(U409:V409),SUM(CC409:CG409)),SUM(CC409:CG409))</f>
        <v>939</v>
      </c>
      <c r="X409" s="63"/>
      <c r="Y409" s="63"/>
      <c r="Z409" s="63">
        <v>0</v>
      </c>
      <c r="AA409" s="63"/>
      <c r="AB409" s="63"/>
      <c r="AC409" s="63"/>
      <c r="AD409" s="63"/>
      <c r="AE409" s="63">
        <v>1</v>
      </c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W409" s="5">
        <f>IF(Q409&gt;0,RANK(Q409,(N409:P409,Q409:AE409)),0)</f>
        <v>3</v>
      </c>
      <c r="AX409" s="5">
        <f>IF(R409&gt;0,RANK(R409,(N409:P409,Q409:AE409)),0)</f>
        <v>5</v>
      </c>
      <c r="AY409" s="5">
        <f>IF(T409&gt;0,RANK(T409,(N409:P409,Q409:AE409)),0)</f>
        <v>7</v>
      </c>
      <c r="AZ409" s="5">
        <f>IF(S409&gt;0,RANK(S409,(N409:P409,Q409:AE409)),0)</f>
        <v>6</v>
      </c>
      <c r="BA409" s="2">
        <f t="shared" si="173"/>
        <v>3.5214920391502411E-2</v>
      </c>
      <c r="BB409" s="2">
        <f t="shared" si="174"/>
        <v>5.908619367642416E-3</v>
      </c>
      <c r="BC409" s="2">
        <f t="shared" si="175"/>
        <v>6.2017951377926121E-4</v>
      </c>
      <c r="BD409" s="2">
        <f t="shared" si="176"/>
        <v>2.6949618871498805E-3</v>
      </c>
      <c r="BF409" t="s">
        <v>540</v>
      </c>
      <c r="BG409" t="s">
        <v>2896</v>
      </c>
      <c r="BH409">
        <v>1</v>
      </c>
      <c r="BJ409" s="114">
        <v>12</v>
      </c>
      <c r="BK409" s="116">
        <v>113</v>
      </c>
      <c r="BL409" s="120">
        <f t="shared" si="165"/>
        <v>12113</v>
      </c>
      <c r="BN409" s="5" t="s">
        <v>3154</v>
      </c>
      <c r="BQ409" s="63">
        <f t="shared" si="163"/>
        <v>940</v>
      </c>
      <c r="BR409" s="63"/>
      <c r="BS409" s="132"/>
      <c r="BU409" s="63"/>
      <c r="BY409" s="63">
        <f t="shared" si="164"/>
        <v>0</v>
      </c>
      <c r="BZ409" s="63">
        <v>88684</v>
      </c>
      <c r="CA409" s="63">
        <v>940</v>
      </c>
      <c r="CB409" s="132"/>
      <c r="CD409" s="63">
        <v>0</v>
      </c>
      <c r="CE409" s="63">
        <v>0</v>
      </c>
      <c r="CF409" s="63">
        <v>0</v>
      </c>
      <c r="CG409" s="8">
        <v>0</v>
      </c>
    </row>
    <row r="410" spans="1:89" hidden="1" outlineLevel="1">
      <c r="A410" t="s">
        <v>379</v>
      </c>
      <c r="B410" t="s">
        <v>2896</v>
      </c>
      <c r="C410" s="1">
        <f t="shared" si="166"/>
        <v>231353</v>
      </c>
      <c r="D410" s="5">
        <f>IF(N410&gt;0, RANK(N410,(N410:P410,Q410:AE410)),0)</f>
        <v>2</v>
      </c>
      <c r="E410" s="5">
        <f>IF(O410&gt;0,RANK(O410,(N410:P410,Q410:AE410)),0)</f>
        <v>1</v>
      </c>
      <c r="F410" s="5">
        <f>IF(P410&gt;0,RANK(P410,(N410:P410,Q410:AE410)),0)</f>
        <v>0</v>
      </c>
      <c r="G410" s="132">
        <f t="shared" si="167"/>
        <v>26568</v>
      </c>
      <c r="H410" s="137">
        <f t="shared" si="168"/>
        <v>0.11483749940567012</v>
      </c>
      <c r="I410" s="2"/>
      <c r="J410" s="2">
        <f t="shared" si="169"/>
        <v>0.4230332003475209</v>
      </c>
      <c r="K410" s="2">
        <f t="shared" si="170"/>
        <v>0.53787069975319102</v>
      </c>
      <c r="L410" s="2">
        <f t="shared" si="171"/>
        <v>0</v>
      </c>
      <c r="M410" s="2">
        <f t="shared" si="172"/>
        <v>3.9096099899288084E-2</v>
      </c>
      <c r="N410" s="63">
        <v>97870</v>
      </c>
      <c r="O410" s="63">
        <v>124438</v>
      </c>
      <c r="P410" s="63"/>
      <c r="Q410" s="63">
        <v>4715</v>
      </c>
      <c r="R410" s="63">
        <v>1596</v>
      </c>
      <c r="S410" s="63">
        <v>314</v>
      </c>
      <c r="T410" s="63">
        <v>125</v>
      </c>
      <c r="U410" s="63"/>
      <c r="V410" s="63"/>
      <c r="W410" s="63">
        <f>IF(Copyright!B$11=1,IF(CA410&gt;0,CA410-SUM(X410:AT410)-SUM(U410:V410),SUM(CC410:CG410)),SUM(CC410:CG410))</f>
        <v>2292</v>
      </c>
      <c r="X410" s="63"/>
      <c r="Y410" s="63"/>
      <c r="Z410" s="63">
        <v>0</v>
      </c>
      <c r="AA410" s="63"/>
      <c r="AB410" s="63"/>
      <c r="AC410" s="63"/>
      <c r="AD410" s="63"/>
      <c r="AE410" s="63">
        <v>3</v>
      </c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W410" s="5">
        <f>IF(Q410&gt;0,RANK(Q410,(N410:P410,Q410:AE410)),0)</f>
        <v>3</v>
      </c>
      <c r="AX410" s="5">
        <f>IF(R410&gt;0,RANK(R410,(N410:P410,Q410:AE410)),0)</f>
        <v>5</v>
      </c>
      <c r="AY410" s="5">
        <f>IF(T410&gt;0,RANK(T410,(N410:P410,Q410:AE410)),0)</f>
        <v>7</v>
      </c>
      <c r="AZ410" s="5">
        <f>IF(S410&gt;0,RANK(S410,(N410:P410,Q410:AE410)),0)</f>
        <v>6</v>
      </c>
      <c r="BA410" s="2">
        <f t="shared" si="173"/>
        <v>2.038011177724084E-2</v>
      </c>
      <c r="BB410" s="2">
        <f t="shared" si="174"/>
        <v>6.8985489706206533E-3</v>
      </c>
      <c r="BC410" s="2">
        <f t="shared" si="175"/>
        <v>5.4029988804986319E-4</v>
      </c>
      <c r="BD410" s="2">
        <f t="shared" si="176"/>
        <v>1.3572333187812564E-3</v>
      </c>
      <c r="BF410" t="s">
        <v>379</v>
      </c>
      <c r="BG410" t="s">
        <v>2896</v>
      </c>
      <c r="BJ410" s="114">
        <v>12</v>
      </c>
      <c r="BK410" s="116">
        <v>115</v>
      </c>
      <c r="BL410" s="120">
        <f t="shared" si="165"/>
        <v>12115</v>
      </c>
      <c r="BN410" s="5" t="s">
        <v>3154</v>
      </c>
      <c r="BQ410" s="63">
        <f t="shared" si="163"/>
        <v>2295</v>
      </c>
      <c r="BR410" s="63"/>
      <c r="BS410" s="63"/>
      <c r="BU410" s="63"/>
      <c r="BY410" s="63">
        <f t="shared" si="164"/>
        <v>0</v>
      </c>
      <c r="BZ410" s="63">
        <v>231353</v>
      </c>
      <c r="CA410" s="63">
        <v>2295</v>
      </c>
      <c r="CB410" s="132"/>
      <c r="CD410" s="63">
        <v>0</v>
      </c>
      <c r="CE410" s="63">
        <v>0</v>
      </c>
      <c r="CF410" s="63">
        <v>2</v>
      </c>
      <c r="CG410" s="8">
        <v>0</v>
      </c>
    </row>
    <row r="411" spans="1:89" hidden="1" outlineLevel="1">
      <c r="A411" t="s">
        <v>851</v>
      </c>
      <c r="B411" t="s">
        <v>2896</v>
      </c>
      <c r="C411" s="1">
        <f t="shared" si="166"/>
        <v>227526</v>
      </c>
      <c r="D411" s="5">
        <f>IF(N411&gt;0, RANK(N411,(N411:P411,Q411:AE411)),0)</f>
        <v>2</v>
      </c>
      <c r="E411" s="5">
        <f>IF(O411&gt;0,RANK(O411,(N411:P411,Q411:AE411)),0)</f>
        <v>1</v>
      </c>
      <c r="F411" s="5">
        <f>IF(P411&gt;0,RANK(P411,(N411:P411,Q411:AE411)),0)</f>
        <v>0</v>
      </c>
      <c r="G411" s="132">
        <f t="shared" si="167"/>
        <v>3529</v>
      </c>
      <c r="H411" s="137">
        <f t="shared" si="168"/>
        <v>1.5510315304624527E-2</v>
      </c>
      <c r="I411" s="2"/>
      <c r="J411" s="2">
        <f t="shared" si="169"/>
        <v>0.46550284363105754</v>
      </c>
      <c r="K411" s="2">
        <f t="shared" si="170"/>
        <v>0.48101315893568208</v>
      </c>
      <c r="L411" s="2">
        <f t="shared" si="171"/>
        <v>0</v>
      </c>
      <c r="M411" s="2">
        <f t="shared" si="172"/>
        <v>5.3483997433260377E-2</v>
      </c>
      <c r="N411" s="63">
        <v>105914</v>
      </c>
      <c r="O411" s="63">
        <v>109443</v>
      </c>
      <c r="P411" s="63"/>
      <c r="Q411" s="63">
        <v>6811</v>
      </c>
      <c r="R411" s="63">
        <v>1974</v>
      </c>
      <c r="S411" s="63">
        <v>516</v>
      </c>
      <c r="T411" s="63">
        <v>229</v>
      </c>
      <c r="U411" s="63"/>
      <c r="V411" s="63"/>
      <c r="W411" s="63">
        <f>IF(Copyright!B$11=1,IF(CA411&gt;0,CA411-SUM(X411:AT411)-SUM(U411:V411),SUM(CC411:CG411)),SUM(CC411:CG411))</f>
        <v>2631</v>
      </c>
      <c r="X411" s="63"/>
      <c r="Y411" s="63"/>
      <c r="Z411" s="63">
        <v>1</v>
      </c>
      <c r="AA411" s="63"/>
      <c r="AB411" s="63"/>
      <c r="AC411" s="63"/>
      <c r="AD411" s="63"/>
      <c r="AE411" s="63">
        <v>7</v>
      </c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W411" s="5">
        <f>IF(Q411&gt;0,RANK(Q411,(N411:P411,Q411:AE411)),0)</f>
        <v>3</v>
      </c>
      <c r="AX411" s="5">
        <f>IF(R411&gt;0,RANK(R411,(N411:P411,Q411:AE411)),0)</f>
        <v>5</v>
      </c>
      <c r="AY411" s="5">
        <f>IF(T411&gt;0,RANK(T411,(N411:P411,Q411:AE411)),0)</f>
        <v>7</v>
      </c>
      <c r="AZ411" s="5">
        <f>IF(S411&gt;0,RANK(S411,(N411:P411,Q411:AE411)),0)</f>
        <v>6</v>
      </c>
      <c r="BA411" s="2">
        <f t="shared" si="173"/>
        <v>2.9935040390988283E-2</v>
      </c>
      <c r="BB411" s="2">
        <f t="shared" si="174"/>
        <v>8.6759315418897184E-3</v>
      </c>
      <c r="BC411" s="2">
        <f t="shared" si="175"/>
        <v>1.0064783804927789E-3</v>
      </c>
      <c r="BD411" s="2">
        <f t="shared" si="176"/>
        <v>2.2678726826824186E-3</v>
      </c>
      <c r="BF411" t="s">
        <v>851</v>
      </c>
      <c r="BG411" t="s">
        <v>2896</v>
      </c>
      <c r="BH411">
        <v>7</v>
      </c>
      <c r="BJ411" s="114">
        <v>12</v>
      </c>
      <c r="BK411" s="116">
        <v>117</v>
      </c>
      <c r="BL411" s="120">
        <f t="shared" si="165"/>
        <v>12117</v>
      </c>
      <c r="BN411" s="5" t="s">
        <v>3154</v>
      </c>
      <c r="BO411" s="147"/>
      <c r="BP411" s="147"/>
      <c r="BQ411" s="63">
        <f t="shared" si="163"/>
        <v>2639</v>
      </c>
      <c r="BR411" s="63"/>
      <c r="BS411" s="132"/>
      <c r="BU411" s="63"/>
      <c r="BY411" s="63">
        <f t="shared" si="164"/>
        <v>0</v>
      </c>
      <c r="BZ411" s="63">
        <v>227526</v>
      </c>
      <c r="CA411" s="63">
        <v>2639</v>
      </c>
      <c r="CB411" s="132"/>
      <c r="CD411" s="63">
        <v>1</v>
      </c>
      <c r="CE411" s="63">
        <v>0</v>
      </c>
      <c r="CF411" s="63">
        <v>0</v>
      </c>
      <c r="CG411" s="8">
        <v>0</v>
      </c>
    </row>
    <row r="412" spans="1:89" hidden="1" outlineLevel="1">
      <c r="A412" t="s">
        <v>3109</v>
      </c>
      <c r="B412" t="s">
        <v>2896</v>
      </c>
      <c r="C412" s="1">
        <f t="shared" si="166"/>
        <v>77238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32">
        <f t="shared" si="167"/>
        <v>30092</v>
      </c>
      <c r="H412" s="137">
        <f t="shared" si="168"/>
        <v>0.38960097361402418</v>
      </c>
      <c r="I412" s="2"/>
      <c r="J412" s="2">
        <f t="shared" si="169"/>
        <v>0.29309407286568789</v>
      </c>
      <c r="K412" s="2">
        <f t="shared" si="170"/>
        <v>0.68269504647971202</v>
      </c>
      <c r="L412" s="2">
        <f t="shared" si="171"/>
        <v>0</v>
      </c>
      <c r="M412" s="2">
        <f t="shared" si="172"/>
        <v>2.4210880654600087E-2</v>
      </c>
      <c r="N412" s="63">
        <v>22638</v>
      </c>
      <c r="O412" s="63">
        <v>52730</v>
      </c>
      <c r="P412" s="63"/>
      <c r="Q412" s="63">
        <v>971</v>
      </c>
      <c r="R412" s="63">
        <v>201</v>
      </c>
      <c r="S412" s="63">
        <v>84</v>
      </c>
      <c r="T412" s="63">
        <v>40</v>
      </c>
      <c r="U412" s="63"/>
      <c r="V412" s="63"/>
      <c r="W412" s="63">
        <f>IF(Copyright!B$11=1,IF(CA412&gt;0,CA412-SUM(X412:AT412)-SUM(U412:V412),SUM(CC412:CG412)),SUM(CC412:CG412))</f>
        <v>573</v>
      </c>
      <c r="X412" s="63"/>
      <c r="Y412" s="63"/>
      <c r="Z412" s="63">
        <v>0</v>
      </c>
      <c r="AA412" s="63"/>
      <c r="AB412" s="63"/>
      <c r="AC412" s="63"/>
      <c r="AD412" s="63"/>
      <c r="AE412" s="63">
        <v>1</v>
      </c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W412" s="5">
        <f>IF(Q412&gt;0,RANK(Q412,(N412:P412,Q412:AE412)),0)</f>
        <v>3</v>
      </c>
      <c r="AX412" s="5">
        <f>IF(R412&gt;0,RANK(R412,(N412:P412,Q412:AE412)),0)</f>
        <v>5</v>
      </c>
      <c r="AY412" s="5">
        <f>IF(T412&gt;0,RANK(T412,(N412:P412,Q412:AE412)),0)</f>
        <v>7</v>
      </c>
      <c r="AZ412" s="5">
        <f>IF(S412&gt;0,RANK(S412,(N412:P412,Q412:AE412)),0)</f>
        <v>6</v>
      </c>
      <c r="BA412" s="2">
        <f t="shared" si="173"/>
        <v>1.2571532147388591E-2</v>
      </c>
      <c r="BB412" s="2">
        <f t="shared" si="174"/>
        <v>2.6023459954944458E-3</v>
      </c>
      <c r="BC412" s="2">
        <f t="shared" si="175"/>
        <v>5.1787980009839721E-4</v>
      </c>
      <c r="BD412" s="2">
        <f t="shared" si="176"/>
        <v>1.0875475802066339E-3</v>
      </c>
      <c r="BF412" t="s">
        <v>3109</v>
      </c>
      <c r="BG412" t="s">
        <v>2896</v>
      </c>
      <c r="BH412">
        <v>11</v>
      </c>
      <c r="BJ412" s="114">
        <v>12</v>
      </c>
      <c r="BK412" s="116">
        <v>119</v>
      </c>
      <c r="BL412" s="120">
        <f t="shared" si="165"/>
        <v>12119</v>
      </c>
      <c r="BN412" s="5" t="s">
        <v>3154</v>
      </c>
      <c r="BO412" s="63">
        <v>489</v>
      </c>
      <c r="BP412" s="63">
        <v>84</v>
      </c>
      <c r="BQ412" s="63">
        <f t="shared" si="163"/>
        <v>574</v>
      </c>
      <c r="BR412" s="63"/>
      <c r="BS412" s="63"/>
      <c r="BU412" s="63"/>
      <c r="BY412" s="63">
        <f t="shared" si="164"/>
        <v>0</v>
      </c>
      <c r="BZ412" s="63">
        <f>77811-489-84</f>
        <v>77238</v>
      </c>
      <c r="CA412" s="63">
        <v>574</v>
      </c>
      <c r="CB412" s="132"/>
      <c r="CD412" s="63">
        <v>0</v>
      </c>
      <c r="CE412" s="63">
        <v>0</v>
      </c>
      <c r="CF412" s="63">
        <v>0</v>
      </c>
      <c r="CG412" s="8">
        <v>0</v>
      </c>
    </row>
    <row r="413" spans="1:89" hidden="1" outlineLevel="1">
      <c r="A413" t="s">
        <v>406</v>
      </c>
      <c r="B413" t="s">
        <v>2896</v>
      </c>
      <c r="C413" s="1">
        <f t="shared" si="166"/>
        <v>18787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32">
        <f t="shared" si="167"/>
        <v>10323</v>
      </c>
      <c r="H413" s="137">
        <f t="shared" si="168"/>
        <v>0.54947570128280199</v>
      </c>
      <c r="I413" s="2"/>
      <c r="J413" s="2">
        <f t="shared" si="169"/>
        <v>0.21099696598711876</v>
      </c>
      <c r="K413" s="2">
        <f t="shared" si="170"/>
        <v>0.76047266726992069</v>
      </c>
      <c r="L413" s="2">
        <f t="shared" si="171"/>
        <v>0</v>
      </c>
      <c r="M413" s="2">
        <f t="shared" si="172"/>
        <v>2.8530366742960611E-2</v>
      </c>
      <c r="N413" s="63">
        <v>3964</v>
      </c>
      <c r="O413" s="63">
        <v>14287</v>
      </c>
      <c r="P413" s="63"/>
      <c r="Q413" s="63">
        <v>309</v>
      </c>
      <c r="R413" s="63">
        <v>81</v>
      </c>
      <c r="S413" s="63">
        <v>42</v>
      </c>
      <c r="T413" s="63">
        <v>10</v>
      </c>
      <c r="U413" s="63"/>
      <c r="V413" s="63"/>
      <c r="W413" s="63">
        <f>IF(Copyright!B$11=1,IF(CA413&gt;0,CA413-SUM(X413:AT413)-SUM(U413:V413),SUM(CC413:CG413)),SUM(CC413:CG413))</f>
        <v>93</v>
      </c>
      <c r="X413" s="63"/>
      <c r="Y413" s="63"/>
      <c r="Z413" s="63">
        <v>0</v>
      </c>
      <c r="AA413" s="63"/>
      <c r="AB413" s="63"/>
      <c r="AC413" s="63"/>
      <c r="AD413" s="63"/>
      <c r="AE413" s="63">
        <v>1</v>
      </c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W413" s="5">
        <f>IF(Q413&gt;0,RANK(Q413,(N413:P413,Q413:AE413)),0)</f>
        <v>3</v>
      </c>
      <c r="AX413" s="5">
        <f>IF(R413&gt;0,RANK(R413,(N413:P413,Q413:AE413)),0)</f>
        <v>5</v>
      </c>
      <c r="AY413" s="5">
        <f>IF(T413&gt;0,RANK(T413,(N413:P413,Q413:AE413)),0)</f>
        <v>7</v>
      </c>
      <c r="AZ413" s="5">
        <f>IF(S413&gt;0,RANK(S413,(N413:P413,Q413:AE413)),0)</f>
        <v>6</v>
      </c>
      <c r="BA413" s="2">
        <f t="shared" si="173"/>
        <v>1.6447543514132114E-2</v>
      </c>
      <c r="BB413" s="2">
        <f t="shared" si="174"/>
        <v>4.3114919891414274E-3</v>
      </c>
      <c r="BC413" s="2">
        <f t="shared" si="175"/>
        <v>5.3228296162239849E-4</v>
      </c>
      <c r="BD413" s="2">
        <f t="shared" si="176"/>
        <v>2.2355884388140738E-3</v>
      </c>
      <c r="BF413" t="s">
        <v>406</v>
      </c>
      <c r="BG413" t="s">
        <v>2896</v>
      </c>
      <c r="BH413">
        <v>2</v>
      </c>
      <c r="BJ413" s="114">
        <v>12</v>
      </c>
      <c r="BK413" s="116">
        <v>121</v>
      </c>
      <c r="BL413" s="120">
        <f t="shared" si="165"/>
        <v>12121</v>
      </c>
      <c r="BN413" s="5" t="s">
        <v>3154</v>
      </c>
      <c r="BQ413" s="63">
        <f t="shared" si="163"/>
        <v>94</v>
      </c>
      <c r="BR413" s="63"/>
      <c r="BS413" s="63"/>
      <c r="BT413" s="63"/>
      <c r="BU413" s="63"/>
      <c r="BY413" s="63">
        <f t="shared" si="164"/>
        <v>-11</v>
      </c>
      <c r="BZ413" s="63">
        <v>18776</v>
      </c>
      <c r="CA413" s="133">
        <v>94</v>
      </c>
      <c r="CB413" s="132"/>
      <c r="CD413" s="63">
        <v>0</v>
      </c>
      <c r="CE413" s="63">
        <v>0</v>
      </c>
      <c r="CF413" s="63">
        <v>0</v>
      </c>
      <c r="CG413" s="8">
        <v>0</v>
      </c>
    </row>
    <row r="414" spans="1:89" hidden="1" outlineLevel="1">
      <c r="A414" t="s">
        <v>1140</v>
      </c>
      <c r="B414" t="s">
        <v>2896</v>
      </c>
      <c r="C414" s="1">
        <f t="shared" si="166"/>
        <v>9348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32">
        <f t="shared" si="167"/>
        <v>4778</v>
      </c>
      <c r="H414" s="137">
        <f t="shared" si="168"/>
        <v>0.51112537441163886</v>
      </c>
      <c r="I414" s="2"/>
      <c r="J414" s="2">
        <f t="shared" si="169"/>
        <v>0.23020967051775781</v>
      </c>
      <c r="K414" s="2">
        <f t="shared" si="170"/>
        <v>0.74133504492939661</v>
      </c>
      <c r="L414" s="2">
        <f t="shared" si="171"/>
        <v>0</v>
      </c>
      <c r="M414" s="2">
        <f t="shared" si="172"/>
        <v>2.8455284552845517E-2</v>
      </c>
      <c r="N414" s="63">
        <v>2152</v>
      </c>
      <c r="O414" s="63">
        <v>6930</v>
      </c>
      <c r="P414" s="63"/>
      <c r="Q414" s="63">
        <v>151</v>
      </c>
      <c r="R414" s="63">
        <v>33</v>
      </c>
      <c r="S414" s="63">
        <v>20</v>
      </c>
      <c r="T414" s="63">
        <v>4</v>
      </c>
      <c r="U414" s="63"/>
      <c r="V414" s="63"/>
      <c r="W414" s="63">
        <f>IF(Copyright!B$11=1,IF(CA414&gt;0,CA414-SUM(X414:AT414)-SUM(U414:V414),SUM(CC414:CG414)),SUM(CC414:CG414))</f>
        <v>58</v>
      </c>
      <c r="X414" s="63"/>
      <c r="Y414" s="63"/>
      <c r="Z414" s="63">
        <v>0</v>
      </c>
      <c r="AA414" s="63"/>
      <c r="AB414" s="63"/>
      <c r="AC414" s="63"/>
      <c r="AD414" s="63"/>
      <c r="AE414" s="63">
        <v>0</v>
      </c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W414" s="5">
        <f>IF(Q414&gt;0,RANK(Q414,(N414:P414,Q414:AE414)),0)</f>
        <v>3</v>
      </c>
      <c r="AX414" s="5">
        <f>IF(R414&gt;0,RANK(R414,(N414:P414,Q414:AE414)),0)</f>
        <v>5</v>
      </c>
      <c r="AY414" s="5">
        <f>IF(T414&gt;0,RANK(T414,(N414:P414,Q414:AE414)),0)</f>
        <v>7</v>
      </c>
      <c r="AZ414" s="5">
        <f>IF(S414&gt;0,RANK(S414,(N414:P414,Q414:AE414)),0)</f>
        <v>6</v>
      </c>
      <c r="BA414" s="2">
        <f t="shared" si="173"/>
        <v>1.6153187847667949E-2</v>
      </c>
      <c r="BB414" s="2">
        <f t="shared" si="174"/>
        <v>3.5301668806161745E-3</v>
      </c>
      <c r="BC414" s="2">
        <f t="shared" si="175"/>
        <v>4.2789901583226359E-4</v>
      </c>
      <c r="BD414" s="2">
        <f t="shared" si="176"/>
        <v>2.1394950791613181E-3</v>
      </c>
      <c r="BF414" t="s">
        <v>1140</v>
      </c>
      <c r="BG414" t="s">
        <v>2896</v>
      </c>
      <c r="BH414">
        <v>2</v>
      </c>
      <c r="BJ414" s="114">
        <v>12</v>
      </c>
      <c r="BK414" s="116">
        <v>123</v>
      </c>
      <c r="BL414" s="120">
        <f t="shared" si="165"/>
        <v>12123</v>
      </c>
      <c r="BN414" s="5" t="s">
        <v>3154</v>
      </c>
      <c r="BQ414" s="63">
        <f t="shared" si="163"/>
        <v>58</v>
      </c>
      <c r="BR414" s="63"/>
      <c r="BS414" s="63"/>
      <c r="BT414" s="63"/>
      <c r="BU414" s="63"/>
      <c r="BY414" s="63">
        <f t="shared" si="164"/>
        <v>0</v>
      </c>
      <c r="BZ414" s="63">
        <v>9348</v>
      </c>
      <c r="CA414" s="63">
        <v>58</v>
      </c>
      <c r="CB414" s="132"/>
      <c r="CD414" s="63">
        <v>0</v>
      </c>
      <c r="CE414" s="63">
        <v>0</v>
      </c>
      <c r="CF414" s="63">
        <v>0</v>
      </c>
      <c r="CG414" s="8">
        <v>0</v>
      </c>
    </row>
    <row r="415" spans="1:89" hidden="1" outlineLevel="1">
      <c r="A415" t="s">
        <v>1513</v>
      </c>
      <c r="B415" t="s">
        <v>2896</v>
      </c>
      <c r="C415" s="1">
        <f t="shared" si="166"/>
        <v>5722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32">
        <f t="shared" si="167"/>
        <v>3554</v>
      </c>
      <c r="H415" s="137">
        <f t="shared" si="168"/>
        <v>0.62111149947570776</v>
      </c>
      <c r="I415" s="2"/>
      <c r="J415" s="2">
        <f t="shared" si="169"/>
        <v>0.17721076546662007</v>
      </c>
      <c r="K415" s="2">
        <f t="shared" si="170"/>
        <v>0.79832226494232783</v>
      </c>
      <c r="L415" s="2">
        <f t="shared" si="171"/>
        <v>0</v>
      </c>
      <c r="M415" s="2">
        <f t="shared" si="172"/>
        <v>2.4466969591052101E-2</v>
      </c>
      <c r="N415" s="63">
        <v>1014</v>
      </c>
      <c r="O415" s="63">
        <v>4568</v>
      </c>
      <c r="P415" s="63"/>
      <c r="Q415" s="63">
        <v>90</v>
      </c>
      <c r="R415" s="63">
        <v>12</v>
      </c>
      <c r="S415" s="63">
        <v>7</v>
      </c>
      <c r="T415" s="63">
        <v>3</v>
      </c>
      <c r="U415" s="63"/>
      <c r="V415" s="63"/>
      <c r="W415" s="63">
        <f>IF(Copyright!B$11=1,IF(CA415&gt;0,CA415-SUM(X415:AT415)-SUM(U415:V415),SUM(CC415:CG415)),SUM(CC415:CG415))</f>
        <v>28</v>
      </c>
      <c r="X415" s="63"/>
      <c r="Y415" s="63"/>
      <c r="Z415" s="63">
        <v>0</v>
      </c>
      <c r="AA415" s="63"/>
      <c r="AB415" s="63"/>
      <c r="AC415" s="63"/>
      <c r="AD415" s="63"/>
      <c r="AE415" s="63">
        <v>0</v>
      </c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W415" s="5">
        <f>IF(Q415&gt;0,RANK(Q415,(N415:P415,Q415:AE415)),0)</f>
        <v>3</v>
      </c>
      <c r="AX415" s="5">
        <f>IF(R415&gt;0,RANK(R415,(N415:P415,Q415:AE415)),0)</f>
        <v>5</v>
      </c>
      <c r="AY415" s="5">
        <f>IF(T415&gt;0,RANK(T415,(N415:P415,Q415:AE415)),0)</f>
        <v>7</v>
      </c>
      <c r="AZ415" s="5">
        <f>IF(S415&gt;0,RANK(S415,(N415:P415,Q415:AE415)),0)</f>
        <v>6</v>
      </c>
      <c r="BA415" s="2">
        <f t="shared" si="173"/>
        <v>1.5728766165676335E-2</v>
      </c>
      <c r="BB415" s="2">
        <f t="shared" si="174"/>
        <v>2.0971688220901784E-3</v>
      </c>
      <c r="BC415" s="2">
        <f t="shared" si="175"/>
        <v>5.2429220552254461E-4</v>
      </c>
      <c r="BD415" s="2">
        <f t="shared" si="176"/>
        <v>1.223348479552604E-3</v>
      </c>
      <c r="BF415" t="s">
        <v>1513</v>
      </c>
      <c r="BG415" t="s">
        <v>2896</v>
      </c>
      <c r="BH415">
        <v>3</v>
      </c>
      <c r="BJ415" s="114">
        <v>12</v>
      </c>
      <c r="BK415" s="116">
        <v>125</v>
      </c>
      <c r="BL415" s="120">
        <f t="shared" si="165"/>
        <v>12125</v>
      </c>
      <c r="BN415" s="5" t="s">
        <v>3154</v>
      </c>
      <c r="BQ415" s="63">
        <f t="shared" si="163"/>
        <v>28</v>
      </c>
      <c r="BR415" s="63"/>
      <c r="BS415" s="63"/>
      <c r="BU415" s="63"/>
      <c r="BY415" s="63">
        <f t="shared" si="164"/>
        <v>0</v>
      </c>
      <c r="BZ415" s="63">
        <v>5722</v>
      </c>
      <c r="CA415" s="63">
        <v>28</v>
      </c>
      <c r="CB415" s="132"/>
      <c r="CD415" s="63">
        <v>0</v>
      </c>
      <c r="CE415" s="63">
        <v>0</v>
      </c>
      <c r="CF415" s="63">
        <v>0</v>
      </c>
      <c r="CG415" s="8">
        <v>0</v>
      </c>
    </row>
    <row r="416" spans="1:89" hidden="1" outlineLevel="1">
      <c r="A416" t="s">
        <v>119</v>
      </c>
      <c r="B416" t="s">
        <v>2896</v>
      </c>
      <c r="C416" s="1">
        <f t="shared" si="166"/>
        <v>263278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32">
        <f t="shared" si="167"/>
        <v>33916</v>
      </c>
      <c r="H416" s="137">
        <f t="shared" si="168"/>
        <v>0.12882200563662743</v>
      </c>
      <c r="I416" s="2"/>
      <c r="J416" s="2">
        <f t="shared" si="169"/>
        <v>0.41435668760777583</v>
      </c>
      <c r="K416" s="2">
        <f t="shared" si="170"/>
        <v>0.54317869324440327</v>
      </c>
      <c r="L416" s="2">
        <f t="shared" si="171"/>
        <v>0</v>
      </c>
      <c r="M416" s="2">
        <f t="shared" si="172"/>
        <v>4.2464619147820959E-2</v>
      </c>
      <c r="N416" s="63">
        <v>109091</v>
      </c>
      <c r="O416" s="63">
        <v>143007</v>
      </c>
      <c r="P416" s="63"/>
      <c r="Q416" s="63">
        <v>6111</v>
      </c>
      <c r="R416" s="63">
        <v>2003</v>
      </c>
      <c r="S416" s="63">
        <v>440</v>
      </c>
      <c r="T416" s="63">
        <v>208</v>
      </c>
      <c r="U416" s="63"/>
      <c r="V416" s="63"/>
      <c r="W416" s="63">
        <f>IF(Copyright!B$11=1,IF(CA416&gt;0,CA416-SUM(X416:AT416)-SUM(U416:V416),SUM(CC416:CG416)),SUM(CC416:CG416))</f>
        <v>2415</v>
      </c>
      <c r="X416" s="63"/>
      <c r="Y416" s="63"/>
      <c r="Z416" s="63">
        <v>0</v>
      </c>
      <c r="AA416" s="63"/>
      <c r="AB416" s="63"/>
      <c r="AC416" s="63"/>
      <c r="AD416" s="63"/>
      <c r="AE416" s="63">
        <v>3</v>
      </c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W416" s="5">
        <f>IF(Q416&gt;0,RANK(Q416,(N416:P416,Q416:AE416)),0)</f>
        <v>3</v>
      </c>
      <c r="AX416" s="5">
        <f>IF(R416&gt;0,RANK(R416,(N416:P416,Q416:AE416)),0)</f>
        <v>5</v>
      </c>
      <c r="AY416" s="5">
        <f>IF(T416&gt;0,RANK(T416,(N416:P416,Q416:AE416)),0)</f>
        <v>7</v>
      </c>
      <c r="AZ416" s="5">
        <f>IF(S416&gt;0,RANK(S416,(N416:P416,Q416:AE416)),0)</f>
        <v>6</v>
      </c>
      <c r="BA416" s="2">
        <f t="shared" si="173"/>
        <v>2.3211206405396576E-2</v>
      </c>
      <c r="BB416" s="2">
        <f t="shared" si="174"/>
        <v>7.607927741778652E-3</v>
      </c>
      <c r="BC416" s="2">
        <f t="shared" si="175"/>
        <v>7.9003942600597093E-4</v>
      </c>
      <c r="BD416" s="2">
        <f t="shared" si="176"/>
        <v>1.671237247320323E-3</v>
      </c>
      <c r="BF416" t="s">
        <v>119</v>
      </c>
      <c r="BG416" t="s">
        <v>2896</v>
      </c>
      <c r="BH416">
        <v>6</v>
      </c>
      <c r="BJ416" s="114">
        <v>12</v>
      </c>
      <c r="BK416" s="116">
        <v>127</v>
      </c>
      <c r="BL416" s="120">
        <f t="shared" si="165"/>
        <v>12127</v>
      </c>
      <c r="BN416" s="5" t="s">
        <v>3154</v>
      </c>
      <c r="BO416" s="63">
        <v>1701</v>
      </c>
      <c r="BP416" s="63">
        <v>223</v>
      </c>
      <c r="BQ416" s="63">
        <f t="shared" si="163"/>
        <v>2418</v>
      </c>
      <c r="BR416" s="63"/>
      <c r="BS416" s="63"/>
      <c r="BU416" s="63"/>
      <c r="BY416" s="63">
        <f t="shared" si="164"/>
        <v>0</v>
      </c>
      <c r="BZ416" s="63">
        <f>143007+109091+6111+440+2003+208+2418</f>
        <v>263278</v>
      </c>
      <c r="CA416" s="63">
        <v>2418</v>
      </c>
      <c r="CB416" s="132"/>
      <c r="CD416" s="63">
        <v>3</v>
      </c>
      <c r="CE416" s="63">
        <v>0</v>
      </c>
      <c r="CF416" s="63">
        <v>3</v>
      </c>
      <c r="CG416" s="8">
        <v>0</v>
      </c>
    </row>
    <row r="417" spans="1:91" hidden="1" outlineLevel="1">
      <c r="A417" t="s">
        <v>458</v>
      </c>
      <c r="B417" t="s">
        <v>2896</v>
      </c>
      <c r="C417" s="1">
        <f t="shared" si="166"/>
        <v>15444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32">
        <f t="shared" si="167"/>
        <v>6164</v>
      </c>
      <c r="H417" s="137">
        <f>IF(C417&gt;0,G417/C417,0)</f>
        <v>0.39911939911939914</v>
      </c>
      <c r="I417" s="2"/>
      <c r="J417" s="2">
        <f t="shared" si="169"/>
        <v>0.28153328153328155</v>
      </c>
      <c r="K417" s="2">
        <f t="shared" si="170"/>
        <v>0.6806526806526807</v>
      </c>
      <c r="L417" s="2">
        <f t="shared" si="171"/>
        <v>0</v>
      </c>
      <c r="M417" s="2">
        <f>IF(C417=0,"-",(1-J417-K417-L417))</f>
        <v>3.7814037814037693E-2</v>
      </c>
      <c r="N417" s="63">
        <v>4348</v>
      </c>
      <c r="O417" s="63">
        <v>10512</v>
      </c>
      <c r="P417" s="63"/>
      <c r="Q417" s="63">
        <v>378</v>
      </c>
      <c r="R417" s="63">
        <v>66</v>
      </c>
      <c r="S417" s="63">
        <v>32</v>
      </c>
      <c r="T417" s="63">
        <v>14</v>
      </c>
      <c r="U417" s="63"/>
      <c r="V417" s="63"/>
      <c r="W417" s="63">
        <f>IF(Copyright!B$11=1,IF(CA417&gt;0,CA417-SUM(X417:AT417)-SUM(U417:V417),SUM(CC417:CG417)),SUM(CC417:CG417))</f>
        <v>93</v>
      </c>
      <c r="X417" s="63"/>
      <c r="Y417" s="63"/>
      <c r="Z417" s="63">
        <v>0</v>
      </c>
      <c r="AA417" s="63"/>
      <c r="AB417" s="63"/>
      <c r="AC417" s="63"/>
      <c r="AD417" s="63"/>
      <c r="AE417" s="63">
        <v>1</v>
      </c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W417" s="5">
        <f>IF(Q417&gt;0,RANK(Q417,(N417:P417,Q417:AE417)),0)</f>
        <v>3</v>
      </c>
      <c r="AX417" s="5">
        <f>IF(R417&gt;0,RANK(R417,(N417:P417,Q417:AE417)),0)</f>
        <v>5</v>
      </c>
      <c r="AY417" s="5">
        <f>IF(T417&gt;0,RANK(T417,(N417:P417,Q417:AE417)),0)</f>
        <v>7</v>
      </c>
      <c r="AZ417" s="5">
        <f>IF(S417&gt;0,RANK(S417,(N417:P417,Q417:AE417)),0)</f>
        <v>6</v>
      </c>
      <c r="BA417" s="2">
        <f t="shared" si="173"/>
        <v>2.4475524475524476E-2</v>
      </c>
      <c r="BB417" s="2">
        <f t="shared" si="174"/>
        <v>4.2735042735042739E-3</v>
      </c>
      <c r="BC417" s="2">
        <f t="shared" si="175"/>
        <v>9.0650090650090654E-4</v>
      </c>
      <c r="BD417" s="2">
        <f t="shared" si="176"/>
        <v>2.0720020720020721E-3</v>
      </c>
      <c r="BF417" t="s">
        <v>458</v>
      </c>
      <c r="BG417" t="s">
        <v>2896</v>
      </c>
      <c r="BH417">
        <v>2</v>
      </c>
      <c r="BJ417" s="114">
        <v>12</v>
      </c>
      <c r="BK417" s="116">
        <v>129</v>
      </c>
      <c r="BL417" s="120">
        <f t="shared" si="165"/>
        <v>12129</v>
      </c>
      <c r="BN417" s="5" t="s">
        <v>3154</v>
      </c>
      <c r="BQ417" s="63">
        <f t="shared" si="163"/>
        <v>94</v>
      </c>
      <c r="BR417" s="63"/>
      <c r="BS417" s="132"/>
      <c r="BU417" s="63"/>
      <c r="BY417" s="63">
        <f t="shared" si="164"/>
        <v>0</v>
      </c>
      <c r="BZ417" s="63">
        <v>15444</v>
      </c>
      <c r="CA417" s="63">
        <v>94</v>
      </c>
      <c r="CB417" s="132"/>
      <c r="CD417" s="63">
        <v>0</v>
      </c>
      <c r="CE417" s="63">
        <v>0</v>
      </c>
      <c r="CF417" s="63">
        <v>0</v>
      </c>
      <c r="CG417" s="8">
        <v>0</v>
      </c>
    </row>
    <row r="418" spans="1:91" hidden="1" outlineLevel="1">
      <c r="A418" t="s">
        <v>671</v>
      </c>
      <c r="B418" t="s">
        <v>2896</v>
      </c>
      <c r="C418" s="1">
        <f t="shared" si="166"/>
        <v>33898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32">
        <f t="shared" si="167"/>
        <v>18880</v>
      </c>
      <c r="H418" s="137">
        <f>IF(C418&gt;0,G418/C418,0)</f>
        <v>0.55696501268511411</v>
      </c>
      <c r="I418" s="2"/>
      <c r="J418" s="2">
        <f t="shared" si="169"/>
        <v>0.20284382559443034</v>
      </c>
      <c r="K418" s="2">
        <f t="shared" si="170"/>
        <v>0.75980883827954449</v>
      </c>
      <c r="L418" s="2">
        <f t="shared" si="171"/>
        <v>0</v>
      </c>
      <c r="M418" s="2">
        <f>IF(C418=0,"-",(1-J418-K418-L418))</f>
        <v>3.7347336126025144E-2</v>
      </c>
      <c r="N418" s="63">
        <v>6876</v>
      </c>
      <c r="O418" s="63">
        <v>25756</v>
      </c>
      <c r="P418" s="63"/>
      <c r="Q418" s="63">
        <v>783</v>
      </c>
      <c r="R418" s="63">
        <v>142</v>
      </c>
      <c r="S418" s="63">
        <v>60</v>
      </c>
      <c r="T418" s="63">
        <v>20</v>
      </c>
      <c r="U418" s="63"/>
      <c r="V418" s="63"/>
      <c r="W418" s="63">
        <f>IF(Copyright!B$11=1,IF(CA418&gt;0,CA418-SUM(X418:AT418)-SUM(U418:V418),SUM(CC418:CG418)),SUM(CC418:CG418))</f>
        <v>261</v>
      </c>
      <c r="X418" s="63"/>
      <c r="Y418" s="63"/>
      <c r="Z418" s="63">
        <v>0</v>
      </c>
      <c r="AA418" s="63"/>
      <c r="AB418" s="63"/>
      <c r="AC418" s="63"/>
      <c r="AD418" s="63"/>
      <c r="AE418" s="63">
        <v>0</v>
      </c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W418" s="5">
        <f>IF(Q418&gt;0,RANK(Q418,(N418:P418,Q418:AE418)),0)</f>
        <v>3</v>
      </c>
      <c r="AX418" s="5">
        <f>IF(R418&gt;0,RANK(R418,(N418:P418,Q418:AE418)),0)</f>
        <v>5</v>
      </c>
      <c r="AY418" s="5">
        <f>IF(T418&gt;0,RANK(T418,(N418:P418,Q418:AE418)),0)</f>
        <v>7</v>
      </c>
      <c r="AZ418" s="5">
        <f>IF(S418&gt;0,RANK(S418,(N418:P418,Q418:AE418)),0)</f>
        <v>6</v>
      </c>
      <c r="BA418" s="2">
        <f t="shared" si="173"/>
        <v>2.3098707888370994E-2</v>
      </c>
      <c r="BB418" s="2">
        <f t="shared" si="174"/>
        <v>4.1890377013393118E-3</v>
      </c>
      <c r="BC418" s="2">
        <f t="shared" si="175"/>
        <v>5.9000531004779039E-4</v>
      </c>
      <c r="BD418" s="2">
        <f t="shared" si="176"/>
        <v>1.7700159301433714E-3</v>
      </c>
      <c r="BF418" t="s">
        <v>671</v>
      </c>
      <c r="BG418" t="s">
        <v>2896</v>
      </c>
      <c r="BH418">
        <v>1</v>
      </c>
      <c r="BJ418" s="114">
        <v>12</v>
      </c>
      <c r="BK418" s="116">
        <v>131</v>
      </c>
      <c r="BL418" s="120">
        <f t="shared" si="165"/>
        <v>12131</v>
      </c>
      <c r="BN418" s="5" t="s">
        <v>3154</v>
      </c>
      <c r="BQ418" s="63">
        <f>CA418</f>
        <v>261</v>
      </c>
      <c r="BR418" s="63"/>
      <c r="BS418" s="132"/>
      <c r="BU418" s="63"/>
      <c r="BY418" s="63">
        <f t="shared" ref="BY418:BY419" si="177">BZ418-C418</f>
        <v>0</v>
      </c>
      <c r="BZ418" s="63">
        <f>25756+6876+783+60+142+20+261</f>
        <v>33898</v>
      </c>
      <c r="CA418" s="63">
        <v>261</v>
      </c>
      <c r="CB418" s="132"/>
      <c r="CD418" s="63">
        <v>0</v>
      </c>
      <c r="CE418" s="63">
        <v>0</v>
      </c>
      <c r="CF418" s="63">
        <v>0</v>
      </c>
      <c r="CG418" s="8">
        <v>0</v>
      </c>
    </row>
    <row r="419" spans="1:91" hidden="1" outlineLevel="1">
      <c r="A419" t="s">
        <v>692</v>
      </c>
      <c r="B419" t="s">
        <v>2896</v>
      </c>
      <c r="C419" s="1">
        <f t="shared" si="166"/>
        <v>11211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>IF(P419&gt;0,RANK(P419,(N419:P419,Q419:AE419)),0)</f>
        <v>0</v>
      </c>
      <c r="G419" s="132">
        <f t="shared" si="167"/>
        <v>6373</v>
      </c>
      <c r="H419" s="137">
        <f>IF(C419&gt;0,G419/C419,0)</f>
        <v>0.56845954865756843</v>
      </c>
      <c r="I419" s="2"/>
      <c r="J419" s="2">
        <f t="shared" si="169"/>
        <v>0.20194451877620195</v>
      </c>
      <c r="K419" s="2">
        <f t="shared" si="170"/>
        <v>0.77040406743377043</v>
      </c>
      <c r="L419" s="2">
        <f t="shared" si="171"/>
        <v>0</v>
      </c>
      <c r="M419" s="2">
        <f>IF(C419=0,"-",(1-J419-K419-L419))</f>
        <v>2.7651413790027668E-2</v>
      </c>
      <c r="N419" s="63">
        <v>2264</v>
      </c>
      <c r="O419" s="63">
        <v>8637</v>
      </c>
      <c r="P419" s="63"/>
      <c r="Q419" s="63">
        <v>192</v>
      </c>
      <c r="R419" s="63">
        <v>22</v>
      </c>
      <c r="S419" s="63">
        <v>34</v>
      </c>
      <c r="T419" s="63">
        <v>7</v>
      </c>
      <c r="U419" s="63"/>
      <c r="V419" s="63"/>
      <c r="W419" s="63">
        <f>IF(Copyright!B$11=1,IF(CA419&gt;0,CA419-SUM(X419:AT419)-SUM(U419:V419),SUM(CC419:CG419)),SUM(CC419:CG419))</f>
        <v>55</v>
      </c>
      <c r="X419" s="63"/>
      <c r="Y419" s="63"/>
      <c r="Z419" s="63">
        <v>0</v>
      </c>
      <c r="AA419" s="63"/>
      <c r="AB419" s="63"/>
      <c r="AC419" s="63"/>
      <c r="AD419" s="63"/>
      <c r="AE419" s="63">
        <v>0</v>
      </c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W419" s="5">
        <f>IF(Q419&gt;0,RANK(Q419,(N419:P419,Q419:AE419)),0)</f>
        <v>3</v>
      </c>
      <c r="AX419" s="5">
        <f>IF(R419&gt;0,RANK(R419,(N419:P419,Q419:AE419)),0)</f>
        <v>6</v>
      </c>
      <c r="AY419" s="5">
        <f>IF(T419&gt;0,RANK(T419,(N419:P419,Q419:AE419)),0)</f>
        <v>7</v>
      </c>
      <c r="AZ419" s="5">
        <f>IF(S419&gt;0,RANK(S419,(N419:P419,Q419:AE419)),0)</f>
        <v>5</v>
      </c>
      <c r="BA419" s="2">
        <f t="shared" si="173"/>
        <v>1.7126036928017126E-2</v>
      </c>
      <c r="BB419" s="2">
        <f t="shared" si="174"/>
        <v>1.9623583980019625E-3</v>
      </c>
      <c r="BC419" s="2">
        <f t="shared" si="175"/>
        <v>6.2438676300062437E-4</v>
      </c>
      <c r="BD419" s="2">
        <f t="shared" si="176"/>
        <v>3.0327357060030329E-3</v>
      </c>
      <c r="BF419" t="s">
        <v>692</v>
      </c>
      <c r="BG419" t="s">
        <v>2896</v>
      </c>
      <c r="BH419">
        <v>2</v>
      </c>
      <c r="BJ419" s="114">
        <v>12</v>
      </c>
      <c r="BK419" s="116">
        <v>133</v>
      </c>
      <c r="BL419" s="120">
        <f t="shared" si="165"/>
        <v>12133</v>
      </c>
      <c r="BN419" s="5" t="s">
        <v>3154</v>
      </c>
      <c r="BQ419" s="63">
        <f>CA419</f>
        <v>55</v>
      </c>
      <c r="BR419" s="63"/>
      <c r="BS419" s="63"/>
      <c r="BT419" s="63"/>
      <c r="BU419" s="63"/>
      <c r="BY419" s="63">
        <f t="shared" si="177"/>
        <v>0</v>
      </c>
      <c r="BZ419" s="63">
        <v>11211</v>
      </c>
      <c r="CA419" s="63">
        <v>55</v>
      </c>
      <c r="CB419" s="132"/>
      <c r="CD419" s="63">
        <v>0</v>
      </c>
      <c r="CE419" s="63">
        <v>0</v>
      </c>
      <c r="CF419" s="63">
        <v>0</v>
      </c>
      <c r="CG419" s="8">
        <v>0</v>
      </c>
    </row>
    <row r="420" spans="1:91" collapsed="1">
      <c r="A420" t="s">
        <v>1533</v>
      </c>
      <c r="B420" t="s">
        <v>544</v>
      </c>
      <c r="C420" s="1">
        <f t="shared" si="166"/>
        <v>9502747</v>
      </c>
      <c r="D420" s="5">
        <f>IF(N420&gt;0, RANK(N420,(N420:P420,Q420:AE420)),0)</f>
        <v>2</v>
      </c>
      <c r="E420" s="5">
        <f>IF(O420&gt;0,RANK(O420,(N420:P420,Q420:AE420)),0)</f>
        <v>1</v>
      </c>
      <c r="F420" s="5">
        <f>IF(P420&gt;0,RANK(P420,(N420:P420,Q420:AE420)),0)</f>
        <v>0</v>
      </c>
      <c r="G420" s="132">
        <f t="shared" si="167"/>
        <v>112911</v>
      </c>
      <c r="H420" s="137">
        <f>IF(C420&gt;0,G420/C420,0)</f>
        <v>1.1881932666417405E-2</v>
      </c>
      <c r="I420" s="2"/>
      <c r="J420" s="2">
        <f t="shared" si="169"/>
        <v>0.47407081341847784</v>
      </c>
      <c r="K420" s="2">
        <f t="shared" si="170"/>
        <v>0.48595274608489525</v>
      </c>
      <c r="L420" s="2">
        <f t="shared" si="171"/>
        <v>0</v>
      </c>
      <c r="M420" s="2">
        <f>IF(C420=0,"-",(1-J420-K420-L420))</f>
        <v>3.9976440496626853E-2</v>
      </c>
      <c r="N420" s="63">
        <f t="shared" ref="N420:Z420" si="178">SUM(N353:N419)</f>
        <v>4504975</v>
      </c>
      <c r="O420" s="63">
        <f t="shared" si="178"/>
        <v>4617886</v>
      </c>
      <c r="P420" s="63"/>
      <c r="Q420" s="63">
        <f t="shared" si="178"/>
        <v>207043</v>
      </c>
      <c r="R420" s="63">
        <f t="shared" si="178"/>
        <v>64399</v>
      </c>
      <c r="S420" s="63">
        <f t="shared" si="178"/>
        <v>16475</v>
      </c>
      <c r="T420" s="63">
        <f t="shared" si="178"/>
        <v>9108</v>
      </c>
      <c r="U420" s="63"/>
      <c r="V420" s="63"/>
      <c r="W420" s="63">
        <f t="shared" si="178"/>
        <v>82762</v>
      </c>
      <c r="X420" s="63"/>
      <c r="Y420" s="63"/>
      <c r="Z420" s="63">
        <f t="shared" si="178"/>
        <v>25</v>
      </c>
      <c r="AA420" s="63"/>
      <c r="AB420" s="63"/>
      <c r="AC420" s="63"/>
      <c r="AD420" s="63"/>
      <c r="AE420" s="63">
        <f>SUM(AE353:AE419)</f>
        <v>74</v>
      </c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W420" s="5">
        <f>IF(Q420&gt;0,RANK(Q420,(N420:P420,Q420:AE420)),0)</f>
        <v>3</v>
      </c>
      <c r="AX420" s="5">
        <f>IF(R420&gt;0,RANK(R420,(N420:P420,Q420:AE420)),0)</f>
        <v>5</v>
      </c>
      <c r="AY420" s="5">
        <f>IF(T420&gt;0,RANK(T420,(N420:P420,Q420:AE420)),0)</f>
        <v>7</v>
      </c>
      <c r="AZ420" s="5">
        <f>IF(S420&gt;0,RANK(S420,(N420:P420,Q420:AE420)),0)</f>
        <v>6</v>
      </c>
      <c r="BA420" s="2">
        <f t="shared" si="173"/>
        <v>2.1787699914561549E-2</v>
      </c>
      <c r="BB420" s="2">
        <f t="shared" si="174"/>
        <v>6.7768825161818999E-3</v>
      </c>
      <c r="BC420" s="2">
        <f t="shared" si="175"/>
        <v>9.5845969591740155E-4</v>
      </c>
      <c r="BD420" s="2">
        <f t="shared" si="176"/>
        <v>1.7337092106103635E-3</v>
      </c>
      <c r="BF420" t="s">
        <v>1533</v>
      </c>
      <c r="BG420" t="s">
        <v>544</v>
      </c>
      <c r="BJ420" s="114">
        <v>12</v>
      </c>
      <c r="BK420" s="116"/>
      <c r="BL420" s="114">
        <v>12</v>
      </c>
      <c r="BN420" s="5" t="s">
        <v>711</v>
      </c>
      <c r="BO420" s="63">
        <f>SUM(BO353:BO419)</f>
        <v>24936</v>
      </c>
      <c r="BP420" s="63">
        <f>SUM(BP353:BP419)</f>
        <v>5390</v>
      </c>
      <c r="BQ420" s="63">
        <f>SUM(BQ353:BQ419)</f>
        <v>82861</v>
      </c>
      <c r="BR420" s="63"/>
      <c r="BS420" s="63"/>
      <c r="CA420" s="63">
        <f>SUM(CA353:CA419)</f>
        <v>82861</v>
      </c>
      <c r="CB420" s="132"/>
      <c r="CD420" s="63">
        <f>SUM(CD353:CD419)</f>
        <v>24</v>
      </c>
      <c r="CE420" s="63">
        <f>SUM(CE353:CE419)</f>
        <v>2</v>
      </c>
      <c r="CF420" s="63">
        <f>SUM(CF353:CF419)</f>
        <v>19</v>
      </c>
      <c r="CG420" s="63">
        <f>SUM(CG353:CG419)</f>
        <v>9</v>
      </c>
    </row>
    <row r="421" spans="1:91">
      <c r="C421" s="1"/>
      <c r="E421" s="5"/>
      <c r="F421" s="5"/>
      <c r="G421" s="132"/>
      <c r="H421" s="137"/>
      <c r="I421" s="2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W421" s="5"/>
      <c r="AX421" s="5"/>
      <c r="AY421" s="5"/>
      <c r="AZ421" s="5"/>
      <c r="BJ421" s="114"/>
      <c r="BK421" s="116"/>
      <c r="BL421" s="120"/>
      <c r="CC421" s="1"/>
      <c r="CD421" s="1" t="s">
        <v>3617</v>
      </c>
      <c r="CE421" s="1" t="s">
        <v>3618</v>
      </c>
      <c r="CF421" s="1" t="s">
        <v>3235</v>
      </c>
      <c r="CG421" s="8" t="s">
        <v>3619</v>
      </c>
      <c r="CH421" s="8" t="s">
        <v>3508</v>
      </c>
      <c r="CI421" s="8" t="s">
        <v>3620</v>
      </c>
      <c r="CJ421" s="8" t="s">
        <v>3515</v>
      </c>
      <c r="CK421" s="8" t="s">
        <v>3621</v>
      </c>
      <c r="CL421" s="8" t="s">
        <v>3622</v>
      </c>
      <c r="CM421" s="8" t="s">
        <v>3623</v>
      </c>
    </row>
    <row r="422" spans="1:91" hidden="1" outlineLevel="1">
      <c r="A422" t="s">
        <v>523</v>
      </c>
      <c r="B422" t="s">
        <v>1156</v>
      </c>
      <c r="C422" s="1">
        <f t="shared" ref="C422:C453" si="179">SUM(N422:AU422)</f>
        <v>7012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6</v>
      </c>
      <c r="G422" s="132">
        <f t="shared" ref="G422:G453" si="180">IF(C422&gt;0,MAX(N422:P422)-LARGE(N422:P422,2),0)</f>
        <v>4060</v>
      </c>
      <c r="H422" s="137">
        <f t="shared" ref="H422:H453" si="181">IF(C422&gt;0,G422/C422,0)</f>
        <v>0.57900741585852822</v>
      </c>
      <c r="I422" s="2"/>
      <c r="J422" s="2">
        <f t="shared" ref="J422:J453" si="182">IF($C422=0,"-",N422/$C422)</f>
        <v>0.20450656018254421</v>
      </c>
      <c r="K422" s="2">
        <f t="shared" ref="K422:K453" si="183">IF($C422=0,"-",O422/$C422)</f>
        <v>0.78351397604107242</v>
      </c>
      <c r="L422" s="2">
        <f t="shared" ref="L422:L453" si="184">IF($C422=0,"-",P422/$C422)</f>
        <v>1.426126640045636E-4</v>
      </c>
      <c r="M422" s="2">
        <f t="shared" ref="M422:M453" si="185">IF(C422=0,"-",(1-J422-K422-L422))</f>
        <v>1.1836851112378807E-2</v>
      </c>
      <c r="N422" s="63">
        <v>1434</v>
      </c>
      <c r="O422" s="63">
        <v>5494</v>
      </c>
      <c r="P422" s="63">
        <v>1</v>
      </c>
      <c r="Q422" s="63">
        <v>77</v>
      </c>
      <c r="R422" s="63">
        <v>3</v>
      </c>
      <c r="S422" s="63">
        <v>3</v>
      </c>
      <c r="T422" s="63"/>
      <c r="U422" s="63"/>
      <c r="V422" s="63"/>
      <c r="W422" s="63">
        <f>IF(Copyright!B$11=1,IF(CA422&gt;0,CA422-P422-SUM(X422:AQ422)-SUM(R422:V422),SUM(CB422:CM422)),SUM(CC422:CM422))</f>
        <v>0</v>
      </c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W422" s="5">
        <f>IF(Q422&gt;0,RANK(Q422,(N422:P422,Q422:AE422)),0)</f>
        <v>3</v>
      </c>
      <c r="AX422" s="5">
        <f>IF(R422&gt;0,RANK(R422,(N422:P422,Q422:AE422)),0)</f>
        <v>4</v>
      </c>
      <c r="AY422" s="5">
        <f>IF(T422&gt;0,RANK(T422,(N422:P422,Q422:AE422)),0)</f>
        <v>0</v>
      </c>
      <c r="AZ422" s="5">
        <f>IF(S422&gt;0,RANK(S422,(N422:P422,Q422:AE422)),0)</f>
        <v>4</v>
      </c>
      <c r="BA422" s="2">
        <f t="shared" ref="BA422:BA453" si="186">IF($C422=0,"-",Q422/$C422)</f>
        <v>1.0981175128351398E-2</v>
      </c>
      <c r="BB422" s="2">
        <f t="shared" ref="BB422:BB453" si="187">IF($C422=0,"-",R422/$C422)</f>
        <v>4.2783799201369084E-4</v>
      </c>
      <c r="BC422" s="2">
        <f t="shared" ref="BC422:BC453" si="188">IF($C422=0,"-",T422/$C422)</f>
        <v>0</v>
      </c>
      <c r="BD422" s="2">
        <f t="shared" ref="BD422:BD453" si="189">IF($C422=0,"-",S422/$C422)</f>
        <v>4.2783799201369084E-4</v>
      </c>
      <c r="BF422" t="s">
        <v>523</v>
      </c>
      <c r="BG422" t="s">
        <v>1156</v>
      </c>
      <c r="BH422">
        <v>12</v>
      </c>
      <c r="BJ422" s="114">
        <v>13</v>
      </c>
      <c r="BK422" s="116">
        <v>1</v>
      </c>
      <c r="BL422" s="120">
        <f t="shared" si="165"/>
        <v>13001</v>
      </c>
      <c r="BN422" s="5" t="s">
        <v>3154</v>
      </c>
      <c r="BR422" s="63"/>
      <c r="BY422" s="63">
        <f t="shared" ref="BY422:BY485" si="190">BZ422-C422</f>
        <v>-7012</v>
      </c>
      <c r="CC422" s="1"/>
      <c r="CD422" s="1"/>
      <c r="CE422" s="1"/>
      <c r="CF422" s="1"/>
    </row>
    <row r="423" spans="1:91" hidden="1" outlineLevel="1">
      <c r="A423" t="s">
        <v>2168</v>
      </c>
      <c r="B423" t="s">
        <v>1156</v>
      </c>
      <c r="C423" s="1">
        <f t="shared" si="179"/>
        <v>2610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32">
        <f t="shared" si="180"/>
        <v>1181</v>
      </c>
      <c r="H423" s="137">
        <f t="shared" si="181"/>
        <v>0.45249042145593871</v>
      </c>
      <c r="I423" s="2"/>
      <c r="J423" s="2">
        <f t="shared" si="182"/>
        <v>0.2670498084291188</v>
      </c>
      <c r="K423" s="2">
        <f t="shared" si="183"/>
        <v>0.7195402298850575</v>
      </c>
      <c r="L423" s="2">
        <f t="shared" si="184"/>
        <v>0</v>
      </c>
      <c r="M423" s="2">
        <f t="shared" si="185"/>
        <v>1.3409961685823646E-2</v>
      </c>
      <c r="N423" s="63">
        <v>697</v>
      </c>
      <c r="O423" s="63">
        <v>1878</v>
      </c>
      <c r="P423" s="63"/>
      <c r="Q423" s="63">
        <v>35</v>
      </c>
      <c r="R423" s="63"/>
      <c r="S423" s="63"/>
      <c r="T423" s="63"/>
      <c r="U423" s="63"/>
      <c r="V423" s="63"/>
      <c r="W423" s="63">
        <f>IF(Copyright!B$11=1,IF(CA423&gt;0,CA423-P423-SUM(X423:AQ423)-SUM(R423:V423),SUM(CB423:CM423)),SUM(CC423:CM423))</f>
        <v>0</v>
      </c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W423" s="5">
        <f>IF(Q423&gt;0,RANK(Q423,(N423:P423,Q423:AE423)),0)</f>
        <v>3</v>
      </c>
      <c r="AX423" s="5">
        <f>IF(R423&gt;0,RANK(R423,(N423:P423,Q423:AE423)),0)</f>
        <v>0</v>
      </c>
      <c r="AY423" s="5">
        <f>IF(T423&gt;0,RANK(T423,(N423:P423,Q423:AE423)),0)</f>
        <v>0</v>
      </c>
      <c r="AZ423" s="5">
        <f>IF(S423&gt;0,RANK(S423,(N423:P423,Q423:AE423)),0)</f>
        <v>0</v>
      </c>
      <c r="BA423" s="2">
        <f t="shared" si="186"/>
        <v>1.3409961685823755E-2</v>
      </c>
      <c r="BB423" s="2">
        <f t="shared" si="187"/>
        <v>0</v>
      </c>
      <c r="BC423" s="2">
        <f t="shared" si="188"/>
        <v>0</v>
      </c>
      <c r="BD423" s="2">
        <f t="shared" si="189"/>
        <v>0</v>
      </c>
      <c r="BF423" t="s">
        <v>2168</v>
      </c>
      <c r="BG423" t="s">
        <v>1156</v>
      </c>
      <c r="BH423">
        <v>8</v>
      </c>
      <c r="BJ423" s="114">
        <v>13</v>
      </c>
      <c r="BK423" s="116">
        <v>3</v>
      </c>
      <c r="BL423" s="120">
        <f t="shared" si="165"/>
        <v>13003</v>
      </c>
      <c r="BN423" s="5" t="s">
        <v>3154</v>
      </c>
      <c r="BR423" s="63"/>
      <c r="BY423" s="63">
        <f t="shared" si="190"/>
        <v>-2610</v>
      </c>
      <c r="CC423" s="1"/>
      <c r="CD423" s="1"/>
      <c r="CE423" s="1"/>
      <c r="CF423" s="1"/>
    </row>
    <row r="424" spans="1:91" hidden="1" outlineLevel="1">
      <c r="A424" t="s">
        <v>71</v>
      </c>
      <c r="B424" t="s">
        <v>1156</v>
      </c>
      <c r="C424" s="1">
        <f t="shared" si="179"/>
        <v>4020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>IF(P424&gt;0,RANK(P424,(N424:P424,Q424:AE424)),0)</f>
        <v>0</v>
      </c>
      <c r="G424" s="132">
        <f t="shared" si="180"/>
        <v>2756</v>
      </c>
      <c r="H424" s="137">
        <f t="shared" si="181"/>
        <v>0.6855721393034826</v>
      </c>
      <c r="I424" s="2"/>
      <c r="J424" s="2">
        <f t="shared" si="182"/>
        <v>0.15124378109452735</v>
      </c>
      <c r="K424" s="2">
        <f t="shared" si="183"/>
        <v>0.83681592039801</v>
      </c>
      <c r="L424" s="2">
        <f t="shared" si="184"/>
        <v>0</v>
      </c>
      <c r="M424" s="2">
        <f t="shared" si="185"/>
        <v>1.1940298507462699E-2</v>
      </c>
      <c r="N424" s="63">
        <v>608</v>
      </c>
      <c r="O424" s="63">
        <v>3364</v>
      </c>
      <c r="P424" s="63"/>
      <c r="Q424" s="63">
        <v>47</v>
      </c>
      <c r="R424" s="63">
        <v>1</v>
      </c>
      <c r="S424" s="63"/>
      <c r="T424" s="63"/>
      <c r="U424" s="63"/>
      <c r="V424" s="63"/>
      <c r="W424" s="63">
        <f>IF(Copyright!B$11=1,IF(CA424&gt;0,CA424-P424-SUM(X424:AQ424)-SUM(R424:V424),SUM(CB424:CM424)),SUM(CC424:CM424))</f>
        <v>0</v>
      </c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W424" s="5">
        <f>IF(Q424&gt;0,RANK(Q424,(N424:P424,Q424:AE424)),0)</f>
        <v>3</v>
      </c>
      <c r="AX424" s="5">
        <f>IF(R424&gt;0,RANK(R424,(N424:P424,Q424:AE424)),0)</f>
        <v>4</v>
      </c>
      <c r="AY424" s="5">
        <f>IF(T424&gt;0,RANK(T424,(N424:P424,Q424:AE424)),0)</f>
        <v>0</v>
      </c>
      <c r="AZ424" s="5">
        <f>IF(S424&gt;0,RANK(S424,(N424:P424,Q424:AE424)),0)</f>
        <v>0</v>
      </c>
      <c r="BA424" s="2">
        <f t="shared" si="186"/>
        <v>1.1691542288557214E-2</v>
      </c>
      <c r="BB424" s="2">
        <f t="shared" si="187"/>
        <v>2.4875621890547262E-4</v>
      </c>
      <c r="BC424" s="2">
        <f t="shared" si="188"/>
        <v>0</v>
      </c>
      <c r="BD424" s="2">
        <f t="shared" si="189"/>
        <v>0</v>
      </c>
      <c r="BF424" t="s">
        <v>71</v>
      </c>
      <c r="BG424" t="s">
        <v>1156</v>
      </c>
      <c r="BH424">
        <v>1</v>
      </c>
      <c r="BJ424" s="114">
        <v>13</v>
      </c>
      <c r="BK424" s="116">
        <v>5</v>
      </c>
      <c r="BL424" s="120">
        <f t="shared" si="165"/>
        <v>13005</v>
      </c>
      <c r="BN424" s="5" t="s">
        <v>3154</v>
      </c>
      <c r="BR424" s="63"/>
      <c r="BY424" s="63">
        <f t="shared" si="190"/>
        <v>-4020</v>
      </c>
      <c r="CC424" s="1"/>
      <c r="CD424" s="1"/>
      <c r="CE424" s="1"/>
      <c r="CF424" s="1"/>
    </row>
    <row r="425" spans="1:91" hidden="1" outlineLevel="1">
      <c r="A425" t="s">
        <v>2514</v>
      </c>
      <c r="B425" t="s">
        <v>1156</v>
      </c>
      <c r="C425" s="1">
        <f t="shared" si="179"/>
        <v>1440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>IF(P425&gt;0,RANK(P425,(N425:P425,Q425:AE425)),0)</f>
        <v>0</v>
      </c>
      <c r="G425" s="132">
        <f t="shared" si="180"/>
        <v>125</v>
      </c>
      <c r="H425" s="137">
        <f t="shared" si="181"/>
        <v>8.6805555555555552E-2</v>
      </c>
      <c r="I425" s="2"/>
      <c r="J425" s="2">
        <f t="shared" si="182"/>
        <v>0.4513888888888889</v>
      </c>
      <c r="K425" s="2">
        <f t="shared" si="183"/>
        <v>0.53819444444444442</v>
      </c>
      <c r="L425" s="2">
        <f t="shared" si="184"/>
        <v>0</v>
      </c>
      <c r="M425" s="2">
        <f t="shared" si="185"/>
        <v>1.0416666666666741E-2</v>
      </c>
      <c r="N425" s="63">
        <v>650</v>
      </c>
      <c r="O425" s="63">
        <v>775</v>
      </c>
      <c r="P425" s="63"/>
      <c r="Q425" s="63">
        <v>15</v>
      </c>
      <c r="R425" s="63"/>
      <c r="S425" s="63"/>
      <c r="T425" s="63"/>
      <c r="U425" s="63"/>
      <c r="V425" s="63"/>
      <c r="W425" s="63">
        <f>IF(Copyright!B$11=1,IF(CA425&gt;0,CA425-P425-SUM(X425:AQ425)-SUM(R425:V425),SUM(CB425:CM425)),SUM(CC425:CM425))</f>
        <v>0</v>
      </c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W425" s="5">
        <f>IF(Q425&gt;0,RANK(Q425,(N425:P425,Q425:AE425)),0)</f>
        <v>3</v>
      </c>
      <c r="AX425" s="5">
        <f>IF(R425&gt;0,RANK(R425,(N425:P425,Q425:AE425)),0)</f>
        <v>0</v>
      </c>
      <c r="AY425" s="5">
        <f>IF(T425&gt;0,RANK(T425,(N425:P425,Q425:AE425)),0)</f>
        <v>0</v>
      </c>
      <c r="AZ425" s="5">
        <f>IF(S425&gt;0,RANK(S425,(N425:P425,Q425:AE425)),0)</f>
        <v>0</v>
      </c>
      <c r="BA425" s="2">
        <f t="shared" si="186"/>
        <v>1.0416666666666666E-2</v>
      </c>
      <c r="BB425" s="2">
        <f t="shared" si="187"/>
        <v>0</v>
      </c>
      <c r="BC425" s="2">
        <f t="shared" si="188"/>
        <v>0</v>
      </c>
      <c r="BD425" s="2">
        <f t="shared" si="189"/>
        <v>0</v>
      </c>
      <c r="BF425" t="s">
        <v>2514</v>
      </c>
      <c r="BG425" t="s">
        <v>1156</v>
      </c>
      <c r="BH425">
        <v>2</v>
      </c>
      <c r="BJ425" s="114">
        <v>13</v>
      </c>
      <c r="BK425" s="116">
        <v>7</v>
      </c>
      <c r="BL425" s="120">
        <f t="shared" ref="BL425:BL488" si="191">1000*BJ425+BK425</f>
        <v>13007</v>
      </c>
      <c r="BN425" s="5" t="s">
        <v>3154</v>
      </c>
      <c r="BR425" s="63"/>
      <c r="BY425" s="63">
        <f t="shared" si="190"/>
        <v>-1440</v>
      </c>
      <c r="CC425" s="1"/>
      <c r="CD425" s="1"/>
      <c r="CE425" s="1"/>
      <c r="CF425" s="1"/>
    </row>
    <row r="426" spans="1:91" hidden="1" outlineLevel="1">
      <c r="A426" t="s">
        <v>2740</v>
      </c>
      <c r="B426" t="s">
        <v>1156</v>
      </c>
      <c r="C426" s="1">
        <f t="shared" si="179"/>
        <v>16116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>IF(P426&gt;0,RANK(P426,(N426:P426,Q426:AE426)),0)</f>
        <v>4</v>
      </c>
      <c r="G426" s="132">
        <f t="shared" si="180"/>
        <v>273</v>
      </c>
      <c r="H426" s="137">
        <f t="shared" si="181"/>
        <v>1.6939687267311987E-2</v>
      </c>
      <c r="I426" s="2"/>
      <c r="J426" s="2">
        <f t="shared" si="182"/>
        <v>0.49453958798709358</v>
      </c>
      <c r="K426" s="2">
        <f t="shared" si="183"/>
        <v>0.47759990071978159</v>
      </c>
      <c r="L426" s="2">
        <f t="shared" si="184"/>
        <v>9.9280218416480524E-4</v>
      </c>
      <c r="M426" s="2">
        <f t="shared" si="185"/>
        <v>2.6867709108960084E-2</v>
      </c>
      <c r="N426" s="63">
        <v>7970</v>
      </c>
      <c r="O426" s="63">
        <v>7697</v>
      </c>
      <c r="P426" s="63">
        <v>16</v>
      </c>
      <c r="Q426" s="63">
        <v>419</v>
      </c>
      <c r="R426" s="63">
        <v>11</v>
      </c>
      <c r="S426" s="63">
        <v>2</v>
      </c>
      <c r="T426" s="63"/>
      <c r="U426" s="63"/>
      <c r="V426" s="63"/>
      <c r="W426" s="63">
        <f>IF(Copyright!B$11=1,IF(CA426&gt;0,CA426-P426-SUM(X426:AQ426)-SUM(R426:V426),SUM(CB426:CM426)),SUM(CC426:CM426))</f>
        <v>0</v>
      </c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>
        <v>1</v>
      </c>
      <c r="AR426" s="63"/>
      <c r="AS426" s="63"/>
      <c r="AT426" s="63"/>
      <c r="AU426" s="63"/>
      <c r="AW426" s="5">
        <f>IF(Q426&gt;0,RANK(Q426,(N426:P426,Q426:AE426)),0)</f>
        <v>3</v>
      </c>
      <c r="AX426" s="5">
        <f>IF(R426&gt;0,RANK(R426,(N426:P426,Q426:AE426)),0)</f>
        <v>5</v>
      </c>
      <c r="AY426" s="5">
        <f>IF(T426&gt;0,RANK(T426,(N426:P426,Q426:AE426)),0)</f>
        <v>0</v>
      </c>
      <c r="AZ426" s="5">
        <f>IF(S426&gt;0,RANK(S426,(N426:P426,Q426:AE426)),0)</f>
        <v>6</v>
      </c>
      <c r="BA426" s="2">
        <f t="shared" si="186"/>
        <v>2.5999007197815834E-2</v>
      </c>
      <c r="BB426" s="2">
        <f t="shared" si="187"/>
        <v>6.8255150161330351E-4</v>
      </c>
      <c r="BC426" s="2">
        <f t="shared" si="188"/>
        <v>0</v>
      </c>
      <c r="BD426" s="2">
        <f t="shared" si="189"/>
        <v>1.2410027302060066E-4</v>
      </c>
      <c r="BF426" t="s">
        <v>2740</v>
      </c>
      <c r="BG426" t="s">
        <v>1156</v>
      </c>
      <c r="BH426">
        <v>10</v>
      </c>
      <c r="BJ426" s="114">
        <v>13</v>
      </c>
      <c r="BK426" s="116">
        <v>9</v>
      </c>
      <c r="BL426" s="120">
        <f t="shared" si="191"/>
        <v>13009</v>
      </c>
      <c r="BN426" s="5" t="s">
        <v>3154</v>
      </c>
      <c r="BR426" s="63"/>
      <c r="BY426" s="63">
        <f t="shared" si="190"/>
        <v>-16116</v>
      </c>
      <c r="CC426" s="1"/>
      <c r="CD426" s="1"/>
      <c r="CE426" s="1"/>
      <c r="CF426" s="1"/>
    </row>
    <row r="427" spans="1:91" hidden="1" outlineLevel="1">
      <c r="A427" t="s">
        <v>2676</v>
      </c>
      <c r="B427" t="s">
        <v>1156</v>
      </c>
      <c r="C427" s="1">
        <f t="shared" si="179"/>
        <v>6975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4</v>
      </c>
      <c r="G427" s="132">
        <f t="shared" si="180"/>
        <v>5450</v>
      </c>
      <c r="H427" s="137">
        <f t="shared" si="181"/>
        <v>0.78136200716845883</v>
      </c>
      <c r="I427" s="2"/>
      <c r="J427" s="2">
        <f t="shared" si="182"/>
        <v>9.8064516129032261E-2</v>
      </c>
      <c r="K427" s="2">
        <f t="shared" si="183"/>
        <v>0.87942652329749105</v>
      </c>
      <c r="L427" s="2">
        <f t="shared" si="184"/>
        <v>1.5770609318996416E-3</v>
      </c>
      <c r="M427" s="2">
        <f t="shared" si="185"/>
        <v>2.093189964157709E-2</v>
      </c>
      <c r="N427" s="63">
        <v>684</v>
      </c>
      <c r="O427" s="63">
        <v>6134</v>
      </c>
      <c r="P427" s="63">
        <v>11</v>
      </c>
      <c r="Q427" s="63">
        <v>132</v>
      </c>
      <c r="R427" s="63">
        <v>8</v>
      </c>
      <c r="S427" s="63">
        <v>4</v>
      </c>
      <c r="T427" s="63"/>
      <c r="U427" s="63"/>
      <c r="V427" s="63"/>
      <c r="W427" s="63">
        <f>IF(Copyright!B$11=1,IF(CA427&gt;0,CA427-P427-SUM(X427:AQ427)-SUM(R427:V427),SUM(CB427:CM427)),SUM(CC427:CM427))</f>
        <v>2</v>
      </c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W427" s="5">
        <f>IF(Q427&gt;0,RANK(Q427,(N427:P427,Q427:AE427)),0)</f>
        <v>3</v>
      </c>
      <c r="AX427" s="5">
        <f>IF(R427&gt;0,RANK(R427,(N427:P427,Q427:AE427)),0)</f>
        <v>5</v>
      </c>
      <c r="AY427" s="5">
        <f>IF(T427&gt;0,RANK(T427,(N427:P427,Q427:AE427)),0)</f>
        <v>0</v>
      </c>
      <c r="AZ427" s="5">
        <f>IF(S427&gt;0,RANK(S427,(N427:P427,Q427:AE427)),0)</f>
        <v>6</v>
      </c>
      <c r="BA427" s="2">
        <f t="shared" si="186"/>
        <v>1.8924731182795699E-2</v>
      </c>
      <c r="BB427" s="2">
        <f t="shared" si="187"/>
        <v>1.1469534050179211E-3</v>
      </c>
      <c r="BC427" s="2">
        <f t="shared" si="188"/>
        <v>0</v>
      </c>
      <c r="BD427" s="2">
        <f t="shared" si="189"/>
        <v>5.7347670250896057E-4</v>
      </c>
      <c r="BF427" t="s">
        <v>2676</v>
      </c>
      <c r="BG427" t="s">
        <v>1156</v>
      </c>
      <c r="BH427">
        <v>9</v>
      </c>
      <c r="BJ427" s="114">
        <v>13</v>
      </c>
      <c r="BK427" s="116">
        <v>11</v>
      </c>
      <c r="BL427" s="120">
        <f t="shared" si="191"/>
        <v>13011</v>
      </c>
      <c r="BN427" s="5" t="s">
        <v>3154</v>
      </c>
      <c r="BR427" s="63"/>
      <c r="BY427" s="63">
        <f t="shared" si="190"/>
        <v>-6975</v>
      </c>
      <c r="CC427" s="1"/>
      <c r="CD427" s="1"/>
      <c r="CE427" s="1"/>
      <c r="CF427" s="1">
        <v>1</v>
      </c>
      <c r="CG427" s="8">
        <v>1</v>
      </c>
    </row>
    <row r="428" spans="1:91" hidden="1" outlineLevel="1">
      <c r="A428" t="s">
        <v>737</v>
      </c>
      <c r="B428" t="s">
        <v>1156</v>
      </c>
      <c r="C428" s="1">
        <f t="shared" si="179"/>
        <v>29061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4</v>
      </c>
      <c r="G428" s="132">
        <f t="shared" si="180"/>
        <v>14528</v>
      </c>
      <c r="H428" s="137">
        <f t="shared" si="181"/>
        <v>0.49991397405457488</v>
      </c>
      <c r="I428" s="2"/>
      <c r="J428" s="2">
        <f t="shared" si="182"/>
        <v>0.22642028835896907</v>
      </c>
      <c r="K428" s="2">
        <f t="shared" si="183"/>
        <v>0.72633426241354393</v>
      </c>
      <c r="L428" s="2">
        <f t="shared" si="184"/>
        <v>3.8883727332163381E-3</v>
      </c>
      <c r="M428" s="2">
        <f t="shared" si="185"/>
        <v>4.3357076494270633E-2</v>
      </c>
      <c r="N428" s="63">
        <v>6580</v>
      </c>
      <c r="O428" s="63">
        <v>21108</v>
      </c>
      <c r="P428" s="63">
        <v>113</v>
      </c>
      <c r="Q428" s="63">
        <v>1143</v>
      </c>
      <c r="R428" s="63">
        <v>91</v>
      </c>
      <c r="S428" s="63">
        <v>20</v>
      </c>
      <c r="T428" s="63"/>
      <c r="U428" s="63"/>
      <c r="V428" s="63"/>
      <c r="W428" s="63">
        <f>IF(Copyright!B$11=1,IF(CA428&gt;0,CA428-P428-SUM(X428:AQ428)-SUM(R428:V428),SUM(CB428:CM428)),SUM(CC428:CM428))</f>
        <v>3</v>
      </c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>
        <v>3</v>
      </c>
      <c r="AO428" s="63"/>
      <c r="AP428" s="63"/>
      <c r="AQ428" s="63"/>
      <c r="AR428" s="63"/>
      <c r="AS428" s="63"/>
      <c r="AT428" s="63"/>
      <c r="AU428" s="63"/>
      <c r="AW428" s="5">
        <f>IF(Q428&gt;0,RANK(Q428,(N428:P428,Q428:AE428)),0)</f>
        <v>3</v>
      </c>
      <c r="AX428" s="5">
        <f>IF(R428&gt;0,RANK(R428,(N428:P428,Q428:AE428)),0)</f>
        <v>5</v>
      </c>
      <c r="AY428" s="5">
        <f>IF(T428&gt;0,RANK(T428,(N428:P428,Q428:AE428)),0)</f>
        <v>0</v>
      </c>
      <c r="AZ428" s="5">
        <f>IF(S428&gt;0,RANK(S428,(N428:P428,Q428:AE428)),0)</f>
        <v>6</v>
      </c>
      <c r="BA428" s="2">
        <f t="shared" si="186"/>
        <v>3.9331062248374113E-2</v>
      </c>
      <c r="BB428" s="2">
        <f t="shared" si="187"/>
        <v>3.1313444134751043E-3</v>
      </c>
      <c r="BC428" s="2">
        <f t="shared" si="188"/>
        <v>0</v>
      </c>
      <c r="BD428" s="2">
        <f t="shared" si="189"/>
        <v>6.882075634011218E-4</v>
      </c>
      <c r="BF428" t="s">
        <v>737</v>
      </c>
      <c r="BG428" t="s">
        <v>1156</v>
      </c>
      <c r="BH428">
        <v>10</v>
      </c>
      <c r="BJ428" s="114">
        <v>13</v>
      </c>
      <c r="BK428" s="116">
        <v>13</v>
      </c>
      <c r="BL428" s="120">
        <f t="shared" si="191"/>
        <v>13013</v>
      </c>
      <c r="BN428" s="5" t="s">
        <v>3154</v>
      </c>
      <c r="BR428" s="63"/>
      <c r="BY428" s="63">
        <f t="shared" si="190"/>
        <v>-29061</v>
      </c>
      <c r="CC428" s="1"/>
      <c r="CD428" s="1"/>
      <c r="CE428" s="1">
        <v>2</v>
      </c>
      <c r="CF428" s="1">
        <v>1</v>
      </c>
    </row>
    <row r="429" spans="1:91" hidden="1" outlineLevel="1">
      <c r="A429" t="s">
        <v>795</v>
      </c>
      <c r="B429" t="s">
        <v>1156</v>
      </c>
      <c r="C429" s="1">
        <f t="shared" si="179"/>
        <v>39733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5</v>
      </c>
      <c r="G429" s="132">
        <f t="shared" si="180"/>
        <v>21699</v>
      </c>
      <c r="H429" s="137">
        <f t="shared" si="181"/>
        <v>0.54612035335866915</v>
      </c>
      <c r="I429" s="2"/>
      <c r="J429" s="2">
        <f t="shared" si="182"/>
        <v>0.20667958623813959</v>
      </c>
      <c r="K429" s="2">
        <f t="shared" si="183"/>
        <v>0.75279993959680869</v>
      </c>
      <c r="L429" s="2">
        <f t="shared" si="184"/>
        <v>3.3473435179825336E-3</v>
      </c>
      <c r="M429" s="2">
        <f t="shared" si="185"/>
        <v>3.7173130647069133E-2</v>
      </c>
      <c r="N429" s="63">
        <v>8212</v>
      </c>
      <c r="O429" s="63">
        <v>29911</v>
      </c>
      <c r="P429" s="63">
        <v>133</v>
      </c>
      <c r="Q429" s="63">
        <v>1183</v>
      </c>
      <c r="R429" s="63">
        <v>90</v>
      </c>
      <c r="S429" s="63">
        <v>14</v>
      </c>
      <c r="T429" s="63"/>
      <c r="U429" s="63"/>
      <c r="V429" s="63"/>
      <c r="W429" s="63">
        <f>IF(Copyright!B$11=1,IF(CA429&gt;0,CA429-P429-SUM(X429:AQ429)-SUM(R429:V429),SUM(CB429:CM429)),SUM(CC429:CM429))</f>
        <v>188</v>
      </c>
      <c r="X429" s="63"/>
      <c r="Y429" s="63">
        <v>2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W429" s="5">
        <f>IF(Q429&gt;0,RANK(Q429,(N429:P429,Q429:AE429)),0)</f>
        <v>3</v>
      </c>
      <c r="AX429" s="5">
        <f>IF(R429&gt;0,RANK(R429,(N429:P429,Q429:AE429)),0)</f>
        <v>6</v>
      </c>
      <c r="AY429" s="5">
        <f>IF(T429&gt;0,RANK(T429,(N429:P429,Q429:AE429)),0)</f>
        <v>0</v>
      </c>
      <c r="AZ429" s="5">
        <f>IF(S429&gt;0,RANK(S429,(N429:P429,Q429:AE429)),0)</f>
        <v>7</v>
      </c>
      <c r="BA429" s="2">
        <f t="shared" si="186"/>
        <v>2.977373971258148E-2</v>
      </c>
      <c r="BB429" s="2">
        <f t="shared" si="187"/>
        <v>2.265119673822767E-3</v>
      </c>
      <c r="BC429" s="2">
        <f t="shared" si="188"/>
        <v>0</v>
      </c>
      <c r="BD429" s="2">
        <f t="shared" si="189"/>
        <v>3.5235194926131933E-4</v>
      </c>
      <c r="BF429" t="s">
        <v>795</v>
      </c>
      <c r="BG429" t="s">
        <v>1156</v>
      </c>
      <c r="BH429">
        <v>11</v>
      </c>
      <c r="BJ429" s="114">
        <v>13</v>
      </c>
      <c r="BK429" s="116">
        <v>15</v>
      </c>
      <c r="BL429" s="120">
        <f t="shared" si="191"/>
        <v>13015</v>
      </c>
      <c r="BN429" s="5" t="s">
        <v>3154</v>
      </c>
      <c r="BR429" s="63"/>
      <c r="BY429" s="63">
        <f t="shared" si="190"/>
        <v>0</v>
      </c>
      <c r="BZ429" s="63">
        <v>39733</v>
      </c>
      <c r="CA429" s="63">
        <v>427</v>
      </c>
      <c r="CC429" s="1"/>
      <c r="CD429" s="1"/>
      <c r="CE429" s="1">
        <v>1</v>
      </c>
      <c r="CF429" s="1"/>
      <c r="CI429" s="8">
        <v>1</v>
      </c>
      <c r="CJ429" s="8">
        <v>2</v>
      </c>
      <c r="CM429" s="8">
        <v>1</v>
      </c>
    </row>
    <row r="430" spans="1:91" hidden="1" outlineLevel="1">
      <c r="A430" t="s">
        <v>799</v>
      </c>
      <c r="B430" t="s">
        <v>1156</v>
      </c>
      <c r="C430" s="1">
        <f t="shared" si="179"/>
        <v>5936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4</v>
      </c>
      <c r="G430" s="132">
        <f t="shared" si="180"/>
        <v>1638</v>
      </c>
      <c r="H430" s="137">
        <f t="shared" si="181"/>
        <v>0.27594339622641512</v>
      </c>
      <c r="I430" s="2"/>
      <c r="J430" s="2">
        <f t="shared" si="182"/>
        <v>0.3539420485175202</v>
      </c>
      <c r="K430" s="2">
        <f t="shared" si="183"/>
        <v>0.62988544474393526</v>
      </c>
      <c r="L430" s="2">
        <f t="shared" si="184"/>
        <v>5.0539083557951485E-4</v>
      </c>
      <c r="M430" s="2">
        <f t="shared" si="185"/>
        <v>1.5667115902965021E-2</v>
      </c>
      <c r="N430" s="63">
        <v>2101</v>
      </c>
      <c r="O430" s="63">
        <v>3739</v>
      </c>
      <c r="P430" s="63">
        <v>3</v>
      </c>
      <c r="Q430" s="63">
        <v>91</v>
      </c>
      <c r="R430" s="63">
        <v>2</v>
      </c>
      <c r="S430" s="63"/>
      <c r="T430" s="63"/>
      <c r="U430" s="63"/>
      <c r="V430" s="63"/>
      <c r="W430" s="63">
        <f>IF(Copyright!B$11=1,IF(CA430&gt;0,CA430-P430-SUM(X430:AQ430)-SUM(R430:V430),SUM(CB430:CM430)),SUM(CC430:CM430))</f>
        <v>0</v>
      </c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W430" s="5">
        <f>IF(Q430&gt;0,RANK(Q430,(N430:P430,Q430:AE430)),0)</f>
        <v>3</v>
      </c>
      <c r="AX430" s="5">
        <f>IF(R430&gt;0,RANK(R430,(N430:P430,Q430:AE430)),0)</f>
        <v>5</v>
      </c>
      <c r="AY430" s="5">
        <f>IF(T430&gt;0,RANK(T430,(N430:P430,Q430:AE430)),0)</f>
        <v>0</v>
      </c>
      <c r="AZ430" s="5">
        <f>IF(S430&gt;0,RANK(S430,(N430:P430,Q430:AE430)),0)</f>
        <v>0</v>
      </c>
      <c r="BA430" s="2">
        <f t="shared" si="186"/>
        <v>1.5330188679245283E-2</v>
      </c>
      <c r="BB430" s="2">
        <f t="shared" si="187"/>
        <v>3.3692722371967657E-4</v>
      </c>
      <c r="BC430" s="2">
        <f t="shared" si="188"/>
        <v>0</v>
      </c>
      <c r="BD430" s="2">
        <f t="shared" si="189"/>
        <v>0</v>
      </c>
      <c r="BF430" t="s">
        <v>799</v>
      </c>
      <c r="BG430" t="s">
        <v>1156</v>
      </c>
      <c r="BH430">
        <v>8</v>
      </c>
      <c r="BJ430" s="114">
        <v>13</v>
      </c>
      <c r="BK430" s="116">
        <v>17</v>
      </c>
      <c r="BL430" s="120">
        <f t="shared" si="191"/>
        <v>13017</v>
      </c>
      <c r="BN430" s="5" t="s">
        <v>3154</v>
      </c>
      <c r="BR430" s="63"/>
      <c r="BY430" s="63">
        <f t="shared" si="190"/>
        <v>-5936</v>
      </c>
      <c r="CC430" s="1"/>
      <c r="CD430" s="1"/>
      <c r="CE430" s="1"/>
      <c r="CF430" s="1"/>
    </row>
    <row r="431" spans="1:91" hidden="1" outlineLevel="1">
      <c r="A431" t="s">
        <v>2427</v>
      </c>
      <c r="B431" t="s">
        <v>1156</v>
      </c>
      <c r="C431" s="1">
        <f t="shared" si="179"/>
        <v>6590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>IF(P431&gt;0,RANK(P431,(N431:P431,Q431:AE431)),0)</f>
        <v>5</v>
      </c>
      <c r="G431" s="132">
        <f t="shared" si="180"/>
        <v>4375</v>
      </c>
      <c r="H431" s="137">
        <f t="shared" si="181"/>
        <v>0.66388467374810323</v>
      </c>
      <c r="I431" s="2"/>
      <c r="J431" s="2">
        <f t="shared" si="182"/>
        <v>0.15887708649468893</v>
      </c>
      <c r="K431" s="2">
        <f t="shared" si="183"/>
        <v>0.82276176024279213</v>
      </c>
      <c r="L431" s="2">
        <f t="shared" si="184"/>
        <v>3.0349013657056146E-4</v>
      </c>
      <c r="M431" s="2">
        <f t="shared" si="185"/>
        <v>1.805766312594841E-2</v>
      </c>
      <c r="N431" s="63">
        <v>1047</v>
      </c>
      <c r="O431" s="63">
        <v>5422</v>
      </c>
      <c r="P431" s="63">
        <v>2</v>
      </c>
      <c r="Q431" s="63">
        <v>115</v>
      </c>
      <c r="R431" s="63">
        <v>4</v>
      </c>
      <c r="S431" s="63"/>
      <c r="T431" s="63"/>
      <c r="U431" s="63"/>
      <c r="V431" s="63"/>
      <c r="W431" s="63">
        <f>IF(Copyright!B$11=1,IF(CA431&gt;0,CA431-P431-SUM(X431:AQ431)-SUM(R431:V431),SUM(CB431:CM431)),SUM(CC431:CM431))</f>
        <v>0</v>
      </c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W431" s="5">
        <f>IF(Q431&gt;0,RANK(Q431,(N431:P431,Q431:AE431)),0)</f>
        <v>3</v>
      </c>
      <c r="AX431" s="5">
        <f>IF(R431&gt;0,RANK(R431,(N431:P431,Q431:AE431)),0)</f>
        <v>4</v>
      </c>
      <c r="AY431" s="5">
        <f>IF(T431&gt;0,RANK(T431,(N431:P431,Q431:AE431)),0)</f>
        <v>0</v>
      </c>
      <c r="AZ431" s="5">
        <f>IF(S431&gt;0,RANK(S431,(N431:P431,Q431:AE431)),0)</f>
        <v>0</v>
      </c>
      <c r="BA431" s="2">
        <f t="shared" si="186"/>
        <v>1.7450682852807285E-2</v>
      </c>
      <c r="BB431" s="2">
        <f t="shared" si="187"/>
        <v>6.0698027314112291E-4</v>
      </c>
      <c r="BC431" s="2">
        <f t="shared" si="188"/>
        <v>0</v>
      </c>
      <c r="BD431" s="2">
        <f t="shared" si="189"/>
        <v>0</v>
      </c>
      <c r="BF431" t="s">
        <v>2427</v>
      </c>
      <c r="BG431" t="s">
        <v>1156</v>
      </c>
      <c r="BH431">
        <v>8</v>
      </c>
      <c r="BJ431" s="114">
        <v>13</v>
      </c>
      <c r="BK431" s="116">
        <v>19</v>
      </c>
      <c r="BL431" s="120">
        <f t="shared" si="191"/>
        <v>13019</v>
      </c>
      <c r="BN431" s="5" t="s">
        <v>3154</v>
      </c>
      <c r="BR431" s="63"/>
      <c r="BY431" s="63">
        <f t="shared" si="190"/>
        <v>-6590</v>
      </c>
      <c r="CC431" s="1"/>
      <c r="CD431" s="1"/>
      <c r="CE431" s="1"/>
      <c r="CF431" s="1"/>
    </row>
    <row r="432" spans="1:91" hidden="1" outlineLevel="1">
      <c r="A432" t="s">
        <v>1067</v>
      </c>
      <c r="B432" t="s">
        <v>1156</v>
      </c>
      <c r="C432" s="1">
        <f t="shared" si="179"/>
        <v>62596</v>
      </c>
      <c r="D432" s="5">
        <f>IF(N432&gt;0, RANK(N432,(N432:P432,Q432:AE432)),0)</f>
        <v>1</v>
      </c>
      <c r="E432" s="5">
        <f>IF(O432&gt;0,RANK(O432,(N432:P432,Q432:AE432)),0)</f>
        <v>2</v>
      </c>
      <c r="F432" s="5">
        <f>IF(P432&gt;0,RANK(P432,(N432:P432,Q432:AE432)),0)</f>
        <v>4</v>
      </c>
      <c r="G432" s="132">
        <f t="shared" si="180"/>
        <v>12744</v>
      </c>
      <c r="H432" s="137">
        <f t="shared" si="181"/>
        <v>0.20359128378810148</v>
      </c>
      <c r="I432" s="2"/>
      <c r="J432" s="2">
        <f t="shared" si="182"/>
        <v>0.58768930922103646</v>
      </c>
      <c r="K432" s="2">
        <f t="shared" si="183"/>
        <v>0.38409802543293503</v>
      </c>
      <c r="L432" s="2">
        <f t="shared" si="184"/>
        <v>2.9075340277334013E-3</v>
      </c>
      <c r="M432" s="2">
        <f t="shared" si="185"/>
        <v>2.5305131318295107E-2</v>
      </c>
      <c r="N432" s="63">
        <v>36787</v>
      </c>
      <c r="O432" s="63">
        <v>24043</v>
      </c>
      <c r="P432" s="63">
        <v>182</v>
      </c>
      <c r="Q432" s="63">
        <v>1447</v>
      </c>
      <c r="R432" s="63">
        <v>114</v>
      </c>
      <c r="S432" s="63">
        <v>9</v>
      </c>
      <c r="T432" s="63"/>
      <c r="U432" s="63"/>
      <c r="V432" s="63"/>
      <c r="W432" s="63">
        <f>IF(Copyright!B$11=1,IF(CA432&gt;0,CA432-P432-SUM(X432:AQ432)-SUM(R432:V432),SUM(CB432:CM432)),SUM(CC432:CM432))</f>
        <v>11</v>
      </c>
      <c r="X432" s="63"/>
      <c r="Y432" s="63"/>
      <c r="Z432" s="63"/>
      <c r="AA432" s="63"/>
      <c r="AB432" s="63"/>
      <c r="AC432" s="63"/>
      <c r="AD432" s="63"/>
      <c r="AE432" s="63">
        <v>1</v>
      </c>
      <c r="AF432" s="63"/>
      <c r="AG432" s="63"/>
      <c r="AH432" s="63"/>
      <c r="AI432" s="63"/>
      <c r="AJ432" s="63"/>
      <c r="AK432" s="63"/>
      <c r="AL432" s="63"/>
      <c r="AM432" s="63"/>
      <c r="AN432" s="63">
        <v>2</v>
      </c>
      <c r="AO432" s="63"/>
      <c r="AP432" s="63"/>
      <c r="AQ432" s="63"/>
      <c r="AR432" s="63"/>
      <c r="AS432" s="63"/>
      <c r="AT432" s="63"/>
      <c r="AU432" s="63"/>
      <c r="AW432" s="5">
        <f>IF(Q432&gt;0,RANK(Q432,(N432:P432,Q432:AE432)),0)</f>
        <v>3</v>
      </c>
      <c r="AX432" s="5">
        <f>IF(R432&gt;0,RANK(R432,(N432:P432,Q432:AE432)),0)</f>
        <v>5</v>
      </c>
      <c r="AY432" s="5">
        <f>IF(T432&gt;0,RANK(T432,(N432:P432,Q432:AE432)),0)</f>
        <v>0</v>
      </c>
      <c r="AZ432" s="5">
        <f>IF(S432&gt;0,RANK(S432,(N432:P432,Q432:AE432)),0)</f>
        <v>7</v>
      </c>
      <c r="BA432" s="2">
        <f t="shared" si="186"/>
        <v>2.3116493066649625E-2</v>
      </c>
      <c r="BB432" s="2">
        <f t="shared" si="187"/>
        <v>1.8212026327560867E-3</v>
      </c>
      <c r="BC432" s="2">
        <f t="shared" si="188"/>
        <v>0</v>
      </c>
      <c r="BD432" s="2">
        <f t="shared" si="189"/>
        <v>1.4377915521758579E-4</v>
      </c>
      <c r="BF432" t="s">
        <v>1067</v>
      </c>
      <c r="BG432" t="s">
        <v>1156</v>
      </c>
      <c r="BJ432" s="114">
        <v>13</v>
      </c>
      <c r="BK432" s="116">
        <v>21</v>
      </c>
      <c r="BL432" s="120">
        <f t="shared" si="191"/>
        <v>13021</v>
      </c>
      <c r="BN432" s="5" t="s">
        <v>3154</v>
      </c>
      <c r="BR432" s="63"/>
      <c r="BY432" s="63">
        <f t="shared" si="190"/>
        <v>-62596</v>
      </c>
      <c r="CC432" s="1"/>
      <c r="CD432" s="1"/>
      <c r="CE432" s="1">
        <v>3</v>
      </c>
      <c r="CF432" s="1"/>
      <c r="CK432" s="8">
        <v>5</v>
      </c>
      <c r="CM432" s="8">
        <v>3</v>
      </c>
    </row>
    <row r="433" spans="1:89" hidden="1" outlineLevel="1">
      <c r="A433" t="s">
        <v>1975</v>
      </c>
      <c r="B433" t="s">
        <v>1156</v>
      </c>
      <c r="C433" s="1">
        <f t="shared" si="179"/>
        <v>4974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4</v>
      </c>
      <c r="G433" s="132">
        <f t="shared" si="180"/>
        <v>2618</v>
      </c>
      <c r="H433" s="137">
        <f t="shared" si="181"/>
        <v>0.52633695215118614</v>
      </c>
      <c r="I433" s="2"/>
      <c r="J433" s="2">
        <f t="shared" si="182"/>
        <v>0.22135102533172496</v>
      </c>
      <c r="K433" s="2">
        <f t="shared" si="183"/>
        <v>0.74768797748291116</v>
      </c>
      <c r="L433" s="2">
        <f t="shared" si="184"/>
        <v>4.2219541616405308E-3</v>
      </c>
      <c r="M433" s="2">
        <f t="shared" si="185"/>
        <v>2.6739043023723295E-2</v>
      </c>
      <c r="N433" s="63">
        <v>1101</v>
      </c>
      <c r="O433" s="63">
        <v>3719</v>
      </c>
      <c r="P433" s="63">
        <v>21</v>
      </c>
      <c r="Q433" s="63">
        <v>123</v>
      </c>
      <c r="R433" s="63">
        <v>10</v>
      </c>
      <c r="S433" s="63"/>
      <c r="T433" s="63"/>
      <c r="U433" s="63"/>
      <c r="V433" s="63"/>
      <c r="W433" s="63">
        <f>IF(Copyright!B$11=1,IF(CA433&gt;0,CA433-P433-SUM(X433:AQ433)-SUM(R433:V433),SUM(CB433:CM433)),SUM(CC433:CM433))</f>
        <v>0</v>
      </c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W433" s="5">
        <f>IF(Q433&gt;0,RANK(Q433,(N433:P433,Q433:AE433)),0)</f>
        <v>3</v>
      </c>
      <c r="AX433" s="5">
        <f>IF(R433&gt;0,RANK(R433,(N433:P433,Q433:AE433)),0)</f>
        <v>5</v>
      </c>
      <c r="AY433" s="5">
        <f>IF(T433&gt;0,RANK(T433,(N433:P433,Q433:AE433)),0)</f>
        <v>0</v>
      </c>
      <c r="AZ433" s="5">
        <f>IF(S433&gt;0,RANK(S433,(N433:P433,Q433:AE433)),0)</f>
        <v>0</v>
      </c>
      <c r="BA433" s="2">
        <f t="shared" si="186"/>
        <v>2.4728588661037394E-2</v>
      </c>
      <c r="BB433" s="2">
        <f t="shared" si="187"/>
        <v>2.0104543626859668E-3</v>
      </c>
      <c r="BC433" s="2">
        <f t="shared" si="188"/>
        <v>0</v>
      </c>
      <c r="BD433" s="2">
        <f t="shared" si="189"/>
        <v>0</v>
      </c>
      <c r="BF433" t="s">
        <v>1975</v>
      </c>
      <c r="BG433" t="s">
        <v>1156</v>
      </c>
      <c r="BH433">
        <v>8</v>
      </c>
      <c r="BJ433" s="114">
        <v>13</v>
      </c>
      <c r="BK433" s="116">
        <v>23</v>
      </c>
      <c r="BL433" s="120">
        <f t="shared" si="191"/>
        <v>13023</v>
      </c>
      <c r="BN433" s="5" t="s">
        <v>3154</v>
      </c>
      <c r="BR433" s="63"/>
      <c r="BY433" s="63">
        <f t="shared" si="190"/>
        <v>-4974</v>
      </c>
      <c r="CC433" s="1"/>
      <c r="CD433" s="1"/>
      <c r="CE433" s="1"/>
      <c r="CF433" s="1"/>
    </row>
    <row r="434" spans="1:89" hidden="1" outlineLevel="1">
      <c r="A434" t="s">
        <v>3133</v>
      </c>
      <c r="B434" t="s">
        <v>1156</v>
      </c>
      <c r="C434" s="1">
        <f t="shared" si="179"/>
        <v>6301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32">
        <f t="shared" si="180"/>
        <v>4948</v>
      </c>
      <c r="H434" s="137">
        <f t="shared" si="181"/>
        <v>0.78527217901920332</v>
      </c>
      <c r="I434" s="2"/>
      <c r="J434" s="2">
        <f t="shared" si="182"/>
        <v>9.8238374861133154E-2</v>
      </c>
      <c r="K434" s="2">
        <f t="shared" si="183"/>
        <v>0.8835105538803365</v>
      </c>
      <c r="L434" s="2">
        <f t="shared" si="184"/>
        <v>0</v>
      </c>
      <c r="M434" s="2">
        <f t="shared" si="185"/>
        <v>1.8251071258530316E-2</v>
      </c>
      <c r="N434" s="63">
        <v>619</v>
      </c>
      <c r="O434" s="63">
        <v>5567</v>
      </c>
      <c r="P434" s="63"/>
      <c r="Q434" s="63">
        <v>106</v>
      </c>
      <c r="R434" s="63">
        <v>8</v>
      </c>
      <c r="S434" s="63">
        <v>1</v>
      </c>
      <c r="T434" s="63"/>
      <c r="U434" s="63"/>
      <c r="V434" s="63"/>
      <c r="W434" s="63">
        <f>IF(Copyright!B$11=1,IF(CA434&gt;0,CA434-P434-SUM(X434:AQ434)-SUM(R434:V434),SUM(CB434:CM434)),SUM(CC434:CM434))</f>
        <v>0</v>
      </c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W434" s="5">
        <f>IF(Q434&gt;0,RANK(Q434,(N434:P434,Q434:AE434)),0)</f>
        <v>3</v>
      </c>
      <c r="AX434" s="5">
        <f>IF(R434&gt;0,RANK(R434,(N434:P434,Q434:AE434)),0)</f>
        <v>4</v>
      </c>
      <c r="AY434" s="5">
        <f>IF(T434&gt;0,RANK(T434,(N434:P434,Q434:AE434)),0)</f>
        <v>0</v>
      </c>
      <c r="AZ434" s="5">
        <f>IF(S434&gt;0,RANK(S434,(N434:P434,Q434:AE434)),0)</f>
        <v>5</v>
      </c>
      <c r="BA434" s="2">
        <f t="shared" si="186"/>
        <v>1.6822726551341056E-2</v>
      </c>
      <c r="BB434" s="2">
        <f t="shared" si="187"/>
        <v>1.2696397397238533E-3</v>
      </c>
      <c r="BC434" s="2">
        <f t="shared" si="188"/>
        <v>0</v>
      </c>
      <c r="BD434" s="2">
        <f t="shared" si="189"/>
        <v>1.5870496746548166E-4</v>
      </c>
      <c r="BF434" t="s">
        <v>3133</v>
      </c>
      <c r="BG434" t="s">
        <v>1156</v>
      </c>
      <c r="BH434">
        <v>1</v>
      </c>
      <c r="BJ434" s="114">
        <v>13</v>
      </c>
      <c r="BK434" s="116">
        <v>25</v>
      </c>
      <c r="BL434" s="120">
        <f t="shared" si="191"/>
        <v>13025</v>
      </c>
      <c r="BN434" s="5" t="s">
        <v>3154</v>
      </c>
      <c r="BR434" s="63"/>
      <c r="BY434" s="63">
        <f t="shared" si="190"/>
        <v>-6301</v>
      </c>
      <c r="CC434" s="1"/>
      <c r="CD434" s="1"/>
      <c r="CE434" s="1"/>
      <c r="CF434" s="1"/>
    </row>
    <row r="435" spans="1:89" hidden="1" outlineLevel="1">
      <c r="A435" t="s">
        <v>3134</v>
      </c>
      <c r="B435" t="s">
        <v>1156</v>
      </c>
      <c r="C435" s="1">
        <f t="shared" si="179"/>
        <v>6336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5</v>
      </c>
      <c r="G435" s="132">
        <f t="shared" si="180"/>
        <v>1173</v>
      </c>
      <c r="H435" s="137">
        <f t="shared" si="181"/>
        <v>0.18513257575757575</v>
      </c>
      <c r="I435" s="2"/>
      <c r="J435" s="2">
        <f t="shared" si="182"/>
        <v>0.39898989898989901</v>
      </c>
      <c r="K435" s="2">
        <f t="shared" si="183"/>
        <v>0.5841224747474747</v>
      </c>
      <c r="L435" s="2">
        <f t="shared" si="184"/>
        <v>7.8914141414141413E-4</v>
      </c>
      <c r="M435" s="2">
        <f t="shared" si="185"/>
        <v>1.6098484848484883E-2</v>
      </c>
      <c r="N435" s="63">
        <v>2528</v>
      </c>
      <c r="O435" s="63">
        <v>3701</v>
      </c>
      <c r="P435" s="63">
        <v>5</v>
      </c>
      <c r="Q435" s="63">
        <v>89</v>
      </c>
      <c r="R435" s="63">
        <v>9</v>
      </c>
      <c r="S435" s="63">
        <v>4</v>
      </c>
      <c r="T435" s="63"/>
      <c r="U435" s="63"/>
      <c r="V435" s="63"/>
      <c r="W435" s="63">
        <f>IF(Copyright!B$11=1,IF(CA435&gt;0,CA435-P435-SUM(X435:AQ435)-SUM(R435:V435),SUM(CB435:CM435)),SUM(CC435:CM435))</f>
        <v>0</v>
      </c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W435" s="5">
        <f>IF(Q435&gt;0,RANK(Q435,(N435:P435,Q435:AE435)),0)</f>
        <v>3</v>
      </c>
      <c r="AX435" s="5">
        <f>IF(R435&gt;0,RANK(R435,(N435:P435,Q435:AE435)),0)</f>
        <v>4</v>
      </c>
      <c r="AY435" s="5">
        <f>IF(T435&gt;0,RANK(T435,(N435:P435,Q435:AE435)),0)</f>
        <v>0</v>
      </c>
      <c r="AZ435" s="5">
        <f>IF(S435&gt;0,RANK(S435,(N435:P435,Q435:AE435)),0)</f>
        <v>6</v>
      </c>
      <c r="BA435" s="2">
        <f t="shared" si="186"/>
        <v>1.4046717171717172E-2</v>
      </c>
      <c r="BB435" s="2">
        <f t="shared" si="187"/>
        <v>1.4204545454545455E-3</v>
      </c>
      <c r="BC435" s="2">
        <f t="shared" si="188"/>
        <v>0</v>
      </c>
      <c r="BD435" s="2">
        <f t="shared" si="189"/>
        <v>6.3131313131313137E-4</v>
      </c>
      <c r="BF435" t="s">
        <v>3134</v>
      </c>
      <c r="BG435" t="s">
        <v>1156</v>
      </c>
      <c r="BH435">
        <v>8</v>
      </c>
      <c r="BJ435" s="114">
        <v>13</v>
      </c>
      <c r="BK435" s="116">
        <v>27</v>
      </c>
      <c r="BL435" s="120">
        <f t="shared" si="191"/>
        <v>13027</v>
      </c>
      <c r="BN435" s="5" t="s">
        <v>3154</v>
      </c>
      <c r="BR435" s="63"/>
      <c r="BY435" s="63">
        <f t="shared" si="190"/>
        <v>-6336</v>
      </c>
      <c r="CC435" s="1"/>
      <c r="CD435" s="1"/>
      <c r="CE435" s="1"/>
      <c r="CF435" s="1"/>
    </row>
    <row r="436" spans="1:89" hidden="1" outlineLevel="1">
      <c r="A436" t="s">
        <v>3203</v>
      </c>
      <c r="B436" t="s">
        <v>1156</v>
      </c>
      <c r="C436" s="1">
        <f t="shared" si="179"/>
        <v>15173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4</v>
      </c>
      <c r="G436" s="132">
        <f t="shared" si="180"/>
        <v>6515</v>
      </c>
      <c r="H436" s="137">
        <f t="shared" si="181"/>
        <v>0.42938113754695839</v>
      </c>
      <c r="I436" s="2"/>
      <c r="J436" s="2">
        <f t="shared" si="182"/>
        <v>0.26454886970276148</v>
      </c>
      <c r="K436" s="2">
        <f t="shared" si="183"/>
        <v>0.69393000724971987</v>
      </c>
      <c r="L436" s="2">
        <f t="shared" si="184"/>
        <v>3.0317010479140581E-3</v>
      </c>
      <c r="M436" s="2">
        <f t="shared" si="185"/>
        <v>3.8489421999604589E-2</v>
      </c>
      <c r="N436" s="63">
        <v>4014</v>
      </c>
      <c r="O436" s="63">
        <v>10529</v>
      </c>
      <c r="P436" s="63">
        <v>46</v>
      </c>
      <c r="Q436" s="63">
        <v>542</v>
      </c>
      <c r="R436" s="63">
        <v>36</v>
      </c>
      <c r="S436" s="63">
        <v>5</v>
      </c>
      <c r="T436" s="63"/>
      <c r="U436" s="63"/>
      <c r="V436" s="63"/>
      <c r="W436" s="63">
        <f>IF(Copyright!B$11=1,IF(CA436&gt;0,CA436-P436-SUM(X436:AQ436)-SUM(R436:V436),SUM(CB436:CM436)),SUM(CC436:CM436))</f>
        <v>0</v>
      </c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>
        <v>1</v>
      </c>
      <c r="AO436" s="63"/>
      <c r="AP436" s="63"/>
      <c r="AQ436" s="63"/>
      <c r="AR436" s="63"/>
      <c r="AS436" s="63"/>
      <c r="AT436" s="63"/>
      <c r="AU436" s="63"/>
      <c r="AW436" s="5">
        <f>IF(Q436&gt;0,RANK(Q436,(N436:P436,Q436:AE436)),0)</f>
        <v>3</v>
      </c>
      <c r="AX436" s="5">
        <f>IF(R436&gt;0,RANK(R436,(N436:P436,Q436:AE436)),0)</f>
        <v>5</v>
      </c>
      <c r="AY436" s="5">
        <f>IF(T436&gt;0,RANK(T436,(N436:P436,Q436:AE436)),0)</f>
        <v>0</v>
      </c>
      <c r="AZ436" s="5">
        <f>IF(S436&gt;0,RANK(S436,(N436:P436,Q436:AE436)),0)</f>
        <v>6</v>
      </c>
      <c r="BA436" s="2">
        <f t="shared" si="186"/>
        <v>3.5721347129769987E-2</v>
      </c>
      <c r="BB436" s="2">
        <f t="shared" si="187"/>
        <v>2.3726356027153495E-3</v>
      </c>
      <c r="BC436" s="2">
        <f t="shared" si="188"/>
        <v>0</v>
      </c>
      <c r="BD436" s="2">
        <f t="shared" si="189"/>
        <v>3.2953272259935411E-4</v>
      </c>
      <c r="BF436" t="s">
        <v>3203</v>
      </c>
      <c r="BG436" t="s">
        <v>1156</v>
      </c>
      <c r="BH436">
        <v>1</v>
      </c>
      <c r="BJ436" s="114">
        <v>13</v>
      </c>
      <c r="BK436" s="116">
        <v>29</v>
      </c>
      <c r="BL436" s="120">
        <f t="shared" si="191"/>
        <v>13029</v>
      </c>
      <c r="BN436" s="5" t="s">
        <v>3154</v>
      </c>
      <c r="BR436" s="63"/>
      <c r="BY436" s="63">
        <f t="shared" si="190"/>
        <v>-15173</v>
      </c>
      <c r="CC436" s="1"/>
      <c r="CD436" s="1"/>
      <c r="CE436" s="1"/>
      <c r="CF436" s="1"/>
    </row>
    <row r="437" spans="1:89" hidden="1" outlineLevel="1">
      <c r="A437" t="s">
        <v>1364</v>
      </c>
      <c r="B437" t="s">
        <v>1156</v>
      </c>
      <c r="C437" s="1">
        <f t="shared" si="179"/>
        <v>25316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>IF(P437&gt;0,RANK(P437,(N437:P437,Q437:AE437)),0)</f>
        <v>4</v>
      </c>
      <c r="G437" s="132">
        <f t="shared" si="180"/>
        <v>5836</v>
      </c>
      <c r="H437" s="137">
        <f t="shared" si="181"/>
        <v>0.23052614947069047</v>
      </c>
      <c r="I437" s="2"/>
      <c r="J437" s="2">
        <f t="shared" si="182"/>
        <v>0.36581608468952442</v>
      </c>
      <c r="K437" s="2">
        <f t="shared" si="183"/>
        <v>0.59634223416021492</v>
      </c>
      <c r="L437" s="2">
        <f t="shared" si="184"/>
        <v>1.4615263074735346E-3</v>
      </c>
      <c r="M437" s="2">
        <f t="shared" si="185"/>
        <v>3.6380154842787116E-2</v>
      </c>
      <c r="N437" s="63">
        <v>9261</v>
      </c>
      <c r="O437" s="63">
        <v>15097</v>
      </c>
      <c r="P437" s="63">
        <v>37</v>
      </c>
      <c r="Q437" s="63">
        <v>890</v>
      </c>
      <c r="R437" s="63">
        <v>22</v>
      </c>
      <c r="S437" s="63">
        <v>5</v>
      </c>
      <c r="T437" s="63"/>
      <c r="U437" s="63"/>
      <c r="V437" s="63"/>
      <c r="W437" s="63">
        <f>IF(Copyright!B$11=1,IF(CA437&gt;0,CA437-P437-SUM(X437:AQ437)-SUM(R437:V437),SUM(CB437:CM437)),SUM(CC437:CM437))</f>
        <v>1</v>
      </c>
      <c r="X437" s="63"/>
      <c r="Y437" s="63">
        <v>1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>
        <v>2</v>
      </c>
      <c r="AR437" s="63"/>
      <c r="AS437" s="63"/>
      <c r="AT437" s="63"/>
      <c r="AU437" s="63"/>
      <c r="AW437" s="5">
        <f>IF(Q437&gt;0,RANK(Q437,(N437:P437,Q437:AE437)),0)</f>
        <v>3</v>
      </c>
      <c r="AX437" s="5">
        <f>IF(R437&gt;0,RANK(R437,(N437:P437,Q437:AE437)),0)</f>
        <v>5</v>
      </c>
      <c r="AY437" s="5">
        <f>IF(T437&gt;0,RANK(T437,(N437:P437,Q437:AE437)),0)</f>
        <v>0</v>
      </c>
      <c r="AZ437" s="5">
        <f>IF(S437&gt;0,RANK(S437,(N437:P437,Q437:AE437)),0)</f>
        <v>6</v>
      </c>
      <c r="BA437" s="2">
        <f t="shared" si="186"/>
        <v>3.5155632801390425E-2</v>
      </c>
      <c r="BB437" s="2">
        <f t="shared" si="187"/>
        <v>8.6901564228156105E-4</v>
      </c>
      <c r="BC437" s="2">
        <f t="shared" si="188"/>
        <v>0</v>
      </c>
      <c r="BD437" s="2">
        <f t="shared" si="189"/>
        <v>1.9750355506399116E-4</v>
      </c>
      <c r="BF437" t="s">
        <v>1364</v>
      </c>
      <c r="BG437" t="s">
        <v>1156</v>
      </c>
      <c r="BH437">
        <v>12</v>
      </c>
      <c r="BJ437" s="114">
        <v>13</v>
      </c>
      <c r="BK437" s="116">
        <v>31</v>
      </c>
      <c r="BL437" s="120">
        <f t="shared" si="191"/>
        <v>13031</v>
      </c>
      <c r="BN437" s="5" t="s">
        <v>3154</v>
      </c>
      <c r="BR437" s="63"/>
      <c r="BY437" s="63">
        <f t="shared" si="190"/>
        <v>-25316</v>
      </c>
      <c r="CC437" s="1"/>
      <c r="CD437" s="1"/>
      <c r="CE437" s="1"/>
      <c r="CF437" s="1"/>
      <c r="CH437" s="8">
        <v>1</v>
      </c>
    </row>
    <row r="438" spans="1:89" hidden="1" outlineLevel="1">
      <c r="A438" t="s">
        <v>2930</v>
      </c>
      <c r="B438" t="s">
        <v>1156</v>
      </c>
      <c r="C438" s="1">
        <f t="shared" si="179"/>
        <v>9351</v>
      </c>
      <c r="D438" s="5">
        <f>IF(N438&gt;0, RANK(N438,(N438:P438,Q438:AE438)),0)</f>
        <v>1</v>
      </c>
      <c r="E438" s="5">
        <f>IF(O438&gt;0,RANK(O438,(N438:P438,Q438:AE438)),0)</f>
        <v>2</v>
      </c>
      <c r="F438" s="5">
        <f>IF(P438&gt;0,RANK(P438,(N438:P438,Q438:AE438)),0)</f>
        <v>0</v>
      </c>
      <c r="G438" s="132">
        <f t="shared" si="180"/>
        <v>240</v>
      </c>
      <c r="H438" s="137">
        <f t="shared" si="181"/>
        <v>2.5665704202759064E-2</v>
      </c>
      <c r="I438" s="2"/>
      <c r="J438" s="2">
        <f t="shared" si="182"/>
        <v>0.50593519409688803</v>
      </c>
      <c r="K438" s="2">
        <f t="shared" si="183"/>
        <v>0.48026948989412899</v>
      </c>
      <c r="L438" s="2">
        <f t="shared" si="184"/>
        <v>0</v>
      </c>
      <c r="M438" s="2">
        <f t="shared" si="185"/>
        <v>1.3795316008982983E-2</v>
      </c>
      <c r="N438" s="63">
        <v>4731</v>
      </c>
      <c r="O438" s="63">
        <v>4491</v>
      </c>
      <c r="P438" s="63"/>
      <c r="Q438" s="63">
        <v>129</v>
      </c>
      <c r="R438" s="63"/>
      <c r="S438" s="63"/>
      <c r="T438" s="63"/>
      <c r="U438" s="63"/>
      <c r="V438" s="63"/>
      <c r="W438" s="63">
        <f>IF(Copyright!B$11=1,IF(CA438&gt;0,CA438-P438-SUM(X438:AQ438)-SUM(R438:V438),SUM(CB438:CM438)),SUM(CC438:CM438))</f>
        <v>0</v>
      </c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W438" s="5">
        <f>IF(Q438&gt;0,RANK(Q438,(N438:P438,Q438:AE438)),0)</f>
        <v>3</v>
      </c>
      <c r="AX438" s="5">
        <f>IF(R438&gt;0,RANK(R438,(N438:P438,Q438:AE438)),0)</f>
        <v>0</v>
      </c>
      <c r="AY438" s="5">
        <f>IF(T438&gt;0,RANK(T438,(N438:P438,Q438:AE438)),0)</f>
        <v>0</v>
      </c>
      <c r="AZ438" s="5">
        <f>IF(S438&gt;0,RANK(S438,(N438:P438,Q438:AE438)),0)</f>
        <v>0</v>
      </c>
      <c r="BA438" s="2">
        <f t="shared" si="186"/>
        <v>1.3795316008982997E-2</v>
      </c>
      <c r="BB438" s="2">
        <f t="shared" si="187"/>
        <v>0</v>
      </c>
      <c r="BC438" s="2">
        <f t="shared" si="188"/>
        <v>0</v>
      </c>
      <c r="BD438" s="2">
        <f t="shared" si="189"/>
        <v>0</v>
      </c>
      <c r="BF438" t="s">
        <v>2930</v>
      </c>
      <c r="BG438" t="s">
        <v>1156</v>
      </c>
      <c r="BH438">
        <v>12</v>
      </c>
      <c r="BJ438" s="114">
        <v>13</v>
      </c>
      <c r="BK438" s="116">
        <v>33</v>
      </c>
      <c r="BL438" s="120">
        <f t="shared" si="191"/>
        <v>13033</v>
      </c>
      <c r="BN438" s="5" t="s">
        <v>3154</v>
      </c>
      <c r="BR438" s="63"/>
      <c r="BY438" s="63">
        <f t="shared" si="190"/>
        <v>-9351</v>
      </c>
      <c r="CC438" s="1"/>
      <c r="CD438" s="1"/>
      <c r="CE438" s="1"/>
      <c r="CF438" s="1"/>
    </row>
    <row r="439" spans="1:89" hidden="1" outlineLevel="1">
      <c r="A439" t="s">
        <v>2777</v>
      </c>
      <c r="B439" t="s">
        <v>1156</v>
      </c>
      <c r="C439" s="1">
        <f t="shared" si="179"/>
        <v>9514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>IF(P439&gt;0,RANK(P439,(N439:P439,Q439:AE439)),0)</f>
        <v>4</v>
      </c>
      <c r="G439" s="132">
        <f t="shared" si="180"/>
        <v>4151</v>
      </c>
      <c r="H439" s="137">
        <f t="shared" si="181"/>
        <v>0.43630439352533107</v>
      </c>
      <c r="I439" s="2"/>
      <c r="J439" s="2">
        <f t="shared" si="182"/>
        <v>0.26970779903300401</v>
      </c>
      <c r="K439" s="2">
        <f t="shared" si="183"/>
        <v>0.70601219255833514</v>
      </c>
      <c r="L439" s="2">
        <f t="shared" si="184"/>
        <v>1.8919487071683834E-3</v>
      </c>
      <c r="M439" s="2">
        <f t="shared" si="185"/>
        <v>2.2388059701492463E-2</v>
      </c>
      <c r="N439" s="63">
        <v>2566</v>
      </c>
      <c r="O439" s="63">
        <v>6717</v>
      </c>
      <c r="P439" s="63">
        <v>18</v>
      </c>
      <c r="Q439" s="63">
        <v>194</v>
      </c>
      <c r="R439" s="63">
        <v>13</v>
      </c>
      <c r="S439" s="63">
        <v>6</v>
      </c>
      <c r="T439" s="63"/>
      <c r="U439" s="63"/>
      <c r="V439" s="63"/>
      <c r="W439" s="63">
        <f>IF(Copyright!B$11=1,IF(CA439&gt;0,CA439-P439-SUM(X439:AQ439)-SUM(R439:V439),SUM(CB439:CM439)),SUM(CC439:CM439))</f>
        <v>0</v>
      </c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W439" s="5">
        <f>IF(Q439&gt;0,RANK(Q439,(N439:P439,Q439:AE439)),0)</f>
        <v>3</v>
      </c>
      <c r="AX439" s="5">
        <f>IF(R439&gt;0,RANK(R439,(N439:P439,Q439:AE439)),0)</f>
        <v>5</v>
      </c>
      <c r="AY439" s="5">
        <f>IF(T439&gt;0,RANK(T439,(N439:P439,Q439:AE439)),0)</f>
        <v>0</v>
      </c>
      <c r="AZ439" s="5">
        <f>IF(S439&gt;0,RANK(S439,(N439:P439,Q439:AE439)),0)</f>
        <v>6</v>
      </c>
      <c r="BA439" s="2">
        <f t="shared" si="186"/>
        <v>2.03910027328148E-2</v>
      </c>
      <c r="BB439" s="2">
        <f t="shared" si="187"/>
        <v>1.3664073996216104E-3</v>
      </c>
      <c r="BC439" s="2">
        <f t="shared" si="188"/>
        <v>0</v>
      </c>
      <c r="BD439" s="2">
        <f t="shared" si="189"/>
        <v>6.3064956905612779E-4</v>
      </c>
      <c r="BF439" t="s">
        <v>2777</v>
      </c>
      <c r="BG439" t="s">
        <v>1156</v>
      </c>
      <c r="BH439">
        <v>10</v>
      </c>
      <c r="BJ439" s="114">
        <v>13</v>
      </c>
      <c r="BK439" s="116">
        <v>35</v>
      </c>
      <c r="BL439" s="120">
        <f t="shared" si="191"/>
        <v>13035</v>
      </c>
      <c r="BN439" s="5" t="s">
        <v>3154</v>
      </c>
      <c r="BR439" s="63"/>
      <c r="BY439" s="63">
        <f t="shared" si="190"/>
        <v>-9514</v>
      </c>
      <c r="CC439" s="1"/>
      <c r="CD439" s="1"/>
      <c r="CE439" s="1"/>
      <c r="CF439" s="1"/>
    </row>
    <row r="440" spans="1:89" hidden="1" outlineLevel="1">
      <c r="A440" t="s">
        <v>1197</v>
      </c>
      <c r="B440" t="s">
        <v>1156</v>
      </c>
      <c r="C440" s="1">
        <f t="shared" si="179"/>
        <v>2025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>IF(P440&gt;0,RANK(P440,(N440:P440,Q440:AE440)),0)</f>
        <v>0</v>
      </c>
      <c r="G440" s="132">
        <f t="shared" si="180"/>
        <v>349</v>
      </c>
      <c r="H440" s="137">
        <f t="shared" si="181"/>
        <v>0.17234567901234568</v>
      </c>
      <c r="I440" s="2"/>
      <c r="J440" s="2">
        <f t="shared" si="182"/>
        <v>0.5822222222222222</v>
      </c>
      <c r="K440" s="2">
        <f t="shared" si="183"/>
        <v>0.40987654320987654</v>
      </c>
      <c r="L440" s="2">
        <f t="shared" si="184"/>
        <v>0</v>
      </c>
      <c r="M440" s="2">
        <f t="shared" si="185"/>
        <v>7.9012345679012608E-3</v>
      </c>
      <c r="N440" s="63">
        <v>1179</v>
      </c>
      <c r="O440" s="63">
        <v>830</v>
      </c>
      <c r="P440" s="63"/>
      <c r="Q440" s="63">
        <v>16</v>
      </c>
      <c r="R440" s="63"/>
      <c r="S440" s="63"/>
      <c r="T440" s="63"/>
      <c r="U440" s="63"/>
      <c r="V440" s="63"/>
      <c r="W440" s="63">
        <f>IF(Copyright!B$11=1,IF(CA440&gt;0,CA440-P440-SUM(X440:AQ440)-SUM(R440:V440),SUM(CB440:CM440)),SUM(CC440:CM440))</f>
        <v>0</v>
      </c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W440" s="5">
        <f>IF(Q440&gt;0,RANK(Q440,(N440:P440,Q440:AE440)),0)</f>
        <v>3</v>
      </c>
      <c r="AX440" s="5">
        <f>IF(R440&gt;0,RANK(R440,(N440:P440,Q440:AE440)),0)</f>
        <v>0</v>
      </c>
      <c r="AY440" s="5">
        <f>IF(T440&gt;0,RANK(T440,(N440:P440,Q440:AE440)),0)</f>
        <v>0</v>
      </c>
      <c r="AZ440" s="5">
        <f>IF(S440&gt;0,RANK(S440,(N440:P440,Q440:AE440)),0)</f>
        <v>0</v>
      </c>
      <c r="BA440" s="2">
        <f t="shared" si="186"/>
        <v>7.9012345679012348E-3</v>
      </c>
      <c r="BB440" s="2">
        <f t="shared" si="187"/>
        <v>0</v>
      </c>
      <c r="BC440" s="2">
        <f t="shared" si="188"/>
        <v>0</v>
      </c>
      <c r="BD440" s="2">
        <f t="shared" si="189"/>
        <v>0</v>
      </c>
      <c r="BF440" t="s">
        <v>1197</v>
      </c>
      <c r="BG440" t="s">
        <v>1156</v>
      </c>
      <c r="BH440">
        <v>2</v>
      </c>
      <c r="BJ440" s="114">
        <v>13</v>
      </c>
      <c r="BK440" s="116">
        <v>37</v>
      </c>
      <c r="BL440" s="120">
        <f t="shared" si="191"/>
        <v>13037</v>
      </c>
      <c r="BN440" s="5" t="s">
        <v>3154</v>
      </c>
      <c r="BR440" s="63"/>
      <c r="BY440" s="63">
        <f t="shared" si="190"/>
        <v>-2025</v>
      </c>
      <c r="CC440" s="1"/>
      <c r="CD440" s="1"/>
      <c r="CE440" s="1"/>
      <c r="CF440" s="1"/>
    </row>
    <row r="441" spans="1:89" hidden="1" outlineLevel="1">
      <c r="A441" t="s">
        <v>1605</v>
      </c>
      <c r="B441" t="s">
        <v>1156</v>
      </c>
      <c r="C441" s="1">
        <f t="shared" si="179"/>
        <v>19069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6</v>
      </c>
      <c r="G441" s="132">
        <f t="shared" si="180"/>
        <v>6380</v>
      </c>
      <c r="H441" s="137">
        <f t="shared" si="181"/>
        <v>0.33457444019088572</v>
      </c>
      <c r="I441" s="2"/>
      <c r="J441" s="2">
        <f t="shared" si="182"/>
        <v>0.31097592951911479</v>
      </c>
      <c r="K441" s="2">
        <f t="shared" si="183"/>
        <v>0.64555036971000057</v>
      </c>
      <c r="L441" s="2">
        <f t="shared" si="184"/>
        <v>6.2929361791389167E-4</v>
      </c>
      <c r="M441" s="2">
        <f t="shared" si="185"/>
        <v>4.2844407152970748E-2</v>
      </c>
      <c r="N441" s="63">
        <v>5930</v>
      </c>
      <c r="O441" s="63">
        <v>12310</v>
      </c>
      <c r="P441" s="63">
        <v>12</v>
      </c>
      <c r="Q441" s="63">
        <v>629</v>
      </c>
      <c r="R441" s="63">
        <v>20</v>
      </c>
      <c r="S441" s="63"/>
      <c r="T441" s="63"/>
      <c r="U441" s="63"/>
      <c r="V441" s="63"/>
      <c r="W441" s="63">
        <f>IF(Copyright!B$11=1,IF(CA441&gt;0,CA441-P441-SUM(X441:AQ441)-SUM(R441:V441),SUM(CB441:CM441)),SUM(CC441:CM441))</f>
        <v>168</v>
      </c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W441" s="5">
        <f>IF(Q441&gt;0,RANK(Q441,(N441:P441,Q441:AE441)),0)</f>
        <v>3</v>
      </c>
      <c r="AX441" s="5">
        <f>IF(R441&gt;0,RANK(R441,(N441:P441,Q441:AE441)),0)</f>
        <v>5</v>
      </c>
      <c r="AY441" s="5">
        <f>IF(T441&gt;0,RANK(T441,(N441:P441,Q441:AE441)),0)</f>
        <v>0</v>
      </c>
      <c r="AZ441" s="5">
        <f>IF(S441&gt;0,RANK(S441,(N441:P441,Q441:AE441)),0)</f>
        <v>0</v>
      </c>
      <c r="BA441" s="2">
        <f t="shared" si="186"/>
        <v>3.2985473805653157E-2</v>
      </c>
      <c r="BB441" s="2">
        <f t="shared" si="187"/>
        <v>1.0488226965231528E-3</v>
      </c>
      <c r="BC441" s="2">
        <f t="shared" si="188"/>
        <v>0</v>
      </c>
      <c r="BD441" s="2">
        <f t="shared" si="189"/>
        <v>0</v>
      </c>
      <c r="BF441" t="s">
        <v>1605</v>
      </c>
      <c r="BG441" t="s">
        <v>1156</v>
      </c>
      <c r="BH441">
        <v>1</v>
      </c>
      <c r="BJ441" s="114">
        <v>13</v>
      </c>
      <c r="BK441" s="116">
        <v>39</v>
      </c>
      <c r="BL441" s="120">
        <f t="shared" si="191"/>
        <v>13039</v>
      </c>
      <c r="BN441" s="5" t="s">
        <v>3154</v>
      </c>
      <c r="BR441" s="63"/>
      <c r="BY441" s="63">
        <f t="shared" si="190"/>
        <v>-44</v>
      </c>
      <c r="BZ441" s="63">
        <v>19025</v>
      </c>
      <c r="CA441" s="133">
        <v>200</v>
      </c>
      <c r="CC441" s="1"/>
      <c r="CD441" s="1"/>
      <c r="CE441" s="1"/>
      <c r="CF441" s="1"/>
    </row>
    <row r="442" spans="1:89" hidden="1" outlineLevel="1">
      <c r="A442" t="s">
        <v>2003</v>
      </c>
      <c r="B442" t="s">
        <v>1156</v>
      </c>
      <c r="C442" s="1">
        <f t="shared" si="179"/>
        <v>3763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32">
        <f t="shared" si="180"/>
        <v>1638</v>
      </c>
      <c r="H442" s="137">
        <f t="shared" si="181"/>
        <v>0.43529099123040127</v>
      </c>
      <c r="I442" s="2"/>
      <c r="J442" s="2">
        <f t="shared" si="182"/>
        <v>0.27265479670475684</v>
      </c>
      <c r="K442" s="2">
        <f t="shared" si="183"/>
        <v>0.70794578793515817</v>
      </c>
      <c r="L442" s="2">
        <f t="shared" si="184"/>
        <v>0</v>
      </c>
      <c r="M442" s="2">
        <f t="shared" si="185"/>
        <v>1.9399415360085048E-2</v>
      </c>
      <c r="N442" s="63">
        <v>1026</v>
      </c>
      <c r="O442" s="63">
        <v>2664</v>
      </c>
      <c r="P442" s="63"/>
      <c r="Q442" s="63">
        <v>73</v>
      </c>
      <c r="R442" s="63"/>
      <c r="S442" s="63"/>
      <c r="T442" s="63"/>
      <c r="U442" s="63"/>
      <c r="V442" s="63"/>
      <c r="W442" s="63">
        <f>IF(Copyright!B$11=1,IF(CA442&gt;0,CA442-P442-SUM(X442:AQ442)-SUM(R442:V442),SUM(CB442:CM442)),SUM(CC442:CM442))</f>
        <v>0</v>
      </c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W442" s="5">
        <f>IF(Q442&gt;0,RANK(Q442,(N442:P442,Q442:AE442)),0)</f>
        <v>3</v>
      </c>
      <c r="AX442" s="5">
        <f>IF(R442&gt;0,RANK(R442,(N442:P442,Q442:AE442)),0)</f>
        <v>0</v>
      </c>
      <c r="AY442" s="5">
        <f>IF(T442&gt;0,RANK(T442,(N442:P442,Q442:AE442)),0)</f>
        <v>0</v>
      </c>
      <c r="AZ442" s="5">
        <f>IF(S442&gt;0,RANK(S442,(N442:P442,Q442:AE442)),0)</f>
        <v>0</v>
      </c>
      <c r="BA442" s="2">
        <f t="shared" si="186"/>
        <v>1.9399415360085038E-2</v>
      </c>
      <c r="BB442" s="2">
        <f t="shared" si="187"/>
        <v>0</v>
      </c>
      <c r="BC442" s="2">
        <f t="shared" si="188"/>
        <v>0</v>
      </c>
      <c r="BD442" s="2">
        <f t="shared" si="189"/>
        <v>0</v>
      </c>
      <c r="BF442" t="s">
        <v>2003</v>
      </c>
      <c r="BG442" t="s">
        <v>1156</v>
      </c>
      <c r="BH442">
        <v>12</v>
      </c>
      <c r="BJ442" s="114">
        <v>13</v>
      </c>
      <c r="BK442" s="116">
        <v>43</v>
      </c>
      <c r="BL442" s="120">
        <f t="shared" si="191"/>
        <v>13043</v>
      </c>
      <c r="BN442" s="5" t="s">
        <v>3154</v>
      </c>
      <c r="BR442" s="63"/>
      <c r="BY442" s="63">
        <f t="shared" si="190"/>
        <v>-3763</v>
      </c>
      <c r="CC442" s="1"/>
      <c r="CD442" s="1"/>
      <c r="CE442" s="1"/>
      <c r="CF442" s="1"/>
    </row>
    <row r="443" spans="1:89" hidden="1" outlineLevel="1">
      <c r="A443" t="s">
        <v>1675</v>
      </c>
      <c r="B443" t="s">
        <v>1156</v>
      </c>
      <c r="C443" s="1">
        <f t="shared" si="179"/>
        <v>44459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5</v>
      </c>
      <c r="G443" s="132">
        <f t="shared" si="180"/>
        <v>17565</v>
      </c>
      <c r="H443" s="137">
        <f t="shared" si="181"/>
        <v>0.39508311028138282</v>
      </c>
      <c r="I443" s="2"/>
      <c r="J443" s="2">
        <f t="shared" si="182"/>
        <v>0.28034818596909511</v>
      </c>
      <c r="K443" s="2">
        <f t="shared" si="183"/>
        <v>0.67543129625047793</v>
      </c>
      <c r="L443" s="2">
        <f t="shared" si="184"/>
        <v>3.8012550889583662E-3</v>
      </c>
      <c r="M443" s="2">
        <f t="shared" si="185"/>
        <v>4.0419262691468651E-2</v>
      </c>
      <c r="N443" s="63">
        <v>12464</v>
      </c>
      <c r="O443" s="63">
        <v>30029</v>
      </c>
      <c r="P443" s="63">
        <v>169</v>
      </c>
      <c r="Q443" s="63">
        <v>1346</v>
      </c>
      <c r="R443" s="63">
        <v>89</v>
      </c>
      <c r="S443" s="63">
        <v>21</v>
      </c>
      <c r="T443" s="63"/>
      <c r="U443" s="63"/>
      <c r="V443" s="63"/>
      <c r="W443" s="63">
        <f>IF(Copyright!B$11=1,IF(CA443&gt;0,CA443-P443-SUM(X443:AQ443)-SUM(R443:V443),SUM(CB443:CM443)),SUM(CC443:CM443))</f>
        <v>339</v>
      </c>
      <c r="X443" s="63"/>
      <c r="Y443" s="63">
        <v>1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>
        <v>1</v>
      </c>
      <c r="AO443" s="63"/>
      <c r="AP443" s="63"/>
      <c r="AQ443" s="63"/>
      <c r="AR443" s="63"/>
      <c r="AS443" s="63"/>
      <c r="AT443" s="63"/>
      <c r="AU443" s="63"/>
      <c r="AW443" s="5">
        <f>IF(Q443&gt;0,RANK(Q443,(N443:P443,Q443:AE443)),0)</f>
        <v>3</v>
      </c>
      <c r="AX443" s="5">
        <f>IF(R443&gt;0,RANK(R443,(N443:P443,Q443:AE443)),0)</f>
        <v>6</v>
      </c>
      <c r="AY443" s="5">
        <f>IF(T443&gt;0,RANK(T443,(N443:P443,Q443:AE443)),0)</f>
        <v>0</v>
      </c>
      <c r="AZ443" s="5">
        <f>IF(S443&gt;0,RANK(S443,(N443:P443,Q443:AE443)),0)</f>
        <v>7</v>
      </c>
      <c r="BA443" s="2">
        <f t="shared" si="186"/>
        <v>3.0275084909692076E-2</v>
      </c>
      <c r="BB443" s="2">
        <f t="shared" si="187"/>
        <v>2.0018443959603231E-3</v>
      </c>
      <c r="BC443" s="2">
        <f t="shared" si="188"/>
        <v>0</v>
      </c>
      <c r="BD443" s="2">
        <f t="shared" si="189"/>
        <v>4.7234530691198632E-4</v>
      </c>
      <c r="BF443" t="s">
        <v>1675</v>
      </c>
      <c r="BG443" t="s">
        <v>1156</v>
      </c>
      <c r="BH443">
        <v>3</v>
      </c>
      <c r="BJ443" s="114">
        <v>13</v>
      </c>
      <c r="BK443" s="116">
        <v>45</v>
      </c>
      <c r="BL443" s="120">
        <f t="shared" si="191"/>
        <v>13045</v>
      </c>
      <c r="BN443" s="5" t="s">
        <v>3154</v>
      </c>
      <c r="BR443" s="63"/>
      <c r="BY443" s="63">
        <f t="shared" si="190"/>
        <v>0</v>
      </c>
      <c r="BZ443" s="63">
        <v>44459</v>
      </c>
      <c r="CA443" s="63">
        <v>620</v>
      </c>
      <c r="CC443" s="1"/>
      <c r="CD443" s="1"/>
      <c r="CE443" s="1">
        <v>1</v>
      </c>
      <c r="CF443" s="1"/>
    </row>
    <row r="444" spans="1:89" hidden="1" outlineLevel="1">
      <c r="A444" t="s">
        <v>1845</v>
      </c>
      <c r="B444" t="s">
        <v>1156</v>
      </c>
      <c r="C444" s="1">
        <f t="shared" si="179"/>
        <v>26940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5</v>
      </c>
      <c r="G444" s="132">
        <f t="shared" si="180"/>
        <v>16105</v>
      </c>
      <c r="H444" s="137">
        <f t="shared" si="181"/>
        <v>0.59780994803266518</v>
      </c>
      <c r="I444" s="2"/>
      <c r="J444" s="2">
        <f t="shared" si="182"/>
        <v>0.17709725315515962</v>
      </c>
      <c r="K444" s="2">
        <f t="shared" si="183"/>
        <v>0.77490720118782475</v>
      </c>
      <c r="L444" s="2">
        <f t="shared" si="184"/>
        <v>5.0853749072011876E-3</v>
      </c>
      <c r="M444" s="2">
        <f t="shared" si="185"/>
        <v>4.2910170749814507E-2</v>
      </c>
      <c r="N444" s="63">
        <v>4771</v>
      </c>
      <c r="O444" s="63">
        <v>20876</v>
      </c>
      <c r="P444" s="63">
        <v>137</v>
      </c>
      <c r="Q444" s="63">
        <v>881</v>
      </c>
      <c r="R444" s="63">
        <v>65</v>
      </c>
      <c r="S444" s="63">
        <v>20</v>
      </c>
      <c r="T444" s="63"/>
      <c r="U444" s="63"/>
      <c r="V444" s="63"/>
      <c r="W444" s="63">
        <f>IF(Copyright!B$11=1,IF(CA444&gt;0,CA444-P444-SUM(X444:AQ444)-SUM(R444:V444),SUM(CB444:CM444)),SUM(CC444:CM444))</f>
        <v>185</v>
      </c>
      <c r="X444" s="63"/>
      <c r="Y444" s="63">
        <v>2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>
        <v>3</v>
      </c>
      <c r="AO444" s="63"/>
      <c r="AP444" s="63"/>
      <c r="AQ444" s="63"/>
      <c r="AR444" s="63"/>
      <c r="AS444" s="63"/>
      <c r="AT444" s="63"/>
      <c r="AU444" s="63"/>
      <c r="AW444" s="5">
        <f>IF(Q444&gt;0,RANK(Q444,(N444:P444,Q444:AE444)),0)</f>
        <v>3</v>
      </c>
      <c r="AX444" s="5">
        <f>IF(R444&gt;0,RANK(R444,(N444:P444,Q444:AE444)),0)</f>
        <v>6</v>
      </c>
      <c r="AY444" s="5">
        <f>IF(T444&gt;0,RANK(T444,(N444:P444,Q444:AE444)),0)</f>
        <v>0</v>
      </c>
      <c r="AZ444" s="5">
        <f>IF(S444&gt;0,RANK(S444,(N444:P444,Q444:AE444)),0)</f>
        <v>7</v>
      </c>
      <c r="BA444" s="2">
        <f t="shared" si="186"/>
        <v>3.2702301410541944E-2</v>
      </c>
      <c r="BB444" s="2">
        <f t="shared" si="187"/>
        <v>2.4127691165553079E-3</v>
      </c>
      <c r="BC444" s="2">
        <f t="shared" si="188"/>
        <v>0</v>
      </c>
      <c r="BD444" s="2">
        <f t="shared" si="189"/>
        <v>7.4239049740163323E-4</v>
      </c>
      <c r="BF444" t="s">
        <v>1845</v>
      </c>
      <c r="BG444" t="s">
        <v>1156</v>
      </c>
      <c r="BH444">
        <v>14</v>
      </c>
      <c r="BJ444" s="114">
        <v>13</v>
      </c>
      <c r="BK444" s="116">
        <v>47</v>
      </c>
      <c r="BL444" s="120">
        <f t="shared" si="191"/>
        <v>13047</v>
      </c>
      <c r="BN444" s="5" t="s">
        <v>3154</v>
      </c>
      <c r="BR444" s="63"/>
      <c r="BY444" s="63">
        <f t="shared" si="190"/>
        <v>0</v>
      </c>
      <c r="BZ444" s="63">
        <v>26940</v>
      </c>
      <c r="CA444" s="132">
        <v>412</v>
      </c>
      <c r="CC444" s="1"/>
      <c r="CD444" s="1"/>
      <c r="CE444" s="1">
        <v>1</v>
      </c>
      <c r="CF444" s="1"/>
      <c r="CK444" s="8">
        <v>1</v>
      </c>
    </row>
    <row r="445" spans="1:89" hidden="1" outlineLevel="1">
      <c r="A445" t="s">
        <v>359</v>
      </c>
      <c r="B445" t="s">
        <v>1156</v>
      </c>
      <c r="C445" s="1">
        <f t="shared" si="179"/>
        <v>4016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>IF(P445&gt;0,RANK(P445,(N445:P445,Q445:AE445)),0)</f>
        <v>0</v>
      </c>
      <c r="G445" s="132">
        <f t="shared" si="180"/>
        <v>1947</v>
      </c>
      <c r="H445" s="137">
        <f t="shared" si="181"/>
        <v>0.48481075697211157</v>
      </c>
      <c r="I445" s="2"/>
      <c r="J445" s="2">
        <f t="shared" si="182"/>
        <v>0.25</v>
      </c>
      <c r="K445" s="2">
        <f t="shared" si="183"/>
        <v>0.73481075697211151</v>
      </c>
      <c r="L445" s="2">
        <f t="shared" si="184"/>
        <v>0</v>
      </c>
      <c r="M445" s="2">
        <f t="shared" si="185"/>
        <v>1.5189243027888488E-2</v>
      </c>
      <c r="N445" s="63">
        <v>1004</v>
      </c>
      <c r="O445" s="63">
        <v>2951</v>
      </c>
      <c r="P445" s="63"/>
      <c r="Q445" s="63">
        <v>54</v>
      </c>
      <c r="R445" s="63">
        <v>4</v>
      </c>
      <c r="S445" s="63">
        <v>2</v>
      </c>
      <c r="T445" s="63"/>
      <c r="U445" s="63"/>
      <c r="V445" s="63"/>
      <c r="W445" s="63">
        <f>IF(Copyright!B$11=1,IF(CA445&gt;0,CA445-P445-SUM(X445:AQ445)-SUM(R445:V445),SUM(CB445:CM445)),SUM(CC445:CM445))</f>
        <v>0</v>
      </c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>
        <v>1</v>
      </c>
      <c r="AO445" s="63"/>
      <c r="AP445" s="63"/>
      <c r="AQ445" s="63"/>
      <c r="AR445" s="63"/>
      <c r="AS445" s="63"/>
      <c r="AT445" s="63"/>
      <c r="AU445" s="63"/>
      <c r="AW445" s="5">
        <f>IF(Q445&gt;0,RANK(Q445,(N445:P445,Q445:AE445)),0)</f>
        <v>3</v>
      </c>
      <c r="AX445" s="5">
        <f>IF(R445&gt;0,RANK(R445,(N445:P445,Q445:AE445)),0)</f>
        <v>4</v>
      </c>
      <c r="AY445" s="5">
        <f>IF(T445&gt;0,RANK(T445,(N445:P445,Q445:AE445)),0)</f>
        <v>0</v>
      </c>
      <c r="AZ445" s="5">
        <f>IF(S445&gt;0,RANK(S445,(N445:P445,Q445:AE445)),0)</f>
        <v>5</v>
      </c>
      <c r="BA445" s="2">
        <f t="shared" si="186"/>
        <v>1.3446215139442231E-2</v>
      </c>
      <c r="BB445" s="2">
        <f t="shared" si="187"/>
        <v>9.9601593625498006E-4</v>
      </c>
      <c r="BC445" s="2">
        <f t="shared" si="188"/>
        <v>0</v>
      </c>
      <c r="BD445" s="2">
        <f t="shared" si="189"/>
        <v>4.9800796812749003E-4</v>
      </c>
      <c r="BF445" t="s">
        <v>359</v>
      </c>
      <c r="BG445" t="s">
        <v>1156</v>
      </c>
      <c r="BH445">
        <v>1</v>
      </c>
      <c r="BJ445" s="114">
        <v>13</v>
      </c>
      <c r="BK445" s="116">
        <v>49</v>
      </c>
      <c r="BL445" s="120">
        <f t="shared" si="191"/>
        <v>13049</v>
      </c>
      <c r="BN445" s="5" t="s">
        <v>3154</v>
      </c>
      <c r="BR445" s="63"/>
      <c r="BY445" s="63">
        <f t="shared" si="190"/>
        <v>-4016</v>
      </c>
      <c r="CC445" s="1"/>
      <c r="CD445" s="1"/>
      <c r="CE445" s="1"/>
      <c r="CF445" s="1"/>
    </row>
    <row r="446" spans="1:89" hidden="1" outlineLevel="1">
      <c r="A446" t="s">
        <v>261</v>
      </c>
      <c r="B446" t="s">
        <v>1156</v>
      </c>
      <c r="C446" s="1">
        <f t="shared" si="179"/>
        <v>113051</v>
      </c>
      <c r="D446" s="5">
        <f>IF(N446&gt;0, RANK(N446,(N446:P446,Q446:AE446)),0)</f>
        <v>1</v>
      </c>
      <c r="E446" s="5">
        <f>IF(O446&gt;0,RANK(O446,(N446:P446,Q446:AE446)),0)</f>
        <v>2</v>
      </c>
      <c r="F446" s="5">
        <f>IF(P446&gt;0,RANK(P446,(N446:P446,Q446:AE446)),0)</f>
        <v>6</v>
      </c>
      <c r="G446" s="132">
        <f t="shared" si="180"/>
        <v>16602</v>
      </c>
      <c r="H446" s="137">
        <f t="shared" si="181"/>
        <v>0.14685407470964432</v>
      </c>
      <c r="I446" s="2"/>
      <c r="J446" s="2">
        <f t="shared" si="182"/>
        <v>0.55099026103263127</v>
      </c>
      <c r="K446" s="2">
        <f t="shared" si="183"/>
        <v>0.40413618632298698</v>
      </c>
      <c r="L446" s="2">
        <f t="shared" si="184"/>
        <v>2.3263836675482745E-3</v>
      </c>
      <c r="M446" s="2">
        <f t="shared" si="185"/>
        <v>4.2547168976833478E-2</v>
      </c>
      <c r="N446" s="63">
        <v>62290</v>
      </c>
      <c r="O446" s="63">
        <v>45688</v>
      </c>
      <c r="P446" s="63">
        <v>263</v>
      </c>
      <c r="Q446" s="63">
        <v>3503</v>
      </c>
      <c r="R446" s="63">
        <v>349</v>
      </c>
      <c r="S446" s="63">
        <v>30</v>
      </c>
      <c r="T446" s="63"/>
      <c r="U446" s="63"/>
      <c r="V446" s="63"/>
      <c r="W446" s="63">
        <f>IF(Copyright!B$11=1,IF(CA446&gt;0,CA446-P446-SUM(X446:AQ446)-SUM(R446:V446),SUM(CB446:CM446)),SUM(CC446:CM446))</f>
        <v>911</v>
      </c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>
        <v>17</v>
      </c>
      <c r="AO446" s="63"/>
      <c r="AP446" s="63"/>
      <c r="AQ446" s="63"/>
      <c r="AR446" s="63"/>
      <c r="AS446" s="63"/>
      <c r="AT446" s="63"/>
      <c r="AU446" s="63"/>
      <c r="AW446" s="5">
        <f>IF(Q446&gt;0,RANK(Q446,(N446:P446,Q446:AE446)),0)</f>
        <v>3</v>
      </c>
      <c r="AX446" s="5">
        <f>IF(R446&gt;0,RANK(R446,(N446:P446,Q446:AE446)),0)</f>
        <v>5</v>
      </c>
      <c r="AY446" s="5">
        <f>IF(T446&gt;0,RANK(T446,(N446:P446,Q446:AE446)),0)</f>
        <v>0</v>
      </c>
      <c r="AZ446" s="5">
        <f>IF(S446&gt;0,RANK(S446,(N446:P446,Q446:AE446)),0)</f>
        <v>7</v>
      </c>
      <c r="BA446" s="2">
        <f t="shared" si="186"/>
        <v>3.0986015161298883E-2</v>
      </c>
      <c r="BB446" s="2">
        <f t="shared" si="187"/>
        <v>3.0871022812712845E-3</v>
      </c>
      <c r="BC446" s="2">
        <f t="shared" si="188"/>
        <v>0</v>
      </c>
      <c r="BD446" s="2">
        <f t="shared" si="189"/>
        <v>2.6536695827546859E-4</v>
      </c>
      <c r="BF446" t="s">
        <v>261</v>
      </c>
      <c r="BG446" t="s">
        <v>1156</v>
      </c>
      <c r="BH446">
        <v>1</v>
      </c>
      <c r="BJ446" s="114">
        <v>13</v>
      </c>
      <c r="BK446" s="116">
        <v>51</v>
      </c>
      <c r="BL446" s="120">
        <f t="shared" si="191"/>
        <v>13051</v>
      </c>
      <c r="BN446" s="5" t="s">
        <v>3154</v>
      </c>
      <c r="BR446" s="63"/>
      <c r="BY446" s="63">
        <f t="shared" si="190"/>
        <v>0</v>
      </c>
      <c r="BZ446" s="63">
        <v>113051</v>
      </c>
      <c r="CA446" s="63">
        <v>1570</v>
      </c>
      <c r="CC446" s="1"/>
      <c r="CD446" s="1"/>
      <c r="CE446" s="1"/>
      <c r="CF446" s="1"/>
      <c r="CH446" s="8">
        <v>1</v>
      </c>
      <c r="CI446" s="8">
        <v>1</v>
      </c>
    </row>
    <row r="447" spans="1:89" hidden="1" outlineLevel="1">
      <c r="A447" t="s">
        <v>657</v>
      </c>
      <c r="B447" t="s">
        <v>1156</v>
      </c>
      <c r="C447" s="1">
        <f t="shared" si="179"/>
        <v>1390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32">
        <f t="shared" si="180"/>
        <v>157</v>
      </c>
      <c r="H447" s="137">
        <f t="shared" si="181"/>
        <v>0.11294964028776978</v>
      </c>
      <c r="I447" s="2"/>
      <c r="J447" s="2">
        <f t="shared" si="182"/>
        <v>0.42733812949640287</v>
      </c>
      <c r="K447" s="2">
        <f t="shared" si="183"/>
        <v>0.5402877697841727</v>
      </c>
      <c r="L447" s="2">
        <f t="shared" si="184"/>
        <v>0</v>
      </c>
      <c r="M447" s="2">
        <f t="shared" si="185"/>
        <v>3.237410071942437E-2</v>
      </c>
      <c r="N447" s="63">
        <v>594</v>
      </c>
      <c r="O447" s="63">
        <v>751</v>
      </c>
      <c r="P447" s="63"/>
      <c r="Q447" s="63">
        <v>45</v>
      </c>
      <c r="R447" s="63"/>
      <c r="S447" s="63"/>
      <c r="T447" s="63"/>
      <c r="U447" s="63"/>
      <c r="V447" s="63"/>
      <c r="W447" s="63">
        <f>IF(Copyright!B$11=1,IF(CA447&gt;0,CA447-P447-SUM(X447:AQ447)-SUM(R447:V447),SUM(CB447:CM447)),SUM(CC447:CM447))</f>
        <v>0</v>
      </c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W447" s="5">
        <f>IF(Q447&gt;0,RANK(Q447,(N447:P447,Q447:AE447)),0)</f>
        <v>3</v>
      </c>
      <c r="AX447" s="5">
        <f>IF(R447&gt;0,RANK(R447,(N447:P447,Q447:AE447)),0)</f>
        <v>0</v>
      </c>
      <c r="AY447" s="5">
        <f>IF(T447&gt;0,RANK(T447,(N447:P447,Q447:AE447)),0)</f>
        <v>0</v>
      </c>
      <c r="AZ447" s="5">
        <f>IF(S447&gt;0,RANK(S447,(N447:P447,Q447:AE447)),0)</f>
        <v>0</v>
      </c>
      <c r="BA447" s="2">
        <f t="shared" si="186"/>
        <v>3.237410071942446E-2</v>
      </c>
      <c r="BB447" s="2">
        <f t="shared" si="187"/>
        <v>0</v>
      </c>
      <c r="BC447" s="2">
        <f t="shared" si="188"/>
        <v>0</v>
      </c>
      <c r="BD447" s="2">
        <f t="shared" si="189"/>
        <v>0</v>
      </c>
      <c r="BF447" t="s">
        <v>657</v>
      </c>
      <c r="BG447" t="s">
        <v>1156</v>
      </c>
      <c r="BH447">
        <v>2</v>
      </c>
      <c r="BJ447" s="114">
        <v>13</v>
      </c>
      <c r="BK447" s="116">
        <v>53</v>
      </c>
      <c r="BL447" s="120">
        <f t="shared" si="191"/>
        <v>13053</v>
      </c>
      <c r="BN447" s="5" t="s">
        <v>3154</v>
      </c>
      <c r="BR447" s="63"/>
      <c r="BY447" s="63">
        <f t="shared" si="190"/>
        <v>-1390</v>
      </c>
      <c r="CC447" s="1"/>
      <c r="CD447" s="1"/>
      <c r="CE447" s="1"/>
      <c r="CF447" s="1"/>
    </row>
    <row r="448" spans="1:89" hidden="1" outlineLevel="1">
      <c r="A448" t="s">
        <v>1409</v>
      </c>
      <c r="B448" t="s">
        <v>1156</v>
      </c>
      <c r="C448" s="1">
        <f t="shared" si="179"/>
        <v>8252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32">
        <f t="shared" si="180"/>
        <v>4849</v>
      </c>
      <c r="H448" s="137">
        <f t="shared" si="181"/>
        <v>0.58761512360639845</v>
      </c>
      <c r="I448" s="2"/>
      <c r="J448" s="2">
        <f t="shared" si="182"/>
        <v>0.19546776539020844</v>
      </c>
      <c r="K448" s="2">
        <f t="shared" si="183"/>
        <v>0.78308288899660683</v>
      </c>
      <c r="L448" s="2">
        <f t="shared" si="184"/>
        <v>0</v>
      </c>
      <c r="M448" s="2">
        <f t="shared" si="185"/>
        <v>2.1449345613184789E-2</v>
      </c>
      <c r="N448" s="63">
        <v>1613</v>
      </c>
      <c r="O448" s="63">
        <v>6462</v>
      </c>
      <c r="P448" s="63"/>
      <c r="Q448" s="63">
        <v>177</v>
      </c>
      <c r="R448" s="63"/>
      <c r="S448" s="63"/>
      <c r="T448" s="63"/>
      <c r="U448" s="63"/>
      <c r="V448" s="63"/>
      <c r="W448" s="63">
        <f>IF(Copyright!B$11=1,IF(CA448&gt;0,CA448-P448-SUM(X448:AQ448)-SUM(R448:V448),SUM(CB448:CM448)),SUM(CC448:CM448))</f>
        <v>0</v>
      </c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W448" s="5">
        <f>IF(Q448&gt;0,RANK(Q448,(N448:P448,Q448:AE448)),0)</f>
        <v>3</v>
      </c>
      <c r="AX448" s="5">
        <f>IF(R448&gt;0,RANK(R448,(N448:P448,Q448:AE448)),0)</f>
        <v>0</v>
      </c>
      <c r="AY448" s="5">
        <f>IF(T448&gt;0,RANK(T448,(N448:P448,Q448:AE448)),0)</f>
        <v>0</v>
      </c>
      <c r="AZ448" s="5">
        <f>IF(S448&gt;0,RANK(S448,(N448:P448,Q448:AE448)),0)</f>
        <v>0</v>
      </c>
      <c r="BA448" s="2">
        <f t="shared" si="186"/>
        <v>2.1449345613184682E-2</v>
      </c>
      <c r="BB448" s="2">
        <f t="shared" si="187"/>
        <v>0</v>
      </c>
      <c r="BC448" s="2">
        <f t="shared" si="188"/>
        <v>0</v>
      </c>
      <c r="BD448" s="2">
        <f t="shared" si="189"/>
        <v>0</v>
      </c>
      <c r="BF448" t="s">
        <v>1409</v>
      </c>
      <c r="BG448" t="s">
        <v>1156</v>
      </c>
      <c r="BH448">
        <v>14</v>
      </c>
      <c r="BJ448" s="114">
        <v>13</v>
      </c>
      <c r="BK448" s="116">
        <v>55</v>
      </c>
      <c r="BL448" s="120">
        <f t="shared" si="191"/>
        <v>13055</v>
      </c>
      <c r="BN448" s="5" t="s">
        <v>3154</v>
      </c>
      <c r="BR448" s="63"/>
      <c r="BY448" s="63">
        <f t="shared" si="190"/>
        <v>-8252</v>
      </c>
      <c r="CC448" s="1"/>
      <c r="CD448" s="1"/>
      <c r="CE448" s="1"/>
      <c r="CF448" s="1"/>
    </row>
    <row r="449" spans="1:91" hidden="1" outlineLevel="1">
      <c r="A449" t="s">
        <v>1652</v>
      </c>
      <c r="B449" t="s">
        <v>1156</v>
      </c>
      <c r="C449" s="1">
        <f t="shared" si="179"/>
        <v>112784</v>
      </c>
      <c r="D449" s="5">
        <f>IF(N449&gt;0, RANK(N449,(N449:P449,Q449:AE449)),0)</f>
        <v>2</v>
      </c>
      <c r="E449" s="5">
        <f>IF(O449&gt;0,RANK(O449,(N449:P449,Q449:AE449)),0)</f>
        <v>1</v>
      </c>
      <c r="F449" s="5">
        <f>IF(P449&gt;0,RANK(P449,(N449:P449,Q449:AE449)),0)</f>
        <v>4</v>
      </c>
      <c r="G449" s="132">
        <f t="shared" si="180"/>
        <v>55418</v>
      </c>
      <c r="H449" s="137">
        <f t="shared" si="181"/>
        <v>0.49136402326571144</v>
      </c>
      <c r="I449" s="2"/>
      <c r="J449" s="2">
        <f t="shared" si="182"/>
        <v>0.22371081004397786</v>
      </c>
      <c r="K449" s="2">
        <f t="shared" si="183"/>
        <v>0.71507483330968935</v>
      </c>
      <c r="L449" s="2">
        <f t="shared" si="184"/>
        <v>6.6410129096325723E-3</v>
      </c>
      <c r="M449" s="2">
        <f t="shared" si="185"/>
        <v>5.4573343736700218E-2</v>
      </c>
      <c r="N449" s="63">
        <v>25231</v>
      </c>
      <c r="O449" s="63">
        <v>80649</v>
      </c>
      <c r="P449" s="63">
        <v>749</v>
      </c>
      <c r="Q449" s="63">
        <v>5015</v>
      </c>
      <c r="R449" s="63">
        <v>283</v>
      </c>
      <c r="S449" s="63">
        <v>84</v>
      </c>
      <c r="T449" s="63"/>
      <c r="U449" s="63"/>
      <c r="V449" s="63"/>
      <c r="W449" s="63">
        <f>IF(Copyright!B$11=1,IF(CA449&gt;0,CA449-P449-SUM(X449:AQ449)-SUM(R449:V449),SUM(CB449:CM449)),SUM(CC449:CM449))</f>
        <v>745</v>
      </c>
      <c r="X449" s="63"/>
      <c r="Y449" s="63">
        <v>4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>
        <v>13</v>
      </c>
      <c r="AO449" s="63"/>
      <c r="AP449" s="63"/>
      <c r="AQ449" s="63">
        <v>11</v>
      </c>
      <c r="AR449" s="63"/>
      <c r="AS449" s="63"/>
      <c r="AT449" s="63"/>
      <c r="AU449" s="63"/>
      <c r="AW449" s="5">
        <f>IF(Q449&gt;0,RANK(Q449,(N449:P449,Q449:AE449)),0)</f>
        <v>3</v>
      </c>
      <c r="AX449" s="5">
        <f>IF(R449&gt;0,RANK(R449,(N449:P449,Q449:AE449)),0)</f>
        <v>6</v>
      </c>
      <c r="AY449" s="5">
        <f>IF(T449&gt;0,RANK(T449,(N449:P449,Q449:AE449)),0)</f>
        <v>0</v>
      </c>
      <c r="AZ449" s="5">
        <f>IF(S449&gt;0,RANK(S449,(N449:P449,Q449:AE449)),0)</f>
        <v>7</v>
      </c>
      <c r="BA449" s="2">
        <f t="shared" si="186"/>
        <v>4.4465527025109947E-2</v>
      </c>
      <c r="BB449" s="2">
        <f t="shared" si="187"/>
        <v>2.5092211661228545E-3</v>
      </c>
      <c r="BC449" s="2">
        <f t="shared" si="188"/>
        <v>0</v>
      </c>
      <c r="BD449" s="2">
        <f t="shared" si="189"/>
        <v>7.4478649453823241E-4</v>
      </c>
      <c r="BF449" t="s">
        <v>1652</v>
      </c>
      <c r="BG449" t="s">
        <v>1156</v>
      </c>
      <c r="BH449">
        <v>11</v>
      </c>
      <c r="BJ449" s="114">
        <v>13</v>
      </c>
      <c r="BK449" s="116">
        <v>57</v>
      </c>
      <c r="BL449" s="120">
        <f t="shared" si="191"/>
        <v>13057</v>
      </c>
      <c r="BN449" s="5" t="s">
        <v>3154</v>
      </c>
      <c r="BR449" s="63"/>
      <c r="BY449" s="63">
        <f t="shared" si="190"/>
        <v>0</v>
      </c>
      <c r="BZ449" s="63">
        <v>112784</v>
      </c>
      <c r="CA449" s="63">
        <v>1889</v>
      </c>
      <c r="CC449" s="1"/>
      <c r="CD449" s="1">
        <v>1</v>
      </c>
      <c r="CE449" s="1"/>
      <c r="CF449" s="1"/>
      <c r="CM449" s="8">
        <v>3</v>
      </c>
    </row>
    <row r="450" spans="1:91" hidden="1" outlineLevel="1">
      <c r="A450" t="s">
        <v>3092</v>
      </c>
      <c r="B450" t="s">
        <v>1156</v>
      </c>
      <c r="C450" s="1">
        <f t="shared" si="179"/>
        <v>45476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5</v>
      </c>
      <c r="G450" s="132">
        <f t="shared" si="180"/>
        <v>16886</v>
      </c>
      <c r="H450" s="137">
        <f t="shared" si="181"/>
        <v>0.37131673849942826</v>
      </c>
      <c r="I450" s="2"/>
      <c r="J450" s="2">
        <f t="shared" si="182"/>
        <v>0.65095874747119364</v>
      </c>
      <c r="K450" s="2">
        <f t="shared" si="183"/>
        <v>0.27964200897176533</v>
      </c>
      <c r="L450" s="2">
        <f t="shared" si="184"/>
        <v>6.7947928577711319E-3</v>
      </c>
      <c r="M450" s="2">
        <f t="shared" si="185"/>
        <v>6.2604450699269898E-2</v>
      </c>
      <c r="N450" s="63">
        <v>29603</v>
      </c>
      <c r="O450" s="63">
        <v>12717</v>
      </c>
      <c r="P450" s="63">
        <v>309</v>
      </c>
      <c r="Q450" s="63">
        <v>2019</v>
      </c>
      <c r="R450" s="63">
        <v>304</v>
      </c>
      <c r="S450" s="63">
        <v>12</v>
      </c>
      <c r="T450" s="63"/>
      <c r="U450" s="63"/>
      <c r="V450" s="63"/>
      <c r="W450" s="63">
        <f>IF(Copyright!B$11=1,IF(CA450&gt;0,CA450-P450-SUM(X450:AQ450)-SUM(R450:V450),SUM(CB450:CM450)),SUM(CC450:CM450))</f>
        <v>500</v>
      </c>
      <c r="X450" s="63"/>
      <c r="Y450" s="63"/>
      <c r="Z450" s="63"/>
      <c r="AA450" s="63"/>
      <c r="AB450" s="63"/>
      <c r="AC450" s="63"/>
      <c r="AD450" s="63"/>
      <c r="AE450" s="63">
        <v>2</v>
      </c>
      <c r="AF450" s="63"/>
      <c r="AG450" s="63"/>
      <c r="AH450" s="63"/>
      <c r="AI450" s="63"/>
      <c r="AJ450" s="63"/>
      <c r="AK450" s="63"/>
      <c r="AL450" s="63"/>
      <c r="AM450" s="63"/>
      <c r="AN450" s="63">
        <v>9</v>
      </c>
      <c r="AO450" s="63"/>
      <c r="AP450" s="63"/>
      <c r="AQ450" s="63">
        <v>1</v>
      </c>
      <c r="AR450" s="63"/>
      <c r="AS450" s="63"/>
      <c r="AT450" s="63"/>
      <c r="AU450" s="63"/>
      <c r="AW450" s="5">
        <f>IF(Q450&gt;0,RANK(Q450,(N450:P450,Q450:AE450)),0)</f>
        <v>3</v>
      </c>
      <c r="AX450" s="5">
        <f>IF(R450&gt;0,RANK(R450,(N450:P450,Q450:AE450)),0)</f>
        <v>6</v>
      </c>
      <c r="AY450" s="5">
        <f>IF(T450&gt;0,RANK(T450,(N450:P450,Q450:AE450)),0)</f>
        <v>0</v>
      </c>
      <c r="AZ450" s="5">
        <f>IF(S450&gt;0,RANK(S450,(N450:P450,Q450:AE450)),0)</f>
        <v>7</v>
      </c>
      <c r="BA450" s="2">
        <f t="shared" si="186"/>
        <v>4.4397044594951182E-2</v>
      </c>
      <c r="BB450" s="2">
        <f t="shared" si="187"/>
        <v>6.6848447532764539E-3</v>
      </c>
      <c r="BC450" s="2">
        <f t="shared" si="188"/>
        <v>0</v>
      </c>
      <c r="BD450" s="2">
        <f t="shared" si="189"/>
        <v>2.638754507872284E-4</v>
      </c>
      <c r="BF450" t="s">
        <v>3092</v>
      </c>
      <c r="BG450" t="s">
        <v>1156</v>
      </c>
      <c r="BJ450" s="114">
        <v>13</v>
      </c>
      <c r="BK450" s="116">
        <v>59</v>
      </c>
      <c r="BL450" s="120">
        <f t="shared" si="191"/>
        <v>13059</v>
      </c>
      <c r="BN450" s="5" t="s">
        <v>3154</v>
      </c>
      <c r="BR450" s="63"/>
      <c r="BY450" s="63">
        <f t="shared" si="190"/>
        <v>0</v>
      </c>
      <c r="BZ450" s="63">
        <v>45476</v>
      </c>
      <c r="CA450" s="63">
        <v>1137</v>
      </c>
      <c r="CC450" s="1"/>
      <c r="CD450" s="1"/>
      <c r="CE450" s="1"/>
      <c r="CF450" s="1"/>
    </row>
    <row r="451" spans="1:91" hidden="1" outlineLevel="1">
      <c r="A451" t="s">
        <v>3093</v>
      </c>
      <c r="B451" t="s">
        <v>1156</v>
      </c>
      <c r="C451" s="1">
        <f t="shared" si="179"/>
        <v>1273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4</v>
      </c>
      <c r="G451" s="132">
        <f t="shared" si="180"/>
        <v>131</v>
      </c>
      <c r="H451" s="137">
        <f t="shared" si="181"/>
        <v>0.10290652003142184</v>
      </c>
      <c r="I451" s="2"/>
      <c r="J451" s="2">
        <f t="shared" si="182"/>
        <v>0.54752553024351924</v>
      </c>
      <c r="K451" s="2">
        <f t="shared" si="183"/>
        <v>0.44461901021209743</v>
      </c>
      <c r="L451" s="2">
        <f t="shared" si="184"/>
        <v>7.855459544383347E-4</v>
      </c>
      <c r="M451" s="2">
        <f t="shared" si="185"/>
        <v>7.069913589944991E-3</v>
      </c>
      <c r="N451" s="63">
        <v>697</v>
      </c>
      <c r="O451" s="63">
        <v>566</v>
      </c>
      <c r="P451" s="63">
        <v>1</v>
      </c>
      <c r="Q451" s="63">
        <v>8</v>
      </c>
      <c r="R451" s="63">
        <v>1</v>
      </c>
      <c r="S451" s="63"/>
      <c r="T451" s="63"/>
      <c r="U451" s="63"/>
      <c r="V451" s="63"/>
      <c r="W451" s="63">
        <f>IF(Copyright!B$11=1,IF(CA451&gt;0,CA451-P451-SUM(X451:AQ451)-SUM(R451:V451),SUM(CB451:CM451)),SUM(CC451:CM451))</f>
        <v>0</v>
      </c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W451" s="5">
        <f>IF(Q451&gt;0,RANK(Q451,(N451:P451,Q451:AE451)),0)</f>
        <v>3</v>
      </c>
      <c r="AX451" s="5">
        <f>IF(R451&gt;0,RANK(R451,(N451:P451,Q451:AE451)),0)</f>
        <v>4</v>
      </c>
      <c r="AY451" s="5">
        <f>IF(T451&gt;0,RANK(T451,(N451:P451,Q451:AE451)),0)</f>
        <v>0</v>
      </c>
      <c r="AZ451" s="5">
        <f>IF(S451&gt;0,RANK(S451,(N451:P451,Q451:AE451)),0)</f>
        <v>0</v>
      </c>
      <c r="BA451" s="2">
        <f t="shared" si="186"/>
        <v>6.2843676355066776E-3</v>
      </c>
      <c r="BB451" s="2">
        <f t="shared" si="187"/>
        <v>7.855459544383347E-4</v>
      </c>
      <c r="BC451" s="2">
        <f t="shared" si="188"/>
        <v>0</v>
      </c>
      <c r="BD451" s="2">
        <f t="shared" si="189"/>
        <v>0</v>
      </c>
      <c r="BF451" t="s">
        <v>3093</v>
      </c>
      <c r="BG451" t="s">
        <v>1156</v>
      </c>
      <c r="BH451">
        <v>2</v>
      </c>
      <c r="BJ451" s="114">
        <v>13</v>
      </c>
      <c r="BK451" s="116">
        <v>61</v>
      </c>
      <c r="BL451" s="120">
        <f t="shared" si="191"/>
        <v>13061</v>
      </c>
      <c r="BN451" s="5" t="s">
        <v>3154</v>
      </c>
      <c r="BR451" s="63"/>
      <c r="BY451" s="63">
        <f t="shared" si="190"/>
        <v>-1273</v>
      </c>
      <c r="CC451" s="1"/>
      <c r="CD451" s="1"/>
      <c r="CE451" s="1"/>
      <c r="CF451" s="1"/>
    </row>
    <row r="452" spans="1:91" hidden="1" outlineLevel="1">
      <c r="A452" t="s">
        <v>1495</v>
      </c>
      <c r="B452" t="s">
        <v>1156</v>
      </c>
      <c r="C452" s="1">
        <f t="shared" si="179"/>
        <v>93580</v>
      </c>
      <c r="D452" s="5">
        <f>IF(N452&gt;0, RANK(N452,(N452:P452,Q452:AE452)),0)</f>
        <v>1</v>
      </c>
      <c r="E452" s="5">
        <f>IF(O452&gt;0,RANK(O452,(N452:P452,Q452:AE452)),0)</f>
        <v>2</v>
      </c>
      <c r="F452" s="5">
        <f>IF(P452&gt;0,RANK(P452,(N452:P452,Q452:AE452)),0)</f>
        <v>6</v>
      </c>
      <c r="G452" s="132">
        <f t="shared" si="180"/>
        <v>65575</v>
      </c>
      <c r="H452" s="137">
        <f t="shared" si="181"/>
        <v>0.70073733703782859</v>
      </c>
      <c r="I452" s="2"/>
      <c r="J452" s="2">
        <f t="shared" si="182"/>
        <v>0.83586236375293865</v>
      </c>
      <c r="K452" s="2">
        <f t="shared" si="183"/>
        <v>0.13512502671511006</v>
      </c>
      <c r="L452" s="2">
        <f t="shared" si="184"/>
        <v>6.1979055353708059E-4</v>
      </c>
      <c r="M452" s="2">
        <f t="shared" si="185"/>
        <v>2.8392818978414204E-2</v>
      </c>
      <c r="N452" s="63">
        <v>78220</v>
      </c>
      <c r="O452" s="63">
        <v>12645</v>
      </c>
      <c r="P452" s="63">
        <v>58</v>
      </c>
      <c r="Q452" s="63">
        <v>1647</v>
      </c>
      <c r="R452" s="63">
        <v>260</v>
      </c>
      <c r="S452" s="63">
        <v>11</v>
      </c>
      <c r="T452" s="63"/>
      <c r="U452" s="63"/>
      <c r="V452" s="63"/>
      <c r="W452" s="63">
        <f>IF(Copyright!B$11=1,IF(CA452&gt;0,CA452-P452-SUM(X452:AQ452)-SUM(R452:V452),SUM(CB452:CM452)),SUM(CC452:CM452))</f>
        <v>734</v>
      </c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>
        <v>3</v>
      </c>
      <c r="AO452" s="63"/>
      <c r="AP452" s="63"/>
      <c r="AQ452" s="63">
        <v>2</v>
      </c>
      <c r="AR452" s="63"/>
      <c r="AS452" s="63"/>
      <c r="AT452" s="63"/>
      <c r="AU452" s="63"/>
      <c r="AW452" s="5">
        <f>IF(Q452&gt;0,RANK(Q452,(N452:P452,Q452:AE452)),0)</f>
        <v>3</v>
      </c>
      <c r="AX452" s="5">
        <f>IF(R452&gt;0,RANK(R452,(N452:P452,Q452:AE452)),0)</f>
        <v>5</v>
      </c>
      <c r="AY452" s="5">
        <f>IF(T452&gt;0,RANK(T452,(N452:P452,Q452:AE452)),0)</f>
        <v>0</v>
      </c>
      <c r="AZ452" s="5">
        <f>IF(S452&gt;0,RANK(S452,(N452:P452,Q452:AE452)),0)</f>
        <v>7</v>
      </c>
      <c r="BA452" s="2">
        <f t="shared" si="186"/>
        <v>1.7599914511647788E-2</v>
      </c>
      <c r="BB452" s="2">
        <f t="shared" si="187"/>
        <v>2.7783714468903611E-3</v>
      </c>
      <c r="BC452" s="2">
        <f t="shared" si="188"/>
        <v>0</v>
      </c>
      <c r="BD452" s="2">
        <f t="shared" si="189"/>
        <v>1.1754648429151529E-4</v>
      </c>
      <c r="BF452" t="s">
        <v>1495</v>
      </c>
      <c r="BG452" t="s">
        <v>1156</v>
      </c>
      <c r="BJ452" s="114">
        <v>13</v>
      </c>
      <c r="BK452" s="116">
        <v>63</v>
      </c>
      <c r="BL452" s="120">
        <f t="shared" si="191"/>
        <v>13063</v>
      </c>
      <c r="BN452" s="5" t="s">
        <v>3154</v>
      </c>
      <c r="BR452" s="63"/>
      <c r="BY452" s="63">
        <f t="shared" si="190"/>
        <v>0</v>
      </c>
      <c r="BZ452" s="63">
        <v>93580</v>
      </c>
      <c r="CA452" s="63">
        <v>1068</v>
      </c>
      <c r="CC452" s="1"/>
      <c r="CD452" s="1"/>
      <c r="CE452" s="1">
        <v>1</v>
      </c>
      <c r="CF452" s="1">
        <v>1</v>
      </c>
      <c r="CH452" s="8">
        <v>2</v>
      </c>
      <c r="CJ452" s="8">
        <v>2</v>
      </c>
      <c r="CK452" s="8">
        <v>6</v>
      </c>
      <c r="CM452" s="8">
        <v>1</v>
      </c>
    </row>
    <row r="453" spans="1:91" hidden="1" outlineLevel="1">
      <c r="A453" t="s">
        <v>778</v>
      </c>
      <c r="B453" t="s">
        <v>1156</v>
      </c>
      <c r="C453" s="1">
        <f t="shared" si="179"/>
        <v>2455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>IF(P453&gt;0,RANK(P453,(N453:P453,Q453:AE453)),0)</f>
        <v>4</v>
      </c>
      <c r="G453" s="132">
        <f t="shared" si="180"/>
        <v>1041</v>
      </c>
      <c r="H453" s="137">
        <f t="shared" si="181"/>
        <v>0.42403258655804482</v>
      </c>
      <c r="I453" s="2"/>
      <c r="J453" s="2">
        <f t="shared" si="182"/>
        <v>0.27942973523421588</v>
      </c>
      <c r="K453" s="2">
        <f t="shared" si="183"/>
        <v>0.70346232179226065</v>
      </c>
      <c r="L453" s="2">
        <f t="shared" si="184"/>
        <v>1.6293279022403259E-3</v>
      </c>
      <c r="M453" s="2">
        <f t="shared" si="185"/>
        <v>1.5478615071283145E-2</v>
      </c>
      <c r="N453" s="63">
        <v>686</v>
      </c>
      <c r="O453" s="63">
        <v>1727</v>
      </c>
      <c r="P453" s="63">
        <v>4</v>
      </c>
      <c r="Q453" s="63">
        <v>34</v>
      </c>
      <c r="R453" s="63">
        <v>1</v>
      </c>
      <c r="S453" s="63">
        <v>3</v>
      </c>
      <c r="T453" s="63"/>
      <c r="U453" s="63"/>
      <c r="V453" s="63"/>
      <c r="W453" s="63">
        <f>IF(Copyright!B$11=1,IF(CA453&gt;0,CA453-P453-SUM(X453:AQ453)-SUM(R453:V453),SUM(CB453:CM453)),SUM(CC453:CM453))</f>
        <v>0</v>
      </c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W453" s="5">
        <f>IF(Q453&gt;0,RANK(Q453,(N453:P453,Q453:AE453)),0)</f>
        <v>3</v>
      </c>
      <c r="AX453" s="5">
        <f>IF(R453&gt;0,RANK(R453,(N453:P453,Q453:AE453)),0)</f>
        <v>6</v>
      </c>
      <c r="AY453" s="5">
        <f>IF(T453&gt;0,RANK(T453,(N453:P453,Q453:AE453)),0)</f>
        <v>0</v>
      </c>
      <c r="AZ453" s="5">
        <f>IF(S453&gt;0,RANK(S453,(N453:P453,Q453:AE453)),0)</f>
        <v>5</v>
      </c>
      <c r="BA453" s="2">
        <f t="shared" si="186"/>
        <v>1.3849287169042769E-2</v>
      </c>
      <c r="BB453" s="2">
        <f t="shared" si="187"/>
        <v>4.0733197556008148E-4</v>
      </c>
      <c r="BC453" s="2">
        <f t="shared" si="188"/>
        <v>0</v>
      </c>
      <c r="BD453" s="2">
        <f t="shared" si="189"/>
        <v>1.2219959266802445E-3</v>
      </c>
      <c r="BF453" t="s">
        <v>778</v>
      </c>
      <c r="BG453" t="s">
        <v>1156</v>
      </c>
      <c r="BH453">
        <v>1</v>
      </c>
      <c r="BJ453" s="114">
        <v>13</v>
      </c>
      <c r="BK453" s="116">
        <v>65</v>
      </c>
      <c r="BL453" s="120">
        <f t="shared" si="191"/>
        <v>13065</v>
      </c>
      <c r="BN453" s="5" t="s">
        <v>3154</v>
      </c>
      <c r="BR453" s="63"/>
      <c r="BY453" s="63">
        <f t="shared" si="190"/>
        <v>-2455</v>
      </c>
      <c r="CC453" s="1"/>
      <c r="CD453" s="1"/>
      <c r="CE453" s="1"/>
      <c r="CF453" s="1"/>
    </row>
    <row r="454" spans="1:91" hidden="1" outlineLevel="1">
      <c r="A454" t="s">
        <v>1482</v>
      </c>
      <c r="B454" t="s">
        <v>1156</v>
      </c>
      <c r="C454" s="1">
        <f t="shared" ref="C454:C485" si="192">SUM(N454:AU454)</f>
        <v>334058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>IF(P454&gt;0,RANK(P454,(N454:P454,Q454:AE454)),0)</f>
        <v>5</v>
      </c>
      <c r="G454" s="132">
        <f t="shared" ref="G454:G485" si="193">IF(C454&gt;0,MAX(N454:P454)-LARGE(N454:P454,2),0)</f>
        <v>7209</v>
      </c>
      <c r="H454" s="137">
        <f t="shared" ref="H454:H485" si="194">IF(C454&gt;0,G454/C454,0)</f>
        <v>2.1580084895437321E-2</v>
      </c>
      <c r="I454" s="2"/>
      <c r="J454" s="2">
        <f t="shared" ref="J454:J485" si="195">IF($C454=0,"-",N454/$C454)</f>
        <v>0.4793209562411318</v>
      </c>
      <c r="K454" s="2">
        <f t="shared" ref="K454:K485" si="196">IF($C454=0,"-",O454/$C454)</f>
        <v>0.45774087134569447</v>
      </c>
      <c r="L454" s="2">
        <f t="shared" ref="L454:L485" si="197">IF($C454=0,"-",P454/$C454)</f>
        <v>6.3102814481317618E-3</v>
      </c>
      <c r="M454" s="2">
        <f t="shared" ref="M454:M485" si="198">IF(C454=0,"-",(1-J454-K454-L454))</f>
        <v>5.662789096504197E-2</v>
      </c>
      <c r="N454" s="63">
        <v>160121</v>
      </c>
      <c r="O454" s="63">
        <v>152912</v>
      </c>
      <c r="P454" s="63">
        <v>2108</v>
      </c>
      <c r="Q454" s="63">
        <v>14466</v>
      </c>
      <c r="R454" s="63">
        <v>1047</v>
      </c>
      <c r="S454" s="63">
        <v>115</v>
      </c>
      <c r="T454" s="63"/>
      <c r="U454" s="63"/>
      <c r="V454" s="63"/>
      <c r="W454" s="63">
        <f>IF(Copyright!B$11=1,IF(CA454&gt;0,CA454-P454-SUM(X454:AQ454)-SUM(R454:V454),SUM(CB454:CM454)),SUM(CC454:CM454))</f>
        <v>3256</v>
      </c>
      <c r="X454" s="63"/>
      <c r="Y454" s="63">
        <v>8</v>
      </c>
      <c r="Z454" s="63"/>
      <c r="AA454" s="63"/>
      <c r="AB454" s="63"/>
      <c r="AC454" s="63"/>
      <c r="AD454" s="63"/>
      <c r="AE454" s="63">
        <v>7</v>
      </c>
      <c r="AF454" s="63"/>
      <c r="AG454" s="63"/>
      <c r="AH454" s="63"/>
      <c r="AI454" s="63"/>
      <c r="AJ454" s="63"/>
      <c r="AK454" s="63"/>
      <c r="AL454" s="63"/>
      <c r="AM454" s="63"/>
      <c r="AN454" s="63">
        <v>9</v>
      </c>
      <c r="AO454" s="63"/>
      <c r="AP454" s="63"/>
      <c r="AQ454" s="63">
        <v>9</v>
      </c>
      <c r="AR454" s="63"/>
      <c r="AS454" s="63"/>
      <c r="AT454" s="63"/>
      <c r="AU454" s="63"/>
      <c r="AW454" s="5">
        <f>IF(Q454&gt;0,RANK(Q454,(N454:P454,Q454:AE454)),0)</f>
        <v>3</v>
      </c>
      <c r="AX454" s="5">
        <f>IF(R454&gt;0,RANK(R454,(N454:P454,Q454:AE454)),0)</f>
        <v>6</v>
      </c>
      <c r="AY454" s="5">
        <f>IF(T454&gt;0,RANK(T454,(N454:P454,Q454:AE454)),0)</f>
        <v>0</v>
      </c>
      <c r="AZ454" s="5">
        <f>IF(S454&gt;0,RANK(S454,(N454:P454,Q454:AE454)),0)</f>
        <v>7</v>
      </c>
      <c r="BA454" s="2">
        <f t="shared" ref="BA454:BA485" si="199">IF($C454=0,"-",Q454/$C454)</f>
        <v>4.3303857413982003E-2</v>
      </c>
      <c r="BB454" s="2">
        <f t="shared" ref="BB454:BB485" si="200">IF($C454=0,"-",R454/$C454)</f>
        <v>3.13418627902939E-3</v>
      </c>
      <c r="BC454" s="2">
        <f t="shared" ref="BC454:BC485" si="201">IF($C454=0,"-",T454/$C454)</f>
        <v>0</v>
      </c>
      <c r="BD454" s="2">
        <f t="shared" ref="BD454:BD485" si="202">IF($C454=0,"-",S454/$C454)</f>
        <v>3.44251597028061E-4</v>
      </c>
      <c r="BF454" t="s">
        <v>1482</v>
      </c>
      <c r="BG454" t="s">
        <v>1156</v>
      </c>
      <c r="BJ454" s="114">
        <v>13</v>
      </c>
      <c r="BK454" s="116">
        <v>67</v>
      </c>
      <c r="BL454" s="120">
        <f t="shared" si="191"/>
        <v>13067</v>
      </c>
      <c r="BN454" s="5" t="s">
        <v>3154</v>
      </c>
      <c r="BR454" s="63"/>
      <c r="BY454" s="63">
        <f t="shared" si="190"/>
        <v>0</v>
      </c>
      <c r="BZ454" s="63">
        <f>152912+160121+14466+6559</f>
        <v>334058</v>
      </c>
      <c r="CA454" s="63">
        <v>6559</v>
      </c>
      <c r="CC454" s="1"/>
      <c r="CD454" s="1">
        <v>1</v>
      </c>
      <c r="CE454" s="1">
        <v>4</v>
      </c>
      <c r="CF454" s="1">
        <v>1</v>
      </c>
      <c r="CG454" s="8">
        <v>5</v>
      </c>
      <c r="CH454" s="8">
        <v>2</v>
      </c>
      <c r="CI454" s="8">
        <v>1</v>
      </c>
      <c r="CJ454" s="8">
        <v>1</v>
      </c>
      <c r="CK454" s="8">
        <v>1</v>
      </c>
      <c r="CM454" s="8">
        <v>1</v>
      </c>
    </row>
    <row r="455" spans="1:91" hidden="1" outlineLevel="1">
      <c r="A455" t="s">
        <v>1095</v>
      </c>
      <c r="B455" t="s">
        <v>1156</v>
      </c>
      <c r="C455" s="1">
        <f t="shared" si="192"/>
        <v>13915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32">
        <f t="shared" si="193"/>
        <v>5494</v>
      </c>
      <c r="H455" s="137">
        <f t="shared" si="194"/>
        <v>0.39482572763205176</v>
      </c>
      <c r="I455" s="2"/>
      <c r="J455" s="2">
        <f t="shared" si="195"/>
        <v>0.29421487603305785</v>
      </c>
      <c r="K455" s="2">
        <f t="shared" si="196"/>
        <v>0.68904060366510955</v>
      </c>
      <c r="L455" s="2">
        <f t="shared" si="197"/>
        <v>0</v>
      </c>
      <c r="M455" s="2">
        <f t="shared" si="198"/>
        <v>1.6744520301832599E-2</v>
      </c>
      <c r="N455" s="63">
        <v>4094</v>
      </c>
      <c r="O455" s="63">
        <v>9588</v>
      </c>
      <c r="P455" s="63"/>
      <c r="Q455" s="63">
        <v>233</v>
      </c>
      <c r="R455" s="63"/>
      <c r="S455" s="63"/>
      <c r="T455" s="63"/>
      <c r="U455" s="63"/>
      <c r="V455" s="63"/>
      <c r="W455" s="63">
        <f>IF(Copyright!B$11=1,IF(CA455&gt;0,CA455-P455-SUM(X455:AQ455)-SUM(R455:V455),SUM(CB455:CM455)),SUM(CC455:CM455))</f>
        <v>0</v>
      </c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W455" s="5">
        <f>IF(Q455&gt;0,RANK(Q455,(N455:P455,Q455:AE455)),0)</f>
        <v>3</v>
      </c>
      <c r="AX455" s="5">
        <f>IF(R455&gt;0,RANK(R455,(N455:P455,Q455:AE455)),0)</f>
        <v>0</v>
      </c>
      <c r="AY455" s="5">
        <f>IF(T455&gt;0,RANK(T455,(N455:P455,Q455:AE455)),0)</f>
        <v>0</v>
      </c>
      <c r="AZ455" s="5">
        <f>IF(S455&gt;0,RANK(S455,(N455:P455,Q455:AE455)),0)</f>
        <v>0</v>
      </c>
      <c r="BA455" s="2">
        <f t="shared" si="199"/>
        <v>1.6744520301832554E-2</v>
      </c>
      <c r="BB455" s="2">
        <f t="shared" si="200"/>
        <v>0</v>
      </c>
      <c r="BC455" s="2">
        <f t="shared" si="201"/>
        <v>0</v>
      </c>
      <c r="BD455" s="2">
        <f t="shared" si="202"/>
        <v>0</v>
      </c>
      <c r="BF455" t="s">
        <v>1095</v>
      </c>
      <c r="BG455" t="s">
        <v>1156</v>
      </c>
      <c r="BH455">
        <v>12</v>
      </c>
      <c r="BJ455" s="114">
        <v>13</v>
      </c>
      <c r="BK455" s="116">
        <v>69</v>
      </c>
      <c r="BL455" s="120">
        <f t="shared" si="191"/>
        <v>13069</v>
      </c>
      <c r="BN455" s="5" t="s">
        <v>3154</v>
      </c>
      <c r="BR455" s="63"/>
      <c r="BY455" s="63">
        <f t="shared" si="190"/>
        <v>-13915</v>
      </c>
      <c r="CC455" s="1"/>
      <c r="CD455" s="1"/>
      <c r="CE455" s="1"/>
      <c r="CF455" s="1"/>
    </row>
    <row r="456" spans="1:91" hidden="1" outlineLevel="1">
      <c r="A456" t="s">
        <v>768</v>
      </c>
      <c r="B456" t="s">
        <v>1156</v>
      </c>
      <c r="C456" s="1">
        <f t="shared" si="192"/>
        <v>13624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4</v>
      </c>
      <c r="G456" s="132">
        <f t="shared" si="193"/>
        <v>6435</v>
      </c>
      <c r="H456" s="137">
        <f t="shared" si="194"/>
        <v>0.47232824427480918</v>
      </c>
      <c r="I456" s="2"/>
      <c r="J456" s="2">
        <f t="shared" si="195"/>
        <v>0.25418379330593072</v>
      </c>
      <c r="K456" s="2">
        <f t="shared" si="196"/>
        <v>0.7265120375807399</v>
      </c>
      <c r="L456" s="2">
        <f t="shared" si="197"/>
        <v>9.5419847328244271E-4</v>
      </c>
      <c r="M456" s="2">
        <f t="shared" si="198"/>
        <v>1.8349970640046884E-2</v>
      </c>
      <c r="N456" s="63">
        <v>3463</v>
      </c>
      <c r="O456" s="63">
        <v>9898</v>
      </c>
      <c r="P456" s="63">
        <v>13</v>
      </c>
      <c r="Q456" s="63">
        <v>240</v>
      </c>
      <c r="R456" s="63">
        <v>9</v>
      </c>
      <c r="S456" s="63">
        <v>1</v>
      </c>
      <c r="T456" s="63"/>
      <c r="U456" s="63"/>
      <c r="V456" s="63"/>
      <c r="W456" s="63">
        <f>IF(Copyright!B$11=1,IF(CA456&gt;0,CA456-P456-SUM(X456:AQ456)-SUM(R456:V456),SUM(CB456:CM456)),SUM(CC456:CM456))</f>
        <v>0</v>
      </c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W456" s="5">
        <f>IF(Q456&gt;0,RANK(Q456,(N456:P456,Q456:AE456)),0)</f>
        <v>3</v>
      </c>
      <c r="AX456" s="5">
        <f>IF(R456&gt;0,RANK(R456,(N456:P456,Q456:AE456)),0)</f>
        <v>5</v>
      </c>
      <c r="AY456" s="5">
        <f>IF(T456&gt;0,RANK(T456,(N456:P456,Q456:AE456)),0)</f>
        <v>0</v>
      </c>
      <c r="AZ456" s="5">
        <f>IF(S456&gt;0,RANK(S456,(N456:P456,Q456:AE456)),0)</f>
        <v>6</v>
      </c>
      <c r="BA456" s="2">
        <f t="shared" si="199"/>
        <v>1.7615971814445096E-2</v>
      </c>
      <c r="BB456" s="2">
        <f t="shared" si="200"/>
        <v>6.6059894304169116E-4</v>
      </c>
      <c r="BC456" s="2">
        <f t="shared" si="201"/>
        <v>0</v>
      </c>
      <c r="BD456" s="2">
        <f t="shared" si="202"/>
        <v>7.3399882560187902E-5</v>
      </c>
      <c r="BF456" t="s">
        <v>768</v>
      </c>
      <c r="BG456" t="s">
        <v>1156</v>
      </c>
      <c r="BH456">
        <v>8</v>
      </c>
      <c r="BJ456" s="114">
        <v>13</v>
      </c>
      <c r="BK456" s="116">
        <v>71</v>
      </c>
      <c r="BL456" s="120">
        <f t="shared" si="191"/>
        <v>13071</v>
      </c>
      <c r="BN456" s="5" t="s">
        <v>3154</v>
      </c>
      <c r="BR456" s="63"/>
      <c r="BY456" s="63">
        <f t="shared" si="190"/>
        <v>-13624</v>
      </c>
      <c r="CC456" s="1"/>
      <c r="CD456" s="1"/>
      <c r="CE456" s="1"/>
      <c r="CF456" s="1"/>
    </row>
    <row r="457" spans="1:91" hidden="1" outlineLevel="1">
      <c r="A457" t="s">
        <v>1496</v>
      </c>
      <c r="B457" t="s">
        <v>1156</v>
      </c>
      <c r="C457" s="1">
        <f t="shared" si="192"/>
        <v>65207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5</v>
      </c>
      <c r="G457" s="132">
        <f t="shared" si="193"/>
        <v>24198</v>
      </c>
      <c r="H457" s="137">
        <f t="shared" si="194"/>
        <v>0.37109512782369991</v>
      </c>
      <c r="I457" s="2"/>
      <c r="J457" s="2">
        <f t="shared" si="195"/>
        <v>0.28964681705951817</v>
      </c>
      <c r="K457" s="2">
        <f t="shared" si="196"/>
        <v>0.66074194488321802</v>
      </c>
      <c r="L457" s="2">
        <f t="shared" si="197"/>
        <v>5.2448356771512264E-3</v>
      </c>
      <c r="M457" s="2">
        <f t="shared" si="198"/>
        <v>4.4366402380112635E-2</v>
      </c>
      <c r="N457" s="63">
        <v>18887</v>
      </c>
      <c r="O457" s="63">
        <v>43085</v>
      </c>
      <c r="P457" s="63">
        <v>342</v>
      </c>
      <c r="Q457" s="63">
        <v>2270</v>
      </c>
      <c r="R457" s="63">
        <v>114</v>
      </c>
      <c r="S457" s="63">
        <v>34</v>
      </c>
      <c r="T457" s="63"/>
      <c r="U457" s="63"/>
      <c r="V457" s="63"/>
      <c r="W457" s="63">
        <f>IF(Copyright!B$11=1,IF(CA457&gt;0,CA457-P457-SUM(X457:AQ457)-SUM(R457:V457),SUM(CB457:CM457)),SUM(CC457:CM457))</f>
        <v>467</v>
      </c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>
        <v>6</v>
      </c>
      <c r="AO457" s="63"/>
      <c r="AP457" s="63"/>
      <c r="AQ457" s="63">
        <v>2</v>
      </c>
      <c r="AR457" s="63"/>
      <c r="AS457" s="63"/>
      <c r="AT457" s="63"/>
      <c r="AU457" s="63"/>
      <c r="AW457" s="5">
        <f>IF(Q457&gt;0,RANK(Q457,(N457:P457,Q457:AE457)),0)</f>
        <v>3</v>
      </c>
      <c r="AX457" s="5">
        <f>IF(R457&gt;0,RANK(R457,(N457:P457,Q457:AE457)),0)</f>
        <v>6</v>
      </c>
      <c r="AY457" s="5">
        <f>IF(T457&gt;0,RANK(T457,(N457:P457,Q457:AE457)),0)</f>
        <v>0</v>
      </c>
      <c r="AZ457" s="5">
        <f>IF(S457&gt;0,RANK(S457,(N457:P457,Q457:AE457)),0)</f>
        <v>7</v>
      </c>
      <c r="BA457" s="2">
        <f t="shared" si="199"/>
        <v>3.481221341267042E-2</v>
      </c>
      <c r="BB457" s="2">
        <f t="shared" si="200"/>
        <v>1.7482785590504086E-3</v>
      </c>
      <c r="BC457" s="2">
        <f t="shared" si="201"/>
        <v>0</v>
      </c>
      <c r="BD457" s="2">
        <f t="shared" si="202"/>
        <v>5.214164123483675E-4</v>
      </c>
      <c r="BF457" t="s">
        <v>1496</v>
      </c>
      <c r="BG457" t="s">
        <v>1156</v>
      </c>
      <c r="BJ457" s="114">
        <v>13</v>
      </c>
      <c r="BK457" s="116">
        <v>73</v>
      </c>
      <c r="BL457" s="120">
        <f t="shared" si="191"/>
        <v>13073</v>
      </c>
      <c r="BN457" s="5" t="s">
        <v>3154</v>
      </c>
      <c r="BR457" s="63"/>
      <c r="BY457" s="63">
        <f t="shared" si="190"/>
        <v>0</v>
      </c>
      <c r="BZ457" s="63">
        <v>65207</v>
      </c>
      <c r="CA457" s="63">
        <v>965</v>
      </c>
      <c r="CC457" s="1"/>
      <c r="CD457" s="1"/>
      <c r="CE457" s="1"/>
      <c r="CF457" s="1"/>
      <c r="CH457" s="8">
        <v>2</v>
      </c>
      <c r="CM457" s="8">
        <v>1</v>
      </c>
    </row>
    <row r="458" spans="1:91" hidden="1" outlineLevel="1">
      <c r="A458" t="s">
        <v>1121</v>
      </c>
      <c r="B458" t="s">
        <v>1156</v>
      </c>
      <c r="C458" s="1">
        <f t="shared" si="192"/>
        <v>6057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5</v>
      </c>
      <c r="G458" s="132">
        <f t="shared" si="193"/>
        <v>2423</v>
      </c>
      <c r="H458" s="137">
        <f t="shared" si="194"/>
        <v>0.4000330196466898</v>
      </c>
      <c r="I458" s="2"/>
      <c r="J458" s="2">
        <f t="shared" si="195"/>
        <v>0.2894172032359254</v>
      </c>
      <c r="K458" s="2">
        <f t="shared" si="196"/>
        <v>0.68945022288261515</v>
      </c>
      <c r="L458" s="2">
        <f t="shared" si="197"/>
        <v>8.2549116724451048E-4</v>
      </c>
      <c r="M458" s="2">
        <f t="shared" si="198"/>
        <v>2.0307082714214882E-2</v>
      </c>
      <c r="N458" s="63">
        <v>1753</v>
      </c>
      <c r="O458" s="63">
        <v>4176</v>
      </c>
      <c r="P458" s="63">
        <v>5</v>
      </c>
      <c r="Q458" s="63">
        <v>112</v>
      </c>
      <c r="R458" s="63">
        <v>6</v>
      </c>
      <c r="S458" s="63">
        <v>5</v>
      </c>
      <c r="T458" s="63"/>
      <c r="U458" s="63"/>
      <c r="V458" s="63"/>
      <c r="W458" s="63">
        <f>IF(Copyright!B$11=1,IF(CA458&gt;0,CA458-P458-SUM(X458:AQ458)-SUM(R458:V458),SUM(CB458:CM458)),SUM(CC458:CM458))</f>
        <v>0</v>
      </c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W458" s="5">
        <f>IF(Q458&gt;0,RANK(Q458,(N458:P458,Q458:AE458)),0)</f>
        <v>3</v>
      </c>
      <c r="AX458" s="5">
        <f>IF(R458&gt;0,RANK(R458,(N458:P458,Q458:AE458)),0)</f>
        <v>4</v>
      </c>
      <c r="AY458" s="5">
        <f>IF(T458&gt;0,RANK(T458,(N458:P458,Q458:AE458)),0)</f>
        <v>0</v>
      </c>
      <c r="AZ458" s="5">
        <f>IF(S458&gt;0,RANK(S458,(N458:P458,Q458:AE458)),0)</f>
        <v>5</v>
      </c>
      <c r="BA458" s="2">
        <f t="shared" si="199"/>
        <v>1.8491002146277035E-2</v>
      </c>
      <c r="BB458" s="2">
        <f t="shared" si="200"/>
        <v>9.9058940069341253E-4</v>
      </c>
      <c r="BC458" s="2">
        <f t="shared" si="201"/>
        <v>0</v>
      </c>
      <c r="BD458" s="2">
        <f t="shared" si="202"/>
        <v>8.2549116724451048E-4</v>
      </c>
      <c r="BF458" t="s">
        <v>1121</v>
      </c>
      <c r="BG458" t="s">
        <v>1156</v>
      </c>
      <c r="BH458">
        <v>8</v>
      </c>
      <c r="BJ458" s="114">
        <v>13</v>
      </c>
      <c r="BK458" s="116">
        <v>75</v>
      </c>
      <c r="BL458" s="120">
        <f t="shared" si="191"/>
        <v>13075</v>
      </c>
      <c r="BN458" s="5" t="s">
        <v>3154</v>
      </c>
      <c r="BR458" s="63"/>
      <c r="BY458" s="63">
        <f t="shared" si="190"/>
        <v>-6057</v>
      </c>
      <c r="CC458" s="1"/>
      <c r="CD458" s="1"/>
      <c r="CE458" s="1"/>
      <c r="CF458" s="1"/>
    </row>
    <row r="459" spans="1:91" hidden="1" outlineLevel="1">
      <c r="A459" t="s">
        <v>100</v>
      </c>
      <c r="B459" t="s">
        <v>1156</v>
      </c>
      <c r="C459" s="1">
        <f t="shared" si="192"/>
        <v>62210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5</v>
      </c>
      <c r="G459" s="132">
        <f t="shared" si="193"/>
        <v>25950</v>
      </c>
      <c r="H459" s="137">
        <f t="shared" si="194"/>
        <v>0.41713550876064942</v>
      </c>
      <c r="I459" s="2"/>
      <c r="J459" s="2">
        <f t="shared" si="195"/>
        <v>0.2665648609548304</v>
      </c>
      <c r="K459" s="2">
        <f t="shared" si="196"/>
        <v>0.68370036971547987</v>
      </c>
      <c r="L459" s="2">
        <f t="shared" si="197"/>
        <v>4.2919144832020573E-3</v>
      </c>
      <c r="M459" s="2">
        <f t="shared" si="198"/>
        <v>4.5442854846487732E-2</v>
      </c>
      <c r="N459" s="63">
        <v>16583</v>
      </c>
      <c r="O459" s="63">
        <v>42533</v>
      </c>
      <c r="P459" s="63">
        <v>267</v>
      </c>
      <c r="Q459" s="63">
        <v>2235</v>
      </c>
      <c r="R459" s="63">
        <v>95</v>
      </c>
      <c r="S459" s="63">
        <v>28</v>
      </c>
      <c r="T459" s="63"/>
      <c r="U459" s="63"/>
      <c r="V459" s="63"/>
      <c r="W459" s="63">
        <f>IF(Copyright!B$11=1,IF(CA459&gt;0,CA459-P459-SUM(X459:AQ459)-SUM(R459:V459),SUM(CB459:CM459)),SUM(CC459:CM459))</f>
        <v>466</v>
      </c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>
        <v>3</v>
      </c>
      <c r="AO459" s="63"/>
      <c r="AP459" s="63"/>
      <c r="AQ459" s="63"/>
      <c r="AR459" s="63"/>
      <c r="AS459" s="63"/>
      <c r="AT459" s="63"/>
      <c r="AU459" s="63"/>
      <c r="AW459" s="5">
        <f>IF(Q459&gt;0,RANK(Q459,(N459:P459,Q459:AE459)),0)</f>
        <v>3</v>
      </c>
      <c r="AX459" s="5">
        <f>IF(R459&gt;0,RANK(R459,(N459:P459,Q459:AE459)),0)</f>
        <v>6</v>
      </c>
      <c r="AY459" s="5">
        <f>IF(T459&gt;0,RANK(T459,(N459:P459,Q459:AE459)),0)</f>
        <v>0</v>
      </c>
      <c r="AZ459" s="5">
        <f>IF(S459&gt;0,RANK(S459,(N459:P459,Q459:AE459)),0)</f>
        <v>7</v>
      </c>
      <c r="BA459" s="2">
        <f t="shared" si="199"/>
        <v>3.5926699887477896E-2</v>
      </c>
      <c r="BB459" s="2">
        <f t="shared" si="200"/>
        <v>1.5270856775438033E-3</v>
      </c>
      <c r="BC459" s="2">
        <f t="shared" si="201"/>
        <v>0</v>
      </c>
      <c r="BD459" s="2">
        <f t="shared" si="202"/>
        <v>4.5008841022343673E-4</v>
      </c>
      <c r="BF459" t="s">
        <v>100</v>
      </c>
      <c r="BG459" t="s">
        <v>1156</v>
      </c>
      <c r="BH459">
        <v>3</v>
      </c>
      <c r="BJ459" s="114">
        <v>13</v>
      </c>
      <c r="BK459" s="116">
        <v>77</v>
      </c>
      <c r="BL459" s="120">
        <f t="shared" si="191"/>
        <v>13077</v>
      </c>
      <c r="BN459" s="5" t="s">
        <v>3154</v>
      </c>
      <c r="BR459" s="63"/>
      <c r="BY459" s="63">
        <f t="shared" si="190"/>
        <v>-36</v>
      </c>
      <c r="BZ459" s="63">
        <v>62174</v>
      </c>
      <c r="CA459" s="133">
        <v>859</v>
      </c>
      <c r="CC459" s="1"/>
      <c r="CD459" s="1"/>
      <c r="CE459" s="1"/>
      <c r="CF459" s="1"/>
      <c r="CJ459" s="8">
        <v>1</v>
      </c>
    </row>
    <row r="460" spans="1:91" hidden="1" outlineLevel="1">
      <c r="A460" t="s">
        <v>1875</v>
      </c>
      <c r="B460" t="s">
        <v>1156</v>
      </c>
      <c r="C460" s="1">
        <f t="shared" si="192"/>
        <v>5176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4</v>
      </c>
      <c r="G460" s="132">
        <f t="shared" si="193"/>
        <v>2214</v>
      </c>
      <c r="H460" s="137">
        <f t="shared" si="194"/>
        <v>0.4277434312210201</v>
      </c>
      <c r="I460" s="2"/>
      <c r="J460" s="2">
        <f t="shared" si="195"/>
        <v>0.27453632148377127</v>
      </c>
      <c r="K460" s="2">
        <f t="shared" si="196"/>
        <v>0.70227975270479137</v>
      </c>
      <c r="L460" s="2">
        <f t="shared" si="197"/>
        <v>1.1591962905718701E-3</v>
      </c>
      <c r="M460" s="2">
        <f t="shared" si="198"/>
        <v>2.2024729520865486E-2</v>
      </c>
      <c r="N460" s="63">
        <v>1421</v>
      </c>
      <c r="O460" s="63">
        <v>3635</v>
      </c>
      <c r="P460" s="63">
        <v>6</v>
      </c>
      <c r="Q460" s="63">
        <v>106</v>
      </c>
      <c r="R460" s="63">
        <v>4</v>
      </c>
      <c r="S460" s="63">
        <v>4</v>
      </c>
      <c r="T460" s="63"/>
      <c r="U460" s="63"/>
      <c r="V460" s="63"/>
      <c r="W460" s="63">
        <f>IF(Copyright!B$11=1,IF(CA460&gt;0,CA460-P460-SUM(X460:AQ460)-SUM(R460:V460),SUM(CB460:CM460)),SUM(CC460:CM460))</f>
        <v>0</v>
      </c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W460" s="5">
        <f>IF(Q460&gt;0,RANK(Q460,(N460:P460,Q460:AE460)),0)</f>
        <v>3</v>
      </c>
      <c r="AX460" s="5">
        <f>IF(R460&gt;0,RANK(R460,(N460:P460,Q460:AE460)),0)</f>
        <v>5</v>
      </c>
      <c r="AY460" s="5">
        <f>IF(T460&gt;0,RANK(T460,(N460:P460,Q460:AE460)),0)</f>
        <v>0</v>
      </c>
      <c r="AZ460" s="5">
        <f>IF(S460&gt;0,RANK(S460,(N460:P460,Q460:AE460)),0)</f>
        <v>5</v>
      </c>
      <c r="BA460" s="2">
        <f t="shared" si="199"/>
        <v>2.0479134466769706E-2</v>
      </c>
      <c r="BB460" s="2">
        <f t="shared" si="200"/>
        <v>7.7279752704791343E-4</v>
      </c>
      <c r="BC460" s="2">
        <f t="shared" si="201"/>
        <v>0</v>
      </c>
      <c r="BD460" s="2">
        <f t="shared" si="202"/>
        <v>7.7279752704791343E-4</v>
      </c>
      <c r="BF460" t="s">
        <v>1875</v>
      </c>
      <c r="BG460" t="s">
        <v>1156</v>
      </c>
      <c r="BH460">
        <v>2</v>
      </c>
      <c r="BJ460" s="114">
        <v>13</v>
      </c>
      <c r="BK460" s="116">
        <v>79</v>
      </c>
      <c r="BL460" s="120">
        <f t="shared" si="191"/>
        <v>13079</v>
      </c>
      <c r="BN460" s="5" t="s">
        <v>3154</v>
      </c>
      <c r="BR460" s="63"/>
      <c r="BY460" s="63">
        <f t="shared" si="190"/>
        <v>-5176</v>
      </c>
      <c r="CC460" s="1"/>
      <c r="CD460" s="1"/>
      <c r="CE460" s="1"/>
      <c r="CF460" s="1"/>
    </row>
    <row r="461" spans="1:91" hidden="1" outlineLevel="1">
      <c r="A461" t="s">
        <v>183</v>
      </c>
      <c r="B461" t="s">
        <v>1156</v>
      </c>
      <c r="C461" s="1">
        <f t="shared" si="192"/>
        <v>7512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32">
        <f t="shared" si="193"/>
        <v>1712</v>
      </c>
      <c r="H461" s="137">
        <f t="shared" si="194"/>
        <v>0.22790202342917998</v>
      </c>
      <c r="I461" s="2"/>
      <c r="J461" s="2">
        <f t="shared" si="195"/>
        <v>0.37766240681576146</v>
      </c>
      <c r="K461" s="2">
        <f t="shared" si="196"/>
        <v>0.60556443024494144</v>
      </c>
      <c r="L461" s="2">
        <f t="shared" si="197"/>
        <v>0</v>
      </c>
      <c r="M461" s="2">
        <f t="shared" si="198"/>
        <v>1.6773162939297093E-2</v>
      </c>
      <c r="N461" s="63">
        <v>2837</v>
      </c>
      <c r="O461" s="63">
        <v>4549</v>
      </c>
      <c r="P461" s="63"/>
      <c r="Q461" s="63">
        <v>126</v>
      </c>
      <c r="R461" s="63"/>
      <c r="S461" s="63"/>
      <c r="T461" s="63"/>
      <c r="U461" s="63"/>
      <c r="V461" s="63"/>
      <c r="W461" s="63">
        <f>IF(Copyright!B$11=1,IF(CA461&gt;0,CA461-P461-SUM(X461:AQ461)-SUM(R461:V461),SUM(CB461:CM461)),SUM(CC461:CM461))</f>
        <v>0</v>
      </c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W461" s="5">
        <f>IF(Q461&gt;0,RANK(Q461,(N461:P461,Q461:AE461)),0)</f>
        <v>3</v>
      </c>
      <c r="AX461" s="5">
        <f>IF(R461&gt;0,RANK(R461,(N461:P461,Q461:AE461)),0)</f>
        <v>0</v>
      </c>
      <c r="AY461" s="5">
        <f>IF(T461&gt;0,RANK(T461,(N461:P461,Q461:AE461)),0)</f>
        <v>0</v>
      </c>
      <c r="AZ461" s="5">
        <f>IF(S461&gt;0,RANK(S461,(N461:P461,Q461:AE461)),0)</f>
        <v>0</v>
      </c>
      <c r="BA461" s="2">
        <f t="shared" si="199"/>
        <v>1.6773162939297124E-2</v>
      </c>
      <c r="BB461" s="2">
        <f t="shared" si="200"/>
        <v>0</v>
      </c>
      <c r="BC461" s="2">
        <f t="shared" si="201"/>
        <v>0</v>
      </c>
      <c r="BD461" s="2">
        <f t="shared" si="202"/>
        <v>0</v>
      </c>
      <c r="BF461" t="s">
        <v>183</v>
      </c>
      <c r="BG461" t="s">
        <v>1156</v>
      </c>
      <c r="BH461">
        <v>2</v>
      </c>
      <c r="BJ461" s="114">
        <v>13</v>
      </c>
      <c r="BK461" s="116">
        <v>81</v>
      </c>
      <c r="BL461" s="120">
        <f t="shared" si="191"/>
        <v>13081</v>
      </c>
      <c r="BN461" s="5" t="s">
        <v>3154</v>
      </c>
      <c r="BR461" s="63"/>
      <c r="BY461" s="63">
        <f t="shared" si="190"/>
        <v>-7512</v>
      </c>
      <c r="CC461" s="1"/>
      <c r="CD461" s="1"/>
      <c r="CE461" s="1"/>
      <c r="CF461" s="1"/>
    </row>
    <row r="462" spans="1:91" hidden="1" outlineLevel="1">
      <c r="A462" t="s">
        <v>2621</v>
      </c>
      <c r="B462" t="s">
        <v>1156</v>
      </c>
      <c r="C462" s="1">
        <f t="shared" si="192"/>
        <v>6242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32">
        <f t="shared" si="193"/>
        <v>4086</v>
      </c>
      <c r="H462" s="137">
        <f t="shared" si="194"/>
        <v>0.65459788529317531</v>
      </c>
      <c r="I462" s="2"/>
      <c r="J462" s="2">
        <f t="shared" si="195"/>
        <v>0.15459788529317525</v>
      </c>
      <c r="K462" s="2">
        <f t="shared" si="196"/>
        <v>0.8091957705863505</v>
      </c>
      <c r="L462" s="2">
        <f t="shared" si="197"/>
        <v>0</v>
      </c>
      <c r="M462" s="2">
        <f t="shared" si="198"/>
        <v>3.6206344120474188E-2</v>
      </c>
      <c r="N462" s="63">
        <v>965</v>
      </c>
      <c r="O462" s="63">
        <v>5051</v>
      </c>
      <c r="P462" s="63"/>
      <c r="Q462" s="63">
        <v>226</v>
      </c>
      <c r="R462" s="63"/>
      <c r="S462" s="63"/>
      <c r="T462" s="63"/>
      <c r="U462" s="63"/>
      <c r="V462" s="63"/>
      <c r="W462" s="63">
        <f>IF(Copyright!B$11=1,IF(CA462&gt;0,CA462-P462-SUM(X462:AQ462)-SUM(R462:V462),SUM(CB462:CM462)),SUM(CC462:CM462))</f>
        <v>0</v>
      </c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W462" s="5">
        <f>IF(Q462&gt;0,RANK(Q462,(N462:P462,Q462:AE462)),0)</f>
        <v>3</v>
      </c>
      <c r="AX462" s="5">
        <f>IF(R462&gt;0,RANK(R462,(N462:P462,Q462:AE462)),0)</f>
        <v>0</v>
      </c>
      <c r="AY462" s="5">
        <f>IF(T462&gt;0,RANK(T462,(N462:P462,Q462:AE462)),0)</f>
        <v>0</v>
      </c>
      <c r="AZ462" s="5">
        <f>IF(S462&gt;0,RANK(S462,(N462:P462,Q462:AE462)),0)</f>
        <v>0</v>
      </c>
      <c r="BA462" s="2">
        <f t="shared" si="199"/>
        <v>3.6206344120474208E-2</v>
      </c>
      <c r="BB462" s="2">
        <f t="shared" si="200"/>
        <v>0</v>
      </c>
      <c r="BC462" s="2">
        <f t="shared" si="201"/>
        <v>0</v>
      </c>
      <c r="BD462" s="2">
        <f t="shared" si="202"/>
        <v>0</v>
      </c>
      <c r="BF462" t="s">
        <v>2621</v>
      </c>
      <c r="BG462" t="s">
        <v>1156</v>
      </c>
      <c r="BH462">
        <v>14</v>
      </c>
      <c r="BJ462" s="114">
        <v>13</v>
      </c>
      <c r="BK462" s="116">
        <v>83</v>
      </c>
      <c r="BL462" s="120">
        <f t="shared" si="191"/>
        <v>13083</v>
      </c>
      <c r="BN462" s="5" t="s">
        <v>3154</v>
      </c>
      <c r="BR462" s="63"/>
      <c r="BY462" s="63">
        <f t="shared" si="190"/>
        <v>-6242</v>
      </c>
      <c r="CC462" s="1"/>
      <c r="CD462" s="1"/>
      <c r="CE462" s="1"/>
      <c r="CF462" s="1"/>
    </row>
    <row r="463" spans="1:91" hidden="1" outlineLevel="1">
      <c r="A463" t="s">
        <v>2759</v>
      </c>
      <c r="B463" t="s">
        <v>1156</v>
      </c>
      <c r="C463" s="1">
        <f t="shared" si="192"/>
        <v>11820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5</v>
      </c>
      <c r="G463" s="132">
        <f t="shared" si="193"/>
        <v>8452</v>
      </c>
      <c r="H463" s="137">
        <f t="shared" si="194"/>
        <v>0.71505922165820646</v>
      </c>
      <c r="I463" s="2"/>
      <c r="J463" s="2">
        <f t="shared" si="195"/>
        <v>0.12250423011844332</v>
      </c>
      <c r="K463" s="2">
        <f t="shared" si="196"/>
        <v>0.8375634517766497</v>
      </c>
      <c r="L463" s="2">
        <f t="shared" si="197"/>
        <v>3.8917089678510998E-3</v>
      </c>
      <c r="M463" s="2">
        <f t="shared" si="198"/>
        <v>3.604060913705584E-2</v>
      </c>
      <c r="N463" s="63">
        <v>1448</v>
      </c>
      <c r="O463" s="63">
        <v>9900</v>
      </c>
      <c r="P463" s="63">
        <v>46</v>
      </c>
      <c r="Q463" s="63">
        <v>356</v>
      </c>
      <c r="R463" s="63">
        <v>11</v>
      </c>
      <c r="S463" s="63">
        <v>4</v>
      </c>
      <c r="T463" s="63"/>
      <c r="U463" s="63"/>
      <c r="V463" s="63"/>
      <c r="W463" s="63">
        <f>IF(Copyright!B$11=1,IF(CA463&gt;0,CA463-P463-SUM(X463:AQ463)-SUM(R463:V463),SUM(CB463:CM463)),SUM(CC463:CM463))</f>
        <v>55</v>
      </c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W463" s="5">
        <f>IF(Q463&gt;0,RANK(Q463,(N463:P463,Q463:AE463)),0)</f>
        <v>3</v>
      </c>
      <c r="AX463" s="5">
        <f>IF(R463&gt;0,RANK(R463,(N463:P463,Q463:AE463)),0)</f>
        <v>6</v>
      </c>
      <c r="AY463" s="5">
        <f>IF(T463&gt;0,RANK(T463,(N463:P463,Q463:AE463)),0)</f>
        <v>0</v>
      </c>
      <c r="AZ463" s="5">
        <f>IF(S463&gt;0,RANK(S463,(N463:P463,Q463:AE463)),0)</f>
        <v>7</v>
      </c>
      <c r="BA463" s="2">
        <f t="shared" si="199"/>
        <v>3.0118443316412859E-2</v>
      </c>
      <c r="BB463" s="2">
        <f t="shared" si="200"/>
        <v>9.3062605752961079E-4</v>
      </c>
      <c r="BC463" s="2">
        <f t="shared" si="201"/>
        <v>0</v>
      </c>
      <c r="BD463" s="2">
        <f t="shared" si="202"/>
        <v>3.3840947546531303E-4</v>
      </c>
      <c r="BF463" t="s">
        <v>2759</v>
      </c>
      <c r="BG463" t="s">
        <v>1156</v>
      </c>
      <c r="BH463">
        <v>9</v>
      </c>
      <c r="BJ463" s="114">
        <v>13</v>
      </c>
      <c r="BK463" s="116">
        <v>85</v>
      </c>
      <c r="BL463" s="120">
        <f t="shared" si="191"/>
        <v>13085</v>
      </c>
      <c r="BN463" s="5" t="s">
        <v>3154</v>
      </c>
      <c r="BR463" s="63"/>
      <c r="BY463" s="63">
        <f t="shared" si="190"/>
        <v>0</v>
      </c>
      <c r="BZ463" s="63">
        <v>11820</v>
      </c>
      <c r="CA463" s="63">
        <v>116</v>
      </c>
      <c r="CC463" s="1"/>
      <c r="CD463" s="1"/>
      <c r="CE463" s="1"/>
      <c r="CF463" s="1"/>
    </row>
    <row r="464" spans="1:91" hidden="1" outlineLevel="1">
      <c r="A464" t="s">
        <v>1934</v>
      </c>
      <c r="B464" t="s">
        <v>1156</v>
      </c>
      <c r="C464" s="1">
        <f t="shared" si="192"/>
        <v>10286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>IF(P464&gt;0,RANK(P464,(N464:P464,Q464:AE464)),0)</f>
        <v>4</v>
      </c>
      <c r="G464" s="132">
        <f t="shared" si="193"/>
        <v>1896</v>
      </c>
      <c r="H464" s="137">
        <f t="shared" si="194"/>
        <v>0.18432821310519151</v>
      </c>
      <c r="I464" s="2"/>
      <c r="J464" s="2">
        <f t="shared" si="195"/>
        <v>0.40093330740812755</v>
      </c>
      <c r="K464" s="2">
        <f t="shared" si="196"/>
        <v>0.58526152051331903</v>
      </c>
      <c r="L464" s="2">
        <f t="shared" si="197"/>
        <v>7.777561734396267E-4</v>
      </c>
      <c r="M464" s="2">
        <f t="shared" si="198"/>
        <v>1.3027415905113736E-2</v>
      </c>
      <c r="N464" s="63">
        <v>4124</v>
      </c>
      <c r="O464" s="63">
        <v>6020</v>
      </c>
      <c r="P464" s="63">
        <v>8</v>
      </c>
      <c r="Q464" s="63">
        <v>126</v>
      </c>
      <c r="R464" s="63">
        <v>4</v>
      </c>
      <c r="S464" s="63">
        <v>3</v>
      </c>
      <c r="T464" s="63"/>
      <c r="U464" s="63"/>
      <c r="V464" s="63"/>
      <c r="W464" s="63">
        <f>IF(Copyright!B$11=1,IF(CA464&gt;0,CA464-P464-SUM(X464:AQ464)-SUM(R464:V464),SUM(CB464:CM464)),SUM(CC464:CM464))</f>
        <v>1</v>
      </c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W464" s="5">
        <f>IF(Q464&gt;0,RANK(Q464,(N464:P464,Q464:AE464)),0)</f>
        <v>3</v>
      </c>
      <c r="AX464" s="5">
        <f>IF(R464&gt;0,RANK(R464,(N464:P464,Q464:AE464)),0)</f>
        <v>5</v>
      </c>
      <c r="AY464" s="5">
        <f>IF(T464&gt;0,RANK(T464,(N464:P464,Q464:AE464)),0)</f>
        <v>0</v>
      </c>
      <c r="AZ464" s="5">
        <f>IF(S464&gt;0,RANK(S464,(N464:P464,Q464:AE464)),0)</f>
        <v>6</v>
      </c>
      <c r="BA464" s="2">
        <f t="shared" si="199"/>
        <v>1.224965973167412E-2</v>
      </c>
      <c r="BB464" s="2">
        <f t="shared" si="200"/>
        <v>3.8887808671981335E-4</v>
      </c>
      <c r="BC464" s="2">
        <f t="shared" si="201"/>
        <v>0</v>
      </c>
      <c r="BD464" s="2">
        <f t="shared" si="202"/>
        <v>2.9165856503985999E-4</v>
      </c>
      <c r="BF464" t="s">
        <v>1934</v>
      </c>
      <c r="BG464" t="s">
        <v>1156</v>
      </c>
      <c r="BH464">
        <v>2</v>
      </c>
      <c r="BJ464" s="114">
        <v>13</v>
      </c>
      <c r="BK464" s="116">
        <v>87</v>
      </c>
      <c r="BL464" s="120">
        <f t="shared" si="191"/>
        <v>13087</v>
      </c>
      <c r="BN464" s="5" t="s">
        <v>3154</v>
      </c>
      <c r="BR464" s="63"/>
      <c r="BY464" s="63">
        <f t="shared" si="190"/>
        <v>-10286</v>
      </c>
      <c r="CC464" s="1"/>
      <c r="CD464" s="1"/>
      <c r="CE464" s="1"/>
      <c r="CF464" s="1"/>
      <c r="CM464" s="8">
        <v>1</v>
      </c>
    </row>
    <row r="465" spans="1:91" hidden="1" outlineLevel="1">
      <c r="A465" t="s">
        <v>1087</v>
      </c>
      <c r="B465" t="s">
        <v>1156</v>
      </c>
      <c r="C465" s="1">
        <f t="shared" si="192"/>
        <v>317849</v>
      </c>
      <c r="D465" s="5">
        <f>IF(N465&gt;0, RANK(N465,(N465:P465,Q465:AE465)),0)</f>
        <v>1</v>
      </c>
      <c r="E465" s="5">
        <f>IF(O465&gt;0,RANK(O465,(N465:P465,Q465:AE465)),0)</f>
        <v>2</v>
      </c>
      <c r="F465" s="5">
        <f>IF(P465&gt;0,RANK(P465,(N465:P465,Q465:AE465)),0)</f>
        <v>6</v>
      </c>
      <c r="G465" s="132">
        <f t="shared" si="193"/>
        <v>199902</v>
      </c>
      <c r="H465" s="137">
        <f t="shared" si="194"/>
        <v>0.62892128023054972</v>
      </c>
      <c r="I465" s="2"/>
      <c r="J465" s="2">
        <f t="shared" si="195"/>
        <v>0.7908472261986037</v>
      </c>
      <c r="K465" s="2">
        <f t="shared" si="196"/>
        <v>0.16192594596805401</v>
      </c>
      <c r="L465" s="2">
        <f t="shared" si="197"/>
        <v>3.1807556418299255E-3</v>
      </c>
      <c r="M465" s="2">
        <f t="shared" si="198"/>
        <v>4.404607219151236E-2</v>
      </c>
      <c r="N465" s="63">
        <v>251370</v>
      </c>
      <c r="O465" s="63">
        <v>51468</v>
      </c>
      <c r="P465" s="63">
        <v>1011</v>
      </c>
      <c r="Q465" s="63">
        <v>9666</v>
      </c>
      <c r="R465" s="63">
        <v>1181</v>
      </c>
      <c r="S465" s="63">
        <v>33</v>
      </c>
      <c r="T465" s="63"/>
      <c r="U465" s="63"/>
      <c r="V465" s="63"/>
      <c r="W465" s="63">
        <f>IF(Copyright!B$11=1,IF(CA465&gt;0,CA465-P465-SUM(X465:AQ465)-SUM(R465:V465),SUM(CB465:CM465)),SUM(CC465:CM465))</f>
        <v>3105</v>
      </c>
      <c r="X465" s="63"/>
      <c r="Y465" s="63">
        <v>4</v>
      </c>
      <c r="Z465" s="63"/>
      <c r="AA465" s="63"/>
      <c r="AB465" s="63"/>
      <c r="AC465" s="63"/>
      <c r="AD465" s="63"/>
      <c r="AE465" s="63">
        <v>9</v>
      </c>
      <c r="AF465" s="63"/>
      <c r="AG465" s="63"/>
      <c r="AH465" s="63"/>
      <c r="AI465" s="63"/>
      <c r="AJ465" s="63"/>
      <c r="AK465" s="63"/>
      <c r="AL465" s="63"/>
      <c r="AM465" s="63"/>
      <c r="AN465" s="63">
        <v>1</v>
      </c>
      <c r="AO465" s="63"/>
      <c r="AP465" s="63"/>
      <c r="AQ465" s="63">
        <v>1</v>
      </c>
      <c r="AR465" s="63"/>
      <c r="AS465" s="63"/>
      <c r="AT465" s="63"/>
      <c r="AU465" s="63"/>
      <c r="AW465" s="5">
        <f>IF(Q465&gt;0,RANK(Q465,(N465:P465,Q465:AE465)),0)</f>
        <v>3</v>
      </c>
      <c r="AX465" s="5">
        <f>IF(R465&gt;0,RANK(R465,(N465:P465,Q465:AE465)),0)</f>
        <v>5</v>
      </c>
      <c r="AY465" s="5">
        <f>IF(T465&gt;0,RANK(T465,(N465:P465,Q465:AE465)),0)</f>
        <v>0</v>
      </c>
      <c r="AZ465" s="5">
        <f>IF(S465&gt;0,RANK(S465,(N465:P465,Q465:AE465)),0)</f>
        <v>7</v>
      </c>
      <c r="BA465" s="2">
        <f t="shared" si="199"/>
        <v>3.0410666700225578E-2</v>
      </c>
      <c r="BB465" s="2">
        <f t="shared" si="200"/>
        <v>3.7156008041554322E-3</v>
      </c>
      <c r="BC465" s="2">
        <f t="shared" si="201"/>
        <v>0</v>
      </c>
      <c r="BD465" s="2">
        <f t="shared" si="202"/>
        <v>1.038228844514219E-4</v>
      </c>
      <c r="BF465" t="s">
        <v>1087</v>
      </c>
      <c r="BG465" t="s">
        <v>1156</v>
      </c>
      <c r="BJ465" s="114">
        <v>13</v>
      </c>
      <c r="BK465" s="116">
        <v>89</v>
      </c>
      <c r="BL465" s="120">
        <f t="shared" si="191"/>
        <v>13089</v>
      </c>
      <c r="BN465" s="5" t="s">
        <v>3154</v>
      </c>
      <c r="BR465" s="63"/>
      <c r="BY465" s="63">
        <f t="shared" si="190"/>
        <v>0</v>
      </c>
      <c r="BZ465" s="63">
        <v>317849</v>
      </c>
      <c r="CA465" s="63">
        <v>5345</v>
      </c>
      <c r="CC465" s="1"/>
      <c r="CD465" s="1"/>
      <c r="CE465" s="1">
        <v>1</v>
      </c>
      <c r="CF465" s="1"/>
      <c r="CG465" s="8">
        <v>2</v>
      </c>
      <c r="CH465" s="8">
        <v>5</v>
      </c>
      <c r="CK465" s="8">
        <v>2</v>
      </c>
      <c r="CL465" s="8">
        <v>3</v>
      </c>
    </row>
    <row r="466" spans="1:91" hidden="1" outlineLevel="1">
      <c r="A466" t="s">
        <v>3139</v>
      </c>
      <c r="B466" t="s">
        <v>1156</v>
      </c>
      <c r="C466" s="1">
        <f t="shared" si="192"/>
        <v>7009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>IF(P466&gt;0,RANK(P466,(N466:P466,Q466:AE466)),0)</f>
        <v>4</v>
      </c>
      <c r="G466" s="132">
        <f t="shared" si="193"/>
        <v>3182</v>
      </c>
      <c r="H466" s="137">
        <f t="shared" si="194"/>
        <v>0.45398773006134968</v>
      </c>
      <c r="I466" s="2"/>
      <c r="J466" s="2">
        <f t="shared" si="195"/>
        <v>0.26237694392923383</v>
      </c>
      <c r="K466" s="2">
        <f t="shared" si="196"/>
        <v>0.71636467399058357</v>
      </c>
      <c r="L466" s="2">
        <f t="shared" si="197"/>
        <v>8.5604223141674991E-4</v>
      </c>
      <c r="M466" s="2">
        <f t="shared" si="198"/>
        <v>2.0402339848765855E-2</v>
      </c>
      <c r="N466" s="63">
        <v>1839</v>
      </c>
      <c r="O466" s="63">
        <v>5021</v>
      </c>
      <c r="P466" s="63">
        <v>6</v>
      </c>
      <c r="Q466" s="63">
        <v>138</v>
      </c>
      <c r="R466" s="63">
        <v>4</v>
      </c>
      <c r="S466" s="63">
        <v>1</v>
      </c>
      <c r="T466" s="63"/>
      <c r="U466" s="63"/>
      <c r="V466" s="63"/>
      <c r="W466" s="63">
        <f>IF(Copyright!B$11=1,IF(CA466&gt;0,CA466-P466-SUM(X466:AQ466)-SUM(R466:V466),SUM(CB466:CM466)),SUM(CC466:CM466))</f>
        <v>0</v>
      </c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W466" s="5">
        <f>IF(Q466&gt;0,RANK(Q466,(N466:P466,Q466:AE466)),0)</f>
        <v>3</v>
      </c>
      <c r="AX466" s="5">
        <f>IF(R466&gt;0,RANK(R466,(N466:P466,Q466:AE466)),0)</f>
        <v>5</v>
      </c>
      <c r="AY466" s="5">
        <f>IF(T466&gt;0,RANK(T466,(N466:P466,Q466:AE466)),0)</f>
        <v>0</v>
      </c>
      <c r="AZ466" s="5">
        <f>IF(S466&gt;0,RANK(S466,(N466:P466,Q466:AE466)),0)</f>
        <v>6</v>
      </c>
      <c r="BA466" s="2">
        <f t="shared" si="199"/>
        <v>1.9688971322585246E-2</v>
      </c>
      <c r="BB466" s="2">
        <f t="shared" si="200"/>
        <v>5.7069482094449994E-4</v>
      </c>
      <c r="BC466" s="2">
        <f t="shared" si="201"/>
        <v>0</v>
      </c>
      <c r="BD466" s="2">
        <f t="shared" si="202"/>
        <v>1.4267370523612499E-4</v>
      </c>
      <c r="BF466" t="s">
        <v>3139</v>
      </c>
      <c r="BG466" t="s">
        <v>1156</v>
      </c>
      <c r="BH466">
        <v>8</v>
      </c>
      <c r="BJ466" s="114">
        <v>13</v>
      </c>
      <c r="BK466" s="116">
        <v>91</v>
      </c>
      <c r="BL466" s="120">
        <f t="shared" si="191"/>
        <v>13091</v>
      </c>
      <c r="BN466" s="5" t="s">
        <v>3154</v>
      </c>
      <c r="BR466" s="63"/>
      <c r="BY466" s="63">
        <f t="shared" si="190"/>
        <v>-7009</v>
      </c>
      <c r="CC466" s="1"/>
      <c r="CD466" s="1"/>
      <c r="CE466" s="1"/>
      <c r="CF466" s="1"/>
    </row>
    <row r="467" spans="1:91" hidden="1" outlineLevel="1">
      <c r="A467" t="s">
        <v>306</v>
      </c>
      <c r="B467" t="s">
        <v>1156</v>
      </c>
      <c r="C467" s="1">
        <f t="shared" si="192"/>
        <v>3859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>IF(P467&gt;0,RANK(P467,(N467:P467,Q467:AE467)),0)</f>
        <v>0</v>
      </c>
      <c r="G467" s="132">
        <f t="shared" si="193"/>
        <v>79</v>
      </c>
      <c r="H467" s="137">
        <f t="shared" si="194"/>
        <v>2.047162477325732E-2</v>
      </c>
      <c r="I467" s="2"/>
      <c r="J467" s="2">
        <f t="shared" si="195"/>
        <v>0.48509976677895827</v>
      </c>
      <c r="K467" s="2">
        <f t="shared" si="196"/>
        <v>0.50557139155221564</v>
      </c>
      <c r="L467" s="2">
        <f t="shared" si="197"/>
        <v>0</v>
      </c>
      <c r="M467" s="2">
        <f t="shared" si="198"/>
        <v>9.3288416688260822E-3</v>
      </c>
      <c r="N467" s="63">
        <v>1872</v>
      </c>
      <c r="O467" s="63">
        <v>1951</v>
      </c>
      <c r="P467" s="63"/>
      <c r="Q467" s="63">
        <v>36</v>
      </c>
      <c r="R467" s="63"/>
      <c r="S467" s="63"/>
      <c r="T467" s="63"/>
      <c r="U467" s="63"/>
      <c r="V467" s="63"/>
      <c r="W467" s="63">
        <f>IF(Copyright!B$11=1,IF(CA467&gt;0,CA467-P467-SUM(X467:AQ467)-SUM(R467:V467),SUM(CB467:CM467)),SUM(CC467:CM467))</f>
        <v>0</v>
      </c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W467" s="5">
        <f>IF(Q467&gt;0,RANK(Q467,(N467:P467,Q467:AE467)),0)</f>
        <v>3</v>
      </c>
      <c r="AX467" s="5">
        <f>IF(R467&gt;0,RANK(R467,(N467:P467,Q467:AE467)),0)</f>
        <v>0</v>
      </c>
      <c r="AY467" s="5">
        <f>IF(T467&gt;0,RANK(T467,(N467:P467,Q467:AE467)),0)</f>
        <v>0</v>
      </c>
      <c r="AZ467" s="5">
        <f>IF(S467&gt;0,RANK(S467,(N467:P467,Q467:AE467)),0)</f>
        <v>0</v>
      </c>
      <c r="BA467" s="2">
        <f t="shared" si="199"/>
        <v>9.3288416688261204E-3</v>
      </c>
      <c r="BB467" s="2">
        <f t="shared" si="200"/>
        <v>0</v>
      </c>
      <c r="BC467" s="2">
        <f t="shared" si="201"/>
        <v>0</v>
      </c>
      <c r="BD467" s="2">
        <f t="shared" si="202"/>
        <v>0</v>
      </c>
      <c r="BF467" t="s">
        <v>306</v>
      </c>
      <c r="BG467" t="s">
        <v>1156</v>
      </c>
      <c r="BH467">
        <v>2</v>
      </c>
      <c r="BJ467" s="114">
        <v>13</v>
      </c>
      <c r="BK467" s="116">
        <v>93</v>
      </c>
      <c r="BL467" s="120">
        <f t="shared" si="191"/>
        <v>13093</v>
      </c>
      <c r="BN467" s="5" t="s">
        <v>3154</v>
      </c>
      <c r="BR467" s="63"/>
      <c r="BY467" s="63">
        <f t="shared" si="190"/>
        <v>-3859</v>
      </c>
      <c r="CC467" s="1"/>
      <c r="CD467" s="1"/>
      <c r="CE467" s="1"/>
      <c r="CF467" s="1"/>
    </row>
    <row r="468" spans="1:91" hidden="1" outlineLevel="1">
      <c r="A468" t="s">
        <v>2396</v>
      </c>
      <c r="B468" t="s">
        <v>1156</v>
      </c>
      <c r="C468" s="1">
        <f t="shared" si="192"/>
        <v>34087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4</v>
      </c>
      <c r="G468" s="132">
        <f t="shared" si="193"/>
        <v>13079</v>
      </c>
      <c r="H468" s="137">
        <f t="shared" si="194"/>
        <v>0.38369466365476573</v>
      </c>
      <c r="I468" s="2"/>
      <c r="J468" s="2">
        <f t="shared" si="195"/>
        <v>0.68386775016868606</v>
      </c>
      <c r="K468" s="2">
        <f t="shared" si="196"/>
        <v>0.30017308651392027</v>
      </c>
      <c r="L468" s="2">
        <f t="shared" si="197"/>
        <v>9.3877431278786632E-4</v>
      </c>
      <c r="M468" s="2">
        <f t="shared" si="198"/>
        <v>1.5020389004605799E-2</v>
      </c>
      <c r="N468" s="63">
        <v>23311</v>
      </c>
      <c r="O468" s="63">
        <v>10232</v>
      </c>
      <c r="P468" s="63">
        <v>32</v>
      </c>
      <c r="Q468" s="63">
        <v>475</v>
      </c>
      <c r="R468" s="63">
        <v>30</v>
      </c>
      <c r="S468" s="63">
        <v>7</v>
      </c>
      <c r="T468" s="63"/>
      <c r="U468" s="63"/>
      <c r="V468" s="63"/>
      <c r="W468" s="63">
        <f>IF(Copyright!B$11=1,IF(CA468&gt;0,CA468-P468-SUM(X468:AQ468)-SUM(R468:V468),SUM(CB468:CM468)),SUM(CC468:CM468))</f>
        <v>0</v>
      </c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W468" s="5">
        <f>IF(Q468&gt;0,RANK(Q468,(N468:P468,Q468:AE468)),0)</f>
        <v>3</v>
      </c>
      <c r="AX468" s="5">
        <f>IF(R468&gt;0,RANK(R468,(N468:P468,Q468:AE468)),0)</f>
        <v>5</v>
      </c>
      <c r="AY468" s="5">
        <f>IF(T468&gt;0,RANK(T468,(N468:P468,Q468:AE468)),0)</f>
        <v>0</v>
      </c>
      <c r="AZ468" s="5">
        <f>IF(S468&gt;0,RANK(S468,(N468:P468,Q468:AE468)),0)</f>
        <v>6</v>
      </c>
      <c r="BA468" s="2">
        <f t="shared" si="199"/>
        <v>1.3934931205444891E-2</v>
      </c>
      <c r="BB468" s="2">
        <f t="shared" si="200"/>
        <v>8.8010091823862466E-4</v>
      </c>
      <c r="BC468" s="2">
        <f t="shared" si="201"/>
        <v>0</v>
      </c>
      <c r="BD468" s="2">
        <f t="shared" si="202"/>
        <v>2.0535688092234577E-4</v>
      </c>
      <c r="BF468" t="s">
        <v>2396</v>
      </c>
      <c r="BG468" t="s">
        <v>1156</v>
      </c>
      <c r="BH468">
        <v>2</v>
      </c>
      <c r="BJ468" s="114">
        <v>13</v>
      </c>
      <c r="BK468" s="116">
        <v>95</v>
      </c>
      <c r="BL468" s="120">
        <f t="shared" si="191"/>
        <v>13095</v>
      </c>
      <c r="BN468" s="5" t="s">
        <v>3154</v>
      </c>
      <c r="BR468" s="63"/>
      <c r="BY468" s="63">
        <f t="shared" si="190"/>
        <v>-34087</v>
      </c>
      <c r="CC468" s="1"/>
      <c r="CD468" s="1"/>
      <c r="CE468" s="1"/>
      <c r="CF468" s="1"/>
    </row>
    <row r="469" spans="1:91" hidden="1" outlineLevel="1">
      <c r="A469" t="s">
        <v>1148</v>
      </c>
      <c r="B469" t="s">
        <v>1156</v>
      </c>
      <c r="C469" s="1">
        <f t="shared" si="192"/>
        <v>57738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>IF(P469&gt;0,RANK(P469,(N469:P469,Q469:AE469)),0)</f>
        <v>5</v>
      </c>
      <c r="G469" s="132">
        <f t="shared" si="193"/>
        <v>6188</v>
      </c>
      <c r="H469" s="137">
        <f t="shared" si="194"/>
        <v>0.10717378502892376</v>
      </c>
      <c r="I469" s="2"/>
      <c r="J469" s="2">
        <f t="shared" si="195"/>
        <v>0.53699470019744366</v>
      </c>
      <c r="K469" s="2">
        <f t="shared" si="196"/>
        <v>0.42982091516851989</v>
      </c>
      <c r="L469" s="2">
        <f t="shared" si="197"/>
        <v>2.5806228133984552E-3</v>
      </c>
      <c r="M469" s="2">
        <f t="shared" si="198"/>
        <v>3.0603761820637992E-2</v>
      </c>
      <c r="N469" s="63">
        <v>31005</v>
      </c>
      <c r="O469" s="63">
        <v>24817</v>
      </c>
      <c r="P469" s="63">
        <v>149</v>
      </c>
      <c r="Q469" s="63">
        <v>1594</v>
      </c>
      <c r="R469" s="63">
        <v>154</v>
      </c>
      <c r="S469" s="63">
        <v>11</v>
      </c>
      <c r="T469" s="63"/>
      <c r="U469" s="63"/>
      <c r="V469" s="63"/>
      <c r="W469" s="63">
        <f>IF(Copyright!B$11=1,IF(CA469&gt;0,CA469-P469-SUM(X469:AQ469)-SUM(R469:V469),SUM(CB469:CM469)),SUM(CC469:CM469))</f>
        <v>7</v>
      </c>
      <c r="X469" s="63"/>
      <c r="Y469" s="63">
        <v>1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W469" s="5">
        <f>IF(Q469&gt;0,RANK(Q469,(N469:P469,Q469:AE469)),0)</f>
        <v>3</v>
      </c>
      <c r="AX469" s="5">
        <f>IF(R469&gt;0,RANK(R469,(N469:P469,Q469:AE469)),0)</f>
        <v>4</v>
      </c>
      <c r="AY469" s="5">
        <f>IF(T469&gt;0,RANK(T469,(N469:P469,Q469:AE469)),0)</f>
        <v>0</v>
      </c>
      <c r="AZ469" s="5">
        <f>IF(S469&gt;0,RANK(S469,(N469:P469,Q469:AE469)),0)</f>
        <v>6</v>
      </c>
      <c r="BA469" s="2">
        <f t="shared" si="199"/>
        <v>2.7607468218504277E-2</v>
      </c>
      <c r="BB469" s="2">
        <f t="shared" si="200"/>
        <v>2.6672208943849802E-3</v>
      </c>
      <c r="BC469" s="2">
        <f t="shared" si="201"/>
        <v>0</v>
      </c>
      <c r="BD469" s="2">
        <f t="shared" si="202"/>
        <v>1.9051577817035575E-4</v>
      </c>
      <c r="BF469" t="s">
        <v>1148</v>
      </c>
      <c r="BG469" t="s">
        <v>1156</v>
      </c>
      <c r="BH469">
        <v>13</v>
      </c>
      <c r="BJ469" s="114">
        <v>13</v>
      </c>
      <c r="BK469" s="116">
        <v>97</v>
      </c>
      <c r="BL469" s="120">
        <f t="shared" si="191"/>
        <v>13097</v>
      </c>
      <c r="BN469" s="5" t="s">
        <v>3154</v>
      </c>
      <c r="BR469" s="63"/>
      <c r="BY469" s="63">
        <f t="shared" si="190"/>
        <v>-57738</v>
      </c>
      <c r="CC469" s="1"/>
      <c r="CD469" s="1"/>
      <c r="CE469" s="1"/>
      <c r="CF469" s="1"/>
      <c r="CJ469" s="8">
        <v>3</v>
      </c>
      <c r="CM469" s="8">
        <v>4</v>
      </c>
    </row>
    <row r="470" spans="1:91" hidden="1" outlineLevel="1">
      <c r="A470" t="s">
        <v>2795</v>
      </c>
      <c r="B470" t="s">
        <v>1156</v>
      </c>
      <c r="C470" s="1">
        <f t="shared" si="192"/>
        <v>4785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32">
        <f t="shared" si="193"/>
        <v>384</v>
      </c>
      <c r="H470" s="137">
        <f t="shared" si="194"/>
        <v>8.0250783699059566E-2</v>
      </c>
      <c r="I470" s="2"/>
      <c r="J470" s="2">
        <f t="shared" si="195"/>
        <v>0.45308254963427375</v>
      </c>
      <c r="K470" s="2">
        <f t="shared" si="196"/>
        <v>0.53333333333333333</v>
      </c>
      <c r="L470" s="2">
        <f t="shared" si="197"/>
        <v>0</v>
      </c>
      <c r="M470" s="2">
        <f t="shared" si="198"/>
        <v>1.3584117032392928E-2</v>
      </c>
      <c r="N470" s="63">
        <v>2168</v>
      </c>
      <c r="O470" s="63">
        <v>2552</v>
      </c>
      <c r="P470" s="63"/>
      <c r="Q470" s="63">
        <v>65</v>
      </c>
      <c r="R470" s="63"/>
      <c r="S470" s="63"/>
      <c r="T470" s="63"/>
      <c r="U470" s="63"/>
      <c r="V470" s="63"/>
      <c r="W470" s="63">
        <f>IF(Copyright!B$11=1,IF(CA470&gt;0,CA470-P470-SUM(X470:AQ470)-SUM(R470:V470),SUM(CB470:CM470)),SUM(CC470:CM470))</f>
        <v>0</v>
      </c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W470" s="5">
        <f>IF(Q470&gt;0,RANK(Q470,(N470:P470,Q470:AE470)),0)</f>
        <v>3</v>
      </c>
      <c r="AX470" s="5">
        <f>IF(R470&gt;0,RANK(R470,(N470:P470,Q470:AE470)),0)</f>
        <v>0</v>
      </c>
      <c r="AY470" s="5">
        <f>IF(T470&gt;0,RANK(T470,(N470:P470,Q470:AE470)),0)</f>
        <v>0</v>
      </c>
      <c r="AZ470" s="5">
        <f>IF(S470&gt;0,RANK(S470,(N470:P470,Q470:AE470)),0)</f>
        <v>0</v>
      </c>
      <c r="BA470" s="2">
        <f t="shared" si="199"/>
        <v>1.3584117032392894E-2</v>
      </c>
      <c r="BB470" s="2">
        <f t="shared" si="200"/>
        <v>0</v>
      </c>
      <c r="BC470" s="2">
        <f t="shared" si="201"/>
        <v>0</v>
      </c>
      <c r="BD470" s="2">
        <f t="shared" si="202"/>
        <v>0</v>
      </c>
      <c r="BF470" t="s">
        <v>2795</v>
      </c>
      <c r="BG470" t="s">
        <v>1156</v>
      </c>
      <c r="BH470">
        <v>2</v>
      </c>
      <c r="BJ470" s="114">
        <v>13</v>
      </c>
      <c r="BK470" s="116">
        <v>99</v>
      </c>
      <c r="BL470" s="120">
        <f t="shared" si="191"/>
        <v>13099</v>
      </c>
      <c r="BN470" s="5" t="s">
        <v>3154</v>
      </c>
      <c r="BR470" s="63"/>
      <c r="BY470" s="63">
        <f t="shared" si="190"/>
        <v>-4785</v>
      </c>
      <c r="CC470" s="1"/>
      <c r="CD470" s="1"/>
      <c r="CE470" s="1"/>
      <c r="CF470" s="1"/>
    </row>
    <row r="471" spans="1:91" hidden="1" outlineLevel="1">
      <c r="A471" t="s">
        <v>2569</v>
      </c>
      <c r="B471" t="s">
        <v>1156</v>
      </c>
      <c r="C471" s="1">
        <f t="shared" si="192"/>
        <v>1182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4</v>
      </c>
      <c r="G471" s="132">
        <f t="shared" si="193"/>
        <v>851</v>
      </c>
      <c r="H471" s="137">
        <f t="shared" si="194"/>
        <v>0.71996615905245342</v>
      </c>
      <c r="I471" s="2"/>
      <c r="J471" s="2">
        <f t="shared" si="195"/>
        <v>0.13197969543147209</v>
      </c>
      <c r="K471" s="2">
        <f t="shared" si="196"/>
        <v>0.85194585448392557</v>
      </c>
      <c r="L471" s="2">
        <f t="shared" si="197"/>
        <v>5.076142131979695E-3</v>
      </c>
      <c r="M471" s="2">
        <f t="shared" si="198"/>
        <v>1.0998307952622704E-2</v>
      </c>
      <c r="N471" s="63">
        <v>156</v>
      </c>
      <c r="O471" s="63">
        <v>1007</v>
      </c>
      <c r="P471" s="63">
        <v>6</v>
      </c>
      <c r="Q471" s="63">
        <v>13</v>
      </c>
      <c r="R471" s="63"/>
      <c r="S471" s="63"/>
      <c r="T471" s="63"/>
      <c r="U471" s="63"/>
      <c r="V471" s="63"/>
      <c r="W471" s="63">
        <f>IF(Copyright!B$11=1,IF(CA471&gt;0,CA471-P471-SUM(X471:AQ471)-SUM(R471:V471),SUM(CB471:CM471)),SUM(CC471:CM471))</f>
        <v>0</v>
      </c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W471" s="5">
        <f>IF(Q471&gt;0,RANK(Q471,(N471:P471,Q471:AE471)),0)</f>
        <v>3</v>
      </c>
      <c r="AX471" s="5">
        <f>IF(R471&gt;0,RANK(R471,(N471:P471,Q471:AE471)),0)</f>
        <v>0</v>
      </c>
      <c r="AY471" s="5">
        <f>IF(T471&gt;0,RANK(T471,(N471:P471,Q471:AE471)),0)</f>
        <v>0</v>
      </c>
      <c r="AZ471" s="5">
        <f>IF(S471&gt;0,RANK(S471,(N471:P471,Q471:AE471)),0)</f>
        <v>0</v>
      </c>
      <c r="BA471" s="2">
        <f t="shared" si="199"/>
        <v>1.0998307952622674E-2</v>
      </c>
      <c r="BB471" s="2">
        <f t="shared" si="200"/>
        <v>0</v>
      </c>
      <c r="BC471" s="2">
        <f t="shared" si="201"/>
        <v>0</v>
      </c>
      <c r="BD471" s="2">
        <f t="shared" si="202"/>
        <v>0</v>
      </c>
      <c r="BF471" t="s">
        <v>2569</v>
      </c>
      <c r="BG471" t="s">
        <v>1156</v>
      </c>
      <c r="BH471">
        <v>1</v>
      </c>
      <c r="BJ471" s="114">
        <v>13</v>
      </c>
      <c r="BK471" s="116">
        <v>101</v>
      </c>
      <c r="BL471" s="120">
        <f t="shared" si="191"/>
        <v>13101</v>
      </c>
      <c r="BN471" s="5" t="s">
        <v>3154</v>
      </c>
      <c r="BR471" s="63"/>
      <c r="BY471" s="63">
        <f t="shared" si="190"/>
        <v>-1182</v>
      </c>
      <c r="CC471" s="1"/>
      <c r="CD471" s="1"/>
      <c r="CE471" s="1"/>
      <c r="CF471" s="1"/>
    </row>
    <row r="472" spans="1:91" hidden="1" outlineLevel="1">
      <c r="A472" t="s">
        <v>2325</v>
      </c>
      <c r="B472" t="s">
        <v>1156</v>
      </c>
      <c r="C472" s="1">
        <f t="shared" si="192"/>
        <v>23458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4</v>
      </c>
      <c r="G472" s="132">
        <f t="shared" si="193"/>
        <v>13021</v>
      </c>
      <c r="H472" s="137">
        <f t="shared" si="194"/>
        <v>0.55507715917810552</v>
      </c>
      <c r="I472" s="2"/>
      <c r="J472" s="2">
        <f t="shared" si="195"/>
        <v>0.20688038195924632</v>
      </c>
      <c r="K472" s="2">
        <f t="shared" si="196"/>
        <v>0.76195754113735181</v>
      </c>
      <c r="L472" s="2">
        <f t="shared" si="197"/>
        <v>1.108363884389121E-3</v>
      </c>
      <c r="M472" s="2">
        <f t="shared" si="198"/>
        <v>3.005371301901277E-2</v>
      </c>
      <c r="N472" s="63">
        <v>4853</v>
      </c>
      <c r="O472" s="63">
        <v>17874</v>
      </c>
      <c r="P472" s="63">
        <v>26</v>
      </c>
      <c r="Q472" s="63">
        <v>679</v>
      </c>
      <c r="R472" s="63">
        <v>17</v>
      </c>
      <c r="S472" s="63">
        <v>5</v>
      </c>
      <c r="T472" s="63"/>
      <c r="U472" s="63"/>
      <c r="V472" s="63"/>
      <c r="W472" s="63">
        <f>IF(Copyright!B$11=1,IF(CA472&gt;0,CA472-P472-SUM(X472:AQ472)-SUM(R472:V472),SUM(CB472:CM472)),SUM(CC472:CM472))</f>
        <v>0</v>
      </c>
      <c r="X472" s="63"/>
      <c r="Y472" s="63">
        <v>2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>
        <v>2</v>
      </c>
      <c r="AO472" s="63"/>
      <c r="AP472" s="63"/>
      <c r="AQ472" s="63"/>
      <c r="AR472" s="63"/>
      <c r="AS472" s="63"/>
      <c r="AT472" s="63"/>
      <c r="AU472" s="63"/>
      <c r="AW472" s="5">
        <f>IF(Q472&gt;0,RANK(Q472,(N472:P472,Q472:AE472)),0)</f>
        <v>3</v>
      </c>
      <c r="AX472" s="5">
        <f>IF(R472&gt;0,RANK(R472,(N472:P472,Q472:AE472)),0)</f>
        <v>5</v>
      </c>
      <c r="AY472" s="5">
        <f>IF(T472&gt;0,RANK(T472,(N472:P472,Q472:AE472)),0)</f>
        <v>0</v>
      </c>
      <c r="AZ472" s="5">
        <f>IF(S472&gt;0,RANK(S472,(N472:P472,Q472:AE472)),0)</f>
        <v>6</v>
      </c>
      <c r="BA472" s="2">
        <f t="shared" si="199"/>
        <v>2.8945349134623582E-2</v>
      </c>
      <c r="BB472" s="2">
        <f t="shared" si="200"/>
        <v>7.2469946286980984E-4</v>
      </c>
      <c r="BC472" s="2">
        <f t="shared" si="201"/>
        <v>0</v>
      </c>
      <c r="BD472" s="2">
        <f t="shared" si="202"/>
        <v>2.1314690084406172E-4</v>
      </c>
      <c r="BF472" t="s">
        <v>2325</v>
      </c>
      <c r="BG472" t="s">
        <v>1156</v>
      </c>
      <c r="BJ472" s="114">
        <v>13</v>
      </c>
      <c r="BK472" s="116">
        <v>103</v>
      </c>
      <c r="BL472" s="120">
        <f t="shared" si="191"/>
        <v>13103</v>
      </c>
      <c r="BN472" s="5" t="s">
        <v>3154</v>
      </c>
      <c r="BR472" s="63"/>
      <c r="BY472" s="63">
        <f t="shared" si="190"/>
        <v>-23458</v>
      </c>
      <c r="CC472" s="1"/>
      <c r="CD472" s="1"/>
      <c r="CE472" s="1"/>
      <c r="CF472" s="1"/>
    </row>
    <row r="473" spans="1:91" hidden="1" outlineLevel="1">
      <c r="A473" t="s">
        <v>468</v>
      </c>
      <c r="B473" t="s">
        <v>1156</v>
      </c>
      <c r="C473" s="1">
        <f t="shared" si="192"/>
        <v>7987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4</v>
      </c>
      <c r="G473" s="132">
        <f t="shared" si="193"/>
        <v>2753</v>
      </c>
      <c r="H473" s="137">
        <f t="shared" si="194"/>
        <v>0.34468511330912732</v>
      </c>
      <c r="I473" s="2"/>
      <c r="J473" s="2">
        <f t="shared" si="195"/>
        <v>0.3178915738074371</v>
      </c>
      <c r="K473" s="2">
        <f t="shared" si="196"/>
        <v>0.66257668711656437</v>
      </c>
      <c r="L473" s="2">
        <f t="shared" si="197"/>
        <v>1.3772380117691248E-3</v>
      </c>
      <c r="M473" s="2">
        <f t="shared" si="198"/>
        <v>1.8154501064229465E-2</v>
      </c>
      <c r="N473" s="63">
        <v>2539</v>
      </c>
      <c r="O473" s="63">
        <v>5292</v>
      </c>
      <c r="P473" s="63">
        <v>11</v>
      </c>
      <c r="Q473" s="63">
        <v>139</v>
      </c>
      <c r="R473" s="63">
        <v>6</v>
      </c>
      <c r="S473" s="63"/>
      <c r="T473" s="63"/>
      <c r="U473" s="63"/>
      <c r="V473" s="63"/>
      <c r="W473" s="63">
        <f>IF(Copyright!B$11=1,IF(CA473&gt;0,CA473-P473-SUM(X473:AQ473)-SUM(R473:V473),SUM(CB473:CM473)),SUM(CC473:CM473))</f>
        <v>0</v>
      </c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W473" s="5">
        <f>IF(Q473&gt;0,RANK(Q473,(N473:P473,Q473:AE473)),0)</f>
        <v>3</v>
      </c>
      <c r="AX473" s="5">
        <f>IF(R473&gt;0,RANK(R473,(N473:P473,Q473:AE473)),0)</f>
        <v>5</v>
      </c>
      <c r="AY473" s="5">
        <f>IF(T473&gt;0,RANK(T473,(N473:P473,Q473:AE473)),0)</f>
        <v>0</v>
      </c>
      <c r="AZ473" s="5">
        <f>IF(S473&gt;0,RANK(S473,(N473:P473,Q473:AE473)),0)</f>
        <v>0</v>
      </c>
      <c r="BA473" s="2">
        <f t="shared" si="199"/>
        <v>1.7403280330537122E-2</v>
      </c>
      <c r="BB473" s="2">
        <f t="shared" si="200"/>
        <v>7.5122073369224989E-4</v>
      </c>
      <c r="BC473" s="2">
        <f t="shared" si="201"/>
        <v>0</v>
      </c>
      <c r="BD473" s="2">
        <f t="shared" si="202"/>
        <v>0</v>
      </c>
      <c r="BF473" t="s">
        <v>468</v>
      </c>
      <c r="BG473" t="s">
        <v>1156</v>
      </c>
      <c r="BH473">
        <v>9</v>
      </c>
      <c r="BJ473" s="114">
        <v>13</v>
      </c>
      <c r="BK473" s="116">
        <v>105</v>
      </c>
      <c r="BL473" s="120">
        <f t="shared" si="191"/>
        <v>13105</v>
      </c>
      <c r="BN473" s="5" t="s">
        <v>3154</v>
      </c>
      <c r="BR473" s="63"/>
      <c r="BY473" s="63">
        <f t="shared" si="190"/>
        <v>-7987</v>
      </c>
      <c r="CC473" s="1"/>
      <c r="CD473" s="1"/>
      <c r="CE473" s="1"/>
      <c r="CF473" s="1"/>
    </row>
    <row r="474" spans="1:91" hidden="1" outlineLevel="1">
      <c r="A474" t="s">
        <v>2668</v>
      </c>
      <c r="B474" t="s">
        <v>1156</v>
      </c>
      <c r="C474" s="1">
        <f t="shared" si="192"/>
        <v>7860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4</v>
      </c>
      <c r="G474" s="132">
        <f t="shared" si="193"/>
        <v>2900</v>
      </c>
      <c r="H474" s="137">
        <f t="shared" si="194"/>
        <v>0.36895674300254455</v>
      </c>
      <c r="I474" s="2"/>
      <c r="J474" s="2">
        <f t="shared" si="195"/>
        <v>0.30979643765903309</v>
      </c>
      <c r="K474" s="2">
        <f t="shared" si="196"/>
        <v>0.67875318066157764</v>
      </c>
      <c r="L474" s="2">
        <f t="shared" si="197"/>
        <v>1.5267175572519084E-3</v>
      </c>
      <c r="M474" s="2">
        <f t="shared" si="198"/>
        <v>9.9236641221373684E-3</v>
      </c>
      <c r="N474" s="63">
        <v>2435</v>
      </c>
      <c r="O474" s="63">
        <v>5335</v>
      </c>
      <c r="P474" s="63">
        <v>12</v>
      </c>
      <c r="Q474" s="63">
        <v>75</v>
      </c>
      <c r="R474" s="63">
        <v>3</v>
      </c>
      <c r="S474" s="63"/>
      <c r="T474" s="63"/>
      <c r="U474" s="63"/>
      <c r="V474" s="63"/>
      <c r="W474" s="63">
        <f>IF(Copyright!B$11=1,IF(CA474&gt;0,CA474-P474-SUM(X474:AQ474)-SUM(R474:V474),SUM(CB474:CM474)),SUM(CC474:CM474))</f>
        <v>0</v>
      </c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W474" s="5">
        <f>IF(Q474&gt;0,RANK(Q474,(N474:P474,Q474:AE474)),0)</f>
        <v>3</v>
      </c>
      <c r="AX474" s="5">
        <f>IF(R474&gt;0,RANK(R474,(N474:P474,Q474:AE474)),0)</f>
        <v>5</v>
      </c>
      <c r="AY474" s="5">
        <f>IF(T474&gt;0,RANK(T474,(N474:P474,Q474:AE474)),0)</f>
        <v>0</v>
      </c>
      <c r="AZ474" s="5">
        <f>IF(S474&gt;0,RANK(S474,(N474:P474,Q474:AE474)),0)</f>
        <v>0</v>
      </c>
      <c r="BA474" s="2">
        <f t="shared" si="199"/>
        <v>9.5419847328244278E-3</v>
      </c>
      <c r="BB474" s="2">
        <f t="shared" si="200"/>
        <v>3.816793893129771E-4</v>
      </c>
      <c r="BC474" s="2">
        <f t="shared" si="201"/>
        <v>0</v>
      </c>
      <c r="BD474" s="2">
        <f t="shared" si="202"/>
        <v>0</v>
      </c>
      <c r="BF474" t="s">
        <v>2668</v>
      </c>
      <c r="BG474" t="s">
        <v>1156</v>
      </c>
      <c r="BH474">
        <v>12</v>
      </c>
      <c r="BJ474" s="114">
        <v>13</v>
      </c>
      <c r="BK474" s="116">
        <v>107</v>
      </c>
      <c r="BL474" s="120">
        <f t="shared" si="191"/>
        <v>13107</v>
      </c>
      <c r="BN474" s="5" t="s">
        <v>3154</v>
      </c>
      <c r="BR474" s="63"/>
      <c r="BY474" s="63">
        <f t="shared" si="190"/>
        <v>-7860</v>
      </c>
      <c r="CC474" s="1"/>
      <c r="CD474" s="1"/>
      <c r="CE474" s="1"/>
      <c r="CF474" s="1"/>
    </row>
    <row r="475" spans="1:91" hidden="1" outlineLevel="1">
      <c r="A475" t="s">
        <v>633</v>
      </c>
      <c r="B475" t="s">
        <v>1156</v>
      </c>
      <c r="C475" s="1">
        <f t="shared" si="192"/>
        <v>3613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4</v>
      </c>
      <c r="G475" s="132">
        <f t="shared" si="193"/>
        <v>1274</v>
      </c>
      <c r="H475" s="137">
        <f t="shared" si="194"/>
        <v>0.35261555494049268</v>
      </c>
      <c r="I475" s="2"/>
      <c r="J475" s="2">
        <f t="shared" si="195"/>
        <v>0.3127594796567949</v>
      </c>
      <c r="K475" s="2">
        <f t="shared" si="196"/>
        <v>0.66537503459728753</v>
      </c>
      <c r="L475" s="2">
        <f t="shared" si="197"/>
        <v>1.6606698034874066E-3</v>
      </c>
      <c r="M475" s="2">
        <f t="shared" si="198"/>
        <v>2.0204815942430107E-2</v>
      </c>
      <c r="N475" s="63">
        <v>1130</v>
      </c>
      <c r="O475" s="63">
        <v>2404</v>
      </c>
      <c r="P475" s="63">
        <v>6</v>
      </c>
      <c r="Q475" s="63">
        <v>68</v>
      </c>
      <c r="R475" s="63">
        <v>2</v>
      </c>
      <c r="S475" s="63">
        <v>3</v>
      </c>
      <c r="T475" s="63"/>
      <c r="U475" s="63"/>
      <c r="V475" s="63"/>
      <c r="W475" s="63">
        <f>IF(Copyright!B$11=1,IF(CA475&gt;0,CA475-P475-SUM(X475:AQ475)-SUM(R475:V475),SUM(CB475:CM475)),SUM(CC475:CM475))</f>
        <v>0</v>
      </c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W475" s="5">
        <f>IF(Q475&gt;0,RANK(Q475,(N475:P475,Q475:AE475)),0)</f>
        <v>3</v>
      </c>
      <c r="AX475" s="5">
        <f>IF(R475&gt;0,RANK(R475,(N475:P475,Q475:AE475)),0)</f>
        <v>6</v>
      </c>
      <c r="AY475" s="5">
        <f>IF(T475&gt;0,RANK(T475,(N475:P475,Q475:AE475)),0)</f>
        <v>0</v>
      </c>
      <c r="AZ475" s="5">
        <f>IF(S475&gt;0,RANK(S475,(N475:P475,Q475:AE475)),0)</f>
        <v>5</v>
      </c>
      <c r="BA475" s="2">
        <f t="shared" si="199"/>
        <v>1.8820924439523941E-2</v>
      </c>
      <c r="BB475" s="2">
        <f t="shared" si="200"/>
        <v>5.5355660116246884E-4</v>
      </c>
      <c r="BC475" s="2">
        <f t="shared" si="201"/>
        <v>0</v>
      </c>
      <c r="BD475" s="2">
        <f t="shared" si="202"/>
        <v>8.3033490174370332E-4</v>
      </c>
      <c r="BF475" t="s">
        <v>633</v>
      </c>
      <c r="BG475" t="s">
        <v>1156</v>
      </c>
      <c r="BH475">
        <v>12</v>
      </c>
      <c r="BJ475" s="114">
        <v>13</v>
      </c>
      <c r="BK475" s="116">
        <v>109</v>
      </c>
      <c r="BL475" s="120">
        <f t="shared" si="191"/>
        <v>13109</v>
      </c>
      <c r="BN475" s="5" t="s">
        <v>3154</v>
      </c>
      <c r="BR475" s="63"/>
      <c r="BY475" s="63">
        <f t="shared" si="190"/>
        <v>-3613</v>
      </c>
      <c r="CC475" s="1"/>
      <c r="CD475" s="1"/>
      <c r="CE475" s="1"/>
      <c r="CF475" s="1"/>
    </row>
    <row r="476" spans="1:91" hidden="1" outlineLevel="1">
      <c r="A476" t="s">
        <v>2090</v>
      </c>
      <c r="B476" t="s">
        <v>1156</v>
      </c>
      <c r="C476" s="1">
        <f t="shared" si="192"/>
        <v>11876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5</v>
      </c>
      <c r="G476" s="132">
        <f t="shared" si="193"/>
        <v>7709</v>
      </c>
      <c r="H476" s="137">
        <f t="shared" si="194"/>
        <v>0.64912428427079827</v>
      </c>
      <c r="I476" s="2"/>
      <c r="J476" s="2">
        <f t="shared" si="195"/>
        <v>0.16192320646682384</v>
      </c>
      <c r="K476" s="2">
        <f t="shared" si="196"/>
        <v>0.81104749073762206</v>
      </c>
      <c r="L476" s="2">
        <f t="shared" si="197"/>
        <v>1.5156618390030313E-3</v>
      </c>
      <c r="M476" s="2">
        <f t="shared" si="198"/>
        <v>2.5513640956551013E-2</v>
      </c>
      <c r="N476" s="63">
        <v>1923</v>
      </c>
      <c r="O476" s="63">
        <v>9632</v>
      </c>
      <c r="P476" s="63">
        <v>18</v>
      </c>
      <c r="Q476" s="63">
        <v>222</v>
      </c>
      <c r="R476" s="63">
        <v>17</v>
      </c>
      <c r="S476" s="63"/>
      <c r="T476" s="63"/>
      <c r="U476" s="63"/>
      <c r="V476" s="63"/>
      <c r="W476" s="63">
        <f>IF(Copyright!B$11=1,IF(CA476&gt;0,CA476-P476-SUM(X476:AQ476)-SUM(R476:V476),SUM(CB476:CM476)),SUM(CC476:CM476))</f>
        <v>64</v>
      </c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W476" s="5">
        <f>IF(Q476&gt;0,RANK(Q476,(N476:P476,Q476:AE476)),0)</f>
        <v>3</v>
      </c>
      <c r="AX476" s="5">
        <f>IF(R476&gt;0,RANK(R476,(N476:P476,Q476:AE476)),0)</f>
        <v>6</v>
      </c>
      <c r="AY476" s="5">
        <f>IF(T476&gt;0,RANK(T476,(N476:P476,Q476:AE476)),0)</f>
        <v>0</v>
      </c>
      <c r="AZ476" s="5">
        <f>IF(S476&gt;0,RANK(S476,(N476:P476,Q476:AE476)),0)</f>
        <v>0</v>
      </c>
      <c r="BA476" s="2">
        <f t="shared" si="199"/>
        <v>1.8693162681037385E-2</v>
      </c>
      <c r="BB476" s="2">
        <f t="shared" si="200"/>
        <v>1.4314584035028629E-3</v>
      </c>
      <c r="BC476" s="2">
        <f t="shared" si="201"/>
        <v>0</v>
      </c>
      <c r="BD476" s="2">
        <f t="shared" si="202"/>
        <v>0</v>
      </c>
      <c r="BF476" t="s">
        <v>2090</v>
      </c>
      <c r="BG476" t="s">
        <v>1156</v>
      </c>
      <c r="BH476">
        <v>9</v>
      </c>
      <c r="BJ476" s="114">
        <v>13</v>
      </c>
      <c r="BK476" s="116">
        <v>111</v>
      </c>
      <c r="BL476" s="120">
        <f t="shared" si="191"/>
        <v>13111</v>
      </c>
      <c r="BN476" s="5" t="s">
        <v>3154</v>
      </c>
      <c r="BR476" s="63"/>
      <c r="BY476" s="63">
        <f t="shared" si="190"/>
        <v>0</v>
      </c>
      <c r="BZ476" s="63">
        <v>11876</v>
      </c>
      <c r="CA476" s="132">
        <v>99</v>
      </c>
      <c r="CC476" s="1"/>
      <c r="CD476" s="1"/>
      <c r="CE476" s="1"/>
      <c r="CF476" s="1"/>
    </row>
    <row r="477" spans="1:91" hidden="1" outlineLevel="1">
      <c r="A477" t="s">
        <v>1416</v>
      </c>
      <c r="B477" t="s">
        <v>1156</v>
      </c>
      <c r="C477" s="1">
        <f t="shared" si="192"/>
        <v>61511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5</v>
      </c>
      <c r="G477" s="132">
        <f t="shared" si="193"/>
        <v>11764</v>
      </c>
      <c r="H477" s="137">
        <f t="shared" si="194"/>
        <v>0.1912503454666645</v>
      </c>
      <c r="I477" s="2"/>
      <c r="J477" s="2">
        <f t="shared" si="195"/>
        <v>0.3785339207621401</v>
      </c>
      <c r="K477" s="2">
        <f t="shared" si="196"/>
        <v>0.56978426622880463</v>
      </c>
      <c r="L477" s="2">
        <f t="shared" si="197"/>
        <v>5.7225536895839767E-3</v>
      </c>
      <c r="M477" s="2">
        <f t="shared" si="198"/>
        <v>4.5959259319471299E-2</v>
      </c>
      <c r="N477" s="63">
        <v>23284</v>
      </c>
      <c r="O477" s="63">
        <v>35048</v>
      </c>
      <c r="P477" s="63">
        <v>352</v>
      </c>
      <c r="Q477" s="63">
        <v>2103</v>
      </c>
      <c r="R477" s="63">
        <v>117</v>
      </c>
      <c r="S477" s="63">
        <v>7</v>
      </c>
      <c r="T477" s="63"/>
      <c r="U477" s="63"/>
      <c r="V477" s="63"/>
      <c r="W477" s="63">
        <f>IF(Copyright!B$11=1,IF(CA477&gt;0,CA477-P477-SUM(X477:AQ477)-SUM(R477:V477),SUM(CB477:CM477)),SUM(CC477:CM477))</f>
        <v>598</v>
      </c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>
        <v>2</v>
      </c>
      <c r="AO477" s="63"/>
      <c r="AP477" s="63"/>
      <c r="AQ477" s="63"/>
      <c r="AR477" s="63"/>
      <c r="AS477" s="63"/>
      <c r="AT477" s="63"/>
      <c r="AU477" s="63"/>
      <c r="AW477" s="5">
        <f>IF(Q477&gt;0,RANK(Q477,(N477:P477,Q477:AE477)),0)</f>
        <v>3</v>
      </c>
      <c r="AX477" s="5">
        <f>IF(R477&gt;0,RANK(R477,(N477:P477,Q477:AE477)),0)</f>
        <v>6</v>
      </c>
      <c r="AY477" s="5">
        <f>IF(T477&gt;0,RANK(T477,(N477:P477,Q477:AE477)),0)</f>
        <v>0</v>
      </c>
      <c r="AZ477" s="5">
        <f>IF(S477&gt;0,RANK(S477,(N477:P477,Q477:AE477)),0)</f>
        <v>7</v>
      </c>
      <c r="BA477" s="2">
        <f t="shared" si="199"/>
        <v>3.4189006844304273E-2</v>
      </c>
      <c r="BB477" s="2">
        <f t="shared" si="200"/>
        <v>1.9020988115946741E-3</v>
      </c>
      <c r="BC477" s="2">
        <f t="shared" si="201"/>
        <v>0</v>
      </c>
      <c r="BD477" s="2">
        <f t="shared" si="202"/>
        <v>1.1380078359968136E-4</v>
      </c>
      <c r="BF477" t="s">
        <v>1416</v>
      </c>
      <c r="BG477" t="s">
        <v>1156</v>
      </c>
      <c r="BJ477" s="114">
        <v>13</v>
      </c>
      <c r="BK477" s="116">
        <v>113</v>
      </c>
      <c r="BL477" s="120">
        <f t="shared" si="191"/>
        <v>13113</v>
      </c>
      <c r="BN477" s="5" t="s">
        <v>3154</v>
      </c>
      <c r="BR477" s="63"/>
      <c r="BY477" s="63">
        <f t="shared" si="190"/>
        <v>0</v>
      </c>
      <c r="BZ477" s="63">
        <v>61511</v>
      </c>
      <c r="CA477" s="63">
        <v>1076</v>
      </c>
      <c r="CC477" s="1"/>
      <c r="CD477" s="1"/>
      <c r="CE477" s="1"/>
      <c r="CF477" s="1"/>
    </row>
    <row r="478" spans="1:91" hidden="1" outlineLevel="1">
      <c r="A478" t="s">
        <v>2935</v>
      </c>
      <c r="B478" t="s">
        <v>1156</v>
      </c>
      <c r="C478" s="1">
        <f t="shared" si="192"/>
        <v>34860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5</v>
      </c>
      <c r="G478" s="132">
        <f t="shared" si="193"/>
        <v>14955</v>
      </c>
      <c r="H478" s="137">
        <f t="shared" si="194"/>
        <v>0.42900172117039587</v>
      </c>
      <c r="I478" s="2"/>
      <c r="J478" s="2">
        <f t="shared" si="195"/>
        <v>0.26273666092943199</v>
      </c>
      <c r="K478" s="2">
        <f t="shared" si="196"/>
        <v>0.69173838209982785</v>
      </c>
      <c r="L478" s="2">
        <f t="shared" si="197"/>
        <v>4.5897877223178424E-3</v>
      </c>
      <c r="M478" s="2">
        <f t="shared" si="198"/>
        <v>4.0935169248422373E-2</v>
      </c>
      <c r="N478" s="63">
        <v>9159</v>
      </c>
      <c r="O478" s="63">
        <v>24114</v>
      </c>
      <c r="P478" s="63">
        <v>160</v>
      </c>
      <c r="Q478" s="63">
        <v>1084</v>
      </c>
      <c r="R478" s="63">
        <v>74</v>
      </c>
      <c r="S478" s="63">
        <v>6</v>
      </c>
      <c r="T478" s="63"/>
      <c r="U478" s="63"/>
      <c r="V478" s="63"/>
      <c r="W478" s="63">
        <f>IF(Copyright!B$11=1,IF(CA478&gt;0,CA478-P478-SUM(X478:AQ478)-SUM(R478:V478),SUM(CB478:CM478)),SUM(CC478:CM478))</f>
        <v>252</v>
      </c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>
        <v>11</v>
      </c>
      <c r="AO478" s="63"/>
      <c r="AP478" s="63"/>
      <c r="AQ478" s="63"/>
      <c r="AR478" s="63"/>
      <c r="AS478" s="63"/>
      <c r="AT478" s="63"/>
      <c r="AU478" s="63"/>
      <c r="AW478" s="5">
        <f>IF(Q478&gt;0,RANK(Q478,(N478:P478,Q478:AE478)),0)</f>
        <v>3</v>
      </c>
      <c r="AX478" s="5">
        <f>IF(R478&gt;0,RANK(R478,(N478:P478,Q478:AE478)),0)</f>
        <v>6</v>
      </c>
      <c r="AY478" s="5">
        <f>IF(T478&gt;0,RANK(T478,(N478:P478,Q478:AE478)),0)</f>
        <v>0</v>
      </c>
      <c r="AZ478" s="5">
        <f>IF(S478&gt;0,RANK(S478,(N478:P478,Q478:AE478)),0)</f>
        <v>7</v>
      </c>
      <c r="BA478" s="2">
        <f t="shared" si="199"/>
        <v>3.1095811818703384E-2</v>
      </c>
      <c r="BB478" s="2">
        <f t="shared" si="200"/>
        <v>2.1227768215720021E-3</v>
      </c>
      <c r="BC478" s="2">
        <f t="shared" si="201"/>
        <v>0</v>
      </c>
      <c r="BD478" s="2">
        <f t="shared" si="202"/>
        <v>1.7211703958691912E-4</v>
      </c>
      <c r="BF478" t="s">
        <v>2935</v>
      </c>
      <c r="BG478" t="s">
        <v>1156</v>
      </c>
      <c r="BH478">
        <v>14</v>
      </c>
      <c r="BJ478" s="114">
        <v>13</v>
      </c>
      <c r="BK478" s="116">
        <v>115</v>
      </c>
      <c r="BL478" s="120">
        <f t="shared" si="191"/>
        <v>13115</v>
      </c>
      <c r="BN478" s="5" t="s">
        <v>3154</v>
      </c>
      <c r="BR478" s="63"/>
      <c r="BY478" s="63">
        <f t="shared" si="190"/>
        <v>0</v>
      </c>
      <c r="BZ478" s="63">
        <v>34860</v>
      </c>
      <c r="CA478" s="63">
        <v>503</v>
      </c>
      <c r="CC478" s="1"/>
      <c r="CD478" s="1"/>
      <c r="CE478" s="1"/>
      <c r="CF478" s="1"/>
    </row>
    <row r="479" spans="1:91" hidden="1" outlineLevel="1">
      <c r="A479" t="s">
        <v>3040</v>
      </c>
      <c r="B479" t="s">
        <v>1156</v>
      </c>
      <c r="C479" s="1">
        <f t="shared" si="192"/>
        <v>98964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5</v>
      </c>
      <c r="G479" s="132">
        <f t="shared" si="193"/>
        <v>46389</v>
      </c>
      <c r="H479" s="137">
        <f t="shared" si="194"/>
        <v>0.46874621074330058</v>
      </c>
      <c r="I479" s="2"/>
      <c r="J479" s="2">
        <f t="shared" si="195"/>
        <v>0.23707610848389313</v>
      </c>
      <c r="K479" s="2">
        <f t="shared" si="196"/>
        <v>0.70582231922719374</v>
      </c>
      <c r="L479" s="2">
        <f t="shared" si="197"/>
        <v>5.9213451356048665E-3</v>
      </c>
      <c r="M479" s="2">
        <f t="shared" si="198"/>
        <v>5.1180227153308236E-2</v>
      </c>
      <c r="N479" s="63">
        <v>23462</v>
      </c>
      <c r="O479" s="63">
        <v>69851</v>
      </c>
      <c r="P479" s="63">
        <v>586</v>
      </c>
      <c r="Q479" s="63">
        <v>4091</v>
      </c>
      <c r="R479" s="63">
        <v>166</v>
      </c>
      <c r="S479" s="63">
        <v>52</v>
      </c>
      <c r="T479" s="63"/>
      <c r="U479" s="63"/>
      <c r="V479" s="63"/>
      <c r="W479" s="63">
        <f>IF(Copyright!B$11=1,IF(CA479&gt;0,CA479-P479-SUM(X479:AQ479)-SUM(R479:V479),SUM(CB479:CM479)),SUM(CC479:CM479))</f>
        <v>745</v>
      </c>
      <c r="X479" s="63"/>
      <c r="Y479" s="63">
        <v>2</v>
      </c>
      <c r="Z479" s="63"/>
      <c r="AA479" s="63"/>
      <c r="AB479" s="63"/>
      <c r="AC479" s="63"/>
      <c r="AD479" s="63"/>
      <c r="AE479" s="63">
        <v>1</v>
      </c>
      <c r="AF479" s="63"/>
      <c r="AG479" s="63"/>
      <c r="AH479" s="63"/>
      <c r="AI479" s="63"/>
      <c r="AJ479" s="63"/>
      <c r="AK479" s="63"/>
      <c r="AL479" s="63"/>
      <c r="AM479" s="63"/>
      <c r="AN479" s="63">
        <v>7</v>
      </c>
      <c r="AO479" s="63"/>
      <c r="AP479" s="63"/>
      <c r="AQ479" s="63">
        <v>1</v>
      </c>
      <c r="AR479" s="63"/>
      <c r="AS479" s="63"/>
      <c r="AT479" s="63"/>
      <c r="AU479" s="63"/>
      <c r="AW479" s="5">
        <f>IF(Q479&gt;0,RANK(Q479,(N479:P479,Q479:AE479)),0)</f>
        <v>3</v>
      </c>
      <c r="AX479" s="5">
        <f>IF(R479&gt;0,RANK(R479,(N479:P479,Q479:AE479)),0)</f>
        <v>6</v>
      </c>
      <c r="AY479" s="5">
        <f>IF(T479&gt;0,RANK(T479,(N479:P479,Q479:AE479)),0)</f>
        <v>0</v>
      </c>
      <c r="AZ479" s="5">
        <f>IF(S479&gt;0,RANK(S479,(N479:P479,Q479:AE479)),0)</f>
        <v>7</v>
      </c>
      <c r="BA479" s="2">
        <f t="shared" si="199"/>
        <v>4.1338264419384825E-2</v>
      </c>
      <c r="BB479" s="2">
        <f t="shared" si="200"/>
        <v>1.6773776322703206E-3</v>
      </c>
      <c r="BC479" s="2">
        <f t="shared" si="201"/>
        <v>0</v>
      </c>
      <c r="BD479" s="2">
        <f t="shared" si="202"/>
        <v>5.2544359565094383E-4</v>
      </c>
      <c r="BF479" t="s">
        <v>3040</v>
      </c>
      <c r="BG479" t="s">
        <v>1156</v>
      </c>
      <c r="BJ479" s="114">
        <v>13</v>
      </c>
      <c r="BK479" s="116">
        <v>117</v>
      </c>
      <c r="BL479" s="120">
        <f t="shared" si="191"/>
        <v>13117</v>
      </c>
      <c r="BN479" s="5" t="s">
        <v>3154</v>
      </c>
      <c r="BR479" s="63"/>
      <c r="BY479" s="63">
        <f t="shared" si="190"/>
        <v>0</v>
      </c>
      <c r="BZ479" s="63">
        <v>98964</v>
      </c>
      <c r="CA479" s="63">
        <v>1560</v>
      </c>
      <c r="CC479" s="1"/>
      <c r="CD479" s="1"/>
      <c r="CE479" s="1">
        <v>2</v>
      </c>
      <c r="CF479" s="1"/>
    </row>
    <row r="480" spans="1:91" hidden="1" outlineLevel="1">
      <c r="A480" t="s">
        <v>1138</v>
      </c>
      <c r="B480" t="s">
        <v>1156</v>
      </c>
      <c r="C480" s="1">
        <f t="shared" si="192"/>
        <v>8550</v>
      </c>
      <c r="D480" s="5">
        <f>IF(N480&gt;0, RANK(N480,(N480:P480,Q480:AE480)),0)</f>
        <v>2</v>
      </c>
      <c r="E480" s="5">
        <f>IF(O480&gt;0,RANK(O480,(N480:P480,Q480:AE480)),0)</f>
        <v>1</v>
      </c>
      <c r="F480" s="5">
        <f>IF(P480&gt;0,RANK(P480,(N480:P480,Q480:AE480)),0)</f>
        <v>5</v>
      </c>
      <c r="G480" s="132">
        <f t="shared" si="193"/>
        <v>5811</v>
      </c>
      <c r="H480" s="137">
        <f t="shared" si="194"/>
        <v>0.6796491228070175</v>
      </c>
      <c r="I480" s="2"/>
      <c r="J480" s="2">
        <f t="shared" si="195"/>
        <v>0.14538011695906433</v>
      </c>
      <c r="K480" s="2">
        <f t="shared" si="196"/>
        <v>0.82502923976608189</v>
      </c>
      <c r="L480" s="2">
        <f t="shared" si="197"/>
        <v>1.9883040935672514E-3</v>
      </c>
      <c r="M480" s="2">
        <f t="shared" si="198"/>
        <v>2.7602339181286583E-2</v>
      </c>
      <c r="N480" s="63">
        <v>1243</v>
      </c>
      <c r="O480" s="63">
        <v>7054</v>
      </c>
      <c r="P480" s="63">
        <v>17</v>
      </c>
      <c r="Q480" s="63">
        <v>177</v>
      </c>
      <c r="R480" s="63">
        <v>7</v>
      </c>
      <c r="S480" s="63">
        <v>3</v>
      </c>
      <c r="T480" s="63"/>
      <c r="U480" s="63"/>
      <c r="V480" s="63"/>
      <c r="W480" s="63">
        <f>IF(Copyright!B$11=1,IF(CA480&gt;0,CA480-P480-SUM(X480:AQ480)-SUM(R480:V480),SUM(CB480:CM480)),SUM(CC480:CM480))</f>
        <v>49</v>
      </c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W480" s="5">
        <f>IF(Q480&gt;0,RANK(Q480,(N480:P480,Q480:AE480)),0)</f>
        <v>3</v>
      </c>
      <c r="AX480" s="5">
        <f>IF(R480&gt;0,RANK(R480,(N480:P480,Q480:AE480)),0)</f>
        <v>6</v>
      </c>
      <c r="AY480" s="5">
        <f>IF(T480&gt;0,RANK(T480,(N480:P480,Q480:AE480)),0)</f>
        <v>0</v>
      </c>
      <c r="AZ480" s="5">
        <f>IF(S480&gt;0,RANK(S480,(N480:P480,Q480:AE480)),0)</f>
        <v>7</v>
      </c>
      <c r="BA480" s="2">
        <f t="shared" si="199"/>
        <v>2.0701754385964912E-2</v>
      </c>
      <c r="BB480" s="2">
        <f t="shared" si="200"/>
        <v>8.1871345029239765E-4</v>
      </c>
      <c r="BC480" s="2">
        <f t="shared" si="201"/>
        <v>0</v>
      </c>
      <c r="BD480" s="2">
        <f t="shared" si="202"/>
        <v>3.5087719298245611E-4</v>
      </c>
      <c r="BF480" t="s">
        <v>1138</v>
      </c>
      <c r="BG480" t="s">
        <v>1156</v>
      </c>
      <c r="BH480">
        <v>9</v>
      </c>
      <c r="BJ480" s="114">
        <v>13</v>
      </c>
      <c r="BK480" s="116">
        <v>119</v>
      </c>
      <c r="BL480" s="120">
        <f t="shared" si="191"/>
        <v>13119</v>
      </c>
      <c r="BN480" s="5" t="s">
        <v>3154</v>
      </c>
      <c r="BR480" s="63"/>
      <c r="BY480" s="63">
        <f t="shared" si="190"/>
        <v>0</v>
      </c>
      <c r="BZ480" s="63">
        <v>8550</v>
      </c>
      <c r="CA480" s="63">
        <v>76</v>
      </c>
      <c r="CC480" s="1"/>
      <c r="CD480" s="1"/>
      <c r="CE480" s="1">
        <v>1</v>
      </c>
      <c r="CF480" s="1"/>
    </row>
    <row r="481" spans="1:91" hidden="1" outlineLevel="1">
      <c r="A481" t="s">
        <v>2388</v>
      </c>
      <c r="B481" t="s">
        <v>1156</v>
      </c>
      <c r="C481" s="1">
        <f t="shared" si="192"/>
        <v>438751</v>
      </c>
      <c r="D481" s="5">
        <f>IF(N481&gt;0, RANK(N481,(N481:P481,Q481:AE481)),0)</f>
        <v>1</v>
      </c>
      <c r="E481" s="5">
        <f>IF(O481&gt;0,RANK(O481,(N481:P481,Q481:AE481)),0)</f>
        <v>2</v>
      </c>
      <c r="F481" s="5">
        <f>IF(P481&gt;0,RANK(P481,(N481:P481,Q481:AE481)),0)</f>
        <v>5</v>
      </c>
      <c r="G481" s="132">
        <f t="shared" si="193"/>
        <v>179268</v>
      </c>
      <c r="H481" s="137">
        <f t="shared" si="194"/>
        <v>0.40858710293537792</v>
      </c>
      <c r="I481" s="2"/>
      <c r="J481" s="2">
        <f t="shared" si="195"/>
        <v>0.67703777313328062</v>
      </c>
      <c r="K481" s="2">
        <f t="shared" si="196"/>
        <v>0.2684506701979027</v>
      </c>
      <c r="L481" s="2">
        <f t="shared" si="197"/>
        <v>9.3219160754049563E-4</v>
      </c>
      <c r="M481" s="2">
        <f t="shared" si="198"/>
        <v>5.3579365061276189E-2</v>
      </c>
      <c r="N481" s="63">
        <v>297051</v>
      </c>
      <c r="O481" s="63">
        <v>117783</v>
      </c>
      <c r="P481" s="63">
        <v>409</v>
      </c>
      <c r="Q481" s="63">
        <v>15765</v>
      </c>
      <c r="R481" s="63">
        <v>361</v>
      </c>
      <c r="S481" s="63">
        <v>10</v>
      </c>
      <c r="T481" s="63"/>
      <c r="U481" s="63"/>
      <c r="V481" s="63"/>
      <c r="W481" s="63">
        <f>IF(Copyright!B$11=1,IF(CA481&gt;0,CA481-P481-SUM(X481:AQ481)-SUM(R481:V481),SUM(CB481:CM481)),SUM(CC481:CM481))</f>
        <v>7370</v>
      </c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>
        <v>2</v>
      </c>
      <c r="AR481" s="63"/>
      <c r="AS481" s="63"/>
      <c r="AT481" s="63"/>
      <c r="AU481" s="63"/>
      <c r="AW481" s="5">
        <f>IF(Q481&gt;0,RANK(Q481,(N481:P481,Q481:AE481)),0)</f>
        <v>3</v>
      </c>
      <c r="AX481" s="5">
        <f>IF(R481&gt;0,RANK(R481,(N481:P481,Q481:AE481)),0)</f>
        <v>6</v>
      </c>
      <c r="AY481" s="5">
        <f>IF(T481&gt;0,RANK(T481,(N481:P481,Q481:AE481)),0)</f>
        <v>0</v>
      </c>
      <c r="AZ481" s="5">
        <f>IF(S481&gt;0,RANK(S481,(N481:P481,Q481:AE481)),0)</f>
        <v>7</v>
      </c>
      <c r="BA481" s="2">
        <f t="shared" si="199"/>
        <v>3.5931542036371431E-2</v>
      </c>
      <c r="BB481" s="2">
        <f t="shared" si="200"/>
        <v>8.2279014748684338E-4</v>
      </c>
      <c r="BC481" s="2">
        <f t="shared" si="201"/>
        <v>0</v>
      </c>
      <c r="BD481" s="2">
        <f t="shared" si="202"/>
        <v>2.2791970844510896E-5</v>
      </c>
      <c r="BF481" t="s">
        <v>2388</v>
      </c>
      <c r="BG481" t="s">
        <v>1156</v>
      </c>
      <c r="BJ481" s="114">
        <v>13</v>
      </c>
      <c r="BK481" s="116">
        <v>121</v>
      </c>
      <c r="BL481" s="120">
        <f t="shared" si="191"/>
        <v>13121</v>
      </c>
      <c r="BN481" s="5" t="s">
        <v>3154</v>
      </c>
      <c r="BR481" s="63"/>
      <c r="BY481" s="63">
        <f t="shared" si="190"/>
        <v>0</v>
      </c>
      <c r="BZ481" s="63">
        <v>438751</v>
      </c>
      <c r="CA481" s="63">
        <v>8152</v>
      </c>
      <c r="CC481" s="1"/>
      <c r="CD481" s="1"/>
      <c r="CE481" s="1"/>
      <c r="CF481" s="1"/>
      <c r="CG481" s="8">
        <v>1</v>
      </c>
      <c r="CH481" s="8">
        <v>1</v>
      </c>
      <c r="CJ481" s="8">
        <v>3</v>
      </c>
      <c r="CK481" s="8">
        <v>2</v>
      </c>
      <c r="CM481" s="8">
        <v>3</v>
      </c>
    </row>
    <row r="482" spans="1:91" hidden="1" outlineLevel="1">
      <c r="A482" t="s">
        <v>2743</v>
      </c>
      <c r="B482" t="s">
        <v>1156</v>
      </c>
      <c r="C482" s="1">
        <f t="shared" si="192"/>
        <v>12773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4</v>
      </c>
      <c r="G482" s="132">
        <f t="shared" si="193"/>
        <v>8512</v>
      </c>
      <c r="H482" s="137">
        <f t="shared" si="194"/>
        <v>0.66640569952243012</v>
      </c>
      <c r="I482" s="2"/>
      <c r="J482" s="2">
        <f t="shared" si="195"/>
        <v>0.15384013152744069</v>
      </c>
      <c r="K482" s="2">
        <f t="shared" si="196"/>
        <v>0.82024583104987081</v>
      </c>
      <c r="L482" s="2">
        <f t="shared" si="197"/>
        <v>1.3309324356063571E-3</v>
      </c>
      <c r="M482" s="2">
        <f t="shared" si="198"/>
        <v>2.458310498708214E-2</v>
      </c>
      <c r="N482" s="63">
        <v>1965</v>
      </c>
      <c r="O482" s="63">
        <v>10477</v>
      </c>
      <c r="P482" s="63">
        <v>17</v>
      </c>
      <c r="Q482" s="63">
        <v>293</v>
      </c>
      <c r="R482" s="63">
        <v>16</v>
      </c>
      <c r="S482" s="63">
        <v>4</v>
      </c>
      <c r="T482" s="63"/>
      <c r="U482" s="63"/>
      <c r="V482" s="63"/>
      <c r="W482" s="63">
        <f>IF(Copyright!B$11=1,IF(CA482&gt;0,CA482-P482-SUM(X482:AQ482)-SUM(R482:V482),SUM(CB482:CM482)),SUM(CC482:CM482))</f>
        <v>1</v>
      </c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W482" s="5">
        <f>IF(Q482&gt;0,RANK(Q482,(N482:P482,Q482:AE482)),0)</f>
        <v>3</v>
      </c>
      <c r="AX482" s="5">
        <f>IF(R482&gt;0,RANK(R482,(N482:P482,Q482:AE482)),0)</f>
        <v>5</v>
      </c>
      <c r="AY482" s="5">
        <f>IF(T482&gt;0,RANK(T482,(N482:P482,Q482:AE482)),0)</f>
        <v>0</v>
      </c>
      <c r="AZ482" s="5">
        <f>IF(S482&gt;0,RANK(S482,(N482:P482,Q482:AE482)),0)</f>
        <v>6</v>
      </c>
      <c r="BA482" s="2">
        <f t="shared" si="199"/>
        <v>2.2939011978391922E-2</v>
      </c>
      <c r="BB482" s="2">
        <f t="shared" si="200"/>
        <v>1.252642292335395E-3</v>
      </c>
      <c r="BC482" s="2">
        <f t="shared" si="201"/>
        <v>0</v>
      </c>
      <c r="BD482" s="2">
        <f t="shared" si="202"/>
        <v>3.1316057308384876E-4</v>
      </c>
      <c r="BF482" t="s">
        <v>2743</v>
      </c>
      <c r="BG482" t="s">
        <v>1156</v>
      </c>
      <c r="BH482">
        <v>9</v>
      </c>
      <c r="BJ482" s="114">
        <v>13</v>
      </c>
      <c r="BK482" s="116">
        <v>123</v>
      </c>
      <c r="BL482" s="120">
        <f t="shared" si="191"/>
        <v>13123</v>
      </c>
      <c r="BN482" s="5" t="s">
        <v>3154</v>
      </c>
      <c r="BR482" s="63"/>
      <c r="BY482" s="63">
        <f t="shared" si="190"/>
        <v>-12773</v>
      </c>
      <c r="CC482" s="1"/>
      <c r="CD482" s="1"/>
      <c r="CE482" s="1">
        <v>1</v>
      </c>
      <c r="CF482" s="1"/>
    </row>
    <row r="483" spans="1:91" hidden="1" outlineLevel="1">
      <c r="A483" t="s">
        <v>2040</v>
      </c>
      <c r="B483" t="s">
        <v>1156</v>
      </c>
      <c r="C483" s="1">
        <f t="shared" si="192"/>
        <v>1390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32">
        <f t="shared" si="193"/>
        <v>1097</v>
      </c>
      <c r="H483" s="137">
        <f t="shared" si="194"/>
        <v>0.78920863309352518</v>
      </c>
      <c r="I483" s="2"/>
      <c r="J483" s="2">
        <f t="shared" si="195"/>
        <v>9.9280575539568344E-2</v>
      </c>
      <c r="K483" s="2">
        <f t="shared" si="196"/>
        <v>0.88848920863309355</v>
      </c>
      <c r="L483" s="2">
        <f t="shared" si="197"/>
        <v>0</v>
      </c>
      <c r="M483" s="2">
        <f t="shared" si="198"/>
        <v>1.2230215827338076E-2</v>
      </c>
      <c r="N483" s="63">
        <v>138</v>
      </c>
      <c r="O483" s="63">
        <v>1235</v>
      </c>
      <c r="P483" s="63"/>
      <c r="Q483" s="63">
        <v>17</v>
      </c>
      <c r="R483" s="63"/>
      <c r="S483" s="63"/>
      <c r="T483" s="63"/>
      <c r="U483" s="63"/>
      <c r="V483" s="63"/>
      <c r="W483" s="63">
        <f>IF(Copyright!B$11=1,IF(CA483&gt;0,CA483-P483-SUM(X483:AQ483)-SUM(R483:V483),SUM(CB483:CM483)),SUM(CC483:CM483))</f>
        <v>0</v>
      </c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W483" s="5">
        <f>IF(Q483&gt;0,RANK(Q483,(N483:P483,Q483:AE483)),0)</f>
        <v>3</v>
      </c>
      <c r="AX483" s="5">
        <f>IF(R483&gt;0,RANK(R483,(N483:P483,Q483:AE483)),0)</f>
        <v>0</v>
      </c>
      <c r="AY483" s="5">
        <f>IF(T483&gt;0,RANK(T483,(N483:P483,Q483:AE483)),0)</f>
        <v>0</v>
      </c>
      <c r="AZ483" s="5">
        <f>IF(S483&gt;0,RANK(S483,(N483:P483,Q483:AE483)),0)</f>
        <v>0</v>
      </c>
      <c r="BA483" s="2">
        <f t="shared" si="199"/>
        <v>1.2230215827338129E-2</v>
      </c>
      <c r="BB483" s="2">
        <f t="shared" si="200"/>
        <v>0</v>
      </c>
      <c r="BC483" s="2">
        <f t="shared" si="201"/>
        <v>0</v>
      </c>
      <c r="BD483" s="2">
        <f t="shared" si="202"/>
        <v>0</v>
      </c>
      <c r="BF483" t="s">
        <v>2040</v>
      </c>
      <c r="BG483" t="s">
        <v>1156</v>
      </c>
      <c r="BH483">
        <v>10</v>
      </c>
      <c r="BJ483" s="114">
        <v>13</v>
      </c>
      <c r="BK483" s="116">
        <v>125</v>
      </c>
      <c r="BL483" s="120">
        <f t="shared" si="191"/>
        <v>13125</v>
      </c>
      <c r="BN483" s="5" t="s">
        <v>3154</v>
      </c>
      <c r="BR483" s="63"/>
      <c r="BY483" s="63">
        <f t="shared" si="190"/>
        <v>-1390</v>
      </c>
      <c r="CC483" s="1"/>
      <c r="CD483" s="1"/>
      <c r="CE483" s="1"/>
      <c r="CF483" s="1"/>
    </row>
    <row r="484" spans="1:91" hidden="1" outlineLevel="1">
      <c r="A484" t="s">
        <v>1295</v>
      </c>
      <c r="B484" t="s">
        <v>1156</v>
      </c>
      <c r="C484" s="1">
        <f t="shared" si="192"/>
        <v>34437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5</v>
      </c>
      <c r="G484" s="132">
        <f t="shared" si="193"/>
        <v>9737</v>
      </c>
      <c r="H484" s="137">
        <f t="shared" si="194"/>
        <v>0.28274820687051716</v>
      </c>
      <c r="I484" s="2"/>
      <c r="J484" s="2">
        <f t="shared" si="195"/>
        <v>0.34192873943723323</v>
      </c>
      <c r="K484" s="2">
        <f t="shared" si="196"/>
        <v>0.62467694630775039</v>
      </c>
      <c r="L484" s="2">
        <f t="shared" si="197"/>
        <v>2.2359671283793594E-3</v>
      </c>
      <c r="M484" s="2">
        <f t="shared" si="198"/>
        <v>3.1158347126637016E-2</v>
      </c>
      <c r="N484" s="63">
        <v>11775</v>
      </c>
      <c r="O484" s="63">
        <v>21512</v>
      </c>
      <c r="P484" s="63">
        <v>77</v>
      </c>
      <c r="Q484" s="63">
        <v>825</v>
      </c>
      <c r="R484" s="63">
        <v>3</v>
      </c>
      <c r="S484" s="63">
        <v>1</v>
      </c>
      <c r="T484" s="63"/>
      <c r="U484" s="63"/>
      <c r="V484" s="63"/>
      <c r="W484" s="63">
        <f>IF(Copyright!B$11=1,IF(CA484&gt;0,CA484-P484-SUM(X484:AQ484)-SUM(R484:V484),SUM(CB484:CM484)),SUM(CC484:CM484))</f>
        <v>236</v>
      </c>
      <c r="X484" s="63"/>
      <c r="Y484" s="63"/>
      <c r="Z484" s="63"/>
      <c r="AA484" s="63"/>
      <c r="AB484" s="63"/>
      <c r="AC484" s="63"/>
      <c r="AD484" s="63"/>
      <c r="AE484" s="63">
        <v>6</v>
      </c>
      <c r="AF484" s="63"/>
      <c r="AG484" s="63"/>
      <c r="AH484" s="63"/>
      <c r="AI484" s="63"/>
      <c r="AJ484" s="63"/>
      <c r="AK484" s="63"/>
      <c r="AL484" s="63"/>
      <c r="AM484" s="63"/>
      <c r="AN484" s="63">
        <v>2</v>
      </c>
      <c r="AO484" s="63"/>
      <c r="AP484" s="63"/>
      <c r="AQ484" s="63"/>
      <c r="AR484" s="63"/>
      <c r="AS484" s="63"/>
      <c r="AT484" s="63"/>
      <c r="AU484" s="63"/>
      <c r="AW484" s="5">
        <f>IF(Q484&gt;0,RANK(Q484,(N484:P484,Q484:AE484)),0)</f>
        <v>3</v>
      </c>
      <c r="AX484" s="5">
        <f>IF(R484&gt;0,RANK(R484,(N484:P484,Q484:AE484)),0)</f>
        <v>7</v>
      </c>
      <c r="AY484" s="5">
        <f>IF(T484&gt;0,RANK(T484,(N484:P484,Q484:AE484)),0)</f>
        <v>0</v>
      </c>
      <c r="AZ484" s="5">
        <f>IF(S484&gt;0,RANK(S484,(N484:P484,Q484:AE484)),0)</f>
        <v>8</v>
      </c>
      <c r="BA484" s="2">
        <f t="shared" si="199"/>
        <v>2.3956790661207421E-2</v>
      </c>
      <c r="BB484" s="2">
        <f t="shared" si="200"/>
        <v>8.7115602404390621E-5</v>
      </c>
      <c r="BC484" s="2">
        <f t="shared" si="201"/>
        <v>0</v>
      </c>
      <c r="BD484" s="2">
        <f t="shared" si="202"/>
        <v>2.9038534134796877E-5</v>
      </c>
      <c r="BF484" t="s">
        <v>1295</v>
      </c>
      <c r="BG484" t="s">
        <v>1156</v>
      </c>
      <c r="BH484">
        <v>1</v>
      </c>
      <c r="BJ484" s="114">
        <v>13</v>
      </c>
      <c r="BK484" s="116">
        <v>127</v>
      </c>
      <c r="BL484" s="120">
        <f t="shared" si="191"/>
        <v>13127</v>
      </c>
      <c r="BN484" s="5" t="s">
        <v>3154</v>
      </c>
      <c r="BR484" s="63"/>
      <c r="BY484" s="63">
        <f t="shared" si="190"/>
        <v>0</v>
      </c>
      <c r="BZ484" s="63">
        <v>34437</v>
      </c>
      <c r="CA484" s="63">
        <v>325</v>
      </c>
      <c r="CC484" s="1"/>
      <c r="CD484" s="1"/>
      <c r="CE484" s="1">
        <v>1</v>
      </c>
      <c r="CF484" s="1"/>
      <c r="CI484" s="8">
        <v>2</v>
      </c>
      <c r="CJ484" s="8">
        <v>58</v>
      </c>
      <c r="CM484" s="8">
        <v>1</v>
      </c>
    </row>
    <row r="485" spans="1:91" hidden="1" outlineLevel="1">
      <c r="A485" t="s">
        <v>2093</v>
      </c>
      <c r="B485" t="s">
        <v>1156</v>
      </c>
      <c r="C485" s="1">
        <f t="shared" si="192"/>
        <v>19062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5</v>
      </c>
      <c r="G485" s="132">
        <f t="shared" si="193"/>
        <v>12010</v>
      </c>
      <c r="H485" s="137">
        <f t="shared" si="194"/>
        <v>0.63004931276885956</v>
      </c>
      <c r="I485" s="2"/>
      <c r="J485" s="2">
        <f t="shared" si="195"/>
        <v>0.16687650823628161</v>
      </c>
      <c r="K485" s="2">
        <f t="shared" si="196"/>
        <v>0.79692582100514109</v>
      </c>
      <c r="L485" s="2">
        <f t="shared" si="197"/>
        <v>2.3082572657643478E-3</v>
      </c>
      <c r="M485" s="2">
        <f t="shared" si="198"/>
        <v>3.3889413492812923E-2</v>
      </c>
      <c r="N485" s="63">
        <v>3181</v>
      </c>
      <c r="O485" s="63">
        <v>15191</v>
      </c>
      <c r="P485" s="63">
        <v>44</v>
      </c>
      <c r="Q485" s="63">
        <v>507</v>
      </c>
      <c r="R485" s="63">
        <v>26</v>
      </c>
      <c r="S485" s="63">
        <v>6</v>
      </c>
      <c r="T485" s="63"/>
      <c r="U485" s="63"/>
      <c r="V485" s="63"/>
      <c r="W485" s="63">
        <f>IF(Copyright!B$11=1,IF(CA485&gt;0,CA485-P485-SUM(X485:AQ485)-SUM(R485:V485),SUM(CB485:CM485)),SUM(CC485:CM485))</f>
        <v>104</v>
      </c>
      <c r="X485" s="63"/>
      <c r="Y485" s="63"/>
      <c r="Z485" s="63"/>
      <c r="AA485" s="63"/>
      <c r="AB485" s="63"/>
      <c r="AC485" s="63"/>
      <c r="AD485" s="63"/>
      <c r="AE485" s="63">
        <v>2</v>
      </c>
      <c r="AF485" s="63"/>
      <c r="AG485" s="63"/>
      <c r="AH485" s="63"/>
      <c r="AI485" s="63"/>
      <c r="AJ485" s="63"/>
      <c r="AK485" s="63"/>
      <c r="AL485" s="63"/>
      <c r="AM485" s="63"/>
      <c r="AN485" s="63">
        <v>1</v>
      </c>
      <c r="AO485" s="63"/>
      <c r="AP485" s="63"/>
      <c r="AQ485" s="63"/>
      <c r="AR485" s="63"/>
      <c r="AS485" s="63"/>
      <c r="AT485" s="63"/>
      <c r="AU485" s="63"/>
      <c r="AW485" s="5">
        <f>IF(Q485&gt;0,RANK(Q485,(N485:P485,Q485:AE485)),0)</f>
        <v>3</v>
      </c>
      <c r="AX485" s="5">
        <f>IF(R485&gt;0,RANK(R485,(N485:P485,Q485:AE485)),0)</f>
        <v>6</v>
      </c>
      <c r="AY485" s="5">
        <f>IF(T485&gt;0,RANK(T485,(N485:P485,Q485:AE485)),0)</f>
        <v>0</v>
      </c>
      <c r="AZ485" s="5">
        <f>IF(S485&gt;0,RANK(S485,(N485:P485,Q485:AE485)),0)</f>
        <v>7</v>
      </c>
      <c r="BA485" s="2">
        <f t="shared" si="199"/>
        <v>2.6597418948693736E-2</v>
      </c>
      <c r="BB485" s="2">
        <f t="shared" si="200"/>
        <v>1.3639702024971147E-3</v>
      </c>
      <c r="BC485" s="2">
        <f t="shared" si="201"/>
        <v>0</v>
      </c>
      <c r="BD485" s="2">
        <f t="shared" si="202"/>
        <v>3.1476235442241108E-4</v>
      </c>
      <c r="BF485" t="s">
        <v>2093</v>
      </c>
      <c r="BG485" t="s">
        <v>1156</v>
      </c>
      <c r="BH485">
        <v>14</v>
      </c>
      <c r="BJ485" s="114">
        <v>13</v>
      </c>
      <c r="BK485" s="116">
        <v>129</v>
      </c>
      <c r="BL485" s="120">
        <f t="shared" si="191"/>
        <v>13129</v>
      </c>
      <c r="BN485" s="5" t="s">
        <v>3154</v>
      </c>
      <c r="BR485" s="63"/>
      <c r="BY485" s="63">
        <f t="shared" si="190"/>
        <v>-29</v>
      </c>
      <c r="BZ485" s="63">
        <v>19033</v>
      </c>
      <c r="CA485" s="133">
        <v>183</v>
      </c>
      <c r="CC485" s="1"/>
      <c r="CD485" s="1"/>
      <c r="CE485" s="1"/>
      <c r="CF485" s="1"/>
      <c r="CG485" s="8">
        <v>1</v>
      </c>
    </row>
    <row r="486" spans="1:91" hidden="1" outlineLevel="1">
      <c r="A486" t="s">
        <v>2089</v>
      </c>
      <c r="B486" t="s">
        <v>1156</v>
      </c>
      <c r="C486" s="1">
        <f t="shared" ref="C486:C517" si="203">SUM(N486:AU486)</f>
        <v>9213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4</v>
      </c>
      <c r="G486" s="132">
        <f t="shared" ref="G486:G517" si="204">IF(C486&gt;0,MAX(N486:P486)-LARGE(N486:P486,2),0)</f>
        <v>3040</v>
      </c>
      <c r="H486" s="137">
        <f t="shared" ref="H486:H517" si="205">IF(C486&gt;0,G486/C486,0)</f>
        <v>0.32996852273960708</v>
      </c>
      <c r="I486" s="2"/>
      <c r="J486" s="2">
        <f t="shared" ref="J486:J517" si="206">IF($C486=0,"-",N486/$C486)</f>
        <v>0.32703788125474875</v>
      </c>
      <c r="K486" s="2">
        <f t="shared" ref="K486:K517" si="207">IF($C486=0,"-",O486/$C486)</f>
        <v>0.65700640399435584</v>
      </c>
      <c r="L486" s="2">
        <f t="shared" ref="L486:L517" si="208">IF($C486=0,"-",P486/$C486)</f>
        <v>5.4271138608488008E-4</v>
      </c>
      <c r="M486" s="2">
        <f t="shared" ref="M486:M517" si="209">IF(C486=0,"-",(1-J486-K486-L486))</f>
        <v>1.5413003364810531E-2</v>
      </c>
      <c r="N486" s="63">
        <v>3013</v>
      </c>
      <c r="O486" s="63">
        <v>6053</v>
      </c>
      <c r="P486" s="63">
        <v>5</v>
      </c>
      <c r="Q486" s="63">
        <v>135</v>
      </c>
      <c r="R486" s="63">
        <v>4</v>
      </c>
      <c r="S486" s="63">
        <v>3</v>
      </c>
      <c r="T486" s="63"/>
      <c r="U486" s="63"/>
      <c r="V486" s="63"/>
      <c r="W486" s="63">
        <f>IF(Copyright!B$11=1,IF(CA486&gt;0,CA486-P486-SUM(X486:AQ486)-SUM(R486:V486),SUM(CB486:CM486)),SUM(CC486:CM486))</f>
        <v>0</v>
      </c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W486" s="5">
        <f>IF(Q486&gt;0,RANK(Q486,(N486:P486,Q486:AE486)),0)</f>
        <v>3</v>
      </c>
      <c r="AX486" s="5">
        <f>IF(R486&gt;0,RANK(R486,(N486:P486,Q486:AE486)),0)</f>
        <v>5</v>
      </c>
      <c r="AY486" s="5">
        <f>IF(T486&gt;0,RANK(T486,(N486:P486,Q486:AE486)),0)</f>
        <v>0</v>
      </c>
      <c r="AZ486" s="5">
        <f>IF(S486&gt;0,RANK(S486,(N486:P486,Q486:AE486)),0)</f>
        <v>6</v>
      </c>
      <c r="BA486" s="2">
        <f t="shared" ref="BA486:BA517" si="210">IF($C486=0,"-",Q486/$C486)</f>
        <v>1.4653207424291761E-2</v>
      </c>
      <c r="BB486" s="2">
        <f t="shared" ref="BB486:BB517" si="211">IF($C486=0,"-",R486/$C486)</f>
        <v>4.3416910886790404E-4</v>
      </c>
      <c r="BC486" s="2">
        <f t="shared" ref="BC486:BC517" si="212">IF($C486=0,"-",T486/$C486)</f>
        <v>0</v>
      </c>
      <c r="BD486" s="2">
        <f t="shared" ref="BD486:BD517" si="213">IF($C486=0,"-",S486/$C486)</f>
        <v>3.2562683165092806E-4</v>
      </c>
      <c r="BF486" t="s">
        <v>2089</v>
      </c>
      <c r="BG486" t="s">
        <v>1156</v>
      </c>
      <c r="BH486">
        <v>2</v>
      </c>
      <c r="BJ486" s="114">
        <v>13</v>
      </c>
      <c r="BK486" s="116">
        <v>131</v>
      </c>
      <c r="BL486" s="120">
        <f t="shared" si="191"/>
        <v>13131</v>
      </c>
      <c r="BN486" s="5" t="s">
        <v>3154</v>
      </c>
      <c r="BR486" s="63"/>
      <c r="BY486" s="63">
        <f t="shared" ref="BY486:BY549" si="214">BZ486-C486</f>
        <v>-9213</v>
      </c>
      <c r="CC486" s="1"/>
      <c r="CD486" s="1"/>
      <c r="CE486" s="1"/>
      <c r="CF486" s="1"/>
    </row>
    <row r="487" spans="1:91" hidden="1" outlineLevel="1">
      <c r="A487" t="s">
        <v>2189</v>
      </c>
      <c r="B487" t="s">
        <v>1156</v>
      </c>
      <c r="C487" s="1">
        <f t="shared" si="203"/>
        <v>8852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>IF(P487&gt;0,RANK(P487,(N487:P487,Q487:AE487)),0)</f>
        <v>4</v>
      </c>
      <c r="G487" s="132">
        <f t="shared" si="204"/>
        <v>2291</v>
      </c>
      <c r="H487" s="137">
        <f t="shared" si="205"/>
        <v>0.25881156800722999</v>
      </c>
      <c r="I487" s="2"/>
      <c r="J487" s="2">
        <f t="shared" si="206"/>
        <v>0.36138725711703568</v>
      </c>
      <c r="K487" s="2">
        <f t="shared" si="207"/>
        <v>0.62019882512426572</v>
      </c>
      <c r="L487" s="2">
        <f t="shared" si="208"/>
        <v>9.0375056484410306E-4</v>
      </c>
      <c r="M487" s="2">
        <f t="shared" si="209"/>
        <v>1.7510167193854502E-2</v>
      </c>
      <c r="N487" s="63">
        <v>3199</v>
      </c>
      <c r="O487" s="63">
        <v>5490</v>
      </c>
      <c r="P487" s="63">
        <v>8</v>
      </c>
      <c r="Q487" s="63">
        <v>151</v>
      </c>
      <c r="R487" s="63">
        <v>4</v>
      </c>
      <c r="S487" s="63"/>
      <c r="T487" s="63"/>
      <c r="U487" s="63"/>
      <c r="V487" s="63"/>
      <c r="W487" s="63">
        <f>IF(Copyright!B$11=1,IF(CA487&gt;0,CA487-P487-SUM(X487:AQ487)-SUM(R487:V487),SUM(CB487:CM487)),SUM(CC487:CM487))</f>
        <v>0</v>
      </c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W487" s="5">
        <f>IF(Q487&gt;0,RANK(Q487,(N487:P487,Q487:AE487)),0)</f>
        <v>3</v>
      </c>
      <c r="AX487" s="5">
        <f>IF(R487&gt;0,RANK(R487,(N487:P487,Q487:AE487)),0)</f>
        <v>5</v>
      </c>
      <c r="AY487" s="5">
        <f>IF(T487&gt;0,RANK(T487,(N487:P487,Q487:AE487)),0)</f>
        <v>0</v>
      </c>
      <c r="AZ487" s="5">
        <f>IF(S487&gt;0,RANK(S487,(N487:P487,Q487:AE487)),0)</f>
        <v>0</v>
      </c>
      <c r="BA487" s="2">
        <f t="shared" si="210"/>
        <v>1.7058291911432443E-2</v>
      </c>
      <c r="BB487" s="2">
        <f t="shared" si="211"/>
        <v>4.5187528242205153E-4</v>
      </c>
      <c r="BC487" s="2">
        <f t="shared" si="212"/>
        <v>0</v>
      </c>
      <c r="BD487" s="2">
        <f t="shared" si="213"/>
        <v>0</v>
      </c>
      <c r="BF487" t="s">
        <v>2189</v>
      </c>
      <c r="BG487" t="s">
        <v>1156</v>
      </c>
      <c r="BH487">
        <v>10</v>
      </c>
      <c r="BJ487" s="114">
        <v>13</v>
      </c>
      <c r="BK487" s="116">
        <v>133</v>
      </c>
      <c r="BL487" s="120">
        <f t="shared" si="191"/>
        <v>13133</v>
      </c>
      <c r="BN487" s="5" t="s">
        <v>3154</v>
      </c>
      <c r="BR487" s="63"/>
      <c r="BY487" s="63">
        <f t="shared" si="214"/>
        <v>-8852</v>
      </c>
      <c r="CC487" s="1"/>
      <c r="CD487" s="1"/>
      <c r="CE487" s="1"/>
      <c r="CF487" s="1"/>
    </row>
    <row r="488" spans="1:91" hidden="1" outlineLevel="1">
      <c r="A488" t="s">
        <v>1657</v>
      </c>
      <c r="B488" t="s">
        <v>1156</v>
      </c>
      <c r="C488" s="1">
        <f t="shared" si="203"/>
        <v>330950</v>
      </c>
      <c r="D488" s="5">
        <f>IF(N488&gt;0, RANK(N488,(N488:P488,Q488:AE488)),0)</f>
        <v>1</v>
      </c>
      <c r="E488" s="5">
        <f>IF(O488&gt;0,RANK(O488,(N488:P488,Q488:AE488)),0)</f>
        <v>2</v>
      </c>
      <c r="F488" s="5">
        <f>IF(P488&gt;0,RANK(P488,(N488:P488,Q488:AE488)),0)</f>
        <v>5</v>
      </c>
      <c r="G488" s="132">
        <f t="shared" si="204"/>
        <v>19164</v>
      </c>
      <c r="H488" s="137">
        <f t="shared" si="205"/>
        <v>5.7906028100921589E-2</v>
      </c>
      <c r="I488" s="2"/>
      <c r="J488" s="2">
        <f t="shared" si="206"/>
        <v>0.50204864783199876</v>
      </c>
      <c r="K488" s="2">
        <f t="shared" si="207"/>
        <v>0.44414261973107722</v>
      </c>
      <c r="L488" s="2">
        <f t="shared" si="208"/>
        <v>5.9434959963740744E-3</v>
      </c>
      <c r="M488" s="2">
        <f t="shared" si="209"/>
        <v>4.7865236440549949E-2</v>
      </c>
      <c r="N488" s="63">
        <v>166153</v>
      </c>
      <c r="O488" s="63">
        <v>146989</v>
      </c>
      <c r="P488" s="63">
        <v>1967</v>
      </c>
      <c r="Q488" s="63">
        <v>12494</v>
      </c>
      <c r="R488" s="63">
        <v>574</v>
      </c>
      <c r="S488" s="63">
        <v>93</v>
      </c>
      <c r="T488" s="63"/>
      <c r="U488" s="63"/>
      <c r="V488" s="63"/>
      <c r="W488" s="63">
        <f>IF(Copyright!B$11=1,IF(CA488&gt;0,CA488-P488-SUM(X488:AQ488)-SUM(R488:V488),SUM(CB488:CM488)),SUM(CC488:CM488))</f>
        <v>2643</v>
      </c>
      <c r="X488" s="63"/>
      <c r="Y488" s="63">
        <v>7</v>
      </c>
      <c r="Z488" s="63"/>
      <c r="AA488" s="63"/>
      <c r="AB488" s="63"/>
      <c r="AC488" s="63"/>
      <c r="AD488" s="63"/>
      <c r="AE488" s="63">
        <v>1</v>
      </c>
      <c r="AF488" s="63"/>
      <c r="AG488" s="63"/>
      <c r="AH488" s="63"/>
      <c r="AI488" s="63"/>
      <c r="AJ488" s="63"/>
      <c r="AK488" s="63"/>
      <c r="AL488" s="63"/>
      <c r="AM488" s="63"/>
      <c r="AN488" s="63">
        <v>23</v>
      </c>
      <c r="AO488" s="63"/>
      <c r="AP488" s="63"/>
      <c r="AQ488" s="63">
        <v>6</v>
      </c>
      <c r="AR488" s="63"/>
      <c r="AS488" s="63"/>
      <c r="AT488" s="63"/>
      <c r="AU488" s="63"/>
      <c r="AW488" s="5">
        <f>IF(Q488&gt;0,RANK(Q488,(N488:P488,Q488:AE488)),0)</f>
        <v>3</v>
      </c>
      <c r="AX488" s="5">
        <f>IF(R488&gt;0,RANK(R488,(N488:P488,Q488:AE488)),0)</f>
        <v>6</v>
      </c>
      <c r="AY488" s="5">
        <f>IF(T488&gt;0,RANK(T488,(N488:P488,Q488:AE488)),0)</f>
        <v>0</v>
      </c>
      <c r="AZ488" s="5">
        <f>IF(S488&gt;0,RANK(S488,(N488:P488,Q488:AE488)),0)</f>
        <v>7</v>
      </c>
      <c r="BA488" s="2">
        <f t="shared" si="210"/>
        <v>3.7751926272850886E-2</v>
      </c>
      <c r="BB488" s="2">
        <f t="shared" si="211"/>
        <v>1.7344009669134311E-3</v>
      </c>
      <c r="BC488" s="2">
        <f t="shared" si="212"/>
        <v>0</v>
      </c>
      <c r="BD488" s="2">
        <f t="shared" si="213"/>
        <v>2.8100921589363953E-4</v>
      </c>
      <c r="BF488" t="s">
        <v>1657</v>
      </c>
      <c r="BG488" t="s">
        <v>1156</v>
      </c>
      <c r="BJ488" s="114">
        <v>13</v>
      </c>
      <c r="BK488" s="116">
        <v>135</v>
      </c>
      <c r="BL488" s="120">
        <f t="shared" si="191"/>
        <v>13135</v>
      </c>
      <c r="BN488" s="5" t="s">
        <v>3154</v>
      </c>
      <c r="BR488" s="63"/>
      <c r="BY488" s="63">
        <f t="shared" si="214"/>
        <v>0</v>
      </c>
      <c r="BZ488" s="63">
        <f>146989+166153+12494+5314</f>
        <v>330950</v>
      </c>
      <c r="CA488" s="63">
        <v>5314</v>
      </c>
      <c r="CC488" s="1"/>
      <c r="CD488" s="1">
        <v>1</v>
      </c>
      <c r="CE488" s="1">
        <v>1</v>
      </c>
      <c r="CF488" s="1">
        <v>1</v>
      </c>
      <c r="CG488" s="8">
        <v>4</v>
      </c>
      <c r="CH488" s="8">
        <v>3</v>
      </c>
      <c r="CI488" s="8">
        <v>3</v>
      </c>
      <c r="CJ488" s="8">
        <v>1</v>
      </c>
      <c r="CK488" s="8">
        <v>6</v>
      </c>
      <c r="CL488" s="8">
        <v>1</v>
      </c>
      <c r="CM488" s="8">
        <v>3</v>
      </c>
    </row>
    <row r="489" spans="1:91" hidden="1" outlineLevel="1">
      <c r="A489" t="s">
        <v>2566</v>
      </c>
      <c r="B489" t="s">
        <v>1156</v>
      </c>
      <c r="C489" s="1">
        <f t="shared" si="203"/>
        <v>16333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5</v>
      </c>
      <c r="G489" s="132">
        <f t="shared" si="204"/>
        <v>10707</v>
      </c>
      <c r="H489" s="137">
        <f t="shared" si="205"/>
        <v>0.65554399069368763</v>
      </c>
      <c r="I489" s="2"/>
      <c r="J489" s="2">
        <f t="shared" si="206"/>
        <v>0.1520235106838915</v>
      </c>
      <c r="K489" s="2">
        <f t="shared" si="207"/>
        <v>0.80756750137757916</v>
      </c>
      <c r="L489" s="2">
        <f t="shared" si="208"/>
        <v>4.9592848833649667E-3</v>
      </c>
      <c r="M489" s="2">
        <f t="shared" si="209"/>
        <v>3.5449703055164351E-2</v>
      </c>
      <c r="N489" s="63">
        <v>2483</v>
      </c>
      <c r="O489" s="63">
        <v>13190</v>
      </c>
      <c r="P489" s="63">
        <v>81</v>
      </c>
      <c r="Q489" s="63">
        <v>461</v>
      </c>
      <c r="R489" s="63">
        <v>22</v>
      </c>
      <c r="S489" s="63">
        <v>5</v>
      </c>
      <c r="T489" s="63"/>
      <c r="U489" s="63"/>
      <c r="V489" s="63"/>
      <c r="W489" s="63">
        <f>IF(Copyright!B$11=1,IF(CA489&gt;0,CA489-P489-SUM(X489:AQ489)-SUM(R489:V489),SUM(CB489:CM489)),SUM(CC489:CM489))</f>
        <v>90</v>
      </c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>
        <v>1</v>
      </c>
      <c r="AO489" s="63"/>
      <c r="AP489" s="63"/>
      <c r="AQ489" s="63"/>
      <c r="AR489" s="63"/>
      <c r="AS489" s="63"/>
      <c r="AT489" s="63"/>
      <c r="AU489" s="63"/>
      <c r="AW489" s="5">
        <f>IF(Q489&gt;0,RANK(Q489,(N489:P489,Q489:AE489)),0)</f>
        <v>3</v>
      </c>
      <c r="AX489" s="5">
        <f>IF(R489&gt;0,RANK(R489,(N489:P489,Q489:AE489)),0)</f>
        <v>6</v>
      </c>
      <c r="AY489" s="5">
        <f>IF(T489&gt;0,RANK(T489,(N489:P489,Q489:AE489)),0)</f>
        <v>0</v>
      </c>
      <c r="AZ489" s="5">
        <f>IF(S489&gt;0,RANK(S489,(N489:P489,Q489:AE489)),0)</f>
        <v>7</v>
      </c>
      <c r="BA489" s="2">
        <f t="shared" si="210"/>
        <v>2.8225065817669748E-2</v>
      </c>
      <c r="BB489" s="2">
        <f t="shared" si="211"/>
        <v>1.3469662646176453E-3</v>
      </c>
      <c r="BC489" s="2">
        <f t="shared" si="212"/>
        <v>0</v>
      </c>
      <c r="BD489" s="2">
        <f t="shared" si="213"/>
        <v>3.061286965040103E-4</v>
      </c>
      <c r="BF489" t="s">
        <v>2566</v>
      </c>
      <c r="BG489" t="s">
        <v>1156</v>
      </c>
      <c r="BH489">
        <v>9</v>
      </c>
      <c r="BJ489" s="114">
        <v>13</v>
      </c>
      <c r="BK489" s="116">
        <v>137</v>
      </c>
      <c r="BL489" s="120">
        <f t="shared" ref="BL489:BL552" si="215">1000*BJ489+BK489</f>
        <v>13137</v>
      </c>
      <c r="BN489" s="5" t="s">
        <v>3154</v>
      </c>
      <c r="BR489" s="63"/>
      <c r="BY489" s="63">
        <f t="shared" si="214"/>
        <v>0</v>
      </c>
      <c r="BZ489" s="63">
        <v>16333</v>
      </c>
      <c r="CA489" s="63">
        <v>199</v>
      </c>
      <c r="CC489" s="1"/>
      <c r="CD489" s="1"/>
      <c r="CE489" s="1"/>
      <c r="CF489" s="1"/>
    </row>
    <row r="490" spans="1:91" hidden="1" outlineLevel="1">
      <c r="A490" t="s">
        <v>230</v>
      </c>
      <c r="B490" t="s">
        <v>1156</v>
      </c>
      <c r="C490" s="1">
        <f t="shared" si="203"/>
        <v>71142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>IF(P490&gt;0,RANK(P490,(N490:P490,Q490:AE490)),0)</f>
        <v>5</v>
      </c>
      <c r="G490" s="132">
        <f t="shared" si="204"/>
        <v>35553</v>
      </c>
      <c r="H490" s="137">
        <f t="shared" si="205"/>
        <v>0.49974698490343256</v>
      </c>
      <c r="I490" s="2"/>
      <c r="J490" s="2">
        <f t="shared" si="206"/>
        <v>0.22743245902561074</v>
      </c>
      <c r="K490" s="2">
        <f t="shared" si="207"/>
        <v>0.72717944392904332</v>
      </c>
      <c r="L490" s="2">
        <f t="shared" si="208"/>
        <v>4.4277641899299995E-3</v>
      </c>
      <c r="M490" s="2">
        <f t="shared" si="209"/>
        <v>4.0960332855415962E-2</v>
      </c>
      <c r="N490" s="63">
        <v>16180</v>
      </c>
      <c r="O490" s="63">
        <v>51733</v>
      </c>
      <c r="P490" s="63">
        <v>315</v>
      </c>
      <c r="Q490" s="63">
        <v>2307</v>
      </c>
      <c r="R490" s="63">
        <v>114</v>
      </c>
      <c r="S490" s="63">
        <v>30</v>
      </c>
      <c r="T490" s="63"/>
      <c r="U490" s="63"/>
      <c r="V490" s="63"/>
      <c r="W490" s="63">
        <f>IF(Copyright!B$11=1,IF(CA490&gt;0,CA490-P490-SUM(X490:AQ490)-SUM(R490:V490),SUM(CB490:CM490)),SUM(CC490:CM490))</f>
        <v>457</v>
      </c>
      <c r="X490" s="63"/>
      <c r="Y490" s="63">
        <v>3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>
        <v>2</v>
      </c>
      <c r="AO490" s="63"/>
      <c r="AP490" s="63"/>
      <c r="AQ490" s="63">
        <v>1</v>
      </c>
      <c r="AR490" s="63"/>
      <c r="AS490" s="63"/>
      <c r="AT490" s="63"/>
      <c r="AU490" s="63"/>
      <c r="AW490" s="5">
        <f>IF(Q490&gt;0,RANK(Q490,(N490:P490,Q490:AE490)),0)</f>
        <v>3</v>
      </c>
      <c r="AX490" s="5">
        <f>IF(R490&gt;0,RANK(R490,(N490:P490,Q490:AE490)),0)</f>
        <v>6</v>
      </c>
      <c r="AY490" s="5">
        <f>IF(T490&gt;0,RANK(T490,(N490:P490,Q490:AE490)),0)</f>
        <v>0</v>
      </c>
      <c r="AZ490" s="5">
        <f>IF(S490&gt;0,RANK(S490,(N490:P490,Q490:AE490)),0)</f>
        <v>7</v>
      </c>
      <c r="BA490" s="2">
        <f t="shared" si="210"/>
        <v>3.2428101543392089E-2</v>
      </c>
      <c r="BB490" s="2">
        <f t="shared" si="211"/>
        <v>1.6024289449270473E-3</v>
      </c>
      <c r="BC490" s="2">
        <f t="shared" si="212"/>
        <v>0</v>
      </c>
      <c r="BD490" s="2">
        <f t="shared" si="213"/>
        <v>4.2169182761238089E-4</v>
      </c>
      <c r="BF490" t="s">
        <v>230</v>
      </c>
      <c r="BG490" t="s">
        <v>1156</v>
      </c>
      <c r="BH490">
        <v>9</v>
      </c>
      <c r="BJ490" s="114">
        <v>13</v>
      </c>
      <c r="BK490" s="116">
        <v>139</v>
      </c>
      <c r="BL490" s="120">
        <f t="shared" si="215"/>
        <v>13139</v>
      </c>
      <c r="BN490" s="5" t="s">
        <v>3154</v>
      </c>
      <c r="BR490" s="63"/>
      <c r="BY490" s="63">
        <f t="shared" si="214"/>
        <v>0</v>
      </c>
      <c r="BZ490" s="63">
        <v>71142</v>
      </c>
      <c r="CA490" s="63">
        <v>922</v>
      </c>
      <c r="CC490" s="1"/>
      <c r="CD490" s="1">
        <v>1</v>
      </c>
      <c r="CE490" s="1">
        <v>2</v>
      </c>
      <c r="CF490" s="1"/>
      <c r="CG490" s="8">
        <v>3</v>
      </c>
      <c r="CI490" s="8">
        <v>1</v>
      </c>
      <c r="CJ490" s="8">
        <v>1</v>
      </c>
      <c r="CM490" s="8">
        <v>1</v>
      </c>
    </row>
    <row r="491" spans="1:91" hidden="1" outlineLevel="1">
      <c r="A491" t="s">
        <v>597</v>
      </c>
      <c r="B491" t="s">
        <v>1156</v>
      </c>
      <c r="C491" s="1">
        <f t="shared" si="203"/>
        <v>3580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>IF(P491&gt;0,RANK(P491,(N491:P491,Q491:AE491)),0)</f>
        <v>0</v>
      </c>
      <c r="G491" s="132">
        <f t="shared" si="204"/>
        <v>1858</v>
      </c>
      <c r="H491" s="137">
        <f t="shared" si="205"/>
        <v>0.51899441340782126</v>
      </c>
      <c r="I491" s="2"/>
      <c r="J491" s="2">
        <f t="shared" si="206"/>
        <v>0.75446927374301676</v>
      </c>
      <c r="K491" s="2">
        <f t="shared" si="207"/>
        <v>0.23547486033519552</v>
      </c>
      <c r="L491" s="2">
        <f t="shared" si="208"/>
        <v>0</v>
      </c>
      <c r="M491" s="2">
        <f t="shared" si="209"/>
        <v>1.0055865921787727E-2</v>
      </c>
      <c r="N491" s="63">
        <v>2701</v>
      </c>
      <c r="O491" s="63">
        <v>843</v>
      </c>
      <c r="P491" s="63"/>
      <c r="Q491" s="63">
        <v>36</v>
      </c>
      <c r="R491" s="63"/>
      <c r="S491" s="63"/>
      <c r="T491" s="63"/>
      <c r="U491" s="63"/>
      <c r="V491" s="63"/>
      <c r="W491" s="63">
        <f>IF(Copyright!B$11=1,IF(CA491&gt;0,CA491-P491-SUM(X491:AQ491)-SUM(R491:V491),SUM(CB491:CM491)),SUM(CC491:CM491))</f>
        <v>0</v>
      </c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W491" s="5">
        <f>IF(Q491&gt;0,RANK(Q491,(N491:P491,Q491:AE491)),0)</f>
        <v>3</v>
      </c>
      <c r="AX491" s="5">
        <f>IF(R491&gt;0,RANK(R491,(N491:P491,Q491:AE491)),0)</f>
        <v>0</v>
      </c>
      <c r="AY491" s="5">
        <f>IF(T491&gt;0,RANK(T491,(N491:P491,Q491:AE491)),0)</f>
        <v>0</v>
      </c>
      <c r="AZ491" s="5">
        <f>IF(S491&gt;0,RANK(S491,(N491:P491,Q491:AE491)),0)</f>
        <v>0</v>
      </c>
      <c r="BA491" s="2">
        <f t="shared" si="210"/>
        <v>1.0055865921787709E-2</v>
      </c>
      <c r="BB491" s="2">
        <f t="shared" si="211"/>
        <v>0</v>
      </c>
      <c r="BC491" s="2">
        <f t="shared" si="212"/>
        <v>0</v>
      </c>
      <c r="BD491" s="2">
        <f t="shared" si="213"/>
        <v>0</v>
      </c>
      <c r="BF491" t="s">
        <v>597</v>
      </c>
      <c r="BG491" t="s">
        <v>1156</v>
      </c>
      <c r="BH491">
        <v>10</v>
      </c>
      <c r="BJ491" s="114">
        <v>13</v>
      </c>
      <c r="BK491" s="116">
        <v>141</v>
      </c>
      <c r="BL491" s="120">
        <f t="shared" si="215"/>
        <v>13141</v>
      </c>
      <c r="BN491" s="5" t="s">
        <v>3154</v>
      </c>
      <c r="BR491" s="63"/>
      <c r="BY491" s="63">
        <f t="shared" si="214"/>
        <v>-3580</v>
      </c>
      <c r="CC491" s="1"/>
      <c r="CD491" s="1"/>
      <c r="CE491" s="1"/>
      <c r="CF491" s="1"/>
    </row>
    <row r="492" spans="1:91" hidden="1" outlineLevel="1">
      <c r="A492" t="s">
        <v>1034</v>
      </c>
      <c r="B492" t="s">
        <v>1156</v>
      </c>
      <c r="C492" s="1">
        <f t="shared" si="203"/>
        <v>11357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4</v>
      </c>
      <c r="G492" s="132">
        <f t="shared" si="204"/>
        <v>8110</v>
      </c>
      <c r="H492" s="137">
        <f t="shared" si="205"/>
        <v>0.71409703266707758</v>
      </c>
      <c r="I492" s="2"/>
      <c r="J492" s="2">
        <f t="shared" si="206"/>
        <v>0.12987584749493705</v>
      </c>
      <c r="K492" s="2">
        <f t="shared" si="207"/>
        <v>0.84397288016201466</v>
      </c>
      <c r="L492" s="2">
        <f t="shared" si="208"/>
        <v>1.7610284406093159E-3</v>
      </c>
      <c r="M492" s="2">
        <f t="shared" si="209"/>
        <v>2.4390243902438942E-2</v>
      </c>
      <c r="N492" s="63">
        <v>1475</v>
      </c>
      <c r="O492" s="63">
        <v>9585</v>
      </c>
      <c r="P492" s="63">
        <v>20</v>
      </c>
      <c r="Q492" s="63">
        <v>264</v>
      </c>
      <c r="R492" s="63">
        <v>9</v>
      </c>
      <c r="S492" s="63">
        <v>4</v>
      </c>
      <c r="T492" s="63"/>
      <c r="U492" s="63"/>
      <c r="V492" s="63"/>
      <c r="W492" s="63">
        <f>IF(Copyright!B$11=1,IF(CA492&gt;0,CA492-P492-SUM(X492:AQ492)-SUM(R492:V492),SUM(CB492:CM492)),SUM(CC492:CM492))</f>
        <v>0</v>
      </c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W492" s="5">
        <f>IF(Q492&gt;0,RANK(Q492,(N492:P492,Q492:AE492)),0)</f>
        <v>3</v>
      </c>
      <c r="AX492" s="5">
        <f>IF(R492&gt;0,RANK(R492,(N492:P492,Q492:AE492)),0)</f>
        <v>5</v>
      </c>
      <c r="AY492" s="5">
        <f>IF(T492&gt;0,RANK(T492,(N492:P492,Q492:AE492)),0)</f>
        <v>0</v>
      </c>
      <c r="AZ492" s="5">
        <f>IF(S492&gt;0,RANK(S492,(N492:P492,Q492:AE492)),0)</f>
        <v>6</v>
      </c>
      <c r="BA492" s="2">
        <f t="shared" si="210"/>
        <v>2.3245575416042968E-2</v>
      </c>
      <c r="BB492" s="2">
        <f t="shared" si="211"/>
        <v>7.9246279827419215E-4</v>
      </c>
      <c r="BC492" s="2">
        <f t="shared" si="212"/>
        <v>0</v>
      </c>
      <c r="BD492" s="2">
        <f t="shared" si="213"/>
        <v>3.5220568812186317E-4</v>
      </c>
      <c r="BF492" t="s">
        <v>1034</v>
      </c>
      <c r="BG492" t="s">
        <v>1156</v>
      </c>
      <c r="BH492">
        <v>14</v>
      </c>
      <c r="BJ492" s="114">
        <v>13</v>
      </c>
      <c r="BK492" s="116">
        <v>143</v>
      </c>
      <c r="BL492" s="120">
        <f t="shared" si="215"/>
        <v>13143</v>
      </c>
      <c r="BN492" s="5" t="s">
        <v>3154</v>
      </c>
      <c r="BR492" s="63"/>
      <c r="BY492" s="63">
        <f t="shared" si="214"/>
        <v>-11357</v>
      </c>
      <c r="CC492" s="1"/>
      <c r="CD492" s="1"/>
      <c r="CE492" s="1"/>
      <c r="CF492" s="1"/>
    </row>
    <row r="493" spans="1:91" hidden="1" outlineLevel="1">
      <c r="A493" t="s">
        <v>1182</v>
      </c>
      <c r="B493" t="s">
        <v>1156</v>
      </c>
      <c r="C493" s="1">
        <f t="shared" si="203"/>
        <v>16502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4</v>
      </c>
      <c r="G493" s="132">
        <f t="shared" si="204"/>
        <v>7850</v>
      </c>
      <c r="H493" s="137">
        <f t="shared" si="205"/>
        <v>0.47569991516179855</v>
      </c>
      <c r="I493" s="2"/>
      <c r="J493" s="2">
        <f t="shared" si="206"/>
        <v>0.24760635074536419</v>
      </c>
      <c r="K493" s="2">
        <f t="shared" si="207"/>
        <v>0.72330626590716274</v>
      </c>
      <c r="L493" s="2">
        <f t="shared" si="208"/>
        <v>4.3025087868137192E-3</v>
      </c>
      <c r="M493" s="2">
        <f t="shared" si="209"/>
        <v>2.4784874560659354E-2</v>
      </c>
      <c r="N493" s="63">
        <v>4086</v>
      </c>
      <c r="O493" s="63">
        <v>11936</v>
      </c>
      <c r="P493" s="63">
        <v>71</v>
      </c>
      <c r="Q493" s="63">
        <v>379</v>
      </c>
      <c r="R493" s="63">
        <v>23</v>
      </c>
      <c r="S493" s="63">
        <v>5</v>
      </c>
      <c r="T493" s="63"/>
      <c r="U493" s="63"/>
      <c r="V493" s="63"/>
      <c r="W493" s="63">
        <f>IF(Copyright!B$11=1,IF(CA493&gt;0,CA493-P493-SUM(X493:AQ493)-SUM(R493:V493),SUM(CB493:CM493)),SUM(CC493:CM493))</f>
        <v>0</v>
      </c>
      <c r="X493" s="63"/>
      <c r="Y493" s="63">
        <v>2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W493" s="5">
        <f>IF(Q493&gt;0,RANK(Q493,(N493:P493,Q493:AE493)),0)</f>
        <v>3</v>
      </c>
      <c r="AX493" s="5">
        <f>IF(R493&gt;0,RANK(R493,(N493:P493,Q493:AE493)),0)</f>
        <v>5</v>
      </c>
      <c r="AY493" s="5">
        <f>IF(T493&gt;0,RANK(T493,(N493:P493,Q493:AE493)),0)</f>
        <v>0</v>
      </c>
      <c r="AZ493" s="5">
        <f>IF(S493&gt;0,RANK(S493,(N493:P493,Q493:AE493)),0)</f>
        <v>6</v>
      </c>
      <c r="BA493" s="2">
        <f t="shared" si="210"/>
        <v>2.2966913101442249E-2</v>
      </c>
      <c r="BB493" s="2">
        <f t="shared" si="211"/>
        <v>1.3937704520664161E-3</v>
      </c>
      <c r="BC493" s="2">
        <f t="shared" si="212"/>
        <v>0</v>
      </c>
      <c r="BD493" s="2">
        <f t="shared" si="213"/>
        <v>3.0299357653617746E-4</v>
      </c>
      <c r="BF493" t="s">
        <v>1182</v>
      </c>
      <c r="BG493" t="s">
        <v>1156</v>
      </c>
      <c r="BH493">
        <v>3</v>
      </c>
      <c r="BJ493" s="114">
        <v>13</v>
      </c>
      <c r="BK493" s="116">
        <v>145</v>
      </c>
      <c r="BL493" s="120">
        <f t="shared" si="215"/>
        <v>13145</v>
      </c>
      <c r="BN493" s="5" t="s">
        <v>3154</v>
      </c>
      <c r="BR493" s="63"/>
      <c r="BY493" s="63">
        <f t="shared" si="214"/>
        <v>-16502</v>
      </c>
      <c r="CC493" s="1"/>
      <c r="CD493" s="1"/>
      <c r="CE493" s="1"/>
      <c r="CF493" s="1"/>
    </row>
    <row r="494" spans="1:91" hidden="1" outlineLevel="1">
      <c r="A494" t="s">
        <v>2936</v>
      </c>
      <c r="B494" t="s">
        <v>1156</v>
      </c>
      <c r="C494" s="1">
        <f t="shared" si="203"/>
        <v>10117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4</v>
      </c>
      <c r="G494" s="132">
        <f t="shared" si="204"/>
        <v>4701</v>
      </c>
      <c r="H494" s="137">
        <f t="shared" si="205"/>
        <v>0.46466343777799746</v>
      </c>
      <c r="I494" s="2"/>
      <c r="J494" s="2">
        <f t="shared" si="206"/>
        <v>0.2555105268360186</v>
      </c>
      <c r="K494" s="2">
        <f t="shared" si="207"/>
        <v>0.72017396461401606</v>
      </c>
      <c r="L494" s="2">
        <f t="shared" si="208"/>
        <v>1.6803400217455767E-3</v>
      </c>
      <c r="M494" s="2">
        <f t="shared" si="209"/>
        <v>2.263516852821976E-2</v>
      </c>
      <c r="N494" s="63">
        <v>2585</v>
      </c>
      <c r="O494" s="63">
        <v>7286</v>
      </c>
      <c r="P494" s="63">
        <v>17</v>
      </c>
      <c r="Q494" s="63">
        <v>209</v>
      </c>
      <c r="R494" s="63">
        <v>5</v>
      </c>
      <c r="S494" s="63">
        <v>13</v>
      </c>
      <c r="T494" s="63"/>
      <c r="U494" s="63"/>
      <c r="V494" s="63"/>
      <c r="W494" s="63">
        <f>IF(Copyright!B$11=1,IF(CA494&gt;0,CA494-P494-SUM(X494:AQ494)-SUM(R494:V494),SUM(CB494:CM494)),SUM(CC494:CM494))</f>
        <v>0</v>
      </c>
      <c r="X494" s="63"/>
      <c r="Y494" s="63">
        <v>2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W494" s="5">
        <f>IF(Q494&gt;0,RANK(Q494,(N494:P494,Q494:AE494)),0)</f>
        <v>3</v>
      </c>
      <c r="AX494" s="5">
        <f>IF(R494&gt;0,RANK(R494,(N494:P494,Q494:AE494)),0)</f>
        <v>6</v>
      </c>
      <c r="AY494" s="5">
        <f>IF(T494&gt;0,RANK(T494,(N494:P494,Q494:AE494)),0)</f>
        <v>0</v>
      </c>
      <c r="AZ494" s="5">
        <f>IF(S494&gt;0,RANK(S494,(N494:P494,Q494:AE494)),0)</f>
        <v>5</v>
      </c>
      <c r="BA494" s="2">
        <f t="shared" si="210"/>
        <v>2.0658297914401502E-2</v>
      </c>
      <c r="BB494" s="2">
        <f t="shared" si="211"/>
        <v>4.9421765345458138E-4</v>
      </c>
      <c r="BC494" s="2">
        <f t="shared" si="212"/>
        <v>0</v>
      </c>
      <c r="BD494" s="2">
        <f t="shared" si="213"/>
        <v>1.2849658989819116E-3</v>
      </c>
      <c r="BF494" t="s">
        <v>2936</v>
      </c>
      <c r="BG494" t="s">
        <v>1156</v>
      </c>
      <c r="BH494">
        <v>9</v>
      </c>
      <c r="BJ494" s="114">
        <v>13</v>
      </c>
      <c r="BK494" s="116">
        <v>147</v>
      </c>
      <c r="BL494" s="120">
        <f t="shared" si="215"/>
        <v>13147</v>
      </c>
      <c r="BN494" s="5" t="s">
        <v>3154</v>
      </c>
      <c r="BR494" s="63"/>
      <c r="BY494" s="63">
        <f t="shared" si="214"/>
        <v>-10117</v>
      </c>
      <c r="CC494" s="1"/>
      <c r="CD494" s="1"/>
      <c r="CE494" s="1"/>
      <c r="CF494" s="1"/>
    </row>
    <row r="495" spans="1:91" hidden="1" outlineLevel="1">
      <c r="A495" t="s">
        <v>2987</v>
      </c>
      <c r="B495" t="s">
        <v>1156</v>
      </c>
      <c r="C495" s="1">
        <f t="shared" si="203"/>
        <v>4223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>IF(P495&gt;0,RANK(P495,(N495:P495,Q495:AE495)),0)</f>
        <v>4</v>
      </c>
      <c r="G495" s="132">
        <f t="shared" si="204"/>
        <v>2627</v>
      </c>
      <c r="H495" s="137">
        <f t="shared" si="205"/>
        <v>0.62206961875444</v>
      </c>
      <c r="I495" s="2"/>
      <c r="J495" s="2">
        <f t="shared" si="206"/>
        <v>0.17594127397584655</v>
      </c>
      <c r="K495" s="2">
        <f t="shared" si="207"/>
        <v>0.79801089273028658</v>
      </c>
      <c r="L495" s="2">
        <f t="shared" si="208"/>
        <v>1.8943878759175941E-3</v>
      </c>
      <c r="M495" s="2">
        <f t="shared" si="209"/>
        <v>2.4153445417949247E-2</v>
      </c>
      <c r="N495" s="63">
        <v>743</v>
      </c>
      <c r="O495" s="63">
        <v>3370</v>
      </c>
      <c r="P495" s="63">
        <v>8</v>
      </c>
      <c r="Q495" s="63">
        <v>93</v>
      </c>
      <c r="R495" s="63">
        <v>4</v>
      </c>
      <c r="S495" s="63">
        <v>3</v>
      </c>
      <c r="T495" s="63"/>
      <c r="U495" s="63"/>
      <c r="V495" s="63"/>
      <c r="W495" s="63">
        <f>IF(Copyright!B$11=1,IF(CA495&gt;0,CA495-P495-SUM(X495:AQ495)-SUM(R495:V495),SUM(CB495:CM495)),SUM(CC495:CM495))</f>
        <v>0</v>
      </c>
      <c r="X495" s="63"/>
      <c r="Y495" s="63">
        <v>2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W495" s="5">
        <f>IF(Q495&gt;0,RANK(Q495,(N495:P495,Q495:AE495)),0)</f>
        <v>3</v>
      </c>
      <c r="AX495" s="5">
        <f>IF(R495&gt;0,RANK(R495,(N495:P495,Q495:AE495)),0)</f>
        <v>5</v>
      </c>
      <c r="AY495" s="5">
        <f>IF(T495&gt;0,RANK(T495,(N495:P495,Q495:AE495)),0)</f>
        <v>0</v>
      </c>
      <c r="AZ495" s="5">
        <f>IF(S495&gt;0,RANK(S495,(N495:P495,Q495:AE495)),0)</f>
        <v>6</v>
      </c>
      <c r="BA495" s="2">
        <f t="shared" si="210"/>
        <v>2.2022259057542033E-2</v>
      </c>
      <c r="BB495" s="2">
        <f t="shared" si="211"/>
        <v>9.4719393795879704E-4</v>
      </c>
      <c r="BC495" s="2">
        <f t="shared" si="212"/>
        <v>0</v>
      </c>
      <c r="BD495" s="2">
        <f t="shared" si="213"/>
        <v>7.1039545346909783E-4</v>
      </c>
      <c r="BF495" t="s">
        <v>2987</v>
      </c>
      <c r="BG495" t="s">
        <v>1156</v>
      </c>
      <c r="BH495">
        <v>3</v>
      </c>
      <c r="BJ495" s="114">
        <v>13</v>
      </c>
      <c r="BK495" s="116">
        <v>149</v>
      </c>
      <c r="BL495" s="120">
        <f t="shared" si="215"/>
        <v>13149</v>
      </c>
      <c r="BN495" s="5" t="s">
        <v>3154</v>
      </c>
      <c r="BR495" s="63"/>
      <c r="BY495" s="63">
        <f t="shared" si="214"/>
        <v>-4223</v>
      </c>
      <c r="CC495" s="1"/>
      <c r="CD495" s="1"/>
      <c r="CE495" s="1"/>
      <c r="CF495" s="1"/>
    </row>
    <row r="496" spans="1:91" hidden="1" outlineLevel="1">
      <c r="A496" t="s">
        <v>3123</v>
      </c>
      <c r="B496" t="s">
        <v>1156</v>
      </c>
      <c r="C496" s="1">
        <f t="shared" si="203"/>
        <v>99367</v>
      </c>
      <c r="D496" s="5">
        <f>IF(N496&gt;0, RANK(N496,(N496:P496,Q496:AE496)),0)</f>
        <v>1</v>
      </c>
      <c r="E496" s="5">
        <f>IF(O496&gt;0,RANK(O496,(N496:P496,Q496:AE496)),0)</f>
        <v>2</v>
      </c>
      <c r="F496" s="5">
        <f>IF(P496&gt;0,RANK(P496,(N496:P496,Q496:AE496)),0)</f>
        <v>5</v>
      </c>
      <c r="G496" s="132">
        <f t="shared" si="204"/>
        <v>4333</v>
      </c>
      <c r="H496" s="137">
        <f t="shared" si="205"/>
        <v>4.360602614550102E-2</v>
      </c>
      <c r="I496" s="2"/>
      <c r="J496" s="2">
        <f t="shared" si="206"/>
        <v>0.50375879316070726</v>
      </c>
      <c r="K496" s="2">
        <f t="shared" si="207"/>
        <v>0.46015276701520624</v>
      </c>
      <c r="L496" s="2">
        <f t="shared" si="208"/>
        <v>2.5360532168627412E-3</v>
      </c>
      <c r="M496" s="2">
        <f t="shared" si="209"/>
        <v>3.3552386607223754E-2</v>
      </c>
      <c r="N496" s="63">
        <v>50057</v>
      </c>
      <c r="O496" s="63">
        <v>45724</v>
      </c>
      <c r="P496" s="63">
        <v>252</v>
      </c>
      <c r="Q496" s="63">
        <v>2505</v>
      </c>
      <c r="R496" s="63">
        <v>192</v>
      </c>
      <c r="S496" s="63">
        <v>24</v>
      </c>
      <c r="T496" s="63"/>
      <c r="U496" s="63"/>
      <c r="V496" s="63"/>
      <c r="W496" s="63">
        <f>IF(Copyright!B$11=1,IF(CA496&gt;0,CA496-P496-SUM(X496:AQ496)-SUM(R496:V496),SUM(CB496:CM496)),SUM(CC496:CM496))</f>
        <v>608</v>
      </c>
      <c r="X496" s="63"/>
      <c r="Y496" s="63">
        <v>1</v>
      </c>
      <c r="Z496" s="63"/>
      <c r="AA496" s="63"/>
      <c r="AB496" s="63"/>
      <c r="AC496" s="63"/>
      <c r="AD496" s="63"/>
      <c r="AE496" s="63">
        <v>1</v>
      </c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>
        <v>3</v>
      </c>
      <c r="AR496" s="63"/>
      <c r="AS496" s="63"/>
      <c r="AT496" s="63"/>
      <c r="AU496" s="63"/>
      <c r="AW496" s="5">
        <f>IF(Q496&gt;0,RANK(Q496,(N496:P496,Q496:AE496)),0)</f>
        <v>3</v>
      </c>
      <c r="AX496" s="5">
        <f>IF(R496&gt;0,RANK(R496,(N496:P496,Q496:AE496)),0)</f>
        <v>6</v>
      </c>
      <c r="AY496" s="5">
        <f>IF(T496&gt;0,RANK(T496,(N496:P496,Q496:AE496)),0)</f>
        <v>0</v>
      </c>
      <c r="AZ496" s="5">
        <f>IF(S496&gt;0,RANK(S496,(N496:P496,Q496:AE496)),0)</f>
        <v>7</v>
      </c>
      <c r="BA496" s="2">
        <f t="shared" si="210"/>
        <v>2.5209576620004628E-2</v>
      </c>
      <c r="BB496" s="2">
        <f t="shared" si="211"/>
        <v>1.9322310223716123E-3</v>
      </c>
      <c r="BC496" s="2">
        <f t="shared" si="212"/>
        <v>0</v>
      </c>
      <c r="BD496" s="2">
        <f t="shared" si="213"/>
        <v>2.4152887779645154E-4</v>
      </c>
      <c r="BF496" t="s">
        <v>3123</v>
      </c>
      <c r="BG496" t="s">
        <v>1156</v>
      </c>
      <c r="BJ496" s="114">
        <v>13</v>
      </c>
      <c r="BK496" s="116">
        <v>151</v>
      </c>
      <c r="BL496" s="120">
        <f t="shared" si="215"/>
        <v>13151</v>
      </c>
      <c r="BN496" s="5" t="s">
        <v>3154</v>
      </c>
      <c r="BR496" s="63"/>
      <c r="BY496" s="63">
        <f t="shared" si="214"/>
        <v>0</v>
      </c>
      <c r="BZ496" s="63">
        <v>99367</v>
      </c>
      <c r="CA496" s="63">
        <v>1081</v>
      </c>
      <c r="CC496" s="1"/>
      <c r="CD496" s="1">
        <v>1</v>
      </c>
      <c r="CE496" s="1"/>
      <c r="CF496" s="1"/>
      <c r="CJ496" s="8">
        <v>3</v>
      </c>
      <c r="CK496" s="8">
        <v>1</v>
      </c>
      <c r="CM496" s="8">
        <v>2</v>
      </c>
    </row>
    <row r="497" spans="1:91" hidden="1" outlineLevel="1">
      <c r="A497" t="s">
        <v>1007</v>
      </c>
      <c r="B497" t="s">
        <v>1156</v>
      </c>
      <c r="C497" s="1">
        <f t="shared" si="203"/>
        <v>60079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4</v>
      </c>
      <c r="G497" s="132">
        <f t="shared" si="204"/>
        <v>12877</v>
      </c>
      <c r="H497" s="137">
        <f t="shared" si="205"/>
        <v>0.21433445962815625</v>
      </c>
      <c r="I497" s="2"/>
      <c r="J497" s="2">
        <f t="shared" si="206"/>
        <v>0.37538907105644237</v>
      </c>
      <c r="K497" s="2">
        <f t="shared" si="207"/>
        <v>0.5897235306845986</v>
      </c>
      <c r="L497" s="2">
        <f t="shared" si="208"/>
        <v>2.8296076832170975E-3</v>
      </c>
      <c r="M497" s="2">
        <f t="shared" si="209"/>
        <v>3.2057790575741936E-2</v>
      </c>
      <c r="N497" s="63">
        <v>22553</v>
      </c>
      <c r="O497" s="63">
        <v>35430</v>
      </c>
      <c r="P497" s="63">
        <v>170</v>
      </c>
      <c r="Q497" s="63">
        <v>1761</v>
      </c>
      <c r="R497" s="63">
        <v>125</v>
      </c>
      <c r="S497" s="63">
        <v>33</v>
      </c>
      <c r="T497" s="63"/>
      <c r="U497" s="63"/>
      <c r="V497" s="63"/>
      <c r="W497" s="63">
        <f>IF(Copyright!B$11=1,IF(CA497&gt;0,CA497-P497-SUM(X497:AQ497)-SUM(R497:V497),SUM(CB497:CM497)),SUM(CC497:CM497))</f>
        <v>5</v>
      </c>
      <c r="X497" s="63"/>
      <c r="Y497" s="63">
        <v>1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>
        <v>1</v>
      </c>
      <c r="AO497" s="63"/>
      <c r="AP497" s="63"/>
      <c r="AQ497" s="63"/>
      <c r="AR497" s="63"/>
      <c r="AS497" s="63"/>
      <c r="AT497" s="63"/>
      <c r="AU497" s="63"/>
      <c r="AW497" s="5">
        <f>IF(Q497&gt;0,RANK(Q497,(N497:P497,Q497:AE497)),0)</f>
        <v>3</v>
      </c>
      <c r="AX497" s="5">
        <f>IF(R497&gt;0,RANK(R497,(N497:P497,Q497:AE497)),0)</f>
        <v>5</v>
      </c>
      <c r="AY497" s="5">
        <f>IF(T497&gt;0,RANK(T497,(N497:P497,Q497:AE497)),0)</f>
        <v>0</v>
      </c>
      <c r="AZ497" s="5">
        <f>IF(S497&gt;0,RANK(S497,(N497:P497,Q497:AE497)),0)</f>
        <v>6</v>
      </c>
      <c r="BA497" s="2">
        <f t="shared" si="210"/>
        <v>2.9311406647913582E-2</v>
      </c>
      <c r="BB497" s="2">
        <f t="shared" si="211"/>
        <v>2.0805938847184543E-3</v>
      </c>
      <c r="BC497" s="2">
        <f t="shared" si="212"/>
        <v>0</v>
      </c>
      <c r="BD497" s="2">
        <f t="shared" si="213"/>
        <v>5.4927678556567188E-4</v>
      </c>
      <c r="BF497" t="s">
        <v>1007</v>
      </c>
      <c r="BG497" t="s">
        <v>1156</v>
      </c>
      <c r="BH497">
        <v>8</v>
      </c>
      <c r="BJ497" s="114">
        <v>13</v>
      </c>
      <c r="BK497" s="116">
        <v>153</v>
      </c>
      <c r="BL497" s="120">
        <f t="shared" si="215"/>
        <v>13153</v>
      </c>
      <c r="BN497" s="5" t="s">
        <v>3154</v>
      </c>
      <c r="BR497" s="63"/>
      <c r="BY497" s="63">
        <f t="shared" si="214"/>
        <v>-60079</v>
      </c>
      <c r="CC497" s="1"/>
      <c r="CD497" s="1"/>
      <c r="CE497" s="1">
        <v>3</v>
      </c>
      <c r="CF497" s="1"/>
      <c r="CH497" s="8">
        <v>1</v>
      </c>
      <c r="CM497" s="8">
        <v>1</v>
      </c>
    </row>
    <row r="498" spans="1:91" hidden="1" outlineLevel="1">
      <c r="A498" t="s">
        <v>2994</v>
      </c>
      <c r="B498" t="s">
        <v>1156</v>
      </c>
      <c r="C498" s="1">
        <f t="shared" si="203"/>
        <v>3670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4</v>
      </c>
      <c r="G498" s="132">
        <f t="shared" si="204"/>
        <v>1825</v>
      </c>
      <c r="H498" s="137">
        <f t="shared" si="205"/>
        <v>0.49727520435967304</v>
      </c>
      <c r="I498" s="2"/>
      <c r="J498" s="2">
        <f t="shared" si="206"/>
        <v>0.24277929155313352</v>
      </c>
      <c r="K498" s="2">
        <f t="shared" si="207"/>
        <v>0.74005449591280659</v>
      </c>
      <c r="L498" s="2">
        <f t="shared" si="208"/>
        <v>8.1743869209809268E-4</v>
      </c>
      <c r="M498" s="2">
        <f t="shared" si="209"/>
        <v>1.6348773841961827E-2</v>
      </c>
      <c r="N498" s="63">
        <v>891</v>
      </c>
      <c r="O498" s="63">
        <v>2716</v>
      </c>
      <c r="P498" s="63">
        <v>3</v>
      </c>
      <c r="Q498" s="63">
        <v>58</v>
      </c>
      <c r="R498" s="63">
        <v>1</v>
      </c>
      <c r="S498" s="63">
        <v>1</v>
      </c>
      <c r="T498" s="63"/>
      <c r="U498" s="63"/>
      <c r="V498" s="63"/>
      <c r="W498" s="63">
        <f>IF(Copyright!B$11=1,IF(CA498&gt;0,CA498-P498-SUM(X498:AQ498)-SUM(R498:V498),SUM(CB498:CM498)),SUM(CC498:CM498))</f>
        <v>0</v>
      </c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W498" s="5">
        <f>IF(Q498&gt;0,RANK(Q498,(N498:P498,Q498:AE498)),0)</f>
        <v>3</v>
      </c>
      <c r="AX498" s="5">
        <f>IF(R498&gt;0,RANK(R498,(N498:P498,Q498:AE498)),0)</f>
        <v>5</v>
      </c>
      <c r="AY498" s="5">
        <f>IF(T498&gt;0,RANK(T498,(N498:P498,Q498:AE498)),0)</f>
        <v>0</v>
      </c>
      <c r="AZ498" s="5">
        <f>IF(S498&gt;0,RANK(S498,(N498:P498,Q498:AE498)),0)</f>
        <v>5</v>
      </c>
      <c r="BA498" s="2">
        <f t="shared" si="210"/>
        <v>1.5803814713896459E-2</v>
      </c>
      <c r="BB498" s="2">
        <f t="shared" si="211"/>
        <v>2.7247956403269756E-4</v>
      </c>
      <c r="BC498" s="2">
        <f t="shared" si="212"/>
        <v>0</v>
      </c>
      <c r="BD498" s="2">
        <f t="shared" si="213"/>
        <v>2.7247956403269756E-4</v>
      </c>
      <c r="BF498" t="s">
        <v>2994</v>
      </c>
      <c r="BG498" t="s">
        <v>1156</v>
      </c>
      <c r="BH498">
        <v>8</v>
      </c>
      <c r="BJ498" s="114">
        <v>13</v>
      </c>
      <c r="BK498" s="116">
        <v>155</v>
      </c>
      <c r="BL498" s="120">
        <f t="shared" si="215"/>
        <v>13155</v>
      </c>
      <c r="BN498" s="5" t="s">
        <v>3154</v>
      </c>
      <c r="BR498" s="63"/>
      <c r="BY498" s="63">
        <f t="shared" si="214"/>
        <v>-3670</v>
      </c>
      <c r="CC498" s="1"/>
      <c r="CD498" s="1"/>
      <c r="CE498" s="1"/>
      <c r="CF498" s="1"/>
    </row>
    <row r="499" spans="1:91" hidden="1" outlineLevel="1">
      <c r="A499" t="s">
        <v>2921</v>
      </c>
      <c r="B499" t="s">
        <v>1156</v>
      </c>
      <c r="C499" s="1">
        <f t="shared" si="203"/>
        <v>27421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5</v>
      </c>
      <c r="G499" s="132">
        <f t="shared" si="204"/>
        <v>17293</v>
      </c>
      <c r="H499" s="137">
        <f t="shared" si="205"/>
        <v>0.63064804347033299</v>
      </c>
      <c r="I499" s="2"/>
      <c r="J499" s="2">
        <f t="shared" si="206"/>
        <v>0.16377958498960651</v>
      </c>
      <c r="K499" s="2">
        <f t="shared" si="207"/>
        <v>0.79442762845993942</v>
      </c>
      <c r="L499" s="2">
        <f t="shared" si="208"/>
        <v>1.4587360052514496E-3</v>
      </c>
      <c r="M499" s="2">
        <f t="shared" si="209"/>
        <v>4.0334050545202595E-2</v>
      </c>
      <c r="N499" s="63">
        <v>4491</v>
      </c>
      <c r="O499" s="63">
        <v>21784</v>
      </c>
      <c r="P499" s="63">
        <v>40</v>
      </c>
      <c r="Q499" s="63">
        <v>834</v>
      </c>
      <c r="R499" s="63">
        <v>25</v>
      </c>
      <c r="S499" s="63">
        <v>16</v>
      </c>
      <c r="T499" s="63"/>
      <c r="U499" s="63"/>
      <c r="V499" s="63"/>
      <c r="W499" s="63">
        <f>IF(Copyright!B$11=1,IF(CA499&gt;0,CA499-P499-SUM(X499:AQ499)-SUM(R499:V499),SUM(CB499:CM499)),SUM(CC499:CM499))</f>
        <v>231</v>
      </c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W499" s="5">
        <f>IF(Q499&gt;0,RANK(Q499,(N499:P499,Q499:AE499)),0)</f>
        <v>3</v>
      </c>
      <c r="AX499" s="5">
        <f>IF(R499&gt;0,RANK(R499,(N499:P499,Q499:AE499)),0)</f>
        <v>6</v>
      </c>
      <c r="AY499" s="5">
        <f>IF(T499&gt;0,RANK(T499,(N499:P499,Q499:AE499)),0)</f>
        <v>0</v>
      </c>
      <c r="AZ499" s="5">
        <f>IF(S499&gt;0,RANK(S499,(N499:P499,Q499:AE499)),0)</f>
        <v>7</v>
      </c>
      <c r="BA499" s="2">
        <f t="shared" si="210"/>
        <v>3.0414645709492726E-2</v>
      </c>
      <c r="BB499" s="2">
        <f t="shared" si="211"/>
        <v>9.1171000328215605E-4</v>
      </c>
      <c r="BC499" s="2">
        <f t="shared" si="212"/>
        <v>0</v>
      </c>
      <c r="BD499" s="2">
        <f t="shared" si="213"/>
        <v>5.8349440210057988E-4</v>
      </c>
      <c r="BF499" t="s">
        <v>2921</v>
      </c>
      <c r="BG499" t="s">
        <v>1156</v>
      </c>
      <c r="BH499">
        <v>9</v>
      </c>
      <c r="BJ499" s="114">
        <v>13</v>
      </c>
      <c r="BK499" s="116">
        <v>157</v>
      </c>
      <c r="BL499" s="120">
        <f t="shared" si="215"/>
        <v>13157</v>
      </c>
      <c r="BN499" s="5" t="s">
        <v>3154</v>
      </c>
      <c r="BR499" s="63"/>
      <c r="BY499" s="63">
        <f t="shared" si="214"/>
        <v>-52</v>
      </c>
      <c r="BZ499" s="63">
        <v>27369</v>
      </c>
      <c r="CA499" s="133">
        <v>312</v>
      </c>
      <c r="CC499" s="1"/>
      <c r="CD499" s="1"/>
      <c r="CE499" s="1"/>
      <c r="CF499" s="1"/>
    </row>
    <row r="500" spans="1:91" hidden="1" outlineLevel="1">
      <c r="A500" t="s">
        <v>1471</v>
      </c>
      <c r="B500" t="s">
        <v>1156</v>
      </c>
      <c r="C500" s="1">
        <f t="shared" si="203"/>
        <v>6045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4</v>
      </c>
      <c r="G500" s="132">
        <f t="shared" si="204"/>
        <v>2816</v>
      </c>
      <c r="H500" s="137">
        <f t="shared" si="205"/>
        <v>0.46583953680727874</v>
      </c>
      <c r="I500" s="2"/>
      <c r="J500" s="2">
        <f t="shared" si="206"/>
        <v>0.25541770057899088</v>
      </c>
      <c r="K500" s="2">
        <f t="shared" si="207"/>
        <v>0.72125723738626968</v>
      </c>
      <c r="L500" s="2">
        <f t="shared" si="208"/>
        <v>2.6468155500413565E-3</v>
      </c>
      <c r="M500" s="2">
        <f t="shared" si="209"/>
        <v>2.067824648469814E-2</v>
      </c>
      <c r="N500" s="63">
        <v>1544</v>
      </c>
      <c r="O500" s="63">
        <v>4360</v>
      </c>
      <c r="P500" s="63">
        <v>16</v>
      </c>
      <c r="Q500" s="63">
        <v>119</v>
      </c>
      <c r="R500" s="63">
        <v>4</v>
      </c>
      <c r="S500" s="63">
        <v>2</v>
      </c>
      <c r="T500" s="63"/>
      <c r="U500" s="63"/>
      <c r="V500" s="63"/>
      <c r="W500" s="63">
        <f>IF(Copyright!B$11=1,IF(CA500&gt;0,CA500-P500-SUM(X500:AQ500)-SUM(R500:V500),SUM(CB500:CM500)),SUM(CC500:CM500))</f>
        <v>0</v>
      </c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W500" s="5">
        <f>IF(Q500&gt;0,RANK(Q500,(N500:P500,Q500:AE500)),0)</f>
        <v>3</v>
      </c>
      <c r="AX500" s="5">
        <f>IF(R500&gt;0,RANK(R500,(N500:P500,Q500:AE500)),0)</f>
        <v>5</v>
      </c>
      <c r="AY500" s="5">
        <f>IF(T500&gt;0,RANK(T500,(N500:P500,Q500:AE500)),0)</f>
        <v>0</v>
      </c>
      <c r="AZ500" s="5">
        <f>IF(S500&gt;0,RANK(S500,(N500:P500,Q500:AE500)),0)</f>
        <v>6</v>
      </c>
      <c r="BA500" s="2">
        <f t="shared" si="210"/>
        <v>1.9685690653432588E-2</v>
      </c>
      <c r="BB500" s="2">
        <f t="shared" si="211"/>
        <v>6.6170388751033912E-4</v>
      </c>
      <c r="BC500" s="2">
        <f t="shared" si="212"/>
        <v>0</v>
      </c>
      <c r="BD500" s="2">
        <f t="shared" si="213"/>
        <v>3.3085194375516956E-4</v>
      </c>
      <c r="BF500" t="s">
        <v>1471</v>
      </c>
      <c r="BG500" t="s">
        <v>1156</v>
      </c>
      <c r="BH500">
        <v>10</v>
      </c>
      <c r="BJ500" s="114">
        <v>13</v>
      </c>
      <c r="BK500" s="116">
        <v>159</v>
      </c>
      <c r="BL500" s="120">
        <f t="shared" si="215"/>
        <v>13159</v>
      </c>
      <c r="BN500" s="5" t="s">
        <v>3154</v>
      </c>
      <c r="BR500" s="63"/>
      <c r="BY500" s="63">
        <f t="shared" si="214"/>
        <v>-6045</v>
      </c>
      <c r="CC500" s="1"/>
      <c r="CD500" s="1"/>
      <c r="CE500" s="1"/>
      <c r="CF500" s="1"/>
    </row>
    <row r="501" spans="1:91" hidden="1" outlineLevel="1">
      <c r="A501" t="s">
        <v>1071</v>
      </c>
      <c r="B501" t="s">
        <v>1156</v>
      </c>
      <c r="C501" s="1">
        <f t="shared" si="203"/>
        <v>5096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>IF(P501&gt;0,RANK(P501,(N501:P501,Q501:AE501)),0)</f>
        <v>5</v>
      </c>
      <c r="G501" s="132">
        <f t="shared" si="204"/>
        <v>3203</v>
      </c>
      <c r="H501" s="137">
        <f t="shared" si="205"/>
        <v>0.62853218210361073</v>
      </c>
      <c r="I501" s="2"/>
      <c r="J501" s="2">
        <f t="shared" si="206"/>
        <v>0.17680533751962324</v>
      </c>
      <c r="K501" s="2">
        <f t="shared" si="207"/>
        <v>0.80533751962323386</v>
      </c>
      <c r="L501" s="2">
        <f t="shared" si="208"/>
        <v>1.9623233908948196E-4</v>
      </c>
      <c r="M501" s="2">
        <f t="shared" si="209"/>
        <v>1.7660910518053421E-2</v>
      </c>
      <c r="N501" s="63">
        <v>901</v>
      </c>
      <c r="O501" s="63">
        <v>4104</v>
      </c>
      <c r="P501" s="63">
        <v>1</v>
      </c>
      <c r="Q501" s="63">
        <v>86</v>
      </c>
      <c r="R501" s="63">
        <v>1</v>
      </c>
      <c r="S501" s="63"/>
      <c r="T501" s="63"/>
      <c r="U501" s="63"/>
      <c r="V501" s="63"/>
      <c r="W501" s="63">
        <f>IF(Copyright!B$11=1,IF(CA501&gt;0,CA501-P501-SUM(X501:AQ501)-SUM(R501:V501),SUM(CB501:CM501)),SUM(CC501:CM501))</f>
        <v>0</v>
      </c>
      <c r="X501" s="63"/>
      <c r="Y501" s="63">
        <v>3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W501" s="5">
        <f>IF(Q501&gt;0,RANK(Q501,(N501:P501,Q501:AE501)),0)</f>
        <v>3</v>
      </c>
      <c r="AX501" s="5">
        <f>IF(R501&gt;0,RANK(R501,(N501:P501,Q501:AE501)),0)</f>
        <v>5</v>
      </c>
      <c r="AY501" s="5">
        <f>IF(T501&gt;0,RANK(T501,(N501:P501,Q501:AE501)),0)</f>
        <v>0</v>
      </c>
      <c r="AZ501" s="5">
        <f>IF(S501&gt;0,RANK(S501,(N501:P501,Q501:AE501)),0)</f>
        <v>0</v>
      </c>
      <c r="BA501" s="2">
        <f t="shared" si="210"/>
        <v>1.6875981161695447E-2</v>
      </c>
      <c r="BB501" s="2">
        <f t="shared" si="211"/>
        <v>1.9623233908948196E-4</v>
      </c>
      <c r="BC501" s="2">
        <f t="shared" si="212"/>
        <v>0</v>
      </c>
      <c r="BD501" s="2">
        <f t="shared" si="213"/>
        <v>0</v>
      </c>
      <c r="BF501" t="s">
        <v>1071</v>
      </c>
      <c r="BG501" t="s">
        <v>1156</v>
      </c>
      <c r="BH501">
        <v>12</v>
      </c>
      <c r="BJ501" s="114">
        <v>13</v>
      </c>
      <c r="BK501" s="116">
        <v>161</v>
      </c>
      <c r="BL501" s="120">
        <f t="shared" si="215"/>
        <v>13161</v>
      </c>
      <c r="BN501" s="5" t="s">
        <v>3154</v>
      </c>
      <c r="BR501" s="63"/>
      <c r="BY501" s="63">
        <f t="shared" si="214"/>
        <v>-5096</v>
      </c>
      <c r="CC501" s="1"/>
      <c r="CD501" s="1"/>
      <c r="CE501" s="1"/>
      <c r="CF501" s="1"/>
    </row>
    <row r="502" spans="1:91" hidden="1" outlineLevel="1">
      <c r="A502" t="s">
        <v>1092</v>
      </c>
      <c r="B502" t="s">
        <v>1156</v>
      </c>
      <c r="C502" s="1">
        <f t="shared" si="203"/>
        <v>6968</v>
      </c>
      <c r="D502" s="5">
        <f>IF(N502&gt;0, RANK(N502,(N502:P502,Q502:AE502)),0)</f>
        <v>1</v>
      </c>
      <c r="E502" s="5">
        <f>IF(O502&gt;0,RANK(O502,(N502:P502,Q502:AE502)),0)</f>
        <v>2</v>
      </c>
      <c r="F502" s="5">
        <f>IF(P502&gt;0,RANK(P502,(N502:P502,Q502:AE502)),0)</f>
        <v>4</v>
      </c>
      <c r="G502" s="132">
        <f t="shared" si="204"/>
        <v>758</v>
      </c>
      <c r="H502" s="137">
        <f t="shared" si="205"/>
        <v>0.10878300803673938</v>
      </c>
      <c r="I502" s="2"/>
      <c r="J502" s="2">
        <f t="shared" si="206"/>
        <v>0.54836394948335243</v>
      </c>
      <c r="K502" s="2">
        <f t="shared" si="207"/>
        <v>0.43958094144661308</v>
      </c>
      <c r="L502" s="2">
        <f t="shared" si="208"/>
        <v>1.0045924225028703E-3</v>
      </c>
      <c r="M502" s="2">
        <f t="shared" si="209"/>
        <v>1.1050516647531617E-2</v>
      </c>
      <c r="N502" s="63">
        <v>3821</v>
      </c>
      <c r="O502" s="63">
        <v>3063</v>
      </c>
      <c r="P502" s="63">
        <v>7</v>
      </c>
      <c r="Q502" s="63">
        <v>70</v>
      </c>
      <c r="R502" s="63">
        <v>6</v>
      </c>
      <c r="S502" s="63">
        <v>1</v>
      </c>
      <c r="T502" s="63"/>
      <c r="U502" s="63"/>
      <c r="V502" s="63"/>
      <c r="W502" s="63">
        <f>IF(Copyright!B$11=1,IF(CA502&gt;0,CA502-P502-SUM(X502:AQ502)-SUM(R502:V502),SUM(CB502:CM502)),SUM(CC502:CM502))</f>
        <v>0</v>
      </c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W502" s="5">
        <f>IF(Q502&gt;0,RANK(Q502,(N502:P502,Q502:AE502)),0)</f>
        <v>3</v>
      </c>
      <c r="AX502" s="5">
        <f>IF(R502&gt;0,RANK(R502,(N502:P502,Q502:AE502)),0)</f>
        <v>5</v>
      </c>
      <c r="AY502" s="5">
        <f>IF(T502&gt;0,RANK(T502,(N502:P502,Q502:AE502)),0)</f>
        <v>0</v>
      </c>
      <c r="AZ502" s="5">
        <f>IF(S502&gt;0,RANK(S502,(N502:P502,Q502:AE502)),0)</f>
        <v>6</v>
      </c>
      <c r="BA502" s="2">
        <f t="shared" si="210"/>
        <v>1.0045924225028703E-2</v>
      </c>
      <c r="BB502" s="2">
        <f t="shared" si="211"/>
        <v>8.6107921928817448E-4</v>
      </c>
      <c r="BC502" s="2">
        <f t="shared" si="212"/>
        <v>0</v>
      </c>
      <c r="BD502" s="2">
        <f t="shared" si="213"/>
        <v>1.4351320321469576E-4</v>
      </c>
      <c r="BF502" t="s">
        <v>1092</v>
      </c>
      <c r="BG502" t="s">
        <v>1156</v>
      </c>
      <c r="BH502">
        <v>10</v>
      </c>
      <c r="BJ502" s="114">
        <v>13</v>
      </c>
      <c r="BK502" s="116">
        <v>163</v>
      </c>
      <c r="BL502" s="120">
        <f t="shared" si="215"/>
        <v>13163</v>
      </c>
      <c r="BN502" s="5" t="s">
        <v>3154</v>
      </c>
      <c r="BR502" s="63"/>
      <c r="BY502" s="63">
        <f t="shared" si="214"/>
        <v>-6968</v>
      </c>
      <c r="CC502" s="1"/>
      <c r="CD502" s="1"/>
      <c r="CE502" s="1"/>
      <c r="CF502" s="1"/>
    </row>
    <row r="503" spans="1:91" hidden="1" outlineLevel="1">
      <c r="A503" t="s">
        <v>1450</v>
      </c>
      <c r="B503" t="s">
        <v>1156</v>
      </c>
      <c r="C503" s="1">
        <f t="shared" si="203"/>
        <v>3056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4</v>
      </c>
      <c r="G503" s="132">
        <f t="shared" si="204"/>
        <v>772</v>
      </c>
      <c r="H503" s="137">
        <f t="shared" si="205"/>
        <v>0.25261780104712039</v>
      </c>
      <c r="I503" s="2"/>
      <c r="J503" s="2">
        <f t="shared" si="206"/>
        <v>0.36747382198952877</v>
      </c>
      <c r="K503" s="2">
        <f t="shared" si="207"/>
        <v>0.62009162303664922</v>
      </c>
      <c r="L503" s="2">
        <f t="shared" si="208"/>
        <v>9.8167539267015702E-4</v>
      </c>
      <c r="M503" s="2">
        <f t="shared" si="209"/>
        <v>1.1452879581151798E-2</v>
      </c>
      <c r="N503" s="63">
        <v>1123</v>
      </c>
      <c r="O503" s="63">
        <v>1895</v>
      </c>
      <c r="P503" s="63">
        <v>3</v>
      </c>
      <c r="Q503" s="63">
        <v>34</v>
      </c>
      <c r="R503" s="63">
        <v>1</v>
      </c>
      <c r="S503" s="63"/>
      <c r="T503" s="63"/>
      <c r="U503" s="63"/>
      <c r="V503" s="63"/>
      <c r="W503" s="63">
        <f>IF(Copyright!B$11=1,IF(CA503&gt;0,CA503-P503-SUM(X503:AQ503)-SUM(R503:V503),SUM(CB503:CM503)),SUM(CC503:CM503))</f>
        <v>0</v>
      </c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W503" s="5">
        <f>IF(Q503&gt;0,RANK(Q503,(N503:P503,Q503:AE503)),0)</f>
        <v>3</v>
      </c>
      <c r="AX503" s="5">
        <f>IF(R503&gt;0,RANK(R503,(N503:P503,Q503:AE503)),0)</f>
        <v>5</v>
      </c>
      <c r="AY503" s="5">
        <f>IF(T503&gt;0,RANK(T503,(N503:P503,Q503:AE503)),0)</f>
        <v>0</v>
      </c>
      <c r="AZ503" s="5">
        <f>IF(S503&gt;0,RANK(S503,(N503:P503,Q503:AE503)),0)</f>
        <v>0</v>
      </c>
      <c r="BA503" s="2">
        <f t="shared" si="210"/>
        <v>1.112565445026178E-2</v>
      </c>
      <c r="BB503" s="2">
        <f t="shared" si="211"/>
        <v>3.2722513089005238E-4</v>
      </c>
      <c r="BC503" s="2">
        <f t="shared" si="212"/>
        <v>0</v>
      </c>
      <c r="BD503" s="2">
        <f t="shared" si="213"/>
        <v>0</v>
      </c>
      <c r="BF503" t="s">
        <v>1450</v>
      </c>
      <c r="BG503" t="s">
        <v>1156</v>
      </c>
      <c r="BH503">
        <v>12</v>
      </c>
      <c r="BJ503" s="114">
        <v>13</v>
      </c>
      <c r="BK503" s="116">
        <v>165</v>
      </c>
      <c r="BL503" s="120">
        <f t="shared" si="215"/>
        <v>13165</v>
      </c>
      <c r="BN503" s="5" t="s">
        <v>3154</v>
      </c>
      <c r="BR503" s="63"/>
      <c r="BY503" s="63">
        <f t="shared" si="214"/>
        <v>-3056</v>
      </c>
      <c r="CC503" s="1"/>
      <c r="CD503" s="1"/>
      <c r="CE503" s="1"/>
      <c r="CF503" s="1"/>
    </row>
    <row r="504" spans="1:91" hidden="1" outlineLevel="1">
      <c r="A504" t="s">
        <v>1361</v>
      </c>
      <c r="B504" t="s">
        <v>1156</v>
      </c>
      <c r="C504" s="1">
        <f t="shared" si="203"/>
        <v>3686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4</v>
      </c>
      <c r="G504" s="132">
        <f t="shared" si="204"/>
        <v>1383</v>
      </c>
      <c r="H504" s="137">
        <f t="shared" si="205"/>
        <v>0.37520347259902331</v>
      </c>
      <c r="I504" s="2"/>
      <c r="J504" s="2">
        <f t="shared" si="206"/>
        <v>0.30819316332067281</v>
      </c>
      <c r="K504" s="2">
        <f t="shared" si="207"/>
        <v>0.68339663591969613</v>
      </c>
      <c r="L504" s="2">
        <f t="shared" si="208"/>
        <v>8.1389039609332605E-4</v>
      </c>
      <c r="M504" s="2">
        <f t="shared" si="209"/>
        <v>7.5963103635377331E-3</v>
      </c>
      <c r="N504" s="63">
        <v>1136</v>
      </c>
      <c r="O504" s="63">
        <v>2519</v>
      </c>
      <c r="P504" s="63">
        <v>3</v>
      </c>
      <c r="Q504" s="63">
        <v>27</v>
      </c>
      <c r="R504" s="63">
        <v>1</v>
      </c>
      <c r="S504" s="63"/>
      <c r="T504" s="63"/>
      <c r="U504" s="63"/>
      <c r="V504" s="63"/>
      <c r="W504" s="63">
        <f>IF(Copyright!B$11=1,IF(CA504&gt;0,CA504-P504-SUM(X504:AQ504)-SUM(R504:V504),SUM(CB504:CM504)),SUM(CC504:CM504))</f>
        <v>0</v>
      </c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W504" s="5">
        <f>IF(Q504&gt;0,RANK(Q504,(N504:P504,Q504:AE504)),0)</f>
        <v>3</v>
      </c>
      <c r="AX504" s="5">
        <f>IF(R504&gt;0,RANK(R504,(N504:P504,Q504:AE504)),0)</f>
        <v>5</v>
      </c>
      <c r="AY504" s="5">
        <f>IF(T504&gt;0,RANK(T504,(N504:P504,Q504:AE504)),0)</f>
        <v>0</v>
      </c>
      <c r="AZ504" s="5">
        <f>IF(S504&gt;0,RANK(S504,(N504:P504,Q504:AE504)),0)</f>
        <v>0</v>
      </c>
      <c r="BA504" s="2">
        <f t="shared" si="210"/>
        <v>7.3250135648399353E-3</v>
      </c>
      <c r="BB504" s="2">
        <f t="shared" si="211"/>
        <v>2.7129679869777537E-4</v>
      </c>
      <c r="BC504" s="2">
        <f t="shared" si="212"/>
        <v>0</v>
      </c>
      <c r="BD504" s="2">
        <f t="shared" si="213"/>
        <v>0</v>
      </c>
      <c r="BF504" t="s">
        <v>1361</v>
      </c>
      <c r="BG504" t="s">
        <v>1156</v>
      </c>
      <c r="BH504">
        <v>10</v>
      </c>
      <c r="BJ504" s="114">
        <v>13</v>
      </c>
      <c r="BK504" s="116">
        <v>167</v>
      </c>
      <c r="BL504" s="120">
        <f t="shared" si="215"/>
        <v>13167</v>
      </c>
      <c r="BN504" s="5" t="s">
        <v>3154</v>
      </c>
      <c r="BR504" s="63"/>
      <c r="BY504" s="63">
        <f t="shared" si="214"/>
        <v>-3686</v>
      </c>
      <c r="CC504" s="1"/>
      <c r="CD504" s="1"/>
      <c r="CE504" s="1"/>
      <c r="CF504" s="1"/>
    </row>
    <row r="505" spans="1:91" hidden="1" outlineLevel="1">
      <c r="A505" t="s">
        <v>241</v>
      </c>
      <c r="B505" t="s">
        <v>1156</v>
      </c>
      <c r="C505" s="1">
        <f t="shared" si="203"/>
        <v>12551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4</v>
      </c>
      <c r="G505" s="132">
        <f t="shared" si="204"/>
        <v>4344</v>
      </c>
      <c r="H505" s="137">
        <f t="shared" si="205"/>
        <v>0.34610787985021113</v>
      </c>
      <c r="I505" s="2"/>
      <c r="J505" s="2">
        <f t="shared" si="206"/>
        <v>0.31559238307704568</v>
      </c>
      <c r="K505" s="2">
        <f t="shared" si="207"/>
        <v>0.66170026292725681</v>
      </c>
      <c r="L505" s="2">
        <f t="shared" si="208"/>
        <v>1.3544737471117838E-3</v>
      </c>
      <c r="M505" s="2">
        <f t="shared" si="209"/>
        <v>2.1352880248585671E-2</v>
      </c>
      <c r="N505" s="63">
        <v>3961</v>
      </c>
      <c r="O505" s="63">
        <v>8305</v>
      </c>
      <c r="P505" s="63">
        <v>17</v>
      </c>
      <c r="Q505" s="63">
        <v>260</v>
      </c>
      <c r="R505" s="63">
        <v>8</v>
      </c>
      <c r="S505" s="63"/>
      <c r="T505" s="63"/>
      <c r="U505" s="63"/>
      <c r="V505" s="63"/>
      <c r="W505" s="63">
        <f>IF(Copyright!B$11=1,IF(CA505&gt;0,CA505-P505-SUM(X505:AQ505)-SUM(R505:V505),SUM(CB505:CM505)),SUM(CC505:CM505))</f>
        <v>0</v>
      </c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W505" s="5">
        <f>IF(Q505&gt;0,RANK(Q505,(N505:P505,Q505:AE505)),0)</f>
        <v>3</v>
      </c>
      <c r="AX505" s="5">
        <f>IF(R505&gt;0,RANK(R505,(N505:P505,Q505:AE505)),0)</f>
        <v>5</v>
      </c>
      <c r="AY505" s="5">
        <f>IF(T505&gt;0,RANK(T505,(N505:P505,Q505:AE505)),0)</f>
        <v>0</v>
      </c>
      <c r="AZ505" s="5">
        <f>IF(S505&gt;0,RANK(S505,(N505:P505,Q505:AE505)),0)</f>
        <v>0</v>
      </c>
      <c r="BA505" s="2">
        <f t="shared" si="210"/>
        <v>2.0715480838180225E-2</v>
      </c>
      <c r="BB505" s="2">
        <f t="shared" si="211"/>
        <v>6.3739941040554535E-4</v>
      </c>
      <c r="BC505" s="2">
        <f t="shared" si="212"/>
        <v>0</v>
      </c>
      <c r="BD505" s="2">
        <f t="shared" si="213"/>
        <v>0</v>
      </c>
      <c r="BF505" t="s">
        <v>241</v>
      </c>
      <c r="BG505" t="s">
        <v>1156</v>
      </c>
      <c r="BH505">
        <v>8</v>
      </c>
      <c r="BJ505" s="114">
        <v>13</v>
      </c>
      <c r="BK505" s="116">
        <v>169</v>
      </c>
      <c r="BL505" s="120">
        <f t="shared" si="215"/>
        <v>13169</v>
      </c>
      <c r="BN505" s="5" t="s">
        <v>3154</v>
      </c>
      <c r="BR505" s="63"/>
      <c r="BY505" s="63">
        <f t="shared" si="214"/>
        <v>-12551</v>
      </c>
      <c r="CC505" s="1"/>
      <c r="CD505" s="1"/>
      <c r="CE505" s="1"/>
      <c r="CF505" s="1"/>
    </row>
    <row r="506" spans="1:91" hidden="1" outlineLevel="1">
      <c r="A506" t="s">
        <v>310</v>
      </c>
      <c r="B506" t="s">
        <v>1156</v>
      </c>
      <c r="C506" s="1">
        <f t="shared" si="203"/>
        <v>7612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4</v>
      </c>
      <c r="G506" s="132">
        <f t="shared" si="204"/>
        <v>2920</v>
      </c>
      <c r="H506" s="137">
        <f t="shared" si="205"/>
        <v>0.38360483447188648</v>
      </c>
      <c r="I506" s="2"/>
      <c r="J506" s="2">
        <f t="shared" si="206"/>
        <v>0.29821334734629534</v>
      </c>
      <c r="K506" s="2">
        <f t="shared" si="207"/>
        <v>0.68181818181818177</v>
      </c>
      <c r="L506" s="2">
        <f t="shared" si="208"/>
        <v>2.3646873357856019E-3</v>
      </c>
      <c r="M506" s="2">
        <f t="shared" si="209"/>
        <v>1.7603783499737288E-2</v>
      </c>
      <c r="N506" s="63">
        <v>2270</v>
      </c>
      <c r="O506" s="63">
        <v>5190</v>
      </c>
      <c r="P506" s="63">
        <v>18</v>
      </c>
      <c r="Q506" s="63">
        <v>126</v>
      </c>
      <c r="R506" s="63">
        <v>6</v>
      </c>
      <c r="S506" s="63">
        <v>2</v>
      </c>
      <c r="T506" s="63"/>
      <c r="U506" s="63"/>
      <c r="V506" s="63"/>
      <c r="W506" s="63">
        <f>IF(Copyright!B$11=1,IF(CA506&gt;0,CA506-P506-SUM(X506:AQ506)-SUM(R506:V506),SUM(CB506:CM506)),SUM(CC506:CM506))</f>
        <v>0</v>
      </c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W506" s="5">
        <f>IF(Q506&gt;0,RANK(Q506,(N506:P506,Q506:AE506)),0)</f>
        <v>3</v>
      </c>
      <c r="AX506" s="5">
        <f>IF(R506&gt;0,RANK(R506,(N506:P506,Q506:AE506)),0)</f>
        <v>5</v>
      </c>
      <c r="AY506" s="5">
        <f>IF(T506&gt;0,RANK(T506,(N506:P506,Q506:AE506)),0)</f>
        <v>0</v>
      </c>
      <c r="AZ506" s="5">
        <f>IF(S506&gt;0,RANK(S506,(N506:P506,Q506:AE506)),0)</f>
        <v>6</v>
      </c>
      <c r="BA506" s="2">
        <f t="shared" si="210"/>
        <v>1.655281135049921E-2</v>
      </c>
      <c r="BB506" s="2">
        <f t="shared" si="211"/>
        <v>7.8822911192853392E-4</v>
      </c>
      <c r="BC506" s="2">
        <f t="shared" si="212"/>
        <v>0</v>
      </c>
      <c r="BD506" s="2">
        <f t="shared" si="213"/>
        <v>2.6274303730951129E-4</v>
      </c>
      <c r="BF506" t="s">
        <v>310</v>
      </c>
      <c r="BG506" t="s">
        <v>1156</v>
      </c>
      <c r="BH506">
        <v>3</v>
      </c>
      <c r="BJ506" s="114">
        <v>13</v>
      </c>
      <c r="BK506" s="116">
        <v>171</v>
      </c>
      <c r="BL506" s="120">
        <f t="shared" si="215"/>
        <v>13171</v>
      </c>
      <c r="BN506" s="5" t="s">
        <v>3154</v>
      </c>
      <c r="BR506" s="63"/>
      <c r="BY506" s="63">
        <f t="shared" si="214"/>
        <v>-7612</v>
      </c>
      <c r="CC506" s="1"/>
      <c r="CD506" s="1"/>
      <c r="CE506" s="1"/>
      <c r="CF506" s="1"/>
    </row>
    <row r="507" spans="1:91" hidden="1" outlineLevel="1">
      <c r="A507" t="s">
        <v>2012</v>
      </c>
      <c r="B507" t="s">
        <v>1156</v>
      </c>
      <c r="C507" s="1">
        <f t="shared" si="203"/>
        <v>2871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4</v>
      </c>
      <c r="G507" s="132">
        <f t="shared" si="204"/>
        <v>1178</v>
      </c>
      <c r="H507" s="137">
        <f t="shared" si="205"/>
        <v>0.41030999651689309</v>
      </c>
      <c r="I507" s="2"/>
      <c r="J507" s="2">
        <f t="shared" si="206"/>
        <v>0.28073841866945315</v>
      </c>
      <c r="K507" s="2">
        <f t="shared" si="207"/>
        <v>0.69104841518634619</v>
      </c>
      <c r="L507" s="2">
        <f t="shared" si="208"/>
        <v>1.7415534656913968E-3</v>
      </c>
      <c r="M507" s="2">
        <f t="shared" si="209"/>
        <v>2.6471612678509268E-2</v>
      </c>
      <c r="N507" s="63">
        <v>806</v>
      </c>
      <c r="O507" s="63">
        <v>1984</v>
      </c>
      <c r="P507" s="63">
        <v>5</v>
      </c>
      <c r="Q507" s="63">
        <v>73</v>
      </c>
      <c r="R507" s="63">
        <v>3</v>
      </c>
      <c r="S507" s="63"/>
      <c r="T507" s="63"/>
      <c r="U507" s="63"/>
      <c r="V507" s="63"/>
      <c r="W507" s="63">
        <f>IF(Copyright!B$11=1,IF(CA507&gt;0,CA507-P507-SUM(X507:AQ507)-SUM(R507:V507),SUM(CB507:CM507)),SUM(CC507:CM507))</f>
        <v>0</v>
      </c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W507" s="5">
        <f>IF(Q507&gt;0,RANK(Q507,(N507:P507,Q507:AE507)),0)</f>
        <v>3</v>
      </c>
      <c r="AX507" s="5">
        <f>IF(R507&gt;0,RANK(R507,(N507:P507,Q507:AE507)),0)</f>
        <v>5</v>
      </c>
      <c r="AY507" s="5">
        <f>IF(T507&gt;0,RANK(T507,(N507:P507,Q507:AE507)),0)</f>
        <v>0</v>
      </c>
      <c r="AZ507" s="5">
        <f>IF(S507&gt;0,RANK(S507,(N507:P507,Q507:AE507)),0)</f>
        <v>0</v>
      </c>
      <c r="BA507" s="2">
        <f t="shared" si="210"/>
        <v>2.5426680599094392E-2</v>
      </c>
      <c r="BB507" s="2">
        <f t="shared" si="211"/>
        <v>1.0449320794148381E-3</v>
      </c>
      <c r="BC507" s="2">
        <f t="shared" si="212"/>
        <v>0</v>
      </c>
      <c r="BD507" s="2">
        <f t="shared" si="213"/>
        <v>0</v>
      </c>
      <c r="BF507" t="s">
        <v>2012</v>
      </c>
      <c r="BG507" t="s">
        <v>1156</v>
      </c>
      <c r="BH507">
        <v>8</v>
      </c>
      <c r="BJ507" s="114">
        <v>13</v>
      </c>
      <c r="BK507" s="116">
        <v>173</v>
      </c>
      <c r="BL507" s="120">
        <f t="shared" si="215"/>
        <v>13173</v>
      </c>
      <c r="BN507" s="5" t="s">
        <v>3154</v>
      </c>
      <c r="BR507" s="63"/>
      <c r="BY507" s="63">
        <f t="shared" si="214"/>
        <v>-2871</v>
      </c>
      <c r="CC507" s="1"/>
      <c r="CD507" s="1"/>
      <c r="CE507" s="1"/>
      <c r="CF507" s="1"/>
    </row>
    <row r="508" spans="1:91" hidden="1" outlineLevel="1">
      <c r="A508" t="s">
        <v>745</v>
      </c>
      <c r="B508" t="s">
        <v>1156</v>
      </c>
      <c r="C508" s="1">
        <f t="shared" si="203"/>
        <v>19530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4</v>
      </c>
      <c r="G508" s="132">
        <f t="shared" si="204"/>
        <v>5659</v>
      </c>
      <c r="H508" s="137">
        <f t="shared" si="205"/>
        <v>0.2897593445980543</v>
      </c>
      <c r="I508" s="2"/>
      <c r="J508" s="2">
        <f t="shared" si="206"/>
        <v>0.34572452636968765</v>
      </c>
      <c r="K508" s="2">
        <f t="shared" si="207"/>
        <v>0.63548387096774195</v>
      </c>
      <c r="L508" s="2">
        <f t="shared" si="208"/>
        <v>1.5873015873015873E-3</v>
      </c>
      <c r="M508" s="2">
        <f t="shared" si="209"/>
        <v>1.7204301075268817E-2</v>
      </c>
      <c r="N508" s="63">
        <v>6752</v>
      </c>
      <c r="O508" s="63">
        <v>12411</v>
      </c>
      <c r="P508" s="63">
        <v>31</v>
      </c>
      <c r="Q508" s="63">
        <v>313</v>
      </c>
      <c r="R508" s="63">
        <v>17</v>
      </c>
      <c r="S508" s="63">
        <v>6</v>
      </c>
      <c r="T508" s="63"/>
      <c r="U508" s="63"/>
      <c r="V508" s="63"/>
      <c r="W508" s="63">
        <f>IF(Copyright!B$11=1,IF(CA508&gt;0,CA508-P508-SUM(X508:AQ508)-SUM(R508:V508),SUM(CB508:CM508)),SUM(CC508:CM508))</f>
        <v>0</v>
      </c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W508" s="5">
        <f>IF(Q508&gt;0,RANK(Q508,(N508:P508,Q508:AE508)),0)</f>
        <v>3</v>
      </c>
      <c r="AX508" s="5">
        <f>IF(R508&gt;0,RANK(R508,(N508:P508,Q508:AE508)),0)</f>
        <v>5</v>
      </c>
      <c r="AY508" s="5">
        <f>IF(T508&gt;0,RANK(T508,(N508:P508,Q508:AE508)),0)</f>
        <v>0</v>
      </c>
      <c r="AZ508" s="5">
        <f>IF(S508&gt;0,RANK(S508,(N508:P508,Q508:AE508)),0)</f>
        <v>6</v>
      </c>
      <c r="BA508" s="2">
        <f t="shared" si="210"/>
        <v>1.6026625704045058E-2</v>
      </c>
      <c r="BB508" s="2">
        <f t="shared" si="211"/>
        <v>8.7045570916538658E-4</v>
      </c>
      <c r="BC508" s="2">
        <f t="shared" si="212"/>
        <v>0</v>
      </c>
      <c r="BD508" s="2">
        <f t="shared" si="213"/>
        <v>3.0721966205837174E-4</v>
      </c>
      <c r="BF508" t="s">
        <v>745</v>
      </c>
      <c r="BG508" t="s">
        <v>1156</v>
      </c>
      <c r="BH508">
        <v>12</v>
      </c>
      <c r="BJ508" s="114">
        <v>13</v>
      </c>
      <c r="BK508" s="116">
        <v>175</v>
      </c>
      <c r="BL508" s="120">
        <f t="shared" si="215"/>
        <v>13175</v>
      </c>
      <c r="BN508" s="5" t="s">
        <v>3154</v>
      </c>
      <c r="BR508" s="63"/>
      <c r="BY508" s="63">
        <f t="shared" si="214"/>
        <v>-19530</v>
      </c>
      <c r="CC508" s="1"/>
      <c r="CD508" s="1"/>
      <c r="CE508" s="1"/>
      <c r="CF508" s="1"/>
    </row>
    <row r="509" spans="1:91" hidden="1" outlineLevel="1">
      <c r="A509" t="s">
        <v>97</v>
      </c>
      <c r="B509" t="s">
        <v>1156</v>
      </c>
      <c r="C509" s="1">
        <f t="shared" si="203"/>
        <v>14143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>IF(P509&gt;0,RANK(P509,(N509:P509,Q509:AE509)),0)</f>
        <v>4</v>
      </c>
      <c r="G509" s="132">
        <f t="shared" si="204"/>
        <v>7476</v>
      </c>
      <c r="H509" s="137">
        <f t="shared" si="205"/>
        <v>0.52860072120483637</v>
      </c>
      <c r="I509" s="2"/>
      <c r="J509" s="2">
        <f t="shared" si="206"/>
        <v>0.22413915010959484</v>
      </c>
      <c r="K509" s="2">
        <f t="shared" si="207"/>
        <v>0.75273987131443121</v>
      </c>
      <c r="L509" s="2">
        <f t="shared" si="208"/>
        <v>7.7776992151594427E-4</v>
      </c>
      <c r="M509" s="2">
        <f t="shared" si="209"/>
        <v>2.2343208654458005E-2</v>
      </c>
      <c r="N509" s="63">
        <v>3170</v>
      </c>
      <c r="O509" s="63">
        <v>10646</v>
      </c>
      <c r="P509" s="63">
        <v>11</v>
      </c>
      <c r="Q509" s="63">
        <v>299</v>
      </c>
      <c r="R509" s="63">
        <v>8</v>
      </c>
      <c r="S509" s="63">
        <v>5</v>
      </c>
      <c r="T509" s="63"/>
      <c r="U509" s="63"/>
      <c r="V509" s="63"/>
      <c r="W509" s="63">
        <f>IF(Copyright!B$11=1,IF(CA509&gt;0,CA509-P509-SUM(X509:AQ509)-SUM(R509:V509),SUM(CB509:CM509)),SUM(CC509:CM509))</f>
        <v>0</v>
      </c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>
        <v>4</v>
      </c>
      <c r="AR509" s="63"/>
      <c r="AS509" s="63"/>
      <c r="AT509" s="63"/>
      <c r="AU509" s="63"/>
      <c r="AW509" s="5">
        <f>IF(Q509&gt;0,RANK(Q509,(N509:P509,Q509:AE509)),0)</f>
        <v>3</v>
      </c>
      <c r="AX509" s="5">
        <f>IF(R509&gt;0,RANK(R509,(N509:P509,Q509:AE509)),0)</f>
        <v>5</v>
      </c>
      <c r="AY509" s="5">
        <f>IF(T509&gt;0,RANK(T509,(N509:P509,Q509:AE509)),0)</f>
        <v>0</v>
      </c>
      <c r="AZ509" s="5">
        <f>IF(S509&gt;0,RANK(S509,(N509:P509,Q509:AE509)),0)</f>
        <v>6</v>
      </c>
      <c r="BA509" s="2">
        <f t="shared" si="210"/>
        <v>2.1141200593933394E-2</v>
      </c>
      <c r="BB509" s="2">
        <f t="shared" si="211"/>
        <v>5.6565085201159583E-4</v>
      </c>
      <c r="BC509" s="2">
        <f t="shared" si="212"/>
        <v>0</v>
      </c>
      <c r="BD509" s="2">
        <f t="shared" si="213"/>
        <v>3.5353178250724739E-4</v>
      </c>
      <c r="BF509" t="s">
        <v>97</v>
      </c>
      <c r="BG509" t="s">
        <v>1156</v>
      </c>
      <c r="BH509">
        <v>2</v>
      </c>
      <c r="BJ509" s="114">
        <v>13</v>
      </c>
      <c r="BK509" s="116">
        <v>177</v>
      </c>
      <c r="BL509" s="120">
        <f t="shared" si="215"/>
        <v>13177</v>
      </c>
      <c r="BN509" s="5" t="s">
        <v>3154</v>
      </c>
      <c r="BR509" s="63"/>
      <c r="BY509" s="63">
        <f t="shared" si="214"/>
        <v>-14143</v>
      </c>
      <c r="CC509" s="1"/>
      <c r="CD509" s="1"/>
      <c r="CE509" s="1"/>
      <c r="CF509" s="1"/>
    </row>
    <row r="510" spans="1:91" hidden="1" outlineLevel="1">
      <c r="A510" t="s">
        <v>319</v>
      </c>
      <c r="B510" t="s">
        <v>1156</v>
      </c>
      <c r="C510" s="1">
        <f t="shared" si="203"/>
        <v>16143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>IF(P510&gt;0,RANK(P510,(N510:P510,Q510:AE510)),0)</f>
        <v>4</v>
      </c>
      <c r="G510" s="132">
        <f t="shared" si="204"/>
        <v>3422</v>
      </c>
      <c r="H510" s="137">
        <f t="shared" si="205"/>
        <v>0.21198042495199157</v>
      </c>
      <c r="I510" s="2"/>
      <c r="J510" s="2">
        <f t="shared" si="206"/>
        <v>0.59195936319147613</v>
      </c>
      <c r="K510" s="2">
        <f t="shared" si="207"/>
        <v>0.37997893823948459</v>
      </c>
      <c r="L510" s="2">
        <f t="shared" si="208"/>
        <v>1.6106052158830454E-3</v>
      </c>
      <c r="M510" s="2">
        <f t="shared" si="209"/>
        <v>2.6451093353156239E-2</v>
      </c>
      <c r="N510" s="63">
        <v>9556</v>
      </c>
      <c r="O510" s="63">
        <v>6134</v>
      </c>
      <c r="P510" s="63">
        <v>26</v>
      </c>
      <c r="Q510" s="63">
        <v>427</v>
      </c>
      <c r="R510" s="63"/>
      <c r="S510" s="63"/>
      <c r="T510" s="63"/>
      <c r="U510" s="63"/>
      <c r="V510" s="63"/>
      <c r="W510" s="63">
        <f>IF(Copyright!B$11=1,IF(CA510&gt;0,CA510-P510-SUM(X510:AQ510)-SUM(R510:V510),SUM(CB510:CM510)),SUM(CC510:CM510))</f>
        <v>0</v>
      </c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W510" s="5">
        <f>IF(Q510&gt;0,RANK(Q510,(N510:P510,Q510:AE510)),0)</f>
        <v>3</v>
      </c>
      <c r="AX510" s="5">
        <f>IF(R510&gt;0,RANK(R510,(N510:P510,Q510:AE510)),0)</f>
        <v>0</v>
      </c>
      <c r="AY510" s="5">
        <f>IF(T510&gt;0,RANK(T510,(N510:P510,Q510:AE510)),0)</f>
        <v>0</v>
      </c>
      <c r="AZ510" s="5">
        <f>IF(S510&gt;0,RANK(S510,(N510:P510,Q510:AE510)),0)</f>
        <v>0</v>
      </c>
      <c r="BA510" s="2">
        <f t="shared" si="210"/>
        <v>2.6451093353156166E-2</v>
      </c>
      <c r="BB510" s="2">
        <f t="shared" si="211"/>
        <v>0</v>
      </c>
      <c r="BC510" s="2">
        <f t="shared" si="212"/>
        <v>0</v>
      </c>
      <c r="BD510" s="2">
        <f t="shared" si="213"/>
        <v>0</v>
      </c>
      <c r="BF510" t="s">
        <v>319</v>
      </c>
      <c r="BG510" t="s">
        <v>1156</v>
      </c>
      <c r="BH510">
        <v>1</v>
      </c>
      <c r="BJ510" s="114">
        <v>13</v>
      </c>
      <c r="BK510" s="116">
        <v>179</v>
      </c>
      <c r="BL510" s="120">
        <f t="shared" si="215"/>
        <v>13179</v>
      </c>
      <c r="BN510" s="5" t="s">
        <v>3154</v>
      </c>
      <c r="BR510" s="63"/>
      <c r="BY510" s="63">
        <f t="shared" si="214"/>
        <v>-16143</v>
      </c>
      <c r="CC510" s="1"/>
      <c r="CD510" s="1"/>
      <c r="CE510" s="1"/>
      <c r="CF510" s="1"/>
    </row>
    <row r="511" spans="1:91" hidden="1" outlineLevel="1">
      <c r="A511" t="s">
        <v>1597</v>
      </c>
      <c r="B511" t="s">
        <v>1156</v>
      </c>
      <c r="C511" s="1">
        <f t="shared" si="203"/>
        <v>4102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32">
        <f t="shared" si="204"/>
        <v>1486</v>
      </c>
      <c r="H511" s="137">
        <f t="shared" si="205"/>
        <v>0.36226231106777179</v>
      </c>
      <c r="I511" s="2"/>
      <c r="J511" s="2">
        <f t="shared" si="206"/>
        <v>0.31033642125792299</v>
      </c>
      <c r="K511" s="2">
        <f t="shared" si="207"/>
        <v>0.67259873232569478</v>
      </c>
      <c r="L511" s="2">
        <f t="shared" si="208"/>
        <v>0</v>
      </c>
      <c r="M511" s="2">
        <f t="shared" si="209"/>
        <v>1.7064846416382284E-2</v>
      </c>
      <c r="N511" s="63">
        <v>1273</v>
      </c>
      <c r="O511" s="63">
        <v>2759</v>
      </c>
      <c r="P511" s="63"/>
      <c r="Q511" s="63">
        <v>70</v>
      </c>
      <c r="R511" s="63"/>
      <c r="S511" s="63"/>
      <c r="T511" s="63"/>
      <c r="U511" s="63"/>
      <c r="V511" s="63"/>
      <c r="W511" s="63">
        <f>IF(Copyright!B$11=1,IF(CA511&gt;0,CA511-P511-SUM(X511:AQ511)-SUM(R511:V511),SUM(CB511:CM511)),SUM(CC511:CM511))</f>
        <v>0</v>
      </c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W511" s="5">
        <f>IF(Q511&gt;0,RANK(Q511,(N511:P511,Q511:AE511)),0)</f>
        <v>3</v>
      </c>
      <c r="AX511" s="5">
        <f>IF(R511&gt;0,RANK(R511,(N511:P511,Q511:AE511)),0)</f>
        <v>0</v>
      </c>
      <c r="AY511" s="5">
        <f>IF(T511&gt;0,RANK(T511,(N511:P511,Q511:AE511)),0)</f>
        <v>0</v>
      </c>
      <c r="AZ511" s="5">
        <f>IF(S511&gt;0,RANK(S511,(N511:P511,Q511:AE511)),0)</f>
        <v>0</v>
      </c>
      <c r="BA511" s="2">
        <f t="shared" si="210"/>
        <v>1.7064846416382253E-2</v>
      </c>
      <c r="BB511" s="2">
        <f t="shared" si="211"/>
        <v>0</v>
      </c>
      <c r="BC511" s="2">
        <f t="shared" si="212"/>
        <v>0</v>
      </c>
      <c r="BD511" s="2">
        <f t="shared" si="213"/>
        <v>0</v>
      </c>
      <c r="BF511" t="s">
        <v>1597</v>
      </c>
      <c r="BG511" t="s">
        <v>1156</v>
      </c>
      <c r="BH511">
        <v>10</v>
      </c>
      <c r="BJ511" s="114">
        <v>13</v>
      </c>
      <c r="BK511" s="116">
        <v>181</v>
      </c>
      <c r="BL511" s="120">
        <f t="shared" si="215"/>
        <v>13181</v>
      </c>
      <c r="BN511" s="5" t="s">
        <v>3154</v>
      </c>
      <c r="BR511" s="63"/>
      <c r="BY511" s="63">
        <f t="shared" si="214"/>
        <v>-4102</v>
      </c>
      <c r="CC511" s="1"/>
      <c r="CD511" s="1"/>
      <c r="CE511" s="1"/>
      <c r="CF511" s="1"/>
    </row>
    <row r="512" spans="1:91" hidden="1" outlineLevel="1">
      <c r="A512" t="s">
        <v>2635</v>
      </c>
      <c r="B512" t="s">
        <v>1156</v>
      </c>
      <c r="C512" s="1">
        <f t="shared" si="203"/>
        <v>4117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32">
        <f t="shared" si="204"/>
        <v>1266</v>
      </c>
      <c r="H512" s="137">
        <f t="shared" si="205"/>
        <v>0.3075054651445227</v>
      </c>
      <c r="I512" s="2"/>
      <c r="J512" s="2">
        <f t="shared" si="206"/>
        <v>0.33033762448384746</v>
      </c>
      <c r="K512" s="2">
        <f t="shared" si="207"/>
        <v>0.63784308962837022</v>
      </c>
      <c r="L512" s="2">
        <f t="shared" si="208"/>
        <v>0</v>
      </c>
      <c r="M512" s="2">
        <f t="shared" si="209"/>
        <v>3.1819285887782378E-2</v>
      </c>
      <c r="N512" s="63">
        <v>1360</v>
      </c>
      <c r="O512" s="63">
        <v>2626</v>
      </c>
      <c r="P512" s="63"/>
      <c r="Q512" s="63">
        <v>131</v>
      </c>
      <c r="R512" s="63"/>
      <c r="S512" s="63"/>
      <c r="T512" s="63"/>
      <c r="U512" s="63"/>
      <c r="V512" s="63"/>
      <c r="W512" s="63">
        <f>IF(Copyright!B$11=1,IF(CA512&gt;0,CA512-P512-SUM(X512:AQ512)-SUM(R512:V512),SUM(CB512:CM512)),SUM(CC512:CM512))</f>
        <v>0</v>
      </c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W512" s="5">
        <f>IF(Q512&gt;0,RANK(Q512,(N512:P512,Q512:AE512)),0)</f>
        <v>3</v>
      </c>
      <c r="AX512" s="5">
        <f>IF(R512&gt;0,RANK(R512,(N512:P512,Q512:AE512)),0)</f>
        <v>0</v>
      </c>
      <c r="AY512" s="5">
        <f>IF(T512&gt;0,RANK(T512,(N512:P512,Q512:AE512)),0)</f>
        <v>0</v>
      </c>
      <c r="AZ512" s="5">
        <f>IF(S512&gt;0,RANK(S512,(N512:P512,Q512:AE512)),0)</f>
        <v>0</v>
      </c>
      <c r="BA512" s="2">
        <f t="shared" si="210"/>
        <v>3.1819285887782364E-2</v>
      </c>
      <c r="BB512" s="2">
        <f t="shared" si="211"/>
        <v>0</v>
      </c>
      <c r="BC512" s="2">
        <f t="shared" si="212"/>
        <v>0</v>
      </c>
      <c r="BD512" s="2">
        <f t="shared" si="213"/>
        <v>0</v>
      </c>
      <c r="BF512" t="s">
        <v>2635</v>
      </c>
      <c r="BG512" t="s">
        <v>1156</v>
      </c>
      <c r="BH512">
        <v>1</v>
      </c>
      <c r="BJ512" s="114">
        <v>13</v>
      </c>
      <c r="BK512" s="116">
        <v>183</v>
      </c>
      <c r="BL512" s="120">
        <f t="shared" si="215"/>
        <v>13183</v>
      </c>
      <c r="BN512" s="5" t="s">
        <v>3154</v>
      </c>
      <c r="BR512" s="63"/>
      <c r="BY512" s="63">
        <f t="shared" si="214"/>
        <v>-4117</v>
      </c>
      <c r="CC512" s="1"/>
      <c r="CD512" s="1"/>
      <c r="CE512" s="1"/>
      <c r="CF512" s="1"/>
    </row>
    <row r="513" spans="1:91" hidden="1" outlineLevel="1">
      <c r="A513" t="s">
        <v>2403</v>
      </c>
      <c r="B513" t="s">
        <v>1156</v>
      </c>
      <c r="C513" s="1">
        <f t="shared" si="203"/>
        <v>37805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4</v>
      </c>
      <c r="G513" s="132">
        <f t="shared" si="204"/>
        <v>6571</v>
      </c>
      <c r="H513" s="137">
        <f t="shared" si="205"/>
        <v>0.17381298770003967</v>
      </c>
      <c r="I513" s="2"/>
      <c r="J513" s="2">
        <f t="shared" si="206"/>
        <v>0.39846581140060838</v>
      </c>
      <c r="K513" s="2">
        <f t="shared" si="207"/>
        <v>0.57227879910064805</v>
      </c>
      <c r="L513" s="2">
        <f t="shared" si="208"/>
        <v>2.2483798439359875E-3</v>
      </c>
      <c r="M513" s="2">
        <f t="shared" si="209"/>
        <v>2.7007009654807634E-2</v>
      </c>
      <c r="N513" s="63">
        <v>15064</v>
      </c>
      <c r="O513" s="63">
        <v>21635</v>
      </c>
      <c r="P513" s="63">
        <v>85</v>
      </c>
      <c r="Q513" s="63">
        <v>929</v>
      </c>
      <c r="R513" s="63">
        <v>72</v>
      </c>
      <c r="S513" s="63">
        <v>20</v>
      </c>
      <c r="T513" s="63"/>
      <c r="U513" s="63"/>
      <c r="V513" s="63"/>
      <c r="W513" s="63">
        <f>IF(Copyright!B$11=1,IF(CA513&gt;0,CA513-P513-SUM(X513:AQ513)-SUM(R513:V513),SUM(CB513:CM513)),SUM(CC513:CM513))</f>
        <v>0</v>
      </c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W513" s="5">
        <f>IF(Q513&gt;0,RANK(Q513,(N513:P513,Q513:AE513)),0)</f>
        <v>3</v>
      </c>
      <c r="AX513" s="5">
        <f>IF(R513&gt;0,RANK(R513,(N513:P513,Q513:AE513)),0)</f>
        <v>5</v>
      </c>
      <c r="AY513" s="5">
        <f>IF(T513&gt;0,RANK(T513,(N513:P513,Q513:AE513)),0)</f>
        <v>0</v>
      </c>
      <c r="AZ513" s="5">
        <f>IF(S513&gt;0,RANK(S513,(N513:P513,Q513:AE513)),0)</f>
        <v>6</v>
      </c>
      <c r="BA513" s="2">
        <f t="shared" si="210"/>
        <v>2.4573469117841557E-2</v>
      </c>
      <c r="BB513" s="2">
        <f t="shared" si="211"/>
        <v>1.9045099854516599E-3</v>
      </c>
      <c r="BC513" s="2">
        <f t="shared" si="212"/>
        <v>0</v>
      </c>
      <c r="BD513" s="2">
        <f t="shared" si="213"/>
        <v>5.2903055151434992E-4</v>
      </c>
      <c r="BF513" t="s">
        <v>2403</v>
      </c>
      <c r="BG513" t="s">
        <v>1156</v>
      </c>
      <c r="BJ513" s="114">
        <v>13</v>
      </c>
      <c r="BK513" s="116">
        <v>185</v>
      </c>
      <c r="BL513" s="120">
        <f t="shared" si="215"/>
        <v>13185</v>
      </c>
      <c r="BN513" s="5" t="s">
        <v>3154</v>
      </c>
      <c r="BR513" s="63"/>
      <c r="BY513" s="63">
        <f t="shared" si="214"/>
        <v>-37805</v>
      </c>
      <c r="CC513" s="1"/>
      <c r="CD513" s="1"/>
      <c r="CE513" s="1"/>
      <c r="CF513" s="1"/>
    </row>
    <row r="514" spans="1:91" hidden="1" outlineLevel="1">
      <c r="A514" t="s">
        <v>1206</v>
      </c>
      <c r="B514" t="s">
        <v>1156</v>
      </c>
      <c r="C514" s="1">
        <f t="shared" si="203"/>
        <v>12517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5</v>
      </c>
      <c r="G514" s="132">
        <f t="shared" si="204"/>
        <v>7399</v>
      </c>
      <c r="H514" s="137">
        <f t="shared" si="205"/>
        <v>0.59111608212830546</v>
      </c>
      <c r="I514" s="2"/>
      <c r="J514" s="2">
        <f t="shared" si="206"/>
        <v>0.17735879204282176</v>
      </c>
      <c r="K514" s="2">
        <f t="shared" si="207"/>
        <v>0.76847487417112725</v>
      </c>
      <c r="L514" s="2">
        <f t="shared" si="208"/>
        <v>3.9945673883518412E-3</v>
      </c>
      <c r="M514" s="2">
        <f t="shared" si="209"/>
        <v>5.0171766397699116E-2</v>
      </c>
      <c r="N514" s="63">
        <v>2220</v>
      </c>
      <c r="O514" s="63">
        <v>9619</v>
      </c>
      <c r="P514" s="63">
        <v>50</v>
      </c>
      <c r="Q514" s="63">
        <v>495</v>
      </c>
      <c r="R514" s="63">
        <v>32</v>
      </c>
      <c r="S514" s="63">
        <v>9</v>
      </c>
      <c r="T514" s="63"/>
      <c r="U514" s="63"/>
      <c r="V514" s="63"/>
      <c r="W514" s="63">
        <f>IF(Copyright!B$11=1,IF(CA514&gt;0,CA514-P514-SUM(X514:AQ514)-SUM(R514:V514),SUM(CB514:CM514)),SUM(CC514:CM514))</f>
        <v>92</v>
      </c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W514" s="5">
        <f>IF(Q514&gt;0,RANK(Q514,(N514:P514,Q514:AE514)),0)</f>
        <v>3</v>
      </c>
      <c r="AX514" s="5">
        <f>IF(R514&gt;0,RANK(R514,(N514:P514,Q514:AE514)),0)</f>
        <v>6</v>
      </c>
      <c r="AY514" s="5">
        <f>IF(T514&gt;0,RANK(T514,(N514:P514,Q514:AE514)),0)</f>
        <v>0</v>
      </c>
      <c r="AZ514" s="5">
        <f>IF(S514&gt;0,RANK(S514,(N514:P514,Q514:AE514)),0)</f>
        <v>7</v>
      </c>
      <c r="BA514" s="2">
        <f t="shared" si="210"/>
        <v>3.9546217144683232E-2</v>
      </c>
      <c r="BB514" s="2">
        <f t="shared" si="211"/>
        <v>2.5565231285451786E-3</v>
      </c>
      <c r="BC514" s="2">
        <f t="shared" si="212"/>
        <v>0</v>
      </c>
      <c r="BD514" s="2">
        <f t="shared" si="213"/>
        <v>7.1902212990333151E-4</v>
      </c>
      <c r="BF514" t="s">
        <v>1206</v>
      </c>
      <c r="BG514" t="s">
        <v>1156</v>
      </c>
      <c r="BH514">
        <v>9</v>
      </c>
      <c r="BJ514" s="114">
        <v>13</v>
      </c>
      <c r="BK514" s="116">
        <v>187</v>
      </c>
      <c r="BL514" s="120">
        <f t="shared" si="215"/>
        <v>13187</v>
      </c>
      <c r="BN514" s="5" t="s">
        <v>3154</v>
      </c>
      <c r="BR514" s="63"/>
      <c r="BY514" s="63">
        <f t="shared" si="214"/>
        <v>0</v>
      </c>
      <c r="BZ514" s="63">
        <v>12517</v>
      </c>
      <c r="CA514" s="63">
        <v>183</v>
      </c>
      <c r="CC514" s="1"/>
      <c r="CD514" s="1"/>
      <c r="CE514" s="1"/>
      <c r="CF514" s="1"/>
    </row>
    <row r="515" spans="1:91" hidden="1" outlineLevel="1">
      <c r="A515" t="s">
        <v>1010</v>
      </c>
      <c r="B515" t="s">
        <v>1156</v>
      </c>
      <c r="C515" s="1">
        <f t="shared" si="203"/>
        <v>9268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32">
        <f t="shared" si="204"/>
        <v>1733</v>
      </c>
      <c r="H515" s="137">
        <f t="shared" si="205"/>
        <v>0.18698748381527838</v>
      </c>
      <c r="I515" s="2"/>
      <c r="J515" s="2">
        <f t="shared" si="206"/>
        <v>0.39911523521795428</v>
      </c>
      <c r="K515" s="2">
        <f t="shared" si="207"/>
        <v>0.58610271903323263</v>
      </c>
      <c r="L515" s="2">
        <f t="shared" si="208"/>
        <v>0</v>
      </c>
      <c r="M515" s="2">
        <f t="shared" si="209"/>
        <v>1.4782045748813033E-2</v>
      </c>
      <c r="N515" s="63">
        <v>3699</v>
      </c>
      <c r="O515" s="63">
        <v>5432</v>
      </c>
      <c r="P515" s="63"/>
      <c r="Q515" s="63">
        <v>137</v>
      </c>
      <c r="R515" s="63"/>
      <c r="S515" s="63"/>
      <c r="T515" s="63"/>
      <c r="U515" s="63"/>
      <c r="V515" s="63"/>
      <c r="W515" s="63">
        <f>IF(Copyright!B$11=1,IF(CA515&gt;0,CA515-P515-SUM(X515:AQ515)-SUM(R515:V515),SUM(CB515:CM515)),SUM(CC515:CM515))</f>
        <v>0</v>
      </c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W515" s="5">
        <f>IF(Q515&gt;0,RANK(Q515,(N515:P515,Q515:AE515)),0)</f>
        <v>3</v>
      </c>
      <c r="AX515" s="5">
        <f>IF(R515&gt;0,RANK(R515,(N515:P515,Q515:AE515)),0)</f>
        <v>0</v>
      </c>
      <c r="AY515" s="5">
        <f>IF(T515&gt;0,RANK(T515,(N515:P515,Q515:AE515)),0)</f>
        <v>0</v>
      </c>
      <c r="AZ515" s="5">
        <f>IF(S515&gt;0,RANK(S515,(N515:P515,Q515:AE515)),0)</f>
        <v>0</v>
      </c>
      <c r="BA515" s="2">
        <f t="shared" si="210"/>
        <v>1.478204574881312E-2</v>
      </c>
      <c r="BB515" s="2">
        <f t="shared" si="211"/>
        <v>0</v>
      </c>
      <c r="BC515" s="2">
        <f t="shared" si="212"/>
        <v>0</v>
      </c>
      <c r="BD515" s="2">
        <f t="shared" si="213"/>
        <v>0</v>
      </c>
      <c r="BF515" t="s">
        <v>1010</v>
      </c>
      <c r="BG515" t="s">
        <v>1156</v>
      </c>
      <c r="BH515">
        <v>10</v>
      </c>
      <c r="BJ515" s="114">
        <v>13</v>
      </c>
      <c r="BK515" s="116">
        <v>189</v>
      </c>
      <c r="BL515" s="120">
        <f t="shared" si="215"/>
        <v>13189</v>
      </c>
      <c r="BN515" s="5" t="s">
        <v>3154</v>
      </c>
      <c r="BR515" s="63"/>
      <c r="BY515" s="63">
        <f t="shared" si="214"/>
        <v>-9268</v>
      </c>
      <c r="CC515" s="1"/>
      <c r="CD515" s="1"/>
      <c r="CE515" s="1"/>
      <c r="CF515" s="1"/>
    </row>
    <row r="516" spans="1:91" hidden="1" outlineLevel="1">
      <c r="A516" t="s">
        <v>1205</v>
      </c>
      <c r="B516" t="s">
        <v>1156</v>
      </c>
      <c r="C516" s="1">
        <f t="shared" si="203"/>
        <v>5903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>IF(P516&gt;0,RANK(P516,(N516:P516,Q516:AE516)),0)</f>
        <v>0</v>
      </c>
      <c r="G516" s="132">
        <f t="shared" si="204"/>
        <v>1184</v>
      </c>
      <c r="H516" s="137">
        <f t="shared" si="205"/>
        <v>0.20057597831611046</v>
      </c>
      <c r="I516" s="2"/>
      <c r="J516" s="2">
        <f t="shared" si="206"/>
        <v>0.39014060647128579</v>
      </c>
      <c r="K516" s="2">
        <f t="shared" si="207"/>
        <v>0.59071658478739619</v>
      </c>
      <c r="L516" s="2">
        <f t="shared" si="208"/>
        <v>0</v>
      </c>
      <c r="M516" s="2">
        <f t="shared" si="209"/>
        <v>1.9142808741318018E-2</v>
      </c>
      <c r="N516" s="63">
        <v>2303</v>
      </c>
      <c r="O516" s="63">
        <v>3487</v>
      </c>
      <c r="P516" s="63"/>
      <c r="Q516" s="63">
        <v>113</v>
      </c>
      <c r="R516" s="63"/>
      <c r="S516" s="63"/>
      <c r="T516" s="63"/>
      <c r="U516" s="63"/>
      <c r="V516" s="63"/>
      <c r="W516" s="63">
        <f>IF(Copyright!B$11=1,IF(CA516&gt;0,CA516-P516-SUM(X516:AQ516)-SUM(R516:V516),SUM(CB516:CM516)),SUM(CC516:CM516))</f>
        <v>0</v>
      </c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W516" s="5">
        <f>IF(Q516&gt;0,RANK(Q516,(N516:P516,Q516:AE516)),0)</f>
        <v>3</v>
      </c>
      <c r="AX516" s="5">
        <f>IF(R516&gt;0,RANK(R516,(N516:P516,Q516:AE516)),0)</f>
        <v>0</v>
      </c>
      <c r="AY516" s="5">
        <f>IF(T516&gt;0,RANK(T516,(N516:P516,Q516:AE516)),0)</f>
        <v>0</v>
      </c>
      <c r="AZ516" s="5">
        <f>IF(S516&gt;0,RANK(S516,(N516:P516,Q516:AE516)),0)</f>
        <v>0</v>
      </c>
      <c r="BA516" s="2">
        <f t="shared" si="210"/>
        <v>1.9142808741317973E-2</v>
      </c>
      <c r="BB516" s="2">
        <f t="shared" si="211"/>
        <v>0</v>
      </c>
      <c r="BC516" s="2">
        <f t="shared" si="212"/>
        <v>0</v>
      </c>
      <c r="BD516" s="2">
        <f t="shared" si="213"/>
        <v>0</v>
      </c>
      <c r="BF516" t="s">
        <v>1205</v>
      </c>
      <c r="BG516" t="s">
        <v>1156</v>
      </c>
      <c r="BH516">
        <v>1</v>
      </c>
      <c r="BJ516" s="114">
        <v>13</v>
      </c>
      <c r="BK516" s="116">
        <v>191</v>
      </c>
      <c r="BL516" s="120">
        <f t="shared" si="215"/>
        <v>13191</v>
      </c>
      <c r="BN516" s="5" t="s">
        <v>3154</v>
      </c>
      <c r="BR516" s="63"/>
      <c r="BY516" s="63">
        <f t="shared" si="214"/>
        <v>-5903</v>
      </c>
      <c r="CC516" s="1"/>
      <c r="CD516" s="1"/>
      <c r="CE516" s="1"/>
      <c r="CF516" s="1"/>
    </row>
    <row r="517" spans="1:91" hidden="1" outlineLevel="1">
      <c r="A517" t="s">
        <v>1649</v>
      </c>
      <c r="B517" t="s">
        <v>1156</v>
      </c>
      <c r="C517" s="1">
        <f t="shared" si="203"/>
        <v>4287</v>
      </c>
      <c r="D517" s="5">
        <f>IF(N517&gt;0, RANK(N517,(N517:P517,Q517:AE517)),0)</f>
        <v>1</v>
      </c>
      <c r="E517" s="5">
        <f>IF(O517&gt;0,RANK(O517,(N517:P517,Q517:AE517)),0)</f>
        <v>2</v>
      </c>
      <c r="F517" s="5">
        <f>IF(P517&gt;0,RANK(P517,(N517:P517,Q517:AE517)),0)</f>
        <v>0</v>
      </c>
      <c r="G517" s="132">
        <f t="shared" si="204"/>
        <v>1165</v>
      </c>
      <c r="H517" s="137">
        <f t="shared" si="205"/>
        <v>0.27175180779099606</v>
      </c>
      <c r="I517" s="2"/>
      <c r="J517" s="2">
        <f t="shared" si="206"/>
        <v>0.63097737345463023</v>
      </c>
      <c r="K517" s="2">
        <f t="shared" si="207"/>
        <v>0.35922556566363423</v>
      </c>
      <c r="L517" s="2">
        <f t="shared" si="208"/>
        <v>0</v>
      </c>
      <c r="M517" s="2">
        <f t="shared" si="209"/>
        <v>9.797060881735542E-3</v>
      </c>
      <c r="N517" s="63">
        <v>2705</v>
      </c>
      <c r="O517" s="63">
        <v>1540</v>
      </c>
      <c r="P517" s="63"/>
      <c r="Q517" s="63">
        <v>42</v>
      </c>
      <c r="R517" s="63"/>
      <c r="S517" s="63"/>
      <c r="T517" s="63"/>
      <c r="U517" s="63"/>
      <c r="V517" s="63"/>
      <c r="W517" s="63">
        <f>IF(Copyright!B$11=1,IF(CA517&gt;0,CA517-P517-SUM(X517:AQ517)-SUM(R517:V517),SUM(CB517:CM517)),SUM(CC517:CM517))</f>
        <v>0</v>
      </c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W517" s="5">
        <f>IF(Q517&gt;0,RANK(Q517,(N517:P517,Q517:AE517)),0)</f>
        <v>3</v>
      </c>
      <c r="AX517" s="5">
        <f>IF(R517&gt;0,RANK(R517,(N517:P517,Q517:AE517)),0)</f>
        <v>0</v>
      </c>
      <c r="AY517" s="5">
        <f>IF(T517&gt;0,RANK(T517,(N517:P517,Q517:AE517)),0)</f>
        <v>0</v>
      </c>
      <c r="AZ517" s="5">
        <f>IF(S517&gt;0,RANK(S517,(N517:P517,Q517:AE517)),0)</f>
        <v>0</v>
      </c>
      <c r="BA517" s="2">
        <f t="shared" si="210"/>
        <v>9.7970608817354796E-3</v>
      </c>
      <c r="BB517" s="2">
        <f t="shared" si="211"/>
        <v>0</v>
      </c>
      <c r="BC517" s="2">
        <f t="shared" si="212"/>
        <v>0</v>
      </c>
      <c r="BD517" s="2">
        <f t="shared" si="213"/>
        <v>0</v>
      </c>
      <c r="BF517" t="s">
        <v>1649</v>
      </c>
      <c r="BG517" t="s">
        <v>1156</v>
      </c>
      <c r="BH517">
        <v>2</v>
      </c>
      <c r="BJ517" s="114">
        <v>13</v>
      </c>
      <c r="BK517" s="116">
        <v>193</v>
      </c>
      <c r="BL517" s="120">
        <f t="shared" si="215"/>
        <v>13193</v>
      </c>
      <c r="BN517" s="5" t="s">
        <v>3154</v>
      </c>
      <c r="BR517" s="63"/>
      <c r="BY517" s="63">
        <f t="shared" si="214"/>
        <v>-4287</v>
      </c>
      <c r="CC517" s="1"/>
      <c r="CD517" s="1"/>
      <c r="CE517" s="1"/>
      <c r="CF517" s="1"/>
    </row>
    <row r="518" spans="1:91" hidden="1" outlineLevel="1">
      <c r="A518" t="s">
        <v>1650</v>
      </c>
      <c r="B518" t="s">
        <v>1156</v>
      </c>
      <c r="C518" s="1">
        <f t="shared" ref="C518:C549" si="216">SUM(N518:AU518)</f>
        <v>12081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5</v>
      </c>
      <c r="G518" s="132">
        <f t="shared" ref="G518:G549" si="217">IF(C518&gt;0,MAX(N518:P518)-LARGE(N518:P518,2),0)</f>
        <v>6776</v>
      </c>
      <c r="H518" s="137">
        <f t="shared" ref="H518:H549" si="218">IF(C518&gt;0,G518/C518,0)</f>
        <v>0.56088072179455339</v>
      </c>
      <c r="I518" s="2"/>
      <c r="J518" s="2">
        <f t="shared" ref="J518:J549" si="219">IF($C518=0,"-",N518/$C518)</f>
        <v>0.20072841652181111</v>
      </c>
      <c r="K518" s="2">
        <f t="shared" ref="K518:K549" si="220">IF($C518=0,"-",O518/$C518)</f>
        <v>0.76160913831636456</v>
      </c>
      <c r="L518" s="2">
        <f t="shared" ref="L518:L549" si="221">IF($C518=0,"-",P518/$C518)</f>
        <v>2.2349143282840824E-3</v>
      </c>
      <c r="M518" s="2">
        <f t="shared" ref="M518:M549" si="222">IF(C518=0,"-",(1-J518-K518-L518))</f>
        <v>3.5427530833540291E-2</v>
      </c>
      <c r="N518" s="63">
        <v>2425</v>
      </c>
      <c r="O518" s="63">
        <v>9201</v>
      </c>
      <c r="P518" s="63">
        <v>27</v>
      </c>
      <c r="Q518" s="63">
        <v>328</v>
      </c>
      <c r="R518" s="63">
        <v>17</v>
      </c>
      <c r="S518" s="63"/>
      <c r="T518" s="63"/>
      <c r="U518" s="63"/>
      <c r="V518" s="63"/>
      <c r="W518" s="63">
        <f>IF(Copyright!B$11=1,IF(CA518&gt;0,CA518-P518-SUM(X518:AQ518)-SUM(R518:V518),SUM(CB518:CM518)),SUM(CC518:CM518))</f>
        <v>83</v>
      </c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W518" s="5">
        <f>IF(Q518&gt;0,RANK(Q518,(N518:P518,Q518:AE518)),0)</f>
        <v>3</v>
      </c>
      <c r="AX518" s="5">
        <f>IF(R518&gt;0,RANK(R518,(N518:P518,Q518:AE518)),0)</f>
        <v>6</v>
      </c>
      <c r="AY518" s="5">
        <f>IF(T518&gt;0,RANK(T518,(N518:P518,Q518:AE518)),0)</f>
        <v>0</v>
      </c>
      <c r="AZ518" s="5">
        <f>IF(S518&gt;0,RANK(S518,(N518:P518,Q518:AE518)),0)</f>
        <v>0</v>
      </c>
      <c r="BA518" s="2">
        <f t="shared" ref="BA518:BA549" si="223">IF($C518=0,"-",Q518/$C518)</f>
        <v>2.715007035841404E-2</v>
      </c>
      <c r="BB518" s="2">
        <f t="shared" ref="BB518:BB549" si="224">IF($C518=0,"-",R518/$C518)</f>
        <v>1.4071682807714593E-3</v>
      </c>
      <c r="BC518" s="2">
        <f t="shared" ref="BC518:BC549" si="225">IF($C518=0,"-",T518/$C518)</f>
        <v>0</v>
      </c>
      <c r="BD518" s="2">
        <f t="shared" ref="BD518:BD549" si="226">IF($C518=0,"-",S518/$C518)</f>
        <v>0</v>
      </c>
      <c r="BF518" t="s">
        <v>1650</v>
      </c>
      <c r="BG518" t="s">
        <v>1156</v>
      </c>
      <c r="BH518">
        <v>9</v>
      </c>
      <c r="BJ518" s="114">
        <v>13</v>
      </c>
      <c r="BK518" s="116">
        <v>195</v>
      </c>
      <c r="BL518" s="120">
        <f t="shared" si="215"/>
        <v>13195</v>
      </c>
      <c r="BN518" s="5" t="s">
        <v>3154</v>
      </c>
      <c r="BR518" s="63"/>
      <c r="BY518" s="63">
        <f t="shared" si="214"/>
        <v>0</v>
      </c>
      <c r="BZ518" s="63">
        <v>12081</v>
      </c>
      <c r="CA518" s="63">
        <v>127</v>
      </c>
      <c r="CC518" s="1"/>
      <c r="CD518" s="1"/>
      <c r="CE518" s="1"/>
      <c r="CF518" s="1"/>
    </row>
    <row r="519" spans="1:91" hidden="1" outlineLevel="1">
      <c r="A519" t="s">
        <v>1826</v>
      </c>
      <c r="B519" t="s">
        <v>1156</v>
      </c>
      <c r="C519" s="1">
        <f t="shared" si="216"/>
        <v>3190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4</v>
      </c>
      <c r="G519" s="132">
        <f t="shared" si="217"/>
        <v>708</v>
      </c>
      <c r="H519" s="137">
        <f t="shared" si="218"/>
        <v>0.22194357366771159</v>
      </c>
      <c r="I519" s="2"/>
      <c r="J519" s="2">
        <f t="shared" si="219"/>
        <v>0.38025078369905957</v>
      </c>
      <c r="K519" s="2">
        <f t="shared" si="220"/>
        <v>0.60219435736677118</v>
      </c>
      <c r="L519" s="2">
        <f t="shared" si="221"/>
        <v>9.4043887147335424E-4</v>
      </c>
      <c r="M519" s="2">
        <f t="shared" si="222"/>
        <v>1.6614420062695839E-2</v>
      </c>
      <c r="N519" s="63">
        <v>1213</v>
      </c>
      <c r="O519" s="63">
        <v>1921</v>
      </c>
      <c r="P519" s="63">
        <v>3</v>
      </c>
      <c r="Q519" s="63">
        <v>49</v>
      </c>
      <c r="R519" s="63">
        <v>2</v>
      </c>
      <c r="S519" s="63">
        <v>2</v>
      </c>
      <c r="T519" s="63"/>
      <c r="U519" s="63"/>
      <c r="V519" s="63"/>
      <c r="W519" s="63">
        <f>IF(Copyright!B$11=1,IF(CA519&gt;0,CA519-P519-SUM(X519:AQ519)-SUM(R519:V519),SUM(CB519:CM519)),SUM(CC519:CM519))</f>
        <v>0</v>
      </c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W519" s="5">
        <f>IF(Q519&gt;0,RANK(Q519,(N519:P519,Q519:AE519)),0)</f>
        <v>3</v>
      </c>
      <c r="AX519" s="5">
        <f>IF(R519&gt;0,RANK(R519,(N519:P519,Q519:AE519)),0)</f>
        <v>5</v>
      </c>
      <c r="AY519" s="5">
        <f>IF(T519&gt;0,RANK(T519,(N519:P519,Q519:AE519)),0)</f>
        <v>0</v>
      </c>
      <c r="AZ519" s="5">
        <f>IF(S519&gt;0,RANK(S519,(N519:P519,Q519:AE519)),0)</f>
        <v>5</v>
      </c>
      <c r="BA519" s="2">
        <f t="shared" si="223"/>
        <v>1.5360501567398118E-2</v>
      </c>
      <c r="BB519" s="2">
        <f t="shared" si="224"/>
        <v>6.2695924764890286E-4</v>
      </c>
      <c r="BC519" s="2">
        <f t="shared" si="225"/>
        <v>0</v>
      </c>
      <c r="BD519" s="2">
        <f t="shared" si="226"/>
        <v>6.2695924764890286E-4</v>
      </c>
      <c r="BF519" t="s">
        <v>1826</v>
      </c>
      <c r="BG519" t="s">
        <v>1156</v>
      </c>
      <c r="BH519">
        <v>2</v>
      </c>
      <c r="BJ519" s="114">
        <v>13</v>
      </c>
      <c r="BK519" s="116">
        <v>197</v>
      </c>
      <c r="BL519" s="120">
        <f t="shared" si="215"/>
        <v>13197</v>
      </c>
      <c r="BN519" s="5" t="s">
        <v>3154</v>
      </c>
      <c r="BR519" s="63"/>
      <c r="BY519" s="63">
        <f t="shared" si="214"/>
        <v>-3190</v>
      </c>
      <c r="CC519" s="1"/>
      <c r="CD519" s="1"/>
      <c r="CE519" s="1"/>
      <c r="CF519" s="1"/>
    </row>
    <row r="520" spans="1:91" hidden="1" outlineLevel="1">
      <c r="A520" t="s">
        <v>1704</v>
      </c>
      <c r="B520" t="s">
        <v>1156</v>
      </c>
      <c r="C520" s="1">
        <f t="shared" si="216"/>
        <v>9217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4</v>
      </c>
      <c r="G520" s="132">
        <f t="shared" si="217"/>
        <v>1418</v>
      </c>
      <c r="H520" s="137">
        <f t="shared" si="218"/>
        <v>0.15384615384615385</v>
      </c>
      <c r="I520" s="2"/>
      <c r="J520" s="2">
        <f t="shared" si="219"/>
        <v>0.41271563415428014</v>
      </c>
      <c r="K520" s="2">
        <f t="shared" si="220"/>
        <v>0.566561788000434</v>
      </c>
      <c r="L520" s="2">
        <f t="shared" si="221"/>
        <v>1.3019420635781707E-3</v>
      </c>
      <c r="M520" s="2">
        <f t="shared" si="222"/>
        <v>1.942063578170769E-2</v>
      </c>
      <c r="N520" s="63">
        <v>3804</v>
      </c>
      <c r="O520" s="63">
        <v>5222</v>
      </c>
      <c r="P520" s="63">
        <v>12</v>
      </c>
      <c r="Q520" s="63">
        <v>165</v>
      </c>
      <c r="R520" s="63">
        <v>10</v>
      </c>
      <c r="S520" s="63">
        <v>4</v>
      </c>
      <c r="T520" s="63"/>
      <c r="U520" s="63"/>
      <c r="V520" s="63"/>
      <c r="W520" s="63">
        <f>IF(Copyright!B$11=1,IF(CA520&gt;0,CA520-P520-SUM(X520:AQ520)-SUM(R520:V520),SUM(CB520:CM520)),SUM(CC520:CM520))</f>
        <v>0</v>
      </c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W520" s="5">
        <f>IF(Q520&gt;0,RANK(Q520,(N520:P520,Q520:AE520)),0)</f>
        <v>3</v>
      </c>
      <c r="AX520" s="5">
        <f>IF(R520&gt;0,RANK(R520,(N520:P520,Q520:AE520)),0)</f>
        <v>5</v>
      </c>
      <c r="AY520" s="5">
        <f>IF(T520&gt;0,RANK(T520,(N520:P520,Q520:AE520)),0)</f>
        <v>0</v>
      </c>
      <c r="AZ520" s="5">
        <f>IF(S520&gt;0,RANK(S520,(N520:P520,Q520:AE520)),0)</f>
        <v>6</v>
      </c>
      <c r="BA520" s="2">
        <f t="shared" si="223"/>
        <v>1.790170337419985E-2</v>
      </c>
      <c r="BB520" s="2">
        <f t="shared" si="224"/>
        <v>1.0849517196484756E-3</v>
      </c>
      <c r="BC520" s="2">
        <f t="shared" si="225"/>
        <v>0</v>
      </c>
      <c r="BD520" s="2">
        <f t="shared" si="226"/>
        <v>4.3398068785939026E-4</v>
      </c>
      <c r="BF520" t="s">
        <v>1704</v>
      </c>
      <c r="BG520" t="s">
        <v>1156</v>
      </c>
      <c r="BH520">
        <v>3</v>
      </c>
      <c r="BJ520" s="114">
        <v>13</v>
      </c>
      <c r="BK520" s="116">
        <v>199</v>
      </c>
      <c r="BL520" s="120">
        <f t="shared" si="215"/>
        <v>13199</v>
      </c>
      <c r="BN520" s="5" t="s">
        <v>3154</v>
      </c>
      <c r="BR520" s="63"/>
      <c r="BY520" s="63">
        <f t="shared" si="214"/>
        <v>-9217</v>
      </c>
      <c r="CC520" s="1"/>
      <c r="CD520" s="1"/>
      <c r="CE520" s="1"/>
      <c r="CF520" s="1"/>
    </row>
    <row r="521" spans="1:91" hidden="1" outlineLevel="1">
      <c r="A521" t="s">
        <v>1266</v>
      </c>
      <c r="B521" t="s">
        <v>1156</v>
      </c>
      <c r="C521" s="1">
        <f t="shared" si="216"/>
        <v>2544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32">
        <f t="shared" si="217"/>
        <v>1268</v>
      </c>
      <c r="H521" s="137">
        <f t="shared" si="218"/>
        <v>0.49842767295597484</v>
      </c>
      <c r="I521" s="2"/>
      <c r="J521" s="2">
        <f t="shared" si="219"/>
        <v>0.24488993710691823</v>
      </c>
      <c r="K521" s="2">
        <f t="shared" si="220"/>
        <v>0.7433176100628931</v>
      </c>
      <c r="L521" s="2">
        <f t="shared" si="221"/>
        <v>0</v>
      </c>
      <c r="M521" s="2">
        <f t="shared" si="222"/>
        <v>1.1792452830188704E-2</v>
      </c>
      <c r="N521" s="63">
        <v>623</v>
      </c>
      <c r="O521" s="63">
        <v>1891</v>
      </c>
      <c r="P521" s="63"/>
      <c r="Q521" s="63">
        <v>30</v>
      </c>
      <c r="R521" s="63"/>
      <c r="S521" s="63"/>
      <c r="T521" s="63"/>
      <c r="U521" s="63"/>
      <c r="V521" s="63"/>
      <c r="W521" s="63">
        <f>IF(Copyright!B$11=1,IF(CA521&gt;0,CA521-P521-SUM(X521:AQ521)-SUM(R521:V521),SUM(CB521:CM521)),SUM(CC521:CM521))</f>
        <v>0</v>
      </c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W521" s="5">
        <f>IF(Q521&gt;0,RANK(Q521,(N521:P521,Q521:AE521)),0)</f>
        <v>3</v>
      </c>
      <c r="AX521" s="5">
        <f>IF(R521&gt;0,RANK(R521,(N521:P521,Q521:AE521)),0)</f>
        <v>0</v>
      </c>
      <c r="AY521" s="5">
        <f>IF(T521&gt;0,RANK(T521,(N521:P521,Q521:AE521)),0)</f>
        <v>0</v>
      </c>
      <c r="AZ521" s="5">
        <f>IF(S521&gt;0,RANK(S521,(N521:P521,Q521:AE521)),0)</f>
        <v>0</v>
      </c>
      <c r="BA521" s="2">
        <f t="shared" si="223"/>
        <v>1.179245283018868E-2</v>
      </c>
      <c r="BB521" s="2">
        <f t="shared" si="224"/>
        <v>0</v>
      </c>
      <c r="BC521" s="2">
        <f t="shared" si="225"/>
        <v>0</v>
      </c>
      <c r="BD521" s="2">
        <f t="shared" si="226"/>
        <v>0</v>
      </c>
      <c r="BF521" t="s">
        <v>1266</v>
      </c>
      <c r="BG521" t="s">
        <v>1156</v>
      </c>
      <c r="BH521">
        <v>2</v>
      </c>
      <c r="BJ521" s="114">
        <v>13</v>
      </c>
      <c r="BK521" s="116">
        <v>201</v>
      </c>
      <c r="BL521" s="120">
        <f t="shared" si="215"/>
        <v>13201</v>
      </c>
      <c r="BN521" s="5" t="s">
        <v>3154</v>
      </c>
      <c r="BR521" s="63"/>
      <c r="BY521" s="63">
        <f t="shared" si="214"/>
        <v>-2544</v>
      </c>
      <c r="CC521" s="1"/>
      <c r="CD521" s="1"/>
      <c r="CE521" s="1"/>
      <c r="CF521" s="1"/>
    </row>
    <row r="522" spans="1:91" hidden="1" outlineLevel="1">
      <c r="A522" t="s">
        <v>312</v>
      </c>
      <c r="B522" t="s">
        <v>1156</v>
      </c>
      <c r="C522" s="1">
        <f t="shared" si="216"/>
        <v>7880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4</v>
      </c>
      <c r="G522" s="132">
        <f t="shared" si="217"/>
        <v>786</v>
      </c>
      <c r="H522" s="137">
        <f t="shared" si="218"/>
        <v>9.9746192893401017E-2</v>
      </c>
      <c r="I522" s="2"/>
      <c r="J522" s="2">
        <f t="shared" si="219"/>
        <v>0.44327411167512693</v>
      </c>
      <c r="K522" s="2">
        <f t="shared" si="220"/>
        <v>0.5430203045685279</v>
      </c>
      <c r="L522" s="2">
        <f t="shared" si="221"/>
        <v>7.614213197969543E-4</v>
      </c>
      <c r="M522" s="2">
        <f t="shared" si="222"/>
        <v>1.2944162436548275E-2</v>
      </c>
      <c r="N522" s="63">
        <v>3493</v>
      </c>
      <c r="O522" s="63">
        <v>4279</v>
      </c>
      <c r="P522" s="63">
        <v>6</v>
      </c>
      <c r="Q522" s="63">
        <v>93</v>
      </c>
      <c r="R522" s="63">
        <v>1</v>
      </c>
      <c r="S522" s="63">
        <v>5</v>
      </c>
      <c r="T522" s="63"/>
      <c r="U522" s="63"/>
      <c r="V522" s="63"/>
      <c r="W522" s="63">
        <f>IF(Copyright!B$11=1,IF(CA522&gt;0,CA522-P522-SUM(X522:AQ522)-SUM(R522:V522),SUM(CB522:CM522)),SUM(CC522:CM522))</f>
        <v>3</v>
      </c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W522" s="5">
        <f>IF(Q522&gt;0,RANK(Q522,(N522:P522,Q522:AE522)),0)</f>
        <v>3</v>
      </c>
      <c r="AX522" s="5">
        <f>IF(R522&gt;0,RANK(R522,(N522:P522,Q522:AE522)),0)</f>
        <v>7</v>
      </c>
      <c r="AY522" s="5">
        <f>IF(T522&gt;0,RANK(T522,(N522:P522,Q522:AE522)),0)</f>
        <v>0</v>
      </c>
      <c r="AZ522" s="5">
        <f>IF(S522&gt;0,RANK(S522,(N522:P522,Q522:AE522)),0)</f>
        <v>5</v>
      </c>
      <c r="BA522" s="2">
        <f t="shared" si="223"/>
        <v>1.1802030456852792E-2</v>
      </c>
      <c r="BB522" s="2">
        <f t="shared" si="224"/>
        <v>1.2690355329949239E-4</v>
      </c>
      <c r="BC522" s="2">
        <f t="shared" si="225"/>
        <v>0</v>
      </c>
      <c r="BD522" s="2">
        <f t="shared" si="226"/>
        <v>6.3451776649746188E-4</v>
      </c>
      <c r="BF522" t="s">
        <v>312</v>
      </c>
      <c r="BG522" t="s">
        <v>1156</v>
      </c>
      <c r="BH522">
        <v>2</v>
      </c>
      <c r="BJ522" s="114">
        <v>13</v>
      </c>
      <c r="BK522" s="116">
        <v>205</v>
      </c>
      <c r="BL522" s="120">
        <f t="shared" si="215"/>
        <v>13205</v>
      </c>
      <c r="BN522" s="5" t="s">
        <v>3154</v>
      </c>
      <c r="BR522" s="63"/>
      <c r="BY522" s="63">
        <f t="shared" si="214"/>
        <v>-7880</v>
      </c>
      <c r="CC522" s="1"/>
      <c r="CD522" s="1"/>
      <c r="CE522" s="1"/>
      <c r="CF522" s="1"/>
      <c r="CH522" s="8">
        <v>3</v>
      </c>
    </row>
    <row r="523" spans="1:91" hidden="1" outlineLevel="1">
      <c r="A523" t="s">
        <v>644</v>
      </c>
      <c r="B523" t="s">
        <v>1156</v>
      </c>
      <c r="C523" s="1">
        <f t="shared" si="216"/>
        <v>12687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32">
        <f t="shared" si="217"/>
        <v>5261</v>
      </c>
      <c r="H523" s="137">
        <f t="shared" si="218"/>
        <v>0.41467644045085522</v>
      </c>
      <c r="I523" s="2"/>
      <c r="J523" s="2">
        <f t="shared" si="219"/>
        <v>0.2814692204618901</v>
      </c>
      <c r="K523" s="2">
        <f t="shared" si="220"/>
        <v>0.69614566091274532</v>
      </c>
      <c r="L523" s="2">
        <f t="shared" si="221"/>
        <v>0</v>
      </c>
      <c r="M523" s="2">
        <f t="shared" si="222"/>
        <v>2.2385118625364631E-2</v>
      </c>
      <c r="N523" s="63">
        <v>3571</v>
      </c>
      <c r="O523" s="63">
        <v>8832</v>
      </c>
      <c r="P523" s="63"/>
      <c r="Q523" s="63">
        <v>284</v>
      </c>
      <c r="R523" s="63"/>
      <c r="S523" s="63"/>
      <c r="T523" s="63"/>
      <c r="U523" s="63"/>
      <c r="V523" s="63"/>
      <c r="W523" s="63">
        <f>IF(Copyright!B$11=1,IF(CA523&gt;0,CA523-P523-SUM(X523:AQ523)-SUM(R523:V523),SUM(CB523:CM523)),SUM(CC523:CM523))</f>
        <v>0</v>
      </c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W523" s="5">
        <f>IF(Q523&gt;0,RANK(Q523,(N523:P523,Q523:AE523)),0)</f>
        <v>3</v>
      </c>
      <c r="AX523" s="5">
        <f>IF(R523&gt;0,RANK(R523,(N523:P523,Q523:AE523)),0)</f>
        <v>0</v>
      </c>
      <c r="AY523" s="5">
        <f>IF(T523&gt;0,RANK(T523,(N523:P523,Q523:AE523)),0)</f>
        <v>0</v>
      </c>
      <c r="AZ523" s="5">
        <f>IF(S523&gt;0,RANK(S523,(N523:P523,Q523:AE523)),0)</f>
        <v>0</v>
      </c>
      <c r="BA523" s="2">
        <f t="shared" si="223"/>
        <v>2.2385118625364547E-2</v>
      </c>
      <c r="BB523" s="2">
        <f t="shared" si="224"/>
        <v>0</v>
      </c>
      <c r="BC523" s="2">
        <f t="shared" si="225"/>
        <v>0</v>
      </c>
      <c r="BD523" s="2">
        <f t="shared" si="226"/>
        <v>0</v>
      </c>
      <c r="BF523" t="s">
        <v>644</v>
      </c>
      <c r="BG523" t="s">
        <v>1156</v>
      </c>
      <c r="BH523">
        <v>8</v>
      </c>
      <c r="BJ523" s="114">
        <v>13</v>
      </c>
      <c r="BK523" s="116">
        <v>207</v>
      </c>
      <c r="BL523" s="120">
        <f t="shared" si="215"/>
        <v>13207</v>
      </c>
      <c r="BN523" s="5" t="s">
        <v>3154</v>
      </c>
      <c r="BR523" s="63"/>
      <c r="BY523" s="63">
        <f t="shared" si="214"/>
        <v>-12687</v>
      </c>
      <c r="CC523" s="1"/>
      <c r="CD523" s="1"/>
      <c r="CE523" s="1"/>
      <c r="CF523" s="1"/>
    </row>
    <row r="524" spans="1:91" hidden="1" outlineLevel="1">
      <c r="A524" t="s">
        <v>1406</v>
      </c>
      <c r="B524" t="s">
        <v>1156</v>
      </c>
      <c r="C524" s="1">
        <f t="shared" si="216"/>
        <v>3576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4</v>
      </c>
      <c r="G524" s="132">
        <f t="shared" si="217"/>
        <v>1823</v>
      </c>
      <c r="H524" s="137">
        <f t="shared" si="218"/>
        <v>0.50978747203579422</v>
      </c>
      <c r="I524" s="2"/>
      <c r="J524" s="2">
        <f t="shared" si="219"/>
        <v>0.23685682326621924</v>
      </c>
      <c r="K524" s="2">
        <f t="shared" si="220"/>
        <v>0.74664429530201337</v>
      </c>
      <c r="L524" s="2">
        <f t="shared" si="221"/>
        <v>3.0760626398210291E-3</v>
      </c>
      <c r="M524" s="2">
        <f t="shared" si="222"/>
        <v>1.3422818791946336E-2</v>
      </c>
      <c r="N524" s="63">
        <v>847</v>
      </c>
      <c r="O524" s="63">
        <v>2670</v>
      </c>
      <c r="P524" s="63">
        <v>11</v>
      </c>
      <c r="Q524" s="63">
        <v>45</v>
      </c>
      <c r="R524" s="63">
        <v>1</v>
      </c>
      <c r="S524" s="63">
        <v>2</v>
      </c>
      <c r="T524" s="63"/>
      <c r="U524" s="63"/>
      <c r="V524" s="63"/>
      <c r="W524" s="63">
        <f>IF(Copyright!B$11=1,IF(CA524&gt;0,CA524-P524-SUM(X524:AQ524)-SUM(R524:V524),SUM(CB524:CM524)),SUM(CC524:CM524))</f>
        <v>0</v>
      </c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W524" s="5">
        <f>IF(Q524&gt;0,RANK(Q524,(N524:P524,Q524:AE524)),0)</f>
        <v>3</v>
      </c>
      <c r="AX524" s="5">
        <f>IF(R524&gt;0,RANK(R524,(N524:P524,Q524:AE524)),0)</f>
        <v>6</v>
      </c>
      <c r="AY524" s="5">
        <f>IF(T524&gt;0,RANK(T524,(N524:P524,Q524:AE524)),0)</f>
        <v>0</v>
      </c>
      <c r="AZ524" s="5">
        <f>IF(S524&gt;0,RANK(S524,(N524:P524,Q524:AE524)),0)</f>
        <v>5</v>
      </c>
      <c r="BA524" s="2">
        <f t="shared" si="223"/>
        <v>1.2583892617449664E-2</v>
      </c>
      <c r="BB524" s="2">
        <f t="shared" si="224"/>
        <v>2.7964205816554809E-4</v>
      </c>
      <c r="BC524" s="2">
        <f t="shared" si="225"/>
        <v>0</v>
      </c>
      <c r="BD524" s="2">
        <f t="shared" si="226"/>
        <v>5.5928411633109618E-4</v>
      </c>
      <c r="BF524" t="s">
        <v>1406</v>
      </c>
      <c r="BG524" t="s">
        <v>1156</v>
      </c>
      <c r="BH524">
        <v>12</v>
      </c>
      <c r="BJ524" s="114">
        <v>13</v>
      </c>
      <c r="BK524" s="116">
        <v>209</v>
      </c>
      <c r="BL524" s="120">
        <f t="shared" si="215"/>
        <v>13209</v>
      </c>
      <c r="BN524" s="5" t="s">
        <v>3154</v>
      </c>
      <c r="BR524" s="63"/>
      <c r="BY524" s="63">
        <f t="shared" si="214"/>
        <v>-3576</v>
      </c>
      <c r="CC524" s="1"/>
      <c r="CD524" s="1"/>
      <c r="CE524" s="1"/>
      <c r="CF524" s="1"/>
    </row>
    <row r="525" spans="1:91" hidden="1" outlineLevel="1">
      <c r="A525" t="s">
        <v>1145</v>
      </c>
      <c r="B525" t="s">
        <v>1156</v>
      </c>
      <c r="C525" s="1">
        <f t="shared" si="216"/>
        <v>9475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4</v>
      </c>
      <c r="G525" s="132">
        <f t="shared" si="217"/>
        <v>3896</v>
      </c>
      <c r="H525" s="137">
        <f t="shared" si="218"/>
        <v>0.41118733509234828</v>
      </c>
      <c r="I525" s="2"/>
      <c r="J525" s="2">
        <f t="shared" si="219"/>
        <v>0.28105540897097625</v>
      </c>
      <c r="K525" s="2">
        <f t="shared" si="220"/>
        <v>0.69224274406332453</v>
      </c>
      <c r="L525" s="2">
        <f t="shared" si="221"/>
        <v>2.0052770448548813E-3</v>
      </c>
      <c r="M525" s="2">
        <f t="shared" si="222"/>
        <v>2.4696569920844336E-2</v>
      </c>
      <c r="N525" s="63">
        <v>2663</v>
      </c>
      <c r="O525" s="63">
        <v>6559</v>
      </c>
      <c r="P525" s="63">
        <v>19</v>
      </c>
      <c r="Q525" s="63">
        <v>218</v>
      </c>
      <c r="R525" s="63">
        <v>13</v>
      </c>
      <c r="S525" s="63">
        <v>3</v>
      </c>
      <c r="T525" s="63"/>
      <c r="U525" s="63"/>
      <c r="V525" s="63"/>
      <c r="W525" s="63">
        <f>IF(Copyright!B$11=1,IF(CA525&gt;0,CA525-P525-SUM(X525:AQ525)-SUM(R525:V525),SUM(CB525:CM525)),SUM(CC525:CM525))</f>
        <v>0</v>
      </c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W525" s="5">
        <f>IF(Q525&gt;0,RANK(Q525,(N525:P525,Q525:AE525)),0)</f>
        <v>3</v>
      </c>
      <c r="AX525" s="5">
        <f>IF(R525&gt;0,RANK(R525,(N525:P525,Q525:AE525)),0)</f>
        <v>5</v>
      </c>
      <c r="AY525" s="5">
        <f>IF(T525&gt;0,RANK(T525,(N525:P525,Q525:AE525)),0)</f>
        <v>0</v>
      </c>
      <c r="AZ525" s="5">
        <f>IF(S525&gt;0,RANK(S525,(N525:P525,Q525:AE525)),0)</f>
        <v>6</v>
      </c>
      <c r="BA525" s="2">
        <f t="shared" si="223"/>
        <v>2.3007915567282322E-2</v>
      </c>
      <c r="BB525" s="2">
        <f t="shared" si="224"/>
        <v>1.3720316622691292E-3</v>
      </c>
      <c r="BC525" s="2">
        <f t="shared" si="225"/>
        <v>0</v>
      </c>
      <c r="BD525" s="2">
        <f t="shared" si="226"/>
        <v>3.1662269129287599E-4</v>
      </c>
      <c r="BF525" t="s">
        <v>1145</v>
      </c>
      <c r="BG525" t="s">
        <v>1156</v>
      </c>
      <c r="BH525">
        <v>10</v>
      </c>
      <c r="BJ525" s="114">
        <v>13</v>
      </c>
      <c r="BK525" s="116">
        <v>211</v>
      </c>
      <c r="BL525" s="120">
        <f t="shared" si="215"/>
        <v>13211</v>
      </c>
      <c r="BN525" s="5" t="s">
        <v>3154</v>
      </c>
      <c r="BR525" s="63"/>
      <c r="BY525" s="63">
        <f t="shared" si="214"/>
        <v>-9475</v>
      </c>
      <c r="CC525" s="1"/>
      <c r="CD525" s="1"/>
      <c r="CE525" s="1"/>
      <c r="CF525" s="1"/>
    </row>
    <row r="526" spans="1:91" hidden="1" outlineLevel="1">
      <c r="A526" t="s">
        <v>1868</v>
      </c>
      <c r="B526" t="s">
        <v>1156</v>
      </c>
      <c r="C526" s="1">
        <f t="shared" si="216"/>
        <v>12458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>IF(P526&gt;0,RANK(P526,(N526:P526,Q526:AE526)),0)</f>
        <v>5</v>
      </c>
      <c r="G526" s="132">
        <f t="shared" si="217"/>
        <v>8541</v>
      </c>
      <c r="H526" s="137">
        <f t="shared" si="218"/>
        <v>0.6855835607641676</v>
      </c>
      <c r="I526" s="2"/>
      <c r="J526" s="2">
        <f t="shared" si="219"/>
        <v>0.14448547118317548</v>
      </c>
      <c r="K526" s="2">
        <f t="shared" si="220"/>
        <v>0.83006903194734305</v>
      </c>
      <c r="L526" s="2">
        <f t="shared" si="221"/>
        <v>9.6323647455450313E-4</v>
      </c>
      <c r="M526" s="2">
        <f t="shared" si="222"/>
        <v>2.4482260394926996E-2</v>
      </c>
      <c r="N526" s="63">
        <v>1800</v>
      </c>
      <c r="O526" s="63">
        <v>10341</v>
      </c>
      <c r="P526" s="63">
        <v>12</v>
      </c>
      <c r="Q526" s="63">
        <v>283</v>
      </c>
      <c r="R526" s="63">
        <v>18</v>
      </c>
      <c r="S526" s="63">
        <v>2</v>
      </c>
      <c r="T526" s="63"/>
      <c r="U526" s="63"/>
      <c r="V526" s="63"/>
      <c r="W526" s="63">
        <f>IF(Copyright!B$11=1,IF(CA526&gt;0,CA526-P526-SUM(X526:AQ526)-SUM(R526:V526),SUM(CB526:CM526)),SUM(CC526:CM526))</f>
        <v>0</v>
      </c>
      <c r="X526" s="63"/>
      <c r="Y526" s="63"/>
      <c r="Z526" s="63"/>
      <c r="AA526" s="63"/>
      <c r="AB526" s="63"/>
      <c r="AC526" s="63"/>
      <c r="AD526" s="63"/>
      <c r="AE526" s="63">
        <v>2</v>
      </c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W526" s="5">
        <f>IF(Q526&gt;0,RANK(Q526,(N526:P526,Q526:AE526)),0)</f>
        <v>3</v>
      </c>
      <c r="AX526" s="5">
        <f>IF(R526&gt;0,RANK(R526,(N526:P526,Q526:AE526)),0)</f>
        <v>4</v>
      </c>
      <c r="AY526" s="5">
        <f>IF(T526&gt;0,RANK(T526,(N526:P526,Q526:AE526)),0)</f>
        <v>0</v>
      </c>
      <c r="AZ526" s="5">
        <f>IF(S526&gt;0,RANK(S526,(N526:P526,Q526:AE526)),0)</f>
        <v>6</v>
      </c>
      <c r="BA526" s="2">
        <f t="shared" si="223"/>
        <v>2.27163268582437E-2</v>
      </c>
      <c r="BB526" s="2">
        <f t="shared" si="224"/>
        <v>1.4448547118317548E-3</v>
      </c>
      <c r="BC526" s="2">
        <f t="shared" si="225"/>
        <v>0</v>
      </c>
      <c r="BD526" s="2">
        <f t="shared" si="226"/>
        <v>1.6053941242575052E-4</v>
      </c>
      <c r="BF526" t="s">
        <v>1868</v>
      </c>
      <c r="BG526" t="s">
        <v>1156</v>
      </c>
      <c r="BH526">
        <v>14</v>
      </c>
      <c r="BJ526" s="114">
        <v>13</v>
      </c>
      <c r="BK526" s="116">
        <v>213</v>
      </c>
      <c r="BL526" s="120">
        <f t="shared" si="215"/>
        <v>13213</v>
      </c>
      <c r="BN526" s="5" t="s">
        <v>3154</v>
      </c>
      <c r="BR526" s="63"/>
      <c r="BY526" s="63">
        <f t="shared" si="214"/>
        <v>-12458</v>
      </c>
      <c r="CC526" s="1"/>
      <c r="CD526" s="1"/>
      <c r="CE526" s="1"/>
      <c r="CF526" s="1"/>
    </row>
    <row r="527" spans="1:91" hidden="1" outlineLevel="1">
      <c r="A527" t="s">
        <v>982</v>
      </c>
      <c r="B527" t="s">
        <v>1156</v>
      </c>
      <c r="C527" s="1">
        <f t="shared" si="216"/>
        <v>69525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5</v>
      </c>
      <c r="G527" s="132">
        <f t="shared" si="217"/>
        <v>12875</v>
      </c>
      <c r="H527" s="137">
        <f t="shared" si="218"/>
        <v>0.18518518518518517</v>
      </c>
      <c r="I527" s="2"/>
      <c r="J527" s="2">
        <f t="shared" si="219"/>
        <v>0.57318950017979142</v>
      </c>
      <c r="K527" s="2">
        <f t="shared" si="220"/>
        <v>0.38800431499460625</v>
      </c>
      <c r="L527" s="2">
        <f t="shared" si="221"/>
        <v>3.1211794318590437E-3</v>
      </c>
      <c r="M527" s="2">
        <f t="shared" si="222"/>
        <v>3.5685005393743287E-2</v>
      </c>
      <c r="N527" s="63">
        <v>39851</v>
      </c>
      <c r="O527" s="63">
        <v>26976</v>
      </c>
      <c r="P527" s="63">
        <v>217</v>
      </c>
      <c r="Q527" s="63">
        <v>1831</v>
      </c>
      <c r="R527" s="63">
        <v>130</v>
      </c>
      <c r="S527" s="63">
        <v>22</v>
      </c>
      <c r="T527" s="63"/>
      <c r="U527" s="63"/>
      <c r="V527" s="63"/>
      <c r="W527" s="63">
        <f>IF(Copyright!B$11=1,IF(CA527&gt;0,CA527-P527-SUM(X527:AQ527)-SUM(R527:V527),SUM(CB527:CM527)),SUM(CC527:CM527))</f>
        <v>496</v>
      </c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>
        <v>2</v>
      </c>
      <c r="AO527" s="63"/>
      <c r="AP527" s="63"/>
      <c r="AQ527" s="63"/>
      <c r="AR527" s="63"/>
      <c r="AS527" s="63"/>
      <c r="AT527" s="63"/>
      <c r="AU527" s="63"/>
      <c r="AW527" s="5">
        <f>IF(Q527&gt;0,RANK(Q527,(N527:P527,Q527:AE527)),0)</f>
        <v>3</v>
      </c>
      <c r="AX527" s="5">
        <f>IF(R527&gt;0,RANK(R527,(N527:P527,Q527:AE527)),0)</f>
        <v>6</v>
      </c>
      <c r="AY527" s="5">
        <f>IF(T527&gt;0,RANK(T527,(N527:P527,Q527:AE527)),0)</f>
        <v>0</v>
      </c>
      <c r="AZ527" s="5">
        <f>IF(S527&gt;0,RANK(S527,(N527:P527,Q527:AE527)),0)</f>
        <v>7</v>
      </c>
      <c r="BA527" s="2">
        <f t="shared" si="223"/>
        <v>2.6335850413520316E-2</v>
      </c>
      <c r="BB527" s="2">
        <f t="shared" si="224"/>
        <v>1.8698309960445882E-3</v>
      </c>
      <c r="BC527" s="2">
        <f t="shared" si="225"/>
        <v>0</v>
      </c>
      <c r="BD527" s="2">
        <f t="shared" si="226"/>
        <v>3.164329377921611E-4</v>
      </c>
      <c r="BF527" t="s">
        <v>982</v>
      </c>
      <c r="BG527" t="s">
        <v>1156</v>
      </c>
      <c r="BJ527" s="114">
        <v>13</v>
      </c>
      <c r="BK527" s="116">
        <v>215</v>
      </c>
      <c r="BL527" s="120">
        <f t="shared" si="215"/>
        <v>13215</v>
      </c>
      <c r="BN527" s="5" t="s">
        <v>3154</v>
      </c>
      <c r="BR527" s="63"/>
      <c r="BY527" s="63">
        <f t="shared" si="214"/>
        <v>0</v>
      </c>
      <c r="BZ527" s="63">
        <v>69525</v>
      </c>
      <c r="CA527" s="63">
        <v>867</v>
      </c>
      <c r="CC527" s="1"/>
      <c r="CD527" s="1"/>
      <c r="CE527" s="1"/>
      <c r="CF527" s="1"/>
      <c r="CI527" s="8">
        <v>2</v>
      </c>
      <c r="CJ527" s="8">
        <v>1</v>
      </c>
    </row>
    <row r="528" spans="1:91" hidden="1" outlineLevel="1">
      <c r="A528" t="s">
        <v>1136</v>
      </c>
      <c r="B528" t="s">
        <v>1156</v>
      </c>
      <c r="C528" s="1">
        <f t="shared" si="216"/>
        <v>44238</v>
      </c>
      <c r="D528" s="5">
        <f>IF(N528&gt;0, RANK(N528,(N528:P528,Q528:AE528)),0)</f>
        <v>1</v>
      </c>
      <c r="E528" s="5">
        <f>IF(O528&gt;0,RANK(O528,(N528:P528,Q528:AE528)),0)</f>
        <v>2</v>
      </c>
      <c r="F528" s="5">
        <f>IF(P528&gt;0,RANK(P528,(N528:P528,Q528:AE528)),0)</f>
        <v>5</v>
      </c>
      <c r="G528" s="132">
        <f t="shared" si="217"/>
        <v>1030</v>
      </c>
      <c r="H528" s="137">
        <f t="shared" si="218"/>
        <v>2.3283150232831503E-2</v>
      </c>
      <c r="I528" s="2"/>
      <c r="J528" s="2">
        <f t="shared" si="219"/>
        <v>0.49602151996021521</v>
      </c>
      <c r="K528" s="2">
        <f t="shared" si="220"/>
        <v>0.4727383697273837</v>
      </c>
      <c r="L528" s="2">
        <f t="shared" si="221"/>
        <v>1.8310050183100502E-3</v>
      </c>
      <c r="M528" s="2">
        <f t="shared" si="222"/>
        <v>2.9409105294091097E-2</v>
      </c>
      <c r="N528" s="63">
        <v>21943</v>
      </c>
      <c r="O528" s="63">
        <v>20913</v>
      </c>
      <c r="P528" s="63">
        <v>81</v>
      </c>
      <c r="Q528" s="63">
        <v>947</v>
      </c>
      <c r="R528" s="63">
        <v>79</v>
      </c>
      <c r="S528" s="63">
        <v>14</v>
      </c>
      <c r="T528" s="63"/>
      <c r="U528" s="63"/>
      <c r="V528" s="63"/>
      <c r="W528" s="63">
        <f>IF(Copyright!B$11=1,IF(CA528&gt;0,CA528-P528-SUM(X528:AQ528)-SUM(R528:V528),SUM(CB528:CM528)),SUM(CC528:CM528))</f>
        <v>252</v>
      </c>
      <c r="X528" s="63"/>
      <c r="Y528" s="63">
        <v>4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>
        <v>5</v>
      </c>
      <c r="AO528" s="63"/>
      <c r="AP528" s="63"/>
      <c r="AQ528" s="63"/>
      <c r="AR528" s="63"/>
      <c r="AS528" s="63"/>
      <c r="AT528" s="63"/>
      <c r="AU528" s="63"/>
      <c r="AW528" s="5">
        <f>IF(Q528&gt;0,RANK(Q528,(N528:P528,Q528:AE528)),0)</f>
        <v>3</v>
      </c>
      <c r="AX528" s="5">
        <f>IF(R528&gt;0,RANK(R528,(N528:P528,Q528:AE528)),0)</f>
        <v>6</v>
      </c>
      <c r="AY528" s="5">
        <f>IF(T528&gt;0,RANK(T528,(N528:P528,Q528:AE528)),0)</f>
        <v>0</v>
      </c>
      <c r="AZ528" s="5">
        <f>IF(S528&gt;0,RANK(S528,(N528:P528,Q528:AE528)),0)</f>
        <v>7</v>
      </c>
      <c r="BA528" s="2">
        <f t="shared" si="223"/>
        <v>2.1406935214069351E-2</v>
      </c>
      <c r="BB528" s="2">
        <f t="shared" si="224"/>
        <v>1.7857950178579501E-3</v>
      </c>
      <c r="BC528" s="2">
        <f t="shared" si="225"/>
        <v>0</v>
      </c>
      <c r="BD528" s="2">
        <f t="shared" si="226"/>
        <v>3.1647000316470001E-4</v>
      </c>
      <c r="BF528" t="s">
        <v>1136</v>
      </c>
      <c r="BG528" t="s">
        <v>1156</v>
      </c>
      <c r="BJ528" s="114">
        <v>13</v>
      </c>
      <c r="BK528" s="116">
        <v>217</v>
      </c>
      <c r="BL528" s="120">
        <f t="shared" si="215"/>
        <v>13217</v>
      </c>
      <c r="BN528" s="5" t="s">
        <v>3154</v>
      </c>
      <c r="BR528" s="63"/>
      <c r="BY528" s="63">
        <f t="shared" si="214"/>
        <v>0</v>
      </c>
      <c r="BZ528" s="63">
        <v>44238</v>
      </c>
      <c r="CA528" s="132">
        <v>435</v>
      </c>
      <c r="CC528" s="1"/>
      <c r="CD528" s="1"/>
      <c r="CE528" s="1"/>
      <c r="CF528" s="1"/>
      <c r="CM528" s="8">
        <v>1</v>
      </c>
    </row>
    <row r="529" spans="1:91" hidden="1" outlineLevel="1">
      <c r="A529" t="s">
        <v>1654</v>
      </c>
      <c r="B529" t="s">
        <v>1156</v>
      </c>
      <c r="C529" s="1">
        <f t="shared" si="216"/>
        <v>20149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4</v>
      </c>
      <c r="G529" s="132">
        <f t="shared" si="217"/>
        <v>7844</v>
      </c>
      <c r="H529" s="137">
        <f t="shared" si="218"/>
        <v>0.38929971710754874</v>
      </c>
      <c r="I529" s="2"/>
      <c r="J529" s="2">
        <f t="shared" si="219"/>
        <v>0.27698645094049335</v>
      </c>
      <c r="K529" s="2">
        <f t="shared" si="220"/>
        <v>0.66628616804804208</v>
      </c>
      <c r="L529" s="2">
        <f t="shared" si="221"/>
        <v>8.0401012457193902E-3</v>
      </c>
      <c r="M529" s="2">
        <f t="shared" si="222"/>
        <v>4.8687279765745183E-2</v>
      </c>
      <c r="N529" s="63">
        <v>5581</v>
      </c>
      <c r="O529" s="63">
        <v>13425</v>
      </c>
      <c r="P529" s="63">
        <v>162</v>
      </c>
      <c r="Q529" s="63">
        <v>925</v>
      </c>
      <c r="R529" s="63">
        <v>42</v>
      </c>
      <c r="S529" s="63">
        <v>9</v>
      </c>
      <c r="T529" s="63"/>
      <c r="U529" s="63"/>
      <c r="V529" s="63"/>
      <c r="W529" s="63">
        <f>IF(Copyright!B$11=1,IF(CA529&gt;0,CA529-P529-SUM(X529:AQ529)-SUM(R529:V529),SUM(CB529:CM529)),SUM(CC529:CM529))</f>
        <v>0</v>
      </c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>
        <v>5</v>
      </c>
      <c r="AO529" s="63"/>
      <c r="AP529" s="63"/>
      <c r="AQ529" s="63"/>
      <c r="AR529" s="63"/>
      <c r="AS529" s="63"/>
      <c r="AT529" s="63"/>
      <c r="AU529" s="63"/>
      <c r="AW529" s="5">
        <f>IF(Q529&gt;0,RANK(Q529,(N529:P529,Q529:AE529)),0)</f>
        <v>3</v>
      </c>
      <c r="AX529" s="5">
        <f>IF(R529&gt;0,RANK(R529,(N529:P529,Q529:AE529)),0)</f>
        <v>5</v>
      </c>
      <c r="AY529" s="5">
        <f>IF(T529&gt;0,RANK(T529,(N529:P529,Q529:AE529)),0)</f>
        <v>0</v>
      </c>
      <c r="AZ529" s="5">
        <f>IF(S529&gt;0,RANK(S529,(N529:P529,Q529:AE529)),0)</f>
        <v>6</v>
      </c>
      <c r="BA529" s="2">
        <f t="shared" si="223"/>
        <v>4.5907985507965654E-2</v>
      </c>
      <c r="BB529" s="2">
        <f t="shared" si="224"/>
        <v>2.0844706933346568E-3</v>
      </c>
      <c r="BC529" s="2">
        <f t="shared" si="225"/>
        <v>0</v>
      </c>
      <c r="BD529" s="2">
        <f t="shared" si="226"/>
        <v>4.4667229142885502E-4</v>
      </c>
      <c r="BF529" t="s">
        <v>1654</v>
      </c>
      <c r="BG529" t="s">
        <v>1156</v>
      </c>
      <c r="BH529">
        <v>10</v>
      </c>
      <c r="BJ529" s="114">
        <v>13</v>
      </c>
      <c r="BK529" s="116">
        <v>219</v>
      </c>
      <c r="BL529" s="120">
        <f t="shared" si="215"/>
        <v>13219</v>
      </c>
      <c r="BN529" s="5" t="s">
        <v>3154</v>
      </c>
      <c r="BR529" s="63"/>
      <c r="BY529" s="63">
        <f t="shared" si="214"/>
        <v>-20149</v>
      </c>
      <c r="CC529" s="1"/>
      <c r="CD529" s="1"/>
      <c r="CE529" s="1"/>
      <c r="CF529" s="1"/>
    </row>
    <row r="530" spans="1:91" hidden="1" outlineLevel="1">
      <c r="A530" t="s">
        <v>2415</v>
      </c>
      <c r="B530" t="s">
        <v>1156</v>
      </c>
      <c r="C530" s="1">
        <f t="shared" si="216"/>
        <v>6674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5</v>
      </c>
      <c r="G530" s="132">
        <f t="shared" si="217"/>
        <v>2794</v>
      </c>
      <c r="H530" s="137">
        <f t="shared" si="218"/>
        <v>0.41863949655379085</v>
      </c>
      <c r="I530" s="2"/>
      <c r="J530" s="2">
        <f t="shared" si="219"/>
        <v>0.27434821696134254</v>
      </c>
      <c r="K530" s="2">
        <f t="shared" si="220"/>
        <v>0.69298771351513333</v>
      </c>
      <c r="L530" s="2">
        <f t="shared" si="221"/>
        <v>1.1986814504045551E-3</v>
      </c>
      <c r="M530" s="2">
        <f t="shared" si="222"/>
        <v>3.1465388073119632E-2</v>
      </c>
      <c r="N530" s="63">
        <v>1831</v>
      </c>
      <c r="O530" s="63">
        <v>4625</v>
      </c>
      <c r="P530" s="63">
        <v>8</v>
      </c>
      <c r="Q530" s="63">
        <v>199</v>
      </c>
      <c r="R530" s="63">
        <v>11</v>
      </c>
      <c r="S530" s="63"/>
      <c r="T530" s="63"/>
      <c r="U530" s="63"/>
      <c r="V530" s="63"/>
      <c r="W530" s="63">
        <f>IF(Copyright!B$11=1,IF(CA530&gt;0,CA530-P530-SUM(X530:AQ530)-SUM(R530:V530),SUM(CB530:CM530)),SUM(CC530:CM530))</f>
        <v>0</v>
      </c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W530" s="5">
        <f>IF(Q530&gt;0,RANK(Q530,(N530:P530,Q530:AE530)),0)</f>
        <v>3</v>
      </c>
      <c r="AX530" s="5">
        <f>IF(R530&gt;0,RANK(R530,(N530:P530,Q530:AE530)),0)</f>
        <v>4</v>
      </c>
      <c r="AY530" s="5">
        <f>IF(T530&gt;0,RANK(T530,(N530:P530,Q530:AE530)),0)</f>
        <v>0</v>
      </c>
      <c r="AZ530" s="5">
        <f>IF(S530&gt;0,RANK(S530,(N530:P530,Q530:AE530)),0)</f>
        <v>0</v>
      </c>
      <c r="BA530" s="2">
        <f t="shared" si="223"/>
        <v>2.9817201078813305E-2</v>
      </c>
      <c r="BB530" s="2">
        <f t="shared" si="224"/>
        <v>1.648186994306263E-3</v>
      </c>
      <c r="BC530" s="2">
        <f t="shared" si="225"/>
        <v>0</v>
      </c>
      <c r="BD530" s="2">
        <f t="shared" si="226"/>
        <v>0</v>
      </c>
      <c r="BF530" t="s">
        <v>2415</v>
      </c>
      <c r="BG530" t="s">
        <v>1156</v>
      </c>
      <c r="BH530">
        <v>10</v>
      </c>
      <c r="BJ530" s="114">
        <v>13</v>
      </c>
      <c r="BK530" s="116">
        <v>221</v>
      </c>
      <c r="BL530" s="120">
        <f t="shared" si="215"/>
        <v>13221</v>
      </c>
      <c r="BN530" s="5" t="s">
        <v>3154</v>
      </c>
      <c r="BR530" s="63"/>
      <c r="BY530" s="63">
        <f t="shared" si="214"/>
        <v>-6674</v>
      </c>
      <c r="CA530" s="132"/>
      <c r="CC530" s="1"/>
      <c r="CD530" s="1"/>
      <c r="CE530" s="1"/>
      <c r="CF530" s="1"/>
    </row>
    <row r="531" spans="1:91" hidden="1" outlineLevel="1">
      <c r="A531" t="s">
        <v>1651</v>
      </c>
      <c r="B531" t="s">
        <v>1156</v>
      </c>
      <c r="C531" s="1">
        <f t="shared" si="216"/>
        <v>65480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>IF(P531&gt;0,RANK(P531,(N531:P531,Q531:AE531)),0)</f>
        <v>5</v>
      </c>
      <c r="G531" s="132">
        <f t="shared" si="217"/>
        <v>26637</v>
      </c>
      <c r="H531" s="137">
        <f t="shared" si="218"/>
        <v>0.40679596823457542</v>
      </c>
      <c r="I531" s="2"/>
      <c r="J531" s="2">
        <f t="shared" si="219"/>
        <v>0.27527489309712888</v>
      </c>
      <c r="K531" s="2">
        <f t="shared" si="220"/>
        <v>0.68207086133170436</v>
      </c>
      <c r="L531" s="2">
        <f t="shared" si="221"/>
        <v>2.0464263897373245E-3</v>
      </c>
      <c r="M531" s="2">
        <f t="shared" si="222"/>
        <v>4.0607819181429382E-2</v>
      </c>
      <c r="N531" s="63">
        <v>18025</v>
      </c>
      <c r="O531" s="63">
        <v>44662</v>
      </c>
      <c r="P531" s="63">
        <v>134</v>
      </c>
      <c r="Q531" s="63">
        <v>1954</v>
      </c>
      <c r="R531" s="63">
        <v>58</v>
      </c>
      <c r="S531" s="63">
        <v>23</v>
      </c>
      <c r="T531" s="63"/>
      <c r="U531" s="63"/>
      <c r="V531" s="63"/>
      <c r="W531" s="63">
        <f>IF(Copyright!B$11=1,IF(CA531&gt;0,CA531-P531-SUM(X531:AQ531)-SUM(R531:V531),SUM(CB531:CM531)),SUM(CC531:CM531))</f>
        <v>612</v>
      </c>
      <c r="X531" s="63"/>
      <c r="Y531" s="63">
        <v>8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>
        <v>4</v>
      </c>
      <c r="AO531" s="63"/>
      <c r="AP531" s="63"/>
      <c r="AQ531" s="63"/>
      <c r="AR531" s="63"/>
      <c r="AS531" s="63"/>
      <c r="AT531" s="63"/>
      <c r="AU531" s="63"/>
      <c r="AW531" s="5">
        <f>IF(Q531&gt;0,RANK(Q531,(N531:P531,Q531:AE531)),0)</f>
        <v>3</v>
      </c>
      <c r="AX531" s="5">
        <f>IF(R531&gt;0,RANK(R531,(N531:P531,Q531:AE531)),0)</f>
        <v>6</v>
      </c>
      <c r="AY531" s="5">
        <f>IF(T531&gt;0,RANK(T531,(N531:P531,Q531:AE531)),0)</f>
        <v>0</v>
      </c>
      <c r="AZ531" s="5">
        <f>IF(S531&gt;0,RANK(S531,(N531:P531,Q531:AE531)),0)</f>
        <v>7</v>
      </c>
      <c r="BA531" s="2">
        <f t="shared" si="223"/>
        <v>2.9841172877214418E-2</v>
      </c>
      <c r="BB531" s="2">
        <f t="shared" si="224"/>
        <v>8.8576664630421508E-4</v>
      </c>
      <c r="BC531" s="2">
        <f t="shared" si="225"/>
        <v>0</v>
      </c>
      <c r="BD531" s="2">
        <f t="shared" si="226"/>
        <v>3.5125229077580939E-4</v>
      </c>
      <c r="BF531" t="s">
        <v>1651</v>
      </c>
      <c r="BG531" t="s">
        <v>1156</v>
      </c>
      <c r="BH531">
        <v>14</v>
      </c>
      <c r="BJ531" s="114">
        <v>13</v>
      </c>
      <c r="BK531" s="116">
        <v>223</v>
      </c>
      <c r="BL531" s="120">
        <f t="shared" si="215"/>
        <v>13223</v>
      </c>
      <c r="BN531" s="5" t="s">
        <v>3154</v>
      </c>
      <c r="BR531" s="63"/>
      <c r="BY531" s="63">
        <f t="shared" si="214"/>
        <v>0</v>
      </c>
      <c r="BZ531" s="63">
        <v>65480</v>
      </c>
      <c r="CA531" s="132">
        <v>839</v>
      </c>
      <c r="CC531" s="1"/>
      <c r="CD531" s="1"/>
      <c r="CE531" s="1">
        <v>3</v>
      </c>
      <c r="CF531" s="1">
        <v>3</v>
      </c>
      <c r="CG531" s="8">
        <v>4</v>
      </c>
      <c r="CH531" s="8">
        <v>3</v>
      </c>
      <c r="CI531" s="8">
        <v>1</v>
      </c>
      <c r="CJ531" s="8">
        <v>2</v>
      </c>
      <c r="CK531" s="8">
        <v>1</v>
      </c>
      <c r="CL531" s="8">
        <v>1</v>
      </c>
      <c r="CM531" s="8">
        <v>4</v>
      </c>
    </row>
    <row r="532" spans="1:91" hidden="1" outlineLevel="1">
      <c r="A532" t="s">
        <v>1653</v>
      </c>
      <c r="B532" t="s">
        <v>1156</v>
      </c>
      <c r="C532" s="1">
        <f t="shared" si="216"/>
        <v>10752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5</v>
      </c>
      <c r="G532" s="132">
        <f t="shared" si="217"/>
        <v>313</v>
      </c>
      <c r="H532" s="137">
        <f t="shared" si="218"/>
        <v>2.9110863095238096E-2</v>
      </c>
      <c r="I532" s="2"/>
      <c r="J532" s="2">
        <f t="shared" si="219"/>
        <v>0.47433035714285715</v>
      </c>
      <c r="K532" s="2">
        <f t="shared" si="220"/>
        <v>0.50344122023809523</v>
      </c>
      <c r="L532" s="2">
        <f t="shared" si="221"/>
        <v>1.1160714285714285E-3</v>
      </c>
      <c r="M532" s="2">
        <f t="shared" si="222"/>
        <v>2.1112351190476133E-2</v>
      </c>
      <c r="N532" s="63">
        <v>5100</v>
      </c>
      <c r="O532" s="63">
        <v>5413</v>
      </c>
      <c r="P532" s="63">
        <v>12</v>
      </c>
      <c r="Q532" s="63">
        <v>211</v>
      </c>
      <c r="R532" s="63">
        <v>14</v>
      </c>
      <c r="S532" s="63"/>
      <c r="T532" s="63"/>
      <c r="U532" s="63"/>
      <c r="V532" s="63"/>
      <c r="W532" s="63">
        <f>IF(Copyright!B$11=1,IF(CA532&gt;0,CA532-P532-SUM(X532:AQ532)-SUM(R532:V532),SUM(CB532:CM532)),SUM(CC532:CM532))</f>
        <v>0</v>
      </c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>
        <v>2</v>
      </c>
      <c r="AO532" s="63"/>
      <c r="AP532" s="63"/>
      <c r="AQ532" s="63"/>
      <c r="AR532" s="63"/>
      <c r="AS532" s="63"/>
      <c r="AT532" s="63"/>
      <c r="AU532" s="63"/>
      <c r="AW532" s="5">
        <f>IF(Q532&gt;0,RANK(Q532,(N532:P532,Q532:AE532)),0)</f>
        <v>3</v>
      </c>
      <c r="AX532" s="5">
        <f>IF(R532&gt;0,RANK(R532,(N532:P532,Q532:AE532)),0)</f>
        <v>4</v>
      </c>
      <c r="AY532" s="5">
        <f>IF(T532&gt;0,RANK(T532,(N532:P532,Q532:AE532)),0)</f>
        <v>0</v>
      </c>
      <c r="AZ532" s="5">
        <f>IF(S532&gt;0,RANK(S532,(N532:P532,Q532:AE532)),0)</f>
        <v>0</v>
      </c>
      <c r="BA532" s="2">
        <f t="shared" si="223"/>
        <v>1.9624255952380952E-2</v>
      </c>
      <c r="BB532" s="2">
        <f t="shared" si="224"/>
        <v>1.3020833333333333E-3</v>
      </c>
      <c r="BC532" s="2">
        <f t="shared" si="225"/>
        <v>0</v>
      </c>
      <c r="BD532" s="2">
        <f t="shared" si="226"/>
        <v>0</v>
      </c>
      <c r="BF532" t="s">
        <v>1653</v>
      </c>
      <c r="BG532" t="s">
        <v>1156</v>
      </c>
      <c r="BH532">
        <v>2</v>
      </c>
      <c r="BJ532" s="114">
        <v>13</v>
      </c>
      <c r="BK532" s="116">
        <v>225</v>
      </c>
      <c r="BL532" s="120">
        <f t="shared" si="215"/>
        <v>13225</v>
      </c>
      <c r="BN532" s="5" t="s">
        <v>3154</v>
      </c>
      <c r="BR532" s="63"/>
      <c r="BY532" s="63">
        <f t="shared" si="214"/>
        <v>-10752</v>
      </c>
      <c r="CC532" s="1"/>
      <c r="CD532" s="1"/>
      <c r="CE532" s="1"/>
      <c r="CF532" s="1"/>
    </row>
    <row r="533" spans="1:91" hidden="1" outlineLevel="1">
      <c r="A533" t="s">
        <v>1627</v>
      </c>
      <c r="B533" t="s">
        <v>1156</v>
      </c>
      <c r="C533" s="1">
        <f t="shared" si="216"/>
        <v>14058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4</v>
      </c>
      <c r="G533" s="132">
        <f t="shared" si="217"/>
        <v>9672</v>
      </c>
      <c r="H533" s="137">
        <f t="shared" si="218"/>
        <v>0.68800682885189923</v>
      </c>
      <c r="I533" s="2"/>
      <c r="J533" s="2">
        <f t="shared" si="219"/>
        <v>0.14077393654858444</v>
      </c>
      <c r="K533" s="2">
        <f t="shared" si="220"/>
        <v>0.82878076540048373</v>
      </c>
      <c r="L533" s="2">
        <f t="shared" si="221"/>
        <v>2.6319533361786884E-3</v>
      </c>
      <c r="M533" s="2">
        <f t="shared" si="222"/>
        <v>2.781334471475308E-2</v>
      </c>
      <c r="N533" s="63">
        <v>1979</v>
      </c>
      <c r="O533" s="63">
        <v>11651</v>
      </c>
      <c r="P533" s="63">
        <v>37</v>
      </c>
      <c r="Q533" s="63">
        <v>354</v>
      </c>
      <c r="R533" s="63">
        <v>31</v>
      </c>
      <c r="S533" s="63">
        <v>6</v>
      </c>
      <c r="T533" s="63"/>
      <c r="U533" s="63"/>
      <c r="V533" s="63"/>
      <c r="W533" s="63">
        <f>IF(Copyright!B$11=1,IF(CA533&gt;0,CA533-P533-SUM(X533:AQ533)-SUM(R533:V533),SUM(CB533:CM533)),SUM(CC533:CM533))</f>
        <v>0</v>
      </c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W533" s="5">
        <f>IF(Q533&gt;0,RANK(Q533,(N533:P533,Q533:AE533)),0)</f>
        <v>3</v>
      </c>
      <c r="AX533" s="5">
        <f>IF(R533&gt;0,RANK(R533,(N533:P533,Q533:AE533)),0)</f>
        <v>5</v>
      </c>
      <c r="AY533" s="5">
        <f>IF(T533&gt;0,RANK(T533,(N533:P533,Q533:AE533)),0)</f>
        <v>0</v>
      </c>
      <c r="AZ533" s="5">
        <f>IF(S533&gt;0,RANK(S533,(N533:P533,Q533:AE533)),0)</f>
        <v>6</v>
      </c>
      <c r="BA533" s="2">
        <f t="shared" si="223"/>
        <v>2.5181391378574478E-2</v>
      </c>
      <c r="BB533" s="2">
        <f t="shared" si="224"/>
        <v>2.2051500924740361E-3</v>
      </c>
      <c r="BC533" s="2">
        <f t="shared" si="225"/>
        <v>0</v>
      </c>
      <c r="BD533" s="2">
        <f t="shared" si="226"/>
        <v>4.2680324370465217E-4</v>
      </c>
      <c r="BF533" t="s">
        <v>1627</v>
      </c>
      <c r="BG533" t="s">
        <v>1156</v>
      </c>
      <c r="BJ533" s="114">
        <v>13</v>
      </c>
      <c r="BK533" s="116">
        <v>227</v>
      </c>
      <c r="BL533" s="120">
        <f t="shared" si="215"/>
        <v>13227</v>
      </c>
      <c r="BN533" s="5" t="s">
        <v>3154</v>
      </c>
      <c r="BR533" s="63"/>
      <c r="BY533" s="63">
        <f t="shared" si="214"/>
        <v>-14058</v>
      </c>
      <c r="CC533" s="1"/>
      <c r="CD533" s="1"/>
      <c r="CE533" s="1"/>
      <c r="CF533" s="1"/>
    </row>
    <row r="534" spans="1:91" hidden="1" outlineLevel="1">
      <c r="A534" t="s">
        <v>1762</v>
      </c>
      <c r="B534" t="s">
        <v>1156</v>
      </c>
      <c r="C534" s="1">
        <f t="shared" si="216"/>
        <v>7311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5</v>
      </c>
      <c r="G534" s="132">
        <f t="shared" si="217"/>
        <v>5399</v>
      </c>
      <c r="H534" s="137">
        <f t="shared" si="218"/>
        <v>0.73847626863630145</v>
      </c>
      <c r="I534" s="2"/>
      <c r="J534" s="2">
        <f t="shared" si="219"/>
        <v>0.12351251538777185</v>
      </c>
      <c r="K534" s="2">
        <f t="shared" si="220"/>
        <v>0.86198878402407331</v>
      </c>
      <c r="L534" s="2">
        <f t="shared" si="221"/>
        <v>8.206811653672548E-4</v>
      </c>
      <c r="M534" s="2">
        <f t="shared" si="222"/>
        <v>1.3678019422787579E-2</v>
      </c>
      <c r="N534" s="63">
        <v>903</v>
      </c>
      <c r="O534" s="63">
        <v>6302</v>
      </c>
      <c r="P534" s="63">
        <v>6</v>
      </c>
      <c r="Q534" s="63">
        <v>93</v>
      </c>
      <c r="R534" s="63">
        <v>7</v>
      </c>
      <c r="S534" s="63"/>
      <c r="T534" s="63"/>
      <c r="U534" s="63"/>
      <c r="V534" s="63"/>
      <c r="W534" s="63">
        <f>IF(Copyright!B$11=1,IF(CA534&gt;0,CA534-P534-SUM(X534:AQ534)-SUM(R534:V534),SUM(CB534:CM534)),SUM(CC534:CM534))</f>
        <v>0</v>
      </c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W534" s="5">
        <f>IF(Q534&gt;0,RANK(Q534,(N534:P534,Q534:AE534)),0)</f>
        <v>3</v>
      </c>
      <c r="AX534" s="5">
        <f>IF(R534&gt;0,RANK(R534,(N534:P534,Q534:AE534)),0)</f>
        <v>4</v>
      </c>
      <c r="AY534" s="5">
        <f>IF(T534&gt;0,RANK(T534,(N534:P534,Q534:AE534)),0)</f>
        <v>0</v>
      </c>
      <c r="AZ534" s="5">
        <f>IF(S534&gt;0,RANK(S534,(N534:P534,Q534:AE534)),0)</f>
        <v>0</v>
      </c>
      <c r="BA534" s="2">
        <f t="shared" si="223"/>
        <v>1.2720558063192449E-2</v>
      </c>
      <c r="BB534" s="2">
        <f t="shared" si="224"/>
        <v>9.5746135959513064E-4</v>
      </c>
      <c r="BC534" s="2">
        <f t="shared" si="225"/>
        <v>0</v>
      </c>
      <c r="BD534" s="2">
        <f t="shared" si="226"/>
        <v>0</v>
      </c>
      <c r="BF534" t="s">
        <v>1762</v>
      </c>
      <c r="BG534" t="s">
        <v>1156</v>
      </c>
      <c r="BH534">
        <v>1</v>
      </c>
      <c r="BJ534" s="114">
        <v>13</v>
      </c>
      <c r="BK534" s="116">
        <v>229</v>
      </c>
      <c r="BL534" s="120">
        <f t="shared" si="215"/>
        <v>13229</v>
      </c>
      <c r="BN534" s="5" t="s">
        <v>3154</v>
      </c>
      <c r="BR534" s="63"/>
      <c r="BY534" s="63">
        <f t="shared" si="214"/>
        <v>-7311</v>
      </c>
      <c r="CC534" s="1"/>
      <c r="CD534" s="1"/>
      <c r="CE534" s="1"/>
      <c r="CF534" s="1"/>
    </row>
    <row r="535" spans="1:91" hidden="1" outlineLevel="1">
      <c r="A535" t="s">
        <v>2655</v>
      </c>
      <c r="B535" t="s">
        <v>1156</v>
      </c>
      <c r="C535" s="1">
        <f t="shared" si="216"/>
        <v>8725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4</v>
      </c>
      <c r="G535" s="132">
        <f t="shared" si="217"/>
        <v>6038</v>
      </c>
      <c r="H535" s="137">
        <f t="shared" si="218"/>
        <v>0.69203438395415473</v>
      </c>
      <c r="I535" s="2"/>
      <c r="J535" s="2">
        <f t="shared" si="219"/>
        <v>0.14212034383954156</v>
      </c>
      <c r="K535" s="2">
        <f t="shared" si="220"/>
        <v>0.83415472779369626</v>
      </c>
      <c r="L535" s="2">
        <f t="shared" si="221"/>
        <v>4.699140401146132E-3</v>
      </c>
      <c r="M535" s="2">
        <f t="shared" si="222"/>
        <v>1.9025787965616079E-2</v>
      </c>
      <c r="N535" s="63">
        <v>1240</v>
      </c>
      <c r="O535" s="63">
        <v>7278</v>
      </c>
      <c r="P535" s="63">
        <v>41</v>
      </c>
      <c r="Q535" s="63">
        <v>163</v>
      </c>
      <c r="R535" s="63"/>
      <c r="S535" s="63">
        <v>3</v>
      </c>
      <c r="T535" s="63"/>
      <c r="U535" s="63"/>
      <c r="V535" s="63"/>
      <c r="W535" s="63">
        <f>IF(Copyright!B$11=1,IF(CA535&gt;0,CA535-P535-SUM(X535:AQ535)-SUM(R535:V535),SUM(CB535:CM535)),SUM(CC535:CM535))</f>
        <v>0</v>
      </c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W535" s="5">
        <f>IF(Q535&gt;0,RANK(Q535,(N535:P535,Q535:AE535)),0)</f>
        <v>3</v>
      </c>
      <c r="AX535" s="5">
        <f>IF(R535&gt;0,RANK(R535,(N535:P535,Q535:AE535)),0)</f>
        <v>0</v>
      </c>
      <c r="AY535" s="5">
        <f>IF(T535&gt;0,RANK(T535,(N535:P535,Q535:AE535)),0)</f>
        <v>0</v>
      </c>
      <c r="AZ535" s="5">
        <f>IF(S535&gt;0,RANK(S535,(N535:P535,Q535:AE535)),0)</f>
        <v>5</v>
      </c>
      <c r="BA535" s="2">
        <f t="shared" si="223"/>
        <v>1.8681948424068767E-2</v>
      </c>
      <c r="BB535" s="2">
        <f t="shared" si="224"/>
        <v>0</v>
      </c>
      <c r="BC535" s="2">
        <f t="shared" si="225"/>
        <v>0</v>
      </c>
      <c r="BD535" s="2">
        <f t="shared" si="226"/>
        <v>3.4383954154727791E-4</v>
      </c>
      <c r="BF535" t="s">
        <v>2655</v>
      </c>
      <c r="BG535" t="s">
        <v>1156</v>
      </c>
      <c r="BH535">
        <v>3</v>
      </c>
      <c r="BJ535" s="114">
        <v>13</v>
      </c>
      <c r="BK535" s="116">
        <v>231</v>
      </c>
      <c r="BL535" s="120">
        <f t="shared" si="215"/>
        <v>13231</v>
      </c>
      <c r="BN535" s="5" t="s">
        <v>3154</v>
      </c>
      <c r="BR535" s="63"/>
      <c r="BY535" s="63">
        <f t="shared" si="214"/>
        <v>-8725</v>
      </c>
      <c r="CC535" s="1"/>
      <c r="CD535" s="1"/>
      <c r="CE535" s="1"/>
      <c r="CF535" s="1"/>
    </row>
    <row r="536" spans="1:91" hidden="1" outlineLevel="1">
      <c r="A536" t="s">
        <v>879</v>
      </c>
      <c r="B536" t="s">
        <v>1156</v>
      </c>
      <c r="C536" s="1">
        <f t="shared" si="216"/>
        <v>14215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5</v>
      </c>
      <c r="G536" s="132">
        <f t="shared" si="217"/>
        <v>8147</v>
      </c>
      <c r="H536" s="137">
        <f t="shared" si="218"/>
        <v>0.5731269785437918</v>
      </c>
      <c r="I536" s="2"/>
      <c r="J536" s="2">
        <f t="shared" si="219"/>
        <v>0.20168835736897645</v>
      </c>
      <c r="K536" s="2">
        <f t="shared" si="220"/>
        <v>0.77481533591276819</v>
      </c>
      <c r="L536" s="2">
        <f t="shared" si="221"/>
        <v>1.1959198030249737E-3</v>
      </c>
      <c r="M536" s="2">
        <f t="shared" si="222"/>
        <v>2.2300386915230338E-2</v>
      </c>
      <c r="N536" s="63">
        <v>2867</v>
      </c>
      <c r="O536" s="63">
        <v>11014</v>
      </c>
      <c r="P536" s="63">
        <v>17</v>
      </c>
      <c r="Q536" s="63">
        <v>289</v>
      </c>
      <c r="R536" s="63">
        <v>22</v>
      </c>
      <c r="S536" s="63">
        <v>4</v>
      </c>
      <c r="T536" s="63"/>
      <c r="U536" s="63"/>
      <c r="V536" s="63"/>
      <c r="W536" s="63">
        <f>IF(Copyright!B$11=1,IF(CA536&gt;0,CA536-P536-SUM(X536:AQ536)-SUM(R536:V536),SUM(CB536:CM536)),SUM(CC536:CM536))</f>
        <v>0</v>
      </c>
      <c r="X536" s="63"/>
      <c r="Y536" s="63">
        <v>1</v>
      </c>
      <c r="Z536" s="63"/>
      <c r="AA536" s="63"/>
      <c r="AB536" s="63"/>
      <c r="AC536" s="63"/>
      <c r="AD536" s="63"/>
      <c r="AE536" s="63">
        <v>1</v>
      </c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W536" s="5">
        <f>IF(Q536&gt;0,RANK(Q536,(N536:P536,Q536:AE536)),0)</f>
        <v>3</v>
      </c>
      <c r="AX536" s="5">
        <f>IF(R536&gt;0,RANK(R536,(N536:P536,Q536:AE536)),0)</f>
        <v>4</v>
      </c>
      <c r="AY536" s="5">
        <f>IF(T536&gt;0,RANK(T536,(N536:P536,Q536:AE536)),0)</f>
        <v>0</v>
      </c>
      <c r="AZ536" s="5">
        <f>IF(S536&gt;0,RANK(S536,(N536:P536,Q536:AE536)),0)</f>
        <v>6</v>
      </c>
      <c r="BA536" s="2">
        <f t="shared" si="223"/>
        <v>2.0330636651424552E-2</v>
      </c>
      <c r="BB536" s="2">
        <f t="shared" si="224"/>
        <v>1.5476609215617305E-3</v>
      </c>
      <c r="BC536" s="2">
        <f t="shared" si="225"/>
        <v>0</v>
      </c>
      <c r="BD536" s="2">
        <f t="shared" si="226"/>
        <v>2.8139289482940555E-4</v>
      </c>
      <c r="BF536" t="s">
        <v>879</v>
      </c>
      <c r="BG536" t="s">
        <v>1156</v>
      </c>
      <c r="BH536">
        <v>14</v>
      </c>
      <c r="BJ536" s="114">
        <v>13</v>
      </c>
      <c r="BK536" s="116">
        <v>233</v>
      </c>
      <c r="BL536" s="120">
        <f t="shared" si="215"/>
        <v>13233</v>
      </c>
      <c r="BN536" s="5" t="s">
        <v>3154</v>
      </c>
      <c r="BR536" s="63"/>
      <c r="BY536" s="63">
        <f t="shared" si="214"/>
        <v>-14215</v>
      </c>
      <c r="CC536" s="1"/>
      <c r="CD536" s="1"/>
      <c r="CE536" s="1"/>
      <c r="CF536" s="1"/>
    </row>
    <row r="537" spans="1:91" hidden="1" outlineLevel="1">
      <c r="A537" t="s">
        <v>2087</v>
      </c>
      <c r="B537" t="s">
        <v>1156</v>
      </c>
      <c r="C537" s="1">
        <f t="shared" si="216"/>
        <v>3605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4</v>
      </c>
      <c r="G537" s="132">
        <f t="shared" si="217"/>
        <v>1333</v>
      </c>
      <c r="H537" s="137">
        <f t="shared" si="218"/>
        <v>0.36976421636615814</v>
      </c>
      <c r="I537" s="2"/>
      <c r="J537" s="2">
        <f t="shared" si="219"/>
        <v>0.30624133148404992</v>
      </c>
      <c r="K537" s="2">
        <f t="shared" si="220"/>
        <v>0.67600554785020806</v>
      </c>
      <c r="L537" s="2">
        <f t="shared" si="221"/>
        <v>1.3869625520110957E-3</v>
      </c>
      <c r="M537" s="2">
        <f t="shared" si="222"/>
        <v>1.6366158113730878E-2</v>
      </c>
      <c r="N537" s="63">
        <v>1104</v>
      </c>
      <c r="O537" s="63">
        <v>2437</v>
      </c>
      <c r="P537" s="63">
        <v>5</v>
      </c>
      <c r="Q537" s="63">
        <v>58</v>
      </c>
      <c r="R537" s="63"/>
      <c r="S537" s="63"/>
      <c r="T537" s="63"/>
      <c r="U537" s="63"/>
      <c r="V537" s="63"/>
      <c r="W537" s="63">
        <f>IF(Copyright!B$11=1,IF(CA537&gt;0,CA537-P537-SUM(X537:AQ537)-SUM(R537:V537),SUM(CB537:CM537)),SUM(CC537:CM537))</f>
        <v>1</v>
      </c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W537" s="5">
        <f>IF(Q537&gt;0,RANK(Q537,(N537:P537,Q537:AE537)),0)</f>
        <v>3</v>
      </c>
      <c r="AX537" s="5">
        <f>IF(R537&gt;0,RANK(R537,(N537:P537,Q537:AE537)),0)</f>
        <v>0</v>
      </c>
      <c r="AY537" s="5">
        <f>IF(T537&gt;0,RANK(T537,(N537:P537,Q537:AE537)),0)</f>
        <v>0</v>
      </c>
      <c r="AZ537" s="5">
        <f>IF(S537&gt;0,RANK(S537,(N537:P537,Q537:AE537)),0)</f>
        <v>0</v>
      </c>
      <c r="BA537" s="2">
        <f t="shared" si="223"/>
        <v>1.6088765603328711E-2</v>
      </c>
      <c r="BB537" s="2">
        <f t="shared" si="224"/>
        <v>0</v>
      </c>
      <c r="BC537" s="2">
        <f t="shared" si="225"/>
        <v>0</v>
      </c>
      <c r="BD537" s="2">
        <f t="shared" si="226"/>
        <v>0</v>
      </c>
      <c r="BF537" t="s">
        <v>2087</v>
      </c>
      <c r="BG537" t="s">
        <v>1156</v>
      </c>
      <c r="BH537">
        <v>8</v>
      </c>
      <c r="BJ537" s="114">
        <v>13</v>
      </c>
      <c r="BK537" s="116">
        <v>235</v>
      </c>
      <c r="BL537" s="120">
        <f t="shared" si="215"/>
        <v>13235</v>
      </c>
      <c r="BN537" s="5" t="s">
        <v>3154</v>
      </c>
      <c r="BR537" s="63"/>
      <c r="BY537" s="63">
        <f t="shared" si="214"/>
        <v>-3605</v>
      </c>
      <c r="CC537" s="1"/>
      <c r="CD537" s="1"/>
      <c r="CE537" s="1"/>
      <c r="CF537" s="1"/>
      <c r="CK537" s="8">
        <v>1</v>
      </c>
    </row>
    <row r="538" spans="1:91" hidden="1" outlineLevel="1">
      <c r="A538" t="s">
        <v>955</v>
      </c>
      <c r="B538" t="s">
        <v>1156</v>
      </c>
      <c r="C538" s="1">
        <f t="shared" si="216"/>
        <v>9488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>IF(P538&gt;0,RANK(P538,(N538:P538,Q538:AE538)),0)</f>
        <v>4</v>
      </c>
      <c r="G538" s="132">
        <f t="shared" si="217"/>
        <v>3786</v>
      </c>
      <c r="H538" s="137">
        <f t="shared" si="218"/>
        <v>0.39903035413153459</v>
      </c>
      <c r="I538" s="2"/>
      <c r="J538" s="2">
        <f t="shared" si="219"/>
        <v>0.2906829679595278</v>
      </c>
      <c r="K538" s="2">
        <f t="shared" si="220"/>
        <v>0.6897133220910624</v>
      </c>
      <c r="L538" s="2">
        <f t="shared" si="221"/>
        <v>9.4856661045531192E-4</v>
      </c>
      <c r="M538" s="2">
        <f t="shared" si="222"/>
        <v>1.8655143338954541E-2</v>
      </c>
      <c r="N538" s="63">
        <v>2758</v>
      </c>
      <c r="O538" s="63">
        <v>6544</v>
      </c>
      <c r="P538" s="63">
        <v>9</v>
      </c>
      <c r="Q538" s="63">
        <v>170</v>
      </c>
      <c r="R538" s="63">
        <v>4</v>
      </c>
      <c r="S538" s="63">
        <v>3</v>
      </c>
      <c r="T538" s="63"/>
      <c r="U538" s="63"/>
      <c r="V538" s="63"/>
      <c r="W538" s="63">
        <f>IF(Copyright!B$11=1,IF(CA538&gt;0,CA538-P538-SUM(X538:AQ538)-SUM(R538:V538),SUM(CB538:CM538)),SUM(CC538:CM538))</f>
        <v>0</v>
      </c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W538" s="5">
        <f>IF(Q538&gt;0,RANK(Q538,(N538:P538,Q538:AE538)),0)</f>
        <v>3</v>
      </c>
      <c r="AX538" s="5">
        <f>IF(R538&gt;0,RANK(R538,(N538:P538,Q538:AE538)),0)</f>
        <v>5</v>
      </c>
      <c r="AY538" s="5">
        <f>IF(T538&gt;0,RANK(T538,(N538:P538,Q538:AE538)),0)</f>
        <v>0</v>
      </c>
      <c r="AZ538" s="5">
        <f>IF(S538&gt;0,RANK(S538,(N538:P538,Q538:AE538)),0)</f>
        <v>6</v>
      </c>
      <c r="BA538" s="2">
        <f t="shared" si="223"/>
        <v>1.7917369308600339E-2</v>
      </c>
      <c r="BB538" s="2">
        <f t="shared" si="224"/>
        <v>4.2158516020236085E-4</v>
      </c>
      <c r="BC538" s="2">
        <f t="shared" si="225"/>
        <v>0</v>
      </c>
      <c r="BD538" s="2">
        <f t="shared" si="226"/>
        <v>3.1618887015177064E-4</v>
      </c>
      <c r="BF538" t="s">
        <v>955</v>
      </c>
      <c r="BG538" t="s">
        <v>1156</v>
      </c>
      <c r="BH538">
        <v>10</v>
      </c>
      <c r="BJ538" s="114">
        <v>13</v>
      </c>
      <c r="BK538" s="116">
        <v>237</v>
      </c>
      <c r="BL538" s="120">
        <f t="shared" si="215"/>
        <v>13237</v>
      </c>
      <c r="BN538" s="5" t="s">
        <v>3154</v>
      </c>
      <c r="BR538" s="63"/>
      <c r="BY538" s="63">
        <f t="shared" si="214"/>
        <v>-9488</v>
      </c>
      <c r="CC538" s="1"/>
      <c r="CD538" s="1"/>
      <c r="CE538" s="1"/>
      <c r="CF538" s="1"/>
    </row>
    <row r="539" spans="1:91" hidden="1" outlineLevel="1">
      <c r="A539" t="s">
        <v>131</v>
      </c>
      <c r="B539" t="s">
        <v>1156</v>
      </c>
      <c r="C539" s="1">
        <f t="shared" si="216"/>
        <v>1044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32">
        <f t="shared" si="217"/>
        <v>114</v>
      </c>
      <c r="H539" s="137">
        <f t="shared" si="218"/>
        <v>0.10919540229885058</v>
      </c>
      <c r="I539" s="2"/>
      <c r="J539" s="2">
        <f t="shared" si="219"/>
        <v>0.44157088122605365</v>
      </c>
      <c r="K539" s="2">
        <f t="shared" si="220"/>
        <v>0.5507662835249042</v>
      </c>
      <c r="L539" s="2">
        <f t="shared" si="221"/>
        <v>0</v>
      </c>
      <c r="M539" s="2">
        <f t="shared" si="222"/>
        <v>7.6628352490420992E-3</v>
      </c>
      <c r="N539" s="63">
        <v>461</v>
      </c>
      <c r="O539" s="63">
        <v>575</v>
      </c>
      <c r="P539" s="63"/>
      <c r="Q539" s="63">
        <v>8</v>
      </c>
      <c r="R539" s="63"/>
      <c r="S539" s="63"/>
      <c r="T539" s="63"/>
      <c r="U539" s="63"/>
      <c r="V539" s="63"/>
      <c r="W539" s="63">
        <f>IF(Copyright!B$11=1,IF(CA539&gt;0,CA539-P539-SUM(X539:AQ539)-SUM(R539:V539),SUM(CB539:CM539)),SUM(CC539:CM539))</f>
        <v>0</v>
      </c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W539" s="5">
        <f>IF(Q539&gt;0,RANK(Q539,(N539:P539,Q539:AE539)),0)</f>
        <v>3</v>
      </c>
      <c r="AX539" s="5">
        <f>IF(R539&gt;0,RANK(R539,(N539:P539,Q539:AE539)),0)</f>
        <v>0</v>
      </c>
      <c r="AY539" s="5">
        <f>IF(T539&gt;0,RANK(T539,(N539:P539,Q539:AE539)),0)</f>
        <v>0</v>
      </c>
      <c r="AZ539" s="5">
        <f>IF(S539&gt;0,RANK(S539,(N539:P539,Q539:AE539)),0)</f>
        <v>0</v>
      </c>
      <c r="BA539" s="2">
        <f t="shared" si="223"/>
        <v>7.6628352490421452E-3</v>
      </c>
      <c r="BB539" s="2">
        <f t="shared" si="224"/>
        <v>0</v>
      </c>
      <c r="BC539" s="2">
        <f t="shared" si="225"/>
        <v>0</v>
      </c>
      <c r="BD539" s="2">
        <f t="shared" si="226"/>
        <v>0</v>
      </c>
      <c r="BF539" t="s">
        <v>131</v>
      </c>
      <c r="BG539" t="s">
        <v>1156</v>
      </c>
      <c r="BH539">
        <v>2</v>
      </c>
      <c r="BJ539" s="114">
        <v>13</v>
      </c>
      <c r="BK539" s="116">
        <v>239</v>
      </c>
      <c r="BL539" s="120">
        <f t="shared" si="215"/>
        <v>13239</v>
      </c>
      <c r="BN539" s="5" t="s">
        <v>3154</v>
      </c>
      <c r="BR539" s="63"/>
      <c r="BY539" s="63">
        <f t="shared" si="214"/>
        <v>-1044</v>
      </c>
      <c r="CC539" s="1"/>
      <c r="CD539" s="1"/>
      <c r="CE539" s="1"/>
      <c r="CF539" s="1"/>
    </row>
    <row r="540" spans="1:91" hidden="1" outlineLevel="1">
      <c r="A540" t="s">
        <v>3072</v>
      </c>
      <c r="B540" t="s">
        <v>1156</v>
      </c>
      <c r="C540" s="1">
        <f t="shared" si="216"/>
        <v>7992</v>
      </c>
      <c r="D540" s="5">
        <f>IF(N540&gt;0, RANK(N540,(N540:P540,Q540:AE540)),0)</f>
        <v>2</v>
      </c>
      <c r="E540" s="5">
        <f>IF(O540&gt;0,RANK(O540,(N540:P540,Q540:AE540)),0)</f>
        <v>1</v>
      </c>
      <c r="F540" s="5">
        <f>IF(P540&gt;0,RANK(P540,(N540:P540,Q540:AE540)),0)</f>
        <v>4</v>
      </c>
      <c r="G540" s="132">
        <f t="shared" si="217"/>
        <v>4843</v>
      </c>
      <c r="H540" s="137">
        <f t="shared" si="218"/>
        <v>0.60598098098098097</v>
      </c>
      <c r="I540" s="2"/>
      <c r="J540" s="2">
        <f t="shared" si="219"/>
        <v>0.18068068068068069</v>
      </c>
      <c r="K540" s="2">
        <f t="shared" si="220"/>
        <v>0.78666166166166163</v>
      </c>
      <c r="L540" s="2">
        <f t="shared" si="221"/>
        <v>3.003003003003003E-3</v>
      </c>
      <c r="M540" s="2">
        <f t="shared" si="222"/>
        <v>2.9654654654654708E-2</v>
      </c>
      <c r="N540" s="63">
        <v>1444</v>
      </c>
      <c r="O540" s="63">
        <v>6287</v>
      </c>
      <c r="P540" s="63">
        <v>24</v>
      </c>
      <c r="Q540" s="63">
        <v>219</v>
      </c>
      <c r="R540" s="63">
        <v>10</v>
      </c>
      <c r="S540" s="63">
        <v>8</v>
      </c>
      <c r="T540" s="63"/>
      <c r="U540" s="63"/>
      <c r="V540" s="63"/>
      <c r="W540" s="63">
        <f>IF(Copyright!B$11=1,IF(CA540&gt;0,CA540-P540-SUM(X540:AQ540)-SUM(R540:V540),SUM(CB540:CM540)),SUM(CC540:CM540))</f>
        <v>0</v>
      </c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W540" s="5">
        <f>IF(Q540&gt;0,RANK(Q540,(N540:P540,Q540:AE540)),0)</f>
        <v>3</v>
      </c>
      <c r="AX540" s="5">
        <f>IF(R540&gt;0,RANK(R540,(N540:P540,Q540:AE540)),0)</f>
        <v>5</v>
      </c>
      <c r="AY540" s="5">
        <f>IF(T540&gt;0,RANK(T540,(N540:P540,Q540:AE540)),0)</f>
        <v>0</v>
      </c>
      <c r="AZ540" s="5">
        <f>IF(S540&gt;0,RANK(S540,(N540:P540,Q540:AE540)),0)</f>
        <v>6</v>
      </c>
      <c r="BA540" s="2">
        <f t="shared" si="223"/>
        <v>2.7402402402402402E-2</v>
      </c>
      <c r="BB540" s="2">
        <f t="shared" si="224"/>
        <v>1.2512512512512512E-3</v>
      </c>
      <c r="BC540" s="2">
        <f t="shared" si="225"/>
        <v>0</v>
      </c>
      <c r="BD540" s="2">
        <f t="shared" si="226"/>
        <v>1.001001001001001E-3</v>
      </c>
      <c r="BF540" t="s">
        <v>3072</v>
      </c>
      <c r="BG540" t="s">
        <v>1156</v>
      </c>
      <c r="BH540">
        <v>9</v>
      </c>
      <c r="BJ540" s="114">
        <v>13</v>
      </c>
      <c r="BK540" s="116">
        <v>241</v>
      </c>
      <c r="BL540" s="120">
        <f t="shared" si="215"/>
        <v>13241</v>
      </c>
      <c r="BN540" s="5" t="s">
        <v>3154</v>
      </c>
      <c r="BR540" s="63"/>
      <c r="BY540" s="63">
        <f t="shared" si="214"/>
        <v>-7992</v>
      </c>
      <c r="CC540" s="1"/>
      <c r="CD540" s="1"/>
      <c r="CE540" s="1"/>
      <c r="CF540" s="1"/>
    </row>
    <row r="541" spans="1:91" hidden="1" outlineLevel="1">
      <c r="A541" t="s">
        <v>1460</v>
      </c>
      <c r="B541" t="s">
        <v>1156</v>
      </c>
      <c r="C541" s="1">
        <f t="shared" si="216"/>
        <v>2899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4</v>
      </c>
      <c r="G541" s="132">
        <f t="shared" si="217"/>
        <v>327</v>
      </c>
      <c r="H541" s="137">
        <f t="shared" si="218"/>
        <v>0.11279751638496033</v>
      </c>
      <c r="I541" s="2"/>
      <c r="J541" s="2">
        <f t="shared" si="219"/>
        <v>0.55122456019317001</v>
      </c>
      <c r="K541" s="2">
        <f t="shared" si="220"/>
        <v>0.43842704380820974</v>
      </c>
      <c r="L541" s="2">
        <f t="shared" si="221"/>
        <v>6.898930665746809E-4</v>
      </c>
      <c r="M541" s="2">
        <f t="shared" si="222"/>
        <v>9.658502932045572E-3</v>
      </c>
      <c r="N541" s="63">
        <v>1598</v>
      </c>
      <c r="O541" s="63">
        <v>1271</v>
      </c>
      <c r="P541" s="63">
        <v>2</v>
      </c>
      <c r="Q541" s="63">
        <v>28</v>
      </c>
      <c r="R541" s="63"/>
      <c r="S541" s="63"/>
      <c r="T541" s="63"/>
      <c r="U541" s="63"/>
      <c r="V541" s="63"/>
      <c r="W541" s="63">
        <f>IF(Copyright!B$11=1,IF(CA541&gt;0,CA541-P541-SUM(X541:AQ541)-SUM(R541:V541),SUM(CB541:CM541)),SUM(CC541:CM541))</f>
        <v>0</v>
      </c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W541" s="5">
        <f>IF(Q541&gt;0,RANK(Q541,(N541:P541,Q541:AE541)),0)</f>
        <v>3</v>
      </c>
      <c r="AX541" s="5">
        <f>IF(R541&gt;0,RANK(R541,(N541:P541,Q541:AE541)),0)</f>
        <v>0</v>
      </c>
      <c r="AY541" s="5">
        <f>IF(T541&gt;0,RANK(T541,(N541:P541,Q541:AE541)),0)</f>
        <v>0</v>
      </c>
      <c r="AZ541" s="5">
        <f>IF(S541&gt;0,RANK(S541,(N541:P541,Q541:AE541)),0)</f>
        <v>0</v>
      </c>
      <c r="BA541" s="2">
        <f t="shared" si="223"/>
        <v>9.6585029320455321E-3</v>
      </c>
      <c r="BB541" s="2">
        <f t="shared" si="224"/>
        <v>0</v>
      </c>
      <c r="BC541" s="2">
        <f t="shared" si="225"/>
        <v>0</v>
      </c>
      <c r="BD541" s="2">
        <f t="shared" si="226"/>
        <v>0</v>
      </c>
      <c r="BF541" t="s">
        <v>1460</v>
      </c>
      <c r="BG541" t="s">
        <v>1156</v>
      </c>
      <c r="BH541">
        <v>2</v>
      </c>
      <c r="BJ541" s="114">
        <v>13</v>
      </c>
      <c r="BK541" s="116">
        <v>243</v>
      </c>
      <c r="BL541" s="120">
        <f t="shared" si="215"/>
        <v>13243</v>
      </c>
      <c r="BN541" s="5" t="s">
        <v>3154</v>
      </c>
      <c r="BR541" s="63"/>
      <c r="BY541" s="63">
        <f t="shared" si="214"/>
        <v>-2899</v>
      </c>
      <c r="CC541" s="1"/>
      <c r="CD541" s="1"/>
      <c r="CE541" s="1"/>
      <c r="CF541" s="1"/>
    </row>
    <row r="542" spans="1:91" hidden="1" outlineLevel="1">
      <c r="A542" t="s">
        <v>1881</v>
      </c>
      <c r="B542" t="s">
        <v>1156</v>
      </c>
      <c r="C542" s="1">
        <f t="shared" si="216"/>
        <v>76025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5</v>
      </c>
      <c r="G542" s="132">
        <f t="shared" si="217"/>
        <v>24353</v>
      </c>
      <c r="H542" s="137">
        <f t="shared" si="218"/>
        <v>0.32032883919763233</v>
      </c>
      <c r="I542" s="2"/>
      <c r="J542" s="2">
        <f t="shared" si="219"/>
        <v>0.64207826372903654</v>
      </c>
      <c r="K542" s="2">
        <f t="shared" si="220"/>
        <v>0.32174942453140415</v>
      </c>
      <c r="L542" s="2">
        <f t="shared" si="221"/>
        <v>3.0647813219335743E-3</v>
      </c>
      <c r="M542" s="2">
        <f t="shared" si="222"/>
        <v>3.3107530417625743E-2</v>
      </c>
      <c r="N542" s="63">
        <v>48814</v>
      </c>
      <c r="O542" s="63">
        <v>24461</v>
      </c>
      <c r="P542" s="63">
        <v>233</v>
      </c>
      <c r="Q542" s="63">
        <v>1811</v>
      </c>
      <c r="R542" s="63">
        <v>152</v>
      </c>
      <c r="S542" s="63">
        <v>35</v>
      </c>
      <c r="T542" s="63"/>
      <c r="U542" s="63"/>
      <c r="V542" s="63"/>
      <c r="W542" s="63">
        <f>IF(Copyright!B$11=1,IF(CA542&gt;0,CA542-P542-SUM(X542:AQ542)-SUM(R542:V542),SUM(CB542:CM542)),SUM(CC542:CM542))</f>
        <v>513</v>
      </c>
      <c r="X542" s="63"/>
      <c r="Y542" s="63">
        <v>1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>
        <v>4</v>
      </c>
      <c r="AO542" s="63"/>
      <c r="AP542" s="63"/>
      <c r="AQ542" s="63">
        <v>1</v>
      </c>
      <c r="AR542" s="63"/>
      <c r="AS542" s="63"/>
      <c r="AT542" s="63"/>
      <c r="AU542" s="63"/>
      <c r="AW542" s="5">
        <f>IF(Q542&gt;0,RANK(Q542,(N542:P542,Q542:AE542)),0)</f>
        <v>3</v>
      </c>
      <c r="AX542" s="5">
        <f>IF(R542&gt;0,RANK(R542,(N542:P542,Q542:AE542)),0)</f>
        <v>6</v>
      </c>
      <c r="AY542" s="5">
        <f>IF(T542&gt;0,RANK(T542,(N542:P542,Q542:AE542)),0)</f>
        <v>0</v>
      </c>
      <c r="AZ542" s="5">
        <f>IF(S542&gt;0,RANK(S542,(N542:P542,Q542:AE542)),0)</f>
        <v>7</v>
      </c>
      <c r="BA542" s="2">
        <f t="shared" si="223"/>
        <v>2.3821111476487997E-2</v>
      </c>
      <c r="BB542" s="2">
        <f t="shared" si="224"/>
        <v>1.9993423216047353E-3</v>
      </c>
      <c r="BC542" s="2">
        <f t="shared" si="225"/>
        <v>0</v>
      </c>
      <c r="BD542" s="2">
        <f t="shared" si="226"/>
        <v>4.603748766853009E-4</v>
      </c>
      <c r="BF542" t="s">
        <v>1881</v>
      </c>
      <c r="BG542" t="s">
        <v>1156</v>
      </c>
      <c r="BH542">
        <v>12</v>
      </c>
      <c r="BJ542" s="114">
        <v>13</v>
      </c>
      <c r="BK542" s="116">
        <v>245</v>
      </c>
      <c r="BL542" s="120">
        <f t="shared" si="215"/>
        <v>13245</v>
      </c>
      <c r="BN542" s="5" t="s">
        <v>3154</v>
      </c>
      <c r="BR542" s="63"/>
      <c r="BY542" s="63">
        <f t="shared" si="214"/>
        <v>0</v>
      </c>
      <c r="BZ542" s="63">
        <f>939+1811+48814+24461</f>
        <v>76025</v>
      </c>
      <c r="CA542" s="63">
        <v>939</v>
      </c>
      <c r="CC542" s="1"/>
      <c r="CD542" s="1"/>
      <c r="CE542" s="1"/>
      <c r="CF542" s="1"/>
      <c r="CI542" s="8">
        <v>3</v>
      </c>
    </row>
    <row r="543" spans="1:91" hidden="1" outlineLevel="1">
      <c r="A543" t="s">
        <v>2824</v>
      </c>
      <c r="B543" t="s">
        <v>1156</v>
      </c>
      <c r="C543" s="1">
        <f t="shared" si="216"/>
        <v>38087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>IF(P543&gt;0,RANK(P543,(N543:P543,Q543:AE543)),0)</f>
        <v>6</v>
      </c>
      <c r="G543" s="132">
        <f t="shared" si="217"/>
        <v>9777</v>
      </c>
      <c r="H543" s="137">
        <f t="shared" si="218"/>
        <v>0.25670176175597975</v>
      </c>
      <c r="I543" s="2"/>
      <c r="J543" s="2">
        <f t="shared" si="219"/>
        <v>0.61057578701394177</v>
      </c>
      <c r="K543" s="2">
        <f t="shared" si="220"/>
        <v>0.35387402525796202</v>
      </c>
      <c r="L543" s="2">
        <f t="shared" si="221"/>
        <v>2.1792212565967389E-3</v>
      </c>
      <c r="M543" s="2">
        <f t="shared" si="222"/>
        <v>3.3370966471499466E-2</v>
      </c>
      <c r="N543" s="63">
        <v>23255</v>
      </c>
      <c r="O543" s="63">
        <v>13478</v>
      </c>
      <c r="P543" s="63">
        <v>83</v>
      </c>
      <c r="Q543" s="63">
        <v>923</v>
      </c>
      <c r="R543" s="63">
        <v>112</v>
      </c>
      <c r="S543" s="63">
        <v>8</v>
      </c>
      <c r="T543" s="63"/>
      <c r="U543" s="63"/>
      <c r="V543" s="63"/>
      <c r="W543" s="63">
        <f>IF(Copyright!B$11=1,IF(CA543&gt;0,CA543-P543-SUM(X543:AQ543)-SUM(R543:V543),SUM(CB543:CM543)),SUM(CC543:CM543))</f>
        <v>224</v>
      </c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>
        <v>1</v>
      </c>
      <c r="AO543" s="63"/>
      <c r="AP543" s="63"/>
      <c r="AQ543" s="63">
        <v>3</v>
      </c>
      <c r="AR543" s="63"/>
      <c r="AS543" s="63"/>
      <c r="AT543" s="63"/>
      <c r="AU543" s="63"/>
      <c r="AW543" s="5">
        <f>IF(Q543&gt;0,RANK(Q543,(N543:P543,Q543:AE543)),0)</f>
        <v>3</v>
      </c>
      <c r="AX543" s="5">
        <f>IF(R543&gt;0,RANK(R543,(N543:P543,Q543:AE543)),0)</f>
        <v>5</v>
      </c>
      <c r="AY543" s="5">
        <f>IF(T543&gt;0,RANK(T543,(N543:P543,Q543:AE543)),0)</f>
        <v>0</v>
      </c>
      <c r="AZ543" s="5">
        <f>IF(S543&gt;0,RANK(S543,(N543:P543,Q543:AE543)),0)</f>
        <v>7</v>
      </c>
      <c r="BA543" s="2">
        <f t="shared" si="223"/>
        <v>2.423399060046735E-2</v>
      </c>
      <c r="BB543" s="2">
        <f t="shared" si="224"/>
        <v>2.9406359125160814E-3</v>
      </c>
      <c r="BC543" s="2">
        <f t="shared" si="225"/>
        <v>0</v>
      </c>
      <c r="BD543" s="2">
        <f t="shared" si="226"/>
        <v>2.1004542232257726E-4</v>
      </c>
      <c r="BF543" t="s">
        <v>2824</v>
      </c>
      <c r="BG543" t="s">
        <v>1156</v>
      </c>
      <c r="BH543">
        <v>4</v>
      </c>
      <c r="BJ543" s="114">
        <v>13</v>
      </c>
      <c r="BK543" s="116">
        <v>247</v>
      </c>
      <c r="BL543" s="120">
        <f t="shared" si="215"/>
        <v>13247</v>
      </c>
      <c r="BN543" s="5" t="s">
        <v>3154</v>
      </c>
      <c r="BR543" s="63"/>
      <c r="BY543" s="63">
        <f t="shared" si="214"/>
        <v>0</v>
      </c>
      <c r="BZ543" s="63">
        <v>38087</v>
      </c>
      <c r="CA543" s="63">
        <v>431</v>
      </c>
      <c r="CC543" s="1"/>
      <c r="CD543" s="1"/>
      <c r="CE543" s="1">
        <v>2</v>
      </c>
      <c r="CF543" s="1"/>
      <c r="CK543" s="8">
        <v>4</v>
      </c>
    </row>
    <row r="544" spans="1:91" hidden="1" outlineLevel="1">
      <c r="A544" t="s">
        <v>437</v>
      </c>
      <c r="B544" t="s">
        <v>1156</v>
      </c>
      <c r="C544" s="1">
        <f t="shared" si="216"/>
        <v>1909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32">
        <f t="shared" si="217"/>
        <v>1071</v>
      </c>
      <c r="H544" s="137">
        <f t="shared" si="218"/>
        <v>0.56102671555788375</v>
      </c>
      <c r="I544" s="2"/>
      <c r="J544" s="2">
        <f t="shared" si="219"/>
        <v>0.21005762179151388</v>
      </c>
      <c r="K544" s="2">
        <f t="shared" si="220"/>
        <v>0.77108433734939763</v>
      </c>
      <c r="L544" s="2">
        <f t="shared" si="221"/>
        <v>0</v>
      </c>
      <c r="M544" s="2">
        <f t="shared" si="222"/>
        <v>1.8858040859088487E-2</v>
      </c>
      <c r="N544" s="63">
        <v>401</v>
      </c>
      <c r="O544" s="63">
        <v>1472</v>
      </c>
      <c r="P544" s="63"/>
      <c r="Q544" s="63">
        <v>36</v>
      </c>
      <c r="R544" s="63"/>
      <c r="S544" s="63"/>
      <c r="T544" s="63"/>
      <c r="U544" s="63"/>
      <c r="V544" s="63"/>
      <c r="W544" s="63">
        <f>IF(Copyright!B$11=1,IF(CA544&gt;0,CA544-P544-SUM(X544:AQ544)-SUM(R544:V544),SUM(CB544:CM544)),SUM(CC544:CM544))</f>
        <v>0</v>
      </c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W544" s="5">
        <f>IF(Q544&gt;0,RANK(Q544,(N544:P544,Q544:AE544)),0)</f>
        <v>3</v>
      </c>
      <c r="AX544" s="5">
        <f>IF(R544&gt;0,RANK(R544,(N544:P544,Q544:AE544)),0)</f>
        <v>0</v>
      </c>
      <c r="AY544" s="5">
        <f>IF(T544&gt;0,RANK(T544,(N544:P544,Q544:AE544)),0)</f>
        <v>0</v>
      </c>
      <c r="AZ544" s="5">
        <f>IF(S544&gt;0,RANK(S544,(N544:P544,Q544:AE544)),0)</f>
        <v>0</v>
      </c>
      <c r="BA544" s="2">
        <f t="shared" si="223"/>
        <v>1.8858040859088529E-2</v>
      </c>
      <c r="BB544" s="2">
        <f t="shared" si="224"/>
        <v>0</v>
      </c>
      <c r="BC544" s="2">
        <f t="shared" si="225"/>
        <v>0</v>
      </c>
      <c r="BD544" s="2">
        <f t="shared" si="226"/>
        <v>0</v>
      </c>
      <c r="BF544" t="s">
        <v>437</v>
      </c>
      <c r="BG544" t="s">
        <v>1156</v>
      </c>
      <c r="BH544">
        <v>2</v>
      </c>
      <c r="BJ544" s="114">
        <v>13</v>
      </c>
      <c r="BK544" s="116">
        <v>249</v>
      </c>
      <c r="BL544" s="120">
        <f t="shared" si="215"/>
        <v>13249</v>
      </c>
      <c r="BN544" s="5" t="s">
        <v>3154</v>
      </c>
      <c r="BR544" s="63"/>
      <c r="BY544" s="63">
        <f t="shared" si="214"/>
        <v>-1909</v>
      </c>
      <c r="CC544" s="1"/>
      <c r="CD544" s="1"/>
      <c r="CE544" s="1"/>
      <c r="CF544" s="1"/>
    </row>
    <row r="545" spans="1:84" hidden="1" outlineLevel="1">
      <c r="A545" t="s">
        <v>167</v>
      </c>
      <c r="B545" t="s">
        <v>1156</v>
      </c>
      <c r="C545" s="1">
        <f t="shared" si="216"/>
        <v>5715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4</v>
      </c>
      <c r="G545" s="132">
        <f t="shared" si="217"/>
        <v>1005</v>
      </c>
      <c r="H545" s="137">
        <f t="shared" si="218"/>
        <v>0.17585301837270342</v>
      </c>
      <c r="I545" s="2"/>
      <c r="J545" s="2">
        <f t="shared" si="219"/>
        <v>0.40244969378827644</v>
      </c>
      <c r="K545" s="2">
        <f t="shared" si="220"/>
        <v>0.57830271216097984</v>
      </c>
      <c r="L545" s="2">
        <f t="shared" si="221"/>
        <v>1.5748031496062992E-3</v>
      </c>
      <c r="M545" s="2">
        <f t="shared" si="222"/>
        <v>1.7672790901137422E-2</v>
      </c>
      <c r="N545" s="63">
        <v>2300</v>
      </c>
      <c r="O545" s="63">
        <v>3305</v>
      </c>
      <c r="P545" s="63">
        <v>9</v>
      </c>
      <c r="Q545" s="63">
        <v>94</v>
      </c>
      <c r="R545" s="63">
        <v>3</v>
      </c>
      <c r="S545" s="63">
        <v>4</v>
      </c>
      <c r="T545" s="63"/>
      <c r="U545" s="63"/>
      <c r="V545" s="63"/>
      <c r="W545" s="63">
        <f>IF(Copyright!B$11=1,IF(CA545&gt;0,CA545-P545-SUM(X545:AQ545)-SUM(R545:V545),SUM(CB545:CM545)),SUM(CC545:CM545))</f>
        <v>0</v>
      </c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W545" s="5">
        <f>IF(Q545&gt;0,RANK(Q545,(N545:P545,Q545:AE545)),0)</f>
        <v>3</v>
      </c>
      <c r="AX545" s="5">
        <f>IF(R545&gt;0,RANK(R545,(N545:P545,Q545:AE545)),0)</f>
        <v>6</v>
      </c>
      <c r="AY545" s="5">
        <f>IF(T545&gt;0,RANK(T545,(N545:P545,Q545:AE545)),0)</f>
        <v>0</v>
      </c>
      <c r="AZ545" s="5">
        <f>IF(S545&gt;0,RANK(S545,(N545:P545,Q545:AE545)),0)</f>
        <v>5</v>
      </c>
      <c r="BA545" s="2">
        <f t="shared" si="223"/>
        <v>1.6447944006999126E-2</v>
      </c>
      <c r="BB545" s="2">
        <f t="shared" si="224"/>
        <v>5.2493438320209973E-4</v>
      </c>
      <c r="BC545" s="2">
        <f t="shared" si="225"/>
        <v>0</v>
      </c>
      <c r="BD545" s="2">
        <f t="shared" si="226"/>
        <v>6.9991251093613294E-4</v>
      </c>
      <c r="BF545" t="s">
        <v>167</v>
      </c>
      <c r="BG545" t="s">
        <v>1156</v>
      </c>
      <c r="BH545">
        <v>12</v>
      </c>
      <c r="BJ545" s="114">
        <v>13</v>
      </c>
      <c r="BK545" s="116">
        <v>251</v>
      </c>
      <c r="BL545" s="120">
        <f t="shared" si="215"/>
        <v>13251</v>
      </c>
      <c r="BN545" s="5" t="s">
        <v>3154</v>
      </c>
      <c r="BR545" s="63"/>
      <c r="BY545" s="63">
        <f t="shared" si="214"/>
        <v>-5715</v>
      </c>
      <c r="CC545" s="1"/>
      <c r="CD545" s="1"/>
      <c r="CE545" s="1"/>
      <c r="CF545" s="1"/>
    </row>
    <row r="546" spans="1:84" hidden="1" outlineLevel="1">
      <c r="A546" t="s">
        <v>851</v>
      </c>
      <c r="B546" t="s">
        <v>1156</v>
      </c>
      <c r="C546" s="1">
        <f t="shared" si="216"/>
        <v>3588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4</v>
      </c>
      <c r="G546" s="132">
        <f t="shared" si="217"/>
        <v>1156</v>
      </c>
      <c r="H546" s="137">
        <f t="shared" si="218"/>
        <v>0.32218506131549612</v>
      </c>
      <c r="I546" s="2"/>
      <c r="J546" s="2">
        <f t="shared" si="219"/>
        <v>0.33138238573021184</v>
      </c>
      <c r="K546" s="2">
        <f t="shared" si="220"/>
        <v>0.65356744704570791</v>
      </c>
      <c r="L546" s="2">
        <f t="shared" si="221"/>
        <v>1.3935340022296545E-3</v>
      </c>
      <c r="M546" s="2">
        <f t="shared" si="222"/>
        <v>1.3656633221850603E-2</v>
      </c>
      <c r="N546" s="63">
        <v>1189</v>
      </c>
      <c r="O546" s="63">
        <v>2345</v>
      </c>
      <c r="P546" s="63">
        <v>5</v>
      </c>
      <c r="Q546" s="63">
        <v>48</v>
      </c>
      <c r="R546" s="63">
        <v>1</v>
      </c>
      <c r="S546" s="63"/>
      <c r="T546" s="63"/>
      <c r="U546" s="63"/>
      <c r="V546" s="63"/>
      <c r="W546" s="63">
        <f>IF(Copyright!B$11=1,IF(CA546&gt;0,CA546-P546-SUM(X546:AQ546)-SUM(R546:V546),SUM(CB546:CM546)),SUM(CC546:CM546))</f>
        <v>0</v>
      </c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W546" s="5">
        <f>IF(Q546&gt;0,RANK(Q546,(N546:P546,Q546:AE546)),0)</f>
        <v>3</v>
      </c>
      <c r="AX546" s="5">
        <f>IF(R546&gt;0,RANK(R546,(N546:P546,Q546:AE546)),0)</f>
        <v>5</v>
      </c>
      <c r="AY546" s="5">
        <f>IF(T546&gt;0,RANK(T546,(N546:P546,Q546:AE546)),0)</f>
        <v>0</v>
      </c>
      <c r="AZ546" s="5">
        <f>IF(S546&gt;0,RANK(S546,(N546:P546,Q546:AE546)),0)</f>
        <v>0</v>
      </c>
      <c r="BA546" s="2">
        <f t="shared" si="223"/>
        <v>1.3377926421404682E-2</v>
      </c>
      <c r="BB546" s="2">
        <f t="shared" si="224"/>
        <v>2.7870680044593088E-4</v>
      </c>
      <c r="BC546" s="2">
        <f t="shared" si="225"/>
        <v>0</v>
      </c>
      <c r="BD546" s="2">
        <f t="shared" si="226"/>
        <v>0</v>
      </c>
      <c r="BF546" t="s">
        <v>851</v>
      </c>
      <c r="BG546" t="s">
        <v>1156</v>
      </c>
      <c r="BH546">
        <v>2</v>
      </c>
      <c r="BJ546" s="114">
        <v>13</v>
      </c>
      <c r="BK546" s="116">
        <v>253</v>
      </c>
      <c r="BL546" s="120">
        <f t="shared" si="215"/>
        <v>13253</v>
      </c>
      <c r="BN546" s="5" t="s">
        <v>3154</v>
      </c>
      <c r="BR546" s="63"/>
      <c r="BY546" s="63">
        <f t="shared" si="214"/>
        <v>-3588</v>
      </c>
      <c r="CC546" s="1"/>
      <c r="CD546" s="1"/>
      <c r="CE546" s="1"/>
      <c r="CF546" s="1"/>
    </row>
    <row r="547" spans="1:84" hidden="1" outlineLevel="1">
      <c r="A547" t="s">
        <v>87</v>
      </c>
      <c r="B547" t="s">
        <v>1156</v>
      </c>
      <c r="C547" s="1">
        <f t="shared" si="216"/>
        <v>25704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4</v>
      </c>
      <c r="G547" s="132">
        <f t="shared" si="217"/>
        <v>6289</v>
      </c>
      <c r="H547" s="137">
        <f t="shared" si="218"/>
        <v>0.24467009025832556</v>
      </c>
      <c r="I547" s="2"/>
      <c r="J547" s="2">
        <f t="shared" si="219"/>
        <v>0.36402894491129784</v>
      </c>
      <c r="K547" s="2">
        <f t="shared" si="220"/>
        <v>0.60869903516962343</v>
      </c>
      <c r="L547" s="2">
        <f t="shared" si="221"/>
        <v>2.2953625894802363E-3</v>
      </c>
      <c r="M547" s="2">
        <f t="shared" si="222"/>
        <v>2.4976657329598445E-2</v>
      </c>
      <c r="N547" s="63">
        <v>9357</v>
      </c>
      <c r="O547" s="63">
        <v>15646</v>
      </c>
      <c r="P547" s="63">
        <v>59</v>
      </c>
      <c r="Q547" s="63">
        <v>597</v>
      </c>
      <c r="R547" s="63">
        <v>29</v>
      </c>
      <c r="S547" s="63">
        <v>14</v>
      </c>
      <c r="T547" s="63"/>
      <c r="U547" s="63"/>
      <c r="V547" s="63"/>
      <c r="W547" s="63">
        <f>IF(Copyright!B$11=1,IF(CA547&gt;0,CA547-P547-SUM(X547:AQ547)-SUM(R547:V547),SUM(CB547:CM547)),SUM(CC547:CM547))</f>
        <v>0</v>
      </c>
      <c r="X547" s="63"/>
      <c r="Y547" s="63">
        <v>2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W547" s="5">
        <f>IF(Q547&gt;0,RANK(Q547,(N547:P547,Q547:AE547)),0)</f>
        <v>3</v>
      </c>
      <c r="AX547" s="5">
        <f>IF(R547&gt;0,RANK(R547,(N547:P547,Q547:AE547)),0)</f>
        <v>5</v>
      </c>
      <c r="AY547" s="5">
        <f>IF(T547&gt;0,RANK(T547,(N547:P547,Q547:AE547)),0)</f>
        <v>0</v>
      </c>
      <c r="AZ547" s="5">
        <f>IF(S547&gt;0,RANK(S547,(N547:P547,Q547:AE547)),0)</f>
        <v>6</v>
      </c>
      <c r="BA547" s="2">
        <f t="shared" si="223"/>
        <v>2.3225957049486462E-2</v>
      </c>
      <c r="BB547" s="2">
        <f t="shared" si="224"/>
        <v>1.12822906940554E-3</v>
      </c>
      <c r="BC547" s="2">
        <f t="shared" si="225"/>
        <v>0</v>
      </c>
      <c r="BD547" s="2">
        <f t="shared" si="226"/>
        <v>5.4466230936819177E-4</v>
      </c>
      <c r="BF547" t="s">
        <v>87</v>
      </c>
      <c r="BG547" t="s">
        <v>1156</v>
      </c>
      <c r="BH547">
        <v>3</v>
      </c>
      <c r="BJ547" s="114">
        <v>13</v>
      </c>
      <c r="BK547" s="116">
        <v>255</v>
      </c>
      <c r="BL547" s="120">
        <f t="shared" si="215"/>
        <v>13255</v>
      </c>
      <c r="BN547" s="5" t="s">
        <v>3154</v>
      </c>
      <c r="BR547" s="63"/>
      <c r="BY547" s="63">
        <f t="shared" si="214"/>
        <v>-25704</v>
      </c>
      <c r="CC547" s="1"/>
      <c r="CD547" s="1"/>
      <c r="CE547" s="1"/>
      <c r="CF547" s="1"/>
    </row>
    <row r="548" spans="1:84" hidden="1" outlineLevel="1">
      <c r="A548" t="s">
        <v>86</v>
      </c>
      <c r="B548" t="s">
        <v>1156</v>
      </c>
      <c r="C548" s="1">
        <f t="shared" si="216"/>
        <v>9815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>IF(P548&gt;0,RANK(P548,(N548:P548,Q548:AE548)),0)</f>
        <v>4</v>
      </c>
      <c r="G548" s="132">
        <f t="shared" si="217"/>
        <v>5849</v>
      </c>
      <c r="H548" s="137">
        <f t="shared" si="218"/>
        <v>0.59592460519612833</v>
      </c>
      <c r="I548" s="2"/>
      <c r="J548" s="2">
        <f t="shared" si="219"/>
        <v>0.18716250636780438</v>
      </c>
      <c r="K548" s="2">
        <f t="shared" si="220"/>
        <v>0.78308711156393274</v>
      </c>
      <c r="L548" s="2">
        <f t="shared" si="221"/>
        <v>2.7508914926133469E-3</v>
      </c>
      <c r="M548" s="2">
        <f t="shared" si="222"/>
        <v>2.6999490575649512E-2</v>
      </c>
      <c r="N548" s="63">
        <v>1837</v>
      </c>
      <c r="O548" s="63">
        <v>7686</v>
      </c>
      <c r="P548" s="63">
        <v>27</v>
      </c>
      <c r="Q548" s="63">
        <v>243</v>
      </c>
      <c r="R548" s="63">
        <v>16</v>
      </c>
      <c r="S548" s="63">
        <v>5</v>
      </c>
      <c r="T548" s="63"/>
      <c r="U548" s="63"/>
      <c r="V548" s="63"/>
      <c r="W548" s="63">
        <f>IF(Copyright!B$11=1,IF(CA548&gt;0,CA548-P548-SUM(X548:AQ548)-SUM(R548:V548),SUM(CB548:CM548)),SUM(CC548:CM548))</f>
        <v>0</v>
      </c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>
        <v>1</v>
      </c>
      <c r="AO548" s="63"/>
      <c r="AP548" s="63"/>
      <c r="AQ548" s="63"/>
      <c r="AR548" s="63"/>
      <c r="AS548" s="63"/>
      <c r="AT548" s="63"/>
      <c r="AU548" s="63"/>
      <c r="AW548" s="5">
        <f>IF(Q548&gt;0,RANK(Q548,(N548:P548,Q548:AE548)),0)</f>
        <v>3</v>
      </c>
      <c r="AX548" s="5">
        <f>IF(R548&gt;0,RANK(R548,(N548:P548,Q548:AE548)),0)</f>
        <v>5</v>
      </c>
      <c r="AY548" s="5">
        <f>IF(T548&gt;0,RANK(T548,(N548:P548,Q548:AE548)),0)</f>
        <v>0</v>
      </c>
      <c r="AZ548" s="5">
        <f>IF(S548&gt;0,RANK(S548,(N548:P548,Q548:AE548)),0)</f>
        <v>6</v>
      </c>
      <c r="BA548" s="2">
        <f t="shared" si="223"/>
        <v>2.4758023433520123E-2</v>
      </c>
      <c r="BB548" s="2">
        <f t="shared" si="224"/>
        <v>1.63015792154865E-3</v>
      </c>
      <c r="BC548" s="2">
        <f t="shared" si="225"/>
        <v>0</v>
      </c>
      <c r="BD548" s="2">
        <f t="shared" si="226"/>
        <v>5.0942435048395313E-4</v>
      </c>
      <c r="BF548" t="s">
        <v>86</v>
      </c>
      <c r="BG548" t="s">
        <v>1156</v>
      </c>
      <c r="BH548">
        <v>9</v>
      </c>
      <c r="BJ548" s="114">
        <v>13</v>
      </c>
      <c r="BK548" s="116">
        <v>257</v>
      </c>
      <c r="BL548" s="120">
        <f t="shared" si="215"/>
        <v>13257</v>
      </c>
      <c r="BN548" s="5" t="s">
        <v>3154</v>
      </c>
      <c r="BR548" s="63"/>
      <c r="BY548" s="63">
        <f t="shared" si="214"/>
        <v>-9815</v>
      </c>
      <c r="CC548" s="1"/>
      <c r="CD548" s="1"/>
      <c r="CE548" s="1"/>
      <c r="CF548" s="1"/>
    </row>
    <row r="549" spans="1:84" hidden="1" outlineLevel="1">
      <c r="A549" t="s">
        <v>1088</v>
      </c>
      <c r="B549" t="s">
        <v>1156</v>
      </c>
      <c r="C549" s="1">
        <f t="shared" si="216"/>
        <v>2058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32">
        <f t="shared" si="217"/>
        <v>417</v>
      </c>
      <c r="H549" s="137">
        <f t="shared" si="218"/>
        <v>0.20262390670553937</v>
      </c>
      <c r="I549" s="2"/>
      <c r="J549" s="2">
        <f t="shared" si="219"/>
        <v>0.59378036929057332</v>
      </c>
      <c r="K549" s="2">
        <f t="shared" si="220"/>
        <v>0.391156462585034</v>
      </c>
      <c r="L549" s="2">
        <f t="shared" si="221"/>
        <v>0</v>
      </c>
      <c r="M549" s="2">
        <f t="shared" si="222"/>
        <v>1.5063168124392678E-2</v>
      </c>
      <c r="N549" s="63">
        <v>1222</v>
      </c>
      <c r="O549" s="63">
        <v>805</v>
      </c>
      <c r="P549" s="63"/>
      <c r="Q549" s="63">
        <v>28</v>
      </c>
      <c r="R549" s="63">
        <v>3</v>
      </c>
      <c r="S549" s="63"/>
      <c r="T549" s="63"/>
      <c r="U549" s="63"/>
      <c r="V549" s="63"/>
      <c r="W549" s="63">
        <f>IF(Copyright!B$11=1,IF(CA549&gt;0,CA549-P549-SUM(X549:AQ549)-SUM(R549:V549),SUM(CB549:CM549)),SUM(CC549:CM549))</f>
        <v>0</v>
      </c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W549" s="5">
        <f>IF(Q549&gt;0,RANK(Q549,(N549:P549,Q549:AE549)),0)</f>
        <v>3</v>
      </c>
      <c r="AX549" s="5">
        <f>IF(R549&gt;0,RANK(R549,(N549:P549,Q549:AE549)),0)</f>
        <v>4</v>
      </c>
      <c r="AY549" s="5">
        <f>IF(T549&gt;0,RANK(T549,(N549:P549,Q549:AE549)),0)</f>
        <v>0</v>
      </c>
      <c r="AZ549" s="5">
        <f>IF(S549&gt;0,RANK(S549,(N549:P549,Q549:AE549)),0)</f>
        <v>0</v>
      </c>
      <c r="BA549" s="2">
        <f t="shared" si="223"/>
        <v>1.3605442176870748E-2</v>
      </c>
      <c r="BB549" s="2">
        <f t="shared" si="224"/>
        <v>1.4577259475218659E-3</v>
      </c>
      <c r="BC549" s="2">
        <f t="shared" si="225"/>
        <v>0</v>
      </c>
      <c r="BD549" s="2">
        <f t="shared" si="226"/>
        <v>0</v>
      </c>
      <c r="BF549" t="s">
        <v>1088</v>
      </c>
      <c r="BG549" t="s">
        <v>1156</v>
      </c>
      <c r="BH549">
        <v>2</v>
      </c>
      <c r="BJ549" s="114">
        <v>13</v>
      </c>
      <c r="BK549" s="116">
        <v>259</v>
      </c>
      <c r="BL549" s="120">
        <f t="shared" si="215"/>
        <v>13259</v>
      </c>
      <c r="BN549" s="5" t="s">
        <v>3154</v>
      </c>
      <c r="BR549" s="63"/>
      <c r="BY549" s="63">
        <f t="shared" si="214"/>
        <v>-2058</v>
      </c>
      <c r="CC549" s="1"/>
      <c r="CD549" s="1"/>
      <c r="CE549" s="1"/>
      <c r="CF549" s="1"/>
    </row>
    <row r="550" spans="1:84" hidden="1" outlineLevel="1">
      <c r="A550" t="s">
        <v>3109</v>
      </c>
      <c r="B550" t="s">
        <v>1156</v>
      </c>
      <c r="C550" s="1">
        <f t="shared" ref="C550:C581" si="227">SUM(N550:AU550)</f>
        <v>10974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32">
        <f t="shared" ref="G550:G581" si="228">IF(C550&gt;0,MAX(N550:P550)-LARGE(N550:P550,2),0)</f>
        <v>244</v>
      </c>
      <c r="H550" s="137">
        <f t="shared" ref="H550:H581" si="229">IF(C550&gt;0,G550/C550,0)</f>
        <v>2.2234372152360123E-2</v>
      </c>
      <c r="I550" s="2"/>
      <c r="J550" s="2">
        <f t="shared" ref="J550:J581" si="230">IF($C550=0,"-",N550/$C550)</f>
        <v>0.50300710770913071</v>
      </c>
      <c r="K550" s="2">
        <f t="shared" ref="K550:K581" si="231">IF($C550=0,"-",O550/$C550)</f>
        <v>0.48077273555677053</v>
      </c>
      <c r="L550" s="2">
        <f t="shared" ref="L550:L581" si="232">IF($C550=0,"-",P550/$C550)</f>
        <v>0</v>
      </c>
      <c r="M550" s="2">
        <f t="shared" ref="M550:M581" si="233">IF(C550=0,"-",(1-J550-K550-L550))</f>
        <v>1.6220156734098767E-2</v>
      </c>
      <c r="N550" s="63">
        <v>5520</v>
      </c>
      <c r="O550" s="63">
        <v>5276</v>
      </c>
      <c r="P550" s="63"/>
      <c r="Q550" s="63">
        <v>178</v>
      </c>
      <c r="R550" s="63"/>
      <c r="S550" s="63"/>
      <c r="T550" s="63"/>
      <c r="U550" s="63"/>
      <c r="V550" s="63"/>
      <c r="W550" s="63">
        <f>IF(Copyright!B$11=1,IF(CA550&gt;0,CA550-P550-SUM(X550:AQ550)-SUM(R550:V550),SUM(CB550:CM550)),SUM(CC550:CM550))</f>
        <v>0</v>
      </c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W550" s="5">
        <f>IF(Q550&gt;0,RANK(Q550,(N550:P550,Q550:AE550)),0)</f>
        <v>3</v>
      </c>
      <c r="AX550" s="5">
        <f>IF(R550&gt;0,RANK(R550,(N550:P550,Q550:AE550)),0)</f>
        <v>0</v>
      </c>
      <c r="AY550" s="5">
        <f>IF(T550&gt;0,RANK(T550,(N550:P550,Q550:AE550)),0)</f>
        <v>0</v>
      </c>
      <c r="AZ550" s="5">
        <f>IF(S550&gt;0,RANK(S550,(N550:P550,Q550:AE550)),0)</f>
        <v>0</v>
      </c>
      <c r="BA550" s="2">
        <f t="shared" ref="BA550:BA581" si="234">IF($C550=0,"-",Q550/$C550)</f>
        <v>1.6220156734098778E-2</v>
      </c>
      <c r="BB550" s="2">
        <f t="shared" ref="BB550:BB581" si="235">IF($C550=0,"-",R550/$C550)</f>
        <v>0</v>
      </c>
      <c r="BC550" s="2">
        <f t="shared" ref="BC550:BC581" si="236">IF($C550=0,"-",T550/$C550)</f>
        <v>0</v>
      </c>
      <c r="BD550" s="2">
        <f t="shared" ref="BD550:BD581" si="237">IF($C550=0,"-",S550/$C550)</f>
        <v>0</v>
      </c>
      <c r="BF550" t="s">
        <v>3109</v>
      </c>
      <c r="BG550" t="s">
        <v>1156</v>
      </c>
      <c r="BH550">
        <v>2</v>
      </c>
      <c r="BJ550" s="114">
        <v>13</v>
      </c>
      <c r="BK550" s="116">
        <v>261</v>
      </c>
      <c r="BL550" s="120">
        <f t="shared" si="215"/>
        <v>13261</v>
      </c>
      <c r="BN550" s="5" t="s">
        <v>3154</v>
      </c>
      <c r="BR550" s="63"/>
      <c r="BY550" s="63">
        <f t="shared" ref="BY550:BY581" si="238">BZ550-C550</f>
        <v>-10974</v>
      </c>
      <c r="CC550" s="1"/>
      <c r="CD550" s="1"/>
      <c r="CE550" s="1"/>
      <c r="CF550" s="1"/>
    </row>
    <row r="551" spans="1:84" hidden="1" outlineLevel="1">
      <c r="A551" t="s">
        <v>2015</v>
      </c>
      <c r="B551" t="s">
        <v>1156</v>
      </c>
      <c r="C551" s="1">
        <f t="shared" si="227"/>
        <v>3246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32">
        <f t="shared" si="228"/>
        <v>806</v>
      </c>
      <c r="H551" s="137">
        <f t="shared" si="229"/>
        <v>0.24830560690080097</v>
      </c>
      <c r="I551" s="2"/>
      <c r="J551" s="2">
        <f t="shared" si="230"/>
        <v>0.61675908810844116</v>
      </c>
      <c r="K551" s="2">
        <f t="shared" si="231"/>
        <v>0.36845348120764015</v>
      </c>
      <c r="L551" s="2">
        <f t="shared" si="232"/>
        <v>0</v>
      </c>
      <c r="M551" s="2">
        <f t="shared" si="233"/>
        <v>1.478743068391869E-2</v>
      </c>
      <c r="N551" s="63">
        <v>2002</v>
      </c>
      <c r="O551" s="63">
        <v>1196</v>
      </c>
      <c r="P551" s="63"/>
      <c r="Q551" s="63">
        <v>46</v>
      </c>
      <c r="R551" s="63">
        <v>2</v>
      </c>
      <c r="S551" s="63"/>
      <c r="T551" s="63"/>
      <c r="U551" s="63"/>
      <c r="V551" s="63"/>
      <c r="W551" s="63">
        <f>IF(Copyright!B$11=1,IF(CA551&gt;0,CA551-P551-SUM(X551:AQ551)-SUM(R551:V551),SUM(CB551:CM551)),SUM(CC551:CM551))</f>
        <v>0</v>
      </c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W551" s="5">
        <f>IF(Q551&gt;0,RANK(Q551,(N551:P551,Q551:AE551)),0)</f>
        <v>3</v>
      </c>
      <c r="AX551" s="5">
        <f>IF(R551&gt;0,RANK(R551,(N551:P551,Q551:AE551)),0)</f>
        <v>4</v>
      </c>
      <c r="AY551" s="5">
        <f>IF(T551&gt;0,RANK(T551,(N551:P551,Q551:AE551)),0)</f>
        <v>0</v>
      </c>
      <c r="AZ551" s="5">
        <f>IF(S551&gt;0,RANK(S551,(N551:P551,Q551:AE551)),0)</f>
        <v>0</v>
      </c>
      <c r="BA551" s="2">
        <f t="shared" si="234"/>
        <v>1.4171287738755391E-2</v>
      </c>
      <c r="BB551" s="2">
        <f t="shared" si="235"/>
        <v>6.1614294516327791E-4</v>
      </c>
      <c r="BC551" s="2">
        <f t="shared" si="236"/>
        <v>0</v>
      </c>
      <c r="BD551" s="2">
        <f t="shared" si="237"/>
        <v>0</v>
      </c>
      <c r="BF551" t="s">
        <v>2015</v>
      </c>
      <c r="BG551" t="s">
        <v>1156</v>
      </c>
      <c r="BH551">
        <v>2</v>
      </c>
      <c r="BJ551" s="114">
        <v>13</v>
      </c>
      <c r="BK551" s="116">
        <v>263</v>
      </c>
      <c r="BL551" s="120">
        <f t="shared" si="215"/>
        <v>13263</v>
      </c>
      <c r="BN551" s="5" t="s">
        <v>3154</v>
      </c>
      <c r="BR551" s="63"/>
      <c r="BY551" s="63">
        <f t="shared" si="238"/>
        <v>-3246</v>
      </c>
      <c r="CC551" s="1"/>
      <c r="CD551" s="1"/>
      <c r="CE551" s="1"/>
      <c r="CF551" s="1"/>
    </row>
    <row r="552" spans="1:84" hidden="1" outlineLevel="1">
      <c r="A552" t="s">
        <v>2310</v>
      </c>
      <c r="B552" t="s">
        <v>1156</v>
      </c>
      <c r="C552" s="1">
        <f t="shared" si="227"/>
        <v>897</v>
      </c>
      <c r="D552" s="5">
        <f>IF(N552&gt;0, RANK(N552,(N552:P552,Q552:AE552)),0)</f>
        <v>1</v>
      </c>
      <c r="E552" s="5">
        <f>IF(O552&gt;0,RANK(O552,(N552:P552,Q552:AE552)),0)</f>
        <v>2</v>
      </c>
      <c r="F552" s="5">
        <f>IF(P552&gt;0,RANK(P552,(N552:P552,Q552:AE552)),0)</f>
        <v>0</v>
      </c>
      <c r="G552" s="132">
        <f t="shared" si="228"/>
        <v>196</v>
      </c>
      <c r="H552" s="137">
        <f t="shared" si="229"/>
        <v>0.21850613154960982</v>
      </c>
      <c r="I552" s="2"/>
      <c r="J552" s="2">
        <f t="shared" si="230"/>
        <v>0.60758082497212929</v>
      </c>
      <c r="K552" s="2">
        <f t="shared" si="231"/>
        <v>0.38907469342251949</v>
      </c>
      <c r="L552" s="2">
        <f t="shared" si="232"/>
        <v>0</v>
      </c>
      <c r="M552" s="2">
        <f t="shared" si="233"/>
        <v>3.3444816053512239E-3</v>
      </c>
      <c r="N552" s="63">
        <v>545</v>
      </c>
      <c r="O552" s="63">
        <v>349</v>
      </c>
      <c r="P552" s="63"/>
      <c r="Q552" s="63">
        <v>3</v>
      </c>
      <c r="R552" s="63"/>
      <c r="S552" s="63"/>
      <c r="T552" s="63"/>
      <c r="U552" s="63"/>
      <c r="V552" s="63"/>
      <c r="W552" s="63">
        <f>IF(Copyright!B$11=1,IF(CA552&gt;0,CA552-P552-SUM(X552:AQ552)-SUM(R552:V552),SUM(CB552:CM552)),SUM(CC552:CM552))</f>
        <v>0</v>
      </c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W552" s="5">
        <f>IF(Q552&gt;0,RANK(Q552,(N552:P552,Q552:AE552)),0)</f>
        <v>3</v>
      </c>
      <c r="AX552" s="5">
        <f>IF(R552&gt;0,RANK(R552,(N552:P552,Q552:AE552)),0)</f>
        <v>0</v>
      </c>
      <c r="AY552" s="5">
        <f>IF(T552&gt;0,RANK(T552,(N552:P552,Q552:AE552)),0)</f>
        <v>0</v>
      </c>
      <c r="AZ552" s="5">
        <f>IF(S552&gt;0,RANK(S552,(N552:P552,Q552:AE552)),0)</f>
        <v>0</v>
      </c>
      <c r="BA552" s="2">
        <f t="shared" si="234"/>
        <v>3.3444816053511705E-3</v>
      </c>
      <c r="BB552" s="2">
        <f t="shared" si="235"/>
        <v>0</v>
      </c>
      <c r="BC552" s="2">
        <f t="shared" si="236"/>
        <v>0</v>
      </c>
      <c r="BD552" s="2">
        <f t="shared" si="237"/>
        <v>0</v>
      </c>
      <c r="BF552" t="s">
        <v>2310</v>
      </c>
      <c r="BG552" t="s">
        <v>1156</v>
      </c>
      <c r="BH552">
        <v>10</v>
      </c>
      <c r="BJ552" s="114">
        <v>13</v>
      </c>
      <c r="BK552" s="116">
        <v>265</v>
      </c>
      <c r="BL552" s="120">
        <f t="shared" si="215"/>
        <v>13265</v>
      </c>
      <c r="BN552" s="5" t="s">
        <v>3154</v>
      </c>
      <c r="BR552" s="63"/>
      <c r="BY552" s="63">
        <f t="shared" si="238"/>
        <v>-897</v>
      </c>
      <c r="CC552" s="1"/>
      <c r="CD552" s="1"/>
      <c r="CE552" s="1"/>
      <c r="CF552" s="1"/>
    </row>
    <row r="553" spans="1:84" hidden="1" outlineLevel="1">
      <c r="A553" t="s">
        <v>1907</v>
      </c>
      <c r="B553" t="s">
        <v>1156</v>
      </c>
      <c r="C553" s="1">
        <f t="shared" si="227"/>
        <v>6903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5</v>
      </c>
      <c r="G553" s="132">
        <f t="shared" si="228"/>
        <v>3415</v>
      </c>
      <c r="H553" s="137">
        <f t="shared" si="229"/>
        <v>0.49471244386498625</v>
      </c>
      <c r="I553" s="2"/>
      <c r="J553" s="2">
        <f t="shared" si="230"/>
        <v>0.24351731131392149</v>
      </c>
      <c r="K553" s="2">
        <f t="shared" si="231"/>
        <v>0.73822975517890776</v>
      </c>
      <c r="L553" s="2">
        <f t="shared" si="232"/>
        <v>7.2432275822106331E-4</v>
      </c>
      <c r="M553" s="2">
        <f t="shared" si="233"/>
        <v>1.7528610748949659E-2</v>
      </c>
      <c r="N553" s="63">
        <v>1681</v>
      </c>
      <c r="O553" s="63">
        <v>5096</v>
      </c>
      <c r="P553" s="63">
        <v>5</v>
      </c>
      <c r="Q553" s="63">
        <v>109</v>
      </c>
      <c r="R553" s="63">
        <v>9</v>
      </c>
      <c r="S553" s="63">
        <v>1</v>
      </c>
      <c r="T553" s="63"/>
      <c r="U553" s="63"/>
      <c r="V553" s="63"/>
      <c r="W553" s="63">
        <f>IF(Copyright!B$11=1,IF(CA553&gt;0,CA553-P553-SUM(X553:AQ553)-SUM(R553:V553),SUM(CB553:CM553)),SUM(CC553:CM553))</f>
        <v>0</v>
      </c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>
        <v>2</v>
      </c>
      <c r="AR553" s="63"/>
      <c r="AS553" s="63"/>
      <c r="AT553" s="63"/>
      <c r="AU553" s="63"/>
      <c r="AW553" s="5">
        <f>IF(Q553&gt;0,RANK(Q553,(N553:P553,Q553:AE553)),0)</f>
        <v>3</v>
      </c>
      <c r="AX553" s="5">
        <f>IF(R553&gt;0,RANK(R553,(N553:P553,Q553:AE553)),0)</f>
        <v>4</v>
      </c>
      <c r="AY553" s="5">
        <f>IF(T553&gt;0,RANK(T553,(N553:P553,Q553:AE553)),0)</f>
        <v>0</v>
      </c>
      <c r="AZ553" s="5">
        <f>IF(S553&gt;0,RANK(S553,(N553:P553,Q553:AE553)),0)</f>
        <v>6</v>
      </c>
      <c r="BA553" s="2">
        <f t="shared" si="234"/>
        <v>1.579023612921918E-2</v>
      </c>
      <c r="BB553" s="2">
        <f t="shared" si="235"/>
        <v>1.3037809647979139E-3</v>
      </c>
      <c r="BC553" s="2">
        <f t="shared" si="236"/>
        <v>0</v>
      </c>
      <c r="BD553" s="2">
        <f t="shared" si="237"/>
        <v>1.4486455164421265E-4</v>
      </c>
      <c r="BF553" t="s">
        <v>1907</v>
      </c>
      <c r="BG553" t="s">
        <v>1156</v>
      </c>
      <c r="BH553">
        <v>12</v>
      </c>
      <c r="BJ553" s="114">
        <v>13</v>
      </c>
      <c r="BK553" s="116">
        <v>267</v>
      </c>
      <c r="BL553" s="120">
        <f t="shared" ref="BL553:BL615" si="239">1000*BJ553+BK553</f>
        <v>13267</v>
      </c>
      <c r="BN553" s="5" t="s">
        <v>3154</v>
      </c>
      <c r="BR553" s="63"/>
      <c r="BY553" s="63">
        <f t="shared" si="238"/>
        <v>-6903</v>
      </c>
      <c r="CC553" s="1"/>
      <c r="CD553" s="1"/>
      <c r="CE553" s="1"/>
      <c r="CF553" s="1"/>
    </row>
    <row r="554" spans="1:84" hidden="1" outlineLevel="1">
      <c r="A554" t="s">
        <v>1140</v>
      </c>
      <c r="B554" t="s">
        <v>1156</v>
      </c>
      <c r="C554" s="1">
        <f t="shared" si="227"/>
        <v>3408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5</v>
      </c>
      <c r="G554" s="132">
        <f t="shared" si="228"/>
        <v>768</v>
      </c>
      <c r="H554" s="137">
        <f t="shared" si="229"/>
        <v>0.22535211267605634</v>
      </c>
      <c r="I554" s="2"/>
      <c r="J554" s="2">
        <f t="shared" si="230"/>
        <v>0.38028169014084506</v>
      </c>
      <c r="K554" s="2">
        <f t="shared" si="231"/>
        <v>0.60563380281690138</v>
      </c>
      <c r="L554" s="2">
        <f t="shared" si="232"/>
        <v>2.9342723004694836E-4</v>
      </c>
      <c r="M554" s="2">
        <f t="shared" si="233"/>
        <v>1.3791079812206664E-2</v>
      </c>
      <c r="N554" s="63">
        <v>1296</v>
      </c>
      <c r="O554" s="63">
        <v>2064</v>
      </c>
      <c r="P554" s="63">
        <v>1</v>
      </c>
      <c r="Q554" s="63">
        <v>45</v>
      </c>
      <c r="R554" s="63">
        <v>2</v>
      </c>
      <c r="S554" s="63"/>
      <c r="T554" s="63"/>
      <c r="U554" s="63"/>
      <c r="V554" s="63"/>
      <c r="W554" s="63">
        <f>IF(Copyright!B$11=1,IF(CA554&gt;0,CA554-P554-SUM(X554:AQ554)-SUM(R554:V554),SUM(CB554:CM554)),SUM(CC554:CM554))</f>
        <v>0</v>
      </c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W554" s="5">
        <f>IF(Q554&gt;0,RANK(Q554,(N554:P554,Q554:AE554)),0)</f>
        <v>3</v>
      </c>
      <c r="AX554" s="5">
        <f>IF(R554&gt;0,RANK(R554,(N554:P554,Q554:AE554)),0)</f>
        <v>4</v>
      </c>
      <c r="AY554" s="5">
        <f>IF(T554&gt;0,RANK(T554,(N554:P554,Q554:AE554)),0)</f>
        <v>0</v>
      </c>
      <c r="AZ554" s="5">
        <f>IF(S554&gt;0,RANK(S554,(N554:P554,Q554:AE554)),0)</f>
        <v>0</v>
      </c>
      <c r="BA554" s="2">
        <f t="shared" si="234"/>
        <v>1.3204225352112676E-2</v>
      </c>
      <c r="BB554" s="2">
        <f t="shared" si="235"/>
        <v>5.8685446009389673E-4</v>
      </c>
      <c r="BC554" s="2">
        <f t="shared" si="236"/>
        <v>0</v>
      </c>
      <c r="BD554" s="2">
        <f t="shared" si="237"/>
        <v>0</v>
      </c>
      <c r="BF554" t="s">
        <v>1140</v>
      </c>
      <c r="BG554" t="s">
        <v>1156</v>
      </c>
      <c r="BH554">
        <v>2</v>
      </c>
      <c r="BJ554" s="114">
        <v>13</v>
      </c>
      <c r="BK554" s="116">
        <v>269</v>
      </c>
      <c r="BL554" s="120">
        <f t="shared" si="239"/>
        <v>13269</v>
      </c>
      <c r="BN554" s="5" t="s">
        <v>3154</v>
      </c>
      <c r="BR554" s="63"/>
      <c r="BY554" s="63">
        <f t="shared" si="238"/>
        <v>-3408</v>
      </c>
      <c r="CC554" s="1"/>
      <c r="CD554" s="1"/>
      <c r="CE554" s="1"/>
      <c r="CF554" s="1"/>
    </row>
    <row r="555" spans="1:84" hidden="1" outlineLevel="1">
      <c r="A555" t="s">
        <v>1916</v>
      </c>
      <c r="B555" t="s">
        <v>1156</v>
      </c>
      <c r="C555" s="1">
        <f t="shared" si="227"/>
        <v>3796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>IF(P555&gt;0,RANK(P555,(N555:P555,Q555:AE555)),0)</f>
        <v>4</v>
      </c>
      <c r="G555" s="132">
        <f t="shared" si="228"/>
        <v>1137</v>
      </c>
      <c r="H555" s="137">
        <f t="shared" si="229"/>
        <v>0.29952581664910433</v>
      </c>
      <c r="I555" s="2"/>
      <c r="J555" s="2">
        <f t="shared" si="230"/>
        <v>0.3458904109589041</v>
      </c>
      <c r="K555" s="2">
        <f t="shared" si="231"/>
        <v>0.64541622760800843</v>
      </c>
      <c r="L555" s="2">
        <f t="shared" si="232"/>
        <v>2.6343519494204424E-4</v>
      </c>
      <c r="M555" s="2">
        <f t="shared" si="233"/>
        <v>8.4299262381454763E-3</v>
      </c>
      <c r="N555" s="63">
        <v>1313</v>
      </c>
      <c r="O555" s="63">
        <v>2450</v>
      </c>
      <c r="P555" s="63">
        <v>1</v>
      </c>
      <c r="Q555" s="63">
        <v>32</v>
      </c>
      <c r="R555" s="63"/>
      <c r="S555" s="63"/>
      <c r="T555" s="63"/>
      <c r="U555" s="63"/>
      <c r="V555" s="63"/>
      <c r="W555" s="63">
        <f>IF(Copyright!B$11=1,IF(CA555&gt;0,CA555-P555-SUM(X555:AQ555)-SUM(R555:V555),SUM(CB555:CM555)),SUM(CC555:CM555))</f>
        <v>0</v>
      </c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W555" s="5">
        <f>IF(Q555&gt;0,RANK(Q555,(N555:P555,Q555:AE555)),0)</f>
        <v>3</v>
      </c>
      <c r="AX555" s="5">
        <f>IF(R555&gt;0,RANK(R555,(N555:P555,Q555:AE555)),0)</f>
        <v>0</v>
      </c>
      <c r="AY555" s="5">
        <f>IF(T555&gt;0,RANK(T555,(N555:P555,Q555:AE555)),0)</f>
        <v>0</v>
      </c>
      <c r="AZ555" s="5">
        <f>IF(S555&gt;0,RANK(S555,(N555:P555,Q555:AE555)),0)</f>
        <v>0</v>
      </c>
      <c r="BA555" s="2">
        <f t="shared" si="234"/>
        <v>8.4299262381454156E-3</v>
      </c>
      <c r="BB555" s="2">
        <f t="shared" si="235"/>
        <v>0</v>
      </c>
      <c r="BC555" s="2">
        <f t="shared" si="236"/>
        <v>0</v>
      </c>
      <c r="BD555" s="2">
        <f t="shared" si="237"/>
        <v>0</v>
      </c>
      <c r="BF555" t="s">
        <v>1916</v>
      </c>
      <c r="BG555" t="s">
        <v>1156</v>
      </c>
      <c r="BH555">
        <v>8</v>
      </c>
      <c r="BJ555" s="114">
        <v>13</v>
      </c>
      <c r="BK555" s="116">
        <v>271</v>
      </c>
      <c r="BL555" s="120">
        <f t="shared" si="239"/>
        <v>13271</v>
      </c>
      <c r="BN555" s="5" t="s">
        <v>3154</v>
      </c>
      <c r="BR555" s="63"/>
      <c r="BY555" s="63">
        <f t="shared" si="238"/>
        <v>-3796</v>
      </c>
      <c r="CC555" s="1"/>
      <c r="CD555" s="1"/>
      <c r="CE555" s="1"/>
      <c r="CF555" s="1"/>
    </row>
    <row r="556" spans="1:84" hidden="1" outlineLevel="1">
      <c r="A556" t="s">
        <v>824</v>
      </c>
      <c r="B556" t="s">
        <v>1156</v>
      </c>
      <c r="C556" s="1">
        <f t="shared" si="227"/>
        <v>4189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>IF(P556&gt;0,RANK(P556,(N556:P556,Q556:AE556)),0)</f>
        <v>4</v>
      </c>
      <c r="G556" s="132">
        <f t="shared" si="228"/>
        <v>393</v>
      </c>
      <c r="H556" s="137">
        <f t="shared" si="229"/>
        <v>9.3817140128909043E-2</v>
      </c>
      <c r="I556" s="2"/>
      <c r="J556" s="2">
        <f t="shared" si="230"/>
        <v>0.54117927906421581</v>
      </c>
      <c r="K556" s="2">
        <f t="shared" si="231"/>
        <v>0.44736213893530674</v>
      </c>
      <c r="L556" s="2">
        <f t="shared" si="232"/>
        <v>1.1936022917164002E-3</v>
      </c>
      <c r="M556" s="2">
        <f t="shared" si="233"/>
        <v>1.0264979708761047E-2</v>
      </c>
      <c r="N556" s="63">
        <v>2267</v>
      </c>
      <c r="O556" s="63">
        <v>1874</v>
      </c>
      <c r="P556" s="63">
        <v>5</v>
      </c>
      <c r="Q556" s="63">
        <v>40</v>
      </c>
      <c r="R556" s="63">
        <v>1</v>
      </c>
      <c r="S556" s="63">
        <v>2</v>
      </c>
      <c r="T556" s="63"/>
      <c r="U556" s="63"/>
      <c r="V556" s="63"/>
      <c r="W556" s="63">
        <f>IF(Copyright!B$11=1,IF(CA556&gt;0,CA556-P556-SUM(X556:AQ556)-SUM(R556:V556),SUM(CB556:CM556)),SUM(CC556:CM556))</f>
        <v>0</v>
      </c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W556" s="5">
        <f>IF(Q556&gt;0,RANK(Q556,(N556:P556,Q556:AE556)),0)</f>
        <v>3</v>
      </c>
      <c r="AX556" s="5">
        <f>IF(R556&gt;0,RANK(R556,(N556:P556,Q556:AE556)),0)</f>
        <v>6</v>
      </c>
      <c r="AY556" s="5">
        <f>IF(T556&gt;0,RANK(T556,(N556:P556,Q556:AE556)),0)</f>
        <v>0</v>
      </c>
      <c r="AZ556" s="5">
        <f>IF(S556&gt;0,RANK(S556,(N556:P556,Q556:AE556)),0)</f>
        <v>5</v>
      </c>
      <c r="BA556" s="2">
        <f t="shared" si="234"/>
        <v>9.5488183337312012E-3</v>
      </c>
      <c r="BB556" s="2">
        <f t="shared" si="235"/>
        <v>2.3872045834328001E-4</v>
      </c>
      <c r="BC556" s="2">
        <f t="shared" si="236"/>
        <v>0</v>
      </c>
      <c r="BD556" s="2">
        <f t="shared" si="237"/>
        <v>4.7744091668656003E-4</v>
      </c>
      <c r="BF556" t="s">
        <v>824</v>
      </c>
      <c r="BG556" t="s">
        <v>1156</v>
      </c>
      <c r="BH556">
        <v>2</v>
      </c>
      <c r="BJ556" s="114">
        <v>13</v>
      </c>
      <c r="BK556" s="116">
        <v>273</v>
      </c>
      <c r="BL556" s="120">
        <f t="shared" si="239"/>
        <v>13273</v>
      </c>
      <c r="BN556" s="5" t="s">
        <v>3154</v>
      </c>
      <c r="BR556" s="63"/>
      <c r="BY556" s="63">
        <f t="shared" si="238"/>
        <v>-4189</v>
      </c>
      <c r="CC556" s="1"/>
      <c r="CD556" s="1"/>
      <c r="CE556" s="1"/>
      <c r="CF556" s="1"/>
    </row>
    <row r="557" spans="1:84" hidden="1" outlineLevel="1">
      <c r="A557" t="s">
        <v>1917</v>
      </c>
      <c r="B557" t="s">
        <v>1156</v>
      </c>
      <c r="C557" s="1">
        <f t="shared" si="227"/>
        <v>18802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4</v>
      </c>
      <c r="G557" s="132">
        <f t="shared" si="228"/>
        <v>4086</v>
      </c>
      <c r="H557" s="137">
        <f t="shared" si="229"/>
        <v>0.21731730666950325</v>
      </c>
      <c r="I557" s="2"/>
      <c r="J557" s="2">
        <f t="shared" si="230"/>
        <v>0.37985320710562709</v>
      </c>
      <c r="K557" s="2">
        <f t="shared" si="231"/>
        <v>0.59717051377513031</v>
      </c>
      <c r="L557" s="2">
        <f t="shared" si="232"/>
        <v>2.1806190830762685E-3</v>
      </c>
      <c r="M557" s="2">
        <f t="shared" si="233"/>
        <v>2.0795660036166334E-2</v>
      </c>
      <c r="N557" s="63">
        <v>7142</v>
      </c>
      <c r="O557" s="63">
        <v>11228</v>
      </c>
      <c r="P557" s="63">
        <v>41</v>
      </c>
      <c r="Q557" s="63">
        <v>368</v>
      </c>
      <c r="R557" s="63">
        <v>20</v>
      </c>
      <c r="S557" s="63">
        <v>3</v>
      </c>
      <c r="T557" s="63"/>
      <c r="U557" s="63"/>
      <c r="V557" s="63"/>
      <c r="W557" s="63">
        <f>IF(Copyright!B$11=1,IF(CA557&gt;0,CA557-P557-SUM(X557:AQ557)-SUM(R557:V557),SUM(CB557:CM557)),SUM(CC557:CM557))</f>
        <v>0</v>
      </c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W557" s="5">
        <f>IF(Q557&gt;0,RANK(Q557,(N557:P557,Q557:AE557)),0)</f>
        <v>3</v>
      </c>
      <c r="AX557" s="5">
        <f>IF(R557&gt;0,RANK(R557,(N557:P557,Q557:AE557)),0)</f>
        <v>5</v>
      </c>
      <c r="AY557" s="5">
        <f>IF(T557&gt;0,RANK(T557,(N557:P557,Q557:AE557)),0)</f>
        <v>0</v>
      </c>
      <c r="AZ557" s="5">
        <f>IF(S557&gt;0,RANK(S557,(N557:P557,Q557:AE557)),0)</f>
        <v>6</v>
      </c>
      <c r="BA557" s="2">
        <f t="shared" si="234"/>
        <v>1.9572385916391873E-2</v>
      </c>
      <c r="BB557" s="2">
        <f t="shared" si="235"/>
        <v>1.0637166258908627E-3</v>
      </c>
      <c r="BC557" s="2">
        <f t="shared" si="236"/>
        <v>0</v>
      </c>
      <c r="BD557" s="2">
        <f t="shared" si="237"/>
        <v>1.5955749388362939E-4</v>
      </c>
      <c r="BF557" t="s">
        <v>1917</v>
      </c>
      <c r="BG557" t="s">
        <v>1156</v>
      </c>
      <c r="BH557">
        <v>8</v>
      </c>
      <c r="BJ557" s="114">
        <v>13</v>
      </c>
      <c r="BK557" s="116">
        <v>275</v>
      </c>
      <c r="BL557" s="120">
        <f t="shared" si="239"/>
        <v>13275</v>
      </c>
      <c r="BN557" s="5" t="s">
        <v>3154</v>
      </c>
      <c r="BR557" s="63"/>
      <c r="BY557" s="63">
        <f t="shared" si="238"/>
        <v>-18802</v>
      </c>
      <c r="CC557" s="1"/>
      <c r="CD557" s="1"/>
      <c r="CE557" s="1"/>
      <c r="CF557" s="1"/>
    </row>
    <row r="558" spans="1:84" hidden="1" outlineLevel="1">
      <c r="A558" t="s">
        <v>2307</v>
      </c>
      <c r="B558" t="s">
        <v>1156</v>
      </c>
      <c r="C558" s="1">
        <f t="shared" si="227"/>
        <v>14219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4</v>
      </c>
      <c r="G558" s="132">
        <f t="shared" si="228"/>
        <v>5237</v>
      </c>
      <c r="H558" s="137">
        <f t="shared" si="229"/>
        <v>0.36831000773612771</v>
      </c>
      <c r="I558" s="2"/>
      <c r="J558" s="2">
        <f t="shared" si="230"/>
        <v>0.30571770166678386</v>
      </c>
      <c r="K558" s="2">
        <f t="shared" si="231"/>
        <v>0.67402770940291157</v>
      </c>
      <c r="L558" s="2">
        <f t="shared" si="232"/>
        <v>1.7582108446444898E-3</v>
      </c>
      <c r="M558" s="2">
        <f t="shared" si="233"/>
        <v>1.849637808566014E-2</v>
      </c>
      <c r="N558" s="63">
        <v>4347</v>
      </c>
      <c r="O558" s="63">
        <v>9584</v>
      </c>
      <c r="P558" s="63">
        <v>25</v>
      </c>
      <c r="Q558" s="63">
        <v>244</v>
      </c>
      <c r="R558" s="63">
        <v>16</v>
      </c>
      <c r="S558" s="63">
        <v>2</v>
      </c>
      <c r="T558" s="63"/>
      <c r="U558" s="63"/>
      <c r="V558" s="63"/>
      <c r="W558" s="63">
        <f>IF(Copyright!B$11=1,IF(CA558&gt;0,CA558-P558-SUM(X558:AQ558)-SUM(R558:V558),SUM(CB558:CM558)),SUM(CC558:CM558))</f>
        <v>0</v>
      </c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>
        <v>1</v>
      </c>
      <c r="AR558" s="63"/>
      <c r="AS558" s="63"/>
      <c r="AT558" s="63"/>
      <c r="AU558" s="63"/>
      <c r="AW558" s="5">
        <f>IF(Q558&gt;0,RANK(Q558,(N558:P558,Q558:AE558)),0)</f>
        <v>3</v>
      </c>
      <c r="AX558" s="5">
        <f>IF(R558&gt;0,RANK(R558,(N558:P558,Q558:AE558)),0)</f>
        <v>5</v>
      </c>
      <c r="AY558" s="5">
        <f>IF(T558&gt;0,RANK(T558,(N558:P558,Q558:AE558)),0)</f>
        <v>0</v>
      </c>
      <c r="AZ558" s="5">
        <f>IF(S558&gt;0,RANK(S558,(N558:P558,Q558:AE558)),0)</f>
        <v>6</v>
      </c>
      <c r="BA558" s="2">
        <f t="shared" si="234"/>
        <v>1.716013784373022E-2</v>
      </c>
      <c r="BB558" s="2">
        <f t="shared" si="235"/>
        <v>1.1252549405724734E-3</v>
      </c>
      <c r="BC558" s="2">
        <f t="shared" si="236"/>
        <v>0</v>
      </c>
      <c r="BD558" s="2">
        <f t="shared" si="237"/>
        <v>1.4065686757155918E-4</v>
      </c>
      <c r="BF558" t="s">
        <v>2307</v>
      </c>
      <c r="BG558" t="s">
        <v>1156</v>
      </c>
      <c r="BH558">
        <v>8</v>
      </c>
      <c r="BJ558" s="114">
        <v>13</v>
      </c>
      <c r="BK558" s="116">
        <v>277</v>
      </c>
      <c r="BL558" s="120">
        <f t="shared" si="239"/>
        <v>13277</v>
      </c>
      <c r="BN558" s="5" t="s">
        <v>3154</v>
      </c>
      <c r="BR558" s="63"/>
      <c r="BY558" s="63">
        <f t="shared" si="238"/>
        <v>-14219</v>
      </c>
      <c r="CC558" s="1"/>
      <c r="CD558" s="1"/>
      <c r="CE558" s="1"/>
      <c r="CF558" s="1"/>
    </row>
    <row r="559" spans="1:84" hidden="1" outlineLevel="1">
      <c r="A559" t="s">
        <v>2648</v>
      </c>
      <c r="B559" t="s">
        <v>1156</v>
      </c>
      <c r="C559" s="1">
        <f t="shared" si="227"/>
        <v>9138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4</v>
      </c>
      <c r="G559" s="132">
        <f t="shared" si="228"/>
        <v>4277</v>
      </c>
      <c r="H559" s="137">
        <f t="shared" si="229"/>
        <v>0.46804552418472312</v>
      </c>
      <c r="I559" s="2"/>
      <c r="J559" s="2">
        <f t="shared" si="230"/>
        <v>0.2558546727949223</v>
      </c>
      <c r="K559" s="2">
        <f t="shared" si="231"/>
        <v>0.72390019697964547</v>
      </c>
      <c r="L559" s="2">
        <f t="shared" si="232"/>
        <v>2.188662727073758E-3</v>
      </c>
      <c r="M559" s="2">
        <f t="shared" si="233"/>
        <v>1.8056467498358528E-2</v>
      </c>
      <c r="N559" s="63">
        <v>2338</v>
      </c>
      <c r="O559" s="63">
        <v>6615</v>
      </c>
      <c r="P559" s="63">
        <v>20</v>
      </c>
      <c r="Q559" s="63">
        <v>158</v>
      </c>
      <c r="R559" s="63">
        <v>7</v>
      </c>
      <c r="S559" s="63"/>
      <c r="T559" s="63"/>
      <c r="U559" s="63"/>
      <c r="V559" s="63"/>
      <c r="W559" s="63">
        <f>IF(Copyright!B$11=1,IF(CA559&gt;0,CA559-P559-SUM(X559:AQ559)-SUM(R559:V559),SUM(CB559:CM559)),SUM(CC559:CM559))</f>
        <v>0</v>
      </c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W559" s="5">
        <f>IF(Q559&gt;0,RANK(Q559,(N559:P559,Q559:AE559)),0)</f>
        <v>3</v>
      </c>
      <c r="AX559" s="5">
        <f>IF(R559&gt;0,RANK(R559,(N559:P559,Q559:AE559)),0)</f>
        <v>5</v>
      </c>
      <c r="AY559" s="5">
        <f>IF(T559&gt;0,RANK(T559,(N559:P559,Q559:AE559)),0)</f>
        <v>0</v>
      </c>
      <c r="AZ559" s="5">
        <f>IF(S559&gt;0,RANK(S559,(N559:P559,Q559:AE559)),0)</f>
        <v>0</v>
      </c>
      <c r="BA559" s="2">
        <f t="shared" si="234"/>
        <v>1.7290435543882689E-2</v>
      </c>
      <c r="BB559" s="2">
        <f t="shared" si="235"/>
        <v>7.6603195447581525E-4</v>
      </c>
      <c r="BC559" s="2">
        <f t="shared" si="236"/>
        <v>0</v>
      </c>
      <c r="BD559" s="2">
        <f t="shared" si="237"/>
        <v>0</v>
      </c>
      <c r="BF559" t="s">
        <v>2648</v>
      </c>
      <c r="BG559" t="s">
        <v>1156</v>
      </c>
      <c r="BH559">
        <v>12</v>
      </c>
      <c r="BJ559" s="114">
        <v>13</v>
      </c>
      <c r="BK559" s="116">
        <v>279</v>
      </c>
      <c r="BL559" s="120">
        <f t="shared" si="239"/>
        <v>13279</v>
      </c>
      <c r="BN559" s="5" t="s">
        <v>3154</v>
      </c>
      <c r="BR559" s="63"/>
      <c r="BY559" s="63">
        <f t="shared" si="238"/>
        <v>-9138</v>
      </c>
      <c r="CC559" s="1"/>
      <c r="CD559" s="1"/>
      <c r="CE559" s="1"/>
      <c r="CF559" s="1"/>
    </row>
    <row r="560" spans="1:84" hidden="1" outlineLevel="1">
      <c r="A560" t="s">
        <v>2980</v>
      </c>
      <c r="B560" t="s">
        <v>1156</v>
      </c>
      <c r="C560" s="1">
        <f t="shared" si="227"/>
        <v>6764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5</v>
      </c>
      <c r="G560" s="132">
        <f t="shared" si="228"/>
        <v>4173</v>
      </c>
      <c r="H560" s="137">
        <f t="shared" si="229"/>
        <v>0.61694263749260791</v>
      </c>
      <c r="I560" s="2"/>
      <c r="J560" s="2">
        <f t="shared" si="230"/>
        <v>0.17888823181549379</v>
      </c>
      <c r="K560" s="2">
        <f t="shared" si="231"/>
        <v>0.79583086930810176</v>
      </c>
      <c r="L560" s="2">
        <f t="shared" si="232"/>
        <v>1.3305736250739208E-3</v>
      </c>
      <c r="M560" s="2">
        <f t="shared" si="233"/>
        <v>2.3950325251330468E-2</v>
      </c>
      <c r="N560" s="63">
        <v>1210</v>
      </c>
      <c r="O560" s="63">
        <v>5383</v>
      </c>
      <c r="P560" s="63">
        <v>9</v>
      </c>
      <c r="Q560" s="63">
        <v>146</v>
      </c>
      <c r="R560" s="63">
        <v>10</v>
      </c>
      <c r="S560" s="63">
        <v>4</v>
      </c>
      <c r="T560" s="63"/>
      <c r="U560" s="63"/>
      <c r="V560" s="63"/>
      <c r="W560" s="63">
        <f>IF(Copyright!B$11=1,IF(CA560&gt;0,CA560-P560-SUM(X560:AQ560)-SUM(R560:V560),SUM(CB560:CM560)),SUM(CC560:CM560))</f>
        <v>0</v>
      </c>
      <c r="X560" s="63"/>
      <c r="Y560" s="63">
        <v>2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W560" s="5">
        <f>IF(Q560&gt;0,RANK(Q560,(N560:P560,Q560:AE560)),0)</f>
        <v>3</v>
      </c>
      <c r="AX560" s="5">
        <f>IF(R560&gt;0,RANK(R560,(N560:P560,Q560:AE560)),0)</f>
        <v>4</v>
      </c>
      <c r="AY560" s="5">
        <f>IF(T560&gt;0,RANK(T560,(N560:P560,Q560:AE560)),0)</f>
        <v>0</v>
      </c>
      <c r="AZ560" s="5">
        <f>IF(S560&gt;0,RANK(S560,(N560:P560,Q560:AE560)),0)</f>
        <v>6</v>
      </c>
      <c r="BA560" s="2">
        <f t="shared" si="234"/>
        <v>2.1584861028976936E-2</v>
      </c>
      <c r="BB560" s="2">
        <f t="shared" si="235"/>
        <v>1.4784151389710231E-3</v>
      </c>
      <c r="BC560" s="2">
        <f t="shared" si="236"/>
        <v>0</v>
      </c>
      <c r="BD560" s="2">
        <f t="shared" si="237"/>
        <v>5.9136605558840927E-4</v>
      </c>
      <c r="BF560" t="s">
        <v>2980</v>
      </c>
      <c r="BG560" t="s">
        <v>1156</v>
      </c>
      <c r="BH560">
        <v>9</v>
      </c>
      <c r="BJ560" s="114">
        <v>13</v>
      </c>
      <c r="BK560" s="116">
        <v>281</v>
      </c>
      <c r="BL560" s="120">
        <f t="shared" si="239"/>
        <v>13281</v>
      </c>
      <c r="BN560" s="5" t="s">
        <v>3154</v>
      </c>
      <c r="BR560" s="63"/>
      <c r="BY560" s="63">
        <f t="shared" si="238"/>
        <v>-6764</v>
      </c>
      <c r="CC560" s="1"/>
      <c r="CD560" s="1"/>
      <c r="CE560" s="1"/>
      <c r="CF560" s="1"/>
    </row>
    <row r="561" spans="1:91" hidden="1" outlineLevel="1">
      <c r="A561" t="s">
        <v>19</v>
      </c>
      <c r="B561" t="s">
        <v>1156</v>
      </c>
      <c r="C561" s="1">
        <f t="shared" si="227"/>
        <v>2703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32">
        <f t="shared" si="228"/>
        <v>947</v>
      </c>
      <c r="H561" s="137">
        <f t="shared" si="229"/>
        <v>0.35035146133925266</v>
      </c>
      <c r="I561" s="2"/>
      <c r="J561" s="2">
        <f t="shared" si="230"/>
        <v>0.31890492045874952</v>
      </c>
      <c r="K561" s="2">
        <f t="shared" si="231"/>
        <v>0.66925638179800218</v>
      </c>
      <c r="L561" s="2">
        <f t="shared" si="232"/>
        <v>0</v>
      </c>
      <c r="M561" s="2">
        <f t="shared" si="233"/>
        <v>1.1838697743248305E-2</v>
      </c>
      <c r="N561" s="63">
        <v>862</v>
      </c>
      <c r="O561" s="63">
        <v>1809</v>
      </c>
      <c r="P561" s="63"/>
      <c r="Q561" s="63">
        <v>32</v>
      </c>
      <c r="R561" s="63"/>
      <c r="S561" s="63"/>
      <c r="T561" s="63"/>
      <c r="U561" s="63"/>
      <c r="V561" s="63"/>
      <c r="W561" s="63">
        <f>IF(Copyright!B$11=1,IF(CA561&gt;0,CA561-P561-SUM(X561:AQ561)-SUM(R561:V561),SUM(CB561:CM561)),SUM(CC561:CM561))</f>
        <v>0</v>
      </c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W561" s="5">
        <f>IF(Q561&gt;0,RANK(Q561,(N561:P561,Q561:AE561)),0)</f>
        <v>3</v>
      </c>
      <c r="AX561" s="5">
        <f>IF(R561&gt;0,RANK(R561,(N561:P561,Q561:AE561)),0)</f>
        <v>0</v>
      </c>
      <c r="AY561" s="5">
        <f>IF(T561&gt;0,RANK(T561,(N561:P561,Q561:AE561)),0)</f>
        <v>0</v>
      </c>
      <c r="AZ561" s="5">
        <f>IF(S561&gt;0,RANK(S561,(N561:P561,Q561:AE561)),0)</f>
        <v>0</v>
      </c>
      <c r="BA561" s="2">
        <f t="shared" si="234"/>
        <v>1.1838697743248243E-2</v>
      </c>
      <c r="BB561" s="2">
        <f t="shared" si="235"/>
        <v>0</v>
      </c>
      <c r="BC561" s="2">
        <f t="shared" si="236"/>
        <v>0</v>
      </c>
      <c r="BD561" s="2">
        <f t="shared" si="237"/>
        <v>0</v>
      </c>
      <c r="BF561" t="s">
        <v>19</v>
      </c>
      <c r="BG561" t="s">
        <v>1156</v>
      </c>
      <c r="BH561">
        <v>12</v>
      </c>
      <c r="BJ561" s="114">
        <v>13</v>
      </c>
      <c r="BK561" s="116">
        <v>283</v>
      </c>
      <c r="BL561" s="120">
        <f t="shared" si="239"/>
        <v>13283</v>
      </c>
      <c r="BN561" s="5" t="s">
        <v>3154</v>
      </c>
      <c r="BR561" s="63"/>
      <c r="BY561" s="63">
        <f t="shared" si="238"/>
        <v>-2703</v>
      </c>
      <c r="CC561" s="1"/>
      <c r="CD561" s="1"/>
      <c r="CE561" s="1"/>
      <c r="CF561" s="1"/>
    </row>
    <row r="562" spans="1:91" hidden="1" outlineLevel="1">
      <c r="A562" t="s">
        <v>701</v>
      </c>
      <c r="B562" t="s">
        <v>1156</v>
      </c>
      <c r="C562" s="1">
        <f t="shared" si="227"/>
        <v>26111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4</v>
      </c>
      <c r="G562" s="132">
        <f t="shared" si="228"/>
        <v>6037</v>
      </c>
      <c r="H562" s="137">
        <f t="shared" si="229"/>
        <v>0.23120523917123051</v>
      </c>
      <c r="I562" s="2"/>
      <c r="J562" s="2">
        <f t="shared" si="230"/>
        <v>0.37198881697368924</v>
      </c>
      <c r="K562" s="2">
        <f t="shared" si="231"/>
        <v>0.60319405614491972</v>
      </c>
      <c r="L562" s="2">
        <f t="shared" si="232"/>
        <v>1.8766037302286392E-3</v>
      </c>
      <c r="M562" s="2">
        <f t="shared" si="233"/>
        <v>2.2940523151162399E-2</v>
      </c>
      <c r="N562" s="63">
        <v>9713</v>
      </c>
      <c r="O562" s="63">
        <v>15750</v>
      </c>
      <c r="P562" s="63">
        <v>49</v>
      </c>
      <c r="Q562" s="63">
        <v>561</v>
      </c>
      <c r="R562" s="63">
        <v>28</v>
      </c>
      <c r="S562" s="63">
        <v>7</v>
      </c>
      <c r="T562" s="63"/>
      <c r="U562" s="63"/>
      <c r="V562" s="63"/>
      <c r="W562" s="63">
        <f>IF(Copyright!B$11=1,IF(CA562&gt;0,CA562-P562-SUM(X562:AQ562)-SUM(R562:V562),SUM(CB562:CM562)),SUM(CC562:CM562))</f>
        <v>1</v>
      </c>
      <c r="X562" s="63"/>
      <c r="Y562" s="63">
        <v>2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W562" s="5">
        <f>IF(Q562&gt;0,RANK(Q562,(N562:P562,Q562:AE562)),0)</f>
        <v>3</v>
      </c>
      <c r="AX562" s="5">
        <f>IF(R562&gt;0,RANK(R562,(N562:P562,Q562:AE562)),0)</f>
        <v>5</v>
      </c>
      <c r="AY562" s="5">
        <f>IF(T562&gt;0,RANK(T562,(N562:P562,Q562:AE562)),0)</f>
        <v>0</v>
      </c>
      <c r="AZ562" s="5">
        <f>IF(S562&gt;0,RANK(S562,(N562:P562,Q562:AE562)),0)</f>
        <v>6</v>
      </c>
      <c r="BA562" s="2">
        <f t="shared" si="234"/>
        <v>2.1485197809352381E-2</v>
      </c>
      <c r="BB562" s="2">
        <f t="shared" si="235"/>
        <v>1.0723449887020797E-3</v>
      </c>
      <c r="BC562" s="2">
        <f t="shared" si="236"/>
        <v>0</v>
      </c>
      <c r="BD562" s="2">
        <f t="shared" si="237"/>
        <v>2.6808624717551991E-4</v>
      </c>
      <c r="BF562" t="s">
        <v>701</v>
      </c>
      <c r="BG562" t="s">
        <v>1156</v>
      </c>
      <c r="BH562">
        <v>3</v>
      </c>
      <c r="BJ562" s="114">
        <v>13</v>
      </c>
      <c r="BK562" s="116">
        <v>285</v>
      </c>
      <c r="BL562" s="120">
        <f t="shared" si="239"/>
        <v>13285</v>
      </c>
      <c r="BN562" s="5" t="s">
        <v>3154</v>
      </c>
      <c r="BR562" s="63"/>
      <c r="BY562" s="63">
        <f t="shared" si="238"/>
        <v>-26111</v>
      </c>
      <c r="CC562" s="1"/>
      <c r="CD562" s="1"/>
      <c r="CE562" s="1"/>
      <c r="CF562" s="1"/>
      <c r="CG562" s="8">
        <v>1</v>
      </c>
    </row>
    <row r="563" spans="1:91" hidden="1" outlineLevel="1">
      <c r="A563" t="s">
        <v>1681</v>
      </c>
      <c r="B563" t="s">
        <v>1156</v>
      </c>
      <c r="C563" s="1">
        <f t="shared" si="227"/>
        <v>3398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>IF(P563&gt;0,RANK(P563,(N563:P563,Q563:AE563)),0)</f>
        <v>4</v>
      </c>
      <c r="G563" s="132">
        <f t="shared" si="228"/>
        <v>849</v>
      </c>
      <c r="H563" s="137">
        <f t="shared" si="229"/>
        <v>0.24985285462036491</v>
      </c>
      <c r="I563" s="2"/>
      <c r="J563" s="2">
        <f t="shared" si="230"/>
        <v>0.36668628605061804</v>
      </c>
      <c r="K563" s="2">
        <f t="shared" si="231"/>
        <v>0.61653914067098292</v>
      </c>
      <c r="L563" s="2">
        <f t="shared" si="232"/>
        <v>8.828722778104767E-4</v>
      </c>
      <c r="M563" s="2">
        <f t="shared" si="233"/>
        <v>1.5891701000588565E-2</v>
      </c>
      <c r="N563" s="63">
        <v>1246</v>
      </c>
      <c r="O563" s="63">
        <v>2095</v>
      </c>
      <c r="P563" s="63">
        <v>3</v>
      </c>
      <c r="Q563" s="63">
        <v>53</v>
      </c>
      <c r="R563" s="63">
        <v>1</v>
      </c>
      <c r="S563" s="63"/>
      <c r="T563" s="63"/>
      <c r="U563" s="63"/>
      <c r="V563" s="63"/>
      <c r="W563" s="63">
        <f>IF(Copyright!B$11=1,IF(CA563&gt;0,CA563-P563-SUM(X563:AQ563)-SUM(R563:V563),SUM(CB563:CM563)),SUM(CC563:CM563))</f>
        <v>0</v>
      </c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W563" s="5">
        <f>IF(Q563&gt;0,RANK(Q563,(N563:P563,Q563:AE563)),0)</f>
        <v>3</v>
      </c>
      <c r="AX563" s="5">
        <f>IF(R563&gt;0,RANK(R563,(N563:P563,Q563:AE563)),0)</f>
        <v>5</v>
      </c>
      <c r="AY563" s="5">
        <f>IF(T563&gt;0,RANK(T563,(N563:P563,Q563:AE563)),0)</f>
        <v>0</v>
      </c>
      <c r="AZ563" s="5">
        <f>IF(S563&gt;0,RANK(S563,(N563:P563,Q563:AE563)),0)</f>
        <v>0</v>
      </c>
      <c r="BA563" s="2">
        <f t="shared" si="234"/>
        <v>1.5597410241318423E-2</v>
      </c>
      <c r="BB563" s="2">
        <f t="shared" si="235"/>
        <v>2.942907592701589E-4</v>
      </c>
      <c r="BC563" s="2">
        <f t="shared" si="236"/>
        <v>0</v>
      </c>
      <c r="BD563" s="2">
        <f t="shared" si="237"/>
        <v>0</v>
      </c>
      <c r="BF563" t="s">
        <v>1681</v>
      </c>
      <c r="BG563" t="s">
        <v>1156</v>
      </c>
      <c r="BH563">
        <v>8</v>
      </c>
      <c r="BJ563" s="114">
        <v>13</v>
      </c>
      <c r="BK563" s="116">
        <v>287</v>
      </c>
      <c r="BL563" s="120">
        <f t="shared" si="239"/>
        <v>13287</v>
      </c>
      <c r="BN563" s="5" t="s">
        <v>3154</v>
      </c>
      <c r="BR563" s="63"/>
      <c r="BY563" s="63">
        <f t="shared" si="238"/>
        <v>-3398</v>
      </c>
      <c r="CC563" s="1"/>
      <c r="CD563" s="1"/>
      <c r="CE563" s="1"/>
      <c r="CF563" s="1"/>
    </row>
    <row r="564" spans="1:91" hidden="1" outlineLevel="1">
      <c r="A564" t="s">
        <v>819</v>
      </c>
      <c r="B564" t="s">
        <v>1156</v>
      </c>
      <c r="C564" s="1">
        <f t="shared" si="227"/>
        <v>4059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32">
        <f t="shared" si="228"/>
        <v>64</v>
      </c>
      <c r="H564" s="137">
        <f t="shared" si="229"/>
        <v>1.5767430401576743E-2</v>
      </c>
      <c r="I564" s="2"/>
      <c r="J564" s="2">
        <f t="shared" si="230"/>
        <v>0.48558758314855877</v>
      </c>
      <c r="K564" s="2">
        <f t="shared" si="231"/>
        <v>0.50135501355013545</v>
      </c>
      <c r="L564" s="2">
        <f t="shared" si="232"/>
        <v>0</v>
      </c>
      <c r="M564" s="2">
        <f t="shared" si="233"/>
        <v>1.3057403301305781E-2</v>
      </c>
      <c r="N564" s="63">
        <v>1971</v>
      </c>
      <c r="O564" s="63">
        <v>2035</v>
      </c>
      <c r="P564" s="63"/>
      <c r="Q564" s="63">
        <v>50</v>
      </c>
      <c r="R564" s="63">
        <v>3</v>
      </c>
      <c r="S564" s="63"/>
      <c r="T564" s="63"/>
      <c r="U564" s="63"/>
      <c r="V564" s="63"/>
      <c r="W564" s="63">
        <f>IF(Copyright!B$11=1,IF(CA564&gt;0,CA564-P564-SUM(X564:AQ564)-SUM(R564:V564),SUM(CB564:CM564)),SUM(CC564:CM564))</f>
        <v>0</v>
      </c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W564" s="5">
        <f>IF(Q564&gt;0,RANK(Q564,(N564:P564,Q564:AE564)),0)</f>
        <v>3</v>
      </c>
      <c r="AX564" s="5">
        <f>IF(R564&gt;0,RANK(R564,(N564:P564,Q564:AE564)),0)</f>
        <v>4</v>
      </c>
      <c r="AY564" s="5">
        <f>IF(T564&gt;0,RANK(T564,(N564:P564,Q564:AE564)),0)</f>
        <v>0</v>
      </c>
      <c r="AZ564" s="5">
        <f>IF(S564&gt;0,RANK(S564,(N564:P564,Q564:AE564)),0)</f>
        <v>0</v>
      </c>
      <c r="BA564" s="2">
        <f t="shared" si="234"/>
        <v>1.231830500123183E-2</v>
      </c>
      <c r="BB564" s="2">
        <f t="shared" si="235"/>
        <v>7.3909830007390983E-4</v>
      </c>
      <c r="BC564" s="2">
        <f t="shared" si="236"/>
        <v>0</v>
      </c>
      <c r="BD564" s="2">
        <f t="shared" si="237"/>
        <v>0</v>
      </c>
      <c r="BF564" t="s">
        <v>819</v>
      </c>
      <c r="BG564" t="s">
        <v>1156</v>
      </c>
      <c r="BH564">
        <v>8</v>
      </c>
      <c r="BJ564" s="114">
        <v>13</v>
      </c>
      <c r="BK564" s="116">
        <v>289</v>
      </c>
      <c r="BL564" s="120">
        <f t="shared" si="239"/>
        <v>13289</v>
      </c>
      <c r="BN564" s="5" t="s">
        <v>3154</v>
      </c>
      <c r="BR564" s="63"/>
      <c r="BY564" s="63">
        <f t="shared" si="238"/>
        <v>-4059</v>
      </c>
      <c r="CC564" s="1"/>
      <c r="CD564" s="1"/>
      <c r="CE564" s="1"/>
      <c r="CF564" s="1"/>
    </row>
    <row r="565" spans="1:91" hidden="1" outlineLevel="1">
      <c r="A565" t="s">
        <v>1513</v>
      </c>
      <c r="B565" t="s">
        <v>1156</v>
      </c>
      <c r="C565" s="1">
        <f t="shared" si="227"/>
        <v>12063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4</v>
      </c>
      <c r="G565" s="132">
        <f t="shared" si="228"/>
        <v>7889</v>
      </c>
      <c r="H565" s="137">
        <f t="shared" si="229"/>
        <v>0.65398325458012108</v>
      </c>
      <c r="I565" s="2"/>
      <c r="J565" s="2">
        <f t="shared" si="230"/>
        <v>0.16272900605156262</v>
      </c>
      <c r="K565" s="2">
        <f t="shared" si="231"/>
        <v>0.81671226063168367</v>
      </c>
      <c r="L565" s="2">
        <f t="shared" si="232"/>
        <v>1.0776755367653155E-3</v>
      </c>
      <c r="M565" s="2">
        <f t="shared" si="233"/>
        <v>1.9481057779988414E-2</v>
      </c>
      <c r="N565" s="63">
        <v>1963</v>
      </c>
      <c r="O565" s="63">
        <v>9852</v>
      </c>
      <c r="P565" s="63">
        <v>13</v>
      </c>
      <c r="Q565" s="63">
        <v>229</v>
      </c>
      <c r="R565" s="63">
        <v>4</v>
      </c>
      <c r="S565" s="63"/>
      <c r="T565" s="63"/>
      <c r="U565" s="63"/>
      <c r="V565" s="63"/>
      <c r="W565" s="63">
        <f>IF(Copyright!B$11=1,IF(CA565&gt;0,CA565-P565-SUM(X565:AQ565)-SUM(R565:V565),SUM(CB565:CM565)),SUM(CC565:CM565))</f>
        <v>0</v>
      </c>
      <c r="X565" s="63"/>
      <c r="Y565" s="63">
        <v>2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W565" s="5">
        <f>IF(Q565&gt;0,RANK(Q565,(N565:P565,Q565:AE565)),0)</f>
        <v>3</v>
      </c>
      <c r="AX565" s="5">
        <f>IF(R565&gt;0,RANK(R565,(N565:P565,Q565:AE565)),0)</f>
        <v>5</v>
      </c>
      <c r="AY565" s="5">
        <f>IF(T565&gt;0,RANK(T565,(N565:P565,Q565:AE565)),0)</f>
        <v>0</v>
      </c>
      <c r="AZ565" s="5">
        <f>IF(S565&gt;0,RANK(S565,(N565:P565,Q565:AE565)),0)</f>
        <v>0</v>
      </c>
      <c r="BA565" s="2">
        <f t="shared" si="234"/>
        <v>1.8983669070712094E-2</v>
      </c>
      <c r="BB565" s="2">
        <f t="shared" si="235"/>
        <v>3.3159247285086628E-4</v>
      </c>
      <c r="BC565" s="2">
        <f t="shared" si="236"/>
        <v>0</v>
      </c>
      <c r="BD565" s="2">
        <f t="shared" si="237"/>
        <v>0</v>
      </c>
      <c r="BF565" t="s">
        <v>1513</v>
      </c>
      <c r="BG565" t="s">
        <v>1156</v>
      </c>
      <c r="BH565">
        <v>9</v>
      </c>
      <c r="BJ565" s="114">
        <v>13</v>
      </c>
      <c r="BK565" s="116">
        <v>291</v>
      </c>
      <c r="BL565" s="120">
        <f t="shared" si="239"/>
        <v>13291</v>
      </c>
      <c r="BN565" s="5" t="s">
        <v>3154</v>
      </c>
      <c r="BR565" s="63"/>
      <c r="BY565" s="63">
        <f t="shared" si="238"/>
        <v>-12063</v>
      </c>
      <c r="CC565" s="1"/>
      <c r="CD565" s="1"/>
      <c r="CE565" s="1"/>
      <c r="CF565" s="1"/>
    </row>
    <row r="566" spans="1:91" hidden="1" outlineLevel="1">
      <c r="A566" t="s">
        <v>201</v>
      </c>
      <c r="B566" t="s">
        <v>1156</v>
      </c>
      <c r="C566" s="1">
        <f t="shared" si="227"/>
        <v>10934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32">
        <f t="shared" si="228"/>
        <v>3817</v>
      </c>
      <c r="H566" s="137">
        <f t="shared" si="229"/>
        <v>0.34909456740442657</v>
      </c>
      <c r="I566" s="2"/>
      <c r="J566" s="2">
        <f t="shared" si="230"/>
        <v>0.31781598683007134</v>
      </c>
      <c r="K566" s="2">
        <f t="shared" si="231"/>
        <v>0.66691055423449785</v>
      </c>
      <c r="L566" s="2">
        <f t="shared" si="232"/>
        <v>0</v>
      </c>
      <c r="M566" s="2">
        <f t="shared" si="233"/>
        <v>1.527345893543075E-2</v>
      </c>
      <c r="N566" s="63">
        <v>3475</v>
      </c>
      <c r="O566" s="63">
        <v>7292</v>
      </c>
      <c r="P566" s="63"/>
      <c r="Q566" s="63">
        <v>167</v>
      </c>
      <c r="R566" s="63"/>
      <c r="S566" s="63"/>
      <c r="T566" s="63"/>
      <c r="U566" s="63"/>
      <c r="V566" s="63"/>
      <c r="W566" s="63">
        <f>IF(Copyright!B$11=1,IF(CA566&gt;0,CA566-P566-SUM(X566:AQ566)-SUM(R566:V566),SUM(CB566:CM566)),SUM(CC566:CM566))</f>
        <v>0</v>
      </c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W566" s="5">
        <f>IF(Q566&gt;0,RANK(Q566,(N566:P566,Q566:AE566)),0)</f>
        <v>3</v>
      </c>
      <c r="AX566" s="5">
        <f>IF(R566&gt;0,RANK(R566,(N566:P566,Q566:AE566)),0)</f>
        <v>0</v>
      </c>
      <c r="AY566" s="5">
        <f>IF(T566&gt;0,RANK(T566,(N566:P566,Q566:AE566)),0)</f>
        <v>0</v>
      </c>
      <c r="AZ566" s="5">
        <f>IF(S566&gt;0,RANK(S566,(N566:P566,Q566:AE566)),0)</f>
        <v>0</v>
      </c>
      <c r="BA566" s="2">
        <f t="shared" si="234"/>
        <v>1.5273458935430766E-2</v>
      </c>
      <c r="BB566" s="2">
        <f t="shared" si="235"/>
        <v>0</v>
      </c>
      <c r="BC566" s="2">
        <f t="shared" si="236"/>
        <v>0</v>
      </c>
      <c r="BD566" s="2">
        <f t="shared" si="237"/>
        <v>0</v>
      </c>
      <c r="BF566" t="s">
        <v>201</v>
      </c>
      <c r="BG566" t="s">
        <v>1156</v>
      </c>
      <c r="BH566">
        <v>3</v>
      </c>
      <c r="BJ566" s="114">
        <v>13</v>
      </c>
      <c r="BK566" s="116">
        <v>293</v>
      </c>
      <c r="BL566" s="120">
        <f t="shared" si="239"/>
        <v>13293</v>
      </c>
      <c r="BN566" s="5" t="s">
        <v>3154</v>
      </c>
      <c r="BR566" s="63"/>
      <c r="BY566" s="63">
        <f t="shared" si="238"/>
        <v>-10934</v>
      </c>
      <c r="CC566" s="1"/>
      <c r="CD566" s="1"/>
      <c r="CE566" s="1"/>
      <c r="CF566" s="1"/>
    </row>
    <row r="567" spans="1:91" hidden="1" outlineLevel="1">
      <c r="A567" t="s">
        <v>1376</v>
      </c>
      <c r="B567" t="s">
        <v>1156</v>
      </c>
      <c r="C567" s="1">
        <f t="shared" si="227"/>
        <v>23956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0</v>
      </c>
      <c r="G567" s="132">
        <f t="shared" si="228"/>
        <v>14735</v>
      </c>
      <c r="H567" s="137">
        <f t="shared" si="229"/>
        <v>0.61508599098346972</v>
      </c>
      <c r="I567" s="2"/>
      <c r="J567" s="2">
        <f t="shared" si="230"/>
        <v>0.17594757054600099</v>
      </c>
      <c r="K567" s="2">
        <f t="shared" si="231"/>
        <v>0.79103356152947069</v>
      </c>
      <c r="L567" s="2">
        <f t="shared" si="232"/>
        <v>0</v>
      </c>
      <c r="M567" s="2">
        <f t="shared" si="233"/>
        <v>3.301886792452835E-2</v>
      </c>
      <c r="N567" s="63">
        <v>4215</v>
      </c>
      <c r="O567" s="63">
        <v>18950</v>
      </c>
      <c r="P567" s="63"/>
      <c r="Q567" s="63">
        <v>791</v>
      </c>
      <c r="R567" s="63"/>
      <c r="S567" s="63"/>
      <c r="T567" s="63"/>
      <c r="U567" s="63"/>
      <c r="V567" s="63"/>
      <c r="W567" s="63">
        <f>IF(Copyright!B$11=1,IF(CA567&gt;0,CA567-P567-SUM(X567:AQ567)-SUM(R567:V567),SUM(CB567:CM567)),SUM(CC567:CM567))</f>
        <v>0</v>
      </c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W567" s="5">
        <f>IF(Q567&gt;0,RANK(Q567,(N567:P567,Q567:AE567)),0)</f>
        <v>3</v>
      </c>
      <c r="AX567" s="5">
        <f>IF(R567&gt;0,RANK(R567,(N567:P567,Q567:AE567)),0)</f>
        <v>0</v>
      </c>
      <c r="AY567" s="5">
        <f>IF(T567&gt;0,RANK(T567,(N567:P567,Q567:AE567)),0)</f>
        <v>0</v>
      </c>
      <c r="AZ567" s="5">
        <f>IF(S567&gt;0,RANK(S567,(N567:P567,Q567:AE567)),0)</f>
        <v>0</v>
      </c>
      <c r="BA567" s="2">
        <f t="shared" si="234"/>
        <v>3.3018867924528301E-2</v>
      </c>
      <c r="BB567" s="2">
        <f t="shared" si="235"/>
        <v>0</v>
      </c>
      <c r="BC567" s="2">
        <f t="shared" si="236"/>
        <v>0</v>
      </c>
      <c r="BD567" s="2">
        <f t="shared" si="237"/>
        <v>0</v>
      </c>
      <c r="BF567" t="s">
        <v>1376</v>
      </c>
      <c r="BG567" t="s">
        <v>1156</v>
      </c>
      <c r="BH567">
        <v>14</v>
      </c>
      <c r="BJ567" s="114">
        <v>13</v>
      </c>
      <c r="BK567" s="116">
        <v>295</v>
      </c>
      <c r="BL567" s="120">
        <f t="shared" si="239"/>
        <v>13295</v>
      </c>
      <c r="BN567" s="5" t="s">
        <v>3154</v>
      </c>
      <c r="BR567" s="63"/>
      <c r="BY567" s="63">
        <f t="shared" si="238"/>
        <v>-23956</v>
      </c>
      <c r="CC567" s="1"/>
      <c r="CD567" s="1"/>
      <c r="CE567" s="1"/>
      <c r="CF567" s="1"/>
    </row>
    <row r="568" spans="1:91" hidden="1" outlineLevel="1">
      <c r="A568" t="s">
        <v>671</v>
      </c>
      <c r="B568" t="s">
        <v>1156</v>
      </c>
      <c r="C568" s="1">
        <f t="shared" si="227"/>
        <v>40698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4</v>
      </c>
      <c r="G568" s="132">
        <f t="shared" si="228"/>
        <v>22833</v>
      </c>
      <c r="H568" s="137">
        <f t="shared" si="229"/>
        <v>0.56103494029190626</v>
      </c>
      <c r="I568" s="2"/>
      <c r="J568" s="2">
        <f t="shared" si="230"/>
        <v>0.20374465575703965</v>
      </c>
      <c r="K568" s="2">
        <f t="shared" si="231"/>
        <v>0.76477959604894585</v>
      </c>
      <c r="L568" s="2">
        <f t="shared" si="232"/>
        <v>3.7593984962406013E-3</v>
      </c>
      <c r="M568" s="2">
        <f t="shared" si="233"/>
        <v>2.771634969777384E-2</v>
      </c>
      <c r="N568" s="63">
        <v>8292</v>
      </c>
      <c r="O568" s="63">
        <v>31125</v>
      </c>
      <c r="P568" s="63">
        <v>153</v>
      </c>
      <c r="Q568" s="63">
        <v>1055</v>
      </c>
      <c r="R568" s="63">
        <v>54</v>
      </c>
      <c r="S568" s="63">
        <v>16</v>
      </c>
      <c r="T568" s="63"/>
      <c r="U568" s="63"/>
      <c r="V568" s="63"/>
      <c r="W568" s="63">
        <f>IF(Copyright!B$11=1,IF(CA568&gt;0,CA568-P568-SUM(X568:AQ568)-SUM(R568:V568),SUM(CB568:CM568)),SUM(CC568:CM568))</f>
        <v>2</v>
      </c>
      <c r="X568" s="63"/>
      <c r="Y568" s="63"/>
      <c r="Z568" s="63"/>
      <c r="AA568" s="63"/>
      <c r="AB568" s="63"/>
      <c r="AC568" s="63"/>
      <c r="AD568" s="63"/>
      <c r="AE568" s="63">
        <v>1</v>
      </c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W568" s="5">
        <f>IF(Q568&gt;0,RANK(Q568,(N568:P568,Q568:AE568)),0)</f>
        <v>3</v>
      </c>
      <c r="AX568" s="5">
        <f>IF(R568&gt;0,RANK(R568,(N568:P568,Q568:AE568)),0)</f>
        <v>5</v>
      </c>
      <c r="AY568" s="5">
        <f>IF(T568&gt;0,RANK(T568,(N568:P568,Q568:AE568)),0)</f>
        <v>0</v>
      </c>
      <c r="AZ568" s="5">
        <f>IF(S568&gt;0,RANK(S568,(N568:P568,Q568:AE568)),0)</f>
        <v>6</v>
      </c>
      <c r="BA568" s="2">
        <f t="shared" si="234"/>
        <v>2.5922649761659051E-2</v>
      </c>
      <c r="BB568" s="2">
        <f t="shared" si="235"/>
        <v>1.3268465280849183E-3</v>
      </c>
      <c r="BC568" s="2">
        <f t="shared" si="236"/>
        <v>0</v>
      </c>
      <c r="BD568" s="2">
        <f t="shared" si="237"/>
        <v>3.9313971202516092E-4</v>
      </c>
      <c r="BF568" t="s">
        <v>671</v>
      </c>
      <c r="BG568" t="s">
        <v>1156</v>
      </c>
      <c r="BH568">
        <v>10</v>
      </c>
      <c r="BJ568" s="114">
        <v>13</v>
      </c>
      <c r="BK568" s="116">
        <v>297</v>
      </c>
      <c r="BL568" s="120">
        <f t="shared" si="239"/>
        <v>13297</v>
      </c>
      <c r="BN568" s="5" t="s">
        <v>3154</v>
      </c>
      <c r="BR568" s="63"/>
      <c r="BY568" s="63">
        <f t="shared" si="238"/>
        <v>-40698</v>
      </c>
      <c r="CC568" s="1"/>
      <c r="CD568" s="1"/>
      <c r="CE568" s="1">
        <v>1</v>
      </c>
      <c r="CF568" s="1"/>
      <c r="CM568" s="8">
        <v>1</v>
      </c>
    </row>
    <row r="569" spans="1:91" hidden="1" outlineLevel="1">
      <c r="A569" t="s">
        <v>1042</v>
      </c>
      <c r="B569" t="s">
        <v>1156</v>
      </c>
      <c r="C569" s="1">
        <f t="shared" si="227"/>
        <v>12184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>IF(P569&gt;0,RANK(P569,(N569:P569,Q569:AE569)),0)</f>
        <v>4</v>
      </c>
      <c r="G569" s="132">
        <f t="shared" si="228"/>
        <v>5073</v>
      </c>
      <c r="H569" s="137">
        <f t="shared" si="229"/>
        <v>0.41636572554169404</v>
      </c>
      <c r="I569" s="2"/>
      <c r="J569" s="2">
        <f t="shared" si="230"/>
        <v>0.28233749179251477</v>
      </c>
      <c r="K569" s="2">
        <f t="shared" si="231"/>
        <v>0.69870321733420881</v>
      </c>
      <c r="L569" s="2">
        <f t="shared" si="232"/>
        <v>1.3131976362442547E-3</v>
      </c>
      <c r="M569" s="2">
        <f t="shared" si="233"/>
        <v>1.7646093237032159E-2</v>
      </c>
      <c r="N569" s="63">
        <v>3440</v>
      </c>
      <c r="O569" s="63">
        <v>8513</v>
      </c>
      <c r="P569" s="63">
        <v>16</v>
      </c>
      <c r="Q569" s="63">
        <v>206</v>
      </c>
      <c r="R569" s="63">
        <v>6</v>
      </c>
      <c r="S569" s="63">
        <v>3</v>
      </c>
      <c r="T569" s="63"/>
      <c r="U569" s="63"/>
      <c r="V569" s="63"/>
      <c r="W569" s="63">
        <f>IF(Copyright!B$11=1,IF(CA569&gt;0,CA569-P569-SUM(X569:AQ569)-SUM(R569:V569),SUM(CB569:CM569)),SUM(CC569:CM569))</f>
        <v>0</v>
      </c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W569" s="5">
        <f>IF(Q569&gt;0,RANK(Q569,(N569:P569,Q569:AE569)),0)</f>
        <v>3</v>
      </c>
      <c r="AX569" s="5">
        <f>IF(R569&gt;0,RANK(R569,(N569:P569,Q569:AE569)),0)</f>
        <v>5</v>
      </c>
      <c r="AY569" s="5">
        <f>IF(T569&gt;0,RANK(T569,(N569:P569,Q569:AE569)),0)</f>
        <v>0</v>
      </c>
      <c r="AZ569" s="5">
        <f>IF(S569&gt;0,RANK(S569,(N569:P569,Q569:AE569)),0)</f>
        <v>6</v>
      </c>
      <c r="BA569" s="2">
        <f t="shared" si="234"/>
        <v>1.690741956664478E-2</v>
      </c>
      <c r="BB569" s="2">
        <f t="shared" si="235"/>
        <v>4.9244911359159549E-4</v>
      </c>
      <c r="BC569" s="2">
        <f t="shared" si="236"/>
        <v>0</v>
      </c>
      <c r="BD569" s="2">
        <f t="shared" si="237"/>
        <v>2.4622455679579775E-4</v>
      </c>
      <c r="BF569" t="s">
        <v>1042</v>
      </c>
      <c r="BG569" t="s">
        <v>1156</v>
      </c>
      <c r="BH569">
        <v>1</v>
      </c>
      <c r="BJ569" s="114">
        <v>13</v>
      </c>
      <c r="BK569" s="116">
        <v>299</v>
      </c>
      <c r="BL569" s="120">
        <f t="shared" si="239"/>
        <v>13299</v>
      </c>
      <c r="BN569" s="5" t="s">
        <v>3154</v>
      </c>
      <c r="BR569" s="63"/>
      <c r="BY569" s="63">
        <f t="shared" si="238"/>
        <v>-12184</v>
      </c>
      <c r="CC569" s="1"/>
      <c r="CD569" s="1"/>
      <c r="CE569" s="1"/>
      <c r="CF569" s="1"/>
    </row>
    <row r="570" spans="1:91" hidden="1" outlineLevel="1">
      <c r="A570" t="s">
        <v>422</v>
      </c>
      <c r="B570" t="s">
        <v>1156</v>
      </c>
      <c r="C570" s="1">
        <f t="shared" si="227"/>
        <v>2334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32">
        <f t="shared" si="228"/>
        <v>323</v>
      </c>
      <c r="H570" s="137">
        <f t="shared" si="229"/>
        <v>0.13838903170522707</v>
      </c>
      <c r="I570" s="2"/>
      <c r="J570" s="2">
        <f t="shared" si="230"/>
        <v>0.56298200514138819</v>
      </c>
      <c r="K570" s="2">
        <f t="shared" si="231"/>
        <v>0.42459297343616109</v>
      </c>
      <c r="L570" s="2">
        <f t="shared" si="232"/>
        <v>0</v>
      </c>
      <c r="M570" s="2">
        <f t="shared" si="233"/>
        <v>1.2425021422450722E-2</v>
      </c>
      <c r="N570" s="63">
        <v>1314</v>
      </c>
      <c r="O570" s="63">
        <v>991</v>
      </c>
      <c r="P570" s="63"/>
      <c r="Q570" s="63">
        <v>28</v>
      </c>
      <c r="R570" s="63">
        <v>1</v>
      </c>
      <c r="S570" s="63"/>
      <c r="T570" s="63"/>
      <c r="U570" s="63"/>
      <c r="V570" s="63"/>
      <c r="W570" s="63">
        <f>IF(Copyright!B$11=1,IF(CA570&gt;0,CA570-P570-SUM(X570:AQ570)-SUM(R570:V570),SUM(CB570:CM570)),SUM(CC570:CM570))</f>
        <v>0</v>
      </c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W570" s="5">
        <f>IF(Q570&gt;0,RANK(Q570,(N570:P570,Q570:AE570)),0)</f>
        <v>3</v>
      </c>
      <c r="AX570" s="5">
        <f>IF(R570&gt;0,RANK(R570,(N570:P570,Q570:AE570)),0)</f>
        <v>4</v>
      </c>
      <c r="AY570" s="5">
        <f>IF(T570&gt;0,RANK(T570,(N570:P570,Q570:AE570)),0)</f>
        <v>0</v>
      </c>
      <c r="AZ570" s="5">
        <f>IF(S570&gt;0,RANK(S570,(N570:P570,Q570:AE570)),0)</f>
        <v>0</v>
      </c>
      <c r="BA570" s="2">
        <f t="shared" si="234"/>
        <v>1.1996572407883462E-2</v>
      </c>
      <c r="BB570" s="2">
        <f t="shared" si="235"/>
        <v>4.2844901456726652E-4</v>
      </c>
      <c r="BC570" s="2">
        <f t="shared" si="236"/>
        <v>0</v>
      </c>
      <c r="BD570" s="2">
        <f t="shared" si="237"/>
        <v>0</v>
      </c>
      <c r="BF570" t="s">
        <v>422</v>
      </c>
      <c r="BG570" t="s">
        <v>1156</v>
      </c>
      <c r="BH570">
        <v>10</v>
      </c>
      <c r="BJ570" s="114">
        <v>13</v>
      </c>
      <c r="BK570" s="116">
        <v>301</v>
      </c>
      <c r="BL570" s="120">
        <f t="shared" si="239"/>
        <v>13301</v>
      </c>
      <c r="BN570" s="5" t="s">
        <v>3154</v>
      </c>
      <c r="BR570" s="63"/>
      <c r="BY570" s="63">
        <f t="shared" si="238"/>
        <v>-2334</v>
      </c>
      <c r="CC570" s="1"/>
      <c r="CD570" s="1"/>
      <c r="CE570" s="1"/>
      <c r="CF570" s="1"/>
    </row>
    <row r="571" spans="1:91" hidden="1" outlineLevel="1">
      <c r="A571" t="s">
        <v>692</v>
      </c>
      <c r="B571" t="s">
        <v>1156</v>
      </c>
      <c r="C571" s="1">
        <f t="shared" si="227"/>
        <v>8461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>IF(P571&gt;0,RANK(P571,(N571:P571,Q571:AE571)),0)</f>
        <v>5</v>
      </c>
      <c r="G571" s="132">
        <f t="shared" si="228"/>
        <v>51</v>
      </c>
      <c r="H571" s="137">
        <f t="shared" si="229"/>
        <v>6.0276563054012531E-3</v>
      </c>
      <c r="I571" s="2"/>
      <c r="J571" s="2">
        <f t="shared" si="230"/>
        <v>0.4963952251506914</v>
      </c>
      <c r="K571" s="2">
        <f t="shared" si="231"/>
        <v>0.49036756884529015</v>
      </c>
      <c r="L571" s="2">
        <f t="shared" si="232"/>
        <v>2.3637867864318638E-4</v>
      </c>
      <c r="M571" s="2">
        <f t="shared" si="233"/>
        <v>1.3000827325375323E-2</v>
      </c>
      <c r="N571" s="63">
        <v>4200</v>
      </c>
      <c r="O571" s="63">
        <v>4149</v>
      </c>
      <c r="P571" s="63">
        <v>2</v>
      </c>
      <c r="Q571" s="63">
        <v>98</v>
      </c>
      <c r="R571" s="63">
        <v>10</v>
      </c>
      <c r="S571" s="63">
        <v>2</v>
      </c>
      <c r="T571" s="63"/>
      <c r="U571" s="63"/>
      <c r="V571" s="63"/>
      <c r="W571" s="63">
        <f>IF(Copyright!B$11=1,IF(CA571&gt;0,CA571-P571-SUM(X571:AQ571)-SUM(R571:V571),SUM(CB571:CM571)),SUM(CC571:CM571))</f>
        <v>0</v>
      </c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W571" s="5">
        <f>IF(Q571&gt;0,RANK(Q571,(N571:P571,Q571:AE571)),0)</f>
        <v>3</v>
      </c>
      <c r="AX571" s="5">
        <f>IF(R571&gt;0,RANK(R571,(N571:P571,Q571:AE571)),0)</f>
        <v>4</v>
      </c>
      <c r="AY571" s="5">
        <f>IF(T571&gt;0,RANK(T571,(N571:P571,Q571:AE571)),0)</f>
        <v>0</v>
      </c>
      <c r="AZ571" s="5">
        <f>IF(S571&gt;0,RANK(S571,(N571:P571,Q571:AE571)),0)</f>
        <v>5</v>
      </c>
      <c r="BA571" s="2">
        <f t="shared" si="234"/>
        <v>1.1582555253516133E-2</v>
      </c>
      <c r="BB571" s="2">
        <f t="shared" si="235"/>
        <v>1.1818933932159319E-3</v>
      </c>
      <c r="BC571" s="2">
        <f t="shared" si="236"/>
        <v>0</v>
      </c>
      <c r="BD571" s="2">
        <f t="shared" si="237"/>
        <v>2.3637867864318638E-4</v>
      </c>
      <c r="BF571" t="s">
        <v>692</v>
      </c>
      <c r="BG571" t="s">
        <v>1156</v>
      </c>
      <c r="BH571">
        <v>10</v>
      </c>
      <c r="BJ571" s="114">
        <v>13</v>
      </c>
      <c r="BK571" s="116">
        <v>303</v>
      </c>
      <c r="BL571" s="120">
        <f t="shared" si="239"/>
        <v>13303</v>
      </c>
      <c r="BN571" s="5" t="s">
        <v>3154</v>
      </c>
      <c r="BR571" s="63"/>
      <c r="BY571" s="63">
        <f t="shared" si="238"/>
        <v>-8461</v>
      </c>
      <c r="CC571" s="1"/>
      <c r="CD571" s="1"/>
      <c r="CE571" s="1"/>
      <c r="CF571" s="1"/>
    </row>
    <row r="572" spans="1:91" hidden="1" outlineLevel="1">
      <c r="A572" t="s">
        <v>423</v>
      </c>
      <c r="B572" t="s">
        <v>1156</v>
      </c>
      <c r="C572" s="1">
        <f t="shared" si="227"/>
        <v>10413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4</v>
      </c>
      <c r="G572" s="132">
        <f t="shared" si="228"/>
        <v>6112</v>
      </c>
      <c r="H572" s="137">
        <f t="shared" si="229"/>
        <v>0.58695860943051958</v>
      </c>
      <c r="I572" s="2"/>
      <c r="J572" s="2">
        <f t="shared" si="230"/>
        <v>0.19600499375780275</v>
      </c>
      <c r="K572" s="2">
        <f t="shared" si="231"/>
        <v>0.78296360318832225</v>
      </c>
      <c r="L572" s="2">
        <f t="shared" si="232"/>
        <v>1.6325746662825315E-3</v>
      </c>
      <c r="M572" s="2">
        <f t="shared" si="233"/>
        <v>1.9398828387592434E-2</v>
      </c>
      <c r="N572" s="63">
        <v>2041</v>
      </c>
      <c r="O572" s="63">
        <v>8153</v>
      </c>
      <c r="P572" s="63">
        <v>17</v>
      </c>
      <c r="Q572" s="63">
        <v>192</v>
      </c>
      <c r="R572" s="63">
        <v>7</v>
      </c>
      <c r="S572" s="63">
        <v>2</v>
      </c>
      <c r="T572" s="63"/>
      <c r="U572" s="63"/>
      <c r="V572" s="63"/>
      <c r="W572" s="63">
        <f>IF(Copyright!B$11=1,IF(CA572&gt;0,CA572-P572-SUM(X572:AQ572)-SUM(R572:V572),SUM(CB572:CM572)),SUM(CC572:CM572))</f>
        <v>0</v>
      </c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>
        <v>1</v>
      </c>
      <c r="AO572" s="63"/>
      <c r="AP572" s="63"/>
      <c r="AQ572" s="63"/>
      <c r="AR572" s="63"/>
      <c r="AS572" s="63"/>
      <c r="AT572" s="63"/>
      <c r="AU572" s="63"/>
      <c r="AW572" s="5">
        <f>IF(Q572&gt;0,RANK(Q572,(N572:P572,Q572:AE572)),0)</f>
        <v>3</v>
      </c>
      <c r="AX572" s="5">
        <f>IF(R572&gt;0,RANK(R572,(N572:P572,Q572:AE572)),0)</f>
        <v>5</v>
      </c>
      <c r="AY572" s="5">
        <f>IF(T572&gt;0,RANK(T572,(N572:P572,Q572:AE572)),0)</f>
        <v>0</v>
      </c>
      <c r="AZ572" s="5">
        <f>IF(S572&gt;0,RANK(S572,(N572:P572,Q572:AE572)),0)</f>
        <v>6</v>
      </c>
      <c r="BA572" s="2">
        <f t="shared" si="234"/>
        <v>1.8438490348602708E-2</v>
      </c>
      <c r="BB572" s="2">
        <f t="shared" si="235"/>
        <v>6.722366272928071E-4</v>
      </c>
      <c r="BC572" s="2">
        <f t="shared" si="236"/>
        <v>0</v>
      </c>
      <c r="BD572" s="2">
        <f t="shared" si="237"/>
        <v>1.9206760779794487E-4</v>
      </c>
      <c r="BF572" t="s">
        <v>423</v>
      </c>
      <c r="BG572" t="s">
        <v>1156</v>
      </c>
      <c r="BH572">
        <v>1</v>
      </c>
      <c r="BJ572" s="114">
        <v>13</v>
      </c>
      <c r="BK572" s="116">
        <v>305</v>
      </c>
      <c r="BL572" s="120">
        <f t="shared" si="239"/>
        <v>13305</v>
      </c>
      <c r="BN572" s="5" t="s">
        <v>3154</v>
      </c>
      <c r="BR572" s="63"/>
      <c r="BY572" s="63">
        <f t="shared" si="238"/>
        <v>-10413</v>
      </c>
      <c r="CC572" s="1"/>
      <c r="CD572" s="1"/>
      <c r="CE572" s="1"/>
      <c r="CF572" s="1"/>
    </row>
    <row r="573" spans="1:91" hidden="1" outlineLevel="1">
      <c r="A573" t="s">
        <v>697</v>
      </c>
      <c r="B573" t="s">
        <v>1156</v>
      </c>
      <c r="C573" s="1">
        <f t="shared" si="227"/>
        <v>1116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32">
        <f t="shared" si="228"/>
        <v>157</v>
      </c>
      <c r="H573" s="137">
        <f t="shared" si="229"/>
        <v>0.14068100358422939</v>
      </c>
      <c r="I573" s="2"/>
      <c r="J573" s="2">
        <f t="shared" si="230"/>
        <v>0.42383512544802865</v>
      </c>
      <c r="K573" s="2">
        <f t="shared" si="231"/>
        <v>0.56451612903225812</v>
      </c>
      <c r="L573" s="2">
        <f t="shared" si="232"/>
        <v>0</v>
      </c>
      <c r="M573" s="2">
        <f t="shared" si="233"/>
        <v>1.1648745519713288E-2</v>
      </c>
      <c r="N573" s="63">
        <v>473</v>
      </c>
      <c r="O573" s="63">
        <v>630</v>
      </c>
      <c r="P573" s="63"/>
      <c r="Q573" s="63">
        <v>13</v>
      </c>
      <c r="R573" s="63"/>
      <c r="S573" s="63"/>
      <c r="T573" s="63"/>
      <c r="U573" s="63"/>
      <c r="V573" s="63"/>
      <c r="W573" s="63">
        <f>IF(Copyright!B$11=1,IF(CA573&gt;0,CA573-P573-SUM(X573:AQ573)-SUM(R573:V573),SUM(CB573:CM573)),SUM(CC573:CM573))</f>
        <v>0</v>
      </c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W573" s="5">
        <f>IF(Q573&gt;0,RANK(Q573,(N573:P573,Q573:AE573)),0)</f>
        <v>3</v>
      </c>
      <c r="AX573" s="5">
        <f>IF(R573&gt;0,RANK(R573,(N573:P573,Q573:AE573)),0)</f>
        <v>0</v>
      </c>
      <c r="AY573" s="5">
        <f>IF(T573&gt;0,RANK(T573,(N573:P573,Q573:AE573)),0)</f>
        <v>0</v>
      </c>
      <c r="AZ573" s="5">
        <f>IF(S573&gt;0,RANK(S573,(N573:P573,Q573:AE573)),0)</f>
        <v>0</v>
      </c>
      <c r="BA573" s="2">
        <f t="shared" si="234"/>
        <v>1.1648745519713262E-2</v>
      </c>
      <c r="BB573" s="2">
        <f t="shared" si="235"/>
        <v>0</v>
      </c>
      <c r="BC573" s="2">
        <f t="shared" si="236"/>
        <v>0</v>
      </c>
      <c r="BD573" s="2">
        <f t="shared" si="237"/>
        <v>0</v>
      </c>
      <c r="BF573" t="s">
        <v>697</v>
      </c>
      <c r="BG573" t="s">
        <v>1156</v>
      </c>
      <c r="BH573">
        <v>2</v>
      </c>
      <c r="BJ573" s="114">
        <v>13</v>
      </c>
      <c r="BK573" s="116">
        <v>307</v>
      </c>
      <c r="BL573" s="120">
        <f t="shared" si="239"/>
        <v>13307</v>
      </c>
      <c r="BN573" s="5" t="s">
        <v>3154</v>
      </c>
      <c r="BR573" s="63"/>
      <c r="BY573" s="63">
        <f t="shared" si="238"/>
        <v>-1116</v>
      </c>
      <c r="CC573" s="1"/>
      <c r="CD573" s="1"/>
      <c r="CE573" s="1"/>
      <c r="CF573" s="1"/>
    </row>
    <row r="574" spans="1:91" hidden="1" outlineLevel="1">
      <c r="A574" t="s">
        <v>607</v>
      </c>
      <c r="B574" t="s">
        <v>1156</v>
      </c>
      <c r="C574" s="1">
        <f t="shared" si="227"/>
        <v>2102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32">
        <f t="shared" si="228"/>
        <v>775</v>
      </c>
      <c r="H574" s="137">
        <f t="shared" si="229"/>
        <v>0.3686964795432921</v>
      </c>
      <c r="I574" s="2"/>
      <c r="J574" s="2">
        <f t="shared" si="230"/>
        <v>0.30732635585156992</v>
      </c>
      <c r="K574" s="2">
        <f t="shared" si="231"/>
        <v>0.67602283539486208</v>
      </c>
      <c r="L574" s="2">
        <f t="shared" si="232"/>
        <v>0</v>
      </c>
      <c r="M574" s="2">
        <f t="shared" si="233"/>
        <v>1.6650808753567947E-2</v>
      </c>
      <c r="N574" s="63">
        <v>646</v>
      </c>
      <c r="O574" s="63">
        <v>1421</v>
      </c>
      <c r="P574" s="63"/>
      <c r="Q574" s="63">
        <v>35</v>
      </c>
      <c r="R574" s="63"/>
      <c r="S574" s="63"/>
      <c r="T574" s="63"/>
      <c r="U574" s="63"/>
      <c r="V574" s="63"/>
      <c r="W574" s="63">
        <f>IF(Copyright!B$11=1,IF(CA574&gt;0,CA574-P574-SUM(X574:AQ574)-SUM(R574:V574),SUM(CB574:CM574)),SUM(CC574:CM574))</f>
        <v>0</v>
      </c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W574" s="5">
        <f>IF(Q574&gt;0,RANK(Q574,(N574:P574,Q574:AE574)),0)</f>
        <v>3</v>
      </c>
      <c r="AX574" s="5">
        <f>IF(R574&gt;0,RANK(R574,(N574:P574,Q574:AE574)),0)</f>
        <v>0</v>
      </c>
      <c r="AY574" s="5">
        <f>IF(T574&gt;0,RANK(T574,(N574:P574,Q574:AE574)),0)</f>
        <v>0</v>
      </c>
      <c r="AZ574" s="5">
        <f>IF(S574&gt;0,RANK(S574,(N574:P574,Q574:AE574)),0)</f>
        <v>0</v>
      </c>
      <c r="BA574" s="2">
        <f t="shared" si="234"/>
        <v>1.665080875356803E-2</v>
      </c>
      <c r="BB574" s="2">
        <f t="shared" si="235"/>
        <v>0</v>
      </c>
      <c r="BC574" s="2">
        <f t="shared" si="236"/>
        <v>0</v>
      </c>
      <c r="BD574" s="2">
        <f t="shared" si="237"/>
        <v>0</v>
      </c>
      <c r="BF574" t="s">
        <v>607</v>
      </c>
      <c r="BG574" t="s">
        <v>1156</v>
      </c>
      <c r="BH574">
        <v>12</v>
      </c>
      <c r="BJ574" s="114">
        <v>13</v>
      </c>
      <c r="BK574" s="116">
        <v>309</v>
      </c>
      <c r="BL574" s="120">
        <f t="shared" si="239"/>
        <v>13309</v>
      </c>
      <c r="BN574" s="5" t="s">
        <v>3154</v>
      </c>
      <c r="BR574" s="63"/>
      <c r="BY574" s="63">
        <f t="shared" si="238"/>
        <v>-2102</v>
      </c>
      <c r="CC574" s="1"/>
      <c r="CD574" s="1"/>
      <c r="CE574" s="1"/>
      <c r="CF574" s="1"/>
    </row>
    <row r="575" spans="1:91" hidden="1" outlineLevel="1">
      <c r="A575" t="s">
        <v>1976</v>
      </c>
      <c r="B575" t="s">
        <v>1156</v>
      </c>
      <c r="C575" s="1">
        <f t="shared" si="227"/>
        <v>11912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5</v>
      </c>
      <c r="G575" s="132">
        <f t="shared" si="228"/>
        <v>8087</v>
      </c>
      <c r="H575" s="137">
        <f t="shared" si="229"/>
        <v>0.67889523169912691</v>
      </c>
      <c r="I575" s="2"/>
      <c r="J575" s="2">
        <f t="shared" si="230"/>
        <v>0.14053055742108797</v>
      </c>
      <c r="K575" s="2">
        <f t="shared" si="231"/>
        <v>0.81942578912021491</v>
      </c>
      <c r="L575" s="2">
        <f t="shared" si="232"/>
        <v>1.8468770987239758E-3</v>
      </c>
      <c r="M575" s="2">
        <f t="shared" si="233"/>
        <v>3.8196776359973116E-2</v>
      </c>
      <c r="N575" s="63">
        <v>1674</v>
      </c>
      <c r="O575" s="63">
        <v>9761</v>
      </c>
      <c r="P575" s="63">
        <v>22</v>
      </c>
      <c r="Q575" s="63">
        <v>348</v>
      </c>
      <c r="R575" s="63">
        <v>9</v>
      </c>
      <c r="S575" s="63">
        <v>8</v>
      </c>
      <c r="T575" s="63"/>
      <c r="U575" s="63"/>
      <c r="V575" s="63"/>
      <c r="W575" s="63">
        <f>IF(Copyright!B$11=1,IF(CA575&gt;0,CA575-P575-SUM(X575:AQ575)-SUM(R575:V575),SUM(CB575:CM575)),SUM(CC575:CM575))</f>
        <v>89</v>
      </c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>
        <v>1</v>
      </c>
      <c r="AO575" s="63"/>
      <c r="AP575" s="63"/>
      <c r="AQ575" s="63"/>
      <c r="AR575" s="63"/>
      <c r="AS575" s="63"/>
      <c r="AT575" s="63"/>
      <c r="AU575" s="63"/>
      <c r="AW575" s="5">
        <f>IF(Q575&gt;0,RANK(Q575,(N575:P575,Q575:AE575)),0)</f>
        <v>3</v>
      </c>
      <c r="AX575" s="5">
        <f>IF(R575&gt;0,RANK(R575,(N575:P575,Q575:AE575)),0)</f>
        <v>6</v>
      </c>
      <c r="AY575" s="5">
        <f>IF(T575&gt;0,RANK(T575,(N575:P575,Q575:AE575)),0)</f>
        <v>0</v>
      </c>
      <c r="AZ575" s="5">
        <f>IF(S575&gt;0,RANK(S575,(N575:P575,Q575:AE575)),0)</f>
        <v>7</v>
      </c>
      <c r="BA575" s="2">
        <f t="shared" si="234"/>
        <v>2.9214237743451981E-2</v>
      </c>
      <c r="BB575" s="2">
        <f t="shared" si="235"/>
        <v>7.5554063129617188E-4</v>
      </c>
      <c r="BC575" s="2">
        <f t="shared" si="236"/>
        <v>0</v>
      </c>
      <c r="BD575" s="2">
        <f t="shared" si="237"/>
        <v>6.7159167226326397E-4</v>
      </c>
      <c r="BF575" t="s">
        <v>1976</v>
      </c>
      <c r="BG575" t="s">
        <v>1156</v>
      </c>
      <c r="BH575">
        <v>9</v>
      </c>
      <c r="BJ575" s="114">
        <v>13</v>
      </c>
      <c r="BK575" s="116">
        <v>311</v>
      </c>
      <c r="BL575" s="120">
        <f t="shared" si="239"/>
        <v>13311</v>
      </c>
      <c r="BN575" s="5" t="s">
        <v>3154</v>
      </c>
      <c r="BR575" s="63"/>
      <c r="BY575" s="63">
        <f t="shared" si="238"/>
        <v>-12</v>
      </c>
      <c r="BZ575" s="63">
        <v>11900</v>
      </c>
      <c r="CA575" s="133">
        <v>129</v>
      </c>
      <c r="CC575" s="1"/>
      <c r="CD575" s="1"/>
      <c r="CE575" s="1"/>
      <c r="CF575" s="1"/>
    </row>
    <row r="576" spans="1:91" hidden="1" outlineLevel="1">
      <c r="A576" t="s">
        <v>299</v>
      </c>
      <c r="B576" t="s">
        <v>1156</v>
      </c>
      <c r="C576" s="1">
        <f t="shared" si="227"/>
        <v>30658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5</v>
      </c>
      <c r="G576" s="132">
        <f t="shared" si="228"/>
        <v>13600</v>
      </c>
      <c r="H576" s="137">
        <f t="shared" si="229"/>
        <v>0.4436036271120099</v>
      </c>
      <c r="I576" s="2"/>
      <c r="J576" s="2">
        <f t="shared" si="230"/>
        <v>0.2588883814991193</v>
      </c>
      <c r="K576" s="2">
        <f t="shared" si="231"/>
        <v>0.70249200861112926</v>
      </c>
      <c r="L576" s="2">
        <f t="shared" si="232"/>
        <v>3.3270272033400746E-3</v>
      </c>
      <c r="M576" s="2">
        <f t="shared" si="233"/>
        <v>3.5292582686411361E-2</v>
      </c>
      <c r="N576" s="63">
        <v>7937</v>
      </c>
      <c r="O576" s="63">
        <v>21537</v>
      </c>
      <c r="P576" s="63">
        <v>102</v>
      </c>
      <c r="Q576" s="63">
        <v>924</v>
      </c>
      <c r="R576" s="63">
        <v>150</v>
      </c>
      <c r="S576" s="63">
        <v>8</v>
      </c>
      <c r="T576" s="63"/>
      <c r="U576" s="63"/>
      <c r="V576" s="63"/>
      <c r="W576" s="63">
        <f>IF(Copyright!B$11=1,IF(CA576&gt;0,CA576-P576-SUM(X576:AQ576)-SUM(R576:V576),SUM(CB576:CM576)),SUM(CC576:CM576))</f>
        <v>0</v>
      </c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W576" s="5">
        <f>IF(Q576&gt;0,RANK(Q576,(N576:P576,Q576:AE576)),0)</f>
        <v>3</v>
      </c>
      <c r="AX576" s="5">
        <f>IF(R576&gt;0,RANK(R576,(N576:P576,Q576:AE576)),0)</f>
        <v>4</v>
      </c>
      <c r="AY576" s="5">
        <f>IF(T576&gt;0,RANK(T576,(N576:P576,Q576:AE576)),0)</f>
        <v>0</v>
      </c>
      <c r="AZ576" s="5">
        <f>IF(S576&gt;0,RANK(S576,(N576:P576,Q576:AE576)),0)</f>
        <v>6</v>
      </c>
      <c r="BA576" s="2">
        <f t="shared" si="234"/>
        <v>3.0138952312610084E-2</v>
      </c>
      <c r="BB576" s="2">
        <f t="shared" si="235"/>
        <v>4.8926870637354038E-3</v>
      </c>
      <c r="BC576" s="2">
        <f t="shared" si="236"/>
        <v>0</v>
      </c>
      <c r="BD576" s="2">
        <f t="shared" si="237"/>
        <v>2.6094331006588819E-4</v>
      </c>
      <c r="BF576" t="s">
        <v>299</v>
      </c>
      <c r="BG576" t="s">
        <v>1156</v>
      </c>
      <c r="BH576">
        <v>14</v>
      </c>
      <c r="BJ576" s="114">
        <v>13</v>
      </c>
      <c r="BK576" s="116">
        <v>313</v>
      </c>
      <c r="BL576" s="120">
        <f t="shared" si="239"/>
        <v>13313</v>
      </c>
      <c r="BN576" s="5" t="s">
        <v>3154</v>
      </c>
      <c r="BR576" s="63"/>
      <c r="BY576" s="63">
        <f t="shared" si="238"/>
        <v>-30658</v>
      </c>
      <c r="CA576" s="132"/>
      <c r="CC576" s="1"/>
      <c r="CD576" s="1"/>
      <c r="CE576" s="1"/>
      <c r="CF576" s="1"/>
    </row>
    <row r="577" spans="1:92" hidden="1" outlineLevel="1">
      <c r="A577" t="s">
        <v>979</v>
      </c>
      <c r="B577" t="s">
        <v>1156</v>
      </c>
      <c r="C577" s="1">
        <f t="shared" si="227"/>
        <v>2976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4</v>
      </c>
      <c r="G577" s="132">
        <f t="shared" si="228"/>
        <v>1244</v>
      </c>
      <c r="H577" s="137">
        <f t="shared" si="229"/>
        <v>0.41801075268817206</v>
      </c>
      <c r="I577" s="2"/>
      <c r="J577" s="2">
        <f t="shared" si="230"/>
        <v>0.28629032258064518</v>
      </c>
      <c r="K577" s="2">
        <f t="shared" si="231"/>
        <v>0.70430107526881724</v>
      </c>
      <c r="L577" s="2">
        <f t="shared" si="232"/>
        <v>6.7204301075268823E-4</v>
      </c>
      <c r="M577" s="2">
        <f t="shared" si="233"/>
        <v>8.7365591397848275E-3</v>
      </c>
      <c r="N577" s="63">
        <v>852</v>
      </c>
      <c r="O577" s="63">
        <v>2096</v>
      </c>
      <c r="P577" s="63">
        <v>2</v>
      </c>
      <c r="Q577" s="63">
        <v>25</v>
      </c>
      <c r="R577" s="63">
        <v>1</v>
      </c>
      <c r="S577" s="63"/>
      <c r="T577" s="63"/>
      <c r="U577" s="63"/>
      <c r="V577" s="63"/>
      <c r="W577" s="63">
        <f>IF(Copyright!B$11=1,IF(CA577&gt;0,CA577-P577-SUM(X577:AQ577)-SUM(R577:V577),SUM(CB577:CM577)),SUM(CC577:CM577))</f>
        <v>0</v>
      </c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W577" s="5">
        <f>IF(Q577&gt;0,RANK(Q577,(N577:P577,Q577:AE577)),0)</f>
        <v>3</v>
      </c>
      <c r="AX577" s="5">
        <f>IF(R577&gt;0,RANK(R577,(N577:P577,Q577:AE577)),0)</f>
        <v>5</v>
      </c>
      <c r="AY577" s="5">
        <f>IF(T577&gt;0,RANK(T577,(N577:P577,Q577:AE577)),0)</f>
        <v>0</v>
      </c>
      <c r="AZ577" s="5">
        <f>IF(S577&gt;0,RANK(S577,(N577:P577,Q577:AE577)),0)</f>
        <v>0</v>
      </c>
      <c r="BA577" s="2">
        <f t="shared" si="234"/>
        <v>8.4005376344086016E-3</v>
      </c>
      <c r="BB577" s="2">
        <f t="shared" si="235"/>
        <v>3.3602150537634411E-4</v>
      </c>
      <c r="BC577" s="2">
        <f t="shared" si="236"/>
        <v>0</v>
      </c>
      <c r="BD577" s="2">
        <f t="shared" si="237"/>
        <v>0</v>
      </c>
      <c r="BF577" t="s">
        <v>979</v>
      </c>
      <c r="BG577" t="s">
        <v>1156</v>
      </c>
      <c r="BH577">
        <v>8</v>
      </c>
      <c r="BJ577" s="114">
        <v>13</v>
      </c>
      <c r="BK577" s="116">
        <v>315</v>
      </c>
      <c r="BL577" s="120">
        <f t="shared" si="239"/>
        <v>13315</v>
      </c>
      <c r="BN577" s="5" t="s">
        <v>3154</v>
      </c>
      <c r="BR577" s="63"/>
      <c r="BY577" s="63">
        <f t="shared" si="238"/>
        <v>-2976</v>
      </c>
      <c r="CC577" s="1"/>
      <c r="CD577" s="1"/>
      <c r="CE577" s="1"/>
      <c r="CF577" s="1"/>
    </row>
    <row r="578" spans="1:92" hidden="1" outlineLevel="1">
      <c r="A578" t="s">
        <v>566</v>
      </c>
      <c r="B578" t="s">
        <v>1156</v>
      </c>
      <c r="C578" s="1">
        <f t="shared" si="227"/>
        <v>4486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5</v>
      </c>
      <c r="G578" s="132">
        <f t="shared" si="228"/>
        <v>724</v>
      </c>
      <c r="H578" s="137">
        <f t="shared" si="229"/>
        <v>0.16139099420419081</v>
      </c>
      <c r="I578" s="2"/>
      <c r="J578" s="2">
        <f t="shared" si="230"/>
        <v>0.41194828354881857</v>
      </c>
      <c r="K578" s="2">
        <f t="shared" si="231"/>
        <v>0.57333927775300941</v>
      </c>
      <c r="L578" s="2">
        <f t="shared" si="232"/>
        <v>8.9166295140436912E-4</v>
      </c>
      <c r="M578" s="2">
        <f t="shared" si="233"/>
        <v>1.3820775746767589E-2</v>
      </c>
      <c r="N578" s="63">
        <v>1848</v>
      </c>
      <c r="O578" s="63">
        <v>2572</v>
      </c>
      <c r="P578" s="63">
        <v>4</v>
      </c>
      <c r="Q578" s="63">
        <v>57</v>
      </c>
      <c r="R578" s="63">
        <v>5</v>
      </c>
      <c r="S578" s="63"/>
      <c r="T578" s="63"/>
      <c r="U578" s="63"/>
      <c r="V578" s="63"/>
      <c r="W578" s="63">
        <f>IF(Copyright!B$11=1,IF(CA578&gt;0,CA578-P578-SUM(X578:AQ578)-SUM(R578:V578),SUM(CB578:CM578)),SUM(CC578:CM578))</f>
        <v>0</v>
      </c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W578" s="5">
        <f>IF(Q578&gt;0,RANK(Q578,(N578:P578,Q578:AE578)),0)</f>
        <v>3</v>
      </c>
      <c r="AX578" s="5">
        <f>IF(R578&gt;0,RANK(R578,(N578:P578,Q578:AE578)),0)</f>
        <v>4</v>
      </c>
      <c r="AY578" s="5">
        <f>IF(T578&gt;0,RANK(T578,(N578:P578,Q578:AE578)),0)</f>
        <v>0</v>
      </c>
      <c r="AZ578" s="5">
        <f>IF(S578&gt;0,RANK(S578,(N578:P578,Q578:AE578)),0)</f>
        <v>0</v>
      </c>
      <c r="BA578" s="2">
        <f t="shared" si="234"/>
        <v>1.270619705751226E-2</v>
      </c>
      <c r="BB578" s="2">
        <f t="shared" si="235"/>
        <v>1.1145786892554615E-3</v>
      </c>
      <c r="BC578" s="2">
        <f t="shared" si="236"/>
        <v>0</v>
      </c>
      <c r="BD578" s="2">
        <f t="shared" si="237"/>
        <v>0</v>
      </c>
      <c r="BF578" t="s">
        <v>566</v>
      </c>
      <c r="BG578" t="s">
        <v>1156</v>
      </c>
      <c r="BH578">
        <v>10</v>
      </c>
      <c r="BJ578" s="114">
        <v>13</v>
      </c>
      <c r="BK578" s="116">
        <v>317</v>
      </c>
      <c r="BL578" s="120">
        <f t="shared" si="239"/>
        <v>13317</v>
      </c>
      <c r="BN578" s="5" t="s">
        <v>3154</v>
      </c>
      <c r="BR578" s="63"/>
      <c r="BY578" s="63">
        <f t="shared" si="238"/>
        <v>-4486</v>
      </c>
      <c r="CC578" s="1"/>
      <c r="CD578" s="1"/>
      <c r="CE578" s="1"/>
      <c r="CF578" s="1"/>
    </row>
    <row r="579" spans="1:92" hidden="1" outlineLevel="1">
      <c r="A579" t="s">
        <v>2158</v>
      </c>
      <c r="B579" t="s">
        <v>1156</v>
      </c>
      <c r="C579" s="1">
        <f t="shared" si="227"/>
        <v>4287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4</v>
      </c>
      <c r="G579" s="132">
        <f t="shared" si="228"/>
        <v>439</v>
      </c>
      <c r="H579" s="137">
        <f t="shared" si="229"/>
        <v>0.10240261254956846</v>
      </c>
      <c r="I579" s="2"/>
      <c r="J579" s="2">
        <f t="shared" si="230"/>
        <v>0.44180079309540471</v>
      </c>
      <c r="K579" s="2">
        <f t="shared" si="231"/>
        <v>0.54420340564497316</v>
      </c>
      <c r="L579" s="2">
        <f t="shared" si="232"/>
        <v>1.3995801259622112E-3</v>
      </c>
      <c r="M579" s="2">
        <f t="shared" si="233"/>
        <v>1.2596221133659977E-2</v>
      </c>
      <c r="N579" s="63">
        <v>1894</v>
      </c>
      <c r="O579" s="63">
        <v>2333</v>
      </c>
      <c r="P579" s="63">
        <v>6</v>
      </c>
      <c r="Q579" s="63">
        <v>51</v>
      </c>
      <c r="R579" s="63">
        <v>3</v>
      </c>
      <c r="S579" s="63"/>
      <c r="T579" s="63"/>
      <c r="U579" s="63"/>
      <c r="V579" s="63"/>
      <c r="W579" s="63">
        <f>IF(Copyright!B$11=1,IF(CA579&gt;0,CA579-P579-SUM(X579:AQ579)-SUM(R579:V579),SUM(CB579:CM579)),SUM(CC579:CM579))</f>
        <v>0</v>
      </c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W579" s="5">
        <f>IF(Q579&gt;0,RANK(Q579,(N579:P579,Q579:AE579)),0)</f>
        <v>3</v>
      </c>
      <c r="AX579" s="5">
        <f>IF(R579&gt;0,RANK(R579,(N579:P579,Q579:AE579)),0)</f>
        <v>5</v>
      </c>
      <c r="AY579" s="5">
        <f>IF(T579&gt;0,RANK(T579,(N579:P579,Q579:AE579)),0)</f>
        <v>0</v>
      </c>
      <c r="AZ579" s="5">
        <f>IF(S579&gt;0,RANK(S579,(N579:P579,Q579:AE579)),0)</f>
        <v>0</v>
      </c>
      <c r="BA579" s="2">
        <f t="shared" si="234"/>
        <v>1.1896431070678797E-2</v>
      </c>
      <c r="BB579" s="2">
        <f t="shared" si="235"/>
        <v>6.9979006298110562E-4</v>
      </c>
      <c r="BC579" s="2">
        <f t="shared" si="236"/>
        <v>0</v>
      </c>
      <c r="BD579" s="2">
        <f t="shared" si="237"/>
        <v>0</v>
      </c>
      <c r="BF579" t="s">
        <v>2158</v>
      </c>
      <c r="BG579" t="s">
        <v>1156</v>
      </c>
      <c r="BH579">
        <v>8</v>
      </c>
      <c r="BJ579" s="114">
        <v>13</v>
      </c>
      <c r="BK579" s="116">
        <v>319</v>
      </c>
      <c r="BL579" s="120">
        <f t="shared" si="239"/>
        <v>13319</v>
      </c>
      <c r="BN579" s="5" t="s">
        <v>3154</v>
      </c>
      <c r="BR579" s="63"/>
      <c r="BY579" s="63">
        <f t="shared" si="238"/>
        <v>-4287</v>
      </c>
      <c r="CC579" s="1"/>
      <c r="CD579" s="1"/>
      <c r="CE579" s="1"/>
      <c r="CF579" s="1"/>
    </row>
    <row r="580" spans="1:92" hidden="1" outlineLevel="1">
      <c r="A580" t="s">
        <v>1837</v>
      </c>
      <c r="B580" t="s">
        <v>1156</v>
      </c>
      <c r="C580" s="1">
        <f t="shared" si="227"/>
        <v>8295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>IF(P580&gt;0,RANK(P580,(N580:P580,Q580:AE580)),0)</f>
        <v>4</v>
      </c>
      <c r="G580" s="132">
        <f t="shared" si="228"/>
        <v>4132</v>
      </c>
      <c r="H580" s="137">
        <f t="shared" si="229"/>
        <v>0.4981314044605184</v>
      </c>
      <c r="I580" s="2"/>
      <c r="J580" s="2">
        <f t="shared" si="230"/>
        <v>0.24352019288728149</v>
      </c>
      <c r="K580" s="2">
        <f t="shared" si="231"/>
        <v>0.74165159734779984</v>
      </c>
      <c r="L580" s="2">
        <f t="shared" si="232"/>
        <v>7.2332730560578662E-4</v>
      </c>
      <c r="M580" s="2">
        <f t="shared" si="233"/>
        <v>1.4104882459312934E-2</v>
      </c>
      <c r="N580" s="63">
        <v>2020</v>
      </c>
      <c r="O580" s="63">
        <v>6152</v>
      </c>
      <c r="P580" s="63">
        <v>6</v>
      </c>
      <c r="Q580" s="63">
        <v>108</v>
      </c>
      <c r="R580" s="63">
        <v>6</v>
      </c>
      <c r="S580" s="63">
        <v>2</v>
      </c>
      <c r="T580" s="63"/>
      <c r="U580" s="63"/>
      <c r="V580" s="63"/>
      <c r="W580" s="63">
        <f>IF(Copyright!B$11=1,IF(CA580&gt;0,CA580-P580-SUM(X580:AQ580)-SUM(R580:V580),SUM(CB580:CM580)),SUM(CC580:CM580))</f>
        <v>0</v>
      </c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>
        <v>1</v>
      </c>
      <c r="AO580" s="63"/>
      <c r="AP580" s="63"/>
      <c r="AQ580" s="63"/>
      <c r="AR580" s="63"/>
      <c r="AS580" s="63"/>
      <c r="AT580" s="63"/>
      <c r="AU580" s="63"/>
      <c r="AW580" s="5">
        <f>IF(Q580&gt;0,RANK(Q580,(N580:P580,Q580:AE580)),0)</f>
        <v>3</v>
      </c>
      <c r="AX580" s="5">
        <f>IF(R580&gt;0,RANK(R580,(N580:P580,Q580:AE580)),0)</f>
        <v>4</v>
      </c>
      <c r="AY580" s="5">
        <f>IF(T580&gt;0,RANK(T580,(N580:P580,Q580:AE580)),0)</f>
        <v>0</v>
      </c>
      <c r="AZ580" s="5">
        <f>IF(S580&gt;0,RANK(S580,(N580:P580,Q580:AE580)),0)</f>
        <v>6</v>
      </c>
      <c r="BA580" s="2">
        <f t="shared" si="234"/>
        <v>1.3019891500904159E-2</v>
      </c>
      <c r="BB580" s="2">
        <f t="shared" si="235"/>
        <v>7.2332730560578662E-4</v>
      </c>
      <c r="BC580" s="2">
        <f t="shared" si="236"/>
        <v>0</v>
      </c>
      <c r="BD580" s="2">
        <f t="shared" si="237"/>
        <v>2.4110910186859555E-4</v>
      </c>
      <c r="BF580" t="s">
        <v>1837</v>
      </c>
      <c r="BG580" t="s">
        <v>1156</v>
      </c>
      <c r="BH580">
        <v>8</v>
      </c>
      <c r="BJ580" s="114">
        <v>13</v>
      </c>
      <c r="BK580" s="116">
        <v>321</v>
      </c>
      <c r="BL580" s="120">
        <f t="shared" si="239"/>
        <v>13321</v>
      </c>
      <c r="BN580" s="5" t="s">
        <v>3154</v>
      </c>
      <c r="BR580" s="63"/>
      <c r="BY580" s="63">
        <f t="shared" si="238"/>
        <v>-8295</v>
      </c>
      <c r="CC580" s="1"/>
      <c r="CD580" s="1"/>
      <c r="CE580" s="1"/>
      <c r="CF580" s="1"/>
    </row>
    <row r="581" spans="1:92" collapsed="1">
      <c r="A581" t="s">
        <v>1155</v>
      </c>
      <c r="B581" t="s">
        <v>544</v>
      </c>
      <c r="C581" s="1">
        <f t="shared" si="227"/>
        <v>4141447</v>
      </c>
      <c r="D581" s="5">
        <f>IF(N581&gt;0, RANK(N581,(N581:P581,Q581:AE581)),0)</f>
        <v>2</v>
      </c>
      <c r="E581" s="5">
        <f>IF(O581&gt;0,RANK(O581,(N581:P581,Q581:AE581)),0)</f>
        <v>1</v>
      </c>
      <c r="F581" s="5">
        <f>IF(P581&gt;0,RANK(P581,(N581:P581,Q581:AE581)),0)</f>
        <v>5</v>
      </c>
      <c r="G581" s="132">
        <f t="shared" si="228"/>
        <v>211141</v>
      </c>
      <c r="H581" s="137">
        <f t="shared" si="229"/>
        <v>5.0982422327268705E-2</v>
      </c>
      <c r="I581" s="2"/>
      <c r="J581" s="2">
        <f t="shared" si="230"/>
        <v>0.45345576075222016</v>
      </c>
      <c r="K581" s="2">
        <f t="shared" si="231"/>
        <v>0.50443818307948884</v>
      </c>
      <c r="L581" s="2">
        <f t="shared" si="232"/>
        <v>3.1431043304429589E-3</v>
      </c>
      <c r="M581" s="2">
        <f t="shared" si="233"/>
        <v>3.8962951837848037E-2</v>
      </c>
      <c r="N581" s="63">
        <f t="shared" ref="N581:S581" si="240">SUM(N422:N580)</f>
        <v>1877963</v>
      </c>
      <c r="O581" s="63">
        <f t="shared" si="240"/>
        <v>2089104</v>
      </c>
      <c r="P581" s="63">
        <f t="shared" si="240"/>
        <v>13017</v>
      </c>
      <c r="Q581" s="63">
        <f t="shared" si="240"/>
        <v>125306</v>
      </c>
      <c r="R581" s="63">
        <f t="shared" si="240"/>
        <v>7674</v>
      </c>
      <c r="S581" s="63">
        <f t="shared" si="240"/>
        <v>1110</v>
      </c>
      <c r="T581" s="63"/>
      <c r="U581" s="63"/>
      <c r="V581" s="63"/>
      <c r="W581" s="63">
        <f>SUM(W422:W580)</f>
        <v>26965</v>
      </c>
      <c r="X581" s="63"/>
      <c r="Y581" s="63">
        <f>SUM(Y422:Y580)</f>
        <v>70</v>
      </c>
      <c r="Z581" s="63"/>
      <c r="AA581" s="63"/>
      <c r="AB581" s="63"/>
      <c r="AC581" s="63"/>
      <c r="AD581" s="63"/>
      <c r="AE581" s="63">
        <f>SUM(AE422:AE580)</f>
        <v>34</v>
      </c>
      <c r="AF581" s="63"/>
      <c r="AG581" s="63"/>
      <c r="AH581" s="63"/>
      <c r="AI581" s="63"/>
      <c r="AJ581" s="63"/>
      <c r="AK581" s="63"/>
      <c r="AL581" s="63"/>
      <c r="AM581" s="63"/>
      <c r="AN581" s="63">
        <f>SUM(AN422:AN580)</f>
        <v>151</v>
      </c>
      <c r="AO581" s="63"/>
      <c r="AP581" s="63"/>
      <c r="AQ581" s="63">
        <f>SUM(AQ422:AQ580)</f>
        <v>53</v>
      </c>
      <c r="AR581" s="63"/>
      <c r="AS581" s="63"/>
      <c r="AT581" s="63"/>
      <c r="AU581" s="63"/>
      <c r="AW581" s="5">
        <f>IF(Q581&gt;0,RANK(Q581,(N581:P581,Q581:AE581)),0)</f>
        <v>3</v>
      </c>
      <c r="AX581" s="5">
        <f>IF(R581&gt;0,RANK(R581,(N581:P581,Q581:AE581)),0)</f>
        <v>6</v>
      </c>
      <c r="AY581" s="5">
        <f>IF(T581&gt;0,RANK(T581,(N581:P581,Q581:AE581)),0)</f>
        <v>0</v>
      </c>
      <c r="AZ581" s="5">
        <f>IF(S581&gt;0,RANK(S581,(N581:P581,Q581:AE581)),0)</f>
        <v>7</v>
      </c>
      <c r="BA581" s="2">
        <f t="shared" si="234"/>
        <v>3.0256574574055881E-2</v>
      </c>
      <c r="BB581" s="2">
        <f t="shared" si="235"/>
        <v>1.8529755421233206E-3</v>
      </c>
      <c r="BC581" s="2">
        <f t="shared" si="236"/>
        <v>0</v>
      </c>
      <c r="BD581" s="2">
        <f t="shared" si="237"/>
        <v>2.6802226371603932E-4</v>
      </c>
      <c r="BF581" t="s">
        <v>1155</v>
      </c>
      <c r="BG581" t="s">
        <v>544</v>
      </c>
      <c r="BJ581" s="114">
        <v>13</v>
      </c>
      <c r="BK581" s="116"/>
      <c r="BL581" s="114">
        <v>13</v>
      </c>
      <c r="BN581" s="5" t="s">
        <v>711</v>
      </c>
      <c r="BR581" s="63"/>
      <c r="BY581" s="63">
        <f t="shared" si="238"/>
        <v>-1272295</v>
      </c>
      <c r="BZ581" s="63">
        <f>SUM(BZ422:BZ580)</f>
        <v>2869152</v>
      </c>
      <c r="CA581" s="63">
        <f>SUM(CA422:CA580)</f>
        <v>44919</v>
      </c>
      <c r="CD581" s="63">
        <f>SUM(CD422:CD580)</f>
        <v>5</v>
      </c>
      <c r="CE581" s="63">
        <f>SUM(CE422:CE580)</f>
        <v>31</v>
      </c>
      <c r="CF581" s="63">
        <f>SUM(CF422:CF580)</f>
        <v>8</v>
      </c>
      <c r="CG581" s="63">
        <f t="shared" ref="CG581:CM581" si="241">SUM(CG422:CG580)</f>
        <v>22</v>
      </c>
      <c r="CH581" s="63">
        <f t="shared" si="241"/>
        <v>24</v>
      </c>
      <c r="CI581" s="63">
        <f t="shared" si="241"/>
        <v>15</v>
      </c>
      <c r="CJ581" s="63">
        <f t="shared" si="241"/>
        <v>78</v>
      </c>
      <c r="CK581" s="63">
        <f t="shared" si="241"/>
        <v>30</v>
      </c>
      <c r="CL581" s="63">
        <f t="shared" si="241"/>
        <v>5</v>
      </c>
      <c r="CM581" s="63">
        <f t="shared" si="241"/>
        <v>32</v>
      </c>
      <c r="CN581" s="63"/>
    </row>
    <row r="582" spans="1:92">
      <c r="C582" s="1"/>
      <c r="E582" s="5"/>
      <c r="F582" s="5"/>
      <c r="G582" s="132"/>
      <c r="H582" s="137"/>
      <c r="I582" s="2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W582" s="5"/>
      <c r="AX582" s="5"/>
      <c r="AY582" s="5"/>
      <c r="AZ582" s="5"/>
      <c r="BJ582" s="114"/>
      <c r="BK582" s="116"/>
      <c r="BL582" s="120"/>
    </row>
    <row r="583" spans="1:92" hidden="1" outlineLevel="1">
      <c r="A583" t="s">
        <v>654</v>
      </c>
      <c r="B583" t="s">
        <v>963</v>
      </c>
      <c r="C583" s="1">
        <f>SUM(N583:AU583)</f>
        <v>64867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0</v>
      </c>
      <c r="G583" s="132">
        <f>IF(C583&gt;0,MAX(N583:P583)-LARGE(N583:P583,2),0)</f>
        <v>23758</v>
      </c>
      <c r="H583" s="137">
        <f>IF(C583&gt;0,G583/C583,0)</f>
        <v>0.36625711070343936</v>
      </c>
      <c r="I583" s="2"/>
      <c r="J583" s="2">
        <f t="shared" ref="J583:L587" si="242">IF($C583=0,"-",N583/$C583)</f>
        <v>0.63605531317927455</v>
      </c>
      <c r="K583" s="2">
        <f t="shared" si="242"/>
        <v>0.26979820247583519</v>
      </c>
      <c r="L583" s="2">
        <f t="shared" si="242"/>
        <v>0</v>
      </c>
      <c r="M583" s="2">
        <f>IF(C583=0,"-",(1-J583-K583-L583))</f>
        <v>9.4146484344890258E-2</v>
      </c>
      <c r="N583" s="63">
        <v>41259</v>
      </c>
      <c r="O583" s="63">
        <v>17501</v>
      </c>
      <c r="P583" s="63"/>
      <c r="Q583" s="63">
        <v>2470</v>
      </c>
      <c r="R583" s="63">
        <v>2852</v>
      </c>
      <c r="S583" s="63">
        <v>785</v>
      </c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W583" s="5">
        <f>IF(Q583&gt;0,RANK(Q583,(N583:P583,Q583:AE583)),0)</f>
        <v>4</v>
      </c>
      <c r="AX583" s="5">
        <f>IF(R583&gt;0,RANK(R583,(N583:P583,Q583:AE583)),0)</f>
        <v>3</v>
      </c>
      <c r="AY583" s="5">
        <f>IF(T583&gt;0,RANK(T583,(N583:P583,Q583:AE583)),0)</f>
        <v>0</v>
      </c>
      <c r="AZ583" s="5">
        <f>IF(S583&gt;0,RANK(S583,(N583:P583,Q583:AE583)),0)</f>
        <v>5</v>
      </c>
      <c r="BA583" s="2">
        <f t="shared" ref="BA583:BB587" si="243">IF($C583=0,"-",Q583/$C583)</f>
        <v>3.8077913268688236E-2</v>
      </c>
      <c r="BB583" s="2">
        <f t="shared" si="243"/>
        <v>4.3966886089999539E-2</v>
      </c>
      <c r="BC583" s="2">
        <f t="shared" ref="BC583:BC588" si="244">IF($C583=0,"-",T583/$C583)</f>
        <v>0</v>
      </c>
      <c r="BD583" s="2">
        <f>IF($C583=0,"-",S583/$C583)</f>
        <v>1.2101684986202538E-2</v>
      </c>
      <c r="BF583" t="s">
        <v>654</v>
      </c>
      <c r="BG583" t="s">
        <v>963</v>
      </c>
      <c r="BH583">
        <v>2</v>
      </c>
      <c r="BJ583" s="114">
        <v>15</v>
      </c>
      <c r="BK583" s="116">
        <v>1</v>
      </c>
      <c r="BL583" s="120">
        <f t="shared" si="239"/>
        <v>15001</v>
      </c>
      <c r="BN583" s="5" t="s">
        <v>3154</v>
      </c>
      <c r="BO583" s="63">
        <v>1124</v>
      </c>
      <c r="BP583" s="63">
        <v>30</v>
      </c>
      <c r="BR583" s="63"/>
      <c r="BS583" s="63"/>
    </row>
    <row r="584" spans="1:92" hidden="1" outlineLevel="1">
      <c r="A584" t="s">
        <v>1846</v>
      </c>
      <c r="B584" t="s">
        <v>963</v>
      </c>
      <c r="C584" s="1">
        <f>SUM(N584:AU584)</f>
        <v>285790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0</v>
      </c>
      <c r="G584" s="132">
        <f>IF(C584&gt;0,MAX(N584:P584)-LARGE(N584:P584,2),0)</f>
        <v>85370</v>
      </c>
      <c r="H584" s="137">
        <f>IF(C584&gt;0,G584/C584,0)</f>
        <v>0.2987158403023199</v>
      </c>
      <c r="I584" s="2"/>
      <c r="J584" s="2">
        <f t="shared" si="242"/>
        <v>0.61477308513243989</v>
      </c>
      <c r="K584" s="2">
        <f t="shared" si="242"/>
        <v>0.31605724483012004</v>
      </c>
      <c r="L584" s="2">
        <f t="shared" si="242"/>
        <v>0</v>
      </c>
      <c r="M584" s="2">
        <f>IF(C584=0,"-",(1-J584-K584-L584))</f>
        <v>6.9169670037440067E-2</v>
      </c>
      <c r="N584" s="63">
        <v>175696</v>
      </c>
      <c r="O584" s="63">
        <v>90326</v>
      </c>
      <c r="P584" s="63"/>
      <c r="Q584" s="63">
        <v>10467</v>
      </c>
      <c r="R584" s="63">
        <v>6476</v>
      </c>
      <c r="S584" s="63">
        <v>2825</v>
      </c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W584" s="5">
        <f>IF(Q584&gt;0,RANK(Q584,(N584:P584,Q584:AE584)),0)</f>
        <v>3</v>
      </c>
      <c r="AX584" s="5">
        <f>IF(R584&gt;0,RANK(R584,(N584:P584,Q584:AE584)),0)</f>
        <v>4</v>
      </c>
      <c r="AY584" s="5">
        <f>IF(T584&gt;0,RANK(T584,(N584:P584,Q584:AE584)),0)</f>
        <v>0</v>
      </c>
      <c r="AZ584" s="5">
        <f>IF(S584&gt;0,RANK(S584,(N584:P584,Q584:AE584)),0)</f>
        <v>5</v>
      </c>
      <c r="BA584" s="2">
        <f t="shared" si="243"/>
        <v>3.6624794429476186E-2</v>
      </c>
      <c r="BB584" s="2">
        <f t="shared" si="243"/>
        <v>2.2659995101298156E-2</v>
      </c>
      <c r="BC584" s="2">
        <f t="shared" si="244"/>
        <v>0</v>
      </c>
      <c r="BD584" s="2">
        <f>IF($C584=0,"-",S584/$C584)</f>
        <v>9.8848805066657341E-3</v>
      </c>
      <c r="BF584" t="s">
        <v>1846</v>
      </c>
      <c r="BG584" t="s">
        <v>963</v>
      </c>
      <c r="BJ584" s="114">
        <v>15</v>
      </c>
      <c r="BK584" s="116">
        <v>3</v>
      </c>
      <c r="BL584" s="120">
        <f t="shared" si="239"/>
        <v>15003</v>
      </c>
      <c r="BN584" s="5" t="s">
        <v>3154</v>
      </c>
      <c r="BO584" s="63">
        <v>5307</v>
      </c>
      <c r="BP584" s="63">
        <v>349</v>
      </c>
      <c r="BR584" s="63"/>
      <c r="BS584" s="63"/>
    </row>
    <row r="585" spans="1:92" hidden="1" outlineLevel="1">
      <c r="A585" t="s">
        <v>456</v>
      </c>
      <c r="B585" t="s">
        <v>963</v>
      </c>
      <c r="C585" s="1">
        <f>SUM(N585:AU585)</f>
        <v>26335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0</v>
      </c>
      <c r="G585" s="132">
        <f>IF(C585&gt;0,MAX(N585:P585)-LARGE(N585:P585,2),0)</f>
        <v>8882</v>
      </c>
      <c r="H585" s="137">
        <f>IF(C585&gt;0,G585/C585,0)</f>
        <v>0.33726979305107274</v>
      </c>
      <c r="I585" s="2"/>
      <c r="J585" s="2">
        <f t="shared" si="242"/>
        <v>0.62487184355420544</v>
      </c>
      <c r="K585" s="2">
        <f t="shared" si="242"/>
        <v>0.2876020505031327</v>
      </c>
      <c r="L585" s="2">
        <f t="shared" si="242"/>
        <v>0</v>
      </c>
      <c r="M585" s="2">
        <f>IF(C585=0,"-",(1-J585-K585-L585))</f>
        <v>8.7526105942661858E-2</v>
      </c>
      <c r="N585" s="63">
        <v>16456</v>
      </c>
      <c r="O585" s="63">
        <v>7574</v>
      </c>
      <c r="P585" s="63"/>
      <c r="Q585" s="63">
        <v>982</v>
      </c>
      <c r="R585" s="63">
        <v>1019</v>
      </c>
      <c r="S585" s="63">
        <v>304</v>
      </c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W585" s="5">
        <f>IF(Q585&gt;0,RANK(Q585,(N585:P585,Q585:AE585)),0)</f>
        <v>4</v>
      </c>
      <c r="AX585" s="5">
        <f>IF(R585&gt;0,RANK(R585,(N585:P585,Q585:AE585)),0)</f>
        <v>3</v>
      </c>
      <c r="AY585" s="5">
        <f>IF(T585&gt;0,RANK(T585,(N585:P585,Q585:AE585)),0)</f>
        <v>0</v>
      </c>
      <c r="AZ585" s="5">
        <f>IF(S585&gt;0,RANK(S585,(N585:P585,Q585:AE585)),0)</f>
        <v>5</v>
      </c>
      <c r="BA585" s="2">
        <f t="shared" si="243"/>
        <v>3.7288779191190433E-2</v>
      </c>
      <c r="BB585" s="2">
        <f t="shared" si="243"/>
        <v>3.8693753559901276E-2</v>
      </c>
      <c r="BC585" s="2">
        <f t="shared" si="244"/>
        <v>0</v>
      </c>
      <c r="BD585" s="2">
        <f>IF($C585=0,"-",S585/$C585)</f>
        <v>1.1543573191570154E-2</v>
      </c>
      <c r="BF585" t="s">
        <v>456</v>
      </c>
      <c r="BG585" t="s">
        <v>963</v>
      </c>
      <c r="BH585">
        <v>2</v>
      </c>
      <c r="BJ585" s="114">
        <v>15</v>
      </c>
      <c r="BK585" s="116">
        <v>7</v>
      </c>
      <c r="BL585" s="120">
        <f t="shared" si="239"/>
        <v>15007</v>
      </c>
      <c r="BN585" s="5" t="s">
        <v>3154</v>
      </c>
      <c r="BO585" s="63">
        <v>878</v>
      </c>
      <c r="BP585" s="63">
        <v>12</v>
      </c>
      <c r="BR585" s="63"/>
      <c r="BS585" s="63"/>
      <c r="BT585" s="63"/>
      <c r="BU585" s="63"/>
    </row>
    <row r="586" spans="1:92" hidden="1" outlineLevel="1">
      <c r="A586" t="s">
        <v>1879</v>
      </c>
      <c r="B586" t="s">
        <v>963</v>
      </c>
      <c r="C586" s="1">
        <f>SUM(N586:AU586)</f>
        <v>51945</v>
      </c>
      <c r="D586" s="5">
        <f>IF(N586&gt;0, RANK(N586,(N586:P586,Q586:AE586)),0)</f>
        <v>1</v>
      </c>
      <c r="E586" s="5">
        <f>IF(O586&gt;0,RANK(O586,(N586:P586,Q586:AE586)),0)</f>
        <v>2</v>
      </c>
      <c r="F586" s="5">
        <f>IF(P586&gt;0,RANK(P586,(N586:P586,Q586:AE586)),0)</f>
        <v>0</v>
      </c>
      <c r="G586" s="132">
        <f>IF(C586&gt;0,MAX(N586:P586)-LARGE(N586:P586,2),0)</f>
        <v>20034</v>
      </c>
      <c r="H586" s="137">
        <f>IF(C586&gt;0,G586/C586,0)</f>
        <v>0.38567715853306384</v>
      </c>
      <c r="I586" s="2"/>
      <c r="J586" s="2">
        <f t="shared" si="242"/>
        <v>0.64452786601212819</v>
      </c>
      <c r="K586" s="2">
        <f t="shared" si="242"/>
        <v>0.25885070747906441</v>
      </c>
      <c r="L586" s="2">
        <f t="shared" si="242"/>
        <v>0</v>
      </c>
      <c r="M586" s="2">
        <f>IF(C586=0,"-",(1-J586-K586-L586))</f>
        <v>9.6621426508807395E-2</v>
      </c>
      <c r="N586" s="63">
        <v>33480</v>
      </c>
      <c r="O586" s="63">
        <v>13446</v>
      </c>
      <c r="P586" s="63"/>
      <c r="Q586" s="63">
        <v>2035</v>
      </c>
      <c r="R586" s="63">
        <v>2390</v>
      </c>
      <c r="S586" s="63">
        <v>594</v>
      </c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W586" s="5">
        <f>IF(Q586&gt;0,RANK(Q586,(N586:P586,Q586:AE586)),0)</f>
        <v>4</v>
      </c>
      <c r="AX586" s="5">
        <f>IF(R586&gt;0,RANK(R586,(N586:P586,Q586:AE586)),0)</f>
        <v>3</v>
      </c>
      <c r="AY586" s="5">
        <f>IF(T586&gt;0,RANK(T586,(N586:P586,Q586:AE586)),0)</f>
        <v>0</v>
      </c>
      <c r="AZ586" s="5">
        <f>IF(S586&gt;0,RANK(S586,(N586:P586,Q586:AE586)),0)</f>
        <v>5</v>
      </c>
      <c r="BA586" s="2">
        <f t="shared" si="243"/>
        <v>3.9176051593031093E-2</v>
      </c>
      <c r="BB586" s="2">
        <f t="shared" si="243"/>
        <v>4.6010203099432094E-2</v>
      </c>
      <c r="BC586" s="2">
        <f t="shared" si="244"/>
        <v>0</v>
      </c>
      <c r="BD586" s="2">
        <f>IF($C586=0,"-",S586/$C586)</f>
        <v>1.143517181634421E-2</v>
      </c>
      <c r="BF586" t="s">
        <v>1879</v>
      </c>
      <c r="BG586" t="s">
        <v>963</v>
      </c>
      <c r="BH586">
        <v>2</v>
      </c>
      <c r="BJ586" s="114">
        <v>15</v>
      </c>
      <c r="BK586" s="116">
        <v>9</v>
      </c>
      <c r="BL586" s="120">
        <f t="shared" si="239"/>
        <v>15009</v>
      </c>
      <c r="BN586" s="5" t="s">
        <v>3154</v>
      </c>
      <c r="BO586" s="63">
        <v>980</v>
      </c>
      <c r="BP586" s="63">
        <v>47</v>
      </c>
      <c r="BR586" s="63"/>
      <c r="BS586" s="63"/>
      <c r="BT586" s="128"/>
    </row>
    <row r="587" spans="1:92" collapsed="1">
      <c r="A587" t="s">
        <v>654</v>
      </c>
      <c r="B587" t="s">
        <v>544</v>
      </c>
      <c r="C587" s="1">
        <f>SUM(N587:AU587)</f>
        <v>428937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>IF(P587&gt;0,RANK(P587,(N587:P587,Q587:AE587)),0)</f>
        <v>0</v>
      </c>
      <c r="G587" s="132">
        <f>IF(C587&gt;0,MAX(N587:P587)-LARGE(N587:P587,2),0)</f>
        <v>138044</v>
      </c>
      <c r="H587" s="137">
        <f>IF(C587&gt;0,G587/C587,0)</f>
        <v>0.32182814725705639</v>
      </c>
      <c r="I587" s="2"/>
      <c r="J587" s="2">
        <f t="shared" si="242"/>
        <v>0.62221491734217382</v>
      </c>
      <c r="K587" s="2">
        <f t="shared" si="242"/>
        <v>0.30038677008511738</v>
      </c>
      <c r="L587" s="2">
        <f t="shared" si="242"/>
        <v>0</v>
      </c>
      <c r="M587" s="2">
        <f>IF(C587=0,"-",(1-J587-K587-L587))</f>
        <v>7.7398312572708794E-2</v>
      </c>
      <c r="N587" s="63">
        <f>SUM(N583:N586)</f>
        <v>266891</v>
      </c>
      <c r="O587" s="63">
        <f>SUM(O583:O586)</f>
        <v>128847</v>
      </c>
      <c r="P587" s="63"/>
      <c r="Q587" s="63">
        <f>SUM(Q583:Q586)</f>
        <v>15954</v>
      </c>
      <c r="R587" s="63">
        <f>SUM(R583:R586)</f>
        <v>12737</v>
      </c>
      <c r="S587" s="63">
        <f>SUM(S583:S586)</f>
        <v>4508</v>
      </c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W587" s="5">
        <f>IF(Q587&gt;0,RANK(Q587,(N587:P587,Q587:AE587)),0)</f>
        <v>3</v>
      </c>
      <c r="AX587" s="5">
        <f>IF(R587&gt;0,RANK(R587,(N587:P587,Q587:AE587)),0)</f>
        <v>4</v>
      </c>
      <c r="AY587" s="5">
        <f>IF(T587&gt;0,RANK(T587,(N587:P587,Q587:AE587)),0)</f>
        <v>0</v>
      </c>
      <c r="AZ587" s="5">
        <f>IF(S587&gt;0,RANK(S587,(N587:P587,Q587:AE587)),0)</f>
        <v>5</v>
      </c>
      <c r="BA587" s="2">
        <f t="shared" si="243"/>
        <v>3.7194273284887988E-2</v>
      </c>
      <c r="BB587" s="2">
        <f t="shared" si="243"/>
        <v>2.9694337396867138E-2</v>
      </c>
      <c r="BC587" s="2">
        <f t="shared" si="244"/>
        <v>0</v>
      </c>
      <c r="BD587" s="2">
        <f>IF($C587=0,"-",S587/$C587)</f>
        <v>1.0509701890953684E-2</v>
      </c>
      <c r="BF587" t="s">
        <v>654</v>
      </c>
      <c r="BG587" t="s">
        <v>544</v>
      </c>
      <c r="BJ587" s="114">
        <v>15</v>
      </c>
      <c r="BK587" s="116"/>
      <c r="BL587" s="114">
        <v>15</v>
      </c>
      <c r="BN587" s="5" t="s">
        <v>711</v>
      </c>
      <c r="BO587" s="63">
        <f>SUM(BO583:BO586)</f>
        <v>8289</v>
      </c>
      <c r="BP587" s="63">
        <f>SUM(BP583:BP586)</f>
        <v>438</v>
      </c>
      <c r="BR587" s="63"/>
      <c r="BS587" s="63"/>
      <c r="BT587" s="128"/>
    </row>
    <row r="588" spans="1:92">
      <c r="C588" s="1"/>
      <c r="E588" s="5"/>
      <c r="F588" s="5"/>
      <c r="G588" s="132"/>
      <c r="H588" s="137"/>
      <c r="I588" s="2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126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W588" s="5"/>
      <c r="AX588" s="5"/>
      <c r="AY588" s="5"/>
      <c r="AZ588" s="5"/>
      <c r="BC588" s="2" t="str">
        <f t="shared" si="244"/>
        <v>-</v>
      </c>
      <c r="BJ588" s="114"/>
      <c r="BK588" s="116"/>
      <c r="BL588" s="120"/>
      <c r="BT588" s="128"/>
      <c r="CA588" s="132"/>
      <c r="CB588" s="132"/>
      <c r="CC588" s="132"/>
      <c r="CD588" s="132" t="s">
        <v>3529</v>
      </c>
      <c r="CE588" s="63" t="s">
        <v>3530</v>
      </c>
      <c r="CF588" s="63" t="s">
        <v>3531</v>
      </c>
      <c r="CG588" s="8" t="s">
        <v>3351</v>
      </c>
      <c r="CH588" s="128" t="s">
        <v>3532</v>
      </c>
      <c r="CI588" s="8" t="s">
        <v>3533</v>
      </c>
      <c r="CJ588" s="8" t="s">
        <v>3534</v>
      </c>
      <c r="CK588" s="8" t="s">
        <v>3535</v>
      </c>
      <c r="CL588" s="8" t="s">
        <v>3536</v>
      </c>
      <c r="CM588" s="8" t="s">
        <v>3537</v>
      </c>
      <c r="CN588" s="8" t="s">
        <v>3538</v>
      </c>
    </row>
    <row r="589" spans="1:92" hidden="1" outlineLevel="1">
      <c r="A589" t="s">
        <v>552</v>
      </c>
      <c r="B589" t="s">
        <v>404</v>
      </c>
      <c r="C589" s="1">
        <f t="shared" ref="C589:C633" si="245">SUM(N589:AU589)</f>
        <v>195669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3</v>
      </c>
      <c r="G589" s="132">
        <f t="shared" ref="G589:G633" si="246">IF(C589&gt;0,MAX(N589:P589)-LARGE(N589:P589,2),0)</f>
        <v>18075</v>
      </c>
      <c r="H589" s="137">
        <f t="shared" ref="H589:H633" si="247">IF(C589&gt;0,G589/C589,0)</f>
        <v>9.2375389049875051E-2</v>
      </c>
      <c r="I589" s="2"/>
      <c r="J589" s="2">
        <f t="shared" ref="J589:J633" si="248">IF($C589=0,"-",N589/$C589)</f>
        <v>0.38676029417025692</v>
      </c>
      <c r="K589" s="2">
        <f t="shared" ref="K589:K633" si="249">IF($C589=0,"-",O589/$C589)</f>
        <v>0.47913568322013195</v>
      </c>
      <c r="L589" s="2">
        <f t="shared" ref="L589:L633" si="250">IF($C589=0,"-",P589/$C589)</f>
        <v>5.7372399306992929E-2</v>
      </c>
      <c r="M589" s="2">
        <f t="shared" ref="M589:M633" si="251">IF(C589=0,"-",(1-J589-K589-L589))</f>
        <v>7.6731623302618207E-2</v>
      </c>
      <c r="N589" s="63">
        <v>75677</v>
      </c>
      <c r="O589" s="63">
        <v>93752</v>
      </c>
      <c r="P589" s="63">
        <v>11226</v>
      </c>
      <c r="Q589" s="63">
        <v>9984</v>
      </c>
      <c r="R589" s="63">
        <v>3138</v>
      </c>
      <c r="S589" s="63">
        <v>1019</v>
      </c>
      <c r="T589" s="63">
        <v>349</v>
      </c>
      <c r="U589" s="63"/>
      <c r="V589" s="63"/>
      <c r="W589" s="63">
        <f>IF(Copyright!B$11=1,IF(CA589&gt;0,CA589-SUM(Y589:AM589)-SUM(AN589:AQ589),SUM(CB589:CN589)),SUM(CC589:CN589))</f>
        <v>14</v>
      </c>
      <c r="X589" s="63"/>
      <c r="Y589" s="63">
        <v>4</v>
      </c>
      <c r="Z589" s="63">
        <v>0</v>
      </c>
      <c r="AA589" s="63">
        <v>2</v>
      </c>
      <c r="AB589" s="63"/>
      <c r="AC589" s="63"/>
      <c r="AD589" s="63">
        <v>0</v>
      </c>
      <c r="AE589" s="63">
        <v>0</v>
      </c>
      <c r="AF589" s="63"/>
      <c r="AG589" s="63">
        <v>1</v>
      </c>
      <c r="AH589" s="63"/>
      <c r="AI589" s="63"/>
      <c r="AJ589" s="63"/>
      <c r="AK589" s="63"/>
      <c r="AL589" s="63">
        <v>0</v>
      </c>
      <c r="AM589" s="63"/>
      <c r="AN589" s="63">
        <v>22</v>
      </c>
      <c r="AO589" s="63"/>
      <c r="AP589" s="63"/>
      <c r="AQ589" s="63">
        <v>0</v>
      </c>
      <c r="AR589" s="63">
        <v>481</v>
      </c>
      <c r="AS589" s="63"/>
      <c r="AT589" s="63"/>
      <c r="AU589" s="63"/>
      <c r="AW589" s="5">
        <f>IF(Q589&gt;0,RANK(Q589,(N589:P589,Q589:AE589)),0)</f>
        <v>4</v>
      </c>
      <c r="AX589" s="5">
        <f>IF(R589&gt;0,RANK(R589,(N589:P589,Q589:AE589)),0)</f>
        <v>5</v>
      </c>
      <c r="AY589" s="5">
        <f>IF(T589&gt;0,RANK(T589,(N589:P589,Q589:AE589)),0)</f>
        <v>7</v>
      </c>
      <c r="AZ589" s="5">
        <f>IF(S589&gt;0,RANK(S589,(N589:P589,Q589:AE589)),0)</f>
        <v>6</v>
      </c>
      <c r="BA589" s="2">
        <f t="shared" ref="BA589:BA633" si="252">IF($C589=0,"-",Q589/$C589)</f>
        <v>5.1024945188047163E-2</v>
      </c>
      <c r="BB589" s="2">
        <f t="shared" ref="BB589:BB633" si="253">IF($C589=0,"-",R589/$C589)</f>
        <v>1.6037287459945111E-2</v>
      </c>
      <c r="BC589" s="2">
        <f t="shared" ref="BC589:BC633" si="254">IF($C589=0,"-",T589/$C589)</f>
        <v>1.7836243860805748E-3</v>
      </c>
      <c r="BD589" s="2">
        <f t="shared" ref="BD589:BD633" si="255">IF($C589=0,"-",S589/$C589)</f>
        <v>5.2077743536278103E-3</v>
      </c>
      <c r="BF589" t="s">
        <v>552</v>
      </c>
      <c r="BG589" t="s">
        <v>404</v>
      </c>
      <c r="BJ589" s="114">
        <v>16</v>
      </c>
      <c r="BK589" s="116">
        <v>1</v>
      </c>
      <c r="BL589" s="120">
        <f t="shared" si="239"/>
        <v>16001</v>
      </c>
      <c r="BN589" s="5" t="s">
        <v>3154</v>
      </c>
      <c r="CD589" s="63">
        <v>4</v>
      </c>
      <c r="CE589" s="63">
        <v>2</v>
      </c>
      <c r="CF589" s="63">
        <v>2</v>
      </c>
      <c r="CG589" s="8">
        <v>0</v>
      </c>
      <c r="CH589" s="8">
        <v>0</v>
      </c>
      <c r="CI589" s="8">
        <v>1</v>
      </c>
      <c r="CJ589" s="8">
        <v>3</v>
      </c>
      <c r="CK589" s="8">
        <v>0</v>
      </c>
      <c r="CL589" s="8">
        <v>1</v>
      </c>
      <c r="CM589" s="8">
        <v>0</v>
      </c>
      <c r="CN589" s="8">
        <v>1</v>
      </c>
    </row>
    <row r="590" spans="1:92" hidden="1" outlineLevel="1">
      <c r="A590" t="s">
        <v>1026</v>
      </c>
      <c r="B590" t="s">
        <v>404</v>
      </c>
      <c r="C590" s="1">
        <f t="shared" si="245"/>
        <v>2183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4</v>
      </c>
      <c r="G590" s="132">
        <f t="shared" si="246"/>
        <v>1141</v>
      </c>
      <c r="H590" s="137">
        <f t="shared" si="247"/>
        <v>0.52267521759047186</v>
      </c>
      <c r="I590" s="2"/>
      <c r="J590" s="2">
        <f t="shared" si="248"/>
        <v>0.19010535959688502</v>
      </c>
      <c r="K590" s="2">
        <f t="shared" si="249"/>
        <v>0.71278057718735688</v>
      </c>
      <c r="L590" s="2">
        <f t="shared" si="250"/>
        <v>3.6646816307833258E-2</v>
      </c>
      <c r="M590" s="2">
        <f t="shared" si="251"/>
        <v>6.0467246907924849E-2</v>
      </c>
      <c r="N590" s="63">
        <v>415</v>
      </c>
      <c r="O590" s="63">
        <v>1556</v>
      </c>
      <c r="P590" s="63">
        <v>80</v>
      </c>
      <c r="Q590" s="63">
        <v>83</v>
      </c>
      <c r="R590" s="63">
        <v>19</v>
      </c>
      <c r="S590" s="63">
        <v>12</v>
      </c>
      <c r="T590" s="63">
        <v>7</v>
      </c>
      <c r="U590" s="63"/>
      <c r="V590" s="63"/>
      <c r="W590" s="63">
        <f>IF(Copyright!B$11=1,IF(CA590&gt;0,CA590-SUM(Y590:AM590)-SUM(AN590:AQ590),SUM(CB590:CN590)),SUM(CC590:CN590))</f>
        <v>0</v>
      </c>
      <c r="X590" s="63"/>
      <c r="Y590" s="63">
        <v>0</v>
      </c>
      <c r="Z590" s="63">
        <v>0</v>
      </c>
      <c r="AA590" s="63">
        <v>0</v>
      </c>
      <c r="AB590" s="63"/>
      <c r="AC590" s="63"/>
      <c r="AD590" s="63">
        <v>0</v>
      </c>
      <c r="AE590" s="63">
        <v>0</v>
      </c>
      <c r="AF590" s="63"/>
      <c r="AG590" s="63">
        <v>0</v>
      </c>
      <c r="AH590" s="63"/>
      <c r="AI590" s="63"/>
      <c r="AJ590" s="63"/>
      <c r="AK590" s="63"/>
      <c r="AL590" s="63">
        <v>0</v>
      </c>
      <c r="AM590" s="63"/>
      <c r="AN590" s="63">
        <v>0</v>
      </c>
      <c r="AO590" s="63"/>
      <c r="AP590" s="63"/>
      <c r="AQ590" s="63">
        <v>0</v>
      </c>
      <c r="AR590" s="63">
        <v>11</v>
      </c>
      <c r="AS590" s="63"/>
      <c r="AT590" s="63"/>
      <c r="AU590" s="63"/>
      <c r="AW590" s="5">
        <f>IF(Q590&gt;0,RANK(Q590,(N590:P590,Q590:AE590)),0)</f>
        <v>3</v>
      </c>
      <c r="AX590" s="5">
        <f>IF(R590&gt;0,RANK(R590,(N590:P590,Q590:AE590)),0)</f>
        <v>5</v>
      </c>
      <c r="AY590" s="5">
        <f>IF(T590&gt;0,RANK(T590,(N590:P590,Q590:AE590)),0)</f>
        <v>7</v>
      </c>
      <c r="AZ590" s="5">
        <f>IF(S590&gt;0,RANK(S590,(N590:P590,Q590:AE590)),0)</f>
        <v>6</v>
      </c>
      <c r="BA590" s="2">
        <f t="shared" si="252"/>
        <v>3.8021071919377002E-2</v>
      </c>
      <c r="BB590" s="2">
        <f t="shared" si="253"/>
        <v>8.703618873110398E-3</v>
      </c>
      <c r="BC590" s="2">
        <f t="shared" si="254"/>
        <v>3.2065964269354101E-3</v>
      </c>
      <c r="BD590" s="2">
        <f t="shared" si="255"/>
        <v>5.4970224461749883E-3</v>
      </c>
      <c r="BF590" t="s">
        <v>1026</v>
      </c>
      <c r="BG590" t="s">
        <v>404</v>
      </c>
      <c r="BH590">
        <v>1</v>
      </c>
      <c r="BJ590" s="114">
        <v>16</v>
      </c>
      <c r="BK590" s="116">
        <v>3</v>
      </c>
      <c r="BL590" s="120">
        <f t="shared" si="239"/>
        <v>16003</v>
      </c>
      <c r="BN590" s="5" t="s">
        <v>3154</v>
      </c>
      <c r="BZ590" s="63">
        <f>C590</f>
        <v>2183</v>
      </c>
      <c r="CD590" s="63">
        <v>0</v>
      </c>
      <c r="CE590" s="63">
        <v>0</v>
      </c>
      <c r="CF590" s="63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</row>
    <row r="591" spans="1:92" hidden="1" outlineLevel="1">
      <c r="A591" t="s">
        <v>801</v>
      </c>
      <c r="B591" t="s">
        <v>404</v>
      </c>
      <c r="C591" s="1">
        <f t="shared" si="245"/>
        <v>33416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3</v>
      </c>
      <c r="G591" s="132">
        <f t="shared" si="246"/>
        <v>6838</v>
      </c>
      <c r="H591" s="137">
        <f t="shared" si="247"/>
        <v>0.20463251137179794</v>
      </c>
      <c r="I591" s="2"/>
      <c r="J591" s="2">
        <f t="shared" si="248"/>
        <v>0.30949245870241798</v>
      </c>
      <c r="K591" s="2">
        <f t="shared" si="249"/>
        <v>0.51412497007421598</v>
      </c>
      <c r="L591" s="2">
        <f t="shared" si="250"/>
        <v>0.10321402920756524</v>
      </c>
      <c r="M591" s="2">
        <f t="shared" si="251"/>
        <v>7.316854201580085E-2</v>
      </c>
      <c r="N591" s="63">
        <v>10342</v>
      </c>
      <c r="O591" s="63">
        <v>17180</v>
      </c>
      <c r="P591" s="63">
        <v>3449</v>
      </c>
      <c r="Q591" s="63">
        <v>1471</v>
      </c>
      <c r="R591" s="63">
        <v>518</v>
      </c>
      <c r="S591" s="63">
        <v>240</v>
      </c>
      <c r="T591" s="63">
        <v>80</v>
      </c>
      <c r="U591" s="63"/>
      <c r="V591" s="63"/>
      <c r="W591" s="63">
        <f>IF(Copyright!B$11=1,IF(CA591&gt;0,CA591-SUM(Y591:AM591)-SUM(AN591:AQ591),SUM(CB591:CN591)),SUM(CC591:CN591))</f>
        <v>3</v>
      </c>
      <c r="X591" s="63"/>
      <c r="Y591" s="63">
        <v>1</v>
      </c>
      <c r="Z591" s="63">
        <v>0</v>
      </c>
      <c r="AA591" s="63">
        <v>0</v>
      </c>
      <c r="AB591" s="63"/>
      <c r="AC591" s="63"/>
      <c r="AD591" s="63">
        <v>0</v>
      </c>
      <c r="AE591" s="63">
        <v>1</v>
      </c>
      <c r="AF591" s="63"/>
      <c r="AG591" s="63">
        <v>1</v>
      </c>
      <c r="AH591" s="63"/>
      <c r="AI591" s="63"/>
      <c r="AJ591" s="63"/>
      <c r="AK591" s="63"/>
      <c r="AL591" s="63">
        <v>0</v>
      </c>
      <c r="AM591" s="63"/>
      <c r="AN591" s="63">
        <v>2</v>
      </c>
      <c r="AO591" s="63"/>
      <c r="AP591" s="63"/>
      <c r="AQ591" s="63">
        <v>3</v>
      </c>
      <c r="AR591" s="63">
        <v>125</v>
      </c>
      <c r="AS591" s="63"/>
      <c r="AT591" s="63"/>
      <c r="AU591" s="63"/>
      <c r="AW591" s="5">
        <f>IF(Q591&gt;0,RANK(Q591,(N591:P591,Q591:AE591)),0)</f>
        <v>4</v>
      </c>
      <c r="AX591" s="5">
        <f>IF(R591&gt;0,RANK(R591,(N591:P591,Q591:AE591)),0)</f>
        <v>5</v>
      </c>
      <c r="AY591" s="5">
        <f>IF(T591&gt;0,RANK(T591,(N591:P591,Q591:AE591)),0)</f>
        <v>7</v>
      </c>
      <c r="AZ591" s="5">
        <f>IF(S591&gt;0,RANK(S591,(N591:P591,Q591:AE591)),0)</f>
        <v>6</v>
      </c>
      <c r="BA591" s="2">
        <f t="shared" si="252"/>
        <v>4.4020828345702659E-2</v>
      </c>
      <c r="BB591" s="2">
        <f t="shared" si="253"/>
        <v>1.5501556140770888E-2</v>
      </c>
      <c r="BC591" s="2">
        <f t="shared" si="254"/>
        <v>2.3940627244433805E-3</v>
      </c>
      <c r="BD591" s="2">
        <f t="shared" si="255"/>
        <v>7.182188173330141E-3</v>
      </c>
      <c r="BF591" t="s">
        <v>801</v>
      </c>
      <c r="BG591" t="s">
        <v>404</v>
      </c>
      <c r="BH591">
        <v>2</v>
      </c>
      <c r="BJ591" s="114">
        <v>16</v>
      </c>
      <c r="BK591" s="116">
        <v>5</v>
      </c>
      <c r="BL591" s="120">
        <f t="shared" si="239"/>
        <v>16005</v>
      </c>
      <c r="BN591" s="5" t="s">
        <v>3154</v>
      </c>
      <c r="CD591" s="63">
        <v>0</v>
      </c>
      <c r="CE591" s="63">
        <v>0</v>
      </c>
      <c r="CF591" s="63">
        <v>0</v>
      </c>
      <c r="CG591" s="8">
        <v>0</v>
      </c>
      <c r="CH591" s="8">
        <v>1</v>
      </c>
      <c r="CI591" s="8">
        <v>0</v>
      </c>
      <c r="CJ591" s="8">
        <v>0</v>
      </c>
      <c r="CK591" s="8">
        <v>1</v>
      </c>
      <c r="CL591" s="8">
        <v>0</v>
      </c>
      <c r="CM591" s="8">
        <v>1</v>
      </c>
      <c r="CN591" s="8">
        <v>0</v>
      </c>
    </row>
    <row r="592" spans="1:92" hidden="1" outlineLevel="1">
      <c r="A592" t="s">
        <v>1319</v>
      </c>
      <c r="B592" t="s">
        <v>404</v>
      </c>
      <c r="C592" s="1">
        <f t="shared" si="245"/>
        <v>2928</v>
      </c>
      <c r="D592" s="5">
        <f>IF(N592&gt;0, RANK(N592,(N592:P592,Q592:AE592)),0)</f>
        <v>3</v>
      </c>
      <c r="E592" s="5">
        <f>IF(O592&gt;0,RANK(O592,(N592:P592,Q592:AE592)),0)</f>
        <v>1</v>
      </c>
      <c r="F592" s="5">
        <f>IF(P592&gt;0,RANK(P592,(N592:P592,Q592:AE592)),0)</f>
        <v>2</v>
      </c>
      <c r="G592" s="132">
        <f t="shared" si="246"/>
        <v>1837</v>
      </c>
      <c r="H592" s="137">
        <f t="shared" si="247"/>
        <v>0.62739071038251371</v>
      </c>
      <c r="I592" s="2"/>
      <c r="J592" s="2">
        <f t="shared" si="248"/>
        <v>8.7090163934426229E-2</v>
      </c>
      <c r="K592" s="2">
        <f t="shared" si="249"/>
        <v>0.75239071038251371</v>
      </c>
      <c r="L592" s="2">
        <f t="shared" si="250"/>
        <v>0.125</v>
      </c>
      <c r="M592" s="2">
        <f t="shared" si="251"/>
        <v>3.5519125683060038E-2</v>
      </c>
      <c r="N592" s="63">
        <v>255</v>
      </c>
      <c r="O592" s="63">
        <v>2203</v>
      </c>
      <c r="P592" s="63">
        <v>366</v>
      </c>
      <c r="Q592" s="63">
        <v>54</v>
      </c>
      <c r="R592" s="63">
        <v>11</v>
      </c>
      <c r="S592" s="63">
        <v>22</v>
      </c>
      <c r="T592" s="63">
        <v>2</v>
      </c>
      <c r="U592" s="63"/>
      <c r="V592" s="63"/>
      <c r="W592" s="63">
        <f>IF(Copyright!B$11=1,IF(CA592&gt;0,CA592-SUM(Y592:AM592)-SUM(AN592:AQ592),SUM(CB592:CN592)),SUM(CC592:CN592))</f>
        <v>0</v>
      </c>
      <c r="X592" s="63"/>
      <c r="Y592" s="63">
        <v>0</v>
      </c>
      <c r="Z592" s="63">
        <v>0</v>
      </c>
      <c r="AA592" s="63">
        <v>0</v>
      </c>
      <c r="AB592" s="63"/>
      <c r="AC592" s="63"/>
      <c r="AD592" s="63">
        <v>0</v>
      </c>
      <c r="AE592" s="63">
        <v>0</v>
      </c>
      <c r="AF592" s="63"/>
      <c r="AG592" s="63">
        <v>0</v>
      </c>
      <c r="AH592" s="63"/>
      <c r="AI592" s="63"/>
      <c r="AJ592" s="63"/>
      <c r="AK592" s="63"/>
      <c r="AL592" s="63">
        <v>0</v>
      </c>
      <c r="AM592" s="63"/>
      <c r="AN592" s="63">
        <v>0</v>
      </c>
      <c r="AO592" s="63"/>
      <c r="AP592" s="63"/>
      <c r="AQ592" s="63">
        <v>0</v>
      </c>
      <c r="AR592" s="63">
        <v>15</v>
      </c>
      <c r="AS592" s="63"/>
      <c r="AT592" s="63"/>
      <c r="AU592" s="63"/>
      <c r="AW592" s="5">
        <f>IF(Q592&gt;0,RANK(Q592,(N592:P592,Q592:AE592)),0)</f>
        <v>4</v>
      </c>
      <c r="AX592" s="5">
        <f>IF(R592&gt;0,RANK(R592,(N592:P592,Q592:AE592)),0)</f>
        <v>6</v>
      </c>
      <c r="AY592" s="5">
        <f>IF(T592&gt;0,RANK(T592,(N592:P592,Q592:AE592)),0)</f>
        <v>7</v>
      </c>
      <c r="AZ592" s="5">
        <f>IF(S592&gt;0,RANK(S592,(N592:P592,Q592:AE592)),0)</f>
        <v>5</v>
      </c>
      <c r="BA592" s="2">
        <f t="shared" si="252"/>
        <v>1.8442622950819672E-2</v>
      </c>
      <c r="BB592" s="2">
        <f t="shared" si="253"/>
        <v>3.756830601092896E-3</v>
      </c>
      <c r="BC592" s="2">
        <f t="shared" si="254"/>
        <v>6.8306010928961749E-4</v>
      </c>
      <c r="BD592" s="2">
        <f t="shared" si="255"/>
        <v>7.513661202185792E-3</v>
      </c>
      <c r="BF592" t="s">
        <v>1319</v>
      </c>
      <c r="BG592" t="s">
        <v>404</v>
      </c>
      <c r="BH592">
        <v>2</v>
      </c>
      <c r="BJ592" s="114">
        <v>16</v>
      </c>
      <c r="BK592" s="116">
        <v>7</v>
      </c>
      <c r="BL592" s="120">
        <f t="shared" si="239"/>
        <v>16007</v>
      </c>
      <c r="BN592" s="5" t="s">
        <v>3154</v>
      </c>
      <c r="BZ592" s="63">
        <f>C592</f>
        <v>2928</v>
      </c>
      <c r="CD592" s="63">
        <v>0</v>
      </c>
      <c r="CE592" s="63">
        <v>0</v>
      </c>
      <c r="CF592" s="63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</row>
    <row r="593" spans="1:92" hidden="1" outlineLevel="1">
      <c r="A593" t="s">
        <v>1097</v>
      </c>
      <c r="B593" t="s">
        <v>404</v>
      </c>
      <c r="C593" s="1">
        <f t="shared" si="245"/>
        <v>4185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4</v>
      </c>
      <c r="G593" s="132">
        <f t="shared" si="246"/>
        <v>2333</v>
      </c>
      <c r="H593" s="137">
        <f t="shared" si="247"/>
        <v>0.55746714456391877</v>
      </c>
      <c r="I593" s="2"/>
      <c r="J593" s="2">
        <f t="shared" si="248"/>
        <v>0.18399044205495818</v>
      </c>
      <c r="K593" s="2">
        <f t="shared" si="249"/>
        <v>0.74145758661887695</v>
      </c>
      <c r="L593" s="2">
        <f t="shared" si="250"/>
        <v>1.4575866188769415E-2</v>
      </c>
      <c r="M593" s="2">
        <f t="shared" si="251"/>
        <v>5.9976105137395451E-2</v>
      </c>
      <c r="N593" s="63">
        <v>770</v>
      </c>
      <c r="O593" s="63">
        <v>3103</v>
      </c>
      <c r="P593" s="63">
        <v>61</v>
      </c>
      <c r="Q593" s="63">
        <v>151</v>
      </c>
      <c r="R593" s="63">
        <v>42</v>
      </c>
      <c r="S593" s="63">
        <v>30</v>
      </c>
      <c r="T593" s="63">
        <v>10</v>
      </c>
      <c r="U593" s="63"/>
      <c r="V593" s="63"/>
      <c r="W593" s="63">
        <f>IF(Copyright!B$11=1,IF(CA593&gt;0,CA593-SUM(Y593:AM593)-SUM(AN593:AQ593),SUM(CB593:CN593)),SUM(CC593:CN593))</f>
        <v>0</v>
      </c>
      <c r="X593" s="63"/>
      <c r="Y593" s="63">
        <v>0</v>
      </c>
      <c r="Z593" s="63">
        <v>0</v>
      </c>
      <c r="AA593" s="63">
        <v>0</v>
      </c>
      <c r="AB593" s="63"/>
      <c r="AC593" s="63"/>
      <c r="AD593" s="63">
        <v>0</v>
      </c>
      <c r="AE593" s="63">
        <v>0</v>
      </c>
      <c r="AF593" s="63"/>
      <c r="AG593" s="63">
        <v>0</v>
      </c>
      <c r="AH593" s="63"/>
      <c r="AI593" s="63"/>
      <c r="AJ593" s="63"/>
      <c r="AK593" s="63"/>
      <c r="AL593" s="63">
        <v>0</v>
      </c>
      <c r="AM593" s="63"/>
      <c r="AN593" s="63">
        <v>0</v>
      </c>
      <c r="AO593" s="63"/>
      <c r="AP593" s="63"/>
      <c r="AQ593" s="63">
        <v>1</v>
      </c>
      <c r="AR593" s="63">
        <v>17</v>
      </c>
      <c r="AS593" s="63"/>
      <c r="AT593" s="63"/>
      <c r="AU593" s="63"/>
      <c r="AW593" s="5">
        <f>IF(Q593&gt;0,RANK(Q593,(N593:P593,Q593:AE593)),0)</f>
        <v>3</v>
      </c>
      <c r="AX593" s="5">
        <f>IF(R593&gt;0,RANK(R593,(N593:P593,Q593:AE593)),0)</f>
        <v>5</v>
      </c>
      <c r="AY593" s="5">
        <f>IF(T593&gt;0,RANK(T593,(N593:P593,Q593:AE593)),0)</f>
        <v>7</v>
      </c>
      <c r="AZ593" s="5">
        <f>IF(S593&gt;0,RANK(S593,(N593:P593,Q593:AE593)),0)</f>
        <v>6</v>
      </c>
      <c r="BA593" s="2">
        <f t="shared" si="252"/>
        <v>3.6081242532855433E-2</v>
      </c>
      <c r="BB593" s="2">
        <f t="shared" si="253"/>
        <v>1.003584229390681E-2</v>
      </c>
      <c r="BC593" s="2">
        <f t="shared" si="254"/>
        <v>2.3894862604540022E-3</v>
      </c>
      <c r="BD593" s="2">
        <f t="shared" si="255"/>
        <v>7.1684587813620072E-3</v>
      </c>
      <c r="BF593" t="s">
        <v>1097</v>
      </c>
      <c r="BG593" t="s">
        <v>404</v>
      </c>
      <c r="BH593">
        <v>1</v>
      </c>
      <c r="BJ593" s="114">
        <v>16</v>
      </c>
      <c r="BK593" s="116">
        <v>9</v>
      </c>
      <c r="BL593" s="120">
        <f t="shared" si="239"/>
        <v>16009</v>
      </c>
      <c r="BN593" s="5" t="s">
        <v>3154</v>
      </c>
      <c r="BZ593" s="63">
        <f>C593</f>
        <v>4185</v>
      </c>
      <c r="CD593" s="63">
        <v>0</v>
      </c>
      <c r="CE593" s="63">
        <v>0</v>
      </c>
      <c r="CF593" s="63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</row>
    <row r="594" spans="1:92" hidden="1" outlineLevel="1">
      <c r="A594" t="s">
        <v>758</v>
      </c>
      <c r="B594" t="s">
        <v>404</v>
      </c>
      <c r="C594" s="1">
        <f t="shared" si="245"/>
        <v>16625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>IF(P594&gt;0,RANK(P594,(N594:P594,Q594:AE594)),0)</f>
        <v>3</v>
      </c>
      <c r="G594" s="132">
        <f t="shared" si="246"/>
        <v>7983</v>
      </c>
      <c r="H594" s="137">
        <f t="shared" si="247"/>
        <v>0.48018045112781954</v>
      </c>
      <c r="I594" s="2"/>
      <c r="J594" s="2">
        <f t="shared" si="248"/>
        <v>0.1758796992481203</v>
      </c>
      <c r="K594" s="2">
        <f t="shared" si="249"/>
        <v>0.6560601503759399</v>
      </c>
      <c r="L594" s="2">
        <f t="shared" si="250"/>
        <v>0.12042105263157894</v>
      </c>
      <c r="M594" s="2">
        <f t="shared" si="251"/>
        <v>4.7639097744360856E-2</v>
      </c>
      <c r="N594" s="63">
        <v>2924</v>
      </c>
      <c r="O594" s="63">
        <v>10907</v>
      </c>
      <c r="P594" s="63">
        <v>2002</v>
      </c>
      <c r="Q594" s="63">
        <v>417</v>
      </c>
      <c r="R594" s="63">
        <v>124</v>
      </c>
      <c r="S594" s="63">
        <v>144</v>
      </c>
      <c r="T594" s="63">
        <v>34</v>
      </c>
      <c r="U594" s="63"/>
      <c r="V594" s="63"/>
      <c r="W594" s="63">
        <f>IF(Copyright!B$11=1,IF(CA594&gt;0,CA594-SUM(Y594:AM594)-SUM(AN594:AQ594),SUM(CB594:CN594)),SUM(CC594:CN594))</f>
        <v>0</v>
      </c>
      <c r="X594" s="63"/>
      <c r="Y594" s="63">
        <v>0</v>
      </c>
      <c r="Z594" s="63">
        <v>0</v>
      </c>
      <c r="AA594" s="63">
        <v>0</v>
      </c>
      <c r="AB594" s="63"/>
      <c r="AC594" s="63"/>
      <c r="AD594" s="63">
        <v>0</v>
      </c>
      <c r="AE594" s="63">
        <v>0</v>
      </c>
      <c r="AF594" s="63"/>
      <c r="AG594" s="63">
        <v>0</v>
      </c>
      <c r="AH594" s="63"/>
      <c r="AI594" s="63"/>
      <c r="AJ594" s="63"/>
      <c r="AK594" s="63"/>
      <c r="AL594" s="63">
        <v>0</v>
      </c>
      <c r="AM594" s="63"/>
      <c r="AN594" s="63">
        <v>0</v>
      </c>
      <c r="AO594" s="63"/>
      <c r="AP594" s="63"/>
      <c r="AQ594" s="63">
        <v>0</v>
      </c>
      <c r="AR594" s="63">
        <v>73</v>
      </c>
      <c r="AS594" s="63"/>
      <c r="AT594" s="63"/>
      <c r="AU594" s="63"/>
      <c r="AW594" s="5">
        <f>IF(Q594&gt;0,RANK(Q594,(N594:P594,Q594:AE594)),0)</f>
        <v>4</v>
      </c>
      <c r="AX594" s="5">
        <f>IF(R594&gt;0,RANK(R594,(N594:P594,Q594:AE594)),0)</f>
        <v>6</v>
      </c>
      <c r="AY594" s="5">
        <f>IF(T594&gt;0,RANK(T594,(N594:P594,Q594:AE594)),0)</f>
        <v>7</v>
      </c>
      <c r="AZ594" s="5">
        <f>IF(S594&gt;0,RANK(S594,(N594:P594,Q594:AE594)),0)</f>
        <v>5</v>
      </c>
      <c r="BA594" s="2">
        <f t="shared" si="252"/>
        <v>2.5082706766917293E-2</v>
      </c>
      <c r="BB594" s="2">
        <f t="shared" si="253"/>
        <v>7.4586466165413538E-3</v>
      </c>
      <c r="BC594" s="2">
        <f t="shared" si="254"/>
        <v>2.0451127819548871E-3</v>
      </c>
      <c r="BD594" s="2">
        <f t="shared" si="255"/>
        <v>8.661654135338346E-3</v>
      </c>
      <c r="BF594" t="s">
        <v>758</v>
      </c>
      <c r="BG594" t="s">
        <v>404</v>
      </c>
      <c r="BH594">
        <v>2</v>
      </c>
      <c r="BJ594" s="114">
        <v>16</v>
      </c>
      <c r="BK594" s="116">
        <v>11</v>
      </c>
      <c r="BL594" s="120">
        <f t="shared" si="239"/>
        <v>16011</v>
      </c>
      <c r="BN594" s="5" t="s">
        <v>3154</v>
      </c>
      <c r="CD594" s="63">
        <v>0</v>
      </c>
      <c r="CE594" s="63">
        <v>0</v>
      </c>
      <c r="CF594" s="63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</row>
    <row r="595" spans="1:92" hidden="1" outlineLevel="1">
      <c r="A595" t="s">
        <v>794</v>
      </c>
      <c r="B595" t="s">
        <v>404</v>
      </c>
      <c r="C595" s="1">
        <f t="shared" si="245"/>
        <v>10724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>IF(P595&gt;0,RANK(P595,(N595:P595,Q595:AE595)),0)</f>
        <v>4</v>
      </c>
      <c r="G595" s="132">
        <f t="shared" si="246"/>
        <v>3076</v>
      </c>
      <c r="H595" s="137">
        <f t="shared" si="247"/>
        <v>0.28683327116747481</v>
      </c>
      <c r="I595" s="2"/>
      <c r="J595" s="2">
        <f t="shared" si="248"/>
        <v>0.59828422230511002</v>
      </c>
      <c r="K595" s="2">
        <f t="shared" si="249"/>
        <v>0.31145095113763521</v>
      </c>
      <c r="L595" s="2">
        <f t="shared" si="250"/>
        <v>2.6948899664304363E-2</v>
      </c>
      <c r="M595" s="2">
        <f t="shared" si="251"/>
        <v>6.3315926892950403E-2</v>
      </c>
      <c r="N595" s="63">
        <v>6416</v>
      </c>
      <c r="O595" s="63">
        <v>3340</v>
      </c>
      <c r="P595" s="63">
        <v>289</v>
      </c>
      <c r="Q595" s="63">
        <v>424</v>
      </c>
      <c r="R595" s="63">
        <v>176</v>
      </c>
      <c r="S595" s="63">
        <v>35</v>
      </c>
      <c r="T595" s="63">
        <v>20</v>
      </c>
      <c r="U595" s="63"/>
      <c r="V595" s="63"/>
      <c r="W595" s="63">
        <f>IF(Copyright!B$11=1,IF(CA595&gt;0,CA595-SUM(Y595:AM595)-SUM(AN595:AQ595),SUM(CB595:CN595)),SUM(CC595:CN595))</f>
        <v>0</v>
      </c>
      <c r="X595" s="63"/>
      <c r="Y595" s="63">
        <v>0</v>
      </c>
      <c r="Z595" s="63">
        <v>0</v>
      </c>
      <c r="AA595" s="63">
        <v>0</v>
      </c>
      <c r="AB595" s="63"/>
      <c r="AC595" s="63"/>
      <c r="AD595" s="63">
        <v>0</v>
      </c>
      <c r="AE595" s="63">
        <v>0</v>
      </c>
      <c r="AF595" s="63"/>
      <c r="AG595" s="63">
        <v>0</v>
      </c>
      <c r="AH595" s="63"/>
      <c r="AI595" s="63"/>
      <c r="AJ595" s="63"/>
      <c r="AK595" s="63"/>
      <c r="AL595" s="63">
        <v>0</v>
      </c>
      <c r="AM595" s="63"/>
      <c r="AN595" s="63">
        <v>1</v>
      </c>
      <c r="AO595" s="63"/>
      <c r="AP595" s="63"/>
      <c r="AQ595" s="63">
        <v>0</v>
      </c>
      <c r="AR595" s="63">
        <v>23</v>
      </c>
      <c r="AS595" s="63"/>
      <c r="AT595" s="63"/>
      <c r="AU595" s="63"/>
      <c r="AW595" s="5">
        <f>IF(Q595&gt;0,RANK(Q595,(N595:P595,Q595:AE595)),0)</f>
        <v>3</v>
      </c>
      <c r="AX595" s="5">
        <f>IF(R595&gt;0,RANK(R595,(N595:P595,Q595:AE595)),0)</f>
        <v>5</v>
      </c>
      <c r="AY595" s="5">
        <f>IF(T595&gt;0,RANK(T595,(N595:P595,Q595:AE595)),0)</f>
        <v>7</v>
      </c>
      <c r="AZ595" s="5">
        <f>IF(S595&gt;0,RANK(S595,(N595:P595,Q595:AE595)),0)</f>
        <v>6</v>
      </c>
      <c r="BA595" s="2">
        <f t="shared" si="252"/>
        <v>3.9537486012681838E-2</v>
      </c>
      <c r="BB595" s="2">
        <f t="shared" si="253"/>
        <v>1.6411786646773591E-2</v>
      </c>
      <c r="BC595" s="2">
        <f t="shared" si="254"/>
        <v>1.8649757553151809E-3</v>
      </c>
      <c r="BD595" s="2">
        <f t="shared" si="255"/>
        <v>3.2637075718015664E-3</v>
      </c>
      <c r="BF595" t="s">
        <v>794</v>
      </c>
      <c r="BG595" t="s">
        <v>404</v>
      </c>
      <c r="BH595">
        <v>2</v>
      </c>
      <c r="BJ595" s="114">
        <v>16</v>
      </c>
      <c r="BK595" s="116">
        <v>13</v>
      </c>
      <c r="BL595" s="120">
        <f t="shared" si="239"/>
        <v>16013</v>
      </c>
      <c r="BN595" s="5" t="s">
        <v>3154</v>
      </c>
      <c r="BZ595" s="63">
        <f t="shared" ref="BZ595:BZ603" si="256">C595</f>
        <v>10724</v>
      </c>
      <c r="CD595" s="63">
        <v>0</v>
      </c>
      <c r="CE595" s="63">
        <v>0</v>
      </c>
      <c r="CF595" s="63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</row>
    <row r="596" spans="1:92" hidden="1" outlineLevel="1">
      <c r="A596" t="s">
        <v>2053</v>
      </c>
      <c r="B596" t="s">
        <v>404</v>
      </c>
      <c r="C596" s="1">
        <f t="shared" si="245"/>
        <v>3814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4</v>
      </c>
      <c r="G596" s="132">
        <f t="shared" si="246"/>
        <v>1896</v>
      </c>
      <c r="H596" s="137">
        <f t="shared" si="247"/>
        <v>0.49711588883062402</v>
      </c>
      <c r="I596" s="2"/>
      <c r="J596" s="2">
        <f t="shared" si="248"/>
        <v>0.2037231253277399</v>
      </c>
      <c r="K596" s="2">
        <f t="shared" si="249"/>
        <v>0.70083901415836392</v>
      </c>
      <c r="L596" s="2">
        <f t="shared" si="250"/>
        <v>2.9365495542737284E-2</v>
      </c>
      <c r="M596" s="2">
        <f t="shared" si="251"/>
        <v>6.6072364971158953E-2</v>
      </c>
      <c r="N596" s="63">
        <v>777</v>
      </c>
      <c r="O596" s="63">
        <v>2673</v>
      </c>
      <c r="P596" s="63">
        <v>112</v>
      </c>
      <c r="Q596" s="63">
        <v>173</v>
      </c>
      <c r="R596" s="63">
        <v>35</v>
      </c>
      <c r="S596" s="63">
        <v>22</v>
      </c>
      <c r="T596" s="63">
        <v>7</v>
      </c>
      <c r="U596" s="63"/>
      <c r="V596" s="63"/>
      <c r="W596" s="63">
        <f>IF(Copyright!B$11=1,IF(CA596&gt;0,CA596-SUM(Y596:AM596)-SUM(AN596:AQ596),SUM(CB596:CN596)),SUM(CC596:CN596))</f>
        <v>0</v>
      </c>
      <c r="X596" s="63"/>
      <c r="Y596" s="63">
        <v>0</v>
      </c>
      <c r="Z596" s="63">
        <v>0</v>
      </c>
      <c r="AA596" s="63">
        <v>0</v>
      </c>
      <c r="AB596" s="63"/>
      <c r="AC596" s="63"/>
      <c r="AD596" s="63">
        <v>0</v>
      </c>
      <c r="AE596" s="63">
        <v>0</v>
      </c>
      <c r="AF596" s="63"/>
      <c r="AG596" s="63">
        <v>0</v>
      </c>
      <c r="AH596" s="63"/>
      <c r="AI596" s="63"/>
      <c r="AJ596" s="63"/>
      <c r="AK596" s="63"/>
      <c r="AL596" s="63">
        <v>0</v>
      </c>
      <c r="AM596" s="63"/>
      <c r="AN596" s="63">
        <v>2</v>
      </c>
      <c r="AO596" s="63"/>
      <c r="AP596" s="63"/>
      <c r="AQ596" s="63">
        <v>0</v>
      </c>
      <c r="AR596" s="63">
        <v>13</v>
      </c>
      <c r="AS596" s="63"/>
      <c r="AT596" s="63"/>
      <c r="AU596" s="63"/>
      <c r="AW596" s="5">
        <f>IF(Q596&gt;0,RANK(Q596,(N596:P596,Q596:AE596)),0)</f>
        <v>3</v>
      </c>
      <c r="AX596" s="5">
        <f>IF(R596&gt;0,RANK(R596,(N596:P596,Q596:AE596)),0)</f>
        <v>5</v>
      </c>
      <c r="AY596" s="5">
        <f>IF(T596&gt;0,RANK(T596,(N596:P596,Q596:AE596)),0)</f>
        <v>7</v>
      </c>
      <c r="AZ596" s="5">
        <f>IF(S596&gt;0,RANK(S596,(N596:P596,Q596:AE596)),0)</f>
        <v>6</v>
      </c>
      <c r="BA596" s="2">
        <f t="shared" si="252"/>
        <v>4.5359202936549554E-2</v>
      </c>
      <c r="BB596" s="2">
        <f t="shared" si="253"/>
        <v>9.1767173571054017E-3</v>
      </c>
      <c r="BC596" s="2">
        <f t="shared" si="254"/>
        <v>1.8353434714210803E-3</v>
      </c>
      <c r="BD596" s="2">
        <f t="shared" si="255"/>
        <v>5.7682223387519665E-3</v>
      </c>
      <c r="BF596" t="s">
        <v>2053</v>
      </c>
      <c r="BG596" t="s">
        <v>404</v>
      </c>
      <c r="BH596">
        <v>1</v>
      </c>
      <c r="BJ596" s="114">
        <v>16</v>
      </c>
      <c r="BK596" s="116">
        <v>15</v>
      </c>
      <c r="BL596" s="120">
        <f t="shared" si="239"/>
        <v>16015</v>
      </c>
      <c r="BN596" s="5" t="s">
        <v>3154</v>
      </c>
      <c r="BZ596" s="63">
        <f t="shared" si="256"/>
        <v>3814</v>
      </c>
      <c r="CD596" s="63">
        <v>0</v>
      </c>
      <c r="CE596" s="63">
        <v>0</v>
      </c>
      <c r="CF596" s="63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</row>
    <row r="597" spans="1:92" hidden="1" outlineLevel="1">
      <c r="A597" t="s">
        <v>539</v>
      </c>
      <c r="B597" t="s">
        <v>404</v>
      </c>
      <c r="C597" s="1">
        <f t="shared" si="245"/>
        <v>20943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5</v>
      </c>
      <c r="G597" s="132">
        <f t="shared" si="246"/>
        <v>7524</v>
      </c>
      <c r="H597" s="137">
        <f t="shared" si="247"/>
        <v>0.3592608508809626</v>
      </c>
      <c r="I597" s="2"/>
      <c r="J597" s="2">
        <f t="shared" si="248"/>
        <v>0.27784940075442871</v>
      </c>
      <c r="K597" s="2">
        <f t="shared" si="249"/>
        <v>0.63711025163539126</v>
      </c>
      <c r="L597" s="2">
        <f t="shared" si="250"/>
        <v>1.7762498209425583E-2</v>
      </c>
      <c r="M597" s="2">
        <f t="shared" si="251"/>
        <v>6.7277849400754403E-2</v>
      </c>
      <c r="N597" s="63">
        <v>5819</v>
      </c>
      <c r="O597" s="63">
        <v>13343</v>
      </c>
      <c r="P597" s="63">
        <v>372</v>
      </c>
      <c r="Q597" s="63">
        <v>762</v>
      </c>
      <c r="R597" s="63">
        <v>396</v>
      </c>
      <c r="S597" s="63">
        <v>116</v>
      </c>
      <c r="T597" s="63">
        <v>33</v>
      </c>
      <c r="U597" s="63"/>
      <c r="V597" s="63"/>
      <c r="W597" s="63">
        <f>IF(Copyright!B$11=1,IF(CA597&gt;0,CA597-SUM(Y597:AM597)-SUM(AN597:AQ597),SUM(CB597:CN597)),SUM(CC597:CN597))</f>
        <v>0</v>
      </c>
      <c r="X597" s="63"/>
      <c r="Y597" s="63">
        <v>16</v>
      </c>
      <c r="Z597" s="63">
        <v>0</v>
      </c>
      <c r="AA597" s="63">
        <v>0</v>
      </c>
      <c r="AB597" s="63"/>
      <c r="AC597" s="63"/>
      <c r="AD597" s="63">
        <v>0</v>
      </c>
      <c r="AE597" s="63">
        <v>0</v>
      </c>
      <c r="AF597" s="63"/>
      <c r="AG597" s="63">
        <v>0</v>
      </c>
      <c r="AH597" s="63"/>
      <c r="AI597" s="63"/>
      <c r="AJ597" s="63"/>
      <c r="AK597" s="63"/>
      <c r="AL597" s="63">
        <v>0</v>
      </c>
      <c r="AM597" s="63"/>
      <c r="AN597" s="63">
        <v>2</v>
      </c>
      <c r="AO597" s="63"/>
      <c r="AP597" s="63"/>
      <c r="AQ597" s="63">
        <v>0</v>
      </c>
      <c r="AR597" s="63">
        <v>84</v>
      </c>
      <c r="AS597" s="63"/>
      <c r="AT597" s="63"/>
      <c r="AU597" s="63"/>
      <c r="AW597" s="5">
        <f>IF(Q597&gt;0,RANK(Q597,(N597:P597,Q597:AE597)),0)</f>
        <v>3</v>
      </c>
      <c r="AX597" s="5">
        <f>IF(R597&gt;0,RANK(R597,(N597:P597,Q597:AE597)),0)</f>
        <v>4</v>
      </c>
      <c r="AY597" s="5">
        <f>IF(T597&gt;0,RANK(T597,(N597:P597,Q597:AE597)),0)</f>
        <v>7</v>
      </c>
      <c r="AZ597" s="5">
        <f>IF(S597&gt;0,RANK(S597,(N597:P597,Q597:AE597)),0)</f>
        <v>6</v>
      </c>
      <c r="BA597" s="2">
        <f t="shared" si="252"/>
        <v>3.6384472138662083E-2</v>
      </c>
      <c r="BB597" s="2">
        <f t="shared" si="253"/>
        <v>1.8908465835840136E-2</v>
      </c>
      <c r="BC597" s="2">
        <f t="shared" si="254"/>
        <v>1.5757054863200115E-3</v>
      </c>
      <c r="BD597" s="2">
        <f t="shared" si="255"/>
        <v>5.5388435276703431E-3</v>
      </c>
      <c r="BF597" t="s">
        <v>539</v>
      </c>
      <c r="BG597" t="s">
        <v>404</v>
      </c>
      <c r="BH597">
        <v>1</v>
      </c>
      <c r="BJ597" s="114">
        <v>16</v>
      </c>
      <c r="BK597" s="116">
        <v>17</v>
      </c>
      <c r="BL597" s="120">
        <f t="shared" si="239"/>
        <v>16017</v>
      </c>
      <c r="BN597" s="5" t="s">
        <v>3154</v>
      </c>
      <c r="CD597" s="63">
        <v>0</v>
      </c>
      <c r="CE597" s="63">
        <v>0</v>
      </c>
      <c r="CF597" s="63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</row>
    <row r="598" spans="1:92" hidden="1" outlineLevel="1">
      <c r="A598" t="s">
        <v>1420</v>
      </c>
      <c r="B598" t="s">
        <v>404</v>
      </c>
      <c r="C598" s="1">
        <f t="shared" si="245"/>
        <v>44221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3</v>
      </c>
      <c r="G598" s="132">
        <f t="shared" si="246"/>
        <v>17769</v>
      </c>
      <c r="H598" s="137">
        <f t="shared" si="247"/>
        <v>0.40182266344044687</v>
      </c>
      <c r="I598" s="2"/>
      <c r="J598" s="2">
        <f t="shared" si="248"/>
        <v>0.20194025463015308</v>
      </c>
      <c r="K598" s="2">
        <f t="shared" si="249"/>
        <v>0.6037629180705999</v>
      </c>
      <c r="L598" s="2">
        <f t="shared" si="250"/>
        <v>0.13617964315596662</v>
      </c>
      <c r="M598" s="2">
        <f t="shared" si="251"/>
        <v>5.8117184143280404E-2</v>
      </c>
      <c r="N598" s="63">
        <v>8930</v>
      </c>
      <c r="O598" s="63">
        <v>26699</v>
      </c>
      <c r="P598" s="63">
        <v>6022</v>
      </c>
      <c r="Q598" s="63">
        <v>1634</v>
      </c>
      <c r="R598" s="63">
        <v>399</v>
      </c>
      <c r="S598" s="63">
        <v>272</v>
      </c>
      <c r="T598" s="63">
        <v>87</v>
      </c>
      <c r="U598" s="63"/>
      <c r="V598" s="63"/>
      <c r="W598" s="63">
        <f>IF(Copyright!B$11=1,IF(CA598&gt;0,CA598-SUM(Y598:AM598)-SUM(AN598:AQ598),SUM(CB598:CN598)),SUM(CC598:CN598))</f>
        <v>1</v>
      </c>
      <c r="X598" s="63"/>
      <c r="Y598" s="63">
        <v>0</v>
      </c>
      <c r="Z598" s="63">
        <v>0</v>
      </c>
      <c r="AA598" s="63">
        <v>0</v>
      </c>
      <c r="AB598" s="63"/>
      <c r="AC598" s="63"/>
      <c r="AD598" s="63">
        <v>0</v>
      </c>
      <c r="AE598" s="63">
        <v>1</v>
      </c>
      <c r="AF598" s="63"/>
      <c r="AG598" s="63">
        <v>3</v>
      </c>
      <c r="AH598" s="63"/>
      <c r="AI598" s="63"/>
      <c r="AJ598" s="63"/>
      <c r="AK598" s="63"/>
      <c r="AL598" s="63">
        <v>0</v>
      </c>
      <c r="AM598" s="63"/>
      <c r="AN598" s="63">
        <v>3</v>
      </c>
      <c r="AO598" s="63"/>
      <c r="AP598" s="63"/>
      <c r="AQ598" s="63">
        <v>1</v>
      </c>
      <c r="AR598" s="63">
        <v>169</v>
      </c>
      <c r="AS598" s="63"/>
      <c r="AT598" s="63"/>
      <c r="AU598" s="63"/>
      <c r="AW598" s="5">
        <f>IF(Q598&gt;0,RANK(Q598,(N598:P598,Q598:AE598)),0)</f>
        <v>4</v>
      </c>
      <c r="AX598" s="5">
        <f>IF(R598&gt;0,RANK(R598,(N598:P598,Q598:AE598)),0)</f>
        <v>5</v>
      </c>
      <c r="AY598" s="5">
        <f>IF(T598&gt;0,RANK(T598,(N598:P598,Q598:AE598)),0)</f>
        <v>7</v>
      </c>
      <c r="AZ598" s="5">
        <f>IF(S598&gt;0,RANK(S598,(N598:P598,Q598:AE598)),0)</f>
        <v>6</v>
      </c>
      <c r="BA598" s="2">
        <f t="shared" si="252"/>
        <v>3.6950769996155673E-2</v>
      </c>
      <c r="BB598" s="2">
        <f t="shared" si="253"/>
        <v>9.0228624409217344E-3</v>
      </c>
      <c r="BC598" s="2">
        <f t="shared" si="254"/>
        <v>1.9673910585468442E-3</v>
      </c>
      <c r="BD598" s="2">
        <f t="shared" si="255"/>
        <v>6.1509237692499042E-3</v>
      </c>
      <c r="BF598" t="s">
        <v>1420</v>
      </c>
      <c r="BG598" t="s">
        <v>404</v>
      </c>
      <c r="BH598">
        <v>2</v>
      </c>
      <c r="BJ598" s="114">
        <v>16</v>
      </c>
      <c r="BK598" s="116">
        <v>19</v>
      </c>
      <c r="BL598" s="120">
        <f t="shared" si="239"/>
        <v>16019</v>
      </c>
      <c r="BN598" s="5" t="s">
        <v>3154</v>
      </c>
      <c r="BZ598" s="63">
        <f t="shared" si="256"/>
        <v>44221</v>
      </c>
      <c r="CD598" s="63">
        <v>1</v>
      </c>
      <c r="CE598" s="63">
        <v>0</v>
      </c>
      <c r="CF598" s="63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</row>
    <row r="599" spans="1:92" hidden="1" outlineLevel="1">
      <c r="A599" t="s">
        <v>538</v>
      </c>
      <c r="B599" t="s">
        <v>404</v>
      </c>
      <c r="C599" s="1">
        <f t="shared" si="245"/>
        <v>5163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4</v>
      </c>
      <c r="G599" s="132">
        <f t="shared" si="246"/>
        <v>2856</v>
      </c>
      <c r="H599" s="137">
        <f t="shared" si="247"/>
        <v>0.55316676350958749</v>
      </c>
      <c r="I599" s="2"/>
      <c r="J599" s="2">
        <f t="shared" si="248"/>
        <v>0.18070889018012784</v>
      </c>
      <c r="K599" s="2">
        <f t="shared" si="249"/>
        <v>0.7338756536897153</v>
      </c>
      <c r="L599" s="2">
        <f t="shared" si="250"/>
        <v>2.5179159403447608E-2</v>
      </c>
      <c r="M599" s="2">
        <f t="shared" si="251"/>
        <v>6.0236296726709278E-2</v>
      </c>
      <c r="N599" s="63">
        <v>933</v>
      </c>
      <c r="O599" s="63">
        <v>3789</v>
      </c>
      <c r="P599" s="63">
        <v>130</v>
      </c>
      <c r="Q599" s="63">
        <v>161</v>
      </c>
      <c r="R599" s="63">
        <v>80</v>
      </c>
      <c r="S599" s="63">
        <v>33</v>
      </c>
      <c r="T599" s="63">
        <v>7</v>
      </c>
      <c r="U599" s="63"/>
      <c r="V599" s="63"/>
      <c r="W599" s="63">
        <f>IF(Copyright!B$11=1,IF(CA599&gt;0,CA599-SUM(Y599:AM599)-SUM(AN599:AQ599),SUM(CB599:CN599)),SUM(CC599:CN599))</f>
        <v>0</v>
      </c>
      <c r="X599" s="63"/>
      <c r="Y599" s="63">
        <v>1</v>
      </c>
      <c r="Z599" s="63">
        <v>0</v>
      </c>
      <c r="AA599" s="63">
        <v>0</v>
      </c>
      <c r="AB599" s="63"/>
      <c r="AC599" s="63"/>
      <c r="AD599" s="63">
        <v>0</v>
      </c>
      <c r="AE599" s="63">
        <v>0</v>
      </c>
      <c r="AF599" s="63"/>
      <c r="AG599" s="63">
        <v>0</v>
      </c>
      <c r="AH599" s="63"/>
      <c r="AI599" s="63"/>
      <c r="AJ599" s="63"/>
      <c r="AK599" s="63"/>
      <c r="AL599" s="63">
        <v>0</v>
      </c>
      <c r="AM599" s="63"/>
      <c r="AN599" s="63">
        <v>0</v>
      </c>
      <c r="AO599" s="63"/>
      <c r="AP599" s="63"/>
      <c r="AQ599" s="63">
        <v>0</v>
      </c>
      <c r="AR599" s="63">
        <v>29</v>
      </c>
      <c r="AS599" s="63"/>
      <c r="AT599" s="63"/>
      <c r="AU599" s="63"/>
      <c r="AW599" s="5">
        <f>IF(Q599&gt;0,RANK(Q599,(N599:P599,Q599:AE599)),0)</f>
        <v>3</v>
      </c>
      <c r="AX599" s="5">
        <f>IF(R599&gt;0,RANK(R599,(N599:P599,Q599:AE599)),0)</f>
        <v>5</v>
      </c>
      <c r="AY599" s="5">
        <f>IF(T599&gt;0,RANK(T599,(N599:P599,Q599:AE599)),0)</f>
        <v>7</v>
      </c>
      <c r="AZ599" s="5">
        <f>IF(S599&gt;0,RANK(S599,(N599:P599,Q599:AE599)),0)</f>
        <v>6</v>
      </c>
      <c r="BA599" s="2">
        <f t="shared" si="252"/>
        <v>3.1183420491962037E-2</v>
      </c>
      <c r="BB599" s="2">
        <f t="shared" si="253"/>
        <v>1.5494867325198529E-2</v>
      </c>
      <c r="BC599" s="2">
        <f t="shared" si="254"/>
        <v>1.3558008909548712E-3</v>
      </c>
      <c r="BD599" s="2">
        <f t="shared" si="255"/>
        <v>6.3916327716443929E-3</v>
      </c>
      <c r="BF599" t="s">
        <v>538</v>
      </c>
      <c r="BG599" t="s">
        <v>404</v>
      </c>
      <c r="BH599">
        <v>1</v>
      </c>
      <c r="BJ599" s="114">
        <v>16</v>
      </c>
      <c r="BK599" s="116">
        <v>21</v>
      </c>
      <c r="BL599" s="120">
        <f t="shared" si="239"/>
        <v>16021</v>
      </c>
      <c r="BN599" s="5" t="s">
        <v>3154</v>
      </c>
      <c r="BZ599" s="63">
        <f t="shared" si="256"/>
        <v>5163</v>
      </c>
      <c r="CD599" s="63">
        <v>0</v>
      </c>
      <c r="CE599" s="63">
        <v>0</v>
      </c>
      <c r="CF599" s="63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</row>
    <row r="600" spans="1:92" hidden="1" outlineLevel="1">
      <c r="A600" t="s">
        <v>141</v>
      </c>
      <c r="B600" t="s">
        <v>404</v>
      </c>
      <c r="C600" s="1">
        <f t="shared" si="245"/>
        <v>1230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3</v>
      </c>
      <c r="G600" s="132">
        <f t="shared" si="246"/>
        <v>754</v>
      </c>
      <c r="H600" s="137">
        <f t="shared" si="247"/>
        <v>0.61300813008130084</v>
      </c>
      <c r="I600" s="2"/>
      <c r="J600" s="2">
        <f t="shared" si="248"/>
        <v>0.13008130081300814</v>
      </c>
      <c r="K600" s="2">
        <f t="shared" si="249"/>
        <v>0.7430894308943089</v>
      </c>
      <c r="L600" s="2">
        <f t="shared" si="250"/>
        <v>9.2682926829268292E-2</v>
      </c>
      <c r="M600" s="2">
        <f t="shared" si="251"/>
        <v>3.4146341463414637E-2</v>
      </c>
      <c r="N600" s="63">
        <v>160</v>
      </c>
      <c r="O600" s="63">
        <v>914</v>
      </c>
      <c r="P600" s="63">
        <v>114</v>
      </c>
      <c r="Q600" s="63">
        <v>25</v>
      </c>
      <c r="R600" s="63">
        <v>7</v>
      </c>
      <c r="S600" s="63">
        <v>4</v>
      </c>
      <c r="T600" s="63">
        <v>2</v>
      </c>
      <c r="U600" s="63"/>
      <c r="V600" s="63"/>
      <c r="W600" s="63">
        <f>IF(Copyright!B$11=1,IF(CA600&gt;0,CA600-SUM(Y600:AM600)-SUM(AN600:AQ600),SUM(CB600:CN600)),SUM(CC600:CN600))</f>
        <v>0</v>
      </c>
      <c r="X600" s="63"/>
      <c r="Y600" s="63">
        <v>0</v>
      </c>
      <c r="Z600" s="63">
        <v>0</v>
      </c>
      <c r="AA600" s="63">
        <v>0</v>
      </c>
      <c r="AB600" s="63"/>
      <c r="AC600" s="63"/>
      <c r="AD600" s="63">
        <v>0</v>
      </c>
      <c r="AE600" s="63">
        <v>0</v>
      </c>
      <c r="AF600" s="63"/>
      <c r="AG600" s="63">
        <v>0</v>
      </c>
      <c r="AH600" s="63"/>
      <c r="AI600" s="63"/>
      <c r="AJ600" s="63"/>
      <c r="AK600" s="63"/>
      <c r="AL600" s="63">
        <v>0</v>
      </c>
      <c r="AM600" s="63"/>
      <c r="AN600" s="63">
        <v>0</v>
      </c>
      <c r="AO600" s="63"/>
      <c r="AP600" s="63"/>
      <c r="AQ600" s="63">
        <v>0</v>
      </c>
      <c r="AR600" s="63">
        <v>4</v>
      </c>
      <c r="AS600" s="63"/>
      <c r="AT600" s="63"/>
      <c r="AU600" s="63"/>
      <c r="AW600" s="5">
        <f>IF(Q600&gt;0,RANK(Q600,(N600:P600,Q600:AE600)),0)</f>
        <v>4</v>
      </c>
      <c r="AX600" s="5">
        <f>IF(R600&gt;0,RANK(R600,(N600:P600,Q600:AE600)),0)</f>
        <v>5</v>
      </c>
      <c r="AY600" s="5">
        <f>IF(T600&gt;0,RANK(T600,(N600:P600,Q600:AE600)),0)</f>
        <v>7</v>
      </c>
      <c r="AZ600" s="5">
        <f>IF(S600&gt;0,RANK(S600,(N600:P600,Q600:AE600)),0)</f>
        <v>6</v>
      </c>
      <c r="BA600" s="2">
        <f t="shared" si="252"/>
        <v>2.032520325203252E-2</v>
      </c>
      <c r="BB600" s="2">
        <f t="shared" si="253"/>
        <v>5.6910569105691061E-3</v>
      </c>
      <c r="BC600" s="2">
        <f t="shared" si="254"/>
        <v>1.6260162601626016E-3</v>
      </c>
      <c r="BD600" s="2">
        <f t="shared" si="255"/>
        <v>3.2520325203252032E-3</v>
      </c>
      <c r="BF600" t="s">
        <v>141</v>
      </c>
      <c r="BG600" t="s">
        <v>404</v>
      </c>
      <c r="BH600">
        <v>2</v>
      </c>
      <c r="BJ600" s="114">
        <v>16</v>
      </c>
      <c r="BK600" s="116">
        <v>23</v>
      </c>
      <c r="BL600" s="120">
        <f t="shared" si="239"/>
        <v>16023</v>
      </c>
      <c r="BN600" s="5" t="s">
        <v>3154</v>
      </c>
      <c r="BZ600" s="63">
        <f t="shared" si="256"/>
        <v>1230</v>
      </c>
      <c r="CD600" s="63">
        <v>0</v>
      </c>
      <c r="CE600" s="63">
        <v>0</v>
      </c>
      <c r="CF600" s="63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</row>
    <row r="601" spans="1:92" hidden="1" outlineLevel="1">
      <c r="A601" t="s">
        <v>516</v>
      </c>
      <c r="B601" t="s">
        <v>404</v>
      </c>
      <c r="C601" s="1">
        <f t="shared" si="245"/>
        <v>590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3</v>
      </c>
      <c r="G601" s="132">
        <f t="shared" si="246"/>
        <v>300</v>
      </c>
      <c r="H601" s="137">
        <f t="shared" si="247"/>
        <v>0.50847457627118642</v>
      </c>
      <c r="I601" s="2"/>
      <c r="J601" s="2">
        <f t="shared" si="248"/>
        <v>0.1864406779661017</v>
      </c>
      <c r="K601" s="2">
        <f t="shared" si="249"/>
        <v>0.69491525423728817</v>
      </c>
      <c r="L601" s="2">
        <f t="shared" si="250"/>
        <v>5.5932203389830508E-2</v>
      </c>
      <c r="M601" s="2">
        <f t="shared" si="251"/>
        <v>6.2711864406779672E-2</v>
      </c>
      <c r="N601" s="63">
        <v>110</v>
      </c>
      <c r="O601" s="63">
        <v>410</v>
      </c>
      <c r="P601" s="63">
        <v>33</v>
      </c>
      <c r="Q601" s="63">
        <v>23</v>
      </c>
      <c r="R601" s="63">
        <v>6</v>
      </c>
      <c r="S601" s="63">
        <v>6</v>
      </c>
      <c r="T601" s="63">
        <v>0</v>
      </c>
      <c r="U601" s="63"/>
      <c r="V601" s="63"/>
      <c r="W601" s="63">
        <f>IF(Copyright!B$11=1,IF(CA601&gt;0,CA601-SUM(Y601:AM601)-SUM(AN601:AQ601),SUM(CB601:CN601)),SUM(CC601:CN601))</f>
        <v>0</v>
      </c>
      <c r="X601" s="63"/>
      <c r="Y601" s="63">
        <v>0</v>
      </c>
      <c r="Z601" s="63">
        <v>0</v>
      </c>
      <c r="AA601" s="63">
        <v>0</v>
      </c>
      <c r="AB601" s="63"/>
      <c r="AC601" s="63"/>
      <c r="AD601" s="63">
        <v>0</v>
      </c>
      <c r="AE601" s="63">
        <v>0</v>
      </c>
      <c r="AF601" s="63"/>
      <c r="AG601" s="63">
        <v>0</v>
      </c>
      <c r="AH601" s="63"/>
      <c r="AI601" s="63"/>
      <c r="AJ601" s="63"/>
      <c r="AK601" s="63"/>
      <c r="AL601" s="63">
        <v>0</v>
      </c>
      <c r="AM601" s="63"/>
      <c r="AN601" s="63">
        <v>0</v>
      </c>
      <c r="AO601" s="63"/>
      <c r="AP601" s="63"/>
      <c r="AQ601" s="63">
        <v>0</v>
      </c>
      <c r="AR601" s="63">
        <v>2</v>
      </c>
      <c r="AS601" s="63"/>
      <c r="AT601" s="63"/>
      <c r="AU601" s="63"/>
      <c r="AW601" s="5">
        <f>IF(Q601&gt;0,RANK(Q601,(N601:P601,Q601:AE601)),0)</f>
        <v>4</v>
      </c>
      <c r="AX601" s="5">
        <f>IF(R601&gt;0,RANK(R601,(N601:P601,Q601:AE601)),0)</f>
        <v>5</v>
      </c>
      <c r="AY601" s="5">
        <f>IF(T601&gt;0,RANK(T601,(N601:P601,Q601:AE601)),0)</f>
        <v>0</v>
      </c>
      <c r="AZ601" s="5">
        <f>IF(S601&gt;0,RANK(S601,(N601:P601,Q601:AE601)),0)</f>
        <v>5</v>
      </c>
      <c r="BA601" s="2">
        <f t="shared" si="252"/>
        <v>3.898305084745763E-2</v>
      </c>
      <c r="BB601" s="2">
        <f t="shared" si="253"/>
        <v>1.0169491525423728E-2</v>
      </c>
      <c r="BC601" s="2">
        <f t="shared" si="254"/>
        <v>0</v>
      </c>
      <c r="BD601" s="2">
        <f t="shared" si="255"/>
        <v>1.0169491525423728E-2</v>
      </c>
      <c r="BF601" t="s">
        <v>516</v>
      </c>
      <c r="BG601" t="s">
        <v>404</v>
      </c>
      <c r="BH601">
        <v>2</v>
      </c>
      <c r="BJ601" s="114">
        <v>16</v>
      </c>
      <c r="BK601" s="116">
        <v>25</v>
      </c>
      <c r="BL601" s="120">
        <f t="shared" si="239"/>
        <v>16025</v>
      </c>
      <c r="BN601" s="5" t="s">
        <v>3154</v>
      </c>
      <c r="BZ601" s="63">
        <f t="shared" si="256"/>
        <v>590</v>
      </c>
      <c r="CD601" s="63">
        <v>0</v>
      </c>
      <c r="CE601" s="63">
        <v>0</v>
      </c>
      <c r="CF601" s="63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</row>
    <row r="602" spans="1:92" hidden="1" outlineLevel="1">
      <c r="A602" t="s">
        <v>416</v>
      </c>
      <c r="B602" t="s">
        <v>404</v>
      </c>
      <c r="C602" s="1">
        <f t="shared" si="245"/>
        <v>72785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3</v>
      </c>
      <c r="G602" s="132">
        <f t="shared" si="246"/>
        <v>30339</v>
      </c>
      <c r="H602" s="137">
        <f t="shared" si="247"/>
        <v>0.41683039087724116</v>
      </c>
      <c r="I602" s="2"/>
      <c r="J602" s="2">
        <f t="shared" si="248"/>
        <v>0.23195713402486776</v>
      </c>
      <c r="K602" s="2">
        <f t="shared" si="249"/>
        <v>0.648787524902109</v>
      </c>
      <c r="L602" s="2">
        <f t="shared" si="250"/>
        <v>5.7924022806897027E-2</v>
      </c>
      <c r="M602" s="2">
        <f t="shared" si="251"/>
        <v>6.1331318266126242E-2</v>
      </c>
      <c r="N602" s="63">
        <v>16883</v>
      </c>
      <c r="O602" s="63">
        <v>47222</v>
      </c>
      <c r="P602" s="63">
        <v>4216</v>
      </c>
      <c r="Q602" s="63">
        <v>2778</v>
      </c>
      <c r="R602" s="63">
        <v>797</v>
      </c>
      <c r="S602" s="63">
        <v>433</v>
      </c>
      <c r="T602" s="63">
        <v>175</v>
      </c>
      <c r="U602" s="63"/>
      <c r="V602" s="63"/>
      <c r="W602" s="63">
        <f>IF(Copyright!B$11=1,IF(CA602&gt;0,CA602-SUM(Y602:AM602)-SUM(AN602:AQ602),SUM(CB602:CN602)),SUM(CC602:CN602))</f>
        <v>11</v>
      </c>
      <c r="X602" s="63"/>
      <c r="Y602" s="63">
        <v>1</v>
      </c>
      <c r="Z602" s="63">
        <v>0</v>
      </c>
      <c r="AA602" s="63">
        <v>0</v>
      </c>
      <c r="AB602" s="63"/>
      <c r="AC602" s="63"/>
      <c r="AD602" s="63">
        <v>0</v>
      </c>
      <c r="AE602" s="63">
        <v>2</v>
      </c>
      <c r="AF602" s="63"/>
      <c r="AG602" s="63">
        <v>1</v>
      </c>
      <c r="AH602" s="63"/>
      <c r="AI602" s="63"/>
      <c r="AJ602" s="63"/>
      <c r="AK602" s="63"/>
      <c r="AL602" s="63">
        <v>0</v>
      </c>
      <c r="AM602" s="63"/>
      <c r="AN602" s="63">
        <v>5</v>
      </c>
      <c r="AO602" s="63"/>
      <c r="AP602" s="63"/>
      <c r="AQ602" s="63">
        <v>0</v>
      </c>
      <c r="AR602" s="63">
        <v>261</v>
      </c>
      <c r="AS602" s="63"/>
      <c r="AT602" s="63"/>
      <c r="AU602" s="63"/>
      <c r="AW602" s="5">
        <f>IF(Q602&gt;0,RANK(Q602,(N602:P602,Q602:AE602)),0)</f>
        <v>4</v>
      </c>
      <c r="AX602" s="5">
        <f>IF(R602&gt;0,RANK(R602,(N602:P602,Q602:AE602)),0)</f>
        <v>5</v>
      </c>
      <c r="AY602" s="5">
        <f>IF(T602&gt;0,RANK(T602,(N602:P602,Q602:AE602)),0)</f>
        <v>7</v>
      </c>
      <c r="AZ602" s="5">
        <f>IF(S602&gt;0,RANK(S602,(N602:P602,Q602:AE602)),0)</f>
        <v>6</v>
      </c>
      <c r="BA602" s="2">
        <f t="shared" si="252"/>
        <v>3.8167204781204916E-2</v>
      </c>
      <c r="BB602" s="2">
        <f t="shared" si="253"/>
        <v>1.0950058391152023E-2</v>
      </c>
      <c r="BC602" s="2">
        <f t="shared" si="254"/>
        <v>2.4043415538915983E-3</v>
      </c>
      <c r="BD602" s="2">
        <f t="shared" si="255"/>
        <v>5.9490279590574983E-3</v>
      </c>
      <c r="BF602" t="s">
        <v>416</v>
      </c>
      <c r="BG602" t="s">
        <v>404</v>
      </c>
      <c r="BH602">
        <v>1</v>
      </c>
      <c r="BJ602" s="114">
        <v>16</v>
      </c>
      <c r="BK602" s="116">
        <v>27</v>
      </c>
      <c r="BL602" s="120">
        <f t="shared" si="239"/>
        <v>16027</v>
      </c>
      <c r="BN602" s="5" t="s">
        <v>3154</v>
      </c>
      <c r="CD602" s="63">
        <v>1</v>
      </c>
      <c r="CE602" s="63">
        <v>10</v>
      </c>
      <c r="CF602" s="63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</row>
    <row r="603" spans="1:92" hidden="1" outlineLevel="1">
      <c r="A603" t="s">
        <v>1803</v>
      </c>
      <c r="B603" t="s">
        <v>404</v>
      </c>
      <c r="C603" s="1">
        <f t="shared" si="245"/>
        <v>3035</v>
      </c>
      <c r="D603" s="5">
        <f>IF(N603&gt;0, RANK(N603,(N603:P603,Q603:AE603)),0)</f>
        <v>3</v>
      </c>
      <c r="E603" s="5">
        <f>IF(O603&gt;0,RANK(O603,(N603:P603,Q603:AE603)),0)</f>
        <v>1</v>
      </c>
      <c r="F603" s="5">
        <f>IF(P603&gt;0,RANK(P603,(N603:P603,Q603:AE603)),0)</f>
        <v>2</v>
      </c>
      <c r="G603" s="132">
        <f t="shared" si="246"/>
        <v>1903</v>
      </c>
      <c r="H603" s="137">
        <f t="shared" si="247"/>
        <v>0.6270181219110379</v>
      </c>
      <c r="I603" s="2"/>
      <c r="J603" s="2">
        <f t="shared" si="248"/>
        <v>8.9291598023064245E-2</v>
      </c>
      <c r="K603" s="2">
        <f t="shared" si="249"/>
        <v>0.74958813838550242</v>
      </c>
      <c r="L603" s="2">
        <f t="shared" si="250"/>
        <v>0.12257001647446458</v>
      </c>
      <c r="M603" s="2">
        <f t="shared" si="251"/>
        <v>3.8550247116968805E-2</v>
      </c>
      <c r="N603" s="63">
        <v>271</v>
      </c>
      <c r="O603" s="63">
        <v>2275</v>
      </c>
      <c r="P603" s="63">
        <v>372</v>
      </c>
      <c r="Q603" s="63">
        <v>64</v>
      </c>
      <c r="R603" s="63">
        <v>15</v>
      </c>
      <c r="S603" s="63">
        <v>20</v>
      </c>
      <c r="T603" s="63">
        <v>4</v>
      </c>
      <c r="U603" s="63"/>
      <c r="V603" s="63"/>
      <c r="W603" s="63">
        <f>IF(Copyright!B$11=1,IF(CA603&gt;0,CA603-SUM(Y603:AM603)-SUM(AN603:AQ603),SUM(CB603:CN603)),SUM(CC603:CN603))</f>
        <v>0</v>
      </c>
      <c r="X603" s="63"/>
      <c r="Y603" s="63">
        <v>0</v>
      </c>
      <c r="Z603" s="63">
        <v>0</v>
      </c>
      <c r="AA603" s="63">
        <v>0</v>
      </c>
      <c r="AB603" s="63"/>
      <c r="AC603" s="63"/>
      <c r="AD603" s="63">
        <v>0</v>
      </c>
      <c r="AE603" s="63">
        <v>0</v>
      </c>
      <c r="AF603" s="63"/>
      <c r="AG603" s="63">
        <v>0</v>
      </c>
      <c r="AH603" s="63"/>
      <c r="AI603" s="63"/>
      <c r="AJ603" s="63"/>
      <c r="AK603" s="63"/>
      <c r="AL603" s="63">
        <v>0</v>
      </c>
      <c r="AM603" s="63"/>
      <c r="AN603" s="63">
        <v>0</v>
      </c>
      <c r="AO603" s="63"/>
      <c r="AP603" s="63"/>
      <c r="AQ603" s="63">
        <v>0</v>
      </c>
      <c r="AR603" s="63">
        <v>14</v>
      </c>
      <c r="AS603" s="63"/>
      <c r="AT603" s="63"/>
      <c r="AU603" s="63"/>
      <c r="AW603" s="5">
        <f>IF(Q603&gt;0,RANK(Q603,(N603:P603,Q603:AE603)),0)</f>
        <v>4</v>
      </c>
      <c r="AX603" s="5">
        <f>IF(R603&gt;0,RANK(R603,(N603:P603,Q603:AE603)),0)</f>
        <v>6</v>
      </c>
      <c r="AY603" s="5">
        <f>IF(T603&gt;0,RANK(T603,(N603:P603,Q603:AE603)),0)</f>
        <v>7</v>
      </c>
      <c r="AZ603" s="5">
        <f>IF(S603&gt;0,RANK(S603,(N603:P603,Q603:AE603)),0)</f>
        <v>5</v>
      </c>
      <c r="BA603" s="2">
        <f t="shared" si="252"/>
        <v>2.1087314662273475E-2</v>
      </c>
      <c r="BB603" s="2">
        <f t="shared" si="253"/>
        <v>4.9423393739703456E-3</v>
      </c>
      <c r="BC603" s="2">
        <f t="shared" si="254"/>
        <v>1.3179571663920922E-3</v>
      </c>
      <c r="BD603" s="2">
        <f t="shared" si="255"/>
        <v>6.5897858319604614E-3</v>
      </c>
      <c r="BF603" t="s">
        <v>1803</v>
      </c>
      <c r="BG603" t="s">
        <v>404</v>
      </c>
      <c r="BH603">
        <v>2</v>
      </c>
      <c r="BJ603" s="114">
        <v>16</v>
      </c>
      <c r="BK603" s="116">
        <v>29</v>
      </c>
      <c r="BL603" s="120">
        <f t="shared" si="239"/>
        <v>16029</v>
      </c>
      <c r="BN603" s="5" t="s">
        <v>3154</v>
      </c>
      <c r="BZ603" s="63">
        <f t="shared" si="256"/>
        <v>3035</v>
      </c>
      <c r="CD603" s="63">
        <v>0</v>
      </c>
      <c r="CE603" s="63">
        <v>0</v>
      </c>
      <c r="CF603" s="63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</row>
    <row r="604" spans="1:92" hidden="1" outlineLevel="1">
      <c r="A604" t="s">
        <v>101</v>
      </c>
      <c r="B604" t="s">
        <v>404</v>
      </c>
      <c r="C604" s="1">
        <f t="shared" si="245"/>
        <v>8178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3</v>
      </c>
      <c r="G604" s="132">
        <f t="shared" si="246"/>
        <v>4913</v>
      </c>
      <c r="H604" s="137">
        <f t="shared" si="247"/>
        <v>0.60075813157251157</v>
      </c>
      <c r="I604" s="2"/>
      <c r="J604" s="2">
        <f t="shared" si="248"/>
        <v>0.12668134018097335</v>
      </c>
      <c r="K604" s="2">
        <f t="shared" si="249"/>
        <v>0.727439471753485</v>
      </c>
      <c r="L604" s="2">
        <f t="shared" si="250"/>
        <v>0.10430423086329176</v>
      </c>
      <c r="M604" s="2">
        <f t="shared" si="251"/>
        <v>4.1574957202249921E-2</v>
      </c>
      <c r="N604" s="63">
        <v>1036</v>
      </c>
      <c r="O604" s="63">
        <v>5949</v>
      </c>
      <c r="P604" s="63">
        <v>853</v>
      </c>
      <c r="Q604" s="63">
        <v>202</v>
      </c>
      <c r="R604" s="63">
        <v>37</v>
      </c>
      <c r="S604" s="63">
        <v>56</v>
      </c>
      <c r="T604" s="63">
        <v>17</v>
      </c>
      <c r="U604" s="63"/>
      <c r="V604" s="63"/>
      <c r="W604" s="63">
        <f>IF(Copyright!B$11=1,IF(CA604&gt;0,CA604-SUM(Y604:AM604)-SUM(AN604:AQ604),SUM(CB604:CN604)),SUM(CC604:CN604))</f>
        <v>0</v>
      </c>
      <c r="X604" s="63"/>
      <c r="Y604" s="63">
        <v>0</v>
      </c>
      <c r="Z604" s="63">
        <v>0</v>
      </c>
      <c r="AA604" s="63">
        <v>0</v>
      </c>
      <c r="AB604" s="63"/>
      <c r="AC604" s="63"/>
      <c r="AD604" s="63">
        <v>0</v>
      </c>
      <c r="AE604" s="63">
        <v>0</v>
      </c>
      <c r="AF604" s="63"/>
      <c r="AG604" s="63">
        <v>0</v>
      </c>
      <c r="AH604" s="63"/>
      <c r="AI604" s="63"/>
      <c r="AJ604" s="63"/>
      <c r="AK604" s="63"/>
      <c r="AL604" s="63">
        <v>0</v>
      </c>
      <c r="AM604" s="63"/>
      <c r="AN604" s="63">
        <v>0</v>
      </c>
      <c r="AO604" s="63"/>
      <c r="AP604" s="63"/>
      <c r="AQ604" s="63">
        <v>0</v>
      </c>
      <c r="AR604" s="63">
        <v>28</v>
      </c>
      <c r="AS604" s="63"/>
      <c r="AT604" s="63"/>
      <c r="AU604" s="63"/>
      <c r="AW604" s="5">
        <f>IF(Q604&gt;0,RANK(Q604,(N604:P604,Q604:AE604)),0)</f>
        <v>4</v>
      </c>
      <c r="AX604" s="5">
        <f>IF(R604&gt;0,RANK(R604,(N604:P604,Q604:AE604)),0)</f>
        <v>6</v>
      </c>
      <c r="AY604" s="5">
        <f>IF(T604&gt;0,RANK(T604,(N604:P604,Q604:AE604)),0)</f>
        <v>7</v>
      </c>
      <c r="AZ604" s="5">
        <f>IF(S604&gt;0,RANK(S604,(N604:P604,Q604:AE604)),0)</f>
        <v>5</v>
      </c>
      <c r="BA604" s="2">
        <f t="shared" si="252"/>
        <v>2.4700415749572022E-2</v>
      </c>
      <c r="BB604" s="2">
        <f t="shared" si="253"/>
        <v>4.5243335778919055E-3</v>
      </c>
      <c r="BC604" s="2">
        <f t="shared" si="254"/>
        <v>2.078747860112497E-3</v>
      </c>
      <c r="BD604" s="2">
        <f t="shared" si="255"/>
        <v>6.8476400097823428E-3</v>
      </c>
      <c r="BF604" t="s">
        <v>101</v>
      </c>
      <c r="BG604" t="s">
        <v>404</v>
      </c>
      <c r="BH604">
        <v>2</v>
      </c>
      <c r="BJ604" s="114">
        <v>16</v>
      </c>
      <c r="BK604" s="116">
        <v>31</v>
      </c>
      <c r="BL604" s="120">
        <f t="shared" si="239"/>
        <v>16031</v>
      </c>
      <c r="BN604" s="5" t="s">
        <v>3154</v>
      </c>
      <c r="CD604" s="63">
        <v>0</v>
      </c>
      <c r="CE604" s="63">
        <v>0</v>
      </c>
      <c r="CF604" s="63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</row>
    <row r="605" spans="1:92" hidden="1" outlineLevel="1">
      <c r="A605" t="s">
        <v>392</v>
      </c>
      <c r="B605" t="s">
        <v>404</v>
      </c>
      <c r="C605" s="1">
        <f t="shared" si="245"/>
        <v>283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3</v>
      </c>
      <c r="G605" s="132">
        <f t="shared" si="246"/>
        <v>159</v>
      </c>
      <c r="H605" s="137">
        <f t="shared" si="247"/>
        <v>0.56183745583038869</v>
      </c>
      <c r="I605" s="2"/>
      <c r="J605" s="2">
        <f t="shared" si="248"/>
        <v>0.15547703180212014</v>
      </c>
      <c r="K605" s="2">
        <f t="shared" si="249"/>
        <v>0.71731448763250882</v>
      </c>
      <c r="L605" s="2">
        <f t="shared" si="250"/>
        <v>8.1272084805653705E-2</v>
      </c>
      <c r="M605" s="2">
        <f t="shared" si="251"/>
        <v>4.5936395759717336E-2</v>
      </c>
      <c r="N605" s="63">
        <v>44</v>
      </c>
      <c r="O605" s="63">
        <v>203</v>
      </c>
      <c r="P605" s="63">
        <v>23</v>
      </c>
      <c r="Q605" s="63">
        <v>4</v>
      </c>
      <c r="R605" s="63">
        <v>1</v>
      </c>
      <c r="S605" s="63">
        <v>4</v>
      </c>
      <c r="T605" s="63">
        <v>0</v>
      </c>
      <c r="U605" s="63"/>
      <c r="V605" s="63"/>
      <c r="W605" s="63">
        <f>IF(Copyright!B$11=1,IF(CA605&gt;0,CA605-SUM(Y605:AM605)-SUM(AN605:AQ605),SUM(CB605:CN605)),SUM(CC605:CN605))</f>
        <v>0</v>
      </c>
      <c r="X605" s="63"/>
      <c r="Y605" s="63">
        <v>0</v>
      </c>
      <c r="Z605" s="63">
        <v>0</v>
      </c>
      <c r="AA605" s="63">
        <v>0</v>
      </c>
      <c r="AB605" s="63"/>
      <c r="AC605" s="63"/>
      <c r="AD605" s="63">
        <v>0</v>
      </c>
      <c r="AE605" s="63">
        <v>0</v>
      </c>
      <c r="AF605" s="63"/>
      <c r="AG605" s="63">
        <v>0</v>
      </c>
      <c r="AH605" s="63"/>
      <c r="AI605" s="63"/>
      <c r="AJ605" s="63"/>
      <c r="AK605" s="63"/>
      <c r="AL605" s="63">
        <v>0</v>
      </c>
      <c r="AM605" s="63"/>
      <c r="AN605" s="63">
        <v>0</v>
      </c>
      <c r="AO605" s="63"/>
      <c r="AP605" s="63"/>
      <c r="AQ605" s="63">
        <v>0</v>
      </c>
      <c r="AR605" s="63">
        <v>4</v>
      </c>
      <c r="AS605" s="63"/>
      <c r="AT605" s="63"/>
      <c r="AU605" s="63"/>
      <c r="AW605" s="5">
        <f>IF(Q605&gt;0,RANK(Q605,(N605:P605,Q605:AE605)),0)</f>
        <v>4</v>
      </c>
      <c r="AX605" s="5">
        <f>IF(R605&gt;0,RANK(R605,(N605:P605,Q605:AE605)),0)</f>
        <v>6</v>
      </c>
      <c r="AY605" s="5">
        <f>IF(T605&gt;0,RANK(T605,(N605:P605,Q605:AE605)),0)</f>
        <v>0</v>
      </c>
      <c r="AZ605" s="5">
        <f>IF(S605&gt;0,RANK(S605,(N605:P605,Q605:AE605)),0)</f>
        <v>4</v>
      </c>
      <c r="BA605" s="2">
        <f t="shared" si="252"/>
        <v>1.4134275618374558E-2</v>
      </c>
      <c r="BB605" s="2">
        <f t="shared" si="253"/>
        <v>3.5335689045936395E-3</v>
      </c>
      <c r="BC605" s="2">
        <f t="shared" si="254"/>
        <v>0</v>
      </c>
      <c r="BD605" s="2">
        <f t="shared" si="255"/>
        <v>1.4134275618374558E-2</v>
      </c>
      <c r="BF605" t="s">
        <v>392</v>
      </c>
      <c r="BG605" t="s">
        <v>404</v>
      </c>
      <c r="BH605">
        <v>2</v>
      </c>
      <c r="BJ605" s="114">
        <v>16</v>
      </c>
      <c r="BK605" s="116">
        <v>33</v>
      </c>
      <c r="BL605" s="120">
        <f t="shared" si="239"/>
        <v>16033</v>
      </c>
      <c r="BN605" s="5" t="s">
        <v>3154</v>
      </c>
      <c r="BZ605" s="63">
        <f t="shared" ref="BZ605:BZ614" si="257">C605</f>
        <v>283</v>
      </c>
      <c r="CD605" s="63">
        <v>0</v>
      </c>
      <c r="CE605" s="63">
        <v>0</v>
      </c>
      <c r="CF605" s="63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</row>
    <row r="606" spans="1:92" hidden="1" outlineLevel="1">
      <c r="A606" t="s">
        <v>583</v>
      </c>
      <c r="B606" t="s">
        <v>404</v>
      </c>
      <c r="C606" s="1">
        <f t="shared" si="245"/>
        <v>3801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4</v>
      </c>
      <c r="G606" s="132">
        <f t="shared" si="246"/>
        <v>2148</v>
      </c>
      <c r="H606" s="137">
        <f t="shared" si="247"/>
        <v>0.56511444356748219</v>
      </c>
      <c r="I606" s="2"/>
      <c r="J606" s="2">
        <f t="shared" si="248"/>
        <v>0.18521441725861615</v>
      </c>
      <c r="K606" s="2">
        <f t="shared" si="249"/>
        <v>0.7503288608260984</v>
      </c>
      <c r="L606" s="2">
        <f t="shared" si="250"/>
        <v>1.8942383583267563E-2</v>
      </c>
      <c r="M606" s="2">
        <f t="shared" si="251"/>
        <v>4.5514338332017942E-2</v>
      </c>
      <c r="N606" s="63">
        <v>704</v>
      </c>
      <c r="O606" s="63">
        <v>2852</v>
      </c>
      <c r="P606" s="63">
        <v>72</v>
      </c>
      <c r="Q606" s="63">
        <v>97</v>
      </c>
      <c r="R606" s="63">
        <v>38</v>
      </c>
      <c r="S606" s="63">
        <v>18</v>
      </c>
      <c r="T606" s="63">
        <v>12</v>
      </c>
      <c r="U606" s="63"/>
      <c r="V606" s="63"/>
      <c r="W606" s="63">
        <f>IF(Copyright!B$11=1,IF(CA606&gt;0,CA606-SUM(Y606:AM606)-SUM(AN606:AQ606),SUM(CB606:CN606)),SUM(CC606:CN606))</f>
        <v>0</v>
      </c>
      <c r="X606" s="63"/>
      <c r="Y606" s="63">
        <v>0</v>
      </c>
      <c r="Z606" s="63">
        <v>0</v>
      </c>
      <c r="AA606" s="63">
        <v>0</v>
      </c>
      <c r="AB606" s="63"/>
      <c r="AC606" s="63"/>
      <c r="AD606" s="63">
        <v>0</v>
      </c>
      <c r="AE606" s="63">
        <v>0</v>
      </c>
      <c r="AF606" s="63"/>
      <c r="AG606" s="63">
        <v>0</v>
      </c>
      <c r="AH606" s="63"/>
      <c r="AI606" s="63"/>
      <c r="AJ606" s="63"/>
      <c r="AK606" s="63"/>
      <c r="AL606" s="63">
        <v>0</v>
      </c>
      <c r="AM606" s="63"/>
      <c r="AN606" s="63">
        <v>0</v>
      </c>
      <c r="AO606" s="63"/>
      <c r="AP606" s="63"/>
      <c r="AQ606" s="63">
        <v>0</v>
      </c>
      <c r="AR606" s="63">
        <v>8</v>
      </c>
      <c r="AS606" s="63"/>
      <c r="AT606" s="63"/>
      <c r="AU606" s="63"/>
      <c r="AW606" s="5">
        <f>IF(Q606&gt;0,RANK(Q606,(N606:P606,Q606:AE606)),0)</f>
        <v>3</v>
      </c>
      <c r="AX606" s="5">
        <f>IF(R606&gt;0,RANK(R606,(N606:P606,Q606:AE606)),0)</f>
        <v>5</v>
      </c>
      <c r="AY606" s="5">
        <f>IF(T606&gt;0,RANK(T606,(N606:P606,Q606:AE606)),0)</f>
        <v>7</v>
      </c>
      <c r="AZ606" s="5">
        <f>IF(S606&gt;0,RANK(S606,(N606:P606,Q606:AE606)),0)</f>
        <v>6</v>
      </c>
      <c r="BA606" s="2">
        <f t="shared" si="252"/>
        <v>2.5519600105235463E-2</v>
      </c>
      <c r="BB606" s="2">
        <f t="shared" si="253"/>
        <v>9.9973691133912121E-3</v>
      </c>
      <c r="BC606" s="2">
        <f t="shared" si="254"/>
        <v>3.1570639305445935E-3</v>
      </c>
      <c r="BD606" s="2">
        <f t="shared" si="255"/>
        <v>4.7355958958168907E-3</v>
      </c>
      <c r="BF606" t="s">
        <v>583</v>
      </c>
      <c r="BG606" t="s">
        <v>404</v>
      </c>
      <c r="BH606">
        <v>1</v>
      </c>
      <c r="BJ606" s="114">
        <v>16</v>
      </c>
      <c r="BK606" s="116">
        <v>35</v>
      </c>
      <c r="BL606" s="120">
        <f t="shared" si="239"/>
        <v>16035</v>
      </c>
      <c r="BN606" s="5" t="s">
        <v>3154</v>
      </c>
      <c r="BZ606" s="63">
        <f t="shared" si="257"/>
        <v>3801</v>
      </c>
      <c r="CD606" s="63">
        <v>0</v>
      </c>
      <c r="CE606" s="63">
        <v>0</v>
      </c>
      <c r="CF606" s="63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</row>
    <row r="607" spans="1:92" hidden="1" outlineLevel="1">
      <c r="A607" t="s">
        <v>2631</v>
      </c>
      <c r="B607" t="s">
        <v>404</v>
      </c>
      <c r="C607" s="1">
        <f t="shared" si="245"/>
        <v>2414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3</v>
      </c>
      <c r="G607" s="132">
        <f t="shared" si="246"/>
        <v>1350</v>
      </c>
      <c r="H607" s="137">
        <f t="shared" si="247"/>
        <v>0.55923777961888976</v>
      </c>
      <c r="I607" s="2"/>
      <c r="J607" s="2">
        <f t="shared" si="248"/>
        <v>0.17688483844241923</v>
      </c>
      <c r="K607" s="2">
        <f t="shared" si="249"/>
        <v>0.73612261806130908</v>
      </c>
      <c r="L607" s="2">
        <f t="shared" si="250"/>
        <v>3.3968516984258491E-2</v>
      </c>
      <c r="M607" s="2">
        <f t="shared" si="251"/>
        <v>5.3024026512013232E-2</v>
      </c>
      <c r="N607" s="63">
        <v>427</v>
      </c>
      <c r="O607" s="63">
        <v>1777</v>
      </c>
      <c r="P607" s="63">
        <v>82</v>
      </c>
      <c r="Q607" s="63">
        <v>67</v>
      </c>
      <c r="R607" s="63">
        <v>30</v>
      </c>
      <c r="S607" s="63">
        <v>12</v>
      </c>
      <c r="T607" s="63">
        <v>9</v>
      </c>
      <c r="U607" s="63"/>
      <c r="V607" s="63"/>
      <c r="W607" s="63">
        <f>IF(Copyright!B$11=1,IF(CA607&gt;0,CA607-SUM(Y607:AM607)-SUM(AN607:AQ607),SUM(CB607:CN607)),SUM(CC607:CN607))</f>
        <v>0</v>
      </c>
      <c r="X607" s="63"/>
      <c r="Y607" s="63">
        <v>1</v>
      </c>
      <c r="Z607" s="63">
        <v>0</v>
      </c>
      <c r="AA607" s="63">
        <v>0</v>
      </c>
      <c r="AB607" s="63"/>
      <c r="AC607" s="63"/>
      <c r="AD607" s="63">
        <v>0</v>
      </c>
      <c r="AE607" s="63">
        <v>0</v>
      </c>
      <c r="AF607" s="63"/>
      <c r="AG607" s="63">
        <v>0</v>
      </c>
      <c r="AH607" s="63"/>
      <c r="AI607" s="63"/>
      <c r="AJ607" s="63"/>
      <c r="AK607" s="63"/>
      <c r="AL607" s="63">
        <v>0</v>
      </c>
      <c r="AM607" s="63"/>
      <c r="AN607" s="63">
        <v>0</v>
      </c>
      <c r="AO607" s="63"/>
      <c r="AP607" s="63"/>
      <c r="AQ607" s="63">
        <v>0</v>
      </c>
      <c r="AR607" s="63">
        <v>9</v>
      </c>
      <c r="AS607" s="63"/>
      <c r="AT607" s="63"/>
      <c r="AU607" s="63"/>
      <c r="AW607" s="5">
        <f>IF(Q607&gt;0,RANK(Q607,(N607:P607,Q607:AE607)),0)</f>
        <v>4</v>
      </c>
      <c r="AX607" s="5">
        <f>IF(R607&gt;0,RANK(R607,(N607:P607,Q607:AE607)),0)</f>
        <v>5</v>
      </c>
      <c r="AY607" s="5">
        <f>IF(T607&gt;0,RANK(T607,(N607:P607,Q607:AE607)),0)</f>
        <v>7</v>
      </c>
      <c r="AZ607" s="5">
        <f>IF(S607&gt;0,RANK(S607,(N607:P607,Q607:AE607)),0)</f>
        <v>6</v>
      </c>
      <c r="BA607" s="2">
        <f t="shared" si="252"/>
        <v>2.775476387738194E-2</v>
      </c>
      <c r="BB607" s="2">
        <f t="shared" si="253"/>
        <v>1.2427506213753107E-2</v>
      </c>
      <c r="BC607" s="2">
        <f t="shared" si="254"/>
        <v>3.728251864125932E-3</v>
      </c>
      <c r="BD607" s="2">
        <f t="shared" si="255"/>
        <v>4.9710024855012429E-3</v>
      </c>
      <c r="BF607" t="s">
        <v>2631</v>
      </c>
      <c r="BG607" t="s">
        <v>404</v>
      </c>
      <c r="BH607">
        <v>2</v>
      </c>
      <c r="BJ607" s="114">
        <v>16</v>
      </c>
      <c r="BK607" s="116">
        <v>37</v>
      </c>
      <c r="BL607" s="120">
        <f t="shared" si="239"/>
        <v>16037</v>
      </c>
      <c r="BN607" s="5" t="s">
        <v>3154</v>
      </c>
      <c r="BZ607" s="63">
        <f t="shared" si="257"/>
        <v>2414</v>
      </c>
      <c r="CD607" s="63">
        <v>0</v>
      </c>
      <c r="CE607" s="63">
        <v>0</v>
      </c>
      <c r="CF607" s="63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0</v>
      </c>
      <c r="CN607" s="8">
        <v>0</v>
      </c>
    </row>
    <row r="608" spans="1:92" hidden="1" outlineLevel="1">
      <c r="A608" t="s">
        <v>743</v>
      </c>
      <c r="B608" t="s">
        <v>404</v>
      </c>
      <c r="C608" s="1">
        <f t="shared" si="245"/>
        <v>8522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3</v>
      </c>
      <c r="G608" s="132">
        <f t="shared" si="246"/>
        <v>4002</v>
      </c>
      <c r="H608" s="137">
        <f t="shared" si="247"/>
        <v>0.46960807322224829</v>
      </c>
      <c r="I608" s="2"/>
      <c r="J608" s="2">
        <f t="shared" si="248"/>
        <v>0.21286083079089416</v>
      </c>
      <c r="K608" s="2">
        <f t="shared" si="249"/>
        <v>0.68246890401314242</v>
      </c>
      <c r="L608" s="2">
        <f t="shared" si="250"/>
        <v>4.4121098333724476E-2</v>
      </c>
      <c r="M608" s="2">
        <f t="shared" si="251"/>
        <v>6.0549166862238976E-2</v>
      </c>
      <c r="N608" s="63">
        <v>1814</v>
      </c>
      <c r="O608" s="63">
        <v>5816</v>
      </c>
      <c r="P608" s="63">
        <v>376</v>
      </c>
      <c r="Q608" s="63">
        <v>332</v>
      </c>
      <c r="R608" s="63">
        <v>77</v>
      </c>
      <c r="S608" s="63">
        <v>50</v>
      </c>
      <c r="T608" s="63">
        <v>21</v>
      </c>
      <c r="U608" s="63"/>
      <c r="V608" s="63"/>
      <c r="W608" s="63">
        <f>IF(Copyright!B$11=1,IF(CA608&gt;0,CA608-SUM(Y608:AM608)-SUM(AN608:AQ608),SUM(CB608:CN608)),SUM(CC608:CN608))</f>
        <v>0</v>
      </c>
      <c r="X608" s="63"/>
      <c r="Y608" s="63">
        <v>3</v>
      </c>
      <c r="Z608" s="63">
        <v>0</v>
      </c>
      <c r="AA608" s="63">
        <v>0</v>
      </c>
      <c r="AB608" s="63"/>
      <c r="AC608" s="63"/>
      <c r="AD608" s="63">
        <v>0</v>
      </c>
      <c r="AE608" s="63">
        <v>0</v>
      </c>
      <c r="AF608" s="63"/>
      <c r="AG608" s="63">
        <v>0</v>
      </c>
      <c r="AH608" s="63"/>
      <c r="AI608" s="63"/>
      <c r="AJ608" s="63"/>
      <c r="AK608" s="63"/>
      <c r="AL608" s="63">
        <v>0</v>
      </c>
      <c r="AM608" s="63"/>
      <c r="AN608" s="63">
        <v>0</v>
      </c>
      <c r="AO608" s="63"/>
      <c r="AP608" s="63"/>
      <c r="AQ608" s="63">
        <v>0</v>
      </c>
      <c r="AR608" s="63">
        <v>33</v>
      </c>
      <c r="AS608" s="63"/>
      <c r="AT608" s="63"/>
      <c r="AU608" s="63"/>
      <c r="AW608" s="5">
        <f>IF(Q608&gt;0,RANK(Q608,(N608:P608,Q608:AE608)),0)</f>
        <v>4</v>
      </c>
      <c r="AX608" s="5">
        <f>IF(R608&gt;0,RANK(R608,(N608:P608,Q608:AE608)),0)</f>
        <v>5</v>
      </c>
      <c r="AY608" s="5">
        <f>IF(T608&gt;0,RANK(T608,(N608:P608,Q608:AE608)),0)</f>
        <v>7</v>
      </c>
      <c r="AZ608" s="5">
        <f>IF(S608&gt;0,RANK(S608,(N608:P608,Q608:AE608)),0)</f>
        <v>6</v>
      </c>
      <c r="BA608" s="2">
        <f t="shared" si="252"/>
        <v>3.8957991081905653E-2</v>
      </c>
      <c r="BB608" s="2">
        <f t="shared" si="253"/>
        <v>9.0354376906829383E-3</v>
      </c>
      <c r="BC608" s="2">
        <f t="shared" si="254"/>
        <v>2.4642102792771649E-3</v>
      </c>
      <c r="BD608" s="2">
        <f t="shared" si="255"/>
        <v>5.8671673316122979E-3</v>
      </c>
      <c r="BF608" t="s">
        <v>743</v>
      </c>
      <c r="BG608" t="s">
        <v>404</v>
      </c>
      <c r="BH608">
        <v>2</v>
      </c>
      <c r="BJ608" s="114">
        <v>16</v>
      </c>
      <c r="BK608" s="116">
        <v>39</v>
      </c>
      <c r="BL608" s="120">
        <f t="shared" si="239"/>
        <v>16039</v>
      </c>
      <c r="BN608" s="5" t="s">
        <v>3154</v>
      </c>
      <c r="BZ608" s="63">
        <f t="shared" si="257"/>
        <v>8522</v>
      </c>
      <c r="CD608" s="63">
        <v>0</v>
      </c>
      <c r="CE608" s="63">
        <v>0</v>
      </c>
      <c r="CF608" s="63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</row>
    <row r="609" spans="1:92" hidden="1" outlineLevel="1">
      <c r="A609" t="s">
        <v>1138</v>
      </c>
      <c r="B609" t="s">
        <v>404</v>
      </c>
      <c r="C609" s="1">
        <f t="shared" si="245"/>
        <v>5499</v>
      </c>
      <c r="D609" s="5">
        <f>IF(N609&gt;0, RANK(N609,(N609:P609,Q609:AE609)),0)</f>
        <v>3</v>
      </c>
      <c r="E609" s="5">
        <f>IF(O609&gt;0,RANK(O609,(N609:P609,Q609:AE609)),0)</f>
        <v>1</v>
      </c>
      <c r="F609" s="5">
        <f>IF(P609&gt;0,RANK(P609,(N609:P609,Q609:AE609)),0)</f>
        <v>2</v>
      </c>
      <c r="G609" s="132">
        <f t="shared" si="246"/>
        <v>2989</v>
      </c>
      <c r="H609" s="137">
        <f t="shared" si="247"/>
        <v>0.54355337334060738</v>
      </c>
      <c r="I609" s="2"/>
      <c r="J609" s="2">
        <f t="shared" si="248"/>
        <v>7.0012729587197675E-2</v>
      </c>
      <c r="K609" s="2">
        <f t="shared" si="249"/>
        <v>0.70940170940170943</v>
      </c>
      <c r="L609" s="2">
        <f t="shared" si="250"/>
        <v>0.16584833606110203</v>
      </c>
      <c r="M609" s="2">
        <f t="shared" si="251"/>
        <v>5.4737224949990809E-2</v>
      </c>
      <c r="N609" s="63">
        <v>385</v>
      </c>
      <c r="O609" s="63">
        <v>3901</v>
      </c>
      <c r="P609" s="63">
        <v>912</v>
      </c>
      <c r="Q609" s="63">
        <v>117</v>
      </c>
      <c r="R609" s="63">
        <v>30</v>
      </c>
      <c r="S609" s="63">
        <v>112</v>
      </c>
      <c r="T609" s="63">
        <v>4</v>
      </c>
      <c r="U609" s="63"/>
      <c r="V609" s="63"/>
      <c r="W609" s="63">
        <f>IF(Copyright!B$11=1,IF(CA609&gt;0,CA609-SUM(Y609:AM609)-SUM(AN609:AQ609),SUM(CB609:CN609)),SUM(CC609:CN609))</f>
        <v>0</v>
      </c>
      <c r="X609" s="63"/>
      <c r="Y609" s="63">
        <v>0</v>
      </c>
      <c r="Z609" s="63">
        <v>0</v>
      </c>
      <c r="AA609" s="63">
        <v>0</v>
      </c>
      <c r="AB609" s="63"/>
      <c r="AC609" s="63"/>
      <c r="AD609" s="63">
        <v>0</v>
      </c>
      <c r="AE609" s="63">
        <v>0</v>
      </c>
      <c r="AF609" s="63"/>
      <c r="AG609" s="63">
        <v>0</v>
      </c>
      <c r="AH609" s="63"/>
      <c r="AI609" s="63"/>
      <c r="AJ609" s="63"/>
      <c r="AK609" s="63"/>
      <c r="AL609" s="63">
        <v>0</v>
      </c>
      <c r="AM609" s="63"/>
      <c r="AN609" s="63">
        <v>0</v>
      </c>
      <c r="AO609" s="63"/>
      <c r="AP609" s="63"/>
      <c r="AQ609" s="63">
        <v>0</v>
      </c>
      <c r="AR609" s="63">
        <v>38</v>
      </c>
      <c r="AS609" s="63"/>
      <c r="AT609" s="63"/>
      <c r="AU609" s="63"/>
      <c r="AW609" s="5">
        <f>IF(Q609&gt;0,RANK(Q609,(N609:P609,Q609:AE609)),0)</f>
        <v>4</v>
      </c>
      <c r="AX609" s="5">
        <f>IF(R609&gt;0,RANK(R609,(N609:P609,Q609:AE609)),0)</f>
        <v>6</v>
      </c>
      <c r="AY609" s="5">
        <f>IF(T609&gt;0,RANK(T609,(N609:P609,Q609:AE609)),0)</f>
        <v>7</v>
      </c>
      <c r="AZ609" s="5">
        <f>IF(S609&gt;0,RANK(S609,(N609:P609,Q609:AE609)),0)</f>
        <v>5</v>
      </c>
      <c r="BA609" s="2">
        <f t="shared" si="252"/>
        <v>2.1276595744680851E-2</v>
      </c>
      <c r="BB609" s="2">
        <f t="shared" si="253"/>
        <v>5.4555373704309879E-3</v>
      </c>
      <c r="BC609" s="2">
        <f t="shared" si="254"/>
        <v>7.2740498272413163E-4</v>
      </c>
      <c r="BD609" s="2">
        <f t="shared" si="255"/>
        <v>2.0367339516275687E-2</v>
      </c>
      <c r="BF609" t="s">
        <v>1138</v>
      </c>
      <c r="BG609" t="s">
        <v>404</v>
      </c>
      <c r="BH609">
        <v>2</v>
      </c>
      <c r="BJ609" s="114">
        <v>16</v>
      </c>
      <c r="BK609" s="116">
        <v>41</v>
      </c>
      <c r="BL609" s="120">
        <f t="shared" si="239"/>
        <v>16041</v>
      </c>
      <c r="BN609" s="5" t="s">
        <v>3154</v>
      </c>
      <c r="BZ609" s="63">
        <f t="shared" si="257"/>
        <v>5499</v>
      </c>
      <c r="CD609" s="63">
        <v>0</v>
      </c>
      <c r="CE609" s="63">
        <v>0</v>
      </c>
      <c r="CF609" s="63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</row>
    <row r="610" spans="1:92" hidden="1" outlineLevel="1">
      <c r="A610" t="s">
        <v>1757</v>
      </c>
      <c r="B610" t="s">
        <v>404</v>
      </c>
      <c r="C610" s="1">
        <f t="shared" si="245"/>
        <v>5715</v>
      </c>
      <c r="D610" s="5">
        <f>IF(N610&gt;0, RANK(N610,(N610:P610,Q610:AE610)),0)</f>
        <v>3</v>
      </c>
      <c r="E610" s="5">
        <f>IF(O610&gt;0,RANK(O610,(N610:P610,Q610:AE610)),0)</f>
        <v>1</v>
      </c>
      <c r="F610" s="5">
        <f>IF(P610&gt;0,RANK(P610,(N610:P610,Q610:AE610)),0)</f>
        <v>2</v>
      </c>
      <c r="G610" s="132">
        <f t="shared" si="246"/>
        <v>3339</v>
      </c>
      <c r="H610" s="137">
        <f t="shared" si="247"/>
        <v>0.58425196850393701</v>
      </c>
      <c r="I610" s="2"/>
      <c r="J610" s="2">
        <f t="shared" si="248"/>
        <v>0.11391076115485564</v>
      </c>
      <c r="K610" s="2">
        <f t="shared" si="249"/>
        <v>0.71566054243219601</v>
      </c>
      <c r="L610" s="2">
        <f t="shared" si="250"/>
        <v>0.13140857392825897</v>
      </c>
      <c r="M610" s="2">
        <f t="shared" si="251"/>
        <v>3.9020122484689362E-2</v>
      </c>
      <c r="N610" s="63">
        <v>651</v>
      </c>
      <c r="O610" s="63">
        <v>4090</v>
      </c>
      <c r="P610" s="63">
        <v>751</v>
      </c>
      <c r="Q610" s="63">
        <v>127</v>
      </c>
      <c r="R610" s="63">
        <v>20</v>
      </c>
      <c r="S610" s="63">
        <v>36</v>
      </c>
      <c r="T610" s="63">
        <v>8</v>
      </c>
      <c r="U610" s="63"/>
      <c r="V610" s="63"/>
      <c r="W610" s="63">
        <f>IF(Copyright!B$11=1,IF(CA610&gt;0,CA610-SUM(Y610:AM610)-SUM(AN610:AQ610),SUM(CB610:CN610)),SUM(CC610:CN610))</f>
        <v>1</v>
      </c>
      <c r="X610" s="63"/>
      <c r="Y610" s="63">
        <v>0</v>
      </c>
      <c r="Z610" s="63">
        <v>0</v>
      </c>
      <c r="AA610" s="63">
        <v>0</v>
      </c>
      <c r="AB610" s="63"/>
      <c r="AC610" s="63"/>
      <c r="AD610" s="63">
        <v>0</v>
      </c>
      <c r="AE610" s="63">
        <v>0</v>
      </c>
      <c r="AF610" s="63"/>
      <c r="AG610" s="63">
        <v>1</v>
      </c>
      <c r="AH610" s="63"/>
      <c r="AI610" s="63"/>
      <c r="AJ610" s="63"/>
      <c r="AK610" s="63"/>
      <c r="AL610" s="63">
        <v>0</v>
      </c>
      <c r="AM610" s="63"/>
      <c r="AN610" s="63">
        <v>0</v>
      </c>
      <c r="AO610" s="63"/>
      <c r="AP610" s="63"/>
      <c r="AQ610" s="63">
        <v>0</v>
      </c>
      <c r="AR610" s="63">
        <v>30</v>
      </c>
      <c r="AS610" s="63"/>
      <c r="AT610" s="63"/>
      <c r="AU610" s="63"/>
      <c r="AW610" s="5">
        <f>IF(Q610&gt;0,RANK(Q610,(N610:P610,Q610:AE610)),0)</f>
        <v>4</v>
      </c>
      <c r="AX610" s="5">
        <f>IF(R610&gt;0,RANK(R610,(N610:P610,Q610:AE610)),0)</f>
        <v>6</v>
      </c>
      <c r="AY610" s="5">
        <f>IF(T610&gt;0,RANK(T610,(N610:P610,Q610:AE610)),0)</f>
        <v>7</v>
      </c>
      <c r="AZ610" s="5">
        <f>IF(S610&gt;0,RANK(S610,(N610:P610,Q610:AE610)),0)</f>
        <v>5</v>
      </c>
      <c r="BA610" s="2">
        <f t="shared" si="252"/>
        <v>2.2222222222222223E-2</v>
      </c>
      <c r="BB610" s="2">
        <f t="shared" si="253"/>
        <v>3.499562554680665E-3</v>
      </c>
      <c r="BC610" s="2">
        <f t="shared" si="254"/>
        <v>1.3998250218722659E-3</v>
      </c>
      <c r="BD610" s="2">
        <f t="shared" si="255"/>
        <v>6.2992125984251968E-3</v>
      </c>
      <c r="BF610" t="s">
        <v>1757</v>
      </c>
      <c r="BG610" t="s">
        <v>404</v>
      </c>
      <c r="BH610">
        <v>2</v>
      </c>
      <c r="BJ610" s="114">
        <v>16</v>
      </c>
      <c r="BK610" s="116">
        <v>43</v>
      </c>
      <c r="BL610" s="120">
        <f t="shared" si="239"/>
        <v>16043</v>
      </c>
      <c r="BN610" s="5" t="s">
        <v>3154</v>
      </c>
      <c r="BZ610" s="63">
        <f t="shared" si="257"/>
        <v>5715</v>
      </c>
      <c r="CD610" s="63">
        <v>0</v>
      </c>
      <c r="CE610" s="63">
        <v>0</v>
      </c>
      <c r="CF610" s="63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1</v>
      </c>
      <c r="CL610" s="8">
        <v>0</v>
      </c>
      <c r="CM610" s="8">
        <v>0</v>
      </c>
      <c r="CN610" s="8">
        <v>0</v>
      </c>
    </row>
    <row r="611" spans="1:92" hidden="1" outlineLevel="1">
      <c r="A611" t="s">
        <v>288</v>
      </c>
      <c r="B611" t="s">
        <v>404</v>
      </c>
      <c r="C611" s="1">
        <f t="shared" si="245"/>
        <v>7954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3</v>
      </c>
      <c r="G611" s="132">
        <f t="shared" si="246"/>
        <v>4751</v>
      </c>
      <c r="H611" s="137">
        <f t="shared" si="247"/>
        <v>0.5973095297963289</v>
      </c>
      <c r="I611" s="2"/>
      <c r="J611" s="2">
        <f t="shared" si="248"/>
        <v>0.15451345235101835</v>
      </c>
      <c r="K611" s="2">
        <f t="shared" si="249"/>
        <v>0.75182298214734722</v>
      </c>
      <c r="L611" s="2">
        <f t="shared" si="250"/>
        <v>4.4883077696756347E-2</v>
      </c>
      <c r="M611" s="2">
        <f t="shared" si="251"/>
        <v>4.8780487804878113E-2</v>
      </c>
      <c r="N611" s="63">
        <v>1229</v>
      </c>
      <c r="O611" s="63">
        <v>5980</v>
      </c>
      <c r="P611" s="63">
        <v>357</v>
      </c>
      <c r="Q611" s="63">
        <v>241</v>
      </c>
      <c r="R611" s="63">
        <v>57</v>
      </c>
      <c r="S611" s="63">
        <v>41</v>
      </c>
      <c r="T611" s="63">
        <v>17</v>
      </c>
      <c r="U611" s="63"/>
      <c r="V611" s="63"/>
      <c r="W611" s="63">
        <f>IF(Copyright!B$11=1,IF(CA611&gt;0,CA611-SUM(Y611:AM611)-SUM(AN611:AQ611),SUM(CB611:CN611)),SUM(CC611:CN611))</f>
        <v>0</v>
      </c>
      <c r="X611" s="63"/>
      <c r="Y611" s="63">
        <v>0</v>
      </c>
      <c r="Z611" s="63">
        <v>0</v>
      </c>
      <c r="AA611" s="63">
        <v>0</v>
      </c>
      <c r="AB611" s="63"/>
      <c r="AC611" s="63"/>
      <c r="AD611" s="63">
        <v>0</v>
      </c>
      <c r="AE611" s="63">
        <v>0</v>
      </c>
      <c r="AF611" s="63"/>
      <c r="AG611" s="63">
        <v>2</v>
      </c>
      <c r="AH611" s="63"/>
      <c r="AI611" s="63"/>
      <c r="AJ611" s="63"/>
      <c r="AK611" s="63"/>
      <c r="AL611" s="63">
        <v>0</v>
      </c>
      <c r="AM611" s="63"/>
      <c r="AN611" s="63">
        <v>0</v>
      </c>
      <c r="AO611" s="63"/>
      <c r="AP611" s="63"/>
      <c r="AQ611" s="63">
        <v>0</v>
      </c>
      <c r="AR611" s="63">
        <v>30</v>
      </c>
      <c r="AS611" s="63"/>
      <c r="AT611" s="63"/>
      <c r="AU611" s="63"/>
      <c r="AW611" s="5">
        <f>IF(Q611&gt;0,RANK(Q611,(N611:P611,Q611:AE611)),0)</f>
        <v>4</v>
      </c>
      <c r="AX611" s="5">
        <f>IF(R611&gt;0,RANK(R611,(N611:P611,Q611:AE611)),0)</f>
        <v>5</v>
      </c>
      <c r="AY611" s="5">
        <f>IF(T611&gt;0,RANK(T611,(N611:P611,Q611:AE611)),0)</f>
        <v>7</v>
      </c>
      <c r="AZ611" s="5">
        <f>IF(S611&gt;0,RANK(S611,(N611:P611,Q611:AE611)),0)</f>
        <v>6</v>
      </c>
      <c r="BA611" s="2">
        <f t="shared" si="252"/>
        <v>3.0299220517978377E-2</v>
      </c>
      <c r="BB611" s="2">
        <f t="shared" si="253"/>
        <v>7.1662056826753834E-3</v>
      </c>
      <c r="BC611" s="2">
        <f t="shared" si="254"/>
        <v>2.1372894141312546E-3</v>
      </c>
      <c r="BD611" s="2">
        <f t="shared" si="255"/>
        <v>5.1546391752577319E-3</v>
      </c>
      <c r="BF611" t="s">
        <v>288</v>
      </c>
      <c r="BG611" t="s">
        <v>404</v>
      </c>
      <c r="BH611">
        <v>1</v>
      </c>
      <c r="BJ611" s="114">
        <v>16</v>
      </c>
      <c r="BK611" s="116">
        <v>45</v>
      </c>
      <c r="BL611" s="120">
        <f t="shared" si="239"/>
        <v>16045</v>
      </c>
      <c r="BN611" s="5" t="s">
        <v>3154</v>
      </c>
      <c r="BZ611" s="63">
        <f t="shared" si="257"/>
        <v>7954</v>
      </c>
      <c r="CD611" s="63">
        <v>0</v>
      </c>
      <c r="CE611" s="63">
        <v>0</v>
      </c>
      <c r="CF611" s="63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</row>
    <row r="612" spans="1:92" hidden="1" outlineLevel="1">
      <c r="A612" t="s">
        <v>3190</v>
      </c>
      <c r="B612" t="s">
        <v>404</v>
      </c>
      <c r="C612" s="1">
        <f t="shared" si="245"/>
        <v>5191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3</v>
      </c>
      <c r="G612" s="132">
        <f t="shared" si="246"/>
        <v>2813</v>
      </c>
      <c r="H612" s="137">
        <f t="shared" si="247"/>
        <v>0.54189944134078216</v>
      </c>
      <c r="I612" s="2"/>
      <c r="J612" s="2">
        <f t="shared" si="248"/>
        <v>0.17915623193989597</v>
      </c>
      <c r="K612" s="2">
        <f t="shared" si="249"/>
        <v>0.7210556732806781</v>
      </c>
      <c r="L612" s="2">
        <f t="shared" si="250"/>
        <v>5.6443845116547868E-2</v>
      </c>
      <c r="M612" s="2">
        <f t="shared" si="251"/>
        <v>4.3344249662878094E-2</v>
      </c>
      <c r="N612" s="63">
        <v>930</v>
      </c>
      <c r="O612" s="63">
        <v>3743</v>
      </c>
      <c r="P612" s="63">
        <v>293</v>
      </c>
      <c r="Q612" s="63">
        <v>110</v>
      </c>
      <c r="R612" s="63">
        <v>30</v>
      </c>
      <c r="S612" s="63">
        <v>42</v>
      </c>
      <c r="T612" s="63">
        <v>16</v>
      </c>
      <c r="U612" s="63"/>
      <c r="V612" s="63"/>
      <c r="W612" s="63">
        <f>IF(Copyright!B$11=1,IF(CA612&gt;0,CA612-SUM(Y612:AM612)-SUM(AN612:AQ612),SUM(CB612:CN612)),SUM(CC612:CN612))</f>
        <v>0</v>
      </c>
      <c r="X612" s="63"/>
      <c r="Y612" s="63">
        <v>0</v>
      </c>
      <c r="Z612" s="63">
        <v>0</v>
      </c>
      <c r="AA612" s="63">
        <v>0</v>
      </c>
      <c r="AB612" s="63"/>
      <c r="AC612" s="63"/>
      <c r="AD612" s="63">
        <v>0</v>
      </c>
      <c r="AE612" s="63">
        <v>0</v>
      </c>
      <c r="AF612" s="63"/>
      <c r="AG612" s="63">
        <v>0</v>
      </c>
      <c r="AH612" s="63"/>
      <c r="AI612" s="63"/>
      <c r="AJ612" s="63"/>
      <c r="AK612" s="63"/>
      <c r="AL612" s="63">
        <v>0</v>
      </c>
      <c r="AM612" s="63"/>
      <c r="AN612" s="63">
        <v>0</v>
      </c>
      <c r="AO612" s="63"/>
      <c r="AP612" s="63"/>
      <c r="AQ612" s="63">
        <v>0</v>
      </c>
      <c r="AR612" s="63">
        <v>27</v>
      </c>
      <c r="AS612" s="63"/>
      <c r="AT612" s="63"/>
      <c r="AU612" s="63"/>
      <c r="AW612" s="5">
        <f>IF(Q612&gt;0,RANK(Q612,(N612:P612,Q612:AE612)),0)</f>
        <v>4</v>
      </c>
      <c r="AX612" s="5">
        <f>IF(R612&gt;0,RANK(R612,(N612:P612,Q612:AE612)),0)</f>
        <v>6</v>
      </c>
      <c r="AY612" s="5">
        <f>IF(T612&gt;0,RANK(T612,(N612:P612,Q612:AE612)),0)</f>
        <v>7</v>
      </c>
      <c r="AZ612" s="5">
        <f>IF(S612&gt;0,RANK(S612,(N612:P612,Q612:AE612)),0)</f>
        <v>5</v>
      </c>
      <c r="BA612" s="2">
        <f t="shared" si="252"/>
        <v>2.1190522057407051E-2</v>
      </c>
      <c r="BB612" s="2">
        <f t="shared" si="253"/>
        <v>5.7792332883837413E-3</v>
      </c>
      <c r="BC612" s="2">
        <f t="shared" si="254"/>
        <v>3.0822577538046621E-3</v>
      </c>
      <c r="BD612" s="2">
        <f t="shared" si="255"/>
        <v>8.0909266037372373E-3</v>
      </c>
      <c r="BF612" t="s">
        <v>3190</v>
      </c>
      <c r="BG612" t="s">
        <v>404</v>
      </c>
      <c r="BH612">
        <v>2</v>
      </c>
      <c r="BJ612" s="114">
        <v>16</v>
      </c>
      <c r="BK612" s="116">
        <v>47</v>
      </c>
      <c r="BL612" s="120">
        <f t="shared" si="239"/>
        <v>16047</v>
      </c>
      <c r="BN612" s="5" t="s">
        <v>3154</v>
      </c>
      <c r="BZ612" s="63">
        <f t="shared" si="257"/>
        <v>5191</v>
      </c>
      <c r="CD612" s="63">
        <v>0</v>
      </c>
      <c r="CE612" s="63">
        <v>0</v>
      </c>
      <c r="CF612" s="63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0</v>
      </c>
      <c r="CN612" s="8">
        <v>0</v>
      </c>
    </row>
    <row r="613" spans="1:92" hidden="1" outlineLevel="1">
      <c r="A613" t="s">
        <v>2092</v>
      </c>
      <c r="B613" t="s">
        <v>404</v>
      </c>
      <c r="C613" s="1">
        <f t="shared" si="245"/>
        <v>8233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4</v>
      </c>
      <c r="G613" s="132">
        <f t="shared" si="246"/>
        <v>5245</v>
      </c>
      <c r="H613" s="137">
        <f t="shared" si="247"/>
        <v>0.63707032673387587</v>
      </c>
      <c r="I613" s="2"/>
      <c r="J613" s="2">
        <f t="shared" si="248"/>
        <v>0.14526903923235759</v>
      </c>
      <c r="K613" s="2">
        <f t="shared" si="249"/>
        <v>0.78233936596623344</v>
      </c>
      <c r="L613" s="2">
        <f t="shared" si="250"/>
        <v>2.0041297218510872E-2</v>
      </c>
      <c r="M613" s="2">
        <f t="shared" si="251"/>
        <v>5.2350297582898123E-2</v>
      </c>
      <c r="N613" s="63">
        <v>1196</v>
      </c>
      <c r="O613" s="63">
        <v>6441</v>
      </c>
      <c r="P613" s="63">
        <v>165</v>
      </c>
      <c r="Q613" s="63">
        <v>254</v>
      </c>
      <c r="R613" s="63">
        <v>52</v>
      </c>
      <c r="S613" s="63">
        <v>57</v>
      </c>
      <c r="T613" s="63">
        <v>14</v>
      </c>
      <c r="U613" s="63"/>
      <c r="V613" s="63"/>
      <c r="W613" s="63">
        <f>IF(Copyright!B$11=1,IF(CA613&gt;0,CA613-SUM(Y613:AM613)-SUM(AN613:AQ613),SUM(CB613:CN613)),SUM(CC613:CN613))</f>
        <v>0</v>
      </c>
      <c r="X613" s="63"/>
      <c r="Y613" s="63">
        <v>5</v>
      </c>
      <c r="Z613" s="63">
        <v>0</v>
      </c>
      <c r="AA613" s="63">
        <v>0</v>
      </c>
      <c r="AB613" s="63"/>
      <c r="AC613" s="63"/>
      <c r="AD613" s="63">
        <v>0</v>
      </c>
      <c r="AE613" s="63">
        <v>0</v>
      </c>
      <c r="AF613" s="63"/>
      <c r="AG613" s="63">
        <v>0</v>
      </c>
      <c r="AH613" s="63"/>
      <c r="AI613" s="63"/>
      <c r="AJ613" s="63"/>
      <c r="AK613" s="63"/>
      <c r="AL613" s="63">
        <v>0</v>
      </c>
      <c r="AM613" s="63"/>
      <c r="AN613" s="63">
        <v>0</v>
      </c>
      <c r="AO613" s="63"/>
      <c r="AP613" s="63"/>
      <c r="AQ613" s="63">
        <v>2</v>
      </c>
      <c r="AR613" s="63">
        <v>47</v>
      </c>
      <c r="AS613" s="63"/>
      <c r="AT613" s="63"/>
      <c r="AU613" s="63"/>
      <c r="AW613" s="5">
        <f>IF(Q613&gt;0,RANK(Q613,(N613:P613,Q613:AE613)),0)</f>
        <v>3</v>
      </c>
      <c r="AX613" s="5">
        <f>IF(R613&gt;0,RANK(R613,(N613:P613,Q613:AE613)),0)</f>
        <v>6</v>
      </c>
      <c r="AY613" s="5">
        <f>IF(T613&gt;0,RANK(T613,(N613:P613,Q613:AE613)),0)</f>
        <v>7</v>
      </c>
      <c r="AZ613" s="5">
        <f>IF(S613&gt;0,RANK(S613,(N613:P613,Q613:AE613)),0)</f>
        <v>5</v>
      </c>
      <c r="BA613" s="2">
        <f t="shared" si="252"/>
        <v>3.085145147576825E-2</v>
      </c>
      <c r="BB613" s="2">
        <f t="shared" si="253"/>
        <v>6.3160451840155469E-3</v>
      </c>
      <c r="BC613" s="2">
        <f t="shared" si="254"/>
        <v>1.7004737033888011E-3</v>
      </c>
      <c r="BD613" s="2">
        <f t="shared" si="255"/>
        <v>6.9233572209401193E-3</v>
      </c>
      <c r="BF613" t="s">
        <v>2092</v>
      </c>
      <c r="BG613" t="s">
        <v>404</v>
      </c>
      <c r="BH613">
        <v>1</v>
      </c>
      <c r="BJ613" s="114">
        <v>16</v>
      </c>
      <c r="BK613" s="116">
        <v>49</v>
      </c>
      <c r="BL613" s="120">
        <f t="shared" si="239"/>
        <v>16049</v>
      </c>
      <c r="BN613" s="5" t="s">
        <v>3154</v>
      </c>
      <c r="BZ613" s="63">
        <f t="shared" si="257"/>
        <v>8233</v>
      </c>
      <c r="CD613" s="63">
        <v>0</v>
      </c>
      <c r="CE613" s="63">
        <v>0</v>
      </c>
      <c r="CF613" s="63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0</v>
      </c>
      <c r="CN613" s="8">
        <v>0</v>
      </c>
    </row>
    <row r="614" spans="1:92" hidden="1" outlineLevel="1">
      <c r="A614" t="s">
        <v>1092</v>
      </c>
      <c r="B614" t="s">
        <v>404</v>
      </c>
      <c r="C614" s="1">
        <f t="shared" si="245"/>
        <v>11475</v>
      </c>
      <c r="D614" s="5">
        <f>IF(N614&gt;0, RANK(N614,(N614:P614,Q614:AE614)),0)</f>
        <v>3</v>
      </c>
      <c r="E614" s="5">
        <f>IF(O614&gt;0,RANK(O614,(N614:P614,Q614:AE614)),0)</f>
        <v>1</v>
      </c>
      <c r="F614" s="5">
        <f>IF(P614&gt;0,RANK(P614,(N614:P614,Q614:AE614)),0)</f>
        <v>2</v>
      </c>
      <c r="G614" s="132">
        <f t="shared" si="246"/>
        <v>6876</v>
      </c>
      <c r="H614" s="137">
        <f t="shared" si="247"/>
        <v>0.59921568627450983</v>
      </c>
      <c r="I614" s="2"/>
      <c r="J614" s="2">
        <f t="shared" si="248"/>
        <v>8.505446623093682E-2</v>
      </c>
      <c r="K614" s="2">
        <f t="shared" si="249"/>
        <v>0.73516339869281044</v>
      </c>
      <c r="L614" s="2">
        <f t="shared" si="250"/>
        <v>0.13594771241830064</v>
      </c>
      <c r="M614" s="2">
        <f t="shared" si="251"/>
        <v>4.3834422657952093E-2</v>
      </c>
      <c r="N614" s="63">
        <v>976</v>
      </c>
      <c r="O614" s="63">
        <v>8436</v>
      </c>
      <c r="P614" s="63">
        <v>1560</v>
      </c>
      <c r="Q614" s="63">
        <v>274</v>
      </c>
      <c r="R614" s="63">
        <v>55</v>
      </c>
      <c r="S614" s="63">
        <v>101</v>
      </c>
      <c r="T614" s="63">
        <v>19</v>
      </c>
      <c r="U614" s="63"/>
      <c r="V614" s="63"/>
      <c r="W614" s="63">
        <f>IF(Copyright!B$11=1,IF(CA614&gt;0,CA614-SUM(Y614:AM614)-SUM(AN614:AQ614),SUM(CB614:CN614)),SUM(CC614:CN614))</f>
        <v>3</v>
      </c>
      <c r="X614" s="63"/>
      <c r="Y614" s="63">
        <v>0</v>
      </c>
      <c r="Z614" s="63">
        <v>0</v>
      </c>
      <c r="AA614" s="63">
        <v>0</v>
      </c>
      <c r="AB614" s="63"/>
      <c r="AC614" s="63"/>
      <c r="AD614" s="63">
        <v>0</v>
      </c>
      <c r="AE614" s="63">
        <v>0</v>
      </c>
      <c r="AF614" s="63"/>
      <c r="AG614" s="63">
        <v>1</v>
      </c>
      <c r="AH614" s="63"/>
      <c r="AI614" s="63"/>
      <c r="AJ614" s="63"/>
      <c r="AK614" s="63"/>
      <c r="AL614" s="63">
        <v>0</v>
      </c>
      <c r="AM614" s="63"/>
      <c r="AN614" s="63">
        <v>0</v>
      </c>
      <c r="AO614" s="63"/>
      <c r="AP614" s="63"/>
      <c r="AQ614" s="63">
        <v>0</v>
      </c>
      <c r="AR614" s="63">
        <v>50</v>
      </c>
      <c r="AS614" s="63"/>
      <c r="AT614" s="63"/>
      <c r="AU614" s="63"/>
      <c r="AW614" s="5">
        <f>IF(Q614&gt;0,RANK(Q614,(N614:P614,Q614:AE614)),0)</f>
        <v>4</v>
      </c>
      <c r="AX614" s="5">
        <f>IF(R614&gt;0,RANK(R614,(N614:P614,Q614:AE614)),0)</f>
        <v>6</v>
      </c>
      <c r="AY614" s="5">
        <f>IF(T614&gt;0,RANK(T614,(N614:P614,Q614:AE614)),0)</f>
        <v>7</v>
      </c>
      <c r="AZ614" s="5">
        <f>IF(S614&gt;0,RANK(S614,(N614:P614,Q614:AE614)),0)</f>
        <v>5</v>
      </c>
      <c r="BA614" s="2">
        <f t="shared" si="252"/>
        <v>2.3877995642701526E-2</v>
      </c>
      <c r="BB614" s="2">
        <f t="shared" si="253"/>
        <v>4.7930283224400872E-3</v>
      </c>
      <c r="BC614" s="2">
        <f t="shared" si="254"/>
        <v>1.6557734204793028E-3</v>
      </c>
      <c r="BD614" s="2">
        <f t="shared" si="255"/>
        <v>8.8017429193899786E-3</v>
      </c>
      <c r="BF614" t="s">
        <v>1092</v>
      </c>
      <c r="BG614" t="s">
        <v>404</v>
      </c>
      <c r="BH614">
        <v>2</v>
      </c>
      <c r="BJ614" s="114">
        <v>16</v>
      </c>
      <c r="BK614" s="116">
        <v>51</v>
      </c>
      <c r="BL614" s="120">
        <f t="shared" si="239"/>
        <v>16051</v>
      </c>
      <c r="BN614" s="5" t="s">
        <v>3154</v>
      </c>
      <c r="BZ614" s="63">
        <f t="shared" si="257"/>
        <v>11475</v>
      </c>
      <c r="CD614" s="63">
        <v>0</v>
      </c>
      <c r="CE614" s="63">
        <v>0</v>
      </c>
      <c r="CF614" s="63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3</v>
      </c>
      <c r="CL614" s="8">
        <v>0</v>
      </c>
      <c r="CM614" s="8">
        <v>0</v>
      </c>
      <c r="CN614" s="8">
        <v>0</v>
      </c>
    </row>
    <row r="615" spans="1:92" hidden="1" outlineLevel="1">
      <c r="A615" t="s">
        <v>542</v>
      </c>
      <c r="B615" t="s">
        <v>404</v>
      </c>
      <c r="C615" s="1">
        <f t="shared" si="245"/>
        <v>6751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3</v>
      </c>
      <c r="G615" s="132">
        <f t="shared" si="246"/>
        <v>3315</v>
      </c>
      <c r="H615" s="137">
        <f t="shared" si="247"/>
        <v>0.49103836468671308</v>
      </c>
      <c r="I615" s="2"/>
      <c r="J615" s="2">
        <f t="shared" si="248"/>
        <v>0.19685972448526146</v>
      </c>
      <c r="K615" s="2">
        <f t="shared" si="249"/>
        <v>0.68789808917197448</v>
      </c>
      <c r="L615" s="2">
        <f t="shared" si="250"/>
        <v>6.2064879277144124E-2</v>
      </c>
      <c r="M615" s="2">
        <f t="shared" si="251"/>
        <v>5.317730706561994E-2</v>
      </c>
      <c r="N615" s="63">
        <v>1329</v>
      </c>
      <c r="O615" s="63">
        <v>4644</v>
      </c>
      <c r="P615" s="63">
        <v>419</v>
      </c>
      <c r="Q615" s="63">
        <v>218</v>
      </c>
      <c r="R615" s="63">
        <v>52</v>
      </c>
      <c r="S615" s="63">
        <v>46</v>
      </c>
      <c r="T615" s="63">
        <v>16</v>
      </c>
      <c r="U615" s="63"/>
      <c r="V615" s="63"/>
      <c r="W615" s="63">
        <f>IF(Copyright!B$11=1,IF(CA615&gt;0,CA615-SUM(Y615:AM615)-SUM(AN615:AQ615),SUM(CB615:CN615)),SUM(CC615:CN615))</f>
        <v>0</v>
      </c>
      <c r="X615" s="63"/>
      <c r="Y615" s="63">
        <v>0</v>
      </c>
      <c r="Z615" s="63">
        <v>0</v>
      </c>
      <c r="AA615" s="63">
        <v>0</v>
      </c>
      <c r="AB615" s="63"/>
      <c r="AC615" s="63"/>
      <c r="AD615" s="63">
        <v>0</v>
      </c>
      <c r="AE615" s="63">
        <v>0</v>
      </c>
      <c r="AF615" s="63"/>
      <c r="AG615" s="63">
        <v>0</v>
      </c>
      <c r="AH615" s="63"/>
      <c r="AI615" s="63"/>
      <c r="AJ615" s="63"/>
      <c r="AK615" s="63"/>
      <c r="AL615" s="63">
        <v>0</v>
      </c>
      <c r="AM615" s="63"/>
      <c r="AN615" s="63">
        <v>0</v>
      </c>
      <c r="AO615" s="63"/>
      <c r="AP615" s="63"/>
      <c r="AQ615" s="63">
        <v>0</v>
      </c>
      <c r="AR615" s="63">
        <v>27</v>
      </c>
      <c r="AS615" s="63"/>
      <c r="AT615" s="63"/>
      <c r="AU615" s="63"/>
      <c r="AW615" s="5">
        <f>IF(Q615&gt;0,RANK(Q615,(N615:P615,Q615:AE615)),0)</f>
        <v>4</v>
      </c>
      <c r="AX615" s="5">
        <f>IF(R615&gt;0,RANK(R615,(N615:P615,Q615:AE615)),0)</f>
        <v>5</v>
      </c>
      <c r="AY615" s="5">
        <f>IF(T615&gt;0,RANK(T615,(N615:P615,Q615:AE615)),0)</f>
        <v>7</v>
      </c>
      <c r="AZ615" s="5">
        <f>IF(S615&gt;0,RANK(S615,(N615:P615,Q615:AE615)),0)</f>
        <v>6</v>
      </c>
      <c r="BA615" s="2">
        <f t="shared" si="252"/>
        <v>3.2291512368537993E-2</v>
      </c>
      <c r="BB615" s="2">
        <f t="shared" si="253"/>
        <v>7.7025625833209892E-3</v>
      </c>
      <c r="BC615" s="2">
        <f t="shared" si="254"/>
        <v>2.3700192564064583E-3</v>
      </c>
      <c r="BD615" s="2">
        <f t="shared" si="255"/>
        <v>6.8138053621685677E-3</v>
      </c>
      <c r="BF615" t="s">
        <v>542</v>
      </c>
      <c r="BG615" t="s">
        <v>404</v>
      </c>
      <c r="BH615">
        <v>2</v>
      </c>
      <c r="BJ615" s="114">
        <v>16</v>
      </c>
      <c r="BK615" s="116">
        <v>53</v>
      </c>
      <c r="BL615" s="120">
        <f t="shared" si="239"/>
        <v>16053</v>
      </c>
      <c r="BN615" s="5" t="s">
        <v>3154</v>
      </c>
      <c r="CD615" s="63">
        <v>0</v>
      </c>
      <c r="CE615" s="63">
        <v>0</v>
      </c>
      <c r="CF615" s="63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</row>
    <row r="616" spans="1:92" hidden="1" outlineLevel="1">
      <c r="A616" t="s">
        <v>1432</v>
      </c>
      <c r="B616" t="s">
        <v>404</v>
      </c>
      <c r="C616" s="1">
        <f t="shared" si="245"/>
        <v>66310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>IF(P616&gt;0,RANK(P616,(N616:P616,Q616:AE616)),0)</f>
        <v>4</v>
      </c>
      <c r="G616" s="132">
        <f t="shared" si="246"/>
        <v>28185</v>
      </c>
      <c r="H616" s="137">
        <f t="shared" si="247"/>
        <v>0.42504901221535213</v>
      </c>
      <c r="I616" s="2"/>
      <c r="J616" s="2">
        <f t="shared" si="248"/>
        <v>0.24527220630372493</v>
      </c>
      <c r="K616" s="2">
        <f t="shared" si="249"/>
        <v>0.67032121851907711</v>
      </c>
      <c r="L616" s="2">
        <f t="shared" si="250"/>
        <v>2.348062132408385E-2</v>
      </c>
      <c r="M616" s="2">
        <f t="shared" si="251"/>
        <v>6.0925953853114112E-2</v>
      </c>
      <c r="N616" s="63">
        <v>16264</v>
      </c>
      <c r="O616" s="63">
        <v>44449</v>
      </c>
      <c r="P616" s="63">
        <v>1557</v>
      </c>
      <c r="Q616" s="63">
        <v>2604</v>
      </c>
      <c r="R616" s="63">
        <v>744</v>
      </c>
      <c r="S616" s="63">
        <v>372</v>
      </c>
      <c r="T616" s="63">
        <v>86</v>
      </c>
      <c r="U616" s="63"/>
      <c r="V616" s="63"/>
      <c r="W616" s="63">
        <f>IF(Copyright!B$11=1,IF(CA616&gt;0,CA616-SUM(Y616:AM616)-SUM(AN616:AQ616),SUM(CB616:CN616)),SUM(CC616:CN616))</f>
        <v>0</v>
      </c>
      <c r="X616" s="63"/>
      <c r="Y616" s="63">
        <v>17</v>
      </c>
      <c r="Z616" s="63">
        <v>0</v>
      </c>
      <c r="AA616" s="63">
        <v>0</v>
      </c>
      <c r="AB616" s="63"/>
      <c r="AC616" s="63"/>
      <c r="AD616" s="63">
        <v>0</v>
      </c>
      <c r="AE616" s="63">
        <v>1</v>
      </c>
      <c r="AF616" s="63"/>
      <c r="AG616" s="63">
        <v>1</v>
      </c>
      <c r="AH616" s="63"/>
      <c r="AI616" s="63"/>
      <c r="AJ616" s="63"/>
      <c r="AK616" s="63"/>
      <c r="AL616" s="63">
        <v>0</v>
      </c>
      <c r="AM616" s="63"/>
      <c r="AN616" s="63">
        <v>5</v>
      </c>
      <c r="AO616" s="63"/>
      <c r="AP616" s="63"/>
      <c r="AQ616" s="63">
        <v>0</v>
      </c>
      <c r="AR616" s="63">
        <v>210</v>
      </c>
      <c r="AS616" s="63"/>
      <c r="AT616" s="63"/>
      <c r="AU616" s="63"/>
      <c r="AW616" s="5">
        <f>IF(Q616&gt;0,RANK(Q616,(N616:P616,Q616:AE616)),0)</f>
        <v>3</v>
      </c>
      <c r="AX616" s="5">
        <f>IF(R616&gt;0,RANK(R616,(N616:P616,Q616:AE616)),0)</f>
        <v>5</v>
      </c>
      <c r="AY616" s="5">
        <f>IF(T616&gt;0,RANK(T616,(N616:P616,Q616:AE616)),0)</f>
        <v>7</v>
      </c>
      <c r="AZ616" s="5">
        <f>IF(S616&gt;0,RANK(S616,(N616:P616,Q616:AE616)),0)</f>
        <v>6</v>
      </c>
      <c r="BA616" s="2">
        <f t="shared" si="252"/>
        <v>3.9270095008294377E-2</v>
      </c>
      <c r="BB616" s="2">
        <f t="shared" si="253"/>
        <v>1.1220027145226965E-2</v>
      </c>
      <c r="BC616" s="2">
        <f t="shared" si="254"/>
        <v>1.2969386216256974E-3</v>
      </c>
      <c r="BD616" s="2">
        <f t="shared" si="255"/>
        <v>5.6100135726134823E-3</v>
      </c>
      <c r="BF616" t="s">
        <v>1432</v>
      </c>
      <c r="BG616" t="s">
        <v>404</v>
      </c>
      <c r="BH616">
        <v>1</v>
      </c>
      <c r="BJ616" s="114">
        <v>16</v>
      </c>
      <c r="BK616" s="116">
        <v>55</v>
      </c>
      <c r="BL616" s="120">
        <f t="shared" ref="BL616:BL679" si="258">1000*BJ616+BK616</f>
        <v>16055</v>
      </c>
      <c r="BN616" s="5" t="s">
        <v>3154</v>
      </c>
      <c r="CD616" s="63">
        <v>0</v>
      </c>
      <c r="CE616" s="63">
        <v>0</v>
      </c>
      <c r="CF616" s="63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0</v>
      </c>
      <c r="CN616" s="8">
        <v>0</v>
      </c>
    </row>
    <row r="617" spans="1:92" hidden="1" outlineLevel="1">
      <c r="A617" t="s">
        <v>561</v>
      </c>
      <c r="B617" t="s">
        <v>404</v>
      </c>
      <c r="C617" s="1">
        <f t="shared" si="245"/>
        <v>18173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>IF(P617&gt;0,RANK(P617,(N617:P617,Q617:AE617)),0)</f>
        <v>4</v>
      </c>
      <c r="G617" s="132">
        <f t="shared" si="246"/>
        <v>828</v>
      </c>
      <c r="H617" s="137">
        <f t="shared" si="247"/>
        <v>4.5562097617344414E-2</v>
      </c>
      <c r="I617" s="2"/>
      <c r="J617" s="2">
        <f t="shared" si="248"/>
        <v>0.44533098552798106</v>
      </c>
      <c r="K617" s="2">
        <f t="shared" si="249"/>
        <v>0.39976888791063664</v>
      </c>
      <c r="L617" s="2">
        <f t="shared" si="250"/>
        <v>3.8298574808782258E-2</v>
      </c>
      <c r="M617" s="2">
        <f t="shared" si="251"/>
        <v>0.11660155175260009</v>
      </c>
      <c r="N617" s="63">
        <v>8093</v>
      </c>
      <c r="O617" s="63">
        <v>7265</v>
      </c>
      <c r="P617" s="63">
        <v>696</v>
      </c>
      <c r="Q617" s="63">
        <v>1197</v>
      </c>
      <c r="R617" s="63">
        <v>463</v>
      </c>
      <c r="S617" s="63">
        <v>320</v>
      </c>
      <c r="T617" s="63">
        <v>49</v>
      </c>
      <c r="U617" s="63"/>
      <c r="V617" s="63"/>
      <c r="W617" s="63">
        <f>IF(Copyright!B$11=1,IF(CA617&gt;0,CA617-SUM(Y617:AM617)-SUM(AN617:AQ617),SUM(CB617:CN617)),SUM(CC617:CN617))</f>
        <v>1</v>
      </c>
      <c r="X617" s="63"/>
      <c r="Y617" s="63">
        <v>4</v>
      </c>
      <c r="Z617" s="63">
        <v>0</v>
      </c>
      <c r="AA617" s="63">
        <v>0</v>
      </c>
      <c r="AB617" s="63"/>
      <c r="AC617" s="63"/>
      <c r="AD617" s="63">
        <v>0</v>
      </c>
      <c r="AE617" s="63">
        <v>0</v>
      </c>
      <c r="AF617" s="63"/>
      <c r="AG617" s="63">
        <v>0</v>
      </c>
      <c r="AH617" s="63"/>
      <c r="AI617" s="63"/>
      <c r="AJ617" s="63"/>
      <c r="AK617" s="63"/>
      <c r="AL617" s="63">
        <v>0</v>
      </c>
      <c r="AM617" s="63"/>
      <c r="AN617" s="63">
        <v>12</v>
      </c>
      <c r="AO617" s="63"/>
      <c r="AP617" s="63"/>
      <c r="AQ617" s="63">
        <v>0</v>
      </c>
      <c r="AR617" s="63">
        <v>73</v>
      </c>
      <c r="AS617" s="63"/>
      <c r="AT617" s="63"/>
      <c r="AU617" s="63"/>
      <c r="AW617" s="5">
        <f>IF(Q617&gt;0,RANK(Q617,(N617:P617,Q617:AE617)),0)</f>
        <v>3</v>
      </c>
      <c r="AX617" s="5">
        <f>IF(R617&gt;0,RANK(R617,(N617:P617,Q617:AE617)),0)</f>
        <v>5</v>
      </c>
      <c r="AY617" s="5">
        <f>IF(T617&gt;0,RANK(T617,(N617:P617,Q617:AE617)),0)</f>
        <v>7</v>
      </c>
      <c r="AZ617" s="5">
        <f>IF(S617&gt;0,RANK(S617,(N617:P617,Q617:AE617)),0)</f>
        <v>6</v>
      </c>
      <c r="BA617" s="2">
        <f t="shared" si="252"/>
        <v>6.5866945468552249E-2</v>
      </c>
      <c r="BB617" s="2">
        <f t="shared" si="253"/>
        <v>2.5477356517911186E-2</v>
      </c>
      <c r="BC617" s="2">
        <f t="shared" si="254"/>
        <v>2.6963077092389807E-3</v>
      </c>
      <c r="BD617" s="2">
        <f t="shared" si="255"/>
        <v>1.7608540141968856E-2</v>
      </c>
      <c r="BF617" t="s">
        <v>561</v>
      </c>
      <c r="BG617" t="s">
        <v>404</v>
      </c>
      <c r="BH617">
        <v>1</v>
      </c>
      <c r="BJ617" s="114">
        <v>16</v>
      </c>
      <c r="BK617" s="116">
        <v>57</v>
      </c>
      <c r="BL617" s="120">
        <f t="shared" si="258"/>
        <v>16057</v>
      </c>
      <c r="BN617" s="5" t="s">
        <v>3154</v>
      </c>
      <c r="CD617" s="63">
        <v>1</v>
      </c>
      <c r="CE617" s="63">
        <v>0</v>
      </c>
      <c r="CF617" s="63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</row>
    <row r="618" spans="1:92" hidden="1" outlineLevel="1">
      <c r="A618" t="s">
        <v>2849</v>
      </c>
      <c r="B618" t="s">
        <v>404</v>
      </c>
      <c r="C618" s="1">
        <f t="shared" si="245"/>
        <v>4096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3</v>
      </c>
      <c r="G618" s="132">
        <f t="shared" si="246"/>
        <v>2278</v>
      </c>
      <c r="H618" s="137">
        <f t="shared" si="247"/>
        <v>0.55615234375</v>
      </c>
      <c r="I618" s="2"/>
      <c r="J618" s="2">
        <f t="shared" si="248"/>
        <v>0.178955078125</v>
      </c>
      <c r="K618" s="2">
        <f t="shared" si="249"/>
        <v>0.735107421875</v>
      </c>
      <c r="L618" s="2">
        <f t="shared" si="250"/>
        <v>3.3935546875E-2</v>
      </c>
      <c r="M618" s="2">
        <f t="shared" si="251"/>
        <v>5.2001953125E-2</v>
      </c>
      <c r="N618" s="63">
        <v>733</v>
      </c>
      <c r="O618" s="63">
        <v>3011</v>
      </c>
      <c r="P618" s="63">
        <v>139</v>
      </c>
      <c r="Q618" s="63">
        <v>138</v>
      </c>
      <c r="R618" s="63">
        <v>31</v>
      </c>
      <c r="S618" s="63">
        <v>19</v>
      </c>
      <c r="T618" s="63">
        <v>9</v>
      </c>
      <c r="U618" s="63"/>
      <c r="V618" s="63"/>
      <c r="W618" s="63">
        <f>IF(Copyright!B$11=1,IF(CA618&gt;0,CA618-SUM(Y618:AM618)-SUM(AN618:AQ618),SUM(CB618:CN618)),SUM(CC618:CN618))</f>
        <v>0</v>
      </c>
      <c r="X618" s="63"/>
      <c r="Y618" s="63">
        <v>0</v>
      </c>
      <c r="Z618" s="63">
        <v>0</v>
      </c>
      <c r="AA618" s="63">
        <v>0</v>
      </c>
      <c r="AB618" s="63"/>
      <c r="AC618" s="63"/>
      <c r="AD618" s="63">
        <v>0</v>
      </c>
      <c r="AE618" s="63">
        <v>0</v>
      </c>
      <c r="AF618" s="63"/>
      <c r="AG618" s="63">
        <v>0</v>
      </c>
      <c r="AH618" s="63"/>
      <c r="AI618" s="63"/>
      <c r="AJ618" s="63"/>
      <c r="AK618" s="63"/>
      <c r="AL618" s="63">
        <v>0</v>
      </c>
      <c r="AM618" s="63"/>
      <c r="AN618" s="63">
        <v>0</v>
      </c>
      <c r="AO618" s="63"/>
      <c r="AP618" s="63"/>
      <c r="AQ618" s="63">
        <v>0</v>
      </c>
      <c r="AR618" s="63">
        <v>16</v>
      </c>
      <c r="AS618" s="63"/>
      <c r="AT618" s="63"/>
      <c r="AU618" s="63"/>
      <c r="AW618" s="5">
        <f>IF(Q618&gt;0,RANK(Q618,(N618:P618,Q618:AE618)),0)</f>
        <v>4</v>
      </c>
      <c r="AX618" s="5">
        <f>IF(R618&gt;0,RANK(R618,(N618:P618,Q618:AE618)),0)</f>
        <v>5</v>
      </c>
      <c r="AY618" s="5">
        <f>IF(T618&gt;0,RANK(T618,(N618:P618,Q618:AE618)),0)</f>
        <v>7</v>
      </c>
      <c r="AZ618" s="5">
        <f>IF(S618&gt;0,RANK(S618,(N618:P618,Q618:AE618)),0)</f>
        <v>6</v>
      </c>
      <c r="BA618" s="2">
        <f t="shared" si="252"/>
        <v>3.369140625E-2</v>
      </c>
      <c r="BB618" s="2">
        <f t="shared" si="253"/>
        <v>7.568359375E-3</v>
      </c>
      <c r="BC618" s="2">
        <f t="shared" si="254"/>
        <v>2.197265625E-3</v>
      </c>
      <c r="BD618" s="2">
        <f t="shared" si="255"/>
        <v>4.638671875E-3</v>
      </c>
      <c r="BF618" t="s">
        <v>2849</v>
      </c>
      <c r="BG618" t="s">
        <v>404</v>
      </c>
      <c r="BH618">
        <v>2</v>
      </c>
      <c r="BJ618" s="114">
        <v>16</v>
      </c>
      <c r="BK618" s="116">
        <v>59</v>
      </c>
      <c r="BL618" s="120">
        <f t="shared" si="258"/>
        <v>16059</v>
      </c>
      <c r="BN618" s="5" t="s">
        <v>3154</v>
      </c>
      <c r="BZ618" s="63">
        <f>C618</f>
        <v>4096</v>
      </c>
      <c r="CD618" s="63">
        <v>0</v>
      </c>
      <c r="CE618" s="63">
        <v>0</v>
      </c>
      <c r="CF618" s="63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0</v>
      </c>
      <c r="CN618" s="8">
        <v>0</v>
      </c>
    </row>
    <row r="619" spans="1:92" hidden="1" outlineLevel="1">
      <c r="A619" t="s">
        <v>2787</v>
      </c>
      <c r="B619" t="s">
        <v>404</v>
      </c>
      <c r="C619" s="1">
        <f t="shared" si="245"/>
        <v>1590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5</v>
      </c>
      <c r="G619" s="132">
        <f t="shared" si="246"/>
        <v>932</v>
      </c>
      <c r="H619" s="137">
        <f t="shared" si="247"/>
        <v>0.5861635220125786</v>
      </c>
      <c r="I619" s="2"/>
      <c r="J619" s="2">
        <f t="shared" si="248"/>
        <v>0.16981132075471697</v>
      </c>
      <c r="K619" s="2">
        <f t="shared" si="249"/>
        <v>0.75597484276729565</v>
      </c>
      <c r="L619" s="2">
        <f t="shared" si="250"/>
        <v>1.0691823899371069E-2</v>
      </c>
      <c r="M619" s="2">
        <f t="shared" si="251"/>
        <v>6.3522012578616338E-2</v>
      </c>
      <c r="N619" s="63">
        <v>270</v>
      </c>
      <c r="O619" s="63">
        <v>1202</v>
      </c>
      <c r="P619" s="63">
        <v>17</v>
      </c>
      <c r="Q619" s="63">
        <v>62</v>
      </c>
      <c r="R619" s="63">
        <v>13</v>
      </c>
      <c r="S619" s="63">
        <v>18</v>
      </c>
      <c r="T619" s="63">
        <v>2</v>
      </c>
      <c r="U619" s="63"/>
      <c r="V619" s="63"/>
      <c r="W619" s="63">
        <f>IF(Copyright!B$11=1,IF(CA619&gt;0,CA619-SUM(Y619:AM619)-SUM(AN619:AQ619),SUM(CB619:CN619)),SUM(CC619:CN619))</f>
        <v>0</v>
      </c>
      <c r="X619" s="63"/>
      <c r="Y619" s="63">
        <v>0</v>
      </c>
      <c r="Z619" s="63">
        <v>0</v>
      </c>
      <c r="AA619" s="63">
        <v>0</v>
      </c>
      <c r="AB619" s="63"/>
      <c r="AC619" s="63"/>
      <c r="AD619" s="63">
        <v>0</v>
      </c>
      <c r="AE619" s="63">
        <v>0</v>
      </c>
      <c r="AF619" s="63"/>
      <c r="AG619" s="63">
        <v>0</v>
      </c>
      <c r="AH619" s="63"/>
      <c r="AI619" s="63"/>
      <c r="AJ619" s="63"/>
      <c r="AK619" s="63"/>
      <c r="AL619" s="63">
        <v>0</v>
      </c>
      <c r="AM619" s="63"/>
      <c r="AN619" s="63">
        <v>0</v>
      </c>
      <c r="AO619" s="63"/>
      <c r="AP619" s="63"/>
      <c r="AQ619" s="63">
        <v>0</v>
      </c>
      <c r="AR619" s="63">
        <v>6</v>
      </c>
      <c r="AS619" s="63"/>
      <c r="AT619" s="63"/>
      <c r="AU619" s="63"/>
      <c r="AW619" s="5">
        <f>IF(Q619&gt;0,RANK(Q619,(N619:P619,Q619:AE619)),0)</f>
        <v>3</v>
      </c>
      <c r="AX619" s="5">
        <f>IF(R619&gt;0,RANK(R619,(N619:P619,Q619:AE619)),0)</f>
        <v>6</v>
      </c>
      <c r="AY619" s="5">
        <f>IF(T619&gt;0,RANK(T619,(N619:P619,Q619:AE619)),0)</f>
        <v>7</v>
      </c>
      <c r="AZ619" s="5">
        <f>IF(S619&gt;0,RANK(S619,(N619:P619,Q619:AE619)),0)</f>
        <v>4</v>
      </c>
      <c r="BA619" s="2">
        <f t="shared" si="252"/>
        <v>3.8993710691823898E-2</v>
      </c>
      <c r="BB619" s="2">
        <f t="shared" si="253"/>
        <v>8.1761006289308175E-3</v>
      </c>
      <c r="BC619" s="2">
        <f t="shared" si="254"/>
        <v>1.2578616352201257E-3</v>
      </c>
      <c r="BD619" s="2">
        <f t="shared" si="255"/>
        <v>1.1320754716981131E-2</v>
      </c>
      <c r="BF619" t="s">
        <v>2787</v>
      </c>
      <c r="BG619" t="s">
        <v>404</v>
      </c>
      <c r="BH619">
        <v>1</v>
      </c>
      <c r="BJ619" s="114">
        <v>16</v>
      </c>
      <c r="BK619" s="116">
        <v>61</v>
      </c>
      <c r="BL619" s="120">
        <f t="shared" si="258"/>
        <v>16061</v>
      </c>
      <c r="BN619" s="5" t="s">
        <v>3154</v>
      </c>
      <c r="BZ619" s="63">
        <f>C619</f>
        <v>1590</v>
      </c>
      <c r="CD619" s="63">
        <v>0</v>
      </c>
      <c r="CE619" s="63">
        <v>0</v>
      </c>
      <c r="CF619" s="63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</row>
    <row r="620" spans="1:92" hidden="1" outlineLevel="1">
      <c r="A620" t="s">
        <v>1597</v>
      </c>
      <c r="B620" t="s">
        <v>404</v>
      </c>
      <c r="C620" s="1">
        <f t="shared" si="245"/>
        <v>1748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3</v>
      </c>
      <c r="G620" s="132">
        <f t="shared" si="246"/>
        <v>824</v>
      </c>
      <c r="H620" s="137">
        <f t="shared" si="247"/>
        <v>0.47139588100686497</v>
      </c>
      <c r="I620" s="2"/>
      <c r="J620" s="2">
        <f t="shared" si="248"/>
        <v>0.20594965675057209</v>
      </c>
      <c r="K620" s="2">
        <f t="shared" si="249"/>
        <v>0.67734553775743711</v>
      </c>
      <c r="L620" s="2">
        <f t="shared" si="250"/>
        <v>5.8352402745995423E-2</v>
      </c>
      <c r="M620" s="2">
        <f t="shared" si="251"/>
        <v>5.8352402745995381E-2</v>
      </c>
      <c r="N620" s="63">
        <v>360</v>
      </c>
      <c r="O620" s="63">
        <v>1184</v>
      </c>
      <c r="P620" s="63">
        <v>102</v>
      </c>
      <c r="Q620" s="63">
        <v>54</v>
      </c>
      <c r="R620" s="63">
        <v>18</v>
      </c>
      <c r="S620" s="63">
        <v>18</v>
      </c>
      <c r="T620" s="63">
        <v>6</v>
      </c>
      <c r="U620" s="63"/>
      <c r="V620" s="63"/>
      <c r="W620" s="63">
        <f>IF(Copyright!B$11=1,IF(CA620&gt;0,CA620-SUM(Y620:AM620)-SUM(AN620:AQ620),SUM(CB620:CN620)),SUM(CC620:CN620))</f>
        <v>0</v>
      </c>
      <c r="X620" s="63"/>
      <c r="Y620" s="63">
        <v>0</v>
      </c>
      <c r="Z620" s="63">
        <v>0</v>
      </c>
      <c r="AA620" s="63">
        <v>0</v>
      </c>
      <c r="AB620" s="63"/>
      <c r="AC620" s="63"/>
      <c r="AD620" s="63">
        <v>0</v>
      </c>
      <c r="AE620" s="63">
        <v>0</v>
      </c>
      <c r="AF620" s="63"/>
      <c r="AG620" s="63">
        <v>0</v>
      </c>
      <c r="AH620" s="63"/>
      <c r="AI620" s="63"/>
      <c r="AJ620" s="63"/>
      <c r="AK620" s="63"/>
      <c r="AL620" s="63">
        <v>0</v>
      </c>
      <c r="AM620" s="63"/>
      <c r="AN620" s="63">
        <v>0</v>
      </c>
      <c r="AO620" s="63"/>
      <c r="AP620" s="63"/>
      <c r="AQ620" s="63">
        <v>0</v>
      </c>
      <c r="AR620" s="63">
        <v>6</v>
      </c>
      <c r="AS620" s="63"/>
      <c r="AT620" s="63"/>
      <c r="AU620" s="63"/>
      <c r="AW620" s="5">
        <f>IF(Q620&gt;0,RANK(Q620,(N620:P620,Q620:AE620)),0)</f>
        <v>4</v>
      </c>
      <c r="AX620" s="5">
        <f>IF(R620&gt;0,RANK(R620,(N620:P620,Q620:AE620)),0)</f>
        <v>5</v>
      </c>
      <c r="AY620" s="5">
        <f>IF(T620&gt;0,RANK(T620,(N620:P620,Q620:AE620)),0)</f>
        <v>7</v>
      </c>
      <c r="AZ620" s="5">
        <f>IF(S620&gt;0,RANK(S620,(N620:P620,Q620:AE620)),0)</f>
        <v>5</v>
      </c>
      <c r="BA620" s="2">
        <f t="shared" si="252"/>
        <v>3.0892448512585814E-2</v>
      </c>
      <c r="BB620" s="2">
        <f t="shared" si="253"/>
        <v>1.0297482837528604E-2</v>
      </c>
      <c r="BC620" s="2">
        <f t="shared" si="254"/>
        <v>3.4324942791762012E-3</v>
      </c>
      <c r="BD620" s="2">
        <f t="shared" si="255"/>
        <v>1.0297482837528604E-2</v>
      </c>
      <c r="BF620" t="s">
        <v>1597</v>
      </c>
      <c r="BG620" t="s">
        <v>404</v>
      </c>
      <c r="BH620">
        <v>2</v>
      </c>
      <c r="BJ620" s="114">
        <v>16</v>
      </c>
      <c r="BK620" s="116">
        <v>63</v>
      </c>
      <c r="BL620" s="120">
        <f t="shared" si="258"/>
        <v>16063</v>
      </c>
      <c r="BN620" s="5" t="s">
        <v>3154</v>
      </c>
      <c r="BZ620" s="63">
        <f>C620</f>
        <v>1748</v>
      </c>
      <c r="CD620" s="63">
        <v>0</v>
      </c>
      <c r="CE620" s="63">
        <v>0</v>
      </c>
      <c r="CF620" s="63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</row>
    <row r="621" spans="1:92" hidden="1" outlineLevel="1">
      <c r="A621" t="s">
        <v>1650</v>
      </c>
      <c r="B621" t="s">
        <v>404</v>
      </c>
      <c r="C621" s="1">
        <f t="shared" si="245"/>
        <v>15688</v>
      </c>
      <c r="D621" s="5">
        <f>IF(N621&gt;0, RANK(N621,(N621:P621,Q621:AE621)),0)</f>
        <v>3</v>
      </c>
      <c r="E621" s="5">
        <f>IF(O621&gt;0,RANK(O621,(N621:P621,Q621:AE621)),0)</f>
        <v>1</v>
      </c>
      <c r="F621" s="5">
        <f>IF(P621&gt;0,RANK(P621,(N621:P621,Q621:AE621)),0)</f>
        <v>2</v>
      </c>
      <c r="G621" s="132">
        <f t="shared" si="246"/>
        <v>4272</v>
      </c>
      <c r="H621" s="137">
        <f t="shared" si="247"/>
        <v>0.27231004589495156</v>
      </c>
      <c r="I621" s="2"/>
      <c r="J621" s="2">
        <f t="shared" si="248"/>
        <v>7.6555328913819484E-2</v>
      </c>
      <c r="K621" s="2">
        <f t="shared" si="249"/>
        <v>0.56992605813360531</v>
      </c>
      <c r="L621" s="2">
        <f t="shared" si="250"/>
        <v>0.29761601223865375</v>
      </c>
      <c r="M621" s="2">
        <f t="shared" si="251"/>
        <v>5.5902600713921502E-2</v>
      </c>
      <c r="N621" s="63">
        <v>1201</v>
      </c>
      <c r="O621" s="63">
        <v>8941</v>
      </c>
      <c r="P621" s="63">
        <v>4669</v>
      </c>
      <c r="Q621" s="63">
        <v>612</v>
      </c>
      <c r="R621" s="63">
        <v>69</v>
      </c>
      <c r="S621" s="63">
        <v>136</v>
      </c>
      <c r="T621" s="63">
        <v>16</v>
      </c>
      <c r="U621" s="63"/>
      <c r="V621" s="63"/>
      <c r="W621" s="63">
        <f>IF(Copyright!B$11=1,IF(CA621&gt;0,CA621-SUM(Y621:AM621)-SUM(AN621:AQ621),SUM(CB621:CN621)),SUM(CC621:CN621))</f>
        <v>1</v>
      </c>
      <c r="X621" s="63"/>
      <c r="Y621" s="63">
        <v>0</v>
      </c>
      <c r="Z621" s="63">
        <v>0</v>
      </c>
      <c r="AA621" s="63">
        <v>0</v>
      </c>
      <c r="AB621" s="63"/>
      <c r="AC621" s="63"/>
      <c r="AD621" s="63">
        <v>0</v>
      </c>
      <c r="AE621" s="63">
        <v>0</v>
      </c>
      <c r="AF621" s="63"/>
      <c r="AG621" s="63">
        <v>0</v>
      </c>
      <c r="AH621" s="63"/>
      <c r="AI621" s="63"/>
      <c r="AJ621" s="63"/>
      <c r="AK621" s="63"/>
      <c r="AL621" s="63">
        <v>0</v>
      </c>
      <c r="AM621" s="63"/>
      <c r="AN621" s="63">
        <v>0</v>
      </c>
      <c r="AO621" s="63"/>
      <c r="AP621" s="63"/>
      <c r="AQ621" s="63">
        <v>0</v>
      </c>
      <c r="AR621" s="63">
        <v>43</v>
      </c>
      <c r="AS621" s="63"/>
      <c r="AT621" s="63"/>
      <c r="AU621" s="63"/>
      <c r="AW621" s="5">
        <f>IF(Q621&gt;0,RANK(Q621,(N621:P621,Q621:AE621)),0)</f>
        <v>4</v>
      </c>
      <c r="AX621" s="5">
        <f>IF(R621&gt;0,RANK(R621,(N621:P621,Q621:AE621)),0)</f>
        <v>6</v>
      </c>
      <c r="AY621" s="5">
        <f>IF(T621&gt;0,RANK(T621,(N621:P621,Q621:AE621)),0)</f>
        <v>7</v>
      </c>
      <c r="AZ621" s="5">
        <f>IF(S621&gt;0,RANK(S621,(N621:P621,Q621:AE621)),0)</f>
        <v>5</v>
      </c>
      <c r="BA621" s="2">
        <f t="shared" si="252"/>
        <v>3.9010708822029574E-2</v>
      </c>
      <c r="BB621" s="2">
        <f t="shared" si="253"/>
        <v>4.3982661907190209E-3</v>
      </c>
      <c r="BC621" s="2">
        <f t="shared" si="254"/>
        <v>1.0198878123406426E-3</v>
      </c>
      <c r="BD621" s="2">
        <f t="shared" si="255"/>
        <v>8.6690464048954623E-3</v>
      </c>
      <c r="BF621" t="s">
        <v>1650</v>
      </c>
      <c r="BG621" t="s">
        <v>404</v>
      </c>
      <c r="BH621">
        <v>2</v>
      </c>
      <c r="BJ621" s="114">
        <v>16</v>
      </c>
      <c r="BK621" s="116">
        <v>65</v>
      </c>
      <c r="BL621" s="120">
        <f t="shared" si="258"/>
        <v>16065</v>
      </c>
      <c r="BN621" s="5" t="s">
        <v>3154</v>
      </c>
      <c r="BZ621" s="63">
        <f>C621</f>
        <v>15688</v>
      </c>
      <c r="CD621" s="63">
        <v>0</v>
      </c>
      <c r="CE621" s="63">
        <v>0</v>
      </c>
      <c r="CF621" s="63">
        <v>0</v>
      </c>
      <c r="CG621" s="8">
        <v>1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</row>
    <row r="622" spans="1:92" hidden="1" outlineLevel="1">
      <c r="A622" t="s">
        <v>3086</v>
      </c>
      <c r="B622" t="s">
        <v>404</v>
      </c>
      <c r="C622" s="1">
        <f t="shared" si="245"/>
        <v>6871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3</v>
      </c>
      <c r="G622" s="132">
        <f t="shared" si="246"/>
        <v>3720</v>
      </c>
      <c r="H622" s="137">
        <f t="shared" si="247"/>
        <v>0.54140590889244655</v>
      </c>
      <c r="I622" s="2"/>
      <c r="J622" s="2">
        <f t="shared" si="248"/>
        <v>0.169844273031582</v>
      </c>
      <c r="K622" s="2">
        <f t="shared" si="249"/>
        <v>0.71125018192402856</v>
      </c>
      <c r="L622" s="2">
        <f t="shared" si="250"/>
        <v>6.7384660165914712E-2</v>
      </c>
      <c r="M622" s="2">
        <f t="shared" si="251"/>
        <v>5.1520884878474726E-2</v>
      </c>
      <c r="N622" s="63">
        <v>1167</v>
      </c>
      <c r="O622" s="63">
        <v>4887</v>
      </c>
      <c r="P622" s="63">
        <v>463</v>
      </c>
      <c r="Q622" s="63">
        <v>207</v>
      </c>
      <c r="R622" s="63">
        <v>41</v>
      </c>
      <c r="S622" s="63">
        <v>47</v>
      </c>
      <c r="T622" s="63">
        <v>32</v>
      </c>
      <c r="U622" s="63"/>
      <c r="V622" s="63"/>
      <c r="W622" s="63">
        <f>IF(Copyright!B$11=1,IF(CA622&gt;0,CA622-SUM(Y622:AM622)-SUM(AN622:AQ622),SUM(CB622:CN622)),SUM(CC622:CN622))</f>
        <v>0</v>
      </c>
      <c r="X622" s="63"/>
      <c r="Y622" s="63">
        <v>0</v>
      </c>
      <c r="Z622" s="63">
        <v>0</v>
      </c>
      <c r="AA622" s="63">
        <v>0</v>
      </c>
      <c r="AB622" s="63"/>
      <c r="AC622" s="63"/>
      <c r="AD622" s="63">
        <v>0</v>
      </c>
      <c r="AE622" s="63">
        <v>0</v>
      </c>
      <c r="AF622" s="63"/>
      <c r="AG622" s="63">
        <v>1</v>
      </c>
      <c r="AH622" s="63"/>
      <c r="AI622" s="63"/>
      <c r="AJ622" s="63"/>
      <c r="AK622" s="63"/>
      <c r="AL622" s="63">
        <v>0</v>
      </c>
      <c r="AM622" s="63"/>
      <c r="AN622" s="63">
        <v>0</v>
      </c>
      <c r="AO622" s="63"/>
      <c r="AP622" s="63"/>
      <c r="AQ622" s="63">
        <v>0</v>
      </c>
      <c r="AR622" s="63">
        <v>26</v>
      </c>
      <c r="AS622" s="63"/>
      <c r="AT622" s="63"/>
      <c r="AU622" s="63"/>
      <c r="AW622" s="5">
        <f>IF(Q622&gt;0,RANK(Q622,(N622:P622,Q622:AE622)),0)</f>
        <v>4</v>
      </c>
      <c r="AX622" s="5">
        <f>IF(R622&gt;0,RANK(R622,(N622:P622,Q622:AE622)),0)</f>
        <v>6</v>
      </c>
      <c r="AY622" s="5">
        <f>IF(T622&gt;0,RANK(T622,(N622:P622,Q622:AE622)),0)</f>
        <v>7</v>
      </c>
      <c r="AZ622" s="5">
        <f>IF(S622&gt;0,RANK(S622,(N622:P622,Q622:AE622)),0)</f>
        <v>5</v>
      </c>
      <c r="BA622" s="2">
        <f t="shared" si="252"/>
        <v>3.0126619123853879E-2</v>
      </c>
      <c r="BB622" s="2">
        <f t="shared" si="253"/>
        <v>5.9671081356425558E-3</v>
      </c>
      <c r="BC622" s="2">
        <f t="shared" si="254"/>
        <v>4.6572551302576041E-3</v>
      </c>
      <c r="BD622" s="2">
        <f t="shared" si="255"/>
        <v>6.8403434725658567E-3</v>
      </c>
      <c r="BF622" t="s">
        <v>3086</v>
      </c>
      <c r="BG622" t="s">
        <v>404</v>
      </c>
      <c r="BH622">
        <v>2</v>
      </c>
      <c r="BJ622" s="114">
        <v>16</v>
      </c>
      <c r="BK622" s="116">
        <v>67</v>
      </c>
      <c r="BL622" s="120">
        <f t="shared" si="258"/>
        <v>16067</v>
      </c>
      <c r="BN622" s="5" t="s">
        <v>3154</v>
      </c>
      <c r="BZ622" s="63">
        <f>C622</f>
        <v>6871</v>
      </c>
      <c r="CD622" s="63">
        <v>0</v>
      </c>
      <c r="CE622" s="63">
        <v>0</v>
      </c>
      <c r="CF622" s="63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</row>
    <row r="623" spans="1:92" hidden="1" outlineLevel="1">
      <c r="A623" t="s">
        <v>3087</v>
      </c>
      <c r="B623" t="s">
        <v>404</v>
      </c>
      <c r="C623" s="1">
        <f t="shared" si="245"/>
        <v>17201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4</v>
      </c>
      <c r="G623" s="132">
        <f t="shared" si="246"/>
        <v>5871</v>
      </c>
      <c r="H623" s="137">
        <f t="shared" si="247"/>
        <v>0.3413173652694611</v>
      </c>
      <c r="I623" s="2"/>
      <c r="J623" s="2">
        <f t="shared" si="248"/>
        <v>0.2806813557351317</v>
      </c>
      <c r="K623" s="2">
        <f t="shared" si="249"/>
        <v>0.62199872100459275</v>
      </c>
      <c r="L623" s="2">
        <f t="shared" si="250"/>
        <v>2.046392651590024E-2</v>
      </c>
      <c r="M623" s="2">
        <f t="shared" si="251"/>
        <v>7.6855996744375266E-2</v>
      </c>
      <c r="N623" s="63">
        <v>4828</v>
      </c>
      <c r="O623" s="63">
        <v>10699</v>
      </c>
      <c r="P623" s="63">
        <v>352</v>
      </c>
      <c r="Q623" s="63">
        <v>879</v>
      </c>
      <c r="R623" s="63">
        <v>203</v>
      </c>
      <c r="S623" s="63">
        <v>119</v>
      </c>
      <c r="T623" s="63">
        <v>41</v>
      </c>
      <c r="U623" s="63"/>
      <c r="V623" s="63"/>
      <c r="W623" s="63">
        <f>IF(Copyright!B$11=1,IF(CA623&gt;0,CA623-SUM(Y623:AM623)-SUM(AN623:AQ623),SUM(CB623:CN623)),SUM(CC623:CN623))</f>
        <v>0</v>
      </c>
      <c r="X623" s="63"/>
      <c r="Y623" s="63">
        <v>3</v>
      </c>
      <c r="Z623" s="63">
        <v>0</v>
      </c>
      <c r="AA623" s="63">
        <v>0</v>
      </c>
      <c r="AB623" s="63"/>
      <c r="AC623" s="63"/>
      <c r="AD623" s="63">
        <v>0</v>
      </c>
      <c r="AE623" s="63">
        <v>0</v>
      </c>
      <c r="AF623" s="63"/>
      <c r="AG623" s="63">
        <v>2</v>
      </c>
      <c r="AH623" s="63"/>
      <c r="AI623" s="63"/>
      <c r="AJ623" s="63"/>
      <c r="AK623" s="63"/>
      <c r="AL623" s="63">
        <v>0</v>
      </c>
      <c r="AM623" s="63"/>
      <c r="AN623" s="63">
        <v>1</v>
      </c>
      <c r="AO623" s="63"/>
      <c r="AP623" s="63"/>
      <c r="AQ623" s="63">
        <v>0</v>
      </c>
      <c r="AR623" s="63">
        <v>74</v>
      </c>
      <c r="AS623" s="63"/>
      <c r="AT623" s="63"/>
      <c r="AU623" s="63"/>
      <c r="AW623" s="5">
        <f>IF(Q623&gt;0,RANK(Q623,(N623:P623,Q623:AE623)),0)</f>
        <v>3</v>
      </c>
      <c r="AX623" s="5">
        <f>IF(R623&gt;0,RANK(R623,(N623:P623,Q623:AE623)),0)</f>
        <v>5</v>
      </c>
      <c r="AY623" s="5">
        <f>IF(T623&gt;0,RANK(T623,(N623:P623,Q623:AE623)),0)</f>
        <v>7</v>
      </c>
      <c r="AZ623" s="5">
        <f>IF(S623&gt;0,RANK(S623,(N623:P623,Q623:AE623)),0)</f>
        <v>6</v>
      </c>
      <c r="BA623" s="2">
        <f t="shared" si="252"/>
        <v>5.1101680134875878E-2</v>
      </c>
      <c r="BB623" s="2">
        <f t="shared" si="253"/>
        <v>1.1801639439567467E-2</v>
      </c>
      <c r="BC623" s="2">
        <f t="shared" si="254"/>
        <v>2.38358234986338E-3</v>
      </c>
      <c r="BD623" s="2">
        <f t="shared" si="255"/>
        <v>6.9182024300912734E-3</v>
      </c>
      <c r="BF623" t="s">
        <v>3087</v>
      </c>
      <c r="BG623" t="s">
        <v>404</v>
      </c>
      <c r="BH623">
        <v>1</v>
      </c>
      <c r="BJ623" s="114">
        <v>16</v>
      </c>
      <c r="BK623" s="116">
        <v>69</v>
      </c>
      <c r="BL623" s="120">
        <f t="shared" si="258"/>
        <v>16069</v>
      </c>
      <c r="BN623" s="5" t="s">
        <v>3154</v>
      </c>
      <c r="CD623" s="63">
        <v>0</v>
      </c>
      <c r="CE623" s="63">
        <v>0</v>
      </c>
      <c r="CF623" s="63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</row>
    <row r="624" spans="1:92" hidden="1" outlineLevel="1">
      <c r="A624" t="s">
        <v>3090</v>
      </c>
      <c r="B624" t="s">
        <v>404</v>
      </c>
      <c r="C624" s="1">
        <f t="shared" si="245"/>
        <v>2068</v>
      </c>
      <c r="D624" s="5">
        <f>IF(N624&gt;0, RANK(N624,(N624:P624,Q624:AE624)),0)</f>
        <v>3</v>
      </c>
      <c r="E624" s="5">
        <f>IF(O624&gt;0,RANK(O624,(N624:P624,Q624:AE624)),0)</f>
        <v>1</v>
      </c>
      <c r="F624" s="5">
        <f>IF(P624&gt;0,RANK(P624,(N624:P624,Q624:AE624)),0)</f>
        <v>2</v>
      </c>
      <c r="G624" s="132">
        <f t="shared" si="246"/>
        <v>1260</v>
      </c>
      <c r="H624" s="137">
        <f t="shared" si="247"/>
        <v>0.60928433268858806</v>
      </c>
      <c r="I624" s="2"/>
      <c r="J624" s="2">
        <f t="shared" si="248"/>
        <v>8.8974854932301742E-2</v>
      </c>
      <c r="K624" s="2">
        <f t="shared" si="249"/>
        <v>0.74032882011605416</v>
      </c>
      <c r="L624" s="2">
        <f t="shared" si="250"/>
        <v>0.13104448742746616</v>
      </c>
      <c r="M624" s="2">
        <f t="shared" si="251"/>
        <v>3.9651837524177946E-2</v>
      </c>
      <c r="N624" s="63">
        <v>184</v>
      </c>
      <c r="O624" s="63">
        <v>1531</v>
      </c>
      <c r="P624" s="63">
        <v>271</v>
      </c>
      <c r="Q624" s="63">
        <v>37</v>
      </c>
      <c r="R624" s="63">
        <v>3</v>
      </c>
      <c r="S624" s="63">
        <v>23</v>
      </c>
      <c r="T624" s="63">
        <v>1</v>
      </c>
      <c r="U624" s="63"/>
      <c r="V624" s="63"/>
      <c r="W624" s="63">
        <f>IF(Copyright!B$11=1,IF(CA624&gt;0,CA624-SUM(Y624:AM624)-SUM(AN624:AQ624),SUM(CB624:CN624)),SUM(CC624:CN624))</f>
        <v>0</v>
      </c>
      <c r="X624" s="63"/>
      <c r="Y624" s="63">
        <v>0</v>
      </c>
      <c r="Z624" s="63">
        <v>0</v>
      </c>
      <c r="AA624" s="63">
        <v>0</v>
      </c>
      <c r="AB624" s="63"/>
      <c r="AC624" s="63"/>
      <c r="AD624" s="63">
        <v>0</v>
      </c>
      <c r="AE624" s="63">
        <v>0</v>
      </c>
      <c r="AF624" s="63"/>
      <c r="AG624" s="63">
        <v>0</v>
      </c>
      <c r="AH624" s="63"/>
      <c r="AI624" s="63"/>
      <c r="AJ624" s="63"/>
      <c r="AK624" s="63"/>
      <c r="AL624" s="63">
        <v>0</v>
      </c>
      <c r="AM624" s="63"/>
      <c r="AN624" s="63">
        <v>0</v>
      </c>
      <c r="AO624" s="63"/>
      <c r="AP624" s="63"/>
      <c r="AQ624" s="63">
        <v>0</v>
      </c>
      <c r="AR624" s="63">
        <v>18</v>
      </c>
      <c r="AS624" s="63"/>
      <c r="AT624" s="63"/>
      <c r="AU624" s="63"/>
      <c r="AW624" s="5">
        <f>IF(Q624&gt;0,RANK(Q624,(N624:P624,Q624:AE624)),0)</f>
        <v>4</v>
      </c>
      <c r="AX624" s="5">
        <f>IF(R624&gt;0,RANK(R624,(N624:P624,Q624:AE624)),0)</f>
        <v>6</v>
      </c>
      <c r="AY624" s="5">
        <f>IF(T624&gt;0,RANK(T624,(N624:P624,Q624:AE624)),0)</f>
        <v>7</v>
      </c>
      <c r="AZ624" s="5">
        <f>IF(S624&gt;0,RANK(S624,(N624:P624,Q624:AE624)),0)</f>
        <v>5</v>
      </c>
      <c r="BA624" s="2">
        <f t="shared" si="252"/>
        <v>1.7891682785299807E-2</v>
      </c>
      <c r="BB624" s="2">
        <f t="shared" si="253"/>
        <v>1.4506769825918763E-3</v>
      </c>
      <c r="BC624" s="2">
        <f t="shared" si="254"/>
        <v>4.8355899419729207E-4</v>
      </c>
      <c r="BD624" s="2">
        <f t="shared" si="255"/>
        <v>1.1121856866537718E-2</v>
      </c>
      <c r="BF624" t="s">
        <v>3090</v>
      </c>
      <c r="BG624" t="s">
        <v>404</v>
      </c>
      <c r="BH624">
        <v>2</v>
      </c>
      <c r="BJ624" s="114">
        <v>16</v>
      </c>
      <c r="BK624" s="116">
        <v>71</v>
      </c>
      <c r="BL624" s="120">
        <f t="shared" si="258"/>
        <v>16071</v>
      </c>
      <c r="BN624" s="5" t="s">
        <v>3154</v>
      </c>
      <c r="BZ624" s="63">
        <f t="shared" ref="BZ624:BZ629" si="259">C624</f>
        <v>2068</v>
      </c>
      <c r="CD624" s="63">
        <v>0</v>
      </c>
      <c r="CE624" s="63">
        <v>0</v>
      </c>
      <c r="CF624" s="63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</row>
    <row r="625" spans="1:101" hidden="1" outlineLevel="1">
      <c r="A625" t="s">
        <v>486</v>
      </c>
      <c r="B625" t="s">
        <v>404</v>
      </c>
      <c r="C625" s="1">
        <f t="shared" si="245"/>
        <v>3925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3</v>
      </c>
      <c r="G625" s="132">
        <f t="shared" si="246"/>
        <v>2461</v>
      </c>
      <c r="H625" s="137">
        <f t="shared" si="247"/>
        <v>0.62700636942675159</v>
      </c>
      <c r="I625" s="2"/>
      <c r="J625" s="2">
        <f t="shared" si="248"/>
        <v>0.1505732484076433</v>
      </c>
      <c r="K625" s="2">
        <f t="shared" si="249"/>
        <v>0.77757961783439489</v>
      </c>
      <c r="L625" s="2">
        <f t="shared" si="250"/>
        <v>2.7515923566878982E-2</v>
      </c>
      <c r="M625" s="2">
        <f t="shared" si="251"/>
        <v>4.4331210191082826E-2</v>
      </c>
      <c r="N625" s="63">
        <v>591</v>
      </c>
      <c r="O625" s="63">
        <v>3052</v>
      </c>
      <c r="P625" s="63">
        <v>108</v>
      </c>
      <c r="Q625" s="63">
        <v>108</v>
      </c>
      <c r="R625" s="63">
        <v>26</v>
      </c>
      <c r="S625" s="63">
        <v>22</v>
      </c>
      <c r="T625" s="63">
        <v>8</v>
      </c>
      <c r="U625" s="63"/>
      <c r="V625" s="63"/>
      <c r="W625" s="63">
        <f>IF(Copyright!B$11=1,IF(CA625&gt;0,CA625-SUM(Y625:AM625)-SUM(AN625:AQ625),SUM(CB625:CN625)),SUM(CC625:CN625))</f>
        <v>1</v>
      </c>
      <c r="X625" s="63"/>
      <c r="Y625" s="63">
        <v>0</v>
      </c>
      <c r="Z625" s="63">
        <v>0</v>
      </c>
      <c r="AA625" s="63">
        <v>0</v>
      </c>
      <c r="AB625" s="63"/>
      <c r="AC625" s="63"/>
      <c r="AD625" s="63">
        <v>0</v>
      </c>
      <c r="AE625" s="63">
        <v>0</v>
      </c>
      <c r="AF625" s="63"/>
      <c r="AG625" s="63">
        <v>0</v>
      </c>
      <c r="AH625" s="63"/>
      <c r="AI625" s="63"/>
      <c r="AJ625" s="63"/>
      <c r="AK625" s="63"/>
      <c r="AL625" s="63">
        <v>0</v>
      </c>
      <c r="AM625" s="63"/>
      <c r="AN625" s="63">
        <v>0</v>
      </c>
      <c r="AO625" s="63"/>
      <c r="AP625" s="63"/>
      <c r="AQ625" s="63">
        <v>0</v>
      </c>
      <c r="AR625" s="63">
        <v>9</v>
      </c>
      <c r="AS625" s="63"/>
      <c r="AT625" s="63"/>
      <c r="AU625" s="63"/>
      <c r="AW625" s="5">
        <f>IF(Q625&gt;0,RANK(Q625,(N625:P625,Q625:AE625)),0)</f>
        <v>3</v>
      </c>
      <c r="AX625" s="5">
        <f>IF(R625&gt;0,RANK(R625,(N625:P625,Q625:AE625)),0)</f>
        <v>5</v>
      </c>
      <c r="AY625" s="5">
        <f>IF(T625&gt;0,RANK(T625,(N625:P625,Q625:AE625)),0)</f>
        <v>7</v>
      </c>
      <c r="AZ625" s="5">
        <f>IF(S625&gt;0,RANK(S625,(N625:P625,Q625:AE625)),0)</f>
        <v>6</v>
      </c>
      <c r="BA625" s="2">
        <f t="shared" si="252"/>
        <v>2.7515923566878982E-2</v>
      </c>
      <c r="BB625" s="2">
        <f t="shared" si="253"/>
        <v>6.6242038216560509E-3</v>
      </c>
      <c r="BC625" s="2">
        <f t="shared" si="254"/>
        <v>2.0382165605095539E-3</v>
      </c>
      <c r="BD625" s="2">
        <f t="shared" si="255"/>
        <v>5.6050955414012737E-3</v>
      </c>
      <c r="BF625" t="s">
        <v>486</v>
      </c>
      <c r="BG625" t="s">
        <v>404</v>
      </c>
      <c r="BH625">
        <v>1</v>
      </c>
      <c r="BJ625" s="114">
        <v>16</v>
      </c>
      <c r="BK625" s="116">
        <v>73</v>
      </c>
      <c r="BL625" s="120">
        <f t="shared" si="258"/>
        <v>16073</v>
      </c>
      <c r="BN625" s="5" t="s">
        <v>3154</v>
      </c>
      <c r="BZ625" s="63">
        <f t="shared" si="259"/>
        <v>3925</v>
      </c>
      <c r="CD625" s="63">
        <v>0</v>
      </c>
      <c r="CE625" s="63">
        <v>1</v>
      </c>
      <c r="CF625" s="63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</row>
    <row r="626" spans="1:101" hidden="1" outlineLevel="1">
      <c r="A626" t="s">
        <v>44</v>
      </c>
      <c r="B626" t="s">
        <v>404</v>
      </c>
      <c r="C626" s="1">
        <f t="shared" si="245"/>
        <v>8704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3</v>
      </c>
      <c r="G626" s="132">
        <f t="shared" si="246"/>
        <v>4982</v>
      </c>
      <c r="H626" s="137">
        <f t="shared" si="247"/>
        <v>0.57238051470588236</v>
      </c>
      <c r="I626" s="2"/>
      <c r="J626" s="2">
        <f t="shared" si="248"/>
        <v>0.17313878676470587</v>
      </c>
      <c r="K626" s="2">
        <f t="shared" si="249"/>
        <v>0.7455193014705882</v>
      </c>
      <c r="L626" s="2">
        <f t="shared" si="250"/>
        <v>3.607536764705882E-2</v>
      </c>
      <c r="M626" s="2">
        <f t="shared" si="251"/>
        <v>4.5266544117647134E-2</v>
      </c>
      <c r="N626" s="63">
        <v>1507</v>
      </c>
      <c r="O626" s="63">
        <v>6489</v>
      </c>
      <c r="P626" s="63">
        <v>314</v>
      </c>
      <c r="Q626" s="63">
        <v>247</v>
      </c>
      <c r="R626" s="63">
        <v>59</v>
      </c>
      <c r="S626" s="63">
        <v>42</v>
      </c>
      <c r="T626" s="63">
        <v>17</v>
      </c>
      <c r="U626" s="63"/>
      <c r="V626" s="63"/>
      <c r="W626" s="63">
        <f>IF(Copyright!B$11=1,IF(CA626&gt;0,CA626-SUM(Y626:AM626)-SUM(AN626:AQ626),SUM(CB626:CN626)),SUM(CC626:CN626))</f>
        <v>0</v>
      </c>
      <c r="X626" s="63"/>
      <c r="Y626" s="63">
        <v>0</v>
      </c>
      <c r="Z626" s="63">
        <v>0</v>
      </c>
      <c r="AA626" s="63">
        <v>0</v>
      </c>
      <c r="AB626" s="63"/>
      <c r="AC626" s="63"/>
      <c r="AD626" s="63">
        <v>0</v>
      </c>
      <c r="AE626" s="63">
        <v>0</v>
      </c>
      <c r="AF626" s="63"/>
      <c r="AG626" s="63">
        <v>0</v>
      </c>
      <c r="AH626" s="63"/>
      <c r="AI626" s="63"/>
      <c r="AJ626" s="63"/>
      <c r="AK626" s="63"/>
      <c r="AL626" s="63">
        <v>0</v>
      </c>
      <c r="AM626" s="63"/>
      <c r="AN626" s="63">
        <v>0</v>
      </c>
      <c r="AO626" s="63"/>
      <c r="AP626" s="63"/>
      <c r="AQ626" s="63">
        <v>0</v>
      </c>
      <c r="AR626" s="63">
        <v>29</v>
      </c>
      <c r="AS626" s="63"/>
      <c r="AT626" s="63"/>
      <c r="AU626" s="63"/>
      <c r="AW626" s="5">
        <f>IF(Q626&gt;0,RANK(Q626,(N626:P626,Q626:AE626)),0)</f>
        <v>4</v>
      </c>
      <c r="AX626" s="5">
        <f>IF(R626&gt;0,RANK(R626,(N626:P626,Q626:AE626)),0)</f>
        <v>5</v>
      </c>
      <c r="AY626" s="5">
        <f>IF(T626&gt;0,RANK(T626,(N626:P626,Q626:AE626)),0)</f>
        <v>7</v>
      </c>
      <c r="AZ626" s="5">
        <f>IF(S626&gt;0,RANK(S626,(N626:P626,Q626:AE626)),0)</f>
        <v>6</v>
      </c>
      <c r="BA626" s="2">
        <f t="shared" si="252"/>
        <v>2.8377757352941176E-2</v>
      </c>
      <c r="BB626" s="2">
        <f t="shared" si="253"/>
        <v>6.7784926470588237E-3</v>
      </c>
      <c r="BC626" s="2">
        <f t="shared" si="254"/>
        <v>1.953125E-3</v>
      </c>
      <c r="BD626" s="2">
        <f t="shared" si="255"/>
        <v>4.8253676470588237E-3</v>
      </c>
      <c r="BF626" t="s">
        <v>44</v>
      </c>
      <c r="BG626" t="s">
        <v>404</v>
      </c>
      <c r="BH626">
        <v>1</v>
      </c>
      <c r="BJ626" s="114">
        <v>16</v>
      </c>
      <c r="BK626" s="116">
        <v>75</v>
      </c>
      <c r="BL626" s="120">
        <f t="shared" si="258"/>
        <v>16075</v>
      </c>
      <c r="BN626" s="5" t="s">
        <v>3154</v>
      </c>
      <c r="BZ626" s="63">
        <f t="shared" si="259"/>
        <v>8704</v>
      </c>
      <c r="CD626" s="63">
        <v>0</v>
      </c>
      <c r="CE626" s="63">
        <v>0</v>
      </c>
      <c r="CF626" s="63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</row>
    <row r="627" spans="1:101" hidden="1" outlineLevel="1">
      <c r="A627" t="s">
        <v>17</v>
      </c>
      <c r="B627" t="s">
        <v>404</v>
      </c>
      <c r="C627" s="1">
        <f t="shared" si="245"/>
        <v>2758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3</v>
      </c>
      <c r="G627" s="132">
        <f t="shared" si="246"/>
        <v>967</v>
      </c>
      <c r="H627" s="137">
        <f t="shared" si="247"/>
        <v>0.35061638868745465</v>
      </c>
      <c r="I627" s="2"/>
      <c r="J627" s="2">
        <f t="shared" si="248"/>
        <v>0.25344452501812909</v>
      </c>
      <c r="K627" s="2">
        <f t="shared" si="249"/>
        <v>0.60406091370558379</v>
      </c>
      <c r="L627" s="2">
        <f t="shared" si="250"/>
        <v>8.4481508339376357E-2</v>
      </c>
      <c r="M627" s="2">
        <f t="shared" si="251"/>
        <v>5.8013052936910767E-2</v>
      </c>
      <c r="N627" s="63">
        <v>699</v>
      </c>
      <c r="O627" s="63">
        <v>1666</v>
      </c>
      <c r="P627" s="63">
        <v>233</v>
      </c>
      <c r="Q627" s="63">
        <v>92</v>
      </c>
      <c r="R627" s="63">
        <v>26</v>
      </c>
      <c r="S627" s="63">
        <v>19</v>
      </c>
      <c r="T627" s="63">
        <v>11</v>
      </c>
      <c r="U627" s="63"/>
      <c r="V627" s="63"/>
      <c r="W627" s="63">
        <f>IF(Copyright!B$11=1,IF(CA627&gt;0,CA627-SUM(Y627:AM627)-SUM(AN627:AQ627),SUM(CB627:CN627)),SUM(CC627:CN627))</f>
        <v>0</v>
      </c>
      <c r="X627" s="63"/>
      <c r="Y627" s="63">
        <v>0</v>
      </c>
      <c r="Z627" s="63">
        <v>0</v>
      </c>
      <c r="AA627" s="63">
        <v>0</v>
      </c>
      <c r="AB627" s="63"/>
      <c r="AC627" s="63"/>
      <c r="AD627" s="63">
        <v>0</v>
      </c>
      <c r="AE627" s="63">
        <v>0</v>
      </c>
      <c r="AF627" s="63"/>
      <c r="AG627" s="63">
        <v>0</v>
      </c>
      <c r="AH627" s="63"/>
      <c r="AI627" s="63"/>
      <c r="AJ627" s="63"/>
      <c r="AK627" s="63"/>
      <c r="AL627" s="63">
        <v>0</v>
      </c>
      <c r="AM627" s="63"/>
      <c r="AN627" s="63">
        <v>0</v>
      </c>
      <c r="AO627" s="63"/>
      <c r="AP627" s="63"/>
      <c r="AQ627" s="63">
        <v>0</v>
      </c>
      <c r="AR627" s="63">
        <v>12</v>
      </c>
      <c r="AS627" s="63"/>
      <c r="AT627" s="63"/>
      <c r="AU627" s="63"/>
      <c r="AW627" s="5">
        <f>IF(Q627&gt;0,RANK(Q627,(N627:P627,Q627:AE627)),0)</f>
        <v>4</v>
      </c>
      <c r="AX627" s="5">
        <f>IF(R627&gt;0,RANK(R627,(N627:P627,Q627:AE627)),0)</f>
        <v>5</v>
      </c>
      <c r="AY627" s="5">
        <f>IF(T627&gt;0,RANK(T627,(N627:P627,Q627:AE627)),0)</f>
        <v>7</v>
      </c>
      <c r="AZ627" s="5">
        <f>IF(S627&gt;0,RANK(S627,(N627:P627,Q627:AE627)),0)</f>
        <v>6</v>
      </c>
      <c r="BA627" s="2">
        <f t="shared" si="252"/>
        <v>3.3357505438723713E-2</v>
      </c>
      <c r="BB627" s="2">
        <f t="shared" si="253"/>
        <v>9.4271211022480053E-3</v>
      </c>
      <c r="BC627" s="2">
        <f t="shared" si="254"/>
        <v>3.9883973894126179E-3</v>
      </c>
      <c r="BD627" s="2">
        <f t="shared" si="255"/>
        <v>6.8890500362581578E-3</v>
      </c>
      <c r="BF627" t="s">
        <v>17</v>
      </c>
      <c r="BG627" t="s">
        <v>404</v>
      </c>
      <c r="BH627">
        <v>2</v>
      </c>
      <c r="BJ627" s="114">
        <v>16</v>
      </c>
      <c r="BK627" s="116">
        <v>77</v>
      </c>
      <c r="BL627" s="120">
        <f t="shared" si="258"/>
        <v>16077</v>
      </c>
      <c r="BN627" s="5" t="s">
        <v>3154</v>
      </c>
      <c r="BZ627" s="63">
        <f t="shared" si="259"/>
        <v>2758</v>
      </c>
      <c r="CD627" s="63">
        <v>0</v>
      </c>
      <c r="CE627" s="63">
        <v>0</v>
      </c>
      <c r="CF627" s="63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</row>
    <row r="628" spans="1:101" hidden="1" outlineLevel="1">
      <c r="A628" t="s">
        <v>2727</v>
      </c>
      <c r="B628" t="s">
        <v>404</v>
      </c>
      <c r="C628" s="1">
        <f t="shared" si="245"/>
        <v>5120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>IF(P628&gt;0,RANK(P628,(N628:P628,Q628:AE628)),0)</f>
        <v>4</v>
      </c>
      <c r="G628" s="132">
        <f t="shared" si="246"/>
        <v>1913</v>
      </c>
      <c r="H628" s="137">
        <f t="shared" si="247"/>
        <v>0.37363281250000002</v>
      </c>
      <c r="I628" s="2"/>
      <c r="J628" s="2">
        <f t="shared" si="248"/>
        <v>0.27031250000000001</v>
      </c>
      <c r="K628" s="2">
        <f t="shared" si="249"/>
        <v>0.64394531249999998</v>
      </c>
      <c r="L628" s="2">
        <f t="shared" si="250"/>
        <v>1.6992187499999999E-2</v>
      </c>
      <c r="M628" s="2">
        <f t="shared" si="251"/>
        <v>6.8750000000000061E-2</v>
      </c>
      <c r="N628" s="63">
        <v>1384</v>
      </c>
      <c r="O628" s="63">
        <v>3297</v>
      </c>
      <c r="P628" s="63">
        <v>87</v>
      </c>
      <c r="Q628" s="63">
        <v>219</v>
      </c>
      <c r="R628" s="63">
        <v>54</v>
      </c>
      <c r="S628" s="63">
        <v>45</v>
      </c>
      <c r="T628" s="63">
        <v>12</v>
      </c>
      <c r="U628" s="63"/>
      <c r="V628" s="63"/>
      <c r="W628" s="63">
        <f>IF(Copyright!B$11=1,IF(CA628&gt;0,CA628-SUM(Y628:AM628)-SUM(AN628:AQ628),SUM(CB628:CN628)),SUM(CC628:CN628))</f>
        <v>0</v>
      </c>
      <c r="X628" s="63"/>
      <c r="Y628" s="63">
        <v>0</v>
      </c>
      <c r="Z628" s="63">
        <v>0</v>
      </c>
      <c r="AA628" s="63">
        <v>0</v>
      </c>
      <c r="AB628" s="63"/>
      <c r="AC628" s="63"/>
      <c r="AD628" s="63">
        <v>0</v>
      </c>
      <c r="AE628" s="63">
        <v>0</v>
      </c>
      <c r="AF628" s="63"/>
      <c r="AG628" s="63">
        <v>0</v>
      </c>
      <c r="AH628" s="63"/>
      <c r="AI628" s="63"/>
      <c r="AJ628" s="63"/>
      <c r="AK628" s="63"/>
      <c r="AL628" s="63">
        <v>0</v>
      </c>
      <c r="AM628" s="63"/>
      <c r="AN628" s="63">
        <v>0</v>
      </c>
      <c r="AO628" s="63"/>
      <c r="AP628" s="63"/>
      <c r="AQ628" s="63">
        <v>0</v>
      </c>
      <c r="AR628" s="63">
        <v>22</v>
      </c>
      <c r="AS628" s="63"/>
      <c r="AT628" s="63"/>
      <c r="AU628" s="63"/>
      <c r="AW628" s="5">
        <f>IF(Q628&gt;0,RANK(Q628,(N628:P628,Q628:AE628)),0)</f>
        <v>3</v>
      </c>
      <c r="AX628" s="5">
        <f>IF(R628&gt;0,RANK(R628,(N628:P628,Q628:AE628)),0)</f>
        <v>5</v>
      </c>
      <c r="AY628" s="5">
        <f>IF(T628&gt;0,RANK(T628,(N628:P628,Q628:AE628)),0)</f>
        <v>7</v>
      </c>
      <c r="AZ628" s="5">
        <f>IF(S628&gt;0,RANK(S628,(N628:P628,Q628:AE628)),0)</f>
        <v>6</v>
      </c>
      <c r="BA628" s="2">
        <f t="shared" si="252"/>
        <v>4.2773437499999997E-2</v>
      </c>
      <c r="BB628" s="2">
        <f t="shared" si="253"/>
        <v>1.0546875000000001E-2</v>
      </c>
      <c r="BC628" s="2">
        <f t="shared" si="254"/>
        <v>2.3437499999999999E-3</v>
      </c>
      <c r="BD628" s="2">
        <f t="shared" si="255"/>
        <v>8.7890625E-3</v>
      </c>
      <c r="BF628" t="s">
        <v>2727</v>
      </c>
      <c r="BG628" t="s">
        <v>404</v>
      </c>
      <c r="BH628">
        <v>1</v>
      </c>
      <c r="BJ628" s="114">
        <v>16</v>
      </c>
      <c r="BK628" s="116">
        <v>79</v>
      </c>
      <c r="BL628" s="120">
        <f t="shared" si="258"/>
        <v>16079</v>
      </c>
      <c r="BN628" s="5" t="s">
        <v>3154</v>
      </c>
      <c r="BZ628" s="63">
        <f t="shared" si="259"/>
        <v>5120</v>
      </c>
      <c r="CD628" s="63">
        <v>0</v>
      </c>
      <c r="CE628" s="63">
        <v>0</v>
      </c>
      <c r="CF628" s="63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0</v>
      </c>
      <c r="CN628" s="8">
        <v>0</v>
      </c>
    </row>
    <row r="629" spans="1:101" hidden="1" outlineLevel="1">
      <c r="A629" t="s">
        <v>2559</v>
      </c>
      <c r="B629" t="s">
        <v>404</v>
      </c>
      <c r="C629" s="1">
        <f t="shared" si="245"/>
        <v>4976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>IF(P629&gt;0,RANK(P629,(N629:P629,Q629:AE629)),0)</f>
        <v>3</v>
      </c>
      <c r="G629" s="132">
        <f t="shared" si="246"/>
        <v>8</v>
      </c>
      <c r="H629" s="137">
        <f t="shared" si="247"/>
        <v>1.6077170418006431E-3</v>
      </c>
      <c r="I629" s="2"/>
      <c r="J629" s="2">
        <f t="shared" si="248"/>
        <v>0.43388263665594856</v>
      </c>
      <c r="K629" s="2">
        <f t="shared" si="249"/>
        <v>0.43549035369774919</v>
      </c>
      <c r="L629" s="2">
        <f t="shared" si="250"/>
        <v>6.5715434083601282E-2</v>
      </c>
      <c r="M629" s="2">
        <f t="shared" si="251"/>
        <v>6.4911575562701024E-2</v>
      </c>
      <c r="N629" s="63">
        <v>2159</v>
      </c>
      <c r="O629" s="63">
        <v>2167</v>
      </c>
      <c r="P629" s="63">
        <v>327</v>
      </c>
      <c r="Q629" s="63">
        <v>184</v>
      </c>
      <c r="R629" s="63">
        <v>99</v>
      </c>
      <c r="S629" s="63">
        <v>27</v>
      </c>
      <c r="T629" s="63">
        <v>7</v>
      </c>
      <c r="U629" s="63"/>
      <c r="V629" s="63"/>
      <c r="W629" s="63">
        <f>IF(Copyright!B$11=1,IF(CA629&gt;0,CA629-SUM(Y629:AM629)-SUM(AN629:AQ629),SUM(CB629:CN629)),SUM(CC629:CN629))</f>
        <v>0</v>
      </c>
      <c r="X629" s="63"/>
      <c r="Y629" s="63">
        <v>0</v>
      </c>
      <c r="Z629" s="63">
        <v>0</v>
      </c>
      <c r="AA629" s="63">
        <v>0</v>
      </c>
      <c r="AB629" s="63"/>
      <c r="AC629" s="63"/>
      <c r="AD629" s="63">
        <v>0</v>
      </c>
      <c r="AE629" s="63">
        <v>0</v>
      </c>
      <c r="AF629" s="63"/>
      <c r="AG629" s="63">
        <v>1</v>
      </c>
      <c r="AH629" s="63"/>
      <c r="AI629" s="63"/>
      <c r="AJ629" s="63"/>
      <c r="AK629" s="63"/>
      <c r="AL629" s="63">
        <v>0</v>
      </c>
      <c r="AM629" s="63"/>
      <c r="AN629" s="63">
        <v>0</v>
      </c>
      <c r="AO629" s="63"/>
      <c r="AP629" s="63"/>
      <c r="AQ629" s="63">
        <v>0</v>
      </c>
      <c r="AR629" s="63">
        <v>5</v>
      </c>
      <c r="AS629" s="63"/>
      <c r="AT629" s="63"/>
      <c r="AU629" s="63"/>
      <c r="AW629" s="5">
        <f>IF(Q629&gt;0,RANK(Q629,(N629:P629,Q629:AE629)),0)</f>
        <v>4</v>
      </c>
      <c r="AX629" s="5">
        <f>IF(R629&gt;0,RANK(R629,(N629:P629,Q629:AE629)),0)</f>
        <v>5</v>
      </c>
      <c r="AY629" s="5">
        <f>IF(T629&gt;0,RANK(T629,(N629:P629,Q629:AE629)),0)</f>
        <v>7</v>
      </c>
      <c r="AZ629" s="5">
        <f>IF(S629&gt;0,RANK(S629,(N629:P629,Q629:AE629)),0)</f>
        <v>6</v>
      </c>
      <c r="BA629" s="2">
        <f t="shared" si="252"/>
        <v>3.6977491961414789E-2</v>
      </c>
      <c r="BB629" s="2">
        <f t="shared" si="253"/>
        <v>1.9895498392282957E-2</v>
      </c>
      <c r="BC629" s="2">
        <f t="shared" si="254"/>
        <v>1.4067524115755627E-3</v>
      </c>
      <c r="BD629" s="2">
        <f t="shared" si="255"/>
        <v>5.4260450160771708E-3</v>
      </c>
      <c r="BF629" t="s">
        <v>2559</v>
      </c>
      <c r="BG629" t="s">
        <v>404</v>
      </c>
      <c r="BH629">
        <v>2</v>
      </c>
      <c r="BJ629" s="114">
        <v>16</v>
      </c>
      <c r="BK629" s="116">
        <v>81</v>
      </c>
      <c r="BL629" s="120">
        <f t="shared" si="258"/>
        <v>16081</v>
      </c>
      <c r="BN629" s="5" t="s">
        <v>3154</v>
      </c>
      <c r="BZ629" s="63">
        <f t="shared" si="259"/>
        <v>4976</v>
      </c>
      <c r="CD629" s="63">
        <v>0</v>
      </c>
      <c r="CE629" s="63">
        <v>0</v>
      </c>
      <c r="CF629" s="63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</row>
    <row r="630" spans="1:101" hidden="1" outlineLevel="1">
      <c r="A630" t="s">
        <v>2937</v>
      </c>
      <c r="B630" t="s">
        <v>404</v>
      </c>
      <c r="C630" s="1">
        <f t="shared" si="245"/>
        <v>29874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3</v>
      </c>
      <c r="G630" s="132">
        <f t="shared" si="246"/>
        <v>13595</v>
      </c>
      <c r="H630" s="137">
        <f t="shared" si="247"/>
        <v>0.45507799424248513</v>
      </c>
      <c r="I630" s="2"/>
      <c r="J630" s="2">
        <f t="shared" si="248"/>
        <v>0.2086429671286068</v>
      </c>
      <c r="K630" s="2">
        <f t="shared" si="249"/>
        <v>0.66372096137109193</v>
      </c>
      <c r="L630" s="2">
        <f t="shared" si="250"/>
        <v>6.9123652674566508E-2</v>
      </c>
      <c r="M630" s="2">
        <f t="shared" si="251"/>
        <v>5.851241882573481E-2</v>
      </c>
      <c r="N630" s="63">
        <v>6233</v>
      </c>
      <c r="O630" s="63">
        <v>19828</v>
      </c>
      <c r="P630" s="63">
        <v>2065</v>
      </c>
      <c r="Q630" s="63">
        <v>1076</v>
      </c>
      <c r="R630" s="63">
        <v>326</v>
      </c>
      <c r="S630" s="63">
        <v>142</v>
      </c>
      <c r="T630" s="63">
        <v>83</v>
      </c>
      <c r="U630" s="63"/>
      <c r="V630" s="63"/>
      <c r="W630" s="63">
        <f>IF(Copyright!B$11=1,IF(CA630&gt;0,CA630-SUM(Y630:AM630)-SUM(AN630:AQ630),SUM(CB630:CN630)),SUM(CC630:CN630))</f>
        <v>1</v>
      </c>
      <c r="X630" s="63"/>
      <c r="Y630" s="63">
        <v>0</v>
      </c>
      <c r="Z630" s="63">
        <v>0</v>
      </c>
      <c r="AA630" s="63">
        <v>0</v>
      </c>
      <c r="AB630" s="63"/>
      <c r="AC630" s="63"/>
      <c r="AD630" s="63">
        <v>0</v>
      </c>
      <c r="AE630" s="63">
        <v>0</v>
      </c>
      <c r="AF630" s="63"/>
      <c r="AG630" s="63">
        <v>0</v>
      </c>
      <c r="AH630" s="63"/>
      <c r="AI630" s="63"/>
      <c r="AJ630" s="63"/>
      <c r="AK630" s="63"/>
      <c r="AL630" s="63">
        <v>0</v>
      </c>
      <c r="AM630" s="63"/>
      <c r="AN630" s="63">
        <v>0</v>
      </c>
      <c r="AO630" s="63"/>
      <c r="AP630" s="63"/>
      <c r="AQ630" s="63">
        <v>0</v>
      </c>
      <c r="AR630" s="63">
        <v>120</v>
      </c>
      <c r="AS630" s="63"/>
      <c r="AT630" s="63"/>
      <c r="AU630" s="63"/>
      <c r="AW630" s="5">
        <f>IF(Q630&gt;0,RANK(Q630,(N630:P630,Q630:AE630)),0)</f>
        <v>4</v>
      </c>
      <c r="AX630" s="5">
        <f>IF(R630&gt;0,RANK(R630,(N630:P630,Q630:AE630)),0)</f>
        <v>5</v>
      </c>
      <c r="AY630" s="5">
        <f>IF(T630&gt;0,RANK(T630,(N630:P630,Q630:AE630)),0)</f>
        <v>7</v>
      </c>
      <c r="AZ630" s="5">
        <f>IF(S630&gt;0,RANK(S630,(N630:P630,Q630:AE630)),0)</f>
        <v>6</v>
      </c>
      <c r="BA630" s="2">
        <f t="shared" si="252"/>
        <v>3.6017942023163954E-2</v>
      </c>
      <c r="BB630" s="2">
        <f t="shared" si="253"/>
        <v>1.0912499163151904E-2</v>
      </c>
      <c r="BC630" s="2">
        <f t="shared" si="254"/>
        <v>2.7783356765080001E-3</v>
      </c>
      <c r="BD630" s="2">
        <f t="shared" si="255"/>
        <v>4.7532971814956146E-3</v>
      </c>
      <c r="BF630" t="s">
        <v>2937</v>
      </c>
      <c r="BG630" t="s">
        <v>404</v>
      </c>
      <c r="BH630">
        <v>2</v>
      </c>
      <c r="BJ630" s="114">
        <v>16</v>
      </c>
      <c r="BK630" s="116">
        <v>83</v>
      </c>
      <c r="BL630" s="120">
        <f t="shared" si="258"/>
        <v>16083</v>
      </c>
      <c r="BN630" s="5" t="s">
        <v>3154</v>
      </c>
      <c r="BR630" s="63"/>
      <c r="CD630" s="63">
        <v>0</v>
      </c>
      <c r="CE630" s="63">
        <v>0</v>
      </c>
      <c r="CF630" s="63">
        <v>0</v>
      </c>
      <c r="CG630" s="8">
        <v>1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</row>
    <row r="631" spans="1:101" hidden="1" outlineLevel="1">
      <c r="A631" t="s">
        <v>915</v>
      </c>
      <c r="B631" t="s">
        <v>404</v>
      </c>
      <c r="C631" s="1">
        <f t="shared" si="245"/>
        <v>5349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4</v>
      </c>
      <c r="G631" s="132">
        <f t="shared" si="246"/>
        <v>993</v>
      </c>
      <c r="H631" s="137">
        <f t="shared" si="247"/>
        <v>0.18564217610768369</v>
      </c>
      <c r="I631" s="2"/>
      <c r="J631" s="2">
        <f t="shared" si="248"/>
        <v>0.35763694148438963</v>
      </c>
      <c r="K631" s="2">
        <f t="shared" si="249"/>
        <v>0.54327911759207326</v>
      </c>
      <c r="L631" s="2">
        <f t="shared" si="250"/>
        <v>3.6268461394653208E-2</v>
      </c>
      <c r="M631" s="2">
        <f t="shared" si="251"/>
        <v>6.2815479528883916E-2</v>
      </c>
      <c r="N631" s="63">
        <v>1913</v>
      </c>
      <c r="O631" s="63">
        <v>2906</v>
      </c>
      <c r="P631" s="63">
        <v>194</v>
      </c>
      <c r="Q631" s="63">
        <v>230</v>
      </c>
      <c r="R631" s="63">
        <v>53</v>
      </c>
      <c r="S631" s="63">
        <v>26</v>
      </c>
      <c r="T631" s="63">
        <v>14</v>
      </c>
      <c r="U631" s="63"/>
      <c r="V631" s="63"/>
      <c r="W631" s="63">
        <f>IF(Copyright!B$11=1,IF(CA631&gt;0,CA631-SUM(Y631:AM631)-SUM(AN631:AQ631),SUM(CB631:CN631)),SUM(CC631:CN631))</f>
        <v>0</v>
      </c>
      <c r="X631" s="63"/>
      <c r="Y631" s="63">
        <v>0</v>
      </c>
      <c r="Z631" s="63">
        <v>0</v>
      </c>
      <c r="AA631" s="63">
        <v>0</v>
      </c>
      <c r="AB631" s="63"/>
      <c r="AC631" s="63"/>
      <c r="AD631" s="63">
        <v>0</v>
      </c>
      <c r="AE631" s="63">
        <v>0</v>
      </c>
      <c r="AF631" s="63"/>
      <c r="AG631" s="63">
        <v>0</v>
      </c>
      <c r="AH631" s="63"/>
      <c r="AI631" s="63"/>
      <c r="AJ631" s="63"/>
      <c r="AK631" s="63"/>
      <c r="AL631" s="63">
        <v>0</v>
      </c>
      <c r="AM631" s="63"/>
      <c r="AN631" s="63">
        <v>0</v>
      </c>
      <c r="AO631" s="63"/>
      <c r="AP631" s="63"/>
      <c r="AQ631" s="63">
        <v>0</v>
      </c>
      <c r="AR631" s="63">
        <v>13</v>
      </c>
      <c r="AS631" s="63"/>
      <c r="AT631" s="63"/>
      <c r="AU631" s="63"/>
      <c r="AW631" s="5">
        <f>IF(Q631&gt;0,RANK(Q631,(N631:P631,Q631:AE631)),0)</f>
        <v>3</v>
      </c>
      <c r="AX631" s="5">
        <f>IF(R631&gt;0,RANK(R631,(N631:P631,Q631:AE631)),0)</f>
        <v>5</v>
      </c>
      <c r="AY631" s="5">
        <f>IF(T631&gt;0,RANK(T631,(N631:P631,Q631:AE631)),0)</f>
        <v>7</v>
      </c>
      <c r="AZ631" s="5">
        <f>IF(S631&gt;0,RANK(S631,(N631:P631,Q631:AE631)),0)</f>
        <v>6</v>
      </c>
      <c r="BA631" s="2">
        <f t="shared" si="252"/>
        <v>4.2998691344176485E-2</v>
      </c>
      <c r="BB631" s="2">
        <f t="shared" si="253"/>
        <v>9.9083940923537107E-3</v>
      </c>
      <c r="BC631" s="2">
        <f t="shared" si="254"/>
        <v>2.6173116470368293E-3</v>
      </c>
      <c r="BD631" s="2">
        <f t="shared" si="255"/>
        <v>4.8607216302112548E-3</v>
      </c>
      <c r="BF631" t="s">
        <v>915</v>
      </c>
      <c r="BG631" t="s">
        <v>404</v>
      </c>
      <c r="BH631">
        <v>1</v>
      </c>
      <c r="BJ631" s="114">
        <v>16</v>
      </c>
      <c r="BK631" s="116">
        <v>85</v>
      </c>
      <c r="BL631" s="120">
        <f t="shared" si="258"/>
        <v>16085</v>
      </c>
      <c r="BN631" s="5" t="s">
        <v>3154</v>
      </c>
      <c r="BZ631" s="63">
        <f>C631</f>
        <v>5349</v>
      </c>
      <c r="CD631" s="63">
        <v>0</v>
      </c>
      <c r="CE631" s="63">
        <v>0</v>
      </c>
      <c r="CF631" s="63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</row>
    <row r="632" spans="1:101" hidden="1" outlineLevel="1">
      <c r="A632" t="s">
        <v>692</v>
      </c>
      <c r="B632" t="s">
        <v>404</v>
      </c>
      <c r="C632" s="1">
        <f t="shared" si="245"/>
        <v>4455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3</v>
      </c>
      <c r="G632" s="132">
        <f t="shared" si="246"/>
        <v>2507</v>
      </c>
      <c r="H632" s="137">
        <f t="shared" si="247"/>
        <v>0.56273849607182935</v>
      </c>
      <c r="I632" s="2"/>
      <c r="J632" s="2">
        <f t="shared" si="248"/>
        <v>0.17418630751964084</v>
      </c>
      <c r="K632" s="2">
        <f t="shared" si="249"/>
        <v>0.73692480359147028</v>
      </c>
      <c r="L632" s="2">
        <f t="shared" si="250"/>
        <v>3.9281705948372617E-2</v>
      </c>
      <c r="M632" s="2">
        <f t="shared" si="251"/>
        <v>4.960718294051629E-2</v>
      </c>
      <c r="N632" s="63">
        <v>776</v>
      </c>
      <c r="O632" s="63">
        <v>3283</v>
      </c>
      <c r="P632" s="63">
        <v>175</v>
      </c>
      <c r="Q632" s="63">
        <v>138</v>
      </c>
      <c r="R632" s="63">
        <v>26</v>
      </c>
      <c r="S632" s="63">
        <v>25</v>
      </c>
      <c r="T632" s="63">
        <v>9</v>
      </c>
      <c r="U632" s="63"/>
      <c r="V632" s="63"/>
      <c r="W632" s="63">
        <f>IF(Copyright!B$11=1,IF(CA632&gt;0,CA632-SUM(Y632:AM632)-SUM(AN632:AQ632),SUM(CB632:CN632)),SUM(CC632:CN632))</f>
        <v>0</v>
      </c>
      <c r="X632" s="63"/>
      <c r="Y632" s="63">
        <v>0</v>
      </c>
      <c r="Z632" s="63">
        <v>0</v>
      </c>
      <c r="AA632" s="63">
        <v>0</v>
      </c>
      <c r="AB632" s="63"/>
      <c r="AC632" s="63"/>
      <c r="AD632" s="63">
        <v>0</v>
      </c>
      <c r="AE632" s="63">
        <v>0</v>
      </c>
      <c r="AF632" s="63"/>
      <c r="AG632" s="63">
        <v>0</v>
      </c>
      <c r="AH632" s="63"/>
      <c r="AI632" s="63"/>
      <c r="AJ632" s="63"/>
      <c r="AK632" s="63"/>
      <c r="AL632" s="63">
        <v>0</v>
      </c>
      <c r="AM632" s="63"/>
      <c r="AN632" s="63">
        <v>1</v>
      </c>
      <c r="AO632" s="63"/>
      <c r="AP632" s="63"/>
      <c r="AQ632" s="63">
        <v>0</v>
      </c>
      <c r="AR632" s="63">
        <v>22</v>
      </c>
      <c r="AS632" s="63"/>
      <c r="AT632" s="63"/>
      <c r="AU632" s="63"/>
      <c r="AW632" s="5">
        <f>IF(Q632&gt;0,RANK(Q632,(N632:P632,Q632:AE632)),0)</f>
        <v>4</v>
      </c>
      <c r="AX632" s="5">
        <f>IF(R632&gt;0,RANK(R632,(N632:P632,Q632:AE632)),0)</f>
        <v>5</v>
      </c>
      <c r="AY632" s="5">
        <f>IF(T632&gt;0,RANK(T632,(N632:P632,Q632:AE632)),0)</f>
        <v>7</v>
      </c>
      <c r="AZ632" s="5">
        <f>IF(S632&gt;0,RANK(S632,(N632:P632,Q632:AE632)),0)</f>
        <v>6</v>
      </c>
      <c r="BA632" s="2">
        <f t="shared" si="252"/>
        <v>3.0976430976430977E-2</v>
      </c>
      <c r="BB632" s="2">
        <f t="shared" si="253"/>
        <v>5.8361391694725026E-3</v>
      </c>
      <c r="BC632" s="2">
        <f t="shared" si="254"/>
        <v>2.0202020202020202E-3</v>
      </c>
      <c r="BD632" s="2">
        <f t="shared" si="255"/>
        <v>5.6116722783389446E-3</v>
      </c>
      <c r="BF632" t="s">
        <v>692</v>
      </c>
      <c r="BG632" t="s">
        <v>404</v>
      </c>
      <c r="BH632">
        <v>1</v>
      </c>
      <c r="BJ632" s="114">
        <v>16</v>
      </c>
      <c r="BK632" s="116">
        <v>87</v>
      </c>
      <c r="BL632" s="120">
        <f t="shared" si="258"/>
        <v>16087</v>
      </c>
      <c r="BN632" s="5" t="s">
        <v>3154</v>
      </c>
      <c r="BZ632" s="63">
        <f>C632</f>
        <v>4455</v>
      </c>
      <c r="CD632" s="63">
        <v>0</v>
      </c>
      <c r="CE632" s="63">
        <v>0</v>
      </c>
      <c r="CF632" s="63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</row>
    <row r="633" spans="1:101" collapsed="1">
      <c r="A633" t="s">
        <v>2092</v>
      </c>
      <c r="B633" t="s">
        <v>544</v>
      </c>
      <c r="C633" s="1">
        <f t="shared" si="245"/>
        <v>690433</v>
      </c>
      <c r="D633" s="5">
        <f>IF(N633&gt;0, RANK(N633,(N633:P633,Q633:AE633)),0)</f>
        <v>2</v>
      </c>
      <c r="E633" s="5">
        <f>IF(O633&gt;0,RANK(O633,(N633:P633,Q633:AE633)),0)</f>
        <v>1</v>
      </c>
      <c r="F633" s="5">
        <f>IF(P633&gt;0,RANK(P633,(N633:P633,Q633:AE633)),0)</f>
        <v>3</v>
      </c>
      <c r="G633" s="132">
        <f t="shared" si="246"/>
        <v>219290</v>
      </c>
      <c r="H633" s="137">
        <f t="shared" si="247"/>
        <v>0.31761228098888666</v>
      </c>
      <c r="I633" s="2"/>
      <c r="J633" s="2">
        <f t="shared" si="248"/>
        <v>0.27484926126068715</v>
      </c>
      <c r="K633" s="2">
        <f t="shared" si="249"/>
        <v>0.59246154224957381</v>
      </c>
      <c r="L633" s="2">
        <f t="shared" si="250"/>
        <v>6.7314279589764686E-2</v>
      </c>
      <c r="M633" s="2">
        <f t="shared" si="251"/>
        <v>6.5374916899974295E-2</v>
      </c>
      <c r="N633" s="63">
        <f t="shared" ref="N633:T633" si="260">SUM(N589:N632)</f>
        <v>189765</v>
      </c>
      <c r="O633" s="63">
        <f t="shared" si="260"/>
        <v>409055</v>
      </c>
      <c r="P633" s="63">
        <f t="shared" si="260"/>
        <v>46476</v>
      </c>
      <c r="Q633" s="63">
        <f t="shared" si="260"/>
        <v>28331</v>
      </c>
      <c r="R633" s="63">
        <f t="shared" si="260"/>
        <v>8496</v>
      </c>
      <c r="S633" s="63">
        <f t="shared" si="260"/>
        <v>4403</v>
      </c>
      <c r="T633" s="63">
        <f t="shared" si="260"/>
        <v>1373</v>
      </c>
      <c r="U633" s="63"/>
      <c r="V633" s="63"/>
      <c r="W633" s="63">
        <f>SUM(W589:W632)</f>
        <v>37</v>
      </c>
      <c r="X633" s="63"/>
      <c r="Y633" s="63">
        <f>SUM(Y589:Y632)</f>
        <v>56</v>
      </c>
      <c r="Z633" s="63">
        <f>SUM(Z589:Z632)</f>
        <v>0</v>
      </c>
      <c r="AA633" s="63">
        <f>SUM(AA589:AA632)</f>
        <v>2</v>
      </c>
      <c r="AB633" s="63"/>
      <c r="AC633" s="63"/>
      <c r="AD633" s="63">
        <f>SUM(AD589:AD632)</f>
        <v>0</v>
      </c>
      <c r="AE633" s="63">
        <f>SUM(AE589:AE632)</f>
        <v>5</v>
      </c>
      <c r="AF633" s="63"/>
      <c r="AG633" s="63">
        <f>SUM(AG589:AG632)</f>
        <v>15</v>
      </c>
      <c r="AH633" s="63"/>
      <c r="AI633" s="63"/>
      <c r="AJ633" s="63"/>
      <c r="AK633" s="63"/>
      <c r="AL633" s="63">
        <f>SUM(AL589:AL632)</f>
        <v>0</v>
      </c>
      <c r="AM633" s="63"/>
      <c r="AN633" s="63">
        <f>SUM(AN589:AN632)</f>
        <v>56</v>
      </c>
      <c r="AO633" s="63"/>
      <c r="AP633" s="63"/>
      <c r="AQ633" s="63">
        <f>SUM(AQ589:AQ632)</f>
        <v>7</v>
      </c>
      <c r="AR633" s="63">
        <f>SUM(AR589:AR632)</f>
        <v>2356</v>
      </c>
      <c r="AS633" s="63"/>
      <c r="AT633" s="63"/>
      <c r="AU633" s="63"/>
      <c r="AW633" s="5">
        <f>IF(Q633&gt;0,RANK(Q633,(N633:P633,Q633:AE633)),0)</f>
        <v>4</v>
      </c>
      <c r="AX633" s="5">
        <f>IF(R633&gt;0,RANK(R633,(N633:P633,Q633:AE633)),0)</f>
        <v>5</v>
      </c>
      <c r="AY633" s="5">
        <f>IF(T633&gt;0,RANK(T633,(N633:P633,Q633:AE633)),0)</f>
        <v>7</v>
      </c>
      <c r="AZ633" s="5">
        <f>IF(S633&gt;0,RANK(S633,(N633:P633,Q633:AE633)),0)</f>
        <v>6</v>
      </c>
      <c r="BA633" s="2">
        <f t="shared" si="252"/>
        <v>4.1033670175093025E-2</v>
      </c>
      <c r="BB633" s="2">
        <f t="shared" si="253"/>
        <v>1.2305321443210275E-2</v>
      </c>
      <c r="BC633" s="2">
        <f t="shared" si="254"/>
        <v>1.9886071494265192E-3</v>
      </c>
      <c r="BD633" s="2">
        <f t="shared" si="255"/>
        <v>6.3771575228878108E-3</v>
      </c>
      <c r="BF633" t="s">
        <v>2092</v>
      </c>
      <c r="BG633" t="s">
        <v>544</v>
      </c>
      <c r="BJ633" s="114">
        <v>16</v>
      </c>
      <c r="BK633" s="116"/>
      <c r="BL633" s="114">
        <v>16</v>
      </c>
      <c r="BN633" s="5" t="s">
        <v>711</v>
      </c>
      <c r="CA633" s="63">
        <f>SUM(CA589:CA632)</f>
        <v>0</v>
      </c>
      <c r="CD633" s="63">
        <f>SUM(CD589:CD632)</f>
        <v>7</v>
      </c>
      <c r="CE633" s="63">
        <f>SUM(CE589:CE632)</f>
        <v>13</v>
      </c>
      <c r="CF633" s="63">
        <f>SUM(CF589:CF632)</f>
        <v>2</v>
      </c>
      <c r="CG633" s="63">
        <f>SUM(CG589:CG632)</f>
        <v>2</v>
      </c>
      <c r="CH633" s="63">
        <f>SUM(CH589:CH632)</f>
        <v>1</v>
      </c>
      <c r="CI633" s="63">
        <f t="shared" ref="CI633:CN633" si="261">SUM(CI589:CI632)</f>
        <v>1</v>
      </c>
      <c r="CJ633" s="63">
        <f t="shared" si="261"/>
        <v>3</v>
      </c>
      <c r="CK633" s="63">
        <f t="shared" si="261"/>
        <v>5</v>
      </c>
      <c r="CL633" s="63">
        <f t="shared" si="261"/>
        <v>1</v>
      </c>
      <c r="CM633" s="63">
        <f t="shared" si="261"/>
        <v>1</v>
      </c>
      <c r="CN633" s="63">
        <f t="shared" si="261"/>
        <v>1</v>
      </c>
    </row>
    <row r="634" spans="1:101">
      <c r="C634" s="1"/>
      <c r="E634" s="5"/>
      <c r="F634" s="5"/>
      <c r="G634" s="132"/>
      <c r="H634" s="137"/>
      <c r="I634" s="2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W634" s="5"/>
      <c r="AX634" s="5"/>
      <c r="AY634" s="5"/>
      <c r="AZ634" s="5"/>
      <c r="BJ634" s="114"/>
      <c r="BK634" s="116"/>
      <c r="BL634" s="120"/>
      <c r="CA634" s="132"/>
      <c r="CB634" s="132"/>
      <c r="CC634" s="132"/>
      <c r="CD634" s="132" t="s">
        <v>1961</v>
      </c>
      <c r="CE634" s="132" t="s">
        <v>3641</v>
      </c>
      <c r="CF634" s="132" t="s">
        <v>3614</v>
      </c>
      <c r="CG634" s="132" t="s">
        <v>3642</v>
      </c>
      <c r="CH634" s="132" t="s">
        <v>3643</v>
      </c>
      <c r="CI634" s="132" t="s">
        <v>2619</v>
      </c>
      <c r="CJ634" s="132" t="s">
        <v>3644</v>
      </c>
      <c r="CK634" s="132" t="s">
        <v>1484</v>
      </c>
      <c r="CL634" s="132" t="s">
        <v>97</v>
      </c>
      <c r="CM634" s="132" t="s">
        <v>3645</v>
      </c>
      <c r="CN634" s="132" t="s">
        <v>3646</v>
      </c>
      <c r="CO634" s="132" t="s">
        <v>1984</v>
      </c>
      <c r="CP634" s="132" t="s">
        <v>3647</v>
      </c>
      <c r="CQ634" t="s">
        <v>3613</v>
      </c>
      <c r="CR634" t="s">
        <v>3648</v>
      </c>
      <c r="CS634" t="s">
        <v>1361</v>
      </c>
      <c r="CT634" t="s">
        <v>3649</v>
      </c>
      <c r="CU634" t="s">
        <v>3650</v>
      </c>
      <c r="CV634" t="s">
        <v>1175</v>
      </c>
      <c r="CW634" t="s">
        <v>4418</v>
      </c>
    </row>
    <row r="635" spans="1:101" hidden="1" outlineLevel="1">
      <c r="A635" t="s">
        <v>1026</v>
      </c>
      <c r="B635" t="s">
        <v>1368</v>
      </c>
      <c r="C635" s="1">
        <f t="shared" ref="C635:C666" si="262">SUM(N635:AU635)</f>
        <v>32310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>IF(P635&gt;0,RANK(P635,(N635:P635,Q635:AE635)),0)</f>
        <v>6</v>
      </c>
      <c r="G635" s="132">
        <f t="shared" ref="G635:G666" si="263">IF(C635&gt;0,MAX(N635:P635)-LARGE(N635:P635,2),0)</f>
        <v>15114</v>
      </c>
      <c r="H635" s="137">
        <f t="shared" ref="H635:H666" si="264">IF(C635&gt;0,G635/C635,0)</f>
        <v>0.46778087279480035</v>
      </c>
      <c r="I635" s="2"/>
      <c r="J635" s="2">
        <f t="shared" ref="J635:J666" si="265">IF($C635=0,"-",N635/$C635)</f>
        <v>0.23757350665428659</v>
      </c>
      <c r="K635" s="2">
        <f t="shared" ref="K635:K666" si="266">IF($C635=0,"-",O635/$C635)</f>
        <v>0.70535437944908697</v>
      </c>
      <c r="L635" s="2">
        <f t="shared" ref="L635:L666" si="267">IF($C635=0,"-",P635/$C635)</f>
        <v>1.8570102135561746E-3</v>
      </c>
      <c r="M635" s="2">
        <f t="shared" ref="M635:M666" si="268">IF(C635=0,"-",(1-J635-K635-L635))</f>
        <v>5.5215103683070303E-2</v>
      </c>
      <c r="N635" s="63">
        <v>7676</v>
      </c>
      <c r="O635" s="63">
        <v>22790</v>
      </c>
      <c r="P635" s="63">
        <v>60</v>
      </c>
      <c r="Q635" s="63">
        <v>1168</v>
      </c>
      <c r="R635" s="63">
        <v>249</v>
      </c>
      <c r="S635" s="63">
        <v>4</v>
      </c>
      <c r="T635" s="63"/>
      <c r="U635" s="63"/>
      <c r="V635" s="63"/>
      <c r="W635" s="63">
        <f>IF(Copyright!B$11=1,IF(CA635&gt;0,CA635-SUM(S635:V635)-P635-SUM(X635:AQ635),SUM(CB635:CW635)),SUM(CC635:CW635))</f>
        <v>363</v>
      </c>
      <c r="X635" s="63"/>
      <c r="Y635" s="63">
        <v>0</v>
      </c>
      <c r="Z635" s="63"/>
      <c r="AA635" s="63"/>
      <c r="AB635" s="63"/>
      <c r="AC635" s="63"/>
      <c r="AD635" s="63"/>
      <c r="AE635" s="63">
        <v>0</v>
      </c>
      <c r="AF635" s="63"/>
      <c r="AG635" s="63"/>
      <c r="AH635" s="63"/>
      <c r="AI635" s="63"/>
      <c r="AJ635" s="63"/>
      <c r="AK635" s="63"/>
      <c r="AL635" s="63"/>
      <c r="AM635" s="63">
        <v>0</v>
      </c>
      <c r="AN635" s="63"/>
      <c r="AO635" s="63"/>
      <c r="AP635" s="63"/>
      <c r="AQ635" s="63"/>
      <c r="AR635" s="63"/>
      <c r="AS635" s="63"/>
      <c r="AT635" s="63"/>
      <c r="AU635" s="63"/>
      <c r="AW635" s="5">
        <f>IF(Q635&gt;0,RANK(Q635,(N635:P635,Q635:AE635)),0)</f>
        <v>3</v>
      </c>
      <c r="AX635" s="5">
        <f>IF(R635&gt;0,RANK(R635,(N635:P635,Q635:AE635)),0)</f>
        <v>5</v>
      </c>
      <c r="AY635" s="5">
        <f>IF(T635&gt;0,RANK(T635,(N635:P635,Q635:AE635)),0)</f>
        <v>0</v>
      </c>
      <c r="AZ635" s="5">
        <f>IF(S635&gt;0,RANK(S635,(N635:P635,Q635:AE635)),0)</f>
        <v>7</v>
      </c>
      <c r="BA635" s="2">
        <f t="shared" ref="BA635:BA666" si="269">IF($C635=0,"-",Q635/$C635)</f>
        <v>3.6149798823893534E-2</v>
      </c>
      <c r="BB635" s="2">
        <f t="shared" ref="BB635:BB666" si="270">IF($C635=0,"-",R635/$C635)</f>
        <v>7.7065923862581244E-3</v>
      </c>
      <c r="BC635" s="2">
        <f t="shared" ref="BC635:BC666" si="271">IF($C635=0,"-",T635/$C635)</f>
        <v>0</v>
      </c>
      <c r="BD635" s="2">
        <f t="shared" ref="BD635:BD666" si="272">IF($C635=0,"-",S635/$C635)</f>
        <v>1.2380068090374498E-4</v>
      </c>
      <c r="BF635" t="s">
        <v>1026</v>
      </c>
      <c r="BG635" t="s">
        <v>1368</v>
      </c>
      <c r="BH635">
        <v>18</v>
      </c>
      <c r="BJ635" s="114">
        <v>17</v>
      </c>
      <c r="BK635" s="116">
        <v>1</v>
      </c>
      <c r="BL635" s="120">
        <f t="shared" si="258"/>
        <v>17001</v>
      </c>
      <c r="BN635" s="5" t="s">
        <v>3154</v>
      </c>
      <c r="BW635" s="8"/>
      <c r="BY635" s="63">
        <f t="shared" ref="BY635:BY666" si="273">BZ635-C635</f>
        <v>-32310</v>
      </c>
      <c r="CA635" s="133">
        <v>427</v>
      </c>
      <c r="CB635" s="132"/>
      <c r="CD635" s="63">
        <v>0</v>
      </c>
      <c r="CE635" s="63">
        <v>0</v>
      </c>
      <c r="CF635" s="63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0</v>
      </c>
      <c r="CN635" s="8">
        <v>0</v>
      </c>
      <c r="CO635" s="8">
        <v>0</v>
      </c>
      <c r="CP635" s="8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</row>
    <row r="636" spans="1:101" hidden="1" outlineLevel="1">
      <c r="A636" t="s">
        <v>26</v>
      </c>
      <c r="B636" t="s">
        <v>1368</v>
      </c>
      <c r="C636" s="1">
        <f t="shared" si="262"/>
        <v>2820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>IF(P636&gt;0,RANK(P636,(N636:P636,Q636:AE636)),0)</f>
        <v>0</v>
      </c>
      <c r="G636" s="132">
        <f t="shared" si="263"/>
        <v>234</v>
      </c>
      <c r="H636" s="137">
        <f t="shared" si="264"/>
        <v>8.2978723404255314E-2</v>
      </c>
      <c r="I636" s="2"/>
      <c r="J636" s="2">
        <f t="shared" si="265"/>
        <v>0.44751773049645388</v>
      </c>
      <c r="K636" s="2">
        <f t="shared" si="266"/>
        <v>0.53049645390070921</v>
      </c>
      <c r="L636" s="2">
        <f t="shared" si="267"/>
        <v>0</v>
      </c>
      <c r="M636" s="2">
        <f t="shared" si="268"/>
        <v>2.1985815602836856E-2</v>
      </c>
      <c r="N636" s="63">
        <v>1262</v>
      </c>
      <c r="O636" s="63">
        <v>1496</v>
      </c>
      <c r="P636" s="63">
        <v>0</v>
      </c>
      <c r="Q636" s="63">
        <v>48</v>
      </c>
      <c r="R636" s="63">
        <v>14</v>
      </c>
      <c r="S636" s="63">
        <v>0</v>
      </c>
      <c r="T636" s="63"/>
      <c r="U636" s="63"/>
      <c r="V636" s="63"/>
      <c r="W636" s="63">
        <f>IF(Copyright!B$11=1,IF(CA636&gt;0,CA636-SUM(S636:V636)-P636-SUM(X636:AQ636),SUM(CB636:CW636)),SUM(CC636:CW636))</f>
        <v>0</v>
      </c>
      <c r="X636" s="63"/>
      <c r="Y636" s="63">
        <v>0</v>
      </c>
      <c r="Z636" s="63"/>
      <c r="AA636" s="63"/>
      <c r="AB636" s="63"/>
      <c r="AC636" s="63"/>
      <c r="AD636" s="63"/>
      <c r="AE636" s="63">
        <v>0</v>
      </c>
      <c r="AF636" s="63"/>
      <c r="AG636" s="63"/>
      <c r="AH636" s="63"/>
      <c r="AI636" s="63"/>
      <c r="AJ636" s="63"/>
      <c r="AK636" s="63"/>
      <c r="AL636" s="63"/>
      <c r="AM636" s="63">
        <v>0</v>
      </c>
      <c r="AN636" s="63"/>
      <c r="AO636" s="63"/>
      <c r="AP636" s="63"/>
      <c r="AQ636" s="63"/>
      <c r="AR636" s="63"/>
      <c r="AS636" s="63"/>
      <c r="AT636" s="63"/>
      <c r="AU636" s="63"/>
      <c r="AW636" s="5">
        <f>IF(Q636&gt;0,RANK(Q636,(N636:P636,Q636:AE636)),0)</f>
        <v>3</v>
      </c>
      <c r="AX636" s="5">
        <f>IF(R636&gt;0,RANK(R636,(N636:P636,Q636:AE636)),0)</f>
        <v>4</v>
      </c>
      <c r="AY636" s="5">
        <f>IF(T636&gt;0,RANK(T636,(N636:P636,Q636:AE636)),0)</f>
        <v>0</v>
      </c>
      <c r="AZ636" s="5">
        <f>IF(S636&gt;0,RANK(S636,(N636:P636,Q636:AE636)),0)</f>
        <v>0</v>
      </c>
      <c r="BA636" s="2">
        <f t="shared" si="269"/>
        <v>1.7021276595744681E-2</v>
      </c>
      <c r="BB636" s="2">
        <f t="shared" si="270"/>
        <v>4.9645390070921988E-3</v>
      </c>
      <c r="BC636" s="2">
        <f t="shared" si="271"/>
        <v>0</v>
      </c>
      <c r="BD636" s="2">
        <f t="shared" si="272"/>
        <v>0</v>
      </c>
      <c r="BF636" t="s">
        <v>26</v>
      </c>
      <c r="BG636" t="s">
        <v>1368</v>
      </c>
      <c r="BH636">
        <v>12</v>
      </c>
      <c r="BJ636" s="114">
        <v>17</v>
      </c>
      <c r="BK636" s="116">
        <v>3</v>
      </c>
      <c r="BL636" s="120">
        <f t="shared" si="258"/>
        <v>17003</v>
      </c>
      <c r="BN636" s="5" t="s">
        <v>3154</v>
      </c>
      <c r="BW636" s="8"/>
      <c r="BY636" s="63">
        <f t="shared" si="273"/>
        <v>-2820</v>
      </c>
      <c r="CA636" s="133">
        <v>0</v>
      </c>
      <c r="CB636" s="132"/>
      <c r="CD636" s="63">
        <v>0</v>
      </c>
      <c r="CE636" s="63">
        <v>0</v>
      </c>
      <c r="CF636" s="63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</row>
    <row r="637" spans="1:101" hidden="1" outlineLevel="1">
      <c r="A637" t="s">
        <v>2556</v>
      </c>
      <c r="B637" t="s">
        <v>1368</v>
      </c>
      <c r="C637" s="1">
        <f t="shared" si="262"/>
        <v>7570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6</v>
      </c>
      <c r="G637" s="132">
        <f t="shared" si="263"/>
        <v>2820</v>
      </c>
      <c r="H637" s="137">
        <f t="shared" si="264"/>
        <v>0.37252311756935269</v>
      </c>
      <c r="I637" s="2"/>
      <c r="J637" s="2">
        <f t="shared" si="265"/>
        <v>0.27318361955085863</v>
      </c>
      <c r="K637" s="2">
        <f t="shared" si="266"/>
        <v>0.64570673712021132</v>
      </c>
      <c r="L637" s="2">
        <f t="shared" si="267"/>
        <v>4.7556142668428005E-3</v>
      </c>
      <c r="M637" s="2">
        <f t="shared" si="268"/>
        <v>7.6354029062087311E-2</v>
      </c>
      <c r="N637" s="63">
        <v>2068</v>
      </c>
      <c r="O637" s="63">
        <v>4888</v>
      </c>
      <c r="P637" s="63">
        <v>36</v>
      </c>
      <c r="Q637" s="63">
        <v>447</v>
      </c>
      <c r="R637" s="63">
        <v>67</v>
      </c>
      <c r="S637" s="63">
        <v>3</v>
      </c>
      <c r="T637" s="63"/>
      <c r="U637" s="63"/>
      <c r="V637" s="63"/>
      <c r="W637" s="63">
        <f>IF(Copyright!B$11=1,IF(CA637&gt;0,CA637-SUM(S637:V637)-P637-SUM(X637:AQ637),SUM(CB637:CW637)),SUM(CC637:CW637))</f>
        <v>60</v>
      </c>
      <c r="X637" s="63"/>
      <c r="Y637" s="63">
        <v>1</v>
      </c>
      <c r="Z637" s="63"/>
      <c r="AA637" s="63"/>
      <c r="AB637" s="63"/>
      <c r="AC637" s="63"/>
      <c r="AD637" s="63"/>
      <c r="AE637" s="63">
        <v>0</v>
      </c>
      <c r="AF637" s="63"/>
      <c r="AG637" s="63"/>
      <c r="AH637" s="63"/>
      <c r="AI637" s="63"/>
      <c r="AJ637" s="63"/>
      <c r="AK637" s="63"/>
      <c r="AL637" s="63"/>
      <c r="AM637" s="63">
        <v>0</v>
      </c>
      <c r="AN637" s="63"/>
      <c r="AO637" s="63"/>
      <c r="AP637" s="63"/>
      <c r="AQ637" s="63"/>
      <c r="AR637" s="63"/>
      <c r="AS637" s="63"/>
      <c r="AT637" s="63"/>
      <c r="AU637" s="63"/>
      <c r="AW637" s="5">
        <f>IF(Q637&gt;0,RANK(Q637,(N637:P637,Q637:AE637)),0)</f>
        <v>3</v>
      </c>
      <c r="AX637" s="5">
        <f>IF(R637&gt;0,RANK(R637,(N637:P637,Q637:AE637)),0)</f>
        <v>4</v>
      </c>
      <c r="AY637" s="5">
        <f>IF(T637&gt;0,RANK(T637,(N637:P637,Q637:AE637)),0)</f>
        <v>0</v>
      </c>
      <c r="AZ637" s="5">
        <f>IF(S637&gt;0,RANK(S637,(N637:P637,Q637:AE637)),0)</f>
        <v>7</v>
      </c>
      <c r="BA637" s="2">
        <f t="shared" si="269"/>
        <v>5.9048877146631443E-2</v>
      </c>
      <c r="BB637" s="2">
        <f t="shared" si="270"/>
        <v>8.8507265521796559E-3</v>
      </c>
      <c r="BC637" s="2">
        <f t="shared" si="271"/>
        <v>0</v>
      </c>
      <c r="BD637" s="2">
        <f t="shared" si="272"/>
        <v>3.9630118890356672E-4</v>
      </c>
      <c r="BF637" t="s">
        <v>2556</v>
      </c>
      <c r="BG637" t="s">
        <v>1368</v>
      </c>
      <c r="BJ637" s="114">
        <v>17</v>
      </c>
      <c r="BK637" s="116">
        <v>5</v>
      </c>
      <c r="BL637" s="120">
        <f t="shared" si="258"/>
        <v>17005</v>
      </c>
      <c r="BN637" s="5" t="s">
        <v>3154</v>
      </c>
      <c r="BW637" s="132" t="s">
        <v>3254</v>
      </c>
      <c r="BX637" s="132" t="s">
        <v>2498</v>
      </c>
      <c r="BY637" s="63">
        <f t="shared" si="273"/>
        <v>0</v>
      </c>
      <c r="BZ637" s="63">
        <v>7570</v>
      </c>
      <c r="CA637" s="132">
        <f>7570-2068-4888-447-67</f>
        <v>100</v>
      </c>
      <c r="CB637" s="132"/>
      <c r="CD637" s="63">
        <v>0</v>
      </c>
      <c r="CE637" s="63">
        <v>0</v>
      </c>
      <c r="CF637" s="63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1" hidden="1" outlineLevel="1">
      <c r="A638" t="s">
        <v>1043</v>
      </c>
      <c r="B638" t="s">
        <v>1368</v>
      </c>
      <c r="C638" s="1">
        <f t="shared" si="262"/>
        <v>23001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6</v>
      </c>
      <c r="G638" s="132">
        <f t="shared" si="263"/>
        <v>3296</v>
      </c>
      <c r="H638" s="137">
        <f t="shared" si="264"/>
        <v>0.14329811747315335</v>
      </c>
      <c r="I638" s="2"/>
      <c r="J638" s="2">
        <f t="shared" si="265"/>
        <v>0.39067866614495023</v>
      </c>
      <c r="K638" s="2">
        <f t="shared" si="266"/>
        <v>0.53397678361810352</v>
      </c>
      <c r="L638" s="2">
        <f t="shared" si="267"/>
        <v>2.2172949002217295E-3</v>
      </c>
      <c r="M638" s="2">
        <f t="shared" si="268"/>
        <v>7.3127255336724581E-2</v>
      </c>
      <c r="N638" s="63">
        <v>8986</v>
      </c>
      <c r="O638" s="63">
        <v>12282</v>
      </c>
      <c r="P638" s="63">
        <v>51</v>
      </c>
      <c r="Q638" s="63">
        <v>1068</v>
      </c>
      <c r="R638" s="63">
        <v>330</v>
      </c>
      <c r="S638" s="63">
        <v>12</v>
      </c>
      <c r="T638" s="63"/>
      <c r="U638" s="63"/>
      <c r="V638" s="63"/>
      <c r="W638" s="63">
        <f>IF(Copyright!B$11=1,IF(CA638&gt;0,CA638-SUM(S638:V638)-P638-SUM(X638:AQ638),SUM(CB638:CW638)),SUM(CC638:CW638))</f>
        <v>272</v>
      </c>
      <c r="X638" s="63"/>
      <c r="Y638" s="63">
        <v>0</v>
      </c>
      <c r="Z638" s="63"/>
      <c r="AA638" s="63"/>
      <c r="AB638" s="63"/>
      <c r="AC638" s="63"/>
      <c r="AD638" s="63"/>
      <c r="AE638" s="63">
        <v>0</v>
      </c>
      <c r="AF638" s="63"/>
      <c r="AG638" s="63"/>
      <c r="AH638" s="63"/>
      <c r="AI638" s="63"/>
      <c r="AJ638" s="63"/>
      <c r="AK638" s="63"/>
      <c r="AL638" s="63"/>
      <c r="AM638" s="63">
        <v>0</v>
      </c>
      <c r="AN638" s="63"/>
      <c r="AO638" s="63"/>
      <c r="AP638" s="63"/>
      <c r="AQ638" s="63"/>
      <c r="AR638" s="63"/>
      <c r="AS638" s="63"/>
      <c r="AT638" s="63"/>
      <c r="AU638" s="63"/>
      <c r="AW638" s="5">
        <f>IF(Q638&gt;0,RANK(Q638,(N638:P638,Q638:AE638)),0)</f>
        <v>3</v>
      </c>
      <c r="AX638" s="5">
        <f>IF(R638&gt;0,RANK(R638,(N638:P638,Q638:AE638)),0)</f>
        <v>4</v>
      </c>
      <c r="AY638" s="5">
        <f>IF(T638&gt;0,RANK(T638,(N638:P638,Q638:AE638)),0)</f>
        <v>0</v>
      </c>
      <c r="AZ638" s="5">
        <f>IF(S638&gt;0,RANK(S638,(N638:P638,Q638:AE638)),0)</f>
        <v>7</v>
      </c>
      <c r="BA638" s="2">
        <f t="shared" si="269"/>
        <v>4.643276379287857E-2</v>
      </c>
      <c r="BB638" s="2">
        <f t="shared" si="270"/>
        <v>1.4347202295552367E-2</v>
      </c>
      <c r="BC638" s="2">
        <f t="shared" si="271"/>
        <v>0</v>
      </c>
      <c r="BD638" s="2">
        <f t="shared" si="272"/>
        <v>5.2171644711099512E-4</v>
      </c>
      <c r="BF638" t="s">
        <v>1043</v>
      </c>
      <c r="BG638" t="s">
        <v>1368</v>
      </c>
      <c r="BH638">
        <v>16</v>
      </c>
      <c r="BJ638" s="114">
        <v>17</v>
      </c>
      <c r="BK638" s="116">
        <v>7</v>
      </c>
      <c r="BL638" s="120">
        <f t="shared" si="258"/>
        <v>17007</v>
      </c>
      <c r="BN638" s="5" t="s">
        <v>3154</v>
      </c>
      <c r="BO638" s="63">
        <v>185</v>
      </c>
      <c r="BP638" s="63">
        <v>13</v>
      </c>
      <c r="BR638" s="63"/>
      <c r="BW638" s="132" t="s">
        <v>3256</v>
      </c>
      <c r="BX638" s="132" t="s">
        <v>3255</v>
      </c>
      <c r="BY638" s="63">
        <f t="shared" si="273"/>
        <v>0</v>
      </c>
      <c r="BZ638" s="63">
        <v>23001</v>
      </c>
      <c r="CA638" s="132">
        <v>335</v>
      </c>
      <c r="CB638" s="132"/>
      <c r="CD638" s="63">
        <v>0</v>
      </c>
      <c r="CE638" s="63">
        <v>0</v>
      </c>
      <c r="CF638" s="63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1" hidden="1" outlineLevel="1">
      <c r="A639" t="s">
        <v>578</v>
      </c>
      <c r="B639" t="s">
        <v>1368</v>
      </c>
      <c r="C639" s="1">
        <f t="shared" si="262"/>
        <v>2379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32">
        <f t="shared" si="263"/>
        <v>1320</v>
      </c>
      <c r="H639" s="137">
        <f t="shared" si="264"/>
        <v>0.55485498108448927</v>
      </c>
      <c r="I639" s="2"/>
      <c r="J639" s="2">
        <f t="shared" si="265"/>
        <v>0.20008406893652794</v>
      </c>
      <c r="K639" s="2">
        <f t="shared" si="266"/>
        <v>0.75493905002101724</v>
      </c>
      <c r="L639" s="2">
        <f t="shared" si="267"/>
        <v>0</v>
      </c>
      <c r="M639" s="2">
        <f t="shared" si="268"/>
        <v>4.4976881042454786E-2</v>
      </c>
      <c r="N639" s="63">
        <v>476</v>
      </c>
      <c r="O639" s="63">
        <v>1796</v>
      </c>
      <c r="P639" s="63">
        <v>0</v>
      </c>
      <c r="Q639" s="63">
        <v>77</v>
      </c>
      <c r="R639" s="63">
        <v>10</v>
      </c>
      <c r="S639" s="63">
        <v>0</v>
      </c>
      <c r="T639" s="63"/>
      <c r="U639" s="63"/>
      <c r="V639" s="63"/>
      <c r="W639" s="63">
        <f>IF(Copyright!B$11=1,IF(CA639&gt;0,CA639-SUM(S639:V639)-P639-SUM(X639:AQ639),SUM(CB639:CW639)),SUM(CC639:CW639))</f>
        <v>20</v>
      </c>
      <c r="X639" s="63"/>
      <c r="Y639" s="63">
        <v>0</v>
      </c>
      <c r="Z639" s="63"/>
      <c r="AA639" s="63"/>
      <c r="AB639" s="63"/>
      <c r="AC639" s="63"/>
      <c r="AD639" s="63"/>
      <c r="AE639" s="63">
        <v>0</v>
      </c>
      <c r="AF639" s="63"/>
      <c r="AG639" s="63"/>
      <c r="AH639" s="63"/>
      <c r="AI639" s="63"/>
      <c r="AJ639" s="63"/>
      <c r="AK639" s="63"/>
      <c r="AL639" s="63"/>
      <c r="AM639" s="63">
        <v>0</v>
      </c>
      <c r="AN639" s="63"/>
      <c r="AO639" s="63"/>
      <c r="AP639" s="63"/>
      <c r="AQ639" s="63"/>
      <c r="AR639" s="63"/>
      <c r="AS639" s="63"/>
      <c r="AT639" s="63"/>
      <c r="AU639" s="63"/>
      <c r="AW639" s="5">
        <f>IF(Q639&gt;0,RANK(Q639,(N639:P639,Q639:AE639)),0)</f>
        <v>3</v>
      </c>
      <c r="AX639" s="5">
        <f>IF(R639&gt;0,RANK(R639,(N639:P639,Q639:AE639)),0)</f>
        <v>5</v>
      </c>
      <c r="AY639" s="5">
        <f>IF(T639&gt;0,RANK(T639,(N639:P639,Q639:AE639)),0)</f>
        <v>0</v>
      </c>
      <c r="AZ639" s="5">
        <f>IF(S639&gt;0,RANK(S639,(N639:P639,Q639:AE639)),0)</f>
        <v>0</v>
      </c>
      <c r="BA639" s="2">
        <f t="shared" si="269"/>
        <v>3.2366540563261874E-2</v>
      </c>
      <c r="BB639" s="2">
        <f t="shared" si="270"/>
        <v>4.2034468263976461E-3</v>
      </c>
      <c r="BC639" s="2">
        <f t="shared" si="271"/>
        <v>0</v>
      </c>
      <c r="BD639" s="2">
        <f t="shared" si="272"/>
        <v>0</v>
      </c>
      <c r="BF639" t="s">
        <v>578</v>
      </c>
      <c r="BG639" t="s">
        <v>1368</v>
      </c>
      <c r="BH639">
        <v>18</v>
      </c>
      <c r="BJ639" s="114">
        <v>17</v>
      </c>
      <c r="BK639" s="116">
        <v>9</v>
      </c>
      <c r="BL639" s="120">
        <f t="shared" si="258"/>
        <v>17009</v>
      </c>
      <c r="BN639" s="5" t="s">
        <v>3154</v>
      </c>
      <c r="BW639" s="8"/>
      <c r="BY639" s="63">
        <f t="shared" si="273"/>
        <v>0</v>
      </c>
      <c r="BZ639" s="63">
        <f>20+10+77+476+1796</f>
        <v>2379</v>
      </c>
      <c r="CA639" s="132">
        <v>20</v>
      </c>
      <c r="CB639" s="132"/>
      <c r="CD639" s="63">
        <v>0</v>
      </c>
      <c r="CE639" s="63">
        <v>0</v>
      </c>
      <c r="CF639" s="63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</row>
    <row r="640" spans="1:101" hidden="1" outlineLevel="1">
      <c r="A640" t="s">
        <v>1162</v>
      </c>
      <c r="B640" t="s">
        <v>1368</v>
      </c>
      <c r="C640" s="1">
        <f t="shared" si="262"/>
        <v>16571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6</v>
      </c>
      <c r="G640" s="132">
        <f t="shared" si="263"/>
        <v>3252</v>
      </c>
      <c r="H640" s="137">
        <f t="shared" si="264"/>
        <v>0.19624645464968921</v>
      </c>
      <c r="I640" s="2"/>
      <c r="J640" s="2">
        <f t="shared" si="265"/>
        <v>0.36382837487176395</v>
      </c>
      <c r="K640" s="2">
        <f t="shared" si="266"/>
        <v>0.56007482952145315</v>
      </c>
      <c r="L640" s="2">
        <f t="shared" si="267"/>
        <v>1.8103916480598635E-3</v>
      </c>
      <c r="M640" s="2">
        <f t="shared" si="268"/>
        <v>7.4286403958723088E-2</v>
      </c>
      <c r="N640" s="63">
        <v>6029</v>
      </c>
      <c r="O640" s="63">
        <v>9281</v>
      </c>
      <c r="P640" s="63">
        <v>30</v>
      </c>
      <c r="Q640" s="63">
        <v>842</v>
      </c>
      <c r="R640" s="63">
        <v>197</v>
      </c>
      <c r="S640" s="63">
        <v>4</v>
      </c>
      <c r="T640" s="63"/>
      <c r="U640" s="63"/>
      <c r="V640" s="63"/>
      <c r="W640" s="63">
        <f>IF(Copyright!B$11=1,IF(CA640&gt;0,CA640-SUM(S640:V640)-P640-SUM(X640:AQ640),SUM(CB640:CW640)),SUM(CC640:CW640))</f>
        <v>182</v>
      </c>
      <c r="X640" s="63"/>
      <c r="Y640" s="63">
        <v>6</v>
      </c>
      <c r="Z640" s="63"/>
      <c r="AA640" s="63"/>
      <c r="AB640" s="63"/>
      <c r="AC640" s="63"/>
      <c r="AD640" s="63"/>
      <c r="AE640" s="63">
        <v>0</v>
      </c>
      <c r="AF640" s="63"/>
      <c r="AG640" s="63"/>
      <c r="AH640" s="63"/>
      <c r="AI640" s="63"/>
      <c r="AJ640" s="63"/>
      <c r="AK640" s="63"/>
      <c r="AL640" s="63"/>
      <c r="AM640" s="63">
        <v>0</v>
      </c>
      <c r="AN640" s="63"/>
      <c r="AO640" s="63"/>
      <c r="AP640" s="63"/>
      <c r="AQ640" s="63"/>
      <c r="AR640" s="63"/>
      <c r="AS640" s="63"/>
      <c r="AT640" s="63"/>
      <c r="AU640" s="63"/>
      <c r="AW640" s="5">
        <f>IF(Q640&gt;0,RANK(Q640,(N640:P640,Q640:AE640)),0)</f>
        <v>3</v>
      </c>
      <c r="AX640" s="5">
        <f>IF(R640&gt;0,RANK(R640,(N640:P640,Q640:AE640)),0)</f>
        <v>4</v>
      </c>
      <c r="AY640" s="5">
        <f>IF(T640&gt;0,RANK(T640,(N640:P640,Q640:AE640)),0)</f>
        <v>0</v>
      </c>
      <c r="AZ640" s="5">
        <f>IF(S640&gt;0,RANK(S640,(N640:P640,Q640:AE640)),0)</f>
        <v>8</v>
      </c>
      <c r="BA640" s="2">
        <f t="shared" si="269"/>
        <v>5.0811658922213503E-2</v>
      </c>
      <c r="BB640" s="2">
        <f t="shared" si="270"/>
        <v>1.1888238488926438E-2</v>
      </c>
      <c r="BC640" s="2">
        <f t="shared" si="271"/>
        <v>0</v>
      </c>
      <c r="BD640" s="2">
        <f t="shared" si="272"/>
        <v>2.4138555307464849E-4</v>
      </c>
      <c r="BF640" t="s">
        <v>1162</v>
      </c>
      <c r="BG640" t="s">
        <v>1368</v>
      </c>
      <c r="BH640">
        <v>16</v>
      </c>
      <c r="BJ640" s="114">
        <v>17</v>
      </c>
      <c r="BK640" s="116">
        <v>11</v>
      </c>
      <c r="BL640" s="120">
        <f t="shared" si="258"/>
        <v>17011</v>
      </c>
      <c r="BN640" s="5" t="s">
        <v>3154</v>
      </c>
      <c r="BW640" s="8"/>
      <c r="BX640" s="132" t="s">
        <v>2498</v>
      </c>
      <c r="BY640" s="63">
        <f t="shared" si="273"/>
        <v>0</v>
      </c>
      <c r="BZ640" s="63">
        <v>16571</v>
      </c>
      <c r="CA640" s="132">
        <f>182+30+6+4</f>
        <v>222</v>
      </c>
      <c r="CB640" s="132"/>
      <c r="CD640" s="63">
        <v>0</v>
      </c>
      <c r="CE640" s="63">
        <v>0</v>
      </c>
      <c r="CF640" s="63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</row>
    <row r="641" spans="1:100" hidden="1" outlineLevel="1">
      <c r="A641" t="s">
        <v>1197</v>
      </c>
      <c r="B641" t="s">
        <v>1368</v>
      </c>
      <c r="C641" s="1">
        <f t="shared" si="262"/>
        <v>2571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6</v>
      </c>
      <c r="G641" s="132">
        <f t="shared" si="263"/>
        <v>982</v>
      </c>
      <c r="H641" s="137">
        <f t="shared" si="264"/>
        <v>0.38195254764683001</v>
      </c>
      <c r="I641" s="2"/>
      <c r="J641" s="2">
        <f t="shared" si="265"/>
        <v>0.28743679502139247</v>
      </c>
      <c r="K641" s="2">
        <f t="shared" si="266"/>
        <v>0.66938934266822248</v>
      </c>
      <c r="L641" s="2">
        <f t="shared" si="267"/>
        <v>1.1668611435239206E-3</v>
      </c>
      <c r="M641" s="2">
        <f t="shared" si="268"/>
        <v>4.2007001166861083E-2</v>
      </c>
      <c r="N641" s="63">
        <v>739</v>
      </c>
      <c r="O641" s="63">
        <v>1721</v>
      </c>
      <c r="P641" s="63">
        <v>3</v>
      </c>
      <c r="Q641" s="63">
        <v>72</v>
      </c>
      <c r="R641" s="63">
        <v>26</v>
      </c>
      <c r="S641" s="63">
        <v>0</v>
      </c>
      <c r="T641" s="63"/>
      <c r="U641" s="63"/>
      <c r="V641" s="63"/>
      <c r="W641" s="63">
        <f>IF(Copyright!B$11=1,IF(CA641&gt;0,CA641-SUM(S641:V641)-P641-SUM(X641:AQ641),SUM(CB641:CW641)),SUM(CC641:CW641))</f>
        <v>10</v>
      </c>
      <c r="X641" s="63"/>
      <c r="Y641" s="63">
        <v>0</v>
      </c>
      <c r="Z641" s="63"/>
      <c r="AA641" s="63"/>
      <c r="AB641" s="63"/>
      <c r="AC641" s="63"/>
      <c r="AD641" s="63"/>
      <c r="AE641" s="63">
        <v>0</v>
      </c>
      <c r="AF641" s="63"/>
      <c r="AG641" s="63"/>
      <c r="AH641" s="63"/>
      <c r="AI641" s="63"/>
      <c r="AJ641" s="63"/>
      <c r="AK641" s="63"/>
      <c r="AL641" s="63"/>
      <c r="AM641" s="63">
        <v>0</v>
      </c>
      <c r="AN641" s="63"/>
      <c r="AO641" s="63"/>
      <c r="AP641" s="63"/>
      <c r="AQ641" s="63"/>
      <c r="AR641" s="63"/>
      <c r="AS641" s="63"/>
      <c r="AT641" s="63"/>
      <c r="AU641" s="63"/>
      <c r="AW641" s="5">
        <f>IF(Q641&gt;0,RANK(Q641,(N641:P641,Q641:AE641)),0)</f>
        <v>3</v>
      </c>
      <c r="AX641" s="5">
        <f>IF(R641&gt;0,RANK(R641,(N641:P641,Q641:AE641)),0)</f>
        <v>4</v>
      </c>
      <c r="AY641" s="5">
        <f>IF(T641&gt;0,RANK(T641,(N641:P641,Q641:AE641)),0)</f>
        <v>0</v>
      </c>
      <c r="AZ641" s="5">
        <f>IF(S641&gt;0,RANK(S641,(N641:P641,Q641:AE641)),0)</f>
        <v>0</v>
      </c>
      <c r="BA641" s="2">
        <f t="shared" si="269"/>
        <v>2.8004667444574097E-2</v>
      </c>
      <c r="BB641" s="2">
        <f t="shared" si="270"/>
        <v>1.0112796577207312E-2</v>
      </c>
      <c r="BC641" s="2">
        <f t="shared" si="271"/>
        <v>0</v>
      </c>
      <c r="BD641" s="2">
        <f t="shared" si="272"/>
        <v>0</v>
      </c>
      <c r="BF641" t="s">
        <v>1197</v>
      </c>
      <c r="BG641" t="s">
        <v>1368</v>
      </c>
      <c r="BH641">
        <v>13</v>
      </c>
      <c r="BJ641" s="114">
        <v>17</v>
      </c>
      <c r="BK641" s="116">
        <v>13</v>
      </c>
      <c r="BL641" s="120">
        <f t="shared" si="258"/>
        <v>17013</v>
      </c>
      <c r="BN641" s="5" t="s">
        <v>3154</v>
      </c>
      <c r="BW641" s="8"/>
      <c r="BY641" s="63">
        <f t="shared" si="273"/>
        <v>0</v>
      </c>
      <c r="BZ641" s="63">
        <f>13+26+72+739+1721</f>
        <v>2571</v>
      </c>
      <c r="CA641" s="132">
        <v>13</v>
      </c>
      <c r="CB641" s="132"/>
      <c r="CD641" s="63">
        <v>0</v>
      </c>
      <c r="CE641" s="63">
        <v>0</v>
      </c>
      <c r="CF641" s="63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</row>
    <row r="642" spans="1:100" hidden="1" outlineLevel="1">
      <c r="A642" t="s">
        <v>1675</v>
      </c>
      <c r="B642" t="s">
        <v>1368</v>
      </c>
      <c r="C642" s="1">
        <f t="shared" si="262"/>
        <v>7445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>IF(P642&gt;0,RANK(P642,(N642:P642,Q642:AE642)),0)</f>
        <v>6</v>
      </c>
      <c r="G642" s="132">
        <f t="shared" si="263"/>
        <v>1987</v>
      </c>
      <c r="H642" s="137">
        <f t="shared" si="264"/>
        <v>0.26689053055742107</v>
      </c>
      <c r="I642" s="2"/>
      <c r="J642" s="2">
        <f t="shared" si="265"/>
        <v>0.32867696440564137</v>
      </c>
      <c r="K642" s="2">
        <f t="shared" si="266"/>
        <v>0.59556749496306249</v>
      </c>
      <c r="L642" s="2">
        <f t="shared" si="267"/>
        <v>1.880456682337139E-3</v>
      </c>
      <c r="M642" s="2">
        <f t="shared" si="268"/>
        <v>7.3875083948959058E-2</v>
      </c>
      <c r="N642" s="63">
        <v>2447</v>
      </c>
      <c r="O642" s="63">
        <v>4434</v>
      </c>
      <c r="P642" s="63">
        <v>14</v>
      </c>
      <c r="Q642" s="63">
        <v>395</v>
      </c>
      <c r="R642" s="63">
        <v>98</v>
      </c>
      <c r="S642" s="63">
        <v>5</v>
      </c>
      <c r="T642" s="63"/>
      <c r="U642" s="63"/>
      <c r="V642" s="63"/>
      <c r="W642" s="63">
        <f>IF(Copyright!B$11=1,IF(CA642&gt;0,CA642-SUM(S642:V642)-P642-SUM(X642:AQ642),SUM(CB642:CW642)),SUM(CC642:CW642))</f>
        <v>52</v>
      </c>
      <c r="X642" s="63"/>
      <c r="Y642" s="63">
        <v>0</v>
      </c>
      <c r="Z642" s="63"/>
      <c r="AA642" s="63"/>
      <c r="AB642" s="63"/>
      <c r="AC642" s="63"/>
      <c r="AD642" s="63"/>
      <c r="AE642" s="63">
        <v>0</v>
      </c>
      <c r="AF642" s="63"/>
      <c r="AG642" s="63"/>
      <c r="AH642" s="63"/>
      <c r="AI642" s="63"/>
      <c r="AJ642" s="63"/>
      <c r="AK642" s="63"/>
      <c r="AL642" s="63"/>
      <c r="AM642" s="63">
        <v>0</v>
      </c>
      <c r="AN642" s="63"/>
      <c r="AO642" s="63"/>
      <c r="AP642" s="63"/>
      <c r="AQ642" s="63"/>
      <c r="AR642" s="63"/>
      <c r="AS642" s="63"/>
      <c r="AT642" s="63"/>
      <c r="AU642" s="63"/>
      <c r="AW642" s="5">
        <f>IF(Q642&gt;0,RANK(Q642,(N642:P642,Q642:AE642)),0)</f>
        <v>3</v>
      </c>
      <c r="AX642" s="5">
        <f>IF(R642&gt;0,RANK(R642,(N642:P642,Q642:AE642)),0)</f>
        <v>4</v>
      </c>
      <c r="AY642" s="5">
        <f>IF(T642&gt;0,RANK(T642,(N642:P642,Q642:AE642)),0)</f>
        <v>0</v>
      </c>
      <c r="AZ642" s="5">
        <f>IF(S642&gt;0,RANK(S642,(N642:P642,Q642:AE642)),0)</f>
        <v>7</v>
      </c>
      <c r="BA642" s="2">
        <f t="shared" si="269"/>
        <v>5.3055742108797849E-2</v>
      </c>
      <c r="BB642" s="2">
        <f t="shared" si="270"/>
        <v>1.3163196776359973E-2</v>
      </c>
      <c r="BC642" s="2">
        <f t="shared" si="271"/>
        <v>0</v>
      </c>
      <c r="BD642" s="2">
        <f t="shared" si="272"/>
        <v>6.7159167226326397E-4</v>
      </c>
      <c r="BF642" t="s">
        <v>1675</v>
      </c>
      <c r="BG642" t="s">
        <v>1368</v>
      </c>
      <c r="BH642">
        <v>17</v>
      </c>
      <c r="BJ642" s="114">
        <v>17</v>
      </c>
      <c r="BK642" s="116">
        <v>15</v>
      </c>
      <c r="BL642" s="120">
        <f t="shared" si="258"/>
        <v>17015</v>
      </c>
      <c r="BN642" s="5" t="s">
        <v>3154</v>
      </c>
      <c r="BO642" s="63">
        <v>106</v>
      </c>
      <c r="BP642" s="63">
        <v>15</v>
      </c>
      <c r="BR642" s="63"/>
      <c r="BW642" s="8"/>
      <c r="BX642" s="132" t="s">
        <v>3255</v>
      </c>
      <c r="BY642" s="63">
        <f t="shared" si="273"/>
        <v>0</v>
      </c>
      <c r="BZ642" s="63">
        <v>7445</v>
      </c>
      <c r="CA642" s="132">
        <v>71</v>
      </c>
      <c r="CB642" s="132"/>
      <c r="CD642" s="63">
        <v>0</v>
      </c>
      <c r="CE642" s="63">
        <v>0</v>
      </c>
      <c r="CF642" s="63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</row>
    <row r="643" spans="1:100" hidden="1" outlineLevel="1">
      <c r="A643" t="s">
        <v>339</v>
      </c>
      <c r="B643" t="s">
        <v>1368</v>
      </c>
      <c r="C643" s="1">
        <f t="shared" si="262"/>
        <v>5124</v>
      </c>
      <c r="D643" s="5">
        <f>IF(N643&gt;0, RANK(N643,(N643:P643,Q643:AE643)),0)</f>
        <v>2</v>
      </c>
      <c r="E643" s="5">
        <f>IF(O643&gt;0,RANK(O643,(N643:P643,Q643:AE643)),0)</f>
        <v>1</v>
      </c>
      <c r="F643" s="5">
        <f>IF(P643&gt;0,RANK(P643,(N643:P643,Q643:AE643)),0)</f>
        <v>6</v>
      </c>
      <c r="G643" s="132">
        <f t="shared" si="263"/>
        <v>1595</v>
      </c>
      <c r="H643" s="137">
        <f t="shared" si="264"/>
        <v>0.31128024980483998</v>
      </c>
      <c r="I643" s="2"/>
      <c r="J643" s="2">
        <f t="shared" si="265"/>
        <v>0.31635441061670572</v>
      </c>
      <c r="K643" s="2">
        <f t="shared" si="266"/>
        <v>0.6276346604215457</v>
      </c>
      <c r="L643" s="2">
        <f t="shared" si="267"/>
        <v>2.34192037470726E-3</v>
      </c>
      <c r="M643" s="2">
        <f t="shared" si="268"/>
        <v>5.3669008587041267E-2</v>
      </c>
      <c r="N643" s="63">
        <v>1621</v>
      </c>
      <c r="O643" s="63">
        <v>3216</v>
      </c>
      <c r="P643" s="63">
        <v>12</v>
      </c>
      <c r="Q643" s="63">
        <v>172</v>
      </c>
      <c r="R643" s="63">
        <v>51</v>
      </c>
      <c r="S643" s="63">
        <v>3</v>
      </c>
      <c r="T643" s="63"/>
      <c r="U643" s="63"/>
      <c r="V643" s="63"/>
      <c r="W643" s="63">
        <f>IF(Copyright!B$11=1,IF(CA643&gt;0,CA643-SUM(S643:V643)-P643-SUM(X643:AQ643),SUM(CB643:CW643)),SUM(CC643:CW643))</f>
        <v>49</v>
      </c>
      <c r="X643" s="63"/>
      <c r="Y643" s="63">
        <v>0</v>
      </c>
      <c r="Z643" s="63"/>
      <c r="AA643" s="63"/>
      <c r="AB643" s="63"/>
      <c r="AC643" s="63"/>
      <c r="AD643" s="63"/>
      <c r="AE643" s="63">
        <v>0</v>
      </c>
      <c r="AF643" s="63"/>
      <c r="AG643" s="63"/>
      <c r="AH643" s="63"/>
      <c r="AI643" s="63"/>
      <c r="AJ643" s="63"/>
      <c r="AK643" s="63"/>
      <c r="AL643" s="63"/>
      <c r="AM643" s="63">
        <v>0</v>
      </c>
      <c r="AN643" s="63"/>
      <c r="AO643" s="63"/>
      <c r="AP643" s="63"/>
      <c r="AQ643" s="63"/>
      <c r="AR643" s="63"/>
      <c r="AS643" s="63"/>
      <c r="AT643" s="63"/>
      <c r="AU643" s="63"/>
      <c r="AW643" s="5">
        <f>IF(Q643&gt;0,RANK(Q643,(N643:P643,Q643:AE643)),0)</f>
        <v>3</v>
      </c>
      <c r="AX643" s="5">
        <f>IF(R643&gt;0,RANK(R643,(N643:P643,Q643:AE643)),0)</f>
        <v>4</v>
      </c>
      <c r="AY643" s="5">
        <f>IF(T643&gt;0,RANK(T643,(N643:P643,Q643:AE643)),0)</f>
        <v>0</v>
      </c>
      <c r="AZ643" s="5">
        <f>IF(S643&gt;0,RANK(S643,(N643:P643,Q643:AE643)),0)</f>
        <v>7</v>
      </c>
      <c r="BA643" s="2">
        <f t="shared" si="269"/>
        <v>3.3567525370804062E-2</v>
      </c>
      <c r="BB643" s="2">
        <f t="shared" si="270"/>
        <v>9.9531615925058554E-3</v>
      </c>
      <c r="BC643" s="2">
        <f t="shared" si="271"/>
        <v>0</v>
      </c>
      <c r="BD643" s="2">
        <f t="shared" si="272"/>
        <v>5.8548009367681499E-4</v>
      </c>
      <c r="BF643" t="s">
        <v>339</v>
      </c>
      <c r="BG643" t="s">
        <v>1368</v>
      </c>
      <c r="BH643">
        <v>18</v>
      </c>
      <c r="BJ643" s="114">
        <v>17</v>
      </c>
      <c r="BK643" s="116">
        <v>17</v>
      </c>
      <c r="BL643" s="120">
        <f t="shared" si="258"/>
        <v>17017</v>
      </c>
      <c r="BN643" s="5" t="s">
        <v>3154</v>
      </c>
      <c r="BO643" s="63">
        <v>56</v>
      </c>
      <c r="BP643" s="63">
        <v>7</v>
      </c>
      <c r="BR643" s="63"/>
      <c r="BW643" s="8"/>
      <c r="BX643" s="132" t="s">
        <v>3255</v>
      </c>
      <c r="BY643" s="63">
        <f t="shared" si="273"/>
        <v>0</v>
      </c>
      <c r="BZ643" s="63">
        <v>5124</v>
      </c>
      <c r="CA643" s="132">
        <v>64</v>
      </c>
      <c r="CB643" s="132"/>
      <c r="CD643" s="63">
        <v>0</v>
      </c>
      <c r="CE643" s="63">
        <v>0</v>
      </c>
      <c r="CF643" s="63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0</v>
      </c>
      <c r="CP643" s="8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</row>
    <row r="644" spans="1:100" hidden="1" outlineLevel="1">
      <c r="A644" t="s">
        <v>840</v>
      </c>
      <c r="B644" t="s">
        <v>1368</v>
      </c>
      <c r="C644" s="1">
        <f t="shared" si="262"/>
        <v>91628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>IF(P644&gt;0,RANK(P644,(N644:P644,Q644:AE644)),0)</f>
        <v>6</v>
      </c>
      <c r="G644" s="132">
        <f t="shared" si="263"/>
        <v>16769</v>
      </c>
      <c r="H644" s="137">
        <f t="shared" si="264"/>
        <v>0.18301174313528615</v>
      </c>
      <c r="I644" s="2"/>
      <c r="J644" s="2">
        <f t="shared" si="265"/>
        <v>0.54717990134020167</v>
      </c>
      <c r="K644" s="2">
        <f t="shared" si="266"/>
        <v>0.36416815820491555</v>
      </c>
      <c r="L644" s="2">
        <f t="shared" si="267"/>
        <v>6.7664905923953376E-3</v>
      </c>
      <c r="M644" s="2">
        <f t="shared" si="268"/>
        <v>8.1885449862487442E-2</v>
      </c>
      <c r="N644" s="63">
        <v>50137</v>
      </c>
      <c r="O644" s="63">
        <v>33368</v>
      </c>
      <c r="P644" s="63">
        <v>620</v>
      </c>
      <c r="Q644" s="63">
        <v>4547</v>
      </c>
      <c r="R644" s="63">
        <v>1797</v>
      </c>
      <c r="S644" s="63">
        <v>25</v>
      </c>
      <c r="T644" s="63"/>
      <c r="U644" s="63"/>
      <c r="V644" s="63"/>
      <c r="W644" s="63">
        <f>IF(Copyright!B$11=1,IF(CA644&gt;0,CA644-SUM(S644:V644)-P644-SUM(X644:AQ644),SUM(CB644:CW644)),SUM(CC644:CW644))</f>
        <v>1112</v>
      </c>
      <c r="X644" s="63"/>
      <c r="Y644" s="63">
        <v>3</v>
      </c>
      <c r="Z644" s="63"/>
      <c r="AA644" s="63"/>
      <c r="AB644" s="63"/>
      <c r="AC644" s="63"/>
      <c r="AD644" s="63"/>
      <c r="AE644" s="63">
        <v>19</v>
      </c>
      <c r="AF644" s="63"/>
      <c r="AG644" s="63"/>
      <c r="AH644" s="63"/>
      <c r="AI644" s="63"/>
      <c r="AJ644" s="63"/>
      <c r="AK644" s="63"/>
      <c r="AL644" s="63"/>
      <c r="AM644" s="63">
        <v>0</v>
      </c>
      <c r="AN644" s="63"/>
      <c r="AO644" s="63"/>
      <c r="AP644" s="63"/>
      <c r="AQ644" s="63"/>
      <c r="AR644" s="63"/>
      <c r="AS644" s="63"/>
      <c r="AT644" s="63"/>
      <c r="AU644" s="63"/>
      <c r="AW644" s="5">
        <f>IF(Q644&gt;0,RANK(Q644,(N644:P644,Q644:AE644)),0)</f>
        <v>3</v>
      </c>
      <c r="AX644" s="5">
        <f>IF(R644&gt;0,RANK(R644,(N644:P644,Q644:AE644)),0)</f>
        <v>4</v>
      </c>
      <c r="AY644" s="5">
        <f>IF(T644&gt;0,RANK(T644,(N644:P644,Q644:AE644)),0)</f>
        <v>0</v>
      </c>
      <c r="AZ644" s="5">
        <f>IF(S644&gt;0,RANK(S644,(N644:P644,Q644:AE644)),0)</f>
        <v>7</v>
      </c>
      <c r="BA644" s="2">
        <f t="shared" si="269"/>
        <v>4.96245689090671E-2</v>
      </c>
      <c r="BB644" s="2">
        <f t="shared" si="270"/>
        <v>1.9611909023442616E-2</v>
      </c>
      <c r="BC644" s="2">
        <f t="shared" si="271"/>
        <v>0</v>
      </c>
      <c r="BD644" s="2">
        <f t="shared" si="272"/>
        <v>2.7284236259658619E-4</v>
      </c>
      <c r="BF644" t="s">
        <v>840</v>
      </c>
      <c r="BG644" t="s">
        <v>1368</v>
      </c>
      <c r="BJ644" s="114">
        <v>17</v>
      </c>
      <c r="BK644" s="116">
        <v>19</v>
      </c>
      <c r="BL644" s="120">
        <f t="shared" si="258"/>
        <v>17019</v>
      </c>
      <c r="BN644" s="5" t="s">
        <v>3154</v>
      </c>
      <c r="BO644" s="63">
        <v>1098</v>
      </c>
      <c r="BP644" s="63">
        <v>116</v>
      </c>
      <c r="BR644" s="63"/>
      <c r="BW644" s="8"/>
      <c r="BY644" s="63">
        <f t="shared" si="273"/>
        <v>0</v>
      </c>
      <c r="BZ644" s="63">
        <f>50137+33368+4547+1797+1779</f>
        <v>91628</v>
      </c>
      <c r="CA644" s="132">
        <v>1779</v>
      </c>
      <c r="CB644" s="132"/>
      <c r="CD644" s="63">
        <v>50</v>
      </c>
      <c r="CE644" s="63">
        <v>0</v>
      </c>
      <c r="CF644" s="63">
        <v>2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1</v>
      </c>
      <c r="CM644" s="8">
        <v>0</v>
      </c>
      <c r="CN644" s="8">
        <v>0</v>
      </c>
      <c r="CO644" s="8">
        <v>0</v>
      </c>
      <c r="CP644" s="8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</row>
    <row r="645" spans="1:100" hidden="1" outlineLevel="1">
      <c r="A645" t="s">
        <v>2836</v>
      </c>
      <c r="B645" t="s">
        <v>1368</v>
      </c>
      <c r="C645" s="1">
        <f t="shared" si="262"/>
        <v>15477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6</v>
      </c>
      <c r="G645" s="132">
        <f t="shared" si="263"/>
        <v>6551</v>
      </c>
      <c r="H645" s="137">
        <f t="shared" si="264"/>
        <v>0.42327324416876655</v>
      </c>
      <c r="I645" s="2"/>
      <c r="J645" s="2">
        <f t="shared" si="265"/>
        <v>0.25793112360276538</v>
      </c>
      <c r="K645" s="2">
        <f t="shared" si="266"/>
        <v>0.68120436777153193</v>
      </c>
      <c r="L645" s="2">
        <f t="shared" si="267"/>
        <v>1.0984040834787104E-3</v>
      </c>
      <c r="M645" s="2">
        <f t="shared" si="268"/>
        <v>5.9766104542223988E-2</v>
      </c>
      <c r="N645" s="63">
        <v>3992</v>
      </c>
      <c r="O645" s="63">
        <v>10543</v>
      </c>
      <c r="P645" s="63">
        <v>17</v>
      </c>
      <c r="Q645" s="63">
        <v>662</v>
      </c>
      <c r="R645" s="63">
        <v>149</v>
      </c>
      <c r="S645" s="63">
        <v>1</v>
      </c>
      <c r="T645" s="63"/>
      <c r="U645" s="63"/>
      <c r="V645" s="63"/>
      <c r="W645" s="63">
        <f>IF(Copyright!B$11=1,IF(CA645&gt;0,CA645-SUM(S645:V645)-P645-SUM(X645:AQ645),SUM(CB645:CW645)),SUM(CC645:CW645))</f>
        <v>113</v>
      </c>
      <c r="X645" s="63"/>
      <c r="Y645" s="63">
        <v>0</v>
      </c>
      <c r="Z645" s="63"/>
      <c r="AA645" s="63"/>
      <c r="AB645" s="63"/>
      <c r="AC645" s="63"/>
      <c r="AD645" s="63"/>
      <c r="AE645" s="63">
        <v>0</v>
      </c>
      <c r="AF645" s="63"/>
      <c r="AG645" s="63"/>
      <c r="AH645" s="63"/>
      <c r="AI645" s="63"/>
      <c r="AJ645" s="63"/>
      <c r="AK645" s="63"/>
      <c r="AL645" s="63"/>
      <c r="AM645" s="63">
        <v>0</v>
      </c>
      <c r="AN645" s="63"/>
      <c r="AO645" s="63"/>
      <c r="AP645" s="63"/>
      <c r="AQ645" s="63"/>
      <c r="AR645" s="63"/>
      <c r="AS645" s="63"/>
      <c r="AT645" s="63"/>
      <c r="AU645" s="63"/>
      <c r="AW645" s="5">
        <f>IF(Q645&gt;0,RANK(Q645,(N645:P645,Q645:AE645)),0)</f>
        <v>3</v>
      </c>
      <c r="AX645" s="5">
        <f>IF(R645&gt;0,RANK(R645,(N645:P645,Q645:AE645)),0)</f>
        <v>4</v>
      </c>
      <c r="AY645" s="5">
        <f>IF(T645&gt;0,RANK(T645,(N645:P645,Q645:AE645)),0)</f>
        <v>0</v>
      </c>
      <c r="AZ645" s="5">
        <f>IF(S645&gt;0,RANK(S645,(N645:P645,Q645:AE645)),0)</f>
        <v>7</v>
      </c>
      <c r="BA645" s="2">
        <f t="shared" si="269"/>
        <v>4.2773147250759189E-2</v>
      </c>
      <c r="BB645" s="2">
        <f t="shared" si="270"/>
        <v>9.6271887316663439E-3</v>
      </c>
      <c r="BC645" s="2">
        <f t="shared" si="271"/>
        <v>0</v>
      </c>
      <c r="BD645" s="2">
        <f t="shared" si="272"/>
        <v>6.461200491051237E-5</v>
      </c>
      <c r="BF645" t="s">
        <v>2836</v>
      </c>
      <c r="BG645" t="s">
        <v>1368</v>
      </c>
      <c r="BH645">
        <v>13</v>
      </c>
      <c r="BJ645" s="114">
        <v>17</v>
      </c>
      <c r="BK645" s="116">
        <v>21</v>
      </c>
      <c r="BL645" s="120">
        <f t="shared" si="258"/>
        <v>17021</v>
      </c>
      <c r="BN645" s="5" t="s">
        <v>3154</v>
      </c>
      <c r="BR645" s="63"/>
      <c r="BW645" s="8"/>
      <c r="BX645" s="132" t="s">
        <v>2498</v>
      </c>
      <c r="BY645" s="63">
        <f t="shared" si="273"/>
        <v>0</v>
      </c>
      <c r="BZ645" s="63">
        <v>15477</v>
      </c>
      <c r="CA645" s="132">
        <f>15477-3992-10543-662-149</f>
        <v>131</v>
      </c>
      <c r="CB645" s="132"/>
      <c r="CD645" s="63">
        <v>0</v>
      </c>
      <c r="CE645" s="63">
        <v>0</v>
      </c>
      <c r="CF645" s="63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 hidden="1" outlineLevel="1">
      <c r="A646" t="s">
        <v>392</v>
      </c>
      <c r="B646" t="s">
        <v>1368</v>
      </c>
      <c r="C646" s="1">
        <f t="shared" si="262"/>
        <v>7928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6</v>
      </c>
      <c r="G646" s="132">
        <f t="shared" si="263"/>
        <v>3745</v>
      </c>
      <c r="H646" s="137">
        <f t="shared" si="264"/>
        <v>0.47237638748738647</v>
      </c>
      <c r="I646" s="2"/>
      <c r="J646" s="2">
        <f t="shared" si="265"/>
        <v>0.23675580221997983</v>
      </c>
      <c r="K646" s="2">
        <f t="shared" si="266"/>
        <v>0.70913218970736625</v>
      </c>
      <c r="L646" s="2">
        <f t="shared" si="267"/>
        <v>1.3874873864783048E-3</v>
      </c>
      <c r="M646" s="2">
        <f t="shared" si="268"/>
        <v>5.272452068617562E-2</v>
      </c>
      <c r="N646" s="63">
        <v>1877</v>
      </c>
      <c r="O646" s="63">
        <v>5622</v>
      </c>
      <c r="P646" s="63">
        <v>11</v>
      </c>
      <c r="Q646" s="63">
        <v>277</v>
      </c>
      <c r="R646" s="63">
        <v>49</v>
      </c>
      <c r="S646" s="63">
        <v>5</v>
      </c>
      <c r="T646" s="63"/>
      <c r="U646" s="63"/>
      <c r="V646" s="63"/>
      <c r="W646" s="63">
        <f>IF(Copyright!B$11=1,IF(CA646&gt;0,CA646-SUM(S646:V646)-P646-SUM(X646:AQ646),SUM(CB646:CW646)),SUM(CC646:CW646))</f>
        <v>87</v>
      </c>
      <c r="X646" s="63"/>
      <c r="Y646" s="63">
        <v>0</v>
      </c>
      <c r="Z646" s="63"/>
      <c r="AA646" s="63"/>
      <c r="AB646" s="63"/>
      <c r="AC646" s="63"/>
      <c r="AD646" s="63"/>
      <c r="AE646" s="63">
        <v>0</v>
      </c>
      <c r="AF646" s="63"/>
      <c r="AG646" s="63"/>
      <c r="AH646" s="63"/>
      <c r="AI646" s="63"/>
      <c r="AJ646" s="63"/>
      <c r="AK646" s="63"/>
      <c r="AL646" s="63"/>
      <c r="AM646" s="63">
        <v>0</v>
      </c>
      <c r="AN646" s="63"/>
      <c r="AO646" s="63"/>
      <c r="AP646" s="63"/>
      <c r="AQ646" s="63"/>
      <c r="AR646" s="63"/>
      <c r="AS646" s="63"/>
      <c r="AT646" s="63"/>
      <c r="AU646" s="63"/>
      <c r="AW646" s="5">
        <f>IF(Q646&gt;0,RANK(Q646,(N646:P646,Q646:AE646)),0)</f>
        <v>3</v>
      </c>
      <c r="AX646" s="5">
        <f>IF(R646&gt;0,RANK(R646,(N646:P646,Q646:AE646)),0)</f>
        <v>5</v>
      </c>
      <c r="AY646" s="5">
        <f>IF(T646&gt;0,RANK(T646,(N646:P646,Q646:AE646)),0)</f>
        <v>0</v>
      </c>
      <c r="AZ646" s="5">
        <f>IF(S646&gt;0,RANK(S646,(N646:P646,Q646:AE646)),0)</f>
        <v>7</v>
      </c>
      <c r="BA646" s="2">
        <f t="shared" si="269"/>
        <v>3.4939455095862763E-2</v>
      </c>
      <c r="BB646" s="2">
        <f t="shared" si="270"/>
        <v>6.1806256306760846E-3</v>
      </c>
      <c r="BC646" s="2">
        <f t="shared" si="271"/>
        <v>0</v>
      </c>
      <c r="BD646" s="2">
        <f t="shared" si="272"/>
        <v>6.3067608476286582E-4</v>
      </c>
      <c r="BF646" t="s">
        <v>392</v>
      </c>
      <c r="BG646" t="s">
        <v>1368</v>
      </c>
      <c r="BH646">
        <v>15</v>
      </c>
      <c r="BJ646" s="114">
        <v>17</v>
      </c>
      <c r="BK646" s="116">
        <v>23</v>
      </c>
      <c r="BL646" s="120">
        <f t="shared" si="258"/>
        <v>17023</v>
      </c>
      <c r="BN646" s="5" t="s">
        <v>3154</v>
      </c>
      <c r="BW646" s="8"/>
      <c r="BX646" s="132" t="s">
        <v>2498</v>
      </c>
      <c r="BY646" s="63">
        <f t="shared" si="273"/>
        <v>0</v>
      </c>
      <c r="BZ646" s="63">
        <v>7928</v>
      </c>
      <c r="CA646" s="132">
        <f>87+11+5</f>
        <v>103</v>
      </c>
      <c r="CB646" s="132"/>
      <c r="CD646" s="63">
        <v>0</v>
      </c>
      <c r="CE646" s="63">
        <v>0</v>
      </c>
      <c r="CF646" s="63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</row>
    <row r="647" spans="1:100" hidden="1" outlineLevel="1">
      <c r="A647" t="s">
        <v>3093</v>
      </c>
      <c r="B647" t="s">
        <v>1368</v>
      </c>
      <c r="C647" s="1">
        <f t="shared" si="262"/>
        <v>6350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6</v>
      </c>
      <c r="G647" s="132">
        <f t="shared" si="263"/>
        <v>4001</v>
      </c>
      <c r="H647" s="137">
        <f t="shared" si="264"/>
        <v>0.63007874015748033</v>
      </c>
      <c r="I647" s="2"/>
      <c r="J647" s="2">
        <f t="shared" si="265"/>
        <v>0.16062992125984252</v>
      </c>
      <c r="K647" s="2">
        <f t="shared" si="266"/>
        <v>0.79070866141732288</v>
      </c>
      <c r="L647" s="2">
        <f t="shared" si="267"/>
        <v>1.7322834645669292E-3</v>
      </c>
      <c r="M647" s="2">
        <f t="shared" si="268"/>
        <v>4.6929133858267649E-2</v>
      </c>
      <c r="N647" s="63">
        <v>1020</v>
      </c>
      <c r="O647" s="63">
        <v>5021</v>
      </c>
      <c r="P647" s="63">
        <v>11</v>
      </c>
      <c r="Q647" s="63">
        <v>209</v>
      </c>
      <c r="R647" s="63">
        <v>48</v>
      </c>
      <c r="S647" s="63">
        <v>4</v>
      </c>
      <c r="T647" s="63"/>
      <c r="U647" s="63"/>
      <c r="V647" s="63"/>
      <c r="W647" s="63">
        <f>IF(Copyright!B$11=1,IF(CA647&gt;0,CA647-SUM(S647:V647)-P647-SUM(X647:AQ647),SUM(CB647:CW647)),SUM(CC647:CW647))</f>
        <v>37</v>
      </c>
      <c r="X647" s="63"/>
      <c r="Y647" s="63">
        <v>0</v>
      </c>
      <c r="Z647" s="63"/>
      <c r="AA647" s="63"/>
      <c r="AB647" s="63"/>
      <c r="AC647" s="63"/>
      <c r="AD647" s="63"/>
      <c r="AE647" s="63">
        <v>0</v>
      </c>
      <c r="AF647" s="63"/>
      <c r="AG647" s="63"/>
      <c r="AH647" s="63"/>
      <c r="AI647" s="63"/>
      <c r="AJ647" s="63"/>
      <c r="AK647" s="63"/>
      <c r="AL647" s="63"/>
      <c r="AM647" s="63">
        <v>0</v>
      </c>
      <c r="AN647" s="63"/>
      <c r="AO647" s="63"/>
      <c r="AP647" s="63"/>
      <c r="AQ647" s="63"/>
      <c r="AR647" s="63"/>
      <c r="AS647" s="63"/>
      <c r="AT647" s="63"/>
      <c r="AU647" s="63"/>
      <c r="AW647" s="5">
        <f>IF(Q647&gt;0,RANK(Q647,(N647:P647,Q647:AE647)),0)</f>
        <v>3</v>
      </c>
      <c r="AX647" s="5">
        <f>IF(R647&gt;0,RANK(R647,(N647:P647,Q647:AE647)),0)</f>
        <v>4</v>
      </c>
      <c r="AY647" s="5">
        <f>IF(T647&gt;0,RANK(T647,(N647:P647,Q647:AE647)),0)</f>
        <v>0</v>
      </c>
      <c r="AZ647" s="5">
        <f>IF(S647&gt;0,RANK(S647,(N647:P647,Q647:AE647)),0)</f>
        <v>7</v>
      </c>
      <c r="BA647" s="2">
        <f t="shared" si="269"/>
        <v>3.2913385826771654E-2</v>
      </c>
      <c r="BB647" s="2">
        <f t="shared" si="270"/>
        <v>7.5590551181102363E-3</v>
      </c>
      <c r="BC647" s="2">
        <f t="shared" si="271"/>
        <v>0</v>
      </c>
      <c r="BD647" s="2">
        <f t="shared" si="272"/>
        <v>6.2992125984251965E-4</v>
      </c>
      <c r="BF647" t="s">
        <v>3093</v>
      </c>
      <c r="BG647" t="s">
        <v>1368</v>
      </c>
      <c r="BH647">
        <v>15</v>
      </c>
      <c r="BJ647" s="114">
        <v>17</v>
      </c>
      <c r="BK647" s="116">
        <v>25</v>
      </c>
      <c r="BL647" s="120">
        <f t="shared" si="258"/>
        <v>17025</v>
      </c>
      <c r="BN647" s="5" t="s">
        <v>3154</v>
      </c>
      <c r="BR647" s="63"/>
      <c r="BW647" s="8"/>
      <c r="BY647" s="63">
        <f t="shared" si="273"/>
        <v>-6350</v>
      </c>
      <c r="CA647" s="133">
        <v>52</v>
      </c>
      <c r="CB647" s="132"/>
      <c r="CD647" s="63">
        <v>0</v>
      </c>
      <c r="CE647" s="63">
        <v>0</v>
      </c>
      <c r="CF647" s="63">
        <v>1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</row>
    <row r="648" spans="1:100" hidden="1" outlineLevel="1">
      <c r="A648" t="s">
        <v>1285</v>
      </c>
      <c r="B648" t="s">
        <v>1368</v>
      </c>
      <c r="C648" s="1">
        <f t="shared" si="262"/>
        <v>17419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6</v>
      </c>
      <c r="G648" s="132">
        <f t="shared" si="263"/>
        <v>8467</v>
      </c>
      <c r="H648" s="137">
        <f t="shared" si="264"/>
        <v>0.4860784201159653</v>
      </c>
      <c r="I648" s="2"/>
      <c r="J648" s="2">
        <f t="shared" si="265"/>
        <v>0.22647683563924451</v>
      </c>
      <c r="K648" s="2">
        <f t="shared" si="266"/>
        <v>0.71255525575520984</v>
      </c>
      <c r="L648" s="2">
        <f t="shared" si="267"/>
        <v>1.664848728400023E-3</v>
      </c>
      <c r="M648" s="2">
        <f t="shared" si="268"/>
        <v>5.930305987714566E-2</v>
      </c>
      <c r="N648" s="63">
        <v>3945</v>
      </c>
      <c r="O648" s="63">
        <v>12412</v>
      </c>
      <c r="P648" s="63">
        <v>29</v>
      </c>
      <c r="Q648" s="63">
        <v>813</v>
      </c>
      <c r="R648" s="63">
        <v>125</v>
      </c>
      <c r="S648" s="63">
        <v>3</v>
      </c>
      <c r="T648" s="63"/>
      <c r="U648" s="63"/>
      <c r="V648" s="63"/>
      <c r="W648" s="63">
        <f>IF(Copyright!B$11=1,IF(CA648&gt;0,CA648-SUM(S648:V648)-P648-SUM(X648:AQ648),SUM(CB648:CW648)),SUM(CC648:CW648))</f>
        <v>92</v>
      </c>
      <c r="X648" s="63"/>
      <c r="Y648" s="63">
        <v>0</v>
      </c>
      <c r="Z648" s="63"/>
      <c r="AA648" s="63"/>
      <c r="AB648" s="63"/>
      <c r="AC648" s="63"/>
      <c r="AD648" s="63"/>
      <c r="AE648" s="63">
        <v>0</v>
      </c>
      <c r="AF648" s="63"/>
      <c r="AG648" s="63"/>
      <c r="AH648" s="63"/>
      <c r="AI648" s="63"/>
      <c r="AJ648" s="63"/>
      <c r="AK648" s="63"/>
      <c r="AL648" s="63"/>
      <c r="AM648" s="63">
        <v>0</v>
      </c>
      <c r="AN648" s="63"/>
      <c r="AO648" s="63"/>
      <c r="AP648" s="63"/>
      <c r="AQ648" s="63"/>
      <c r="AR648" s="63"/>
      <c r="AS648" s="63"/>
      <c r="AT648" s="63"/>
      <c r="AU648" s="63"/>
      <c r="AW648" s="5">
        <f>IF(Q648&gt;0,RANK(Q648,(N648:P648,Q648:AE648)),0)</f>
        <v>3</v>
      </c>
      <c r="AX648" s="5">
        <f>IF(R648&gt;0,RANK(R648,(N648:P648,Q648:AE648)),0)</f>
        <v>4</v>
      </c>
      <c r="AY648" s="5">
        <f>IF(T648&gt;0,RANK(T648,(N648:P648,Q648:AE648)),0)</f>
        <v>0</v>
      </c>
      <c r="AZ648" s="5">
        <f>IF(S648&gt;0,RANK(S648,(N648:P648,Q648:AE648)),0)</f>
        <v>7</v>
      </c>
      <c r="BA648" s="2">
        <f t="shared" si="269"/>
        <v>4.6673172972042022E-2</v>
      </c>
      <c r="BB648" s="2">
        <f t="shared" si="270"/>
        <v>7.1760721051725125E-3</v>
      </c>
      <c r="BC648" s="2">
        <f t="shared" si="271"/>
        <v>0</v>
      </c>
      <c r="BD648" s="2">
        <f t="shared" si="272"/>
        <v>1.7222573052414031E-4</v>
      </c>
      <c r="BF648" t="s">
        <v>1285</v>
      </c>
      <c r="BG648" t="s">
        <v>1368</v>
      </c>
      <c r="BH648">
        <v>15</v>
      </c>
      <c r="BJ648" s="114">
        <v>17</v>
      </c>
      <c r="BK648" s="116">
        <v>27</v>
      </c>
      <c r="BL648" s="120">
        <f t="shared" si="258"/>
        <v>17027</v>
      </c>
      <c r="BN648" s="5" t="s">
        <v>3154</v>
      </c>
      <c r="BW648" s="8"/>
      <c r="BY648" s="63">
        <f t="shared" si="273"/>
        <v>-17419</v>
      </c>
      <c r="CA648" s="133">
        <v>124</v>
      </c>
      <c r="CB648" s="132"/>
      <c r="CD648" s="63">
        <v>0</v>
      </c>
      <c r="CE648" s="63">
        <v>0</v>
      </c>
      <c r="CF648" s="63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</row>
    <row r="649" spans="1:100" hidden="1" outlineLevel="1">
      <c r="A649" t="s">
        <v>2519</v>
      </c>
      <c r="B649" t="s">
        <v>1368</v>
      </c>
      <c r="C649" s="1">
        <f t="shared" si="262"/>
        <v>21918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>IF(P649&gt;0,RANK(P649,(N649:P649,Q649:AE649)),0)</f>
        <v>6</v>
      </c>
      <c r="G649" s="132">
        <f t="shared" si="263"/>
        <v>5694</v>
      </c>
      <c r="H649" s="137">
        <f t="shared" si="264"/>
        <v>0.2597864768683274</v>
      </c>
      <c r="I649" s="2"/>
      <c r="J649" s="2">
        <f t="shared" si="265"/>
        <v>0.33347020713568754</v>
      </c>
      <c r="K649" s="2">
        <f t="shared" si="266"/>
        <v>0.59325668400401499</v>
      </c>
      <c r="L649" s="2">
        <f t="shared" si="267"/>
        <v>2.3724792408066431E-3</v>
      </c>
      <c r="M649" s="2">
        <f t="shared" si="268"/>
        <v>7.0900629619490826E-2</v>
      </c>
      <c r="N649" s="63">
        <v>7309</v>
      </c>
      <c r="O649" s="63">
        <v>13003</v>
      </c>
      <c r="P649" s="63">
        <v>52</v>
      </c>
      <c r="Q649" s="63">
        <v>1025</v>
      </c>
      <c r="R649" s="63">
        <v>287</v>
      </c>
      <c r="S649" s="63">
        <v>3</v>
      </c>
      <c r="T649" s="63"/>
      <c r="U649" s="63"/>
      <c r="V649" s="63"/>
      <c r="W649" s="63">
        <f>IF(Copyright!B$11=1,IF(CA649&gt;0,CA649-SUM(S649:V649)-P649-SUM(X649:AQ649),SUM(CB649:CW649)),SUM(CC649:CW649))</f>
        <v>239</v>
      </c>
      <c r="X649" s="63"/>
      <c r="Y649" s="63">
        <v>0</v>
      </c>
      <c r="Z649" s="63"/>
      <c r="AA649" s="63"/>
      <c r="AB649" s="63"/>
      <c r="AC649" s="63"/>
      <c r="AD649" s="63"/>
      <c r="AE649" s="63">
        <v>0</v>
      </c>
      <c r="AF649" s="63"/>
      <c r="AG649" s="63"/>
      <c r="AH649" s="63"/>
      <c r="AI649" s="63"/>
      <c r="AJ649" s="63"/>
      <c r="AK649" s="63"/>
      <c r="AL649" s="63"/>
      <c r="AM649" s="63">
        <v>0</v>
      </c>
      <c r="AN649" s="63"/>
      <c r="AO649" s="63"/>
      <c r="AP649" s="63"/>
      <c r="AQ649" s="63"/>
      <c r="AR649" s="63"/>
      <c r="AS649" s="63"/>
      <c r="AT649" s="63"/>
      <c r="AU649" s="63"/>
      <c r="AW649" s="5">
        <f>IF(Q649&gt;0,RANK(Q649,(N649:P649,Q649:AE649)),0)</f>
        <v>3</v>
      </c>
      <c r="AX649" s="5">
        <f>IF(R649&gt;0,RANK(R649,(N649:P649,Q649:AE649)),0)</f>
        <v>4</v>
      </c>
      <c r="AY649" s="5">
        <f>IF(T649&gt;0,RANK(T649,(N649:P649,Q649:AE649)),0)</f>
        <v>0</v>
      </c>
      <c r="AZ649" s="5">
        <f>IF(S649&gt;0,RANK(S649,(N649:P649,Q649:AE649)),0)</f>
        <v>7</v>
      </c>
      <c r="BA649" s="2">
        <f t="shared" si="269"/>
        <v>4.6765215804361715E-2</v>
      </c>
      <c r="BB649" s="2">
        <f t="shared" si="270"/>
        <v>1.309426042522128E-2</v>
      </c>
      <c r="BC649" s="2">
        <f t="shared" si="271"/>
        <v>0</v>
      </c>
      <c r="BD649" s="2">
        <f t="shared" si="272"/>
        <v>1.3687380235422939E-4</v>
      </c>
      <c r="BF649" t="s">
        <v>2519</v>
      </c>
      <c r="BG649" t="s">
        <v>1368</v>
      </c>
      <c r="BH649">
        <v>15</v>
      </c>
      <c r="BJ649" s="114">
        <v>17</v>
      </c>
      <c r="BK649" s="116">
        <v>29</v>
      </c>
      <c r="BL649" s="120">
        <f t="shared" si="258"/>
        <v>17029</v>
      </c>
      <c r="BN649" s="5" t="s">
        <v>3154</v>
      </c>
      <c r="BW649" s="8"/>
      <c r="BX649" s="132" t="s">
        <v>2498</v>
      </c>
      <c r="BY649" s="63">
        <f t="shared" si="273"/>
        <v>0</v>
      </c>
      <c r="BZ649" s="63">
        <v>21918</v>
      </c>
      <c r="CA649" s="132">
        <f>21918-7309-13003-1025-287</f>
        <v>294</v>
      </c>
      <c r="CB649" s="132"/>
      <c r="CD649" s="63">
        <v>0</v>
      </c>
      <c r="CE649" s="63">
        <v>0</v>
      </c>
      <c r="CF649" s="63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 hidden="1" outlineLevel="1">
      <c r="A650" t="s">
        <v>1121</v>
      </c>
      <c r="B650" t="s">
        <v>1368</v>
      </c>
      <c r="C650" s="1">
        <f t="shared" si="262"/>
        <v>2180344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>IF(P650&gt;0,RANK(P650,(N650:P650,Q650:AE650)),0)</f>
        <v>6</v>
      </c>
      <c r="G650" s="132">
        <f t="shared" si="263"/>
        <v>1158659</v>
      </c>
      <c r="H650" s="137">
        <f t="shared" si="264"/>
        <v>0.53141109843217404</v>
      </c>
      <c r="I650" s="2"/>
      <c r="J650" s="2">
        <f t="shared" si="265"/>
        <v>0.73930810917910206</v>
      </c>
      <c r="K650" s="2">
        <f t="shared" si="266"/>
        <v>0.20789701074692801</v>
      </c>
      <c r="L650" s="2">
        <f t="shared" si="267"/>
        <v>9.0765493885368548E-4</v>
      </c>
      <c r="M650" s="2">
        <f t="shared" si="268"/>
        <v>5.1887225135116247E-2</v>
      </c>
      <c r="N650" s="63">
        <v>1611946</v>
      </c>
      <c r="O650" s="63">
        <v>453287</v>
      </c>
      <c r="P650" s="63">
        <v>1979</v>
      </c>
      <c r="Q650" s="63">
        <v>58678</v>
      </c>
      <c r="R650" s="63">
        <v>32484</v>
      </c>
      <c r="S650" s="63">
        <v>149</v>
      </c>
      <c r="T650" s="63"/>
      <c r="U650" s="63"/>
      <c r="V650" s="63"/>
      <c r="W650" s="63">
        <f>IF(Copyright!B$11=1,IF(CA650&gt;0,CA650-SUM(S650:V650)-P650-SUM(X650:AQ650),SUM(CB650:CW650)),SUM(CC650:CW650))</f>
        <v>21772</v>
      </c>
      <c r="X650" s="63"/>
      <c r="Y650" s="63">
        <v>14</v>
      </c>
      <c r="Z650" s="63"/>
      <c r="AA650" s="63"/>
      <c r="AB650" s="63"/>
      <c r="AC650" s="63"/>
      <c r="AD650" s="63"/>
      <c r="AE650" s="63">
        <v>30</v>
      </c>
      <c r="AF650" s="63"/>
      <c r="AG650" s="63"/>
      <c r="AH650" s="63"/>
      <c r="AI650" s="63"/>
      <c r="AJ650" s="63"/>
      <c r="AK650" s="63"/>
      <c r="AL650" s="63"/>
      <c r="AM650" s="63">
        <v>5</v>
      </c>
      <c r="AN650" s="63"/>
      <c r="AO650" s="63"/>
      <c r="AP650" s="63"/>
      <c r="AQ650" s="63"/>
      <c r="AR650" s="63"/>
      <c r="AS650" s="63"/>
      <c r="AT650" s="63"/>
      <c r="AU650" s="63"/>
      <c r="AW650" s="5">
        <f>IF(Q650&gt;0,RANK(Q650,(N650:P650,Q650:AE650)),0)</f>
        <v>3</v>
      </c>
      <c r="AX650" s="5">
        <f>IF(R650&gt;0,RANK(R650,(N650:P650,Q650:AE650)),0)</f>
        <v>4</v>
      </c>
      <c r="AY650" s="5">
        <f>IF(T650&gt;0,RANK(T650,(N650:P650,Q650:AE650)),0)</f>
        <v>0</v>
      </c>
      <c r="AZ650" s="5">
        <f>IF(S650&gt;0,RANK(S650,(N650:P650,Q650:AE650)),0)</f>
        <v>7</v>
      </c>
      <c r="BA650" s="2">
        <f t="shared" si="269"/>
        <v>2.6912267055106902E-2</v>
      </c>
      <c r="BB650" s="2">
        <f t="shared" si="270"/>
        <v>1.4898566464741343E-2</v>
      </c>
      <c r="BC650" s="2">
        <f t="shared" si="271"/>
        <v>0</v>
      </c>
      <c r="BD650" s="2">
        <f t="shared" si="272"/>
        <v>6.833784026740735E-5</v>
      </c>
      <c r="BF650" t="s">
        <v>1121</v>
      </c>
      <c r="BG650" t="s">
        <v>1368</v>
      </c>
      <c r="BJ650" s="114">
        <v>17</v>
      </c>
      <c r="BK650" s="116">
        <v>31</v>
      </c>
      <c r="BL650" s="120">
        <f t="shared" si="258"/>
        <v>17031</v>
      </c>
      <c r="BN650" s="5" t="s">
        <v>3154</v>
      </c>
      <c r="BR650" s="63"/>
      <c r="BW650" s="8"/>
      <c r="BX650" s="132"/>
      <c r="BY650" s="63">
        <f t="shared" si="273"/>
        <v>0</v>
      </c>
      <c r="BZ650" s="63">
        <v>2180344</v>
      </c>
      <c r="CA650" s="132">
        <v>23949</v>
      </c>
      <c r="CB650" s="132"/>
      <c r="CD650" s="63">
        <v>0</v>
      </c>
      <c r="CE650" s="63">
        <v>9</v>
      </c>
      <c r="CF650" s="63">
        <v>1</v>
      </c>
      <c r="CG650" s="8">
        <v>15</v>
      </c>
      <c r="CH650" s="8">
        <v>2</v>
      </c>
      <c r="CI650" s="8">
        <v>6</v>
      </c>
      <c r="CJ650" s="8">
        <v>3</v>
      </c>
      <c r="CK650" s="8">
        <v>0</v>
      </c>
      <c r="CL650" s="8">
        <v>1</v>
      </c>
      <c r="CM650" s="8">
        <v>6</v>
      </c>
      <c r="CN650" s="8">
        <v>0</v>
      </c>
      <c r="CO650" s="8">
        <v>0</v>
      </c>
      <c r="CP650" s="8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</row>
    <row r="651" spans="1:100" hidden="1" outlineLevel="1">
      <c r="A651" t="s">
        <v>1875</v>
      </c>
      <c r="B651" t="s">
        <v>1368</v>
      </c>
      <c r="C651" s="1">
        <f t="shared" si="262"/>
        <v>8739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6</v>
      </c>
      <c r="G651" s="132">
        <f t="shared" si="263"/>
        <v>4285</v>
      </c>
      <c r="H651" s="137">
        <f t="shared" si="264"/>
        <v>0.49033070145325552</v>
      </c>
      <c r="I651" s="2"/>
      <c r="J651" s="2">
        <f t="shared" si="265"/>
        <v>0.22794370065224853</v>
      </c>
      <c r="K651" s="2">
        <f t="shared" si="266"/>
        <v>0.71827440210550408</v>
      </c>
      <c r="L651" s="2">
        <f t="shared" si="267"/>
        <v>1.0298661174047373E-3</v>
      </c>
      <c r="M651" s="2">
        <f t="shared" si="268"/>
        <v>5.275203112484262E-2</v>
      </c>
      <c r="N651" s="63">
        <v>1992</v>
      </c>
      <c r="O651" s="63">
        <v>6277</v>
      </c>
      <c r="P651" s="63">
        <v>9</v>
      </c>
      <c r="Q651" s="63">
        <v>324</v>
      </c>
      <c r="R651" s="63">
        <v>68</v>
      </c>
      <c r="S651" s="63">
        <v>1</v>
      </c>
      <c r="T651" s="63"/>
      <c r="U651" s="63"/>
      <c r="V651" s="63"/>
      <c r="W651" s="63">
        <f>IF(Copyright!B$11=1,IF(CA651&gt;0,CA651-SUM(S651:V651)-P651-SUM(X651:AQ651),SUM(CB651:CW651)),SUM(CC651:CW651))</f>
        <v>67</v>
      </c>
      <c r="X651" s="63"/>
      <c r="Y651" s="63">
        <v>0</v>
      </c>
      <c r="Z651" s="63"/>
      <c r="AA651" s="63"/>
      <c r="AB651" s="63"/>
      <c r="AC651" s="63"/>
      <c r="AD651" s="63"/>
      <c r="AE651" s="63">
        <v>0</v>
      </c>
      <c r="AF651" s="63"/>
      <c r="AG651" s="63"/>
      <c r="AH651" s="63"/>
      <c r="AI651" s="63"/>
      <c r="AJ651" s="63"/>
      <c r="AK651" s="63"/>
      <c r="AL651" s="63"/>
      <c r="AM651" s="63">
        <v>1</v>
      </c>
      <c r="AN651" s="63"/>
      <c r="AO651" s="63"/>
      <c r="AP651" s="63"/>
      <c r="AQ651" s="63"/>
      <c r="AR651" s="63"/>
      <c r="AS651" s="63"/>
      <c r="AT651" s="63"/>
      <c r="AU651" s="63"/>
      <c r="AW651" s="5">
        <f>IF(Q651&gt;0,RANK(Q651,(N651:P651,Q651:AE651)),0)</f>
        <v>3</v>
      </c>
      <c r="AX651" s="5">
        <f>IF(R651&gt;0,RANK(R651,(N651:P651,Q651:AE651)),0)</f>
        <v>4</v>
      </c>
      <c r="AY651" s="5">
        <f>IF(T651&gt;0,RANK(T651,(N651:P651,Q651:AE651)),0)</f>
        <v>0</v>
      </c>
      <c r="AZ651" s="5">
        <f>IF(S651&gt;0,RANK(S651,(N651:P651,Q651:AE651)),0)</f>
        <v>7</v>
      </c>
      <c r="BA651" s="2">
        <f t="shared" si="269"/>
        <v>3.7075180226570546E-2</v>
      </c>
      <c r="BB651" s="2">
        <f t="shared" si="270"/>
        <v>7.7812106648357934E-3</v>
      </c>
      <c r="BC651" s="2">
        <f t="shared" si="271"/>
        <v>0</v>
      </c>
      <c r="BD651" s="2">
        <f t="shared" si="272"/>
        <v>1.1442956860052638E-4</v>
      </c>
      <c r="BF651" t="s">
        <v>1875</v>
      </c>
      <c r="BG651" t="s">
        <v>1368</v>
      </c>
      <c r="BH651">
        <v>15</v>
      </c>
      <c r="BJ651" s="114">
        <v>17</v>
      </c>
      <c r="BK651" s="116">
        <v>33</v>
      </c>
      <c r="BL651" s="120">
        <f t="shared" si="258"/>
        <v>17033</v>
      </c>
      <c r="BN651" s="5" t="s">
        <v>3154</v>
      </c>
      <c r="BW651" s="8"/>
      <c r="BX651" s="132" t="s">
        <v>3257</v>
      </c>
      <c r="BY651" s="63">
        <f t="shared" si="273"/>
        <v>0</v>
      </c>
      <c r="BZ651" s="63">
        <v>8739</v>
      </c>
      <c r="CA651" s="132">
        <f>1+9+1+67</f>
        <v>78</v>
      </c>
      <c r="CB651" s="132"/>
      <c r="CD651" s="63">
        <v>0</v>
      </c>
      <c r="CE651" s="63">
        <v>0</v>
      </c>
      <c r="CF651" s="63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</row>
    <row r="652" spans="1:100" hidden="1" outlineLevel="1">
      <c r="A652" t="s">
        <v>1531</v>
      </c>
      <c r="B652" t="s">
        <v>1368</v>
      </c>
      <c r="C652" s="1">
        <f t="shared" si="262"/>
        <v>5571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>IF(P652&gt;0,RANK(P652,(N652:P652,Q652:AE652)),0)</f>
        <v>6</v>
      </c>
      <c r="G652" s="132">
        <f t="shared" si="263"/>
        <v>3175</v>
      </c>
      <c r="H652" s="137">
        <f t="shared" si="264"/>
        <v>0.56991563453598992</v>
      </c>
      <c r="I652" s="2"/>
      <c r="J652" s="2">
        <f t="shared" si="265"/>
        <v>0.18506551786034822</v>
      </c>
      <c r="K652" s="2">
        <f t="shared" si="266"/>
        <v>0.75498115239633823</v>
      </c>
      <c r="L652" s="2">
        <f t="shared" si="267"/>
        <v>7.1800394902171965E-4</v>
      </c>
      <c r="M652" s="2">
        <f t="shared" si="268"/>
        <v>5.923532579429186E-2</v>
      </c>
      <c r="N652" s="63">
        <v>1031</v>
      </c>
      <c r="O652" s="63">
        <v>4206</v>
      </c>
      <c r="P652" s="63">
        <v>4</v>
      </c>
      <c r="Q652" s="63">
        <v>238</v>
      </c>
      <c r="R652" s="63">
        <v>47</v>
      </c>
      <c r="S652" s="63">
        <v>0</v>
      </c>
      <c r="T652" s="63"/>
      <c r="U652" s="63"/>
      <c r="V652" s="63"/>
      <c r="W652" s="63">
        <f>IF(Copyright!B$11=1,IF(CA652&gt;0,CA652-SUM(S652:V652)-P652-SUM(X652:AQ652),SUM(CB652:CW652)),SUM(CC652:CW652))</f>
        <v>45</v>
      </c>
      <c r="X652" s="63"/>
      <c r="Y652" s="63">
        <v>0</v>
      </c>
      <c r="Z652" s="63"/>
      <c r="AA652" s="63"/>
      <c r="AB652" s="63"/>
      <c r="AC652" s="63"/>
      <c r="AD652" s="63"/>
      <c r="AE652" s="63">
        <v>0</v>
      </c>
      <c r="AF652" s="63"/>
      <c r="AG652" s="63"/>
      <c r="AH652" s="63"/>
      <c r="AI652" s="63"/>
      <c r="AJ652" s="63"/>
      <c r="AK652" s="63"/>
      <c r="AL652" s="63"/>
      <c r="AM652" s="63">
        <v>0</v>
      </c>
      <c r="AN652" s="63"/>
      <c r="AO652" s="63"/>
      <c r="AP652" s="63"/>
      <c r="AQ652" s="63"/>
      <c r="AR652" s="63"/>
      <c r="AS652" s="63"/>
      <c r="AT652" s="63"/>
      <c r="AU652" s="63"/>
      <c r="AW652" s="5">
        <f>IF(Q652&gt;0,RANK(Q652,(N652:P652,Q652:AE652)),0)</f>
        <v>3</v>
      </c>
      <c r="AX652" s="5">
        <f>IF(R652&gt;0,RANK(R652,(N652:P652,Q652:AE652)),0)</f>
        <v>4</v>
      </c>
      <c r="AY652" s="5">
        <f>IF(T652&gt;0,RANK(T652,(N652:P652,Q652:AE652)),0)</f>
        <v>0</v>
      </c>
      <c r="AZ652" s="5">
        <f>IF(S652&gt;0,RANK(S652,(N652:P652,Q652:AE652)),0)</f>
        <v>0</v>
      </c>
      <c r="BA652" s="2">
        <f t="shared" si="269"/>
        <v>4.2721234966792317E-2</v>
      </c>
      <c r="BB652" s="2">
        <f t="shared" si="270"/>
        <v>8.4365464010052061E-3</v>
      </c>
      <c r="BC652" s="2">
        <f t="shared" si="271"/>
        <v>0</v>
      </c>
      <c r="BD652" s="2">
        <f t="shared" si="272"/>
        <v>0</v>
      </c>
      <c r="BF652" t="s">
        <v>1531</v>
      </c>
      <c r="BG652" t="s">
        <v>1368</v>
      </c>
      <c r="BH652">
        <v>15</v>
      </c>
      <c r="BJ652" s="114">
        <v>17</v>
      </c>
      <c r="BK652" s="116">
        <v>35</v>
      </c>
      <c r="BL652" s="120">
        <f t="shared" si="258"/>
        <v>17035</v>
      </c>
      <c r="BN652" s="5" t="s">
        <v>3154</v>
      </c>
      <c r="BW652" s="8"/>
      <c r="BX652" s="132" t="s">
        <v>3255</v>
      </c>
      <c r="BY652" s="63">
        <f t="shared" si="273"/>
        <v>0</v>
      </c>
      <c r="BZ652" s="63">
        <v>5571</v>
      </c>
      <c r="CA652" s="132">
        <v>49</v>
      </c>
      <c r="CB652" s="132"/>
      <c r="CD652" s="63">
        <v>0</v>
      </c>
      <c r="CE652" s="63">
        <v>0</v>
      </c>
      <c r="CF652" s="63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 hidden="1" outlineLevel="1">
      <c r="A653" t="s">
        <v>1087</v>
      </c>
      <c r="B653" t="s">
        <v>1368</v>
      </c>
      <c r="C653" s="1">
        <f t="shared" si="262"/>
        <v>43600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>IF(P653&gt;0,RANK(P653,(N653:P653,Q653:AE653)),0)</f>
        <v>6</v>
      </c>
      <c r="G653" s="132">
        <f t="shared" si="263"/>
        <v>1375</v>
      </c>
      <c r="H653" s="137">
        <f t="shared" si="264"/>
        <v>3.153669724770642E-2</v>
      </c>
      <c r="I653" s="2"/>
      <c r="J653" s="2">
        <f t="shared" si="265"/>
        <v>0.46940366972477066</v>
      </c>
      <c r="K653" s="2">
        <f t="shared" si="266"/>
        <v>0.43786697247706424</v>
      </c>
      <c r="L653" s="2">
        <f t="shared" si="267"/>
        <v>4.3577981651376149E-3</v>
      </c>
      <c r="M653" s="2">
        <f t="shared" si="268"/>
        <v>8.837155963302748E-2</v>
      </c>
      <c r="N653" s="63">
        <v>20466</v>
      </c>
      <c r="O653" s="63">
        <v>19091</v>
      </c>
      <c r="P653" s="63">
        <v>190</v>
      </c>
      <c r="Q653" s="63">
        <v>2482</v>
      </c>
      <c r="R653" s="63">
        <v>751</v>
      </c>
      <c r="S653" s="63">
        <v>18</v>
      </c>
      <c r="T653" s="63"/>
      <c r="U653" s="63"/>
      <c r="V653" s="63"/>
      <c r="W653" s="63">
        <f>IF(Copyright!B$11=1,IF(CA653&gt;0,CA653-SUM(S653:V653)-P653-SUM(X653:AQ653),SUM(CB653:CW653)),SUM(CC653:CW653))</f>
        <v>597</v>
      </c>
      <c r="X653" s="63"/>
      <c r="Y653" s="63">
        <v>4</v>
      </c>
      <c r="Z653" s="63"/>
      <c r="AA653" s="63"/>
      <c r="AB653" s="63"/>
      <c r="AC653" s="63"/>
      <c r="AD653" s="63"/>
      <c r="AE653" s="63">
        <v>0</v>
      </c>
      <c r="AF653" s="63"/>
      <c r="AG653" s="63"/>
      <c r="AH653" s="63"/>
      <c r="AI653" s="63"/>
      <c r="AJ653" s="63"/>
      <c r="AK653" s="63"/>
      <c r="AL653" s="63"/>
      <c r="AM653" s="63">
        <v>1</v>
      </c>
      <c r="AN653" s="63"/>
      <c r="AO653" s="63"/>
      <c r="AP653" s="63"/>
      <c r="AQ653" s="63"/>
      <c r="AR653" s="63"/>
      <c r="AS653" s="63"/>
      <c r="AT653" s="63"/>
      <c r="AU653" s="63"/>
      <c r="AW653" s="5">
        <f>IF(Q653&gt;0,RANK(Q653,(N653:P653,Q653:AE653)),0)</f>
        <v>3</v>
      </c>
      <c r="AX653" s="5">
        <f>IF(R653&gt;0,RANK(R653,(N653:P653,Q653:AE653)),0)</f>
        <v>4</v>
      </c>
      <c r="AY653" s="5">
        <f>IF(T653&gt;0,RANK(T653,(N653:P653,Q653:AE653)),0)</f>
        <v>0</v>
      </c>
      <c r="AZ653" s="5">
        <f>IF(S653&gt;0,RANK(S653,(N653:P653,Q653:AE653)),0)</f>
        <v>7</v>
      </c>
      <c r="BA653" s="2">
        <f t="shared" si="269"/>
        <v>5.6926605504587155E-2</v>
      </c>
      <c r="BB653" s="2">
        <f t="shared" si="270"/>
        <v>1.7224770642201834E-2</v>
      </c>
      <c r="BC653" s="2">
        <f t="shared" si="271"/>
        <v>0</v>
      </c>
      <c r="BD653" s="2">
        <f t="shared" si="272"/>
        <v>4.1284403669724772E-4</v>
      </c>
      <c r="BF653" t="s">
        <v>1087</v>
      </c>
      <c r="BG653" t="s">
        <v>1368</v>
      </c>
      <c r="BJ653" s="114">
        <v>17</v>
      </c>
      <c r="BK653" s="116">
        <v>37</v>
      </c>
      <c r="BL653" s="120">
        <f t="shared" si="258"/>
        <v>17037</v>
      </c>
      <c r="BN653" s="5" t="s">
        <v>3154</v>
      </c>
      <c r="BO653" s="63">
        <v>334</v>
      </c>
      <c r="BP653" s="63">
        <v>44</v>
      </c>
      <c r="BR653" s="63"/>
      <c r="BW653" s="8"/>
      <c r="BY653" s="63">
        <f t="shared" si="273"/>
        <v>0</v>
      </c>
      <c r="BZ653" s="63">
        <f>20466+19091+2482+810+751</f>
        <v>43600</v>
      </c>
      <c r="CA653" s="132">
        <v>810</v>
      </c>
      <c r="CB653" s="132"/>
      <c r="CD653" s="63">
        <v>0</v>
      </c>
      <c r="CE653" s="63">
        <v>0</v>
      </c>
      <c r="CF653" s="63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</row>
    <row r="654" spans="1:100" hidden="1" outlineLevel="1">
      <c r="A654" t="s">
        <v>796</v>
      </c>
      <c r="B654" t="s">
        <v>1368</v>
      </c>
      <c r="C654" s="1">
        <f t="shared" si="262"/>
        <v>7556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6</v>
      </c>
      <c r="G654" s="132">
        <f t="shared" si="263"/>
        <v>3167</v>
      </c>
      <c r="H654" s="137">
        <f t="shared" si="264"/>
        <v>0.41913710958178929</v>
      </c>
      <c r="I654" s="2"/>
      <c r="J654" s="2">
        <f t="shared" si="265"/>
        <v>0.25277924827951298</v>
      </c>
      <c r="K654" s="2">
        <f t="shared" si="266"/>
        <v>0.67191635786130233</v>
      </c>
      <c r="L654" s="2">
        <f t="shared" si="267"/>
        <v>1.4557967178401271E-3</v>
      </c>
      <c r="M654" s="2">
        <f t="shared" si="268"/>
        <v>7.3848597141344507E-2</v>
      </c>
      <c r="N654" s="63">
        <v>1910</v>
      </c>
      <c r="O654" s="63">
        <v>5077</v>
      </c>
      <c r="P654" s="63">
        <v>11</v>
      </c>
      <c r="Q654" s="63">
        <v>431</v>
      </c>
      <c r="R654" s="63">
        <v>61</v>
      </c>
      <c r="S654" s="63">
        <v>1</v>
      </c>
      <c r="T654" s="63"/>
      <c r="U654" s="63"/>
      <c r="V654" s="63"/>
      <c r="W654" s="63">
        <f>IF(Copyright!B$11=1,IF(CA654&gt;0,CA654-SUM(S654:V654)-P654-SUM(X654:AQ654),SUM(CB654:CW654)),SUM(CC654:CW654))</f>
        <v>64</v>
      </c>
      <c r="X654" s="63"/>
      <c r="Y654" s="63">
        <v>1</v>
      </c>
      <c r="Z654" s="63"/>
      <c r="AA654" s="63"/>
      <c r="AB654" s="63"/>
      <c r="AC654" s="63"/>
      <c r="AD654" s="63"/>
      <c r="AE654" s="63">
        <v>0</v>
      </c>
      <c r="AF654" s="63"/>
      <c r="AG654" s="63"/>
      <c r="AH654" s="63"/>
      <c r="AI654" s="63"/>
      <c r="AJ654" s="63"/>
      <c r="AK654" s="63"/>
      <c r="AL654" s="63"/>
      <c r="AM654" s="63">
        <v>0</v>
      </c>
      <c r="AN654" s="63"/>
      <c r="AO654" s="63"/>
      <c r="AP654" s="63"/>
      <c r="AQ654" s="63"/>
      <c r="AR654" s="63"/>
      <c r="AS654" s="63"/>
      <c r="AT654" s="63"/>
      <c r="AU654" s="63"/>
      <c r="AW654" s="5">
        <f>IF(Q654&gt;0,RANK(Q654,(N654:P654,Q654:AE654)),0)</f>
        <v>3</v>
      </c>
      <c r="AX654" s="5">
        <f>IF(R654&gt;0,RANK(R654,(N654:P654,Q654:AE654)),0)</f>
        <v>5</v>
      </c>
      <c r="AY654" s="5">
        <f>IF(T654&gt;0,RANK(T654,(N654:P654,Q654:AE654)),0)</f>
        <v>0</v>
      </c>
      <c r="AZ654" s="5">
        <f>IF(S654&gt;0,RANK(S654,(N654:P654,Q654:AE654)),0)</f>
        <v>7</v>
      </c>
      <c r="BA654" s="2">
        <f t="shared" si="269"/>
        <v>5.7040762308099527E-2</v>
      </c>
      <c r="BB654" s="2">
        <f t="shared" si="270"/>
        <v>8.0730545262043402E-3</v>
      </c>
      <c r="BC654" s="2">
        <f t="shared" si="271"/>
        <v>0</v>
      </c>
      <c r="BD654" s="2">
        <f t="shared" si="272"/>
        <v>1.3234515616728428E-4</v>
      </c>
      <c r="BF654" t="s">
        <v>796</v>
      </c>
      <c r="BG654" t="s">
        <v>1368</v>
      </c>
      <c r="BH654">
        <v>13</v>
      </c>
      <c r="BJ654" s="114">
        <v>17</v>
      </c>
      <c r="BK654" s="116">
        <v>39</v>
      </c>
      <c r="BL654" s="120">
        <f t="shared" si="258"/>
        <v>17039</v>
      </c>
      <c r="BN654" s="5" t="s">
        <v>3154</v>
      </c>
      <c r="BW654" s="8"/>
      <c r="BX654" s="132" t="s">
        <v>2498</v>
      </c>
      <c r="BY654" s="63">
        <f t="shared" si="273"/>
        <v>0</v>
      </c>
      <c r="BZ654" s="63">
        <v>7556</v>
      </c>
      <c r="CA654" s="132">
        <f>7556-1910-5077-431-61</f>
        <v>77</v>
      </c>
      <c r="CB654" s="132"/>
      <c r="CD654" s="63">
        <v>0</v>
      </c>
      <c r="CE654" s="63">
        <v>0</v>
      </c>
      <c r="CF654" s="63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</row>
    <row r="655" spans="1:100" hidden="1" outlineLevel="1">
      <c r="A655" t="s">
        <v>1148</v>
      </c>
      <c r="B655" t="s">
        <v>1368</v>
      </c>
      <c r="C655" s="1">
        <f t="shared" si="262"/>
        <v>8195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>IF(P655&gt;0,RANK(P655,(N655:P655,Q655:AE655)),0)</f>
        <v>6</v>
      </c>
      <c r="G655" s="132">
        <f t="shared" si="263"/>
        <v>3749</v>
      </c>
      <c r="H655" s="137">
        <f t="shared" si="264"/>
        <v>0.45747406955460646</v>
      </c>
      <c r="I655" s="2"/>
      <c r="J655" s="2">
        <f t="shared" si="265"/>
        <v>0.23782794386821232</v>
      </c>
      <c r="K655" s="2">
        <f t="shared" si="266"/>
        <v>0.69530201342281883</v>
      </c>
      <c r="L655" s="2">
        <f t="shared" si="267"/>
        <v>2.1964612568639414E-3</v>
      </c>
      <c r="M655" s="2">
        <f t="shared" si="268"/>
        <v>6.4673581452104958E-2</v>
      </c>
      <c r="N655" s="63">
        <v>1949</v>
      </c>
      <c r="O655" s="63">
        <v>5698</v>
      </c>
      <c r="P655" s="63">
        <v>18</v>
      </c>
      <c r="Q655" s="63">
        <v>362</v>
      </c>
      <c r="R655" s="63">
        <v>90</v>
      </c>
      <c r="S655" s="63">
        <v>4</v>
      </c>
      <c r="T655" s="63"/>
      <c r="U655" s="63"/>
      <c r="V655" s="63"/>
      <c r="W655" s="63">
        <f>IF(Copyright!B$11=1,IF(CA655&gt;0,CA655-SUM(S655:V655)-P655-SUM(X655:AQ655),SUM(CB655:CW655)),SUM(CC655:CW655))</f>
        <v>70</v>
      </c>
      <c r="X655" s="63"/>
      <c r="Y655" s="63">
        <v>4</v>
      </c>
      <c r="Z655" s="63"/>
      <c r="AA655" s="63"/>
      <c r="AB655" s="63"/>
      <c r="AC655" s="63"/>
      <c r="AD655" s="63"/>
      <c r="AE655" s="63">
        <v>0</v>
      </c>
      <c r="AF655" s="63"/>
      <c r="AG655" s="63"/>
      <c r="AH655" s="63"/>
      <c r="AI655" s="63"/>
      <c r="AJ655" s="63"/>
      <c r="AK655" s="63"/>
      <c r="AL655" s="63"/>
      <c r="AM655" s="63">
        <v>0</v>
      </c>
      <c r="AN655" s="63"/>
      <c r="AO655" s="63"/>
      <c r="AP655" s="63"/>
      <c r="AQ655" s="63"/>
      <c r="AR655" s="63"/>
      <c r="AS655" s="63"/>
      <c r="AT655" s="63"/>
      <c r="AU655" s="63"/>
      <c r="AW655" s="5">
        <f>IF(Q655&gt;0,RANK(Q655,(N655:P655,Q655:AE655)),0)</f>
        <v>3</v>
      </c>
      <c r="AX655" s="5">
        <f>IF(R655&gt;0,RANK(R655,(N655:P655,Q655:AE655)),0)</f>
        <v>4</v>
      </c>
      <c r="AY655" s="5">
        <f>IF(T655&gt;0,RANK(T655,(N655:P655,Q655:AE655)),0)</f>
        <v>0</v>
      </c>
      <c r="AZ655" s="5">
        <f>IF(S655&gt;0,RANK(S655,(N655:P655,Q655:AE655)),0)</f>
        <v>7</v>
      </c>
      <c r="BA655" s="2">
        <f t="shared" si="269"/>
        <v>4.4173276388041485E-2</v>
      </c>
      <c r="BB655" s="2">
        <f t="shared" si="270"/>
        <v>1.0982306284319707E-2</v>
      </c>
      <c r="BC655" s="2">
        <f t="shared" si="271"/>
        <v>0</v>
      </c>
      <c r="BD655" s="2">
        <f t="shared" si="272"/>
        <v>4.8810250152532032E-4</v>
      </c>
      <c r="BF655" t="s">
        <v>1148</v>
      </c>
      <c r="BG655" t="s">
        <v>1368</v>
      </c>
      <c r="BH655">
        <v>15</v>
      </c>
      <c r="BJ655" s="114">
        <v>17</v>
      </c>
      <c r="BK655" s="116">
        <v>41</v>
      </c>
      <c r="BL655" s="120">
        <f t="shared" si="258"/>
        <v>17041</v>
      </c>
      <c r="BN655" s="5" t="s">
        <v>3154</v>
      </c>
      <c r="BO655" s="63">
        <v>84</v>
      </c>
      <c r="BP655" s="63">
        <v>6</v>
      </c>
      <c r="BR655" s="63"/>
      <c r="BW655" s="8"/>
      <c r="BY655" s="63">
        <f t="shared" si="273"/>
        <v>0</v>
      </c>
      <c r="BZ655" s="63">
        <v>8195</v>
      </c>
      <c r="CA655" s="132">
        <v>96</v>
      </c>
      <c r="CB655" s="132"/>
      <c r="CD655" s="63">
        <v>0</v>
      </c>
      <c r="CE655" s="63">
        <v>0</v>
      </c>
      <c r="CF655" s="63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</row>
    <row r="656" spans="1:100" hidden="1" outlineLevel="1">
      <c r="A656" t="s">
        <v>782</v>
      </c>
      <c r="B656" t="s">
        <v>1368</v>
      </c>
      <c r="C656" s="1">
        <f t="shared" si="262"/>
        <v>430674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>IF(P656&gt;0,RANK(P656,(N656:P656,Q656:AE656)),0)</f>
        <v>6</v>
      </c>
      <c r="G656" s="132">
        <f t="shared" si="263"/>
        <v>62207</v>
      </c>
      <c r="H656" s="137">
        <f t="shared" si="264"/>
        <v>0.14444103892967766</v>
      </c>
      <c r="I656" s="2"/>
      <c r="J656" s="2">
        <f t="shared" si="265"/>
        <v>0.53084699796133505</v>
      </c>
      <c r="K656" s="2">
        <f t="shared" si="266"/>
        <v>0.38640595903165736</v>
      </c>
      <c r="L656" s="2">
        <f t="shared" si="267"/>
        <v>4.1005493714503316E-3</v>
      </c>
      <c r="M656" s="2">
        <f t="shared" si="268"/>
        <v>7.8646493635557244E-2</v>
      </c>
      <c r="N656" s="63">
        <v>228622</v>
      </c>
      <c r="O656" s="63">
        <v>166415</v>
      </c>
      <c r="P656" s="63">
        <v>1766</v>
      </c>
      <c r="Q656" s="63">
        <v>20357</v>
      </c>
      <c r="R656" s="63">
        <v>6367</v>
      </c>
      <c r="S656" s="63">
        <v>95</v>
      </c>
      <c r="T656" s="63"/>
      <c r="U656" s="63"/>
      <c r="V656" s="63"/>
      <c r="W656" s="63">
        <f>IF(Copyright!B$11=1,IF(CA656&gt;0,CA656-SUM(S656:V656)-P656-SUM(X656:AQ656),SUM(CB656:CW656)),SUM(CC656:CW656))</f>
        <v>7031</v>
      </c>
      <c r="X656" s="63"/>
      <c r="Y656" s="63">
        <v>10</v>
      </c>
      <c r="Z656" s="63"/>
      <c r="AA656" s="63"/>
      <c r="AB656" s="63"/>
      <c r="AC656" s="63"/>
      <c r="AD656" s="63"/>
      <c r="AE656" s="63">
        <v>8</v>
      </c>
      <c r="AF656" s="63"/>
      <c r="AG656" s="63"/>
      <c r="AH656" s="63"/>
      <c r="AI656" s="63"/>
      <c r="AJ656" s="63"/>
      <c r="AK656" s="63"/>
      <c r="AL656" s="63"/>
      <c r="AM656" s="63">
        <v>3</v>
      </c>
      <c r="AN656" s="63"/>
      <c r="AO656" s="63"/>
      <c r="AP656" s="63"/>
      <c r="AQ656" s="63"/>
      <c r="AR656" s="63"/>
      <c r="AS656" s="63"/>
      <c r="AT656" s="63"/>
      <c r="AU656" s="63"/>
      <c r="AW656" s="5">
        <f>IF(Q656&gt;0,RANK(Q656,(N656:P656,Q656:AE656)),0)</f>
        <v>3</v>
      </c>
      <c r="AX656" s="5">
        <f>IF(R656&gt;0,RANK(R656,(N656:P656,Q656:AE656)),0)</f>
        <v>5</v>
      </c>
      <c r="AY656" s="5">
        <f>IF(T656&gt;0,RANK(T656,(N656:P656,Q656:AE656)),0)</f>
        <v>0</v>
      </c>
      <c r="AZ656" s="5">
        <f>IF(S656&gt;0,RANK(S656,(N656:P656,Q656:AE656)),0)</f>
        <v>7</v>
      </c>
      <c r="BA656" s="2">
        <f t="shared" si="269"/>
        <v>4.7267770982227855E-2</v>
      </c>
      <c r="BB656" s="2">
        <f t="shared" si="270"/>
        <v>1.4783803990953715E-2</v>
      </c>
      <c r="BC656" s="2">
        <f t="shared" si="271"/>
        <v>0</v>
      </c>
      <c r="BD656" s="2">
        <f t="shared" si="272"/>
        <v>2.2058447921165429E-4</v>
      </c>
      <c r="BF656" t="s">
        <v>782</v>
      </c>
      <c r="BG656" t="s">
        <v>1368</v>
      </c>
      <c r="BJ656" s="114">
        <v>17</v>
      </c>
      <c r="BK656" s="116">
        <v>43</v>
      </c>
      <c r="BL656" s="120">
        <f t="shared" si="258"/>
        <v>17043</v>
      </c>
      <c r="BN656" s="5" t="s">
        <v>3154</v>
      </c>
      <c r="BW656" s="8"/>
      <c r="BY656" s="63">
        <f t="shared" si="273"/>
        <v>0</v>
      </c>
      <c r="BZ656" s="63">
        <v>430674</v>
      </c>
      <c r="CA656" s="132">
        <f>7008+1766+7+8+2+6+10+95+7+3+1</f>
        <v>8913</v>
      </c>
      <c r="CB656" s="132"/>
      <c r="CD656" s="63">
        <v>0</v>
      </c>
      <c r="CE656" s="63">
        <v>7</v>
      </c>
      <c r="CF656" s="63">
        <v>0</v>
      </c>
      <c r="CG656" s="8">
        <v>6</v>
      </c>
      <c r="CH656" s="8">
        <v>0</v>
      </c>
      <c r="CI656" s="8">
        <v>0</v>
      </c>
      <c r="CJ656" s="8">
        <v>0</v>
      </c>
      <c r="CK656" s="8">
        <v>7</v>
      </c>
      <c r="CL656" s="8">
        <v>0</v>
      </c>
      <c r="CM656" s="8">
        <v>0</v>
      </c>
      <c r="CN656" s="8">
        <v>0</v>
      </c>
      <c r="CO656" s="8">
        <v>2</v>
      </c>
      <c r="CP656" s="8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</row>
    <row r="657" spans="1:100" hidden="1" outlineLevel="1">
      <c r="A657" t="s">
        <v>2520</v>
      </c>
      <c r="B657" t="s">
        <v>1368</v>
      </c>
      <c r="C657" s="1">
        <f t="shared" si="262"/>
        <v>7899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>IF(P657&gt;0,RANK(P657,(N657:P657,Q657:AE657)),0)</f>
        <v>6</v>
      </c>
      <c r="G657" s="132">
        <f t="shared" si="263"/>
        <v>3852</v>
      </c>
      <c r="H657" s="137">
        <f t="shared" si="264"/>
        <v>0.48765666540068364</v>
      </c>
      <c r="I657" s="2"/>
      <c r="J657" s="2">
        <f t="shared" si="265"/>
        <v>0.22699075832383847</v>
      </c>
      <c r="K657" s="2">
        <f t="shared" si="266"/>
        <v>0.71464742372452206</v>
      </c>
      <c r="L657" s="2">
        <f t="shared" si="267"/>
        <v>2.0255728573237118E-3</v>
      </c>
      <c r="M657" s="2">
        <f t="shared" si="268"/>
        <v>5.6336245094315812E-2</v>
      </c>
      <c r="N657" s="63">
        <v>1793</v>
      </c>
      <c r="O657" s="63">
        <v>5645</v>
      </c>
      <c r="P657" s="63">
        <v>16</v>
      </c>
      <c r="Q657" s="63">
        <v>328</v>
      </c>
      <c r="R657" s="63">
        <v>49</v>
      </c>
      <c r="S657" s="63">
        <v>7</v>
      </c>
      <c r="T657" s="63"/>
      <c r="U657" s="63"/>
      <c r="V657" s="63"/>
      <c r="W657" s="63">
        <f>IF(Copyright!B$11=1,IF(CA657&gt;0,CA657-SUM(S657:V657)-P657-SUM(X657:AQ657),SUM(CB657:CW657)),SUM(CC657:CW657))</f>
        <v>59</v>
      </c>
      <c r="X657" s="63"/>
      <c r="Y657" s="63">
        <v>2</v>
      </c>
      <c r="Z657" s="63"/>
      <c r="AA657" s="63"/>
      <c r="AB657" s="63"/>
      <c r="AC657" s="63"/>
      <c r="AD657" s="63"/>
      <c r="AE657" s="63">
        <v>0</v>
      </c>
      <c r="AF657" s="63"/>
      <c r="AG657" s="63"/>
      <c r="AH657" s="63"/>
      <c r="AI657" s="63"/>
      <c r="AJ657" s="63"/>
      <c r="AK657" s="63"/>
      <c r="AL657" s="63"/>
      <c r="AM657" s="63">
        <v>0</v>
      </c>
      <c r="AN657" s="63"/>
      <c r="AO657" s="63"/>
      <c r="AP657" s="63"/>
      <c r="AQ657" s="63"/>
      <c r="AR657" s="63"/>
      <c r="AS657" s="63"/>
      <c r="AT657" s="63"/>
      <c r="AU657" s="63"/>
      <c r="AW657" s="5">
        <f>IF(Q657&gt;0,RANK(Q657,(N657:P657,Q657:AE657)),0)</f>
        <v>3</v>
      </c>
      <c r="AX657" s="5">
        <f>IF(R657&gt;0,RANK(R657,(N657:P657,Q657:AE657)),0)</f>
        <v>5</v>
      </c>
      <c r="AY657" s="5">
        <f>IF(T657&gt;0,RANK(T657,(N657:P657,Q657:AE657)),0)</f>
        <v>0</v>
      </c>
      <c r="AZ657" s="5">
        <f>IF(S657&gt;0,RANK(S657,(N657:P657,Q657:AE657)),0)</f>
        <v>7</v>
      </c>
      <c r="BA657" s="2">
        <f t="shared" si="269"/>
        <v>4.1524243575136094E-2</v>
      </c>
      <c r="BB657" s="2">
        <f t="shared" si="270"/>
        <v>6.2033168755538676E-3</v>
      </c>
      <c r="BC657" s="2">
        <f t="shared" si="271"/>
        <v>0</v>
      </c>
      <c r="BD657" s="2">
        <f t="shared" si="272"/>
        <v>8.8618812507912392E-4</v>
      </c>
      <c r="BF657" t="s">
        <v>2520</v>
      </c>
      <c r="BG657" t="s">
        <v>1368</v>
      </c>
      <c r="BH657">
        <v>15</v>
      </c>
      <c r="BJ657" s="114">
        <v>17</v>
      </c>
      <c r="BK657" s="116">
        <v>45</v>
      </c>
      <c r="BL657" s="120">
        <f t="shared" si="258"/>
        <v>17045</v>
      </c>
      <c r="BN657" s="5" t="s">
        <v>3154</v>
      </c>
      <c r="BW657" s="8"/>
      <c r="BX657" s="132" t="s">
        <v>2498</v>
      </c>
      <c r="BY657" s="63">
        <f t="shared" si="273"/>
        <v>0</v>
      </c>
      <c r="BZ657" s="63">
        <v>7899</v>
      </c>
      <c r="CA657" s="132">
        <f>7899-5645-1793-328-49</f>
        <v>84</v>
      </c>
      <c r="CB657" s="132"/>
      <c r="CD657" s="63">
        <v>0</v>
      </c>
      <c r="CE657" s="63">
        <v>0</v>
      </c>
      <c r="CF657" s="63">
        <v>1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</row>
    <row r="658" spans="1:100" hidden="1" outlineLevel="1">
      <c r="A658" t="s">
        <v>2115</v>
      </c>
      <c r="B658" t="s">
        <v>1368</v>
      </c>
      <c r="C658" s="1">
        <f t="shared" si="262"/>
        <v>3324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>IF(P658&gt;0,RANK(P658,(N658:P658,Q658:AE658)),0)</f>
        <v>5</v>
      </c>
      <c r="G658" s="132">
        <f t="shared" si="263"/>
        <v>2344</v>
      </c>
      <c r="H658" s="137">
        <f t="shared" si="264"/>
        <v>0.70517448856799037</v>
      </c>
      <c r="I658" s="2"/>
      <c r="J658" s="2">
        <f t="shared" si="265"/>
        <v>0.1305655836341757</v>
      </c>
      <c r="K658" s="2">
        <f t="shared" si="266"/>
        <v>0.83574007220216606</v>
      </c>
      <c r="L658" s="2">
        <f t="shared" si="267"/>
        <v>2.707581227436823E-3</v>
      </c>
      <c r="M658" s="2">
        <f t="shared" si="268"/>
        <v>3.0986762936221417E-2</v>
      </c>
      <c r="N658" s="63">
        <v>434</v>
      </c>
      <c r="O658" s="63">
        <v>2778</v>
      </c>
      <c r="P658" s="63">
        <v>9</v>
      </c>
      <c r="Q658" s="63">
        <v>91</v>
      </c>
      <c r="R658" s="63">
        <v>12</v>
      </c>
      <c r="S658" s="63">
        <v>0</v>
      </c>
      <c r="T658" s="63"/>
      <c r="U658" s="63"/>
      <c r="V658" s="63"/>
      <c r="W658" s="63">
        <f>IF(Copyright!B$11=1,IF(CA658&gt;0,CA658-SUM(S658:V658)-P658-SUM(X658:AQ658),SUM(CB658:CW658)),SUM(CC658:CW658))</f>
        <v>0</v>
      </c>
      <c r="X658" s="63"/>
      <c r="Y658" s="63">
        <v>0</v>
      </c>
      <c r="Z658" s="63"/>
      <c r="AA658" s="63"/>
      <c r="AB658" s="63"/>
      <c r="AC658" s="63"/>
      <c r="AD658" s="63"/>
      <c r="AE658" s="63">
        <v>0</v>
      </c>
      <c r="AF658" s="63"/>
      <c r="AG658" s="63"/>
      <c r="AH658" s="63"/>
      <c r="AI658" s="63"/>
      <c r="AJ658" s="63"/>
      <c r="AK658" s="63"/>
      <c r="AL658" s="63"/>
      <c r="AM658" s="63">
        <v>0</v>
      </c>
      <c r="AN658" s="63"/>
      <c r="AO658" s="63"/>
      <c r="AP658" s="63"/>
      <c r="AQ658" s="63"/>
      <c r="AR658" s="63"/>
      <c r="AS658" s="63"/>
      <c r="AT658" s="63"/>
      <c r="AU658" s="63"/>
      <c r="AW658" s="5">
        <f>IF(Q658&gt;0,RANK(Q658,(N658:P658,Q658:AE658)),0)</f>
        <v>3</v>
      </c>
      <c r="AX658" s="5">
        <f>IF(R658&gt;0,RANK(R658,(N658:P658,Q658:AE658)),0)</f>
        <v>4</v>
      </c>
      <c r="AY658" s="5">
        <f>IF(T658&gt;0,RANK(T658,(N658:P658,Q658:AE658)),0)</f>
        <v>0</v>
      </c>
      <c r="AZ658" s="5">
        <f>IF(S658&gt;0,RANK(S658,(N658:P658,Q658:AE658)),0)</f>
        <v>0</v>
      </c>
      <c r="BA658" s="2">
        <f t="shared" si="269"/>
        <v>2.7376654632972324E-2</v>
      </c>
      <c r="BB658" s="2">
        <f t="shared" si="270"/>
        <v>3.6101083032490976E-3</v>
      </c>
      <c r="BC658" s="2">
        <f t="shared" si="271"/>
        <v>0</v>
      </c>
      <c r="BD658" s="2">
        <f t="shared" si="272"/>
        <v>0</v>
      </c>
      <c r="BF658" t="s">
        <v>2115</v>
      </c>
      <c r="BG658" t="s">
        <v>1368</v>
      </c>
      <c r="BH658">
        <v>15</v>
      </c>
      <c r="BJ658" s="114">
        <v>17</v>
      </c>
      <c r="BK658" s="116">
        <v>47</v>
      </c>
      <c r="BL658" s="120">
        <f t="shared" si="258"/>
        <v>17047</v>
      </c>
      <c r="BN658" s="5" t="s">
        <v>3154</v>
      </c>
      <c r="BW658" s="8"/>
      <c r="BY658" s="63">
        <f t="shared" si="273"/>
        <v>-3324</v>
      </c>
      <c r="CA658" s="133">
        <v>0</v>
      </c>
      <c r="CB658" s="132"/>
      <c r="CD658" s="63">
        <v>0</v>
      </c>
      <c r="CE658" s="63">
        <v>0</v>
      </c>
      <c r="CF658" s="63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</row>
    <row r="659" spans="1:100" hidden="1" outlineLevel="1">
      <c r="A659" t="s">
        <v>2325</v>
      </c>
      <c r="B659" t="s">
        <v>1368</v>
      </c>
      <c r="C659" s="1">
        <f t="shared" si="262"/>
        <v>17514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5</v>
      </c>
      <c r="G659" s="132">
        <f t="shared" si="263"/>
        <v>10552</v>
      </c>
      <c r="H659" s="137">
        <f t="shared" si="264"/>
        <v>0.60248943702181113</v>
      </c>
      <c r="I659" s="2"/>
      <c r="J659" s="2">
        <f t="shared" si="265"/>
        <v>0.17603060408815804</v>
      </c>
      <c r="K659" s="2">
        <f t="shared" si="266"/>
        <v>0.7785200411099692</v>
      </c>
      <c r="L659" s="2">
        <f t="shared" si="267"/>
        <v>2.4551787141715198E-3</v>
      </c>
      <c r="M659" s="2">
        <f t="shared" si="268"/>
        <v>4.2994176087701209E-2</v>
      </c>
      <c r="N659" s="63">
        <v>3083</v>
      </c>
      <c r="O659" s="63">
        <v>13635</v>
      </c>
      <c r="P659" s="63">
        <v>43</v>
      </c>
      <c r="Q659" s="63">
        <v>644</v>
      </c>
      <c r="R659" s="63">
        <v>100</v>
      </c>
      <c r="S659" s="63">
        <v>8</v>
      </c>
      <c r="T659" s="63"/>
      <c r="U659" s="63"/>
      <c r="V659" s="63"/>
      <c r="W659" s="63">
        <f>IF(Copyright!B$11=1,IF(CA659&gt;0,CA659-SUM(S659:V659)-P659-SUM(X659:AQ659),SUM(CB659:CW659)),SUM(CC659:CW659))</f>
        <v>0</v>
      </c>
      <c r="X659" s="63"/>
      <c r="Y659" s="63">
        <v>0</v>
      </c>
      <c r="Z659" s="63"/>
      <c r="AA659" s="63"/>
      <c r="AB659" s="63"/>
      <c r="AC659" s="63"/>
      <c r="AD659" s="63"/>
      <c r="AE659" s="63">
        <v>0</v>
      </c>
      <c r="AF659" s="63"/>
      <c r="AG659" s="63"/>
      <c r="AH659" s="63"/>
      <c r="AI659" s="63"/>
      <c r="AJ659" s="63"/>
      <c r="AK659" s="63"/>
      <c r="AL659" s="63"/>
      <c r="AM659" s="63">
        <v>1</v>
      </c>
      <c r="AN659" s="63"/>
      <c r="AO659" s="63"/>
      <c r="AP659" s="63"/>
      <c r="AQ659" s="63"/>
      <c r="AR659" s="63"/>
      <c r="AS659" s="63"/>
      <c r="AT659" s="63"/>
      <c r="AU659" s="63"/>
      <c r="AW659" s="5">
        <f>IF(Q659&gt;0,RANK(Q659,(N659:P659,Q659:AE659)),0)</f>
        <v>3</v>
      </c>
      <c r="AX659" s="5">
        <f>IF(R659&gt;0,RANK(R659,(N659:P659,Q659:AE659)),0)</f>
        <v>4</v>
      </c>
      <c r="AY659" s="5">
        <f>IF(T659&gt;0,RANK(T659,(N659:P659,Q659:AE659)),0)</f>
        <v>0</v>
      </c>
      <c r="AZ659" s="5">
        <f>IF(S659&gt;0,RANK(S659,(N659:P659,Q659:AE659)),0)</f>
        <v>6</v>
      </c>
      <c r="BA659" s="2">
        <f t="shared" si="269"/>
        <v>3.6770583533173459E-2</v>
      </c>
      <c r="BB659" s="2">
        <f t="shared" si="270"/>
        <v>5.7097179399337675E-3</v>
      </c>
      <c r="BC659" s="2">
        <f t="shared" si="271"/>
        <v>0</v>
      </c>
      <c r="BD659" s="2">
        <f t="shared" si="272"/>
        <v>4.5677743519470136E-4</v>
      </c>
      <c r="BF659" t="s">
        <v>2325</v>
      </c>
      <c r="BG659" t="s">
        <v>1368</v>
      </c>
      <c r="BH659">
        <v>15</v>
      </c>
      <c r="BJ659" s="114">
        <v>17</v>
      </c>
      <c r="BK659" s="116">
        <v>49</v>
      </c>
      <c r="BL659" s="120">
        <f t="shared" si="258"/>
        <v>17049</v>
      </c>
      <c r="BN659" s="5" t="s">
        <v>3154</v>
      </c>
      <c r="BW659" s="8"/>
      <c r="BY659" s="63">
        <f t="shared" si="273"/>
        <v>-17514</v>
      </c>
      <c r="CA659" s="133">
        <v>0</v>
      </c>
      <c r="CB659" s="132"/>
      <c r="CD659" s="63">
        <v>0</v>
      </c>
      <c r="CE659" s="63">
        <v>0</v>
      </c>
      <c r="CF659" s="63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</row>
    <row r="660" spans="1:100" hidden="1" outlineLevel="1">
      <c r="A660" t="s">
        <v>1416</v>
      </c>
      <c r="B660" t="s">
        <v>1368</v>
      </c>
      <c r="C660" s="1">
        <f t="shared" si="262"/>
        <v>9591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6</v>
      </c>
      <c r="G660" s="132">
        <f t="shared" si="263"/>
        <v>5553</v>
      </c>
      <c r="H660" s="137">
        <f t="shared" si="264"/>
        <v>0.5789802940256491</v>
      </c>
      <c r="I660" s="2"/>
      <c r="J660" s="2">
        <f t="shared" si="265"/>
        <v>0.18965697007611301</v>
      </c>
      <c r="K660" s="2">
        <f t="shared" si="266"/>
        <v>0.76863726410176203</v>
      </c>
      <c r="L660" s="2">
        <f t="shared" si="267"/>
        <v>1.2511729746637473E-3</v>
      </c>
      <c r="M660" s="2">
        <f t="shared" si="268"/>
        <v>4.0454592847461182E-2</v>
      </c>
      <c r="N660" s="63">
        <v>1819</v>
      </c>
      <c r="O660" s="63">
        <v>7372</v>
      </c>
      <c r="P660" s="63">
        <v>12</v>
      </c>
      <c r="Q660" s="63">
        <v>283</v>
      </c>
      <c r="R660" s="63">
        <v>57</v>
      </c>
      <c r="S660" s="63">
        <v>3</v>
      </c>
      <c r="T660" s="63"/>
      <c r="U660" s="63"/>
      <c r="V660" s="63"/>
      <c r="W660" s="63">
        <f>IF(Copyright!B$11=1,IF(CA660&gt;0,CA660-SUM(S660:V660)-P660-SUM(X660:AQ660),SUM(CB660:CW660)),SUM(CC660:CW660))</f>
        <v>42</v>
      </c>
      <c r="X660" s="63"/>
      <c r="Y660" s="63">
        <v>2</v>
      </c>
      <c r="Z660" s="63"/>
      <c r="AA660" s="63"/>
      <c r="AB660" s="63"/>
      <c r="AC660" s="63"/>
      <c r="AD660" s="63"/>
      <c r="AE660" s="63">
        <v>1</v>
      </c>
      <c r="AF660" s="63"/>
      <c r="AG660" s="63"/>
      <c r="AH660" s="63"/>
      <c r="AI660" s="63"/>
      <c r="AJ660" s="63"/>
      <c r="AK660" s="63"/>
      <c r="AL660" s="63"/>
      <c r="AM660" s="63">
        <v>0</v>
      </c>
      <c r="AN660" s="63"/>
      <c r="AO660" s="63"/>
      <c r="AP660" s="63"/>
      <c r="AQ660" s="63"/>
      <c r="AR660" s="63"/>
      <c r="AS660" s="63"/>
      <c r="AT660" s="63"/>
      <c r="AU660" s="63"/>
      <c r="AW660" s="5">
        <f>IF(Q660&gt;0,RANK(Q660,(N660:P660,Q660:AE660)),0)</f>
        <v>3</v>
      </c>
      <c r="AX660" s="5">
        <f>IF(R660&gt;0,RANK(R660,(N660:P660,Q660:AE660)),0)</f>
        <v>4</v>
      </c>
      <c r="AY660" s="5">
        <f>IF(T660&gt;0,RANK(T660,(N660:P660,Q660:AE660)),0)</f>
        <v>0</v>
      </c>
      <c r="AZ660" s="5">
        <f>IF(S660&gt;0,RANK(S660,(N660:P660,Q660:AE660)),0)</f>
        <v>7</v>
      </c>
      <c r="BA660" s="2">
        <f t="shared" si="269"/>
        <v>2.9506829319153372E-2</v>
      </c>
      <c r="BB660" s="2">
        <f t="shared" si="270"/>
        <v>5.9430716296527998E-3</v>
      </c>
      <c r="BC660" s="2">
        <f t="shared" si="271"/>
        <v>0</v>
      </c>
      <c r="BD660" s="2">
        <f t="shared" si="272"/>
        <v>3.1279324366593683E-4</v>
      </c>
      <c r="BF660" t="s">
        <v>1416</v>
      </c>
      <c r="BG660" t="s">
        <v>1368</v>
      </c>
      <c r="BH660">
        <v>15</v>
      </c>
      <c r="BJ660" s="114">
        <v>17</v>
      </c>
      <c r="BK660" s="116">
        <v>51</v>
      </c>
      <c r="BL660" s="120">
        <f t="shared" si="258"/>
        <v>17051</v>
      </c>
      <c r="BN660" s="5" t="s">
        <v>3154</v>
      </c>
      <c r="BW660" s="8"/>
      <c r="BY660" s="63">
        <f t="shared" si="273"/>
        <v>-9591</v>
      </c>
      <c r="CA660" s="133">
        <v>60</v>
      </c>
      <c r="CB660" s="132"/>
      <c r="CD660" s="63">
        <v>0</v>
      </c>
      <c r="CE660" s="63">
        <v>0</v>
      </c>
      <c r="CF660" s="63">
        <v>0</v>
      </c>
      <c r="CG660" s="8">
        <v>0</v>
      </c>
      <c r="CH660" s="8">
        <v>3</v>
      </c>
      <c r="CI660" s="8">
        <v>0</v>
      </c>
      <c r="CJ660" s="8">
        <v>0</v>
      </c>
      <c r="CK660" s="8">
        <v>0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 hidden="1" outlineLevel="1">
      <c r="A661" t="s">
        <v>780</v>
      </c>
      <c r="B661" t="s">
        <v>1368</v>
      </c>
      <c r="C661" s="1">
        <f t="shared" si="262"/>
        <v>6396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6</v>
      </c>
      <c r="G661" s="132">
        <f t="shared" si="263"/>
        <v>3066</v>
      </c>
      <c r="H661" s="137">
        <f t="shared" si="264"/>
        <v>0.4793621013133208</v>
      </c>
      <c r="I661" s="2"/>
      <c r="J661" s="2">
        <f t="shared" si="265"/>
        <v>0.22107567229518449</v>
      </c>
      <c r="K661" s="2">
        <f t="shared" si="266"/>
        <v>0.70043777360850534</v>
      </c>
      <c r="L661" s="2">
        <f t="shared" si="267"/>
        <v>4.0650406504065045E-3</v>
      </c>
      <c r="M661" s="2">
        <f t="shared" si="268"/>
        <v>7.4421513445903614E-2</v>
      </c>
      <c r="N661" s="63">
        <v>1414</v>
      </c>
      <c r="O661" s="63">
        <v>4480</v>
      </c>
      <c r="P661" s="63">
        <v>26</v>
      </c>
      <c r="Q661" s="63">
        <v>323</v>
      </c>
      <c r="R661" s="63">
        <v>87</v>
      </c>
      <c r="S661" s="63">
        <v>7</v>
      </c>
      <c r="T661" s="63"/>
      <c r="U661" s="63"/>
      <c r="V661" s="63"/>
      <c r="W661" s="63">
        <f>IF(Copyright!B$11=1,IF(CA661&gt;0,CA661-SUM(S661:V661)-P661-SUM(X661:AQ661),SUM(CB661:CW661)),SUM(CC661:CW661))</f>
        <v>58</v>
      </c>
      <c r="X661" s="63"/>
      <c r="Y661" s="63">
        <v>0</v>
      </c>
      <c r="Z661" s="63"/>
      <c r="AA661" s="63"/>
      <c r="AB661" s="63"/>
      <c r="AC661" s="63"/>
      <c r="AD661" s="63"/>
      <c r="AE661" s="63">
        <v>1</v>
      </c>
      <c r="AF661" s="63"/>
      <c r="AG661" s="63"/>
      <c r="AH661" s="63"/>
      <c r="AI661" s="63"/>
      <c r="AJ661" s="63"/>
      <c r="AK661" s="63"/>
      <c r="AL661" s="63"/>
      <c r="AM661" s="63">
        <v>0</v>
      </c>
      <c r="AN661" s="63"/>
      <c r="AO661" s="63"/>
      <c r="AP661" s="63"/>
      <c r="AQ661" s="63"/>
      <c r="AR661" s="63"/>
      <c r="AS661" s="63"/>
      <c r="AT661" s="63"/>
      <c r="AU661" s="63"/>
      <c r="AW661" s="5">
        <f>IF(Q661&gt;0,RANK(Q661,(N661:P661,Q661:AE661)),0)</f>
        <v>3</v>
      </c>
      <c r="AX661" s="5">
        <f>IF(R661&gt;0,RANK(R661,(N661:P661,Q661:AE661)),0)</f>
        <v>4</v>
      </c>
      <c r="AY661" s="5">
        <f>IF(T661&gt;0,RANK(T661,(N661:P661,Q661:AE661)),0)</f>
        <v>0</v>
      </c>
      <c r="AZ661" s="5">
        <f>IF(S661&gt;0,RANK(S661,(N661:P661,Q661:AE661)),0)</f>
        <v>7</v>
      </c>
      <c r="BA661" s="2">
        <f t="shared" si="269"/>
        <v>5.0500312695434646E-2</v>
      </c>
      <c r="BB661" s="2">
        <f t="shared" si="270"/>
        <v>1.3602251407129456E-2</v>
      </c>
      <c r="BC661" s="2">
        <f t="shared" si="271"/>
        <v>0</v>
      </c>
      <c r="BD661" s="2">
        <f t="shared" si="272"/>
        <v>1.0944340212632896E-3</v>
      </c>
      <c r="BF661" t="s">
        <v>780</v>
      </c>
      <c r="BG661" t="s">
        <v>1368</v>
      </c>
      <c r="BJ661" s="114">
        <v>17</v>
      </c>
      <c r="BK661" s="116">
        <v>53</v>
      </c>
      <c r="BL661" s="120">
        <f t="shared" si="258"/>
        <v>17053</v>
      </c>
      <c r="BN661" s="5" t="s">
        <v>3154</v>
      </c>
      <c r="BO661" s="63">
        <v>79</v>
      </c>
      <c r="BP661" s="63">
        <v>5</v>
      </c>
      <c r="BR661" s="63"/>
      <c r="BW661" s="8"/>
      <c r="BY661" s="63">
        <f t="shared" si="273"/>
        <v>0</v>
      </c>
      <c r="BZ661" s="63">
        <v>6396</v>
      </c>
      <c r="CA661" s="132">
        <f>58+1+26+7</f>
        <v>92</v>
      </c>
      <c r="CB661" s="132"/>
      <c r="CD661" s="63">
        <v>0</v>
      </c>
      <c r="CE661" s="63">
        <v>0</v>
      </c>
      <c r="CF661" s="63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</row>
    <row r="662" spans="1:100" hidden="1" outlineLevel="1">
      <c r="A662" t="s">
        <v>1138</v>
      </c>
      <c r="B662" t="s">
        <v>1368</v>
      </c>
      <c r="C662" s="1">
        <f t="shared" si="262"/>
        <v>18711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32">
        <f t="shared" si="263"/>
        <v>8389</v>
      </c>
      <c r="H662" s="137">
        <f t="shared" si="264"/>
        <v>0.44834589279033721</v>
      </c>
      <c r="I662" s="2"/>
      <c r="J662" s="2">
        <f t="shared" si="265"/>
        <v>0.25263214152103042</v>
      </c>
      <c r="K662" s="2">
        <f t="shared" si="266"/>
        <v>0.70097803431136763</v>
      </c>
      <c r="L662" s="2">
        <f t="shared" si="267"/>
        <v>0</v>
      </c>
      <c r="M662" s="2">
        <f t="shared" si="268"/>
        <v>4.6389824167601956E-2</v>
      </c>
      <c r="N662" s="63">
        <v>4727</v>
      </c>
      <c r="O662" s="63">
        <v>13116</v>
      </c>
      <c r="P662" s="63">
        <v>0</v>
      </c>
      <c r="Q662" s="63">
        <v>541</v>
      </c>
      <c r="R662" s="63">
        <v>183</v>
      </c>
      <c r="S662" s="63">
        <v>0</v>
      </c>
      <c r="T662" s="63"/>
      <c r="U662" s="63"/>
      <c r="V662" s="63"/>
      <c r="W662" s="63">
        <f>IF(Copyright!B$11=1,IF(CA662&gt;0,CA662-SUM(S662:V662)-P662-SUM(X662:AQ662),SUM(CB662:CW662)),SUM(CC662:CW662))</f>
        <v>144</v>
      </c>
      <c r="X662" s="63"/>
      <c r="Y662" s="63">
        <v>0</v>
      </c>
      <c r="Z662" s="63"/>
      <c r="AA662" s="63"/>
      <c r="AB662" s="63"/>
      <c r="AC662" s="63"/>
      <c r="AD662" s="63"/>
      <c r="AE662" s="63">
        <v>0</v>
      </c>
      <c r="AF662" s="63"/>
      <c r="AG662" s="63"/>
      <c r="AH662" s="63"/>
      <c r="AI662" s="63"/>
      <c r="AJ662" s="63"/>
      <c r="AK662" s="63"/>
      <c r="AL662" s="63"/>
      <c r="AM662" s="63">
        <v>0</v>
      </c>
      <c r="AN662" s="63"/>
      <c r="AO662" s="63"/>
      <c r="AP662" s="63"/>
      <c r="AQ662" s="63"/>
      <c r="AR662" s="63"/>
      <c r="AS662" s="63"/>
      <c r="AT662" s="63"/>
      <c r="AU662" s="63"/>
      <c r="AW662" s="5">
        <f>IF(Q662&gt;0,RANK(Q662,(N662:P662,Q662:AE662)),0)</f>
        <v>3</v>
      </c>
      <c r="AX662" s="5">
        <f>IF(R662&gt;0,RANK(R662,(N662:P662,Q662:AE662)),0)</f>
        <v>4</v>
      </c>
      <c r="AY662" s="5">
        <f>IF(T662&gt;0,RANK(T662,(N662:P662,Q662:AE662)),0)</f>
        <v>0</v>
      </c>
      <c r="AZ662" s="5">
        <f>IF(S662&gt;0,RANK(S662,(N662:P662,Q662:AE662)),0)</f>
        <v>0</v>
      </c>
      <c r="BA662" s="2">
        <f t="shared" si="269"/>
        <v>2.8913473357917802E-2</v>
      </c>
      <c r="BB662" s="2">
        <f t="shared" si="270"/>
        <v>9.7803431136764471E-3</v>
      </c>
      <c r="BC662" s="2">
        <f t="shared" si="271"/>
        <v>0</v>
      </c>
      <c r="BD662" s="2">
        <f t="shared" si="272"/>
        <v>0</v>
      </c>
      <c r="BF662" t="s">
        <v>1138</v>
      </c>
      <c r="BG662" t="s">
        <v>1368</v>
      </c>
      <c r="BH662">
        <v>12</v>
      </c>
      <c r="BJ662" s="114">
        <v>17</v>
      </c>
      <c r="BK662" s="116">
        <v>55</v>
      </c>
      <c r="BL662" s="120">
        <f t="shared" si="258"/>
        <v>17055</v>
      </c>
      <c r="BN662" s="5" t="s">
        <v>3154</v>
      </c>
      <c r="BW662" s="8"/>
      <c r="BY662" s="63">
        <f t="shared" si="273"/>
        <v>0</v>
      </c>
      <c r="BZ662" s="63">
        <f>183+13116+4727+541+144</f>
        <v>18711</v>
      </c>
      <c r="CA662" s="132">
        <v>144</v>
      </c>
      <c r="CB662" s="132"/>
      <c r="CD662" s="63">
        <v>0</v>
      </c>
      <c r="CE662" s="63">
        <v>0</v>
      </c>
      <c r="CF662" s="63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</row>
    <row r="663" spans="1:100" hidden="1" outlineLevel="1">
      <c r="A663" t="s">
        <v>2388</v>
      </c>
      <c r="B663" t="s">
        <v>1368</v>
      </c>
      <c r="C663" s="1">
        <f t="shared" si="262"/>
        <v>15797</v>
      </c>
      <c r="D663" s="5">
        <f>IF(N663&gt;0, RANK(N663,(N663:P663,Q663:AE663)),0)</f>
        <v>2</v>
      </c>
      <c r="E663" s="5">
        <f>IF(O663&gt;0,RANK(O663,(N663:P663,Q663:AE663)),0)</f>
        <v>1</v>
      </c>
      <c r="F663" s="5">
        <f>IF(P663&gt;0,RANK(P663,(N663:P663,Q663:AE663)),0)</f>
        <v>6</v>
      </c>
      <c r="G663" s="132">
        <f t="shared" si="263"/>
        <v>2359</v>
      </c>
      <c r="H663" s="137">
        <f t="shared" si="264"/>
        <v>0.14933215167436856</v>
      </c>
      <c r="I663" s="2"/>
      <c r="J663" s="2">
        <f t="shared" si="265"/>
        <v>0.38823827308982717</v>
      </c>
      <c r="K663" s="2">
        <f t="shared" si="266"/>
        <v>0.5375704247641957</v>
      </c>
      <c r="L663" s="2">
        <f t="shared" si="267"/>
        <v>3.79818952965753E-4</v>
      </c>
      <c r="M663" s="2">
        <f t="shared" si="268"/>
        <v>7.3811483193011382E-2</v>
      </c>
      <c r="N663" s="63">
        <v>6133</v>
      </c>
      <c r="O663" s="63">
        <v>8492</v>
      </c>
      <c r="P663" s="63">
        <v>6</v>
      </c>
      <c r="Q663" s="63">
        <v>780</v>
      </c>
      <c r="R663" s="63">
        <v>239</v>
      </c>
      <c r="S663" s="63">
        <v>1</v>
      </c>
      <c r="T663" s="63"/>
      <c r="U663" s="63"/>
      <c r="V663" s="63"/>
      <c r="W663" s="63">
        <f>IF(Copyright!B$11=1,IF(CA663&gt;0,CA663-SUM(S663:V663)-P663-SUM(X663:AQ663),SUM(CB663:CW663)),SUM(CC663:CW663))</f>
        <v>146</v>
      </c>
      <c r="X663" s="63"/>
      <c r="Y663" s="63">
        <v>0</v>
      </c>
      <c r="Z663" s="63"/>
      <c r="AA663" s="63"/>
      <c r="AB663" s="63"/>
      <c r="AC663" s="63"/>
      <c r="AD663" s="63"/>
      <c r="AE663" s="63">
        <v>0</v>
      </c>
      <c r="AF663" s="63"/>
      <c r="AG663" s="63"/>
      <c r="AH663" s="63"/>
      <c r="AI663" s="63"/>
      <c r="AJ663" s="63"/>
      <c r="AK663" s="63"/>
      <c r="AL663" s="63"/>
      <c r="AM663" s="63">
        <v>0</v>
      </c>
      <c r="AN663" s="63"/>
      <c r="AO663" s="63"/>
      <c r="AP663" s="63"/>
      <c r="AQ663" s="63"/>
      <c r="AR663" s="63"/>
      <c r="AS663" s="63"/>
      <c r="AT663" s="63"/>
      <c r="AU663" s="63"/>
      <c r="AW663" s="5">
        <f>IF(Q663&gt;0,RANK(Q663,(N663:P663,Q663:AE663)),0)</f>
        <v>3</v>
      </c>
      <c r="AX663" s="5">
        <f>IF(R663&gt;0,RANK(R663,(N663:P663,Q663:AE663)),0)</f>
        <v>4</v>
      </c>
      <c r="AY663" s="5">
        <f>IF(T663&gt;0,RANK(T663,(N663:P663,Q663:AE663)),0)</f>
        <v>0</v>
      </c>
      <c r="AZ663" s="5">
        <f>IF(S663&gt;0,RANK(S663,(N663:P663,Q663:AE663)),0)</f>
        <v>7</v>
      </c>
      <c r="BA663" s="2">
        <f t="shared" si="269"/>
        <v>4.9376463885547887E-2</v>
      </c>
      <c r="BB663" s="2">
        <f t="shared" si="270"/>
        <v>1.5129454959802495E-2</v>
      </c>
      <c r="BC663" s="2">
        <f t="shared" si="271"/>
        <v>0</v>
      </c>
      <c r="BD663" s="2">
        <f t="shared" si="272"/>
        <v>6.3303158827625504E-5</v>
      </c>
      <c r="BF663" t="s">
        <v>2388</v>
      </c>
      <c r="BG663" t="s">
        <v>1368</v>
      </c>
      <c r="BH663">
        <v>17</v>
      </c>
      <c r="BJ663" s="114">
        <v>17</v>
      </c>
      <c r="BK663" s="116">
        <v>57</v>
      </c>
      <c r="BL663" s="120">
        <f t="shared" si="258"/>
        <v>17057</v>
      </c>
      <c r="BN663" s="5" t="s">
        <v>3154</v>
      </c>
      <c r="BO663" s="63">
        <v>133</v>
      </c>
      <c r="BP663" s="63">
        <v>8</v>
      </c>
      <c r="BR663" s="63"/>
      <c r="BW663" s="8"/>
      <c r="BX663" s="132" t="s">
        <v>3255</v>
      </c>
      <c r="BY663" s="63">
        <f t="shared" si="273"/>
        <v>0</v>
      </c>
      <c r="BZ663" s="63">
        <v>15797</v>
      </c>
      <c r="CA663" s="132">
        <f>15797-6133-8492-780-239</f>
        <v>153</v>
      </c>
      <c r="CB663" s="132"/>
      <c r="CD663" s="63">
        <v>0</v>
      </c>
      <c r="CE663" s="63">
        <v>0</v>
      </c>
      <c r="CF663" s="63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 hidden="1" outlineLevel="1">
      <c r="A664" t="s">
        <v>45</v>
      </c>
      <c r="B664" t="s">
        <v>1368</v>
      </c>
      <c r="C664" s="1">
        <f t="shared" si="262"/>
        <v>2707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>IF(P664&gt;0,RANK(P664,(N664:P664,Q664:AE664)),0)</f>
        <v>7</v>
      </c>
      <c r="G664" s="132">
        <f t="shared" si="263"/>
        <v>1285</v>
      </c>
      <c r="H664" s="137">
        <f t="shared" si="264"/>
        <v>0.47469523457702251</v>
      </c>
      <c r="I664" s="2"/>
      <c r="J664" s="2">
        <f t="shared" si="265"/>
        <v>0.24270410048023641</v>
      </c>
      <c r="K664" s="2">
        <f t="shared" si="266"/>
        <v>0.71739933505725895</v>
      </c>
      <c r="L664" s="2">
        <f t="shared" si="267"/>
        <v>7.3882526782415958E-4</v>
      </c>
      <c r="M664" s="2">
        <f t="shared" si="268"/>
        <v>3.9157739194680512E-2</v>
      </c>
      <c r="N664" s="63">
        <v>657</v>
      </c>
      <c r="O664" s="63">
        <v>1942</v>
      </c>
      <c r="P664" s="63">
        <v>2</v>
      </c>
      <c r="Q664" s="63">
        <v>73</v>
      </c>
      <c r="R664" s="63">
        <v>20</v>
      </c>
      <c r="S664" s="63">
        <v>2</v>
      </c>
      <c r="T664" s="63"/>
      <c r="U664" s="63"/>
      <c r="V664" s="63"/>
      <c r="W664" s="63">
        <f>IF(Copyright!B$11=1,IF(CA664&gt;0,CA664-SUM(S664:V664)-P664-SUM(X664:AQ664),SUM(CB664:CW664)),SUM(CC664:CW664))</f>
        <v>8</v>
      </c>
      <c r="X664" s="63"/>
      <c r="Y664" s="63">
        <v>3</v>
      </c>
      <c r="Z664" s="63"/>
      <c r="AA664" s="63"/>
      <c r="AB664" s="63"/>
      <c r="AC664" s="63"/>
      <c r="AD664" s="63"/>
      <c r="AE664" s="63">
        <v>0</v>
      </c>
      <c r="AF664" s="63"/>
      <c r="AG664" s="63"/>
      <c r="AH664" s="63"/>
      <c r="AI664" s="63"/>
      <c r="AJ664" s="63"/>
      <c r="AK664" s="63"/>
      <c r="AL664" s="63"/>
      <c r="AM664" s="63">
        <v>0</v>
      </c>
      <c r="AN664" s="63"/>
      <c r="AO664" s="63"/>
      <c r="AP664" s="63"/>
      <c r="AQ664" s="63"/>
      <c r="AR664" s="63"/>
      <c r="AS664" s="63"/>
      <c r="AT664" s="63"/>
      <c r="AU664" s="63"/>
      <c r="AW664" s="5">
        <f>IF(Q664&gt;0,RANK(Q664,(N664:P664,Q664:AE664)),0)</f>
        <v>3</v>
      </c>
      <c r="AX664" s="5">
        <f>IF(R664&gt;0,RANK(R664,(N664:P664,Q664:AE664)),0)</f>
        <v>4</v>
      </c>
      <c r="AY664" s="5">
        <f>IF(T664&gt;0,RANK(T664,(N664:P664,Q664:AE664)),0)</f>
        <v>0</v>
      </c>
      <c r="AZ664" s="5">
        <f>IF(S664&gt;0,RANK(S664,(N664:P664,Q664:AE664)),0)</f>
        <v>7</v>
      </c>
      <c r="BA664" s="2">
        <f t="shared" si="269"/>
        <v>2.6967122275581824E-2</v>
      </c>
      <c r="BB664" s="2">
        <f t="shared" si="270"/>
        <v>7.3882526782415962E-3</v>
      </c>
      <c r="BC664" s="2">
        <f t="shared" si="271"/>
        <v>0</v>
      </c>
      <c r="BD664" s="2">
        <f t="shared" si="272"/>
        <v>7.3882526782415958E-4</v>
      </c>
      <c r="BF664" t="s">
        <v>45</v>
      </c>
      <c r="BG664" t="s">
        <v>1368</v>
      </c>
      <c r="BH664">
        <v>15</v>
      </c>
      <c r="BJ664" s="114">
        <v>17</v>
      </c>
      <c r="BK664" s="116">
        <v>59</v>
      </c>
      <c r="BL664" s="120">
        <f t="shared" si="258"/>
        <v>17059</v>
      </c>
      <c r="BN664" s="5" t="s">
        <v>3154</v>
      </c>
      <c r="BO664" s="63">
        <v>39</v>
      </c>
      <c r="BP664" s="63">
        <v>14</v>
      </c>
      <c r="BR664" s="63"/>
      <c r="BW664" s="8"/>
      <c r="BY664" s="63">
        <f t="shared" si="273"/>
        <v>0</v>
      </c>
      <c r="BZ664" s="63">
        <f>1942+657+73+20+15</f>
        <v>2707</v>
      </c>
      <c r="CA664" s="132">
        <v>15</v>
      </c>
      <c r="CB664" s="132"/>
      <c r="CD664" s="63">
        <v>0</v>
      </c>
      <c r="CE664" s="63">
        <v>0</v>
      </c>
      <c r="CF664" s="63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</row>
    <row r="665" spans="1:100" hidden="1" outlineLevel="1">
      <c r="A665" t="s">
        <v>2189</v>
      </c>
      <c r="B665" t="s">
        <v>1368</v>
      </c>
      <c r="C665" s="1">
        <f t="shared" si="262"/>
        <v>5585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6</v>
      </c>
      <c r="G665" s="132">
        <f t="shared" si="263"/>
        <v>2940</v>
      </c>
      <c r="H665" s="137">
        <f t="shared" si="264"/>
        <v>0.52641002685765448</v>
      </c>
      <c r="I665" s="2"/>
      <c r="J665" s="2">
        <f t="shared" si="265"/>
        <v>0.21575649059982094</v>
      </c>
      <c r="K665" s="2">
        <f t="shared" si="266"/>
        <v>0.74216651745747542</v>
      </c>
      <c r="L665" s="2">
        <f t="shared" si="267"/>
        <v>5.3715308863025966E-4</v>
      </c>
      <c r="M665" s="2">
        <f t="shared" si="268"/>
        <v>4.1539838854073384E-2</v>
      </c>
      <c r="N665" s="63">
        <v>1205</v>
      </c>
      <c r="O665" s="63">
        <v>4145</v>
      </c>
      <c r="P665" s="63">
        <v>3</v>
      </c>
      <c r="Q665" s="63">
        <v>164</v>
      </c>
      <c r="R665" s="63">
        <v>39</v>
      </c>
      <c r="S665" s="63">
        <v>3</v>
      </c>
      <c r="T665" s="63"/>
      <c r="U665" s="63"/>
      <c r="V665" s="63"/>
      <c r="W665" s="63">
        <f>IF(Copyright!B$11=1,IF(CA665&gt;0,CA665-SUM(S665:V665)-P665-SUM(X665:AQ665),SUM(CB665:CW665)),SUM(CC665:CW665))</f>
        <v>26</v>
      </c>
      <c r="X665" s="63"/>
      <c r="Y665" s="63">
        <v>0</v>
      </c>
      <c r="Z665" s="63"/>
      <c r="AA665" s="63"/>
      <c r="AB665" s="63"/>
      <c r="AC665" s="63"/>
      <c r="AD665" s="63"/>
      <c r="AE665" s="63">
        <v>0</v>
      </c>
      <c r="AF665" s="63"/>
      <c r="AG665" s="63"/>
      <c r="AH665" s="63"/>
      <c r="AI665" s="63"/>
      <c r="AJ665" s="63"/>
      <c r="AK665" s="63"/>
      <c r="AL665" s="63"/>
      <c r="AM665" s="63">
        <v>0</v>
      </c>
      <c r="AN665" s="63"/>
      <c r="AO665" s="63"/>
      <c r="AP665" s="63"/>
      <c r="AQ665" s="63"/>
      <c r="AR665" s="63"/>
      <c r="AS665" s="63"/>
      <c r="AT665" s="63"/>
      <c r="AU665" s="63"/>
      <c r="AW665" s="5">
        <f>IF(Q665&gt;0,RANK(Q665,(N665:P665,Q665:AE665)),0)</f>
        <v>3</v>
      </c>
      <c r="AX665" s="5">
        <f>IF(R665&gt;0,RANK(R665,(N665:P665,Q665:AE665)),0)</f>
        <v>4</v>
      </c>
      <c r="AY665" s="5">
        <f>IF(T665&gt;0,RANK(T665,(N665:P665,Q665:AE665)),0)</f>
        <v>0</v>
      </c>
      <c r="AZ665" s="5">
        <f>IF(S665&gt;0,RANK(S665,(N665:P665,Q665:AE665)),0)</f>
        <v>6</v>
      </c>
      <c r="BA665" s="2">
        <f t="shared" si="269"/>
        <v>2.9364368845120861E-2</v>
      </c>
      <c r="BB665" s="2">
        <f t="shared" si="270"/>
        <v>6.9829901521933748E-3</v>
      </c>
      <c r="BC665" s="2">
        <f t="shared" si="271"/>
        <v>0</v>
      </c>
      <c r="BD665" s="2">
        <f t="shared" si="272"/>
        <v>5.3715308863025966E-4</v>
      </c>
      <c r="BF665" t="s">
        <v>2189</v>
      </c>
      <c r="BG665" t="s">
        <v>1368</v>
      </c>
      <c r="BH665">
        <v>13</v>
      </c>
      <c r="BJ665" s="114">
        <v>17</v>
      </c>
      <c r="BK665" s="116">
        <v>61</v>
      </c>
      <c r="BL665" s="120">
        <f t="shared" si="258"/>
        <v>17061</v>
      </c>
      <c r="BN665" s="5" t="s">
        <v>3154</v>
      </c>
      <c r="BO665" s="63">
        <v>57</v>
      </c>
      <c r="BP665" s="63">
        <v>10</v>
      </c>
      <c r="BR665" s="63"/>
      <c r="BW665" s="8"/>
      <c r="BX665" s="132" t="s">
        <v>3255</v>
      </c>
      <c r="BY665" s="63">
        <f t="shared" si="273"/>
        <v>0</v>
      </c>
      <c r="BZ665" s="63">
        <v>5585</v>
      </c>
      <c r="CA665" s="132">
        <v>32</v>
      </c>
      <c r="CB665" s="132"/>
      <c r="CD665" s="63">
        <v>0</v>
      </c>
      <c r="CE665" s="63">
        <v>0</v>
      </c>
      <c r="CF665" s="63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</row>
    <row r="666" spans="1:100" hidden="1" outlineLevel="1">
      <c r="A666" t="s">
        <v>648</v>
      </c>
      <c r="B666" t="s">
        <v>1368</v>
      </c>
      <c r="C666" s="1">
        <f t="shared" si="262"/>
        <v>23237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6</v>
      </c>
      <c r="G666" s="132">
        <f t="shared" si="263"/>
        <v>5389</v>
      </c>
      <c r="H666" s="137">
        <f t="shared" si="264"/>
        <v>0.2319146189267117</v>
      </c>
      <c r="I666" s="2"/>
      <c r="J666" s="2">
        <f t="shared" si="265"/>
        <v>0.34707578430950636</v>
      </c>
      <c r="K666" s="2">
        <f t="shared" si="266"/>
        <v>0.57899040323621809</v>
      </c>
      <c r="L666" s="2">
        <f t="shared" si="267"/>
        <v>1.549253345956879E-3</v>
      </c>
      <c r="M666" s="2">
        <f t="shared" si="268"/>
        <v>7.2384559108318675E-2</v>
      </c>
      <c r="N666" s="63">
        <v>8065</v>
      </c>
      <c r="O666" s="63">
        <v>13454</v>
      </c>
      <c r="P666" s="63">
        <v>36</v>
      </c>
      <c r="Q666" s="63">
        <v>1140</v>
      </c>
      <c r="R666" s="63">
        <v>323</v>
      </c>
      <c r="S666" s="63">
        <v>4</v>
      </c>
      <c r="T666" s="63"/>
      <c r="U666" s="63"/>
      <c r="V666" s="63"/>
      <c r="W666" s="63">
        <f>IF(Copyright!B$11=1,IF(CA666&gt;0,CA666-SUM(S666:V666)-P666-SUM(X666:AQ666),SUM(CB666:CW666)),SUM(CC666:CW666))</f>
        <v>215</v>
      </c>
      <c r="X666" s="63"/>
      <c r="Y666" s="63">
        <v>0</v>
      </c>
      <c r="Z666" s="63"/>
      <c r="AA666" s="63"/>
      <c r="AB666" s="63"/>
      <c r="AC666" s="63"/>
      <c r="AD666" s="63"/>
      <c r="AE666" s="63">
        <v>0</v>
      </c>
      <c r="AF666" s="63"/>
      <c r="AG666" s="63"/>
      <c r="AH666" s="63"/>
      <c r="AI666" s="63"/>
      <c r="AJ666" s="63"/>
      <c r="AK666" s="63"/>
      <c r="AL666" s="63"/>
      <c r="AM666" s="63">
        <v>0</v>
      </c>
      <c r="AN666" s="63"/>
      <c r="AO666" s="63"/>
      <c r="AP666" s="63"/>
      <c r="AQ666" s="63"/>
      <c r="AR666" s="63"/>
      <c r="AS666" s="63"/>
      <c r="AT666" s="63"/>
      <c r="AU666" s="63"/>
      <c r="AW666" s="5">
        <f>IF(Q666&gt;0,RANK(Q666,(N666:P666,Q666:AE666)),0)</f>
        <v>3</v>
      </c>
      <c r="AX666" s="5">
        <f>IF(R666&gt;0,RANK(R666,(N666:P666,Q666:AE666)),0)</f>
        <v>4</v>
      </c>
      <c r="AY666" s="5">
        <f>IF(T666&gt;0,RANK(T666,(N666:P666,Q666:AE666)),0)</f>
        <v>0</v>
      </c>
      <c r="AZ666" s="5">
        <f>IF(S666&gt;0,RANK(S666,(N666:P666,Q666:AE666)),0)</f>
        <v>7</v>
      </c>
      <c r="BA666" s="2">
        <f t="shared" si="269"/>
        <v>4.9059689288634509E-2</v>
      </c>
      <c r="BB666" s="2">
        <f t="shared" si="270"/>
        <v>1.3900245298446443E-2</v>
      </c>
      <c r="BC666" s="2">
        <f t="shared" si="271"/>
        <v>0</v>
      </c>
      <c r="BD666" s="2">
        <f t="shared" si="272"/>
        <v>1.7213926066187547E-4</v>
      </c>
      <c r="BF666" t="s">
        <v>648</v>
      </c>
      <c r="BG666" t="s">
        <v>1368</v>
      </c>
      <c r="BH666">
        <v>16</v>
      </c>
      <c r="BJ666" s="114">
        <v>17</v>
      </c>
      <c r="BK666" s="116">
        <v>63</v>
      </c>
      <c r="BL666" s="120">
        <f t="shared" si="258"/>
        <v>17063</v>
      </c>
      <c r="BN666" s="5" t="s">
        <v>3154</v>
      </c>
      <c r="BO666" s="63">
        <v>222</v>
      </c>
      <c r="BP666" s="63">
        <v>15</v>
      </c>
      <c r="BR666" s="63"/>
      <c r="BW666" s="8"/>
      <c r="BX666" s="132" t="s">
        <v>3257</v>
      </c>
      <c r="BY666" s="63">
        <f t="shared" si="273"/>
        <v>0</v>
      </c>
      <c r="BZ666" s="63">
        <v>23237</v>
      </c>
      <c r="CA666" s="132">
        <f>215+4+36</f>
        <v>255</v>
      </c>
      <c r="CB666" s="132"/>
      <c r="CD666" s="63">
        <v>0</v>
      </c>
      <c r="CE666" s="63">
        <v>0</v>
      </c>
      <c r="CF666" s="63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</row>
    <row r="667" spans="1:100" hidden="1" outlineLevel="1">
      <c r="A667" t="s">
        <v>2646</v>
      </c>
      <c r="B667" t="s">
        <v>1368</v>
      </c>
      <c r="C667" s="1">
        <f t="shared" ref="C667:C698" si="274">SUM(N667:AU667)</f>
        <v>4156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>IF(P667&gt;0,RANK(P667,(N667:P667,Q667:AE667)),0)</f>
        <v>5</v>
      </c>
      <c r="G667" s="132">
        <f t="shared" ref="G667:G698" si="275">IF(C667&gt;0,MAX(N667:P667)-LARGE(N667:P667,2),0)</f>
        <v>2404</v>
      </c>
      <c r="H667" s="137">
        <f t="shared" ref="H667:H698" si="276">IF(C667&gt;0,G667/C667,0)</f>
        <v>0.57844080846968238</v>
      </c>
      <c r="I667" s="2"/>
      <c r="J667" s="2">
        <f t="shared" ref="J667:J698" si="277">IF($C667=0,"-",N667/$C667)</f>
        <v>0.19297401347449469</v>
      </c>
      <c r="K667" s="2">
        <f t="shared" ref="K667:K698" si="278">IF($C667=0,"-",O667/$C667)</f>
        <v>0.7714148219441771</v>
      </c>
      <c r="L667" s="2">
        <f t="shared" ref="L667:L698" si="279">IF($C667=0,"-",P667/$C667)</f>
        <v>1.4436958614051972E-3</v>
      </c>
      <c r="M667" s="2">
        <f t="shared" ref="M667:M698" si="280">IF(C667=0,"-",(1-J667-K667-L667))</f>
        <v>3.4167468719922982E-2</v>
      </c>
      <c r="N667" s="63">
        <v>802</v>
      </c>
      <c r="O667" s="63">
        <v>3206</v>
      </c>
      <c r="P667" s="63">
        <v>6</v>
      </c>
      <c r="Q667" s="63">
        <v>114</v>
      </c>
      <c r="R667" s="63">
        <v>24</v>
      </c>
      <c r="S667" s="63">
        <v>2</v>
      </c>
      <c r="T667" s="63"/>
      <c r="U667" s="63"/>
      <c r="V667" s="63"/>
      <c r="W667" s="63">
        <f>IF(Copyright!B$11=1,IF(CA667&gt;0,CA667-SUM(S667:V667)-P667-SUM(X667:AQ667),SUM(CB667:CW667)),SUM(CC667:CW667))</f>
        <v>0</v>
      </c>
      <c r="X667" s="63"/>
      <c r="Y667" s="63">
        <v>0</v>
      </c>
      <c r="Z667" s="63"/>
      <c r="AA667" s="63"/>
      <c r="AB667" s="63"/>
      <c r="AC667" s="63"/>
      <c r="AD667" s="63"/>
      <c r="AE667" s="63">
        <v>2</v>
      </c>
      <c r="AF667" s="63"/>
      <c r="AG667" s="63"/>
      <c r="AH667" s="63"/>
      <c r="AI667" s="63"/>
      <c r="AJ667" s="63"/>
      <c r="AK667" s="63"/>
      <c r="AL667" s="63"/>
      <c r="AM667" s="63">
        <v>0</v>
      </c>
      <c r="AN667" s="63"/>
      <c r="AO667" s="63"/>
      <c r="AP667" s="63"/>
      <c r="AQ667" s="63"/>
      <c r="AR667" s="63"/>
      <c r="AS667" s="63"/>
      <c r="AT667" s="63"/>
      <c r="AU667" s="63"/>
      <c r="AW667" s="5">
        <f>IF(Q667&gt;0,RANK(Q667,(N667:P667,Q667:AE667)),0)</f>
        <v>3</v>
      </c>
      <c r="AX667" s="5">
        <f>IF(R667&gt;0,RANK(R667,(N667:P667,Q667:AE667)),0)</f>
        <v>4</v>
      </c>
      <c r="AY667" s="5">
        <f>IF(T667&gt;0,RANK(T667,(N667:P667,Q667:AE667)),0)</f>
        <v>0</v>
      </c>
      <c r="AZ667" s="5">
        <f>IF(S667&gt;0,RANK(S667,(N667:P667,Q667:AE667)),0)</f>
        <v>6</v>
      </c>
      <c r="BA667" s="2">
        <f t="shared" ref="BA667:BA698" si="281">IF($C667=0,"-",Q667/$C667)</f>
        <v>2.7430221366698749E-2</v>
      </c>
      <c r="BB667" s="2">
        <f t="shared" ref="BB667:BB698" si="282">IF($C667=0,"-",R667/$C667)</f>
        <v>5.7747834456207889E-3</v>
      </c>
      <c r="BC667" s="2">
        <f t="shared" ref="BC667:BC698" si="283">IF($C667=0,"-",T667/$C667)</f>
        <v>0</v>
      </c>
      <c r="BD667" s="2">
        <f t="shared" ref="BD667:BD698" si="284">IF($C667=0,"-",S667/$C667)</f>
        <v>4.8123195380173246E-4</v>
      </c>
      <c r="BF667" t="s">
        <v>2646</v>
      </c>
      <c r="BG667" t="s">
        <v>1368</v>
      </c>
      <c r="BH667">
        <v>15</v>
      </c>
      <c r="BJ667" s="114">
        <v>17</v>
      </c>
      <c r="BK667" s="116">
        <v>65</v>
      </c>
      <c r="BL667" s="120">
        <f t="shared" si="258"/>
        <v>17065</v>
      </c>
      <c r="BN667" s="5" t="s">
        <v>3154</v>
      </c>
      <c r="BW667" s="8"/>
      <c r="BY667" s="63">
        <f t="shared" ref="BY667:BY698" si="285">BZ667-C667</f>
        <v>-4156</v>
      </c>
      <c r="CA667" s="133">
        <v>0</v>
      </c>
      <c r="CB667" s="132"/>
      <c r="CD667" s="63">
        <v>0</v>
      </c>
      <c r="CE667" s="63">
        <v>0</v>
      </c>
      <c r="CF667" s="63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0</v>
      </c>
      <c r="CN667" s="8">
        <v>0</v>
      </c>
      <c r="CO667" s="8">
        <v>0</v>
      </c>
      <c r="CP667" s="8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 hidden="1" outlineLevel="1">
      <c r="A668" t="s">
        <v>597</v>
      </c>
      <c r="B668" t="s">
        <v>1368</v>
      </c>
      <c r="C668" s="1">
        <f t="shared" si="274"/>
        <v>9121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>IF(P668&gt;0,RANK(P668,(N668:P668,Q668:AE668)),0)</f>
        <v>6</v>
      </c>
      <c r="G668" s="132">
        <f t="shared" si="275"/>
        <v>4291</v>
      </c>
      <c r="H668" s="137">
        <f t="shared" si="276"/>
        <v>0.47045280122793554</v>
      </c>
      <c r="I668" s="2"/>
      <c r="J668" s="2">
        <f t="shared" si="277"/>
        <v>0.23451375945619998</v>
      </c>
      <c r="K668" s="2">
        <f t="shared" si="278"/>
        <v>0.70496656068413555</v>
      </c>
      <c r="L668" s="2">
        <f t="shared" si="279"/>
        <v>6.7975002740927526E-3</v>
      </c>
      <c r="M668" s="2">
        <f t="shared" si="280"/>
        <v>5.372217958557169E-2</v>
      </c>
      <c r="N668" s="63">
        <v>2139</v>
      </c>
      <c r="O668" s="63">
        <v>6430</v>
      </c>
      <c r="P668" s="63">
        <v>62</v>
      </c>
      <c r="Q668" s="63">
        <v>348</v>
      </c>
      <c r="R668" s="63">
        <v>64</v>
      </c>
      <c r="S668" s="63">
        <v>6</v>
      </c>
      <c r="T668" s="63"/>
      <c r="U668" s="63"/>
      <c r="V668" s="63"/>
      <c r="W668" s="63">
        <f>IF(Copyright!B$11=1,IF(CA668&gt;0,CA668-SUM(S668:V668)-P668-SUM(X668:AQ668),SUM(CB668:CW668)),SUM(CC668:CW668))</f>
        <v>72</v>
      </c>
      <c r="X668" s="63"/>
      <c r="Y668" s="63">
        <v>0</v>
      </c>
      <c r="Z668" s="63"/>
      <c r="AA668" s="63"/>
      <c r="AB668" s="63"/>
      <c r="AC668" s="63"/>
      <c r="AD668" s="63"/>
      <c r="AE668" s="63">
        <v>0</v>
      </c>
      <c r="AF668" s="63"/>
      <c r="AG668" s="63"/>
      <c r="AH668" s="63"/>
      <c r="AI668" s="63"/>
      <c r="AJ668" s="63"/>
      <c r="AK668" s="63"/>
      <c r="AL668" s="63"/>
      <c r="AM668" s="63">
        <v>0</v>
      </c>
      <c r="AN668" s="63"/>
      <c r="AO668" s="63"/>
      <c r="AP668" s="63"/>
      <c r="AQ668" s="63"/>
      <c r="AR668" s="63"/>
      <c r="AS668" s="63"/>
      <c r="AT668" s="63"/>
      <c r="AU668" s="63"/>
      <c r="AW668" s="5">
        <f>IF(Q668&gt;0,RANK(Q668,(N668:P668,Q668:AE668)),0)</f>
        <v>3</v>
      </c>
      <c r="AX668" s="5">
        <f>IF(R668&gt;0,RANK(R668,(N668:P668,Q668:AE668)),0)</f>
        <v>5</v>
      </c>
      <c r="AY668" s="5">
        <f>IF(T668&gt;0,RANK(T668,(N668:P668,Q668:AE668)),0)</f>
        <v>0</v>
      </c>
      <c r="AZ668" s="5">
        <f>IF(S668&gt;0,RANK(S668,(N668:P668,Q668:AE668)),0)</f>
        <v>7</v>
      </c>
      <c r="BA668" s="2">
        <f t="shared" si="281"/>
        <v>3.8153711215875449E-2</v>
      </c>
      <c r="BB668" s="2">
        <f t="shared" si="282"/>
        <v>7.0167744764828418E-3</v>
      </c>
      <c r="BC668" s="2">
        <f t="shared" si="283"/>
        <v>0</v>
      </c>
      <c r="BD668" s="2">
        <f t="shared" si="284"/>
        <v>6.5782260717026639E-4</v>
      </c>
      <c r="BF668" t="s">
        <v>597</v>
      </c>
      <c r="BG668" t="s">
        <v>1368</v>
      </c>
      <c r="BH668">
        <v>18</v>
      </c>
      <c r="BJ668" s="114">
        <v>17</v>
      </c>
      <c r="BK668" s="116">
        <v>67</v>
      </c>
      <c r="BL668" s="120">
        <f t="shared" si="258"/>
        <v>17067</v>
      </c>
      <c r="BN668" s="5" t="s">
        <v>3154</v>
      </c>
      <c r="BW668" s="8"/>
      <c r="BY668" s="63">
        <f t="shared" si="285"/>
        <v>0</v>
      </c>
      <c r="BZ668" s="63">
        <f>140+64+348+2139+6430</f>
        <v>9121</v>
      </c>
      <c r="CA668" s="132">
        <v>140</v>
      </c>
      <c r="CB668" s="132"/>
      <c r="CD668" s="63">
        <v>0</v>
      </c>
      <c r="CE668" s="63">
        <v>0</v>
      </c>
      <c r="CF668" s="63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</row>
    <row r="669" spans="1:100" hidden="1" outlineLevel="1">
      <c r="A669" t="s">
        <v>1648</v>
      </c>
      <c r="B669" t="s">
        <v>1368</v>
      </c>
      <c r="C669" s="1">
        <f t="shared" si="274"/>
        <v>2148</v>
      </c>
      <c r="D669" s="5">
        <f>IF(N669&gt;0, RANK(N669,(N669:P669,Q669:AE669)),0)</f>
        <v>2</v>
      </c>
      <c r="E669" s="5">
        <f>IF(O669&gt;0,RANK(O669,(N669:P669,Q669:AE669)),0)</f>
        <v>1</v>
      </c>
      <c r="F669" s="5">
        <f>IF(P669&gt;0,RANK(P669,(N669:P669,Q669:AE669)),0)</f>
        <v>0</v>
      </c>
      <c r="G669" s="132">
        <f t="shared" si="275"/>
        <v>1233</v>
      </c>
      <c r="H669" s="137">
        <f t="shared" si="276"/>
        <v>0.57402234636871508</v>
      </c>
      <c r="I669" s="2"/>
      <c r="J669" s="2">
        <f t="shared" si="277"/>
        <v>0.19553072625698323</v>
      </c>
      <c r="K669" s="2">
        <f t="shared" si="278"/>
        <v>0.76955307262569828</v>
      </c>
      <c r="L669" s="2">
        <f t="shared" si="279"/>
        <v>0</v>
      </c>
      <c r="M669" s="2">
        <f t="shared" si="280"/>
        <v>3.4916201117318524E-2</v>
      </c>
      <c r="N669" s="63">
        <v>420</v>
      </c>
      <c r="O669" s="63">
        <v>1653</v>
      </c>
      <c r="P669" s="63">
        <v>0</v>
      </c>
      <c r="Q669" s="63">
        <v>46</v>
      </c>
      <c r="R669" s="63">
        <v>18</v>
      </c>
      <c r="S669" s="63">
        <v>0</v>
      </c>
      <c r="T669" s="63"/>
      <c r="U669" s="63"/>
      <c r="V669" s="63"/>
      <c r="W669" s="63">
        <f>IF(Copyright!B$11=1,IF(CA669&gt;0,CA669-SUM(S669:V669)-P669-SUM(X669:AQ669),SUM(CB669:CW669)),SUM(CC669:CW669))</f>
        <v>11</v>
      </c>
      <c r="X669" s="63"/>
      <c r="Y669" s="63">
        <v>0</v>
      </c>
      <c r="Z669" s="63"/>
      <c r="AA669" s="63"/>
      <c r="AB669" s="63"/>
      <c r="AC669" s="63"/>
      <c r="AD669" s="63"/>
      <c r="AE669" s="63">
        <v>0</v>
      </c>
      <c r="AF669" s="63"/>
      <c r="AG669" s="63"/>
      <c r="AH669" s="63"/>
      <c r="AI669" s="63"/>
      <c r="AJ669" s="63"/>
      <c r="AK669" s="63"/>
      <c r="AL669" s="63"/>
      <c r="AM669" s="63">
        <v>0</v>
      </c>
      <c r="AN669" s="63"/>
      <c r="AO669" s="63"/>
      <c r="AP669" s="63"/>
      <c r="AQ669" s="63"/>
      <c r="AR669" s="63"/>
      <c r="AS669" s="63"/>
      <c r="AT669" s="63"/>
      <c r="AU669" s="63"/>
      <c r="AW669" s="5">
        <f>IF(Q669&gt;0,RANK(Q669,(N669:P669,Q669:AE669)),0)</f>
        <v>3</v>
      </c>
      <c r="AX669" s="5">
        <f>IF(R669&gt;0,RANK(R669,(N669:P669,Q669:AE669)),0)</f>
        <v>4</v>
      </c>
      <c r="AY669" s="5">
        <f>IF(T669&gt;0,RANK(T669,(N669:P669,Q669:AE669)),0)</f>
        <v>0</v>
      </c>
      <c r="AZ669" s="5">
        <f>IF(S669&gt;0,RANK(S669,(N669:P669,Q669:AE669)),0)</f>
        <v>0</v>
      </c>
      <c r="BA669" s="2">
        <f t="shared" si="281"/>
        <v>2.1415270018621976E-2</v>
      </c>
      <c r="BB669" s="2">
        <f t="shared" si="282"/>
        <v>8.3798882681564244E-3</v>
      </c>
      <c r="BC669" s="2">
        <f t="shared" si="283"/>
        <v>0</v>
      </c>
      <c r="BD669" s="2">
        <f t="shared" si="284"/>
        <v>0</v>
      </c>
      <c r="BF669" t="s">
        <v>1648</v>
      </c>
      <c r="BG669" t="s">
        <v>1368</v>
      </c>
      <c r="BH669">
        <v>15</v>
      </c>
      <c r="BJ669" s="114">
        <v>17</v>
      </c>
      <c r="BK669" s="116">
        <v>69</v>
      </c>
      <c r="BL669" s="120">
        <f t="shared" si="258"/>
        <v>17069</v>
      </c>
      <c r="BN669" s="5" t="s">
        <v>3154</v>
      </c>
      <c r="BW669" s="8"/>
      <c r="BY669" s="63">
        <f t="shared" si="285"/>
        <v>-2148</v>
      </c>
      <c r="CA669" s="132">
        <v>11</v>
      </c>
      <c r="CB669" s="132"/>
      <c r="CD669" s="63">
        <v>0</v>
      </c>
      <c r="CE669" s="63">
        <v>0</v>
      </c>
      <c r="CF669" s="63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 hidden="1" outlineLevel="1">
      <c r="A670" t="s">
        <v>954</v>
      </c>
      <c r="B670" t="s">
        <v>1368</v>
      </c>
      <c r="C670" s="1">
        <f t="shared" si="274"/>
        <v>3518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>IF(P670&gt;0,RANK(P670,(N670:P670,Q670:AE670)),0)</f>
        <v>6</v>
      </c>
      <c r="G670" s="132">
        <f t="shared" si="275"/>
        <v>1000</v>
      </c>
      <c r="H670" s="137">
        <f t="shared" si="276"/>
        <v>0.28425241614553726</v>
      </c>
      <c r="I670" s="2"/>
      <c r="J670" s="2">
        <f t="shared" si="277"/>
        <v>0.32831154064809553</v>
      </c>
      <c r="K670" s="2">
        <f t="shared" si="278"/>
        <v>0.61256395679363274</v>
      </c>
      <c r="L670" s="2">
        <f t="shared" si="279"/>
        <v>5.6850483229107444E-4</v>
      </c>
      <c r="M670" s="2">
        <f t="shared" si="280"/>
        <v>5.8555997725980656E-2</v>
      </c>
      <c r="N670" s="63">
        <v>1155</v>
      </c>
      <c r="O670" s="63">
        <v>2155</v>
      </c>
      <c r="P670" s="63">
        <v>2</v>
      </c>
      <c r="Q670" s="63">
        <v>158</v>
      </c>
      <c r="R670" s="63">
        <v>19</v>
      </c>
      <c r="S670" s="63">
        <v>0</v>
      </c>
      <c r="T670" s="63"/>
      <c r="U670" s="63"/>
      <c r="V670" s="63"/>
      <c r="W670" s="63">
        <f>IF(Copyright!B$11=1,IF(CA670&gt;0,CA670-SUM(S670:V670)-P670-SUM(X670:AQ670),SUM(CB670:CW670)),SUM(CC670:CW670))</f>
        <v>29</v>
      </c>
      <c r="X670" s="63"/>
      <c r="Y670" s="63">
        <v>0</v>
      </c>
      <c r="Z670" s="63"/>
      <c r="AA670" s="63"/>
      <c r="AB670" s="63"/>
      <c r="AC670" s="63"/>
      <c r="AD670" s="63"/>
      <c r="AE670" s="63">
        <v>0</v>
      </c>
      <c r="AF670" s="63"/>
      <c r="AG670" s="63"/>
      <c r="AH670" s="63"/>
      <c r="AI670" s="63"/>
      <c r="AJ670" s="63"/>
      <c r="AK670" s="63"/>
      <c r="AL670" s="63"/>
      <c r="AM670" s="63">
        <v>0</v>
      </c>
      <c r="AN670" s="63"/>
      <c r="AO670" s="63"/>
      <c r="AP670" s="63"/>
      <c r="AQ670" s="63"/>
      <c r="AR670" s="63"/>
      <c r="AS670" s="63"/>
      <c r="AT670" s="63"/>
      <c r="AU670" s="63"/>
      <c r="AW670" s="5">
        <f>IF(Q670&gt;0,RANK(Q670,(N670:P670,Q670:AE670)),0)</f>
        <v>3</v>
      </c>
      <c r="AX670" s="5">
        <f>IF(R670&gt;0,RANK(R670,(N670:P670,Q670:AE670)),0)</f>
        <v>5</v>
      </c>
      <c r="AY670" s="5">
        <f>IF(T670&gt;0,RANK(T670,(N670:P670,Q670:AE670)),0)</f>
        <v>0</v>
      </c>
      <c r="AZ670" s="5">
        <f>IF(S670&gt;0,RANK(S670,(N670:P670,Q670:AE670)),0)</f>
        <v>0</v>
      </c>
      <c r="BA670" s="2">
        <f t="shared" si="281"/>
        <v>4.4911881750994885E-2</v>
      </c>
      <c r="BB670" s="2">
        <f t="shared" si="282"/>
        <v>5.4007959067652071E-3</v>
      </c>
      <c r="BC670" s="2">
        <f t="shared" si="283"/>
        <v>0</v>
      </c>
      <c r="BD670" s="2">
        <f t="shared" si="284"/>
        <v>0</v>
      </c>
      <c r="BF670" t="s">
        <v>954</v>
      </c>
      <c r="BG670" t="s">
        <v>1368</v>
      </c>
      <c r="BH670">
        <v>17</v>
      </c>
      <c r="BJ670" s="114">
        <v>17</v>
      </c>
      <c r="BK670" s="116">
        <v>71</v>
      </c>
      <c r="BL670" s="120">
        <f t="shared" si="258"/>
        <v>17071</v>
      </c>
      <c r="BN670" s="5" t="s">
        <v>3154</v>
      </c>
      <c r="BW670" s="8"/>
      <c r="BY670" s="63">
        <f t="shared" si="285"/>
        <v>0</v>
      </c>
      <c r="BZ670" s="63">
        <f>1155+2155+158+19+31</f>
        <v>3518</v>
      </c>
      <c r="CA670" s="132">
        <v>31</v>
      </c>
      <c r="CB670" s="132"/>
      <c r="CD670" s="63">
        <v>0</v>
      </c>
      <c r="CE670" s="63">
        <v>0</v>
      </c>
      <c r="CF670" s="63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</row>
    <row r="671" spans="1:100" hidden="1" outlineLevel="1">
      <c r="A671" t="s">
        <v>3123</v>
      </c>
      <c r="B671" t="s">
        <v>1368</v>
      </c>
      <c r="C671" s="1">
        <f t="shared" si="274"/>
        <v>24365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>IF(P671&gt;0,RANK(P671,(N671:P671,Q671:AE671)),0)</f>
        <v>5</v>
      </c>
      <c r="G671" s="132">
        <f t="shared" si="275"/>
        <v>5114</v>
      </c>
      <c r="H671" s="137">
        <f t="shared" si="276"/>
        <v>0.20989123743074081</v>
      </c>
      <c r="I671" s="2"/>
      <c r="J671" s="2">
        <f t="shared" si="277"/>
        <v>0.36408783090498664</v>
      </c>
      <c r="K671" s="2">
        <f t="shared" si="278"/>
        <v>0.57397906833572743</v>
      </c>
      <c r="L671" s="2">
        <f t="shared" si="279"/>
        <v>2.5856761748409606E-3</v>
      </c>
      <c r="M671" s="2">
        <f t="shared" si="280"/>
        <v>5.9347424584444967E-2</v>
      </c>
      <c r="N671" s="63">
        <v>8871</v>
      </c>
      <c r="O671" s="63">
        <v>13985</v>
      </c>
      <c r="P671" s="63">
        <v>63</v>
      </c>
      <c r="Q671" s="63">
        <v>1243</v>
      </c>
      <c r="R671" s="63">
        <v>200</v>
      </c>
      <c r="S671" s="63">
        <v>2</v>
      </c>
      <c r="T671" s="63"/>
      <c r="U671" s="63"/>
      <c r="V671" s="63"/>
      <c r="W671" s="63">
        <f>IF(Copyright!B$11=1,IF(CA671&gt;0,CA671-SUM(S671:V671)-P671-SUM(X671:AQ671),SUM(CB671:CW671)),SUM(CC671:CW671))</f>
        <v>1</v>
      </c>
      <c r="X671" s="63"/>
      <c r="Y671" s="63">
        <v>0</v>
      </c>
      <c r="Z671" s="63"/>
      <c r="AA671" s="63"/>
      <c r="AB671" s="63"/>
      <c r="AC671" s="63"/>
      <c r="AD671" s="63"/>
      <c r="AE671" s="63">
        <v>0</v>
      </c>
      <c r="AF671" s="63"/>
      <c r="AG671" s="63"/>
      <c r="AH671" s="63"/>
      <c r="AI671" s="63"/>
      <c r="AJ671" s="63"/>
      <c r="AK671" s="63"/>
      <c r="AL671" s="63"/>
      <c r="AM671" s="63">
        <v>0</v>
      </c>
      <c r="AN671" s="63"/>
      <c r="AO671" s="63"/>
      <c r="AP671" s="63"/>
      <c r="AQ671" s="63"/>
      <c r="AR671" s="63"/>
      <c r="AS671" s="63"/>
      <c r="AT671" s="63"/>
      <c r="AU671" s="63"/>
      <c r="AW671" s="5">
        <f>IF(Q671&gt;0,RANK(Q671,(N671:P671,Q671:AE671)),0)</f>
        <v>3</v>
      </c>
      <c r="AX671" s="5">
        <f>IF(R671&gt;0,RANK(R671,(N671:P671,Q671:AE671)),0)</f>
        <v>4</v>
      </c>
      <c r="AY671" s="5">
        <f>IF(T671&gt;0,RANK(T671,(N671:P671,Q671:AE671)),0)</f>
        <v>0</v>
      </c>
      <c r="AZ671" s="5">
        <f>IF(S671&gt;0,RANK(S671,(N671:P671,Q671:AE671)),0)</f>
        <v>6</v>
      </c>
      <c r="BA671" s="2">
        <f t="shared" si="281"/>
        <v>5.1015801354401806E-2</v>
      </c>
      <c r="BB671" s="2">
        <f t="shared" si="282"/>
        <v>8.2084957931459063E-3</v>
      </c>
      <c r="BC671" s="2">
        <f t="shared" si="283"/>
        <v>0</v>
      </c>
      <c r="BD671" s="2">
        <f t="shared" si="284"/>
        <v>8.2084957931459059E-5</v>
      </c>
      <c r="BF671" t="s">
        <v>3123</v>
      </c>
      <c r="BG671" t="s">
        <v>1368</v>
      </c>
      <c r="BH671">
        <v>17</v>
      </c>
      <c r="BJ671" s="114">
        <v>17</v>
      </c>
      <c r="BK671" s="116">
        <v>73</v>
      </c>
      <c r="BL671" s="120">
        <f t="shared" si="258"/>
        <v>17073</v>
      </c>
      <c r="BN671" s="5" t="s">
        <v>3154</v>
      </c>
      <c r="BR671" s="63"/>
      <c r="BW671" s="8"/>
      <c r="BY671" s="63">
        <f t="shared" si="285"/>
        <v>-24365</v>
      </c>
      <c r="CA671" s="133">
        <v>0</v>
      </c>
      <c r="CB671" s="132"/>
      <c r="CD671" s="63">
        <v>0</v>
      </c>
      <c r="CE671" s="63">
        <v>0</v>
      </c>
      <c r="CF671" s="63">
        <v>1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0</v>
      </c>
      <c r="CN671" s="8">
        <v>0</v>
      </c>
      <c r="CO671" s="8">
        <v>0</v>
      </c>
      <c r="CP671" s="8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</row>
    <row r="672" spans="1:100" hidden="1" outlineLevel="1">
      <c r="A672" t="s">
        <v>2025</v>
      </c>
      <c r="B672" t="s">
        <v>1368</v>
      </c>
      <c r="C672" s="1">
        <f t="shared" si="274"/>
        <v>13102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>IF(P672&gt;0,RANK(P672,(N672:P672,Q672:AE672)),0)</f>
        <v>6</v>
      </c>
      <c r="G672" s="132">
        <f t="shared" si="275"/>
        <v>7246</v>
      </c>
      <c r="H672" s="137">
        <f t="shared" si="276"/>
        <v>0.55304533658983357</v>
      </c>
      <c r="I672" s="2"/>
      <c r="J672" s="2">
        <f t="shared" si="277"/>
        <v>0.19111586017401924</v>
      </c>
      <c r="K672" s="2">
        <f t="shared" si="278"/>
        <v>0.74416119676385284</v>
      </c>
      <c r="L672" s="2">
        <f t="shared" si="279"/>
        <v>2.5186994352007328E-3</v>
      </c>
      <c r="M672" s="2">
        <f t="shared" si="280"/>
        <v>6.2204243626927155E-2</v>
      </c>
      <c r="N672" s="63">
        <v>2504</v>
      </c>
      <c r="O672" s="63">
        <v>9750</v>
      </c>
      <c r="P672" s="63">
        <v>33</v>
      </c>
      <c r="Q672" s="63">
        <v>554</v>
      </c>
      <c r="R672" s="63">
        <v>150</v>
      </c>
      <c r="S672" s="63">
        <v>5</v>
      </c>
      <c r="T672" s="63"/>
      <c r="U672" s="63"/>
      <c r="V672" s="63"/>
      <c r="W672" s="63">
        <f>IF(Copyright!B$11=1,IF(CA672&gt;0,CA672-SUM(S672:V672)-P672-SUM(X672:AQ672),SUM(CB672:CW672)),SUM(CC672:CW672))</f>
        <v>106</v>
      </c>
      <c r="X672" s="63"/>
      <c r="Y672" s="63">
        <v>0</v>
      </c>
      <c r="Z672" s="63"/>
      <c r="AA672" s="63"/>
      <c r="AB672" s="63"/>
      <c r="AC672" s="63"/>
      <c r="AD672" s="63"/>
      <c r="AE672" s="63">
        <v>0</v>
      </c>
      <c r="AF672" s="63"/>
      <c r="AG672" s="63"/>
      <c r="AH672" s="63"/>
      <c r="AI672" s="63"/>
      <c r="AJ672" s="63"/>
      <c r="AK672" s="63"/>
      <c r="AL672" s="63"/>
      <c r="AM672" s="63">
        <v>0</v>
      </c>
      <c r="AN672" s="63"/>
      <c r="AO672" s="63"/>
      <c r="AP672" s="63"/>
      <c r="AQ672" s="63"/>
      <c r="AR672" s="63"/>
      <c r="AS672" s="63"/>
      <c r="AT672" s="63"/>
      <c r="AU672" s="63"/>
      <c r="AW672" s="5">
        <f>IF(Q672&gt;0,RANK(Q672,(N672:P672,Q672:AE672)),0)</f>
        <v>3</v>
      </c>
      <c r="AX672" s="5">
        <f>IF(R672&gt;0,RANK(R672,(N672:P672,Q672:AE672)),0)</f>
        <v>4</v>
      </c>
      <c r="AY672" s="5">
        <f>IF(T672&gt;0,RANK(T672,(N672:P672,Q672:AE672)),0)</f>
        <v>0</v>
      </c>
      <c r="AZ672" s="5">
        <f>IF(S672&gt;0,RANK(S672,(N672:P672,Q672:AE672)),0)</f>
        <v>7</v>
      </c>
      <c r="BA672" s="2">
        <f t="shared" si="281"/>
        <v>4.2283620821248667E-2</v>
      </c>
      <c r="BB672" s="2">
        <f t="shared" si="282"/>
        <v>1.1448633796366967E-2</v>
      </c>
      <c r="BC672" s="2">
        <f t="shared" si="283"/>
        <v>0</v>
      </c>
      <c r="BD672" s="2">
        <f t="shared" si="284"/>
        <v>3.8162112654556554E-4</v>
      </c>
      <c r="BF672" t="s">
        <v>2025</v>
      </c>
      <c r="BG672" t="s">
        <v>1368</v>
      </c>
      <c r="BH672">
        <v>16</v>
      </c>
      <c r="BJ672" s="114">
        <v>17</v>
      </c>
      <c r="BK672" s="116">
        <v>75</v>
      </c>
      <c r="BL672" s="120">
        <f t="shared" si="258"/>
        <v>17075</v>
      </c>
      <c r="BN672" s="5" t="s">
        <v>3154</v>
      </c>
      <c r="BW672" s="8"/>
      <c r="BX672" s="132" t="s">
        <v>3257</v>
      </c>
      <c r="BY672" s="63">
        <f t="shared" si="285"/>
        <v>0</v>
      </c>
      <c r="BZ672" s="63">
        <v>13102</v>
      </c>
      <c r="CA672" s="132">
        <f>106+5+33</f>
        <v>144</v>
      </c>
      <c r="CB672" s="132"/>
      <c r="CD672" s="63">
        <v>0</v>
      </c>
      <c r="CE672" s="63">
        <v>0</v>
      </c>
      <c r="CF672" s="63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</row>
    <row r="673" spans="1:101" hidden="1" outlineLevel="1">
      <c r="A673" t="s">
        <v>2921</v>
      </c>
      <c r="B673" t="s">
        <v>1368</v>
      </c>
      <c r="C673" s="1">
        <f t="shared" si="274"/>
        <v>24617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>IF(P673&gt;0,RANK(P673,(N673:P673,Q673:AE673)),0)</f>
        <v>6</v>
      </c>
      <c r="G673" s="132">
        <f t="shared" si="275"/>
        <v>791</v>
      </c>
      <c r="H673" s="137">
        <f t="shared" si="276"/>
        <v>3.2132266320022751E-2</v>
      </c>
      <c r="I673" s="2"/>
      <c r="J673" s="2">
        <f t="shared" si="277"/>
        <v>0.47260023560953812</v>
      </c>
      <c r="K673" s="2">
        <f t="shared" si="278"/>
        <v>0.44046796928951537</v>
      </c>
      <c r="L673" s="2">
        <f t="shared" si="279"/>
        <v>2.0311167079660399E-3</v>
      </c>
      <c r="M673" s="2">
        <f t="shared" si="280"/>
        <v>8.4900678392980461E-2</v>
      </c>
      <c r="N673" s="63">
        <v>11634</v>
      </c>
      <c r="O673" s="63">
        <v>10843</v>
      </c>
      <c r="P673" s="63">
        <v>50</v>
      </c>
      <c r="Q673" s="63">
        <v>1081</v>
      </c>
      <c r="R673" s="63">
        <v>649</v>
      </c>
      <c r="S673" s="63">
        <v>11</v>
      </c>
      <c r="T673" s="63"/>
      <c r="U673" s="63"/>
      <c r="V673" s="63"/>
      <c r="W673" s="63">
        <f>IF(Copyright!B$11=1,IF(CA673&gt;0,CA673-SUM(S673:V673)-P673-SUM(X673:AQ673),SUM(CB673:CW673)),SUM(CC673:CW673))</f>
        <v>349</v>
      </c>
      <c r="X673" s="63"/>
      <c r="Y673" s="63">
        <v>0</v>
      </c>
      <c r="Z673" s="63"/>
      <c r="AA673" s="63"/>
      <c r="AB673" s="63"/>
      <c r="AC673" s="63"/>
      <c r="AD673" s="63"/>
      <c r="AE673" s="63">
        <v>0</v>
      </c>
      <c r="AF673" s="63"/>
      <c r="AG673" s="63"/>
      <c r="AH673" s="63"/>
      <c r="AI673" s="63"/>
      <c r="AJ673" s="63"/>
      <c r="AK673" s="63"/>
      <c r="AL673" s="63"/>
      <c r="AM673" s="63">
        <v>0</v>
      </c>
      <c r="AN673" s="63"/>
      <c r="AO673" s="63"/>
      <c r="AP673" s="63"/>
      <c r="AQ673" s="63"/>
      <c r="AR673" s="63"/>
      <c r="AS673" s="63"/>
      <c r="AT673" s="63"/>
      <c r="AU673" s="63"/>
      <c r="AW673" s="5">
        <f>IF(Q673&gt;0,RANK(Q673,(N673:P673,Q673:AE673)),0)</f>
        <v>3</v>
      </c>
      <c r="AX673" s="5">
        <f>IF(R673&gt;0,RANK(R673,(N673:P673,Q673:AE673)),0)</f>
        <v>4</v>
      </c>
      <c r="AY673" s="5">
        <f>IF(T673&gt;0,RANK(T673,(N673:P673,Q673:AE673)),0)</f>
        <v>0</v>
      </c>
      <c r="AZ673" s="5">
        <f>IF(S673&gt;0,RANK(S673,(N673:P673,Q673:AE673)),0)</f>
        <v>7</v>
      </c>
      <c r="BA673" s="2">
        <f t="shared" si="281"/>
        <v>4.3912743226225778E-2</v>
      </c>
      <c r="BB673" s="2">
        <f t="shared" si="282"/>
        <v>2.6363894869399197E-2</v>
      </c>
      <c r="BC673" s="2">
        <f t="shared" si="283"/>
        <v>0</v>
      </c>
      <c r="BD673" s="2">
        <f t="shared" si="284"/>
        <v>4.4684567575252872E-4</v>
      </c>
      <c r="BF673" t="s">
        <v>2921</v>
      </c>
      <c r="BG673" t="s">
        <v>1368</v>
      </c>
      <c r="BH673">
        <v>12</v>
      </c>
      <c r="BJ673" s="114">
        <v>17</v>
      </c>
      <c r="BK673" s="116">
        <v>77</v>
      </c>
      <c r="BL673" s="120">
        <f t="shared" si="258"/>
        <v>17077</v>
      </c>
      <c r="BN673" s="5" t="s">
        <v>3154</v>
      </c>
      <c r="BW673" s="8"/>
      <c r="BY673" s="63">
        <f t="shared" si="285"/>
        <v>0</v>
      </c>
      <c r="BZ673" s="63">
        <v>24617</v>
      </c>
      <c r="CA673" s="132">
        <v>410</v>
      </c>
      <c r="CB673" s="132"/>
      <c r="CD673" s="63">
        <v>0</v>
      </c>
      <c r="CE673" s="63">
        <v>0</v>
      </c>
      <c r="CF673" s="63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</row>
    <row r="674" spans="1:101" hidden="1" outlineLevel="1">
      <c r="A674" t="s">
        <v>1471</v>
      </c>
      <c r="B674" t="s">
        <v>1368</v>
      </c>
      <c r="C674" s="1">
        <f t="shared" si="274"/>
        <v>5112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>IF(P674&gt;0,RANK(P674,(N674:P674,Q674:AE674)),0)</f>
        <v>6</v>
      </c>
      <c r="G674" s="132">
        <f t="shared" si="275"/>
        <v>3051</v>
      </c>
      <c r="H674" s="137">
        <f t="shared" si="276"/>
        <v>0.596830985915493</v>
      </c>
      <c r="I674" s="2"/>
      <c r="J674" s="2">
        <f t="shared" si="277"/>
        <v>0.18075117370892019</v>
      </c>
      <c r="K674" s="2">
        <f t="shared" si="278"/>
        <v>0.77758215962441313</v>
      </c>
      <c r="L674" s="2">
        <f t="shared" si="279"/>
        <v>3.9123630672926448E-4</v>
      </c>
      <c r="M674" s="2">
        <f t="shared" si="280"/>
        <v>4.1275430359937366E-2</v>
      </c>
      <c r="N674" s="63">
        <v>924</v>
      </c>
      <c r="O674" s="63">
        <v>3975</v>
      </c>
      <c r="P674" s="63">
        <v>2</v>
      </c>
      <c r="Q674" s="63">
        <v>181</v>
      </c>
      <c r="R674" s="63">
        <v>26</v>
      </c>
      <c r="S674" s="63">
        <v>4</v>
      </c>
      <c r="T674" s="63"/>
      <c r="U674" s="63"/>
      <c r="V674" s="63"/>
      <c r="W674" s="63">
        <f>IF(Copyright!B$11=1,IF(CA674&gt;0,CA674-SUM(S674:V674)-P674-SUM(X674:AQ674),SUM(CB674:CW674)),SUM(CC674:CW674))</f>
        <v>0</v>
      </c>
      <c r="X674" s="63"/>
      <c r="Y674" s="63">
        <v>0</v>
      </c>
      <c r="Z674" s="63"/>
      <c r="AA674" s="63"/>
      <c r="AB674" s="63"/>
      <c r="AC674" s="63"/>
      <c r="AD674" s="63"/>
      <c r="AE674" s="63">
        <v>0</v>
      </c>
      <c r="AF674" s="63"/>
      <c r="AG674" s="63"/>
      <c r="AH674" s="63"/>
      <c r="AI674" s="63"/>
      <c r="AJ674" s="63"/>
      <c r="AK674" s="63"/>
      <c r="AL674" s="63"/>
      <c r="AM674" s="63">
        <v>0</v>
      </c>
      <c r="AN674" s="63"/>
      <c r="AO674" s="63"/>
      <c r="AP674" s="63"/>
      <c r="AQ674" s="63"/>
      <c r="AR674" s="63"/>
      <c r="AS674" s="63"/>
      <c r="AT674" s="63"/>
      <c r="AU674" s="63"/>
      <c r="AW674" s="5">
        <f>IF(Q674&gt;0,RANK(Q674,(N674:P674,Q674:AE674)),0)</f>
        <v>3</v>
      </c>
      <c r="AX674" s="5">
        <f>IF(R674&gt;0,RANK(R674,(N674:P674,Q674:AE674)),0)</f>
        <v>4</v>
      </c>
      <c r="AY674" s="5">
        <f>IF(T674&gt;0,RANK(T674,(N674:P674,Q674:AE674)),0)</f>
        <v>0</v>
      </c>
      <c r="AZ674" s="5">
        <f>IF(S674&gt;0,RANK(S674,(N674:P674,Q674:AE674)),0)</f>
        <v>5</v>
      </c>
      <c r="BA674" s="2">
        <f t="shared" si="281"/>
        <v>3.5406885758998433E-2</v>
      </c>
      <c r="BB674" s="2">
        <f t="shared" si="282"/>
        <v>5.0860719874804379E-3</v>
      </c>
      <c r="BC674" s="2">
        <f t="shared" si="283"/>
        <v>0</v>
      </c>
      <c r="BD674" s="2">
        <f t="shared" si="284"/>
        <v>7.8247261345852897E-4</v>
      </c>
      <c r="BF674" t="s">
        <v>1471</v>
      </c>
      <c r="BG674" t="s">
        <v>1368</v>
      </c>
      <c r="BH674">
        <v>15</v>
      </c>
      <c r="BJ674" s="114">
        <v>17</v>
      </c>
      <c r="BK674" s="116">
        <v>79</v>
      </c>
      <c r="BL674" s="120">
        <f t="shared" si="258"/>
        <v>17079</v>
      </c>
      <c r="BN674" s="5" t="s">
        <v>3154</v>
      </c>
      <c r="BR674" s="63"/>
      <c r="BW674" s="8"/>
      <c r="BY674" s="63">
        <f t="shared" si="285"/>
        <v>-5112</v>
      </c>
      <c r="CA674" s="133">
        <v>0</v>
      </c>
      <c r="CB674" s="132"/>
      <c r="CD674" s="63">
        <v>0</v>
      </c>
      <c r="CE674" s="63">
        <v>0</v>
      </c>
      <c r="CF674" s="63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</row>
    <row r="675" spans="1:101" hidden="1" outlineLevel="1">
      <c r="A675" t="s">
        <v>1092</v>
      </c>
      <c r="B675" t="s">
        <v>1368</v>
      </c>
      <c r="C675" s="1">
        <f t="shared" si="274"/>
        <v>16999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6</v>
      </c>
      <c r="G675" s="132">
        <f t="shared" si="275"/>
        <v>7270</v>
      </c>
      <c r="H675" s="137">
        <f t="shared" si="276"/>
        <v>0.42767221601270661</v>
      </c>
      <c r="I675" s="2"/>
      <c r="J675" s="2">
        <f t="shared" si="277"/>
        <v>0.26030942996646861</v>
      </c>
      <c r="K675" s="2">
        <f t="shared" si="278"/>
        <v>0.68798164597917522</v>
      </c>
      <c r="L675" s="2">
        <f t="shared" si="279"/>
        <v>1.2941937761044768E-3</v>
      </c>
      <c r="M675" s="2">
        <f t="shared" si="280"/>
        <v>5.0414730278251753E-2</v>
      </c>
      <c r="N675" s="63">
        <v>4425</v>
      </c>
      <c r="O675" s="63">
        <v>11695</v>
      </c>
      <c r="P675" s="63">
        <v>22</v>
      </c>
      <c r="Q675" s="63">
        <v>573</v>
      </c>
      <c r="R675" s="63">
        <v>158</v>
      </c>
      <c r="S675" s="63">
        <v>3</v>
      </c>
      <c r="T675" s="63"/>
      <c r="U675" s="63"/>
      <c r="V675" s="63"/>
      <c r="W675" s="63">
        <f>IF(Copyright!B$11=1,IF(CA675&gt;0,CA675-SUM(S675:V675)-P675-SUM(X675:AQ675),SUM(CB675:CW675)),SUM(CC675:CW675))</f>
        <v>123</v>
      </c>
      <c r="X675" s="63"/>
      <c r="Y675" s="63">
        <v>0</v>
      </c>
      <c r="Z675" s="63"/>
      <c r="AA675" s="63"/>
      <c r="AB675" s="63"/>
      <c r="AC675" s="63"/>
      <c r="AD675" s="63"/>
      <c r="AE675" s="63">
        <v>0</v>
      </c>
      <c r="AF675" s="63"/>
      <c r="AG675" s="63"/>
      <c r="AH675" s="63"/>
      <c r="AI675" s="63"/>
      <c r="AJ675" s="63"/>
      <c r="AK675" s="63"/>
      <c r="AL675" s="63"/>
      <c r="AM675" s="63">
        <v>0</v>
      </c>
      <c r="AN675" s="63"/>
      <c r="AO675" s="63"/>
      <c r="AP675" s="63"/>
      <c r="AQ675" s="63"/>
      <c r="AR675" s="63"/>
      <c r="AS675" s="63"/>
      <c r="AT675" s="63"/>
      <c r="AU675" s="63"/>
      <c r="AW675" s="5">
        <f>IF(Q675&gt;0,RANK(Q675,(N675:P675,Q675:AE675)),0)</f>
        <v>3</v>
      </c>
      <c r="AX675" s="5">
        <f>IF(R675&gt;0,RANK(R675,(N675:P675,Q675:AE675)),0)</f>
        <v>4</v>
      </c>
      <c r="AY675" s="5">
        <f>IF(T675&gt;0,RANK(T675,(N675:P675,Q675:AE675)),0)</f>
        <v>0</v>
      </c>
      <c r="AZ675" s="5">
        <f>IF(S675&gt;0,RANK(S675,(N675:P675,Q675:AE675)),0)</f>
        <v>7</v>
      </c>
      <c r="BA675" s="2">
        <f t="shared" si="281"/>
        <v>3.3707865168539325E-2</v>
      </c>
      <c r="BB675" s="2">
        <f t="shared" si="282"/>
        <v>9.2946643920230609E-3</v>
      </c>
      <c r="BC675" s="2">
        <f t="shared" si="283"/>
        <v>0</v>
      </c>
      <c r="BD675" s="2">
        <f t="shared" si="284"/>
        <v>1.7648096946879229E-4</v>
      </c>
      <c r="BF675" t="s">
        <v>1092</v>
      </c>
      <c r="BG675" t="s">
        <v>1368</v>
      </c>
      <c r="BH675">
        <v>12</v>
      </c>
      <c r="BJ675" s="114">
        <v>17</v>
      </c>
      <c r="BK675" s="116">
        <v>81</v>
      </c>
      <c r="BL675" s="120">
        <f t="shared" si="258"/>
        <v>17081</v>
      </c>
      <c r="BN675" s="5" t="s">
        <v>3154</v>
      </c>
      <c r="BO675" s="63">
        <v>149</v>
      </c>
      <c r="BP675" s="63">
        <v>44</v>
      </c>
      <c r="BR675" s="63"/>
      <c r="BW675" s="8"/>
      <c r="BY675" s="63">
        <f t="shared" si="285"/>
        <v>0</v>
      </c>
      <c r="BZ675" s="63">
        <f>11695+158+4425+573+148</f>
        <v>16999</v>
      </c>
      <c r="CA675" s="132">
        <v>148</v>
      </c>
      <c r="CB675" s="132"/>
      <c r="CD675" s="63">
        <v>0</v>
      </c>
      <c r="CE675" s="63">
        <v>0</v>
      </c>
      <c r="CF675" s="63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0</v>
      </c>
      <c r="CP675" s="8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1" hidden="1" outlineLevel="1">
      <c r="A676" t="s">
        <v>2323</v>
      </c>
      <c r="B676" t="s">
        <v>1368</v>
      </c>
      <c r="C676" s="1">
        <f t="shared" si="274"/>
        <v>10991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6</v>
      </c>
      <c r="G676" s="132">
        <f t="shared" si="275"/>
        <v>5069</v>
      </c>
      <c r="H676" s="137">
        <f t="shared" si="276"/>
        <v>0.46119552361022653</v>
      </c>
      <c r="I676" s="2"/>
      <c r="J676" s="2">
        <f t="shared" si="277"/>
        <v>0.24374488217632609</v>
      </c>
      <c r="K676" s="2">
        <f t="shared" si="278"/>
        <v>0.70494040578655259</v>
      </c>
      <c r="L676" s="2">
        <f t="shared" si="279"/>
        <v>3.6393412792284598E-4</v>
      </c>
      <c r="M676" s="2">
        <f t="shared" si="280"/>
        <v>5.0950777909198497E-2</v>
      </c>
      <c r="N676" s="63">
        <v>2679</v>
      </c>
      <c r="O676" s="63">
        <v>7748</v>
      </c>
      <c r="P676" s="63">
        <v>4</v>
      </c>
      <c r="Q676" s="63">
        <v>410</v>
      </c>
      <c r="R676" s="63">
        <v>94</v>
      </c>
      <c r="S676" s="63">
        <v>3</v>
      </c>
      <c r="T676" s="63"/>
      <c r="U676" s="63"/>
      <c r="V676" s="63"/>
      <c r="W676" s="63">
        <f>IF(Copyright!B$11=1,IF(CA676&gt;0,CA676-SUM(S676:V676)-P676-SUM(X676:AQ676),SUM(CB676:CW676)),SUM(CC676:CW676))</f>
        <v>53</v>
      </c>
      <c r="X676" s="63"/>
      <c r="Y676" s="63">
        <v>0</v>
      </c>
      <c r="Z676" s="63"/>
      <c r="AA676" s="63"/>
      <c r="AB676" s="63"/>
      <c r="AC676" s="63"/>
      <c r="AD676" s="63"/>
      <c r="AE676" s="63">
        <v>0</v>
      </c>
      <c r="AF676" s="63"/>
      <c r="AG676" s="63"/>
      <c r="AH676" s="63"/>
      <c r="AI676" s="63"/>
      <c r="AJ676" s="63"/>
      <c r="AK676" s="63"/>
      <c r="AL676" s="63"/>
      <c r="AM676" s="63">
        <v>0</v>
      </c>
      <c r="AN676" s="63"/>
      <c r="AO676" s="63"/>
      <c r="AP676" s="63"/>
      <c r="AQ676" s="63"/>
      <c r="AR676" s="63"/>
      <c r="AS676" s="63"/>
      <c r="AT676" s="63"/>
      <c r="AU676" s="63"/>
      <c r="AW676" s="5">
        <f>IF(Q676&gt;0,RANK(Q676,(N676:P676,Q676:AE676)),0)</f>
        <v>3</v>
      </c>
      <c r="AX676" s="5">
        <f>IF(R676&gt;0,RANK(R676,(N676:P676,Q676:AE676)),0)</f>
        <v>4</v>
      </c>
      <c r="AY676" s="5">
        <f>IF(T676&gt;0,RANK(T676,(N676:P676,Q676:AE676)),0)</f>
        <v>0</v>
      </c>
      <c r="AZ676" s="5">
        <f>IF(S676&gt;0,RANK(S676,(N676:P676,Q676:AE676)),0)</f>
        <v>7</v>
      </c>
      <c r="BA676" s="2">
        <f t="shared" si="281"/>
        <v>3.7303248112091708E-2</v>
      </c>
      <c r="BB676" s="2">
        <f t="shared" si="282"/>
        <v>8.5524520061868795E-3</v>
      </c>
      <c r="BC676" s="2">
        <f t="shared" si="283"/>
        <v>0</v>
      </c>
      <c r="BD676" s="2">
        <f t="shared" si="284"/>
        <v>2.7295059594213445E-4</v>
      </c>
      <c r="BF676" t="s">
        <v>2323</v>
      </c>
      <c r="BG676" t="s">
        <v>1368</v>
      </c>
      <c r="BH676">
        <v>13</v>
      </c>
      <c r="BJ676" s="114">
        <v>17</v>
      </c>
      <c r="BK676" s="116">
        <v>83</v>
      </c>
      <c r="BL676" s="120">
        <f t="shared" si="258"/>
        <v>17083</v>
      </c>
      <c r="BN676" s="5" t="s">
        <v>3154</v>
      </c>
      <c r="BW676" s="8"/>
      <c r="BY676" s="63">
        <f t="shared" si="285"/>
        <v>0</v>
      </c>
      <c r="BZ676" s="63">
        <f>2679+7748+410+94+60</f>
        <v>10991</v>
      </c>
      <c r="CA676" s="132">
        <v>60</v>
      </c>
      <c r="CB676" s="132"/>
      <c r="CD676" s="63">
        <v>0</v>
      </c>
      <c r="CE676" s="63">
        <v>0</v>
      </c>
      <c r="CF676" s="63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1" hidden="1" outlineLevel="1">
      <c r="A677" t="s">
        <v>70</v>
      </c>
      <c r="B677" t="s">
        <v>1368</v>
      </c>
      <c r="C677" s="1">
        <f t="shared" si="274"/>
        <v>11334</v>
      </c>
      <c r="D677" s="5">
        <f>IF(N677&gt;0, RANK(N677,(N677:P677,Q677:AE677)),0)</f>
        <v>2</v>
      </c>
      <c r="E677" s="5">
        <f>IF(O677&gt;0,RANK(O677,(N677:P677,Q677:AE677)),0)</f>
        <v>1</v>
      </c>
      <c r="F677" s="5">
        <f>IF(P677&gt;0,RANK(P677,(N677:P677,Q677:AE677)),0)</f>
        <v>6</v>
      </c>
      <c r="G677" s="132">
        <f t="shared" si="275"/>
        <v>1659</v>
      </c>
      <c r="H677" s="137">
        <f t="shared" si="276"/>
        <v>0.14637374272101641</v>
      </c>
      <c r="I677" s="2"/>
      <c r="J677" s="2">
        <f t="shared" si="277"/>
        <v>0.39368272454561498</v>
      </c>
      <c r="K677" s="2">
        <f t="shared" si="278"/>
        <v>0.54005646726663137</v>
      </c>
      <c r="L677" s="2">
        <f t="shared" si="279"/>
        <v>2.0292923945650254E-3</v>
      </c>
      <c r="M677" s="2">
        <f t="shared" si="280"/>
        <v>6.4231515793188684E-2</v>
      </c>
      <c r="N677" s="63">
        <v>4462</v>
      </c>
      <c r="O677" s="63">
        <v>6121</v>
      </c>
      <c r="P677" s="63">
        <v>23</v>
      </c>
      <c r="Q677" s="63">
        <v>500</v>
      </c>
      <c r="R677" s="63">
        <v>116</v>
      </c>
      <c r="S677" s="63">
        <v>3</v>
      </c>
      <c r="T677" s="63"/>
      <c r="U677" s="63"/>
      <c r="V677" s="63"/>
      <c r="W677" s="63">
        <f>IF(Copyright!B$11=1,IF(CA677&gt;0,CA677-SUM(S677:V677)-P677-SUM(X677:AQ677),SUM(CB677:CW677)),SUM(CC677:CW677))</f>
        <v>109</v>
      </c>
      <c r="X677" s="63"/>
      <c r="Y677" s="63">
        <v>0</v>
      </c>
      <c r="Z677" s="63"/>
      <c r="AA677" s="63"/>
      <c r="AB677" s="63"/>
      <c r="AC677" s="63"/>
      <c r="AD677" s="63"/>
      <c r="AE677" s="63">
        <v>0</v>
      </c>
      <c r="AF677" s="63"/>
      <c r="AG677" s="63"/>
      <c r="AH677" s="63"/>
      <c r="AI677" s="63"/>
      <c r="AJ677" s="63"/>
      <c r="AK677" s="63"/>
      <c r="AL677" s="63"/>
      <c r="AM677" s="63">
        <v>0</v>
      </c>
      <c r="AN677" s="63"/>
      <c r="AO677" s="63"/>
      <c r="AP677" s="63"/>
      <c r="AQ677" s="63"/>
      <c r="AR677" s="63"/>
      <c r="AS677" s="63"/>
      <c r="AT677" s="63"/>
      <c r="AU677" s="63"/>
      <c r="AW677" s="5">
        <f>IF(Q677&gt;0,RANK(Q677,(N677:P677,Q677:AE677)),0)</f>
        <v>3</v>
      </c>
      <c r="AX677" s="5">
        <f>IF(R677&gt;0,RANK(R677,(N677:P677,Q677:AE677)),0)</f>
        <v>4</v>
      </c>
      <c r="AY677" s="5">
        <f>IF(T677&gt;0,RANK(T677,(N677:P677,Q677:AE677)),0)</f>
        <v>0</v>
      </c>
      <c r="AZ677" s="5">
        <f>IF(S677&gt;0,RANK(S677,(N677:P677,Q677:AE677)),0)</f>
        <v>7</v>
      </c>
      <c r="BA677" s="2">
        <f t="shared" si="281"/>
        <v>4.4115052055761425E-2</v>
      </c>
      <c r="BB677" s="2">
        <f t="shared" si="282"/>
        <v>1.0234692076936652E-2</v>
      </c>
      <c r="BC677" s="2">
        <f t="shared" si="283"/>
        <v>0</v>
      </c>
      <c r="BD677" s="2">
        <f t="shared" si="284"/>
        <v>2.6469031233456857E-4</v>
      </c>
      <c r="BF677" t="s">
        <v>70</v>
      </c>
      <c r="BG677" t="s">
        <v>1368</v>
      </c>
      <c r="BH677">
        <v>17</v>
      </c>
      <c r="BJ677" s="114">
        <v>17</v>
      </c>
      <c r="BK677" s="116">
        <v>85</v>
      </c>
      <c r="BL677" s="120">
        <f t="shared" si="258"/>
        <v>17085</v>
      </c>
      <c r="BN677" s="5" t="s">
        <v>3154</v>
      </c>
      <c r="BO677" s="63">
        <v>125</v>
      </c>
      <c r="BP677" s="63">
        <v>37</v>
      </c>
      <c r="BR677" s="63"/>
      <c r="BW677" s="8"/>
      <c r="BY677" s="63">
        <f t="shared" si="285"/>
        <v>0</v>
      </c>
      <c r="BZ677" s="63">
        <f>4462+6121+500+116+135</f>
        <v>11334</v>
      </c>
      <c r="CA677" s="132">
        <f>11496-4462-6121-500-116-37-125</f>
        <v>135</v>
      </c>
      <c r="CB677" s="132"/>
      <c r="CD677" s="63">
        <v>0</v>
      </c>
      <c r="CE677" s="63">
        <v>0</v>
      </c>
      <c r="CF677" s="63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0</v>
      </c>
      <c r="CN677" s="8">
        <v>0</v>
      </c>
      <c r="CO677" s="8">
        <v>0</v>
      </c>
      <c r="CP677" s="8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</row>
    <row r="678" spans="1:101" hidden="1" outlineLevel="1">
      <c r="A678" t="s">
        <v>1361</v>
      </c>
      <c r="B678" t="s">
        <v>1368</v>
      </c>
      <c r="C678" s="1">
        <f t="shared" si="274"/>
        <v>6089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>IF(P678&gt;0,RANK(P678,(N678:P678,Q678:AE678)),0)</f>
        <v>6</v>
      </c>
      <c r="G678" s="132">
        <f t="shared" si="275"/>
        <v>3507</v>
      </c>
      <c r="H678" s="137">
        <f t="shared" si="276"/>
        <v>0.57595664312695027</v>
      </c>
      <c r="I678" s="2"/>
      <c r="J678" s="2">
        <f t="shared" si="277"/>
        <v>0.18755132205616687</v>
      </c>
      <c r="K678" s="2">
        <f t="shared" si="278"/>
        <v>0.76350796518311714</v>
      </c>
      <c r="L678" s="2">
        <f t="shared" si="279"/>
        <v>1.1496140581376253E-3</v>
      </c>
      <c r="M678" s="2">
        <f t="shared" si="280"/>
        <v>4.7791098702578361E-2</v>
      </c>
      <c r="N678" s="63">
        <v>1142</v>
      </c>
      <c r="O678" s="63">
        <v>4649</v>
      </c>
      <c r="P678" s="63">
        <v>7</v>
      </c>
      <c r="Q678" s="63">
        <v>182</v>
      </c>
      <c r="R678" s="63">
        <v>57</v>
      </c>
      <c r="S678" s="63">
        <v>3</v>
      </c>
      <c r="T678" s="63"/>
      <c r="U678" s="63"/>
      <c r="V678" s="63"/>
      <c r="W678" s="63">
        <f>IF(Copyright!B$11=1,IF(CA678&gt;0,CA678-SUM(S678:V678)-P678-SUM(X678:AQ678),SUM(CB678:CW678)),SUM(CC678:CW678))</f>
        <v>47</v>
      </c>
      <c r="X678" s="63"/>
      <c r="Y678" s="63">
        <v>1</v>
      </c>
      <c r="Z678" s="63"/>
      <c r="AA678" s="63"/>
      <c r="AB678" s="63"/>
      <c r="AC678" s="63"/>
      <c r="AD678" s="63"/>
      <c r="AE678" s="63">
        <v>1</v>
      </c>
      <c r="AF678" s="63"/>
      <c r="AG678" s="63"/>
      <c r="AH678" s="63"/>
      <c r="AI678" s="63"/>
      <c r="AJ678" s="63"/>
      <c r="AK678" s="63"/>
      <c r="AL678" s="63"/>
      <c r="AM678" s="63">
        <v>0</v>
      </c>
      <c r="AN678" s="63"/>
      <c r="AO678" s="63"/>
      <c r="AP678" s="63"/>
      <c r="AQ678" s="63"/>
      <c r="AR678" s="63"/>
      <c r="AS678" s="63"/>
      <c r="AT678" s="63"/>
      <c r="AU678" s="63"/>
      <c r="AW678" s="5">
        <f>IF(Q678&gt;0,RANK(Q678,(N678:P678,Q678:AE678)),0)</f>
        <v>3</v>
      </c>
      <c r="AX678" s="5">
        <f>IF(R678&gt;0,RANK(R678,(N678:P678,Q678:AE678)),0)</f>
        <v>4</v>
      </c>
      <c r="AY678" s="5">
        <f>IF(T678&gt;0,RANK(T678,(N678:P678,Q678:AE678)),0)</f>
        <v>0</v>
      </c>
      <c r="AZ678" s="5">
        <f>IF(S678&gt;0,RANK(S678,(N678:P678,Q678:AE678)),0)</f>
        <v>7</v>
      </c>
      <c r="BA678" s="2">
        <f t="shared" si="281"/>
        <v>2.9889965511578256E-2</v>
      </c>
      <c r="BB678" s="2">
        <f t="shared" si="282"/>
        <v>9.3611430448349488E-3</v>
      </c>
      <c r="BC678" s="2">
        <f t="shared" si="283"/>
        <v>0</v>
      </c>
      <c r="BD678" s="2">
        <f t="shared" si="284"/>
        <v>4.9269173920183935E-4</v>
      </c>
      <c r="BF678" t="s">
        <v>1361</v>
      </c>
      <c r="BG678" t="s">
        <v>1368</v>
      </c>
      <c r="BH678">
        <v>15</v>
      </c>
      <c r="BJ678" s="114">
        <v>17</v>
      </c>
      <c r="BK678" s="116">
        <v>87</v>
      </c>
      <c r="BL678" s="120">
        <f t="shared" si="258"/>
        <v>17087</v>
      </c>
      <c r="BN678" s="5" t="s">
        <v>3154</v>
      </c>
      <c r="BW678" s="8"/>
      <c r="BX678" s="132" t="s">
        <v>3255</v>
      </c>
      <c r="BY678" s="63">
        <f t="shared" si="285"/>
        <v>0</v>
      </c>
      <c r="BZ678" s="63">
        <v>6089</v>
      </c>
      <c r="CA678" s="132">
        <v>59</v>
      </c>
      <c r="CB678" s="132"/>
      <c r="CD678" s="63">
        <v>0</v>
      </c>
      <c r="CE678" s="63">
        <v>0</v>
      </c>
      <c r="CF678" s="63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</row>
    <row r="679" spans="1:101" hidden="1" outlineLevel="1">
      <c r="A679" t="s">
        <v>259</v>
      </c>
      <c r="B679" t="s">
        <v>1368</v>
      </c>
      <c r="C679" s="1">
        <f t="shared" si="274"/>
        <v>199687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>IF(P679&gt;0,RANK(P679,(N679:P679,Q679:AE679)),0)</f>
        <v>5</v>
      </c>
      <c r="G679" s="132">
        <f t="shared" si="275"/>
        <v>20931</v>
      </c>
      <c r="H679" s="137">
        <f t="shared" si="276"/>
        <v>0.10481904180041765</v>
      </c>
      <c r="I679" s="2"/>
      <c r="J679" s="2">
        <f t="shared" si="277"/>
        <v>0.51913745010942125</v>
      </c>
      <c r="K679" s="2">
        <f t="shared" si="278"/>
        <v>0.41431840830900357</v>
      </c>
      <c r="L679" s="2">
        <f t="shared" si="279"/>
        <v>3.3151882696419899E-3</v>
      </c>
      <c r="M679" s="2">
        <f t="shared" si="280"/>
        <v>6.3228953311933192E-2</v>
      </c>
      <c r="N679" s="63">
        <v>103665</v>
      </c>
      <c r="O679" s="63">
        <v>82734</v>
      </c>
      <c r="P679" s="63">
        <v>662</v>
      </c>
      <c r="Q679" s="63">
        <v>9292</v>
      </c>
      <c r="R679" s="63">
        <v>2896</v>
      </c>
      <c r="S679" s="63">
        <v>48</v>
      </c>
      <c r="T679" s="63"/>
      <c r="U679" s="63"/>
      <c r="V679" s="63"/>
      <c r="W679" s="63">
        <f>IF(Copyright!B$11=1,IF(CA679&gt;0,CA679-SUM(S679:V679)-P679-SUM(X679:AQ679),SUM(CB679:CW679)+372),SUM(CC679:CW679))</f>
        <v>378</v>
      </c>
      <c r="X679" s="63"/>
      <c r="Y679" s="63">
        <v>10</v>
      </c>
      <c r="Z679" s="63"/>
      <c r="AA679" s="63"/>
      <c r="AB679" s="63"/>
      <c r="AC679" s="63"/>
      <c r="AD679" s="63"/>
      <c r="AE679" s="63">
        <v>2</v>
      </c>
      <c r="AF679" s="63"/>
      <c r="AG679" s="63"/>
      <c r="AH679" s="63"/>
      <c r="AI679" s="63"/>
      <c r="AJ679" s="63"/>
      <c r="AK679" s="63"/>
      <c r="AL679" s="63"/>
      <c r="AM679" s="63">
        <v>0</v>
      </c>
      <c r="AN679" s="63"/>
      <c r="AO679" s="63"/>
      <c r="AP679" s="63"/>
      <c r="AQ679" s="63"/>
      <c r="AR679" s="63"/>
      <c r="AS679" s="63"/>
      <c r="AT679" s="63"/>
      <c r="AU679" s="63"/>
      <c r="AW679" s="5">
        <f>IF(Q679&gt;0,RANK(Q679,(N679:P679,Q679:AE679)),0)</f>
        <v>3</v>
      </c>
      <c r="AX679" s="5">
        <f>IF(R679&gt;0,RANK(R679,(N679:P679,Q679:AE679)),0)</f>
        <v>4</v>
      </c>
      <c r="AY679" s="5">
        <f>IF(T679&gt;0,RANK(T679,(N679:P679,Q679:AE679)),0)</f>
        <v>0</v>
      </c>
      <c r="AZ679" s="5">
        <f>IF(S679&gt;0,RANK(S679,(N679:P679,Q679:AE679)),0)</f>
        <v>7</v>
      </c>
      <c r="BA679" s="2">
        <f t="shared" si="281"/>
        <v>4.653282386935554E-2</v>
      </c>
      <c r="BB679" s="2">
        <f t="shared" si="282"/>
        <v>1.4502696720367374E-2</v>
      </c>
      <c r="BC679" s="2">
        <f t="shared" si="283"/>
        <v>0</v>
      </c>
      <c r="BD679" s="2">
        <f t="shared" si="284"/>
        <v>2.4037618873537086E-4</v>
      </c>
      <c r="BF679" t="s">
        <v>259</v>
      </c>
      <c r="BG679" t="s">
        <v>1368</v>
      </c>
      <c r="BJ679" s="114">
        <v>17</v>
      </c>
      <c r="BK679" s="116">
        <v>89</v>
      </c>
      <c r="BL679" s="120">
        <f t="shared" si="258"/>
        <v>17089</v>
      </c>
      <c r="BN679" s="5" t="s">
        <v>3154</v>
      </c>
      <c r="BW679" s="8"/>
      <c r="BX679" s="132" t="s">
        <v>3265</v>
      </c>
      <c r="BY679" s="63">
        <f t="shared" si="285"/>
        <v>-199687</v>
      </c>
      <c r="CA679" s="133">
        <v>0</v>
      </c>
      <c r="CB679" s="132"/>
      <c r="CD679" s="63">
        <v>0</v>
      </c>
      <c r="CE679" s="63">
        <v>2</v>
      </c>
      <c r="CF679" s="63">
        <v>0</v>
      </c>
      <c r="CG679" s="8">
        <v>0</v>
      </c>
      <c r="CH679" s="8">
        <v>0</v>
      </c>
      <c r="CI679" s="8">
        <v>2</v>
      </c>
      <c r="CJ679" s="8">
        <v>1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</row>
    <row r="680" spans="1:101" hidden="1" outlineLevel="1">
      <c r="A680" t="s">
        <v>1644</v>
      </c>
      <c r="B680" t="s">
        <v>1368</v>
      </c>
      <c r="C680" s="1">
        <f t="shared" si="274"/>
        <v>47305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>IF(P680&gt;0,RANK(P680,(N680:P680,Q680:AE680)),0)</f>
        <v>6</v>
      </c>
      <c r="G680" s="132">
        <f t="shared" si="275"/>
        <v>6158</v>
      </c>
      <c r="H680" s="137">
        <f t="shared" si="276"/>
        <v>0.13017651411055914</v>
      </c>
      <c r="I680" s="2"/>
      <c r="J680" s="2">
        <f t="shared" si="277"/>
        <v>0.40103583130747278</v>
      </c>
      <c r="K680" s="2">
        <f t="shared" si="278"/>
        <v>0.53121234541803197</v>
      </c>
      <c r="L680" s="2">
        <f t="shared" si="279"/>
        <v>1.8602684705633654E-3</v>
      </c>
      <c r="M680" s="2">
        <f t="shared" si="280"/>
        <v>6.5891554803931884E-2</v>
      </c>
      <c r="N680" s="63">
        <v>18971</v>
      </c>
      <c r="O680" s="63">
        <v>25129</v>
      </c>
      <c r="P680" s="63">
        <v>88</v>
      </c>
      <c r="Q680" s="63">
        <v>1992</v>
      </c>
      <c r="R680" s="63">
        <v>587</v>
      </c>
      <c r="S680" s="63">
        <v>13</v>
      </c>
      <c r="T680" s="63"/>
      <c r="U680" s="63"/>
      <c r="V680" s="63"/>
      <c r="W680" s="63">
        <f>IF(Copyright!B$11=1,IF(CA680&gt;0,CA680-SUM(S680:V680)-P680-SUM(X680:AQ680),SUM(CB680:CW680)),SUM(CC680:CW680))</f>
        <v>523</v>
      </c>
      <c r="X680" s="63"/>
      <c r="Y680" s="63">
        <v>1</v>
      </c>
      <c r="Z680" s="63"/>
      <c r="AA680" s="63"/>
      <c r="AB680" s="63"/>
      <c r="AC680" s="63"/>
      <c r="AD680" s="63"/>
      <c r="AE680" s="63">
        <v>0</v>
      </c>
      <c r="AF680" s="63"/>
      <c r="AG680" s="63"/>
      <c r="AH680" s="63"/>
      <c r="AI680" s="63"/>
      <c r="AJ680" s="63"/>
      <c r="AK680" s="63"/>
      <c r="AL680" s="63"/>
      <c r="AM680" s="63">
        <v>1</v>
      </c>
      <c r="AN680" s="63"/>
      <c r="AO680" s="63"/>
      <c r="AP680" s="63"/>
      <c r="AQ680" s="63"/>
      <c r="AR680" s="63"/>
      <c r="AS680" s="63"/>
      <c r="AT680" s="63"/>
      <c r="AU680" s="63"/>
      <c r="AW680" s="5">
        <f>IF(Q680&gt;0,RANK(Q680,(N680:P680,Q680:AE680)),0)</f>
        <v>3</v>
      </c>
      <c r="AX680" s="5">
        <f>IF(R680&gt;0,RANK(R680,(N680:P680,Q680:AE680)),0)</f>
        <v>4</v>
      </c>
      <c r="AY680" s="5">
        <f>IF(T680&gt;0,RANK(T680,(N680:P680,Q680:AE680)),0)</f>
        <v>0</v>
      </c>
      <c r="AZ680" s="5">
        <f>IF(S680&gt;0,RANK(S680,(N680:P680,Q680:AE680)),0)</f>
        <v>7</v>
      </c>
      <c r="BA680" s="2">
        <f t="shared" si="281"/>
        <v>4.2109713560934361E-2</v>
      </c>
      <c r="BB680" s="2">
        <f t="shared" si="282"/>
        <v>1.2408836275235176E-2</v>
      </c>
      <c r="BC680" s="2">
        <f t="shared" si="283"/>
        <v>0</v>
      </c>
      <c r="BD680" s="2">
        <f t="shared" si="284"/>
        <v>2.7481238769686082E-4</v>
      </c>
      <c r="BF680" t="s">
        <v>1644</v>
      </c>
      <c r="BG680" t="s">
        <v>1368</v>
      </c>
      <c r="BH680">
        <v>2</v>
      </c>
      <c r="BJ680" s="114">
        <v>17</v>
      </c>
      <c r="BK680" s="116">
        <v>91</v>
      </c>
      <c r="BL680" s="120">
        <f t="shared" ref="BL680:BL743" si="286">1000*BJ680+BK680</f>
        <v>17091</v>
      </c>
      <c r="BN680" s="5" t="s">
        <v>3154</v>
      </c>
      <c r="BW680" s="8"/>
      <c r="BX680" s="132" t="s">
        <v>3255</v>
      </c>
      <c r="BY680" s="63">
        <f t="shared" si="285"/>
        <v>0</v>
      </c>
      <c r="BZ680" s="63">
        <v>47305</v>
      </c>
      <c r="CA680" s="132">
        <v>626</v>
      </c>
      <c r="CB680" s="132"/>
      <c r="CD680" s="63">
        <v>0</v>
      </c>
      <c r="CE680" s="63">
        <v>0</v>
      </c>
      <c r="CF680" s="63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</row>
    <row r="681" spans="1:101" hidden="1" outlineLevel="1">
      <c r="A681" t="s">
        <v>1853</v>
      </c>
      <c r="B681" t="s">
        <v>1368</v>
      </c>
      <c r="C681" s="1">
        <f t="shared" si="274"/>
        <v>54055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>IF(P681&gt;0,RANK(P681,(N681:P681,Q681:AE681)),0)</f>
        <v>6</v>
      </c>
      <c r="G681" s="132">
        <f t="shared" si="275"/>
        <v>77</v>
      </c>
      <c r="H681" s="137">
        <f t="shared" si="276"/>
        <v>1.4244750716862454E-3</v>
      </c>
      <c r="I681" s="2"/>
      <c r="J681" s="2">
        <f t="shared" si="277"/>
        <v>0.46034594394598094</v>
      </c>
      <c r="K681" s="2">
        <f t="shared" si="278"/>
        <v>0.46177041901766719</v>
      </c>
      <c r="L681" s="2">
        <f t="shared" si="279"/>
        <v>2.5899546757931738E-3</v>
      </c>
      <c r="M681" s="2">
        <f t="shared" si="280"/>
        <v>7.5293682360558695E-2</v>
      </c>
      <c r="N681" s="63">
        <v>24884</v>
      </c>
      <c r="O681" s="63">
        <v>24961</v>
      </c>
      <c r="P681" s="63">
        <v>140</v>
      </c>
      <c r="Q681" s="63">
        <v>2675</v>
      </c>
      <c r="R681" s="63">
        <v>742</v>
      </c>
      <c r="S681" s="63">
        <v>38</v>
      </c>
      <c r="T681" s="63"/>
      <c r="U681" s="63"/>
      <c r="V681" s="63"/>
      <c r="W681" s="63">
        <f>IF(Copyright!B$11=1,IF(CA681&gt;0,CA681-SUM(S681:V681)-P681-SUM(X681:AQ681),SUM(CB681:CW681)),SUM(CC681:CW681))</f>
        <v>608</v>
      </c>
      <c r="X681" s="63"/>
      <c r="Y681" s="63">
        <v>6</v>
      </c>
      <c r="Z681" s="63"/>
      <c r="AA681" s="63"/>
      <c r="AB681" s="63"/>
      <c r="AC681" s="63"/>
      <c r="AD681" s="63"/>
      <c r="AE681" s="63">
        <v>1</v>
      </c>
      <c r="AF681" s="63"/>
      <c r="AG681" s="63"/>
      <c r="AH681" s="63"/>
      <c r="AI681" s="63"/>
      <c r="AJ681" s="63"/>
      <c r="AK681" s="63"/>
      <c r="AL681" s="63"/>
      <c r="AM681" s="63">
        <v>0</v>
      </c>
      <c r="AN681" s="63"/>
      <c r="AO681" s="63"/>
      <c r="AP681" s="63"/>
      <c r="AQ681" s="63"/>
      <c r="AR681" s="63"/>
      <c r="AS681" s="63"/>
      <c r="AT681" s="63"/>
      <c r="AU681" s="63"/>
      <c r="AW681" s="5">
        <f>IF(Q681&gt;0,RANK(Q681,(N681:P681,Q681:AE681)),0)</f>
        <v>3</v>
      </c>
      <c r="AX681" s="5">
        <f>IF(R681&gt;0,RANK(R681,(N681:P681,Q681:AE681)),0)</f>
        <v>4</v>
      </c>
      <c r="AY681" s="5">
        <f>IF(T681&gt;0,RANK(T681,(N681:P681,Q681:AE681)),0)</f>
        <v>0</v>
      </c>
      <c r="AZ681" s="5">
        <f>IF(S681&gt;0,RANK(S681,(N681:P681,Q681:AE681)),0)</f>
        <v>7</v>
      </c>
      <c r="BA681" s="2">
        <f t="shared" si="281"/>
        <v>4.9486633983905279E-2</v>
      </c>
      <c r="BB681" s="2">
        <f t="shared" si="282"/>
        <v>1.372675978170382E-2</v>
      </c>
      <c r="BC681" s="2">
        <f t="shared" si="283"/>
        <v>0</v>
      </c>
      <c r="BD681" s="2">
        <f t="shared" si="284"/>
        <v>7.0298769771529003E-4</v>
      </c>
      <c r="BF681" t="s">
        <v>1853</v>
      </c>
      <c r="BG681" t="s">
        <v>1368</v>
      </c>
      <c r="BJ681" s="114">
        <v>17</v>
      </c>
      <c r="BK681" s="116">
        <v>93</v>
      </c>
      <c r="BL681" s="120">
        <f t="shared" si="286"/>
        <v>17093</v>
      </c>
      <c r="BN681" s="5" t="s">
        <v>3154</v>
      </c>
      <c r="BO681" s="63">
        <v>328</v>
      </c>
      <c r="BP681" s="63">
        <v>91</v>
      </c>
      <c r="BR681" s="63"/>
      <c r="BW681" s="8"/>
      <c r="BY681" s="63">
        <f t="shared" si="285"/>
        <v>0</v>
      </c>
      <c r="BZ681" s="63">
        <f>24961+24884+2675+742+752+41</f>
        <v>54055</v>
      </c>
      <c r="CA681" s="132">
        <f>752+41</f>
        <v>793</v>
      </c>
      <c r="CB681" s="132"/>
      <c r="CD681" s="63">
        <v>0</v>
      </c>
      <c r="CE681" s="63">
        <v>0</v>
      </c>
      <c r="CF681" s="63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</row>
    <row r="682" spans="1:101" hidden="1" outlineLevel="1">
      <c r="A682" t="s">
        <v>1729</v>
      </c>
      <c r="B682" t="s">
        <v>1368</v>
      </c>
      <c r="C682" s="1">
        <f t="shared" si="274"/>
        <v>22503</v>
      </c>
      <c r="D682" s="5">
        <f>IF(N682&gt;0, RANK(N682,(N682:P682,Q682:AE682)),0)</f>
        <v>2</v>
      </c>
      <c r="E682" s="5">
        <f>IF(O682&gt;0,RANK(O682,(N682:P682,Q682:AE682)),0)</f>
        <v>1</v>
      </c>
      <c r="F682" s="5">
        <f>IF(P682&gt;0,RANK(P682,(N682:P682,Q682:AE682)),0)</f>
        <v>6</v>
      </c>
      <c r="G682" s="132">
        <f t="shared" si="275"/>
        <v>654</v>
      </c>
      <c r="H682" s="137">
        <f t="shared" si="276"/>
        <v>2.9062791627782962E-2</v>
      </c>
      <c r="I682" s="2"/>
      <c r="J682" s="2">
        <f t="shared" si="277"/>
        <v>0.44807359018797493</v>
      </c>
      <c r="K682" s="2">
        <f t="shared" si="278"/>
        <v>0.4771363818157579</v>
      </c>
      <c r="L682" s="2">
        <f t="shared" si="279"/>
        <v>1.4220326178731725E-3</v>
      </c>
      <c r="M682" s="2">
        <f t="shared" si="280"/>
        <v>7.3367995378394044E-2</v>
      </c>
      <c r="N682" s="63">
        <v>10083</v>
      </c>
      <c r="O682" s="63">
        <v>10737</v>
      </c>
      <c r="P682" s="63">
        <v>32</v>
      </c>
      <c r="Q682" s="63">
        <v>1109</v>
      </c>
      <c r="R682" s="63">
        <v>278</v>
      </c>
      <c r="S682" s="63">
        <v>4</v>
      </c>
      <c r="T682" s="63"/>
      <c r="U682" s="63"/>
      <c r="V682" s="63"/>
      <c r="W682" s="63">
        <f>IF(Copyright!B$11=1,IF(CA682&gt;0,CA682-SUM(S682:V682)-P682-SUM(X682:AQ682),SUM(CB682:CW682)),SUM(CC682:CW682))</f>
        <v>260</v>
      </c>
      <c r="X682" s="63"/>
      <c r="Y682" s="63">
        <v>0</v>
      </c>
      <c r="Z682" s="63"/>
      <c r="AA682" s="63"/>
      <c r="AB682" s="63"/>
      <c r="AC682" s="63"/>
      <c r="AD682" s="63"/>
      <c r="AE682" s="63">
        <v>0</v>
      </c>
      <c r="AF682" s="63"/>
      <c r="AG682" s="63"/>
      <c r="AH682" s="63"/>
      <c r="AI682" s="63"/>
      <c r="AJ682" s="63"/>
      <c r="AK682" s="63"/>
      <c r="AL682" s="63"/>
      <c r="AM682" s="63">
        <v>0</v>
      </c>
      <c r="AN682" s="63"/>
      <c r="AO682" s="63"/>
      <c r="AP682" s="63"/>
      <c r="AQ682" s="63"/>
      <c r="AR682" s="63"/>
      <c r="AS682" s="63"/>
      <c r="AT682" s="63"/>
      <c r="AU682" s="63"/>
      <c r="AW682" s="5">
        <f>IF(Q682&gt;0,RANK(Q682,(N682:P682,Q682:AE682)),0)</f>
        <v>3</v>
      </c>
      <c r="AX682" s="5">
        <f>IF(R682&gt;0,RANK(R682,(N682:P682,Q682:AE682)),0)</f>
        <v>4</v>
      </c>
      <c r="AY682" s="5">
        <f>IF(T682&gt;0,RANK(T682,(N682:P682,Q682:AE682)),0)</f>
        <v>0</v>
      </c>
      <c r="AZ682" s="5">
        <f>IF(S682&gt;0,RANK(S682,(N682:P682,Q682:AE682)),0)</f>
        <v>7</v>
      </c>
      <c r="BA682" s="2">
        <f t="shared" si="281"/>
        <v>4.9282317913167131E-2</v>
      </c>
      <c r="BB682" s="2">
        <f t="shared" si="282"/>
        <v>1.2353908367773185E-2</v>
      </c>
      <c r="BC682" s="2">
        <f t="shared" si="283"/>
        <v>0</v>
      </c>
      <c r="BD682" s="2">
        <f t="shared" si="284"/>
        <v>1.7775407723414656E-4</v>
      </c>
      <c r="BF682" t="s">
        <v>1729</v>
      </c>
      <c r="BG682" t="s">
        <v>1368</v>
      </c>
      <c r="BH682">
        <v>17</v>
      </c>
      <c r="BJ682" s="114">
        <v>17</v>
      </c>
      <c r="BK682" s="116">
        <v>95</v>
      </c>
      <c r="BL682" s="120">
        <f t="shared" si="286"/>
        <v>17095</v>
      </c>
      <c r="BN682" s="5" t="s">
        <v>3154</v>
      </c>
      <c r="BW682" s="8"/>
      <c r="BX682" s="132" t="s">
        <v>3255</v>
      </c>
      <c r="BY682" s="63">
        <f t="shared" si="285"/>
        <v>0</v>
      </c>
      <c r="BZ682" s="63">
        <f>6512+4867+612+190+188+10134</f>
        <v>22503</v>
      </c>
      <c r="CA682" s="132">
        <f>188+108</f>
        <v>296</v>
      </c>
      <c r="CB682" s="132"/>
      <c r="CD682" s="63">
        <v>0</v>
      </c>
      <c r="CE682" s="63">
        <v>0</v>
      </c>
      <c r="CF682" s="63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</row>
    <row r="683" spans="1:101" hidden="1" outlineLevel="1">
      <c r="A683" t="s">
        <v>820</v>
      </c>
      <c r="B683" t="s">
        <v>1368</v>
      </c>
      <c r="C683" s="1">
        <f t="shared" si="274"/>
        <v>303520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>IF(P683&gt;0,RANK(P683,(N683:P683,Q683:AE683)),0)</f>
        <v>6</v>
      </c>
      <c r="G683" s="132">
        <f t="shared" si="275"/>
        <v>61328</v>
      </c>
      <c r="H683" s="137">
        <f t="shared" si="276"/>
        <v>0.20205587770163416</v>
      </c>
      <c r="I683" s="2"/>
      <c r="J683" s="2">
        <f t="shared" si="277"/>
        <v>0.56370255666842384</v>
      </c>
      <c r="K683" s="2">
        <f t="shared" si="278"/>
        <v>0.36164667896678965</v>
      </c>
      <c r="L683" s="2">
        <f t="shared" si="279"/>
        <v>3.1365313653136532E-3</v>
      </c>
      <c r="M683" s="2">
        <f t="shared" si="280"/>
        <v>7.1514232999472863E-2</v>
      </c>
      <c r="N683" s="63">
        <v>171095</v>
      </c>
      <c r="O683" s="63">
        <v>109767</v>
      </c>
      <c r="P683" s="63">
        <v>952</v>
      </c>
      <c r="Q683" s="63">
        <v>13312</v>
      </c>
      <c r="R683" s="63">
        <v>3821</v>
      </c>
      <c r="S683" s="63">
        <v>48</v>
      </c>
      <c r="T683" s="63"/>
      <c r="U683" s="63"/>
      <c r="V683" s="63"/>
      <c r="W683" s="63">
        <f>IF(Copyright!B$11=1,IF(CA683&gt;0,CA683-SUM(S683:V683)-P683-SUM(X683:AQ683),SUM(CB683:CW683)),SUM(CC683:CW683))</f>
        <v>4509</v>
      </c>
      <c r="X683" s="63"/>
      <c r="Y683" s="63">
        <v>13</v>
      </c>
      <c r="Z683" s="63"/>
      <c r="AA683" s="63"/>
      <c r="AB683" s="63"/>
      <c r="AC683" s="63"/>
      <c r="AD683" s="63"/>
      <c r="AE683" s="63">
        <v>2</v>
      </c>
      <c r="AF683" s="63"/>
      <c r="AG683" s="63"/>
      <c r="AH683" s="63"/>
      <c r="AI683" s="63"/>
      <c r="AJ683" s="63"/>
      <c r="AK683" s="63"/>
      <c r="AL683" s="63"/>
      <c r="AM683" s="63">
        <v>1</v>
      </c>
      <c r="AN683" s="63"/>
      <c r="AO683" s="63"/>
      <c r="AP683" s="63"/>
      <c r="AQ683" s="63"/>
      <c r="AR683" s="63"/>
      <c r="AS683" s="63"/>
      <c r="AT683" s="63"/>
      <c r="AU683" s="63"/>
      <c r="AW683" s="5">
        <f>IF(Q683&gt;0,RANK(Q683,(N683:P683,Q683:AE683)),0)</f>
        <v>3</v>
      </c>
      <c r="AX683" s="5">
        <f>IF(R683&gt;0,RANK(R683,(N683:P683,Q683:AE683)),0)</f>
        <v>5</v>
      </c>
      <c r="AY683" s="5">
        <f>IF(T683&gt;0,RANK(T683,(N683:P683,Q683:AE683)),0)</f>
        <v>0</v>
      </c>
      <c r="AZ683" s="5">
        <f>IF(S683&gt;0,RANK(S683,(N683:P683,Q683:AE683)),0)</f>
        <v>7</v>
      </c>
      <c r="BA683" s="2">
        <f t="shared" si="281"/>
        <v>4.3858724301528727E-2</v>
      </c>
      <c r="BB683" s="2">
        <f t="shared" si="282"/>
        <v>1.2588956246705325E-2</v>
      </c>
      <c r="BC683" s="2">
        <f t="shared" si="283"/>
        <v>0</v>
      </c>
      <c r="BD683" s="2">
        <f t="shared" si="284"/>
        <v>1.58144438587243E-4</v>
      </c>
      <c r="BF683" t="s">
        <v>820</v>
      </c>
      <c r="BG683" t="s">
        <v>1368</v>
      </c>
      <c r="BJ683" s="114">
        <v>17</v>
      </c>
      <c r="BK683" s="116">
        <v>97</v>
      </c>
      <c r="BL683" s="120">
        <f t="shared" si="286"/>
        <v>17097</v>
      </c>
      <c r="BN683" s="5" t="s">
        <v>3154</v>
      </c>
      <c r="BR683" s="63"/>
      <c r="BW683" s="8"/>
      <c r="BY683" s="63">
        <f t="shared" si="285"/>
        <v>0</v>
      </c>
      <c r="BZ683" s="63">
        <f>5525+3821+13312+109767+171095</f>
        <v>303520</v>
      </c>
      <c r="CA683" s="132">
        <v>5525</v>
      </c>
      <c r="CB683" s="132"/>
      <c r="CD683" s="63">
        <v>0</v>
      </c>
      <c r="CE683" s="63">
        <v>0</v>
      </c>
      <c r="CF683" s="63">
        <v>15</v>
      </c>
      <c r="CG683" s="8">
        <v>3</v>
      </c>
      <c r="CH683" s="8">
        <v>0</v>
      </c>
      <c r="CI683" s="8">
        <v>0</v>
      </c>
      <c r="CJ683" s="8">
        <v>1</v>
      </c>
      <c r="CK683" s="8">
        <v>0</v>
      </c>
      <c r="CL683" s="8">
        <v>0</v>
      </c>
      <c r="CM683" s="8">
        <v>0</v>
      </c>
      <c r="CN683" s="8">
        <v>5</v>
      </c>
      <c r="CO683" s="8">
        <v>0</v>
      </c>
      <c r="CP683" s="8">
        <v>0</v>
      </c>
      <c r="CQ683">
        <v>0</v>
      </c>
      <c r="CR683">
        <v>3</v>
      </c>
      <c r="CS683">
        <v>0</v>
      </c>
      <c r="CT683">
        <v>0</v>
      </c>
      <c r="CU683">
        <v>1</v>
      </c>
      <c r="CV683">
        <v>1</v>
      </c>
    </row>
    <row r="684" spans="1:101" hidden="1" outlineLevel="1">
      <c r="A684" t="s">
        <v>2667</v>
      </c>
      <c r="B684" t="s">
        <v>1368</v>
      </c>
      <c r="C684" s="1">
        <f t="shared" si="274"/>
        <v>49743</v>
      </c>
      <c r="D684" s="5">
        <f>IF(N684&gt;0, RANK(N684,(N684:P684,Q684:AE684)),0)</f>
        <v>2</v>
      </c>
      <c r="E684" s="5">
        <f>IF(O684&gt;0,RANK(O684,(N684:P684,Q684:AE684)),0)</f>
        <v>1</v>
      </c>
      <c r="F684" s="5">
        <f>IF(P684&gt;0,RANK(P684,(N684:P684,Q684:AE684)),0)</f>
        <v>6</v>
      </c>
      <c r="G684" s="132">
        <f t="shared" si="275"/>
        <v>7146</v>
      </c>
      <c r="H684" s="137">
        <f t="shared" si="276"/>
        <v>0.14365840419757553</v>
      </c>
      <c r="I684" s="2"/>
      <c r="J684" s="2">
        <f t="shared" si="277"/>
        <v>0.39287940011659933</v>
      </c>
      <c r="K684" s="2">
        <f t="shared" si="278"/>
        <v>0.53653780431417486</v>
      </c>
      <c r="L684" s="2">
        <f t="shared" si="279"/>
        <v>1.0453732183422794E-3</v>
      </c>
      <c r="M684" s="2">
        <f t="shared" si="280"/>
        <v>6.9537422350883477E-2</v>
      </c>
      <c r="N684" s="63">
        <v>19543</v>
      </c>
      <c r="O684" s="63">
        <v>26689</v>
      </c>
      <c r="P684" s="63">
        <v>52</v>
      </c>
      <c r="Q684" s="63">
        <v>2298</v>
      </c>
      <c r="R684" s="63">
        <v>649</v>
      </c>
      <c r="S684" s="63">
        <v>7</v>
      </c>
      <c r="T684" s="63"/>
      <c r="U684" s="63"/>
      <c r="V684" s="63"/>
      <c r="W684" s="63">
        <f>IF(Copyright!B$11=1,IF(CA684&gt;0,CA684-SUM(S684:V684)-P684-SUM(X684:AQ684),SUM(CB684:CW684)),SUM(CC684:CW684))</f>
        <v>499</v>
      </c>
      <c r="X684" s="63"/>
      <c r="Y684" s="63">
        <v>4</v>
      </c>
      <c r="Z684" s="63"/>
      <c r="AA684" s="63"/>
      <c r="AB684" s="63"/>
      <c r="AC684" s="63"/>
      <c r="AD684" s="63"/>
      <c r="AE684" s="63">
        <v>2</v>
      </c>
      <c r="AF684" s="63"/>
      <c r="AG684" s="63"/>
      <c r="AH684" s="63"/>
      <c r="AI684" s="63"/>
      <c r="AJ684" s="63"/>
      <c r="AK684" s="63"/>
      <c r="AL684" s="63"/>
      <c r="AM684" s="63">
        <v>0</v>
      </c>
      <c r="AN684" s="63"/>
      <c r="AO684" s="63"/>
      <c r="AP684" s="63"/>
      <c r="AQ684" s="63"/>
      <c r="AR684" s="63"/>
      <c r="AS684" s="63"/>
      <c r="AT684" s="63"/>
      <c r="AU684" s="63"/>
      <c r="AW684" s="5">
        <f>IF(Q684&gt;0,RANK(Q684,(N684:P684,Q684:AE684)),0)</f>
        <v>3</v>
      </c>
      <c r="AX684" s="5">
        <f>IF(R684&gt;0,RANK(R684,(N684:P684,Q684:AE684)),0)</f>
        <v>4</v>
      </c>
      <c r="AY684" s="5">
        <f>IF(T684&gt;0,RANK(T684,(N684:P684,Q684:AE684)),0)</f>
        <v>0</v>
      </c>
      <c r="AZ684" s="5">
        <f>IF(S684&gt;0,RANK(S684,(N684:P684,Q684:AE684)),0)</f>
        <v>7</v>
      </c>
      <c r="BA684" s="2">
        <f t="shared" si="281"/>
        <v>4.6197454918279958E-2</v>
      </c>
      <c r="BB684" s="2">
        <f t="shared" si="282"/>
        <v>1.3047061898156525E-2</v>
      </c>
      <c r="BC684" s="2">
        <f t="shared" si="283"/>
        <v>0</v>
      </c>
      <c r="BD684" s="2">
        <f t="shared" si="284"/>
        <v>1.4072331785376836E-4</v>
      </c>
      <c r="BF684" t="s">
        <v>2667</v>
      </c>
      <c r="BG684" t="s">
        <v>1368</v>
      </c>
      <c r="BH684">
        <v>16</v>
      </c>
      <c r="BJ684" s="114">
        <v>17</v>
      </c>
      <c r="BK684" s="116">
        <v>99</v>
      </c>
      <c r="BL684" s="120">
        <f t="shared" si="286"/>
        <v>17099</v>
      </c>
      <c r="BN684" s="5" t="s">
        <v>3154</v>
      </c>
      <c r="BO684" s="63">
        <v>548</v>
      </c>
      <c r="BP684" s="63">
        <v>110</v>
      </c>
      <c r="BR684" s="63"/>
      <c r="BW684" s="8"/>
      <c r="BY684" s="63">
        <f t="shared" si="285"/>
        <v>0</v>
      </c>
      <c r="BZ684" s="63">
        <f>19543+26689+2298+649+564</f>
        <v>49743</v>
      </c>
      <c r="CA684" s="132">
        <v>564</v>
      </c>
      <c r="CB684" s="132"/>
      <c r="CD684" s="63">
        <v>0</v>
      </c>
      <c r="CE684" s="63">
        <v>0</v>
      </c>
      <c r="CF684" s="63">
        <v>0</v>
      </c>
      <c r="CG684" s="8">
        <v>0</v>
      </c>
      <c r="CH684" s="8">
        <v>6</v>
      </c>
      <c r="CI684" s="8">
        <v>0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1</v>
      </c>
      <c r="CP684" s="8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</row>
    <row r="685" spans="1:101" hidden="1" outlineLevel="1">
      <c r="A685" t="s">
        <v>548</v>
      </c>
      <c r="B685" t="s">
        <v>1368</v>
      </c>
      <c r="C685" s="1">
        <f t="shared" si="274"/>
        <v>6058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>IF(P685&gt;0,RANK(P685,(N685:P685,Q685:AE685)),0)</f>
        <v>5</v>
      </c>
      <c r="G685" s="132">
        <f t="shared" si="275"/>
        <v>3231</v>
      </c>
      <c r="H685" s="137">
        <f t="shared" si="276"/>
        <v>0.53334433806536807</v>
      </c>
      <c r="I685" s="2"/>
      <c r="J685" s="2">
        <f t="shared" si="277"/>
        <v>0.21294156487289534</v>
      </c>
      <c r="K685" s="2">
        <f t="shared" si="278"/>
        <v>0.74628590293826347</v>
      </c>
      <c r="L685" s="2">
        <f t="shared" si="279"/>
        <v>1.8157807857378673E-3</v>
      </c>
      <c r="M685" s="2">
        <f t="shared" si="280"/>
        <v>3.8956751403103271E-2</v>
      </c>
      <c r="N685" s="63">
        <v>1290</v>
      </c>
      <c r="O685" s="63">
        <v>4521</v>
      </c>
      <c r="P685" s="63">
        <v>11</v>
      </c>
      <c r="Q685" s="63">
        <v>194</v>
      </c>
      <c r="R685" s="63">
        <v>41</v>
      </c>
      <c r="S685" s="63">
        <v>1</v>
      </c>
      <c r="T685" s="63"/>
      <c r="U685" s="63"/>
      <c r="V685" s="63"/>
      <c r="W685" s="63">
        <f>IF(Copyright!B$11=1,IF(CA685&gt;0,CA685-SUM(S685:V685)-P685-SUM(X685:AQ685),SUM(CB685:CW685)),SUM(CC685:CW685))</f>
        <v>0</v>
      </c>
      <c r="X685" s="63"/>
      <c r="Y685" s="63">
        <v>0</v>
      </c>
      <c r="Z685" s="63"/>
      <c r="AA685" s="63"/>
      <c r="AB685" s="63"/>
      <c r="AC685" s="63"/>
      <c r="AD685" s="63"/>
      <c r="AE685" s="63">
        <v>0</v>
      </c>
      <c r="AF685" s="63"/>
      <c r="AG685" s="63"/>
      <c r="AH685" s="63"/>
      <c r="AI685" s="63"/>
      <c r="AJ685" s="63"/>
      <c r="AK685" s="63"/>
      <c r="AL685" s="63"/>
      <c r="AM685" s="63">
        <v>0</v>
      </c>
      <c r="AN685" s="63"/>
      <c r="AO685" s="63"/>
      <c r="AP685" s="63"/>
      <c r="AQ685" s="63"/>
      <c r="AR685" s="63"/>
      <c r="AS685" s="63"/>
      <c r="AT685" s="63"/>
      <c r="AU685" s="63"/>
      <c r="AW685" s="5">
        <f>IF(Q685&gt;0,RANK(Q685,(N685:P685,Q685:AE685)),0)</f>
        <v>3</v>
      </c>
      <c r="AX685" s="5">
        <f>IF(R685&gt;0,RANK(R685,(N685:P685,Q685:AE685)),0)</f>
        <v>4</v>
      </c>
      <c r="AY685" s="5">
        <f>IF(T685&gt;0,RANK(T685,(N685:P685,Q685:AE685)),0)</f>
        <v>0</v>
      </c>
      <c r="AZ685" s="5">
        <f>IF(S685&gt;0,RANK(S685,(N685:P685,Q685:AE685)),0)</f>
        <v>6</v>
      </c>
      <c r="BA685" s="2">
        <f t="shared" si="281"/>
        <v>3.2023770221195111E-2</v>
      </c>
      <c r="BB685" s="2">
        <f t="shared" si="282"/>
        <v>6.767910201386596E-3</v>
      </c>
      <c r="BC685" s="2">
        <f t="shared" si="283"/>
        <v>0</v>
      </c>
      <c r="BD685" s="2">
        <f t="shared" si="284"/>
        <v>1.6507098052162431E-4</v>
      </c>
      <c r="BF685" t="s">
        <v>548</v>
      </c>
      <c r="BG685" t="s">
        <v>1368</v>
      </c>
      <c r="BH685">
        <v>15</v>
      </c>
      <c r="BJ685" s="114">
        <v>17</v>
      </c>
      <c r="BK685" s="116">
        <v>101</v>
      </c>
      <c r="BL685" s="120">
        <f t="shared" si="286"/>
        <v>17101</v>
      </c>
      <c r="BN685" s="5" t="s">
        <v>3154</v>
      </c>
      <c r="BR685" s="63"/>
      <c r="BW685" s="8"/>
      <c r="BY685" s="63">
        <f t="shared" si="285"/>
        <v>-6058</v>
      </c>
      <c r="CA685" s="133">
        <v>0</v>
      </c>
      <c r="CB685" s="132"/>
      <c r="CD685" s="63">
        <v>0</v>
      </c>
      <c r="CE685" s="63">
        <v>0</v>
      </c>
      <c r="CF685" s="63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</row>
    <row r="686" spans="1:101" hidden="1" outlineLevel="1">
      <c r="A686" t="s">
        <v>97</v>
      </c>
      <c r="B686" t="s">
        <v>1368</v>
      </c>
      <c r="C686" s="1">
        <f t="shared" si="274"/>
        <v>15489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6</v>
      </c>
      <c r="G686" s="132">
        <f t="shared" si="275"/>
        <v>3084</v>
      </c>
      <c r="H686" s="137">
        <f t="shared" si="276"/>
        <v>0.19910904512880109</v>
      </c>
      <c r="I686" s="2"/>
      <c r="J686" s="2">
        <f t="shared" si="277"/>
        <v>0.35689844405707277</v>
      </c>
      <c r="K686" s="2">
        <f t="shared" si="278"/>
        <v>0.55600748918587384</v>
      </c>
      <c r="L686" s="2">
        <f t="shared" si="279"/>
        <v>2.3887920459681063E-3</v>
      </c>
      <c r="M686" s="2">
        <f t="shared" si="280"/>
        <v>8.4705274711085229E-2</v>
      </c>
      <c r="N686" s="63">
        <v>5528</v>
      </c>
      <c r="O686" s="63">
        <v>8612</v>
      </c>
      <c r="P686" s="63">
        <v>37</v>
      </c>
      <c r="Q686" s="63">
        <v>896</v>
      </c>
      <c r="R686" s="63">
        <v>226</v>
      </c>
      <c r="S686" s="63">
        <v>3</v>
      </c>
      <c r="T686" s="63"/>
      <c r="U686" s="63"/>
      <c r="V686" s="63"/>
      <c r="W686" s="63">
        <f>IF(Copyright!B$11=1,IF(CA686&gt;0,CA686-SUM(S686:V686)-P686-SUM(X686:AQ686),SUM(CB686:CW686)),SUM(CC686:CW686))</f>
        <v>187</v>
      </c>
      <c r="X686" s="63"/>
      <c r="Y686" s="63">
        <v>0</v>
      </c>
      <c r="Z686" s="63"/>
      <c r="AA686" s="63"/>
      <c r="AB686" s="63"/>
      <c r="AC686" s="63"/>
      <c r="AD686" s="63"/>
      <c r="AE686" s="63">
        <v>0</v>
      </c>
      <c r="AF686" s="63"/>
      <c r="AG686" s="63"/>
      <c r="AH686" s="63"/>
      <c r="AI686" s="63"/>
      <c r="AJ686" s="63"/>
      <c r="AK686" s="63"/>
      <c r="AL686" s="63"/>
      <c r="AM686" s="63">
        <v>0</v>
      </c>
      <c r="AN686" s="63"/>
      <c r="AO686" s="63"/>
      <c r="AP686" s="63"/>
      <c r="AQ686" s="63"/>
      <c r="AR686" s="63"/>
      <c r="AS686" s="63"/>
      <c r="AT686" s="63"/>
      <c r="AU686" s="63"/>
      <c r="AW686" s="5">
        <f>IF(Q686&gt;0,RANK(Q686,(N686:P686,Q686:AE686)),0)</f>
        <v>3</v>
      </c>
      <c r="AX686" s="5">
        <f>IF(R686&gt;0,RANK(R686,(N686:P686,Q686:AE686)),0)</f>
        <v>4</v>
      </c>
      <c r="AY686" s="5">
        <f>IF(T686&gt;0,RANK(T686,(N686:P686,Q686:AE686)),0)</f>
        <v>0</v>
      </c>
      <c r="AZ686" s="5">
        <f>IF(S686&gt;0,RANK(S686,(N686:P686,Q686:AE686)),0)</f>
        <v>7</v>
      </c>
      <c r="BA686" s="2">
        <f t="shared" si="281"/>
        <v>5.7847504680741173E-2</v>
      </c>
      <c r="BB686" s="2">
        <f t="shared" si="282"/>
        <v>1.4591000064561948E-2</v>
      </c>
      <c r="BC686" s="2">
        <f t="shared" si="283"/>
        <v>0</v>
      </c>
      <c r="BD686" s="2">
        <f t="shared" si="284"/>
        <v>1.936858415649816E-4</v>
      </c>
      <c r="BF686" t="s">
        <v>97</v>
      </c>
      <c r="BG686" t="s">
        <v>1368</v>
      </c>
      <c r="BH686">
        <v>16</v>
      </c>
      <c r="BJ686" s="114">
        <v>17</v>
      </c>
      <c r="BK686" s="116">
        <v>103</v>
      </c>
      <c r="BL686" s="120">
        <f t="shared" si="286"/>
        <v>17103</v>
      </c>
      <c r="BN686" s="5" t="s">
        <v>3154</v>
      </c>
      <c r="BO686" s="63">
        <v>211</v>
      </c>
      <c r="BP686" s="63">
        <v>7</v>
      </c>
      <c r="BR686" s="63"/>
      <c r="BW686" s="8"/>
      <c r="BX686" s="132" t="s">
        <v>3255</v>
      </c>
      <c r="BY686" s="63">
        <f t="shared" si="285"/>
        <v>0</v>
      </c>
      <c r="BZ686" s="63">
        <v>15489</v>
      </c>
      <c r="CA686" s="132">
        <v>227</v>
      </c>
      <c r="CB686" s="132"/>
      <c r="CD686" s="63">
        <v>0</v>
      </c>
      <c r="CE686" s="63">
        <v>0</v>
      </c>
      <c r="CF686" s="63">
        <v>1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</row>
    <row r="687" spans="1:101" hidden="1" outlineLevel="1">
      <c r="A687" t="s">
        <v>616</v>
      </c>
      <c r="B687" t="s">
        <v>1368</v>
      </c>
      <c r="C687" s="1">
        <f t="shared" si="274"/>
        <v>15342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6</v>
      </c>
      <c r="G687" s="132">
        <f t="shared" si="275"/>
        <v>6185</v>
      </c>
      <c r="H687" s="137">
        <f t="shared" si="276"/>
        <v>0.40314170251596926</v>
      </c>
      <c r="I687" s="2"/>
      <c r="J687" s="2">
        <f t="shared" si="277"/>
        <v>0.26222135314822059</v>
      </c>
      <c r="K687" s="2">
        <f t="shared" si="278"/>
        <v>0.66536305566418985</v>
      </c>
      <c r="L687" s="2">
        <f t="shared" si="279"/>
        <v>3.8456524573067395E-3</v>
      </c>
      <c r="M687" s="2">
        <f t="shared" si="280"/>
        <v>6.8569938730282817E-2</v>
      </c>
      <c r="N687" s="63">
        <v>4023</v>
      </c>
      <c r="O687" s="63">
        <v>10208</v>
      </c>
      <c r="P687" s="63">
        <v>59</v>
      </c>
      <c r="Q687" s="63">
        <v>777</v>
      </c>
      <c r="R687" s="63">
        <v>125</v>
      </c>
      <c r="S687" s="63">
        <v>9</v>
      </c>
      <c r="T687" s="63"/>
      <c r="U687" s="63"/>
      <c r="V687" s="63"/>
      <c r="W687" s="63">
        <f>IF(Copyright!B$11=1,IF(CA687&gt;0,CA687-SUM(S687:V687)-P687-SUM(X687:AQ687),SUM(CB687:CW687)),SUM(CC687:CW687))</f>
        <v>137</v>
      </c>
      <c r="X687" s="63"/>
      <c r="Y687" s="63">
        <v>4</v>
      </c>
      <c r="Z687" s="63"/>
      <c r="AA687" s="63"/>
      <c r="AB687" s="63"/>
      <c r="AC687" s="63"/>
      <c r="AD687" s="63"/>
      <c r="AE687" s="63">
        <v>0</v>
      </c>
      <c r="AF687" s="63"/>
      <c r="AG687" s="63"/>
      <c r="AH687" s="63"/>
      <c r="AI687" s="63"/>
      <c r="AJ687" s="63"/>
      <c r="AK687" s="63"/>
      <c r="AL687" s="63"/>
      <c r="AM687" s="63">
        <v>0</v>
      </c>
      <c r="AN687" s="63"/>
      <c r="AO687" s="63"/>
      <c r="AP687" s="63"/>
      <c r="AQ687" s="63"/>
      <c r="AR687" s="63"/>
      <c r="AS687" s="63"/>
      <c r="AT687" s="63"/>
      <c r="AU687" s="63"/>
      <c r="AW687" s="5">
        <f>IF(Q687&gt;0,RANK(Q687,(N687:P687,Q687:AE687)),0)</f>
        <v>3</v>
      </c>
      <c r="AX687" s="5">
        <f>IF(R687&gt;0,RANK(R687,(N687:P687,Q687:AE687)),0)</f>
        <v>5</v>
      </c>
      <c r="AY687" s="5">
        <f>IF(T687&gt;0,RANK(T687,(N687:P687,Q687:AE687)),0)</f>
        <v>0</v>
      </c>
      <c r="AZ687" s="5">
        <f>IF(S687&gt;0,RANK(S687,(N687:P687,Q687:AE687)),0)</f>
        <v>7</v>
      </c>
      <c r="BA687" s="2">
        <f t="shared" si="281"/>
        <v>5.0645287446226046E-2</v>
      </c>
      <c r="BB687" s="2">
        <f t="shared" si="282"/>
        <v>8.1475687654803813E-3</v>
      </c>
      <c r="BC687" s="2">
        <f t="shared" si="283"/>
        <v>0</v>
      </c>
      <c r="BD687" s="2">
        <f t="shared" si="284"/>
        <v>5.8662495111458737E-4</v>
      </c>
      <c r="BF687" t="s">
        <v>616</v>
      </c>
      <c r="BG687" t="s">
        <v>1368</v>
      </c>
      <c r="BH687">
        <v>16</v>
      </c>
      <c r="BJ687" s="114">
        <v>17</v>
      </c>
      <c r="BK687" s="116">
        <v>105</v>
      </c>
      <c r="BL687" s="120">
        <f t="shared" si="286"/>
        <v>17105</v>
      </c>
      <c r="BN687" s="5" t="s">
        <v>3154</v>
      </c>
      <c r="BW687" s="8"/>
      <c r="BX687" s="132" t="s">
        <v>2498</v>
      </c>
      <c r="BY687" s="63">
        <f t="shared" si="285"/>
        <v>0</v>
      </c>
      <c r="BZ687" s="63">
        <v>15342</v>
      </c>
      <c r="CA687" s="132">
        <f>15342-10208-4023-777-125</f>
        <v>209</v>
      </c>
      <c r="CB687" s="132"/>
      <c r="CD687" s="63">
        <v>0</v>
      </c>
      <c r="CE687" s="63">
        <v>0</v>
      </c>
      <c r="CF687" s="63">
        <v>0</v>
      </c>
      <c r="CG687" s="8">
        <v>0</v>
      </c>
      <c r="CH687" s="8">
        <v>0</v>
      </c>
      <c r="CI687" s="8">
        <v>1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1" hidden="1" outlineLevel="1">
      <c r="A688" t="s">
        <v>844</v>
      </c>
      <c r="B688" t="s">
        <v>1368</v>
      </c>
      <c r="C688" s="1">
        <f t="shared" si="274"/>
        <v>12401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6</v>
      </c>
      <c r="G688" s="132">
        <f t="shared" si="275"/>
        <v>4868</v>
      </c>
      <c r="H688" s="137">
        <f t="shared" si="276"/>
        <v>0.39254898798483995</v>
      </c>
      <c r="I688" s="2"/>
      <c r="J688" s="2">
        <f t="shared" si="277"/>
        <v>0.26715587452624789</v>
      </c>
      <c r="K688" s="2">
        <f t="shared" si="278"/>
        <v>0.65970486251108784</v>
      </c>
      <c r="L688" s="2">
        <f t="shared" si="279"/>
        <v>6.8542859446818804E-3</v>
      </c>
      <c r="M688" s="2">
        <f t="shared" si="280"/>
        <v>6.6284977017982388E-2</v>
      </c>
      <c r="N688" s="63">
        <v>3313</v>
      </c>
      <c r="O688" s="63">
        <v>8181</v>
      </c>
      <c r="P688" s="63">
        <v>85</v>
      </c>
      <c r="Q688" s="63">
        <v>537</v>
      </c>
      <c r="R688" s="63">
        <v>130</v>
      </c>
      <c r="S688" s="63">
        <v>7</v>
      </c>
      <c r="T688" s="63"/>
      <c r="U688" s="63"/>
      <c r="V688" s="63"/>
      <c r="W688" s="63">
        <f>IF(Copyright!B$11=1,IF(CA688&gt;0,CA688-SUM(S688:V688)-P688-SUM(X688:AQ688),SUM(CB688:CW688)),SUM(CC688:CW688))</f>
        <v>144</v>
      </c>
      <c r="X688" s="63"/>
      <c r="Y688" s="63">
        <v>1</v>
      </c>
      <c r="Z688" s="63"/>
      <c r="AA688" s="63"/>
      <c r="AB688" s="63"/>
      <c r="AC688" s="63"/>
      <c r="AD688" s="63"/>
      <c r="AE688" s="63">
        <v>1</v>
      </c>
      <c r="AF688" s="63"/>
      <c r="AG688" s="63"/>
      <c r="AH688" s="63"/>
      <c r="AI688" s="63"/>
      <c r="AJ688" s="63"/>
      <c r="AK688" s="63"/>
      <c r="AL688" s="63"/>
      <c r="AM688" s="63">
        <v>2</v>
      </c>
      <c r="AN688" s="63"/>
      <c r="AO688" s="63"/>
      <c r="AP688" s="63"/>
      <c r="AQ688" s="63"/>
      <c r="AR688" s="63"/>
      <c r="AS688" s="63"/>
      <c r="AT688" s="63"/>
      <c r="AU688" s="63"/>
      <c r="AW688" s="5">
        <f>IF(Q688&gt;0,RANK(Q688,(N688:P688,Q688:AE688)),0)</f>
        <v>3</v>
      </c>
      <c r="AX688" s="5">
        <f>IF(R688&gt;0,RANK(R688,(N688:P688,Q688:AE688)),0)</f>
        <v>5</v>
      </c>
      <c r="AY688" s="5">
        <f>IF(T688&gt;0,RANK(T688,(N688:P688,Q688:AE688)),0)</f>
        <v>0</v>
      </c>
      <c r="AZ688" s="5">
        <f>IF(S688&gt;0,RANK(S688,(N688:P688,Q688:AE688)),0)</f>
        <v>7</v>
      </c>
      <c r="BA688" s="2">
        <f t="shared" si="281"/>
        <v>4.3302959438754937E-2</v>
      </c>
      <c r="BB688" s="2">
        <f t="shared" si="282"/>
        <v>1.048302556245464E-2</v>
      </c>
      <c r="BC688" s="2">
        <f t="shared" si="283"/>
        <v>0</v>
      </c>
      <c r="BD688" s="2">
        <f t="shared" si="284"/>
        <v>5.6447060720909601E-4</v>
      </c>
      <c r="BF688" t="s">
        <v>844</v>
      </c>
      <c r="BG688" t="s">
        <v>1368</v>
      </c>
      <c r="BH688">
        <v>18</v>
      </c>
      <c r="BJ688" s="114">
        <v>17</v>
      </c>
      <c r="BK688" s="116">
        <v>107</v>
      </c>
      <c r="BL688" s="120">
        <f t="shared" si="286"/>
        <v>17107</v>
      </c>
      <c r="BN688" s="5" t="s">
        <v>3154</v>
      </c>
      <c r="BO688" s="63">
        <v>140</v>
      </c>
      <c r="BP688" s="63">
        <v>23</v>
      </c>
      <c r="BR688" s="63"/>
      <c r="BW688" s="8"/>
      <c r="BY688" s="63">
        <f t="shared" si="285"/>
        <v>0</v>
      </c>
      <c r="BZ688" s="63">
        <f>8181+3313+537+130+240</f>
        <v>12401</v>
      </c>
      <c r="CA688" s="132">
        <v>240</v>
      </c>
      <c r="CB688" s="132"/>
      <c r="CD688" s="63">
        <v>0</v>
      </c>
      <c r="CE688" s="63">
        <v>0</v>
      </c>
      <c r="CF688" s="63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0</v>
      </c>
      <c r="CN688" s="8">
        <v>0</v>
      </c>
      <c r="CO688" s="8">
        <v>0</v>
      </c>
      <c r="CP688" s="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</row>
    <row r="689" spans="1:100" hidden="1" outlineLevel="1">
      <c r="A689" t="s">
        <v>461</v>
      </c>
      <c r="B689" t="s">
        <v>1368</v>
      </c>
      <c r="C689" s="1">
        <f t="shared" si="274"/>
        <v>13144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6</v>
      </c>
      <c r="G689" s="132">
        <f t="shared" si="275"/>
        <v>1507</v>
      </c>
      <c r="H689" s="137">
        <f t="shared" si="276"/>
        <v>0.11465307364576993</v>
      </c>
      <c r="I689" s="2"/>
      <c r="J689" s="2">
        <f t="shared" si="277"/>
        <v>0.40231284236153381</v>
      </c>
      <c r="K689" s="2">
        <f t="shared" si="278"/>
        <v>0.51696591600730368</v>
      </c>
      <c r="L689" s="2">
        <f t="shared" si="279"/>
        <v>3.4996956786366401E-3</v>
      </c>
      <c r="M689" s="2">
        <f t="shared" si="280"/>
        <v>7.7221545952525811E-2</v>
      </c>
      <c r="N689" s="63">
        <v>5288</v>
      </c>
      <c r="O689" s="63">
        <v>6795</v>
      </c>
      <c r="P689" s="63">
        <v>46</v>
      </c>
      <c r="Q689" s="63">
        <v>635</v>
      </c>
      <c r="R689" s="63">
        <v>210</v>
      </c>
      <c r="S689" s="63">
        <v>4</v>
      </c>
      <c r="T689" s="63"/>
      <c r="U689" s="63"/>
      <c r="V689" s="63"/>
      <c r="W689" s="63">
        <f>IF(Copyright!B$11=1,IF(CA689&gt;0,CA689-SUM(S689:V689)-P689-SUM(X689:AQ689),SUM(CB689:CW689)),SUM(CC689:CW689))</f>
        <v>164</v>
      </c>
      <c r="X689" s="63"/>
      <c r="Y689" s="63">
        <v>2</v>
      </c>
      <c r="Z689" s="63"/>
      <c r="AA689" s="63"/>
      <c r="AB689" s="63"/>
      <c r="AC689" s="63"/>
      <c r="AD689" s="63"/>
      <c r="AE689" s="63">
        <v>0</v>
      </c>
      <c r="AF689" s="63"/>
      <c r="AG689" s="63"/>
      <c r="AH689" s="63"/>
      <c r="AI689" s="63"/>
      <c r="AJ689" s="63"/>
      <c r="AK689" s="63"/>
      <c r="AL689" s="63"/>
      <c r="AM689" s="63">
        <v>0</v>
      </c>
      <c r="AN689" s="63"/>
      <c r="AO689" s="63"/>
      <c r="AP689" s="63"/>
      <c r="AQ689" s="63"/>
      <c r="AR689" s="63"/>
      <c r="AS689" s="63"/>
      <c r="AT689" s="63"/>
      <c r="AU689" s="63"/>
      <c r="AW689" s="5">
        <f>IF(Q689&gt;0,RANK(Q689,(N689:P689,Q689:AE689)),0)</f>
        <v>3</v>
      </c>
      <c r="AX689" s="5">
        <f>IF(R689&gt;0,RANK(R689,(N689:P689,Q689:AE689)),0)</f>
        <v>4</v>
      </c>
      <c r="AY689" s="5">
        <f>IF(T689&gt;0,RANK(T689,(N689:P689,Q689:AE689)),0)</f>
        <v>0</v>
      </c>
      <c r="AZ689" s="5">
        <f>IF(S689&gt;0,RANK(S689,(N689:P689,Q689:AE689)),0)</f>
        <v>7</v>
      </c>
      <c r="BA689" s="2">
        <f t="shared" si="281"/>
        <v>4.8311016433353622E-2</v>
      </c>
      <c r="BB689" s="2">
        <f t="shared" si="282"/>
        <v>1.5976871576384662E-2</v>
      </c>
      <c r="BC689" s="2">
        <f t="shared" si="283"/>
        <v>0</v>
      </c>
      <c r="BD689" s="2">
        <f t="shared" si="284"/>
        <v>3.0432136335970786E-4</v>
      </c>
      <c r="BF689" t="s">
        <v>461</v>
      </c>
      <c r="BG689" t="s">
        <v>1368</v>
      </c>
      <c r="BH689">
        <v>18</v>
      </c>
      <c r="BJ689" s="114">
        <v>17</v>
      </c>
      <c r="BK689" s="116">
        <v>109</v>
      </c>
      <c r="BL689" s="120">
        <f t="shared" si="286"/>
        <v>17109</v>
      </c>
      <c r="BN689" s="5" t="s">
        <v>3154</v>
      </c>
      <c r="BW689" s="8"/>
      <c r="BY689" s="63">
        <f t="shared" si="285"/>
        <v>0</v>
      </c>
      <c r="BZ689" s="63">
        <v>13144</v>
      </c>
      <c r="CA689" s="132">
        <f>164+46+2+4</f>
        <v>216</v>
      </c>
      <c r="CB689" s="132"/>
      <c r="CD689" s="63">
        <v>0</v>
      </c>
      <c r="CE689" s="63">
        <v>0</v>
      </c>
      <c r="CF689" s="63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</row>
    <row r="690" spans="1:100" hidden="1" outlineLevel="1">
      <c r="A690" t="s">
        <v>873</v>
      </c>
      <c r="B690" t="s">
        <v>1368</v>
      </c>
      <c r="C690" s="1">
        <f t="shared" si="274"/>
        <v>143930</v>
      </c>
      <c r="D690" s="5">
        <f>IF(N690&gt;0, RANK(N690,(N690:P690,Q690:AE690)),0)</f>
        <v>2</v>
      </c>
      <c r="E690" s="5">
        <f>IF(O690&gt;0,RANK(O690,(N690:P690,Q690:AE690)),0)</f>
        <v>1</v>
      </c>
      <c r="F690" s="5">
        <f>IF(P690&gt;0,RANK(P690,(N690:P690,Q690:AE690)),0)</f>
        <v>6</v>
      </c>
      <c r="G690" s="132">
        <f t="shared" si="275"/>
        <v>10809</v>
      </c>
      <c r="H690" s="137">
        <f t="shared" si="276"/>
        <v>7.5099006461474327E-2</v>
      </c>
      <c r="I690" s="2"/>
      <c r="J690" s="2">
        <f t="shared" si="277"/>
        <v>0.42244841242270548</v>
      </c>
      <c r="K690" s="2">
        <f t="shared" si="278"/>
        <v>0.4975474188841798</v>
      </c>
      <c r="L690" s="2">
        <f t="shared" si="279"/>
        <v>3.3905370666296114E-3</v>
      </c>
      <c r="M690" s="2">
        <f t="shared" si="280"/>
        <v>7.6613631626485101E-2</v>
      </c>
      <c r="N690" s="63">
        <v>60803</v>
      </c>
      <c r="O690" s="63">
        <v>71612</v>
      </c>
      <c r="P690" s="63">
        <v>488</v>
      </c>
      <c r="Q690" s="63">
        <v>7180</v>
      </c>
      <c r="R690" s="63">
        <v>2155</v>
      </c>
      <c r="S690" s="63">
        <v>38</v>
      </c>
      <c r="T690" s="63"/>
      <c r="U690" s="63"/>
      <c r="V690" s="63"/>
      <c r="W690" s="63">
        <f>IF(Copyright!B$11=1,IF(CA690&gt;0,CA690-SUM(S690:V690)-P690-SUM(X690:AQ690),SUM(CB690:CW690)),SUM(CC690:CW690))</f>
        <v>1647</v>
      </c>
      <c r="X690" s="63"/>
      <c r="Y690" s="63">
        <v>5</v>
      </c>
      <c r="Z690" s="63"/>
      <c r="AA690" s="63"/>
      <c r="AB690" s="63"/>
      <c r="AC690" s="63"/>
      <c r="AD690" s="63"/>
      <c r="AE690" s="63">
        <v>2</v>
      </c>
      <c r="AF690" s="63"/>
      <c r="AG690" s="63"/>
      <c r="AH690" s="63"/>
      <c r="AI690" s="63"/>
      <c r="AJ690" s="63"/>
      <c r="AK690" s="63"/>
      <c r="AL690" s="63"/>
      <c r="AM690" s="63">
        <v>0</v>
      </c>
      <c r="AN690" s="63"/>
      <c r="AO690" s="63"/>
      <c r="AP690" s="63"/>
      <c r="AQ690" s="63"/>
      <c r="AR690" s="63"/>
      <c r="AS690" s="63"/>
      <c r="AT690" s="63"/>
      <c r="AU690" s="63"/>
      <c r="AW690" s="5">
        <f>IF(Q690&gt;0,RANK(Q690,(N690:P690,Q690:AE690)),0)</f>
        <v>3</v>
      </c>
      <c r="AX690" s="5">
        <f>IF(R690&gt;0,RANK(R690,(N690:P690,Q690:AE690)),0)</f>
        <v>4</v>
      </c>
      <c r="AY690" s="5">
        <f>IF(T690&gt;0,RANK(T690,(N690:P690,Q690:AE690)),0)</f>
        <v>0</v>
      </c>
      <c r="AZ690" s="5">
        <f>IF(S690&gt;0,RANK(S690,(N690:P690,Q690:AE690)),0)</f>
        <v>7</v>
      </c>
      <c r="BA690" s="2">
        <f t="shared" si="281"/>
        <v>4.9885360939345515E-2</v>
      </c>
      <c r="BB690" s="2">
        <f t="shared" si="282"/>
        <v>1.4972556103661503E-2</v>
      </c>
      <c r="BC690" s="2">
        <f t="shared" si="283"/>
        <v>0</v>
      </c>
      <c r="BD690" s="2">
        <f t="shared" si="284"/>
        <v>2.6401723059820748E-4</v>
      </c>
      <c r="BF690" t="s">
        <v>873</v>
      </c>
      <c r="BG690" t="s">
        <v>1368</v>
      </c>
      <c r="BJ690" s="114">
        <v>17</v>
      </c>
      <c r="BK690" s="116">
        <v>111</v>
      </c>
      <c r="BL690" s="120">
        <f t="shared" si="286"/>
        <v>17111</v>
      </c>
      <c r="BN690" s="5" t="s">
        <v>3154</v>
      </c>
      <c r="BO690" s="63">
        <v>2941</v>
      </c>
      <c r="BP690" s="63">
        <v>23</v>
      </c>
      <c r="BR690" s="63"/>
      <c r="BW690" s="8"/>
      <c r="BX690" s="132" t="s">
        <v>3257</v>
      </c>
      <c r="BY690" s="63">
        <f t="shared" si="285"/>
        <v>-1640</v>
      </c>
      <c r="BZ690" s="63">
        <v>142290</v>
      </c>
      <c r="CA690" s="133">
        <v>2180</v>
      </c>
      <c r="CB690" s="132"/>
      <c r="CD690" s="63">
        <v>0</v>
      </c>
      <c r="CE690" s="63">
        <v>0</v>
      </c>
      <c r="CF690" s="63">
        <v>0</v>
      </c>
      <c r="CG690" s="8">
        <v>0</v>
      </c>
      <c r="CH690" s="8">
        <v>0</v>
      </c>
      <c r="CI690" s="8">
        <v>1</v>
      </c>
      <c r="CJ690" s="8">
        <v>5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</row>
    <row r="691" spans="1:100" hidden="1" outlineLevel="1">
      <c r="A691" t="s">
        <v>117</v>
      </c>
      <c r="B691" t="s">
        <v>1368</v>
      </c>
      <c r="C691" s="1">
        <f t="shared" si="274"/>
        <v>81324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>IF(P691&gt;0,RANK(P691,(N691:P691,Q691:AE691)),0)</f>
        <v>6</v>
      </c>
      <c r="G691" s="132">
        <f t="shared" si="275"/>
        <v>1041</v>
      </c>
      <c r="H691" s="137">
        <f t="shared" si="276"/>
        <v>1.2800649254832522E-2</v>
      </c>
      <c r="I691" s="2"/>
      <c r="J691" s="2">
        <f t="shared" si="277"/>
        <v>0.44508386208253409</v>
      </c>
      <c r="K691" s="2">
        <f t="shared" si="278"/>
        <v>0.45788451133736657</v>
      </c>
      <c r="L691" s="2">
        <f t="shared" si="279"/>
        <v>6.7384781860213468E-3</v>
      </c>
      <c r="M691" s="2">
        <f t="shared" si="280"/>
        <v>9.0293148394077941E-2</v>
      </c>
      <c r="N691" s="63">
        <v>36196</v>
      </c>
      <c r="O691" s="63">
        <v>37237</v>
      </c>
      <c r="P691" s="63">
        <f>288+260</f>
        <v>548</v>
      </c>
      <c r="Q691" s="63">
        <v>4855</v>
      </c>
      <c r="R691" s="63">
        <v>1208</v>
      </c>
      <c r="S691" s="63">
        <f>21+45</f>
        <v>66</v>
      </c>
      <c r="T691" s="63"/>
      <c r="U691" s="63"/>
      <c r="V691" s="63"/>
      <c r="W691" s="63">
        <f>IF(Copyright!B$11=1,IF(CA691&gt;0,CA691-SUM(S691:V691)-P691-SUM(X691:AQ691),SUM(CB691:CW691)),SUM(CC691:CW691))</f>
        <v>1210</v>
      </c>
      <c r="X691" s="63"/>
      <c r="Y691" s="63">
        <f>1+1</f>
        <v>2</v>
      </c>
      <c r="Z691" s="63"/>
      <c r="AA691" s="63"/>
      <c r="AB691" s="63"/>
      <c r="AC691" s="63"/>
      <c r="AD691" s="63"/>
      <c r="AE691" s="63">
        <v>2</v>
      </c>
      <c r="AF691" s="63"/>
      <c r="AG691" s="63"/>
      <c r="AH691" s="63"/>
      <c r="AI691" s="63"/>
      <c r="AJ691" s="63"/>
      <c r="AK691" s="63"/>
      <c r="AL691" s="63"/>
      <c r="AM691" s="63">
        <v>0</v>
      </c>
      <c r="AN691" s="63"/>
      <c r="AO691" s="63"/>
      <c r="AP691" s="63"/>
      <c r="AQ691" s="63"/>
      <c r="AR691" s="63"/>
      <c r="AS691" s="63"/>
      <c r="AT691" s="63"/>
      <c r="AU691" s="63"/>
      <c r="AW691" s="5">
        <f>IF(Q691&gt;0,RANK(Q691,(N691:P691,Q691:AE691)),0)</f>
        <v>3</v>
      </c>
      <c r="AX691" s="5">
        <f>IF(R691&gt;0,RANK(R691,(N691:P691,Q691:AE691)),0)</f>
        <v>5</v>
      </c>
      <c r="AY691" s="5">
        <f>IF(T691&gt;0,RANK(T691,(N691:P691,Q691:AE691)),0)</f>
        <v>0</v>
      </c>
      <c r="AZ691" s="5">
        <f>IF(S691&gt;0,RANK(S691,(N691:P691,Q691:AE691)),0)</f>
        <v>7</v>
      </c>
      <c r="BA691" s="2">
        <f t="shared" si="281"/>
        <v>5.9699473710097879E-2</v>
      </c>
      <c r="BB691" s="2">
        <f t="shared" si="282"/>
        <v>1.4854163592543407E-2</v>
      </c>
      <c r="BC691" s="2">
        <f t="shared" si="283"/>
        <v>0</v>
      </c>
      <c r="BD691" s="2">
        <f t="shared" si="284"/>
        <v>8.1156854065220598E-4</v>
      </c>
      <c r="BF691" t="s">
        <v>117</v>
      </c>
      <c r="BG691" t="s">
        <v>1368</v>
      </c>
      <c r="BJ691" s="114">
        <v>17</v>
      </c>
      <c r="BK691" s="116">
        <v>113</v>
      </c>
      <c r="BL691" s="120">
        <f t="shared" si="286"/>
        <v>17113</v>
      </c>
      <c r="BN691" s="5" t="s">
        <v>3154</v>
      </c>
      <c r="BO691" s="63">
        <v>364</v>
      </c>
      <c r="BP691" s="63">
        <v>12</v>
      </c>
      <c r="BR691" s="63"/>
      <c r="BW691" s="8"/>
      <c r="BX691" s="132" t="s">
        <v>3257</v>
      </c>
      <c r="BY691" s="63">
        <f t="shared" si="285"/>
        <v>0</v>
      </c>
      <c r="BZ691" s="63">
        <f>35571+45753</f>
        <v>81324</v>
      </c>
      <c r="CA691" s="63">
        <f>625+2+3+1+288+45+864</f>
        <v>1828</v>
      </c>
      <c r="CB691" s="132"/>
      <c r="CD691" s="63">
        <v>3</v>
      </c>
      <c r="CE691" s="63">
        <v>0</v>
      </c>
      <c r="CF691" s="63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</row>
    <row r="692" spans="1:100" hidden="1" outlineLevel="1">
      <c r="A692" t="s">
        <v>1649</v>
      </c>
      <c r="B692" t="s">
        <v>1368</v>
      </c>
      <c r="C692" s="1">
        <f t="shared" si="274"/>
        <v>48060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6</v>
      </c>
      <c r="G692" s="132">
        <f t="shared" si="275"/>
        <v>8523</v>
      </c>
      <c r="H692" s="137">
        <f t="shared" si="276"/>
        <v>0.17734082397003745</v>
      </c>
      <c r="I692" s="2"/>
      <c r="J692" s="2">
        <f t="shared" si="277"/>
        <v>0.38166874739908446</v>
      </c>
      <c r="K692" s="2">
        <f t="shared" si="278"/>
        <v>0.55900957136912188</v>
      </c>
      <c r="L692" s="2">
        <f t="shared" si="279"/>
        <v>1.4357053682896379E-3</v>
      </c>
      <c r="M692" s="2">
        <f t="shared" si="280"/>
        <v>5.7885975863503962E-2</v>
      </c>
      <c r="N692" s="63">
        <v>18343</v>
      </c>
      <c r="O692" s="63">
        <v>26866</v>
      </c>
      <c r="P692" s="63">
        <v>69</v>
      </c>
      <c r="Q692" s="63">
        <v>1851</v>
      </c>
      <c r="R692" s="63">
        <v>459</v>
      </c>
      <c r="S692" s="63">
        <v>19</v>
      </c>
      <c r="T692" s="63"/>
      <c r="U692" s="63"/>
      <c r="V692" s="63"/>
      <c r="W692" s="63">
        <f>IF(Copyright!B$11=1,IF(CA692&gt;0,CA692-SUM(S692:V692)-P692-SUM(X692:AQ692),SUM(CB692:CW692)),SUM(CC692:CW692))</f>
        <v>453</v>
      </c>
      <c r="X692" s="63"/>
      <c r="Y692" s="63">
        <v>0</v>
      </c>
      <c r="Z692" s="63"/>
      <c r="AA692" s="63"/>
      <c r="AB692" s="63"/>
      <c r="AC692" s="63"/>
      <c r="AD692" s="63"/>
      <c r="AE692" s="63">
        <v>0</v>
      </c>
      <c r="AF692" s="63"/>
      <c r="AG692" s="63"/>
      <c r="AH692" s="63"/>
      <c r="AI692" s="63"/>
      <c r="AJ692" s="63"/>
      <c r="AK692" s="63"/>
      <c r="AL692" s="63"/>
      <c r="AM692" s="63">
        <v>0</v>
      </c>
      <c r="AN692" s="63"/>
      <c r="AO692" s="63"/>
      <c r="AP692" s="63"/>
      <c r="AQ692" s="63"/>
      <c r="AR692" s="63"/>
      <c r="AS692" s="63"/>
      <c r="AT692" s="63"/>
      <c r="AU692" s="63"/>
      <c r="AW692" s="5">
        <f>IF(Q692&gt;0,RANK(Q692,(N692:P692,Q692:AE692)),0)</f>
        <v>3</v>
      </c>
      <c r="AX692" s="5">
        <f>IF(R692&gt;0,RANK(R692,(N692:P692,Q692:AE692)),0)</f>
        <v>4</v>
      </c>
      <c r="AY692" s="5">
        <f>IF(T692&gt;0,RANK(T692,(N692:P692,Q692:AE692)),0)</f>
        <v>0</v>
      </c>
      <c r="AZ692" s="5">
        <f>IF(S692&gt;0,RANK(S692,(N692:P692,Q692:AE692)),0)</f>
        <v>7</v>
      </c>
      <c r="BA692" s="2">
        <f t="shared" si="281"/>
        <v>3.8514357053682897E-2</v>
      </c>
      <c r="BB692" s="2">
        <f t="shared" si="282"/>
        <v>9.5505617977528091E-3</v>
      </c>
      <c r="BC692" s="2">
        <f t="shared" si="283"/>
        <v>0</v>
      </c>
      <c r="BD692" s="2">
        <f t="shared" si="284"/>
        <v>3.9533915938410322E-4</v>
      </c>
      <c r="BF692" t="s">
        <v>1649</v>
      </c>
      <c r="BG692" t="s">
        <v>1368</v>
      </c>
      <c r="BH692">
        <v>13</v>
      </c>
      <c r="BJ692" s="114">
        <v>17</v>
      </c>
      <c r="BK692" s="116">
        <v>115</v>
      </c>
      <c r="BL692" s="120">
        <f t="shared" si="286"/>
        <v>17115</v>
      </c>
      <c r="BN692" s="5" t="s">
        <v>3154</v>
      </c>
      <c r="BW692" s="8"/>
      <c r="BX692" s="132" t="s">
        <v>2498</v>
      </c>
      <c r="BY692" s="63">
        <f t="shared" si="285"/>
        <v>0</v>
      </c>
      <c r="BZ692" s="63">
        <v>48060</v>
      </c>
      <c r="CA692" s="132">
        <v>541</v>
      </c>
      <c r="CB692" s="132"/>
      <c r="CD692" s="63">
        <v>0</v>
      </c>
      <c r="CE692" s="63">
        <v>0</v>
      </c>
      <c r="CF692" s="63">
        <v>0</v>
      </c>
      <c r="CG692" s="8">
        <v>0</v>
      </c>
      <c r="CH692" s="8">
        <v>1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 hidden="1" outlineLevel="1">
      <c r="A693" t="s">
        <v>2649</v>
      </c>
      <c r="B693" t="s">
        <v>1368</v>
      </c>
      <c r="C693" s="1">
        <f t="shared" si="274"/>
        <v>22391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6</v>
      </c>
      <c r="G693" s="132">
        <f t="shared" si="275"/>
        <v>7633</v>
      </c>
      <c r="H693" s="137">
        <f t="shared" si="276"/>
        <v>0.34089589567236839</v>
      </c>
      <c r="I693" s="2"/>
      <c r="J693" s="2">
        <f t="shared" si="277"/>
        <v>0.2987360993256219</v>
      </c>
      <c r="K693" s="2">
        <f t="shared" si="278"/>
        <v>0.63963199499799028</v>
      </c>
      <c r="L693" s="2">
        <f t="shared" si="279"/>
        <v>1.1611808315841186E-3</v>
      </c>
      <c r="M693" s="2">
        <f t="shared" si="280"/>
        <v>6.0470724844803758E-2</v>
      </c>
      <c r="N693" s="63">
        <v>6689</v>
      </c>
      <c r="O693" s="63">
        <v>14322</v>
      </c>
      <c r="P693" s="63">
        <v>26</v>
      </c>
      <c r="Q693" s="63">
        <v>934</v>
      </c>
      <c r="R693" s="63">
        <v>247</v>
      </c>
      <c r="S693" s="63">
        <v>5</v>
      </c>
      <c r="T693" s="63"/>
      <c r="U693" s="63"/>
      <c r="V693" s="63"/>
      <c r="W693" s="63">
        <f>IF(Copyright!B$11=1,IF(CA693&gt;0,CA693-SUM(S693:V693)-P693-SUM(X693:AQ693),SUM(CB693:CW693)),SUM(CC693:CW693))</f>
        <v>168</v>
      </c>
      <c r="X693" s="63"/>
      <c r="Y693" s="63">
        <v>0</v>
      </c>
      <c r="Z693" s="63"/>
      <c r="AA693" s="63"/>
      <c r="AB693" s="63"/>
      <c r="AC693" s="63"/>
      <c r="AD693" s="63"/>
      <c r="AE693" s="63">
        <v>0</v>
      </c>
      <c r="AF693" s="63"/>
      <c r="AG693" s="63"/>
      <c r="AH693" s="63"/>
      <c r="AI693" s="63"/>
      <c r="AJ693" s="63"/>
      <c r="AK693" s="63"/>
      <c r="AL693" s="63"/>
      <c r="AM693" s="63">
        <v>0</v>
      </c>
      <c r="AN693" s="63"/>
      <c r="AO693" s="63"/>
      <c r="AP693" s="63"/>
      <c r="AQ693" s="63"/>
      <c r="AR693" s="63"/>
      <c r="AS693" s="63"/>
      <c r="AT693" s="63"/>
      <c r="AU693" s="63"/>
      <c r="AW693" s="5">
        <f>IF(Q693&gt;0,RANK(Q693,(N693:P693,Q693:AE693)),0)</f>
        <v>3</v>
      </c>
      <c r="AX693" s="5">
        <f>IF(R693&gt;0,RANK(R693,(N693:P693,Q693:AE693)),0)</f>
        <v>4</v>
      </c>
      <c r="AY693" s="5">
        <f>IF(T693&gt;0,RANK(T693,(N693:P693,Q693:AE693)),0)</f>
        <v>0</v>
      </c>
      <c r="AZ693" s="5">
        <f>IF(S693&gt;0,RANK(S693,(N693:P693,Q693:AE693)),0)</f>
        <v>7</v>
      </c>
      <c r="BA693" s="2">
        <f t="shared" si="281"/>
        <v>4.1713188334598722E-2</v>
      </c>
      <c r="BB693" s="2">
        <f t="shared" si="282"/>
        <v>1.1031217900049127E-2</v>
      </c>
      <c r="BC693" s="2">
        <f t="shared" si="283"/>
        <v>0</v>
      </c>
      <c r="BD693" s="2">
        <f t="shared" si="284"/>
        <v>2.2330400607386896E-4</v>
      </c>
      <c r="BF693" t="s">
        <v>2649</v>
      </c>
      <c r="BG693" t="s">
        <v>1368</v>
      </c>
      <c r="BH693">
        <v>13</v>
      </c>
      <c r="BJ693" s="114">
        <v>17</v>
      </c>
      <c r="BK693" s="116">
        <v>117</v>
      </c>
      <c r="BL693" s="120">
        <f t="shared" si="286"/>
        <v>17117</v>
      </c>
      <c r="BN693" s="5" t="s">
        <v>3154</v>
      </c>
      <c r="BW693" s="8"/>
      <c r="BX693" s="132" t="s">
        <v>2498</v>
      </c>
      <c r="BY693" s="63">
        <f t="shared" si="285"/>
        <v>0</v>
      </c>
      <c r="BZ693" s="63">
        <v>22391</v>
      </c>
      <c r="CA693" s="132">
        <f>22391-6689-14322-934-247</f>
        <v>199</v>
      </c>
      <c r="CB693" s="132"/>
      <c r="CD693" s="63">
        <v>0</v>
      </c>
      <c r="CE693" s="63">
        <v>0</v>
      </c>
      <c r="CF693" s="63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</row>
    <row r="694" spans="1:100" hidden="1" outlineLevel="1">
      <c r="A694" t="s">
        <v>1650</v>
      </c>
      <c r="B694" t="s">
        <v>1368</v>
      </c>
      <c r="C694" s="1">
        <f t="shared" si="274"/>
        <v>130179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6</v>
      </c>
      <c r="G694" s="132">
        <f t="shared" si="275"/>
        <v>19903</v>
      </c>
      <c r="H694" s="137">
        <f t="shared" si="276"/>
        <v>0.15288948294271734</v>
      </c>
      <c r="I694" s="2"/>
      <c r="J694" s="2">
        <f t="shared" si="277"/>
        <v>0.38859570283993577</v>
      </c>
      <c r="K694" s="2">
        <f t="shared" si="278"/>
        <v>0.54148518578265314</v>
      </c>
      <c r="L694" s="2">
        <f t="shared" si="279"/>
        <v>2.4504720423416987E-3</v>
      </c>
      <c r="M694" s="2">
        <f t="shared" si="280"/>
        <v>6.746863933506933E-2</v>
      </c>
      <c r="N694" s="63">
        <v>50587</v>
      </c>
      <c r="O694" s="63">
        <v>70490</v>
      </c>
      <c r="P694" s="63">
        <v>319</v>
      </c>
      <c r="Q694" s="63">
        <v>5472</v>
      </c>
      <c r="R694" s="63">
        <v>1838</v>
      </c>
      <c r="S694" s="63">
        <v>44</v>
      </c>
      <c r="T694" s="63"/>
      <c r="U694" s="63"/>
      <c r="V694" s="63"/>
      <c r="W694" s="63">
        <f>IF(Copyright!B$11=1,IF(CA694&gt;0,CA694-SUM(S694:V694)-P694-SUM(X694:AQ694),SUM(CB694:CW694)),SUM(CC694:CW694))</f>
        <v>1422</v>
      </c>
      <c r="X694" s="63"/>
      <c r="Y694" s="63">
        <v>7</v>
      </c>
      <c r="Z694" s="63"/>
      <c r="AA694" s="63"/>
      <c r="AB694" s="63"/>
      <c r="AC694" s="63"/>
      <c r="AD694" s="63"/>
      <c r="AE694" s="63">
        <v>0</v>
      </c>
      <c r="AF694" s="63"/>
      <c r="AG694" s="63"/>
      <c r="AH694" s="63"/>
      <c r="AI694" s="63"/>
      <c r="AJ694" s="63"/>
      <c r="AK694" s="63"/>
      <c r="AL694" s="63"/>
      <c r="AM694" s="63">
        <v>0</v>
      </c>
      <c r="AN694" s="63"/>
      <c r="AO694" s="63"/>
      <c r="AP694" s="63"/>
      <c r="AQ694" s="63"/>
      <c r="AR694" s="63"/>
      <c r="AS694" s="63"/>
      <c r="AT694" s="63"/>
      <c r="AU694" s="63"/>
      <c r="AW694" s="5">
        <f>IF(Q694&gt;0,RANK(Q694,(N694:P694,Q694:AE694)),0)</f>
        <v>3</v>
      </c>
      <c r="AX694" s="5">
        <f>IF(R694&gt;0,RANK(R694,(N694:P694,Q694:AE694)),0)</f>
        <v>4</v>
      </c>
      <c r="AY694" s="5">
        <f>IF(T694&gt;0,RANK(T694,(N694:P694,Q694:AE694)),0)</f>
        <v>0</v>
      </c>
      <c r="AZ694" s="5">
        <f>IF(S694&gt;0,RANK(S694,(N694:P694,Q694:AE694)),0)</f>
        <v>7</v>
      </c>
      <c r="BA694" s="2">
        <f t="shared" si="281"/>
        <v>4.2034429516281425E-2</v>
      </c>
      <c r="BB694" s="2">
        <f t="shared" si="282"/>
        <v>1.4119020732990728E-2</v>
      </c>
      <c r="BC694" s="2">
        <f t="shared" si="283"/>
        <v>0</v>
      </c>
      <c r="BD694" s="2">
        <f t="shared" si="284"/>
        <v>3.3799614377126878E-4</v>
      </c>
      <c r="BF694" t="s">
        <v>1650</v>
      </c>
      <c r="BG694" t="s">
        <v>1368</v>
      </c>
      <c r="BJ694" s="114">
        <v>17</v>
      </c>
      <c r="BK694" s="116">
        <v>119</v>
      </c>
      <c r="BL694" s="120">
        <f t="shared" si="286"/>
        <v>17119</v>
      </c>
      <c r="BN694" s="5" t="s">
        <v>3154</v>
      </c>
      <c r="BO694" s="63">
        <v>942</v>
      </c>
      <c r="BP694" s="63">
        <v>226</v>
      </c>
      <c r="BR694" s="63"/>
      <c r="BW694" s="8"/>
      <c r="BY694" s="63">
        <f t="shared" si="285"/>
        <v>0</v>
      </c>
      <c r="BZ694" s="63">
        <f>50587+70490+5472+1838+1792</f>
        <v>130179</v>
      </c>
      <c r="CA694" s="132">
        <v>1792</v>
      </c>
      <c r="CB694" s="132"/>
      <c r="CD694" s="63">
        <v>0</v>
      </c>
      <c r="CE694" s="63">
        <v>0</v>
      </c>
      <c r="CF694" s="63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2</v>
      </c>
      <c r="CM694" s="8">
        <v>0</v>
      </c>
      <c r="CN694" s="8">
        <v>0</v>
      </c>
      <c r="CO694" s="8">
        <v>0</v>
      </c>
      <c r="CP694" s="8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</row>
    <row r="695" spans="1:100" hidden="1" outlineLevel="1">
      <c r="A695" t="s">
        <v>1826</v>
      </c>
      <c r="B695" t="s">
        <v>1368</v>
      </c>
      <c r="C695" s="1">
        <f t="shared" si="274"/>
        <v>17098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6</v>
      </c>
      <c r="G695" s="132">
        <f t="shared" si="275"/>
        <v>7490</v>
      </c>
      <c r="H695" s="137">
        <f t="shared" si="276"/>
        <v>0.43806293133699847</v>
      </c>
      <c r="I695" s="2"/>
      <c r="J695" s="2">
        <f t="shared" si="277"/>
        <v>0.25552696221780324</v>
      </c>
      <c r="K695" s="2">
        <f t="shared" si="278"/>
        <v>0.69358989355480172</v>
      </c>
      <c r="L695" s="2">
        <f t="shared" si="279"/>
        <v>1.1697274535033338E-3</v>
      </c>
      <c r="M695" s="2">
        <f t="shared" si="280"/>
        <v>4.9713416773891704E-2</v>
      </c>
      <c r="N695" s="63">
        <v>4369</v>
      </c>
      <c r="O695" s="63">
        <v>11859</v>
      </c>
      <c r="P695" s="63">
        <v>20</v>
      </c>
      <c r="Q695" s="63">
        <v>548</v>
      </c>
      <c r="R695" s="63">
        <v>164</v>
      </c>
      <c r="S695" s="63">
        <v>2</v>
      </c>
      <c r="T695" s="63"/>
      <c r="U695" s="63"/>
      <c r="V695" s="63"/>
      <c r="W695" s="63">
        <f>IF(Copyright!B$11=1,IF(CA695&gt;0,CA695-SUM(S695:V695)-P695-SUM(X695:AQ695),SUM(CB695:CW695)),SUM(CC695:CW695))</f>
        <v>134</v>
      </c>
      <c r="X695" s="63"/>
      <c r="Y695" s="63">
        <v>2</v>
      </c>
      <c r="Z695" s="63"/>
      <c r="AA695" s="63"/>
      <c r="AB695" s="63"/>
      <c r="AC695" s="63"/>
      <c r="AD695" s="63"/>
      <c r="AE695" s="63">
        <v>0</v>
      </c>
      <c r="AF695" s="63"/>
      <c r="AG695" s="63"/>
      <c r="AH695" s="63"/>
      <c r="AI695" s="63"/>
      <c r="AJ695" s="63"/>
      <c r="AK695" s="63"/>
      <c r="AL695" s="63"/>
      <c r="AM695" s="63">
        <v>0</v>
      </c>
      <c r="AN695" s="63"/>
      <c r="AO695" s="63"/>
      <c r="AP695" s="63"/>
      <c r="AQ695" s="63"/>
      <c r="AR695" s="63"/>
      <c r="AS695" s="63"/>
      <c r="AT695" s="63"/>
      <c r="AU695" s="63"/>
      <c r="AW695" s="5">
        <f>IF(Q695&gt;0,RANK(Q695,(N695:P695,Q695:AE695)),0)</f>
        <v>3</v>
      </c>
      <c r="AX695" s="5">
        <f>IF(R695&gt;0,RANK(R695,(N695:P695,Q695:AE695)),0)</f>
        <v>4</v>
      </c>
      <c r="AY695" s="5">
        <f>IF(T695&gt;0,RANK(T695,(N695:P695,Q695:AE695)),0)</f>
        <v>0</v>
      </c>
      <c r="AZ695" s="5">
        <f>IF(S695&gt;0,RANK(S695,(N695:P695,Q695:AE695)),0)</f>
        <v>7</v>
      </c>
      <c r="BA695" s="2">
        <f t="shared" si="281"/>
        <v>3.2050532225991343E-2</v>
      </c>
      <c r="BB695" s="2">
        <f t="shared" si="282"/>
        <v>9.5917651187273373E-3</v>
      </c>
      <c r="BC695" s="2">
        <f t="shared" si="283"/>
        <v>0</v>
      </c>
      <c r="BD695" s="2">
        <f t="shared" si="284"/>
        <v>1.1697274535033338E-4</v>
      </c>
      <c r="BF695" t="s">
        <v>1826</v>
      </c>
      <c r="BG695" t="s">
        <v>1368</v>
      </c>
      <c r="BH695">
        <v>15</v>
      </c>
      <c r="BJ695" s="114">
        <v>17</v>
      </c>
      <c r="BK695" s="116">
        <v>121</v>
      </c>
      <c r="BL695" s="120">
        <f t="shared" si="286"/>
        <v>17121</v>
      </c>
      <c r="BN695" s="5" t="s">
        <v>3154</v>
      </c>
      <c r="BW695" s="8"/>
      <c r="BY695" s="63">
        <f t="shared" si="285"/>
        <v>-17098</v>
      </c>
      <c r="CA695" s="132">
        <v>158</v>
      </c>
      <c r="CB695" s="132"/>
      <c r="CD695" s="63">
        <v>0</v>
      </c>
      <c r="CE695" s="63">
        <v>0</v>
      </c>
      <c r="CF695" s="63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0</v>
      </c>
      <c r="CN695" s="8">
        <v>0</v>
      </c>
      <c r="CO695" s="8">
        <v>0</v>
      </c>
      <c r="CP695" s="8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</row>
    <row r="696" spans="1:100" hidden="1" outlineLevel="1">
      <c r="A696" t="s">
        <v>1847</v>
      </c>
      <c r="B696" t="s">
        <v>1368</v>
      </c>
      <c r="C696" s="1">
        <f t="shared" si="274"/>
        <v>5984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6</v>
      </c>
      <c r="G696" s="132">
        <f t="shared" si="275"/>
        <v>1996</v>
      </c>
      <c r="H696" s="137">
        <f t="shared" si="276"/>
        <v>0.33355614973262032</v>
      </c>
      <c r="I696" s="2"/>
      <c r="J696" s="2">
        <f t="shared" si="277"/>
        <v>0.2989639037433155</v>
      </c>
      <c r="K696" s="2">
        <f t="shared" si="278"/>
        <v>0.63252005347593587</v>
      </c>
      <c r="L696" s="2">
        <f t="shared" si="279"/>
        <v>2.5066844919786097E-3</v>
      </c>
      <c r="M696" s="2">
        <f t="shared" si="280"/>
        <v>6.6009358288770026E-2</v>
      </c>
      <c r="N696" s="63">
        <v>1789</v>
      </c>
      <c r="O696" s="63">
        <v>3785</v>
      </c>
      <c r="P696" s="63">
        <v>15</v>
      </c>
      <c r="Q696" s="63">
        <v>266</v>
      </c>
      <c r="R696" s="63">
        <v>78</v>
      </c>
      <c r="S696" s="63">
        <v>6</v>
      </c>
      <c r="T696" s="63"/>
      <c r="U696" s="63"/>
      <c r="V696" s="63"/>
      <c r="W696" s="63">
        <f>IF(Copyright!B$11=1,IF(CA696&gt;0,CA696-SUM(S696:V696)-P696-SUM(X696:AQ696),SUM(CB696:CW696)),SUM(CC696:CW696))</f>
        <v>45</v>
      </c>
      <c r="X696" s="63"/>
      <c r="Y696" s="63">
        <v>0</v>
      </c>
      <c r="Z696" s="63"/>
      <c r="AA696" s="63"/>
      <c r="AB696" s="63"/>
      <c r="AC696" s="63"/>
      <c r="AD696" s="63"/>
      <c r="AE696" s="63">
        <v>0</v>
      </c>
      <c r="AF696" s="63"/>
      <c r="AG696" s="63"/>
      <c r="AH696" s="63"/>
      <c r="AI696" s="63"/>
      <c r="AJ696" s="63"/>
      <c r="AK696" s="63"/>
      <c r="AL696" s="63"/>
      <c r="AM696" s="63">
        <v>0</v>
      </c>
      <c r="AN696" s="63"/>
      <c r="AO696" s="63"/>
      <c r="AP696" s="63"/>
      <c r="AQ696" s="63"/>
      <c r="AR696" s="63"/>
      <c r="AS696" s="63"/>
      <c r="AT696" s="63"/>
      <c r="AU696" s="63"/>
      <c r="AW696" s="5">
        <f>IF(Q696&gt;0,RANK(Q696,(N696:P696,Q696:AE696)),0)</f>
        <v>3</v>
      </c>
      <c r="AX696" s="5">
        <f>IF(R696&gt;0,RANK(R696,(N696:P696,Q696:AE696)),0)</f>
        <v>4</v>
      </c>
      <c r="AY696" s="5">
        <f>IF(T696&gt;0,RANK(T696,(N696:P696,Q696:AE696)),0)</f>
        <v>0</v>
      </c>
      <c r="AZ696" s="5">
        <f>IF(S696&gt;0,RANK(S696,(N696:P696,Q696:AE696)),0)</f>
        <v>7</v>
      </c>
      <c r="BA696" s="2">
        <f t="shared" si="281"/>
        <v>4.4451871657754008E-2</v>
      </c>
      <c r="BB696" s="2">
        <f t="shared" si="282"/>
        <v>1.303475935828877E-2</v>
      </c>
      <c r="BC696" s="2">
        <f t="shared" si="283"/>
        <v>0</v>
      </c>
      <c r="BD696" s="2">
        <f t="shared" si="284"/>
        <v>1.002673796791444E-3</v>
      </c>
      <c r="BF696" t="s">
        <v>1847</v>
      </c>
      <c r="BG696" t="s">
        <v>1368</v>
      </c>
      <c r="BH696">
        <v>18</v>
      </c>
      <c r="BJ696" s="114">
        <v>17</v>
      </c>
      <c r="BK696" s="116">
        <v>123</v>
      </c>
      <c r="BL696" s="120">
        <f t="shared" si="286"/>
        <v>17123</v>
      </c>
      <c r="BN696" s="5" t="s">
        <v>3154</v>
      </c>
      <c r="BO696" s="63">
        <v>79</v>
      </c>
      <c r="BP696" s="63">
        <v>18</v>
      </c>
      <c r="BR696" s="63"/>
      <c r="BW696" s="8"/>
      <c r="BY696" s="63">
        <f t="shared" si="285"/>
        <v>0</v>
      </c>
      <c r="BZ696" s="63">
        <f>1789+3785+266+78+66</f>
        <v>5984</v>
      </c>
      <c r="CA696" s="132">
        <v>66</v>
      </c>
      <c r="CB696" s="132"/>
      <c r="CD696" s="63">
        <v>0</v>
      </c>
      <c r="CE696" s="63">
        <v>0</v>
      </c>
      <c r="CF696" s="63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 hidden="1" outlineLevel="1">
      <c r="A697" t="s">
        <v>1942</v>
      </c>
      <c r="B697" t="s">
        <v>1368</v>
      </c>
      <c r="C697" s="1">
        <f t="shared" si="274"/>
        <v>6493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>IF(P697&gt;0,RANK(P697,(N697:P697,Q697:AE697)),0)</f>
        <v>6</v>
      </c>
      <c r="G697" s="132">
        <f t="shared" si="275"/>
        <v>2044</v>
      </c>
      <c r="H697" s="137">
        <f t="shared" si="276"/>
        <v>0.31480055444324656</v>
      </c>
      <c r="I697" s="2"/>
      <c r="J697" s="2">
        <f t="shared" si="277"/>
        <v>0.3101801940551363</v>
      </c>
      <c r="K697" s="2">
        <f t="shared" si="278"/>
        <v>0.62498074849838292</v>
      </c>
      <c r="L697" s="2">
        <f t="shared" si="279"/>
        <v>6.1604805174803631E-4</v>
      </c>
      <c r="M697" s="2">
        <f t="shared" si="280"/>
        <v>6.4223009394732744E-2</v>
      </c>
      <c r="N697" s="63">
        <v>2014</v>
      </c>
      <c r="O697" s="63">
        <v>4058</v>
      </c>
      <c r="P697" s="63">
        <v>4</v>
      </c>
      <c r="Q697" s="63">
        <v>321</v>
      </c>
      <c r="R697" s="63">
        <v>54</v>
      </c>
      <c r="S697" s="63">
        <v>3</v>
      </c>
      <c r="T697" s="63"/>
      <c r="U697" s="63"/>
      <c r="V697" s="63"/>
      <c r="W697" s="63">
        <f>IF(Copyright!B$11=1,IF(CA697&gt;0,CA697-SUM(S697:V697)-P697-SUM(X697:AQ697),SUM(CB697:CW697)),SUM(CC697:CW697))</f>
        <v>39</v>
      </c>
      <c r="X697" s="63"/>
      <c r="Y697" s="63">
        <v>0</v>
      </c>
      <c r="Z697" s="63"/>
      <c r="AA697" s="63"/>
      <c r="AB697" s="63"/>
      <c r="AC697" s="63"/>
      <c r="AD697" s="63"/>
      <c r="AE697" s="63">
        <v>0</v>
      </c>
      <c r="AF697" s="63"/>
      <c r="AG697" s="63"/>
      <c r="AH697" s="63"/>
      <c r="AI697" s="63"/>
      <c r="AJ697" s="63"/>
      <c r="AK697" s="63"/>
      <c r="AL697" s="63"/>
      <c r="AM697" s="63">
        <v>0</v>
      </c>
      <c r="AN697" s="63"/>
      <c r="AO697" s="63"/>
      <c r="AP697" s="63"/>
      <c r="AQ697" s="63"/>
      <c r="AR697" s="63"/>
      <c r="AS697" s="63"/>
      <c r="AT697" s="63"/>
      <c r="AU697" s="63"/>
      <c r="AW697" s="5">
        <f>IF(Q697&gt;0,RANK(Q697,(N697:P697,Q697:AE697)),0)</f>
        <v>3</v>
      </c>
      <c r="AX697" s="5">
        <f>IF(R697&gt;0,RANK(R697,(N697:P697,Q697:AE697)),0)</f>
        <v>4</v>
      </c>
      <c r="AY697" s="5">
        <f>IF(T697&gt;0,RANK(T697,(N697:P697,Q697:AE697)),0)</f>
        <v>0</v>
      </c>
      <c r="AZ697" s="5">
        <f>IF(S697&gt;0,RANK(S697,(N697:P697,Q697:AE697)),0)</f>
        <v>7</v>
      </c>
      <c r="BA697" s="2">
        <f t="shared" si="281"/>
        <v>4.9437856152779916E-2</v>
      </c>
      <c r="BB697" s="2">
        <f t="shared" si="282"/>
        <v>8.316648698598491E-3</v>
      </c>
      <c r="BC697" s="2">
        <f t="shared" si="283"/>
        <v>0</v>
      </c>
      <c r="BD697" s="2">
        <f t="shared" si="284"/>
        <v>4.6203603881102723E-4</v>
      </c>
      <c r="BF697" t="s">
        <v>1942</v>
      </c>
      <c r="BG697" t="s">
        <v>1368</v>
      </c>
      <c r="BH697">
        <v>18</v>
      </c>
      <c r="BJ697" s="114">
        <v>17</v>
      </c>
      <c r="BK697" s="116">
        <v>125</v>
      </c>
      <c r="BL697" s="120">
        <f t="shared" si="286"/>
        <v>17125</v>
      </c>
      <c r="BN697" s="5" t="s">
        <v>3154</v>
      </c>
      <c r="BR697" s="63"/>
      <c r="BW697" s="8"/>
      <c r="BX697" s="132" t="s">
        <v>2498</v>
      </c>
      <c r="BY697" s="63">
        <f t="shared" si="285"/>
        <v>0</v>
      </c>
      <c r="BZ697" s="63">
        <v>6493</v>
      </c>
      <c r="CA697" s="132">
        <f>6493-4058-2014-321-54</f>
        <v>46</v>
      </c>
      <c r="CB697" s="132"/>
      <c r="CD697" s="63">
        <v>0</v>
      </c>
      <c r="CE697" s="63">
        <v>0</v>
      </c>
      <c r="CF697" s="63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</row>
    <row r="698" spans="1:100" hidden="1" outlineLevel="1">
      <c r="A698" t="s">
        <v>2650</v>
      </c>
      <c r="B698" t="s">
        <v>1368</v>
      </c>
      <c r="C698" s="1">
        <f t="shared" si="274"/>
        <v>6697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>IF(P698&gt;0,RANK(P698,(N698:P698,Q698:AE698)),0)</f>
        <v>6</v>
      </c>
      <c r="G698" s="132">
        <f t="shared" si="275"/>
        <v>3288</v>
      </c>
      <c r="H698" s="137">
        <f t="shared" si="276"/>
        <v>0.49096610422577275</v>
      </c>
      <c r="I698" s="2"/>
      <c r="J698" s="2">
        <f t="shared" si="277"/>
        <v>0.23264148126026579</v>
      </c>
      <c r="K698" s="2">
        <f t="shared" si="278"/>
        <v>0.72360758548603854</v>
      </c>
      <c r="L698" s="2">
        <f t="shared" si="279"/>
        <v>1.9411676870240407E-3</v>
      </c>
      <c r="M698" s="2">
        <f t="shared" si="280"/>
        <v>4.1809765566671681E-2</v>
      </c>
      <c r="N698" s="63">
        <v>1558</v>
      </c>
      <c r="O698" s="63">
        <v>4846</v>
      </c>
      <c r="P698" s="63">
        <v>13</v>
      </c>
      <c r="Q698" s="63">
        <v>194</v>
      </c>
      <c r="R698" s="63">
        <v>42</v>
      </c>
      <c r="S698" s="63">
        <v>1</v>
      </c>
      <c r="T698" s="63"/>
      <c r="U698" s="63"/>
      <c r="V698" s="63"/>
      <c r="W698" s="63">
        <f>IF(Copyright!B$11=1,IF(CA698&gt;0,CA698-SUM(S698:V698)-P698-SUM(X698:AQ698),SUM(CB698:CW698)),SUM(CC698:CW698))</f>
        <v>43</v>
      </c>
      <c r="X698" s="63"/>
      <c r="Y698" s="63">
        <v>0</v>
      </c>
      <c r="Z698" s="63"/>
      <c r="AA698" s="63"/>
      <c r="AB698" s="63"/>
      <c r="AC698" s="63"/>
      <c r="AD698" s="63"/>
      <c r="AE698" s="63">
        <v>0</v>
      </c>
      <c r="AF698" s="63"/>
      <c r="AG698" s="63"/>
      <c r="AH698" s="63"/>
      <c r="AI698" s="63"/>
      <c r="AJ698" s="63"/>
      <c r="AK698" s="63"/>
      <c r="AL698" s="63"/>
      <c r="AM698" s="63">
        <v>0</v>
      </c>
      <c r="AN698" s="63"/>
      <c r="AO698" s="63"/>
      <c r="AP698" s="63"/>
      <c r="AQ698" s="63"/>
      <c r="AR698" s="63"/>
      <c r="AS698" s="63"/>
      <c r="AT698" s="63"/>
      <c r="AU698" s="63"/>
      <c r="AW698" s="5">
        <f>IF(Q698&gt;0,RANK(Q698,(N698:P698,Q698:AE698)),0)</f>
        <v>3</v>
      </c>
      <c r="AX698" s="5">
        <f>IF(R698&gt;0,RANK(R698,(N698:P698,Q698:AE698)),0)</f>
        <v>5</v>
      </c>
      <c r="AY698" s="5">
        <f>IF(T698&gt;0,RANK(T698,(N698:P698,Q698:AE698)),0)</f>
        <v>0</v>
      </c>
      <c r="AZ698" s="5">
        <f>IF(S698&gt;0,RANK(S698,(N698:P698,Q698:AE698)),0)</f>
        <v>7</v>
      </c>
      <c r="BA698" s="2">
        <f t="shared" si="281"/>
        <v>2.8968194714051067E-2</v>
      </c>
      <c r="BB698" s="2">
        <f t="shared" si="282"/>
        <v>6.2714648350007465E-3</v>
      </c>
      <c r="BC698" s="2">
        <f t="shared" si="283"/>
        <v>0</v>
      </c>
      <c r="BD698" s="2">
        <f t="shared" si="284"/>
        <v>1.4932059130954157E-4</v>
      </c>
      <c r="BF698" t="s">
        <v>2650</v>
      </c>
      <c r="BG698" t="s">
        <v>1368</v>
      </c>
      <c r="BH698">
        <v>15</v>
      </c>
      <c r="BJ698" s="114">
        <v>17</v>
      </c>
      <c r="BK698" s="116">
        <v>127</v>
      </c>
      <c r="BL698" s="120">
        <f t="shared" si="286"/>
        <v>17127</v>
      </c>
      <c r="BN698" s="5" t="s">
        <v>3154</v>
      </c>
      <c r="BR698" s="63"/>
      <c r="BW698" s="8"/>
      <c r="BY698" s="63">
        <f t="shared" si="285"/>
        <v>-7</v>
      </c>
      <c r="BZ698" s="63">
        <v>6690</v>
      </c>
      <c r="CA698" s="132">
        <v>57</v>
      </c>
      <c r="CB698" s="132"/>
      <c r="CD698" s="63">
        <v>0</v>
      </c>
      <c r="CE698" s="63">
        <v>0</v>
      </c>
      <c r="CF698" s="63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</row>
    <row r="699" spans="1:100" hidden="1" outlineLevel="1">
      <c r="A699" t="s">
        <v>3037</v>
      </c>
      <c r="B699" t="s">
        <v>1368</v>
      </c>
      <c r="C699" s="1">
        <f t="shared" ref="C699:C730" si="287">SUM(N699:AU699)</f>
        <v>6515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6</v>
      </c>
      <c r="G699" s="132">
        <f t="shared" ref="G699:G730" si="288">IF(C699&gt;0,MAX(N699:P699)-LARGE(N699:P699,2),0)</f>
        <v>2414</v>
      </c>
      <c r="H699" s="137">
        <f t="shared" ref="H699:H730" si="289">IF(C699&gt;0,G699/C699,0)</f>
        <v>0.37052954719877207</v>
      </c>
      <c r="I699" s="2"/>
      <c r="J699" s="2">
        <f t="shared" ref="J699:J730" si="290">IF($C699=0,"-",N699/$C699)</f>
        <v>0.27889485801995395</v>
      </c>
      <c r="K699" s="2">
        <f t="shared" ref="K699:K730" si="291">IF($C699=0,"-",O699/$C699)</f>
        <v>0.64942440521872602</v>
      </c>
      <c r="L699" s="2">
        <f t="shared" ref="L699:L730" si="292">IF($C699=0,"-",P699/$C699)</f>
        <v>3.683806600153492E-3</v>
      </c>
      <c r="M699" s="2">
        <f t="shared" ref="M699:M730" si="293">IF(C699=0,"-",(1-J699-K699-L699))</f>
        <v>6.7996930161166536E-2</v>
      </c>
      <c r="N699" s="63">
        <v>1817</v>
      </c>
      <c r="O699" s="63">
        <v>4231</v>
      </c>
      <c r="P699" s="63">
        <v>24</v>
      </c>
      <c r="Q699" s="63">
        <v>311</v>
      </c>
      <c r="R699" s="63">
        <v>74</v>
      </c>
      <c r="S699" s="63">
        <v>0</v>
      </c>
      <c r="T699" s="63"/>
      <c r="U699" s="63"/>
      <c r="V699" s="63"/>
      <c r="W699" s="63">
        <f>IF(Copyright!B$11=1,IF(CA699&gt;0,CA699-SUM(S699:V699)-P699-SUM(X699:AQ699),SUM(CB699:CW699)),SUM(CC699:CW699))</f>
        <v>51</v>
      </c>
      <c r="X699" s="63"/>
      <c r="Y699" s="63">
        <v>6</v>
      </c>
      <c r="Z699" s="63"/>
      <c r="AA699" s="63"/>
      <c r="AB699" s="63"/>
      <c r="AC699" s="63"/>
      <c r="AD699" s="63"/>
      <c r="AE699" s="63">
        <v>1</v>
      </c>
      <c r="AF699" s="63"/>
      <c r="AG699" s="63"/>
      <c r="AH699" s="63"/>
      <c r="AI699" s="63"/>
      <c r="AJ699" s="63"/>
      <c r="AK699" s="63"/>
      <c r="AL699" s="63"/>
      <c r="AM699" s="63">
        <v>0</v>
      </c>
      <c r="AN699" s="63"/>
      <c r="AO699" s="63"/>
      <c r="AP699" s="63"/>
      <c r="AQ699" s="63"/>
      <c r="AR699" s="63"/>
      <c r="AS699" s="63"/>
      <c r="AT699" s="63"/>
      <c r="AU699" s="63"/>
      <c r="AW699" s="5">
        <f>IF(Q699&gt;0,RANK(Q699,(N699:P699,Q699:AE699)),0)</f>
        <v>3</v>
      </c>
      <c r="AX699" s="5">
        <f>IF(R699&gt;0,RANK(R699,(N699:P699,Q699:AE699)),0)</f>
        <v>4</v>
      </c>
      <c r="AY699" s="5">
        <f>IF(T699&gt;0,RANK(T699,(N699:P699,Q699:AE699)),0)</f>
        <v>0</v>
      </c>
      <c r="AZ699" s="5">
        <f>IF(S699&gt;0,RANK(S699,(N699:P699,Q699:AE699)),0)</f>
        <v>0</v>
      </c>
      <c r="BA699" s="2">
        <f t="shared" ref="BA699:BA730" si="294">IF($C699=0,"-",Q699/$C699)</f>
        <v>4.7735993860322332E-2</v>
      </c>
      <c r="BB699" s="2">
        <f t="shared" ref="BB699:BB730" si="295">IF($C699=0,"-",R699/$C699)</f>
        <v>1.1358403683806599E-2</v>
      </c>
      <c r="BC699" s="2">
        <f t="shared" ref="BC699:BC730" si="296">IF($C699=0,"-",T699/$C699)</f>
        <v>0</v>
      </c>
      <c r="BD699" s="2">
        <f t="shared" ref="BD699:BD730" si="297">IF($C699=0,"-",S699/$C699)</f>
        <v>0</v>
      </c>
      <c r="BF699" t="s">
        <v>3037</v>
      </c>
      <c r="BG699" t="s">
        <v>1368</v>
      </c>
      <c r="BH699">
        <v>18</v>
      </c>
      <c r="BJ699" s="114">
        <v>17</v>
      </c>
      <c r="BK699" s="116">
        <v>129</v>
      </c>
      <c r="BL699" s="120">
        <f t="shared" si="286"/>
        <v>17129</v>
      </c>
      <c r="BN699" s="5" t="s">
        <v>3154</v>
      </c>
      <c r="BO699" s="63">
        <v>66</v>
      </c>
      <c r="BP699" s="63">
        <v>8</v>
      </c>
      <c r="BR699" s="63"/>
      <c r="BW699" s="8"/>
      <c r="BY699" s="63">
        <f t="shared" ref="BY699:BY730" si="298">BZ699-C699</f>
        <v>0</v>
      </c>
      <c r="BZ699" s="63">
        <f>4231+1817+311+74+82</f>
        <v>6515</v>
      </c>
      <c r="CA699" s="132">
        <v>82</v>
      </c>
      <c r="CB699" s="132"/>
      <c r="CD699" s="63">
        <v>0</v>
      </c>
      <c r="CE699" s="63">
        <v>0</v>
      </c>
      <c r="CF699" s="63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</row>
    <row r="700" spans="1:100" hidden="1" outlineLevel="1">
      <c r="A700" t="s">
        <v>449</v>
      </c>
      <c r="B700" t="s">
        <v>1368</v>
      </c>
      <c r="C700" s="1">
        <f t="shared" si="287"/>
        <v>8525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>IF(P700&gt;0,RANK(P700,(N700:P700,Q700:AE700)),0)</f>
        <v>6</v>
      </c>
      <c r="G700" s="132">
        <f t="shared" si="288"/>
        <v>1736</v>
      </c>
      <c r="H700" s="137">
        <f t="shared" si="289"/>
        <v>0.20363636363636364</v>
      </c>
      <c r="I700" s="2"/>
      <c r="J700" s="2">
        <f t="shared" si="290"/>
        <v>0.36023460410557184</v>
      </c>
      <c r="K700" s="2">
        <f t="shared" si="291"/>
        <v>0.56387096774193546</v>
      </c>
      <c r="L700" s="2">
        <f t="shared" si="292"/>
        <v>1.2903225806451613E-3</v>
      </c>
      <c r="M700" s="2">
        <f t="shared" si="293"/>
        <v>7.4604105571847532E-2</v>
      </c>
      <c r="N700" s="63">
        <v>3071</v>
      </c>
      <c r="O700" s="63">
        <v>4807</v>
      </c>
      <c r="P700" s="63">
        <v>11</v>
      </c>
      <c r="Q700" s="63">
        <v>475</v>
      </c>
      <c r="R700" s="63">
        <v>82</v>
      </c>
      <c r="S700" s="63">
        <v>1</v>
      </c>
      <c r="T700" s="63"/>
      <c r="U700" s="63"/>
      <c r="V700" s="63"/>
      <c r="W700" s="63">
        <f>IF(Copyright!B$11=1,IF(CA700&gt;0,CA700-SUM(S700:V700)-P700-SUM(X700:AQ700),SUM(CB700:CW700)),SUM(CC700:CW700))</f>
        <v>78</v>
      </c>
      <c r="X700" s="63"/>
      <c r="Y700" s="63">
        <v>0</v>
      </c>
      <c r="Z700" s="63"/>
      <c r="AA700" s="63"/>
      <c r="AB700" s="63"/>
      <c r="AC700" s="63"/>
      <c r="AD700" s="63"/>
      <c r="AE700" s="63">
        <v>0</v>
      </c>
      <c r="AF700" s="63"/>
      <c r="AG700" s="63"/>
      <c r="AH700" s="63"/>
      <c r="AI700" s="63"/>
      <c r="AJ700" s="63"/>
      <c r="AK700" s="63"/>
      <c r="AL700" s="63"/>
      <c r="AM700" s="63">
        <v>0</v>
      </c>
      <c r="AN700" s="63"/>
      <c r="AO700" s="63"/>
      <c r="AP700" s="63"/>
      <c r="AQ700" s="63"/>
      <c r="AR700" s="63"/>
      <c r="AS700" s="63"/>
      <c r="AT700" s="63"/>
      <c r="AU700" s="63"/>
      <c r="AW700" s="5">
        <f>IF(Q700&gt;0,RANK(Q700,(N700:P700,Q700:AE700)),0)</f>
        <v>3</v>
      </c>
      <c r="AX700" s="5">
        <f>IF(R700&gt;0,RANK(R700,(N700:P700,Q700:AE700)),0)</f>
        <v>4</v>
      </c>
      <c r="AY700" s="5">
        <f>IF(T700&gt;0,RANK(T700,(N700:P700,Q700:AE700)),0)</f>
        <v>0</v>
      </c>
      <c r="AZ700" s="5">
        <f>IF(S700&gt;0,RANK(S700,(N700:P700,Q700:AE700)),0)</f>
        <v>7</v>
      </c>
      <c r="BA700" s="2">
        <f t="shared" si="294"/>
        <v>5.5718475073313782E-2</v>
      </c>
      <c r="BB700" s="2">
        <f t="shared" si="295"/>
        <v>9.6187683284457478E-3</v>
      </c>
      <c r="BC700" s="2">
        <f t="shared" si="296"/>
        <v>0</v>
      </c>
      <c r="BD700" s="2">
        <f t="shared" si="297"/>
        <v>1.1730205278592375E-4</v>
      </c>
      <c r="BF700" t="s">
        <v>449</v>
      </c>
      <c r="BG700" t="s">
        <v>1368</v>
      </c>
      <c r="BH700">
        <v>17</v>
      </c>
      <c r="BJ700" s="114">
        <v>17</v>
      </c>
      <c r="BK700" s="116">
        <v>131</v>
      </c>
      <c r="BL700" s="120">
        <f t="shared" si="286"/>
        <v>17131</v>
      </c>
      <c r="BN700" s="5" t="s">
        <v>3154</v>
      </c>
      <c r="BO700" s="63">
        <v>84</v>
      </c>
      <c r="BP700" s="63">
        <v>16</v>
      </c>
      <c r="BR700" s="63"/>
      <c r="BW700" s="8"/>
      <c r="BY700" s="63">
        <f t="shared" si="298"/>
        <v>0</v>
      </c>
      <c r="BZ700" s="63">
        <v>8525</v>
      </c>
      <c r="CA700" s="132">
        <v>90</v>
      </c>
      <c r="CB700" s="132"/>
      <c r="CD700" s="63">
        <v>0</v>
      </c>
      <c r="CE700" s="63">
        <v>0</v>
      </c>
      <c r="CF700" s="63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 hidden="1" outlineLevel="1">
      <c r="A701" t="s">
        <v>644</v>
      </c>
      <c r="B701" t="s">
        <v>1368</v>
      </c>
      <c r="C701" s="1">
        <f t="shared" si="287"/>
        <v>19354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32">
        <f t="shared" si="288"/>
        <v>7094</v>
      </c>
      <c r="H701" s="137">
        <f t="shared" si="289"/>
        <v>0.36653921669939032</v>
      </c>
      <c r="I701" s="2"/>
      <c r="J701" s="2">
        <f t="shared" si="290"/>
        <v>0.28598739278702079</v>
      </c>
      <c r="K701" s="2">
        <f t="shared" si="291"/>
        <v>0.65252660948641106</v>
      </c>
      <c r="L701" s="2">
        <f t="shared" si="292"/>
        <v>0</v>
      </c>
      <c r="M701" s="2">
        <f t="shared" si="293"/>
        <v>6.1485997726568153E-2</v>
      </c>
      <c r="N701" s="63">
        <v>5535</v>
      </c>
      <c r="O701" s="63">
        <v>12629</v>
      </c>
      <c r="P701" s="63">
        <v>0</v>
      </c>
      <c r="Q701" s="63">
        <v>742</v>
      </c>
      <c r="R701" s="63">
        <v>200</v>
      </c>
      <c r="S701" s="63">
        <v>0</v>
      </c>
      <c r="T701" s="63"/>
      <c r="U701" s="63"/>
      <c r="V701" s="63"/>
      <c r="W701" s="63">
        <f>IF(Copyright!B$11=1,IF(CA701&gt;0,CA701-SUM(S701:V701)-P701-SUM(X701:AQ701),SUM(CB701:CW701)),SUM(CC701:CW701))</f>
        <v>248</v>
      </c>
      <c r="X701" s="63"/>
      <c r="Y701" s="63">
        <v>0</v>
      </c>
      <c r="Z701" s="63"/>
      <c r="AA701" s="63"/>
      <c r="AB701" s="63"/>
      <c r="AC701" s="63"/>
      <c r="AD701" s="63"/>
      <c r="AE701" s="63">
        <v>0</v>
      </c>
      <c r="AF701" s="63"/>
      <c r="AG701" s="63"/>
      <c r="AH701" s="63"/>
      <c r="AI701" s="63"/>
      <c r="AJ701" s="63"/>
      <c r="AK701" s="63"/>
      <c r="AL701" s="63"/>
      <c r="AM701" s="63">
        <v>0</v>
      </c>
      <c r="AN701" s="63"/>
      <c r="AO701" s="63"/>
      <c r="AP701" s="63"/>
      <c r="AQ701" s="63"/>
      <c r="AR701" s="63"/>
      <c r="AS701" s="63"/>
      <c r="AT701" s="63"/>
      <c r="AU701" s="63"/>
      <c r="AW701" s="5">
        <f>IF(Q701&gt;0,RANK(Q701,(N701:P701,Q701:AE701)),0)</f>
        <v>3</v>
      </c>
      <c r="AX701" s="5">
        <f>IF(R701&gt;0,RANK(R701,(N701:P701,Q701:AE701)),0)</f>
        <v>5</v>
      </c>
      <c r="AY701" s="5">
        <f>IF(T701&gt;0,RANK(T701,(N701:P701,Q701:AE701)),0)</f>
        <v>0</v>
      </c>
      <c r="AZ701" s="5">
        <f>IF(S701&gt;0,RANK(S701,(N701:P701,Q701:AE701)),0)</f>
        <v>0</v>
      </c>
      <c r="BA701" s="2">
        <f t="shared" si="294"/>
        <v>3.8338327994213085E-2</v>
      </c>
      <c r="BB701" s="2">
        <f t="shared" si="295"/>
        <v>1.0333781130515656E-2</v>
      </c>
      <c r="BC701" s="2">
        <f t="shared" si="296"/>
        <v>0</v>
      </c>
      <c r="BD701" s="2">
        <f t="shared" si="297"/>
        <v>0</v>
      </c>
      <c r="BF701" t="s">
        <v>644</v>
      </c>
      <c r="BG701" t="s">
        <v>1368</v>
      </c>
      <c r="BH701">
        <v>12</v>
      </c>
      <c r="BJ701" s="114">
        <v>17</v>
      </c>
      <c r="BK701" s="116">
        <v>133</v>
      </c>
      <c r="BL701" s="120">
        <f t="shared" si="286"/>
        <v>17133</v>
      </c>
      <c r="BN701" s="5" t="s">
        <v>3154</v>
      </c>
      <c r="BW701" s="8"/>
      <c r="BY701" s="63">
        <f t="shared" si="298"/>
        <v>-19354</v>
      </c>
      <c r="CA701" s="132">
        <v>248</v>
      </c>
      <c r="CB701" s="132"/>
      <c r="CD701" s="63">
        <v>0</v>
      </c>
      <c r="CE701" s="63">
        <v>0</v>
      </c>
      <c r="CF701" s="63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</row>
    <row r="702" spans="1:100" hidden="1" outlineLevel="1">
      <c r="A702" t="s">
        <v>1406</v>
      </c>
      <c r="B702" t="s">
        <v>1368</v>
      </c>
      <c r="C702" s="1">
        <f t="shared" si="287"/>
        <v>12978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6</v>
      </c>
      <c r="G702" s="132">
        <f t="shared" si="288"/>
        <v>5126</v>
      </c>
      <c r="H702" s="137">
        <f t="shared" si="289"/>
        <v>0.39497611342271538</v>
      </c>
      <c r="I702" s="2"/>
      <c r="J702" s="2">
        <f t="shared" si="290"/>
        <v>0.26999537679149327</v>
      </c>
      <c r="K702" s="2">
        <f t="shared" si="291"/>
        <v>0.66497149021420865</v>
      </c>
      <c r="L702" s="2">
        <f t="shared" si="292"/>
        <v>1.0787486515641855E-3</v>
      </c>
      <c r="M702" s="2">
        <f t="shared" si="293"/>
        <v>6.3954384342733844E-2</v>
      </c>
      <c r="N702" s="63">
        <v>3504</v>
      </c>
      <c r="O702" s="63">
        <v>8630</v>
      </c>
      <c r="P702" s="63">
        <v>14</v>
      </c>
      <c r="Q702" s="63">
        <v>599</v>
      </c>
      <c r="R702" s="63">
        <v>128</v>
      </c>
      <c r="S702" s="63">
        <v>3</v>
      </c>
      <c r="T702" s="63"/>
      <c r="U702" s="63"/>
      <c r="V702" s="63"/>
      <c r="W702" s="63">
        <f>IF(Copyright!B$11=1,IF(CA702&gt;0,CA702-SUM(S702:V702)-P702-SUM(X702:AQ702),SUM(CB702:CW702)),SUM(CC702:CW702))</f>
        <v>100</v>
      </c>
      <c r="X702" s="63"/>
      <c r="Y702" s="63">
        <v>0</v>
      </c>
      <c r="Z702" s="63"/>
      <c r="AA702" s="63"/>
      <c r="AB702" s="63"/>
      <c r="AC702" s="63"/>
      <c r="AD702" s="63"/>
      <c r="AE702" s="63">
        <v>0</v>
      </c>
      <c r="AF702" s="63"/>
      <c r="AG702" s="63"/>
      <c r="AH702" s="63"/>
      <c r="AI702" s="63"/>
      <c r="AJ702" s="63"/>
      <c r="AK702" s="63"/>
      <c r="AL702" s="63"/>
      <c r="AM702" s="63">
        <v>0</v>
      </c>
      <c r="AN702" s="63"/>
      <c r="AO702" s="63"/>
      <c r="AP702" s="63"/>
      <c r="AQ702" s="63"/>
      <c r="AR702" s="63"/>
      <c r="AS702" s="63"/>
      <c r="AT702" s="63"/>
      <c r="AU702" s="63"/>
      <c r="AW702" s="5">
        <f>IF(Q702&gt;0,RANK(Q702,(N702:P702,Q702:AE702)),0)</f>
        <v>3</v>
      </c>
      <c r="AX702" s="5">
        <f>IF(R702&gt;0,RANK(R702,(N702:P702,Q702:AE702)),0)</f>
        <v>4</v>
      </c>
      <c r="AY702" s="5">
        <f>IF(T702&gt;0,RANK(T702,(N702:P702,Q702:AE702)),0)</f>
        <v>0</v>
      </c>
      <c r="AZ702" s="5">
        <f>IF(S702&gt;0,RANK(S702,(N702:P702,Q702:AE702)),0)</f>
        <v>7</v>
      </c>
      <c r="BA702" s="2">
        <f t="shared" si="294"/>
        <v>4.6155031591924793E-2</v>
      </c>
      <c r="BB702" s="2">
        <f t="shared" si="295"/>
        <v>9.8628448143011256E-3</v>
      </c>
      <c r="BC702" s="2">
        <f t="shared" si="296"/>
        <v>0</v>
      </c>
      <c r="BD702" s="2">
        <f t="shared" si="297"/>
        <v>2.311604253351826E-4</v>
      </c>
      <c r="BF702" t="s">
        <v>1406</v>
      </c>
      <c r="BG702" t="s">
        <v>1368</v>
      </c>
      <c r="BH702">
        <v>13</v>
      </c>
      <c r="BJ702" s="114">
        <v>17</v>
      </c>
      <c r="BK702" s="116">
        <v>135</v>
      </c>
      <c r="BL702" s="120">
        <f t="shared" si="286"/>
        <v>17135</v>
      </c>
      <c r="BN702" s="5" t="s">
        <v>3154</v>
      </c>
      <c r="BW702" s="8"/>
      <c r="BY702" s="63">
        <f t="shared" si="298"/>
        <v>0</v>
      </c>
      <c r="BZ702" s="63">
        <f>3504+8630+599+128+117</f>
        <v>12978</v>
      </c>
      <c r="CA702" s="132">
        <v>117</v>
      </c>
      <c r="CB702" s="132"/>
      <c r="CD702" s="63">
        <v>0</v>
      </c>
      <c r="CE702" s="63">
        <v>0</v>
      </c>
      <c r="CF702" s="63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 hidden="1" outlineLevel="1">
      <c r="A703" t="s">
        <v>1145</v>
      </c>
      <c r="B703" t="s">
        <v>1368</v>
      </c>
      <c r="C703" s="1">
        <f t="shared" si="287"/>
        <v>14800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7</v>
      </c>
      <c r="G703" s="132">
        <f t="shared" si="288"/>
        <v>4380</v>
      </c>
      <c r="H703" s="137">
        <f t="shared" si="289"/>
        <v>0.29594594594594592</v>
      </c>
      <c r="I703" s="2"/>
      <c r="J703" s="2">
        <f t="shared" si="290"/>
        <v>0.31729729729729728</v>
      </c>
      <c r="K703" s="2">
        <f t="shared" si="291"/>
        <v>0.6132432432432432</v>
      </c>
      <c r="L703" s="2">
        <f t="shared" si="292"/>
        <v>4.0540540540540538E-4</v>
      </c>
      <c r="M703" s="2">
        <f t="shared" si="293"/>
        <v>6.9054054054054126E-2</v>
      </c>
      <c r="N703" s="63">
        <v>4696</v>
      </c>
      <c r="O703" s="63">
        <v>9076</v>
      </c>
      <c r="P703" s="63">
        <v>6</v>
      </c>
      <c r="Q703" s="63">
        <v>670</v>
      </c>
      <c r="R703" s="63">
        <v>189</v>
      </c>
      <c r="S703" s="63">
        <v>8</v>
      </c>
      <c r="T703" s="63"/>
      <c r="U703" s="63"/>
      <c r="V703" s="63"/>
      <c r="W703" s="63">
        <f>IF(Copyright!B$11=1,IF(CA703&gt;0,CA703-SUM(S703:V703)-P703-SUM(X703:AQ703),SUM(CB703:CW703)),SUM(CC703:CW703))</f>
        <v>155</v>
      </c>
      <c r="X703" s="63"/>
      <c r="Y703" s="63">
        <v>0</v>
      </c>
      <c r="Z703" s="63"/>
      <c r="AA703" s="63"/>
      <c r="AB703" s="63"/>
      <c r="AC703" s="63"/>
      <c r="AD703" s="63"/>
      <c r="AE703" s="63">
        <v>0</v>
      </c>
      <c r="AF703" s="63"/>
      <c r="AG703" s="63"/>
      <c r="AH703" s="63"/>
      <c r="AI703" s="63"/>
      <c r="AJ703" s="63"/>
      <c r="AK703" s="63"/>
      <c r="AL703" s="63"/>
      <c r="AM703" s="63">
        <v>0</v>
      </c>
      <c r="AN703" s="63"/>
      <c r="AO703" s="63"/>
      <c r="AP703" s="63"/>
      <c r="AQ703" s="63"/>
      <c r="AR703" s="63"/>
      <c r="AS703" s="63"/>
      <c r="AT703" s="63"/>
      <c r="AU703" s="63"/>
      <c r="AW703" s="5">
        <f>IF(Q703&gt;0,RANK(Q703,(N703:P703,Q703:AE703)),0)</f>
        <v>3</v>
      </c>
      <c r="AX703" s="5">
        <f>IF(R703&gt;0,RANK(R703,(N703:P703,Q703:AE703)),0)</f>
        <v>4</v>
      </c>
      <c r="AY703" s="5">
        <f>IF(T703&gt;0,RANK(T703,(N703:P703,Q703:AE703)),0)</f>
        <v>0</v>
      </c>
      <c r="AZ703" s="5">
        <f>IF(S703&gt;0,RANK(S703,(N703:P703,Q703:AE703)),0)</f>
        <v>6</v>
      </c>
      <c r="BA703" s="2">
        <f t="shared" si="294"/>
        <v>4.5270270270270273E-2</v>
      </c>
      <c r="BB703" s="2">
        <f t="shared" si="295"/>
        <v>1.277027027027027E-2</v>
      </c>
      <c r="BC703" s="2">
        <f t="shared" si="296"/>
        <v>0</v>
      </c>
      <c r="BD703" s="2">
        <f t="shared" si="297"/>
        <v>5.4054054054054055E-4</v>
      </c>
      <c r="BF703" t="s">
        <v>1145</v>
      </c>
      <c r="BG703" t="s">
        <v>1368</v>
      </c>
      <c r="BH703">
        <v>18</v>
      </c>
      <c r="BJ703" s="114">
        <v>17</v>
      </c>
      <c r="BK703" s="116">
        <v>137</v>
      </c>
      <c r="BL703" s="120">
        <f t="shared" si="286"/>
        <v>17137</v>
      </c>
      <c r="BN703" s="5" t="s">
        <v>3154</v>
      </c>
      <c r="BW703" s="8"/>
      <c r="BX703" s="132" t="s">
        <v>3255</v>
      </c>
      <c r="BY703" s="63">
        <f t="shared" si="298"/>
        <v>0</v>
      </c>
      <c r="BZ703" s="63">
        <v>14800</v>
      </c>
      <c r="CA703" s="132">
        <v>169</v>
      </c>
      <c r="CB703" s="132"/>
      <c r="CD703" s="63">
        <v>0</v>
      </c>
      <c r="CE703" s="63">
        <v>0</v>
      </c>
      <c r="CF703" s="63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</row>
    <row r="704" spans="1:100" hidden="1" outlineLevel="1">
      <c r="A704" t="s">
        <v>1711</v>
      </c>
      <c r="B704" t="s">
        <v>1368</v>
      </c>
      <c r="C704" s="1">
        <f t="shared" si="287"/>
        <v>6283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6</v>
      </c>
      <c r="G704" s="132">
        <f t="shared" si="288"/>
        <v>2974</v>
      </c>
      <c r="H704" s="137">
        <f t="shared" si="289"/>
        <v>0.47334076078306542</v>
      </c>
      <c r="I704" s="2"/>
      <c r="J704" s="2">
        <f t="shared" si="290"/>
        <v>0.23571542256883654</v>
      </c>
      <c r="K704" s="2">
        <f t="shared" si="291"/>
        <v>0.7090561833519019</v>
      </c>
      <c r="L704" s="2">
        <f t="shared" si="292"/>
        <v>2.0690752825083558E-3</v>
      </c>
      <c r="M704" s="2">
        <f t="shared" si="293"/>
        <v>5.3159318796753258E-2</v>
      </c>
      <c r="N704" s="63">
        <v>1481</v>
      </c>
      <c r="O704" s="63">
        <v>4455</v>
      </c>
      <c r="P704" s="63">
        <v>13</v>
      </c>
      <c r="Q704" s="63">
        <v>238</v>
      </c>
      <c r="R704" s="63">
        <v>44</v>
      </c>
      <c r="S704" s="63">
        <v>0</v>
      </c>
      <c r="T704" s="63"/>
      <c r="U704" s="63"/>
      <c r="V704" s="63"/>
      <c r="W704" s="63">
        <f>IF(Copyright!B$11=1,IF(CA704&gt;0,CA704-SUM(S704:V704)-P704-SUM(X704:AQ704),SUM(CB704:CW704)),SUM(CC704:CW704))</f>
        <v>52</v>
      </c>
      <c r="X704" s="63"/>
      <c r="Y704" s="63">
        <v>0</v>
      </c>
      <c r="Z704" s="63"/>
      <c r="AA704" s="63"/>
      <c r="AB704" s="63"/>
      <c r="AC704" s="63"/>
      <c r="AD704" s="63"/>
      <c r="AE704" s="63">
        <v>0</v>
      </c>
      <c r="AF704" s="63"/>
      <c r="AG704" s="63"/>
      <c r="AH704" s="63"/>
      <c r="AI704" s="63"/>
      <c r="AJ704" s="63"/>
      <c r="AK704" s="63"/>
      <c r="AL704" s="63"/>
      <c r="AM704" s="63">
        <v>0</v>
      </c>
      <c r="AN704" s="63"/>
      <c r="AO704" s="63"/>
      <c r="AP704" s="63"/>
      <c r="AQ704" s="63"/>
      <c r="AR704" s="63"/>
      <c r="AS704" s="63"/>
      <c r="AT704" s="63"/>
      <c r="AU704" s="63"/>
      <c r="AW704" s="5">
        <f>IF(Q704&gt;0,RANK(Q704,(N704:P704,Q704:AE704)),0)</f>
        <v>3</v>
      </c>
      <c r="AX704" s="5">
        <f>IF(R704&gt;0,RANK(R704,(N704:P704,Q704:AE704)),0)</f>
        <v>5</v>
      </c>
      <c r="AY704" s="5">
        <f>IF(T704&gt;0,RANK(T704,(N704:P704,Q704:AE704)),0)</f>
        <v>0</v>
      </c>
      <c r="AZ704" s="5">
        <f>IF(S704&gt;0,RANK(S704,(N704:P704,Q704:AE704)),0)</f>
        <v>0</v>
      </c>
      <c r="BA704" s="2">
        <f t="shared" si="294"/>
        <v>3.7879993633614516E-2</v>
      </c>
      <c r="BB704" s="2">
        <f t="shared" si="295"/>
        <v>7.0030240331052044E-3</v>
      </c>
      <c r="BC704" s="2">
        <f t="shared" si="296"/>
        <v>0</v>
      </c>
      <c r="BD704" s="2">
        <f t="shared" si="297"/>
        <v>0</v>
      </c>
      <c r="BF704" t="s">
        <v>1711</v>
      </c>
      <c r="BG704" t="s">
        <v>1368</v>
      </c>
      <c r="BH704">
        <v>15</v>
      </c>
      <c r="BJ704" s="114">
        <v>17</v>
      </c>
      <c r="BK704" s="116">
        <v>139</v>
      </c>
      <c r="BL704" s="120">
        <f t="shared" si="286"/>
        <v>17139</v>
      </c>
      <c r="BN704" s="5" t="s">
        <v>3154</v>
      </c>
      <c r="BO704" s="63">
        <v>69</v>
      </c>
      <c r="BP704" s="63">
        <v>6</v>
      </c>
      <c r="BR704" s="63"/>
      <c r="BW704" s="8"/>
      <c r="BX704" s="132" t="s">
        <v>2498</v>
      </c>
      <c r="BY704" s="63">
        <f t="shared" si="298"/>
        <v>0</v>
      </c>
      <c r="BZ704" s="63">
        <v>6283</v>
      </c>
      <c r="CA704" s="132">
        <f>52+13</f>
        <v>65</v>
      </c>
      <c r="CB704" s="132"/>
      <c r="CD704" s="63">
        <v>0</v>
      </c>
      <c r="CE704" s="63">
        <v>0</v>
      </c>
      <c r="CF704" s="63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 hidden="1" outlineLevel="1">
      <c r="A705" t="s">
        <v>629</v>
      </c>
      <c r="B705" t="s">
        <v>1368</v>
      </c>
      <c r="C705" s="1">
        <f t="shared" si="287"/>
        <v>24193</v>
      </c>
      <c r="D705" s="5">
        <f>IF(N705&gt;0, RANK(N705,(N705:P705,Q705:AE705)),0)</f>
        <v>2</v>
      </c>
      <c r="E705" s="5">
        <f>IF(O705&gt;0,RANK(O705,(N705:P705,Q705:AE705)),0)</f>
        <v>1</v>
      </c>
      <c r="F705" s="5">
        <f>IF(P705&gt;0,RANK(P705,(N705:P705,Q705:AE705)),0)</f>
        <v>6</v>
      </c>
      <c r="G705" s="132">
        <f t="shared" si="288"/>
        <v>6302</v>
      </c>
      <c r="H705" s="137">
        <f t="shared" si="289"/>
        <v>0.2604885710742777</v>
      </c>
      <c r="I705" s="2"/>
      <c r="J705" s="2">
        <f t="shared" si="290"/>
        <v>0.33274087545984377</v>
      </c>
      <c r="K705" s="2">
        <f t="shared" si="291"/>
        <v>0.59322944653412146</v>
      </c>
      <c r="L705" s="2">
        <f t="shared" si="292"/>
        <v>1.3640309180341422E-3</v>
      </c>
      <c r="M705" s="2">
        <f t="shared" si="293"/>
        <v>7.2665647088000634E-2</v>
      </c>
      <c r="N705" s="63">
        <v>8050</v>
      </c>
      <c r="O705" s="63">
        <v>14352</v>
      </c>
      <c r="P705" s="63">
        <v>33</v>
      </c>
      <c r="Q705" s="63">
        <v>1159</v>
      </c>
      <c r="R705" s="63">
        <v>275</v>
      </c>
      <c r="S705" s="63">
        <v>0</v>
      </c>
      <c r="T705" s="63"/>
      <c r="U705" s="63"/>
      <c r="V705" s="63"/>
      <c r="W705" s="63">
        <f>IF(Copyright!B$11=1,IF(CA705&gt;0,CA705-SUM(S705:V705)-P705-SUM(X705:AQ705),SUM(CB705:CW705)),SUM(CC705:CW705))</f>
        <v>324</v>
      </c>
      <c r="X705" s="63"/>
      <c r="Y705" s="63">
        <v>0</v>
      </c>
      <c r="Z705" s="63"/>
      <c r="AA705" s="63"/>
      <c r="AB705" s="63"/>
      <c r="AC705" s="63"/>
      <c r="AD705" s="63"/>
      <c r="AE705" s="63">
        <v>0</v>
      </c>
      <c r="AF705" s="63"/>
      <c r="AG705" s="63"/>
      <c r="AH705" s="63"/>
      <c r="AI705" s="63"/>
      <c r="AJ705" s="63"/>
      <c r="AK705" s="63"/>
      <c r="AL705" s="63"/>
      <c r="AM705" s="63">
        <v>0</v>
      </c>
      <c r="AN705" s="63"/>
      <c r="AO705" s="63"/>
      <c r="AP705" s="63"/>
      <c r="AQ705" s="63"/>
      <c r="AR705" s="63"/>
      <c r="AS705" s="63"/>
      <c r="AT705" s="63"/>
      <c r="AU705" s="63"/>
      <c r="AW705" s="5">
        <f>IF(Q705&gt;0,RANK(Q705,(N705:P705,Q705:AE705)),0)</f>
        <v>3</v>
      </c>
      <c r="AX705" s="5">
        <f>IF(R705&gt;0,RANK(R705,(N705:P705,Q705:AE705)),0)</f>
        <v>5</v>
      </c>
      <c r="AY705" s="5">
        <f>IF(T705&gt;0,RANK(T705,(N705:P705,Q705:AE705)),0)</f>
        <v>0</v>
      </c>
      <c r="AZ705" s="5">
        <f>IF(S705&gt;0,RANK(S705,(N705:P705,Q705:AE705)),0)</f>
        <v>0</v>
      </c>
      <c r="BA705" s="2">
        <f t="shared" si="294"/>
        <v>4.7906419212168809E-2</v>
      </c>
      <c r="BB705" s="2">
        <f t="shared" si="295"/>
        <v>1.1366924316951185E-2</v>
      </c>
      <c r="BC705" s="2">
        <f t="shared" si="296"/>
        <v>0</v>
      </c>
      <c r="BD705" s="2">
        <f t="shared" si="297"/>
        <v>0</v>
      </c>
      <c r="BF705" t="s">
        <v>629</v>
      </c>
      <c r="BG705" t="s">
        <v>1368</v>
      </c>
      <c r="BH705">
        <v>16</v>
      </c>
      <c r="BJ705" s="114">
        <v>17</v>
      </c>
      <c r="BK705" s="116">
        <v>141</v>
      </c>
      <c r="BL705" s="120">
        <f t="shared" si="286"/>
        <v>17141</v>
      </c>
      <c r="BN705" s="5" t="s">
        <v>3154</v>
      </c>
      <c r="BO705" s="63">
        <v>237</v>
      </c>
      <c r="BP705" s="63">
        <v>30</v>
      </c>
      <c r="BR705" s="63"/>
      <c r="BW705" s="8"/>
      <c r="BY705" s="63">
        <f t="shared" si="298"/>
        <v>0</v>
      </c>
      <c r="BZ705" s="63">
        <f>14352+8050+1159+275+357</f>
        <v>24193</v>
      </c>
      <c r="CA705" s="132">
        <v>357</v>
      </c>
      <c r="CB705" s="132"/>
      <c r="CD705" s="63">
        <v>0</v>
      </c>
      <c r="CE705" s="63">
        <v>0</v>
      </c>
      <c r="CF705" s="63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</row>
    <row r="706" spans="1:100" hidden="1" outlineLevel="1">
      <c r="A706" t="s">
        <v>718</v>
      </c>
      <c r="B706" t="s">
        <v>1368</v>
      </c>
      <c r="C706" s="1">
        <f t="shared" si="287"/>
        <v>79102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>IF(P706&gt;0,RANK(P706,(N706:P706,Q706:AE706)),0)</f>
        <v>5</v>
      </c>
      <c r="G706" s="132">
        <f t="shared" si="288"/>
        <v>2427</v>
      </c>
      <c r="H706" s="137">
        <f t="shared" si="289"/>
        <v>3.0681904376627645E-2</v>
      </c>
      <c r="I706" s="2"/>
      <c r="J706" s="2">
        <f t="shared" si="290"/>
        <v>0.48115091906652169</v>
      </c>
      <c r="K706" s="2">
        <f t="shared" si="291"/>
        <v>0.45046901468989409</v>
      </c>
      <c r="L706" s="2">
        <f t="shared" si="292"/>
        <v>6.2198174508861972E-3</v>
      </c>
      <c r="M706" s="2">
        <f t="shared" si="293"/>
        <v>6.2160248792697971E-2</v>
      </c>
      <c r="N706" s="63">
        <v>38060</v>
      </c>
      <c r="O706" s="63">
        <v>35633</v>
      </c>
      <c r="P706" s="63">
        <v>492</v>
      </c>
      <c r="Q706" s="63">
        <v>3725</v>
      </c>
      <c r="R706" s="63">
        <v>1085</v>
      </c>
      <c r="S706" s="63">
        <v>84</v>
      </c>
      <c r="T706" s="63"/>
      <c r="U706" s="63"/>
      <c r="V706" s="63"/>
      <c r="W706" s="63">
        <f>IF(Copyright!B$11=1,IF(CA706&gt;0,CA706-SUM(S706:V706)-P706-SUM(X706:AQ706),SUM(CB706:CW706)),SUM(CC706:CW706))</f>
        <v>1</v>
      </c>
      <c r="X706" s="63"/>
      <c r="Y706" s="63">
        <v>21</v>
      </c>
      <c r="Z706" s="63"/>
      <c r="AA706" s="63"/>
      <c r="AB706" s="63"/>
      <c r="AC706" s="63"/>
      <c r="AD706" s="63"/>
      <c r="AE706" s="63">
        <v>1</v>
      </c>
      <c r="AF706" s="63"/>
      <c r="AG706" s="63"/>
      <c r="AH706" s="63"/>
      <c r="AI706" s="63"/>
      <c r="AJ706" s="63"/>
      <c r="AK706" s="63"/>
      <c r="AL706" s="63"/>
      <c r="AM706" s="63">
        <v>0</v>
      </c>
      <c r="AN706" s="63"/>
      <c r="AO706" s="63"/>
      <c r="AP706" s="63"/>
      <c r="AQ706" s="63"/>
      <c r="AR706" s="63"/>
      <c r="AS706" s="63"/>
      <c r="AT706" s="63"/>
      <c r="AU706" s="63"/>
      <c r="AW706" s="5">
        <f>IF(Q706&gt;0,RANK(Q706,(N706:P706,Q706:AE706)),0)</f>
        <v>3</v>
      </c>
      <c r="AX706" s="5">
        <f>IF(R706&gt;0,RANK(R706,(N706:P706,Q706:AE706)),0)</f>
        <v>4</v>
      </c>
      <c r="AY706" s="5">
        <f>IF(T706&gt;0,RANK(T706,(N706:P706,Q706:AE706)),0)</f>
        <v>0</v>
      </c>
      <c r="AZ706" s="5">
        <f>IF(S706&gt;0,RANK(S706,(N706:P706,Q706:AE706)),0)</f>
        <v>6</v>
      </c>
      <c r="BA706" s="2">
        <f t="shared" si="294"/>
        <v>4.7091097570225782E-2</v>
      </c>
      <c r="BB706" s="2">
        <f t="shared" si="295"/>
        <v>1.3716467345958383E-2</v>
      </c>
      <c r="BC706" s="2">
        <f t="shared" si="296"/>
        <v>0</v>
      </c>
      <c r="BD706" s="2">
        <f t="shared" si="297"/>
        <v>1.0619200525903265E-3</v>
      </c>
      <c r="BF706" t="s">
        <v>718</v>
      </c>
      <c r="BG706" t="s">
        <v>1368</v>
      </c>
      <c r="BJ706" s="114">
        <v>17</v>
      </c>
      <c r="BK706" s="116">
        <v>143</v>
      </c>
      <c r="BL706" s="120">
        <f t="shared" si="286"/>
        <v>17143</v>
      </c>
      <c r="BN706" s="5" t="s">
        <v>3154</v>
      </c>
      <c r="BW706" s="8"/>
      <c r="BY706" s="63">
        <f t="shared" si="298"/>
        <v>-79102</v>
      </c>
      <c r="CA706" s="133">
        <v>0</v>
      </c>
      <c r="CB706" s="132"/>
      <c r="CD706" s="63">
        <v>0</v>
      </c>
      <c r="CE706" s="63">
        <v>0</v>
      </c>
      <c r="CF706" s="63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1</v>
      </c>
      <c r="CM706" s="8">
        <v>0</v>
      </c>
      <c r="CN706" s="8">
        <v>0</v>
      </c>
      <c r="CO706" s="8">
        <v>0</v>
      </c>
      <c r="CP706" s="8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</row>
    <row r="707" spans="1:100" hidden="1" outlineLevel="1">
      <c r="A707" t="s">
        <v>2118</v>
      </c>
      <c r="B707" t="s">
        <v>1368</v>
      </c>
      <c r="C707" s="1">
        <f t="shared" si="287"/>
        <v>9874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6</v>
      </c>
      <c r="G707" s="132">
        <f t="shared" si="288"/>
        <v>4393</v>
      </c>
      <c r="H707" s="137">
        <f t="shared" si="289"/>
        <v>0.44490581324691109</v>
      </c>
      <c r="I707" s="2"/>
      <c r="J707" s="2">
        <f t="shared" si="290"/>
        <v>0.24934170548916346</v>
      </c>
      <c r="K707" s="2">
        <f t="shared" si="291"/>
        <v>0.69424751873607449</v>
      </c>
      <c r="L707" s="2">
        <f t="shared" si="292"/>
        <v>2.0255215718047396E-3</v>
      </c>
      <c r="M707" s="2">
        <f t="shared" si="293"/>
        <v>5.4385254202957319E-2</v>
      </c>
      <c r="N707" s="63">
        <v>2462</v>
      </c>
      <c r="O707" s="63">
        <v>6855</v>
      </c>
      <c r="P707" s="63">
        <v>20</v>
      </c>
      <c r="Q707" s="63">
        <v>347</v>
      </c>
      <c r="R707" s="63">
        <v>113</v>
      </c>
      <c r="S707" s="63">
        <v>1</v>
      </c>
      <c r="T707" s="63"/>
      <c r="U707" s="63"/>
      <c r="V707" s="63"/>
      <c r="W707" s="63">
        <f>IF(Copyright!B$11=1,IF(CA707&gt;0,CA707-SUM(S707:V707)-P707-SUM(X707:AQ707),SUM(CB707:CW707)),SUM(CC707:CW707))</f>
        <v>76</v>
      </c>
      <c r="X707" s="63"/>
      <c r="Y707" s="63">
        <v>0</v>
      </c>
      <c r="Z707" s="63"/>
      <c r="AA707" s="63"/>
      <c r="AB707" s="63"/>
      <c r="AC707" s="63"/>
      <c r="AD707" s="63"/>
      <c r="AE707" s="63">
        <v>0</v>
      </c>
      <c r="AF707" s="63"/>
      <c r="AG707" s="63"/>
      <c r="AH707" s="63"/>
      <c r="AI707" s="63"/>
      <c r="AJ707" s="63"/>
      <c r="AK707" s="63"/>
      <c r="AL707" s="63"/>
      <c r="AM707" s="63">
        <v>0</v>
      </c>
      <c r="AN707" s="63"/>
      <c r="AO707" s="63"/>
      <c r="AP707" s="63"/>
      <c r="AQ707" s="63"/>
      <c r="AR707" s="63"/>
      <c r="AS707" s="63"/>
      <c r="AT707" s="63"/>
      <c r="AU707" s="63"/>
      <c r="AW707" s="5">
        <f>IF(Q707&gt;0,RANK(Q707,(N707:P707,Q707:AE707)),0)</f>
        <v>3</v>
      </c>
      <c r="AX707" s="5">
        <f>IF(R707&gt;0,RANK(R707,(N707:P707,Q707:AE707)),0)</f>
        <v>4</v>
      </c>
      <c r="AY707" s="5">
        <f>IF(T707&gt;0,RANK(T707,(N707:P707,Q707:AE707)),0)</f>
        <v>0</v>
      </c>
      <c r="AZ707" s="5">
        <f>IF(S707&gt;0,RANK(S707,(N707:P707,Q707:AE707)),0)</f>
        <v>7</v>
      </c>
      <c r="BA707" s="2">
        <f t="shared" si="294"/>
        <v>3.5142799270812236E-2</v>
      </c>
      <c r="BB707" s="2">
        <f t="shared" si="295"/>
        <v>1.144419688069678E-2</v>
      </c>
      <c r="BC707" s="2">
        <f t="shared" si="296"/>
        <v>0</v>
      </c>
      <c r="BD707" s="2">
        <f t="shared" si="297"/>
        <v>1.0127607859023699E-4</v>
      </c>
      <c r="BF707" t="s">
        <v>2118</v>
      </c>
      <c r="BG707" t="s">
        <v>1368</v>
      </c>
      <c r="BH707">
        <v>12</v>
      </c>
      <c r="BJ707" s="114">
        <v>17</v>
      </c>
      <c r="BK707" s="116">
        <v>145</v>
      </c>
      <c r="BL707" s="120">
        <f t="shared" si="286"/>
        <v>17145</v>
      </c>
      <c r="BN707" s="5" t="s">
        <v>3154</v>
      </c>
      <c r="BW707" s="8"/>
      <c r="BY707" s="63">
        <f t="shared" si="298"/>
        <v>0</v>
      </c>
      <c r="BZ707" s="63">
        <v>9874</v>
      </c>
      <c r="CA707" s="132">
        <f>76+1+20</f>
        <v>97</v>
      </c>
      <c r="CB707" s="132"/>
      <c r="CD707" s="63">
        <v>0</v>
      </c>
      <c r="CE707" s="63">
        <v>0</v>
      </c>
      <c r="CF707" s="63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</row>
    <row r="708" spans="1:100" hidden="1" outlineLevel="1">
      <c r="A708" t="s">
        <v>1670</v>
      </c>
      <c r="B708" t="s">
        <v>1368</v>
      </c>
      <c r="C708" s="1">
        <f t="shared" si="287"/>
        <v>9060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6</v>
      </c>
      <c r="G708" s="132">
        <f t="shared" si="288"/>
        <v>2989</v>
      </c>
      <c r="H708" s="137">
        <f t="shared" si="289"/>
        <v>0.32991169977924945</v>
      </c>
      <c r="I708" s="2"/>
      <c r="J708" s="2">
        <f t="shared" si="290"/>
        <v>0.29194260485651213</v>
      </c>
      <c r="K708" s="2">
        <f t="shared" si="291"/>
        <v>0.62185430463576163</v>
      </c>
      <c r="L708" s="2">
        <f t="shared" si="292"/>
        <v>4.7461368653421631E-3</v>
      </c>
      <c r="M708" s="2">
        <f t="shared" si="293"/>
        <v>8.1456953642384075E-2</v>
      </c>
      <c r="N708" s="63">
        <v>2645</v>
      </c>
      <c r="O708" s="63">
        <v>5634</v>
      </c>
      <c r="P708" s="63">
        <v>43</v>
      </c>
      <c r="Q708" s="63">
        <v>558</v>
      </c>
      <c r="R708" s="63">
        <v>83</v>
      </c>
      <c r="S708" s="63">
        <v>9</v>
      </c>
      <c r="T708" s="63"/>
      <c r="U708" s="63"/>
      <c r="V708" s="63"/>
      <c r="W708" s="63">
        <f>IF(Copyright!B$11=1,IF(CA708&gt;0,CA708-SUM(S708:V708)-P708-SUM(X708:AQ708),SUM(CB708:CW708)),SUM(CC708:CW708))</f>
        <v>88</v>
      </c>
      <c r="X708" s="63"/>
      <c r="Y708" s="63">
        <v>0</v>
      </c>
      <c r="Z708" s="63"/>
      <c r="AA708" s="63"/>
      <c r="AB708" s="63"/>
      <c r="AC708" s="63"/>
      <c r="AD708" s="63"/>
      <c r="AE708" s="63">
        <v>0</v>
      </c>
      <c r="AF708" s="63"/>
      <c r="AG708" s="63"/>
      <c r="AH708" s="63"/>
      <c r="AI708" s="63"/>
      <c r="AJ708" s="63"/>
      <c r="AK708" s="63"/>
      <c r="AL708" s="63"/>
      <c r="AM708" s="63">
        <v>0</v>
      </c>
      <c r="AN708" s="63"/>
      <c r="AO708" s="63"/>
      <c r="AP708" s="63"/>
      <c r="AQ708" s="63"/>
      <c r="AR708" s="63"/>
      <c r="AS708" s="63"/>
      <c r="AT708" s="63"/>
      <c r="AU708" s="63"/>
      <c r="AW708" s="5">
        <f>IF(Q708&gt;0,RANK(Q708,(N708:P708,Q708:AE708)),0)</f>
        <v>3</v>
      </c>
      <c r="AX708" s="5">
        <f>IF(R708&gt;0,RANK(R708,(N708:P708,Q708:AE708)),0)</f>
        <v>5</v>
      </c>
      <c r="AY708" s="5">
        <f>IF(T708&gt;0,RANK(T708,(N708:P708,Q708:AE708)),0)</f>
        <v>0</v>
      </c>
      <c r="AZ708" s="5">
        <f>IF(S708&gt;0,RANK(S708,(N708:P708,Q708:AE708)),0)</f>
        <v>7</v>
      </c>
      <c r="BA708" s="2">
        <f t="shared" si="294"/>
        <v>6.1589403973509933E-2</v>
      </c>
      <c r="BB708" s="2">
        <f t="shared" si="295"/>
        <v>9.1611479028697578E-3</v>
      </c>
      <c r="BC708" s="2">
        <f t="shared" si="296"/>
        <v>0</v>
      </c>
      <c r="BD708" s="2">
        <f t="shared" si="297"/>
        <v>9.9337748344370861E-4</v>
      </c>
      <c r="BF708" t="s">
        <v>1670</v>
      </c>
      <c r="BG708" t="s">
        <v>1368</v>
      </c>
      <c r="BH708">
        <v>13</v>
      </c>
      <c r="BJ708" s="114">
        <v>17</v>
      </c>
      <c r="BK708" s="116">
        <v>147</v>
      </c>
      <c r="BL708" s="120">
        <f t="shared" si="286"/>
        <v>17147</v>
      </c>
      <c r="BN708" s="5" t="s">
        <v>3154</v>
      </c>
      <c r="BR708" s="63"/>
      <c r="BW708" s="8"/>
      <c r="BX708" s="132" t="s">
        <v>3257</v>
      </c>
      <c r="BY708" s="63">
        <f t="shared" si="298"/>
        <v>0</v>
      </c>
      <c r="BZ708" s="63">
        <v>9060</v>
      </c>
      <c r="CA708" s="132">
        <f>88+9+43</f>
        <v>140</v>
      </c>
      <c r="CB708" s="132"/>
      <c r="CD708" s="63">
        <v>0</v>
      </c>
      <c r="CE708" s="63">
        <v>0</v>
      </c>
      <c r="CF708" s="63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</row>
    <row r="709" spans="1:100" hidden="1" outlineLevel="1">
      <c r="A709" t="s">
        <v>2655</v>
      </c>
      <c r="B709" t="s">
        <v>1368</v>
      </c>
      <c r="C709" s="1">
        <f t="shared" si="287"/>
        <v>7530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>IF(P709&gt;0,RANK(P709,(N709:P709,Q709:AE709)),0)</f>
        <v>6</v>
      </c>
      <c r="G709" s="132">
        <f t="shared" si="288"/>
        <v>4341</v>
      </c>
      <c r="H709" s="137">
        <f t="shared" si="289"/>
        <v>0.57649402390438242</v>
      </c>
      <c r="I709" s="2"/>
      <c r="J709" s="2">
        <f t="shared" si="290"/>
        <v>0.18764940239043826</v>
      </c>
      <c r="K709" s="2">
        <f t="shared" si="291"/>
        <v>0.76414342629482068</v>
      </c>
      <c r="L709" s="2">
        <f t="shared" si="292"/>
        <v>1.5936254980079682E-3</v>
      </c>
      <c r="M709" s="2">
        <f t="shared" si="293"/>
        <v>4.661354581673309E-2</v>
      </c>
      <c r="N709" s="63">
        <v>1413</v>
      </c>
      <c r="O709" s="63">
        <v>5754</v>
      </c>
      <c r="P709" s="63">
        <v>12</v>
      </c>
      <c r="Q709" s="63">
        <v>257</v>
      </c>
      <c r="R709" s="63">
        <v>40</v>
      </c>
      <c r="S709" s="63">
        <v>3</v>
      </c>
      <c r="T709" s="63"/>
      <c r="U709" s="63"/>
      <c r="V709" s="63"/>
      <c r="W709" s="63">
        <f>IF(Copyright!B$11=1,IF(CA709&gt;0,CA709-SUM(S709:V709)-P709-SUM(X709:AQ709),SUM(CB709:CW709)),SUM(CC709:CW709))</f>
        <v>50</v>
      </c>
      <c r="X709" s="63"/>
      <c r="Y709" s="63">
        <v>1</v>
      </c>
      <c r="Z709" s="63"/>
      <c r="AA709" s="63"/>
      <c r="AB709" s="63"/>
      <c r="AC709" s="63"/>
      <c r="AD709" s="63"/>
      <c r="AE709" s="63">
        <v>0</v>
      </c>
      <c r="AF709" s="63"/>
      <c r="AG709" s="63"/>
      <c r="AH709" s="63"/>
      <c r="AI709" s="63"/>
      <c r="AJ709" s="63"/>
      <c r="AK709" s="63"/>
      <c r="AL709" s="63"/>
      <c r="AM709" s="63">
        <v>0</v>
      </c>
      <c r="AN709" s="63"/>
      <c r="AO709" s="63"/>
      <c r="AP709" s="63"/>
      <c r="AQ709" s="63"/>
      <c r="AR709" s="63"/>
      <c r="AS709" s="63"/>
      <c r="AT709" s="63"/>
      <c r="AU709" s="63"/>
      <c r="AW709" s="5">
        <f>IF(Q709&gt;0,RANK(Q709,(N709:P709,Q709:AE709)),0)</f>
        <v>3</v>
      </c>
      <c r="AX709" s="5">
        <f>IF(R709&gt;0,RANK(R709,(N709:P709,Q709:AE709)),0)</f>
        <v>5</v>
      </c>
      <c r="AY709" s="5">
        <f>IF(T709&gt;0,RANK(T709,(N709:P709,Q709:AE709)),0)</f>
        <v>0</v>
      </c>
      <c r="AZ709" s="5">
        <f>IF(S709&gt;0,RANK(S709,(N709:P709,Q709:AE709)),0)</f>
        <v>7</v>
      </c>
      <c r="BA709" s="2">
        <f t="shared" si="294"/>
        <v>3.4130146082337318E-2</v>
      </c>
      <c r="BB709" s="2">
        <f t="shared" si="295"/>
        <v>5.3120849933598934E-3</v>
      </c>
      <c r="BC709" s="2">
        <f t="shared" si="296"/>
        <v>0</v>
      </c>
      <c r="BD709" s="2">
        <f t="shared" si="297"/>
        <v>3.9840637450199205E-4</v>
      </c>
      <c r="BF709" t="s">
        <v>2655</v>
      </c>
      <c r="BG709" t="s">
        <v>1368</v>
      </c>
      <c r="BH709">
        <v>18</v>
      </c>
      <c r="BJ709" s="114">
        <v>17</v>
      </c>
      <c r="BK709" s="116">
        <v>149</v>
      </c>
      <c r="BL709" s="120">
        <f t="shared" si="286"/>
        <v>17149</v>
      </c>
      <c r="BN709" s="5" t="s">
        <v>3154</v>
      </c>
      <c r="BW709" s="8"/>
      <c r="BX709" s="132" t="s">
        <v>3255</v>
      </c>
      <c r="BY709" s="63">
        <f t="shared" si="298"/>
        <v>0</v>
      </c>
      <c r="BZ709" s="63">
        <v>7530</v>
      </c>
      <c r="CA709" s="132">
        <v>66</v>
      </c>
      <c r="CB709" s="132"/>
      <c r="CD709" s="63">
        <v>0</v>
      </c>
      <c r="CE709" s="63">
        <v>0</v>
      </c>
      <c r="CF709" s="63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</row>
    <row r="710" spans="1:100" hidden="1" outlineLevel="1">
      <c r="A710" t="s">
        <v>567</v>
      </c>
      <c r="B710" t="s">
        <v>1368</v>
      </c>
      <c r="C710" s="1">
        <f t="shared" si="287"/>
        <v>2142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>IF(P710&gt;0,RANK(P710,(N710:P710,Q710:AE710)),0)</f>
        <v>7</v>
      </c>
      <c r="G710" s="132">
        <f t="shared" si="288"/>
        <v>1303</v>
      </c>
      <c r="H710" s="137">
        <f t="shared" si="289"/>
        <v>0.60830999066293179</v>
      </c>
      <c r="I710" s="2"/>
      <c r="J710" s="2">
        <f t="shared" si="290"/>
        <v>0.17507002801120447</v>
      </c>
      <c r="K710" s="2">
        <f t="shared" si="291"/>
        <v>0.78338001867413631</v>
      </c>
      <c r="L710" s="2">
        <f t="shared" si="292"/>
        <v>4.6685340802987864E-4</v>
      </c>
      <c r="M710" s="2">
        <f t="shared" si="293"/>
        <v>4.1083099906629283E-2</v>
      </c>
      <c r="N710" s="63">
        <v>375</v>
      </c>
      <c r="O710" s="63">
        <v>1678</v>
      </c>
      <c r="P710" s="63">
        <v>1</v>
      </c>
      <c r="Q710" s="63">
        <v>62</v>
      </c>
      <c r="R710" s="63">
        <v>18</v>
      </c>
      <c r="S710" s="63">
        <v>2</v>
      </c>
      <c r="T710" s="63"/>
      <c r="U710" s="63"/>
      <c r="V710" s="63"/>
      <c r="W710" s="63">
        <f>IF(Copyright!B$11=1,IF(CA710&gt;0,CA710-SUM(S710:V710)-P710-SUM(X710:AQ710),SUM(CB710:CW710)),SUM(CC710:CW710))</f>
        <v>6</v>
      </c>
      <c r="X710" s="63"/>
      <c r="Y710" s="63">
        <v>0</v>
      </c>
      <c r="Z710" s="63"/>
      <c r="AA710" s="63"/>
      <c r="AB710" s="63"/>
      <c r="AC710" s="63"/>
      <c r="AD710" s="63"/>
      <c r="AE710" s="63">
        <v>0</v>
      </c>
      <c r="AF710" s="63"/>
      <c r="AG710" s="63"/>
      <c r="AH710" s="63"/>
      <c r="AI710" s="63"/>
      <c r="AJ710" s="63"/>
      <c r="AK710" s="63"/>
      <c r="AL710" s="63"/>
      <c r="AM710" s="63">
        <v>0</v>
      </c>
      <c r="AN710" s="63"/>
      <c r="AO710" s="63"/>
      <c r="AP710" s="63"/>
      <c r="AQ710" s="63"/>
      <c r="AR710" s="63"/>
      <c r="AS710" s="63"/>
      <c r="AT710" s="63"/>
      <c r="AU710" s="63"/>
      <c r="AW710" s="5">
        <f>IF(Q710&gt;0,RANK(Q710,(N710:P710,Q710:AE710)),0)</f>
        <v>3</v>
      </c>
      <c r="AX710" s="5">
        <f>IF(R710&gt;0,RANK(R710,(N710:P710,Q710:AE710)),0)</f>
        <v>4</v>
      </c>
      <c r="AY710" s="5">
        <f>IF(T710&gt;0,RANK(T710,(N710:P710,Q710:AE710)),0)</f>
        <v>0</v>
      </c>
      <c r="AZ710" s="5">
        <f>IF(S710&gt;0,RANK(S710,(N710:P710,Q710:AE710)),0)</f>
        <v>6</v>
      </c>
      <c r="BA710" s="2">
        <f t="shared" si="294"/>
        <v>2.8944911297852476E-2</v>
      </c>
      <c r="BB710" s="2">
        <f t="shared" si="295"/>
        <v>8.4033613445378148E-3</v>
      </c>
      <c r="BC710" s="2">
        <f t="shared" si="296"/>
        <v>0</v>
      </c>
      <c r="BD710" s="2">
        <f t="shared" si="297"/>
        <v>9.3370681605975728E-4</v>
      </c>
      <c r="BF710" t="s">
        <v>567</v>
      </c>
      <c r="BG710" t="s">
        <v>1368</v>
      </c>
      <c r="BH710">
        <v>15</v>
      </c>
      <c r="BJ710" s="114">
        <v>17</v>
      </c>
      <c r="BK710" s="116">
        <v>151</v>
      </c>
      <c r="BL710" s="120">
        <f t="shared" si="286"/>
        <v>17151</v>
      </c>
      <c r="BN710" s="5" t="s">
        <v>3154</v>
      </c>
      <c r="BW710" s="8"/>
      <c r="BY710" s="63">
        <f t="shared" si="298"/>
        <v>0</v>
      </c>
      <c r="BZ710" s="63">
        <v>2142</v>
      </c>
      <c r="CA710" s="132">
        <v>9</v>
      </c>
      <c r="CB710" s="132"/>
      <c r="CD710" s="63">
        <v>0</v>
      </c>
      <c r="CE710" s="63">
        <v>0</v>
      </c>
      <c r="CF710" s="63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</row>
    <row r="711" spans="1:100" hidden="1" outlineLevel="1">
      <c r="A711" t="s">
        <v>2087</v>
      </c>
      <c r="B711" t="s">
        <v>1368</v>
      </c>
      <c r="C711" s="1">
        <f t="shared" si="287"/>
        <v>2735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>IF(P711&gt;0,RANK(P711,(N711:P711,Q711:AE711)),0)</f>
        <v>0</v>
      </c>
      <c r="G711" s="132">
        <f t="shared" si="288"/>
        <v>713</v>
      </c>
      <c r="H711" s="137">
        <f t="shared" si="289"/>
        <v>0.2606946983546618</v>
      </c>
      <c r="I711" s="2"/>
      <c r="J711" s="2">
        <f t="shared" si="290"/>
        <v>0.35173674588665449</v>
      </c>
      <c r="K711" s="2">
        <f t="shared" si="291"/>
        <v>0.61243144424131624</v>
      </c>
      <c r="L711" s="2">
        <f t="shared" si="292"/>
        <v>0</v>
      </c>
      <c r="M711" s="2">
        <f t="shared" si="293"/>
        <v>3.5831809872029274E-2</v>
      </c>
      <c r="N711" s="63">
        <v>962</v>
      </c>
      <c r="O711" s="63">
        <v>1675</v>
      </c>
      <c r="P711" s="63">
        <v>0</v>
      </c>
      <c r="Q711" s="63">
        <v>55</v>
      </c>
      <c r="R711" s="63">
        <v>20</v>
      </c>
      <c r="S711" s="63">
        <v>0</v>
      </c>
      <c r="T711" s="63"/>
      <c r="U711" s="63"/>
      <c r="V711" s="63"/>
      <c r="W711" s="63">
        <f>IF(Copyright!B$11=1,IF(CA711&gt;0,CA711-SUM(S711:V711)-P711-SUM(X711:AQ711),SUM(CB711:CW711)),SUM(CC711:CW711))</f>
        <v>23</v>
      </c>
      <c r="X711" s="63"/>
      <c r="Y711" s="63">
        <v>0</v>
      </c>
      <c r="Z711" s="63"/>
      <c r="AA711" s="63"/>
      <c r="AB711" s="63"/>
      <c r="AC711" s="63"/>
      <c r="AD711" s="63"/>
      <c r="AE711" s="63">
        <v>0</v>
      </c>
      <c r="AF711" s="63"/>
      <c r="AG711" s="63"/>
      <c r="AH711" s="63"/>
      <c r="AI711" s="63"/>
      <c r="AJ711" s="63"/>
      <c r="AK711" s="63"/>
      <c r="AL711" s="63"/>
      <c r="AM711" s="63">
        <v>0</v>
      </c>
      <c r="AN711" s="63"/>
      <c r="AO711" s="63"/>
      <c r="AP711" s="63"/>
      <c r="AQ711" s="63"/>
      <c r="AR711" s="63"/>
      <c r="AS711" s="63"/>
      <c r="AT711" s="63"/>
      <c r="AU711" s="63"/>
      <c r="AW711" s="5">
        <f>IF(Q711&gt;0,RANK(Q711,(N711:P711,Q711:AE711)),0)</f>
        <v>3</v>
      </c>
      <c r="AX711" s="5">
        <f>IF(R711&gt;0,RANK(R711,(N711:P711,Q711:AE711)),0)</f>
        <v>5</v>
      </c>
      <c r="AY711" s="5">
        <f>IF(T711&gt;0,RANK(T711,(N711:P711,Q711:AE711)),0)</f>
        <v>0</v>
      </c>
      <c r="AZ711" s="5">
        <f>IF(S711&gt;0,RANK(S711,(N711:P711,Q711:AE711)),0)</f>
        <v>0</v>
      </c>
      <c r="BA711" s="2">
        <f t="shared" si="294"/>
        <v>2.0109689213893969E-2</v>
      </c>
      <c r="BB711" s="2">
        <f t="shared" si="295"/>
        <v>7.3126142595978062E-3</v>
      </c>
      <c r="BC711" s="2">
        <f t="shared" si="296"/>
        <v>0</v>
      </c>
      <c r="BD711" s="2">
        <f t="shared" si="297"/>
        <v>0</v>
      </c>
      <c r="BF711" t="s">
        <v>2087</v>
      </c>
      <c r="BG711" t="s">
        <v>1368</v>
      </c>
      <c r="BH711">
        <v>12</v>
      </c>
      <c r="BJ711" s="114">
        <v>17</v>
      </c>
      <c r="BK711" s="116">
        <v>153</v>
      </c>
      <c r="BL711" s="120">
        <f t="shared" si="286"/>
        <v>17153</v>
      </c>
      <c r="BN711" s="5" t="s">
        <v>3154</v>
      </c>
      <c r="BW711" s="8"/>
      <c r="BY711" s="63">
        <f t="shared" si="298"/>
        <v>-2735</v>
      </c>
      <c r="CA711" s="132">
        <v>23</v>
      </c>
      <c r="CB711" s="132"/>
      <c r="CD711" s="63">
        <v>0</v>
      </c>
      <c r="CE711" s="63">
        <v>0</v>
      </c>
      <c r="CF711" s="63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 hidden="1" outlineLevel="1">
      <c r="A712" t="s">
        <v>955</v>
      </c>
      <c r="B712" t="s">
        <v>1368</v>
      </c>
      <c r="C712" s="1">
        <f t="shared" si="287"/>
        <v>3112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>IF(P712&gt;0,RANK(P712,(N712:P712,Q712:AE712)),0)</f>
        <v>6</v>
      </c>
      <c r="G712" s="132">
        <f t="shared" si="288"/>
        <v>620</v>
      </c>
      <c r="H712" s="137">
        <f t="shared" si="289"/>
        <v>0.19922879177377892</v>
      </c>
      <c r="I712" s="2"/>
      <c r="J712" s="2">
        <f t="shared" si="290"/>
        <v>0.36857326478149099</v>
      </c>
      <c r="K712" s="2">
        <f t="shared" si="291"/>
        <v>0.56780205655526994</v>
      </c>
      <c r="L712" s="2">
        <f t="shared" si="292"/>
        <v>3.2133676092544985E-4</v>
      </c>
      <c r="M712" s="2">
        <f t="shared" si="293"/>
        <v>6.3303341902313612E-2</v>
      </c>
      <c r="N712" s="63">
        <v>1147</v>
      </c>
      <c r="O712" s="63">
        <v>1767</v>
      </c>
      <c r="P712" s="63">
        <v>1</v>
      </c>
      <c r="Q712" s="63">
        <v>136</v>
      </c>
      <c r="R712" s="63">
        <v>35</v>
      </c>
      <c r="S712" s="63">
        <v>0</v>
      </c>
      <c r="T712" s="63"/>
      <c r="U712" s="63"/>
      <c r="V712" s="63"/>
      <c r="W712" s="63">
        <f>IF(Copyright!B$11=1,IF(CA712&gt;0,CA712-SUM(S712:V712)-P712-SUM(X712:AQ712),SUM(CB712:CW712)),SUM(CC712:CW712))</f>
        <v>26</v>
      </c>
      <c r="X712" s="63"/>
      <c r="Y712" s="63">
        <v>0</v>
      </c>
      <c r="Z712" s="63"/>
      <c r="AA712" s="63"/>
      <c r="AB712" s="63"/>
      <c r="AC712" s="63"/>
      <c r="AD712" s="63"/>
      <c r="AE712" s="63">
        <v>0</v>
      </c>
      <c r="AF712" s="63"/>
      <c r="AG712" s="63"/>
      <c r="AH712" s="63"/>
      <c r="AI712" s="63"/>
      <c r="AJ712" s="63"/>
      <c r="AK712" s="63"/>
      <c r="AL712" s="63"/>
      <c r="AM712" s="63">
        <v>0</v>
      </c>
      <c r="AN712" s="63"/>
      <c r="AO712" s="63"/>
      <c r="AP712" s="63"/>
      <c r="AQ712" s="63"/>
      <c r="AR712" s="63"/>
      <c r="AS712" s="63"/>
      <c r="AT712" s="63"/>
      <c r="AU712" s="63"/>
      <c r="AW712" s="5">
        <f>IF(Q712&gt;0,RANK(Q712,(N712:P712,Q712:AE712)),0)</f>
        <v>3</v>
      </c>
      <c r="AX712" s="5">
        <f>IF(R712&gt;0,RANK(R712,(N712:P712,Q712:AE712)),0)</f>
        <v>4</v>
      </c>
      <c r="AY712" s="5">
        <f>IF(T712&gt;0,RANK(T712,(N712:P712,Q712:AE712)),0)</f>
        <v>0</v>
      </c>
      <c r="AZ712" s="5">
        <f>IF(S712&gt;0,RANK(S712,(N712:P712,Q712:AE712)),0)</f>
        <v>0</v>
      </c>
      <c r="BA712" s="2">
        <f t="shared" si="294"/>
        <v>4.3701799485861184E-2</v>
      </c>
      <c r="BB712" s="2">
        <f t="shared" si="295"/>
        <v>1.1246786632390746E-2</v>
      </c>
      <c r="BC712" s="2">
        <f t="shared" si="296"/>
        <v>0</v>
      </c>
      <c r="BD712" s="2">
        <f t="shared" si="297"/>
        <v>0</v>
      </c>
      <c r="BF712" t="s">
        <v>955</v>
      </c>
      <c r="BG712" t="s">
        <v>1368</v>
      </c>
      <c r="BH712">
        <v>16</v>
      </c>
      <c r="BJ712" s="114">
        <v>17</v>
      </c>
      <c r="BK712" s="116">
        <v>155</v>
      </c>
      <c r="BL712" s="120">
        <f t="shared" si="286"/>
        <v>17155</v>
      </c>
      <c r="BN712" s="5" t="s">
        <v>3154</v>
      </c>
      <c r="BW712" s="8"/>
      <c r="BX712" s="132" t="s">
        <v>2498</v>
      </c>
      <c r="BY712" s="63">
        <f t="shared" si="298"/>
        <v>0</v>
      </c>
      <c r="BZ712" s="63">
        <v>3112</v>
      </c>
      <c r="CA712" s="132">
        <f>3112-1767-1147-136-35</f>
        <v>27</v>
      </c>
      <c r="CB712" s="132"/>
      <c r="CD712" s="63">
        <v>0</v>
      </c>
      <c r="CE712" s="63">
        <v>0</v>
      </c>
      <c r="CF712" s="63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</row>
    <row r="713" spans="1:100" hidden="1" outlineLevel="1">
      <c r="A713" t="s">
        <v>1460</v>
      </c>
      <c r="B713" t="s">
        <v>1368</v>
      </c>
      <c r="C713" s="1">
        <f t="shared" si="287"/>
        <v>14194</v>
      </c>
      <c r="D713" s="5">
        <f>IF(N713&gt;0, RANK(N713,(N713:P713,Q713:AE713)),0)</f>
        <v>2</v>
      </c>
      <c r="E713" s="5">
        <f>IF(O713&gt;0,RANK(O713,(N713:P713,Q713:AE713)),0)</f>
        <v>1</v>
      </c>
      <c r="F713" s="5">
        <f>IF(P713&gt;0,RANK(P713,(N713:P713,Q713:AE713)),0)</f>
        <v>6</v>
      </c>
      <c r="G713" s="132">
        <f t="shared" si="288"/>
        <v>6584</v>
      </c>
      <c r="H713" s="137">
        <f t="shared" si="289"/>
        <v>0.46385796815555869</v>
      </c>
      <c r="I713" s="2"/>
      <c r="J713" s="2">
        <f t="shared" si="290"/>
        <v>0.24228547273495843</v>
      </c>
      <c r="K713" s="2">
        <f t="shared" si="291"/>
        <v>0.70614344089051717</v>
      </c>
      <c r="L713" s="2">
        <f t="shared" si="292"/>
        <v>4.9316612653233763E-4</v>
      </c>
      <c r="M713" s="2">
        <f t="shared" si="293"/>
        <v>5.1077920247992119E-2</v>
      </c>
      <c r="N713" s="63">
        <v>3439</v>
      </c>
      <c r="O713" s="63">
        <v>10023</v>
      </c>
      <c r="P713" s="63">
        <v>7</v>
      </c>
      <c r="Q713" s="63">
        <v>490</v>
      </c>
      <c r="R713" s="63">
        <v>135</v>
      </c>
      <c r="S713" s="63">
        <v>5</v>
      </c>
      <c r="T713" s="63"/>
      <c r="U713" s="63"/>
      <c r="V713" s="63"/>
      <c r="W713" s="63">
        <f>IF(Copyright!B$11=1,IF(CA713&gt;0,CA713-SUM(S713:V713)-P713-SUM(X713:AQ713),SUM(CB713:CW713)),SUM(CC713:CW713))</f>
        <v>95</v>
      </c>
      <c r="X713" s="63"/>
      <c r="Y713" s="63">
        <v>0</v>
      </c>
      <c r="Z713" s="63"/>
      <c r="AA713" s="63"/>
      <c r="AB713" s="63"/>
      <c r="AC713" s="63"/>
      <c r="AD713" s="63"/>
      <c r="AE713" s="63">
        <v>0</v>
      </c>
      <c r="AF713" s="63"/>
      <c r="AG713" s="63"/>
      <c r="AH713" s="63"/>
      <c r="AI713" s="63"/>
      <c r="AJ713" s="63"/>
      <c r="AK713" s="63"/>
      <c r="AL713" s="63"/>
      <c r="AM713" s="63">
        <v>0</v>
      </c>
      <c r="AN713" s="63"/>
      <c r="AO713" s="63"/>
      <c r="AP713" s="63"/>
      <c r="AQ713" s="63"/>
      <c r="AR713" s="63"/>
      <c r="AS713" s="63"/>
      <c r="AT713" s="63"/>
      <c r="AU713" s="63"/>
      <c r="AW713" s="5">
        <f>IF(Q713&gt;0,RANK(Q713,(N713:P713,Q713:AE713)),0)</f>
        <v>3</v>
      </c>
      <c r="AX713" s="5">
        <f>IF(R713&gt;0,RANK(R713,(N713:P713,Q713:AE713)),0)</f>
        <v>4</v>
      </c>
      <c r="AY713" s="5">
        <f>IF(T713&gt;0,RANK(T713,(N713:P713,Q713:AE713)),0)</f>
        <v>0</v>
      </c>
      <c r="AZ713" s="5">
        <f>IF(S713&gt;0,RANK(S713,(N713:P713,Q713:AE713)),0)</f>
        <v>7</v>
      </c>
      <c r="BA713" s="2">
        <f t="shared" si="294"/>
        <v>3.4521628857263634E-2</v>
      </c>
      <c r="BB713" s="2">
        <f t="shared" si="295"/>
        <v>9.5110610116950819E-3</v>
      </c>
      <c r="BC713" s="2">
        <f t="shared" si="296"/>
        <v>0</v>
      </c>
      <c r="BD713" s="2">
        <f t="shared" si="297"/>
        <v>3.522615189516697E-4</v>
      </c>
      <c r="BF713" t="s">
        <v>1460</v>
      </c>
      <c r="BG713" t="s">
        <v>1368</v>
      </c>
      <c r="BH713">
        <v>12</v>
      </c>
      <c r="BJ713" s="114">
        <v>17</v>
      </c>
      <c r="BK713" s="116">
        <v>157</v>
      </c>
      <c r="BL713" s="120">
        <f t="shared" si="286"/>
        <v>17157</v>
      </c>
      <c r="BN713" s="5" t="s">
        <v>3154</v>
      </c>
      <c r="BW713" s="8"/>
      <c r="BY713" s="63">
        <f t="shared" si="298"/>
        <v>-14194</v>
      </c>
      <c r="CA713" s="133">
        <v>107</v>
      </c>
      <c r="CB713" s="132"/>
      <c r="CD713" s="63">
        <v>0</v>
      </c>
      <c r="CE713" s="63">
        <v>0</v>
      </c>
      <c r="CF713" s="63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</row>
    <row r="714" spans="1:100" hidden="1" outlineLevel="1">
      <c r="A714" t="s">
        <v>50</v>
      </c>
      <c r="B714" t="s">
        <v>1368</v>
      </c>
      <c r="C714" s="1">
        <f t="shared" si="287"/>
        <v>7649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>IF(P714&gt;0,RANK(P714,(N714:P714,Q714:AE714)),0)</f>
        <v>5</v>
      </c>
      <c r="G714" s="132">
        <f t="shared" si="288"/>
        <v>4155</v>
      </c>
      <c r="H714" s="137">
        <f t="shared" si="289"/>
        <v>0.54320826251797616</v>
      </c>
      <c r="I714" s="2"/>
      <c r="J714" s="2">
        <f t="shared" si="290"/>
        <v>0.20708589358086024</v>
      </c>
      <c r="K714" s="2">
        <f t="shared" si="291"/>
        <v>0.75029415609883643</v>
      </c>
      <c r="L714" s="2">
        <f t="shared" si="292"/>
        <v>1.0458883514184861E-3</v>
      </c>
      <c r="M714" s="2">
        <f t="shared" si="293"/>
        <v>4.1574061968884815E-2</v>
      </c>
      <c r="N714" s="63">
        <v>1584</v>
      </c>
      <c r="O714" s="63">
        <v>5739</v>
      </c>
      <c r="P714" s="63">
        <v>8</v>
      </c>
      <c r="Q714" s="63">
        <v>235</v>
      </c>
      <c r="R714" s="63">
        <v>81</v>
      </c>
      <c r="S714" s="63">
        <v>2</v>
      </c>
      <c r="T714" s="63"/>
      <c r="U714" s="63"/>
      <c r="V714" s="63"/>
      <c r="W714" s="63">
        <f>IF(Copyright!B$11=1,IF(CA714&gt;0,CA714-SUM(S714:V714)-P714-SUM(X714:AQ714),SUM(CB714:CW714)),SUM(CC714:CW714))</f>
        <v>0</v>
      </c>
      <c r="X714" s="63"/>
      <c r="Y714" s="63">
        <v>0</v>
      </c>
      <c r="Z714" s="63"/>
      <c r="AA714" s="63"/>
      <c r="AB714" s="63"/>
      <c r="AC714" s="63"/>
      <c r="AD714" s="63"/>
      <c r="AE714" s="63">
        <v>0</v>
      </c>
      <c r="AF714" s="63"/>
      <c r="AG714" s="63"/>
      <c r="AH714" s="63"/>
      <c r="AI714" s="63"/>
      <c r="AJ714" s="63"/>
      <c r="AK714" s="63"/>
      <c r="AL714" s="63"/>
      <c r="AM714" s="63">
        <v>0</v>
      </c>
      <c r="AN714" s="63"/>
      <c r="AO714" s="63"/>
      <c r="AP714" s="63"/>
      <c r="AQ714" s="63"/>
      <c r="AR714" s="63"/>
      <c r="AS714" s="63"/>
      <c r="AT714" s="63"/>
      <c r="AU714" s="63"/>
      <c r="AW714" s="5">
        <f>IF(Q714&gt;0,RANK(Q714,(N714:P714,Q714:AE714)),0)</f>
        <v>3</v>
      </c>
      <c r="AX714" s="5">
        <f>IF(R714&gt;0,RANK(R714,(N714:P714,Q714:AE714)),0)</f>
        <v>4</v>
      </c>
      <c r="AY714" s="5">
        <f>IF(T714&gt;0,RANK(T714,(N714:P714,Q714:AE714)),0)</f>
        <v>0</v>
      </c>
      <c r="AZ714" s="5">
        <f>IF(S714&gt;0,RANK(S714,(N714:P714,Q714:AE714)),0)</f>
        <v>6</v>
      </c>
      <c r="BA714" s="2">
        <f t="shared" si="294"/>
        <v>3.0722970322918028E-2</v>
      </c>
      <c r="BB714" s="2">
        <f t="shared" si="295"/>
        <v>1.0589619558112171E-2</v>
      </c>
      <c r="BC714" s="2">
        <f t="shared" si="296"/>
        <v>0</v>
      </c>
      <c r="BD714" s="2">
        <f t="shared" si="297"/>
        <v>2.6147208785462153E-4</v>
      </c>
      <c r="BF714" t="s">
        <v>50</v>
      </c>
      <c r="BG714" t="s">
        <v>1368</v>
      </c>
      <c r="BH714">
        <v>15</v>
      </c>
      <c r="BJ714" s="114">
        <v>17</v>
      </c>
      <c r="BK714" s="116">
        <v>159</v>
      </c>
      <c r="BL714" s="120">
        <f t="shared" si="286"/>
        <v>17159</v>
      </c>
      <c r="BN714" s="5" t="s">
        <v>3154</v>
      </c>
      <c r="BW714" s="8"/>
      <c r="BY714" s="63">
        <f t="shared" si="298"/>
        <v>-7649</v>
      </c>
      <c r="CA714" s="133">
        <v>0</v>
      </c>
      <c r="CB714" s="132"/>
      <c r="CD714" s="63">
        <v>0</v>
      </c>
      <c r="CE714" s="63">
        <v>0</v>
      </c>
      <c r="CF714" s="63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</row>
    <row r="715" spans="1:100" hidden="1" outlineLevel="1">
      <c r="A715" t="s">
        <v>2047</v>
      </c>
      <c r="B715" t="s">
        <v>1368</v>
      </c>
      <c r="C715" s="1">
        <f t="shared" si="287"/>
        <v>63994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6</v>
      </c>
      <c r="G715" s="132">
        <f t="shared" si="288"/>
        <v>5300</v>
      </c>
      <c r="H715" s="137">
        <f t="shared" si="289"/>
        <v>8.2820264399787485E-2</v>
      </c>
      <c r="I715" s="2"/>
      <c r="J715" s="2">
        <f t="shared" si="290"/>
        <v>0.50470356595930865</v>
      </c>
      <c r="K715" s="2">
        <f t="shared" si="291"/>
        <v>0.4218833015595212</v>
      </c>
      <c r="L715" s="2">
        <f t="shared" si="292"/>
        <v>1.7657905428633935E-3</v>
      </c>
      <c r="M715" s="2">
        <f t="shared" si="293"/>
        <v>7.1647341938306755E-2</v>
      </c>
      <c r="N715" s="63">
        <v>32298</v>
      </c>
      <c r="O715" s="63">
        <v>26998</v>
      </c>
      <c r="P715" s="63">
        <v>113</v>
      </c>
      <c r="Q715" s="63">
        <v>3015</v>
      </c>
      <c r="R715" s="63">
        <v>733</v>
      </c>
      <c r="S715" s="63">
        <v>12</v>
      </c>
      <c r="T715" s="63"/>
      <c r="U715" s="63"/>
      <c r="V715" s="63"/>
      <c r="W715" s="63">
        <f>IF(Copyright!B$11=1,IF(CA715&gt;0,CA715-SUM(S715:V715)-P715-SUM(X715:AQ715),SUM(CB715:CW715)),SUM(CC715:CW715))</f>
        <v>824</v>
      </c>
      <c r="X715" s="63"/>
      <c r="Y715" s="63">
        <v>0</v>
      </c>
      <c r="Z715" s="63"/>
      <c r="AA715" s="63"/>
      <c r="AB715" s="63"/>
      <c r="AC715" s="63"/>
      <c r="AD715" s="63"/>
      <c r="AE715" s="63">
        <v>1</v>
      </c>
      <c r="AF715" s="63"/>
      <c r="AG715" s="63"/>
      <c r="AH715" s="63"/>
      <c r="AI715" s="63"/>
      <c r="AJ715" s="63"/>
      <c r="AK715" s="63"/>
      <c r="AL715" s="63"/>
      <c r="AM715" s="63">
        <v>0</v>
      </c>
      <c r="AN715" s="63"/>
      <c r="AO715" s="63"/>
      <c r="AP715" s="63"/>
      <c r="AQ715" s="63"/>
      <c r="AR715" s="63"/>
      <c r="AS715" s="63"/>
      <c r="AT715" s="63"/>
      <c r="AU715" s="63"/>
      <c r="AW715" s="5">
        <f>IF(Q715&gt;0,RANK(Q715,(N715:P715,Q715:AE715)),0)</f>
        <v>3</v>
      </c>
      <c r="AX715" s="5">
        <f>IF(R715&gt;0,RANK(R715,(N715:P715,Q715:AE715)),0)</f>
        <v>5</v>
      </c>
      <c r="AY715" s="5">
        <f>IF(T715&gt;0,RANK(T715,(N715:P715,Q715:AE715)),0)</f>
        <v>0</v>
      </c>
      <c r="AZ715" s="5">
        <f>IF(S715&gt;0,RANK(S715,(N715:P715,Q715:AE715)),0)</f>
        <v>7</v>
      </c>
      <c r="BA715" s="2">
        <f t="shared" si="294"/>
        <v>4.7113791917992309E-2</v>
      </c>
      <c r="BB715" s="2">
        <f t="shared" si="295"/>
        <v>1.1454198831140419E-2</v>
      </c>
      <c r="BC715" s="2">
        <f t="shared" si="296"/>
        <v>0</v>
      </c>
      <c r="BD715" s="2">
        <f t="shared" si="297"/>
        <v>1.8751757977310374E-4</v>
      </c>
      <c r="BF715" t="s">
        <v>2047</v>
      </c>
      <c r="BG715" t="s">
        <v>1368</v>
      </c>
      <c r="BH715">
        <v>17</v>
      </c>
      <c r="BJ715" s="114">
        <v>17</v>
      </c>
      <c r="BK715" s="116">
        <v>161</v>
      </c>
      <c r="BL715" s="120">
        <f t="shared" si="286"/>
        <v>17161</v>
      </c>
      <c r="BN715" s="5" t="s">
        <v>3154</v>
      </c>
      <c r="BO715" s="63">
        <v>625</v>
      </c>
      <c r="BP715" s="63">
        <v>53</v>
      </c>
      <c r="BR715" s="63"/>
      <c r="BW715" s="8"/>
      <c r="BY715" s="63">
        <f t="shared" si="298"/>
        <v>0</v>
      </c>
      <c r="BZ715" s="63">
        <f>64672-625-53</f>
        <v>63994</v>
      </c>
      <c r="CA715" s="132">
        <f>64672-625-53-26998-32298-3015-733</f>
        <v>950</v>
      </c>
      <c r="CB715" s="132"/>
      <c r="CD715" s="63">
        <v>0</v>
      </c>
      <c r="CE715" s="63">
        <v>0</v>
      </c>
      <c r="CF715" s="63">
        <v>1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</row>
    <row r="716" spans="1:100" hidden="1" outlineLevel="1">
      <c r="A716" t="s">
        <v>934</v>
      </c>
      <c r="B716" t="s">
        <v>1368</v>
      </c>
      <c r="C716" s="1">
        <f t="shared" si="287"/>
        <v>121436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>IF(P716&gt;0,RANK(P716,(N716:P716,Q716:AE716)),0)</f>
        <v>6</v>
      </c>
      <c r="G716" s="132">
        <f t="shared" si="288"/>
        <v>6899</v>
      </c>
      <c r="H716" s="137">
        <f t="shared" si="289"/>
        <v>5.6811818571099182E-2</v>
      </c>
      <c r="I716" s="2"/>
      <c r="J716" s="2">
        <f t="shared" si="290"/>
        <v>0.50031292203300504</v>
      </c>
      <c r="K716" s="2">
        <f t="shared" si="291"/>
        <v>0.44350110346190585</v>
      </c>
      <c r="L716" s="2">
        <f t="shared" si="292"/>
        <v>2.2233933924042295E-3</v>
      </c>
      <c r="M716" s="2">
        <f t="shared" si="293"/>
        <v>5.3962581112684878E-2</v>
      </c>
      <c r="N716" s="63">
        <v>60756</v>
      </c>
      <c r="O716" s="63">
        <v>53857</v>
      </c>
      <c r="P716" s="63">
        <v>270</v>
      </c>
      <c r="Q716" s="63">
        <v>4181</v>
      </c>
      <c r="R716" s="63">
        <v>1473</v>
      </c>
      <c r="S716" s="63">
        <v>36</v>
      </c>
      <c r="T716" s="63"/>
      <c r="U716" s="63"/>
      <c r="V716" s="63"/>
      <c r="W716" s="63">
        <f>IF(Copyright!B$11=1,IF(CA716&gt;0,CA716-SUM(S716:V716)-P716-SUM(X716:AQ716),SUM(CB716:CW716)),SUM(CC716:CW716))</f>
        <v>856</v>
      </c>
      <c r="X716" s="63"/>
      <c r="Y716" s="63">
        <v>7</v>
      </c>
      <c r="Z716" s="63"/>
      <c r="AA716" s="63"/>
      <c r="AB716" s="63"/>
      <c r="AC716" s="63"/>
      <c r="AD716" s="63"/>
      <c r="AE716" s="63">
        <v>0</v>
      </c>
      <c r="AF716" s="63"/>
      <c r="AG716" s="63"/>
      <c r="AH716" s="63"/>
      <c r="AI716" s="63"/>
      <c r="AJ716" s="63"/>
      <c r="AK716" s="63"/>
      <c r="AL716" s="63"/>
      <c r="AM716" s="63">
        <v>0</v>
      </c>
      <c r="AN716" s="63"/>
      <c r="AO716" s="63"/>
      <c r="AP716" s="63"/>
      <c r="AQ716" s="63"/>
      <c r="AR716" s="63"/>
      <c r="AS716" s="63"/>
      <c r="AT716" s="63"/>
      <c r="AU716" s="63"/>
      <c r="AW716" s="5">
        <f>IF(Q716&gt;0,RANK(Q716,(N716:P716,Q716:AE716)),0)</f>
        <v>3</v>
      </c>
      <c r="AX716" s="5">
        <f>IF(R716&gt;0,RANK(R716,(N716:P716,Q716:AE716)),0)</f>
        <v>4</v>
      </c>
      <c r="AY716" s="5">
        <f>IF(T716&gt;0,RANK(T716,(N716:P716,Q716:AE716)),0)</f>
        <v>0</v>
      </c>
      <c r="AZ716" s="5">
        <f>IF(S716&gt;0,RANK(S716,(N716:P716,Q716:AE716)),0)</f>
        <v>7</v>
      </c>
      <c r="BA716" s="2">
        <f t="shared" si="294"/>
        <v>3.4429658420896604E-2</v>
      </c>
      <c r="BB716" s="2">
        <f t="shared" si="295"/>
        <v>1.2129846174116407E-2</v>
      </c>
      <c r="BC716" s="2">
        <f t="shared" si="296"/>
        <v>0</v>
      </c>
      <c r="BD716" s="2">
        <f t="shared" si="297"/>
        <v>2.9645245232056393E-4</v>
      </c>
      <c r="BF716" t="s">
        <v>934</v>
      </c>
      <c r="BG716" t="s">
        <v>1368</v>
      </c>
      <c r="BH716">
        <v>12</v>
      </c>
      <c r="BJ716" s="114">
        <v>17</v>
      </c>
      <c r="BK716" s="116">
        <v>163</v>
      </c>
      <c r="BL716" s="120">
        <f t="shared" si="286"/>
        <v>17163</v>
      </c>
      <c r="BN716" s="5" t="s">
        <v>3154</v>
      </c>
      <c r="BW716" s="8"/>
      <c r="BY716" s="63">
        <f t="shared" si="298"/>
        <v>0</v>
      </c>
      <c r="BZ716" s="63">
        <f>50659+1412+53706+4151+1144+10097+61+151+30+25</f>
        <v>121436</v>
      </c>
      <c r="CA716" s="132">
        <f>1144+25</f>
        <v>1169</v>
      </c>
      <c r="CB716" s="132"/>
      <c r="CD716" s="63">
        <v>0</v>
      </c>
      <c r="CE716" s="63">
        <v>0</v>
      </c>
      <c r="CF716" s="63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</row>
    <row r="717" spans="1:100" hidden="1" outlineLevel="1">
      <c r="A717" t="s">
        <v>649</v>
      </c>
      <c r="B717" t="s">
        <v>1368</v>
      </c>
      <c r="C717" s="1">
        <f t="shared" si="287"/>
        <v>11384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>IF(P717&gt;0,RANK(P717,(N717:P717,Q717:AE717)),0)</f>
        <v>6</v>
      </c>
      <c r="G717" s="132">
        <f t="shared" si="288"/>
        <v>5704</v>
      </c>
      <c r="H717" s="137">
        <f t="shared" si="289"/>
        <v>0.50105411103302877</v>
      </c>
      <c r="I717" s="2"/>
      <c r="J717" s="2">
        <f t="shared" si="290"/>
        <v>0.22593113141250878</v>
      </c>
      <c r="K717" s="2">
        <f t="shared" si="291"/>
        <v>0.72698524244553764</v>
      </c>
      <c r="L717" s="2">
        <f t="shared" si="292"/>
        <v>1.1419536191145468E-3</v>
      </c>
      <c r="M717" s="2">
        <f t="shared" si="293"/>
        <v>4.594167252283906E-2</v>
      </c>
      <c r="N717" s="63">
        <v>2572</v>
      </c>
      <c r="O717" s="63">
        <v>8276</v>
      </c>
      <c r="P717" s="63">
        <v>13</v>
      </c>
      <c r="Q717" s="63">
        <v>358</v>
      </c>
      <c r="R717" s="63">
        <v>77</v>
      </c>
      <c r="S717" s="63">
        <v>0</v>
      </c>
      <c r="T717" s="63"/>
      <c r="U717" s="63"/>
      <c r="V717" s="63"/>
      <c r="W717" s="63">
        <f>IF(Copyright!B$11=1,IF(CA717&gt;0,CA717-SUM(S717:V717)-P717-SUM(X717:AQ717),SUM(CB717:CW717)),SUM(CC717:CW717))</f>
        <v>88</v>
      </c>
      <c r="X717" s="63"/>
      <c r="Y717" s="63">
        <v>0</v>
      </c>
      <c r="Z717" s="63"/>
      <c r="AA717" s="63"/>
      <c r="AB717" s="63"/>
      <c r="AC717" s="63"/>
      <c r="AD717" s="63"/>
      <c r="AE717" s="63">
        <v>0</v>
      </c>
      <c r="AF717" s="63"/>
      <c r="AG717" s="63"/>
      <c r="AH717" s="63"/>
      <c r="AI717" s="63"/>
      <c r="AJ717" s="63"/>
      <c r="AK717" s="63"/>
      <c r="AL717" s="63"/>
      <c r="AM717" s="63">
        <v>0</v>
      </c>
      <c r="AN717" s="63"/>
      <c r="AO717" s="63"/>
      <c r="AP717" s="63"/>
      <c r="AQ717" s="63"/>
      <c r="AR717" s="63"/>
      <c r="AS717" s="63"/>
      <c r="AT717" s="63"/>
      <c r="AU717" s="63"/>
      <c r="AW717" s="5">
        <f>IF(Q717&gt;0,RANK(Q717,(N717:P717,Q717:AE717)),0)</f>
        <v>3</v>
      </c>
      <c r="AX717" s="5">
        <f>IF(R717&gt;0,RANK(R717,(N717:P717,Q717:AE717)),0)</f>
        <v>5</v>
      </c>
      <c r="AY717" s="5">
        <f>IF(T717&gt;0,RANK(T717,(N717:P717,Q717:AE717)),0)</f>
        <v>0</v>
      </c>
      <c r="AZ717" s="5">
        <f>IF(S717&gt;0,RANK(S717,(N717:P717,Q717:AE717)),0)</f>
        <v>0</v>
      </c>
      <c r="BA717" s="2">
        <f t="shared" si="294"/>
        <v>3.1447645818692901E-2</v>
      </c>
      <c r="BB717" s="2">
        <f t="shared" si="295"/>
        <v>6.7638791286015456E-3</v>
      </c>
      <c r="BC717" s="2">
        <f t="shared" si="296"/>
        <v>0</v>
      </c>
      <c r="BD717" s="2">
        <f t="shared" si="297"/>
        <v>0</v>
      </c>
      <c r="BF717" t="s">
        <v>649</v>
      </c>
      <c r="BG717" t="s">
        <v>1368</v>
      </c>
      <c r="BH717">
        <v>15</v>
      </c>
      <c r="BJ717" s="114">
        <v>17</v>
      </c>
      <c r="BK717" s="116">
        <v>165</v>
      </c>
      <c r="BL717" s="120">
        <f t="shared" si="286"/>
        <v>17165</v>
      </c>
      <c r="BN717" s="5" t="s">
        <v>3154</v>
      </c>
      <c r="BR717" s="63"/>
      <c r="BW717" s="8"/>
      <c r="BY717" s="63">
        <f t="shared" si="298"/>
        <v>0</v>
      </c>
      <c r="BZ717" s="63">
        <f>77+101+358+2572+8276</f>
        <v>11384</v>
      </c>
      <c r="CA717" s="132">
        <v>101</v>
      </c>
      <c r="CB717" s="132"/>
      <c r="CD717" s="63">
        <v>0</v>
      </c>
      <c r="CE717" s="63">
        <v>0</v>
      </c>
      <c r="CF717" s="63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</row>
    <row r="718" spans="1:100" hidden="1" outlineLevel="1">
      <c r="A718" t="s">
        <v>2647</v>
      </c>
      <c r="B718" t="s">
        <v>1368</v>
      </c>
      <c r="C718" s="1">
        <f t="shared" si="287"/>
        <v>98373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6</v>
      </c>
      <c r="G718" s="132">
        <f t="shared" si="288"/>
        <v>9037</v>
      </c>
      <c r="H718" s="137">
        <f t="shared" si="289"/>
        <v>9.1864637654641007E-2</v>
      </c>
      <c r="I718" s="2"/>
      <c r="J718" s="2">
        <f t="shared" si="290"/>
        <v>0.41583564595976541</v>
      </c>
      <c r="K718" s="2">
        <f t="shared" si="291"/>
        <v>0.50770028361440644</v>
      </c>
      <c r="L718" s="2">
        <f t="shared" si="292"/>
        <v>3.8831793276610451E-3</v>
      </c>
      <c r="M718" s="2">
        <f t="shared" si="293"/>
        <v>7.2580891098167094E-2</v>
      </c>
      <c r="N718" s="63">
        <v>40907</v>
      </c>
      <c r="O718" s="63">
        <v>49944</v>
      </c>
      <c r="P718" s="63">
        <v>382</v>
      </c>
      <c r="Q718" s="63">
        <v>4512</v>
      </c>
      <c r="R718" s="63">
        <v>1443</v>
      </c>
      <c r="S718" s="63">
        <v>28</v>
      </c>
      <c r="T718" s="63"/>
      <c r="U718" s="63"/>
      <c r="V718" s="63"/>
      <c r="W718" s="63">
        <f>IF(Copyright!B$11=1,IF(CA718&gt;0,CA718-SUM(S718:V718)-P718-SUM(X718:AQ718),SUM(CB718:CW718)),SUM(CC718:CW718))</f>
        <v>1151</v>
      </c>
      <c r="X718" s="63"/>
      <c r="Y718" s="63">
        <v>5</v>
      </c>
      <c r="Z718" s="63"/>
      <c r="AA718" s="63"/>
      <c r="AB718" s="63"/>
      <c r="AC718" s="63"/>
      <c r="AD718" s="63"/>
      <c r="AE718" s="63">
        <v>1</v>
      </c>
      <c r="AF718" s="63"/>
      <c r="AG718" s="63"/>
      <c r="AH718" s="63"/>
      <c r="AI718" s="63"/>
      <c r="AJ718" s="63"/>
      <c r="AK718" s="63"/>
      <c r="AL718" s="63"/>
      <c r="AM718" s="63">
        <v>0</v>
      </c>
      <c r="AN718" s="63"/>
      <c r="AO718" s="63"/>
      <c r="AP718" s="63"/>
      <c r="AQ718" s="63"/>
      <c r="AR718" s="63"/>
      <c r="AS718" s="63"/>
      <c r="AT718" s="63"/>
      <c r="AU718" s="63"/>
      <c r="AW718" s="5">
        <f>IF(Q718&gt;0,RANK(Q718,(N718:P718,Q718:AE718)),0)</f>
        <v>3</v>
      </c>
      <c r="AX718" s="5">
        <f>IF(R718&gt;0,RANK(R718,(N718:P718,Q718:AE718)),0)</f>
        <v>4</v>
      </c>
      <c r="AY718" s="5">
        <f>IF(T718&gt;0,RANK(T718,(N718:P718,Q718:AE718)),0)</f>
        <v>0</v>
      </c>
      <c r="AZ718" s="5">
        <f>IF(S718&gt;0,RANK(S718,(N718:P718,Q718:AE718)),0)</f>
        <v>7</v>
      </c>
      <c r="BA718" s="2">
        <f t="shared" si="294"/>
        <v>4.5866243786404803E-2</v>
      </c>
      <c r="BB718" s="2">
        <f t="shared" si="295"/>
        <v>1.4668659083285048E-2</v>
      </c>
      <c r="BC718" s="2">
        <f t="shared" si="296"/>
        <v>0</v>
      </c>
      <c r="BD718" s="2">
        <f t="shared" si="297"/>
        <v>2.8463094548300853E-4</v>
      </c>
      <c r="BF718" t="s">
        <v>2647</v>
      </c>
      <c r="BG718" t="s">
        <v>1368</v>
      </c>
      <c r="BJ718" s="114">
        <v>17</v>
      </c>
      <c r="BK718" s="116">
        <v>167</v>
      </c>
      <c r="BL718" s="120">
        <f t="shared" si="286"/>
        <v>17167</v>
      </c>
      <c r="BN718" s="5" t="s">
        <v>3154</v>
      </c>
      <c r="BO718" s="63">
        <v>1312</v>
      </c>
      <c r="BP718" s="63">
        <v>72</v>
      </c>
      <c r="BR718" s="63"/>
      <c r="BW718" s="8"/>
      <c r="BY718" s="63">
        <f t="shared" si="298"/>
        <v>0</v>
      </c>
      <c r="BZ718" s="63">
        <v>98373</v>
      </c>
      <c r="CA718" s="132">
        <f>98373-40907-49944-4512-1443</f>
        <v>1567</v>
      </c>
      <c r="CB718" s="132"/>
      <c r="CD718" s="63">
        <v>8</v>
      </c>
      <c r="CE718" s="63">
        <v>0</v>
      </c>
      <c r="CF718" s="63">
        <v>1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3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</row>
    <row r="719" spans="1:100" hidden="1" outlineLevel="1">
      <c r="A719" t="s">
        <v>1222</v>
      </c>
      <c r="B719" t="s">
        <v>1368</v>
      </c>
      <c r="C719" s="1">
        <f t="shared" si="287"/>
        <v>3834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6</v>
      </c>
      <c r="G719" s="132">
        <f t="shared" si="288"/>
        <v>1449</v>
      </c>
      <c r="H719" s="137">
        <f t="shared" si="289"/>
        <v>0.3779342723004695</v>
      </c>
      <c r="I719" s="2"/>
      <c r="J719" s="2">
        <f t="shared" si="290"/>
        <v>0.28038601982263955</v>
      </c>
      <c r="K719" s="2">
        <f t="shared" si="291"/>
        <v>0.65832029212310905</v>
      </c>
      <c r="L719" s="2">
        <f t="shared" si="292"/>
        <v>1.5649452269170579E-3</v>
      </c>
      <c r="M719" s="2">
        <f t="shared" si="293"/>
        <v>5.9728742827334334E-2</v>
      </c>
      <c r="N719" s="63">
        <v>1075</v>
      </c>
      <c r="O719" s="63">
        <v>2524</v>
      </c>
      <c r="P719" s="63">
        <v>6</v>
      </c>
      <c r="Q719" s="63">
        <v>154</v>
      </c>
      <c r="R719" s="63">
        <v>41</v>
      </c>
      <c r="S719" s="63">
        <v>0</v>
      </c>
      <c r="T719" s="63"/>
      <c r="U719" s="63"/>
      <c r="V719" s="63"/>
      <c r="W719" s="63">
        <f>IF(Copyright!B$11=1,IF(CA719&gt;0,CA719-SUM(S719:V719)-P719-SUM(X719:AQ719),SUM(CB719:CW719)),SUM(CC719:CW719))</f>
        <v>34</v>
      </c>
      <c r="X719" s="63"/>
      <c r="Y719" s="63">
        <v>0</v>
      </c>
      <c r="Z719" s="63"/>
      <c r="AA719" s="63"/>
      <c r="AB719" s="63"/>
      <c r="AC719" s="63"/>
      <c r="AD719" s="63"/>
      <c r="AE719" s="63">
        <v>0</v>
      </c>
      <c r="AF719" s="63"/>
      <c r="AG719" s="63"/>
      <c r="AH719" s="63"/>
      <c r="AI719" s="63"/>
      <c r="AJ719" s="63"/>
      <c r="AK719" s="63"/>
      <c r="AL719" s="63"/>
      <c r="AM719" s="63">
        <v>0</v>
      </c>
      <c r="AN719" s="63"/>
      <c r="AO719" s="63"/>
      <c r="AP719" s="63"/>
      <c r="AQ719" s="63"/>
      <c r="AR719" s="63"/>
      <c r="AS719" s="63"/>
      <c r="AT719" s="63"/>
      <c r="AU719" s="63"/>
      <c r="AW719" s="5">
        <f>IF(Q719&gt;0,RANK(Q719,(N719:P719,Q719:AE719)),0)</f>
        <v>3</v>
      </c>
      <c r="AX719" s="5">
        <f>IF(R719&gt;0,RANK(R719,(N719:P719,Q719:AE719)),0)</f>
        <v>4</v>
      </c>
      <c r="AY719" s="5">
        <f>IF(T719&gt;0,RANK(T719,(N719:P719,Q719:AE719)),0)</f>
        <v>0</v>
      </c>
      <c r="AZ719" s="5">
        <f>IF(S719&gt;0,RANK(S719,(N719:P719,Q719:AE719)),0)</f>
        <v>0</v>
      </c>
      <c r="BA719" s="2">
        <f t="shared" si="294"/>
        <v>4.0166927490871154E-2</v>
      </c>
      <c r="BB719" s="2">
        <f t="shared" si="295"/>
        <v>1.069379238393323E-2</v>
      </c>
      <c r="BC719" s="2">
        <f t="shared" si="296"/>
        <v>0</v>
      </c>
      <c r="BD719" s="2">
        <f t="shared" si="297"/>
        <v>0</v>
      </c>
      <c r="BF719" t="s">
        <v>1222</v>
      </c>
      <c r="BG719" t="s">
        <v>1368</v>
      </c>
      <c r="BH719">
        <v>18</v>
      </c>
      <c r="BJ719" s="114">
        <v>17</v>
      </c>
      <c r="BK719" s="116">
        <v>169</v>
      </c>
      <c r="BL719" s="120">
        <f t="shared" si="286"/>
        <v>17169</v>
      </c>
      <c r="BN719" s="5" t="s">
        <v>3154</v>
      </c>
      <c r="BW719" s="8"/>
      <c r="BX719" s="132" t="s">
        <v>3257</v>
      </c>
      <c r="BY719" s="63">
        <f t="shared" si="298"/>
        <v>-3834</v>
      </c>
      <c r="CA719" s="133">
        <v>40</v>
      </c>
      <c r="CB719" s="132"/>
      <c r="CD719" s="63">
        <v>0</v>
      </c>
      <c r="CE719" s="63">
        <v>0</v>
      </c>
      <c r="CF719" s="63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 hidden="1" outlineLevel="1">
      <c r="A720" t="s">
        <v>830</v>
      </c>
      <c r="B720" t="s">
        <v>1368</v>
      </c>
      <c r="C720" s="1">
        <f t="shared" si="287"/>
        <v>2608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6</v>
      </c>
      <c r="G720" s="132">
        <f t="shared" si="288"/>
        <v>1431</v>
      </c>
      <c r="H720" s="137">
        <f t="shared" si="289"/>
        <v>0.54869631901840488</v>
      </c>
      <c r="I720" s="2"/>
      <c r="J720" s="2">
        <f t="shared" si="290"/>
        <v>0.20513803680981596</v>
      </c>
      <c r="K720" s="2">
        <f t="shared" si="291"/>
        <v>0.75383435582822089</v>
      </c>
      <c r="L720" s="2">
        <f t="shared" si="292"/>
        <v>1.9171779141104294E-3</v>
      </c>
      <c r="M720" s="2">
        <f t="shared" si="293"/>
        <v>3.9110429447852771E-2</v>
      </c>
      <c r="N720" s="63">
        <v>535</v>
      </c>
      <c r="O720" s="63">
        <v>1966</v>
      </c>
      <c r="P720" s="63">
        <v>5</v>
      </c>
      <c r="Q720" s="63">
        <v>68</v>
      </c>
      <c r="R720" s="63">
        <v>22</v>
      </c>
      <c r="S720" s="63">
        <v>1</v>
      </c>
      <c r="T720" s="63"/>
      <c r="U720" s="63"/>
      <c r="V720" s="63"/>
      <c r="W720" s="63">
        <f>IF(Copyright!B$11=1,IF(CA720&gt;0,CA720-SUM(S720:V720)-P720-SUM(X720:AQ720),SUM(CB720:CW720)),SUM(CC720:CW720))</f>
        <v>11</v>
      </c>
      <c r="X720" s="63"/>
      <c r="Y720" s="63">
        <v>0</v>
      </c>
      <c r="Z720" s="63"/>
      <c r="AA720" s="63"/>
      <c r="AB720" s="63"/>
      <c r="AC720" s="63"/>
      <c r="AD720" s="63"/>
      <c r="AE720" s="63">
        <v>0</v>
      </c>
      <c r="AF720" s="63"/>
      <c r="AG720" s="63"/>
      <c r="AH720" s="63"/>
      <c r="AI720" s="63"/>
      <c r="AJ720" s="63"/>
      <c r="AK720" s="63"/>
      <c r="AL720" s="63"/>
      <c r="AM720" s="63">
        <v>0</v>
      </c>
      <c r="AN720" s="63"/>
      <c r="AO720" s="63"/>
      <c r="AP720" s="63"/>
      <c r="AQ720" s="63"/>
      <c r="AR720" s="63"/>
      <c r="AS720" s="63"/>
      <c r="AT720" s="63"/>
      <c r="AU720" s="63"/>
      <c r="AW720" s="5">
        <f>IF(Q720&gt;0,RANK(Q720,(N720:P720,Q720:AE720)),0)</f>
        <v>3</v>
      </c>
      <c r="AX720" s="5">
        <f>IF(R720&gt;0,RANK(R720,(N720:P720,Q720:AE720)),0)</f>
        <v>4</v>
      </c>
      <c r="AY720" s="5">
        <f>IF(T720&gt;0,RANK(T720,(N720:P720,Q720:AE720)),0)</f>
        <v>0</v>
      </c>
      <c r="AZ720" s="5">
        <f>IF(S720&gt;0,RANK(S720,(N720:P720,Q720:AE720)),0)</f>
        <v>7</v>
      </c>
      <c r="BA720" s="2">
        <f t="shared" si="294"/>
        <v>2.6073619631901839E-2</v>
      </c>
      <c r="BB720" s="2">
        <f t="shared" si="295"/>
        <v>8.4355828220858894E-3</v>
      </c>
      <c r="BC720" s="2">
        <f t="shared" si="296"/>
        <v>0</v>
      </c>
      <c r="BD720" s="2">
        <f t="shared" si="297"/>
        <v>3.834355828220859E-4</v>
      </c>
      <c r="BF720" t="s">
        <v>830</v>
      </c>
      <c r="BG720" t="s">
        <v>1368</v>
      </c>
      <c r="BH720">
        <v>18</v>
      </c>
      <c r="BJ720" s="114">
        <v>17</v>
      </c>
      <c r="BK720" s="116">
        <v>171</v>
      </c>
      <c r="BL720" s="120">
        <f t="shared" si="286"/>
        <v>17171</v>
      </c>
      <c r="BN720" s="5" t="s">
        <v>3154</v>
      </c>
      <c r="BO720" s="63">
        <v>29</v>
      </c>
      <c r="BP720" s="63">
        <v>3</v>
      </c>
      <c r="BR720" s="63"/>
      <c r="BW720" s="8"/>
      <c r="BX720" s="132" t="s">
        <v>3255</v>
      </c>
      <c r="BY720" s="63">
        <f t="shared" si="298"/>
        <v>0</v>
      </c>
      <c r="BZ720" s="63">
        <v>2608</v>
      </c>
      <c r="CA720" s="132">
        <v>17</v>
      </c>
      <c r="CB720" s="132"/>
      <c r="CD720" s="63">
        <v>0</v>
      </c>
      <c r="CE720" s="63">
        <v>0</v>
      </c>
      <c r="CF720" s="63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</row>
    <row r="721" spans="1:100" hidden="1" outlineLevel="1">
      <c r="A721" t="s">
        <v>23</v>
      </c>
      <c r="B721" t="s">
        <v>1368</v>
      </c>
      <c r="C721" s="1">
        <f t="shared" si="287"/>
        <v>11049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6</v>
      </c>
      <c r="G721" s="132">
        <f t="shared" si="288"/>
        <v>5941</v>
      </c>
      <c r="H721" s="137">
        <f t="shared" si="289"/>
        <v>0.53769571906959901</v>
      </c>
      <c r="I721" s="2"/>
      <c r="J721" s="2">
        <f t="shared" si="290"/>
        <v>0.20707756358041451</v>
      </c>
      <c r="K721" s="2">
        <f t="shared" si="291"/>
        <v>0.74477328265001352</v>
      </c>
      <c r="L721" s="2">
        <f t="shared" si="292"/>
        <v>2.4436600597339125E-3</v>
      </c>
      <c r="M721" s="2">
        <f t="shared" si="293"/>
        <v>4.5705493709838049E-2</v>
      </c>
      <c r="N721" s="63">
        <v>2288</v>
      </c>
      <c r="O721" s="63">
        <v>8229</v>
      </c>
      <c r="P721" s="63">
        <v>27</v>
      </c>
      <c r="Q721" s="63">
        <v>372</v>
      </c>
      <c r="R721" s="63">
        <v>55</v>
      </c>
      <c r="S721" s="63">
        <v>12</v>
      </c>
      <c r="T721" s="63"/>
      <c r="U721" s="63"/>
      <c r="V721" s="63"/>
      <c r="W721" s="63">
        <f>IF(Copyright!B$11=1,IF(CA721&gt;0,CA721-SUM(S721:V721)-P721-SUM(X721:AQ721),SUM(CB721:CW721)),SUM(CC721:CW721))</f>
        <v>66</v>
      </c>
      <c r="X721" s="63"/>
      <c r="Y721" s="63">
        <v>0</v>
      </c>
      <c r="Z721" s="63"/>
      <c r="AA721" s="63"/>
      <c r="AB721" s="63"/>
      <c r="AC721" s="63"/>
      <c r="AD721" s="63"/>
      <c r="AE721" s="63">
        <v>0</v>
      </c>
      <c r="AF721" s="63"/>
      <c r="AG721" s="63"/>
      <c r="AH721" s="63"/>
      <c r="AI721" s="63"/>
      <c r="AJ721" s="63"/>
      <c r="AK721" s="63"/>
      <c r="AL721" s="63"/>
      <c r="AM721" s="63">
        <v>0</v>
      </c>
      <c r="AN721" s="63"/>
      <c r="AO721" s="63"/>
      <c r="AP721" s="63"/>
      <c r="AQ721" s="63"/>
      <c r="AR721" s="63"/>
      <c r="AS721" s="63"/>
      <c r="AT721" s="63"/>
      <c r="AU721" s="63"/>
      <c r="AW721" s="5">
        <f>IF(Q721&gt;0,RANK(Q721,(N721:P721,Q721:AE721)),0)</f>
        <v>3</v>
      </c>
      <c r="AX721" s="5">
        <f>IF(R721&gt;0,RANK(R721,(N721:P721,Q721:AE721)),0)</f>
        <v>5</v>
      </c>
      <c r="AY721" s="5">
        <f>IF(T721&gt;0,RANK(T721,(N721:P721,Q721:AE721)),0)</f>
        <v>0</v>
      </c>
      <c r="AZ721" s="5">
        <f>IF(S721&gt;0,RANK(S721,(N721:P721,Q721:AE721)),0)</f>
        <v>7</v>
      </c>
      <c r="BA721" s="2">
        <f t="shared" si="294"/>
        <v>3.3668205267445017E-2</v>
      </c>
      <c r="BB721" s="2">
        <f t="shared" si="295"/>
        <v>4.9778260476061181E-3</v>
      </c>
      <c r="BC721" s="2">
        <f t="shared" si="296"/>
        <v>0</v>
      </c>
      <c r="BD721" s="2">
        <f t="shared" si="297"/>
        <v>1.0860711376595167E-3</v>
      </c>
      <c r="BF721" t="s">
        <v>23</v>
      </c>
      <c r="BG721" t="s">
        <v>1368</v>
      </c>
      <c r="BH721">
        <v>15</v>
      </c>
      <c r="BJ721" s="114">
        <v>17</v>
      </c>
      <c r="BK721" s="116">
        <v>173</v>
      </c>
      <c r="BL721" s="120">
        <f t="shared" si="286"/>
        <v>17173</v>
      </c>
      <c r="BN721" s="5" t="s">
        <v>3154</v>
      </c>
      <c r="BW721" s="8"/>
      <c r="BX721" s="132" t="s">
        <v>2498</v>
      </c>
      <c r="BY721" s="63">
        <f t="shared" si="298"/>
        <v>0</v>
      </c>
      <c r="BZ721" s="63">
        <v>11049</v>
      </c>
      <c r="CA721" s="132">
        <f>11049-8229-2288-372-55</f>
        <v>105</v>
      </c>
      <c r="CB721" s="132"/>
      <c r="CD721" s="63">
        <v>0</v>
      </c>
      <c r="CE721" s="63">
        <v>0</v>
      </c>
      <c r="CF721" s="63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</row>
    <row r="722" spans="1:100" hidden="1" outlineLevel="1">
      <c r="A722" t="s">
        <v>603</v>
      </c>
      <c r="B722" t="s">
        <v>1368</v>
      </c>
      <c r="C722" s="1">
        <f t="shared" si="287"/>
        <v>2743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6</v>
      </c>
      <c r="G722" s="132">
        <f t="shared" si="288"/>
        <v>1027</v>
      </c>
      <c r="H722" s="137">
        <f t="shared" si="289"/>
        <v>0.37440758293838861</v>
      </c>
      <c r="I722" s="2"/>
      <c r="J722" s="2">
        <f t="shared" si="290"/>
        <v>0.27378782355085673</v>
      </c>
      <c r="K722" s="2">
        <f t="shared" si="291"/>
        <v>0.64819540648924534</v>
      </c>
      <c r="L722" s="2">
        <f t="shared" si="292"/>
        <v>1.4582573824279985E-3</v>
      </c>
      <c r="M722" s="2">
        <f t="shared" si="293"/>
        <v>7.6558512577469928E-2</v>
      </c>
      <c r="N722" s="63">
        <v>751</v>
      </c>
      <c r="O722" s="63">
        <v>1778</v>
      </c>
      <c r="P722" s="63">
        <v>4</v>
      </c>
      <c r="Q722" s="63">
        <v>149</v>
      </c>
      <c r="R722" s="63">
        <v>33</v>
      </c>
      <c r="S722" s="63">
        <v>2</v>
      </c>
      <c r="T722" s="63"/>
      <c r="U722" s="63"/>
      <c r="V722" s="63"/>
      <c r="W722" s="63">
        <f>IF(Copyright!B$11=1,IF(CA722&gt;0,CA722-SUM(S722:V722)-P722-SUM(X722:AQ722),SUM(CB722:CW722)),SUM(CC722:CW722))</f>
        <v>26</v>
      </c>
      <c r="X722" s="63"/>
      <c r="Y722" s="63">
        <v>0</v>
      </c>
      <c r="Z722" s="63"/>
      <c r="AA722" s="63"/>
      <c r="AB722" s="63"/>
      <c r="AC722" s="63"/>
      <c r="AD722" s="63"/>
      <c r="AE722" s="63">
        <v>0</v>
      </c>
      <c r="AF722" s="63"/>
      <c r="AG722" s="63"/>
      <c r="AH722" s="63"/>
      <c r="AI722" s="63"/>
      <c r="AJ722" s="63"/>
      <c r="AK722" s="63"/>
      <c r="AL722" s="63"/>
      <c r="AM722" s="63">
        <v>0</v>
      </c>
      <c r="AN722" s="63"/>
      <c r="AO722" s="63"/>
      <c r="AP722" s="63"/>
      <c r="AQ722" s="63"/>
      <c r="AR722" s="63"/>
      <c r="AS722" s="63"/>
      <c r="AT722" s="63"/>
      <c r="AU722" s="63"/>
      <c r="AW722" s="5">
        <f>IF(Q722&gt;0,RANK(Q722,(N722:P722,Q722:AE722)),0)</f>
        <v>3</v>
      </c>
      <c r="AX722" s="5">
        <f>IF(R722&gt;0,RANK(R722,(N722:P722,Q722:AE722)),0)</f>
        <v>4</v>
      </c>
      <c r="AY722" s="5">
        <f>IF(T722&gt;0,RANK(T722,(N722:P722,Q722:AE722)),0)</f>
        <v>0</v>
      </c>
      <c r="AZ722" s="5">
        <f>IF(S722&gt;0,RANK(S722,(N722:P722,Q722:AE722)),0)</f>
        <v>7</v>
      </c>
      <c r="BA722" s="2">
        <f t="shared" si="294"/>
        <v>5.4320087495442947E-2</v>
      </c>
      <c r="BB722" s="2">
        <f t="shared" si="295"/>
        <v>1.2030623405030989E-2</v>
      </c>
      <c r="BC722" s="2">
        <f t="shared" si="296"/>
        <v>0</v>
      </c>
      <c r="BD722" s="2">
        <f t="shared" si="297"/>
        <v>7.2912869121399923E-4</v>
      </c>
      <c r="BF722" t="s">
        <v>603</v>
      </c>
      <c r="BG722" t="s">
        <v>1368</v>
      </c>
      <c r="BJ722" s="114">
        <v>17</v>
      </c>
      <c r="BK722" s="116">
        <v>175</v>
      </c>
      <c r="BL722" s="120">
        <f t="shared" si="286"/>
        <v>17175</v>
      </c>
      <c r="BN722" s="5" t="s">
        <v>3154</v>
      </c>
      <c r="BW722" s="8"/>
      <c r="BY722" s="63">
        <f t="shared" si="298"/>
        <v>0</v>
      </c>
      <c r="BZ722" s="63">
        <f>751+1778+149+33+32</f>
        <v>2743</v>
      </c>
      <c r="CA722" s="132">
        <v>32</v>
      </c>
      <c r="CB722" s="132"/>
      <c r="CD722" s="63">
        <v>0</v>
      </c>
      <c r="CE722" s="63">
        <v>0</v>
      </c>
      <c r="CF722" s="63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</row>
    <row r="723" spans="1:100" hidden="1" outlineLevel="1">
      <c r="A723" t="s">
        <v>2194</v>
      </c>
      <c r="B723" t="s">
        <v>1368</v>
      </c>
      <c r="C723" s="1">
        <f t="shared" si="287"/>
        <v>20343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6</v>
      </c>
      <c r="G723" s="132">
        <f t="shared" si="288"/>
        <v>3315</v>
      </c>
      <c r="H723" s="137">
        <f t="shared" si="289"/>
        <v>0.1629553163250258</v>
      </c>
      <c r="I723" s="2"/>
      <c r="J723" s="2">
        <f t="shared" si="290"/>
        <v>0.38185125104458534</v>
      </c>
      <c r="K723" s="2">
        <f t="shared" si="291"/>
        <v>0.54480656736961119</v>
      </c>
      <c r="L723" s="2">
        <f t="shared" si="292"/>
        <v>2.1137492011994298E-3</v>
      </c>
      <c r="M723" s="2">
        <f t="shared" si="293"/>
        <v>7.1228432384604093E-2</v>
      </c>
      <c r="N723" s="63">
        <v>7768</v>
      </c>
      <c r="O723" s="63">
        <v>11083</v>
      </c>
      <c r="P723" s="63">
        <v>43</v>
      </c>
      <c r="Q723" s="63">
        <v>936</v>
      </c>
      <c r="R723" s="63">
        <v>250</v>
      </c>
      <c r="S723" s="63">
        <v>4</v>
      </c>
      <c r="T723" s="63"/>
      <c r="U723" s="63"/>
      <c r="V723" s="63"/>
      <c r="W723" s="63">
        <f>IF(Copyright!B$11=1,IF(CA723&gt;0,CA723-SUM(S723:V723)-P723-SUM(X723:AQ723),SUM(CB723:CW723)),SUM(CC723:CW723))</f>
        <v>257</v>
      </c>
      <c r="X723" s="63"/>
      <c r="Y723" s="63">
        <v>2</v>
      </c>
      <c r="Z723" s="63"/>
      <c r="AA723" s="63"/>
      <c r="AB723" s="63"/>
      <c r="AC723" s="63"/>
      <c r="AD723" s="63"/>
      <c r="AE723" s="63">
        <v>0</v>
      </c>
      <c r="AF723" s="63"/>
      <c r="AG723" s="63"/>
      <c r="AH723" s="63"/>
      <c r="AI723" s="63"/>
      <c r="AJ723" s="63"/>
      <c r="AK723" s="63"/>
      <c r="AL723" s="63"/>
      <c r="AM723" s="63">
        <v>0</v>
      </c>
      <c r="AN723" s="63"/>
      <c r="AO723" s="63"/>
      <c r="AP723" s="63"/>
      <c r="AQ723" s="63"/>
      <c r="AR723" s="63"/>
      <c r="AS723" s="63"/>
      <c r="AT723" s="63"/>
      <c r="AU723" s="63"/>
      <c r="AW723" s="5">
        <f>IF(Q723&gt;0,RANK(Q723,(N723:P723,Q723:AE723)),0)</f>
        <v>3</v>
      </c>
      <c r="AX723" s="5">
        <f>IF(R723&gt;0,RANK(R723,(N723:P723,Q723:AE723)),0)</f>
        <v>5</v>
      </c>
      <c r="AY723" s="5">
        <f>IF(T723&gt;0,RANK(T723,(N723:P723,Q723:AE723)),0)</f>
        <v>0</v>
      </c>
      <c r="AZ723" s="5">
        <f>IF(S723&gt;0,RANK(S723,(N723:P723,Q723:AE723)),0)</f>
        <v>7</v>
      </c>
      <c r="BA723" s="2">
        <f t="shared" si="294"/>
        <v>4.6010912844713169E-2</v>
      </c>
      <c r="BB723" s="2">
        <f t="shared" si="295"/>
        <v>1.228923954185715E-2</v>
      </c>
      <c r="BC723" s="2">
        <f t="shared" si="296"/>
        <v>0</v>
      </c>
      <c r="BD723" s="2">
        <f t="shared" si="297"/>
        <v>1.966278326697144E-4</v>
      </c>
      <c r="BF723" t="s">
        <v>2194</v>
      </c>
      <c r="BG723" t="s">
        <v>1368</v>
      </c>
      <c r="BH723">
        <v>17</v>
      </c>
      <c r="BJ723" s="114">
        <v>17</v>
      </c>
      <c r="BK723" s="116">
        <v>177</v>
      </c>
      <c r="BL723" s="120">
        <f t="shared" si="286"/>
        <v>17177</v>
      </c>
      <c r="BN723" s="5" t="s">
        <v>3154</v>
      </c>
      <c r="BO723" s="63">
        <v>253</v>
      </c>
      <c r="BP723" s="63">
        <v>53</v>
      </c>
      <c r="BR723" s="63"/>
      <c r="BW723" s="8"/>
      <c r="BY723" s="63">
        <f t="shared" si="298"/>
        <v>0</v>
      </c>
      <c r="BZ723" s="63">
        <f>11083+7768+936+250+306</f>
        <v>20343</v>
      </c>
      <c r="CA723" s="132">
        <v>306</v>
      </c>
      <c r="CB723" s="132"/>
      <c r="CD723" s="63">
        <v>0</v>
      </c>
      <c r="CE723" s="63">
        <v>0</v>
      </c>
      <c r="CF723" s="63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</row>
    <row r="724" spans="1:100" hidden="1" outlineLevel="1">
      <c r="A724" t="s">
        <v>698</v>
      </c>
      <c r="B724" t="s">
        <v>1368</v>
      </c>
      <c r="C724" s="1">
        <f t="shared" si="287"/>
        <v>64751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6</v>
      </c>
      <c r="G724" s="132">
        <f t="shared" si="288"/>
        <v>18022</v>
      </c>
      <c r="H724" s="137">
        <f t="shared" si="289"/>
        <v>0.27832774783401026</v>
      </c>
      <c r="I724" s="2"/>
      <c r="J724" s="2">
        <f t="shared" si="290"/>
        <v>0.31945452579882938</v>
      </c>
      <c r="K724" s="2">
        <f t="shared" si="291"/>
        <v>0.59778227363283964</v>
      </c>
      <c r="L724" s="2">
        <f t="shared" si="292"/>
        <v>4.5713579713054621E-3</v>
      </c>
      <c r="M724" s="2">
        <f t="shared" si="293"/>
        <v>7.819184259702551E-2</v>
      </c>
      <c r="N724" s="63">
        <v>20685</v>
      </c>
      <c r="O724" s="63">
        <v>38707</v>
      </c>
      <c r="P724" s="63">
        <v>296</v>
      </c>
      <c r="Q724" s="63">
        <v>3358</v>
      </c>
      <c r="R724" s="63">
        <v>830</v>
      </c>
      <c r="S724" s="63">
        <v>47</v>
      </c>
      <c r="T724" s="63"/>
      <c r="U724" s="63"/>
      <c r="V724" s="63"/>
      <c r="W724" s="63">
        <f>IF(Copyright!B$11=1,IF(CA724&gt;0,CA724-SUM(S724:V724)-P724-SUM(X724:AQ724),SUM(CB724:CW724)),SUM(CC724:CW724))</f>
        <v>820</v>
      </c>
      <c r="X724" s="63"/>
      <c r="Y724" s="63">
        <v>8</v>
      </c>
      <c r="Z724" s="63"/>
      <c r="AA724" s="63"/>
      <c r="AB724" s="63"/>
      <c r="AC724" s="63"/>
      <c r="AD724" s="63"/>
      <c r="AE724" s="63">
        <v>0</v>
      </c>
      <c r="AF724" s="63"/>
      <c r="AG724" s="63"/>
      <c r="AH724" s="63"/>
      <c r="AI724" s="63"/>
      <c r="AJ724" s="63"/>
      <c r="AK724" s="63"/>
      <c r="AL724" s="63"/>
      <c r="AM724" s="63">
        <v>0</v>
      </c>
      <c r="AN724" s="63"/>
      <c r="AO724" s="63"/>
      <c r="AP724" s="63"/>
      <c r="AQ724" s="63"/>
      <c r="AR724" s="63"/>
      <c r="AS724" s="63"/>
      <c r="AT724" s="63"/>
      <c r="AU724" s="63"/>
      <c r="AW724" s="5">
        <f>IF(Q724&gt;0,RANK(Q724,(N724:P724,Q724:AE724)),0)</f>
        <v>3</v>
      </c>
      <c r="AX724" s="5">
        <f>IF(R724&gt;0,RANK(R724,(N724:P724,Q724:AE724)),0)</f>
        <v>4</v>
      </c>
      <c r="AY724" s="5">
        <f>IF(T724&gt;0,RANK(T724,(N724:P724,Q724:AE724)),0)</f>
        <v>0</v>
      </c>
      <c r="AZ724" s="5">
        <f>IF(S724&gt;0,RANK(S724,(N724:P724,Q724:AE724)),0)</f>
        <v>7</v>
      </c>
      <c r="BA724" s="2">
        <f t="shared" si="294"/>
        <v>5.1860202931228859E-2</v>
      </c>
      <c r="BB724" s="2">
        <f t="shared" si="295"/>
        <v>1.2818334851971399E-2</v>
      </c>
      <c r="BC724" s="2">
        <f t="shared" si="296"/>
        <v>0</v>
      </c>
      <c r="BD724" s="2">
        <f t="shared" si="297"/>
        <v>7.2585751571404298E-4</v>
      </c>
      <c r="BF724" t="s">
        <v>698</v>
      </c>
      <c r="BG724" t="s">
        <v>1368</v>
      </c>
      <c r="BJ724" s="114">
        <v>17</v>
      </c>
      <c r="BK724" s="116">
        <v>179</v>
      </c>
      <c r="BL724" s="120">
        <f t="shared" si="286"/>
        <v>17179</v>
      </c>
      <c r="BN724" s="5" t="s">
        <v>3154</v>
      </c>
      <c r="BW724" s="8"/>
      <c r="BX724" s="132" t="s">
        <v>2498</v>
      </c>
      <c r="BY724" s="63">
        <f t="shared" si="298"/>
        <v>0</v>
      </c>
      <c r="BZ724" s="63">
        <v>64751</v>
      </c>
      <c r="CA724" s="132">
        <f>64751-38707-20685-3358-830</f>
        <v>1171</v>
      </c>
      <c r="CB724" s="132"/>
      <c r="CD724" s="63">
        <v>0</v>
      </c>
      <c r="CE724" s="63">
        <v>0</v>
      </c>
      <c r="CF724" s="63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0</v>
      </c>
      <c r="CN724" s="8">
        <v>0</v>
      </c>
      <c r="CO724" s="8">
        <v>0</v>
      </c>
      <c r="CP724" s="8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</row>
    <row r="725" spans="1:100" hidden="1" outlineLevel="1">
      <c r="A725" t="s">
        <v>1513</v>
      </c>
      <c r="B725" t="s">
        <v>1368</v>
      </c>
      <c r="C725" s="1">
        <f t="shared" si="287"/>
        <v>8616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6</v>
      </c>
      <c r="G725" s="132">
        <f t="shared" si="288"/>
        <v>3388</v>
      </c>
      <c r="H725" s="137">
        <f t="shared" si="289"/>
        <v>0.39322191272051998</v>
      </c>
      <c r="I725" s="2"/>
      <c r="J725" s="2">
        <f t="shared" si="290"/>
        <v>0.2787836583101207</v>
      </c>
      <c r="K725" s="2">
        <f t="shared" si="291"/>
        <v>0.67200557103064062</v>
      </c>
      <c r="L725" s="2">
        <f t="shared" si="292"/>
        <v>1.3927576601671309E-3</v>
      </c>
      <c r="M725" s="2">
        <f t="shared" si="293"/>
        <v>4.7818012999071603E-2</v>
      </c>
      <c r="N725" s="63">
        <v>2402</v>
      </c>
      <c r="O725" s="63">
        <v>5790</v>
      </c>
      <c r="P725" s="63">
        <v>12</v>
      </c>
      <c r="Q725" s="63">
        <v>219</v>
      </c>
      <c r="R725" s="63">
        <v>126</v>
      </c>
      <c r="S725" s="63">
        <v>1</v>
      </c>
      <c r="T725" s="63"/>
      <c r="U725" s="63"/>
      <c r="V725" s="63"/>
      <c r="W725" s="63">
        <f>IF(Copyright!B$11=1,IF(CA725&gt;0,CA725-SUM(S725:V725)-P725-SUM(X725:AQ725),SUM(CB725:CW725)),SUM(CC725:CW725))</f>
        <v>65</v>
      </c>
      <c r="X725" s="63"/>
      <c r="Y725" s="63">
        <v>0</v>
      </c>
      <c r="Z725" s="63"/>
      <c r="AA725" s="63"/>
      <c r="AB725" s="63"/>
      <c r="AC725" s="63"/>
      <c r="AD725" s="63"/>
      <c r="AE725" s="63">
        <v>0</v>
      </c>
      <c r="AF725" s="63"/>
      <c r="AG725" s="63"/>
      <c r="AH725" s="63"/>
      <c r="AI725" s="63"/>
      <c r="AJ725" s="63"/>
      <c r="AK725" s="63"/>
      <c r="AL725" s="63"/>
      <c r="AM725" s="63">
        <v>1</v>
      </c>
      <c r="AN725" s="63"/>
      <c r="AO725" s="63"/>
      <c r="AP725" s="63"/>
      <c r="AQ725" s="63"/>
      <c r="AR725" s="63"/>
      <c r="AS725" s="63"/>
      <c r="AT725" s="63"/>
      <c r="AU725" s="63"/>
      <c r="AW725" s="5">
        <f>IF(Q725&gt;0,RANK(Q725,(N725:P725,Q725:AE725)),0)</f>
        <v>3</v>
      </c>
      <c r="AX725" s="5">
        <f>IF(R725&gt;0,RANK(R725,(N725:P725,Q725:AE725)),0)</f>
        <v>4</v>
      </c>
      <c r="AY725" s="5">
        <f>IF(T725&gt;0,RANK(T725,(N725:P725,Q725:AE725)),0)</f>
        <v>0</v>
      </c>
      <c r="AZ725" s="5">
        <f>IF(S725&gt;0,RANK(S725,(N725:P725,Q725:AE725)),0)</f>
        <v>7</v>
      </c>
      <c r="BA725" s="2">
        <f t="shared" si="294"/>
        <v>2.5417827298050141E-2</v>
      </c>
      <c r="BB725" s="2">
        <f t="shared" si="295"/>
        <v>1.4623955431754874E-2</v>
      </c>
      <c r="BC725" s="2">
        <f t="shared" si="296"/>
        <v>0</v>
      </c>
      <c r="BD725" s="2">
        <f t="shared" si="297"/>
        <v>1.1606313834726091E-4</v>
      </c>
      <c r="BF725" t="s">
        <v>1513</v>
      </c>
      <c r="BG725" t="s">
        <v>1368</v>
      </c>
      <c r="BH725">
        <v>12</v>
      </c>
      <c r="BJ725" s="114">
        <v>17</v>
      </c>
      <c r="BK725" s="116">
        <v>181</v>
      </c>
      <c r="BL725" s="120">
        <f t="shared" si="286"/>
        <v>17181</v>
      </c>
      <c r="BN725" s="5" t="s">
        <v>3154</v>
      </c>
      <c r="BW725" s="8"/>
      <c r="BY725" s="63">
        <f t="shared" si="298"/>
        <v>-8616</v>
      </c>
      <c r="CA725" s="133">
        <v>79</v>
      </c>
      <c r="CB725" s="132"/>
      <c r="CD725" s="63">
        <v>0</v>
      </c>
      <c r="CE725" s="63">
        <v>0</v>
      </c>
      <c r="CF725" s="63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 hidden="1" outlineLevel="1">
      <c r="A726" t="s">
        <v>1578</v>
      </c>
      <c r="B726" t="s">
        <v>1368</v>
      </c>
      <c r="C726" s="1">
        <f t="shared" si="287"/>
        <v>30818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>IF(P726&gt;0,RANK(P726,(N726:P726,Q726:AE726)),0)</f>
        <v>6</v>
      </c>
      <c r="G726" s="132">
        <f t="shared" si="288"/>
        <v>9048</v>
      </c>
      <c r="H726" s="137">
        <f t="shared" si="289"/>
        <v>0.29359465247582583</v>
      </c>
      <c r="I726" s="2"/>
      <c r="J726" s="2">
        <f t="shared" si="290"/>
        <v>0.32575118437276918</v>
      </c>
      <c r="K726" s="2">
        <f t="shared" si="291"/>
        <v>0.61934583684859501</v>
      </c>
      <c r="L726" s="2">
        <f t="shared" si="292"/>
        <v>1.5899798818872087E-3</v>
      </c>
      <c r="M726" s="2">
        <f t="shared" si="293"/>
        <v>5.3312998896748606E-2</v>
      </c>
      <c r="N726" s="63">
        <v>10039</v>
      </c>
      <c r="O726" s="63">
        <v>19087</v>
      </c>
      <c r="P726" s="63">
        <v>49</v>
      </c>
      <c r="Q726" s="63">
        <v>1097</v>
      </c>
      <c r="R726" s="63">
        <v>296</v>
      </c>
      <c r="S726" s="63">
        <v>1</v>
      </c>
      <c r="T726" s="63"/>
      <c r="U726" s="63"/>
      <c r="V726" s="63"/>
      <c r="W726" s="63">
        <f>IF(Copyright!B$11=1,IF(CA726&gt;0,CA726-SUM(S726:V726)-P726-SUM(X726:AQ726),SUM(CB726:CW726)),SUM(CC726:CW726))</f>
        <v>248</v>
      </c>
      <c r="X726" s="63"/>
      <c r="Y726" s="63">
        <v>0</v>
      </c>
      <c r="Z726" s="63"/>
      <c r="AA726" s="63"/>
      <c r="AB726" s="63"/>
      <c r="AC726" s="63"/>
      <c r="AD726" s="63"/>
      <c r="AE726" s="63">
        <v>0</v>
      </c>
      <c r="AF726" s="63"/>
      <c r="AG726" s="63"/>
      <c r="AH726" s="63"/>
      <c r="AI726" s="63"/>
      <c r="AJ726" s="63"/>
      <c r="AK726" s="63"/>
      <c r="AL726" s="63"/>
      <c r="AM726" s="63">
        <v>1</v>
      </c>
      <c r="AN726" s="63"/>
      <c r="AO726" s="63"/>
      <c r="AP726" s="63"/>
      <c r="AQ726" s="63"/>
      <c r="AR726" s="63"/>
      <c r="AS726" s="63"/>
      <c r="AT726" s="63"/>
      <c r="AU726" s="63"/>
      <c r="AW726" s="5">
        <f>IF(Q726&gt;0,RANK(Q726,(N726:P726,Q726:AE726)),0)</f>
        <v>3</v>
      </c>
      <c r="AX726" s="5">
        <f>IF(R726&gt;0,RANK(R726,(N726:P726,Q726:AE726)),0)</f>
        <v>4</v>
      </c>
      <c r="AY726" s="5">
        <f>IF(T726&gt;0,RANK(T726,(N726:P726,Q726:AE726)),0)</f>
        <v>0</v>
      </c>
      <c r="AZ726" s="5">
        <f>IF(S726&gt;0,RANK(S726,(N726:P726,Q726:AE726)),0)</f>
        <v>7</v>
      </c>
      <c r="BA726" s="2">
        <f t="shared" si="294"/>
        <v>3.5596080212862612E-2</v>
      </c>
      <c r="BB726" s="2">
        <f t="shared" si="295"/>
        <v>9.6047764293594653E-3</v>
      </c>
      <c r="BC726" s="2">
        <f t="shared" si="296"/>
        <v>0</v>
      </c>
      <c r="BD726" s="2">
        <f t="shared" si="297"/>
        <v>3.24485690181063E-5</v>
      </c>
      <c r="BF726" t="s">
        <v>1578</v>
      </c>
      <c r="BG726" t="s">
        <v>1368</v>
      </c>
      <c r="BH726">
        <v>15</v>
      </c>
      <c r="BJ726" s="114">
        <v>17</v>
      </c>
      <c r="BK726" s="116">
        <v>183</v>
      </c>
      <c r="BL726" s="120">
        <f t="shared" si="286"/>
        <v>17183</v>
      </c>
      <c r="BN726" s="5" t="s">
        <v>3154</v>
      </c>
      <c r="BO726" s="63">
        <f>203+89</f>
        <v>292</v>
      </c>
      <c r="BP726" s="63">
        <f>20+39</f>
        <v>59</v>
      </c>
      <c r="BR726" s="63"/>
      <c r="BW726" s="8"/>
      <c r="BX726" s="132"/>
      <c r="BY726" s="63">
        <f t="shared" si="298"/>
        <v>0</v>
      </c>
      <c r="BZ726" s="63">
        <f>20414+10404</f>
        <v>30818</v>
      </c>
      <c r="CA726" s="63">
        <f>142+1+1+34+121</f>
        <v>299</v>
      </c>
      <c r="CB726" s="132"/>
      <c r="CD726" s="63">
        <v>0</v>
      </c>
      <c r="CE726" s="63">
        <v>0</v>
      </c>
      <c r="CF726" s="63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</row>
    <row r="727" spans="1:100" hidden="1" outlineLevel="1">
      <c r="A727" t="s">
        <v>2951</v>
      </c>
      <c r="B727" t="s">
        <v>1368</v>
      </c>
      <c r="C727" s="1">
        <f t="shared" si="287"/>
        <v>5464</v>
      </c>
      <c r="D727" s="5">
        <f>IF(N727&gt;0, RANK(N727,(N727:P727,Q727:AE727)),0)</f>
        <v>2</v>
      </c>
      <c r="E727" s="5">
        <f>IF(O727&gt;0,RANK(O727,(N727:P727,Q727:AE727)),0)</f>
        <v>1</v>
      </c>
      <c r="F727" s="5">
        <f>IF(P727&gt;0,RANK(P727,(N727:P727,Q727:AE727)),0)</f>
        <v>6</v>
      </c>
      <c r="G727" s="132">
        <f t="shared" si="288"/>
        <v>2896</v>
      </c>
      <c r="H727" s="137">
        <f t="shared" si="289"/>
        <v>0.53001464128843334</v>
      </c>
      <c r="I727" s="2"/>
      <c r="J727" s="2">
        <f t="shared" si="290"/>
        <v>0.21065153733528549</v>
      </c>
      <c r="K727" s="2">
        <f t="shared" si="291"/>
        <v>0.74066617862371886</v>
      </c>
      <c r="L727" s="2">
        <f t="shared" si="292"/>
        <v>2.3792093704245974E-3</v>
      </c>
      <c r="M727" s="2">
        <f t="shared" si="293"/>
        <v>4.6303074670571015E-2</v>
      </c>
      <c r="N727" s="63">
        <v>1151</v>
      </c>
      <c r="O727" s="63">
        <v>4047</v>
      </c>
      <c r="P727" s="63">
        <v>13</v>
      </c>
      <c r="Q727" s="63">
        <v>175</v>
      </c>
      <c r="R727" s="63">
        <v>42</v>
      </c>
      <c r="S727" s="63">
        <v>0</v>
      </c>
      <c r="T727" s="63"/>
      <c r="U727" s="63"/>
      <c r="V727" s="63"/>
      <c r="W727" s="63">
        <f>IF(Copyright!B$11=1,IF(CA727&gt;0,CA727-SUM(S727:V727)-P727-SUM(X727:AQ727),SUM(CB727:CW727)),SUM(CC727:CW727))</f>
        <v>36</v>
      </c>
      <c r="X727" s="63"/>
      <c r="Y727" s="63">
        <v>0</v>
      </c>
      <c r="Z727" s="63"/>
      <c r="AA727" s="63"/>
      <c r="AB727" s="63"/>
      <c r="AC727" s="63"/>
      <c r="AD727" s="63"/>
      <c r="AE727" s="63">
        <v>0</v>
      </c>
      <c r="AF727" s="63"/>
      <c r="AG727" s="63"/>
      <c r="AH727" s="63"/>
      <c r="AI727" s="63"/>
      <c r="AJ727" s="63"/>
      <c r="AK727" s="63"/>
      <c r="AL727" s="63"/>
      <c r="AM727" s="63">
        <v>0</v>
      </c>
      <c r="AN727" s="63"/>
      <c r="AO727" s="63"/>
      <c r="AP727" s="63"/>
      <c r="AQ727" s="63"/>
      <c r="AR727" s="63"/>
      <c r="AS727" s="63"/>
      <c r="AT727" s="63"/>
      <c r="AU727" s="63"/>
      <c r="AW727" s="5">
        <f>IF(Q727&gt;0,RANK(Q727,(N727:P727,Q727:AE727)),0)</f>
        <v>3</v>
      </c>
      <c r="AX727" s="5">
        <f>IF(R727&gt;0,RANK(R727,(N727:P727,Q727:AE727)),0)</f>
        <v>4</v>
      </c>
      <c r="AY727" s="5">
        <f>IF(T727&gt;0,RANK(T727,(N727:P727,Q727:AE727)),0)</f>
        <v>0</v>
      </c>
      <c r="AZ727" s="5">
        <f>IF(S727&gt;0,RANK(S727,(N727:P727,Q727:AE727)),0)</f>
        <v>0</v>
      </c>
      <c r="BA727" s="2">
        <f t="shared" si="294"/>
        <v>3.2027818448023423E-2</v>
      </c>
      <c r="BB727" s="2">
        <f t="shared" si="295"/>
        <v>7.6866764275256225E-3</v>
      </c>
      <c r="BC727" s="2">
        <f t="shared" si="296"/>
        <v>0</v>
      </c>
      <c r="BD727" s="2">
        <f t="shared" si="297"/>
        <v>0</v>
      </c>
      <c r="BF727" t="s">
        <v>2951</v>
      </c>
      <c r="BG727" t="s">
        <v>1368</v>
      </c>
      <c r="BH727">
        <v>15</v>
      </c>
      <c r="BJ727" s="114">
        <v>17</v>
      </c>
      <c r="BK727" s="116">
        <v>185</v>
      </c>
      <c r="BL727" s="120">
        <f t="shared" si="286"/>
        <v>17185</v>
      </c>
      <c r="BN727" s="5" t="s">
        <v>3154</v>
      </c>
      <c r="BR727" s="63"/>
      <c r="BW727" s="8"/>
      <c r="BY727" s="63">
        <f t="shared" si="298"/>
        <v>0</v>
      </c>
      <c r="BZ727" s="63">
        <f>1151+4047+175+42+49</f>
        <v>5464</v>
      </c>
      <c r="CA727" s="132">
        <v>49</v>
      </c>
      <c r="CB727" s="132"/>
      <c r="CD727" s="63">
        <v>0</v>
      </c>
      <c r="CE727" s="63">
        <v>0</v>
      </c>
      <c r="CF727" s="63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</v>
      </c>
      <c r="CP727" s="8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</row>
    <row r="728" spans="1:100" hidden="1" outlineLevel="1">
      <c r="A728" t="s">
        <v>422</v>
      </c>
      <c r="B728" t="s">
        <v>1368</v>
      </c>
      <c r="C728" s="1">
        <f t="shared" si="287"/>
        <v>7807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>IF(P728&gt;0,RANK(P728,(N728:P728,Q728:AE728)),0)</f>
        <v>6</v>
      </c>
      <c r="G728" s="132">
        <f t="shared" si="288"/>
        <v>1288</v>
      </c>
      <c r="H728" s="137">
        <f t="shared" si="289"/>
        <v>0.16498014602280006</v>
      </c>
      <c r="I728" s="2"/>
      <c r="J728" s="2">
        <f t="shared" si="290"/>
        <v>0.38260535416933522</v>
      </c>
      <c r="K728" s="2">
        <f t="shared" si="291"/>
        <v>0.54758550019213525</v>
      </c>
      <c r="L728" s="2">
        <f t="shared" si="292"/>
        <v>2.1775329832201869E-3</v>
      </c>
      <c r="M728" s="2">
        <f t="shared" si="293"/>
        <v>6.7631612655309287E-2</v>
      </c>
      <c r="N728" s="63">
        <v>2987</v>
      </c>
      <c r="O728" s="63">
        <v>4275</v>
      </c>
      <c r="P728" s="63">
        <v>17</v>
      </c>
      <c r="Q728" s="63">
        <v>359</v>
      </c>
      <c r="R728" s="63">
        <v>92</v>
      </c>
      <c r="S728" s="63">
        <v>0</v>
      </c>
      <c r="T728" s="63"/>
      <c r="U728" s="63"/>
      <c r="V728" s="63"/>
      <c r="W728" s="63">
        <f>IF(Copyright!B$11=1,IF(CA728&gt;0,CA728-SUM(S728:V728)-P728-SUM(X728:AQ728),SUM(CB728:CW728)),SUM(CC728:CW728))</f>
        <v>77</v>
      </c>
      <c r="X728" s="63"/>
      <c r="Y728" s="63">
        <v>0</v>
      </c>
      <c r="Z728" s="63"/>
      <c r="AA728" s="63"/>
      <c r="AB728" s="63"/>
      <c r="AC728" s="63"/>
      <c r="AD728" s="63"/>
      <c r="AE728" s="63">
        <v>0</v>
      </c>
      <c r="AF728" s="63"/>
      <c r="AG728" s="63"/>
      <c r="AH728" s="63"/>
      <c r="AI728" s="63"/>
      <c r="AJ728" s="63"/>
      <c r="AK728" s="63"/>
      <c r="AL728" s="63"/>
      <c r="AM728" s="63">
        <v>0</v>
      </c>
      <c r="AN728" s="63"/>
      <c r="AO728" s="63"/>
      <c r="AP728" s="63"/>
      <c r="AQ728" s="63"/>
      <c r="AR728" s="63"/>
      <c r="AS728" s="63"/>
      <c r="AT728" s="63"/>
      <c r="AU728" s="63"/>
      <c r="AW728" s="5">
        <f>IF(Q728&gt;0,RANK(Q728,(N728:P728,Q728:AE728)),0)</f>
        <v>3</v>
      </c>
      <c r="AX728" s="5">
        <f>IF(R728&gt;0,RANK(R728,(N728:P728,Q728:AE728)),0)</f>
        <v>4</v>
      </c>
      <c r="AY728" s="5">
        <f>IF(T728&gt;0,RANK(T728,(N728:P728,Q728:AE728)),0)</f>
        <v>0</v>
      </c>
      <c r="AZ728" s="5">
        <f>IF(S728&gt;0,RANK(S728,(N728:P728,Q728:AE728)),0)</f>
        <v>0</v>
      </c>
      <c r="BA728" s="2">
        <f t="shared" si="294"/>
        <v>4.5984372998591011E-2</v>
      </c>
      <c r="BB728" s="2">
        <f t="shared" si="295"/>
        <v>1.1784296144485718E-2</v>
      </c>
      <c r="BC728" s="2">
        <f t="shared" si="296"/>
        <v>0</v>
      </c>
      <c r="BD728" s="2">
        <f t="shared" si="297"/>
        <v>0</v>
      </c>
      <c r="BF728" t="s">
        <v>422</v>
      </c>
      <c r="BG728" t="s">
        <v>1368</v>
      </c>
      <c r="BH728">
        <v>17</v>
      </c>
      <c r="BJ728" s="114">
        <v>17</v>
      </c>
      <c r="BK728" s="116">
        <v>187</v>
      </c>
      <c r="BL728" s="120">
        <f t="shared" si="286"/>
        <v>17187</v>
      </c>
      <c r="BN728" s="5" t="s">
        <v>3154</v>
      </c>
      <c r="BO728" s="63">
        <v>105</v>
      </c>
      <c r="BP728" s="63">
        <v>4</v>
      </c>
      <c r="BR728" s="63"/>
      <c r="BW728" s="8"/>
      <c r="BX728" s="132" t="s">
        <v>3255</v>
      </c>
      <c r="BY728" s="63">
        <f t="shared" si="298"/>
        <v>0</v>
      </c>
      <c r="BZ728" s="63">
        <v>7807</v>
      </c>
      <c r="CA728" s="132">
        <v>94</v>
      </c>
      <c r="CB728" s="132"/>
      <c r="CD728" s="63">
        <v>0</v>
      </c>
      <c r="CE728" s="63">
        <v>0</v>
      </c>
      <c r="CF728" s="63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</row>
    <row r="729" spans="1:100" hidden="1" outlineLevel="1">
      <c r="A729" t="s">
        <v>692</v>
      </c>
      <c r="B729" t="s">
        <v>1368</v>
      </c>
      <c r="C729" s="1">
        <f t="shared" si="287"/>
        <v>7438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6</v>
      </c>
      <c r="G729" s="132">
        <f t="shared" si="288"/>
        <v>4123</v>
      </c>
      <c r="H729" s="137">
        <f t="shared" si="289"/>
        <v>0.55431567625705835</v>
      </c>
      <c r="I729" s="2"/>
      <c r="J729" s="2">
        <f t="shared" si="290"/>
        <v>0.19467598816886258</v>
      </c>
      <c r="K729" s="2">
        <f t="shared" si="291"/>
        <v>0.74899166442592091</v>
      </c>
      <c r="L729" s="2">
        <f t="shared" si="292"/>
        <v>1.3444474321054048E-3</v>
      </c>
      <c r="M729" s="2">
        <f t="shared" si="293"/>
        <v>5.4987899973111126E-2</v>
      </c>
      <c r="N729" s="63">
        <v>1448</v>
      </c>
      <c r="O729" s="63">
        <v>5571</v>
      </c>
      <c r="P729" s="63">
        <v>10</v>
      </c>
      <c r="Q729" s="63">
        <v>289</v>
      </c>
      <c r="R729" s="63">
        <v>75</v>
      </c>
      <c r="S729" s="63">
        <v>0</v>
      </c>
      <c r="T729" s="63"/>
      <c r="U729" s="63"/>
      <c r="V729" s="63"/>
      <c r="W729" s="63">
        <f>IF(Copyright!B$11=1,IF(CA729&gt;0,CA729-SUM(S729:V729)-P729-SUM(X729:AQ729),SUM(CB729:CW729)),SUM(CC729:CW729))</f>
        <v>44</v>
      </c>
      <c r="X729" s="63"/>
      <c r="Y729" s="63">
        <v>1</v>
      </c>
      <c r="Z729" s="63"/>
      <c r="AA729" s="63"/>
      <c r="AB729" s="63"/>
      <c r="AC729" s="63"/>
      <c r="AD729" s="63"/>
      <c r="AE729" s="63">
        <v>0</v>
      </c>
      <c r="AF729" s="63"/>
      <c r="AG729" s="63"/>
      <c r="AH729" s="63"/>
      <c r="AI729" s="63"/>
      <c r="AJ729" s="63"/>
      <c r="AK729" s="63"/>
      <c r="AL729" s="63"/>
      <c r="AM729" s="63">
        <v>0</v>
      </c>
      <c r="AN729" s="63"/>
      <c r="AO729" s="63"/>
      <c r="AP729" s="63"/>
      <c r="AQ729" s="63"/>
      <c r="AR729" s="63"/>
      <c r="AS729" s="63"/>
      <c r="AT729" s="63"/>
      <c r="AU729" s="63"/>
      <c r="AW729" s="5">
        <f>IF(Q729&gt;0,RANK(Q729,(N729:P729,Q729:AE729)),0)</f>
        <v>3</v>
      </c>
      <c r="AX729" s="5">
        <f>IF(R729&gt;0,RANK(R729,(N729:P729,Q729:AE729)),0)</f>
        <v>4</v>
      </c>
      <c r="AY729" s="5">
        <f>IF(T729&gt;0,RANK(T729,(N729:P729,Q729:AE729)),0)</f>
        <v>0</v>
      </c>
      <c r="AZ729" s="5">
        <f>IF(S729&gt;0,RANK(S729,(N729:P729,Q729:AE729)),0)</f>
        <v>0</v>
      </c>
      <c r="BA729" s="2">
        <f t="shared" si="294"/>
        <v>3.8854530787846196E-2</v>
      </c>
      <c r="BB729" s="2">
        <f t="shared" si="295"/>
        <v>1.0083355740790535E-2</v>
      </c>
      <c r="BC729" s="2">
        <f t="shared" si="296"/>
        <v>0</v>
      </c>
      <c r="BD729" s="2">
        <f t="shared" si="297"/>
        <v>0</v>
      </c>
      <c r="BF729" t="s">
        <v>692</v>
      </c>
      <c r="BG729" t="s">
        <v>1368</v>
      </c>
      <c r="BH729">
        <v>15</v>
      </c>
      <c r="BJ729" s="114">
        <v>17</v>
      </c>
      <c r="BK729" s="116">
        <v>189</v>
      </c>
      <c r="BL729" s="120">
        <f t="shared" si="286"/>
        <v>17189</v>
      </c>
      <c r="BN729" s="5" t="s">
        <v>3154</v>
      </c>
      <c r="BW729" s="8"/>
      <c r="BY729" s="63">
        <f t="shared" si="298"/>
        <v>0</v>
      </c>
      <c r="BZ729" s="63">
        <v>7438</v>
      </c>
      <c r="CA729" s="132">
        <v>55</v>
      </c>
      <c r="CB729" s="132"/>
      <c r="CD729" s="63">
        <v>0</v>
      </c>
      <c r="CE729" s="63">
        <v>0</v>
      </c>
      <c r="CF729" s="63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 hidden="1" outlineLevel="1">
      <c r="A730" t="s">
        <v>423</v>
      </c>
      <c r="B730" t="s">
        <v>1368</v>
      </c>
      <c r="C730" s="1">
        <f t="shared" si="287"/>
        <v>8301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6</v>
      </c>
      <c r="G730" s="132">
        <f t="shared" si="288"/>
        <v>5919</v>
      </c>
      <c r="H730" s="137">
        <f t="shared" si="289"/>
        <v>0.71304662088904947</v>
      </c>
      <c r="I730" s="2"/>
      <c r="J730" s="2">
        <f t="shared" si="290"/>
        <v>0.12624984941573306</v>
      </c>
      <c r="K730" s="2">
        <f t="shared" si="291"/>
        <v>0.8392964703047826</v>
      </c>
      <c r="L730" s="2">
        <f t="shared" si="292"/>
        <v>4.8186965425852307E-4</v>
      </c>
      <c r="M730" s="2">
        <f t="shared" si="293"/>
        <v>3.3971810625225841E-2</v>
      </c>
      <c r="N730" s="63">
        <v>1048</v>
      </c>
      <c r="O730" s="63">
        <v>6967</v>
      </c>
      <c r="P730" s="63">
        <v>4</v>
      </c>
      <c r="Q730" s="63">
        <v>191</v>
      </c>
      <c r="R730" s="63">
        <v>55</v>
      </c>
      <c r="S730" s="63">
        <v>0</v>
      </c>
      <c r="T730" s="63"/>
      <c r="U730" s="63"/>
      <c r="V730" s="63"/>
      <c r="W730" s="63">
        <f>IF(Copyright!B$11=1,IF(CA730&gt;0,CA730-SUM(S730:V730)-P730-SUM(X730:AQ730),SUM(CB730:CW730)),SUM(CC730:CW730))</f>
        <v>36</v>
      </c>
      <c r="X730" s="63"/>
      <c r="Y730" s="63">
        <v>0</v>
      </c>
      <c r="Z730" s="63"/>
      <c r="AA730" s="63"/>
      <c r="AB730" s="63"/>
      <c r="AC730" s="63"/>
      <c r="AD730" s="63"/>
      <c r="AE730" s="63">
        <v>0</v>
      </c>
      <c r="AF730" s="63"/>
      <c r="AG730" s="63"/>
      <c r="AH730" s="63"/>
      <c r="AI730" s="63"/>
      <c r="AJ730" s="63"/>
      <c r="AK730" s="63"/>
      <c r="AL730" s="63"/>
      <c r="AM730" s="63">
        <v>0</v>
      </c>
      <c r="AN730" s="63"/>
      <c r="AO730" s="63"/>
      <c r="AP730" s="63"/>
      <c r="AQ730" s="63"/>
      <c r="AR730" s="63"/>
      <c r="AS730" s="63"/>
      <c r="AT730" s="63"/>
      <c r="AU730" s="63"/>
      <c r="AW730" s="5">
        <f>IF(Q730&gt;0,RANK(Q730,(N730:P730,Q730:AE730)),0)</f>
        <v>3</v>
      </c>
      <c r="AX730" s="5">
        <f>IF(R730&gt;0,RANK(R730,(N730:P730,Q730:AE730)),0)</f>
        <v>4</v>
      </c>
      <c r="AY730" s="5">
        <f>IF(T730&gt;0,RANK(T730,(N730:P730,Q730:AE730)),0)</f>
        <v>0</v>
      </c>
      <c r="AZ730" s="5">
        <f>IF(S730&gt;0,RANK(S730,(N730:P730,Q730:AE730)),0)</f>
        <v>0</v>
      </c>
      <c r="BA730" s="2">
        <f t="shared" si="294"/>
        <v>2.3009275990844475E-2</v>
      </c>
      <c r="BB730" s="2">
        <f t="shared" si="295"/>
        <v>6.6257077460546926E-3</v>
      </c>
      <c r="BC730" s="2">
        <f t="shared" si="296"/>
        <v>0</v>
      </c>
      <c r="BD730" s="2">
        <f t="shared" si="297"/>
        <v>0</v>
      </c>
      <c r="BF730" t="s">
        <v>423</v>
      </c>
      <c r="BG730" t="s">
        <v>1368</v>
      </c>
      <c r="BH730">
        <v>15</v>
      </c>
      <c r="BJ730" s="114">
        <v>17</v>
      </c>
      <c r="BK730" s="116">
        <v>191</v>
      </c>
      <c r="BL730" s="120">
        <f t="shared" si="286"/>
        <v>17191</v>
      </c>
      <c r="BN730" s="5" t="s">
        <v>3154</v>
      </c>
      <c r="BW730" s="8"/>
      <c r="BY730" s="63">
        <f t="shared" si="298"/>
        <v>-8301</v>
      </c>
      <c r="CA730" s="133">
        <v>40</v>
      </c>
      <c r="CB730" s="132"/>
      <c r="CD730" s="63">
        <v>0</v>
      </c>
      <c r="CE730" s="63">
        <v>0</v>
      </c>
      <c r="CF730" s="63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 hidden="1" outlineLevel="1">
      <c r="A731" t="s">
        <v>1976</v>
      </c>
      <c r="B731" t="s">
        <v>1368</v>
      </c>
      <c r="C731" s="1">
        <f t="shared" ref="C731:C737" si="299">SUM(N731:AU731)</f>
        <v>7335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6</v>
      </c>
      <c r="G731" s="132">
        <f t="shared" ref="G731:G737" si="300">IF(C731&gt;0,MAX(N731:P731)-LARGE(N731:P731,2),0)</f>
        <v>4228</v>
      </c>
      <c r="H731" s="137">
        <f t="shared" ref="H731:H737" si="301">IF(C731&gt;0,G731/C731,0)</f>
        <v>0.57641445126107704</v>
      </c>
      <c r="I731" s="2"/>
      <c r="J731" s="2">
        <f t="shared" ref="J731:J737" si="302">IF($C731=0,"-",N731/$C731)</f>
        <v>0.19250170415814588</v>
      </c>
      <c r="K731" s="2">
        <f t="shared" ref="K731:K737" si="303">IF($C731=0,"-",O731/$C731)</f>
        <v>0.76891615541922287</v>
      </c>
      <c r="L731" s="2">
        <f t="shared" ref="L731:L737" si="304">IF($C731=0,"-",P731/$C731)</f>
        <v>4.0899795501022495E-4</v>
      </c>
      <c r="M731" s="2">
        <f t="shared" ref="M731:M737" si="305">IF(C731=0,"-",(1-J731-K731-L731))</f>
        <v>3.8173142467621081E-2</v>
      </c>
      <c r="N731" s="63">
        <v>1412</v>
      </c>
      <c r="O731" s="63">
        <v>5640</v>
      </c>
      <c r="P731" s="63">
        <v>3</v>
      </c>
      <c r="Q731" s="63">
        <v>205</v>
      </c>
      <c r="R731" s="63">
        <v>34</v>
      </c>
      <c r="S731" s="63">
        <v>2</v>
      </c>
      <c r="T731" s="63"/>
      <c r="U731" s="63"/>
      <c r="V731" s="63"/>
      <c r="W731" s="63">
        <f>IF(Copyright!B$11=1,IF(CA731&gt;0,CA731-SUM(S731:V731)-P731-SUM(X731:AQ731),SUM(CB731:CW731)),SUM(CC731:CW731))</f>
        <v>39</v>
      </c>
      <c r="X731" s="63"/>
      <c r="Y731" s="63">
        <v>0</v>
      </c>
      <c r="Z731" s="63"/>
      <c r="AA731" s="63"/>
      <c r="AB731" s="63"/>
      <c r="AC731" s="63"/>
      <c r="AD731" s="63"/>
      <c r="AE731" s="63">
        <v>0</v>
      </c>
      <c r="AF731" s="63"/>
      <c r="AG731" s="63"/>
      <c r="AH731" s="63"/>
      <c r="AI731" s="63"/>
      <c r="AJ731" s="63"/>
      <c r="AK731" s="63"/>
      <c r="AL731" s="63"/>
      <c r="AM731" s="63">
        <v>0</v>
      </c>
      <c r="AN731" s="63"/>
      <c r="AO731" s="63"/>
      <c r="AP731" s="63"/>
      <c r="AQ731" s="63"/>
      <c r="AR731" s="63"/>
      <c r="AS731" s="63"/>
      <c r="AT731" s="63"/>
      <c r="AU731" s="63"/>
      <c r="AW731" s="5">
        <f>IF(Q731&gt;0,RANK(Q731,(N731:P731,Q731:AE731)),0)</f>
        <v>3</v>
      </c>
      <c r="AX731" s="5">
        <f>IF(R731&gt;0,RANK(R731,(N731:P731,Q731:AE731)),0)</f>
        <v>5</v>
      </c>
      <c r="AY731" s="5">
        <f>IF(T731&gt;0,RANK(T731,(N731:P731,Q731:AE731)),0)</f>
        <v>0</v>
      </c>
      <c r="AZ731" s="5">
        <f>IF(S731&gt;0,RANK(S731,(N731:P731,Q731:AE731)),0)</f>
        <v>7</v>
      </c>
      <c r="BA731" s="2">
        <f t="shared" ref="BA731:BA737" si="306">IF($C731=0,"-",Q731/$C731)</f>
        <v>2.7948193592365372E-2</v>
      </c>
      <c r="BB731" s="2">
        <f t="shared" ref="BB731:BB737" si="307">IF($C731=0,"-",R731/$C731)</f>
        <v>4.6353101567825497E-3</v>
      </c>
      <c r="BC731" s="2">
        <f t="shared" ref="BC731:BC737" si="308">IF($C731=0,"-",T731/$C731)</f>
        <v>0</v>
      </c>
      <c r="BD731" s="2">
        <f t="shared" ref="BD731:BD737" si="309">IF($C731=0,"-",S731/$C731)</f>
        <v>2.7266530334014999E-4</v>
      </c>
      <c r="BF731" t="s">
        <v>1976</v>
      </c>
      <c r="BG731" t="s">
        <v>1368</v>
      </c>
      <c r="BH731">
        <v>15</v>
      </c>
      <c r="BJ731" s="114">
        <v>17</v>
      </c>
      <c r="BK731" s="116">
        <v>193</v>
      </c>
      <c r="BL731" s="120">
        <f t="shared" si="286"/>
        <v>17193</v>
      </c>
      <c r="BN731" s="5" t="s">
        <v>3154</v>
      </c>
      <c r="BO731" s="63">
        <v>48</v>
      </c>
      <c r="BP731" s="63">
        <v>9</v>
      </c>
      <c r="BR731" s="63"/>
      <c r="BW731" s="8"/>
      <c r="BX731" s="132" t="s">
        <v>3257</v>
      </c>
      <c r="BY731" s="63">
        <f t="shared" ref="BY731:BY737" si="310">BZ731-C731</f>
        <v>0</v>
      </c>
      <c r="BZ731" s="63">
        <v>7335</v>
      </c>
      <c r="CA731" s="132">
        <v>44</v>
      </c>
      <c r="CB731" s="132"/>
      <c r="CD731" s="63">
        <v>0</v>
      </c>
      <c r="CE731" s="63">
        <v>0</v>
      </c>
      <c r="CF731" s="63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</row>
    <row r="732" spans="1:100" hidden="1" outlineLevel="1">
      <c r="A732" t="s">
        <v>853</v>
      </c>
      <c r="B732" t="s">
        <v>1368</v>
      </c>
      <c r="C732" s="1">
        <f t="shared" si="299"/>
        <v>25582</v>
      </c>
      <c r="D732" s="5">
        <f>IF(N732&gt;0, RANK(N732,(N732:P732,Q732:AE732)),0)</f>
        <v>2</v>
      </c>
      <c r="E732" s="5">
        <f>IF(O732&gt;0,RANK(O732,(N732:P732,Q732:AE732)),0)</f>
        <v>1</v>
      </c>
      <c r="F732" s="5">
        <f>IF(P732&gt;0,RANK(P732,(N732:P732,Q732:AE732)),0)</f>
        <v>6</v>
      </c>
      <c r="G732" s="132">
        <f t="shared" si="300"/>
        <v>1580</v>
      </c>
      <c r="H732" s="137">
        <f t="shared" si="301"/>
        <v>6.1762176530372921E-2</v>
      </c>
      <c r="I732" s="2"/>
      <c r="J732" s="2">
        <f t="shared" si="302"/>
        <v>0.43135798608396531</v>
      </c>
      <c r="K732" s="2">
        <f t="shared" si="303"/>
        <v>0.49312016261433822</v>
      </c>
      <c r="L732" s="2">
        <f t="shared" si="304"/>
        <v>4.6907982174966773E-4</v>
      </c>
      <c r="M732" s="2">
        <f t="shared" si="305"/>
        <v>7.5052771479946753E-2</v>
      </c>
      <c r="N732" s="63">
        <v>11035</v>
      </c>
      <c r="O732" s="63">
        <v>12615</v>
      </c>
      <c r="P732" s="63">
        <v>12</v>
      </c>
      <c r="Q732" s="63">
        <v>1285</v>
      </c>
      <c r="R732" s="63">
        <v>326</v>
      </c>
      <c r="S732" s="63">
        <v>5</v>
      </c>
      <c r="T732" s="63"/>
      <c r="U732" s="63"/>
      <c r="V732" s="63"/>
      <c r="W732" s="63">
        <f>IF(Copyright!B$11=1,IF(CA732&gt;0,CA732-SUM(S732:V732)-P732-SUM(X732:AQ732),SUM(CB732:CW732)),SUM(CC732:CW732))</f>
        <v>302</v>
      </c>
      <c r="X732" s="63"/>
      <c r="Y732" s="63">
        <v>1</v>
      </c>
      <c r="Z732" s="63"/>
      <c r="AA732" s="63"/>
      <c r="AB732" s="63"/>
      <c r="AC732" s="63"/>
      <c r="AD732" s="63"/>
      <c r="AE732" s="63">
        <v>0</v>
      </c>
      <c r="AF732" s="63"/>
      <c r="AG732" s="63"/>
      <c r="AH732" s="63"/>
      <c r="AI732" s="63"/>
      <c r="AJ732" s="63"/>
      <c r="AK732" s="63"/>
      <c r="AL732" s="63"/>
      <c r="AM732" s="63">
        <v>1</v>
      </c>
      <c r="AN732" s="63"/>
      <c r="AO732" s="63"/>
      <c r="AP732" s="63"/>
      <c r="AQ732" s="63"/>
      <c r="AR732" s="63"/>
      <c r="AS732" s="63"/>
      <c r="AT732" s="63"/>
      <c r="AU732" s="63"/>
      <c r="AW732" s="5">
        <f>IF(Q732&gt;0,RANK(Q732,(N732:P732,Q732:AE732)),0)</f>
        <v>3</v>
      </c>
      <c r="AX732" s="5">
        <f>IF(R732&gt;0,RANK(R732,(N732:P732,Q732:AE732)),0)</f>
        <v>4</v>
      </c>
      <c r="AY732" s="5">
        <f>IF(T732&gt;0,RANK(T732,(N732:P732,Q732:AE732)),0)</f>
        <v>0</v>
      </c>
      <c r="AZ732" s="5">
        <f>IF(S732&gt;0,RANK(S732,(N732:P732,Q732:AE732)),0)</f>
        <v>7</v>
      </c>
      <c r="BA732" s="2">
        <f t="shared" si="306"/>
        <v>5.0230630912360255E-2</v>
      </c>
      <c r="BB732" s="2">
        <f t="shared" si="307"/>
        <v>1.2743335157532639E-2</v>
      </c>
      <c r="BC732" s="2">
        <f t="shared" si="308"/>
        <v>0</v>
      </c>
      <c r="BD732" s="2">
        <f t="shared" si="309"/>
        <v>1.9544992572902823E-4</v>
      </c>
      <c r="BF732" t="s">
        <v>853</v>
      </c>
      <c r="BG732" t="s">
        <v>1368</v>
      </c>
      <c r="BH732">
        <v>17</v>
      </c>
      <c r="BJ732" s="114">
        <v>17</v>
      </c>
      <c r="BK732" s="116">
        <v>195</v>
      </c>
      <c r="BL732" s="120">
        <f t="shared" si="286"/>
        <v>17195</v>
      </c>
      <c r="BN732" s="5" t="s">
        <v>3154</v>
      </c>
      <c r="BO732" s="63">
        <v>266</v>
      </c>
      <c r="BP732" s="63">
        <v>27</v>
      </c>
      <c r="BR732" s="63"/>
      <c r="BW732" s="8"/>
      <c r="BX732" s="132" t="s">
        <v>3255</v>
      </c>
      <c r="BY732" s="63">
        <f t="shared" si="310"/>
        <v>0</v>
      </c>
      <c r="BZ732" s="63">
        <v>25582</v>
      </c>
      <c r="CA732" s="132">
        <v>321</v>
      </c>
      <c r="CB732" s="132"/>
      <c r="CD732" s="63">
        <v>0</v>
      </c>
      <c r="CE732" s="63">
        <v>0</v>
      </c>
      <c r="CF732" s="63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</row>
    <row r="733" spans="1:100" hidden="1" outlineLevel="1">
      <c r="A733" t="s">
        <v>112</v>
      </c>
      <c r="B733" t="s">
        <v>1368</v>
      </c>
      <c r="C733" s="1">
        <f t="shared" si="299"/>
        <v>304226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>IF(P733&gt;0,RANK(P733,(N733:P733,Q733:AE733)),0)</f>
        <v>6</v>
      </c>
      <c r="G733" s="132">
        <f t="shared" si="300"/>
        <v>19207</v>
      </c>
      <c r="H733" s="137">
        <f t="shared" si="301"/>
        <v>6.313398591836332E-2</v>
      </c>
      <c r="I733" s="2"/>
      <c r="J733" s="2">
        <f t="shared" si="302"/>
        <v>0.49938861241314025</v>
      </c>
      <c r="K733" s="2">
        <f t="shared" si="303"/>
        <v>0.43625462649477692</v>
      </c>
      <c r="L733" s="2">
        <f t="shared" si="304"/>
        <v>1.5514781774075852E-3</v>
      </c>
      <c r="M733" s="2">
        <f t="shared" si="305"/>
        <v>6.2805282914675242E-2</v>
      </c>
      <c r="N733" s="63">
        <v>151927</v>
      </c>
      <c r="O733" s="63">
        <v>132720</v>
      </c>
      <c r="P733" s="63">
        <v>472</v>
      </c>
      <c r="Q733" s="63">
        <v>11822</v>
      </c>
      <c r="R733" s="63">
        <v>3885</v>
      </c>
      <c r="S733" s="63">
        <v>54</v>
      </c>
      <c r="T733" s="63"/>
      <c r="U733" s="63"/>
      <c r="V733" s="63"/>
      <c r="W733" s="63">
        <f>IF(Copyright!B$11=1,IF(CA733&gt;0,CA733-SUM(S733:V733)-P733-SUM(X733:AQ733),SUM(CB733:CW733)),SUM(CC733:CW733))</f>
        <v>3335</v>
      </c>
      <c r="X733" s="63"/>
      <c r="Y733" s="63">
        <v>6</v>
      </c>
      <c r="Z733" s="63"/>
      <c r="AA733" s="63"/>
      <c r="AB733" s="63"/>
      <c r="AC733" s="63"/>
      <c r="AD733" s="63"/>
      <c r="AE733" s="63">
        <v>3</v>
      </c>
      <c r="AF733" s="63"/>
      <c r="AG733" s="63"/>
      <c r="AH733" s="63"/>
      <c r="AI733" s="63"/>
      <c r="AJ733" s="63"/>
      <c r="AK733" s="63"/>
      <c r="AL733" s="63"/>
      <c r="AM733" s="63">
        <v>2</v>
      </c>
      <c r="AN733" s="63"/>
      <c r="AO733" s="63"/>
      <c r="AP733" s="63"/>
      <c r="AQ733" s="63"/>
      <c r="AR733" s="63"/>
      <c r="AS733" s="63"/>
      <c r="AT733" s="63"/>
      <c r="AU733" s="63"/>
      <c r="AW733" s="5">
        <f>IF(Q733&gt;0,RANK(Q733,(N733:P733,Q733:AE733)),0)</f>
        <v>3</v>
      </c>
      <c r="AX733" s="5">
        <f>IF(R733&gt;0,RANK(R733,(N733:P733,Q733:AE733)),0)</f>
        <v>4</v>
      </c>
      <c r="AY733" s="5">
        <f>IF(T733&gt;0,RANK(T733,(N733:P733,Q733:AE733)),0)</f>
        <v>0</v>
      </c>
      <c r="AZ733" s="5">
        <f>IF(S733&gt;0,RANK(S733,(N733:P733,Q733:AE733)),0)</f>
        <v>7</v>
      </c>
      <c r="BA733" s="2">
        <f t="shared" si="306"/>
        <v>3.8859269096001001E-2</v>
      </c>
      <c r="BB733" s="2">
        <f t="shared" si="307"/>
        <v>1.2770111693280654E-2</v>
      </c>
      <c r="BC733" s="2">
        <f t="shared" si="308"/>
        <v>0</v>
      </c>
      <c r="BD733" s="2">
        <f t="shared" si="309"/>
        <v>1.7749962199154577E-4</v>
      </c>
      <c r="BF733" t="s">
        <v>112</v>
      </c>
      <c r="BG733" t="s">
        <v>1368</v>
      </c>
      <c r="BJ733" s="114">
        <v>17</v>
      </c>
      <c r="BK733" s="116">
        <v>197</v>
      </c>
      <c r="BL733" s="120">
        <f t="shared" si="286"/>
        <v>17197</v>
      </c>
      <c r="BN733" s="5" t="s">
        <v>3154</v>
      </c>
      <c r="BO733" s="63">
        <v>1776</v>
      </c>
      <c r="BP733" s="63">
        <v>376</v>
      </c>
      <c r="BR733" s="63"/>
      <c r="BW733" s="8"/>
      <c r="BX733" s="132"/>
      <c r="BY733" s="63">
        <f t="shared" si="310"/>
        <v>0</v>
      </c>
      <c r="BZ733" s="63">
        <f>304167+59</f>
        <v>304226</v>
      </c>
      <c r="CA733" s="132">
        <f>3813+59</f>
        <v>3872</v>
      </c>
      <c r="CB733" s="132"/>
      <c r="CD733" s="63">
        <v>0</v>
      </c>
      <c r="CE733" s="63">
        <v>9</v>
      </c>
      <c r="CF733" s="63">
        <v>1</v>
      </c>
      <c r="CG733" s="8">
        <v>0</v>
      </c>
      <c r="CH733" s="8">
        <v>0</v>
      </c>
      <c r="CI733" s="8">
        <v>0</v>
      </c>
      <c r="CJ733" s="8">
        <v>0</v>
      </c>
      <c r="CK733" s="8">
        <v>1</v>
      </c>
      <c r="CL733" s="8">
        <v>1</v>
      </c>
      <c r="CM733" s="8">
        <v>0</v>
      </c>
      <c r="CN733" s="8">
        <v>0</v>
      </c>
      <c r="CO733" s="8">
        <v>1</v>
      </c>
      <c r="CP733" s="8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</row>
    <row r="734" spans="1:100" hidden="1" outlineLevel="1">
      <c r="A734" t="s">
        <v>565</v>
      </c>
      <c r="B734" t="s">
        <v>1368</v>
      </c>
      <c r="C734" s="1">
        <f t="shared" si="299"/>
        <v>31852</v>
      </c>
      <c r="D734" s="5">
        <f>IF(N734&gt;0, RANK(N734,(N734:P734,Q734:AE734)),0)</f>
        <v>2</v>
      </c>
      <c r="E734" s="5">
        <f>IF(O734&gt;0,RANK(O734,(N734:P734,Q734:AE734)),0)</f>
        <v>1</v>
      </c>
      <c r="F734" s="5">
        <f>IF(P734&gt;0,RANK(P734,(N734:P734,Q734:AE734)),0)</f>
        <v>6</v>
      </c>
      <c r="G734" s="132">
        <f t="shared" si="300"/>
        <v>12989</v>
      </c>
      <c r="H734" s="137">
        <f t="shared" si="301"/>
        <v>0.40779228933818912</v>
      </c>
      <c r="I734" s="2"/>
      <c r="J734" s="2">
        <f t="shared" si="302"/>
        <v>0.26940223533844027</v>
      </c>
      <c r="K734" s="2">
        <f t="shared" si="303"/>
        <v>0.67719452467662944</v>
      </c>
      <c r="L734" s="2">
        <f t="shared" si="304"/>
        <v>1.8837121687806104E-3</v>
      </c>
      <c r="M734" s="2">
        <f t="shared" si="305"/>
        <v>5.1519527816149741E-2</v>
      </c>
      <c r="N734" s="63">
        <v>8581</v>
      </c>
      <c r="O734" s="63">
        <v>21570</v>
      </c>
      <c r="P734" s="63">
        <v>60</v>
      </c>
      <c r="Q734" s="63">
        <v>997</v>
      </c>
      <c r="R734" s="63">
        <v>396</v>
      </c>
      <c r="S734" s="63">
        <v>17</v>
      </c>
      <c r="T734" s="63"/>
      <c r="U734" s="63"/>
      <c r="V734" s="63"/>
      <c r="W734" s="63">
        <f>IF(Copyright!B$11=1,IF(CA734&gt;0,CA734-SUM(S734:V734)-P734-SUM(X734:AQ734),SUM(CB734:CW734)),SUM(CC734:CW734))</f>
        <v>229</v>
      </c>
      <c r="X734" s="63"/>
      <c r="Y734" s="63">
        <v>2</v>
      </c>
      <c r="Z734" s="63"/>
      <c r="AA734" s="63"/>
      <c r="AB734" s="63"/>
      <c r="AC734" s="63"/>
      <c r="AD734" s="63"/>
      <c r="AE734" s="63">
        <v>0</v>
      </c>
      <c r="AF734" s="63"/>
      <c r="AG734" s="63"/>
      <c r="AH734" s="63"/>
      <c r="AI734" s="63"/>
      <c r="AJ734" s="63"/>
      <c r="AK734" s="63"/>
      <c r="AL734" s="63"/>
      <c r="AM734" s="63">
        <v>0</v>
      </c>
      <c r="AN734" s="63"/>
      <c r="AO734" s="63"/>
      <c r="AP734" s="63"/>
      <c r="AQ734" s="63"/>
      <c r="AR734" s="63"/>
      <c r="AS734" s="63"/>
      <c r="AT734" s="63"/>
      <c r="AU734" s="63"/>
      <c r="AW734" s="5">
        <f>IF(Q734&gt;0,RANK(Q734,(N734:P734,Q734:AE734)),0)</f>
        <v>3</v>
      </c>
      <c r="AX734" s="5">
        <f>IF(R734&gt;0,RANK(R734,(N734:P734,Q734:AE734)),0)</f>
        <v>4</v>
      </c>
      <c r="AY734" s="5">
        <f>IF(T734&gt;0,RANK(T734,(N734:P734,Q734:AE734)),0)</f>
        <v>0</v>
      </c>
      <c r="AZ734" s="5">
        <f>IF(S734&gt;0,RANK(S734,(N734:P734,Q734:AE734)),0)</f>
        <v>7</v>
      </c>
      <c r="BA734" s="2">
        <f t="shared" si="306"/>
        <v>3.1301017204571138E-2</v>
      </c>
      <c r="BB734" s="2">
        <f t="shared" si="307"/>
        <v>1.2432500313952028E-2</v>
      </c>
      <c r="BC734" s="2">
        <f t="shared" si="308"/>
        <v>0</v>
      </c>
      <c r="BD734" s="2">
        <f t="shared" si="309"/>
        <v>5.3371844782117291E-4</v>
      </c>
      <c r="BF734" t="s">
        <v>565</v>
      </c>
      <c r="BG734" t="s">
        <v>1368</v>
      </c>
      <c r="BH734">
        <v>12</v>
      </c>
      <c r="BJ734" s="114">
        <v>17</v>
      </c>
      <c r="BK734" s="116">
        <v>199</v>
      </c>
      <c r="BL734" s="120">
        <f t="shared" si="286"/>
        <v>17199</v>
      </c>
      <c r="BN734" s="5" t="s">
        <v>3154</v>
      </c>
      <c r="BO734" s="63">
        <v>280</v>
      </c>
      <c r="BP734" s="63">
        <v>61</v>
      </c>
      <c r="BR734" s="63"/>
      <c r="BW734" s="8"/>
      <c r="BY734" s="63">
        <f t="shared" si="310"/>
        <v>0</v>
      </c>
      <c r="BZ734" s="63">
        <f>396+21570+8581+997+308</f>
        <v>31852</v>
      </c>
      <c r="CA734" s="132">
        <v>308</v>
      </c>
      <c r="CB734" s="132"/>
      <c r="CD734" s="63">
        <v>0</v>
      </c>
      <c r="CE734" s="63">
        <v>0</v>
      </c>
      <c r="CF734" s="63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</row>
    <row r="735" spans="1:100" hidden="1" outlineLevel="1">
      <c r="A735" t="s">
        <v>1617</v>
      </c>
      <c r="B735" t="s">
        <v>1368</v>
      </c>
      <c r="C735" s="1">
        <f t="shared" si="299"/>
        <v>120055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>IF(P735&gt;0,RANK(P735,(N735:P735,Q735:AE735)),0)</f>
        <v>6</v>
      </c>
      <c r="G735" s="132">
        <f t="shared" si="300"/>
        <v>89</v>
      </c>
      <c r="H735" s="137">
        <f t="shared" si="301"/>
        <v>7.4132689184123947E-4</v>
      </c>
      <c r="I735" s="2"/>
      <c r="J735" s="2">
        <f t="shared" si="302"/>
        <v>0.46406230477697724</v>
      </c>
      <c r="K735" s="2">
        <f t="shared" si="303"/>
        <v>0.46332097788513599</v>
      </c>
      <c r="L735" s="2">
        <f t="shared" si="304"/>
        <v>2.0657198783890717E-3</v>
      </c>
      <c r="M735" s="2">
        <f t="shared" si="305"/>
        <v>7.055099745949775E-2</v>
      </c>
      <c r="N735" s="63">
        <v>55713</v>
      </c>
      <c r="O735" s="63">
        <v>55624</v>
      </c>
      <c r="P735" s="63">
        <v>248</v>
      </c>
      <c r="Q735" s="63">
        <v>5064</v>
      </c>
      <c r="R735" s="63">
        <v>1703</v>
      </c>
      <c r="S735" s="63">
        <v>20</v>
      </c>
      <c r="T735" s="63"/>
      <c r="U735" s="63"/>
      <c r="V735" s="63"/>
      <c r="W735" s="63">
        <f>IF(Copyright!B$11=1,IF(CA735&gt;0,CA735-SUM(S735:V735)-P735-SUM(X735:AQ735),SUM(CB735:CW735)),SUM(CC735:CW735))</f>
        <v>1680</v>
      </c>
      <c r="X735" s="63"/>
      <c r="Y735" s="63">
        <v>2</v>
      </c>
      <c r="Z735" s="63"/>
      <c r="AA735" s="63"/>
      <c r="AB735" s="63"/>
      <c r="AC735" s="63"/>
      <c r="AD735" s="63"/>
      <c r="AE735" s="63">
        <v>1</v>
      </c>
      <c r="AF735" s="63"/>
      <c r="AG735" s="63"/>
      <c r="AH735" s="63"/>
      <c r="AI735" s="63"/>
      <c r="AJ735" s="63"/>
      <c r="AK735" s="63"/>
      <c r="AL735" s="63"/>
      <c r="AM735" s="63">
        <v>0</v>
      </c>
      <c r="AN735" s="63"/>
      <c r="AO735" s="63"/>
      <c r="AP735" s="63"/>
      <c r="AQ735" s="63"/>
      <c r="AR735" s="63"/>
      <c r="AS735" s="63"/>
      <c r="AT735" s="63"/>
      <c r="AU735" s="63"/>
      <c r="AW735" s="5">
        <f>IF(Q735&gt;0,RANK(Q735,(N735:P735,Q735:AE735)),0)</f>
        <v>3</v>
      </c>
      <c r="AX735" s="5">
        <f>IF(R735&gt;0,RANK(R735,(N735:P735,Q735:AE735)),0)</f>
        <v>4</v>
      </c>
      <c r="AY735" s="5">
        <f>IF(T735&gt;0,RANK(T735,(N735:P735,Q735:AE735)),0)</f>
        <v>0</v>
      </c>
      <c r="AZ735" s="5">
        <f>IF(S735&gt;0,RANK(S735,(N735:P735,Q735:AE735)),0)</f>
        <v>7</v>
      </c>
      <c r="BA735" s="2">
        <f t="shared" si="306"/>
        <v>4.2180667194202659E-2</v>
      </c>
      <c r="BB735" s="2">
        <f t="shared" si="307"/>
        <v>1.4185165132647537E-2</v>
      </c>
      <c r="BC735" s="2">
        <f t="shared" si="308"/>
        <v>0</v>
      </c>
      <c r="BD735" s="2">
        <f t="shared" si="309"/>
        <v>1.6659031277331223E-4</v>
      </c>
      <c r="BF735" t="s">
        <v>1617</v>
      </c>
      <c r="BG735" t="s">
        <v>1368</v>
      </c>
      <c r="BJ735" s="114">
        <v>17</v>
      </c>
      <c r="BK735" s="116">
        <v>201</v>
      </c>
      <c r="BL735" s="120">
        <f t="shared" si="286"/>
        <v>17201</v>
      </c>
      <c r="BN735" s="5" t="s">
        <v>3154</v>
      </c>
      <c r="BR735" s="63"/>
      <c r="BW735" s="8"/>
      <c r="BX735" s="132" t="s">
        <v>3257</v>
      </c>
      <c r="BY735" s="63">
        <f t="shared" si="310"/>
        <v>0</v>
      </c>
      <c r="BZ735" s="63">
        <f>25138+36181+2995+902+1085+53754</f>
        <v>120055</v>
      </c>
      <c r="CA735" s="63">
        <f>1085+866</f>
        <v>1951</v>
      </c>
      <c r="CB735" s="132"/>
      <c r="CD735" s="63">
        <v>0</v>
      </c>
      <c r="CE735" s="63">
        <v>0</v>
      </c>
      <c r="CF735" s="63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1</v>
      </c>
      <c r="CM735" s="8">
        <v>0</v>
      </c>
      <c r="CN735" s="8">
        <v>0</v>
      </c>
      <c r="CO735" s="8">
        <v>0</v>
      </c>
      <c r="CP735" s="8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 hidden="1" outlineLevel="1">
      <c r="A736" t="s">
        <v>2167</v>
      </c>
      <c r="B736" t="s">
        <v>1368</v>
      </c>
      <c r="C736" s="1">
        <f t="shared" si="299"/>
        <v>19864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>IF(P736&gt;0,RANK(P736,(N736:P736,Q736:AE736)),0)</f>
        <v>6</v>
      </c>
      <c r="G736" s="132">
        <f t="shared" si="300"/>
        <v>8115</v>
      </c>
      <c r="H736" s="137">
        <f t="shared" si="301"/>
        <v>0.40852799033427306</v>
      </c>
      <c r="I736" s="2"/>
      <c r="J736" s="2">
        <f t="shared" si="302"/>
        <v>0.25634313330648412</v>
      </c>
      <c r="K736" s="2">
        <f t="shared" si="303"/>
        <v>0.66487112364075718</v>
      </c>
      <c r="L736" s="2">
        <f t="shared" si="304"/>
        <v>7.8030608135320175E-3</v>
      </c>
      <c r="M736" s="2">
        <f t="shared" si="305"/>
        <v>7.0982682239226741E-2</v>
      </c>
      <c r="N736" s="63">
        <v>5092</v>
      </c>
      <c r="O736" s="63">
        <v>13207</v>
      </c>
      <c r="P736" s="63">
        <v>155</v>
      </c>
      <c r="Q736" s="63">
        <v>942</v>
      </c>
      <c r="R736" s="63">
        <v>214</v>
      </c>
      <c r="S736" s="63">
        <v>16</v>
      </c>
      <c r="T736" s="63"/>
      <c r="U736" s="63"/>
      <c r="V736" s="63"/>
      <c r="W736" s="63">
        <f>IF(Copyright!B$11=1,IF(CA736&gt;0,CA736-SUM(S736:V736)-P736-SUM(X736:AQ736),SUM(CB736:CW736)),SUM(CC736:CW736))</f>
        <v>232</v>
      </c>
      <c r="X736" s="63"/>
      <c r="Y736" s="63">
        <v>6</v>
      </c>
      <c r="Z736" s="63"/>
      <c r="AA736" s="63"/>
      <c r="AB736" s="63"/>
      <c r="AC736" s="63"/>
      <c r="AD736" s="63"/>
      <c r="AE736" s="63">
        <v>0</v>
      </c>
      <c r="AF736" s="63"/>
      <c r="AG736" s="63"/>
      <c r="AH736" s="63"/>
      <c r="AI736" s="63"/>
      <c r="AJ736" s="63"/>
      <c r="AK736" s="63"/>
      <c r="AL736" s="63"/>
      <c r="AM736" s="63">
        <v>0</v>
      </c>
      <c r="AN736" s="63"/>
      <c r="AO736" s="63"/>
      <c r="AP736" s="63"/>
      <c r="AQ736" s="63"/>
      <c r="AR736" s="63"/>
      <c r="AS736" s="63"/>
      <c r="AT736" s="63"/>
      <c r="AU736" s="63"/>
      <c r="AW736" s="5">
        <f>IF(Q736&gt;0,RANK(Q736,(N736:P736,Q736:AE736)),0)</f>
        <v>3</v>
      </c>
      <c r="AX736" s="5">
        <f>IF(R736&gt;0,RANK(R736,(N736:P736,Q736:AE736)),0)</f>
        <v>5</v>
      </c>
      <c r="AY736" s="5">
        <f>IF(T736&gt;0,RANK(T736,(N736:P736,Q736:AE736)),0)</f>
        <v>0</v>
      </c>
      <c r="AZ736" s="5">
        <f>IF(S736&gt;0,RANK(S736,(N736:P736,Q736:AE736)),0)</f>
        <v>7</v>
      </c>
      <c r="BA736" s="2">
        <f t="shared" si="306"/>
        <v>4.7422472815142974E-2</v>
      </c>
      <c r="BB736" s="2">
        <f t="shared" si="307"/>
        <v>1.0773258155457108E-2</v>
      </c>
      <c r="BC736" s="2">
        <f t="shared" si="308"/>
        <v>0</v>
      </c>
      <c r="BD736" s="2">
        <f t="shared" si="309"/>
        <v>8.0547724526782122E-4</v>
      </c>
      <c r="BF736" t="s">
        <v>2167</v>
      </c>
      <c r="BG736" t="s">
        <v>1368</v>
      </c>
      <c r="BH736">
        <v>18</v>
      </c>
      <c r="BJ736" s="114">
        <v>17</v>
      </c>
      <c r="BK736" s="116">
        <v>203</v>
      </c>
      <c r="BL736" s="120">
        <f t="shared" si="286"/>
        <v>17203</v>
      </c>
      <c r="BN736" s="5" t="s">
        <v>3154</v>
      </c>
      <c r="BW736" s="8"/>
      <c r="BY736" s="63">
        <f t="shared" si="310"/>
        <v>0</v>
      </c>
      <c r="BZ736" s="63">
        <f>13207+5092+942+214+409</f>
        <v>19864</v>
      </c>
      <c r="CA736" s="132">
        <v>409</v>
      </c>
      <c r="CB736" s="132"/>
      <c r="CD736" s="63">
        <v>0</v>
      </c>
      <c r="CE736" s="63">
        <v>0</v>
      </c>
      <c r="CF736" s="63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2" collapsed="1">
      <c r="A737" t="s">
        <v>661</v>
      </c>
      <c r="B737" t="s">
        <v>544</v>
      </c>
      <c r="C737" s="1">
        <f t="shared" si="299"/>
        <v>5594825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>IF(P737&gt;0,RANK(P737,(N737:P737,Q737:AE737)),0)</f>
        <v>6</v>
      </c>
      <c r="G737" s="132">
        <f t="shared" si="300"/>
        <v>944714</v>
      </c>
      <c r="H737" s="137">
        <f t="shared" si="301"/>
        <v>0.16885496865406871</v>
      </c>
      <c r="I737" s="2"/>
      <c r="J737" s="2">
        <f t="shared" si="302"/>
        <v>0.55242639403377225</v>
      </c>
      <c r="K737" s="2">
        <f t="shared" si="303"/>
        <v>0.38357142537970357</v>
      </c>
      <c r="L737" s="2">
        <f t="shared" si="304"/>
        <v>2.1296465930569766E-3</v>
      </c>
      <c r="M737" s="2">
        <f t="shared" si="305"/>
        <v>6.1872533993467205E-2</v>
      </c>
      <c r="N737" s="63">
        <f t="shared" ref="N737:S737" si="311">SUM(N635:N736)</f>
        <v>3090729</v>
      </c>
      <c r="O737" s="63">
        <f t="shared" si="311"/>
        <v>2146015</v>
      </c>
      <c r="P737" s="63">
        <f t="shared" si="311"/>
        <v>11915</v>
      </c>
      <c r="Q737" s="63">
        <f t="shared" si="311"/>
        <v>209596</v>
      </c>
      <c r="R737" s="63">
        <f t="shared" si="311"/>
        <v>76802</v>
      </c>
      <c r="S737" s="63">
        <f t="shared" si="311"/>
        <v>1159</v>
      </c>
      <c r="T737" s="63"/>
      <c r="U737" s="63"/>
      <c r="V737" s="63"/>
      <c r="W737" s="63">
        <f>SUM(W635:W736)</f>
        <v>58331</v>
      </c>
      <c r="X737" s="63"/>
      <c r="Y737" s="63">
        <f>SUM(Y635:Y736)</f>
        <v>176</v>
      </c>
      <c r="Z737" s="63"/>
      <c r="AA737" s="63"/>
      <c r="AB737" s="63"/>
      <c r="AC737" s="63"/>
      <c r="AD737" s="63"/>
      <c r="AE737" s="63">
        <f t="shared" ref="AE737" si="312">SUM(AE635:AE736)</f>
        <v>82</v>
      </c>
      <c r="AF737" s="63"/>
      <c r="AG737" s="63"/>
      <c r="AH737" s="63"/>
      <c r="AI737" s="63"/>
      <c r="AJ737" s="63"/>
      <c r="AK737" s="63"/>
      <c r="AL737" s="63"/>
      <c r="AM737" s="63">
        <f t="shared" ref="AM737" si="313">SUM(AM635:AM736)</f>
        <v>20</v>
      </c>
      <c r="AN737" s="63"/>
      <c r="AO737" s="63"/>
      <c r="AP737" s="63"/>
      <c r="AQ737" s="63"/>
      <c r="AR737" s="63"/>
      <c r="AS737" s="63"/>
      <c r="AT737" s="63"/>
      <c r="AU737" s="63"/>
      <c r="AW737" s="5">
        <f>IF(Q737&gt;0,RANK(Q737,(N737:P737,Q737:AE737)),0)</f>
        <v>3</v>
      </c>
      <c r="AX737" s="5">
        <f>IF(R737&gt;0,RANK(R737,(N737:P737,Q737:AE737)),0)</f>
        <v>4</v>
      </c>
      <c r="AY737" s="5">
        <f>IF(T737&gt;0,RANK(T737,(N737:P737,Q737:AE737)),0)</f>
        <v>0</v>
      </c>
      <c r="AZ737" s="5">
        <f>IF(S737&gt;0,RANK(S737,(N737:P737,Q737:AE737)),0)</f>
        <v>7</v>
      </c>
      <c r="BA737" s="2">
        <f t="shared" si="306"/>
        <v>3.746247648496602E-2</v>
      </c>
      <c r="BB737" s="2">
        <f t="shared" si="307"/>
        <v>1.372732837935056E-2</v>
      </c>
      <c r="BC737" s="2">
        <f t="shared" si="308"/>
        <v>0</v>
      </c>
      <c r="BD737" s="2">
        <f t="shared" si="309"/>
        <v>2.0715571979463166E-4</v>
      </c>
      <c r="BF737" t="s">
        <v>661</v>
      </c>
      <c r="BG737" t="s">
        <v>544</v>
      </c>
      <c r="BJ737" s="114">
        <v>17</v>
      </c>
      <c r="BK737" s="116"/>
      <c r="BL737" s="114">
        <v>17</v>
      </c>
      <c r="BN737" s="5" t="s">
        <v>711</v>
      </c>
      <c r="BW737" s="8"/>
      <c r="BY737" s="63">
        <f t="shared" si="310"/>
        <v>-493384</v>
      </c>
      <c r="BZ737" s="63">
        <f>SUM(BZ635:BZ736)</f>
        <v>5101441</v>
      </c>
      <c r="CA737" s="63">
        <f>SUM(CA635:CA736)</f>
        <v>69819</v>
      </c>
      <c r="CB737" s="132"/>
      <c r="CD737" s="63">
        <f t="shared" ref="CD737:CM737" si="314">SUM(CD635:CD736)</f>
        <v>61</v>
      </c>
      <c r="CE737" s="63">
        <f t="shared" si="314"/>
        <v>27</v>
      </c>
      <c r="CF737" s="63">
        <f t="shared" si="314"/>
        <v>25</v>
      </c>
      <c r="CG737" s="63">
        <f t="shared" si="314"/>
        <v>24</v>
      </c>
      <c r="CH737" s="63">
        <f t="shared" si="314"/>
        <v>12</v>
      </c>
      <c r="CI737" s="63">
        <f t="shared" si="314"/>
        <v>10</v>
      </c>
      <c r="CJ737" s="63">
        <f t="shared" si="314"/>
        <v>10</v>
      </c>
      <c r="CK737" s="63">
        <f t="shared" si="314"/>
        <v>8</v>
      </c>
      <c r="CL737" s="63">
        <f t="shared" si="314"/>
        <v>7</v>
      </c>
      <c r="CM737" s="63">
        <f t="shared" si="314"/>
        <v>6</v>
      </c>
      <c r="CN737" s="63">
        <f t="shared" ref="CN737:CW737" si="315">SUM(CN635:CN736)</f>
        <v>5</v>
      </c>
      <c r="CO737" s="63">
        <f t="shared" si="315"/>
        <v>4</v>
      </c>
      <c r="CP737" s="63">
        <f t="shared" si="315"/>
        <v>3</v>
      </c>
      <c r="CQ737" s="63">
        <f t="shared" si="315"/>
        <v>3</v>
      </c>
      <c r="CR737" s="63">
        <f t="shared" si="315"/>
        <v>3</v>
      </c>
      <c r="CS737" s="63">
        <f t="shared" si="315"/>
        <v>1</v>
      </c>
      <c r="CT737" s="63">
        <f t="shared" si="315"/>
        <v>1</v>
      </c>
      <c r="CU737" s="63">
        <f t="shared" si="315"/>
        <v>1</v>
      </c>
      <c r="CV737" s="63">
        <f t="shared" si="315"/>
        <v>1</v>
      </c>
      <c r="CW737" s="63">
        <f t="shared" si="315"/>
        <v>1</v>
      </c>
      <c r="CX737" s="63"/>
    </row>
    <row r="738" spans="1:102">
      <c r="C738" s="1"/>
      <c r="E738" s="5"/>
      <c r="F738" s="5"/>
      <c r="G738" s="132"/>
      <c r="H738" s="137"/>
      <c r="I738" s="2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8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W738" s="5"/>
      <c r="AX738" s="5"/>
      <c r="AY738" s="5"/>
      <c r="AZ738" s="5"/>
      <c r="BJ738" s="114"/>
      <c r="BK738" s="116"/>
      <c r="BL738" s="120"/>
      <c r="CB738" s="132"/>
      <c r="CD738" s="132" t="s">
        <v>4346</v>
      </c>
      <c r="CE738" s="132" t="s">
        <v>3515</v>
      </c>
      <c r="CF738" s="132" t="s">
        <v>3505</v>
      </c>
      <c r="CG738" s="8" t="s">
        <v>4347</v>
      </c>
      <c r="CH738" s="8" t="s">
        <v>4348</v>
      </c>
      <c r="CI738" s="8" t="s">
        <v>4349</v>
      </c>
    </row>
    <row r="739" spans="1:102" hidden="1" outlineLevel="1">
      <c r="A739" t="s">
        <v>1026</v>
      </c>
      <c r="B739" t="s">
        <v>148</v>
      </c>
      <c r="C739" s="1">
        <f t="shared" ref="C739:C770" si="316">SUM(N739:AU739)</f>
        <v>13194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32">
        <f t="shared" ref="G739:G770" si="317">IF(C739&gt;0,MAX(N739:P739)-LARGE(N739:P739,2),0)</f>
        <v>6843</v>
      </c>
      <c r="H739" s="137">
        <f t="shared" ref="H739:H770" si="318">IF(C739&gt;0,G739/C739,0)</f>
        <v>0.51864483856298316</v>
      </c>
      <c r="I739" s="2"/>
      <c r="J739" s="2">
        <f t="shared" ref="J739:J770" si="319">IF($C739=0,"-",N739/$C739)</f>
        <v>0.21259663483401547</v>
      </c>
      <c r="K739" s="2">
        <f t="shared" ref="K739:K770" si="320">IF($C739=0,"-",O739/$C739)</f>
        <v>0.73124147339699863</v>
      </c>
      <c r="L739" s="2">
        <f t="shared" ref="L739:L770" si="321">IF($C739=0,"-",P739/$C739)</f>
        <v>0</v>
      </c>
      <c r="M739" s="2">
        <f t="shared" ref="M739:M770" si="322">IF(C739=0,"-",(1-J739-K739-L739))</f>
        <v>5.6161891768985894E-2</v>
      </c>
      <c r="N739" s="63">
        <v>2805</v>
      </c>
      <c r="O739" s="63">
        <v>9648</v>
      </c>
      <c r="P739" s="63"/>
      <c r="Q739" s="63">
        <v>595</v>
      </c>
      <c r="R739" s="63">
        <v>23</v>
      </c>
      <c r="S739" s="63">
        <v>14</v>
      </c>
      <c r="T739" s="63">
        <v>0</v>
      </c>
      <c r="U739" s="63">
        <v>0</v>
      </c>
      <c r="V739" s="63"/>
      <c r="W739" s="63">
        <f>IF(Copyright!B$11=1,IF(CA739&gt;0,CA739-P739-SUM(R739:V739)-SUM(X739:AQ739),SUM(CB739:CI739)),SUM(CC739:CI739))</f>
        <v>106</v>
      </c>
      <c r="X739" s="63"/>
      <c r="Y739" s="63">
        <v>3</v>
      </c>
      <c r="Z739" s="63">
        <v>0</v>
      </c>
      <c r="AA739" s="63"/>
      <c r="AB739" s="63"/>
      <c r="AC739" s="63"/>
      <c r="AD739" s="63"/>
      <c r="AE739" s="63">
        <v>0</v>
      </c>
      <c r="AF739" s="63"/>
      <c r="AG739" s="63"/>
      <c r="AH739" s="63"/>
      <c r="AI739" s="8"/>
      <c r="AJ739" s="63"/>
      <c r="AK739" s="63"/>
      <c r="AL739" s="63"/>
      <c r="AM739" s="63">
        <v>0</v>
      </c>
      <c r="AN739" s="63"/>
      <c r="AO739" s="63"/>
      <c r="AP739" s="63"/>
      <c r="AQ739" s="63"/>
      <c r="AR739" s="63"/>
      <c r="AS739" s="63"/>
      <c r="AT739" s="63"/>
      <c r="AU739" s="63"/>
      <c r="AW739" s="5">
        <f>IF(Q739&gt;0,RANK(Q739,(N739:P739,Q739:AE739)),0)</f>
        <v>3</v>
      </c>
      <c r="AX739" s="5">
        <f>IF(R739&gt;0,RANK(R739,(N739:P739,Q739:AE739)),0)</f>
        <v>5</v>
      </c>
      <c r="AY739" s="5">
        <f>IF(T739&gt;0,RANK(T739,(N739:P739,Q739:AE739)),0)</f>
        <v>0</v>
      </c>
      <c r="AZ739" s="5">
        <f>IF(S739&gt;0,RANK(S739,(N739:P739,Q739:AE739)),0)</f>
        <v>6</v>
      </c>
      <c r="BA739" s="2">
        <f t="shared" ref="BA739:BA770" si="323">IF($C739=0,"-",Q739/$C739)</f>
        <v>4.5096255873882066E-2</v>
      </c>
      <c r="BB739" s="2">
        <f t="shared" ref="BB739:BB770" si="324">IF($C739=0,"-",R739/$C739)</f>
        <v>1.7432166136122479E-3</v>
      </c>
      <c r="BC739" s="2">
        <f t="shared" ref="BC739:BC770" si="325">IF($C739=0,"-",T739/$C739)</f>
        <v>0</v>
      </c>
      <c r="BD739" s="2">
        <f t="shared" ref="BD739:BD770" si="326">IF($C739=0,"-",S739/$C739)</f>
        <v>1.0610883735031075E-3</v>
      </c>
      <c r="BF739" t="s">
        <v>1026</v>
      </c>
      <c r="BG739" t="s">
        <v>148</v>
      </c>
      <c r="BH739">
        <v>3</v>
      </c>
      <c r="BJ739" s="114">
        <v>18</v>
      </c>
      <c r="BK739" s="116">
        <v>1</v>
      </c>
      <c r="BL739" s="120">
        <f t="shared" si="286"/>
        <v>18001</v>
      </c>
      <c r="BN739" s="5" t="s">
        <v>3154</v>
      </c>
      <c r="BY739" s="63">
        <f>C739-BZ739</f>
        <v>9</v>
      </c>
      <c r="BZ739" s="63">
        <v>13185</v>
      </c>
      <c r="CA739" s="63">
        <v>146</v>
      </c>
      <c r="CB739" s="132"/>
      <c r="CD739" s="63">
        <v>0</v>
      </c>
      <c r="CE739" s="63">
        <v>0</v>
      </c>
      <c r="CF739" s="63">
        <v>0</v>
      </c>
      <c r="CG739" s="8">
        <v>0</v>
      </c>
      <c r="CH739" s="8">
        <v>0</v>
      </c>
      <c r="CI739" s="8">
        <v>2</v>
      </c>
    </row>
    <row r="740" spans="1:102" hidden="1" outlineLevel="1">
      <c r="A740" t="s">
        <v>1717</v>
      </c>
      <c r="B740" t="s">
        <v>148</v>
      </c>
      <c r="C740" s="1">
        <f t="shared" si="316"/>
        <v>148632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32">
        <f t="shared" si="317"/>
        <v>28548</v>
      </c>
      <c r="H740" s="137">
        <f t="shared" si="318"/>
        <v>0.19207169384789277</v>
      </c>
      <c r="I740" s="2"/>
      <c r="J740" s="2">
        <f t="shared" si="319"/>
        <v>0.37261155067549384</v>
      </c>
      <c r="K740" s="2">
        <f t="shared" si="320"/>
        <v>0.56468324452338658</v>
      </c>
      <c r="L740" s="2">
        <f t="shared" si="321"/>
        <v>0</v>
      </c>
      <c r="M740" s="2">
        <f t="shared" si="322"/>
        <v>6.2705204801119518E-2</v>
      </c>
      <c r="N740" s="63">
        <v>55382</v>
      </c>
      <c r="O740" s="63">
        <v>83930</v>
      </c>
      <c r="P740" s="63"/>
      <c r="Q740" s="63">
        <v>6802</v>
      </c>
      <c r="R740" s="63">
        <v>702</v>
      </c>
      <c r="S740" s="63">
        <v>266</v>
      </c>
      <c r="T740" s="63">
        <v>1</v>
      </c>
      <c r="U740" s="63">
        <v>4</v>
      </c>
      <c r="V740" s="63"/>
      <c r="W740" s="63">
        <f>IF(Copyright!B$11=1,IF(CA740&gt;0,CA740-P740-SUM(R740:V740)-SUM(X740:AQ740),SUM(CB740:CI740)),SUM(CC740:CI740))</f>
        <v>1508</v>
      </c>
      <c r="X740" s="63"/>
      <c r="Y740" s="63">
        <v>28</v>
      </c>
      <c r="Z740" s="63">
        <v>5</v>
      </c>
      <c r="AA740" s="63"/>
      <c r="AB740" s="63"/>
      <c r="AC740" s="63"/>
      <c r="AD740" s="63"/>
      <c r="AE740" s="63">
        <v>4</v>
      </c>
      <c r="AF740" s="63"/>
      <c r="AG740" s="63"/>
      <c r="AH740" s="63"/>
      <c r="AI740" s="8"/>
      <c r="AJ740" s="63"/>
      <c r="AK740" s="63"/>
      <c r="AL740" s="63"/>
      <c r="AM740" s="63">
        <v>0</v>
      </c>
      <c r="AN740" s="63"/>
      <c r="AO740" s="63"/>
      <c r="AP740" s="63"/>
      <c r="AQ740" s="63"/>
      <c r="AR740" s="63"/>
      <c r="AS740" s="63"/>
      <c r="AT740" s="63"/>
      <c r="AU740" s="63"/>
      <c r="AW740" s="5">
        <f>IF(Q740&gt;0,RANK(Q740,(N740:P740,Q740:AE740)),0)</f>
        <v>3</v>
      </c>
      <c r="AX740" s="5">
        <f>IF(R740&gt;0,RANK(R740,(N740:P740,Q740:AE740)),0)</f>
        <v>5</v>
      </c>
      <c r="AY740" s="5">
        <f>IF(T740&gt;0,RANK(T740,(N740:P740,Q740:AE740)),0)</f>
        <v>11</v>
      </c>
      <c r="AZ740" s="5">
        <f>IF(S740&gt;0,RANK(S740,(N740:P740,Q740:AE740)),0)</f>
        <v>6</v>
      </c>
      <c r="BA740" s="2">
        <f t="shared" si="323"/>
        <v>4.5764034662791324E-2</v>
      </c>
      <c r="BB740" s="2">
        <f t="shared" si="324"/>
        <v>4.7230744388826098E-3</v>
      </c>
      <c r="BC740" s="2">
        <f t="shared" si="325"/>
        <v>6.7280262662145433E-6</v>
      </c>
      <c r="BD740" s="2">
        <f t="shared" si="326"/>
        <v>1.7896549868130684E-3</v>
      </c>
      <c r="BF740" t="s">
        <v>1717</v>
      </c>
      <c r="BG740" t="s">
        <v>148</v>
      </c>
      <c r="BH740">
        <v>3</v>
      </c>
      <c r="BJ740" s="114">
        <v>18</v>
      </c>
      <c r="BK740" s="116">
        <v>3</v>
      </c>
      <c r="BL740" s="120">
        <f t="shared" si="286"/>
        <v>18003</v>
      </c>
      <c r="BN740" s="5" t="s">
        <v>3154</v>
      </c>
      <c r="BY740" s="63">
        <f t="shared" ref="BY740:BY803" si="327">C740-BZ740</f>
        <v>67</v>
      </c>
      <c r="BZ740" s="63">
        <v>148565</v>
      </c>
      <c r="CA740" s="63">
        <v>2518</v>
      </c>
      <c r="CB740" s="132"/>
      <c r="CD740" s="63">
        <v>1</v>
      </c>
      <c r="CE740" s="63">
        <v>0</v>
      </c>
      <c r="CF740" s="63">
        <v>0</v>
      </c>
      <c r="CG740" s="8">
        <v>4</v>
      </c>
      <c r="CH740" s="8">
        <v>0</v>
      </c>
      <c r="CI740" s="8">
        <v>8</v>
      </c>
    </row>
    <row r="741" spans="1:102" hidden="1" outlineLevel="1">
      <c r="A741" t="s">
        <v>425</v>
      </c>
      <c r="B741" t="s">
        <v>148</v>
      </c>
      <c r="C741" s="1">
        <f t="shared" si="316"/>
        <v>32717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32">
        <f t="shared" si="317"/>
        <v>10799</v>
      </c>
      <c r="H741" s="137">
        <f t="shared" si="318"/>
        <v>0.33007305070758319</v>
      </c>
      <c r="I741" s="2"/>
      <c r="J741" s="2">
        <f t="shared" si="319"/>
        <v>0.30079163737506492</v>
      </c>
      <c r="K741" s="2">
        <f t="shared" si="320"/>
        <v>0.63086468808264817</v>
      </c>
      <c r="L741" s="2">
        <f t="shared" si="321"/>
        <v>0</v>
      </c>
      <c r="M741" s="2">
        <f t="shared" si="322"/>
        <v>6.8343674542286847E-2</v>
      </c>
      <c r="N741" s="63">
        <v>9841</v>
      </c>
      <c r="O741" s="63">
        <v>20640</v>
      </c>
      <c r="P741" s="63"/>
      <c r="Q741" s="63">
        <v>1911</v>
      </c>
      <c r="R741" s="63">
        <v>60</v>
      </c>
      <c r="S741" s="63">
        <v>30</v>
      </c>
      <c r="T741" s="63">
        <v>0</v>
      </c>
      <c r="U741" s="63">
        <v>0</v>
      </c>
      <c r="V741" s="63"/>
      <c r="W741" s="63">
        <f>IF(Copyright!B$11=1,IF(CA741&gt;0,CA741-P741-SUM(R741:V741)-SUM(X741:AQ741),SUM(CB741:CI741)),SUM(CC741:CI741))</f>
        <v>232</v>
      </c>
      <c r="X741" s="63"/>
      <c r="Y741" s="63">
        <v>3</v>
      </c>
      <c r="Z741" s="63">
        <v>0</v>
      </c>
      <c r="AA741" s="63"/>
      <c r="AB741" s="63"/>
      <c r="AC741" s="63"/>
      <c r="AD741" s="63"/>
      <c r="AE741" s="63">
        <v>0</v>
      </c>
      <c r="AF741" s="63"/>
      <c r="AG741" s="63"/>
      <c r="AH741" s="63"/>
      <c r="AI741" s="8"/>
      <c r="AJ741" s="63"/>
      <c r="AK741" s="63"/>
      <c r="AL741" s="63"/>
      <c r="AM741" s="63">
        <v>0</v>
      </c>
      <c r="AN741" s="63"/>
      <c r="AO741" s="63"/>
      <c r="AP741" s="63"/>
      <c r="AQ741" s="63"/>
      <c r="AR741" s="63"/>
      <c r="AS741" s="63"/>
      <c r="AT741" s="63"/>
      <c r="AU741" s="63"/>
      <c r="AW741" s="5">
        <f>IF(Q741&gt;0,RANK(Q741,(N741:P741,Q741:AE741)),0)</f>
        <v>3</v>
      </c>
      <c r="AX741" s="5">
        <f>IF(R741&gt;0,RANK(R741,(N741:P741,Q741:AE741)),0)</f>
        <v>5</v>
      </c>
      <c r="AY741" s="5">
        <f>IF(T741&gt;0,RANK(T741,(N741:P741,Q741:AE741)),0)</f>
        <v>0</v>
      </c>
      <c r="AZ741" s="5">
        <f>IF(S741&gt;0,RANK(S741,(N741:P741,Q741:AE741)),0)</f>
        <v>6</v>
      </c>
      <c r="BA741" s="2">
        <f t="shared" si="323"/>
        <v>5.8410000916954488E-2</v>
      </c>
      <c r="BB741" s="2">
        <f t="shared" si="324"/>
        <v>1.8339089769844423E-3</v>
      </c>
      <c r="BC741" s="2">
        <f t="shared" si="325"/>
        <v>0</v>
      </c>
      <c r="BD741" s="2">
        <f t="shared" si="326"/>
        <v>9.1695448849222116E-4</v>
      </c>
      <c r="BF741" t="s">
        <v>425</v>
      </c>
      <c r="BG741" t="s">
        <v>148</v>
      </c>
      <c r="BH741">
        <v>6</v>
      </c>
      <c r="BJ741" s="114">
        <v>18</v>
      </c>
      <c r="BK741" s="116">
        <v>5</v>
      </c>
      <c r="BL741" s="120">
        <f t="shared" si="286"/>
        <v>18005</v>
      </c>
      <c r="BN741" s="5" t="s">
        <v>3154</v>
      </c>
      <c r="BY741" s="63">
        <f t="shared" si="327"/>
        <v>32717</v>
      </c>
      <c r="CA741" s="63">
        <v>325</v>
      </c>
      <c r="CB741" s="132"/>
      <c r="CD741" s="63">
        <v>0</v>
      </c>
      <c r="CE741" s="63">
        <v>0</v>
      </c>
      <c r="CF741" s="63">
        <v>0</v>
      </c>
      <c r="CG741" s="8">
        <v>0</v>
      </c>
      <c r="CH741" s="8">
        <v>0</v>
      </c>
      <c r="CI741" s="8">
        <v>5</v>
      </c>
    </row>
    <row r="742" spans="1:102" hidden="1" outlineLevel="1">
      <c r="A742" t="s">
        <v>1098</v>
      </c>
      <c r="B742" t="s">
        <v>148</v>
      </c>
      <c r="C742" s="1">
        <f t="shared" si="316"/>
        <v>3688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32">
        <f t="shared" si="317"/>
        <v>1719</v>
      </c>
      <c r="H742" s="137">
        <f t="shared" si="318"/>
        <v>0.46610629067245118</v>
      </c>
      <c r="I742" s="2"/>
      <c r="J742" s="2">
        <f t="shared" si="319"/>
        <v>0.23318872017353579</v>
      </c>
      <c r="K742" s="2">
        <f t="shared" si="320"/>
        <v>0.699295010845987</v>
      </c>
      <c r="L742" s="2">
        <f t="shared" si="321"/>
        <v>0</v>
      </c>
      <c r="M742" s="2">
        <f t="shared" si="322"/>
        <v>6.7516268980477245E-2</v>
      </c>
      <c r="N742" s="63">
        <v>860</v>
      </c>
      <c r="O742" s="63">
        <v>2579</v>
      </c>
      <c r="P742" s="63"/>
      <c r="Q742" s="63">
        <v>215</v>
      </c>
      <c r="R742" s="63">
        <v>9</v>
      </c>
      <c r="S742" s="63">
        <v>2</v>
      </c>
      <c r="T742" s="63">
        <v>0</v>
      </c>
      <c r="U742" s="63">
        <v>0</v>
      </c>
      <c r="V742" s="63"/>
      <c r="W742" s="63">
        <f>IF(Copyright!B$11=1,IF(CA742&gt;0,CA742-P742-SUM(R742:V742)-SUM(X742:AQ742),SUM(CB742:CI742)),SUM(CC742:CI742))</f>
        <v>22</v>
      </c>
      <c r="X742" s="63"/>
      <c r="Y742" s="63">
        <v>1</v>
      </c>
      <c r="Z742" s="63">
        <v>0</v>
      </c>
      <c r="AA742" s="63"/>
      <c r="AB742" s="63"/>
      <c r="AC742" s="63"/>
      <c r="AD742" s="63"/>
      <c r="AE742" s="63">
        <v>0</v>
      </c>
      <c r="AF742" s="63"/>
      <c r="AG742" s="63"/>
      <c r="AH742" s="63"/>
      <c r="AI742" s="8"/>
      <c r="AJ742" s="63"/>
      <c r="AK742" s="63"/>
      <c r="AL742" s="63"/>
      <c r="AM742" s="63">
        <v>0</v>
      </c>
      <c r="AN742" s="63"/>
      <c r="AO742" s="63"/>
      <c r="AP742" s="63"/>
      <c r="AQ742" s="63"/>
      <c r="AR742" s="63"/>
      <c r="AS742" s="63"/>
      <c r="AT742" s="63"/>
      <c r="AU742" s="63"/>
      <c r="AW742" s="5">
        <f>IF(Q742&gt;0,RANK(Q742,(N742:P742,Q742:AE742)),0)</f>
        <v>3</v>
      </c>
      <c r="AX742" s="5">
        <f>IF(R742&gt;0,RANK(R742,(N742:P742,Q742:AE742)),0)</f>
        <v>5</v>
      </c>
      <c r="AY742" s="5">
        <f>IF(T742&gt;0,RANK(T742,(N742:P742,Q742:AE742)),0)</f>
        <v>0</v>
      </c>
      <c r="AZ742" s="5">
        <f>IF(S742&gt;0,RANK(S742,(N742:P742,Q742:AE742)),0)</f>
        <v>6</v>
      </c>
      <c r="BA742" s="2">
        <f t="shared" si="323"/>
        <v>5.8297180043383946E-2</v>
      </c>
      <c r="BB742" s="2">
        <f t="shared" si="324"/>
        <v>2.4403470715835141E-3</v>
      </c>
      <c r="BC742" s="2">
        <f t="shared" si="325"/>
        <v>0</v>
      </c>
      <c r="BD742" s="2">
        <f t="shared" si="326"/>
        <v>5.4229934924078093E-4</v>
      </c>
      <c r="BF742" t="s">
        <v>1098</v>
      </c>
      <c r="BG742" t="s">
        <v>148</v>
      </c>
      <c r="BH742">
        <v>4</v>
      </c>
      <c r="BJ742" s="114">
        <v>18</v>
      </c>
      <c r="BK742" s="116">
        <v>7</v>
      </c>
      <c r="BL742" s="120">
        <f t="shared" si="286"/>
        <v>18007</v>
      </c>
      <c r="BN742" s="5" t="s">
        <v>3154</v>
      </c>
      <c r="BY742" s="63">
        <f t="shared" si="327"/>
        <v>3688</v>
      </c>
      <c r="CA742" s="63">
        <v>34</v>
      </c>
      <c r="CB742" s="132"/>
      <c r="CD742" s="63">
        <v>0</v>
      </c>
      <c r="CE742" s="63">
        <v>0</v>
      </c>
      <c r="CF742" s="63">
        <v>0</v>
      </c>
      <c r="CG742" s="8">
        <v>0</v>
      </c>
      <c r="CH742" s="8">
        <v>0</v>
      </c>
      <c r="CI742" s="8">
        <v>0</v>
      </c>
    </row>
    <row r="743" spans="1:102" hidden="1" outlineLevel="1">
      <c r="A743" t="s">
        <v>171</v>
      </c>
      <c r="B743" t="s">
        <v>148</v>
      </c>
      <c r="C743" s="1">
        <f t="shared" si="316"/>
        <v>4881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32">
        <f t="shared" si="317"/>
        <v>2107</v>
      </c>
      <c r="H743" s="137">
        <f t="shared" si="318"/>
        <v>0.4316738373284163</v>
      </c>
      <c r="I743" s="2"/>
      <c r="J743" s="2">
        <f t="shared" si="319"/>
        <v>0.25466093013726693</v>
      </c>
      <c r="K743" s="2">
        <f t="shared" si="320"/>
        <v>0.68633476746568323</v>
      </c>
      <c r="L743" s="2">
        <f t="shared" si="321"/>
        <v>0</v>
      </c>
      <c r="M743" s="2">
        <f t="shared" si="322"/>
        <v>5.9004302397049901E-2</v>
      </c>
      <c r="N743" s="63">
        <v>1243</v>
      </c>
      <c r="O743" s="63">
        <v>3350</v>
      </c>
      <c r="P743" s="63"/>
      <c r="Q743" s="63">
        <v>230</v>
      </c>
      <c r="R743" s="63">
        <v>15</v>
      </c>
      <c r="S743" s="63">
        <v>0</v>
      </c>
      <c r="T743" s="63">
        <v>0</v>
      </c>
      <c r="U743" s="63">
        <v>0</v>
      </c>
      <c r="V743" s="63"/>
      <c r="W743" s="63">
        <f>IF(Copyright!B$11=1,IF(CA743&gt;0,CA743-P743-SUM(R743:V743)-SUM(X743:AQ743),SUM(CB743:CI743)),SUM(CC743:CI743))</f>
        <v>43</v>
      </c>
      <c r="X743" s="63"/>
      <c r="Y743" s="63">
        <v>0</v>
      </c>
      <c r="Z743" s="63">
        <v>0</v>
      </c>
      <c r="AA743" s="63"/>
      <c r="AB743" s="63"/>
      <c r="AC743" s="63"/>
      <c r="AD743" s="63"/>
      <c r="AE743" s="63">
        <v>0</v>
      </c>
      <c r="AF743" s="63"/>
      <c r="AG743" s="63"/>
      <c r="AH743" s="63"/>
      <c r="AI743" s="8"/>
      <c r="AJ743" s="63"/>
      <c r="AK743" s="63"/>
      <c r="AL743" s="63"/>
      <c r="AM743" s="63">
        <v>0</v>
      </c>
      <c r="AN743" s="63"/>
      <c r="AO743" s="63"/>
      <c r="AP743" s="63"/>
      <c r="AQ743" s="63"/>
      <c r="AR743" s="63"/>
      <c r="AS743" s="63"/>
      <c r="AT743" s="63"/>
      <c r="AU743" s="63"/>
      <c r="AW743" s="5">
        <f>IF(Q743&gt;0,RANK(Q743,(N743:P743,Q743:AE743)),0)</f>
        <v>3</v>
      </c>
      <c r="AX743" s="5">
        <f>IF(R743&gt;0,RANK(R743,(N743:P743,Q743:AE743)),0)</f>
        <v>5</v>
      </c>
      <c r="AY743" s="5">
        <f>IF(T743&gt;0,RANK(T743,(N743:P743,Q743:AE743)),0)</f>
        <v>0</v>
      </c>
      <c r="AZ743" s="5">
        <f>IF(S743&gt;0,RANK(S743,(N743:P743,Q743:AE743)),0)</f>
        <v>0</v>
      </c>
      <c r="BA743" s="2">
        <f t="shared" si="323"/>
        <v>4.7121491497643928E-2</v>
      </c>
      <c r="BB743" s="2">
        <f t="shared" si="324"/>
        <v>3.0731407498463428E-3</v>
      </c>
      <c r="BC743" s="2">
        <f t="shared" si="325"/>
        <v>0</v>
      </c>
      <c r="BD743" s="2">
        <f t="shared" si="326"/>
        <v>0</v>
      </c>
      <c r="BF743" t="s">
        <v>171</v>
      </c>
      <c r="BG743" t="s">
        <v>148</v>
      </c>
      <c r="BJ743" s="114">
        <v>18</v>
      </c>
      <c r="BK743" s="116">
        <v>9</v>
      </c>
      <c r="BL743" s="120">
        <f t="shared" si="286"/>
        <v>18009</v>
      </c>
      <c r="BN743" s="5" t="s">
        <v>3154</v>
      </c>
      <c r="BY743" s="63">
        <f t="shared" si="327"/>
        <v>4881</v>
      </c>
      <c r="CA743" s="63">
        <v>58</v>
      </c>
      <c r="CB743" s="132"/>
      <c r="CD743" s="63">
        <v>0</v>
      </c>
      <c r="CE743" s="63">
        <v>0</v>
      </c>
      <c r="CF743" s="63">
        <v>1</v>
      </c>
      <c r="CG743" s="8">
        <v>0</v>
      </c>
      <c r="CH743" s="8">
        <v>0</v>
      </c>
      <c r="CI743" s="8">
        <v>0</v>
      </c>
    </row>
    <row r="744" spans="1:102" hidden="1" outlineLevel="1">
      <c r="A744" t="s">
        <v>1043</v>
      </c>
      <c r="B744" t="s">
        <v>148</v>
      </c>
      <c r="C744" s="1">
        <f t="shared" si="316"/>
        <v>32537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32">
        <f t="shared" si="317"/>
        <v>9473</v>
      </c>
      <c r="H744" s="137">
        <f t="shared" si="318"/>
        <v>0.29114546516273782</v>
      </c>
      <c r="I744" s="2"/>
      <c r="J744" s="2">
        <f t="shared" si="319"/>
        <v>0.31290530780342379</v>
      </c>
      <c r="K744" s="2">
        <f t="shared" si="320"/>
        <v>0.60405077296616161</v>
      </c>
      <c r="L744" s="2">
        <f t="shared" si="321"/>
        <v>0</v>
      </c>
      <c r="M744" s="2">
        <f t="shared" si="322"/>
        <v>8.3043919230414542E-2</v>
      </c>
      <c r="N744" s="63">
        <v>10181</v>
      </c>
      <c r="O744" s="63">
        <v>19654</v>
      </c>
      <c r="P744" s="63"/>
      <c r="Q744" s="63">
        <v>2226</v>
      </c>
      <c r="R744" s="63">
        <v>75</v>
      </c>
      <c r="S744" s="63">
        <v>35</v>
      </c>
      <c r="T744" s="63">
        <v>1</v>
      </c>
      <c r="U744" s="63">
        <v>1</v>
      </c>
      <c r="V744" s="63"/>
      <c r="W744" s="63">
        <f>IF(Copyright!B$11=1,IF(CA744&gt;0,CA744-P744-SUM(R744:V744)-SUM(X744:AQ744),SUM(CB744:CI744)),SUM(CC744:CI744))</f>
        <v>362</v>
      </c>
      <c r="X744" s="63"/>
      <c r="Y744" s="63">
        <v>1</v>
      </c>
      <c r="Z744" s="63">
        <v>0</v>
      </c>
      <c r="AA744" s="63"/>
      <c r="AB744" s="63"/>
      <c r="AC744" s="63"/>
      <c r="AD744" s="63"/>
      <c r="AE744" s="63">
        <v>1</v>
      </c>
      <c r="AF744" s="63"/>
      <c r="AG744" s="63"/>
      <c r="AH744" s="63"/>
      <c r="AI744" s="8"/>
      <c r="AJ744" s="63"/>
      <c r="AK744" s="63"/>
      <c r="AL744" s="63"/>
      <c r="AM744" s="63">
        <v>0</v>
      </c>
      <c r="AN744" s="63"/>
      <c r="AO744" s="63"/>
      <c r="AP744" s="63"/>
      <c r="AQ744" s="63"/>
      <c r="AR744" s="63"/>
      <c r="AS744" s="63"/>
      <c r="AT744" s="63"/>
      <c r="AU744" s="63"/>
      <c r="AW744" s="5">
        <f>IF(Q744&gt;0,RANK(Q744,(N744:P744,Q744:AE744)),0)</f>
        <v>3</v>
      </c>
      <c r="AX744" s="5">
        <f>IF(R744&gt;0,RANK(R744,(N744:P744,Q744:AE744)),0)</f>
        <v>5</v>
      </c>
      <c r="AY744" s="5">
        <f>IF(T744&gt;0,RANK(T744,(N744:P744,Q744:AE744)),0)</f>
        <v>7</v>
      </c>
      <c r="AZ744" s="5">
        <f>IF(S744&gt;0,RANK(S744,(N744:P744,Q744:AE744)),0)</f>
        <v>6</v>
      </c>
      <c r="BA744" s="2">
        <f t="shared" si="323"/>
        <v>6.8414420505885601E-2</v>
      </c>
      <c r="BB744" s="2">
        <f t="shared" si="324"/>
        <v>2.3050680763438548E-3</v>
      </c>
      <c r="BC744" s="2">
        <f t="shared" si="325"/>
        <v>3.0734241017918061E-5</v>
      </c>
      <c r="BD744" s="2">
        <f t="shared" si="326"/>
        <v>1.0756984356271322E-3</v>
      </c>
      <c r="BF744" t="s">
        <v>1043</v>
      </c>
      <c r="BG744" t="s">
        <v>148</v>
      </c>
      <c r="BJ744" s="114">
        <v>18</v>
      </c>
      <c r="BK744" s="116">
        <v>11</v>
      </c>
      <c r="BL744" s="120">
        <f t="shared" ref="BL744:BL807" si="328">1000*BJ744+BK744</f>
        <v>18011</v>
      </c>
      <c r="BN744" s="5" t="s">
        <v>3154</v>
      </c>
      <c r="BY744" s="63">
        <f t="shared" si="327"/>
        <v>32537</v>
      </c>
      <c r="CA744" s="63">
        <v>476</v>
      </c>
      <c r="CB744" s="132"/>
      <c r="CD744" s="63">
        <v>0</v>
      </c>
      <c r="CE744" s="63">
        <v>0</v>
      </c>
      <c r="CF744" s="63">
        <v>1</v>
      </c>
      <c r="CG744" s="8">
        <v>1</v>
      </c>
      <c r="CH744" s="8">
        <v>0</v>
      </c>
      <c r="CI744" s="8">
        <v>1</v>
      </c>
    </row>
    <row r="745" spans="1:102" hidden="1" outlineLevel="1">
      <c r="A745" t="s">
        <v>578</v>
      </c>
      <c r="B745" t="s">
        <v>148</v>
      </c>
      <c r="C745" s="1">
        <f t="shared" si="316"/>
        <v>7945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32">
        <f t="shared" si="317"/>
        <v>2498</v>
      </c>
      <c r="H745" s="137">
        <f t="shared" si="318"/>
        <v>0.31441157960981747</v>
      </c>
      <c r="I745" s="2"/>
      <c r="J745" s="2">
        <f t="shared" si="319"/>
        <v>0.31692888609188169</v>
      </c>
      <c r="K745" s="2">
        <f t="shared" si="320"/>
        <v>0.63134046570169922</v>
      </c>
      <c r="L745" s="2">
        <f t="shared" si="321"/>
        <v>0</v>
      </c>
      <c r="M745" s="2">
        <f t="shared" si="322"/>
        <v>5.1730648206419039E-2</v>
      </c>
      <c r="N745" s="63">
        <v>2518</v>
      </c>
      <c r="O745" s="63">
        <v>5016</v>
      </c>
      <c r="P745" s="63"/>
      <c r="Q745" s="63">
        <v>375</v>
      </c>
      <c r="R745" s="63">
        <v>31</v>
      </c>
      <c r="S745" s="63">
        <v>3</v>
      </c>
      <c r="T745" s="63">
        <v>0</v>
      </c>
      <c r="U745" s="63">
        <v>0</v>
      </c>
      <c r="V745" s="63"/>
      <c r="W745" s="63">
        <f>IF(Copyright!B$11=1,IF(CA745&gt;0,CA745-P745-SUM(R745:V745)-SUM(X745:AQ745),SUM(CB745:CI745)),SUM(CC745:CI745))</f>
        <v>1</v>
      </c>
      <c r="X745" s="63"/>
      <c r="Y745" s="63">
        <v>1</v>
      </c>
      <c r="Z745" s="63">
        <v>0</v>
      </c>
      <c r="AA745" s="63"/>
      <c r="AB745" s="63"/>
      <c r="AC745" s="63"/>
      <c r="AD745" s="63"/>
      <c r="AE745" s="63">
        <v>0</v>
      </c>
      <c r="AF745" s="63"/>
      <c r="AG745" s="63"/>
      <c r="AH745" s="63"/>
      <c r="AI745" s="8"/>
      <c r="AJ745" s="63"/>
      <c r="AK745" s="63"/>
      <c r="AL745" s="63"/>
      <c r="AM745" s="63">
        <v>0</v>
      </c>
      <c r="AN745" s="63"/>
      <c r="AO745" s="63"/>
      <c r="AP745" s="63"/>
      <c r="AQ745" s="63"/>
      <c r="AR745" s="63"/>
      <c r="AS745" s="63"/>
      <c r="AT745" s="63"/>
      <c r="AU745" s="63"/>
      <c r="AW745" s="5">
        <f>IF(Q745&gt;0,RANK(Q745,(N745:P745,Q745:AE745)),0)</f>
        <v>3</v>
      </c>
      <c r="AX745" s="5">
        <f>IF(R745&gt;0,RANK(R745,(N745:P745,Q745:AE745)),0)</f>
        <v>4</v>
      </c>
      <c r="AY745" s="5">
        <f>IF(T745&gt;0,RANK(T745,(N745:P745,Q745:AE745)),0)</f>
        <v>0</v>
      </c>
      <c r="AZ745" s="5">
        <f>IF(S745&gt;0,RANK(S745,(N745:P745,Q745:AE745)),0)</f>
        <v>5</v>
      </c>
      <c r="BA745" s="2">
        <f t="shared" si="323"/>
        <v>4.7199496538703589E-2</v>
      </c>
      <c r="BB745" s="2">
        <f t="shared" si="324"/>
        <v>3.9018250471994967E-3</v>
      </c>
      <c r="BC745" s="2">
        <f t="shared" si="325"/>
        <v>0</v>
      </c>
      <c r="BD745" s="2">
        <f t="shared" si="326"/>
        <v>3.7759597230962869E-4</v>
      </c>
      <c r="BF745" t="s">
        <v>578</v>
      </c>
      <c r="BG745" t="s">
        <v>148</v>
      </c>
      <c r="BH745">
        <v>9</v>
      </c>
      <c r="BJ745" s="114">
        <v>18</v>
      </c>
      <c r="BK745" s="116">
        <v>13</v>
      </c>
      <c r="BL745" s="120">
        <f t="shared" si="328"/>
        <v>18013</v>
      </c>
      <c r="BN745" s="5" t="s">
        <v>3154</v>
      </c>
      <c r="BY745" s="63">
        <f t="shared" si="327"/>
        <v>7945</v>
      </c>
      <c r="CB745" s="132"/>
      <c r="CD745" s="63">
        <v>0</v>
      </c>
      <c r="CE745" s="63">
        <v>0</v>
      </c>
      <c r="CF745" s="63">
        <v>0</v>
      </c>
      <c r="CG745" s="8">
        <v>0</v>
      </c>
      <c r="CH745" s="8">
        <v>0</v>
      </c>
      <c r="CI745" s="8">
        <v>1</v>
      </c>
    </row>
    <row r="746" spans="1:102" hidden="1" outlineLevel="1">
      <c r="A746" t="s">
        <v>1675</v>
      </c>
      <c r="B746" t="s">
        <v>148</v>
      </c>
      <c r="C746" s="1">
        <f t="shared" si="316"/>
        <v>8643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32">
        <f t="shared" si="317"/>
        <v>4381</v>
      </c>
      <c r="H746" s="137">
        <f t="shared" si="318"/>
        <v>0.50688418373250033</v>
      </c>
      <c r="I746" s="2"/>
      <c r="J746" s="2">
        <f t="shared" si="319"/>
        <v>0.21890547263681592</v>
      </c>
      <c r="K746" s="2">
        <f t="shared" si="320"/>
        <v>0.72578965636931625</v>
      </c>
      <c r="L746" s="2">
        <f t="shared" si="321"/>
        <v>0</v>
      </c>
      <c r="M746" s="2">
        <f t="shared" si="322"/>
        <v>5.5304870993867827E-2</v>
      </c>
      <c r="N746" s="63">
        <v>1892</v>
      </c>
      <c r="O746" s="63">
        <v>6273</v>
      </c>
      <c r="P746" s="63"/>
      <c r="Q746" s="63">
        <v>445</v>
      </c>
      <c r="R746" s="63">
        <v>24</v>
      </c>
      <c r="S746" s="63">
        <v>8</v>
      </c>
      <c r="T746" s="63">
        <v>0</v>
      </c>
      <c r="U746" s="63">
        <v>0</v>
      </c>
      <c r="V746" s="63"/>
      <c r="W746" s="63">
        <f>IF(Copyright!B$11=1,IF(CA746&gt;0,CA746-P746-SUM(R746:V746)-SUM(X746:AQ746),SUM(CB746:CI746)),SUM(CC746:CI746))</f>
        <v>1</v>
      </c>
      <c r="X746" s="63"/>
      <c r="Y746" s="63">
        <v>0</v>
      </c>
      <c r="Z746" s="63">
        <v>0</v>
      </c>
      <c r="AA746" s="63"/>
      <c r="AB746" s="63"/>
      <c r="AC746" s="63"/>
      <c r="AD746" s="63"/>
      <c r="AE746" s="63">
        <v>0</v>
      </c>
      <c r="AF746" s="63"/>
      <c r="AG746" s="63"/>
      <c r="AH746" s="63"/>
      <c r="AI746" s="8"/>
      <c r="AJ746" s="63"/>
      <c r="AK746" s="63"/>
      <c r="AL746" s="63"/>
      <c r="AM746" s="63">
        <v>0</v>
      </c>
      <c r="AN746" s="63"/>
      <c r="AO746" s="63"/>
      <c r="AP746" s="63"/>
      <c r="AQ746" s="63"/>
      <c r="AR746" s="63"/>
      <c r="AS746" s="63"/>
      <c r="AT746" s="63"/>
      <c r="AU746" s="63"/>
      <c r="AW746" s="5">
        <f>IF(Q746&gt;0,RANK(Q746,(N746:P746,Q746:AE746)),0)</f>
        <v>3</v>
      </c>
      <c r="AX746" s="5">
        <f>IF(R746&gt;0,RANK(R746,(N746:P746,Q746:AE746)),0)</f>
        <v>4</v>
      </c>
      <c r="AY746" s="5">
        <f>IF(T746&gt;0,RANK(T746,(N746:P746,Q746:AE746)),0)</f>
        <v>0</v>
      </c>
      <c r="AZ746" s="5">
        <f>IF(S746&gt;0,RANK(S746,(N746:P746,Q746:AE746)),0)</f>
        <v>5</v>
      </c>
      <c r="BA746" s="2">
        <f t="shared" si="323"/>
        <v>5.1486752285086194E-2</v>
      </c>
      <c r="BB746" s="2">
        <f t="shared" si="324"/>
        <v>2.7768136063866713E-3</v>
      </c>
      <c r="BC746" s="2">
        <f t="shared" si="325"/>
        <v>0</v>
      </c>
      <c r="BD746" s="2">
        <f t="shared" si="326"/>
        <v>9.2560453546222372E-4</v>
      </c>
      <c r="BF746" t="s">
        <v>1675</v>
      </c>
      <c r="BG746" t="s">
        <v>148</v>
      </c>
      <c r="BH746">
        <v>4</v>
      </c>
      <c r="BJ746" s="114">
        <v>18</v>
      </c>
      <c r="BK746" s="116">
        <v>15</v>
      </c>
      <c r="BL746" s="120">
        <f t="shared" si="328"/>
        <v>18015</v>
      </c>
      <c r="BN746" s="5" t="s">
        <v>3154</v>
      </c>
      <c r="BY746" s="63">
        <f t="shared" si="327"/>
        <v>8643</v>
      </c>
      <c r="CB746" s="132"/>
      <c r="CD746" s="63">
        <v>0</v>
      </c>
      <c r="CE746" s="63">
        <v>0</v>
      </c>
      <c r="CF746" s="63">
        <v>0</v>
      </c>
      <c r="CG746" s="8">
        <v>0</v>
      </c>
      <c r="CH746" s="8">
        <v>0</v>
      </c>
      <c r="CI746" s="8">
        <v>1</v>
      </c>
    </row>
    <row r="747" spans="1:102" hidden="1" outlineLevel="1">
      <c r="A747" t="s">
        <v>339</v>
      </c>
      <c r="B747" t="s">
        <v>148</v>
      </c>
      <c r="C747" s="1">
        <f t="shared" si="316"/>
        <v>14209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32">
        <f t="shared" si="317"/>
        <v>5942</v>
      </c>
      <c r="H747" s="137">
        <f t="shared" si="318"/>
        <v>0.41818565697797172</v>
      </c>
      <c r="I747" s="2"/>
      <c r="J747" s="2">
        <f t="shared" si="319"/>
        <v>0.26455063692026182</v>
      </c>
      <c r="K747" s="2">
        <f t="shared" si="320"/>
        <v>0.68273629389823354</v>
      </c>
      <c r="L747" s="2">
        <f t="shared" si="321"/>
        <v>0</v>
      </c>
      <c r="M747" s="2">
        <f t="shared" si="322"/>
        <v>5.2713069181504646E-2</v>
      </c>
      <c r="N747" s="63">
        <v>3759</v>
      </c>
      <c r="O747" s="63">
        <v>9701</v>
      </c>
      <c r="P747" s="63"/>
      <c r="Q747" s="63">
        <v>680</v>
      </c>
      <c r="R747" s="63">
        <v>49</v>
      </c>
      <c r="S747" s="63">
        <v>15</v>
      </c>
      <c r="T747" s="63">
        <v>0</v>
      </c>
      <c r="U747" s="63">
        <v>1</v>
      </c>
      <c r="V747" s="63"/>
      <c r="W747" s="63">
        <f>IF(Copyright!B$11=1,IF(CA747&gt;0,CA747-P747-SUM(R747:V747)-SUM(X747:AQ747),SUM(CB747:CI747)),SUM(CC747:CI747))</f>
        <v>3</v>
      </c>
      <c r="X747" s="63"/>
      <c r="Y747" s="63">
        <v>1</v>
      </c>
      <c r="Z747" s="63">
        <v>0</v>
      </c>
      <c r="AA747" s="63"/>
      <c r="AB747" s="63"/>
      <c r="AC747" s="63"/>
      <c r="AD747" s="63"/>
      <c r="AE747" s="63">
        <v>0</v>
      </c>
      <c r="AF747" s="63"/>
      <c r="AG747" s="63"/>
      <c r="AH747" s="63"/>
      <c r="AI747" s="8"/>
      <c r="AJ747" s="63"/>
      <c r="AK747" s="63"/>
      <c r="AL747" s="63"/>
      <c r="AM747" s="63">
        <v>0</v>
      </c>
      <c r="AN747" s="63"/>
      <c r="AO747" s="63"/>
      <c r="AP747" s="63"/>
      <c r="AQ747" s="63"/>
      <c r="AR747" s="63"/>
      <c r="AS747" s="63"/>
      <c r="AT747" s="63"/>
      <c r="AU747" s="63"/>
      <c r="AW747" s="5">
        <f>IF(Q747&gt;0,RANK(Q747,(N747:P747,Q747:AE747)),0)</f>
        <v>3</v>
      </c>
      <c r="AX747" s="5">
        <f>IF(R747&gt;0,RANK(R747,(N747:P747,Q747:AE747)),0)</f>
        <v>4</v>
      </c>
      <c r="AY747" s="5">
        <f>IF(T747&gt;0,RANK(T747,(N747:P747,Q747:AE747)),0)</f>
        <v>0</v>
      </c>
      <c r="AZ747" s="5">
        <f>IF(S747&gt;0,RANK(S747,(N747:P747,Q747:AE747)),0)</f>
        <v>5</v>
      </c>
      <c r="BA747" s="2">
        <f t="shared" si="323"/>
        <v>4.7856992047293968E-2</v>
      </c>
      <c r="BB747" s="2">
        <f t="shared" si="324"/>
        <v>3.4485185445844182E-3</v>
      </c>
      <c r="BC747" s="2">
        <f t="shared" si="325"/>
        <v>0</v>
      </c>
      <c r="BD747" s="2">
        <f t="shared" si="326"/>
        <v>1.0556689422197198E-3</v>
      </c>
      <c r="BF747" t="s">
        <v>339</v>
      </c>
      <c r="BG747" t="s">
        <v>148</v>
      </c>
      <c r="BH747">
        <v>4</v>
      </c>
      <c r="BJ747" s="114">
        <v>18</v>
      </c>
      <c r="BK747" s="116">
        <v>17</v>
      </c>
      <c r="BL747" s="120">
        <f t="shared" si="328"/>
        <v>18017</v>
      </c>
      <c r="BN747" s="5" t="s">
        <v>3154</v>
      </c>
      <c r="BY747" s="63">
        <f t="shared" si="327"/>
        <v>14209</v>
      </c>
      <c r="CB747" s="132"/>
      <c r="CD747" s="63">
        <v>0</v>
      </c>
      <c r="CE747" s="63">
        <v>0</v>
      </c>
      <c r="CF747" s="63">
        <v>0</v>
      </c>
      <c r="CG747" s="8">
        <v>0</v>
      </c>
      <c r="CH747" s="8">
        <v>0</v>
      </c>
      <c r="CI747" s="8">
        <v>3</v>
      </c>
    </row>
    <row r="748" spans="1:102" hidden="1" outlineLevel="1">
      <c r="A748" t="s">
        <v>392</v>
      </c>
      <c r="B748" t="s">
        <v>148</v>
      </c>
      <c r="C748" s="1">
        <f t="shared" si="316"/>
        <v>51789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32">
        <f t="shared" si="317"/>
        <v>11227</v>
      </c>
      <c r="H748" s="137">
        <f t="shared" si="318"/>
        <v>0.21678348684083493</v>
      </c>
      <c r="I748" s="2"/>
      <c r="J748" s="2">
        <f t="shared" si="319"/>
        <v>0.3631659232655583</v>
      </c>
      <c r="K748" s="2">
        <f t="shared" si="320"/>
        <v>0.57994941010639323</v>
      </c>
      <c r="L748" s="2">
        <f t="shared" si="321"/>
        <v>0</v>
      </c>
      <c r="M748" s="2">
        <f t="shared" si="322"/>
        <v>5.6884666628048475E-2</v>
      </c>
      <c r="N748" s="63">
        <v>18808</v>
      </c>
      <c r="O748" s="63">
        <v>30035</v>
      </c>
      <c r="P748" s="63"/>
      <c r="Q748" s="63">
        <v>2304</v>
      </c>
      <c r="R748" s="63">
        <v>0</v>
      </c>
      <c r="S748" s="63">
        <v>0</v>
      </c>
      <c r="T748" s="63">
        <v>0</v>
      </c>
      <c r="U748" s="63">
        <v>0</v>
      </c>
      <c r="V748" s="63"/>
      <c r="W748" s="63">
        <f>IF(Copyright!B$11=1,IF(CA748&gt;0,CA748-P748-SUM(R748:V748)-SUM(X748:AQ748),SUM(CB748:CI748)),SUM(CC748:CI748))</f>
        <v>642</v>
      </c>
      <c r="X748" s="63"/>
      <c r="Y748" s="63">
        <v>0</v>
      </c>
      <c r="Z748" s="63">
        <v>0</v>
      </c>
      <c r="AA748" s="63"/>
      <c r="AB748" s="63"/>
      <c r="AC748" s="63"/>
      <c r="AD748" s="63"/>
      <c r="AE748" s="63">
        <v>0</v>
      </c>
      <c r="AF748" s="63"/>
      <c r="AG748" s="63"/>
      <c r="AH748" s="63"/>
      <c r="AI748" s="8"/>
      <c r="AJ748" s="63"/>
      <c r="AK748" s="63"/>
      <c r="AL748" s="63"/>
      <c r="AM748" s="63">
        <v>0</v>
      </c>
      <c r="AN748" s="63"/>
      <c r="AO748" s="63"/>
      <c r="AP748" s="63"/>
      <c r="AQ748" s="63"/>
      <c r="AR748" s="63"/>
      <c r="AS748" s="63"/>
      <c r="AT748" s="63"/>
      <c r="AU748" s="63"/>
      <c r="AW748" s="5">
        <f>IF(Q748&gt;0,RANK(Q748,(N748:P748,Q748:AE748)),0)</f>
        <v>3</v>
      </c>
      <c r="AX748" s="5">
        <f>IF(R748&gt;0,RANK(R748,(N748:P748,Q748:AE748)),0)</f>
        <v>0</v>
      </c>
      <c r="AY748" s="5">
        <f>IF(T748&gt;0,RANK(T748,(N748:P748,Q748:AE748)),0)</f>
        <v>0</v>
      </c>
      <c r="AZ748" s="5">
        <f>IF(S748&gt;0,RANK(S748,(N748:P748,Q748:AE748)),0)</f>
        <v>0</v>
      </c>
      <c r="BA748" s="2">
        <f t="shared" si="323"/>
        <v>4.448821178242484E-2</v>
      </c>
      <c r="BB748" s="2">
        <f t="shared" si="324"/>
        <v>0</v>
      </c>
      <c r="BC748" s="2">
        <f t="shared" si="325"/>
        <v>0</v>
      </c>
      <c r="BD748" s="2">
        <f t="shared" si="326"/>
        <v>0</v>
      </c>
      <c r="BF748" t="s">
        <v>392</v>
      </c>
      <c r="BG748" t="s">
        <v>148</v>
      </c>
      <c r="BH748">
        <v>9</v>
      </c>
      <c r="BJ748" s="114">
        <v>18</v>
      </c>
      <c r="BK748" s="116">
        <v>19</v>
      </c>
      <c r="BL748" s="120">
        <f t="shared" si="328"/>
        <v>18019</v>
      </c>
      <c r="BN748" s="5" t="s">
        <v>3154</v>
      </c>
      <c r="BY748" s="63">
        <f t="shared" si="327"/>
        <v>51789</v>
      </c>
      <c r="CA748" s="63">
        <v>642</v>
      </c>
      <c r="CB748" s="132"/>
      <c r="CD748" s="63">
        <v>0</v>
      </c>
      <c r="CE748" s="63">
        <v>0</v>
      </c>
      <c r="CF748" s="63">
        <v>0</v>
      </c>
      <c r="CG748" s="8">
        <v>0</v>
      </c>
      <c r="CH748" s="8">
        <v>0</v>
      </c>
      <c r="CI748" s="8">
        <v>0</v>
      </c>
    </row>
    <row r="749" spans="1:102" hidden="1" outlineLevel="1">
      <c r="A749" t="s">
        <v>3093</v>
      </c>
      <c r="B749" t="s">
        <v>148</v>
      </c>
      <c r="C749" s="1">
        <f t="shared" si="316"/>
        <v>11335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32">
        <f t="shared" si="317"/>
        <v>6225</v>
      </c>
      <c r="H749" s="137">
        <f t="shared" si="318"/>
        <v>0.54918394353771505</v>
      </c>
      <c r="I749" s="2"/>
      <c r="J749" s="2">
        <f t="shared" si="319"/>
        <v>0.20344067048963388</v>
      </c>
      <c r="K749" s="2">
        <f t="shared" si="320"/>
        <v>0.75262461402734893</v>
      </c>
      <c r="L749" s="2">
        <f t="shared" si="321"/>
        <v>0</v>
      </c>
      <c r="M749" s="2">
        <f t="shared" si="322"/>
        <v>4.3934715483017195E-2</v>
      </c>
      <c r="N749" s="63">
        <v>2306</v>
      </c>
      <c r="O749" s="63">
        <v>8531</v>
      </c>
      <c r="P749" s="63"/>
      <c r="Q749" s="63">
        <v>426</v>
      </c>
      <c r="R749" s="63">
        <v>11</v>
      </c>
      <c r="S749" s="63">
        <v>6</v>
      </c>
      <c r="T749" s="63">
        <v>0</v>
      </c>
      <c r="U749" s="63">
        <v>0</v>
      </c>
      <c r="V749" s="63"/>
      <c r="W749" s="63">
        <f>IF(Copyright!B$11=1,IF(CA749&gt;0,CA749-P749-SUM(R749:V749)-SUM(X749:AQ749),SUM(CB749:CI749)),SUM(CC749:CI749))</f>
        <v>53</v>
      </c>
      <c r="X749" s="63"/>
      <c r="Y749" s="63">
        <v>2</v>
      </c>
      <c r="Z749" s="63">
        <v>0</v>
      </c>
      <c r="AA749" s="63"/>
      <c r="AB749" s="63"/>
      <c r="AC749" s="63"/>
      <c r="AD749" s="63"/>
      <c r="AE749" s="63">
        <v>0</v>
      </c>
      <c r="AF749" s="63"/>
      <c r="AG749" s="63"/>
      <c r="AH749" s="63"/>
      <c r="AI749" s="8"/>
      <c r="AJ749" s="63"/>
      <c r="AK749" s="63"/>
      <c r="AL749" s="63"/>
      <c r="AM749" s="63">
        <v>0</v>
      </c>
      <c r="AN749" s="63"/>
      <c r="AO749" s="63"/>
      <c r="AP749" s="63"/>
      <c r="AQ749" s="63"/>
      <c r="AR749" s="63"/>
      <c r="AS749" s="63"/>
      <c r="AT749" s="63"/>
      <c r="AU749" s="63"/>
      <c r="AW749" s="5">
        <f>IF(Q749&gt;0,RANK(Q749,(N749:P749,Q749:AE749)),0)</f>
        <v>3</v>
      </c>
      <c r="AX749" s="5">
        <f>IF(R749&gt;0,RANK(R749,(N749:P749,Q749:AE749)),0)</f>
        <v>5</v>
      </c>
      <c r="AY749" s="5">
        <f>IF(T749&gt;0,RANK(T749,(N749:P749,Q749:AE749)),0)</f>
        <v>0</v>
      </c>
      <c r="AZ749" s="5">
        <f>IF(S749&gt;0,RANK(S749,(N749:P749,Q749:AE749)),0)</f>
        <v>6</v>
      </c>
      <c r="BA749" s="2">
        <f t="shared" si="323"/>
        <v>3.7582708425231585E-2</v>
      </c>
      <c r="BB749" s="2">
        <f t="shared" si="324"/>
        <v>9.7044552271724743E-4</v>
      </c>
      <c r="BC749" s="2">
        <f t="shared" si="325"/>
        <v>0</v>
      </c>
      <c r="BD749" s="2">
        <f t="shared" si="326"/>
        <v>5.2933392148213495E-4</v>
      </c>
      <c r="BF749" t="s">
        <v>3093</v>
      </c>
      <c r="BG749" t="s">
        <v>148</v>
      </c>
      <c r="BH749">
        <v>8</v>
      </c>
      <c r="BJ749" s="114">
        <v>18</v>
      </c>
      <c r="BK749" s="116">
        <v>21</v>
      </c>
      <c r="BL749" s="120">
        <f t="shared" si="328"/>
        <v>18021</v>
      </c>
      <c r="BN749" s="5" t="s">
        <v>3154</v>
      </c>
      <c r="BY749" s="63">
        <f t="shared" si="327"/>
        <v>11335</v>
      </c>
      <c r="CA749" s="63">
        <v>72</v>
      </c>
      <c r="CB749" s="132"/>
      <c r="CD749" s="63">
        <v>0</v>
      </c>
      <c r="CE749" s="63">
        <v>0</v>
      </c>
      <c r="CF749" s="63">
        <v>0</v>
      </c>
      <c r="CG749" s="8">
        <v>0</v>
      </c>
      <c r="CH749" s="8">
        <v>0</v>
      </c>
      <c r="CI749" s="8">
        <v>0</v>
      </c>
    </row>
    <row r="750" spans="1:102" hidden="1" outlineLevel="1">
      <c r="A750" t="s">
        <v>1285</v>
      </c>
      <c r="B750" t="s">
        <v>148</v>
      </c>
      <c r="C750" s="1">
        <f t="shared" si="316"/>
        <v>11936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32">
        <f t="shared" si="317"/>
        <v>5712</v>
      </c>
      <c r="H750" s="137">
        <f t="shared" si="318"/>
        <v>0.47855227882037532</v>
      </c>
      <c r="I750" s="2"/>
      <c r="J750" s="2">
        <f t="shared" si="319"/>
        <v>0.23617627345844505</v>
      </c>
      <c r="K750" s="2">
        <f t="shared" si="320"/>
        <v>0.71472855227882037</v>
      </c>
      <c r="L750" s="2">
        <f t="shared" si="321"/>
        <v>0</v>
      </c>
      <c r="M750" s="2">
        <f t="shared" si="322"/>
        <v>4.9095174262734576E-2</v>
      </c>
      <c r="N750" s="63">
        <v>2819</v>
      </c>
      <c r="O750" s="63">
        <v>8531</v>
      </c>
      <c r="P750" s="63"/>
      <c r="Q750" s="63">
        <v>547</v>
      </c>
      <c r="R750" s="63">
        <v>31</v>
      </c>
      <c r="S750" s="63">
        <v>6</v>
      </c>
      <c r="T750" s="63">
        <v>0</v>
      </c>
      <c r="U750" s="63">
        <v>0</v>
      </c>
      <c r="V750" s="63"/>
      <c r="W750" s="63">
        <f>IF(Copyright!B$11=1,IF(CA750&gt;0,CA750-P750-SUM(R750:V750)-SUM(X750:AQ750),SUM(CB750:CI750)),SUM(CC750:CI750))</f>
        <v>1</v>
      </c>
      <c r="X750" s="63"/>
      <c r="Y750" s="63">
        <v>1</v>
      </c>
      <c r="Z750" s="63">
        <v>0</v>
      </c>
      <c r="AA750" s="63"/>
      <c r="AB750" s="63"/>
      <c r="AC750" s="63"/>
      <c r="AD750" s="63"/>
      <c r="AE750" s="63">
        <v>0</v>
      </c>
      <c r="AF750" s="63"/>
      <c r="AG750" s="63"/>
      <c r="AH750" s="63"/>
      <c r="AI750" s="8"/>
      <c r="AJ750" s="63"/>
      <c r="AK750" s="63"/>
      <c r="AL750" s="63"/>
      <c r="AM750" s="63">
        <v>0</v>
      </c>
      <c r="AN750" s="63"/>
      <c r="AO750" s="63"/>
      <c r="AP750" s="63"/>
      <c r="AQ750" s="63"/>
      <c r="AR750" s="63"/>
      <c r="AS750" s="63"/>
      <c r="AT750" s="63"/>
      <c r="AU750" s="63"/>
      <c r="AW750" s="5">
        <f>IF(Q750&gt;0,RANK(Q750,(N750:P750,Q750:AE750)),0)</f>
        <v>3</v>
      </c>
      <c r="AX750" s="5">
        <f>IF(R750&gt;0,RANK(R750,(N750:P750,Q750:AE750)),0)</f>
        <v>4</v>
      </c>
      <c r="AY750" s="5">
        <f>IF(T750&gt;0,RANK(T750,(N750:P750,Q750:AE750)),0)</f>
        <v>0</v>
      </c>
      <c r="AZ750" s="5">
        <f>IF(S750&gt;0,RANK(S750,(N750:P750,Q750:AE750)),0)</f>
        <v>5</v>
      </c>
      <c r="BA750" s="2">
        <f t="shared" si="323"/>
        <v>4.5827747989276142E-2</v>
      </c>
      <c r="BB750" s="2">
        <f t="shared" si="324"/>
        <v>2.5971849865951743E-3</v>
      </c>
      <c r="BC750" s="2">
        <f t="shared" si="325"/>
        <v>0</v>
      </c>
      <c r="BD750" s="2">
        <f t="shared" si="326"/>
        <v>5.0268096514745309E-4</v>
      </c>
      <c r="BF750" t="s">
        <v>1285</v>
      </c>
      <c r="BG750" t="s">
        <v>148</v>
      </c>
      <c r="BH750">
        <v>4</v>
      </c>
      <c r="BJ750" s="114">
        <v>18</v>
      </c>
      <c r="BK750" s="116">
        <v>23</v>
      </c>
      <c r="BL750" s="120">
        <f t="shared" si="328"/>
        <v>18023</v>
      </c>
      <c r="BN750" s="5" t="s">
        <v>3154</v>
      </c>
      <c r="BY750" s="63">
        <f t="shared" si="327"/>
        <v>11936</v>
      </c>
      <c r="CB750" s="132"/>
      <c r="CD750" s="63">
        <v>0</v>
      </c>
      <c r="CE750" s="63">
        <v>0</v>
      </c>
      <c r="CF750" s="63">
        <v>0</v>
      </c>
      <c r="CG750" s="8">
        <v>0</v>
      </c>
      <c r="CH750" s="8">
        <v>0</v>
      </c>
      <c r="CI750" s="8">
        <v>1</v>
      </c>
    </row>
    <row r="751" spans="1:102" hidden="1" outlineLevel="1">
      <c r="A751" t="s">
        <v>1875</v>
      </c>
      <c r="B751" t="s">
        <v>148</v>
      </c>
      <c r="C751" s="1">
        <f t="shared" si="316"/>
        <v>4642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32">
        <f t="shared" si="317"/>
        <v>1692</v>
      </c>
      <c r="H751" s="137">
        <f t="shared" si="318"/>
        <v>0.36449806118052563</v>
      </c>
      <c r="I751" s="2"/>
      <c r="J751" s="2">
        <f t="shared" si="319"/>
        <v>0.2850064627315812</v>
      </c>
      <c r="K751" s="2">
        <f t="shared" si="320"/>
        <v>0.64950452391210689</v>
      </c>
      <c r="L751" s="2">
        <f t="shared" si="321"/>
        <v>0</v>
      </c>
      <c r="M751" s="2">
        <f t="shared" si="322"/>
        <v>6.5489013356311965E-2</v>
      </c>
      <c r="N751" s="63">
        <v>1323</v>
      </c>
      <c r="O751" s="63">
        <v>3015</v>
      </c>
      <c r="P751" s="63"/>
      <c r="Q751" s="63">
        <v>255</v>
      </c>
      <c r="R751" s="63">
        <v>0</v>
      </c>
      <c r="S751" s="63">
        <v>0</v>
      </c>
      <c r="T751" s="63">
        <v>0</v>
      </c>
      <c r="U751" s="63">
        <v>0</v>
      </c>
      <c r="V751" s="63"/>
      <c r="W751" s="63">
        <f>IF(Copyright!B$11=1,IF(CA751&gt;0,CA751-P751-SUM(R751:V751)-SUM(X751:AQ751),SUM(CB751:CI751)),SUM(CC751:CI751))</f>
        <v>49</v>
      </c>
      <c r="X751" s="63"/>
      <c r="Y751" s="63">
        <v>0</v>
      </c>
      <c r="Z751" s="63">
        <v>0</v>
      </c>
      <c r="AA751" s="63"/>
      <c r="AB751" s="63"/>
      <c r="AC751" s="63"/>
      <c r="AD751" s="63"/>
      <c r="AE751" s="63">
        <v>0</v>
      </c>
      <c r="AF751" s="63"/>
      <c r="AG751" s="63"/>
      <c r="AH751" s="63"/>
      <c r="AI751" s="8"/>
      <c r="AJ751" s="63"/>
      <c r="AK751" s="63"/>
      <c r="AL751" s="63"/>
      <c r="AM751" s="63">
        <v>0</v>
      </c>
      <c r="AN751" s="63"/>
      <c r="AO751" s="63"/>
      <c r="AP751" s="63"/>
      <c r="AQ751" s="63"/>
      <c r="AR751" s="63"/>
      <c r="AS751" s="63"/>
      <c r="AT751" s="63"/>
      <c r="AU751" s="63"/>
      <c r="AW751" s="5">
        <f>IF(Q751&gt;0,RANK(Q751,(N751:P751,Q751:AE751)),0)</f>
        <v>3</v>
      </c>
      <c r="AX751" s="5">
        <f>IF(R751&gt;0,RANK(R751,(N751:P751,Q751:AE751)),0)</f>
        <v>0</v>
      </c>
      <c r="AY751" s="5">
        <f>IF(T751&gt;0,RANK(T751,(N751:P751,Q751:AE751)),0)</f>
        <v>0</v>
      </c>
      <c r="AZ751" s="5">
        <f>IF(S751&gt;0,RANK(S751,(N751:P751,Q751:AE751)),0)</f>
        <v>0</v>
      </c>
      <c r="BA751" s="2">
        <f t="shared" si="323"/>
        <v>5.4933218440327447E-2</v>
      </c>
      <c r="BB751" s="2">
        <f t="shared" si="324"/>
        <v>0</v>
      </c>
      <c r="BC751" s="2">
        <f t="shared" si="325"/>
        <v>0</v>
      </c>
      <c r="BD751" s="2">
        <f t="shared" si="326"/>
        <v>0</v>
      </c>
      <c r="BF751" t="s">
        <v>1875</v>
      </c>
      <c r="BG751" t="s">
        <v>148</v>
      </c>
      <c r="BJ751" s="114">
        <v>18</v>
      </c>
      <c r="BK751" s="116">
        <v>25</v>
      </c>
      <c r="BL751" s="120">
        <f t="shared" si="328"/>
        <v>18025</v>
      </c>
      <c r="BN751" s="5" t="s">
        <v>3154</v>
      </c>
      <c r="BY751" s="63">
        <f t="shared" si="327"/>
        <v>0</v>
      </c>
      <c r="BZ751" s="63">
        <f>3015+1323+255+49</f>
        <v>4642</v>
      </c>
      <c r="CA751" s="63">
        <v>49</v>
      </c>
      <c r="CB751" s="132"/>
      <c r="CD751" s="63">
        <v>0</v>
      </c>
      <c r="CE751" s="63">
        <v>0</v>
      </c>
      <c r="CF751" s="63">
        <v>0</v>
      </c>
      <c r="CG751" s="8">
        <v>0</v>
      </c>
      <c r="CH751" s="8">
        <v>0</v>
      </c>
      <c r="CI751" s="8">
        <v>0</v>
      </c>
    </row>
    <row r="752" spans="1:102" hidden="1" outlineLevel="1">
      <c r="A752" t="s">
        <v>1404</v>
      </c>
      <c r="B752" t="s">
        <v>148</v>
      </c>
      <c r="C752" s="1">
        <f t="shared" si="316"/>
        <v>10819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32">
        <f t="shared" si="317"/>
        <v>6745</v>
      </c>
      <c r="H752" s="137">
        <f t="shared" si="318"/>
        <v>0.62344024401515852</v>
      </c>
      <c r="I752" s="2"/>
      <c r="J752" s="2">
        <f t="shared" si="319"/>
        <v>0.16637397171642482</v>
      </c>
      <c r="K752" s="2">
        <f t="shared" si="320"/>
        <v>0.78981421573158328</v>
      </c>
      <c r="L752" s="2">
        <f t="shared" si="321"/>
        <v>0</v>
      </c>
      <c r="M752" s="2">
        <f t="shared" si="322"/>
        <v>4.3811812551991958E-2</v>
      </c>
      <c r="N752" s="63">
        <v>1800</v>
      </c>
      <c r="O752" s="63">
        <v>8545</v>
      </c>
      <c r="P752" s="63"/>
      <c r="Q752" s="63">
        <v>391</v>
      </c>
      <c r="R752" s="63">
        <v>25</v>
      </c>
      <c r="S752" s="63">
        <v>4</v>
      </c>
      <c r="T752" s="63">
        <v>0</v>
      </c>
      <c r="U752" s="63">
        <v>1</v>
      </c>
      <c r="V752" s="63"/>
      <c r="W752" s="63">
        <f>IF(Copyright!B$11=1,IF(CA752&gt;0,CA752-P752-SUM(R752:V752)-SUM(X752:AQ752),SUM(CB752:CI752)),SUM(CC752:CI752))</f>
        <v>51</v>
      </c>
      <c r="X752" s="63"/>
      <c r="Y752" s="63">
        <v>2</v>
      </c>
      <c r="Z752" s="63">
        <v>0</v>
      </c>
      <c r="AA752" s="63"/>
      <c r="AB752" s="63"/>
      <c r="AC752" s="63"/>
      <c r="AD752" s="63"/>
      <c r="AE752" s="63">
        <v>0</v>
      </c>
      <c r="AF752" s="63"/>
      <c r="AG752" s="63"/>
      <c r="AH752" s="63"/>
      <c r="AI752" s="8"/>
      <c r="AJ752" s="63"/>
      <c r="AK752" s="63"/>
      <c r="AL752" s="63"/>
      <c r="AM752" s="63">
        <v>0</v>
      </c>
      <c r="AN752" s="63"/>
      <c r="AO752" s="63"/>
      <c r="AP752" s="63"/>
      <c r="AQ752" s="63"/>
      <c r="AR752" s="63"/>
      <c r="AS752" s="63"/>
      <c r="AT752" s="63"/>
      <c r="AU752" s="63"/>
      <c r="AW752" s="5">
        <f>IF(Q752&gt;0,RANK(Q752,(N752:P752,Q752:AE752)),0)</f>
        <v>3</v>
      </c>
      <c r="AX752" s="5">
        <f>IF(R752&gt;0,RANK(R752,(N752:P752,Q752:AE752)),0)</f>
        <v>5</v>
      </c>
      <c r="AY752" s="5">
        <f>IF(T752&gt;0,RANK(T752,(N752:P752,Q752:AE752)),0)</f>
        <v>0</v>
      </c>
      <c r="AZ752" s="5">
        <f>IF(S752&gt;0,RANK(S752,(N752:P752,Q752:AE752)),0)</f>
        <v>6</v>
      </c>
      <c r="BA752" s="2">
        <f t="shared" si="323"/>
        <v>3.6140123856178943E-2</v>
      </c>
      <c r="BB752" s="2">
        <f t="shared" si="324"/>
        <v>2.310749607172567E-3</v>
      </c>
      <c r="BC752" s="2">
        <f t="shared" si="325"/>
        <v>0</v>
      </c>
      <c r="BD752" s="2">
        <f t="shared" si="326"/>
        <v>3.6971993714761067E-4</v>
      </c>
      <c r="BF752" t="s">
        <v>1404</v>
      </c>
      <c r="BG752" t="s">
        <v>148</v>
      </c>
      <c r="BH752">
        <v>8</v>
      </c>
      <c r="BJ752" s="114">
        <v>18</v>
      </c>
      <c r="BK752" s="116">
        <v>27</v>
      </c>
      <c r="BL752" s="120">
        <f t="shared" si="328"/>
        <v>18027</v>
      </c>
      <c r="BN752" s="5" t="s">
        <v>3154</v>
      </c>
      <c r="BY752" s="63">
        <f t="shared" si="327"/>
        <v>10819</v>
      </c>
      <c r="CA752" s="63">
        <v>83</v>
      </c>
      <c r="CB752" s="132"/>
      <c r="CD752" s="63">
        <v>0</v>
      </c>
      <c r="CE752" s="63">
        <v>0</v>
      </c>
      <c r="CF752" s="63">
        <v>0</v>
      </c>
      <c r="CG752" s="8">
        <v>0</v>
      </c>
      <c r="CH752" s="8">
        <v>0</v>
      </c>
      <c r="CI752" s="8">
        <v>0</v>
      </c>
    </row>
    <row r="753" spans="1:87" hidden="1" outlineLevel="1">
      <c r="A753" t="s">
        <v>1399</v>
      </c>
      <c r="B753" t="s">
        <v>148</v>
      </c>
      <c r="C753" s="1">
        <f t="shared" si="316"/>
        <v>23987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32">
        <f t="shared" si="317"/>
        <v>13230</v>
      </c>
      <c r="H753" s="137">
        <f t="shared" si="318"/>
        <v>0.55154875557593697</v>
      </c>
      <c r="I753" s="2"/>
      <c r="J753" s="2">
        <f t="shared" si="319"/>
        <v>0.20356859965814816</v>
      </c>
      <c r="K753" s="2">
        <f t="shared" si="320"/>
        <v>0.75511735523408507</v>
      </c>
      <c r="L753" s="2">
        <f t="shared" si="321"/>
        <v>0</v>
      </c>
      <c r="M753" s="2">
        <f t="shared" si="322"/>
        <v>4.1314045107766706E-2</v>
      </c>
      <c r="N753" s="63">
        <v>4883</v>
      </c>
      <c r="O753" s="63">
        <v>18113</v>
      </c>
      <c r="P753" s="63"/>
      <c r="Q753" s="63">
        <v>917</v>
      </c>
      <c r="R753" s="63">
        <v>46</v>
      </c>
      <c r="S753" s="63">
        <v>24</v>
      </c>
      <c r="T753" s="63">
        <v>0</v>
      </c>
      <c r="U753" s="63">
        <v>0</v>
      </c>
      <c r="V753" s="63"/>
      <c r="W753" s="63">
        <f>IF(Copyright!B$11=1,IF(CA753&gt;0,CA753-P753-SUM(R753:V753)-SUM(X753:AQ753),SUM(CB753:CI753)),SUM(CC753:CI753))</f>
        <v>3</v>
      </c>
      <c r="X753" s="63"/>
      <c r="Y753" s="63">
        <v>1</v>
      </c>
      <c r="Z753" s="63">
        <v>0</v>
      </c>
      <c r="AA753" s="63"/>
      <c r="AB753" s="63"/>
      <c r="AC753" s="63"/>
      <c r="AD753" s="63"/>
      <c r="AE753" s="63">
        <v>0</v>
      </c>
      <c r="AF753" s="63"/>
      <c r="AG753" s="63"/>
      <c r="AH753" s="63"/>
      <c r="AI753" s="8"/>
      <c r="AJ753" s="63"/>
      <c r="AK753" s="63"/>
      <c r="AL753" s="63"/>
      <c r="AM753" s="63">
        <v>0</v>
      </c>
      <c r="AN753" s="63"/>
      <c r="AO753" s="63"/>
      <c r="AP753" s="63"/>
      <c r="AQ753" s="63"/>
      <c r="AR753" s="63"/>
      <c r="AS753" s="63"/>
      <c r="AT753" s="63"/>
      <c r="AU753" s="63"/>
      <c r="AW753" s="5">
        <f>IF(Q753&gt;0,RANK(Q753,(N753:P753,Q753:AE753)),0)</f>
        <v>3</v>
      </c>
      <c r="AX753" s="5">
        <f>IF(R753&gt;0,RANK(R753,(N753:P753,Q753:AE753)),0)</f>
        <v>4</v>
      </c>
      <c r="AY753" s="5">
        <f>IF(T753&gt;0,RANK(T753,(N753:P753,Q753:AE753)),0)</f>
        <v>0</v>
      </c>
      <c r="AZ753" s="5">
        <f>IF(S753&gt;0,RANK(S753,(N753:P753,Q753:AE753)),0)</f>
        <v>5</v>
      </c>
      <c r="BA753" s="2">
        <f t="shared" si="323"/>
        <v>3.8229040730395632E-2</v>
      </c>
      <c r="BB753" s="2">
        <f t="shared" si="324"/>
        <v>1.9177054237712093E-3</v>
      </c>
      <c r="BC753" s="2">
        <f t="shared" si="325"/>
        <v>0</v>
      </c>
      <c r="BD753" s="2">
        <f t="shared" si="326"/>
        <v>1.0005419602284571E-3</v>
      </c>
      <c r="BF753" t="s">
        <v>1399</v>
      </c>
      <c r="BG753" t="s">
        <v>148</v>
      </c>
      <c r="BH753">
        <v>6</v>
      </c>
      <c r="BJ753" s="114">
        <v>18</v>
      </c>
      <c r="BK753" s="116">
        <v>29</v>
      </c>
      <c r="BL753" s="120">
        <f t="shared" si="328"/>
        <v>18029</v>
      </c>
      <c r="BN753" s="5" t="s">
        <v>3154</v>
      </c>
      <c r="BY753" s="63">
        <f t="shared" si="327"/>
        <v>23987</v>
      </c>
      <c r="CB753" s="132"/>
      <c r="CD753" s="63">
        <v>0</v>
      </c>
      <c r="CE753" s="63">
        <v>0</v>
      </c>
      <c r="CF753" s="63">
        <v>0</v>
      </c>
      <c r="CG753" s="8">
        <v>0</v>
      </c>
      <c r="CH753" s="8">
        <v>1</v>
      </c>
      <c r="CI753" s="8">
        <v>2</v>
      </c>
    </row>
    <row r="754" spans="1:87" hidden="1" outlineLevel="1">
      <c r="A754" t="s">
        <v>1934</v>
      </c>
      <c r="B754" t="s">
        <v>148</v>
      </c>
      <c r="C754" s="1">
        <f t="shared" si="316"/>
        <v>11178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32">
        <f t="shared" si="317"/>
        <v>6369</v>
      </c>
      <c r="H754" s="137">
        <f t="shared" si="318"/>
        <v>0.5697799248523886</v>
      </c>
      <c r="I754" s="2"/>
      <c r="J754" s="2">
        <f t="shared" si="319"/>
        <v>0.18974771873322599</v>
      </c>
      <c r="K754" s="2">
        <f t="shared" si="320"/>
        <v>0.75952764358561464</v>
      </c>
      <c r="L754" s="2">
        <f t="shared" si="321"/>
        <v>0</v>
      </c>
      <c r="M754" s="2">
        <f t="shared" si="322"/>
        <v>5.0724637681159424E-2</v>
      </c>
      <c r="N754" s="63">
        <v>2121</v>
      </c>
      <c r="O754" s="63">
        <v>8490</v>
      </c>
      <c r="P754" s="63"/>
      <c r="Q754" s="63">
        <v>487</v>
      </c>
      <c r="R754" s="63">
        <v>17</v>
      </c>
      <c r="S754" s="63">
        <v>11</v>
      </c>
      <c r="T754" s="63">
        <v>0</v>
      </c>
      <c r="U754" s="63">
        <v>0</v>
      </c>
      <c r="V754" s="63"/>
      <c r="W754" s="63">
        <f>IF(Copyright!B$11=1,IF(CA754&gt;0,CA754-P754-SUM(R754:V754)-SUM(X754:AQ754),SUM(CB754:CI754)),SUM(CC754:CI754))</f>
        <v>51</v>
      </c>
      <c r="X754" s="63"/>
      <c r="Y754" s="63">
        <v>1</v>
      </c>
      <c r="Z754" s="63">
        <v>0</v>
      </c>
      <c r="AA754" s="63"/>
      <c r="AB754" s="63"/>
      <c r="AC754" s="63"/>
      <c r="AD754" s="63"/>
      <c r="AE754" s="63">
        <v>0</v>
      </c>
      <c r="AF754" s="63"/>
      <c r="AG754" s="63"/>
      <c r="AH754" s="63"/>
      <c r="AI754" s="8"/>
      <c r="AJ754" s="63"/>
      <c r="AK754" s="63"/>
      <c r="AL754" s="63"/>
      <c r="AM754" s="63">
        <v>0</v>
      </c>
      <c r="AN754" s="63"/>
      <c r="AO754" s="63"/>
      <c r="AP754" s="63"/>
      <c r="AQ754" s="63"/>
      <c r="AR754" s="63"/>
      <c r="AS754" s="63"/>
      <c r="AT754" s="63"/>
      <c r="AU754" s="63"/>
      <c r="AW754" s="5">
        <f>IF(Q754&gt;0,RANK(Q754,(N754:P754,Q754:AE754)),0)</f>
        <v>3</v>
      </c>
      <c r="AX754" s="5">
        <f>IF(R754&gt;0,RANK(R754,(N754:P754,Q754:AE754)),0)</f>
        <v>5</v>
      </c>
      <c r="AY754" s="5">
        <f>IF(T754&gt;0,RANK(T754,(N754:P754,Q754:AE754)),0)</f>
        <v>0</v>
      </c>
      <c r="AZ754" s="5">
        <f>IF(S754&gt;0,RANK(S754,(N754:P754,Q754:AE754)),0)</f>
        <v>6</v>
      </c>
      <c r="BA754" s="2">
        <f t="shared" si="323"/>
        <v>4.3567722311683661E-2</v>
      </c>
      <c r="BB754" s="2">
        <f t="shared" si="324"/>
        <v>1.5208445160135981E-3</v>
      </c>
      <c r="BC754" s="2">
        <f t="shared" si="325"/>
        <v>0</v>
      </c>
      <c r="BD754" s="2">
        <f t="shared" si="326"/>
        <v>9.840758633029164E-4</v>
      </c>
      <c r="BF754" t="s">
        <v>1934</v>
      </c>
      <c r="BG754" t="s">
        <v>148</v>
      </c>
      <c r="BH754">
        <v>6</v>
      </c>
      <c r="BJ754" s="114">
        <v>18</v>
      </c>
      <c r="BK754" s="116">
        <v>31</v>
      </c>
      <c r="BL754" s="120">
        <f t="shared" si="328"/>
        <v>18031</v>
      </c>
      <c r="BN754" s="5" t="s">
        <v>3154</v>
      </c>
      <c r="BY754" s="63">
        <f t="shared" si="327"/>
        <v>11178</v>
      </c>
      <c r="CA754" s="63">
        <v>80</v>
      </c>
      <c r="CB754" s="132"/>
      <c r="CD754" s="63">
        <v>0</v>
      </c>
      <c r="CE754" s="63">
        <v>0</v>
      </c>
      <c r="CF754" s="63">
        <v>0</v>
      </c>
      <c r="CG754" s="8">
        <v>0</v>
      </c>
      <c r="CH754" s="8">
        <v>0</v>
      </c>
      <c r="CI754" s="8">
        <v>0</v>
      </c>
    </row>
    <row r="755" spans="1:87" hidden="1" outlineLevel="1">
      <c r="A755" t="s">
        <v>1087</v>
      </c>
      <c r="B755" t="s">
        <v>148</v>
      </c>
      <c r="C755" s="1">
        <f t="shared" si="316"/>
        <v>16902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32">
        <f t="shared" si="317"/>
        <v>8112</v>
      </c>
      <c r="H755" s="137">
        <f t="shared" si="318"/>
        <v>0.47994320198793045</v>
      </c>
      <c r="I755" s="2"/>
      <c r="J755" s="2">
        <f t="shared" si="319"/>
        <v>0.23322683706070288</v>
      </c>
      <c r="K755" s="2">
        <f t="shared" si="320"/>
        <v>0.7131700390486333</v>
      </c>
      <c r="L755" s="2">
        <f t="shared" si="321"/>
        <v>0</v>
      </c>
      <c r="M755" s="2">
        <f t="shared" si="322"/>
        <v>5.3603123890663795E-2</v>
      </c>
      <c r="N755" s="63">
        <v>3942</v>
      </c>
      <c r="O755" s="63">
        <v>12054</v>
      </c>
      <c r="P755" s="63"/>
      <c r="Q755" s="63">
        <v>821</v>
      </c>
      <c r="R755" s="63">
        <v>61</v>
      </c>
      <c r="S755" s="63">
        <v>21</v>
      </c>
      <c r="T755" s="63">
        <v>0</v>
      </c>
      <c r="U755" s="63">
        <v>0</v>
      </c>
      <c r="V755" s="63"/>
      <c r="W755" s="63">
        <f>IF(Copyright!B$11=1,IF(CA755&gt;0,CA755-P755-SUM(R755:V755)-SUM(X755:AQ755),SUM(CB755:CI755)),SUM(CC755:CI755))</f>
        <v>0</v>
      </c>
      <c r="X755" s="63"/>
      <c r="Y755" s="63">
        <v>3</v>
      </c>
      <c r="Z755" s="63">
        <v>0</v>
      </c>
      <c r="AA755" s="63"/>
      <c r="AB755" s="63"/>
      <c r="AC755" s="63"/>
      <c r="AD755" s="63"/>
      <c r="AE755" s="63">
        <v>0</v>
      </c>
      <c r="AF755" s="63"/>
      <c r="AG755" s="63"/>
      <c r="AH755" s="63"/>
      <c r="AI755" s="8"/>
      <c r="AJ755" s="63"/>
      <c r="AK755" s="63"/>
      <c r="AL755" s="63"/>
      <c r="AM755" s="63">
        <v>0</v>
      </c>
      <c r="AN755" s="63"/>
      <c r="AO755" s="63"/>
      <c r="AP755" s="63"/>
      <c r="AQ755" s="63"/>
      <c r="AR755" s="63"/>
      <c r="AS755" s="63"/>
      <c r="AT755" s="63"/>
      <c r="AU755" s="63"/>
      <c r="AW755" s="5">
        <f>IF(Q755&gt;0,RANK(Q755,(N755:P755,Q755:AE755)),0)</f>
        <v>3</v>
      </c>
      <c r="AX755" s="5">
        <f>IF(R755&gt;0,RANK(R755,(N755:P755,Q755:AE755)),0)</f>
        <v>4</v>
      </c>
      <c r="AY755" s="5">
        <f>IF(T755&gt;0,RANK(T755,(N755:P755,Q755:AE755)),0)</f>
        <v>0</v>
      </c>
      <c r="AZ755" s="5">
        <f>IF(S755&gt;0,RANK(S755,(N755:P755,Q755:AE755)),0)</f>
        <v>5</v>
      </c>
      <c r="BA755" s="2">
        <f t="shared" si="323"/>
        <v>4.8574133238669978E-2</v>
      </c>
      <c r="BB755" s="2">
        <f t="shared" si="324"/>
        <v>3.6090403502544079E-3</v>
      </c>
      <c r="BC755" s="2">
        <f t="shared" si="325"/>
        <v>0</v>
      </c>
      <c r="BD755" s="2">
        <f t="shared" si="326"/>
        <v>1.2424565140220093E-3</v>
      </c>
      <c r="BF755" t="s">
        <v>1087</v>
      </c>
      <c r="BG755" t="s">
        <v>148</v>
      </c>
      <c r="BH755">
        <v>3</v>
      </c>
      <c r="BJ755" s="114">
        <v>18</v>
      </c>
      <c r="BK755" s="116">
        <v>33</v>
      </c>
      <c r="BL755" s="120">
        <f t="shared" si="328"/>
        <v>18033</v>
      </c>
      <c r="BN755" s="5" t="s">
        <v>3154</v>
      </c>
      <c r="BY755" s="63">
        <f t="shared" si="327"/>
        <v>16902</v>
      </c>
      <c r="CB755" s="132"/>
      <c r="CD755" s="63">
        <v>0</v>
      </c>
      <c r="CE755" s="63">
        <v>0</v>
      </c>
      <c r="CF755" s="63">
        <v>0</v>
      </c>
      <c r="CG755" s="8">
        <v>0</v>
      </c>
      <c r="CH755" s="8">
        <v>0</v>
      </c>
      <c r="CI755" s="8">
        <v>0</v>
      </c>
    </row>
    <row r="756" spans="1:87" hidden="1" outlineLevel="1">
      <c r="A756" t="s">
        <v>1708</v>
      </c>
      <c r="B756" t="s">
        <v>148</v>
      </c>
      <c r="C756" s="1">
        <f t="shared" si="316"/>
        <v>45505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>IF(P756&gt;0,RANK(P756,(N756:P756,Q756:AE756)),0)</f>
        <v>0</v>
      </c>
      <c r="G756" s="132">
        <f t="shared" si="317"/>
        <v>6110</v>
      </c>
      <c r="H756" s="137">
        <f t="shared" si="318"/>
        <v>0.13427095923524887</v>
      </c>
      <c r="I756" s="2"/>
      <c r="J756" s="2">
        <f t="shared" si="319"/>
        <v>0.39892319525326886</v>
      </c>
      <c r="K756" s="2">
        <f t="shared" si="320"/>
        <v>0.5331941544885177</v>
      </c>
      <c r="L756" s="2">
        <f t="shared" si="321"/>
        <v>0</v>
      </c>
      <c r="M756" s="2">
        <f t="shared" si="322"/>
        <v>6.7882650258213495E-2</v>
      </c>
      <c r="N756" s="63">
        <v>18153</v>
      </c>
      <c r="O756" s="63">
        <v>24263</v>
      </c>
      <c r="P756" s="63"/>
      <c r="Q756" s="63">
        <v>2388</v>
      </c>
      <c r="R756" s="63">
        <v>252</v>
      </c>
      <c r="S756" s="63">
        <v>41</v>
      </c>
      <c r="T756" s="63">
        <v>0</v>
      </c>
      <c r="U756" s="63">
        <v>2</v>
      </c>
      <c r="V756" s="63"/>
      <c r="W756" s="63">
        <f>IF(Copyright!B$11=1,IF(CA756&gt;0,CA756-P756-SUM(R756:V756)-SUM(X756:AQ756),SUM(CB756:CI756)),SUM(CC756:CI756))</f>
        <v>396</v>
      </c>
      <c r="X756" s="63"/>
      <c r="Y756" s="63">
        <v>7</v>
      </c>
      <c r="Z756" s="63">
        <v>2</v>
      </c>
      <c r="AA756" s="63"/>
      <c r="AB756" s="63"/>
      <c r="AC756" s="63"/>
      <c r="AD756" s="63"/>
      <c r="AE756" s="63">
        <v>1</v>
      </c>
      <c r="AF756" s="63"/>
      <c r="AG756" s="63"/>
      <c r="AH756" s="63"/>
      <c r="AI756" s="8"/>
      <c r="AJ756" s="63"/>
      <c r="AK756" s="63"/>
      <c r="AL756" s="63"/>
      <c r="AM756" s="63">
        <v>0</v>
      </c>
      <c r="AN756" s="63"/>
      <c r="AO756" s="63"/>
      <c r="AP756" s="63"/>
      <c r="AQ756" s="63"/>
      <c r="AR756" s="63"/>
      <c r="AS756" s="63"/>
      <c r="AT756" s="63"/>
      <c r="AU756" s="63"/>
      <c r="AW756" s="5">
        <f>IF(Q756&gt;0,RANK(Q756,(N756:P756,Q756:AE756)),0)</f>
        <v>3</v>
      </c>
      <c r="AX756" s="5">
        <f>IF(R756&gt;0,RANK(R756,(N756:P756,Q756:AE756)),0)</f>
        <v>5</v>
      </c>
      <c r="AY756" s="5">
        <f>IF(T756&gt;0,RANK(T756,(N756:P756,Q756:AE756)),0)</f>
        <v>0</v>
      </c>
      <c r="AZ756" s="5">
        <f>IF(S756&gt;0,RANK(S756,(N756:P756,Q756:AE756)),0)</f>
        <v>6</v>
      </c>
      <c r="BA756" s="2">
        <f t="shared" si="323"/>
        <v>5.2477749697835405E-2</v>
      </c>
      <c r="BB756" s="2">
        <f t="shared" si="324"/>
        <v>5.5378529831886609E-3</v>
      </c>
      <c r="BC756" s="2">
        <f t="shared" si="325"/>
        <v>0</v>
      </c>
      <c r="BD756" s="2">
        <f t="shared" si="326"/>
        <v>9.0099989012196462E-4</v>
      </c>
      <c r="BF756" t="s">
        <v>1708</v>
      </c>
      <c r="BG756" t="s">
        <v>148</v>
      </c>
      <c r="BH756">
        <v>6</v>
      </c>
      <c r="BJ756" s="114">
        <v>18</v>
      </c>
      <c r="BK756" s="116">
        <v>35</v>
      </c>
      <c r="BL756" s="120">
        <f t="shared" si="328"/>
        <v>18035</v>
      </c>
      <c r="BN756" s="5" t="s">
        <v>3154</v>
      </c>
      <c r="BY756" s="63">
        <f t="shared" si="327"/>
        <v>45505</v>
      </c>
      <c r="CA756" s="63">
        <v>701</v>
      </c>
      <c r="CB756" s="132"/>
      <c r="CD756" s="63">
        <v>2</v>
      </c>
      <c r="CE756" s="63">
        <v>0</v>
      </c>
      <c r="CF756" s="63">
        <v>1</v>
      </c>
      <c r="CG756" s="8">
        <v>0</v>
      </c>
      <c r="CH756" s="8">
        <v>0</v>
      </c>
      <c r="CI756" s="8">
        <v>11</v>
      </c>
    </row>
    <row r="757" spans="1:87" hidden="1" outlineLevel="1">
      <c r="A757" t="s">
        <v>9</v>
      </c>
      <c r="B757" t="s">
        <v>148</v>
      </c>
      <c r="C757" s="1">
        <f t="shared" si="316"/>
        <v>20095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32">
        <f t="shared" si="317"/>
        <v>7976</v>
      </c>
      <c r="H757" s="137">
        <f t="shared" si="318"/>
        <v>0.39691465538691217</v>
      </c>
      <c r="I757" s="2"/>
      <c r="J757" s="2">
        <f t="shared" si="319"/>
        <v>0.26817616322468274</v>
      </c>
      <c r="K757" s="2">
        <f t="shared" si="320"/>
        <v>0.66509081861159491</v>
      </c>
      <c r="L757" s="2">
        <f t="shared" si="321"/>
        <v>0</v>
      </c>
      <c r="M757" s="2">
        <f t="shared" si="322"/>
        <v>6.6733018163722346E-2</v>
      </c>
      <c r="N757" s="63">
        <v>5389</v>
      </c>
      <c r="O757" s="63">
        <v>13365</v>
      </c>
      <c r="P757" s="63"/>
      <c r="Q757" s="63">
        <v>1163</v>
      </c>
      <c r="R757" s="63">
        <v>45</v>
      </c>
      <c r="S757" s="63">
        <v>15</v>
      </c>
      <c r="T757" s="63">
        <v>0</v>
      </c>
      <c r="U757" s="63">
        <v>0</v>
      </c>
      <c r="V757" s="63"/>
      <c r="W757" s="63">
        <f>IF(Copyright!B$11=1,IF(CA757&gt;0,CA757-P757-SUM(R757:V757)-SUM(X757:AQ757),SUM(CB757:CI757)),SUM(CC757:CI757))</f>
        <v>114</v>
      </c>
      <c r="X757" s="63"/>
      <c r="Y757" s="63">
        <v>2</v>
      </c>
      <c r="Z757" s="63">
        <v>1</v>
      </c>
      <c r="AA757" s="63"/>
      <c r="AB757" s="63"/>
      <c r="AC757" s="63"/>
      <c r="AD757" s="63"/>
      <c r="AE757" s="63">
        <v>1</v>
      </c>
      <c r="AF757" s="63"/>
      <c r="AG757" s="63"/>
      <c r="AH757" s="63"/>
      <c r="AI757" s="8"/>
      <c r="AJ757" s="63"/>
      <c r="AK757" s="63"/>
      <c r="AL757" s="63"/>
      <c r="AM757" s="63">
        <v>0</v>
      </c>
      <c r="AN757" s="63"/>
      <c r="AO757" s="63"/>
      <c r="AP757" s="63"/>
      <c r="AQ757" s="63"/>
      <c r="AR757" s="63"/>
      <c r="AS757" s="63"/>
      <c r="AT757" s="63"/>
      <c r="AU757" s="63"/>
      <c r="AW757" s="5">
        <f>IF(Q757&gt;0,RANK(Q757,(N757:P757,Q757:AE757)),0)</f>
        <v>3</v>
      </c>
      <c r="AX757" s="5">
        <f>IF(R757&gt;0,RANK(R757,(N757:P757,Q757:AE757)),0)</f>
        <v>5</v>
      </c>
      <c r="AY757" s="5">
        <f>IF(T757&gt;0,RANK(T757,(N757:P757,Q757:AE757)),0)</f>
        <v>0</v>
      </c>
      <c r="AZ757" s="5">
        <f>IF(S757&gt;0,RANK(S757,(N757:P757,Q757:AE757)),0)</f>
        <v>6</v>
      </c>
      <c r="BA757" s="2">
        <f t="shared" si="323"/>
        <v>5.7875093306792733E-2</v>
      </c>
      <c r="BB757" s="2">
        <f t="shared" si="324"/>
        <v>2.2393630256282659E-3</v>
      </c>
      <c r="BC757" s="2">
        <f t="shared" si="325"/>
        <v>0</v>
      </c>
      <c r="BD757" s="2">
        <f t="shared" si="326"/>
        <v>7.4645434187608855E-4</v>
      </c>
      <c r="BF757" t="s">
        <v>9</v>
      </c>
      <c r="BG757" t="s">
        <v>148</v>
      </c>
      <c r="BH757">
        <v>8</v>
      </c>
      <c r="BJ757" s="114">
        <v>18</v>
      </c>
      <c r="BK757" s="116">
        <v>37</v>
      </c>
      <c r="BL757" s="120">
        <f t="shared" si="328"/>
        <v>18037</v>
      </c>
      <c r="BN757" s="5" t="s">
        <v>3154</v>
      </c>
      <c r="BY757" s="63">
        <f t="shared" si="327"/>
        <v>20095</v>
      </c>
      <c r="CA757" s="63">
        <v>178</v>
      </c>
      <c r="CB757" s="132"/>
      <c r="CD757" s="63">
        <v>0</v>
      </c>
      <c r="CE757" s="63">
        <v>0</v>
      </c>
      <c r="CF757" s="63">
        <v>0</v>
      </c>
      <c r="CG757" s="8">
        <v>0</v>
      </c>
      <c r="CH757" s="8">
        <v>1</v>
      </c>
      <c r="CI757" s="8">
        <v>2</v>
      </c>
    </row>
    <row r="758" spans="1:87" hidden="1" outlineLevel="1">
      <c r="A758" t="s">
        <v>1889</v>
      </c>
      <c r="B758" t="s">
        <v>148</v>
      </c>
      <c r="C758" s="1">
        <f t="shared" si="316"/>
        <v>66236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32">
        <f t="shared" si="317"/>
        <v>21127</v>
      </c>
      <c r="H758" s="137">
        <f t="shared" si="318"/>
        <v>0.31896551724137934</v>
      </c>
      <c r="I758" s="2"/>
      <c r="J758" s="2">
        <f t="shared" si="319"/>
        <v>0.31312277311431852</v>
      </c>
      <c r="K758" s="2">
        <f t="shared" si="320"/>
        <v>0.6320882903556978</v>
      </c>
      <c r="L758" s="2">
        <f t="shared" si="321"/>
        <v>0</v>
      </c>
      <c r="M758" s="2">
        <f t="shared" si="322"/>
        <v>5.4788936529983734E-2</v>
      </c>
      <c r="N758" s="63">
        <v>20740</v>
      </c>
      <c r="O758" s="63">
        <v>41867</v>
      </c>
      <c r="P758" s="63"/>
      <c r="Q758" s="63">
        <v>2716</v>
      </c>
      <c r="R758" s="63">
        <v>204</v>
      </c>
      <c r="S758" s="63">
        <v>86</v>
      </c>
      <c r="T758" s="63">
        <v>2</v>
      </c>
      <c r="U758" s="63">
        <v>3</v>
      </c>
      <c r="V758" s="63"/>
      <c r="W758" s="63">
        <f>IF(Copyright!B$11=1,IF(CA758&gt;0,CA758-P758-SUM(R758:V758)-SUM(X758:AQ758),SUM(CB758:CI758)),SUM(CC758:CI758))</f>
        <v>612</v>
      </c>
      <c r="X758" s="63"/>
      <c r="Y758" s="63">
        <v>6</v>
      </c>
      <c r="Z758" s="63">
        <v>0</v>
      </c>
      <c r="AA758" s="63"/>
      <c r="AB758" s="63"/>
      <c r="AC758" s="63"/>
      <c r="AD758" s="63"/>
      <c r="AE758" s="63">
        <v>0</v>
      </c>
      <c r="AF758" s="63"/>
      <c r="AG758" s="63"/>
      <c r="AH758" s="63"/>
      <c r="AI758" s="8"/>
      <c r="AJ758" s="63"/>
      <c r="AK758" s="63"/>
      <c r="AL758" s="63"/>
      <c r="AM758" s="63">
        <v>0</v>
      </c>
      <c r="AN758" s="63"/>
      <c r="AO758" s="63"/>
      <c r="AP758" s="63"/>
      <c r="AQ758" s="63"/>
      <c r="AR758" s="63"/>
      <c r="AS758" s="63"/>
      <c r="AT758" s="63"/>
      <c r="AU758" s="63"/>
      <c r="AW758" s="5">
        <f>IF(Q758&gt;0,RANK(Q758,(N758:P758,Q758:AE758)),0)</f>
        <v>3</v>
      </c>
      <c r="AX758" s="5">
        <f>IF(R758&gt;0,RANK(R758,(N758:P758,Q758:AE758)),0)</f>
        <v>5</v>
      </c>
      <c r="AY758" s="5">
        <f>IF(T758&gt;0,RANK(T758,(N758:P758,Q758:AE758)),0)</f>
        <v>9</v>
      </c>
      <c r="AZ758" s="5">
        <f>IF(S758&gt;0,RANK(S758,(N758:P758,Q758:AE758)),0)</f>
        <v>6</v>
      </c>
      <c r="BA758" s="2">
        <f t="shared" si="323"/>
        <v>4.1004891599734285E-2</v>
      </c>
      <c r="BB758" s="2">
        <f t="shared" si="324"/>
        <v>3.0798961289932969E-3</v>
      </c>
      <c r="BC758" s="2">
        <f t="shared" si="325"/>
        <v>3.0195060088169576E-5</v>
      </c>
      <c r="BD758" s="2">
        <f t="shared" si="326"/>
        <v>1.2983875837912918E-3</v>
      </c>
      <c r="BF758" t="s">
        <v>1889</v>
      </c>
      <c r="BG758" t="s">
        <v>148</v>
      </c>
      <c r="BH758">
        <v>2</v>
      </c>
      <c r="BJ758" s="114">
        <v>18</v>
      </c>
      <c r="BK758" s="116">
        <v>39</v>
      </c>
      <c r="BL758" s="120">
        <f t="shared" si="328"/>
        <v>18039</v>
      </c>
      <c r="BN758" s="5" t="s">
        <v>3154</v>
      </c>
      <c r="BY758" s="63">
        <f t="shared" si="327"/>
        <v>66236</v>
      </c>
      <c r="CA758" s="63">
        <v>913</v>
      </c>
      <c r="CB758" s="132"/>
      <c r="CD758" s="63">
        <v>0</v>
      </c>
      <c r="CE758" s="63">
        <v>0</v>
      </c>
      <c r="CF758" s="63">
        <v>0</v>
      </c>
      <c r="CG758" s="8">
        <v>3</v>
      </c>
      <c r="CH758" s="8">
        <v>0</v>
      </c>
      <c r="CI758" s="8">
        <v>3</v>
      </c>
    </row>
    <row r="759" spans="1:87" hidden="1" outlineLevel="1">
      <c r="A759" t="s">
        <v>1416</v>
      </c>
      <c r="B759" t="s">
        <v>148</v>
      </c>
      <c r="C759" s="1">
        <f t="shared" si="316"/>
        <v>9530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32">
        <f t="shared" si="317"/>
        <v>4587</v>
      </c>
      <c r="H759" s="137">
        <f t="shared" si="318"/>
        <v>0.4813221406086044</v>
      </c>
      <c r="I759" s="2"/>
      <c r="J759" s="2">
        <f t="shared" si="319"/>
        <v>0.23630640083945437</v>
      </c>
      <c r="K759" s="2">
        <f t="shared" si="320"/>
        <v>0.71762854144805877</v>
      </c>
      <c r="L759" s="2">
        <f t="shared" si="321"/>
        <v>0</v>
      </c>
      <c r="M759" s="2">
        <f t="shared" si="322"/>
        <v>4.6065057712486812E-2</v>
      </c>
      <c r="N759" s="63">
        <v>2252</v>
      </c>
      <c r="O759" s="63">
        <v>6839</v>
      </c>
      <c r="P759" s="63"/>
      <c r="Q759" s="63">
        <v>439</v>
      </c>
      <c r="R759" s="63">
        <v>0</v>
      </c>
      <c r="S759" s="63">
        <v>0</v>
      </c>
      <c r="T759" s="63">
        <v>0</v>
      </c>
      <c r="U759" s="63">
        <v>0</v>
      </c>
      <c r="V759" s="63"/>
      <c r="W759" s="63">
        <f>IF(Copyright!B$11=1,IF(CA759&gt;0,CA759-P759-SUM(R759:V759)-SUM(X759:AQ759),SUM(CB759:CI759)),SUM(CC759:CI759))</f>
        <v>0</v>
      </c>
      <c r="X759" s="63"/>
      <c r="Y759" s="63">
        <v>0</v>
      </c>
      <c r="Z759" s="63">
        <v>0</v>
      </c>
      <c r="AA759" s="63"/>
      <c r="AB759" s="63"/>
      <c r="AC759" s="63"/>
      <c r="AD759" s="63"/>
      <c r="AE759" s="63">
        <v>0</v>
      </c>
      <c r="AF759" s="63"/>
      <c r="AG759" s="63"/>
      <c r="AH759" s="63"/>
      <c r="AI759" s="8"/>
      <c r="AJ759" s="63"/>
      <c r="AK759" s="63"/>
      <c r="AL759" s="63"/>
      <c r="AM759" s="63">
        <v>0</v>
      </c>
      <c r="AN759" s="63"/>
      <c r="AO759" s="63"/>
      <c r="AP759" s="63"/>
      <c r="AQ759" s="63"/>
      <c r="AR759" s="63"/>
      <c r="AS759" s="63"/>
      <c r="AT759" s="63"/>
      <c r="AU759" s="63"/>
      <c r="AW759" s="5">
        <f>IF(Q759&gt;0,RANK(Q759,(N759:P759,Q759:AE759)),0)</f>
        <v>3</v>
      </c>
      <c r="AX759" s="5">
        <f>IF(R759&gt;0,RANK(R759,(N759:P759,Q759:AE759)),0)</f>
        <v>0</v>
      </c>
      <c r="AY759" s="5">
        <f>IF(T759&gt;0,RANK(T759,(N759:P759,Q759:AE759)),0)</f>
        <v>0</v>
      </c>
      <c r="AZ759" s="5">
        <f>IF(S759&gt;0,RANK(S759,(N759:P759,Q759:AE759)),0)</f>
        <v>0</v>
      </c>
      <c r="BA759" s="2">
        <f t="shared" si="323"/>
        <v>4.6065057712486882E-2</v>
      </c>
      <c r="BB759" s="2">
        <f t="shared" si="324"/>
        <v>0</v>
      </c>
      <c r="BC759" s="2">
        <f t="shared" si="325"/>
        <v>0</v>
      </c>
      <c r="BD759" s="2">
        <f t="shared" si="326"/>
        <v>0</v>
      </c>
      <c r="BF759" t="s">
        <v>1416</v>
      </c>
      <c r="BG759" t="s">
        <v>148</v>
      </c>
      <c r="BH759">
        <v>6</v>
      </c>
      <c r="BJ759" s="114">
        <v>18</v>
      </c>
      <c r="BK759" s="116">
        <v>41</v>
      </c>
      <c r="BL759" s="120">
        <f t="shared" si="328"/>
        <v>18041</v>
      </c>
      <c r="BN759" s="5" t="s">
        <v>3154</v>
      </c>
      <c r="BY759" s="63">
        <f t="shared" si="327"/>
        <v>9530</v>
      </c>
      <c r="CB759" s="132"/>
      <c r="CD759" s="63">
        <v>0</v>
      </c>
      <c r="CE759" s="63">
        <v>0</v>
      </c>
      <c r="CF759" s="63">
        <v>0</v>
      </c>
      <c r="CG759" s="8">
        <v>0</v>
      </c>
      <c r="CH759" s="8">
        <v>0</v>
      </c>
      <c r="CI759" s="8">
        <v>0</v>
      </c>
    </row>
    <row r="760" spans="1:87" hidden="1" outlineLevel="1">
      <c r="A760" t="s">
        <v>2935</v>
      </c>
      <c r="B760" t="s">
        <v>148</v>
      </c>
      <c r="C760" s="1">
        <f t="shared" si="316"/>
        <v>37842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32">
        <f t="shared" si="317"/>
        <v>7487</v>
      </c>
      <c r="H760" s="137">
        <f t="shared" si="318"/>
        <v>0.19784895090111515</v>
      </c>
      <c r="I760" s="2"/>
      <c r="J760" s="2">
        <f t="shared" si="319"/>
        <v>0.36850589292320701</v>
      </c>
      <c r="K760" s="2">
        <f t="shared" si="320"/>
        <v>0.56635484382432222</v>
      </c>
      <c r="L760" s="2">
        <f t="shared" si="321"/>
        <v>0</v>
      </c>
      <c r="M760" s="2">
        <f t="shared" si="322"/>
        <v>6.5139263252470769E-2</v>
      </c>
      <c r="N760" s="63">
        <v>13945</v>
      </c>
      <c r="O760" s="63">
        <v>21432</v>
      </c>
      <c r="P760" s="63"/>
      <c r="Q760" s="63">
        <v>1861</v>
      </c>
      <c r="R760" s="63">
        <v>157</v>
      </c>
      <c r="S760" s="63">
        <v>18</v>
      </c>
      <c r="T760" s="63">
        <v>0</v>
      </c>
      <c r="U760" s="63">
        <v>1</v>
      </c>
      <c r="V760" s="63"/>
      <c r="W760" s="63">
        <f>IF(Copyright!B$11=1,IF(CA760&gt;0,CA760-P760-SUM(R760:V760)-SUM(X760:AQ760),SUM(CB760:CI760)),SUM(CC760:CI760))</f>
        <v>421</v>
      </c>
      <c r="X760" s="63"/>
      <c r="Y760" s="63">
        <v>4</v>
      </c>
      <c r="Z760" s="63">
        <v>0</v>
      </c>
      <c r="AA760" s="63"/>
      <c r="AB760" s="63"/>
      <c r="AC760" s="63"/>
      <c r="AD760" s="63"/>
      <c r="AE760" s="63">
        <v>3</v>
      </c>
      <c r="AF760" s="63"/>
      <c r="AG760" s="63"/>
      <c r="AH760" s="63"/>
      <c r="AI760" s="8"/>
      <c r="AJ760" s="63"/>
      <c r="AK760" s="63"/>
      <c r="AL760" s="63"/>
      <c r="AM760" s="63">
        <v>0</v>
      </c>
      <c r="AN760" s="63"/>
      <c r="AO760" s="63"/>
      <c r="AP760" s="63"/>
      <c r="AQ760" s="63"/>
      <c r="AR760" s="63"/>
      <c r="AS760" s="63"/>
      <c r="AT760" s="63"/>
      <c r="AU760" s="63"/>
      <c r="AW760" s="5">
        <f>IF(Q760&gt;0,RANK(Q760,(N760:P760,Q760:AE760)),0)</f>
        <v>3</v>
      </c>
      <c r="AX760" s="5">
        <f>IF(R760&gt;0,RANK(R760,(N760:P760,Q760:AE760)),0)</f>
        <v>5</v>
      </c>
      <c r="AY760" s="5">
        <f>IF(T760&gt;0,RANK(T760,(N760:P760,Q760:AE760)),0)</f>
        <v>0</v>
      </c>
      <c r="AZ760" s="5">
        <f>IF(S760&gt;0,RANK(S760,(N760:P760,Q760:AE760)),0)</f>
        <v>6</v>
      </c>
      <c r="BA760" s="2">
        <f t="shared" si="323"/>
        <v>4.9178161830770041E-2</v>
      </c>
      <c r="BB760" s="2">
        <f t="shared" si="324"/>
        <v>4.1488293430579776E-3</v>
      </c>
      <c r="BC760" s="2">
        <f t="shared" si="325"/>
        <v>0</v>
      </c>
      <c r="BD760" s="2">
        <f t="shared" si="326"/>
        <v>4.7566196289836689E-4</v>
      </c>
      <c r="BF760" t="s">
        <v>2935</v>
      </c>
      <c r="BG760" t="s">
        <v>148</v>
      </c>
      <c r="BH760">
        <v>9</v>
      </c>
      <c r="BJ760" s="114">
        <v>18</v>
      </c>
      <c r="BK760" s="116">
        <v>43</v>
      </c>
      <c r="BL760" s="120">
        <f t="shared" si="328"/>
        <v>18043</v>
      </c>
      <c r="BN760" s="5" t="s">
        <v>3154</v>
      </c>
      <c r="BO760" s="63">
        <v>437</v>
      </c>
      <c r="BR760" s="63"/>
      <c r="BY760" s="63">
        <f t="shared" si="327"/>
        <v>0</v>
      </c>
      <c r="BZ760" s="63">
        <f>21432+13945+1861+604</f>
        <v>37842</v>
      </c>
      <c r="CA760" s="63">
        <v>604</v>
      </c>
      <c r="CB760" s="132"/>
      <c r="CD760" s="63">
        <v>0</v>
      </c>
      <c r="CE760" s="63">
        <v>0</v>
      </c>
      <c r="CF760" s="63">
        <v>0</v>
      </c>
      <c r="CG760" s="8">
        <v>0</v>
      </c>
      <c r="CH760" s="8">
        <v>0</v>
      </c>
      <c r="CI760" s="8">
        <v>4</v>
      </c>
    </row>
    <row r="761" spans="1:87" hidden="1" outlineLevel="1">
      <c r="A761" t="s">
        <v>1890</v>
      </c>
      <c r="B761" t="s">
        <v>148</v>
      </c>
      <c r="C761" s="1">
        <f t="shared" si="316"/>
        <v>7535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32">
        <f t="shared" si="317"/>
        <v>4186</v>
      </c>
      <c r="H761" s="137">
        <f t="shared" si="318"/>
        <v>0.55554080955540808</v>
      </c>
      <c r="I761" s="2"/>
      <c r="J761" s="2">
        <f t="shared" si="319"/>
        <v>0.19588586595885865</v>
      </c>
      <c r="K761" s="2">
        <f t="shared" si="320"/>
        <v>0.75142667551426678</v>
      </c>
      <c r="L761" s="2">
        <f t="shared" si="321"/>
        <v>0</v>
      </c>
      <c r="M761" s="2">
        <f t="shared" si="322"/>
        <v>5.2687458526874509E-2</v>
      </c>
      <c r="N761" s="63">
        <v>1476</v>
      </c>
      <c r="O761" s="63">
        <v>5662</v>
      </c>
      <c r="P761" s="63"/>
      <c r="Q761" s="63">
        <v>337</v>
      </c>
      <c r="R761" s="63">
        <v>10</v>
      </c>
      <c r="S761" s="63">
        <v>5</v>
      </c>
      <c r="T761" s="63">
        <v>0</v>
      </c>
      <c r="U761" s="63">
        <v>0</v>
      </c>
      <c r="V761" s="63"/>
      <c r="W761" s="63">
        <f>IF(Copyright!B$11=1,IF(CA761&gt;0,CA761-P761-SUM(R761:V761)-SUM(X761:AQ761),SUM(CB761:CI761)),SUM(CC761:CI761))</f>
        <v>43</v>
      </c>
      <c r="X761" s="63"/>
      <c r="Y761" s="63">
        <v>2</v>
      </c>
      <c r="Z761" s="63">
        <v>0</v>
      </c>
      <c r="AA761" s="63"/>
      <c r="AB761" s="63"/>
      <c r="AC761" s="63"/>
      <c r="AD761" s="63"/>
      <c r="AE761" s="63">
        <v>0</v>
      </c>
      <c r="AF761" s="63"/>
      <c r="AG761" s="63"/>
      <c r="AH761" s="63"/>
      <c r="AI761" s="8"/>
      <c r="AJ761" s="63"/>
      <c r="AK761" s="63"/>
      <c r="AL761" s="63"/>
      <c r="AM761" s="63">
        <v>0</v>
      </c>
      <c r="AN761" s="63"/>
      <c r="AO761" s="63"/>
      <c r="AP761" s="63"/>
      <c r="AQ761" s="63"/>
      <c r="AR761" s="63"/>
      <c r="AS761" s="63"/>
      <c r="AT761" s="63"/>
      <c r="AU761" s="63"/>
      <c r="AW761" s="5">
        <f>IF(Q761&gt;0,RANK(Q761,(N761:P761,Q761:AE761)),0)</f>
        <v>3</v>
      </c>
      <c r="AX761" s="5">
        <f>IF(R761&gt;0,RANK(R761,(N761:P761,Q761:AE761)),0)</f>
        <v>5</v>
      </c>
      <c r="AY761" s="5">
        <f>IF(T761&gt;0,RANK(T761,(N761:P761,Q761:AE761)),0)</f>
        <v>0</v>
      </c>
      <c r="AZ761" s="5">
        <f>IF(S761&gt;0,RANK(S761,(N761:P761,Q761:AE761)),0)</f>
        <v>6</v>
      </c>
      <c r="BA761" s="2">
        <f t="shared" si="323"/>
        <v>4.4724618447246185E-2</v>
      </c>
      <c r="BB761" s="2">
        <f t="shared" si="324"/>
        <v>1.3271400132714001E-3</v>
      </c>
      <c r="BC761" s="2">
        <f t="shared" si="325"/>
        <v>0</v>
      </c>
      <c r="BD761" s="2">
        <f t="shared" si="326"/>
        <v>6.6357000663570006E-4</v>
      </c>
      <c r="BF761" t="s">
        <v>1890</v>
      </c>
      <c r="BG761" t="s">
        <v>148</v>
      </c>
      <c r="BH761">
        <v>4</v>
      </c>
      <c r="BJ761" s="114">
        <v>18</v>
      </c>
      <c r="BK761" s="116">
        <v>45</v>
      </c>
      <c r="BL761" s="120">
        <f t="shared" si="328"/>
        <v>18045</v>
      </c>
      <c r="BN761" s="5" t="s">
        <v>3154</v>
      </c>
      <c r="BY761" s="63">
        <f t="shared" si="327"/>
        <v>7535</v>
      </c>
      <c r="CA761" s="63">
        <v>60</v>
      </c>
      <c r="CB761" s="132"/>
      <c r="CD761" s="63">
        <v>0</v>
      </c>
      <c r="CE761" s="63">
        <v>0</v>
      </c>
      <c r="CF761" s="63">
        <v>0</v>
      </c>
      <c r="CG761" s="8">
        <v>0</v>
      </c>
      <c r="CH761" s="8">
        <v>0</v>
      </c>
      <c r="CI761" s="8">
        <v>0</v>
      </c>
    </row>
    <row r="762" spans="1:87" hidden="1" outlineLevel="1">
      <c r="A762" t="s">
        <v>1138</v>
      </c>
      <c r="B762" t="s">
        <v>148</v>
      </c>
      <c r="C762" s="1">
        <f t="shared" si="316"/>
        <v>11013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32">
        <f t="shared" si="317"/>
        <v>6700</v>
      </c>
      <c r="H762" s="137">
        <f t="shared" si="318"/>
        <v>0.60837192408971219</v>
      </c>
      <c r="I762" s="2"/>
      <c r="J762" s="2">
        <f t="shared" si="319"/>
        <v>0.17878870425860346</v>
      </c>
      <c r="K762" s="2">
        <f t="shared" si="320"/>
        <v>0.78716062834831557</v>
      </c>
      <c r="L762" s="2">
        <f t="shared" si="321"/>
        <v>0</v>
      </c>
      <c r="M762" s="2">
        <f t="shared" si="322"/>
        <v>3.4050667393080936E-2</v>
      </c>
      <c r="N762" s="63">
        <v>1969</v>
      </c>
      <c r="O762" s="63">
        <v>8669</v>
      </c>
      <c r="P762" s="63"/>
      <c r="Q762" s="63">
        <v>358</v>
      </c>
      <c r="R762" s="63">
        <v>15</v>
      </c>
      <c r="S762" s="63">
        <v>2</v>
      </c>
      <c r="T762" s="63">
        <v>0</v>
      </c>
      <c r="U762" s="63">
        <v>0</v>
      </c>
      <c r="V762" s="63"/>
      <c r="W762" s="63">
        <f>IF(Copyright!B$11=1,IF(CA762&gt;0,CA762-P762-SUM(R762:V762)-SUM(X762:AQ762),SUM(CB762:CI762)),SUM(CC762:CI762))</f>
        <v>0</v>
      </c>
      <c r="X762" s="63"/>
      <c r="Y762" s="63">
        <v>0</v>
      </c>
      <c r="Z762" s="63">
        <v>0</v>
      </c>
      <c r="AA762" s="63"/>
      <c r="AB762" s="63"/>
      <c r="AC762" s="63"/>
      <c r="AD762" s="63"/>
      <c r="AE762" s="63">
        <v>0</v>
      </c>
      <c r="AF762" s="63"/>
      <c r="AG762" s="63"/>
      <c r="AH762" s="63"/>
      <c r="AI762" s="8"/>
      <c r="AJ762" s="63"/>
      <c r="AK762" s="63"/>
      <c r="AL762" s="63"/>
      <c r="AM762" s="63">
        <v>0</v>
      </c>
      <c r="AN762" s="63"/>
      <c r="AO762" s="63"/>
      <c r="AP762" s="63"/>
      <c r="AQ762" s="63"/>
      <c r="AR762" s="63"/>
      <c r="AS762" s="63"/>
      <c r="AT762" s="63"/>
      <c r="AU762" s="63"/>
      <c r="AW762" s="5">
        <f>IF(Q762&gt;0,RANK(Q762,(N762:P762,Q762:AE762)),0)</f>
        <v>3</v>
      </c>
      <c r="AX762" s="5">
        <f>IF(R762&gt;0,RANK(R762,(N762:P762,Q762:AE762)),0)</f>
        <v>4</v>
      </c>
      <c r="AY762" s="5">
        <f>IF(T762&gt;0,RANK(T762,(N762:P762,Q762:AE762)),0)</f>
        <v>0</v>
      </c>
      <c r="AZ762" s="5">
        <f>IF(S762&gt;0,RANK(S762,(N762:P762,Q762:AE762)),0)</f>
        <v>5</v>
      </c>
      <c r="BA762" s="2">
        <f t="shared" si="323"/>
        <v>3.2507037137927901E-2</v>
      </c>
      <c r="BB762" s="2">
        <f t="shared" si="324"/>
        <v>1.3620266957232361E-3</v>
      </c>
      <c r="BC762" s="2">
        <f t="shared" si="325"/>
        <v>0</v>
      </c>
      <c r="BD762" s="2">
        <f t="shared" si="326"/>
        <v>1.8160355942976482E-4</v>
      </c>
      <c r="BF762" t="s">
        <v>1138</v>
      </c>
      <c r="BG762" t="s">
        <v>148</v>
      </c>
      <c r="BH762">
        <v>6</v>
      </c>
      <c r="BJ762" s="114">
        <v>18</v>
      </c>
      <c r="BK762" s="116">
        <v>47</v>
      </c>
      <c r="BL762" s="120">
        <f t="shared" si="328"/>
        <v>18047</v>
      </c>
      <c r="BN762" s="5" t="s">
        <v>3154</v>
      </c>
      <c r="BY762" s="63">
        <f t="shared" si="327"/>
        <v>11013</v>
      </c>
      <c r="CB762" s="132"/>
      <c r="CD762" s="63">
        <v>0</v>
      </c>
      <c r="CE762" s="63">
        <v>0</v>
      </c>
      <c r="CF762" s="63">
        <v>0</v>
      </c>
      <c r="CG762" s="8">
        <v>0</v>
      </c>
      <c r="CH762" s="8">
        <v>0</v>
      </c>
      <c r="CI762" s="8">
        <v>0</v>
      </c>
    </row>
    <row r="763" spans="1:87" hidden="1" outlineLevel="1">
      <c r="A763" t="s">
        <v>2388</v>
      </c>
      <c r="B763" t="s">
        <v>148</v>
      </c>
      <c r="C763" s="1">
        <f t="shared" si="316"/>
        <v>8437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32">
        <f t="shared" si="317"/>
        <v>4050</v>
      </c>
      <c r="H763" s="137">
        <f t="shared" si="318"/>
        <v>0.48002844613014106</v>
      </c>
      <c r="I763" s="2"/>
      <c r="J763" s="2">
        <f t="shared" si="319"/>
        <v>0.23231006281853739</v>
      </c>
      <c r="K763" s="2">
        <f t="shared" si="320"/>
        <v>0.71233850894867845</v>
      </c>
      <c r="L763" s="2">
        <f t="shared" si="321"/>
        <v>0</v>
      </c>
      <c r="M763" s="2">
        <f t="shared" si="322"/>
        <v>5.5351428232784161E-2</v>
      </c>
      <c r="N763" s="63">
        <v>1960</v>
      </c>
      <c r="O763" s="63">
        <v>6010</v>
      </c>
      <c r="P763" s="63"/>
      <c r="Q763" s="63">
        <v>404</v>
      </c>
      <c r="R763" s="63">
        <v>0</v>
      </c>
      <c r="S763" s="63">
        <v>0</v>
      </c>
      <c r="T763" s="63">
        <v>0</v>
      </c>
      <c r="U763" s="63">
        <v>0</v>
      </c>
      <c r="V763" s="63"/>
      <c r="W763" s="63">
        <f>IF(Copyright!B$11=1,IF(CA763&gt;0,CA763-P763-SUM(R763:V763)-SUM(X763:AQ763),SUM(CB763:CI763)),SUM(CC763:CI763))</f>
        <v>63</v>
      </c>
      <c r="X763" s="63"/>
      <c r="Y763" s="63">
        <v>0</v>
      </c>
      <c r="Z763" s="63">
        <v>0</v>
      </c>
      <c r="AA763" s="63"/>
      <c r="AB763" s="63"/>
      <c r="AC763" s="63"/>
      <c r="AD763" s="63"/>
      <c r="AE763" s="63">
        <v>0</v>
      </c>
      <c r="AF763" s="63"/>
      <c r="AG763" s="63"/>
      <c r="AH763" s="63"/>
      <c r="AI763" s="8"/>
      <c r="AJ763" s="63"/>
      <c r="AK763" s="63"/>
      <c r="AL763" s="63"/>
      <c r="AM763" s="63">
        <v>0</v>
      </c>
      <c r="AN763" s="63"/>
      <c r="AO763" s="63"/>
      <c r="AP763" s="63"/>
      <c r="AQ763" s="63"/>
      <c r="AR763" s="63"/>
      <c r="AS763" s="63"/>
      <c r="AT763" s="63"/>
      <c r="AU763" s="63"/>
      <c r="AW763" s="5">
        <f>IF(Q763&gt;0,RANK(Q763,(N763:P763,Q763:AE763)),0)</f>
        <v>3</v>
      </c>
      <c r="AX763" s="5">
        <f>IF(R763&gt;0,RANK(R763,(N763:P763,Q763:AE763)),0)</f>
        <v>0</v>
      </c>
      <c r="AY763" s="5">
        <f>IF(T763&gt;0,RANK(T763,(N763:P763,Q763:AE763)),0)</f>
        <v>0</v>
      </c>
      <c r="AZ763" s="5">
        <f>IF(S763&gt;0,RANK(S763,(N763:P763,Q763:AE763)),0)</f>
        <v>0</v>
      </c>
      <c r="BA763" s="2">
        <f t="shared" si="323"/>
        <v>4.7884319070759747E-2</v>
      </c>
      <c r="BB763" s="2">
        <f t="shared" si="324"/>
        <v>0</v>
      </c>
      <c r="BC763" s="2">
        <f t="shared" si="325"/>
        <v>0</v>
      </c>
      <c r="BD763" s="2">
        <f t="shared" si="326"/>
        <v>0</v>
      </c>
      <c r="BF763" t="s">
        <v>2388</v>
      </c>
      <c r="BG763" t="s">
        <v>148</v>
      </c>
      <c r="BH763">
        <v>2</v>
      </c>
      <c r="BJ763" s="114">
        <v>18</v>
      </c>
      <c r="BK763" s="116">
        <v>49</v>
      </c>
      <c r="BL763" s="120">
        <f t="shared" si="328"/>
        <v>18049</v>
      </c>
      <c r="BN763" s="5" t="s">
        <v>3154</v>
      </c>
      <c r="BY763" s="63">
        <f t="shared" si="327"/>
        <v>8437</v>
      </c>
      <c r="CA763" s="63">
        <v>63</v>
      </c>
      <c r="CB763" s="132"/>
      <c r="CD763" s="63">
        <v>0</v>
      </c>
      <c r="CE763" s="63">
        <v>0</v>
      </c>
      <c r="CF763" s="63">
        <v>0</v>
      </c>
      <c r="CG763" s="8">
        <v>0</v>
      </c>
      <c r="CH763" s="8">
        <v>0</v>
      </c>
      <c r="CI763" s="8">
        <v>0</v>
      </c>
    </row>
    <row r="764" spans="1:87" hidden="1" outlineLevel="1">
      <c r="A764" t="s">
        <v>2128</v>
      </c>
      <c r="B764" t="s">
        <v>148</v>
      </c>
      <c r="C764" s="1">
        <f t="shared" si="316"/>
        <v>15484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32">
        <f t="shared" si="317"/>
        <v>7360</v>
      </c>
      <c r="H764" s="137">
        <f t="shared" si="318"/>
        <v>0.4753293722552312</v>
      </c>
      <c r="I764" s="2"/>
      <c r="J764" s="2">
        <f t="shared" si="319"/>
        <v>0.24031258072849393</v>
      </c>
      <c r="K764" s="2">
        <f t="shared" si="320"/>
        <v>0.71564195298372513</v>
      </c>
      <c r="L764" s="2">
        <f t="shared" si="321"/>
        <v>0</v>
      </c>
      <c r="M764" s="2">
        <f t="shared" si="322"/>
        <v>4.4045466287780943E-2</v>
      </c>
      <c r="N764" s="63">
        <v>3721</v>
      </c>
      <c r="O764" s="63">
        <v>11081</v>
      </c>
      <c r="P764" s="63"/>
      <c r="Q764" s="63">
        <v>673</v>
      </c>
      <c r="R764" s="63">
        <v>9</v>
      </c>
      <c r="S764" s="63">
        <v>0</v>
      </c>
      <c r="T764" s="63">
        <v>0</v>
      </c>
      <c r="U764" s="63">
        <v>0</v>
      </c>
      <c r="V764" s="63"/>
      <c r="W764" s="63">
        <f>IF(Copyright!B$11=1,IF(CA764&gt;0,CA764-P764-SUM(R764:V764)-SUM(X764:AQ764),SUM(CB764:CI764)),SUM(CC764:CI764))</f>
        <v>0</v>
      </c>
      <c r="X764" s="63"/>
      <c r="Y764" s="63">
        <v>0</v>
      </c>
      <c r="Z764" s="63">
        <v>0</v>
      </c>
      <c r="AA764" s="63"/>
      <c r="AB764" s="63"/>
      <c r="AC764" s="63"/>
      <c r="AD764" s="63"/>
      <c r="AE764" s="63">
        <v>0</v>
      </c>
      <c r="AF764" s="63"/>
      <c r="AG764" s="63"/>
      <c r="AH764" s="63"/>
      <c r="AI764" s="8"/>
      <c r="AJ764" s="63"/>
      <c r="AK764" s="63"/>
      <c r="AL764" s="63"/>
      <c r="AM764" s="63">
        <v>0</v>
      </c>
      <c r="AN764" s="63"/>
      <c r="AO764" s="63"/>
      <c r="AP764" s="63"/>
      <c r="AQ764" s="63"/>
      <c r="AR764" s="63"/>
      <c r="AS764" s="63"/>
      <c r="AT764" s="63"/>
      <c r="AU764" s="63"/>
      <c r="AW764" s="5">
        <f>IF(Q764&gt;0,RANK(Q764,(N764:P764,Q764:AE764)),0)</f>
        <v>3</v>
      </c>
      <c r="AX764" s="5">
        <f>IF(R764&gt;0,RANK(R764,(N764:P764,Q764:AE764)),0)</f>
        <v>4</v>
      </c>
      <c r="AY764" s="5">
        <f>IF(T764&gt;0,RANK(T764,(N764:P764,Q764:AE764)),0)</f>
        <v>0</v>
      </c>
      <c r="AZ764" s="5">
        <f>IF(S764&gt;0,RANK(S764,(N764:P764,Q764:AE764)),0)</f>
        <v>0</v>
      </c>
      <c r="BA764" s="2">
        <f t="shared" si="323"/>
        <v>4.3464221131490573E-2</v>
      </c>
      <c r="BB764" s="2">
        <f t="shared" si="324"/>
        <v>5.812451562903642E-4</v>
      </c>
      <c r="BC764" s="2">
        <f t="shared" si="325"/>
        <v>0</v>
      </c>
      <c r="BD764" s="2">
        <f t="shared" si="326"/>
        <v>0</v>
      </c>
      <c r="BF764" t="s">
        <v>2128</v>
      </c>
      <c r="BG764" t="s">
        <v>148</v>
      </c>
      <c r="BH764">
        <v>8</v>
      </c>
      <c r="BJ764" s="114">
        <v>18</v>
      </c>
      <c r="BK764" s="116">
        <v>51</v>
      </c>
      <c r="BL764" s="120">
        <f t="shared" si="328"/>
        <v>18051</v>
      </c>
      <c r="BN764" s="5" t="s">
        <v>3154</v>
      </c>
      <c r="BY764" s="63">
        <f t="shared" si="327"/>
        <v>15484</v>
      </c>
      <c r="CB764" s="132"/>
      <c r="CD764" s="63">
        <v>0</v>
      </c>
      <c r="CE764" s="63">
        <v>0</v>
      </c>
      <c r="CF764" s="63">
        <v>0</v>
      </c>
      <c r="CG764" s="8">
        <v>0</v>
      </c>
      <c r="CH764" s="8">
        <v>0</v>
      </c>
      <c r="CI764" s="8">
        <v>0</v>
      </c>
    </row>
    <row r="765" spans="1:87" hidden="1" outlineLevel="1">
      <c r="A765" t="s">
        <v>1417</v>
      </c>
      <c r="B765" t="s">
        <v>148</v>
      </c>
      <c r="C765" s="1">
        <f t="shared" si="316"/>
        <v>25572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32">
        <f t="shared" si="317"/>
        <v>9998</v>
      </c>
      <c r="H765" s="137">
        <f t="shared" si="318"/>
        <v>0.39097450336305334</v>
      </c>
      <c r="I765" s="2"/>
      <c r="J765" s="2">
        <f t="shared" si="319"/>
        <v>0.27412795244798999</v>
      </c>
      <c r="K765" s="2">
        <f t="shared" si="320"/>
        <v>0.66510245581104332</v>
      </c>
      <c r="L765" s="2">
        <f t="shared" si="321"/>
        <v>0</v>
      </c>
      <c r="M765" s="2">
        <f t="shared" si="322"/>
        <v>6.0769591740966633E-2</v>
      </c>
      <c r="N765" s="63">
        <v>7010</v>
      </c>
      <c r="O765" s="63">
        <v>17008</v>
      </c>
      <c r="P765" s="63"/>
      <c r="Q765" s="63">
        <v>1198</v>
      </c>
      <c r="R765" s="63">
        <v>59</v>
      </c>
      <c r="S765" s="63">
        <v>30</v>
      </c>
      <c r="T765" s="63">
        <v>0</v>
      </c>
      <c r="U765" s="63">
        <v>0</v>
      </c>
      <c r="V765" s="63"/>
      <c r="W765" s="63">
        <f>IF(Copyright!B$11=1,IF(CA765&gt;0,CA765-P765-SUM(R765:V765)-SUM(X765:AQ765),SUM(CB765:CI765)),SUM(CC765:CI765))</f>
        <v>263</v>
      </c>
      <c r="X765" s="63"/>
      <c r="Y765" s="63">
        <v>4</v>
      </c>
      <c r="Z765" s="63">
        <v>0</v>
      </c>
      <c r="AA765" s="63"/>
      <c r="AB765" s="63"/>
      <c r="AC765" s="63"/>
      <c r="AD765" s="63"/>
      <c r="AE765" s="63">
        <v>0</v>
      </c>
      <c r="AF765" s="63"/>
      <c r="AG765" s="63"/>
      <c r="AH765" s="63"/>
      <c r="AI765" s="8"/>
      <c r="AJ765" s="63"/>
      <c r="AK765" s="63"/>
      <c r="AL765" s="63"/>
      <c r="AM765" s="63">
        <v>0</v>
      </c>
      <c r="AN765" s="63"/>
      <c r="AO765" s="63"/>
      <c r="AP765" s="63"/>
      <c r="AQ765" s="63"/>
      <c r="AR765" s="63"/>
      <c r="AS765" s="63"/>
      <c r="AT765" s="63"/>
      <c r="AU765" s="63"/>
      <c r="AW765" s="5">
        <f>IF(Q765&gt;0,RANK(Q765,(N765:P765,Q765:AE765)),0)</f>
        <v>3</v>
      </c>
      <c r="AX765" s="5">
        <f>IF(R765&gt;0,RANK(R765,(N765:P765,Q765:AE765)),0)</f>
        <v>5</v>
      </c>
      <c r="AY765" s="5">
        <f>IF(T765&gt;0,RANK(T765,(N765:P765,Q765:AE765)),0)</f>
        <v>0</v>
      </c>
      <c r="AZ765" s="5">
        <f>IF(S765&gt;0,RANK(S765,(N765:P765,Q765:AE765)),0)</f>
        <v>6</v>
      </c>
      <c r="BA765" s="2">
        <f t="shared" si="323"/>
        <v>4.6848115125918972E-2</v>
      </c>
      <c r="BB765" s="2">
        <f t="shared" si="324"/>
        <v>2.3072110120444236E-3</v>
      </c>
      <c r="BC765" s="2">
        <f t="shared" si="325"/>
        <v>0</v>
      </c>
      <c r="BD765" s="2">
        <f t="shared" si="326"/>
        <v>1.1731581417175035E-3</v>
      </c>
      <c r="BF765" t="s">
        <v>1417</v>
      </c>
      <c r="BG765" t="s">
        <v>148</v>
      </c>
      <c r="BH765">
        <v>5</v>
      </c>
      <c r="BJ765" s="114">
        <v>18</v>
      </c>
      <c r="BK765" s="116">
        <v>53</v>
      </c>
      <c r="BL765" s="120">
        <f t="shared" si="328"/>
        <v>18053</v>
      </c>
      <c r="BN765" s="5" t="s">
        <v>3154</v>
      </c>
      <c r="BY765" s="63">
        <f t="shared" si="327"/>
        <v>25572</v>
      </c>
      <c r="CA765" s="63">
        <v>356</v>
      </c>
      <c r="CB765" s="132"/>
      <c r="CD765" s="63">
        <v>0</v>
      </c>
      <c r="CE765" s="63">
        <v>0</v>
      </c>
      <c r="CF765" s="63">
        <v>0</v>
      </c>
      <c r="CG765" s="8">
        <v>0</v>
      </c>
      <c r="CH765" s="132">
        <v>0</v>
      </c>
      <c r="CI765" s="8">
        <v>3</v>
      </c>
    </row>
    <row r="766" spans="1:87" hidden="1" outlineLevel="1">
      <c r="A766" t="s">
        <v>2189</v>
      </c>
      <c r="B766" t="s">
        <v>148</v>
      </c>
      <c r="C766" s="1">
        <f t="shared" si="316"/>
        <v>13861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32">
        <f t="shared" si="317"/>
        <v>7348</v>
      </c>
      <c r="H766" s="137">
        <f t="shared" si="318"/>
        <v>0.53012048192771088</v>
      </c>
      <c r="I766" s="2"/>
      <c r="J766" s="2">
        <f t="shared" si="319"/>
        <v>0.2113123151287786</v>
      </c>
      <c r="K766" s="2">
        <f t="shared" si="320"/>
        <v>0.74143279705648946</v>
      </c>
      <c r="L766" s="2">
        <f t="shared" si="321"/>
        <v>0</v>
      </c>
      <c r="M766" s="2">
        <f t="shared" si="322"/>
        <v>4.7254887814731972E-2</v>
      </c>
      <c r="N766" s="63">
        <v>2929</v>
      </c>
      <c r="O766" s="63">
        <v>10277</v>
      </c>
      <c r="P766" s="63"/>
      <c r="Q766" s="63">
        <v>559</v>
      </c>
      <c r="R766" s="63">
        <v>35</v>
      </c>
      <c r="S766" s="63">
        <v>0</v>
      </c>
      <c r="T766" s="63">
        <v>0</v>
      </c>
      <c r="U766" s="63">
        <v>0</v>
      </c>
      <c r="V766" s="63"/>
      <c r="W766" s="63">
        <f>IF(Copyright!B$11=1,IF(CA766&gt;0,CA766-P766-SUM(R766:V766)-SUM(X766:AQ766),SUM(CB766:CI766)),SUM(CC766:CI766))</f>
        <v>60</v>
      </c>
      <c r="X766" s="63"/>
      <c r="Y766" s="63">
        <v>0</v>
      </c>
      <c r="Z766" s="63">
        <v>1</v>
      </c>
      <c r="AA766" s="63"/>
      <c r="AB766" s="63"/>
      <c r="AC766" s="63"/>
      <c r="AD766" s="63"/>
      <c r="AE766" s="63">
        <v>0</v>
      </c>
      <c r="AF766" s="63"/>
      <c r="AG766" s="63"/>
      <c r="AH766" s="63"/>
      <c r="AI766" s="8"/>
      <c r="AJ766" s="63"/>
      <c r="AK766" s="63"/>
      <c r="AL766" s="63"/>
      <c r="AM766" s="63">
        <v>0</v>
      </c>
      <c r="AN766" s="63"/>
      <c r="AO766" s="63"/>
      <c r="AP766" s="63"/>
      <c r="AQ766" s="63"/>
      <c r="AR766" s="63"/>
      <c r="AS766" s="63"/>
      <c r="AT766" s="63"/>
      <c r="AU766" s="63"/>
      <c r="AW766" s="5">
        <f>IF(Q766&gt;0,RANK(Q766,(N766:P766,Q766:AE766)),0)</f>
        <v>3</v>
      </c>
      <c r="AX766" s="5">
        <f>IF(R766&gt;0,RANK(R766,(N766:P766,Q766:AE766)),0)</f>
        <v>5</v>
      </c>
      <c r="AY766" s="5">
        <f>IF(T766&gt;0,RANK(T766,(N766:P766,Q766:AE766)),0)</f>
        <v>0</v>
      </c>
      <c r="AZ766" s="5">
        <f>IF(S766&gt;0,RANK(S766,(N766:P766,Q766:AE766)),0)</f>
        <v>0</v>
      </c>
      <c r="BA766" s="2">
        <f t="shared" si="323"/>
        <v>4.0328980593030805E-2</v>
      </c>
      <c r="BB766" s="2">
        <f t="shared" si="324"/>
        <v>2.5250703412452204E-3</v>
      </c>
      <c r="BC766" s="2">
        <f t="shared" si="325"/>
        <v>0</v>
      </c>
      <c r="BD766" s="2">
        <f t="shared" si="326"/>
        <v>0</v>
      </c>
      <c r="BF766" t="s">
        <v>2189</v>
      </c>
      <c r="BG766" t="s">
        <v>148</v>
      </c>
      <c r="BH766">
        <v>8</v>
      </c>
      <c r="BJ766" s="114">
        <v>18</v>
      </c>
      <c r="BK766" s="116">
        <v>55</v>
      </c>
      <c r="BL766" s="120">
        <f t="shared" si="328"/>
        <v>18055</v>
      </c>
      <c r="BN766" s="5" t="s">
        <v>3154</v>
      </c>
      <c r="BY766" s="63">
        <f t="shared" si="327"/>
        <v>13861</v>
      </c>
      <c r="CA766" s="63">
        <v>96</v>
      </c>
      <c r="CB766" s="132"/>
      <c r="CD766" s="63">
        <v>0</v>
      </c>
      <c r="CE766" s="63">
        <v>0</v>
      </c>
      <c r="CF766" s="63">
        <v>0</v>
      </c>
      <c r="CG766" s="8">
        <v>0</v>
      </c>
      <c r="CH766" s="132">
        <v>0</v>
      </c>
      <c r="CI766" s="8">
        <v>0</v>
      </c>
    </row>
    <row r="767" spans="1:87" hidden="1" outlineLevel="1">
      <c r="A767" t="s">
        <v>2646</v>
      </c>
      <c r="B767" t="s">
        <v>148</v>
      </c>
      <c r="C767" s="1">
        <f t="shared" si="316"/>
        <v>155958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32">
        <f t="shared" si="317"/>
        <v>30141</v>
      </c>
      <c r="H767" s="137">
        <f t="shared" si="318"/>
        <v>0.1932635709614127</v>
      </c>
      <c r="I767" s="2"/>
      <c r="J767" s="2">
        <f t="shared" si="319"/>
        <v>0.36716936611138895</v>
      </c>
      <c r="K767" s="2">
        <f t="shared" si="320"/>
        <v>0.56043293707280162</v>
      </c>
      <c r="L767" s="2">
        <f t="shared" si="321"/>
        <v>0</v>
      </c>
      <c r="M767" s="2">
        <f t="shared" si="322"/>
        <v>7.2397696815809431E-2</v>
      </c>
      <c r="N767" s="63">
        <v>57263</v>
      </c>
      <c r="O767" s="63">
        <v>87404</v>
      </c>
      <c r="P767" s="63"/>
      <c r="Q767" s="63">
        <v>9122</v>
      </c>
      <c r="R767" s="63">
        <v>299</v>
      </c>
      <c r="S767" s="63">
        <v>124</v>
      </c>
      <c r="T767" s="63">
        <v>1</v>
      </c>
      <c r="U767" s="63">
        <v>2</v>
      </c>
      <c r="V767" s="63"/>
      <c r="W767" s="63">
        <f>IF(Copyright!B$11=1,IF(CA767&gt;0,CA767-P767-SUM(R767:V767)-SUM(X767:AQ767),SUM(CB767:CI767)),SUM(CC767:CI767))</f>
        <v>1716</v>
      </c>
      <c r="X767" s="63"/>
      <c r="Y767" s="63">
        <v>16</v>
      </c>
      <c r="Z767" s="63">
        <v>2</v>
      </c>
      <c r="AA767" s="63"/>
      <c r="AB767" s="63"/>
      <c r="AC767" s="63"/>
      <c r="AD767" s="63"/>
      <c r="AE767" s="63">
        <v>7</v>
      </c>
      <c r="AF767" s="63"/>
      <c r="AG767" s="63"/>
      <c r="AH767" s="63"/>
      <c r="AI767" s="8"/>
      <c r="AJ767" s="63"/>
      <c r="AK767" s="63"/>
      <c r="AL767" s="63"/>
      <c r="AM767" s="63">
        <v>2</v>
      </c>
      <c r="AN767" s="63"/>
      <c r="AO767" s="63"/>
      <c r="AP767" s="63"/>
      <c r="AQ767" s="63"/>
      <c r="AR767" s="63"/>
      <c r="AS767" s="63"/>
      <c r="AT767" s="63"/>
      <c r="AU767" s="63"/>
      <c r="AW767" s="5">
        <f>IF(Q767&gt;0,RANK(Q767,(N767:P767,Q767:AE767)),0)</f>
        <v>3</v>
      </c>
      <c r="AX767" s="5">
        <f>IF(R767&gt;0,RANK(R767,(N767:P767,Q767:AE767)),0)</f>
        <v>5</v>
      </c>
      <c r="AY767" s="5">
        <f>IF(T767&gt;0,RANK(T767,(N767:P767,Q767:AE767)),0)</f>
        <v>11</v>
      </c>
      <c r="AZ767" s="5">
        <f>IF(S767&gt;0,RANK(S767,(N767:P767,Q767:AE767)),0)</f>
        <v>6</v>
      </c>
      <c r="BA767" s="2">
        <f t="shared" si="323"/>
        <v>5.849010631067339E-2</v>
      </c>
      <c r="BB767" s="2">
        <f t="shared" si="324"/>
        <v>1.9171828312750869E-3</v>
      </c>
      <c r="BC767" s="2">
        <f t="shared" si="325"/>
        <v>6.4119827132946049E-6</v>
      </c>
      <c r="BD767" s="2">
        <f t="shared" si="326"/>
        <v>7.9508585644853097E-4</v>
      </c>
      <c r="BF767" t="s">
        <v>2646</v>
      </c>
      <c r="BG767" t="s">
        <v>148</v>
      </c>
      <c r="BH767">
        <v>5</v>
      </c>
      <c r="BJ767" s="114">
        <v>18</v>
      </c>
      <c r="BK767" s="116">
        <v>57</v>
      </c>
      <c r="BL767" s="120">
        <f t="shared" si="328"/>
        <v>18057</v>
      </c>
      <c r="BN767" s="5" t="s">
        <v>3154</v>
      </c>
      <c r="BY767" s="63">
        <f t="shared" si="327"/>
        <v>155958</v>
      </c>
      <c r="CA767" s="63">
        <v>2169</v>
      </c>
      <c r="CB767" s="132"/>
      <c r="CD767" s="63">
        <v>0</v>
      </c>
      <c r="CE767" s="63">
        <v>0</v>
      </c>
      <c r="CF767" s="63">
        <v>0</v>
      </c>
      <c r="CG767" s="8">
        <v>4</v>
      </c>
      <c r="CH767" s="132">
        <v>0</v>
      </c>
      <c r="CI767" s="8">
        <v>10</v>
      </c>
    </row>
    <row r="768" spans="1:87" hidden="1" outlineLevel="1">
      <c r="A768" t="s">
        <v>597</v>
      </c>
      <c r="B768" t="s">
        <v>148</v>
      </c>
      <c r="C768" s="1">
        <f t="shared" si="316"/>
        <v>36496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32">
        <f t="shared" si="317"/>
        <v>16170</v>
      </c>
      <c r="H768" s="137">
        <f t="shared" si="318"/>
        <v>0.44306225339763261</v>
      </c>
      <c r="I768" s="2"/>
      <c r="J768" s="2">
        <f t="shared" si="319"/>
        <v>0.24397194213064446</v>
      </c>
      <c r="K768" s="2">
        <f t="shared" si="320"/>
        <v>0.68703419552827705</v>
      </c>
      <c r="L768" s="2">
        <f t="shared" si="321"/>
        <v>0</v>
      </c>
      <c r="M768" s="2">
        <f t="shared" si="322"/>
        <v>6.8993862341078516E-2</v>
      </c>
      <c r="N768" s="63">
        <v>8904</v>
      </c>
      <c r="O768" s="63">
        <v>25074</v>
      </c>
      <c r="P768" s="63"/>
      <c r="Q768" s="63">
        <v>2077</v>
      </c>
      <c r="R768" s="63">
        <v>89</v>
      </c>
      <c r="S768" s="63">
        <v>25</v>
      </c>
      <c r="T768" s="63">
        <v>0</v>
      </c>
      <c r="U768" s="63">
        <v>1</v>
      </c>
      <c r="V768" s="63"/>
      <c r="W768" s="63">
        <f>IF(Copyright!B$11=1,IF(CA768&gt;0,CA768-P768-SUM(R768:V768)-SUM(X768:AQ768),SUM(CB768:CI768)),SUM(CC768:CI768))</f>
        <v>320</v>
      </c>
      <c r="X768" s="63"/>
      <c r="Y768" s="63">
        <v>6</v>
      </c>
      <c r="Z768" s="63">
        <v>0</v>
      </c>
      <c r="AA768" s="63"/>
      <c r="AB768" s="63"/>
      <c r="AC768" s="63"/>
      <c r="AD768" s="63"/>
      <c r="AE768" s="63">
        <v>0</v>
      </c>
      <c r="AF768" s="63"/>
      <c r="AG768" s="63"/>
      <c r="AH768" s="63"/>
      <c r="AI768" s="8"/>
      <c r="AJ768" s="63"/>
      <c r="AK768" s="63"/>
      <c r="AL768" s="63"/>
      <c r="AM768" s="63">
        <v>0</v>
      </c>
      <c r="AN768" s="63"/>
      <c r="AO768" s="63"/>
      <c r="AP768" s="63"/>
      <c r="AQ768" s="63"/>
      <c r="AR768" s="63"/>
      <c r="AS768" s="63"/>
      <c r="AT768" s="63"/>
      <c r="AU768" s="63"/>
      <c r="AW768" s="5">
        <f>IF(Q768&gt;0,RANK(Q768,(N768:P768,Q768:AE768)),0)</f>
        <v>3</v>
      </c>
      <c r="AX768" s="5">
        <f>IF(R768&gt;0,RANK(R768,(N768:P768,Q768:AE768)),0)</f>
        <v>5</v>
      </c>
      <c r="AY768" s="5">
        <f>IF(T768&gt;0,RANK(T768,(N768:P768,Q768:AE768)),0)</f>
        <v>0</v>
      </c>
      <c r="AZ768" s="5">
        <f>IF(S768&gt;0,RANK(S768,(N768:P768,Q768:AE768)),0)</f>
        <v>6</v>
      </c>
      <c r="BA768" s="2">
        <f t="shared" si="323"/>
        <v>5.691034633932486E-2</v>
      </c>
      <c r="BB768" s="2">
        <f t="shared" si="324"/>
        <v>2.4386234107847435E-3</v>
      </c>
      <c r="BC768" s="2">
        <f t="shared" si="325"/>
        <v>0</v>
      </c>
      <c r="BD768" s="2">
        <f t="shared" si="326"/>
        <v>6.8500657606313019E-4</v>
      </c>
      <c r="BF768" t="s">
        <v>597</v>
      </c>
      <c r="BG768" t="s">
        <v>148</v>
      </c>
      <c r="BH768">
        <v>6</v>
      </c>
      <c r="BJ768" s="114">
        <v>18</v>
      </c>
      <c r="BK768" s="116">
        <v>59</v>
      </c>
      <c r="BL768" s="120">
        <f t="shared" si="328"/>
        <v>18059</v>
      </c>
      <c r="BN768" s="5" t="s">
        <v>3154</v>
      </c>
      <c r="BY768" s="63">
        <f t="shared" si="327"/>
        <v>36496</v>
      </c>
      <c r="CA768" s="63">
        <v>441</v>
      </c>
      <c r="CB768" s="132"/>
      <c r="CD768" s="63">
        <v>0</v>
      </c>
      <c r="CE768" s="63">
        <v>0</v>
      </c>
      <c r="CF768" s="63">
        <v>2</v>
      </c>
      <c r="CG768" s="8">
        <v>0</v>
      </c>
      <c r="CH768" s="132">
        <v>0</v>
      </c>
      <c r="CI768" s="8">
        <v>3</v>
      </c>
    </row>
    <row r="769" spans="1:87" hidden="1" outlineLevel="1">
      <c r="A769" t="s">
        <v>875</v>
      </c>
      <c r="B769" t="s">
        <v>148</v>
      </c>
      <c r="C769" s="1">
        <f t="shared" si="316"/>
        <v>18558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32">
        <f t="shared" si="317"/>
        <v>8160</v>
      </c>
      <c r="H769" s="137">
        <f t="shared" si="318"/>
        <v>0.43970255415454251</v>
      </c>
      <c r="I769" s="2"/>
      <c r="J769" s="2">
        <f t="shared" si="319"/>
        <v>0.25773251427955601</v>
      </c>
      <c r="K769" s="2">
        <f t="shared" si="320"/>
        <v>0.69743506843409853</v>
      </c>
      <c r="L769" s="2">
        <f t="shared" si="321"/>
        <v>0</v>
      </c>
      <c r="M769" s="2">
        <f t="shared" si="322"/>
        <v>4.4832417286345461E-2</v>
      </c>
      <c r="N769" s="63">
        <v>4783</v>
      </c>
      <c r="O769" s="63">
        <v>12943</v>
      </c>
      <c r="P769" s="63"/>
      <c r="Q769" s="63">
        <v>759</v>
      </c>
      <c r="R769" s="63">
        <v>48</v>
      </c>
      <c r="S769" s="63">
        <v>13</v>
      </c>
      <c r="T769" s="63">
        <v>0</v>
      </c>
      <c r="U769" s="63">
        <v>0</v>
      </c>
      <c r="V769" s="63"/>
      <c r="W769" s="63">
        <f>IF(Copyright!B$11=1,IF(CA769&gt;0,CA769-P769-SUM(R769:V769)-SUM(X769:AQ769),SUM(CB769:CI769)),SUM(CC769:CI769))</f>
        <v>0</v>
      </c>
      <c r="X769" s="63"/>
      <c r="Y769" s="63">
        <v>10</v>
      </c>
      <c r="Z769" s="63">
        <v>2</v>
      </c>
      <c r="AA769" s="63"/>
      <c r="AB769" s="63"/>
      <c r="AC769" s="63"/>
      <c r="AD769" s="63"/>
      <c r="AE769" s="63">
        <v>0</v>
      </c>
      <c r="AF769" s="63"/>
      <c r="AG769" s="63"/>
      <c r="AH769" s="63"/>
      <c r="AI769" s="8"/>
      <c r="AJ769" s="63"/>
      <c r="AK769" s="63"/>
      <c r="AL769" s="63"/>
      <c r="AM769" s="63">
        <v>0</v>
      </c>
      <c r="AN769" s="63"/>
      <c r="AO769" s="63"/>
      <c r="AP769" s="63"/>
      <c r="AQ769" s="63"/>
      <c r="AR769" s="63"/>
      <c r="AS769" s="63"/>
      <c r="AT769" s="63"/>
      <c r="AU769" s="63"/>
      <c r="AW769" s="5">
        <f>IF(Q769&gt;0,RANK(Q769,(N769:P769,Q769:AE769)),0)</f>
        <v>3</v>
      </c>
      <c r="AX769" s="5">
        <f>IF(R769&gt;0,RANK(R769,(N769:P769,Q769:AE769)),0)</f>
        <v>4</v>
      </c>
      <c r="AY769" s="5">
        <f>IF(T769&gt;0,RANK(T769,(N769:P769,Q769:AE769)),0)</f>
        <v>0</v>
      </c>
      <c r="AZ769" s="5">
        <f>IF(S769&gt;0,RANK(S769,(N769:P769,Q769:AE769)),0)</f>
        <v>5</v>
      </c>
      <c r="BA769" s="2">
        <f t="shared" si="323"/>
        <v>4.0898803750404139E-2</v>
      </c>
      <c r="BB769" s="2">
        <f t="shared" si="324"/>
        <v>2.5864856126737797E-3</v>
      </c>
      <c r="BC769" s="2">
        <f t="shared" si="325"/>
        <v>0</v>
      </c>
      <c r="BD769" s="2">
        <f t="shared" si="326"/>
        <v>7.0050652009914858E-4</v>
      </c>
      <c r="BF769" t="s">
        <v>875</v>
      </c>
      <c r="BG769" t="s">
        <v>148</v>
      </c>
      <c r="BH769">
        <v>9</v>
      </c>
      <c r="BJ769" s="114">
        <v>18</v>
      </c>
      <c r="BK769" s="116">
        <v>61</v>
      </c>
      <c r="BL769" s="120">
        <f t="shared" si="328"/>
        <v>18061</v>
      </c>
      <c r="BN769" s="5" t="s">
        <v>3154</v>
      </c>
      <c r="BY769" s="63">
        <f t="shared" si="327"/>
        <v>18558</v>
      </c>
      <c r="CB769" s="132"/>
      <c r="CD769" s="63">
        <v>0</v>
      </c>
      <c r="CE769" s="63">
        <v>0</v>
      </c>
      <c r="CF769" s="63">
        <v>0</v>
      </c>
      <c r="CG769" s="8">
        <v>0</v>
      </c>
      <c r="CH769" s="8">
        <v>0</v>
      </c>
      <c r="CI769" s="8">
        <v>0</v>
      </c>
    </row>
    <row r="770" spans="1:87" hidden="1" outlineLevel="1">
      <c r="A770" t="s">
        <v>965</v>
      </c>
      <c r="B770" t="s">
        <v>148</v>
      </c>
      <c r="C770" s="1">
        <f t="shared" si="316"/>
        <v>76184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32">
        <f t="shared" si="317"/>
        <v>25737</v>
      </c>
      <c r="H770" s="137">
        <f t="shared" si="318"/>
        <v>0.3378268402814239</v>
      </c>
      <c r="I770" s="2"/>
      <c r="J770" s="2">
        <f t="shared" si="319"/>
        <v>0.29665021526829782</v>
      </c>
      <c r="K770" s="2">
        <f t="shared" si="320"/>
        <v>0.63447705554972178</v>
      </c>
      <c r="L770" s="2">
        <f t="shared" si="321"/>
        <v>0</v>
      </c>
      <c r="M770" s="2">
        <f t="shared" si="322"/>
        <v>6.8872729181980397E-2</v>
      </c>
      <c r="N770" s="63">
        <v>22600</v>
      </c>
      <c r="O770" s="63">
        <v>48337</v>
      </c>
      <c r="P770" s="63"/>
      <c r="Q770" s="63">
        <v>4338</v>
      </c>
      <c r="R770" s="63">
        <v>205</v>
      </c>
      <c r="S770" s="63">
        <v>64</v>
      </c>
      <c r="T770" s="63">
        <v>1</v>
      </c>
      <c r="U770" s="63">
        <v>2</v>
      </c>
      <c r="V770" s="63"/>
      <c r="W770" s="63">
        <f>IF(Copyright!B$11=1,IF(CA770&gt;0,CA770-P770-SUM(R770:V770)-SUM(X770:AQ770),SUM(CB770:CI770)),SUM(CC770:CI770))</f>
        <v>630</v>
      </c>
      <c r="X770" s="63"/>
      <c r="Y770" s="63">
        <v>5</v>
      </c>
      <c r="Z770" s="63">
        <v>0</v>
      </c>
      <c r="AA770" s="63"/>
      <c r="AB770" s="63"/>
      <c r="AC770" s="63"/>
      <c r="AD770" s="63"/>
      <c r="AE770" s="63">
        <v>2</v>
      </c>
      <c r="AF770" s="63"/>
      <c r="AG770" s="63"/>
      <c r="AH770" s="63"/>
      <c r="AI770" s="8"/>
      <c r="AJ770" s="63"/>
      <c r="AK770" s="63"/>
      <c r="AL770" s="63"/>
      <c r="AM770" s="63">
        <v>0</v>
      </c>
      <c r="AN770" s="63"/>
      <c r="AO770" s="63"/>
      <c r="AP770" s="63"/>
      <c r="AQ770" s="63"/>
      <c r="AR770" s="63"/>
      <c r="AS770" s="63"/>
      <c r="AT770" s="63"/>
      <c r="AU770" s="63"/>
      <c r="AW770" s="5">
        <f>IF(Q770&gt;0,RANK(Q770,(N770:P770,Q770:AE770)),0)</f>
        <v>3</v>
      </c>
      <c r="AX770" s="5">
        <f>IF(R770&gt;0,RANK(R770,(N770:P770,Q770:AE770)),0)</f>
        <v>5</v>
      </c>
      <c r="AY770" s="5">
        <f>IF(T770&gt;0,RANK(T770,(N770:P770,Q770:AE770)),0)</f>
        <v>10</v>
      </c>
      <c r="AZ770" s="5">
        <f>IF(S770&gt;0,RANK(S770,(N770:P770,Q770:AE770)),0)</f>
        <v>6</v>
      </c>
      <c r="BA770" s="2">
        <f t="shared" si="323"/>
        <v>5.6941089992649373E-2</v>
      </c>
      <c r="BB770" s="2">
        <f t="shared" si="324"/>
        <v>2.6908537225664182E-3</v>
      </c>
      <c r="BC770" s="2">
        <f t="shared" si="325"/>
        <v>1.3126115719836185E-5</v>
      </c>
      <c r="BD770" s="2">
        <f t="shared" si="326"/>
        <v>8.4007140606951586E-4</v>
      </c>
      <c r="BF770" t="s">
        <v>965</v>
      </c>
      <c r="BG770" t="s">
        <v>148</v>
      </c>
      <c r="BH770">
        <v>4</v>
      </c>
      <c r="BJ770" s="114">
        <v>18</v>
      </c>
      <c r="BK770" s="116">
        <v>63</v>
      </c>
      <c r="BL770" s="120">
        <f t="shared" si="328"/>
        <v>18063</v>
      </c>
      <c r="BN770" s="5" t="s">
        <v>3154</v>
      </c>
      <c r="BY770" s="63">
        <f t="shared" si="327"/>
        <v>76184</v>
      </c>
      <c r="CA770" s="63">
        <v>909</v>
      </c>
      <c r="CB770" s="132"/>
      <c r="CD770" s="63">
        <v>0</v>
      </c>
      <c r="CE770" s="63">
        <v>0</v>
      </c>
      <c r="CF770" s="63">
        <v>1</v>
      </c>
      <c r="CG770" s="8">
        <v>0</v>
      </c>
      <c r="CH770" s="63">
        <v>0</v>
      </c>
      <c r="CI770" s="8">
        <v>4</v>
      </c>
    </row>
    <row r="771" spans="1:87" hidden="1" outlineLevel="1">
      <c r="A771" t="s">
        <v>3123</v>
      </c>
      <c r="B771" t="s">
        <v>148</v>
      </c>
      <c r="C771" s="1">
        <f t="shared" ref="C771:C802" si="329">SUM(N771:AU771)</f>
        <v>20155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32">
        <f t="shared" ref="G771:G802" si="330">IF(C771&gt;0,MAX(N771:P771)-LARGE(N771:P771,2),0)</f>
        <v>8771</v>
      </c>
      <c r="H771" s="137">
        <f t="shared" ref="H771:H802" si="331">IF(C771&gt;0,G771/C771,0)</f>
        <v>0.4351773753411064</v>
      </c>
      <c r="I771" s="2"/>
      <c r="J771" s="2">
        <f t="shared" ref="J771:J802" si="332">IF($C771=0,"-",N771/$C771)</f>
        <v>0.25422971967253782</v>
      </c>
      <c r="K771" s="2">
        <f t="shared" ref="K771:K802" si="333">IF($C771=0,"-",O771/$C771)</f>
        <v>0.68940709501364428</v>
      </c>
      <c r="L771" s="2">
        <f t="shared" ref="L771:L802" si="334">IF($C771=0,"-",P771/$C771)</f>
        <v>0</v>
      </c>
      <c r="M771" s="2">
        <f t="shared" ref="M771:M802" si="335">IF(C771=0,"-",(1-J771-K771-L771))</f>
        <v>5.6363185313817898E-2</v>
      </c>
      <c r="N771" s="63">
        <v>5124</v>
      </c>
      <c r="O771" s="63">
        <v>13895</v>
      </c>
      <c r="P771" s="63"/>
      <c r="Q771" s="63">
        <v>1056</v>
      </c>
      <c r="R771" s="63">
        <v>57</v>
      </c>
      <c r="S771" s="63">
        <v>20</v>
      </c>
      <c r="T771" s="63">
        <v>0</v>
      </c>
      <c r="U771" s="63">
        <v>0</v>
      </c>
      <c r="V771" s="63"/>
      <c r="W771" s="63">
        <f>IF(Copyright!B$11=1,IF(CA771&gt;0,CA771-P771-SUM(R771:V771)-SUM(X771:AQ771),SUM(CB771:CI771)),SUM(CC771:CI771))</f>
        <v>3</v>
      </c>
      <c r="X771" s="63"/>
      <c r="Y771" s="63">
        <v>0</v>
      </c>
      <c r="Z771" s="63">
        <v>0</v>
      </c>
      <c r="AA771" s="63"/>
      <c r="AB771" s="63"/>
      <c r="AC771" s="63"/>
      <c r="AD771" s="63"/>
      <c r="AE771" s="63">
        <v>0</v>
      </c>
      <c r="AF771" s="63"/>
      <c r="AG771" s="63"/>
      <c r="AH771" s="63"/>
      <c r="AI771" s="8"/>
      <c r="AJ771" s="63"/>
      <c r="AK771" s="63"/>
      <c r="AL771" s="63"/>
      <c r="AM771" s="63">
        <v>0</v>
      </c>
      <c r="AN771" s="63"/>
      <c r="AO771" s="63"/>
      <c r="AP771" s="63"/>
      <c r="AQ771" s="63"/>
      <c r="AR771" s="63"/>
      <c r="AS771" s="63"/>
      <c r="AT771" s="63"/>
      <c r="AU771" s="63"/>
      <c r="AW771" s="5">
        <f>IF(Q771&gt;0,RANK(Q771,(N771:P771,Q771:AE771)),0)</f>
        <v>3</v>
      </c>
      <c r="AX771" s="5">
        <f>IF(R771&gt;0,RANK(R771,(N771:P771,Q771:AE771)),0)</f>
        <v>4</v>
      </c>
      <c r="AY771" s="5">
        <f>IF(T771&gt;0,RANK(T771,(N771:P771,Q771:AE771)),0)</f>
        <v>0</v>
      </c>
      <c r="AZ771" s="5">
        <f>IF(S771&gt;0,RANK(S771,(N771:P771,Q771:AE771)),0)</f>
        <v>5</v>
      </c>
      <c r="BA771" s="2">
        <f t="shared" ref="BA771:BA802" si="336">IF($C771=0,"-",Q771/$C771)</f>
        <v>5.2393946911436368E-2</v>
      </c>
      <c r="BB771" s="2">
        <f t="shared" ref="BB771:BB802" si="337">IF($C771=0,"-",R771/$C771)</f>
        <v>2.8280823616968495E-3</v>
      </c>
      <c r="BC771" s="2">
        <f t="shared" ref="BC771:BC802" si="338">IF($C771=0,"-",T771/$C771)</f>
        <v>0</v>
      </c>
      <c r="BD771" s="2">
        <f t="shared" ref="BD771:BD802" si="339">IF($C771=0,"-",S771/$C771)</f>
        <v>9.9230960059538574E-4</v>
      </c>
      <c r="BF771" t="s">
        <v>3123</v>
      </c>
      <c r="BG771" t="s">
        <v>148</v>
      </c>
      <c r="BH771">
        <v>6</v>
      </c>
      <c r="BJ771" s="114">
        <v>18</v>
      </c>
      <c r="BK771" s="116">
        <v>65</v>
      </c>
      <c r="BL771" s="120">
        <f t="shared" si="328"/>
        <v>18065</v>
      </c>
      <c r="BN771" s="5" t="s">
        <v>3154</v>
      </c>
      <c r="BY771" s="63">
        <f t="shared" si="327"/>
        <v>20155</v>
      </c>
      <c r="CB771" s="132"/>
      <c r="CD771" s="63">
        <v>1</v>
      </c>
      <c r="CE771" s="63">
        <v>0</v>
      </c>
      <c r="CF771" s="63">
        <v>0</v>
      </c>
      <c r="CG771" s="8">
        <v>0</v>
      </c>
      <c r="CH771" s="8">
        <v>0</v>
      </c>
      <c r="CI771" s="8">
        <v>2</v>
      </c>
    </row>
    <row r="772" spans="1:87" hidden="1" outlineLevel="1">
      <c r="A772" t="s">
        <v>1049</v>
      </c>
      <c r="B772" t="s">
        <v>148</v>
      </c>
      <c r="C772" s="1">
        <f t="shared" si="329"/>
        <v>37342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32">
        <f t="shared" si="330"/>
        <v>12460</v>
      </c>
      <c r="H772" s="137">
        <f t="shared" si="331"/>
        <v>0.33367254030314392</v>
      </c>
      <c r="I772" s="2"/>
      <c r="J772" s="2">
        <f t="shared" si="332"/>
        <v>0.30033206577044613</v>
      </c>
      <c r="K772" s="2">
        <f t="shared" si="333"/>
        <v>0.6340046060735901</v>
      </c>
      <c r="L772" s="2">
        <f t="shared" si="334"/>
        <v>0</v>
      </c>
      <c r="M772" s="2">
        <f t="shared" si="335"/>
        <v>6.5663328155963763E-2</v>
      </c>
      <c r="N772" s="63">
        <v>11215</v>
      </c>
      <c r="O772" s="63">
        <v>23675</v>
      </c>
      <c r="P772" s="63"/>
      <c r="Q772" s="63">
        <v>1864</v>
      </c>
      <c r="R772" s="63">
        <v>60</v>
      </c>
      <c r="S772" s="63">
        <v>24</v>
      </c>
      <c r="T772" s="63">
        <v>0</v>
      </c>
      <c r="U772" s="63">
        <v>0</v>
      </c>
      <c r="V772" s="63"/>
      <c r="W772" s="63">
        <f>IF(Copyright!B$11=1,IF(CA772&gt;0,CA772-P772-SUM(R772:V772)-SUM(X772:AQ772),SUM(CB772:CI772)),SUM(CC772:CI772))</f>
        <v>499</v>
      </c>
      <c r="X772" s="63"/>
      <c r="Y772" s="63">
        <v>4</v>
      </c>
      <c r="Z772" s="63">
        <v>1</v>
      </c>
      <c r="AA772" s="63"/>
      <c r="AB772" s="63"/>
      <c r="AC772" s="63"/>
      <c r="AD772" s="63"/>
      <c r="AE772" s="63">
        <v>0</v>
      </c>
      <c r="AF772" s="63"/>
      <c r="AG772" s="63"/>
      <c r="AH772" s="63"/>
      <c r="AI772" s="8"/>
      <c r="AJ772" s="63"/>
      <c r="AK772" s="63"/>
      <c r="AL772" s="63"/>
      <c r="AM772" s="63">
        <v>0</v>
      </c>
      <c r="AN772" s="63"/>
      <c r="AO772" s="63"/>
      <c r="AP772" s="63"/>
      <c r="AQ772" s="63"/>
      <c r="AR772" s="63"/>
      <c r="AS772" s="63"/>
      <c r="AT772" s="63"/>
      <c r="AU772" s="63"/>
      <c r="AW772" s="5">
        <f>IF(Q772&gt;0,RANK(Q772,(N772:P772,Q772:AE772)),0)</f>
        <v>3</v>
      </c>
      <c r="AX772" s="5">
        <f>IF(R772&gt;0,RANK(R772,(N772:P772,Q772:AE772)),0)</f>
        <v>5</v>
      </c>
      <c r="AY772" s="5">
        <f>IF(T772&gt;0,RANK(T772,(N772:P772,Q772:AE772)),0)</f>
        <v>0</v>
      </c>
      <c r="AZ772" s="5">
        <f>IF(S772&gt;0,RANK(S772,(N772:P772,Q772:AE772)),0)</f>
        <v>6</v>
      </c>
      <c r="BA772" s="2">
        <f t="shared" si="336"/>
        <v>4.9916983557388467E-2</v>
      </c>
      <c r="BB772" s="2">
        <f t="shared" si="337"/>
        <v>1.6067698569974828E-3</v>
      </c>
      <c r="BC772" s="2">
        <f t="shared" si="338"/>
        <v>0</v>
      </c>
      <c r="BD772" s="2">
        <f t="shared" si="339"/>
        <v>6.4270794279899313E-4</v>
      </c>
      <c r="BF772" t="s">
        <v>1049</v>
      </c>
      <c r="BG772" t="s">
        <v>148</v>
      </c>
      <c r="BJ772" s="114">
        <v>18</v>
      </c>
      <c r="BK772" s="116">
        <v>67</v>
      </c>
      <c r="BL772" s="120">
        <f t="shared" si="328"/>
        <v>18067</v>
      </c>
      <c r="BN772" s="5" t="s">
        <v>3154</v>
      </c>
      <c r="BR772" s="63"/>
      <c r="BY772" s="63">
        <f t="shared" si="327"/>
        <v>37342</v>
      </c>
      <c r="CA772" s="63">
        <v>588</v>
      </c>
      <c r="CB772" s="132"/>
      <c r="CD772" s="63">
        <v>0</v>
      </c>
      <c r="CE772" s="63">
        <v>0</v>
      </c>
      <c r="CF772" s="63">
        <v>0</v>
      </c>
      <c r="CG772" s="8">
        <v>0</v>
      </c>
      <c r="CH772" s="8">
        <v>0</v>
      </c>
      <c r="CI772" s="8">
        <v>0</v>
      </c>
    </row>
    <row r="773" spans="1:87" hidden="1" outlineLevel="1">
      <c r="A773" t="s">
        <v>2844</v>
      </c>
      <c r="B773" t="s">
        <v>148</v>
      </c>
      <c r="C773" s="1">
        <f t="shared" si="329"/>
        <v>16181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32">
        <f t="shared" si="330"/>
        <v>8143</v>
      </c>
      <c r="H773" s="137">
        <f t="shared" si="331"/>
        <v>0.5032445460725542</v>
      </c>
      <c r="I773" s="2"/>
      <c r="J773" s="2">
        <f t="shared" si="332"/>
        <v>0.21667387676905012</v>
      </c>
      <c r="K773" s="2">
        <f t="shared" si="333"/>
        <v>0.71991842284160434</v>
      </c>
      <c r="L773" s="2">
        <f t="shared" si="334"/>
        <v>0</v>
      </c>
      <c r="M773" s="2">
        <f t="shared" si="335"/>
        <v>6.3407700389345512E-2</v>
      </c>
      <c r="N773" s="63">
        <v>3506</v>
      </c>
      <c r="O773" s="63">
        <v>11649</v>
      </c>
      <c r="P773" s="63"/>
      <c r="Q773" s="63">
        <v>819</v>
      </c>
      <c r="R773" s="63">
        <v>31</v>
      </c>
      <c r="S773" s="63">
        <v>34</v>
      </c>
      <c r="T773" s="63">
        <v>0</v>
      </c>
      <c r="U773" s="63">
        <v>0</v>
      </c>
      <c r="V773" s="63"/>
      <c r="W773" s="63">
        <f>IF(Copyright!B$11=1,IF(CA773&gt;0,CA773-P773-SUM(R773:V773)-SUM(X773:AQ773),SUM(CB773:CI773)),SUM(CC773:CI773))</f>
        <v>140</v>
      </c>
      <c r="X773" s="63"/>
      <c r="Y773" s="63">
        <v>2</v>
      </c>
      <c r="Z773" s="63">
        <v>0</v>
      </c>
      <c r="AA773" s="63"/>
      <c r="AB773" s="63"/>
      <c r="AC773" s="63"/>
      <c r="AD773" s="63"/>
      <c r="AE773" s="63">
        <v>0</v>
      </c>
      <c r="AF773" s="63"/>
      <c r="AG773" s="63"/>
      <c r="AH773" s="63"/>
      <c r="AI773" s="8"/>
      <c r="AJ773" s="63"/>
      <c r="AK773" s="63"/>
      <c r="AL773" s="63"/>
      <c r="AM773" s="63">
        <v>0</v>
      </c>
      <c r="AN773" s="63"/>
      <c r="AO773" s="63"/>
      <c r="AP773" s="63"/>
      <c r="AQ773" s="63"/>
      <c r="AR773" s="63"/>
      <c r="AS773" s="63"/>
      <c r="AT773" s="63"/>
      <c r="AU773" s="63"/>
      <c r="AW773" s="5">
        <f>IF(Q773&gt;0,RANK(Q773,(N773:P773,Q773:AE773)),0)</f>
        <v>3</v>
      </c>
      <c r="AX773" s="5">
        <f>IF(R773&gt;0,RANK(R773,(N773:P773,Q773:AE773)),0)</f>
        <v>6</v>
      </c>
      <c r="AY773" s="5">
        <f>IF(T773&gt;0,RANK(T773,(N773:P773,Q773:AE773)),0)</f>
        <v>0</v>
      </c>
      <c r="AZ773" s="5">
        <f>IF(S773&gt;0,RANK(S773,(N773:P773,Q773:AE773)),0)</f>
        <v>5</v>
      </c>
      <c r="BA773" s="2">
        <f t="shared" si="336"/>
        <v>5.0614918731845995E-2</v>
      </c>
      <c r="BB773" s="2">
        <f t="shared" si="337"/>
        <v>1.9158272047463073E-3</v>
      </c>
      <c r="BC773" s="2">
        <f t="shared" si="338"/>
        <v>0</v>
      </c>
      <c r="BD773" s="2">
        <f t="shared" si="339"/>
        <v>2.1012298374636922E-3</v>
      </c>
      <c r="BF773" t="s">
        <v>2844</v>
      </c>
      <c r="BG773" t="s">
        <v>148</v>
      </c>
      <c r="BH773">
        <v>3</v>
      </c>
      <c r="BI773" s="1"/>
      <c r="BJ773" s="114">
        <v>18</v>
      </c>
      <c r="BK773" s="116">
        <v>69</v>
      </c>
      <c r="BL773" s="120">
        <f t="shared" si="328"/>
        <v>18069</v>
      </c>
      <c r="BM773" s="1"/>
      <c r="BN773" s="5" t="s">
        <v>3154</v>
      </c>
      <c r="BY773" s="63">
        <f t="shared" si="327"/>
        <v>16181</v>
      </c>
      <c r="CA773" s="63">
        <v>207</v>
      </c>
      <c r="CB773" s="132"/>
      <c r="CD773" s="63">
        <v>0</v>
      </c>
      <c r="CE773" s="63">
        <v>0</v>
      </c>
      <c r="CF773" s="63">
        <v>1</v>
      </c>
      <c r="CG773" s="8">
        <v>0</v>
      </c>
      <c r="CH773" s="8">
        <v>0</v>
      </c>
      <c r="CI773" s="8">
        <v>1</v>
      </c>
    </row>
    <row r="774" spans="1:87" hidden="1" outlineLevel="1">
      <c r="A774" t="s">
        <v>2921</v>
      </c>
      <c r="B774" t="s">
        <v>148</v>
      </c>
      <c r="C774" s="1">
        <f t="shared" si="329"/>
        <v>17667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32">
        <f t="shared" si="330"/>
        <v>9016</v>
      </c>
      <c r="H774" s="137">
        <f t="shared" si="331"/>
        <v>0.51032999377370236</v>
      </c>
      <c r="I774" s="2"/>
      <c r="J774" s="2">
        <f t="shared" si="332"/>
        <v>0.21752419765664799</v>
      </c>
      <c r="K774" s="2">
        <f t="shared" si="333"/>
        <v>0.72785419143035035</v>
      </c>
      <c r="L774" s="2">
        <f t="shared" si="334"/>
        <v>0</v>
      </c>
      <c r="M774" s="2">
        <f t="shared" si="335"/>
        <v>5.4621610913001661E-2</v>
      </c>
      <c r="N774" s="63">
        <v>3843</v>
      </c>
      <c r="O774" s="63">
        <v>12859</v>
      </c>
      <c r="P774" s="63"/>
      <c r="Q774" s="63">
        <v>832</v>
      </c>
      <c r="R774" s="63">
        <v>30</v>
      </c>
      <c r="S774" s="63">
        <v>8</v>
      </c>
      <c r="T774" s="63">
        <v>0</v>
      </c>
      <c r="U774" s="63">
        <v>1</v>
      </c>
      <c r="V774" s="63"/>
      <c r="W774" s="63">
        <f>IF(Copyright!B$11=1,IF(CA774&gt;0,CA774-P774-SUM(R774:V774)-SUM(X774:AQ774),SUM(CB774:CI774)),SUM(CC774:CI774))</f>
        <v>94</v>
      </c>
      <c r="X774" s="63"/>
      <c r="Y774" s="63">
        <v>0</v>
      </c>
      <c r="Z774" s="63">
        <v>0</v>
      </c>
      <c r="AA774" s="63"/>
      <c r="AB774" s="63"/>
      <c r="AC774" s="63"/>
      <c r="AD774" s="63"/>
      <c r="AE774" s="63">
        <v>0</v>
      </c>
      <c r="AF774" s="63"/>
      <c r="AG774" s="63"/>
      <c r="AH774" s="63"/>
      <c r="AI774" s="8"/>
      <c r="AJ774" s="63"/>
      <c r="AK774" s="63"/>
      <c r="AL774" s="63"/>
      <c r="AM774" s="63">
        <v>0</v>
      </c>
      <c r="AN774" s="63"/>
      <c r="AO774" s="63"/>
      <c r="AP774" s="63"/>
      <c r="AQ774" s="63"/>
      <c r="AR774" s="63"/>
      <c r="AS774" s="63"/>
      <c r="AT774" s="63"/>
      <c r="AU774" s="63"/>
      <c r="AW774" s="5">
        <f>IF(Q774&gt;0,RANK(Q774,(N774:P774,Q774:AE774)),0)</f>
        <v>3</v>
      </c>
      <c r="AX774" s="5">
        <f>IF(R774&gt;0,RANK(R774,(N774:P774,Q774:AE774)),0)</f>
        <v>5</v>
      </c>
      <c r="AY774" s="5">
        <f>IF(T774&gt;0,RANK(T774,(N774:P774,Q774:AE774)),0)</f>
        <v>0</v>
      </c>
      <c r="AZ774" s="5">
        <f>IF(S774&gt;0,RANK(S774,(N774:P774,Q774:AE774)),0)</f>
        <v>6</v>
      </c>
      <c r="BA774" s="2">
        <f t="shared" si="336"/>
        <v>4.7093451066961001E-2</v>
      </c>
      <c r="BB774" s="2">
        <f t="shared" si="337"/>
        <v>1.6980811682798438E-3</v>
      </c>
      <c r="BC774" s="2">
        <f t="shared" si="338"/>
        <v>0</v>
      </c>
      <c r="BD774" s="2">
        <f t="shared" si="339"/>
        <v>4.5282164487462501E-4</v>
      </c>
      <c r="BF774" t="s">
        <v>2921</v>
      </c>
      <c r="BG774" t="s">
        <v>148</v>
      </c>
      <c r="BH774">
        <v>9</v>
      </c>
      <c r="BI774" s="1"/>
      <c r="BJ774" s="114">
        <v>18</v>
      </c>
      <c r="BK774" s="116">
        <v>71</v>
      </c>
      <c r="BL774" s="120">
        <f t="shared" si="328"/>
        <v>18071</v>
      </c>
      <c r="BM774" s="1"/>
      <c r="BN774" s="5" t="s">
        <v>3154</v>
      </c>
      <c r="BY774" s="63">
        <f t="shared" si="327"/>
        <v>17667</v>
      </c>
      <c r="CA774" s="63">
        <v>133</v>
      </c>
      <c r="CB774" s="132"/>
      <c r="CD774" s="63">
        <v>0</v>
      </c>
      <c r="CE774" s="63">
        <v>0</v>
      </c>
      <c r="CF774" s="63">
        <v>0</v>
      </c>
      <c r="CG774" s="8">
        <v>0</v>
      </c>
      <c r="CH774" s="8">
        <v>0</v>
      </c>
      <c r="CI774" s="8">
        <v>0</v>
      </c>
    </row>
    <row r="775" spans="1:87" hidden="1" outlineLevel="1">
      <c r="A775" t="s">
        <v>1471</v>
      </c>
      <c r="B775" t="s">
        <v>148</v>
      </c>
      <c r="C775" s="1">
        <f t="shared" si="329"/>
        <v>13378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32">
        <f t="shared" si="330"/>
        <v>6053</v>
      </c>
      <c r="H775" s="137">
        <f t="shared" si="331"/>
        <v>0.4524592614740619</v>
      </c>
      <c r="I775" s="2"/>
      <c r="J775" s="2">
        <f t="shared" si="332"/>
        <v>0.24884138137240244</v>
      </c>
      <c r="K775" s="2">
        <f t="shared" si="333"/>
        <v>0.70130064284646432</v>
      </c>
      <c r="L775" s="2">
        <f t="shared" si="334"/>
        <v>0</v>
      </c>
      <c r="M775" s="2">
        <f t="shared" si="335"/>
        <v>4.9857975781133268E-2</v>
      </c>
      <c r="N775" s="63">
        <v>3329</v>
      </c>
      <c r="O775" s="63">
        <v>9382</v>
      </c>
      <c r="P775" s="63"/>
      <c r="Q775" s="63">
        <v>620</v>
      </c>
      <c r="R775" s="63">
        <v>33</v>
      </c>
      <c r="S775" s="63">
        <v>9</v>
      </c>
      <c r="T775" s="63">
        <v>0</v>
      </c>
      <c r="U775" s="63">
        <v>0</v>
      </c>
      <c r="V775" s="63"/>
      <c r="W775" s="63">
        <f>IF(Copyright!B$11=1,IF(CA775&gt;0,CA775-P775-SUM(R775:V775)-SUM(X775:AQ775),SUM(CB775:CI775)),SUM(CC775:CI775))</f>
        <v>2</v>
      </c>
      <c r="X775" s="63"/>
      <c r="Y775" s="63">
        <v>1</v>
      </c>
      <c r="Z775" s="63">
        <v>0</v>
      </c>
      <c r="AA775" s="63"/>
      <c r="AB775" s="63"/>
      <c r="AC775" s="63"/>
      <c r="AD775" s="63"/>
      <c r="AE775" s="63">
        <v>2</v>
      </c>
      <c r="AF775" s="63"/>
      <c r="AG775" s="63"/>
      <c r="AH775" s="63"/>
      <c r="AI775" s="8"/>
      <c r="AJ775" s="63"/>
      <c r="AK775" s="63"/>
      <c r="AL775" s="63"/>
      <c r="AM775" s="63">
        <v>0</v>
      </c>
      <c r="AN775" s="63"/>
      <c r="AO775" s="63"/>
      <c r="AP775" s="63"/>
      <c r="AQ775" s="63"/>
      <c r="AR775" s="63"/>
      <c r="AS775" s="63"/>
      <c r="AT775" s="63"/>
      <c r="AU775" s="63"/>
      <c r="AW775" s="5">
        <f>IF(Q775&gt;0,RANK(Q775,(N775:P775,Q775:AE775)),0)</f>
        <v>3</v>
      </c>
      <c r="AX775" s="5">
        <f>IF(R775&gt;0,RANK(R775,(N775:P775,Q775:AE775)),0)</f>
        <v>4</v>
      </c>
      <c r="AY775" s="5">
        <f>IF(T775&gt;0,RANK(T775,(N775:P775,Q775:AE775)),0)</f>
        <v>0</v>
      </c>
      <c r="AZ775" s="5">
        <f>IF(S775&gt;0,RANK(S775,(N775:P775,Q775:AE775)),0)</f>
        <v>5</v>
      </c>
      <c r="BA775" s="2">
        <f t="shared" si="336"/>
        <v>4.6344745103901928E-2</v>
      </c>
      <c r="BB775" s="2">
        <f t="shared" si="337"/>
        <v>2.4667364329496186E-3</v>
      </c>
      <c r="BC775" s="2">
        <f t="shared" si="338"/>
        <v>0</v>
      </c>
      <c r="BD775" s="2">
        <f t="shared" si="339"/>
        <v>6.7274629989535052E-4</v>
      </c>
      <c r="BF775" t="s">
        <v>1471</v>
      </c>
      <c r="BG775" t="s">
        <v>148</v>
      </c>
      <c r="BH775">
        <v>4</v>
      </c>
      <c r="BI775" s="1"/>
      <c r="BJ775" s="114">
        <v>18</v>
      </c>
      <c r="BK775" s="116">
        <v>73</v>
      </c>
      <c r="BL775" s="120">
        <f t="shared" si="328"/>
        <v>18073</v>
      </c>
      <c r="BM775" s="1"/>
      <c r="BN775" s="5" t="s">
        <v>3154</v>
      </c>
      <c r="BY775" s="63">
        <f t="shared" si="327"/>
        <v>13378</v>
      </c>
      <c r="CB775" s="132"/>
      <c r="CD775" s="63">
        <v>2</v>
      </c>
      <c r="CE775" s="63">
        <v>0</v>
      </c>
      <c r="CF775" s="63">
        <v>0</v>
      </c>
      <c r="CG775" s="8">
        <v>0</v>
      </c>
      <c r="CH775" s="8">
        <v>0</v>
      </c>
      <c r="CI775" s="8">
        <v>0</v>
      </c>
    </row>
    <row r="776" spans="1:87" hidden="1" outlineLevel="1">
      <c r="A776" t="s">
        <v>1924</v>
      </c>
      <c r="B776" t="s">
        <v>148</v>
      </c>
      <c r="C776" s="1">
        <f t="shared" si="329"/>
        <v>7986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32">
        <f t="shared" si="330"/>
        <v>3808</v>
      </c>
      <c r="H776" s="137">
        <f t="shared" si="331"/>
        <v>0.47683446030553467</v>
      </c>
      <c r="I776" s="2"/>
      <c r="J776" s="2">
        <f t="shared" si="332"/>
        <v>0.23653894315051341</v>
      </c>
      <c r="K776" s="2">
        <f t="shared" si="333"/>
        <v>0.71337340345604805</v>
      </c>
      <c r="L776" s="2">
        <f t="shared" si="334"/>
        <v>0</v>
      </c>
      <c r="M776" s="2">
        <f t="shared" si="335"/>
        <v>5.0087653393438569E-2</v>
      </c>
      <c r="N776" s="63">
        <v>1889</v>
      </c>
      <c r="O776" s="63">
        <v>5697</v>
      </c>
      <c r="P776" s="63"/>
      <c r="Q776" s="63">
        <v>376</v>
      </c>
      <c r="R776" s="63">
        <v>21</v>
      </c>
      <c r="S776" s="63">
        <v>3</v>
      </c>
      <c r="T776" s="63">
        <v>0</v>
      </c>
      <c r="U776" s="63">
        <v>0</v>
      </c>
      <c r="V776" s="63"/>
      <c r="W776" s="63">
        <f>IF(Copyright!B$11=1,IF(CA776&gt;0,CA776-P776-SUM(R776:V776)-SUM(X776:AQ776),SUM(CB776:CI776)),SUM(CC776:CI776))</f>
        <v>0</v>
      </c>
      <c r="X776" s="63"/>
      <c r="Y776" s="63">
        <v>0</v>
      </c>
      <c r="Z776" s="63">
        <v>0</v>
      </c>
      <c r="AA776" s="63"/>
      <c r="AB776" s="63"/>
      <c r="AC776" s="63"/>
      <c r="AD776" s="63"/>
      <c r="AE776" s="63">
        <v>0</v>
      </c>
      <c r="AF776" s="63"/>
      <c r="AG776" s="63"/>
      <c r="AH776" s="63"/>
      <c r="AI776" s="8"/>
      <c r="AJ776" s="63"/>
      <c r="AK776" s="63"/>
      <c r="AL776" s="63"/>
      <c r="AM776" s="63">
        <v>0</v>
      </c>
      <c r="AN776" s="63"/>
      <c r="AO776" s="63"/>
      <c r="AP776" s="63"/>
      <c r="AQ776" s="63"/>
      <c r="AR776" s="63"/>
      <c r="AS776" s="63"/>
      <c r="AT776" s="63"/>
      <c r="AU776" s="63"/>
      <c r="AW776" s="5">
        <f>IF(Q776&gt;0,RANK(Q776,(N776:P776,Q776:AE776)),0)</f>
        <v>3</v>
      </c>
      <c r="AX776" s="5">
        <f>IF(R776&gt;0,RANK(R776,(N776:P776,Q776:AE776)),0)</f>
        <v>4</v>
      </c>
      <c r="AY776" s="5">
        <f>IF(T776&gt;0,RANK(T776,(N776:P776,Q776:AE776)),0)</f>
        <v>0</v>
      </c>
      <c r="AZ776" s="5">
        <f>IF(S776&gt;0,RANK(S776,(N776:P776,Q776:AE776)),0)</f>
        <v>5</v>
      </c>
      <c r="BA776" s="2">
        <f t="shared" si="336"/>
        <v>4.7082394189832205E-2</v>
      </c>
      <c r="BB776" s="2">
        <f t="shared" si="337"/>
        <v>2.6296018031555222E-3</v>
      </c>
      <c r="BC776" s="2">
        <f t="shared" si="338"/>
        <v>0</v>
      </c>
      <c r="BD776" s="2">
        <f t="shared" si="339"/>
        <v>3.756574004507889E-4</v>
      </c>
      <c r="BF776" t="s">
        <v>1924</v>
      </c>
      <c r="BG776" t="s">
        <v>148</v>
      </c>
      <c r="BH776">
        <v>3</v>
      </c>
      <c r="BI776" s="1"/>
      <c r="BJ776" s="114">
        <v>18</v>
      </c>
      <c r="BK776" s="116">
        <v>75</v>
      </c>
      <c r="BL776" s="120">
        <f t="shared" si="328"/>
        <v>18075</v>
      </c>
      <c r="BM776" s="1"/>
      <c r="BN776" s="5" t="s">
        <v>3154</v>
      </c>
      <c r="BY776" s="63">
        <f t="shared" si="327"/>
        <v>7986</v>
      </c>
      <c r="CB776" s="132"/>
      <c r="CD776" s="63">
        <v>0</v>
      </c>
      <c r="CE776" s="63">
        <v>0</v>
      </c>
      <c r="CF776" s="63">
        <v>0</v>
      </c>
      <c r="CG776" s="8">
        <v>0</v>
      </c>
      <c r="CH776" s="8">
        <v>0</v>
      </c>
      <c r="CI776" s="8">
        <v>0</v>
      </c>
    </row>
    <row r="777" spans="1:87" hidden="1" outlineLevel="1">
      <c r="A777" t="s">
        <v>1092</v>
      </c>
      <c r="B777" t="s">
        <v>148</v>
      </c>
      <c r="C777" s="1">
        <f t="shared" si="329"/>
        <v>13653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32">
        <f t="shared" si="330"/>
        <v>4220</v>
      </c>
      <c r="H777" s="137">
        <f t="shared" si="331"/>
        <v>0.30908957738226028</v>
      </c>
      <c r="I777" s="2"/>
      <c r="J777" s="2">
        <f t="shared" si="332"/>
        <v>0.31685343880465833</v>
      </c>
      <c r="K777" s="2">
        <f t="shared" si="333"/>
        <v>0.62594301618691861</v>
      </c>
      <c r="L777" s="2">
        <f t="shared" si="334"/>
        <v>0</v>
      </c>
      <c r="M777" s="2">
        <f t="shared" si="335"/>
        <v>5.7203545008423062E-2</v>
      </c>
      <c r="N777" s="63">
        <v>4326</v>
      </c>
      <c r="O777" s="63">
        <v>8546</v>
      </c>
      <c r="P777" s="63"/>
      <c r="Q777" s="63">
        <v>598</v>
      </c>
      <c r="R777" s="63">
        <v>33</v>
      </c>
      <c r="S777" s="63">
        <v>1</v>
      </c>
      <c r="T777" s="63">
        <v>0</v>
      </c>
      <c r="U777" s="63">
        <v>0</v>
      </c>
      <c r="V777" s="63"/>
      <c r="W777" s="63">
        <f>IF(Copyright!B$11=1,IF(CA777&gt;0,CA777-P777-SUM(R777:V777)-SUM(X777:AQ777),SUM(CB777:CI777)),SUM(CC777:CI777))</f>
        <v>149</v>
      </c>
      <c r="X777" s="63"/>
      <c r="Y777" s="63">
        <v>0</v>
      </c>
      <c r="Z777" s="63">
        <v>0</v>
      </c>
      <c r="AA777" s="63"/>
      <c r="AB777" s="63"/>
      <c r="AC777" s="63"/>
      <c r="AD777" s="63"/>
      <c r="AE777" s="63">
        <v>0</v>
      </c>
      <c r="AF777" s="63"/>
      <c r="AG777" s="63"/>
      <c r="AH777" s="63"/>
      <c r="AI777" s="8"/>
      <c r="AJ777" s="63"/>
      <c r="AK777" s="63"/>
      <c r="AL777" s="63"/>
      <c r="AM777" s="63">
        <v>0</v>
      </c>
      <c r="AN777" s="63"/>
      <c r="AO777" s="63"/>
      <c r="AP777" s="63"/>
      <c r="AQ777" s="63"/>
      <c r="AR777" s="63"/>
      <c r="AS777" s="63"/>
      <c r="AT777" s="63"/>
      <c r="AU777" s="63"/>
      <c r="AW777" s="5">
        <f>IF(Q777&gt;0,RANK(Q777,(N777:P777,Q777:AE777)),0)</f>
        <v>3</v>
      </c>
      <c r="AX777" s="5">
        <f>IF(R777&gt;0,RANK(R777,(N777:P777,Q777:AE777)),0)</f>
        <v>5</v>
      </c>
      <c r="AY777" s="5">
        <f>IF(T777&gt;0,RANK(T777,(N777:P777,Q777:AE777)),0)</f>
        <v>0</v>
      </c>
      <c r="AZ777" s="5">
        <f>IF(S777&gt;0,RANK(S777,(N777:P777,Q777:AE777)),0)</f>
        <v>6</v>
      </c>
      <c r="BA777" s="2">
        <f t="shared" si="336"/>
        <v>4.3799897458434045E-2</v>
      </c>
      <c r="BB777" s="2">
        <f t="shared" si="337"/>
        <v>2.4170511975390024E-3</v>
      </c>
      <c r="BC777" s="2">
        <f t="shared" si="338"/>
        <v>0</v>
      </c>
      <c r="BD777" s="2">
        <f t="shared" si="339"/>
        <v>7.3243975683000067E-5</v>
      </c>
      <c r="BF777" t="s">
        <v>1092</v>
      </c>
      <c r="BG777" t="s">
        <v>148</v>
      </c>
      <c r="BH777">
        <v>6</v>
      </c>
      <c r="BJ777" s="114">
        <v>18</v>
      </c>
      <c r="BK777" s="116">
        <v>77</v>
      </c>
      <c r="BL777" s="120">
        <f t="shared" si="328"/>
        <v>18077</v>
      </c>
      <c r="BN777" s="5" t="s">
        <v>3154</v>
      </c>
      <c r="BY777" s="63">
        <f t="shared" si="327"/>
        <v>13653</v>
      </c>
      <c r="CA777" s="63">
        <v>183</v>
      </c>
      <c r="CB777" s="132"/>
      <c r="CD777" s="63">
        <v>0</v>
      </c>
      <c r="CE777" s="63">
        <v>0</v>
      </c>
      <c r="CF777" s="63">
        <v>40</v>
      </c>
      <c r="CG777" s="8">
        <v>0</v>
      </c>
      <c r="CH777" s="8">
        <v>0</v>
      </c>
      <c r="CI777" s="8">
        <v>0</v>
      </c>
    </row>
    <row r="778" spans="1:87" hidden="1" outlineLevel="1">
      <c r="A778" t="s">
        <v>1728</v>
      </c>
      <c r="B778" t="s">
        <v>148</v>
      </c>
      <c r="C778" s="1">
        <f t="shared" si="329"/>
        <v>11150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32">
        <f t="shared" si="330"/>
        <v>5860</v>
      </c>
      <c r="H778" s="137">
        <f t="shared" si="331"/>
        <v>0.52556053811659198</v>
      </c>
      <c r="I778" s="2"/>
      <c r="J778" s="2">
        <f t="shared" si="332"/>
        <v>0.21201793721973095</v>
      </c>
      <c r="K778" s="2">
        <f t="shared" si="333"/>
        <v>0.73757847533632293</v>
      </c>
      <c r="L778" s="2">
        <f t="shared" si="334"/>
        <v>0</v>
      </c>
      <c r="M778" s="2">
        <f t="shared" si="335"/>
        <v>5.040358744394613E-2</v>
      </c>
      <c r="N778" s="63">
        <v>2364</v>
      </c>
      <c r="O778" s="63">
        <v>8224</v>
      </c>
      <c r="P778" s="63"/>
      <c r="Q778" s="63">
        <v>529</v>
      </c>
      <c r="R778" s="63">
        <v>16</v>
      </c>
      <c r="S778" s="63">
        <v>13</v>
      </c>
      <c r="T778" s="63">
        <v>0</v>
      </c>
      <c r="U778" s="63">
        <v>0</v>
      </c>
      <c r="V778" s="63"/>
      <c r="W778" s="63">
        <f>IF(Copyright!B$11=1,IF(CA778&gt;0,CA778-P778-SUM(R778:V778)-SUM(X778:AQ778),SUM(CB778:CI778)),SUM(CC778:CI778))</f>
        <v>3</v>
      </c>
      <c r="X778" s="63"/>
      <c r="Y778" s="63">
        <v>0</v>
      </c>
      <c r="Z778" s="63">
        <v>0</v>
      </c>
      <c r="AA778" s="63"/>
      <c r="AB778" s="63"/>
      <c r="AC778" s="63"/>
      <c r="AD778" s="63"/>
      <c r="AE778" s="63">
        <v>0</v>
      </c>
      <c r="AF778" s="63"/>
      <c r="AG778" s="63"/>
      <c r="AH778" s="63"/>
      <c r="AI778" s="8"/>
      <c r="AJ778" s="63"/>
      <c r="AK778" s="63"/>
      <c r="AL778" s="63"/>
      <c r="AM778" s="63">
        <v>1</v>
      </c>
      <c r="AN778" s="63"/>
      <c r="AO778" s="63"/>
      <c r="AP778" s="63"/>
      <c r="AQ778" s="63"/>
      <c r="AR778" s="63"/>
      <c r="AS778" s="63"/>
      <c r="AT778" s="63"/>
      <c r="AU778" s="63"/>
      <c r="AW778" s="5">
        <f>IF(Q778&gt;0,RANK(Q778,(N778:P778,Q778:AE778)),0)</f>
        <v>3</v>
      </c>
      <c r="AX778" s="5">
        <f>IF(R778&gt;0,RANK(R778,(N778:P778,Q778:AE778)),0)</f>
        <v>4</v>
      </c>
      <c r="AY778" s="5">
        <f>IF(T778&gt;0,RANK(T778,(N778:P778,Q778:AE778)),0)</f>
        <v>0</v>
      </c>
      <c r="AZ778" s="5">
        <f>IF(S778&gt;0,RANK(S778,(N778:P778,Q778:AE778)),0)</f>
        <v>5</v>
      </c>
      <c r="BA778" s="2">
        <f t="shared" si="336"/>
        <v>4.7443946188340809E-2</v>
      </c>
      <c r="BB778" s="2">
        <f t="shared" si="337"/>
        <v>1.4349775784753362E-3</v>
      </c>
      <c r="BC778" s="2">
        <f t="shared" si="338"/>
        <v>0</v>
      </c>
      <c r="BD778" s="2">
        <f t="shared" si="339"/>
        <v>1.1659192825112107E-3</v>
      </c>
      <c r="BF778" t="s">
        <v>1728</v>
      </c>
      <c r="BG778" t="s">
        <v>148</v>
      </c>
      <c r="BH778">
        <v>6</v>
      </c>
      <c r="BJ778" s="114">
        <v>18</v>
      </c>
      <c r="BK778" s="116">
        <v>79</v>
      </c>
      <c r="BL778" s="120">
        <f t="shared" si="328"/>
        <v>18079</v>
      </c>
      <c r="BN778" s="5" t="s">
        <v>3154</v>
      </c>
      <c r="BY778" s="63">
        <f t="shared" si="327"/>
        <v>11150</v>
      </c>
      <c r="CB778" s="132"/>
      <c r="CD778" s="63">
        <v>0</v>
      </c>
      <c r="CE778" s="63">
        <v>0</v>
      </c>
      <c r="CF778" s="63">
        <v>2</v>
      </c>
      <c r="CG778" s="8">
        <v>0</v>
      </c>
      <c r="CH778" s="8">
        <v>0</v>
      </c>
      <c r="CI778" s="8">
        <v>1</v>
      </c>
    </row>
    <row r="779" spans="1:87" hidden="1" outlineLevel="1">
      <c r="A779" t="s">
        <v>1361</v>
      </c>
      <c r="B779" t="s">
        <v>148</v>
      </c>
      <c r="C779" s="1">
        <f t="shared" si="329"/>
        <v>67147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32">
        <f t="shared" si="330"/>
        <v>28138</v>
      </c>
      <c r="H779" s="137">
        <f t="shared" si="331"/>
        <v>0.41905073942246118</v>
      </c>
      <c r="I779" s="2"/>
      <c r="J779" s="2">
        <f t="shared" si="332"/>
        <v>0.25791174587099946</v>
      </c>
      <c r="K779" s="2">
        <f t="shared" si="333"/>
        <v>0.67696248529346059</v>
      </c>
      <c r="L779" s="2">
        <f t="shared" si="334"/>
        <v>0</v>
      </c>
      <c r="M779" s="2">
        <f t="shared" si="335"/>
        <v>6.5125768835539999E-2</v>
      </c>
      <c r="N779" s="63">
        <v>17318</v>
      </c>
      <c r="O779" s="63">
        <v>45456</v>
      </c>
      <c r="P779" s="63"/>
      <c r="Q779" s="63">
        <v>3455</v>
      </c>
      <c r="R779" s="63">
        <v>211</v>
      </c>
      <c r="S779" s="63">
        <v>40</v>
      </c>
      <c r="T779" s="63">
        <v>0</v>
      </c>
      <c r="U779" s="63">
        <v>0</v>
      </c>
      <c r="V779" s="63"/>
      <c r="W779" s="63">
        <f>IF(Copyright!B$11=1,IF(CA779&gt;0,CA779-P779-SUM(R779:V779)-SUM(X779:AQ779),SUM(CB779:CI779)),SUM(CC779:CI779))</f>
        <v>653</v>
      </c>
      <c r="X779" s="63"/>
      <c r="Y779" s="63">
        <v>11</v>
      </c>
      <c r="Z779" s="63">
        <v>2</v>
      </c>
      <c r="AA779" s="63"/>
      <c r="AB779" s="63"/>
      <c r="AC779" s="63"/>
      <c r="AD779" s="63"/>
      <c r="AE779" s="63">
        <v>1</v>
      </c>
      <c r="AF779" s="63"/>
      <c r="AG779" s="63"/>
      <c r="AH779" s="63"/>
      <c r="AI779" s="8"/>
      <c r="AJ779" s="63"/>
      <c r="AK779" s="63"/>
      <c r="AL779" s="63"/>
      <c r="AM779" s="63">
        <v>0</v>
      </c>
      <c r="AN779" s="63"/>
      <c r="AO779" s="63"/>
      <c r="AP779" s="63"/>
      <c r="AQ779" s="63"/>
      <c r="AR779" s="63"/>
      <c r="AS779" s="63"/>
      <c r="AT779" s="63"/>
      <c r="AU779" s="63"/>
      <c r="AW779" s="5">
        <f>IF(Q779&gt;0,RANK(Q779,(N779:P779,Q779:AE779)),0)</f>
        <v>3</v>
      </c>
      <c r="AX779" s="5">
        <f>IF(R779&gt;0,RANK(R779,(N779:P779,Q779:AE779)),0)</f>
        <v>5</v>
      </c>
      <c r="AY779" s="5">
        <f>IF(T779&gt;0,RANK(T779,(N779:P779,Q779:AE779)),0)</f>
        <v>0</v>
      </c>
      <c r="AZ779" s="5">
        <f>IF(S779&gt;0,RANK(S779,(N779:P779,Q779:AE779)),0)</f>
        <v>6</v>
      </c>
      <c r="BA779" s="2">
        <f t="shared" si="336"/>
        <v>5.1454271970452888E-2</v>
      </c>
      <c r="BB779" s="2">
        <f t="shared" si="337"/>
        <v>3.1423593012346045E-3</v>
      </c>
      <c r="BC779" s="2">
        <f t="shared" si="338"/>
        <v>0</v>
      </c>
      <c r="BD779" s="2">
        <f t="shared" si="339"/>
        <v>5.9570792440466437E-4</v>
      </c>
      <c r="BF779" t="s">
        <v>1361</v>
      </c>
      <c r="BG779" t="s">
        <v>148</v>
      </c>
      <c r="BH779">
        <v>9</v>
      </c>
      <c r="BJ779" s="114">
        <v>18</v>
      </c>
      <c r="BK779" s="116">
        <v>81</v>
      </c>
      <c r="BL779" s="120">
        <f t="shared" si="328"/>
        <v>18081</v>
      </c>
      <c r="BN779" s="5" t="s">
        <v>3154</v>
      </c>
      <c r="BY779" s="63">
        <f t="shared" si="327"/>
        <v>67147</v>
      </c>
      <c r="CA779" s="63">
        <v>918</v>
      </c>
      <c r="CB779" s="132"/>
      <c r="CD779" s="63">
        <v>0</v>
      </c>
      <c r="CE779" s="63">
        <v>0</v>
      </c>
      <c r="CF779" s="63">
        <v>1</v>
      </c>
      <c r="CG779" s="8">
        <v>2</v>
      </c>
      <c r="CH779" s="8">
        <v>0</v>
      </c>
      <c r="CI779" s="8">
        <v>3</v>
      </c>
    </row>
    <row r="780" spans="1:87" hidden="1" outlineLevel="1">
      <c r="A780" t="s">
        <v>1729</v>
      </c>
      <c r="B780" t="s">
        <v>148</v>
      </c>
      <c r="C780" s="1">
        <f t="shared" si="329"/>
        <v>15516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32">
        <f t="shared" si="330"/>
        <v>7305</v>
      </c>
      <c r="H780" s="137">
        <f t="shared" si="331"/>
        <v>0.47080433101314773</v>
      </c>
      <c r="I780" s="2"/>
      <c r="J780" s="2">
        <f t="shared" si="332"/>
        <v>0.24310389275586491</v>
      </c>
      <c r="K780" s="2">
        <f t="shared" si="333"/>
        <v>0.71390822376901264</v>
      </c>
      <c r="L780" s="2">
        <f t="shared" si="334"/>
        <v>0</v>
      </c>
      <c r="M780" s="2">
        <f t="shared" si="335"/>
        <v>4.2987883475122501E-2</v>
      </c>
      <c r="N780" s="63">
        <v>3772</v>
      </c>
      <c r="O780" s="63">
        <v>11077</v>
      </c>
      <c r="P780" s="63"/>
      <c r="Q780" s="63">
        <v>634</v>
      </c>
      <c r="R780" s="63">
        <v>26</v>
      </c>
      <c r="S780" s="63">
        <v>7</v>
      </c>
      <c r="T780" s="63">
        <v>0</v>
      </c>
      <c r="U780" s="63">
        <v>0</v>
      </c>
      <c r="V780" s="63"/>
      <c r="W780" s="63">
        <f>IF(Copyright!B$11=1,IF(CA780&gt;0,CA780-P780-SUM(R780:V780)-SUM(X780:AQ780),SUM(CB780:CI780)),SUM(CC780:CI780))</f>
        <v>0</v>
      </c>
      <c r="X780" s="63"/>
      <c r="Y780" s="63">
        <v>0</v>
      </c>
      <c r="Z780" s="63">
        <v>0</v>
      </c>
      <c r="AA780" s="63"/>
      <c r="AB780" s="63"/>
      <c r="AC780" s="63"/>
      <c r="AD780" s="63"/>
      <c r="AE780" s="63">
        <v>0</v>
      </c>
      <c r="AF780" s="63"/>
      <c r="AG780" s="63"/>
      <c r="AH780" s="63"/>
      <c r="AI780" s="8"/>
      <c r="AJ780" s="63"/>
      <c r="AK780" s="63"/>
      <c r="AL780" s="63"/>
      <c r="AM780" s="63">
        <v>0</v>
      </c>
      <c r="AN780" s="63"/>
      <c r="AO780" s="63"/>
      <c r="AP780" s="63"/>
      <c r="AQ780" s="63"/>
      <c r="AR780" s="63"/>
      <c r="AS780" s="63"/>
      <c r="AT780" s="63"/>
      <c r="AU780" s="63"/>
      <c r="AW780" s="5">
        <f>IF(Q780&gt;0,RANK(Q780,(N780:P780,Q780:AE780)),0)</f>
        <v>3</v>
      </c>
      <c r="AX780" s="5">
        <f>IF(R780&gt;0,RANK(R780,(N780:P780,Q780:AE780)),0)</f>
        <v>4</v>
      </c>
      <c r="AY780" s="5">
        <f>IF(T780&gt;0,RANK(T780,(N780:P780,Q780:AE780)),0)</f>
        <v>0</v>
      </c>
      <c r="AZ780" s="5">
        <f>IF(S780&gt;0,RANK(S780,(N780:P780,Q780:AE780)),0)</f>
        <v>5</v>
      </c>
      <c r="BA780" s="2">
        <f t="shared" si="336"/>
        <v>4.0861046661510698E-2</v>
      </c>
      <c r="BB780" s="2">
        <f t="shared" si="337"/>
        <v>1.6756896107244135E-3</v>
      </c>
      <c r="BC780" s="2">
        <f t="shared" si="338"/>
        <v>0</v>
      </c>
      <c r="BD780" s="2">
        <f t="shared" si="339"/>
        <v>4.5114720288734212E-4</v>
      </c>
      <c r="BF780" t="s">
        <v>1729</v>
      </c>
      <c r="BG780" t="s">
        <v>148</v>
      </c>
      <c r="BH780">
        <v>8</v>
      </c>
      <c r="BJ780" s="114">
        <v>18</v>
      </c>
      <c r="BK780" s="116">
        <v>83</v>
      </c>
      <c r="BL780" s="120">
        <f t="shared" si="328"/>
        <v>18083</v>
      </c>
      <c r="BN780" s="5" t="s">
        <v>3154</v>
      </c>
      <c r="BY780" s="63">
        <f t="shared" si="327"/>
        <v>15516</v>
      </c>
      <c r="CB780" s="132"/>
      <c r="CD780" s="63">
        <v>0</v>
      </c>
      <c r="CE780" s="63">
        <v>0</v>
      </c>
      <c r="CF780" s="63">
        <v>0</v>
      </c>
      <c r="CG780" s="8">
        <v>0</v>
      </c>
      <c r="CH780" s="8">
        <v>0</v>
      </c>
      <c r="CI780" s="8">
        <v>0</v>
      </c>
    </row>
    <row r="781" spans="1:87" hidden="1" outlineLevel="1">
      <c r="A781" t="s">
        <v>1633</v>
      </c>
      <c r="B781" t="s">
        <v>148</v>
      </c>
      <c r="C781" s="1">
        <f t="shared" si="329"/>
        <v>32441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32">
        <f t="shared" si="330"/>
        <v>17622</v>
      </c>
      <c r="H781" s="137">
        <f t="shared" si="331"/>
        <v>0.54320150426928882</v>
      </c>
      <c r="I781" s="2"/>
      <c r="J781" s="2">
        <f t="shared" si="332"/>
        <v>0.19459942665145957</v>
      </c>
      <c r="K781" s="2">
        <f t="shared" si="333"/>
        <v>0.73780093092074839</v>
      </c>
      <c r="L781" s="2">
        <f t="shared" si="334"/>
        <v>0</v>
      </c>
      <c r="M781" s="2">
        <f t="shared" si="335"/>
        <v>6.7599642427792039E-2</v>
      </c>
      <c r="N781" s="63">
        <v>6313</v>
      </c>
      <c r="O781" s="63">
        <v>23935</v>
      </c>
      <c r="P781" s="63"/>
      <c r="Q781" s="63">
        <v>1687</v>
      </c>
      <c r="R781" s="63">
        <v>60</v>
      </c>
      <c r="S781" s="63">
        <v>67</v>
      </c>
      <c r="T781" s="63">
        <v>0</v>
      </c>
      <c r="U781" s="63">
        <v>0</v>
      </c>
      <c r="V781" s="63"/>
      <c r="W781" s="63">
        <f>IF(Copyright!B$11=1,IF(CA781&gt;0,CA781-P781-SUM(R781:V781)-SUM(X781:AQ781),SUM(CB781:CI781)),SUM(CC781:CI781))</f>
        <v>360</v>
      </c>
      <c r="X781" s="63"/>
      <c r="Y781" s="63">
        <v>16</v>
      </c>
      <c r="Z781" s="63">
        <v>0</v>
      </c>
      <c r="AA781" s="63"/>
      <c r="AB781" s="63"/>
      <c r="AC781" s="63"/>
      <c r="AD781" s="63"/>
      <c r="AE781" s="63">
        <v>3</v>
      </c>
      <c r="AF781" s="63"/>
      <c r="AG781" s="63"/>
      <c r="AH781" s="63"/>
      <c r="AI781" s="8"/>
      <c r="AJ781" s="63"/>
      <c r="AK781" s="63"/>
      <c r="AL781" s="63"/>
      <c r="AM781" s="63">
        <v>0</v>
      </c>
      <c r="AN781" s="63"/>
      <c r="AO781" s="63"/>
      <c r="AP781" s="63"/>
      <c r="AQ781" s="63"/>
      <c r="AR781" s="63"/>
      <c r="AS781" s="63"/>
      <c r="AT781" s="63"/>
      <c r="AU781" s="63"/>
      <c r="AW781" s="5">
        <f>IF(Q781&gt;0,RANK(Q781,(N781:P781,Q781:AE781)),0)</f>
        <v>3</v>
      </c>
      <c r="AX781" s="5">
        <f>IF(R781&gt;0,RANK(R781,(N781:P781,Q781:AE781)),0)</f>
        <v>6</v>
      </c>
      <c r="AY781" s="5">
        <f>IF(T781&gt;0,RANK(T781,(N781:P781,Q781:AE781)),0)</f>
        <v>0</v>
      </c>
      <c r="AZ781" s="5">
        <f>IF(S781&gt;0,RANK(S781,(N781:P781,Q781:AE781)),0)</f>
        <v>5</v>
      </c>
      <c r="BA781" s="2">
        <f t="shared" si="336"/>
        <v>5.2002096112943499E-2</v>
      </c>
      <c r="BB781" s="2">
        <f t="shared" si="337"/>
        <v>1.8495114207330229E-3</v>
      </c>
      <c r="BC781" s="2">
        <f t="shared" si="338"/>
        <v>0</v>
      </c>
      <c r="BD781" s="2">
        <f t="shared" si="339"/>
        <v>2.0652877531518758E-3</v>
      </c>
      <c r="BF781" t="s">
        <v>1633</v>
      </c>
      <c r="BG781" t="s">
        <v>148</v>
      </c>
      <c r="BJ781" s="114">
        <v>18</v>
      </c>
      <c r="BK781" s="116">
        <v>85</v>
      </c>
      <c r="BL781" s="120">
        <f t="shared" si="328"/>
        <v>18085</v>
      </c>
      <c r="BN781" s="5" t="s">
        <v>3154</v>
      </c>
      <c r="BY781" s="63">
        <f t="shared" si="327"/>
        <v>32441</v>
      </c>
      <c r="CA781" s="63">
        <v>506</v>
      </c>
      <c r="CB781" s="132"/>
      <c r="CD781" s="63">
        <v>0</v>
      </c>
      <c r="CE781" s="63">
        <v>0</v>
      </c>
      <c r="CF781" s="63">
        <v>0</v>
      </c>
      <c r="CG781" s="8">
        <v>0</v>
      </c>
      <c r="CH781" s="8">
        <v>0</v>
      </c>
      <c r="CI781" s="8">
        <v>3</v>
      </c>
    </row>
    <row r="782" spans="1:87" hidden="1" outlineLevel="1">
      <c r="A782" t="s">
        <v>608</v>
      </c>
      <c r="B782" t="s">
        <v>148</v>
      </c>
      <c r="C782" s="1">
        <f t="shared" si="329"/>
        <v>9566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>IF(P782&gt;0,RANK(P782,(N782:P782,Q782:AE782)),0)</f>
        <v>0</v>
      </c>
      <c r="G782" s="132">
        <f t="shared" si="330"/>
        <v>4945</v>
      </c>
      <c r="H782" s="137">
        <f t="shared" si="331"/>
        <v>0.51693497804725064</v>
      </c>
      <c r="I782" s="2"/>
      <c r="J782" s="2">
        <f t="shared" si="332"/>
        <v>0.21743675517457661</v>
      </c>
      <c r="K782" s="2">
        <f t="shared" si="333"/>
        <v>0.73437173322182725</v>
      </c>
      <c r="L782" s="2">
        <f t="shared" si="334"/>
        <v>0</v>
      </c>
      <c r="M782" s="2">
        <f t="shared" si="335"/>
        <v>4.8191511603596138E-2</v>
      </c>
      <c r="N782" s="63">
        <v>2080</v>
      </c>
      <c r="O782" s="63">
        <v>7025</v>
      </c>
      <c r="P782" s="63"/>
      <c r="Q782" s="63">
        <v>447</v>
      </c>
      <c r="R782" s="63">
        <v>7</v>
      </c>
      <c r="S782" s="63">
        <v>5</v>
      </c>
      <c r="T782" s="63">
        <v>0</v>
      </c>
      <c r="U782" s="63">
        <v>0</v>
      </c>
      <c r="V782" s="63"/>
      <c r="W782" s="63">
        <f>IF(Copyright!B$11=1,IF(CA782&gt;0,CA782-P782-SUM(R782:V782)-SUM(X782:AQ782),SUM(CB782:CI782)),SUM(CC782:CI782))</f>
        <v>1</v>
      </c>
      <c r="X782" s="63"/>
      <c r="Y782" s="63">
        <v>0</v>
      </c>
      <c r="Z782" s="63">
        <v>0</v>
      </c>
      <c r="AA782" s="63"/>
      <c r="AB782" s="63"/>
      <c r="AC782" s="63"/>
      <c r="AD782" s="63"/>
      <c r="AE782" s="63">
        <v>0</v>
      </c>
      <c r="AF782" s="63"/>
      <c r="AG782" s="63"/>
      <c r="AH782" s="63"/>
      <c r="AI782" s="8"/>
      <c r="AJ782" s="63"/>
      <c r="AK782" s="63"/>
      <c r="AL782" s="63"/>
      <c r="AM782" s="63">
        <v>1</v>
      </c>
      <c r="AN782" s="63"/>
      <c r="AO782" s="63"/>
      <c r="AP782" s="63"/>
      <c r="AQ782" s="63"/>
      <c r="AR782" s="63"/>
      <c r="AS782" s="63"/>
      <c r="AT782" s="63"/>
      <c r="AU782" s="63"/>
      <c r="AW782" s="5">
        <f>IF(Q782&gt;0,RANK(Q782,(N782:P782,Q782:AE782)),0)</f>
        <v>3</v>
      </c>
      <c r="AX782" s="5">
        <f>IF(R782&gt;0,RANK(R782,(N782:P782,Q782:AE782)),0)</f>
        <v>4</v>
      </c>
      <c r="AY782" s="5">
        <f>IF(T782&gt;0,RANK(T782,(N782:P782,Q782:AE782)),0)</f>
        <v>0</v>
      </c>
      <c r="AZ782" s="5">
        <f>IF(S782&gt;0,RANK(S782,(N782:P782,Q782:AE782)),0)</f>
        <v>5</v>
      </c>
      <c r="BA782" s="2">
        <f t="shared" si="336"/>
        <v>4.6727994982228724E-2</v>
      </c>
      <c r="BB782" s="2">
        <f t="shared" si="337"/>
        <v>7.3175831068367139E-4</v>
      </c>
      <c r="BC782" s="2">
        <f t="shared" si="338"/>
        <v>0</v>
      </c>
      <c r="BD782" s="2">
        <f t="shared" si="339"/>
        <v>5.2268450763119385E-4</v>
      </c>
      <c r="BF782" t="s">
        <v>608</v>
      </c>
      <c r="BG782" t="s">
        <v>148</v>
      </c>
      <c r="BH782">
        <v>3</v>
      </c>
      <c r="BJ782" s="114">
        <v>18</v>
      </c>
      <c r="BK782" s="116">
        <v>87</v>
      </c>
      <c r="BL782" s="120">
        <f t="shared" si="328"/>
        <v>18087</v>
      </c>
      <c r="BN782" s="5" t="s">
        <v>3154</v>
      </c>
      <c r="BY782" s="63">
        <f t="shared" si="327"/>
        <v>9566</v>
      </c>
      <c r="CB782" s="132"/>
      <c r="CD782" s="63">
        <v>0</v>
      </c>
      <c r="CE782" s="63">
        <v>0</v>
      </c>
      <c r="CF782" s="63">
        <v>0</v>
      </c>
      <c r="CG782" s="8">
        <v>0</v>
      </c>
      <c r="CH782" s="8">
        <v>1</v>
      </c>
      <c r="CI782" s="8">
        <v>0</v>
      </c>
    </row>
    <row r="783" spans="1:87" hidden="1" outlineLevel="1">
      <c r="A783" t="s">
        <v>820</v>
      </c>
      <c r="B783" t="s">
        <v>148</v>
      </c>
      <c r="C783" s="1">
        <f t="shared" si="329"/>
        <v>202801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>IF(P783&gt;0,RANK(P783,(N783:P783,Q783:AE783)),0)</f>
        <v>0</v>
      </c>
      <c r="G783" s="132">
        <f t="shared" si="330"/>
        <v>41310</v>
      </c>
      <c r="H783" s="137">
        <f t="shared" si="331"/>
        <v>0.20369722042790717</v>
      </c>
      <c r="I783" s="2"/>
      <c r="J783" s="2">
        <f t="shared" si="332"/>
        <v>0.57659972090867406</v>
      </c>
      <c r="K783" s="2">
        <f t="shared" si="333"/>
        <v>0.37290250048076684</v>
      </c>
      <c r="L783" s="2">
        <f t="shared" si="334"/>
        <v>0</v>
      </c>
      <c r="M783" s="2">
        <f t="shared" si="335"/>
        <v>5.0497778610559096E-2</v>
      </c>
      <c r="N783" s="63">
        <v>116935</v>
      </c>
      <c r="O783" s="63">
        <v>75625</v>
      </c>
      <c r="P783" s="63"/>
      <c r="Q783" s="63">
        <v>7789</v>
      </c>
      <c r="R783" s="63">
        <v>772</v>
      </c>
      <c r="S783" s="63">
        <v>54</v>
      </c>
      <c r="T783" s="63">
        <v>0</v>
      </c>
      <c r="U783" s="63">
        <v>3</v>
      </c>
      <c r="V783" s="63"/>
      <c r="W783" s="63">
        <f>IF(Copyright!B$11=1,IF(CA783&gt;0,CA783-P783-SUM(R783:V783)-SUM(X783:AQ783),SUM(CB783:CI783)),SUM(CC783:CI783))</f>
        <v>1605</v>
      </c>
      <c r="X783" s="63"/>
      <c r="Y783" s="63">
        <v>15</v>
      </c>
      <c r="Z783" s="63">
        <v>0</v>
      </c>
      <c r="AA783" s="63"/>
      <c r="AB783" s="63"/>
      <c r="AC783" s="63"/>
      <c r="AD783" s="63"/>
      <c r="AE783" s="63">
        <v>3</v>
      </c>
      <c r="AF783" s="63"/>
      <c r="AG783" s="63"/>
      <c r="AH783" s="63"/>
      <c r="AI783" s="8"/>
      <c r="AJ783" s="63"/>
      <c r="AK783" s="63"/>
      <c r="AL783" s="63"/>
      <c r="AM783" s="63">
        <v>0</v>
      </c>
      <c r="AN783" s="63"/>
      <c r="AO783" s="63"/>
      <c r="AP783" s="63"/>
      <c r="AQ783" s="63"/>
      <c r="AR783" s="63"/>
      <c r="AS783" s="63"/>
      <c r="AT783" s="63"/>
      <c r="AU783" s="63"/>
      <c r="AW783" s="5">
        <f>IF(Q783&gt;0,RANK(Q783,(N783:P783,Q783:AE783)),0)</f>
        <v>3</v>
      </c>
      <c r="AX783" s="5">
        <f>IF(R783&gt;0,RANK(R783,(N783:P783,Q783:AE783)),0)</f>
        <v>5</v>
      </c>
      <c r="AY783" s="5">
        <f>IF(T783&gt;0,RANK(T783,(N783:P783,Q783:AE783)),0)</f>
        <v>0</v>
      </c>
      <c r="AZ783" s="5">
        <f>IF(S783&gt;0,RANK(S783,(N783:P783,Q783:AE783)),0)</f>
        <v>6</v>
      </c>
      <c r="BA783" s="2">
        <f t="shared" si="336"/>
        <v>3.8407108446210821E-2</v>
      </c>
      <c r="BB783" s="2">
        <f t="shared" si="337"/>
        <v>3.8066873437507705E-3</v>
      </c>
      <c r="BC783" s="2">
        <f t="shared" si="338"/>
        <v>0</v>
      </c>
      <c r="BD783" s="2">
        <f t="shared" si="339"/>
        <v>2.6627087637634924E-4</v>
      </c>
      <c r="BF783" t="s">
        <v>820</v>
      </c>
      <c r="BG783" t="s">
        <v>148</v>
      </c>
      <c r="BH783">
        <v>1</v>
      </c>
      <c r="BJ783" s="114">
        <v>18</v>
      </c>
      <c r="BK783" s="116">
        <v>89</v>
      </c>
      <c r="BL783" s="120">
        <f t="shared" si="328"/>
        <v>18089</v>
      </c>
      <c r="BN783" s="5" t="s">
        <v>3154</v>
      </c>
      <c r="BY783" s="63">
        <f t="shared" si="327"/>
        <v>202801</v>
      </c>
      <c r="CA783" s="63">
        <v>2452</v>
      </c>
      <c r="CB783" s="132"/>
      <c r="CD783" s="63">
        <v>2</v>
      </c>
      <c r="CE783" s="63">
        <v>0</v>
      </c>
      <c r="CF783" s="63">
        <v>0</v>
      </c>
      <c r="CG783" s="8">
        <v>0</v>
      </c>
      <c r="CH783" s="8">
        <v>2</v>
      </c>
      <c r="CI783" s="8">
        <v>5</v>
      </c>
    </row>
    <row r="784" spans="1:87" hidden="1" outlineLevel="1">
      <c r="A784" t="s">
        <v>409</v>
      </c>
      <c r="B784" t="s">
        <v>148</v>
      </c>
      <c r="C784" s="1">
        <f t="shared" si="329"/>
        <v>45609</v>
      </c>
      <c r="D784" s="5">
        <f>IF(N784&gt;0, RANK(N784,(N784:P784,Q784:AE784)),0)</f>
        <v>2</v>
      </c>
      <c r="E784" s="5">
        <f>IF(O784&gt;0,RANK(O784,(N784:P784,Q784:AE784)),0)</f>
        <v>1</v>
      </c>
      <c r="F784" s="5">
        <f>IF(P784&gt;0,RANK(P784,(N784:P784,Q784:AE784)),0)</f>
        <v>0</v>
      </c>
      <c r="G784" s="132">
        <f t="shared" si="330"/>
        <v>2889</v>
      </c>
      <c r="H784" s="137">
        <f t="shared" si="331"/>
        <v>6.3342761297112415E-2</v>
      </c>
      <c r="I784" s="2"/>
      <c r="J784" s="2">
        <f t="shared" si="332"/>
        <v>0.43408099278651141</v>
      </c>
      <c r="K784" s="2">
        <f t="shared" si="333"/>
        <v>0.49742375408362383</v>
      </c>
      <c r="L784" s="2">
        <f t="shared" si="334"/>
        <v>0</v>
      </c>
      <c r="M784" s="2">
        <f t="shared" si="335"/>
        <v>6.8495253129864708E-2</v>
      </c>
      <c r="N784" s="63">
        <v>19798</v>
      </c>
      <c r="O784" s="63">
        <v>22687</v>
      </c>
      <c r="P784" s="63"/>
      <c r="Q784" s="63">
        <v>2521</v>
      </c>
      <c r="R784" s="63">
        <v>163</v>
      </c>
      <c r="S784" s="63">
        <v>26</v>
      </c>
      <c r="T784" s="63">
        <v>0</v>
      </c>
      <c r="U784" s="63">
        <v>0</v>
      </c>
      <c r="V784" s="63"/>
      <c r="W784" s="63">
        <f>IF(Copyright!B$11=1,IF(CA784&gt;0,CA784-P784-SUM(R784:V784)-SUM(X784:AQ784),SUM(CB784:CI784)),SUM(CC784:CI784))</f>
        <v>410</v>
      </c>
      <c r="X784" s="63"/>
      <c r="Y784" s="63">
        <v>4</v>
      </c>
      <c r="Z784" s="63">
        <v>0</v>
      </c>
      <c r="AA784" s="63"/>
      <c r="AB784" s="63"/>
      <c r="AC784" s="63"/>
      <c r="AD784" s="63"/>
      <c r="AE784" s="63">
        <v>0</v>
      </c>
      <c r="AF784" s="63"/>
      <c r="AG784" s="63"/>
      <c r="AH784" s="63"/>
      <c r="AI784" s="8"/>
      <c r="AJ784" s="63"/>
      <c r="AK784" s="63"/>
      <c r="AL784" s="63"/>
      <c r="AM784" s="63">
        <v>0</v>
      </c>
      <c r="AN784" s="63"/>
      <c r="AO784" s="63"/>
      <c r="AP784" s="63"/>
      <c r="AQ784" s="63"/>
      <c r="AR784" s="63"/>
      <c r="AS784" s="63"/>
      <c r="AT784" s="63"/>
      <c r="AU784" s="63"/>
      <c r="AW784" s="5">
        <f>IF(Q784&gt;0,RANK(Q784,(N784:P784,Q784:AE784)),0)</f>
        <v>3</v>
      </c>
      <c r="AX784" s="5">
        <f>IF(R784&gt;0,RANK(R784,(N784:P784,Q784:AE784)),0)</f>
        <v>5</v>
      </c>
      <c r="AY784" s="5">
        <f>IF(T784&gt;0,RANK(T784,(N784:P784,Q784:AE784)),0)</f>
        <v>0</v>
      </c>
      <c r="AZ784" s="5">
        <f>IF(S784&gt;0,RANK(S784,(N784:P784,Q784:AE784)),0)</f>
        <v>6</v>
      </c>
      <c r="BA784" s="2">
        <f t="shared" si="336"/>
        <v>5.5274178341993906E-2</v>
      </c>
      <c r="BB784" s="2">
        <f t="shared" si="337"/>
        <v>3.5738560371856433E-3</v>
      </c>
      <c r="BC784" s="2">
        <f t="shared" si="338"/>
        <v>0</v>
      </c>
      <c r="BD784" s="2">
        <f t="shared" si="339"/>
        <v>5.7006292617685101E-4</v>
      </c>
      <c r="BF784" t="s">
        <v>409</v>
      </c>
      <c r="BG784" t="s">
        <v>148</v>
      </c>
      <c r="BJ784" s="114">
        <v>18</v>
      </c>
      <c r="BK784" s="116">
        <v>91</v>
      </c>
      <c r="BL784" s="120">
        <f t="shared" si="328"/>
        <v>18091</v>
      </c>
      <c r="BN784" s="5" t="s">
        <v>3154</v>
      </c>
      <c r="BY784" s="63">
        <f t="shared" si="327"/>
        <v>45609</v>
      </c>
      <c r="CA784" s="63">
        <v>603</v>
      </c>
      <c r="CB784" s="132"/>
      <c r="CD784" s="63">
        <v>0</v>
      </c>
      <c r="CE784" s="63">
        <v>0</v>
      </c>
      <c r="CF784" s="63">
        <v>1</v>
      </c>
      <c r="CG784" s="8">
        <v>2</v>
      </c>
      <c r="CH784" s="8">
        <v>1</v>
      </c>
      <c r="CI784" s="8">
        <v>0</v>
      </c>
    </row>
    <row r="785" spans="1:87" hidden="1" outlineLevel="1">
      <c r="A785" t="s">
        <v>548</v>
      </c>
      <c r="B785" t="s">
        <v>148</v>
      </c>
      <c r="C785" s="1">
        <f t="shared" si="329"/>
        <v>19152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32">
        <f t="shared" si="330"/>
        <v>9825</v>
      </c>
      <c r="H785" s="137">
        <f t="shared" si="331"/>
        <v>0.51300125313283207</v>
      </c>
      <c r="I785" s="2"/>
      <c r="J785" s="2">
        <f t="shared" si="332"/>
        <v>0.2198203842940685</v>
      </c>
      <c r="K785" s="2">
        <f t="shared" si="333"/>
        <v>0.73282163742690054</v>
      </c>
      <c r="L785" s="2">
        <f t="shared" si="334"/>
        <v>0</v>
      </c>
      <c r="M785" s="2">
        <f t="shared" si="335"/>
        <v>4.7357978279030988E-2</v>
      </c>
      <c r="N785" s="63">
        <v>4210</v>
      </c>
      <c r="O785" s="63">
        <v>14035</v>
      </c>
      <c r="P785" s="63"/>
      <c r="Q785" s="63">
        <v>832</v>
      </c>
      <c r="R785" s="63">
        <v>66</v>
      </c>
      <c r="S785" s="63">
        <v>9</v>
      </c>
      <c r="T785" s="63">
        <v>0</v>
      </c>
      <c r="U785" s="63">
        <v>0</v>
      </c>
      <c r="V785" s="63"/>
      <c r="W785" s="63">
        <f>IF(Copyright!B$11=1,IF(CA785&gt;0,CA785-P785-SUM(R785:V785)-SUM(X785:AQ785),SUM(CB785:CI785)),SUM(CC785:CI785))</f>
        <v>0</v>
      </c>
      <c r="X785" s="63"/>
      <c r="Y785" s="63">
        <v>0</v>
      </c>
      <c r="Z785" s="63">
        <v>0</v>
      </c>
      <c r="AA785" s="63"/>
      <c r="AB785" s="63"/>
      <c r="AC785" s="63"/>
      <c r="AD785" s="63"/>
      <c r="AE785" s="63">
        <v>0</v>
      </c>
      <c r="AF785" s="63"/>
      <c r="AG785" s="63"/>
      <c r="AH785" s="63"/>
      <c r="AI785" s="8"/>
      <c r="AJ785" s="63"/>
      <c r="AK785" s="63"/>
      <c r="AL785" s="63"/>
      <c r="AM785" s="63">
        <v>0</v>
      </c>
      <c r="AN785" s="63"/>
      <c r="AO785" s="63"/>
      <c r="AP785" s="63"/>
      <c r="AQ785" s="63"/>
      <c r="AR785" s="63"/>
      <c r="AS785" s="63"/>
      <c r="AT785" s="63"/>
      <c r="AU785" s="63"/>
      <c r="AW785" s="5">
        <f>IF(Q785&gt;0,RANK(Q785,(N785:P785,Q785:AE785)),0)</f>
        <v>3</v>
      </c>
      <c r="AX785" s="5">
        <f>IF(R785&gt;0,RANK(R785,(N785:P785,Q785:AE785)),0)</f>
        <v>4</v>
      </c>
      <c r="AY785" s="5">
        <f>IF(T785&gt;0,RANK(T785,(N785:P785,Q785:AE785)),0)</f>
        <v>0</v>
      </c>
      <c r="AZ785" s="5">
        <f>IF(S785&gt;0,RANK(S785,(N785:P785,Q785:AE785)),0)</f>
        <v>5</v>
      </c>
      <c r="BA785" s="2">
        <f t="shared" si="336"/>
        <v>4.3441938178780282E-2</v>
      </c>
      <c r="BB785" s="2">
        <f t="shared" si="337"/>
        <v>3.4461152882205512E-3</v>
      </c>
      <c r="BC785" s="2">
        <f t="shared" si="338"/>
        <v>0</v>
      </c>
      <c r="BD785" s="2">
        <f t="shared" si="339"/>
        <v>4.6992481203007516E-4</v>
      </c>
      <c r="BF785" t="s">
        <v>548</v>
      </c>
      <c r="BG785" t="s">
        <v>148</v>
      </c>
      <c r="BH785">
        <v>9</v>
      </c>
      <c r="BJ785" s="114">
        <v>18</v>
      </c>
      <c r="BK785" s="116">
        <v>93</v>
      </c>
      <c r="BL785" s="120">
        <f t="shared" si="328"/>
        <v>18093</v>
      </c>
      <c r="BN785" s="5" t="s">
        <v>3154</v>
      </c>
      <c r="BY785" s="63">
        <f t="shared" si="327"/>
        <v>19152</v>
      </c>
      <c r="CB785" s="132"/>
      <c r="CD785" s="63">
        <v>0</v>
      </c>
      <c r="CE785" s="63">
        <v>0</v>
      </c>
      <c r="CF785" s="63">
        <v>0</v>
      </c>
      <c r="CG785" s="8">
        <v>0</v>
      </c>
      <c r="CH785" s="8">
        <v>0</v>
      </c>
      <c r="CI785" s="8">
        <v>0</v>
      </c>
    </row>
    <row r="786" spans="1:87" hidden="1" outlineLevel="1">
      <c r="A786" t="s">
        <v>1650</v>
      </c>
      <c r="B786" t="s">
        <v>148</v>
      </c>
      <c r="C786" s="1">
        <f t="shared" si="329"/>
        <v>54377</v>
      </c>
      <c r="D786" s="5">
        <f>IF(N786&gt;0, RANK(N786,(N786:P786,Q786:AE786)),0)</f>
        <v>2</v>
      </c>
      <c r="E786" s="5">
        <f>IF(O786&gt;0,RANK(O786,(N786:P786,Q786:AE786)),0)</f>
        <v>1</v>
      </c>
      <c r="F786" s="5">
        <f>IF(P786&gt;0,RANK(P786,(N786:P786,Q786:AE786)),0)</f>
        <v>0</v>
      </c>
      <c r="G786" s="132">
        <f t="shared" si="330"/>
        <v>13781</v>
      </c>
      <c r="H786" s="137">
        <f t="shared" si="331"/>
        <v>0.25343435643746437</v>
      </c>
      <c r="I786" s="2"/>
      <c r="J786" s="2">
        <f t="shared" si="332"/>
        <v>0.34196443349210143</v>
      </c>
      <c r="K786" s="2">
        <f t="shared" si="333"/>
        <v>0.59539878992956585</v>
      </c>
      <c r="L786" s="2">
        <f t="shared" si="334"/>
        <v>0</v>
      </c>
      <c r="M786" s="2">
        <f t="shared" si="335"/>
        <v>6.2636776578332665E-2</v>
      </c>
      <c r="N786" s="63">
        <v>18595</v>
      </c>
      <c r="O786" s="63">
        <v>32376</v>
      </c>
      <c r="P786" s="63"/>
      <c r="Q786" s="63">
        <v>2689</v>
      </c>
      <c r="R786" s="63">
        <v>207</v>
      </c>
      <c r="S786" s="63">
        <v>34</v>
      </c>
      <c r="T786" s="63">
        <v>0</v>
      </c>
      <c r="U786" s="63">
        <v>0</v>
      </c>
      <c r="V786" s="63"/>
      <c r="W786" s="63">
        <f>IF(Copyright!B$11=1,IF(CA786&gt;0,CA786-P786-SUM(R786:V786)-SUM(X786:AQ786),SUM(CB786:CI786)),SUM(CC786:CI786))</f>
        <v>469</v>
      </c>
      <c r="X786" s="63"/>
      <c r="Y786" s="63">
        <v>7</v>
      </c>
      <c r="Z786" s="63">
        <v>0</v>
      </c>
      <c r="AA786" s="63"/>
      <c r="AB786" s="63"/>
      <c r="AC786" s="63"/>
      <c r="AD786" s="63"/>
      <c r="AE786" s="63">
        <v>0</v>
      </c>
      <c r="AF786" s="63"/>
      <c r="AG786" s="63"/>
      <c r="AH786" s="63"/>
      <c r="AI786" s="8"/>
      <c r="AJ786" s="63"/>
      <c r="AK786" s="63"/>
      <c r="AL786" s="63"/>
      <c r="AM786" s="63">
        <v>0</v>
      </c>
      <c r="AN786" s="63"/>
      <c r="AO786" s="63"/>
      <c r="AP786" s="63"/>
      <c r="AQ786" s="63"/>
      <c r="AR786" s="63"/>
      <c r="AS786" s="63"/>
      <c r="AT786" s="63"/>
      <c r="AU786" s="63"/>
      <c r="AW786" s="5">
        <f>IF(Q786&gt;0,RANK(Q786,(N786:P786,Q786:AE786)),0)</f>
        <v>3</v>
      </c>
      <c r="AX786" s="5">
        <f>IF(R786&gt;0,RANK(R786,(N786:P786,Q786:AE786)),0)</f>
        <v>5</v>
      </c>
      <c r="AY786" s="5">
        <f>IF(T786&gt;0,RANK(T786,(N786:P786,Q786:AE786)),0)</f>
        <v>0</v>
      </c>
      <c r="AZ786" s="5">
        <f>IF(S786&gt;0,RANK(S786,(N786:P786,Q786:AE786)),0)</f>
        <v>6</v>
      </c>
      <c r="BA786" s="2">
        <f t="shared" si="336"/>
        <v>4.9451054673851073E-2</v>
      </c>
      <c r="BB786" s="2">
        <f t="shared" si="337"/>
        <v>3.8067565330930355E-3</v>
      </c>
      <c r="BC786" s="2">
        <f t="shared" si="338"/>
        <v>0</v>
      </c>
      <c r="BD786" s="2">
        <f t="shared" si="339"/>
        <v>6.2526435809257593E-4</v>
      </c>
      <c r="BF786" t="s">
        <v>1650</v>
      </c>
      <c r="BG786" t="s">
        <v>148</v>
      </c>
      <c r="BH786">
        <v>5</v>
      </c>
      <c r="BJ786" s="114">
        <v>18</v>
      </c>
      <c r="BK786" s="116">
        <v>95</v>
      </c>
      <c r="BL786" s="120">
        <f t="shared" si="328"/>
        <v>18095</v>
      </c>
      <c r="BN786" s="5" t="s">
        <v>3154</v>
      </c>
      <c r="BY786" s="63">
        <f t="shared" si="327"/>
        <v>54377</v>
      </c>
      <c r="CA786" s="63">
        <v>717</v>
      </c>
      <c r="CB786" s="132"/>
      <c r="CD786" s="63">
        <v>0</v>
      </c>
      <c r="CE786" s="63">
        <v>0</v>
      </c>
      <c r="CF786" s="63">
        <v>0</v>
      </c>
      <c r="CG786" s="8">
        <v>1</v>
      </c>
      <c r="CH786" s="8">
        <v>0</v>
      </c>
      <c r="CI786" s="8">
        <v>0</v>
      </c>
    </row>
    <row r="787" spans="1:87" hidden="1" outlineLevel="1">
      <c r="A787" t="s">
        <v>1826</v>
      </c>
      <c r="B787" t="s">
        <v>148</v>
      </c>
      <c r="C787" s="1">
        <f t="shared" si="329"/>
        <v>366879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>IF(P787&gt;0,RANK(P787,(N787:P787,Q787:AE787)),0)</f>
        <v>0</v>
      </c>
      <c r="G787" s="132">
        <f t="shared" si="330"/>
        <v>82539</v>
      </c>
      <c r="H787" s="137">
        <f t="shared" si="331"/>
        <v>0.22497608203249572</v>
      </c>
      <c r="I787" s="2"/>
      <c r="J787" s="2">
        <f t="shared" si="332"/>
        <v>0.58029759130394487</v>
      </c>
      <c r="K787" s="2">
        <f t="shared" si="333"/>
        <v>0.35532150927144918</v>
      </c>
      <c r="L787" s="2">
        <f t="shared" si="334"/>
        <v>0</v>
      </c>
      <c r="M787" s="2">
        <f t="shared" si="335"/>
        <v>6.4380899424605953E-2</v>
      </c>
      <c r="N787" s="63">
        <v>212899</v>
      </c>
      <c r="O787" s="63">
        <v>130360</v>
      </c>
      <c r="P787" s="63"/>
      <c r="Q787" s="63">
        <v>18190</v>
      </c>
      <c r="R787" s="63">
        <v>726</v>
      </c>
      <c r="S787" s="63">
        <v>120</v>
      </c>
      <c r="T787" s="63">
        <v>5</v>
      </c>
      <c r="U787" s="63">
        <v>18</v>
      </c>
      <c r="V787" s="63"/>
      <c r="W787" s="63">
        <f>IF(Copyright!B$11=1,IF(CA787&gt;0,CA787-P787-SUM(R787:V787)-SUM(X787:AQ787),SUM(CB787:CI787)),SUM(CC787:CI787))</f>
        <v>4539</v>
      </c>
      <c r="X787" s="63"/>
      <c r="Y787" s="63">
        <v>10</v>
      </c>
      <c r="Z787" s="63">
        <v>4</v>
      </c>
      <c r="AA787" s="63"/>
      <c r="AB787" s="63"/>
      <c r="AC787" s="63"/>
      <c r="AD787" s="63"/>
      <c r="AE787" s="63">
        <v>8</v>
      </c>
      <c r="AF787" s="63"/>
      <c r="AG787" s="63"/>
      <c r="AH787" s="63"/>
      <c r="AI787" s="8"/>
      <c r="AJ787" s="63"/>
      <c r="AK787" s="63"/>
      <c r="AL787" s="63"/>
      <c r="AM787" s="63">
        <v>0</v>
      </c>
      <c r="AN787" s="63"/>
      <c r="AO787" s="63"/>
      <c r="AP787" s="63"/>
      <c r="AQ787" s="63"/>
      <c r="AR787" s="63"/>
      <c r="AS787" s="63"/>
      <c r="AT787" s="63"/>
      <c r="AU787" s="63"/>
      <c r="AW787" s="5">
        <f>IF(Q787&gt;0,RANK(Q787,(N787:P787,Q787:AE787)),0)</f>
        <v>3</v>
      </c>
      <c r="AX787" s="5">
        <f>IF(R787&gt;0,RANK(R787,(N787:P787,Q787:AE787)),0)</f>
        <v>5</v>
      </c>
      <c r="AY787" s="5">
        <f>IF(T787&gt;0,RANK(T787,(N787:P787,Q787:AE787)),0)</f>
        <v>10</v>
      </c>
      <c r="AZ787" s="5">
        <f>IF(S787&gt;0,RANK(S787,(N787:P787,Q787:AE787)),0)</f>
        <v>6</v>
      </c>
      <c r="BA787" s="2">
        <f t="shared" si="336"/>
        <v>4.9580379362133019E-2</v>
      </c>
      <c r="BB787" s="2">
        <f t="shared" si="337"/>
        <v>1.9788540636013507E-3</v>
      </c>
      <c r="BC787" s="2">
        <f t="shared" si="338"/>
        <v>1.3628471512405997E-5</v>
      </c>
      <c r="BD787" s="2">
        <f t="shared" si="339"/>
        <v>3.2708331629774395E-4</v>
      </c>
      <c r="BF787" t="s">
        <v>1826</v>
      </c>
      <c r="BG787" t="s">
        <v>148</v>
      </c>
      <c r="BJ787" s="114">
        <v>18</v>
      </c>
      <c r="BK787" s="116">
        <v>97</v>
      </c>
      <c r="BL787" s="120">
        <f t="shared" si="328"/>
        <v>18097</v>
      </c>
      <c r="BN787" s="5" t="s">
        <v>3154</v>
      </c>
      <c r="BY787" s="63">
        <f t="shared" si="327"/>
        <v>88</v>
      </c>
      <c r="BZ787" s="63">
        <f>212866+130309+18186+5430</f>
        <v>366791</v>
      </c>
      <c r="CA787" s="63">
        <v>5430</v>
      </c>
      <c r="CB787" s="132"/>
      <c r="CD787" s="63">
        <v>2</v>
      </c>
      <c r="CE787" s="63">
        <v>0</v>
      </c>
      <c r="CF787" s="63">
        <v>3</v>
      </c>
      <c r="CG787" s="8">
        <v>6</v>
      </c>
      <c r="CH787" s="8">
        <v>11</v>
      </c>
      <c r="CI787" s="8">
        <v>10</v>
      </c>
    </row>
    <row r="788" spans="1:87" hidden="1" outlineLevel="1">
      <c r="A788" t="s">
        <v>1847</v>
      </c>
      <c r="B788" t="s">
        <v>148</v>
      </c>
      <c r="C788" s="1">
        <f t="shared" si="329"/>
        <v>18241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32">
        <f t="shared" si="330"/>
        <v>7490</v>
      </c>
      <c r="H788" s="137">
        <f t="shared" si="331"/>
        <v>0.41061345320980208</v>
      </c>
      <c r="I788" s="2"/>
      <c r="J788" s="2">
        <f t="shared" si="332"/>
        <v>0.26303382489995064</v>
      </c>
      <c r="K788" s="2">
        <f t="shared" si="333"/>
        <v>0.67364727810975278</v>
      </c>
      <c r="L788" s="2">
        <f t="shared" si="334"/>
        <v>0</v>
      </c>
      <c r="M788" s="2">
        <f t="shared" si="335"/>
        <v>6.331889699029658E-2</v>
      </c>
      <c r="N788" s="63">
        <v>4798</v>
      </c>
      <c r="O788" s="63">
        <v>12288</v>
      </c>
      <c r="P788" s="63"/>
      <c r="Q788" s="63">
        <v>924</v>
      </c>
      <c r="R788" s="63">
        <v>44</v>
      </c>
      <c r="S788" s="63">
        <v>18</v>
      </c>
      <c r="T788" s="63">
        <v>0</v>
      </c>
      <c r="U788" s="63">
        <v>0</v>
      </c>
      <c r="V788" s="63"/>
      <c r="W788" s="63">
        <f>IF(Copyright!B$11=1,IF(CA788&gt;0,CA788-P788-SUM(R788:V788)-SUM(X788:AQ788),SUM(CB788:CI788)),SUM(CC788:CI788))</f>
        <v>163</v>
      </c>
      <c r="X788" s="63"/>
      <c r="Y788" s="63">
        <v>5</v>
      </c>
      <c r="Z788" s="63">
        <v>0</v>
      </c>
      <c r="AA788" s="63"/>
      <c r="AB788" s="63"/>
      <c r="AC788" s="63"/>
      <c r="AD788" s="63"/>
      <c r="AE788" s="63">
        <v>0</v>
      </c>
      <c r="AF788" s="63"/>
      <c r="AG788" s="63"/>
      <c r="AH788" s="63"/>
      <c r="AI788" s="8"/>
      <c r="AJ788" s="63"/>
      <c r="AK788" s="63"/>
      <c r="AL788" s="63"/>
      <c r="AM788" s="63">
        <v>1</v>
      </c>
      <c r="AN788" s="63"/>
      <c r="AO788" s="63"/>
      <c r="AP788" s="63"/>
      <c r="AQ788" s="63"/>
      <c r="AR788" s="63"/>
      <c r="AS788" s="63"/>
      <c r="AT788" s="63"/>
      <c r="AU788" s="63"/>
      <c r="AW788" s="5">
        <f>IF(Q788&gt;0,RANK(Q788,(N788:P788,Q788:AE788)),0)</f>
        <v>3</v>
      </c>
      <c r="AX788" s="5">
        <f>IF(R788&gt;0,RANK(R788,(N788:P788,Q788:AE788)),0)</f>
        <v>5</v>
      </c>
      <c r="AY788" s="5">
        <f>IF(T788&gt;0,RANK(T788,(N788:P788,Q788:AE788)),0)</f>
        <v>0</v>
      </c>
      <c r="AZ788" s="5">
        <f>IF(S788&gt;0,RANK(S788,(N788:P788,Q788:AE788)),0)</f>
        <v>6</v>
      </c>
      <c r="BA788" s="2">
        <f t="shared" si="336"/>
        <v>5.0655117592237266E-2</v>
      </c>
      <c r="BB788" s="2">
        <f t="shared" si="337"/>
        <v>2.4121484567732033E-3</v>
      </c>
      <c r="BC788" s="2">
        <f t="shared" si="338"/>
        <v>0</v>
      </c>
      <c r="BD788" s="2">
        <f t="shared" si="339"/>
        <v>9.8678800504358312E-4</v>
      </c>
      <c r="BF788" t="s">
        <v>1847</v>
      </c>
      <c r="BG788" t="s">
        <v>148</v>
      </c>
      <c r="BH788">
        <v>2</v>
      </c>
      <c r="BJ788" s="114">
        <v>18</v>
      </c>
      <c r="BK788" s="116">
        <v>99</v>
      </c>
      <c r="BL788" s="120">
        <f t="shared" si="328"/>
        <v>18099</v>
      </c>
      <c r="BN788" s="5" t="s">
        <v>3154</v>
      </c>
      <c r="BY788" s="63">
        <f t="shared" si="327"/>
        <v>18241</v>
      </c>
      <c r="CA788" s="63">
        <v>231</v>
      </c>
      <c r="CB788" s="132"/>
      <c r="CD788" s="63">
        <v>0</v>
      </c>
      <c r="CE788" s="63">
        <v>0</v>
      </c>
      <c r="CF788" s="63">
        <v>0</v>
      </c>
      <c r="CG788" s="8">
        <v>4</v>
      </c>
      <c r="CH788" s="8">
        <v>0</v>
      </c>
      <c r="CI788" s="8">
        <v>0</v>
      </c>
    </row>
    <row r="789" spans="1:87" hidden="1" outlineLevel="1">
      <c r="A789" t="s">
        <v>1</v>
      </c>
      <c r="B789" t="s">
        <v>148</v>
      </c>
      <c r="C789" s="1">
        <f t="shared" si="329"/>
        <v>4809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32">
        <f t="shared" si="330"/>
        <v>2816</v>
      </c>
      <c r="H789" s="137">
        <f t="shared" si="331"/>
        <v>0.58556872530671655</v>
      </c>
      <c r="I789" s="2"/>
      <c r="J789" s="2">
        <f t="shared" si="332"/>
        <v>0.18319817009773343</v>
      </c>
      <c r="K789" s="2">
        <f t="shared" si="333"/>
        <v>0.76876689540444998</v>
      </c>
      <c r="L789" s="2">
        <f t="shared" si="334"/>
        <v>0</v>
      </c>
      <c r="M789" s="2">
        <f t="shared" si="335"/>
        <v>4.8034934497816595E-2</v>
      </c>
      <c r="N789" s="63">
        <v>881</v>
      </c>
      <c r="O789" s="63">
        <v>3697</v>
      </c>
      <c r="P789" s="63"/>
      <c r="Q789" s="63">
        <v>231</v>
      </c>
      <c r="R789" s="63">
        <v>0</v>
      </c>
      <c r="S789" s="63">
        <v>0</v>
      </c>
      <c r="T789" s="63">
        <v>0</v>
      </c>
      <c r="U789" s="63">
        <v>0</v>
      </c>
      <c r="V789" s="63"/>
      <c r="W789" s="63">
        <f>IF(Copyright!B$11=1,IF(CA789&gt;0,CA789-P789-SUM(R789:V789)-SUM(X789:AQ789),SUM(CB789:CI789)),SUM(CC789:CI789))</f>
        <v>0</v>
      </c>
      <c r="X789" s="63"/>
      <c r="Y789" s="63">
        <v>0</v>
      </c>
      <c r="Z789" s="63">
        <v>0</v>
      </c>
      <c r="AA789" s="63"/>
      <c r="AB789" s="63"/>
      <c r="AC789" s="63"/>
      <c r="AD789" s="63"/>
      <c r="AE789" s="63">
        <v>0</v>
      </c>
      <c r="AF789" s="63"/>
      <c r="AG789" s="63"/>
      <c r="AH789" s="63"/>
      <c r="AI789" s="8"/>
      <c r="AJ789" s="63"/>
      <c r="AK789" s="63"/>
      <c r="AL789" s="63"/>
      <c r="AM789" s="63">
        <v>0</v>
      </c>
      <c r="AN789" s="63"/>
      <c r="AO789" s="63"/>
      <c r="AP789" s="63"/>
      <c r="AQ789" s="63"/>
      <c r="AR789" s="63"/>
      <c r="AS789" s="63"/>
      <c r="AT789" s="63"/>
      <c r="AU789" s="63"/>
      <c r="AW789" s="5">
        <f>IF(Q789&gt;0,RANK(Q789,(N789:P789,Q789:AE789)),0)</f>
        <v>3</v>
      </c>
      <c r="AX789" s="5">
        <f>IF(R789&gt;0,RANK(R789,(N789:P789,Q789:AE789)),0)</f>
        <v>0</v>
      </c>
      <c r="AY789" s="5">
        <f>IF(T789&gt;0,RANK(T789,(N789:P789,Q789:AE789)),0)</f>
        <v>0</v>
      </c>
      <c r="AZ789" s="5">
        <f>IF(S789&gt;0,RANK(S789,(N789:P789,Q789:AE789)),0)</f>
        <v>0</v>
      </c>
      <c r="BA789" s="2">
        <f t="shared" si="336"/>
        <v>4.8034934497816595E-2</v>
      </c>
      <c r="BB789" s="2">
        <f t="shared" si="337"/>
        <v>0</v>
      </c>
      <c r="BC789" s="2">
        <f t="shared" si="338"/>
        <v>0</v>
      </c>
      <c r="BD789" s="2">
        <f t="shared" si="339"/>
        <v>0</v>
      </c>
      <c r="BF789" t="s">
        <v>1</v>
      </c>
      <c r="BG789" t="s">
        <v>148</v>
      </c>
      <c r="BH789">
        <v>8</v>
      </c>
      <c r="BJ789" s="114">
        <v>18</v>
      </c>
      <c r="BK789" s="116">
        <v>101</v>
      </c>
      <c r="BL789" s="120">
        <f t="shared" si="328"/>
        <v>18101</v>
      </c>
      <c r="BN789" s="5" t="s">
        <v>3154</v>
      </c>
      <c r="BY789" s="63">
        <f t="shared" si="327"/>
        <v>4809</v>
      </c>
      <c r="CB789" s="132"/>
      <c r="CD789" s="63">
        <v>0</v>
      </c>
      <c r="CE789" s="63">
        <v>0</v>
      </c>
      <c r="CF789" s="63">
        <v>0</v>
      </c>
      <c r="CG789" s="8">
        <v>0</v>
      </c>
      <c r="CH789" s="8">
        <v>0</v>
      </c>
      <c r="CI789" s="8">
        <v>0</v>
      </c>
    </row>
    <row r="790" spans="1:87" hidden="1" outlineLevel="1">
      <c r="A790" t="s">
        <v>182</v>
      </c>
      <c r="B790" t="s">
        <v>148</v>
      </c>
      <c r="C790" s="1">
        <f t="shared" si="329"/>
        <v>13482</v>
      </c>
      <c r="D790" s="5">
        <f>IF(N790&gt;0, RANK(N790,(N790:P790,Q790:AE790)),0)</f>
        <v>2</v>
      </c>
      <c r="E790" s="5">
        <f>IF(O790&gt;0,RANK(O790,(N790:P790,Q790:AE790)),0)</f>
        <v>1</v>
      </c>
      <c r="F790" s="5">
        <f>IF(P790&gt;0,RANK(P790,(N790:P790,Q790:AE790)),0)</f>
        <v>0</v>
      </c>
      <c r="G790" s="132">
        <f t="shared" si="330"/>
        <v>7209</v>
      </c>
      <c r="H790" s="137">
        <f t="shared" si="331"/>
        <v>0.53471295060080104</v>
      </c>
      <c r="I790" s="2"/>
      <c r="J790" s="2">
        <f t="shared" si="332"/>
        <v>0.20516243880729862</v>
      </c>
      <c r="K790" s="2">
        <f t="shared" si="333"/>
        <v>0.73987538940809972</v>
      </c>
      <c r="L790" s="2">
        <f t="shared" si="334"/>
        <v>0</v>
      </c>
      <c r="M790" s="2">
        <f t="shared" si="335"/>
        <v>5.4962171784601721E-2</v>
      </c>
      <c r="N790" s="63">
        <v>2766</v>
      </c>
      <c r="O790" s="63">
        <v>9975</v>
      </c>
      <c r="P790" s="63"/>
      <c r="Q790" s="63">
        <v>699</v>
      </c>
      <c r="R790" s="63">
        <v>30</v>
      </c>
      <c r="S790" s="63">
        <v>12</v>
      </c>
      <c r="T790" s="63">
        <v>0</v>
      </c>
      <c r="U790" s="63">
        <v>0</v>
      </c>
      <c r="V790" s="63"/>
      <c r="W790" s="63">
        <f>IF(Copyright!B$11=1,IF(CA790&gt;0,CA790-P790-SUM(R790:V790)-SUM(X790:AQ790),SUM(CB790:CI790)),SUM(CC790:CI790))</f>
        <v>0</v>
      </c>
      <c r="X790" s="63"/>
      <c r="Y790" s="63">
        <v>0</v>
      </c>
      <c r="Z790" s="63">
        <v>0</v>
      </c>
      <c r="AA790" s="63"/>
      <c r="AB790" s="63"/>
      <c r="AC790" s="63"/>
      <c r="AD790" s="63"/>
      <c r="AE790" s="63">
        <v>0</v>
      </c>
      <c r="AF790" s="63"/>
      <c r="AG790" s="63"/>
      <c r="AH790" s="63"/>
      <c r="AI790" s="8"/>
      <c r="AJ790" s="63"/>
      <c r="AK790" s="63"/>
      <c r="AL790" s="63"/>
      <c r="AM790" s="63">
        <v>0</v>
      </c>
      <c r="AN790" s="63"/>
      <c r="AO790" s="63"/>
      <c r="AP790" s="63"/>
      <c r="AQ790" s="63"/>
      <c r="AR790" s="63"/>
      <c r="AS790" s="63"/>
      <c r="AT790" s="63"/>
      <c r="AU790" s="63"/>
      <c r="AW790" s="5">
        <f>IF(Q790&gt;0,RANK(Q790,(N790:P790,Q790:AE790)),0)</f>
        <v>3</v>
      </c>
      <c r="AX790" s="5">
        <f>IF(R790&gt;0,RANK(R790,(N790:P790,Q790:AE790)),0)</f>
        <v>4</v>
      </c>
      <c r="AY790" s="5">
        <f>IF(T790&gt;0,RANK(T790,(N790:P790,Q790:AE790)),0)</f>
        <v>0</v>
      </c>
      <c r="AZ790" s="5">
        <f>IF(S790&gt;0,RANK(S790,(N790:P790,Q790:AE790)),0)</f>
        <v>5</v>
      </c>
      <c r="BA790" s="2">
        <f t="shared" si="336"/>
        <v>5.1846906987093905E-2</v>
      </c>
      <c r="BB790" s="2">
        <f t="shared" si="337"/>
        <v>2.2251891410769915E-3</v>
      </c>
      <c r="BC790" s="2">
        <f t="shared" si="338"/>
        <v>0</v>
      </c>
      <c r="BD790" s="2">
        <f t="shared" si="339"/>
        <v>8.9007565643079659E-4</v>
      </c>
      <c r="BF790" t="s">
        <v>182</v>
      </c>
      <c r="BG790" t="s">
        <v>148</v>
      </c>
      <c r="BH790">
        <v>2</v>
      </c>
      <c r="BJ790" s="114">
        <v>18</v>
      </c>
      <c r="BK790" s="116">
        <v>103</v>
      </c>
      <c r="BL790" s="120">
        <f t="shared" si="328"/>
        <v>18103</v>
      </c>
      <c r="BN790" s="5" t="s">
        <v>3154</v>
      </c>
      <c r="BY790" s="63">
        <f t="shared" si="327"/>
        <v>13482</v>
      </c>
      <c r="CB790" s="132"/>
      <c r="CD790" s="63">
        <v>0</v>
      </c>
      <c r="CE790" s="63">
        <v>0</v>
      </c>
      <c r="CF790" s="63">
        <v>0</v>
      </c>
      <c r="CG790" s="8">
        <v>0</v>
      </c>
      <c r="CH790" s="8">
        <v>0</v>
      </c>
      <c r="CI790" s="8">
        <v>0</v>
      </c>
    </row>
    <row r="791" spans="1:87" hidden="1" outlineLevel="1">
      <c r="A791" t="s">
        <v>644</v>
      </c>
      <c r="B791" t="s">
        <v>148</v>
      </c>
      <c r="C791" s="1">
        <f t="shared" si="329"/>
        <v>58454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>IF(P791&gt;0,RANK(P791,(N791:P791,Q791:AE791)),0)</f>
        <v>0</v>
      </c>
      <c r="G791" s="132">
        <f t="shared" si="330"/>
        <v>13624</v>
      </c>
      <c r="H791" s="137">
        <f t="shared" si="331"/>
        <v>0.23307215930475245</v>
      </c>
      <c r="I791" s="2"/>
      <c r="J791" s="2">
        <f t="shared" si="332"/>
        <v>0.58534916344475996</v>
      </c>
      <c r="K791" s="2">
        <f t="shared" si="333"/>
        <v>0.35227700414000751</v>
      </c>
      <c r="L791" s="2">
        <f t="shared" si="334"/>
        <v>0</v>
      </c>
      <c r="M791" s="2">
        <f t="shared" si="335"/>
        <v>6.2373832415232533E-2</v>
      </c>
      <c r="N791" s="63">
        <v>34216</v>
      </c>
      <c r="O791" s="63">
        <v>20592</v>
      </c>
      <c r="P791" s="63"/>
      <c r="Q791" s="63">
        <v>2917</v>
      </c>
      <c r="R791" s="63">
        <v>627</v>
      </c>
      <c r="S791" s="63">
        <v>74</v>
      </c>
      <c r="T791" s="63">
        <v>0</v>
      </c>
      <c r="U791" s="63">
        <v>0</v>
      </c>
      <c r="V791" s="63"/>
      <c r="W791" s="63">
        <f>IF(Copyright!B$11=1,IF(CA791&gt;0,CA791-P791-SUM(R791:V791)-SUM(X791:AQ791),SUM(CB791:CI791)),SUM(CC791:CI791))</f>
        <v>12</v>
      </c>
      <c r="X791" s="63"/>
      <c r="Y791" s="63">
        <v>11</v>
      </c>
      <c r="Z791" s="63">
        <v>0</v>
      </c>
      <c r="AA791" s="63"/>
      <c r="AB791" s="63"/>
      <c r="AC791" s="63"/>
      <c r="AD791" s="63"/>
      <c r="AE791" s="63">
        <v>5</v>
      </c>
      <c r="AF791" s="63"/>
      <c r="AG791" s="63"/>
      <c r="AH791" s="63"/>
      <c r="AI791" s="8"/>
      <c r="AJ791" s="63"/>
      <c r="AK791" s="63"/>
      <c r="AL791" s="63"/>
      <c r="AM791" s="63">
        <v>0</v>
      </c>
      <c r="AN791" s="63"/>
      <c r="AO791" s="63"/>
      <c r="AP791" s="63"/>
      <c r="AQ791" s="63"/>
      <c r="AR791" s="63"/>
      <c r="AS791" s="63"/>
      <c r="AT791" s="63"/>
      <c r="AU791" s="63"/>
      <c r="AW791" s="5">
        <f>IF(Q791&gt;0,RANK(Q791,(N791:P791,Q791:AE791)),0)</f>
        <v>3</v>
      </c>
      <c r="AX791" s="5">
        <f>IF(R791&gt;0,RANK(R791,(N791:P791,Q791:AE791)),0)</f>
        <v>4</v>
      </c>
      <c r="AY791" s="5">
        <f>IF(T791&gt;0,RANK(T791,(N791:P791,Q791:AE791)),0)</f>
        <v>0</v>
      </c>
      <c r="AZ791" s="5">
        <f>IF(S791&gt;0,RANK(S791,(N791:P791,Q791:AE791)),0)</f>
        <v>5</v>
      </c>
      <c r="BA791" s="2">
        <f t="shared" si="336"/>
        <v>4.9902487426010195E-2</v>
      </c>
      <c r="BB791" s="2">
        <f t="shared" si="337"/>
        <v>1.0726383138878434E-2</v>
      </c>
      <c r="BC791" s="2">
        <f t="shared" si="338"/>
        <v>0</v>
      </c>
      <c r="BD791" s="2">
        <f t="shared" si="339"/>
        <v>1.2659527149553496E-3</v>
      </c>
      <c r="BF791" t="s">
        <v>644</v>
      </c>
      <c r="BG791" t="s">
        <v>148</v>
      </c>
      <c r="BH791">
        <v>9</v>
      </c>
      <c r="BJ791" s="114">
        <v>18</v>
      </c>
      <c r="BK791" s="116">
        <v>105</v>
      </c>
      <c r="BL791" s="120">
        <f t="shared" si="328"/>
        <v>18105</v>
      </c>
      <c r="BN791" s="5" t="s">
        <v>3154</v>
      </c>
      <c r="BY791" s="63">
        <f t="shared" si="327"/>
        <v>58454</v>
      </c>
      <c r="CB791" s="132"/>
      <c r="CD791" s="63">
        <v>0</v>
      </c>
      <c r="CE791" s="63">
        <v>0</v>
      </c>
      <c r="CF791" s="63">
        <v>0</v>
      </c>
      <c r="CG791" s="8">
        <v>0</v>
      </c>
      <c r="CH791" s="8">
        <v>4</v>
      </c>
      <c r="CI791" s="8">
        <v>8</v>
      </c>
    </row>
    <row r="792" spans="1:87" hidden="1" outlineLevel="1">
      <c r="A792" t="s">
        <v>1406</v>
      </c>
      <c r="B792" t="s">
        <v>148</v>
      </c>
      <c r="C792" s="1">
        <f t="shared" si="329"/>
        <v>15156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32">
        <f t="shared" si="330"/>
        <v>7697</v>
      </c>
      <c r="H792" s="137">
        <f t="shared" si="331"/>
        <v>0.50785167590393243</v>
      </c>
      <c r="I792" s="2"/>
      <c r="J792" s="2">
        <f t="shared" si="332"/>
        <v>0.22182633940353655</v>
      </c>
      <c r="K792" s="2">
        <f t="shared" si="333"/>
        <v>0.72967801530746901</v>
      </c>
      <c r="L792" s="2">
        <f t="shared" si="334"/>
        <v>0</v>
      </c>
      <c r="M792" s="2">
        <f t="shared" si="335"/>
        <v>4.8495645288994416E-2</v>
      </c>
      <c r="N792" s="63">
        <v>3362</v>
      </c>
      <c r="O792" s="63">
        <v>11059</v>
      </c>
      <c r="P792" s="63"/>
      <c r="Q792" s="63">
        <v>688</v>
      </c>
      <c r="R792" s="63">
        <v>38</v>
      </c>
      <c r="S792" s="63">
        <v>9</v>
      </c>
      <c r="T792" s="63">
        <v>0</v>
      </c>
      <c r="U792" s="63">
        <v>0</v>
      </c>
      <c r="V792" s="63"/>
      <c r="W792" s="63">
        <f>IF(Copyright!B$11=1,IF(CA792&gt;0,CA792-P792-SUM(R792:V792)-SUM(X792:AQ792),SUM(CB792:CI792)),SUM(CC792:CI792))</f>
        <v>0</v>
      </c>
      <c r="X792" s="63"/>
      <c r="Y792" s="63">
        <v>0</v>
      </c>
      <c r="Z792" s="63">
        <v>0</v>
      </c>
      <c r="AA792" s="63"/>
      <c r="AB792" s="63"/>
      <c r="AC792" s="63"/>
      <c r="AD792" s="63"/>
      <c r="AE792" s="63">
        <v>0</v>
      </c>
      <c r="AF792" s="63"/>
      <c r="AG792" s="63"/>
      <c r="AH792" s="63"/>
      <c r="AI792" s="8"/>
      <c r="AJ792" s="63"/>
      <c r="AK792" s="63"/>
      <c r="AL792" s="63"/>
      <c r="AM792" s="63">
        <v>0</v>
      </c>
      <c r="AN792" s="63"/>
      <c r="AO792" s="63"/>
      <c r="AP792" s="63"/>
      <c r="AQ792" s="63"/>
      <c r="AR792" s="63"/>
      <c r="AS792" s="63"/>
      <c r="AT792" s="63"/>
      <c r="AU792" s="63"/>
      <c r="AW792" s="5">
        <f>IF(Q792&gt;0,RANK(Q792,(N792:P792,Q792:AE792)),0)</f>
        <v>3</v>
      </c>
      <c r="AX792" s="5">
        <f>IF(R792&gt;0,RANK(R792,(N792:P792,Q792:AE792)),0)</f>
        <v>4</v>
      </c>
      <c r="AY792" s="5">
        <f>IF(T792&gt;0,RANK(T792,(N792:P792,Q792:AE792)),0)</f>
        <v>0</v>
      </c>
      <c r="AZ792" s="5">
        <f>IF(S792&gt;0,RANK(S792,(N792:P792,Q792:AE792)),0)</f>
        <v>5</v>
      </c>
      <c r="BA792" s="2">
        <f t="shared" si="336"/>
        <v>4.5394563209290049E-2</v>
      </c>
      <c r="BB792" s="2">
        <f t="shared" si="337"/>
        <v>2.507257851675904E-3</v>
      </c>
      <c r="BC792" s="2">
        <f t="shared" si="338"/>
        <v>0</v>
      </c>
      <c r="BD792" s="2">
        <f t="shared" si="339"/>
        <v>5.9382422802850359E-4</v>
      </c>
      <c r="BF792" t="s">
        <v>1406</v>
      </c>
      <c r="BG792" t="s">
        <v>148</v>
      </c>
      <c r="BH792">
        <v>4</v>
      </c>
      <c r="BJ792" s="114">
        <v>18</v>
      </c>
      <c r="BK792" s="116">
        <v>107</v>
      </c>
      <c r="BL792" s="120">
        <f t="shared" si="328"/>
        <v>18107</v>
      </c>
      <c r="BN792" s="5" t="s">
        <v>3154</v>
      </c>
      <c r="BY792" s="63">
        <f t="shared" si="327"/>
        <v>15156</v>
      </c>
      <c r="CB792" s="132"/>
      <c r="CD792" s="63">
        <v>0</v>
      </c>
      <c r="CE792" s="63">
        <v>0</v>
      </c>
      <c r="CF792" s="63">
        <v>0</v>
      </c>
      <c r="CG792" s="8">
        <v>0</v>
      </c>
      <c r="CH792" s="8">
        <v>0</v>
      </c>
      <c r="CI792" s="8">
        <v>0</v>
      </c>
    </row>
    <row r="793" spans="1:87" hidden="1" outlineLevel="1">
      <c r="A793" t="s">
        <v>1145</v>
      </c>
      <c r="B793" t="s">
        <v>148</v>
      </c>
      <c r="C793" s="1">
        <f t="shared" si="329"/>
        <v>31446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32">
        <f t="shared" si="330"/>
        <v>17634</v>
      </c>
      <c r="H793" s="137">
        <f t="shared" si="331"/>
        <v>0.56077084525853849</v>
      </c>
      <c r="I793" s="2"/>
      <c r="J793" s="2">
        <f t="shared" si="332"/>
        <v>0.19207530369522355</v>
      </c>
      <c r="K793" s="2">
        <f t="shared" si="333"/>
        <v>0.75284614895376201</v>
      </c>
      <c r="L793" s="2">
        <f t="shared" si="334"/>
        <v>0</v>
      </c>
      <c r="M793" s="2">
        <f t="shared" si="335"/>
        <v>5.5078547351014473E-2</v>
      </c>
      <c r="N793" s="63">
        <v>6040</v>
      </c>
      <c r="O793" s="63">
        <v>23674</v>
      </c>
      <c r="P793" s="63"/>
      <c r="Q793" s="63">
        <v>1472</v>
      </c>
      <c r="R793" s="63">
        <v>64</v>
      </c>
      <c r="S793" s="63">
        <v>24</v>
      </c>
      <c r="T793" s="63">
        <v>0</v>
      </c>
      <c r="U793" s="63">
        <v>0</v>
      </c>
      <c r="V793" s="63"/>
      <c r="W793" s="63">
        <f>IF(Copyright!B$11=1,IF(CA793&gt;0,CA793-P793-SUM(R793:V793)-SUM(X793:AQ793),SUM(CB793:CI793)),SUM(CC793:CI793))</f>
        <v>166</v>
      </c>
      <c r="X793" s="63"/>
      <c r="Y793" s="63">
        <v>6</v>
      </c>
      <c r="Z793" s="63">
        <v>0</v>
      </c>
      <c r="AA793" s="63"/>
      <c r="AB793" s="63"/>
      <c r="AC793" s="63"/>
      <c r="AD793" s="63"/>
      <c r="AE793" s="63">
        <v>0</v>
      </c>
      <c r="AF793" s="63"/>
      <c r="AG793" s="63"/>
      <c r="AH793" s="63"/>
      <c r="AI793" s="8"/>
      <c r="AJ793" s="63"/>
      <c r="AK793" s="63"/>
      <c r="AL793" s="63"/>
      <c r="AM793" s="63">
        <v>0</v>
      </c>
      <c r="AN793" s="63"/>
      <c r="AO793" s="63"/>
      <c r="AP793" s="63"/>
      <c r="AQ793" s="63"/>
      <c r="AR793" s="63"/>
      <c r="AS793" s="63"/>
      <c r="AT793" s="63"/>
      <c r="AU793" s="63"/>
      <c r="AW793" s="5">
        <f>IF(Q793&gt;0,RANK(Q793,(N793:P793,Q793:AE793)),0)</f>
        <v>3</v>
      </c>
      <c r="AX793" s="5">
        <f>IF(R793&gt;0,RANK(R793,(N793:P793,Q793:AE793)),0)</f>
        <v>5</v>
      </c>
      <c r="AY793" s="5">
        <f>IF(T793&gt;0,RANK(T793,(N793:P793,Q793:AE793)),0)</f>
        <v>0</v>
      </c>
      <c r="AZ793" s="5">
        <f>IF(S793&gt;0,RANK(S793,(N793:P793,Q793:AE793)),0)</f>
        <v>6</v>
      </c>
      <c r="BA793" s="2">
        <f t="shared" si="336"/>
        <v>4.6810405138968392E-2</v>
      </c>
      <c r="BB793" s="2">
        <f t="shared" si="337"/>
        <v>2.0352350060421041E-3</v>
      </c>
      <c r="BC793" s="2">
        <f t="shared" si="338"/>
        <v>0</v>
      </c>
      <c r="BD793" s="2">
        <f t="shared" si="339"/>
        <v>7.6321312726578894E-4</v>
      </c>
      <c r="BF793" t="s">
        <v>1145</v>
      </c>
      <c r="BG793" t="s">
        <v>148</v>
      </c>
      <c r="BJ793" s="114">
        <v>18</v>
      </c>
      <c r="BK793" s="116">
        <v>109</v>
      </c>
      <c r="BL793" s="120">
        <f t="shared" si="328"/>
        <v>18109</v>
      </c>
      <c r="BN793" s="5" t="s">
        <v>3154</v>
      </c>
      <c r="BY793" s="63">
        <f t="shared" si="327"/>
        <v>31446</v>
      </c>
      <c r="CA793" s="63">
        <v>260</v>
      </c>
      <c r="CB793" s="132"/>
      <c r="CD793" s="63">
        <v>0</v>
      </c>
      <c r="CE793" s="63">
        <v>0</v>
      </c>
      <c r="CF793" s="63">
        <v>0</v>
      </c>
      <c r="CG793" s="8">
        <v>0</v>
      </c>
      <c r="CH793" s="8">
        <v>0</v>
      </c>
      <c r="CI793" s="8">
        <v>0</v>
      </c>
    </row>
    <row r="794" spans="1:87" hidden="1" outlineLevel="1">
      <c r="A794" t="s">
        <v>1136</v>
      </c>
      <c r="B794" t="s">
        <v>148</v>
      </c>
      <c r="C794" s="1">
        <f t="shared" si="329"/>
        <v>5795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32">
        <f t="shared" si="330"/>
        <v>2673</v>
      </c>
      <c r="H794" s="137">
        <f t="shared" si="331"/>
        <v>0.46125970664365834</v>
      </c>
      <c r="I794" s="2"/>
      <c r="J794" s="2">
        <f t="shared" si="332"/>
        <v>0.24227782571182052</v>
      </c>
      <c r="K794" s="2">
        <f t="shared" si="333"/>
        <v>0.70353753235547889</v>
      </c>
      <c r="L794" s="2">
        <f t="shared" si="334"/>
        <v>0</v>
      </c>
      <c r="M794" s="2">
        <f t="shared" si="335"/>
        <v>5.4184641932700561E-2</v>
      </c>
      <c r="N794" s="63">
        <v>1404</v>
      </c>
      <c r="O794" s="63">
        <v>4077</v>
      </c>
      <c r="P794" s="63"/>
      <c r="Q794" s="63">
        <v>314</v>
      </c>
      <c r="R794" s="63">
        <v>0</v>
      </c>
      <c r="S794" s="63">
        <v>0</v>
      </c>
      <c r="T794" s="63">
        <v>0</v>
      </c>
      <c r="U794" s="63">
        <v>0</v>
      </c>
      <c r="V794" s="63"/>
      <c r="W794" s="63">
        <f>IF(Copyright!B$11=1,IF(CA794&gt;0,CA794-P794-SUM(R794:V794)-SUM(X794:AQ794),SUM(CB794:CI794)),SUM(CC794:CI794))</f>
        <v>0</v>
      </c>
      <c r="X794" s="63"/>
      <c r="Y794" s="63">
        <v>0</v>
      </c>
      <c r="Z794" s="63">
        <v>0</v>
      </c>
      <c r="AA794" s="63"/>
      <c r="AB794" s="63"/>
      <c r="AC794" s="63"/>
      <c r="AD794" s="63"/>
      <c r="AE794" s="63">
        <v>0</v>
      </c>
      <c r="AF794" s="63"/>
      <c r="AG794" s="63"/>
      <c r="AH794" s="63"/>
      <c r="AI794" s="8"/>
      <c r="AJ794" s="63"/>
      <c r="AK794" s="63"/>
      <c r="AL794" s="63"/>
      <c r="AM794" s="63">
        <v>0</v>
      </c>
      <c r="AN794" s="63"/>
      <c r="AO794" s="63"/>
      <c r="AP794" s="63"/>
      <c r="AQ794" s="63"/>
      <c r="AR794" s="63"/>
      <c r="AS794" s="63"/>
      <c r="AT794" s="63"/>
      <c r="AU794" s="63"/>
      <c r="AW794" s="5">
        <f>IF(Q794&gt;0,RANK(Q794,(N794:P794,Q794:AE794)),0)</f>
        <v>3</v>
      </c>
      <c r="AX794" s="5">
        <f>IF(R794&gt;0,RANK(R794,(N794:P794,Q794:AE794)),0)</f>
        <v>0</v>
      </c>
      <c r="AY794" s="5">
        <f>IF(T794&gt;0,RANK(T794,(N794:P794,Q794:AE794)),0)</f>
        <v>0</v>
      </c>
      <c r="AZ794" s="5">
        <f>IF(S794&gt;0,RANK(S794,(N794:P794,Q794:AE794)),0)</f>
        <v>0</v>
      </c>
      <c r="BA794" s="2">
        <f t="shared" si="336"/>
        <v>5.4184641932700603E-2</v>
      </c>
      <c r="BB794" s="2">
        <f t="shared" si="337"/>
        <v>0</v>
      </c>
      <c r="BC794" s="2">
        <f t="shared" si="338"/>
        <v>0</v>
      </c>
      <c r="BD794" s="2">
        <f t="shared" si="339"/>
        <v>0</v>
      </c>
      <c r="BF794" t="s">
        <v>1136</v>
      </c>
      <c r="BG794" t="s">
        <v>148</v>
      </c>
      <c r="BH794">
        <v>4</v>
      </c>
      <c r="BJ794" s="114">
        <v>18</v>
      </c>
      <c r="BK794" s="116">
        <v>111</v>
      </c>
      <c r="BL794" s="120">
        <f t="shared" si="328"/>
        <v>18111</v>
      </c>
      <c r="BN794" s="5" t="s">
        <v>3154</v>
      </c>
      <c r="BY794" s="63">
        <f t="shared" si="327"/>
        <v>5795</v>
      </c>
      <c r="CB794" s="132"/>
      <c r="CD794" s="63">
        <v>0</v>
      </c>
      <c r="CE794" s="63">
        <v>0</v>
      </c>
      <c r="CF794" s="63">
        <v>0</v>
      </c>
      <c r="CG794" s="8">
        <v>0</v>
      </c>
      <c r="CH794" s="8">
        <v>0</v>
      </c>
      <c r="CI794" s="8">
        <v>0</v>
      </c>
    </row>
    <row r="795" spans="1:87" hidden="1" outlineLevel="1">
      <c r="A795" t="s">
        <v>834</v>
      </c>
      <c r="B795" t="s">
        <v>148</v>
      </c>
      <c r="C795" s="1">
        <f t="shared" si="329"/>
        <v>17104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32">
        <f t="shared" si="330"/>
        <v>8294</v>
      </c>
      <c r="H795" s="137">
        <f t="shared" si="331"/>
        <v>0.4849158091674462</v>
      </c>
      <c r="I795" s="2"/>
      <c r="J795" s="2">
        <f t="shared" si="332"/>
        <v>0.22825070159027128</v>
      </c>
      <c r="K795" s="2">
        <f t="shared" si="333"/>
        <v>0.71316651075771753</v>
      </c>
      <c r="L795" s="2">
        <f t="shared" si="334"/>
        <v>0</v>
      </c>
      <c r="M795" s="2">
        <f t="shared" si="335"/>
        <v>5.8582787652011192E-2</v>
      </c>
      <c r="N795" s="63">
        <v>3904</v>
      </c>
      <c r="O795" s="63">
        <v>12198</v>
      </c>
      <c r="P795" s="63"/>
      <c r="Q795" s="63">
        <v>788</v>
      </c>
      <c r="R795" s="63">
        <v>0</v>
      </c>
      <c r="S795" s="63">
        <v>0</v>
      </c>
      <c r="T795" s="63">
        <v>0</v>
      </c>
      <c r="U795" s="63">
        <v>0</v>
      </c>
      <c r="V795" s="63"/>
      <c r="W795" s="63">
        <f>IF(Copyright!B$11=1,IF(CA795&gt;0,CA795-P795-SUM(R795:V795)-SUM(X795:AQ795),SUM(CB795:CI795)),SUM(CC795:CI795))</f>
        <v>214</v>
      </c>
      <c r="X795" s="63"/>
      <c r="Y795" s="63">
        <v>0</v>
      </c>
      <c r="Z795" s="63">
        <v>0</v>
      </c>
      <c r="AA795" s="63"/>
      <c r="AB795" s="63"/>
      <c r="AC795" s="63"/>
      <c r="AD795" s="63"/>
      <c r="AE795" s="63">
        <v>0</v>
      </c>
      <c r="AF795" s="63"/>
      <c r="AG795" s="63"/>
      <c r="AH795" s="63"/>
      <c r="AI795" s="8"/>
      <c r="AJ795" s="63"/>
      <c r="AK795" s="63"/>
      <c r="AL795" s="63"/>
      <c r="AM795" s="63">
        <v>0</v>
      </c>
      <c r="AN795" s="63"/>
      <c r="AO795" s="63"/>
      <c r="AP795" s="63"/>
      <c r="AQ795" s="63"/>
      <c r="AR795" s="63"/>
      <c r="AS795" s="63"/>
      <c r="AT795" s="63"/>
      <c r="AU795" s="63"/>
      <c r="AW795" s="5">
        <f>IF(Q795&gt;0,RANK(Q795,(N795:P795,Q795:AE795)),0)</f>
        <v>3</v>
      </c>
      <c r="AX795" s="5">
        <f>IF(R795&gt;0,RANK(R795,(N795:P795,Q795:AE795)),0)</f>
        <v>0</v>
      </c>
      <c r="AY795" s="5">
        <f>IF(T795&gt;0,RANK(T795,(N795:P795,Q795:AE795)),0)</f>
        <v>0</v>
      </c>
      <c r="AZ795" s="5">
        <f>IF(S795&gt;0,RANK(S795,(N795:P795,Q795:AE795)),0)</f>
        <v>0</v>
      </c>
      <c r="BA795" s="2">
        <f t="shared" si="336"/>
        <v>4.6071094480823201E-2</v>
      </c>
      <c r="BB795" s="2">
        <f t="shared" si="337"/>
        <v>0</v>
      </c>
      <c r="BC795" s="2">
        <f t="shared" si="338"/>
        <v>0</v>
      </c>
      <c r="BD795" s="2">
        <f t="shared" si="339"/>
        <v>0</v>
      </c>
      <c r="BF795" t="s">
        <v>834</v>
      </c>
      <c r="BG795" t="s">
        <v>148</v>
      </c>
      <c r="BH795">
        <v>3</v>
      </c>
      <c r="BJ795" s="114">
        <v>18</v>
      </c>
      <c r="BK795" s="116">
        <v>113</v>
      </c>
      <c r="BL795" s="120">
        <f t="shared" si="328"/>
        <v>18113</v>
      </c>
      <c r="BN795" s="5" t="s">
        <v>3154</v>
      </c>
      <c r="BY795" s="63">
        <f t="shared" si="327"/>
        <v>17104</v>
      </c>
      <c r="CA795" s="63">
        <v>214</v>
      </c>
      <c r="CB795" s="132"/>
      <c r="CD795" s="63">
        <v>0</v>
      </c>
      <c r="CE795" s="63">
        <v>0</v>
      </c>
      <c r="CF795" s="63">
        <v>0</v>
      </c>
      <c r="CG795" s="8">
        <v>0</v>
      </c>
      <c r="CH795" s="8">
        <v>0</v>
      </c>
      <c r="CI795" s="8">
        <v>0</v>
      </c>
    </row>
    <row r="796" spans="1:87" hidden="1" outlineLevel="1">
      <c r="A796" t="s">
        <v>736</v>
      </c>
      <c r="B796" t="s">
        <v>148</v>
      </c>
      <c r="C796" s="1">
        <f t="shared" si="329"/>
        <v>2921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32">
        <f t="shared" si="330"/>
        <v>1432</v>
      </c>
      <c r="H796" s="137">
        <f t="shared" si="331"/>
        <v>0.49024306744265661</v>
      </c>
      <c r="I796" s="2"/>
      <c r="J796" s="2">
        <f t="shared" si="332"/>
        <v>0.23485107839780897</v>
      </c>
      <c r="K796" s="2">
        <f t="shared" si="333"/>
        <v>0.72509414584046561</v>
      </c>
      <c r="L796" s="2">
        <f t="shared" si="334"/>
        <v>0</v>
      </c>
      <c r="M796" s="2">
        <f t="shared" si="335"/>
        <v>4.0054775761725447E-2</v>
      </c>
      <c r="N796" s="63">
        <v>686</v>
      </c>
      <c r="O796" s="63">
        <v>2118</v>
      </c>
      <c r="P796" s="63"/>
      <c r="Q796" s="63">
        <v>113</v>
      </c>
      <c r="R796" s="63">
        <v>4</v>
      </c>
      <c r="S796" s="63">
        <v>0</v>
      </c>
      <c r="T796" s="63">
        <v>0</v>
      </c>
      <c r="U796" s="63">
        <v>0</v>
      </c>
      <c r="V796" s="63"/>
      <c r="W796" s="63">
        <f>IF(Copyright!B$11=1,IF(CA796&gt;0,CA796-P796-SUM(R796:V796)-SUM(X796:AQ796),SUM(CB796:CI796)),SUM(CC796:CI796))</f>
        <v>0</v>
      </c>
      <c r="X796" s="63"/>
      <c r="Y796" s="63">
        <v>0</v>
      </c>
      <c r="Z796" s="63">
        <v>0</v>
      </c>
      <c r="AA796" s="63"/>
      <c r="AB796" s="63"/>
      <c r="AC796" s="63"/>
      <c r="AD796" s="63"/>
      <c r="AE796" s="63">
        <v>0</v>
      </c>
      <c r="AF796" s="63"/>
      <c r="AG796" s="63"/>
      <c r="AH796" s="63"/>
      <c r="AI796" s="8"/>
      <c r="AJ796" s="63"/>
      <c r="AK796" s="63"/>
      <c r="AL796" s="63"/>
      <c r="AM796" s="63">
        <v>0</v>
      </c>
      <c r="AN796" s="63"/>
      <c r="AO796" s="63"/>
      <c r="AP796" s="63"/>
      <c r="AQ796" s="63"/>
      <c r="AR796" s="63"/>
      <c r="AS796" s="63"/>
      <c r="AT796" s="63"/>
      <c r="AU796" s="63"/>
      <c r="AW796" s="5">
        <f>IF(Q796&gt;0,RANK(Q796,(N796:P796,Q796:AE796)),0)</f>
        <v>3</v>
      </c>
      <c r="AX796" s="5">
        <f>IF(R796&gt;0,RANK(R796,(N796:P796,Q796:AE796)),0)</f>
        <v>4</v>
      </c>
      <c r="AY796" s="5">
        <f>IF(T796&gt;0,RANK(T796,(N796:P796,Q796:AE796)),0)</f>
        <v>0</v>
      </c>
      <c r="AZ796" s="5">
        <f>IF(S796&gt;0,RANK(S796,(N796:P796,Q796:AE796)),0)</f>
        <v>0</v>
      </c>
      <c r="BA796" s="2">
        <f t="shared" si="336"/>
        <v>3.8685381718589526E-2</v>
      </c>
      <c r="BB796" s="2">
        <f t="shared" si="337"/>
        <v>1.3693940431359123E-3</v>
      </c>
      <c r="BC796" s="2">
        <f t="shared" si="338"/>
        <v>0</v>
      </c>
      <c r="BD796" s="2">
        <f t="shared" si="339"/>
        <v>0</v>
      </c>
      <c r="BF796" t="s">
        <v>736</v>
      </c>
      <c r="BG796" t="s">
        <v>148</v>
      </c>
      <c r="BH796">
        <v>6</v>
      </c>
      <c r="BJ796" s="114">
        <v>18</v>
      </c>
      <c r="BK796" s="116">
        <v>115</v>
      </c>
      <c r="BL796" s="120">
        <f t="shared" si="328"/>
        <v>18115</v>
      </c>
      <c r="BN796" s="5" t="s">
        <v>3154</v>
      </c>
      <c r="BY796" s="63">
        <f t="shared" si="327"/>
        <v>2921</v>
      </c>
      <c r="CB796" s="132"/>
      <c r="CD796" s="63">
        <v>0</v>
      </c>
      <c r="CE796" s="63">
        <v>0</v>
      </c>
      <c r="CF796" s="63">
        <v>0</v>
      </c>
      <c r="CG796" s="8">
        <v>0</v>
      </c>
      <c r="CH796" s="8">
        <v>0</v>
      </c>
      <c r="CI796" s="8">
        <v>0</v>
      </c>
    </row>
    <row r="797" spans="1:87" hidden="1" outlineLevel="1">
      <c r="A797" t="s">
        <v>2013</v>
      </c>
      <c r="B797" t="s">
        <v>148</v>
      </c>
      <c r="C797" s="1">
        <f t="shared" si="329"/>
        <v>8192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32">
        <f t="shared" si="330"/>
        <v>3755</v>
      </c>
      <c r="H797" s="137">
        <f t="shared" si="331"/>
        <v>0.4583740234375</v>
      </c>
      <c r="I797" s="2"/>
      <c r="J797" s="2">
        <f t="shared" si="332"/>
        <v>0.25</v>
      </c>
      <c r="K797" s="2">
        <f t="shared" si="333"/>
        <v>0.7083740234375</v>
      </c>
      <c r="L797" s="2">
        <f t="shared" si="334"/>
        <v>0</v>
      </c>
      <c r="M797" s="2">
        <f t="shared" si="335"/>
        <v>4.16259765625E-2</v>
      </c>
      <c r="N797" s="63">
        <v>2048</v>
      </c>
      <c r="O797" s="63">
        <v>5803</v>
      </c>
      <c r="P797" s="63"/>
      <c r="Q797" s="63">
        <v>341</v>
      </c>
      <c r="R797" s="63">
        <v>0</v>
      </c>
      <c r="S797" s="63">
        <v>0</v>
      </c>
      <c r="T797" s="63">
        <v>0</v>
      </c>
      <c r="U797" s="63">
        <v>0</v>
      </c>
      <c r="V797" s="63"/>
      <c r="W797" s="63">
        <f>IF(Copyright!B$11=1,IF(CA797&gt;0,CA797-P797-SUM(R797:V797)-SUM(X797:AQ797),SUM(CB797:CI797)),SUM(CC797:CI797))</f>
        <v>0</v>
      </c>
      <c r="X797" s="63"/>
      <c r="Y797" s="63">
        <v>0</v>
      </c>
      <c r="Z797" s="63">
        <v>0</v>
      </c>
      <c r="AA797" s="63"/>
      <c r="AB797" s="63"/>
      <c r="AC797" s="63"/>
      <c r="AD797" s="63"/>
      <c r="AE797" s="63">
        <v>0</v>
      </c>
      <c r="AF797" s="63"/>
      <c r="AG797" s="63"/>
      <c r="AH797" s="63"/>
      <c r="AI797" s="8"/>
      <c r="AJ797" s="63"/>
      <c r="AK797" s="63"/>
      <c r="AL797" s="63"/>
      <c r="AM797" s="63">
        <v>0</v>
      </c>
      <c r="AN797" s="63"/>
      <c r="AO797" s="63"/>
      <c r="AP797" s="63"/>
      <c r="AQ797" s="63"/>
      <c r="AR797" s="63"/>
      <c r="AS797" s="63"/>
      <c r="AT797" s="63"/>
      <c r="AU797" s="63"/>
      <c r="AW797" s="5">
        <f>IF(Q797&gt;0,RANK(Q797,(N797:P797,Q797:AE797)),0)</f>
        <v>3</v>
      </c>
      <c r="AX797" s="5">
        <f>IF(R797&gt;0,RANK(R797,(N797:P797,Q797:AE797)),0)</f>
        <v>0</v>
      </c>
      <c r="AY797" s="5">
        <f>IF(T797&gt;0,RANK(T797,(N797:P797,Q797:AE797)),0)</f>
        <v>0</v>
      </c>
      <c r="AZ797" s="5">
        <f>IF(S797&gt;0,RANK(S797,(N797:P797,Q797:AE797)),0)</f>
        <v>0</v>
      </c>
      <c r="BA797" s="2">
        <f t="shared" si="336"/>
        <v>4.16259765625E-2</v>
      </c>
      <c r="BB797" s="2">
        <f t="shared" si="337"/>
        <v>0</v>
      </c>
      <c r="BC797" s="2">
        <f t="shared" si="338"/>
        <v>0</v>
      </c>
      <c r="BD797" s="2">
        <f t="shared" si="339"/>
        <v>0</v>
      </c>
      <c r="BF797" t="s">
        <v>2013</v>
      </c>
      <c r="BG797" t="s">
        <v>148</v>
      </c>
      <c r="BH797">
        <v>9</v>
      </c>
      <c r="BJ797" s="114">
        <v>18</v>
      </c>
      <c r="BK797" s="116">
        <v>117</v>
      </c>
      <c r="BL797" s="120">
        <f t="shared" si="328"/>
        <v>18117</v>
      </c>
      <c r="BN797" s="5" t="s">
        <v>3154</v>
      </c>
      <c r="BY797" s="63">
        <f t="shared" si="327"/>
        <v>8192</v>
      </c>
      <c r="CB797" s="132"/>
      <c r="CD797" s="63">
        <v>0</v>
      </c>
      <c r="CE797" s="63">
        <v>0</v>
      </c>
      <c r="CF797" s="63">
        <v>0</v>
      </c>
      <c r="CG797" s="8">
        <v>0</v>
      </c>
      <c r="CH797" s="8">
        <v>0</v>
      </c>
      <c r="CI797" s="8">
        <v>0</v>
      </c>
    </row>
    <row r="798" spans="1:87" hidden="1" outlineLevel="1">
      <c r="A798" t="s">
        <v>2774</v>
      </c>
      <c r="B798" t="s">
        <v>148</v>
      </c>
      <c r="C798" s="1">
        <f t="shared" si="329"/>
        <v>8557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32">
        <f t="shared" si="330"/>
        <v>4207</v>
      </c>
      <c r="H798" s="137">
        <f t="shared" si="331"/>
        <v>0.49164426785088233</v>
      </c>
      <c r="I798" s="2"/>
      <c r="J798" s="2">
        <f t="shared" si="332"/>
        <v>0.22741615052004208</v>
      </c>
      <c r="K798" s="2">
        <f t="shared" si="333"/>
        <v>0.71906041837092438</v>
      </c>
      <c r="L798" s="2">
        <f t="shared" si="334"/>
        <v>0</v>
      </c>
      <c r="M798" s="2">
        <f t="shared" si="335"/>
        <v>5.352343110903357E-2</v>
      </c>
      <c r="N798" s="63">
        <v>1946</v>
      </c>
      <c r="O798" s="63">
        <v>6153</v>
      </c>
      <c r="P798" s="63"/>
      <c r="Q798" s="63">
        <v>423</v>
      </c>
      <c r="R798" s="63">
        <v>29</v>
      </c>
      <c r="S798" s="63">
        <v>5</v>
      </c>
      <c r="T798" s="63">
        <v>0</v>
      </c>
      <c r="U798" s="63">
        <v>0</v>
      </c>
      <c r="V798" s="63"/>
      <c r="W798" s="63">
        <f>IF(Copyright!B$11=1,IF(CA798&gt;0,CA798-P798-SUM(R798:V798)-SUM(X798:AQ798),SUM(CB798:CI798)),SUM(CC798:CI798))</f>
        <v>0</v>
      </c>
      <c r="X798" s="63"/>
      <c r="Y798" s="63">
        <v>1</v>
      </c>
      <c r="Z798" s="63">
        <v>0</v>
      </c>
      <c r="AA798" s="63"/>
      <c r="AB798" s="63"/>
      <c r="AC798" s="63"/>
      <c r="AD798" s="63"/>
      <c r="AE798" s="63">
        <v>0</v>
      </c>
      <c r="AF798" s="63"/>
      <c r="AG798" s="63"/>
      <c r="AH798" s="63"/>
      <c r="AI798" s="8"/>
      <c r="AJ798" s="63"/>
      <c r="AK798" s="63"/>
      <c r="AL798" s="63"/>
      <c r="AM798" s="63">
        <v>0</v>
      </c>
      <c r="AN798" s="63"/>
      <c r="AO798" s="63"/>
      <c r="AP798" s="63"/>
      <c r="AQ798" s="63"/>
      <c r="AR798" s="63"/>
      <c r="AS798" s="63"/>
      <c r="AT798" s="63"/>
      <c r="AU798" s="63"/>
      <c r="AW798" s="5">
        <f>IF(Q798&gt;0,RANK(Q798,(N798:P798,Q798:AE798)),0)</f>
        <v>3</v>
      </c>
      <c r="AX798" s="5">
        <f>IF(R798&gt;0,RANK(R798,(N798:P798,Q798:AE798)),0)</f>
        <v>4</v>
      </c>
      <c r="AY798" s="5">
        <f>IF(T798&gt;0,RANK(T798,(N798:P798,Q798:AE798)),0)</f>
        <v>0</v>
      </c>
      <c r="AZ798" s="5">
        <f>IF(S798&gt;0,RANK(S798,(N798:P798,Q798:AE798)),0)</f>
        <v>5</v>
      </c>
      <c r="BA798" s="2">
        <f t="shared" si="336"/>
        <v>4.943321257450041E-2</v>
      </c>
      <c r="BB798" s="2">
        <f t="shared" si="337"/>
        <v>3.3890382143274512E-3</v>
      </c>
      <c r="BC798" s="2">
        <f t="shared" si="338"/>
        <v>0</v>
      </c>
      <c r="BD798" s="2">
        <f t="shared" si="339"/>
        <v>5.8431693350473302E-4</v>
      </c>
      <c r="BF798" t="s">
        <v>2774</v>
      </c>
      <c r="BG798" t="s">
        <v>148</v>
      </c>
      <c r="BH798">
        <v>8</v>
      </c>
      <c r="BJ798" s="114">
        <v>18</v>
      </c>
      <c r="BK798" s="116">
        <v>119</v>
      </c>
      <c r="BL798" s="120">
        <f t="shared" si="328"/>
        <v>18119</v>
      </c>
      <c r="BN798" s="5" t="s">
        <v>3154</v>
      </c>
      <c r="BY798" s="63">
        <f t="shared" si="327"/>
        <v>8557</v>
      </c>
      <c r="CB798" s="132"/>
      <c r="CD798" s="63">
        <v>0</v>
      </c>
      <c r="CE798" s="63">
        <v>0</v>
      </c>
      <c r="CF798" s="63">
        <v>0</v>
      </c>
      <c r="CG798" s="8">
        <v>0</v>
      </c>
      <c r="CH798" s="8">
        <v>0</v>
      </c>
      <c r="CI798" s="8">
        <v>0</v>
      </c>
    </row>
    <row r="799" spans="1:87" hidden="1" outlineLevel="1">
      <c r="A799" t="s">
        <v>2871</v>
      </c>
      <c r="B799" t="s">
        <v>148</v>
      </c>
      <c r="C799" s="1">
        <f t="shared" si="329"/>
        <v>6636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32">
        <f t="shared" si="330"/>
        <v>3422</v>
      </c>
      <c r="H799" s="137">
        <f t="shared" si="331"/>
        <v>0.51567209162145866</v>
      </c>
      <c r="I799" s="2"/>
      <c r="J799" s="2">
        <f t="shared" si="332"/>
        <v>0.21714888487040385</v>
      </c>
      <c r="K799" s="2">
        <f t="shared" si="333"/>
        <v>0.73282097649186262</v>
      </c>
      <c r="L799" s="2">
        <f t="shared" si="334"/>
        <v>0</v>
      </c>
      <c r="M799" s="2">
        <f t="shared" si="335"/>
        <v>5.0030138637733534E-2</v>
      </c>
      <c r="N799" s="63">
        <v>1441</v>
      </c>
      <c r="O799" s="63">
        <v>4863</v>
      </c>
      <c r="P799" s="63"/>
      <c r="Q799" s="63">
        <v>272</v>
      </c>
      <c r="R799" s="63">
        <v>5</v>
      </c>
      <c r="S799" s="63">
        <v>0</v>
      </c>
      <c r="T799" s="63">
        <v>0</v>
      </c>
      <c r="U799" s="63">
        <v>0</v>
      </c>
      <c r="V799" s="63"/>
      <c r="W799" s="63">
        <f>IF(Copyright!B$11=1,IF(CA799&gt;0,CA799-P799-SUM(R799:V799)-SUM(X799:AQ799),SUM(CB799:CI799)),SUM(CC799:CI799))</f>
        <v>55</v>
      </c>
      <c r="X799" s="63"/>
      <c r="Y799" s="63">
        <v>0</v>
      </c>
      <c r="Z799" s="63">
        <v>0</v>
      </c>
      <c r="AA799" s="63"/>
      <c r="AB799" s="63"/>
      <c r="AC799" s="63"/>
      <c r="AD799" s="63"/>
      <c r="AE799" s="63">
        <v>0</v>
      </c>
      <c r="AF799" s="63"/>
      <c r="AG799" s="63"/>
      <c r="AH799" s="63"/>
      <c r="AI799" s="8"/>
      <c r="AJ799" s="63"/>
      <c r="AK799" s="63"/>
      <c r="AL799" s="63"/>
      <c r="AM799" s="63">
        <v>0</v>
      </c>
      <c r="AN799" s="63"/>
      <c r="AO799" s="63"/>
      <c r="AP799" s="63"/>
      <c r="AQ799" s="63"/>
      <c r="AR799" s="63"/>
      <c r="AS799" s="63"/>
      <c r="AT799" s="63"/>
      <c r="AU799" s="63"/>
      <c r="AW799" s="5">
        <f>IF(Q799&gt;0,RANK(Q799,(N799:P799,Q799:AE799)),0)</f>
        <v>3</v>
      </c>
      <c r="AX799" s="5">
        <f>IF(R799&gt;0,RANK(R799,(N799:P799,Q799:AE799)),0)</f>
        <v>5</v>
      </c>
      <c r="AY799" s="5">
        <f>IF(T799&gt;0,RANK(T799,(N799:P799,Q799:AE799)),0)</f>
        <v>0</v>
      </c>
      <c r="AZ799" s="5">
        <f>IF(S799&gt;0,RANK(S799,(N799:P799,Q799:AE799)),0)</f>
        <v>0</v>
      </c>
      <c r="BA799" s="2">
        <f t="shared" si="336"/>
        <v>4.0988547317661245E-2</v>
      </c>
      <c r="BB799" s="2">
        <f t="shared" si="337"/>
        <v>7.5346594333936109E-4</v>
      </c>
      <c r="BC799" s="2">
        <f t="shared" si="338"/>
        <v>0</v>
      </c>
      <c r="BD799" s="2">
        <f t="shared" si="339"/>
        <v>0</v>
      </c>
      <c r="BF799" t="s">
        <v>2871</v>
      </c>
      <c r="BG799" t="s">
        <v>148</v>
      </c>
      <c r="BH799">
        <v>8</v>
      </c>
      <c r="BJ799" s="114">
        <v>18</v>
      </c>
      <c r="BK799" s="116">
        <v>121</v>
      </c>
      <c r="BL799" s="120">
        <f t="shared" si="328"/>
        <v>18121</v>
      </c>
      <c r="BN799" s="5" t="s">
        <v>3154</v>
      </c>
      <c r="BY799" s="63">
        <f t="shared" si="327"/>
        <v>6636</v>
      </c>
      <c r="CA799" s="63">
        <v>60</v>
      </c>
      <c r="CB799" s="132"/>
      <c r="CD799" s="63">
        <v>0</v>
      </c>
      <c r="CE799" s="63">
        <v>0</v>
      </c>
      <c r="CF799" s="63">
        <v>0</v>
      </c>
      <c r="CG799" s="8">
        <v>0</v>
      </c>
      <c r="CH799" s="8">
        <v>0</v>
      </c>
      <c r="CI799" s="8">
        <v>1</v>
      </c>
    </row>
    <row r="800" spans="1:87" hidden="1" outlineLevel="1">
      <c r="A800" t="s">
        <v>2118</v>
      </c>
      <c r="B800" t="s">
        <v>148</v>
      </c>
      <c r="C800" s="1">
        <f t="shared" si="329"/>
        <v>8055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>IF(P800&gt;0,RANK(P800,(N800:P800,Q800:AE800)),0)</f>
        <v>0</v>
      </c>
      <c r="G800" s="132">
        <f t="shared" si="330"/>
        <v>1494</v>
      </c>
      <c r="H800" s="137">
        <f t="shared" si="331"/>
        <v>0.18547486033519553</v>
      </c>
      <c r="I800" s="2"/>
      <c r="J800" s="2">
        <f t="shared" si="332"/>
        <v>0.38013656114214772</v>
      </c>
      <c r="K800" s="2">
        <f t="shared" si="333"/>
        <v>0.56561142147734322</v>
      </c>
      <c r="L800" s="2">
        <f t="shared" si="334"/>
        <v>0</v>
      </c>
      <c r="M800" s="2">
        <f t="shared" si="335"/>
        <v>5.425201738050911E-2</v>
      </c>
      <c r="N800" s="63">
        <v>3062</v>
      </c>
      <c r="O800" s="63">
        <v>4556</v>
      </c>
      <c r="P800" s="63"/>
      <c r="Q800" s="63">
        <v>407</v>
      </c>
      <c r="R800" s="63">
        <v>24</v>
      </c>
      <c r="S800" s="63">
        <v>6</v>
      </c>
      <c r="T800" s="63">
        <v>0</v>
      </c>
      <c r="U800" s="63">
        <v>0</v>
      </c>
      <c r="V800" s="63"/>
      <c r="W800" s="63">
        <f>IF(Copyright!B$11=1,IF(CA800&gt;0,CA800-P800-SUM(R800:V800)-SUM(X800:AQ800),SUM(CB800:CI800)),SUM(CC800:CI800))</f>
        <v>0</v>
      </c>
      <c r="X800" s="63"/>
      <c r="Y800" s="63">
        <v>0</v>
      </c>
      <c r="Z800" s="63">
        <v>0</v>
      </c>
      <c r="AA800" s="63"/>
      <c r="AB800" s="63"/>
      <c r="AC800" s="63"/>
      <c r="AD800" s="63"/>
      <c r="AE800" s="63">
        <v>0</v>
      </c>
      <c r="AF800" s="63"/>
      <c r="AG800" s="63"/>
      <c r="AH800" s="63"/>
      <c r="AI800" s="8"/>
      <c r="AJ800" s="63"/>
      <c r="AK800" s="63"/>
      <c r="AL800" s="63"/>
      <c r="AM800" s="63">
        <v>0</v>
      </c>
      <c r="AN800" s="63"/>
      <c r="AO800" s="63"/>
      <c r="AP800" s="63"/>
      <c r="AQ800" s="63"/>
      <c r="AR800" s="63"/>
      <c r="AS800" s="63"/>
      <c r="AT800" s="63"/>
      <c r="AU800" s="63"/>
      <c r="AW800" s="5">
        <f>IF(Q800&gt;0,RANK(Q800,(N800:P800,Q800:AE800)),0)</f>
        <v>3</v>
      </c>
      <c r="AX800" s="5">
        <f>IF(R800&gt;0,RANK(R800,(N800:P800,Q800:AE800)),0)</f>
        <v>4</v>
      </c>
      <c r="AY800" s="5">
        <f>IF(T800&gt;0,RANK(T800,(N800:P800,Q800:AE800)),0)</f>
        <v>0</v>
      </c>
      <c r="AZ800" s="5">
        <f>IF(S800&gt;0,RANK(S800,(N800:P800,Q800:AE800)),0)</f>
        <v>5</v>
      </c>
      <c r="BA800" s="2">
        <f t="shared" si="336"/>
        <v>5.0527622594661703E-2</v>
      </c>
      <c r="BB800" s="2">
        <f t="shared" si="337"/>
        <v>2.9795158286778397E-3</v>
      </c>
      <c r="BC800" s="2">
        <f t="shared" si="338"/>
        <v>0</v>
      </c>
      <c r="BD800" s="2">
        <f t="shared" si="339"/>
        <v>7.4487895716945994E-4</v>
      </c>
      <c r="BF800" t="s">
        <v>2118</v>
      </c>
      <c r="BG800" t="s">
        <v>148</v>
      </c>
      <c r="BH800">
        <v>8</v>
      </c>
      <c r="BJ800" s="114">
        <v>18</v>
      </c>
      <c r="BK800" s="116">
        <v>123</v>
      </c>
      <c r="BL800" s="120">
        <f t="shared" si="328"/>
        <v>18123</v>
      </c>
      <c r="BN800" s="5" t="s">
        <v>3154</v>
      </c>
      <c r="BY800" s="63">
        <f t="shared" si="327"/>
        <v>8055</v>
      </c>
      <c r="CB800" s="132"/>
      <c r="CD800" s="63">
        <v>0</v>
      </c>
      <c r="CE800" s="63">
        <v>0</v>
      </c>
      <c r="CF800" s="63">
        <v>0</v>
      </c>
      <c r="CG800" s="8">
        <v>0</v>
      </c>
      <c r="CH800" s="8">
        <v>0</v>
      </c>
      <c r="CI800" s="8">
        <v>0</v>
      </c>
    </row>
    <row r="801" spans="1:87" hidden="1" outlineLevel="1">
      <c r="A801" t="s">
        <v>2655</v>
      </c>
      <c r="B801" t="s">
        <v>148</v>
      </c>
      <c r="C801" s="1">
        <f t="shared" si="329"/>
        <v>5977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32">
        <f t="shared" si="330"/>
        <v>3101</v>
      </c>
      <c r="H801" s="137">
        <f t="shared" si="331"/>
        <v>0.51882215158106071</v>
      </c>
      <c r="I801" s="2"/>
      <c r="J801" s="2">
        <f t="shared" si="332"/>
        <v>0.21699849422787351</v>
      </c>
      <c r="K801" s="2">
        <f t="shared" si="333"/>
        <v>0.73582064580893425</v>
      </c>
      <c r="L801" s="2">
        <f t="shared" si="334"/>
        <v>0</v>
      </c>
      <c r="M801" s="2">
        <f t="shared" si="335"/>
        <v>4.7180859963192212E-2</v>
      </c>
      <c r="N801" s="63">
        <v>1297</v>
      </c>
      <c r="O801" s="63">
        <v>4398</v>
      </c>
      <c r="P801" s="63"/>
      <c r="Q801" s="63">
        <v>282</v>
      </c>
      <c r="R801" s="63">
        <v>0</v>
      </c>
      <c r="S801" s="63">
        <v>0</v>
      </c>
      <c r="T801" s="63">
        <v>0</v>
      </c>
      <c r="U801" s="63">
        <v>0</v>
      </c>
      <c r="V801" s="63"/>
      <c r="W801" s="63">
        <f>IF(Copyright!B$11=1,IF(CA801&gt;0,CA801-P801-SUM(R801:V801)-SUM(X801:AQ801),SUM(CB801:CI801)),SUM(CC801:CI801))</f>
        <v>0</v>
      </c>
      <c r="X801" s="63"/>
      <c r="Y801" s="63">
        <v>0</v>
      </c>
      <c r="Z801" s="63">
        <v>0</v>
      </c>
      <c r="AA801" s="63"/>
      <c r="AB801" s="63"/>
      <c r="AC801" s="63"/>
      <c r="AD801" s="63"/>
      <c r="AE801" s="63">
        <v>0</v>
      </c>
      <c r="AF801" s="63"/>
      <c r="AG801" s="63"/>
      <c r="AH801" s="63"/>
      <c r="AI801" s="8"/>
      <c r="AJ801" s="63"/>
      <c r="AK801" s="63"/>
      <c r="AL801" s="63"/>
      <c r="AM801" s="63">
        <v>0</v>
      </c>
      <c r="AN801" s="63"/>
      <c r="AO801" s="63"/>
      <c r="AP801" s="63"/>
      <c r="AQ801" s="63"/>
      <c r="AR801" s="63"/>
      <c r="AS801" s="63"/>
      <c r="AT801" s="63"/>
      <c r="AU801" s="63"/>
      <c r="AW801" s="5">
        <f>IF(Q801&gt;0,RANK(Q801,(N801:P801,Q801:AE801)),0)</f>
        <v>3</v>
      </c>
      <c r="AX801" s="5">
        <f>IF(R801&gt;0,RANK(R801,(N801:P801,Q801:AE801)),0)</f>
        <v>0</v>
      </c>
      <c r="AY801" s="5">
        <f>IF(T801&gt;0,RANK(T801,(N801:P801,Q801:AE801)),0)</f>
        <v>0</v>
      </c>
      <c r="AZ801" s="5">
        <f>IF(S801&gt;0,RANK(S801,(N801:P801,Q801:AE801)),0)</f>
        <v>0</v>
      </c>
      <c r="BA801" s="2">
        <f t="shared" si="336"/>
        <v>4.718085996319224E-2</v>
      </c>
      <c r="BB801" s="2">
        <f t="shared" si="337"/>
        <v>0</v>
      </c>
      <c r="BC801" s="2">
        <f t="shared" si="338"/>
        <v>0</v>
      </c>
      <c r="BD801" s="2">
        <f t="shared" si="339"/>
        <v>0</v>
      </c>
      <c r="BF801" t="s">
        <v>2655</v>
      </c>
      <c r="BG801" t="s">
        <v>148</v>
      </c>
      <c r="BH801">
        <v>8</v>
      </c>
      <c r="BJ801" s="114">
        <v>18</v>
      </c>
      <c r="BK801" s="116">
        <v>125</v>
      </c>
      <c r="BL801" s="120">
        <f t="shared" si="328"/>
        <v>18125</v>
      </c>
      <c r="BN801" s="5" t="s">
        <v>3154</v>
      </c>
      <c r="BY801" s="63">
        <f t="shared" si="327"/>
        <v>5977</v>
      </c>
      <c r="CB801" s="132"/>
      <c r="CD801" s="63">
        <v>0</v>
      </c>
      <c r="CE801" s="63">
        <v>0</v>
      </c>
      <c r="CF801" s="63">
        <v>0</v>
      </c>
      <c r="CG801" s="8">
        <v>0</v>
      </c>
      <c r="CH801" s="8">
        <v>0</v>
      </c>
      <c r="CI801" s="8">
        <v>0</v>
      </c>
    </row>
    <row r="802" spans="1:87" hidden="1" outlineLevel="1">
      <c r="A802" t="s">
        <v>2231</v>
      </c>
      <c r="B802" t="s">
        <v>148</v>
      </c>
      <c r="C802" s="1">
        <f t="shared" si="329"/>
        <v>78253</v>
      </c>
      <c r="D802" s="5">
        <f>IF(N802&gt;0, RANK(N802,(N802:P802,Q802:AE802)),0)</f>
        <v>2</v>
      </c>
      <c r="E802" s="5">
        <f>IF(O802&gt;0,RANK(O802,(N802:P802,Q802:AE802)),0)</f>
        <v>1</v>
      </c>
      <c r="F802" s="5">
        <f>IF(P802&gt;0,RANK(P802,(N802:P802,Q802:AE802)),0)</f>
        <v>0</v>
      </c>
      <c r="G802" s="132">
        <f t="shared" si="330"/>
        <v>5156</v>
      </c>
      <c r="H802" s="137">
        <f t="shared" si="331"/>
        <v>6.588884771190881E-2</v>
      </c>
      <c r="I802" s="2"/>
      <c r="J802" s="2">
        <f t="shared" si="332"/>
        <v>0.43034771829834001</v>
      </c>
      <c r="K802" s="2">
        <f t="shared" si="333"/>
        <v>0.49623656601024879</v>
      </c>
      <c r="L802" s="2">
        <f t="shared" si="334"/>
        <v>0</v>
      </c>
      <c r="M802" s="2">
        <f t="shared" si="335"/>
        <v>7.3415715691411254E-2</v>
      </c>
      <c r="N802" s="63">
        <v>33676</v>
      </c>
      <c r="O802" s="63">
        <v>38832</v>
      </c>
      <c r="P802" s="63"/>
      <c r="Q802" s="63">
        <v>4253</v>
      </c>
      <c r="R802" s="63">
        <v>367</v>
      </c>
      <c r="S802" s="63">
        <v>47</v>
      </c>
      <c r="T802" s="63">
        <v>1</v>
      </c>
      <c r="U802" s="63">
        <v>4</v>
      </c>
      <c r="V802" s="63"/>
      <c r="W802" s="63">
        <f>IF(Copyright!B$11=1,IF(CA802&gt;0,CA802-P802-SUM(R802:V802)-SUM(X802:AQ802),SUM(CB802:CI802)),SUM(CC802:CI802))</f>
        <v>1073</v>
      </c>
      <c r="X802" s="63"/>
      <c r="Y802" s="63">
        <v>0</v>
      </c>
      <c r="Z802" s="63">
        <v>0</v>
      </c>
      <c r="AA802" s="63"/>
      <c r="AB802" s="63"/>
      <c r="AC802" s="63"/>
      <c r="AD802" s="63"/>
      <c r="AE802" s="63">
        <v>0</v>
      </c>
      <c r="AF802" s="63"/>
      <c r="AG802" s="63"/>
      <c r="AH802" s="63"/>
      <c r="AI802" s="8"/>
      <c r="AJ802" s="63"/>
      <c r="AK802" s="63"/>
      <c r="AL802" s="63"/>
      <c r="AM802" s="63">
        <v>0</v>
      </c>
      <c r="AN802" s="63"/>
      <c r="AO802" s="63"/>
      <c r="AP802" s="63"/>
      <c r="AQ802" s="63"/>
      <c r="AR802" s="63"/>
      <c r="AS802" s="63"/>
      <c r="AT802" s="63"/>
      <c r="AU802" s="63"/>
      <c r="AW802" s="5">
        <f>IF(Q802&gt;0,RANK(Q802,(N802:P802,Q802:AE802)),0)</f>
        <v>3</v>
      </c>
      <c r="AX802" s="5">
        <f>IF(R802&gt;0,RANK(R802,(N802:P802,Q802:AE802)),0)</f>
        <v>5</v>
      </c>
      <c r="AY802" s="5">
        <f>IF(T802&gt;0,RANK(T802,(N802:P802,Q802:AE802)),0)</f>
        <v>8</v>
      </c>
      <c r="AZ802" s="5">
        <f>IF(S802&gt;0,RANK(S802,(N802:P802,Q802:AE802)),0)</f>
        <v>6</v>
      </c>
      <c r="BA802" s="2">
        <f t="shared" si="336"/>
        <v>5.4349354018376289E-2</v>
      </c>
      <c r="BB802" s="2">
        <f t="shared" si="337"/>
        <v>4.6899160415575123E-3</v>
      </c>
      <c r="BC802" s="2">
        <f t="shared" si="338"/>
        <v>1.2779062783535455E-5</v>
      </c>
      <c r="BD802" s="2">
        <f t="shared" si="339"/>
        <v>6.0061595082616637E-4</v>
      </c>
      <c r="BF802" t="s">
        <v>2231</v>
      </c>
      <c r="BG802" t="s">
        <v>148</v>
      </c>
      <c r="BH802">
        <v>1</v>
      </c>
      <c r="BJ802" s="114">
        <v>18</v>
      </c>
      <c r="BK802" s="116">
        <v>127</v>
      </c>
      <c r="BL802" s="120">
        <f t="shared" si="328"/>
        <v>18127</v>
      </c>
      <c r="BN802" s="5" t="s">
        <v>3154</v>
      </c>
      <c r="BY802" s="63">
        <f t="shared" si="327"/>
        <v>78253</v>
      </c>
      <c r="CA802" s="63">
        <v>1492</v>
      </c>
      <c r="CB802" s="132"/>
      <c r="CD802" s="63">
        <v>0</v>
      </c>
      <c r="CE802" s="63">
        <v>0</v>
      </c>
      <c r="CF802" s="63">
        <v>2</v>
      </c>
      <c r="CG802" s="8">
        <v>0</v>
      </c>
      <c r="CH802" s="8">
        <v>0</v>
      </c>
      <c r="CI802" s="8">
        <v>8</v>
      </c>
    </row>
    <row r="803" spans="1:87" hidden="1" outlineLevel="1">
      <c r="A803" t="s">
        <v>2719</v>
      </c>
      <c r="B803" t="s">
        <v>148</v>
      </c>
      <c r="C803" s="1">
        <f t="shared" ref="C803:C831" si="340">SUM(N803:AU803)</f>
        <v>12467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32">
        <f t="shared" ref="G803:G831" si="341">IF(C803&gt;0,MAX(N803:P803)-LARGE(N803:P803,2),0)</f>
        <v>4883</v>
      </c>
      <c r="H803" s="137">
        <f t="shared" ref="H803:H831" si="342">IF(C803&gt;0,G803/C803,0)</f>
        <v>0.39167401941124569</v>
      </c>
      <c r="I803" s="2"/>
      <c r="J803" s="2">
        <f t="shared" ref="J803:J831" si="343">IF($C803=0,"-",N803/$C803)</f>
        <v>0.28242560359348678</v>
      </c>
      <c r="K803" s="2">
        <f t="shared" ref="K803:K831" si="344">IF($C803=0,"-",O803/$C803)</f>
        <v>0.67409962300473247</v>
      </c>
      <c r="L803" s="2">
        <f t="shared" ref="L803:L831" si="345">IF($C803=0,"-",P803/$C803)</f>
        <v>0</v>
      </c>
      <c r="M803" s="2">
        <f t="shared" ref="M803:M831" si="346">IF(C803=0,"-",(1-J803-K803-L803))</f>
        <v>4.3474773401780742E-2</v>
      </c>
      <c r="N803" s="63">
        <v>3521</v>
      </c>
      <c r="O803" s="63">
        <v>8404</v>
      </c>
      <c r="P803" s="63"/>
      <c r="Q803" s="63">
        <v>542</v>
      </c>
      <c r="R803" s="63">
        <v>0</v>
      </c>
      <c r="S803" s="63">
        <v>0</v>
      </c>
      <c r="T803" s="63">
        <v>0</v>
      </c>
      <c r="U803" s="63">
        <v>0</v>
      </c>
      <c r="V803" s="63"/>
      <c r="W803" s="63">
        <f>IF(Copyright!B$11=1,IF(CA803&gt;0,CA803-P803-SUM(R803:V803)-SUM(X803:AQ803),SUM(CB803:CI803)),SUM(CC803:CI803))</f>
        <v>0</v>
      </c>
      <c r="X803" s="63"/>
      <c r="Y803" s="63">
        <v>0</v>
      </c>
      <c r="Z803" s="63">
        <v>0</v>
      </c>
      <c r="AA803" s="63"/>
      <c r="AB803" s="63"/>
      <c r="AC803" s="63"/>
      <c r="AD803" s="63"/>
      <c r="AE803" s="63">
        <v>0</v>
      </c>
      <c r="AF803" s="63"/>
      <c r="AG803" s="63"/>
      <c r="AH803" s="63"/>
      <c r="AI803" s="8"/>
      <c r="AJ803" s="63"/>
      <c r="AK803" s="63"/>
      <c r="AL803" s="63"/>
      <c r="AM803" s="63">
        <v>0</v>
      </c>
      <c r="AN803" s="63"/>
      <c r="AO803" s="63"/>
      <c r="AP803" s="63"/>
      <c r="AQ803" s="63"/>
      <c r="AR803" s="63"/>
      <c r="AS803" s="63"/>
      <c r="AT803" s="63"/>
      <c r="AU803" s="63"/>
      <c r="AW803" s="5">
        <f>IF(Q803&gt;0,RANK(Q803,(N803:P803,Q803:AE803)),0)</f>
        <v>3</v>
      </c>
      <c r="AX803" s="5">
        <f>IF(R803&gt;0,RANK(R803,(N803:P803,Q803:AE803)),0)</f>
        <v>0</v>
      </c>
      <c r="AY803" s="5">
        <f>IF(T803&gt;0,RANK(T803,(N803:P803,Q803:AE803)),0)</f>
        <v>0</v>
      </c>
      <c r="AZ803" s="5">
        <f>IF(S803&gt;0,RANK(S803,(N803:P803,Q803:AE803)),0)</f>
        <v>0</v>
      </c>
      <c r="BA803" s="2">
        <f t="shared" ref="BA803:BA831" si="347">IF($C803=0,"-",Q803/$C803)</f>
        <v>4.34747734017807E-2</v>
      </c>
      <c r="BB803" s="2">
        <f t="shared" ref="BB803:BB831" si="348">IF($C803=0,"-",R803/$C803)</f>
        <v>0</v>
      </c>
      <c r="BC803" s="2">
        <f t="shared" ref="BC803:BC831" si="349">IF($C803=0,"-",T803/$C803)</f>
        <v>0</v>
      </c>
      <c r="BD803" s="2">
        <f t="shared" ref="BD803:BD831" si="350">IF($C803=0,"-",S803/$C803)</f>
        <v>0</v>
      </c>
      <c r="BF803" t="s">
        <v>2719</v>
      </c>
      <c r="BG803" t="s">
        <v>148</v>
      </c>
      <c r="BH803">
        <v>8</v>
      </c>
      <c r="BJ803" s="114">
        <v>18</v>
      </c>
      <c r="BK803" s="116">
        <v>129</v>
      </c>
      <c r="BL803" s="120">
        <f t="shared" si="328"/>
        <v>18129</v>
      </c>
      <c r="BN803" s="5" t="s">
        <v>3154</v>
      </c>
      <c r="BY803" s="63">
        <f t="shared" si="327"/>
        <v>12467</v>
      </c>
      <c r="CB803" s="132"/>
      <c r="CD803" s="63">
        <v>0</v>
      </c>
      <c r="CE803" s="63">
        <v>0</v>
      </c>
      <c r="CF803" s="63">
        <v>0</v>
      </c>
      <c r="CG803" s="8">
        <v>0</v>
      </c>
      <c r="CH803" s="8">
        <v>0</v>
      </c>
      <c r="CI803" s="8">
        <v>0</v>
      </c>
    </row>
    <row r="804" spans="1:87" hidden="1" outlineLevel="1">
      <c r="A804" t="s">
        <v>2087</v>
      </c>
      <c r="B804" t="s">
        <v>148</v>
      </c>
      <c r="C804" s="1">
        <f t="shared" si="340"/>
        <v>5459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32">
        <f t="shared" si="341"/>
        <v>2527</v>
      </c>
      <c r="H804" s="137">
        <f t="shared" si="342"/>
        <v>0.46290529400989194</v>
      </c>
      <c r="I804" s="2"/>
      <c r="J804" s="2">
        <f t="shared" si="343"/>
        <v>0.24308481406851071</v>
      </c>
      <c r="K804" s="2">
        <f t="shared" si="344"/>
        <v>0.70599010807840268</v>
      </c>
      <c r="L804" s="2">
        <f t="shared" si="345"/>
        <v>0</v>
      </c>
      <c r="M804" s="2">
        <f t="shared" si="346"/>
        <v>5.0925077853086642E-2</v>
      </c>
      <c r="N804" s="63">
        <v>1327</v>
      </c>
      <c r="O804" s="63">
        <v>3854</v>
      </c>
      <c r="P804" s="63"/>
      <c r="Q804" s="63">
        <v>256</v>
      </c>
      <c r="R804" s="63">
        <v>13</v>
      </c>
      <c r="S804" s="63">
        <v>7</v>
      </c>
      <c r="T804" s="63">
        <v>0</v>
      </c>
      <c r="U804" s="63">
        <v>0</v>
      </c>
      <c r="V804" s="63"/>
      <c r="W804" s="63">
        <f>IF(Copyright!B$11=1,IF(CA804&gt;0,CA804-P804-SUM(R804:V804)-SUM(X804:AQ804),SUM(CB804:CI804)),SUM(CC804:CI804))</f>
        <v>1</v>
      </c>
      <c r="X804" s="63"/>
      <c r="Y804" s="63">
        <v>0</v>
      </c>
      <c r="Z804" s="63">
        <v>0</v>
      </c>
      <c r="AA804" s="63"/>
      <c r="AB804" s="63"/>
      <c r="AC804" s="63"/>
      <c r="AD804" s="63"/>
      <c r="AE804" s="63">
        <v>0</v>
      </c>
      <c r="AF804" s="63"/>
      <c r="AG804" s="63"/>
      <c r="AH804" s="63"/>
      <c r="AI804" s="8"/>
      <c r="AJ804" s="63"/>
      <c r="AK804" s="63"/>
      <c r="AL804" s="63"/>
      <c r="AM804" s="63">
        <v>1</v>
      </c>
      <c r="AN804" s="63"/>
      <c r="AO804" s="63"/>
      <c r="AP804" s="63"/>
      <c r="AQ804" s="63"/>
      <c r="AR804" s="63"/>
      <c r="AS804" s="63"/>
      <c r="AT804" s="63"/>
      <c r="AU804" s="63"/>
      <c r="AW804" s="5">
        <f>IF(Q804&gt;0,RANK(Q804,(N804:P804,Q804:AE804)),0)</f>
        <v>3</v>
      </c>
      <c r="AX804" s="5">
        <f>IF(R804&gt;0,RANK(R804,(N804:P804,Q804:AE804)),0)</f>
        <v>4</v>
      </c>
      <c r="AY804" s="5">
        <f>IF(T804&gt;0,RANK(T804,(N804:P804,Q804:AE804)),0)</f>
        <v>0</v>
      </c>
      <c r="AZ804" s="5">
        <f>IF(S804&gt;0,RANK(S804,(N804:P804,Q804:AE804)),0)</f>
        <v>5</v>
      </c>
      <c r="BA804" s="2">
        <f t="shared" si="347"/>
        <v>4.6895035720827989E-2</v>
      </c>
      <c r="BB804" s="2">
        <f t="shared" si="348"/>
        <v>2.3813885326982964E-3</v>
      </c>
      <c r="BC804" s="2">
        <f t="shared" si="349"/>
        <v>0</v>
      </c>
      <c r="BD804" s="2">
        <f t="shared" si="350"/>
        <v>1.2822861329913904E-3</v>
      </c>
      <c r="BF804" t="s">
        <v>2087</v>
      </c>
      <c r="BG804" t="s">
        <v>148</v>
      </c>
      <c r="BH804">
        <v>2</v>
      </c>
      <c r="BJ804" s="114">
        <v>18</v>
      </c>
      <c r="BK804" s="116">
        <v>131</v>
      </c>
      <c r="BL804" s="120">
        <f t="shared" si="328"/>
        <v>18131</v>
      </c>
      <c r="BN804" s="5" t="s">
        <v>3154</v>
      </c>
      <c r="BY804" s="63">
        <f t="shared" ref="BY804:BY831" si="351">C804-BZ804</f>
        <v>5459</v>
      </c>
      <c r="CB804" s="132"/>
      <c r="CD804" s="63">
        <v>1</v>
      </c>
      <c r="CE804" s="63">
        <v>0</v>
      </c>
      <c r="CF804" s="63">
        <v>0</v>
      </c>
      <c r="CG804" s="8">
        <v>0</v>
      </c>
      <c r="CH804" s="8">
        <v>0</v>
      </c>
      <c r="CI804" s="8">
        <v>0</v>
      </c>
    </row>
    <row r="805" spans="1:87" hidden="1" outlineLevel="1">
      <c r="A805" t="s">
        <v>955</v>
      </c>
      <c r="B805" t="s">
        <v>148</v>
      </c>
      <c r="C805" s="1">
        <f t="shared" si="340"/>
        <v>14715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32">
        <f t="shared" si="341"/>
        <v>7281</v>
      </c>
      <c r="H805" s="137">
        <f t="shared" si="342"/>
        <v>0.4948012232415902</v>
      </c>
      <c r="I805" s="2"/>
      <c r="J805" s="2">
        <f t="shared" si="343"/>
        <v>0.22806659870880056</v>
      </c>
      <c r="K805" s="2">
        <f t="shared" si="344"/>
        <v>0.72286782195039079</v>
      </c>
      <c r="L805" s="2">
        <f t="shared" si="345"/>
        <v>0</v>
      </c>
      <c r="M805" s="2">
        <f t="shared" si="346"/>
        <v>4.9065579340808685E-2</v>
      </c>
      <c r="N805" s="63">
        <v>3356</v>
      </c>
      <c r="O805" s="63">
        <v>10637</v>
      </c>
      <c r="P805" s="63"/>
      <c r="Q805" s="63">
        <v>687</v>
      </c>
      <c r="R805" s="63">
        <v>20</v>
      </c>
      <c r="S805" s="63">
        <v>9</v>
      </c>
      <c r="T805" s="63">
        <v>0</v>
      </c>
      <c r="U805" s="63">
        <v>0</v>
      </c>
      <c r="V805" s="63"/>
      <c r="W805" s="63">
        <f>IF(Copyright!B$11=1,IF(CA805&gt;0,CA805-P805-SUM(R805:V805)-SUM(X805:AQ805),SUM(CB805:CI805)),SUM(CC805:CI805))</f>
        <v>1</v>
      </c>
      <c r="X805" s="63"/>
      <c r="Y805" s="63">
        <v>5</v>
      </c>
      <c r="Z805" s="63">
        <v>0</v>
      </c>
      <c r="AA805" s="63"/>
      <c r="AB805" s="63"/>
      <c r="AC805" s="63"/>
      <c r="AD805" s="63"/>
      <c r="AE805" s="63">
        <v>0</v>
      </c>
      <c r="AF805" s="63"/>
      <c r="AG805" s="63"/>
      <c r="AH805" s="63"/>
      <c r="AI805" s="8"/>
      <c r="AJ805" s="63"/>
      <c r="AK805" s="63"/>
      <c r="AL805" s="63"/>
      <c r="AM805" s="63">
        <v>0</v>
      </c>
      <c r="AN805" s="63"/>
      <c r="AO805" s="63"/>
      <c r="AP805" s="63"/>
      <c r="AQ805" s="63"/>
      <c r="AR805" s="63"/>
      <c r="AS805" s="63"/>
      <c r="AT805" s="63"/>
      <c r="AU805" s="63"/>
      <c r="AW805" s="5">
        <f>IF(Q805&gt;0,RANK(Q805,(N805:P805,Q805:AE805)),0)</f>
        <v>3</v>
      </c>
      <c r="AX805" s="5">
        <f>IF(R805&gt;0,RANK(R805,(N805:P805,Q805:AE805)),0)</f>
        <v>4</v>
      </c>
      <c r="AY805" s="5">
        <f>IF(T805&gt;0,RANK(T805,(N805:P805,Q805:AE805)),0)</f>
        <v>0</v>
      </c>
      <c r="AZ805" s="5">
        <f>IF(S805&gt;0,RANK(S805,(N805:P805,Q805:AE805)),0)</f>
        <v>5</v>
      </c>
      <c r="BA805" s="2">
        <f t="shared" si="347"/>
        <v>4.6687054026503569E-2</v>
      </c>
      <c r="BB805" s="2">
        <f t="shared" si="348"/>
        <v>1.3591573224600749E-3</v>
      </c>
      <c r="BC805" s="2">
        <f t="shared" si="349"/>
        <v>0</v>
      </c>
      <c r="BD805" s="2">
        <f t="shared" si="350"/>
        <v>6.116207951070336E-4</v>
      </c>
      <c r="BF805" t="s">
        <v>955</v>
      </c>
      <c r="BG805" t="s">
        <v>148</v>
      </c>
      <c r="BH805">
        <v>4</v>
      </c>
      <c r="BJ805" s="114">
        <v>18</v>
      </c>
      <c r="BK805" s="116">
        <v>133</v>
      </c>
      <c r="BL805" s="120">
        <f t="shared" si="328"/>
        <v>18133</v>
      </c>
      <c r="BN805" s="5" t="s">
        <v>3154</v>
      </c>
      <c r="BY805" s="63">
        <f t="shared" si="351"/>
        <v>14715</v>
      </c>
      <c r="CB805" s="132"/>
      <c r="CD805" s="63">
        <v>0</v>
      </c>
      <c r="CE805" s="63">
        <v>0</v>
      </c>
      <c r="CF805" s="63">
        <v>0</v>
      </c>
      <c r="CG805" s="8">
        <v>1</v>
      </c>
      <c r="CH805" s="8">
        <v>0</v>
      </c>
      <c r="CI805" s="8">
        <v>0</v>
      </c>
    </row>
    <row r="806" spans="1:87" hidden="1" outlineLevel="1">
      <c r="A806" t="s">
        <v>1460</v>
      </c>
      <c r="B806" t="s">
        <v>148</v>
      </c>
      <c r="C806" s="1">
        <f t="shared" si="340"/>
        <v>10523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32">
        <f t="shared" si="341"/>
        <v>5071</v>
      </c>
      <c r="H806" s="137">
        <f t="shared" si="342"/>
        <v>0.48189679749120973</v>
      </c>
      <c r="I806" s="2"/>
      <c r="J806" s="2">
        <f t="shared" si="343"/>
        <v>0.23244321961417846</v>
      </c>
      <c r="K806" s="2">
        <f t="shared" si="344"/>
        <v>0.71434001710538819</v>
      </c>
      <c r="L806" s="2">
        <f t="shared" si="345"/>
        <v>0</v>
      </c>
      <c r="M806" s="2">
        <f t="shared" si="346"/>
        <v>5.3216763280433343E-2</v>
      </c>
      <c r="N806" s="63">
        <v>2446</v>
      </c>
      <c r="O806" s="63">
        <v>7517</v>
      </c>
      <c r="P806" s="63"/>
      <c r="Q806" s="63">
        <v>495</v>
      </c>
      <c r="R806" s="63">
        <v>0</v>
      </c>
      <c r="S806" s="63">
        <v>0</v>
      </c>
      <c r="T806" s="63">
        <v>0</v>
      </c>
      <c r="U806" s="63">
        <v>0</v>
      </c>
      <c r="V806" s="63"/>
      <c r="W806" s="63">
        <f>IF(Copyright!B$11=1,IF(CA806&gt;0,CA806-P806-SUM(R806:V806)-SUM(X806:AQ806),SUM(CB806:CI806)),SUM(CC806:CI806))</f>
        <v>65</v>
      </c>
      <c r="X806" s="63"/>
      <c r="Y806" s="63">
        <v>0</v>
      </c>
      <c r="Z806" s="63">
        <v>0</v>
      </c>
      <c r="AA806" s="63"/>
      <c r="AB806" s="63"/>
      <c r="AC806" s="63"/>
      <c r="AD806" s="63"/>
      <c r="AE806" s="63">
        <v>0</v>
      </c>
      <c r="AF806" s="63"/>
      <c r="AG806" s="63"/>
      <c r="AH806" s="63"/>
      <c r="AI806" s="8"/>
      <c r="AJ806" s="63"/>
      <c r="AK806" s="63"/>
      <c r="AL806" s="63"/>
      <c r="AM806" s="63">
        <v>0</v>
      </c>
      <c r="AN806" s="63"/>
      <c r="AO806" s="63"/>
      <c r="AP806" s="63"/>
      <c r="AQ806" s="63"/>
      <c r="AR806" s="63"/>
      <c r="AS806" s="63"/>
      <c r="AT806" s="63"/>
      <c r="AU806" s="63"/>
      <c r="AW806" s="5">
        <f>IF(Q806&gt;0,RANK(Q806,(N806:P806,Q806:AE806)),0)</f>
        <v>3</v>
      </c>
      <c r="AX806" s="5">
        <f>IF(R806&gt;0,RANK(R806,(N806:P806,Q806:AE806)),0)</f>
        <v>0</v>
      </c>
      <c r="AY806" s="5">
        <f>IF(T806&gt;0,RANK(T806,(N806:P806,Q806:AE806)),0)</f>
        <v>0</v>
      </c>
      <c r="AZ806" s="5">
        <f>IF(S806&gt;0,RANK(S806,(N806:P806,Q806:AE806)),0)</f>
        <v>0</v>
      </c>
      <c r="BA806" s="2">
        <f t="shared" si="347"/>
        <v>4.7039817542525897E-2</v>
      </c>
      <c r="BB806" s="2">
        <f t="shared" si="348"/>
        <v>0</v>
      </c>
      <c r="BC806" s="2">
        <f t="shared" si="349"/>
        <v>0</v>
      </c>
      <c r="BD806" s="2">
        <f t="shared" si="350"/>
        <v>0</v>
      </c>
      <c r="BF806" t="s">
        <v>1460</v>
      </c>
      <c r="BG806" t="s">
        <v>148</v>
      </c>
      <c r="BH806">
        <v>6</v>
      </c>
      <c r="BJ806" s="114">
        <v>18</v>
      </c>
      <c r="BK806" s="116">
        <v>135</v>
      </c>
      <c r="BL806" s="120">
        <f t="shared" si="328"/>
        <v>18135</v>
      </c>
      <c r="BN806" s="5" t="s">
        <v>3154</v>
      </c>
      <c r="BY806" s="63">
        <f t="shared" si="351"/>
        <v>10523</v>
      </c>
      <c r="CA806" s="63">
        <v>65</v>
      </c>
      <c r="CB806" s="132"/>
      <c r="CD806" s="63">
        <v>0</v>
      </c>
      <c r="CE806" s="63">
        <v>0</v>
      </c>
      <c r="CF806" s="63">
        <v>0</v>
      </c>
      <c r="CG806" s="8">
        <v>0</v>
      </c>
      <c r="CH806" s="8">
        <v>0</v>
      </c>
      <c r="CI806" s="8">
        <v>0</v>
      </c>
    </row>
    <row r="807" spans="1:87" hidden="1" outlineLevel="1">
      <c r="A807" t="s">
        <v>3169</v>
      </c>
      <c r="B807" t="s">
        <v>148</v>
      </c>
      <c r="C807" s="1">
        <f t="shared" si="340"/>
        <v>12935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32">
        <f t="shared" si="341"/>
        <v>7335</v>
      </c>
      <c r="H807" s="137">
        <f t="shared" si="342"/>
        <v>0.56706609972941635</v>
      </c>
      <c r="I807" s="2"/>
      <c r="J807" s="2">
        <f t="shared" si="343"/>
        <v>0.19103208349439504</v>
      </c>
      <c r="K807" s="2">
        <f t="shared" si="344"/>
        <v>0.75809818322381139</v>
      </c>
      <c r="L807" s="2">
        <f t="shared" si="345"/>
        <v>0</v>
      </c>
      <c r="M807" s="2">
        <f t="shared" si="346"/>
        <v>5.0869733281793561E-2</v>
      </c>
      <c r="N807" s="63">
        <v>2471</v>
      </c>
      <c r="O807" s="63">
        <v>9806</v>
      </c>
      <c r="P807" s="63"/>
      <c r="Q807" s="63">
        <v>513</v>
      </c>
      <c r="R807" s="63">
        <v>9</v>
      </c>
      <c r="S807" s="63">
        <v>7</v>
      </c>
      <c r="T807" s="63">
        <v>0</v>
      </c>
      <c r="U807" s="63">
        <v>0</v>
      </c>
      <c r="V807" s="63"/>
      <c r="W807" s="63">
        <f>IF(Copyright!B$11=1,IF(CA807&gt;0,CA807-P807-SUM(R807:V807)-SUM(X807:AQ807),SUM(CB807:CI807)),SUM(CC807:CI807))</f>
        <v>129</v>
      </c>
      <c r="X807" s="63"/>
      <c r="Y807" s="63">
        <v>0</v>
      </c>
      <c r="Z807" s="63">
        <v>0</v>
      </c>
      <c r="AA807" s="63"/>
      <c r="AB807" s="63"/>
      <c r="AC807" s="63"/>
      <c r="AD807" s="63"/>
      <c r="AE807" s="63">
        <v>0</v>
      </c>
      <c r="AF807" s="63"/>
      <c r="AG807" s="63"/>
      <c r="AH807" s="63"/>
      <c r="AI807" s="8"/>
      <c r="AJ807" s="63"/>
      <c r="AK807" s="63"/>
      <c r="AL807" s="63"/>
      <c r="AM807" s="63">
        <v>0</v>
      </c>
      <c r="AN807" s="63"/>
      <c r="AO807" s="63"/>
      <c r="AP807" s="63"/>
      <c r="AQ807" s="63"/>
      <c r="AR807" s="63"/>
      <c r="AS807" s="63"/>
      <c r="AT807" s="63"/>
      <c r="AU807" s="63"/>
      <c r="AW807" s="5">
        <f>IF(Q807&gt;0,RANK(Q807,(N807:P807,Q807:AE807)),0)</f>
        <v>3</v>
      </c>
      <c r="AX807" s="5">
        <f>IF(R807&gt;0,RANK(R807,(N807:P807,Q807:AE807)),0)</f>
        <v>5</v>
      </c>
      <c r="AY807" s="5">
        <f>IF(T807&gt;0,RANK(T807,(N807:P807,Q807:AE807)),0)</f>
        <v>0</v>
      </c>
      <c r="AZ807" s="5">
        <f>IF(S807&gt;0,RANK(S807,(N807:P807,Q807:AE807)),0)</f>
        <v>6</v>
      </c>
      <c r="BA807" s="2">
        <f t="shared" si="347"/>
        <v>3.9659837649787401E-2</v>
      </c>
      <c r="BB807" s="2">
        <f t="shared" si="348"/>
        <v>6.9578662543486665E-4</v>
      </c>
      <c r="BC807" s="2">
        <f t="shared" si="349"/>
        <v>0</v>
      </c>
      <c r="BD807" s="2">
        <f t="shared" si="350"/>
        <v>5.4116737533822963E-4</v>
      </c>
      <c r="BF807" t="s">
        <v>3169</v>
      </c>
      <c r="BG807" t="s">
        <v>148</v>
      </c>
      <c r="BH807">
        <v>6</v>
      </c>
      <c r="BJ807" s="114">
        <v>18</v>
      </c>
      <c r="BK807" s="116">
        <v>137</v>
      </c>
      <c r="BL807" s="120">
        <f t="shared" si="328"/>
        <v>18137</v>
      </c>
      <c r="BN807" s="5" t="s">
        <v>3154</v>
      </c>
      <c r="BY807" s="63">
        <f t="shared" si="351"/>
        <v>12935</v>
      </c>
      <c r="CA807" s="63">
        <v>145</v>
      </c>
      <c r="CB807" s="132"/>
      <c r="CD807" s="63">
        <v>0</v>
      </c>
      <c r="CE807" s="63">
        <v>0</v>
      </c>
      <c r="CF807" s="63">
        <v>2</v>
      </c>
      <c r="CG807" s="8">
        <v>0</v>
      </c>
      <c r="CH807" s="8">
        <v>0</v>
      </c>
      <c r="CI807" s="8">
        <v>2</v>
      </c>
    </row>
    <row r="808" spans="1:87" hidden="1" outlineLevel="1">
      <c r="A808" t="s">
        <v>2483</v>
      </c>
      <c r="B808" t="s">
        <v>148</v>
      </c>
      <c r="C808" s="1">
        <f t="shared" si="340"/>
        <v>7214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>IF(P808&gt;0,RANK(P808,(N808:P808,Q808:AE808)),0)</f>
        <v>0</v>
      </c>
      <c r="G808" s="132">
        <f t="shared" si="341"/>
        <v>3767</v>
      </c>
      <c r="H808" s="137">
        <f t="shared" si="342"/>
        <v>0.52217909620182978</v>
      </c>
      <c r="I808" s="2"/>
      <c r="J808" s="2">
        <f t="shared" si="343"/>
        <v>0.21139451067369006</v>
      </c>
      <c r="K808" s="2">
        <f t="shared" si="344"/>
        <v>0.73357360687551987</v>
      </c>
      <c r="L808" s="2">
        <f t="shared" si="345"/>
        <v>0</v>
      </c>
      <c r="M808" s="2">
        <f t="shared" si="346"/>
        <v>5.5031882450790048E-2</v>
      </c>
      <c r="N808" s="63">
        <v>1525</v>
      </c>
      <c r="O808" s="63">
        <v>5292</v>
      </c>
      <c r="P808" s="63"/>
      <c r="Q808" s="63">
        <v>397</v>
      </c>
      <c r="R808" s="63">
        <v>0</v>
      </c>
      <c r="S808" s="63">
        <v>0</v>
      </c>
      <c r="T808" s="63">
        <v>0</v>
      </c>
      <c r="U808" s="63">
        <v>0</v>
      </c>
      <c r="V808" s="63"/>
      <c r="W808" s="63">
        <f>IF(Copyright!B$11=1,IF(CA808&gt;0,CA808-P808-SUM(R808:V808)-SUM(X808:AQ808),SUM(CB808:CI808)),SUM(CC808:CI808))</f>
        <v>0</v>
      </c>
      <c r="X808" s="63"/>
      <c r="Y808" s="63">
        <v>0</v>
      </c>
      <c r="Z808" s="63">
        <v>0</v>
      </c>
      <c r="AA808" s="63"/>
      <c r="AB808" s="63"/>
      <c r="AC808" s="63"/>
      <c r="AD808" s="63"/>
      <c r="AE808" s="63">
        <v>0</v>
      </c>
      <c r="AF808" s="63"/>
      <c r="AG808" s="63"/>
      <c r="AH808" s="63"/>
      <c r="AI808" s="8"/>
      <c r="AJ808" s="63"/>
      <c r="AK808" s="63"/>
      <c r="AL808" s="63"/>
      <c r="AM808" s="63">
        <v>0</v>
      </c>
      <c r="AN808" s="63"/>
      <c r="AO808" s="63"/>
      <c r="AP808" s="63"/>
      <c r="AQ808" s="63"/>
      <c r="AR808" s="63"/>
      <c r="AS808" s="63"/>
      <c r="AT808" s="63"/>
      <c r="AU808" s="63"/>
      <c r="AW808" s="5">
        <f>IF(Q808&gt;0,RANK(Q808,(N808:P808,Q808:AE808)),0)</f>
        <v>3</v>
      </c>
      <c r="AX808" s="5">
        <f>IF(R808&gt;0,RANK(R808,(N808:P808,Q808:AE808)),0)</f>
        <v>0</v>
      </c>
      <c r="AY808" s="5">
        <f>IF(T808&gt;0,RANK(T808,(N808:P808,Q808:AE808)),0)</f>
        <v>0</v>
      </c>
      <c r="AZ808" s="5">
        <f>IF(S808&gt;0,RANK(S808,(N808:P808,Q808:AE808)),0)</f>
        <v>0</v>
      </c>
      <c r="BA808" s="2">
        <f t="shared" si="347"/>
        <v>5.5031882450790132E-2</v>
      </c>
      <c r="BB808" s="2">
        <f t="shared" si="348"/>
        <v>0</v>
      </c>
      <c r="BC808" s="2">
        <f t="shared" si="349"/>
        <v>0</v>
      </c>
      <c r="BD808" s="2">
        <f t="shared" si="350"/>
        <v>0</v>
      </c>
      <c r="BF808" t="s">
        <v>2483</v>
      </c>
      <c r="BG808" t="s">
        <v>148</v>
      </c>
      <c r="BH808">
        <v>6</v>
      </c>
      <c r="BJ808" s="114">
        <v>18</v>
      </c>
      <c r="BK808" s="116">
        <v>139</v>
      </c>
      <c r="BL808" s="120">
        <f t="shared" ref="BL808:BL871" si="352">1000*BJ808+BK808</f>
        <v>18139</v>
      </c>
      <c r="BN808" s="5" t="s">
        <v>3154</v>
      </c>
      <c r="BY808" s="63">
        <f t="shared" si="351"/>
        <v>7214</v>
      </c>
      <c r="CB808" s="132"/>
      <c r="CD808" s="63">
        <v>0</v>
      </c>
      <c r="CE808" s="63">
        <v>0</v>
      </c>
      <c r="CF808" s="63">
        <v>0</v>
      </c>
      <c r="CG808" s="8">
        <v>0</v>
      </c>
      <c r="CH808" s="8">
        <v>0</v>
      </c>
      <c r="CI808" s="8">
        <v>0</v>
      </c>
    </row>
    <row r="809" spans="1:87" hidden="1" outlineLevel="1">
      <c r="A809" t="s">
        <v>1699</v>
      </c>
      <c r="B809" t="s">
        <v>148</v>
      </c>
      <c r="C809" s="1">
        <f t="shared" si="340"/>
        <v>111842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>IF(P809&gt;0,RANK(P809,(N809:P809,Q809:AE809)),0)</f>
        <v>0</v>
      </c>
      <c r="G809" s="132">
        <f t="shared" si="341"/>
        <v>231</v>
      </c>
      <c r="H809" s="137">
        <f t="shared" si="342"/>
        <v>2.0654137086246671E-3</v>
      </c>
      <c r="I809" s="2"/>
      <c r="J809" s="2">
        <f t="shared" si="343"/>
        <v>0.4671947926539225</v>
      </c>
      <c r="K809" s="2">
        <f t="shared" si="344"/>
        <v>0.46512937894529782</v>
      </c>
      <c r="L809" s="2">
        <f t="shared" si="345"/>
        <v>0</v>
      </c>
      <c r="M809" s="2">
        <f t="shared" si="346"/>
        <v>6.7675828400779681E-2</v>
      </c>
      <c r="N809" s="63">
        <v>52252</v>
      </c>
      <c r="O809" s="63">
        <v>52021</v>
      </c>
      <c r="P809" s="63"/>
      <c r="Q809" s="63">
        <v>5186</v>
      </c>
      <c r="R809" s="63">
        <v>405</v>
      </c>
      <c r="S809" s="63">
        <v>120</v>
      </c>
      <c r="T809" s="63">
        <v>1</v>
      </c>
      <c r="U809" s="63">
        <v>2</v>
      </c>
      <c r="V809" s="63"/>
      <c r="W809" s="63">
        <f>IF(Copyright!B$11=1,IF(CA809&gt;0,CA809-P809-SUM(R809:V809)-SUM(X809:AQ809),SUM(CB809:CI809)),SUM(CC809:CI809))</f>
        <v>1830</v>
      </c>
      <c r="X809" s="63"/>
      <c r="Y809" s="63">
        <v>24</v>
      </c>
      <c r="Z809" s="63">
        <v>1</v>
      </c>
      <c r="AA809" s="63"/>
      <c r="AB809" s="63"/>
      <c r="AC809" s="63"/>
      <c r="AD809" s="63"/>
      <c r="AE809" s="63">
        <v>0</v>
      </c>
      <c r="AF809" s="63"/>
      <c r="AG809" s="63"/>
      <c r="AH809" s="63"/>
      <c r="AI809" s="8"/>
      <c r="AJ809" s="63"/>
      <c r="AK809" s="63"/>
      <c r="AL809" s="63"/>
      <c r="AM809" s="63">
        <v>0</v>
      </c>
      <c r="AN809" s="63"/>
      <c r="AO809" s="63"/>
      <c r="AP809" s="63"/>
      <c r="AQ809" s="63"/>
      <c r="AR809" s="63"/>
      <c r="AS809" s="63"/>
      <c r="AT809" s="63"/>
      <c r="AU809" s="63"/>
      <c r="AW809" s="5">
        <f>IF(Q809&gt;0,RANK(Q809,(N809:P809,Q809:AE809)),0)</f>
        <v>3</v>
      </c>
      <c r="AX809" s="5">
        <f>IF(R809&gt;0,RANK(R809,(N809:P809,Q809:AE809)),0)</f>
        <v>5</v>
      </c>
      <c r="AY809" s="5">
        <f>IF(T809&gt;0,RANK(T809,(N809:P809,Q809:AE809)),0)</f>
        <v>9</v>
      </c>
      <c r="AZ809" s="5">
        <f>IF(S809&gt;0,RANK(S809,(N809:P809,Q809:AE809)),0)</f>
        <v>6</v>
      </c>
      <c r="BA809" s="2">
        <f t="shared" si="347"/>
        <v>4.6368984817868067E-2</v>
      </c>
      <c r="BB809" s="2">
        <f t="shared" si="348"/>
        <v>3.6211798787575329E-3</v>
      </c>
      <c r="BC809" s="2">
        <f t="shared" si="349"/>
        <v>8.941184885821069E-6</v>
      </c>
      <c r="BD809" s="2">
        <f t="shared" si="350"/>
        <v>1.0729421862985284E-3</v>
      </c>
      <c r="BF809" t="s">
        <v>1699</v>
      </c>
      <c r="BG809" t="s">
        <v>148</v>
      </c>
      <c r="BH809">
        <v>2</v>
      </c>
      <c r="BJ809" s="114">
        <v>18</v>
      </c>
      <c r="BK809" s="116">
        <v>141</v>
      </c>
      <c r="BL809" s="120">
        <f t="shared" si="352"/>
        <v>18141</v>
      </c>
      <c r="BN809" s="5" t="s">
        <v>3154</v>
      </c>
      <c r="BY809" s="63">
        <f t="shared" si="351"/>
        <v>111842</v>
      </c>
      <c r="CA809" s="63">
        <v>2383</v>
      </c>
      <c r="CB809" s="132"/>
      <c r="CD809" s="63">
        <v>0</v>
      </c>
      <c r="CE809" s="63">
        <v>0</v>
      </c>
      <c r="CF809" s="63">
        <v>5</v>
      </c>
      <c r="CG809" s="8">
        <v>15</v>
      </c>
      <c r="CH809" s="8">
        <v>1</v>
      </c>
      <c r="CI809" s="8">
        <v>27</v>
      </c>
    </row>
    <row r="810" spans="1:87" hidden="1" outlineLevel="1">
      <c r="A810" t="s">
        <v>830</v>
      </c>
      <c r="B810" t="s">
        <v>148</v>
      </c>
      <c r="C810" s="1">
        <f t="shared" si="340"/>
        <v>9147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32">
        <f t="shared" si="341"/>
        <v>3432</v>
      </c>
      <c r="H810" s="137">
        <f t="shared" si="342"/>
        <v>0.37520498524106266</v>
      </c>
      <c r="I810" s="2"/>
      <c r="J810" s="2">
        <f t="shared" si="343"/>
        <v>0.28883787034000219</v>
      </c>
      <c r="K810" s="2">
        <f t="shared" si="344"/>
        <v>0.66404285558106479</v>
      </c>
      <c r="L810" s="2">
        <f t="shared" si="345"/>
        <v>0</v>
      </c>
      <c r="M810" s="2">
        <f t="shared" si="346"/>
        <v>4.7119274078933016E-2</v>
      </c>
      <c r="N810" s="63">
        <v>2642</v>
      </c>
      <c r="O810" s="63">
        <v>6074</v>
      </c>
      <c r="P810" s="63"/>
      <c r="Q810" s="63">
        <v>344</v>
      </c>
      <c r="R810" s="63">
        <v>26</v>
      </c>
      <c r="S810" s="63">
        <v>12</v>
      </c>
      <c r="T810" s="63">
        <v>0</v>
      </c>
      <c r="U810" s="63">
        <v>0</v>
      </c>
      <c r="V810" s="63"/>
      <c r="W810" s="63">
        <f>IF(Copyright!B$11=1,IF(CA810&gt;0,CA810-P810-SUM(R810:V810)-SUM(X810:AQ810),SUM(CB810:CI810)),SUM(CC810:CI810))</f>
        <v>48</v>
      </c>
      <c r="X810" s="63"/>
      <c r="Y810" s="63">
        <v>1</v>
      </c>
      <c r="Z810" s="63">
        <v>0</v>
      </c>
      <c r="AA810" s="63"/>
      <c r="AB810" s="63"/>
      <c r="AC810" s="63"/>
      <c r="AD810" s="63"/>
      <c r="AE810" s="63">
        <v>0</v>
      </c>
      <c r="AF810" s="63"/>
      <c r="AG810" s="63"/>
      <c r="AH810" s="63"/>
      <c r="AI810" s="8"/>
      <c r="AJ810" s="63"/>
      <c r="AK810" s="63"/>
      <c r="AL810" s="63"/>
      <c r="AM810" s="63">
        <v>0</v>
      </c>
      <c r="AN810" s="63"/>
      <c r="AO810" s="63"/>
      <c r="AP810" s="63"/>
      <c r="AQ810" s="63"/>
      <c r="AR810" s="63"/>
      <c r="AS810" s="63"/>
      <c r="AT810" s="63"/>
      <c r="AU810" s="63"/>
      <c r="AW810" s="5">
        <f>IF(Q810&gt;0,RANK(Q810,(N810:P810,Q810:AE810)),0)</f>
        <v>3</v>
      </c>
      <c r="AX810" s="5">
        <f>IF(R810&gt;0,RANK(R810,(N810:P810,Q810:AE810)),0)</f>
        <v>5</v>
      </c>
      <c r="AY810" s="5">
        <f>IF(T810&gt;0,RANK(T810,(N810:P810,Q810:AE810)),0)</f>
        <v>0</v>
      </c>
      <c r="AZ810" s="5">
        <f>IF(S810&gt;0,RANK(S810,(N810:P810,Q810:AE810)),0)</f>
        <v>6</v>
      </c>
      <c r="BA810" s="2">
        <f t="shared" si="347"/>
        <v>3.7607958893626323E-2</v>
      </c>
      <c r="BB810" s="2">
        <f t="shared" si="348"/>
        <v>2.8424620094019896E-3</v>
      </c>
      <c r="BC810" s="2">
        <f t="shared" si="349"/>
        <v>0</v>
      </c>
      <c r="BD810" s="2">
        <f t="shared" si="350"/>
        <v>1.3119055428009183E-3</v>
      </c>
      <c r="BF810" t="s">
        <v>830</v>
      </c>
      <c r="BG810" t="s">
        <v>148</v>
      </c>
      <c r="BJ810" s="114">
        <v>18</v>
      </c>
      <c r="BK810" s="116">
        <v>143</v>
      </c>
      <c r="BL810" s="120">
        <f t="shared" si="352"/>
        <v>18143</v>
      </c>
      <c r="BN810" s="5" t="s">
        <v>3154</v>
      </c>
      <c r="BY810" s="63">
        <f t="shared" si="351"/>
        <v>9147</v>
      </c>
      <c r="CA810" s="63">
        <v>87</v>
      </c>
      <c r="CB810" s="132"/>
      <c r="CD810" s="63">
        <v>0</v>
      </c>
      <c r="CE810" s="63">
        <v>0</v>
      </c>
      <c r="CF810" s="63">
        <v>0</v>
      </c>
      <c r="CG810" s="8">
        <v>0</v>
      </c>
      <c r="CH810" s="8">
        <v>0</v>
      </c>
      <c r="CI810" s="8">
        <v>2</v>
      </c>
    </row>
    <row r="811" spans="1:87" hidden="1" outlineLevel="1">
      <c r="A811" t="s">
        <v>23</v>
      </c>
      <c r="B811" t="s">
        <v>148</v>
      </c>
      <c r="C811" s="1">
        <f t="shared" si="340"/>
        <v>17994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32">
        <f t="shared" si="341"/>
        <v>8471</v>
      </c>
      <c r="H811" s="137">
        <f t="shared" si="342"/>
        <v>0.47076803378904081</v>
      </c>
      <c r="I811" s="2"/>
      <c r="J811" s="2">
        <f t="shared" si="343"/>
        <v>0.23602311881738358</v>
      </c>
      <c r="K811" s="2">
        <f t="shared" si="344"/>
        <v>0.70679115260642433</v>
      </c>
      <c r="L811" s="2">
        <f t="shared" si="345"/>
        <v>0</v>
      </c>
      <c r="M811" s="2">
        <f t="shared" si="346"/>
        <v>5.7185728576192085E-2</v>
      </c>
      <c r="N811" s="63">
        <v>4247</v>
      </c>
      <c r="O811" s="63">
        <v>12718</v>
      </c>
      <c r="P811" s="63"/>
      <c r="Q811" s="63">
        <v>970</v>
      </c>
      <c r="R811" s="63">
        <v>43</v>
      </c>
      <c r="S811" s="63">
        <v>12</v>
      </c>
      <c r="T811" s="63">
        <v>1</v>
      </c>
      <c r="U811" s="63">
        <v>0</v>
      </c>
      <c r="V811" s="63"/>
      <c r="W811" s="63">
        <f>IF(Copyright!B$11=1,IF(CA811&gt;0,CA811-P811-SUM(R811:V811)-SUM(X811:AQ811),SUM(CB811:CI811)),SUM(CC811:CI811))</f>
        <v>2</v>
      </c>
      <c r="X811" s="63"/>
      <c r="Y811" s="63">
        <v>1</v>
      </c>
      <c r="Z811" s="63">
        <v>0</v>
      </c>
      <c r="AA811" s="63"/>
      <c r="AB811" s="63"/>
      <c r="AC811" s="63"/>
      <c r="AD811" s="63"/>
      <c r="AE811" s="63">
        <v>0</v>
      </c>
      <c r="AF811" s="63"/>
      <c r="AG811" s="63"/>
      <c r="AH811" s="63"/>
      <c r="AI811" s="8"/>
      <c r="AJ811" s="63"/>
      <c r="AK811" s="63"/>
      <c r="AL811" s="63"/>
      <c r="AM811" s="63">
        <v>0</v>
      </c>
      <c r="AN811" s="63"/>
      <c r="AO811" s="63"/>
      <c r="AP811" s="63"/>
      <c r="AQ811" s="63"/>
      <c r="AR811" s="63"/>
      <c r="AS811" s="63"/>
      <c r="AT811" s="63"/>
      <c r="AU811" s="63"/>
      <c r="AW811" s="5">
        <f>IF(Q811&gt;0,RANK(Q811,(N811:P811,Q811:AE811)),0)</f>
        <v>3</v>
      </c>
      <c r="AX811" s="5">
        <f>IF(R811&gt;0,RANK(R811,(N811:P811,Q811:AE811)),0)</f>
        <v>4</v>
      </c>
      <c r="AY811" s="5">
        <f>IF(T811&gt;0,RANK(T811,(N811:P811,Q811:AE811)),0)</f>
        <v>7</v>
      </c>
      <c r="AZ811" s="5">
        <f>IF(S811&gt;0,RANK(S811,(N811:P811,Q811:AE811)),0)</f>
        <v>5</v>
      </c>
      <c r="BA811" s="2">
        <f t="shared" si="347"/>
        <v>5.3906857841502724E-2</v>
      </c>
      <c r="BB811" s="2">
        <f t="shared" si="348"/>
        <v>2.3896854507057907E-3</v>
      </c>
      <c r="BC811" s="2">
        <f t="shared" si="349"/>
        <v>5.5574080248971876E-5</v>
      </c>
      <c r="BD811" s="2">
        <f t="shared" si="350"/>
        <v>6.6688896298766251E-4</v>
      </c>
      <c r="BF811" t="s">
        <v>23</v>
      </c>
      <c r="BG811" t="s">
        <v>148</v>
      </c>
      <c r="BH811">
        <v>6</v>
      </c>
      <c r="BJ811" s="114">
        <v>18</v>
      </c>
      <c r="BK811" s="116">
        <v>145</v>
      </c>
      <c r="BL811" s="120">
        <f t="shared" si="352"/>
        <v>18145</v>
      </c>
      <c r="BN811" s="5" t="s">
        <v>3154</v>
      </c>
      <c r="BY811" s="63">
        <f t="shared" si="351"/>
        <v>17994</v>
      </c>
      <c r="CB811" s="132"/>
      <c r="CD811" s="63">
        <v>0</v>
      </c>
      <c r="CE811" s="63">
        <v>0</v>
      </c>
      <c r="CF811" s="63">
        <v>1</v>
      </c>
      <c r="CG811" s="8">
        <v>0</v>
      </c>
      <c r="CH811" s="8">
        <v>0</v>
      </c>
      <c r="CI811" s="8">
        <v>1</v>
      </c>
    </row>
    <row r="812" spans="1:87" hidden="1" outlineLevel="1">
      <c r="A812" t="s">
        <v>634</v>
      </c>
      <c r="B812" t="s">
        <v>148</v>
      </c>
      <c r="C812" s="1">
        <f t="shared" si="340"/>
        <v>9979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32">
        <f t="shared" si="341"/>
        <v>3711</v>
      </c>
      <c r="H812" s="137">
        <f t="shared" si="342"/>
        <v>0.3718809499949895</v>
      </c>
      <c r="I812" s="2"/>
      <c r="J812" s="2">
        <f t="shared" si="343"/>
        <v>0.28670207435614792</v>
      </c>
      <c r="K812" s="2">
        <f t="shared" si="344"/>
        <v>0.65858302435113736</v>
      </c>
      <c r="L812" s="2">
        <f t="shared" si="345"/>
        <v>0</v>
      </c>
      <c r="M812" s="2">
        <f t="shared" si="346"/>
        <v>5.4714901292714724E-2</v>
      </c>
      <c r="N812" s="63">
        <v>2861</v>
      </c>
      <c r="O812" s="63">
        <v>6572</v>
      </c>
      <c r="P812" s="63"/>
      <c r="Q812" s="63">
        <v>526</v>
      </c>
      <c r="R812" s="63">
        <v>15</v>
      </c>
      <c r="S812" s="63">
        <v>0</v>
      </c>
      <c r="T812" s="63">
        <v>5</v>
      </c>
      <c r="U812" s="63">
        <v>0</v>
      </c>
      <c r="V812" s="63"/>
      <c r="W812" s="63">
        <f>IF(Copyright!B$11=1,IF(CA812&gt;0,CA812-P812-SUM(R812:V812)-SUM(X812:AQ812),SUM(CB812:CI812)),SUM(CC812:CI812))</f>
        <v>0</v>
      </c>
      <c r="X812" s="63"/>
      <c r="Y812" s="63">
        <v>0</v>
      </c>
      <c r="Z812" s="63">
        <v>0</v>
      </c>
      <c r="AA812" s="63"/>
      <c r="AB812" s="63"/>
      <c r="AC812" s="63"/>
      <c r="AD812" s="63"/>
      <c r="AE812" s="63">
        <v>0</v>
      </c>
      <c r="AF812" s="63"/>
      <c r="AG812" s="63"/>
      <c r="AH812" s="63"/>
      <c r="AI812" s="8"/>
      <c r="AJ812" s="63"/>
      <c r="AK812" s="63"/>
      <c r="AL812" s="63"/>
      <c r="AM812" s="63">
        <v>0</v>
      </c>
      <c r="AN812" s="63"/>
      <c r="AO812" s="63"/>
      <c r="AP812" s="63"/>
      <c r="AQ812" s="63"/>
      <c r="AR812" s="63"/>
      <c r="AS812" s="63"/>
      <c r="AT812" s="63"/>
      <c r="AU812" s="63"/>
      <c r="AW812" s="5">
        <f>IF(Q812&gt;0,RANK(Q812,(N812:P812,Q812:AE812)),0)</f>
        <v>3</v>
      </c>
      <c r="AX812" s="5">
        <f>IF(R812&gt;0,RANK(R812,(N812:P812,Q812:AE812)),0)</f>
        <v>4</v>
      </c>
      <c r="AY812" s="5">
        <f>IF(T812&gt;0,RANK(T812,(N812:P812,Q812:AE812)),0)</f>
        <v>5</v>
      </c>
      <c r="AZ812" s="5">
        <f>IF(S812&gt;0,RANK(S812,(N812:P812,Q812:AE812)),0)</f>
        <v>0</v>
      </c>
      <c r="BA812" s="2">
        <f t="shared" si="347"/>
        <v>5.2710692454153725E-2</v>
      </c>
      <c r="BB812" s="2">
        <f t="shared" si="348"/>
        <v>1.5031566289207335E-3</v>
      </c>
      <c r="BC812" s="2">
        <f t="shared" si="349"/>
        <v>5.0105220964024449E-4</v>
      </c>
      <c r="BD812" s="2">
        <f t="shared" si="350"/>
        <v>0</v>
      </c>
      <c r="BF812" t="s">
        <v>634</v>
      </c>
      <c r="BG812" t="s">
        <v>148</v>
      </c>
      <c r="BH812">
        <v>8</v>
      </c>
      <c r="BJ812" s="114">
        <v>18</v>
      </c>
      <c r="BK812" s="116">
        <v>147</v>
      </c>
      <c r="BL812" s="120">
        <f t="shared" si="352"/>
        <v>18147</v>
      </c>
      <c r="BN812" s="5" t="s">
        <v>3154</v>
      </c>
      <c r="BY812" s="63">
        <f t="shared" si="351"/>
        <v>9979</v>
      </c>
      <c r="CB812" s="132"/>
      <c r="CD812" s="63">
        <v>0</v>
      </c>
      <c r="CE812" s="63">
        <v>0</v>
      </c>
      <c r="CF812" s="63">
        <v>0</v>
      </c>
      <c r="CG812" s="8">
        <v>0</v>
      </c>
      <c r="CH812" s="8">
        <v>0</v>
      </c>
      <c r="CI812" s="8">
        <v>0</v>
      </c>
    </row>
    <row r="813" spans="1:87" hidden="1" outlineLevel="1">
      <c r="A813" t="s">
        <v>466</v>
      </c>
      <c r="B813" t="s">
        <v>148</v>
      </c>
      <c r="C813" s="1">
        <f t="shared" si="340"/>
        <v>9316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32">
        <f t="shared" si="341"/>
        <v>3878</v>
      </c>
      <c r="H813" s="137">
        <f t="shared" si="342"/>
        <v>0.41627307857449547</v>
      </c>
      <c r="I813" s="2"/>
      <c r="J813" s="2">
        <f t="shared" si="343"/>
        <v>0.26717475311292399</v>
      </c>
      <c r="K813" s="2">
        <f t="shared" si="344"/>
        <v>0.68344783168741952</v>
      </c>
      <c r="L813" s="2">
        <f t="shared" si="345"/>
        <v>0</v>
      </c>
      <c r="M813" s="2">
        <f t="shared" si="346"/>
        <v>4.9377415199656438E-2</v>
      </c>
      <c r="N813" s="63">
        <v>2489</v>
      </c>
      <c r="O813" s="63">
        <v>6367</v>
      </c>
      <c r="P813" s="63"/>
      <c r="Q813" s="63">
        <v>370</v>
      </c>
      <c r="R813" s="63">
        <v>0</v>
      </c>
      <c r="S813" s="63">
        <v>0</v>
      </c>
      <c r="T813" s="63">
        <v>0</v>
      </c>
      <c r="U813" s="63">
        <v>0</v>
      </c>
      <c r="V813" s="63"/>
      <c r="W813" s="63">
        <f>IF(Copyright!B$11=1,IF(CA813&gt;0,CA813-P813-SUM(R813:V813)-SUM(X813:AQ813),SUM(CB813:CI813)),SUM(CC813:CI813))</f>
        <v>90</v>
      </c>
      <c r="X813" s="63"/>
      <c r="Y813" s="63">
        <v>0</v>
      </c>
      <c r="Z813" s="63">
        <v>0</v>
      </c>
      <c r="AA813" s="63"/>
      <c r="AB813" s="63"/>
      <c r="AC813" s="63"/>
      <c r="AD813" s="63"/>
      <c r="AE813" s="63">
        <v>0</v>
      </c>
      <c r="AF813" s="63"/>
      <c r="AG813" s="63"/>
      <c r="AH813" s="63"/>
      <c r="AI813" s="8"/>
      <c r="AJ813" s="63"/>
      <c r="AK813" s="63"/>
      <c r="AL813" s="63"/>
      <c r="AM813" s="63">
        <v>0</v>
      </c>
      <c r="AN813" s="63"/>
      <c r="AO813" s="63"/>
      <c r="AP813" s="63"/>
      <c r="AQ813" s="63"/>
      <c r="AR813" s="63"/>
      <c r="AS813" s="63"/>
      <c r="AT813" s="63"/>
      <c r="AU813" s="63"/>
      <c r="AW813" s="5">
        <f>IF(Q813&gt;0,RANK(Q813,(N813:P813,Q813:AE813)),0)</f>
        <v>3</v>
      </c>
      <c r="AX813" s="5">
        <f>IF(R813&gt;0,RANK(R813,(N813:P813,Q813:AE813)),0)</f>
        <v>0</v>
      </c>
      <c r="AY813" s="5">
        <f>IF(T813&gt;0,RANK(T813,(N813:P813,Q813:AE813)),0)</f>
        <v>0</v>
      </c>
      <c r="AZ813" s="5">
        <f>IF(S813&gt;0,RANK(S813,(N813:P813,Q813:AE813)),0)</f>
        <v>0</v>
      </c>
      <c r="BA813" s="2">
        <f t="shared" si="347"/>
        <v>3.9716616573636752E-2</v>
      </c>
      <c r="BB813" s="2">
        <f t="shared" si="348"/>
        <v>0</v>
      </c>
      <c r="BC813" s="2">
        <f t="shared" si="349"/>
        <v>0</v>
      </c>
      <c r="BD813" s="2">
        <f t="shared" si="350"/>
        <v>0</v>
      </c>
      <c r="BF813" t="s">
        <v>466</v>
      </c>
      <c r="BG813" t="s">
        <v>148</v>
      </c>
      <c r="BH813">
        <v>2</v>
      </c>
      <c r="BJ813" s="114">
        <v>18</v>
      </c>
      <c r="BK813" s="116">
        <v>149</v>
      </c>
      <c r="BL813" s="120">
        <f t="shared" si="352"/>
        <v>18149</v>
      </c>
      <c r="BN813" s="5" t="s">
        <v>3154</v>
      </c>
      <c r="BY813" s="63">
        <f t="shared" si="351"/>
        <v>9316</v>
      </c>
      <c r="CA813" s="63">
        <v>90</v>
      </c>
      <c r="CB813" s="132"/>
      <c r="CD813" s="63">
        <v>0</v>
      </c>
      <c r="CE813" s="63">
        <v>0</v>
      </c>
      <c r="CF813" s="63">
        <v>0</v>
      </c>
      <c r="CG813" s="8">
        <v>0</v>
      </c>
      <c r="CH813" s="8">
        <v>0</v>
      </c>
      <c r="CI813" s="8">
        <v>0</v>
      </c>
    </row>
    <row r="814" spans="1:87" hidden="1" outlineLevel="1">
      <c r="A814" t="s">
        <v>161</v>
      </c>
      <c r="B814" t="s">
        <v>148</v>
      </c>
      <c r="C814" s="1">
        <f t="shared" si="340"/>
        <v>14566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32">
        <f t="shared" si="341"/>
        <v>6389</v>
      </c>
      <c r="H814" s="137">
        <f t="shared" si="342"/>
        <v>0.4386241933269257</v>
      </c>
      <c r="I814" s="2"/>
      <c r="J814" s="2">
        <f t="shared" si="343"/>
        <v>0.25703693532884803</v>
      </c>
      <c r="K814" s="2">
        <f t="shared" si="344"/>
        <v>0.69566112865577368</v>
      </c>
      <c r="L814" s="2">
        <f t="shared" si="345"/>
        <v>0</v>
      </c>
      <c r="M814" s="2">
        <f t="shared" si="346"/>
        <v>4.7301936015378354E-2</v>
      </c>
      <c r="N814" s="63">
        <v>3744</v>
      </c>
      <c r="O814" s="63">
        <v>10133</v>
      </c>
      <c r="P814" s="63"/>
      <c r="Q814" s="63">
        <v>662</v>
      </c>
      <c r="R814" s="63">
        <v>18</v>
      </c>
      <c r="S814" s="63">
        <v>9</v>
      </c>
      <c r="T814" s="63">
        <v>0</v>
      </c>
      <c r="U814" s="63">
        <v>0</v>
      </c>
      <c r="V814" s="63"/>
      <c r="W814" s="63">
        <f>IF(Copyright!B$11=1,IF(CA814&gt;0,CA814-P814-SUM(R814:V814)-SUM(X814:AQ814),SUM(CB814:CI814)),SUM(CC814:CI814))</f>
        <v>0</v>
      </c>
      <c r="X814" s="63"/>
      <c r="Y814" s="63">
        <v>0</v>
      </c>
      <c r="Z814" s="63">
        <v>0</v>
      </c>
      <c r="AA814" s="63"/>
      <c r="AB814" s="63"/>
      <c r="AC814" s="63"/>
      <c r="AD814" s="63"/>
      <c r="AE814" s="63">
        <v>0</v>
      </c>
      <c r="AF814" s="63"/>
      <c r="AG814" s="63"/>
      <c r="AH814" s="63"/>
      <c r="AI814" s="8"/>
      <c r="AJ814" s="63"/>
      <c r="AK814" s="63"/>
      <c r="AL814" s="63"/>
      <c r="AM814" s="63">
        <v>0</v>
      </c>
      <c r="AN814" s="63"/>
      <c r="AO814" s="63"/>
      <c r="AP814" s="63"/>
      <c r="AQ814" s="63"/>
      <c r="AR814" s="63"/>
      <c r="AS814" s="63"/>
      <c r="AT814" s="63"/>
      <c r="AU814" s="63"/>
      <c r="AW814" s="5">
        <f>IF(Q814&gt;0,RANK(Q814,(N814:P814,Q814:AE814)),0)</f>
        <v>3</v>
      </c>
      <c r="AX814" s="5">
        <f>IF(R814&gt;0,RANK(R814,(N814:P814,Q814:AE814)),0)</f>
        <v>4</v>
      </c>
      <c r="AY814" s="5">
        <f>IF(T814&gt;0,RANK(T814,(N814:P814,Q814:AE814)),0)</f>
        <v>0</v>
      </c>
      <c r="AZ814" s="5">
        <f>IF(S814&gt;0,RANK(S814,(N814:P814,Q814:AE814)),0)</f>
        <v>5</v>
      </c>
      <c r="BA814" s="2">
        <f t="shared" si="347"/>
        <v>4.5448304270218315E-2</v>
      </c>
      <c r="BB814" s="2">
        <f t="shared" si="348"/>
        <v>1.2357544967733078E-3</v>
      </c>
      <c r="BC814" s="2">
        <f t="shared" si="349"/>
        <v>0</v>
      </c>
      <c r="BD814" s="2">
        <f t="shared" si="350"/>
        <v>6.1787724838665388E-4</v>
      </c>
      <c r="BF814" t="s">
        <v>161</v>
      </c>
      <c r="BG814" t="s">
        <v>148</v>
      </c>
      <c r="BH814">
        <v>3</v>
      </c>
      <c r="BJ814" s="114">
        <v>18</v>
      </c>
      <c r="BK814" s="116">
        <v>151</v>
      </c>
      <c r="BL814" s="120">
        <f t="shared" si="352"/>
        <v>18151</v>
      </c>
      <c r="BN814" s="5" t="s">
        <v>3154</v>
      </c>
      <c r="BY814" s="63">
        <f t="shared" si="351"/>
        <v>14566</v>
      </c>
      <c r="CB814" s="132"/>
      <c r="CD814" s="63">
        <v>0</v>
      </c>
      <c r="CE814" s="63">
        <v>0</v>
      </c>
      <c r="CF814" s="63">
        <v>0</v>
      </c>
      <c r="CG814" s="8">
        <v>0</v>
      </c>
      <c r="CH814" s="8">
        <v>0</v>
      </c>
      <c r="CI814" s="8">
        <v>0</v>
      </c>
    </row>
    <row r="815" spans="1:87" hidden="1" outlineLevel="1">
      <c r="A815" t="s">
        <v>1040</v>
      </c>
      <c r="B815" t="s">
        <v>148</v>
      </c>
      <c r="C815" s="1">
        <f t="shared" si="340"/>
        <v>8559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32">
        <f t="shared" si="341"/>
        <v>4025</v>
      </c>
      <c r="H815" s="137">
        <f t="shared" si="342"/>
        <v>0.47026521789928732</v>
      </c>
      <c r="I815" s="2"/>
      <c r="J815" s="2">
        <f t="shared" si="343"/>
        <v>0.2468746348872532</v>
      </c>
      <c r="K815" s="2">
        <f t="shared" si="344"/>
        <v>0.71713985278654047</v>
      </c>
      <c r="L815" s="2">
        <f t="shared" si="345"/>
        <v>0</v>
      </c>
      <c r="M815" s="2">
        <f t="shared" si="346"/>
        <v>3.5985512326206281E-2</v>
      </c>
      <c r="N815" s="63">
        <v>2113</v>
      </c>
      <c r="O815" s="63">
        <v>6138</v>
      </c>
      <c r="P815" s="63"/>
      <c r="Q815" s="63">
        <v>308</v>
      </c>
      <c r="R815" s="63">
        <v>0</v>
      </c>
      <c r="S815" s="63">
        <v>0</v>
      </c>
      <c r="T815" s="63">
        <v>0</v>
      </c>
      <c r="U815" s="63">
        <v>0</v>
      </c>
      <c r="V815" s="63"/>
      <c r="W815" s="63">
        <f>IF(Copyright!B$11=1,IF(CA815&gt;0,CA815-P815-SUM(R815:V815)-SUM(X815:AQ815),SUM(CB815:CI815)),SUM(CC815:CI815))</f>
        <v>0</v>
      </c>
      <c r="X815" s="63"/>
      <c r="Y815" s="63">
        <v>0</v>
      </c>
      <c r="Z815" s="63">
        <v>0</v>
      </c>
      <c r="AA815" s="63"/>
      <c r="AB815" s="63"/>
      <c r="AC815" s="63"/>
      <c r="AD815" s="63"/>
      <c r="AE815" s="63">
        <v>0</v>
      </c>
      <c r="AF815" s="63"/>
      <c r="AG815" s="63"/>
      <c r="AH815" s="63"/>
      <c r="AI815" s="8"/>
      <c r="AJ815" s="63"/>
      <c r="AK815" s="63"/>
      <c r="AL815" s="63"/>
      <c r="AM815" s="63">
        <v>0</v>
      </c>
      <c r="AN815" s="63"/>
      <c r="AO815" s="63"/>
      <c r="AP815" s="63"/>
      <c r="AQ815" s="63"/>
      <c r="AR815" s="63"/>
      <c r="AS815" s="63"/>
      <c r="AT815" s="63"/>
      <c r="AU815" s="63"/>
      <c r="AW815" s="5">
        <f>IF(Q815&gt;0,RANK(Q815,(N815:P815,Q815:AE815)),0)</f>
        <v>3</v>
      </c>
      <c r="AX815" s="5">
        <f>IF(R815&gt;0,RANK(R815,(N815:P815,Q815:AE815)),0)</f>
        <v>0</v>
      </c>
      <c r="AY815" s="5">
        <f>IF(T815&gt;0,RANK(T815,(N815:P815,Q815:AE815)),0)</f>
        <v>0</v>
      </c>
      <c r="AZ815" s="5">
        <f>IF(S815&gt;0,RANK(S815,(N815:P815,Q815:AE815)),0)</f>
        <v>0</v>
      </c>
      <c r="BA815" s="2">
        <f t="shared" si="347"/>
        <v>3.598551232620633E-2</v>
      </c>
      <c r="BB815" s="2">
        <f t="shared" si="348"/>
        <v>0</v>
      </c>
      <c r="BC815" s="2">
        <f t="shared" si="349"/>
        <v>0</v>
      </c>
      <c r="BD815" s="2">
        <f t="shared" si="350"/>
        <v>0</v>
      </c>
      <c r="BF815" t="s">
        <v>1040</v>
      </c>
      <c r="BG815" t="s">
        <v>148</v>
      </c>
      <c r="BH815">
        <v>8</v>
      </c>
      <c r="BJ815" s="114">
        <v>18</v>
      </c>
      <c r="BK815" s="116">
        <v>153</v>
      </c>
      <c r="BL815" s="120">
        <f t="shared" si="352"/>
        <v>18153</v>
      </c>
      <c r="BN815" s="5" t="s">
        <v>3154</v>
      </c>
      <c r="BY815" s="63">
        <f t="shared" si="351"/>
        <v>8559</v>
      </c>
      <c r="CB815" s="132"/>
      <c r="CD815" s="63">
        <v>0</v>
      </c>
      <c r="CE815" s="63">
        <v>0</v>
      </c>
      <c r="CF815" s="63">
        <v>0</v>
      </c>
      <c r="CG815" s="8">
        <v>0</v>
      </c>
      <c r="CH815" s="8">
        <v>0</v>
      </c>
      <c r="CI815" s="8">
        <v>0</v>
      </c>
    </row>
    <row r="816" spans="1:87" hidden="1" outlineLevel="1">
      <c r="A816" t="s">
        <v>1062</v>
      </c>
      <c r="B816" t="s">
        <v>148</v>
      </c>
      <c r="C816" s="1">
        <f t="shared" si="340"/>
        <v>3699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>IF(P816&gt;0,RANK(P816,(N816:P816,Q816:AE816)),0)</f>
        <v>0</v>
      </c>
      <c r="G816" s="132">
        <f t="shared" si="341"/>
        <v>1628</v>
      </c>
      <c r="H816" s="137">
        <f t="shared" si="342"/>
        <v>0.4401189510678562</v>
      </c>
      <c r="I816" s="2"/>
      <c r="J816" s="2">
        <f t="shared" si="343"/>
        <v>0.25141930251419303</v>
      </c>
      <c r="K816" s="2">
        <f t="shared" si="344"/>
        <v>0.69153825358204923</v>
      </c>
      <c r="L816" s="2">
        <f t="shared" si="345"/>
        <v>0</v>
      </c>
      <c r="M816" s="2">
        <f t="shared" si="346"/>
        <v>5.7042443903757678E-2</v>
      </c>
      <c r="N816" s="63">
        <v>930</v>
      </c>
      <c r="O816" s="63">
        <v>2558</v>
      </c>
      <c r="P816" s="63"/>
      <c r="Q816" s="63">
        <v>151</v>
      </c>
      <c r="R816" s="63">
        <v>5</v>
      </c>
      <c r="S816" s="63">
        <v>5</v>
      </c>
      <c r="T816" s="63">
        <v>0</v>
      </c>
      <c r="U816" s="63">
        <v>0</v>
      </c>
      <c r="V816" s="63"/>
      <c r="W816" s="63">
        <f>IF(Copyright!B$11=1,IF(CA816&gt;0,CA816-P816-SUM(R816:V816)-SUM(X816:AQ816),SUM(CB816:CI816)),SUM(CC816:CI816))</f>
        <v>50</v>
      </c>
      <c r="X816" s="63"/>
      <c r="Y816" s="63">
        <v>0</v>
      </c>
      <c r="Z816" s="63">
        <v>0</v>
      </c>
      <c r="AA816" s="63"/>
      <c r="AB816" s="63"/>
      <c r="AC816" s="63"/>
      <c r="AD816" s="63"/>
      <c r="AE816" s="63">
        <v>0</v>
      </c>
      <c r="AF816" s="63"/>
      <c r="AG816" s="63"/>
      <c r="AH816" s="63"/>
      <c r="AI816" s="8"/>
      <c r="AJ816" s="63"/>
      <c r="AK816" s="63"/>
      <c r="AL816" s="63"/>
      <c r="AM816" s="63">
        <v>0</v>
      </c>
      <c r="AN816" s="63"/>
      <c r="AO816" s="63"/>
      <c r="AP816" s="63"/>
      <c r="AQ816" s="63"/>
      <c r="AR816" s="63"/>
      <c r="AS816" s="63"/>
      <c r="AT816" s="63"/>
      <c r="AU816" s="63"/>
      <c r="AW816" s="5">
        <f>IF(Q816&gt;0,RANK(Q816,(N816:P816,Q816:AE816)),0)</f>
        <v>3</v>
      </c>
      <c r="AX816" s="5">
        <f>IF(R816&gt;0,RANK(R816,(N816:P816,Q816:AE816)),0)</f>
        <v>5</v>
      </c>
      <c r="AY816" s="5">
        <f>IF(T816&gt;0,RANK(T816,(N816:P816,Q816:AE816)),0)</f>
        <v>0</v>
      </c>
      <c r="AZ816" s="5">
        <f>IF(S816&gt;0,RANK(S816,(N816:P816,Q816:AE816)),0)</f>
        <v>5</v>
      </c>
      <c r="BA816" s="2">
        <f t="shared" si="347"/>
        <v>4.0821843741551768E-2</v>
      </c>
      <c r="BB816" s="2">
        <f t="shared" si="348"/>
        <v>1.3517166801838335E-3</v>
      </c>
      <c r="BC816" s="2">
        <f t="shared" si="349"/>
        <v>0</v>
      </c>
      <c r="BD816" s="2">
        <f t="shared" si="350"/>
        <v>1.3517166801838335E-3</v>
      </c>
      <c r="BF816" t="s">
        <v>1062</v>
      </c>
      <c r="BG816" t="s">
        <v>148</v>
      </c>
      <c r="BH816">
        <v>6</v>
      </c>
      <c r="BJ816" s="114">
        <v>18</v>
      </c>
      <c r="BK816" s="116">
        <v>155</v>
      </c>
      <c r="BL816" s="120">
        <f t="shared" si="352"/>
        <v>18155</v>
      </c>
      <c r="BN816" s="5" t="s">
        <v>3154</v>
      </c>
      <c r="BY816" s="63">
        <f t="shared" si="351"/>
        <v>3699</v>
      </c>
      <c r="CB816" s="132"/>
      <c r="CD816" s="63">
        <v>0</v>
      </c>
      <c r="CE816" s="63">
        <v>0</v>
      </c>
      <c r="CF816" s="63">
        <v>50</v>
      </c>
      <c r="CG816" s="8">
        <v>0</v>
      </c>
      <c r="CH816" s="8">
        <v>0</v>
      </c>
      <c r="CI816" s="8">
        <v>0</v>
      </c>
    </row>
    <row r="817" spans="1:87" hidden="1" outlineLevel="1">
      <c r="A817" t="s">
        <v>58</v>
      </c>
      <c r="B817" t="s">
        <v>148</v>
      </c>
      <c r="C817" s="1">
        <f t="shared" si="340"/>
        <v>63339</v>
      </c>
      <c r="D817" s="5">
        <f>IF(N817&gt;0, RANK(N817,(N817:P817,Q817:AE817)),0)</f>
        <v>2</v>
      </c>
      <c r="E817" s="5">
        <f>IF(O817&gt;0,RANK(O817,(N817:P817,Q817:AE817)),0)</f>
        <v>1</v>
      </c>
      <c r="F817" s="5">
        <f>IF(P817&gt;0,RANK(P817,(N817:P817,Q817:AE817)),0)</f>
        <v>0</v>
      </c>
      <c r="G817" s="132">
        <f t="shared" si="341"/>
        <v>3486</v>
      </c>
      <c r="H817" s="137">
        <f t="shared" si="342"/>
        <v>5.5037180883815658E-2</v>
      </c>
      <c r="I817" s="2"/>
      <c r="J817" s="2">
        <f t="shared" si="343"/>
        <v>0.4307298820631838</v>
      </c>
      <c r="K817" s="2">
        <f t="shared" si="344"/>
        <v>0.48576706294699951</v>
      </c>
      <c r="L817" s="2">
        <f t="shared" si="345"/>
        <v>0</v>
      </c>
      <c r="M817" s="2">
        <f t="shared" si="346"/>
        <v>8.350305498981675E-2</v>
      </c>
      <c r="N817" s="63">
        <v>27282</v>
      </c>
      <c r="O817" s="63">
        <v>30768</v>
      </c>
      <c r="P817" s="63"/>
      <c r="Q817" s="63">
        <v>4002</v>
      </c>
      <c r="R817" s="63">
        <v>339</v>
      </c>
      <c r="S817" s="63">
        <v>97</v>
      </c>
      <c r="T817" s="63">
        <v>0</v>
      </c>
      <c r="U817" s="63">
        <v>1</v>
      </c>
      <c r="V817" s="63"/>
      <c r="W817" s="63">
        <f>IF(Copyright!B$11=1,IF(CA817&gt;0,CA817-P817-SUM(R817:V817)-SUM(X817:AQ817),SUM(CB817:CI817)),SUM(CC817:CI817))</f>
        <v>828</v>
      </c>
      <c r="X817" s="63"/>
      <c r="Y817" s="63">
        <v>15</v>
      </c>
      <c r="Z817" s="63">
        <v>2</v>
      </c>
      <c r="AA817" s="63"/>
      <c r="AB817" s="63"/>
      <c r="AC817" s="63"/>
      <c r="AD817" s="63"/>
      <c r="AE817" s="63">
        <v>5</v>
      </c>
      <c r="AF817" s="63"/>
      <c r="AG817" s="63"/>
      <c r="AH817" s="63"/>
      <c r="AI817" s="8"/>
      <c r="AJ817" s="63"/>
      <c r="AK817" s="63"/>
      <c r="AL817" s="63"/>
      <c r="AM817" s="63">
        <v>0</v>
      </c>
      <c r="AN817" s="63"/>
      <c r="AO817" s="63"/>
      <c r="AP817" s="63"/>
      <c r="AQ817" s="63"/>
      <c r="AR817" s="63"/>
      <c r="AS817" s="63"/>
      <c r="AT817" s="63"/>
      <c r="AU817" s="63"/>
      <c r="AW817" s="5">
        <f>IF(Q817&gt;0,RANK(Q817,(N817:P817,Q817:AE817)),0)</f>
        <v>3</v>
      </c>
      <c r="AX817" s="5">
        <f>IF(R817&gt;0,RANK(R817,(N817:P817,Q817:AE817)),0)</f>
        <v>5</v>
      </c>
      <c r="AY817" s="5">
        <f>IF(T817&gt;0,RANK(T817,(N817:P817,Q817:AE817)),0)</f>
        <v>0</v>
      </c>
      <c r="AZ817" s="5">
        <f>IF(S817&gt;0,RANK(S817,(N817:P817,Q817:AE817)),0)</f>
        <v>6</v>
      </c>
      <c r="BA817" s="2">
        <f t="shared" si="347"/>
        <v>6.3183820395017284E-2</v>
      </c>
      <c r="BB817" s="2">
        <f t="shared" si="348"/>
        <v>5.3521527021266517E-3</v>
      </c>
      <c r="BC817" s="2">
        <f t="shared" si="349"/>
        <v>0</v>
      </c>
      <c r="BD817" s="2">
        <f t="shared" si="350"/>
        <v>1.5314419236173605E-3</v>
      </c>
      <c r="BF817" t="s">
        <v>58</v>
      </c>
      <c r="BG817" t="s">
        <v>148</v>
      </c>
      <c r="BH817">
        <v>4</v>
      </c>
      <c r="BJ817" s="114">
        <v>18</v>
      </c>
      <c r="BK817" s="116">
        <v>157</v>
      </c>
      <c r="BL817" s="120">
        <f t="shared" si="352"/>
        <v>18157</v>
      </c>
      <c r="BN817" s="5" t="s">
        <v>3154</v>
      </c>
      <c r="BY817" s="63">
        <f t="shared" si="351"/>
        <v>63339</v>
      </c>
      <c r="CA817" s="63">
        <v>1287</v>
      </c>
      <c r="CB817" s="132"/>
      <c r="CD817" s="63">
        <v>0</v>
      </c>
      <c r="CE817" s="63">
        <v>1</v>
      </c>
      <c r="CF817" s="63">
        <v>0</v>
      </c>
      <c r="CG817" s="8">
        <v>0</v>
      </c>
      <c r="CH817" s="8">
        <v>0</v>
      </c>
      <c r="CI817" s="8">
        <v>3</v>
      </c>
    </row>
    <row r="818" spans="1:87" hidden="1" outlineLevel="1">
      <c r="A818" t="s">
        <v>59</v>
      </c>
      <c r="B818" t="s">
        <v>148</v>
      </c>
      <c r="C818" s="1">
        <f t="shared" si="340"/>
        <v>7510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32">
        <f t="shared" si="341"/>
        <v>4002</v>
      </c>
      <c r="H818" s="137">
        <f t="shared" si="342"/>
        <v>0.53288948069241016</v>
      </c>
      <c r="I818" s="2"/>
      <c r="J818" s="2">
        <f t="shared" si="343"/>
        <v>0.21131824234354193</v>
      </c>
      <c r="K818" s="2">
        <f t="shared" si="344"/>
        <v>0.74420772303595206</v>
      </c>
      <c r="L818" s="2">
        <f t="shared" si="345"/>
        <v>0</v>
      </c>
      <c r="M818" s="2">
        <f t="shared" si="346"/>
        <v>4.4474034620506031E-2</v>
      </c>
      <c r="N818" s="63">
        <v>1587</v>
      </c>
      <c r="O818" s="63">
        <v>5589</v>
      </c>
      <c r="P818" s="63"/>
      <c r="Q818" s="63">
        <v>334</v>
      </c>
      <c r="R818" s="63">
        <v>0</v>
      </c>
      <c r="S818" s="63">
        <v>0</v>
      </c>
      <c r="T818" s="63">
        <v>0</v>
      </c>
      <c r="U818" s="63">
        <v>0</v>
      </c>
      <c r="V818" s="63"/>
      <c r="W818" s="63">
        <f>IF(Copyright!B$11=1,IF(CA818&gt;0,CA818-P818-SUM(R818:V818)-SUM(X818:AQ818),SUM(CB818:CI818)),SUM(CC818:CI818))</f>
        <v>0</v>
      </c>
      <c r="X818" s="63"/>
      <c r="Y818" s="63">
        <v>0</v>
      </c>
      <c r="Z818" s="63">
        <v>0</v>
      </c>
      <c r="AA818" s="63"/>
      <c r="AB818" s="63"/>
      <c r="AC818" s="63"/>
      <c r="AD818" s="63"/>
      <c r="AE818" s="63">
        <v>0</v>
      </c>
      <c r="AF818" s="63"/>
      <c r="AG818" s="63"/>
      <c r="AH818" s="63"/>
      <c r="AI818" s="8"/>
      <c r="AJ818" s="63"/>
      <c r="AK818" s="63"/>
      <c r="AL818" s="63"/>
      <c r="AM818" s="63">
        <v>0</v>
      </c>
      <c r="AN818" s="63"/>
      <c r="AO818" s="63"/>
      <c r="AP818" s="63"/>
      <c r="AQ818" s="63"/>
      <c r="AR818" s="63"/>
      <c r="AS818" s="63"/>
      <c r="AT818" s="63"/>
      <c r="AU818" s="63"/>
      <c r="AW818" s="5">
        <f>IF(Q818&gt;0,RANK(Q818,(N818:P818,Q818:AE818)),0)</f>
        <v>3</v>
      </c>
      <c r="AX818" s="5">
        <f>IF(R818&gt;0,RANK(R818,(N818:P818,Q818:AE818)),0)</f>
        <v>0</v>
      </c>
      <c r="AY818" s="5">
        <f>IF(T818&gt;0,RANK(T818,(N818:P818,Q818:AE818)),0)</f>
        <v>0</v>
      </c>
      <c r="AZ818" s="5">
        <f>IF(S818&gt;0,RANK(S818,(N818:P818,Q818:AE818)),0)</f>
        <v>0</v>
      </c>
      <c r="BA818" s="2">
        <f t="shared" si="347"/>
        <v>4.4474034620505989E-2</v>
      </c>
      <c r="BB818" s="2">
        <f t="shared" si="348"/>
        <v>0</v>
      </c>
      <c r="BC818" s="2">
        <f t="shared" si="349"/>
        <v>0</v>
      </c>
      <c r="BD818" s="2">
        <f t="shared" si="350"/>
        <v>0</v>
      </c>
      <c r="BF818" t="s">
        <v>59</v>
      </c>
      <c r="BG818" t="s">
        <v>148</v>
      </c>
      <c r="BH818">
        <v>5</v>
      </c>
      <c r="BJ818" s="114">
        <v>18</v>
      </c>
      <c r="BK818" s="116">
        <v>159</v>
      </c>
      <c r="BL818" s="120">
        <f t="shared" si="352"/>
        <v>18159</v>
      </c>
      <c r="BN818" s="5" t="s">
        <v>3154</v>
      </c>
      <c r="BY818" s="63">
        <f t="shared" si="351"/>
        <v>7510</v>
      </c>
      <c r="CB818" s="132"/>
      <c r="CD818" s="63">
        <v>0</v>
      </c>
      <c r="CE818" s="63">
        <v>0</v>
      </c>
      <c r="CF818" s="63">
        <v>0</v>
      </c>
      <c r="CG818" s="8">
        <v>0</v>
      </c>
      <c r="CH818" s="8">
        <v>0</v>
      </c>
      <c r="CI818" s="8">
        <v>0</v>
      </c>
    </row>
    <row r="819" spans="1:87" hidden="1" outlineLevel="1">
      <c r="A819" t="s">
        <v>1513</v>
      </c>
      <c r="B819" t="s">
        <v>148</v>
      </c>
      <c r="C819" s="1">
        <f t="shared" si="340"/>
        <v>3291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32">
        <f t="shared" si="341"/>
        <v>1730</v>
      </c>
      <c r="H819" s="137">
        <f t="shared" si="342"/>
        <v>0.52567608629595863</v>
      </c>
      <c r="I819" s="2"/>
      <c r="J819" s="2">
        <f t="shared" si="343"/>
        <v>0.21725919173503494</v>
      </c>
      <c r="K819" s="2">
        <f t="shared" si="344"/>
        <v>0.74293527803099357</v>
      </c>
      <c r="L819" s="2">
        <f t="shared" si="345"/>
        <v>0</v>
      </c>
      <c r="M819" s="2">
        <f t="shared" si="346"/>
        <v>3.9805530233971487E-2</v>
      </c>
      <c r="N819" s="63">
        <v>715</v>
      </c>
      <c r="O819" s="63">
        <v>2445</v>
      </c>
      <c r="P819" s="63"/>
      <c r="Q819" s="63">
        <v>126</v>
      </c>
      <c r="R819" s="63">
        <v>5</v>
      </c>
      <c r="S819" s="63">
        <v>0</v>
      </c>
      <c r="T819" s="63">
        <v>0</v>
      </c>
      <c r="U819" s="63">
        <v>0</v>
      </c>
      <c r="V819" s="63"/>
      <c r="W819" s="63">
        <f>IF(Copyright!B$11=1,IF(CA819&gt;0,CA819-P819-SUM(R819:V819)-SUM(X819:AQ819),SUM(CB819:CI819)),SUM(CC819:CI819))</f>
        <v>0</v>
      </c>
      <c r="X819" s="63"/>
      <c r="Y819" s="63">
        <v>0</v>
      </c>
      <c r="Z819" s="63">
        <v>0</v>
      </c>
      <c r="AA819" s="63"/>
      <c r="AB819" s="63"/>
      <c r="AC819" s="63"/>
      <c r="AD819" s="63"/>
      <c r="AE819" s="63">
        <v>0</v>
      </c>
      <c r="AF819" s="63"/>
      <c r="AG819" s="63"/>
      <c r="AH819" s="63"/>
      <c r="AI819" s="8"/>
      <c r="AJ819" s="63"/>
      <c r="AK819" s="63"/>
      <c r="AL819" s="63"/>
      <c r="AM819" s="63">
        <v>0</v>
      </c>
      <c r="AN819" s="63"/>
      <c r="AO819" s="63"/>
      <c r="AP819" s="63"/>
      <c r="AQ819" s="63"/>
      <c r="AR819" s="63"/>
      <c r="AS819" s="63"/>
      <c r="AT819" s="63"/>
      <c r="AU819" s="63"/>
      <c r="AW819" s="5">
        <f>IF(Q819&gt;0,RANK(Q819,(N819:P819,Q819:AE819)),0)</f>
        <v>3</v>
      </c>
      <c r="AX819" s="5">
        <f>IF(R819&gt;0,RANK(R819,(N819:P819,Q819:AE819)),0)</f>
        <v>4</v>
      </c>
      <c r="AY819" s="5">
        <f>IF(T819&gt;0,RANK(T819,(N819:P819,Q819:AE819)),0)</f>
        <v>0</v>
      </c>
      <c r="AZ819" s="5">
        <f>IF(S819&gt;0,RANK(S819,(N819:P819,Q819:AE819)),0)</f>
        <v>0</v>
      </c>
      <c r="BA819" s="2">
        <f t="shared" si="347"/>
        <v>3.8286235186873289E-2</v>
      </c>
      <c r="BB819" s="2">
        <f t="shared" si="348"/>
        <v>1.5192950470981465E-3</v>
      </c>
      <c r="BC819" s="2">
        <f t="shared" si="349"/>
        <v>0</v>
      </c>
      <c r="BD819" s="2">
        <f t="shared" si="350"/>
        <v>0</v>
      </c>
      <c r="BF819" t="s">
        <v>1513</v>
      </c>
      <c r="BG819" t="s">
        <v>148</v>
      </c>
      <c r="BH819">
        <v>6</v>
      </c>
      <c r="BJ819" s="114">
        <v>18</v>
      </c>
      <c r="BK819" s="116">
        <v>161</v>
      </c>
      <c r="BL819" s="120">
        <f t="shared" si="352"/>
        <v>18161</v>
      </c>
      <c r="BN819" s="5" t="s">
        <v>3154</v>
      </c>
      <c r="BY819" s="63">
        <f t="shared" si="351"/>
        <v>3291</v>
      </c>
      <c r="CB819" s="132"/>
      <c r="CD819" s="63">
        <v>0</v>
      </c>
      <c r="CE819" s="63">
        <v>0</v>
      </c>
      <c r="CF819" s="63">
        <v>0</v>
      </c>
      <c r="CG819" s="8">
        <v>0</v>
      </c>
      <c r="CH819" s="8">
        <v>0</v>
      </c>
      <c r="CI819" s="8">
        <v>0</v>
      </c>
    </row>
    <row r="820" spans="1:87" hidden="1" outlineLevel="1">
      <c r="A820" t="s">
        <v>1714</v>
      </c>
      <c r="B820" t="s">
        <v>148</v>
      </c>
      <c r="C820" s="1">
        <f t="shared" si="340"/>
        <v>73369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32">
        <f t="shared" si="341"/>
        <v>11966</v>
      </c>
      <c r="H820" s="137">
        <f t="shared" si="342"/>
        <v>0.163093404571413</v>
      </c>
      <c r="I820" s="2"/>
      <c r="J820" s="2">
        <f t="shared" si="343"/>
        <v>0.38885632896727501</v>
      </c>
      <c r="K820" s="2">
        <f t="shared" si="344"/>
        <v>0.55194973353868804</v>
      </c>
      <c r="L820" s="2">
        <f t="shared" si="345"/>
        <v>0</v>
      </c>
      <c r="M820" s="2">
        <f t="shared" si="346"/>
        <v>5.9193937494036897E-2</v>
      </c>
      <c r="N820" s="63">
        <v>28530</v>
      </c>
      <c r="O820" s="63">
        <v>40496</v>
      </c>
      <c r="P820" s="63"/>
      <c r="Q820" s="63">
        <v>3263</v>
      </c>
      <c r="R820" s="63">
        <v>191</v>
      </c>
      <c r="S820" s="63">
        <v>11</v>
      </c>
      <c r="T820" s="63">
        <v>0</v>
      </c>
      <c r="U820" s="63">
        <v>5</v>
      </c>
      <c r="V820" s="63"/>
      <c r="W820" s="63">
        <f>IF(Copyright!B$11=1,IF(CA820&gt;0,CA820-P820-SUM(R820:V820)-SUM(X820:AQ820),SUM(CB820:CI820)),SUM(CC820:CI820))</f>
        <v>863</v>
      </c>
      <c r="X820" s="63"/>
      <c r="Y820" s="63">
        <v>8</v>
      </c>
      <c r="Z820" s="63">
        <v>1</v>
      </c>
      <c r="AA820" s="63"/>
      <c r="AB820" s="63"/>
      <c r="AC820" s="63"/>
      <c r="AD820" s="63"/>
      <c r="AE820" s="63">
        <v>1</v>
      </c>
      <c r="AF820" s="63"/>
      <c r="AG820" s="63"/>
      <c r="AH820" s="63"/>
      <c r="AI820" s="8"/>
      <c r="AJ820" s="63"/>
      <c r="AK820" s="63"/>
      <c r="AL820" s="63"/>
      <c r="AM820" s="63">
        <v>0</v>
      </c>
      <c r="AN820" s="63"/>
      <c r="AO820" s="63"/>
      <c r="AP820" s="63"/>
      <c r="AQ820" s="63"/>
      <c r="AR820" s="63"/>
      <c r="AS820" s="63"/>
      <c r="AT820" s="63"/>
      <c r="AU820" s="63"/>
      <c r="AW820" s="5">
        <f>IF(Q820&gt;0,RANK(Q820,(N820:P820,Q820:AE820)),0)</f>
        <v>3</v>
      </c>
      <c r="AX820" s="5">
        <f>IF(R820&gt;0,RANK(R820,(N820:P820,Q820:AE820)),0)</f>
        <v>5</v>
      </c>
      <c r="AY820" s="5">
        <f>IF(T820&gt;0,RANK(T820,(N820:P820,Q820:AE820)),0)</f>
        <v>0</v>
      </c>
      <c r="AZ820" s="5">
        <f>IF(S820&gt;0,RANK(S820,(N820:P820,Q820:AE820)),0)</f>
        <v>6</v>
      </c>
      <c r="BA820" s="2">
        <f t="shared" si="347"/>
        <v>4.4473824094644877E-2</v>
      </c>
      <c r="BB820" s="2">
        <f t="shared" si="348"/>
        <v>2.6032793141517537E-3</v>
      </c>
      <c r="BC820" s="2">
        <f t="shared" si="349"/>
        <v>0</v>
      </c>
      <c r="BD820" s="2">
        <f t="shared" si="350"/>
        <v>1.4992708091973448E-4</v>
      </c>
      <c r="BF820" t="s">
        <v>1714</v>
      </c>
      <c r="BG820" t="s">
        <v>148</v>
      </c>
      <c r="BH820">
        <v>8</v>
      </c>
      <c r="BJ820" s="114">
        <v>18</v>
      </c>
      <c r="BK820" s="116">
        <v>163</v>
      </c>
      <c r="BL820" s="120">
        <f t="shared" si="352"/>
        <v>18163</v>
      </c>
      <c r="BN820" s="5" t="s">
        <v>3154</v>
      </c>
      <c r="BY820" s="63">
        <f t="shared" si="351"/>
        <v>73369</v>
      </c>
      <c r="CA820" s="63">
        <v>1080</v>
      </c>
      <c r="CB820" s="132"/>
      <c r="CD820" s="63">
        <v>0</v>
      </c>
      <c r="CE820" s="63">
        <v>0</v>
      </c>
      <c r="CF820" s="63">
        <v>0</v>
      </c>
      <c r="CG820" s="8">
        <v>0</v>
      </c>
      <c r="CH820" s="8">
        <v>0</v>
      </c>
      <c r="CI820" s="8">
        <v>1</v>
      </c>
    </row>
    <row r="821" spans="1:87" hidden="1" outlineLevel="1">
      <c r="A821" t="s">
        <v>880</v>
      </c>
      <c r="B821" t="s">
        <v>148</v>
      </c>
      <c r="C821" s="1">
        <f t="shared" si="340"/>
        <v>6973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32">
        <f t="shared" si="341"/>
        <v>2432</v>
      </c>
      <c r="H821" s="137">
        <f t="shared" si="342"/>
        <v>0.34877384196185285</v>
      </c>
      <c r="I821" s="2"/>
      <c r="J821" s="2">
        <f t="shared" si="343"/>
        <v>0.29843682776423347</v>
      </c>
      <c r="K821" s="2">
        <f t="shared" si="344"/>
        <v>0.64721066972608632</v>
      </c>
      <c r="L821" s="2">
        <f t="shared" si="345"/>
        <v>0</v>
      </c>
      <c r="M821" s="2">
        <f t="shared" si="346"/>
        <v>5.4352502509680156E-2</v>
      </c>
      <c r="N821" s="63">
        <v>2081</v>
      </c>
      <c r="O821" s="63">
        <v>4513</v>
      </c>
      <c r="P821" s="63"/>
      <c r="Q821" s="63">
        <v>321</v>
      </c>
      <c r="R821" s="63">
        <v>17</v>
      </c>
      <c r="S821" s="63">
        <v>3</v>
      </c>
      <c r="T821" s="63">
        <v>0</v>
      </c>
      <c r="U821" s="63">
        <v>0</v>
      </c>
      <c r="V821" s="63"/>
      <c r="W821" s="63">
        <f>IF(Copyright!B$11=1,IF(CA821&gt;0,CA821-P821-SUM(R821:V821)-SUM(X821:AQ821),SUM(CB821:CI821)),SUM(CC821:CI821))</f>
        <v>38</v>
      </c>
      <c r="X821" s="63"/>
      <c r="Y821" s="63">
        <v>0</v>
      </c>
      <c r="Z821" s="63">
        <v>0</v>
      </c>
      <c r="AA821" s="63"/>
      <c r="AB821" s="63"/>
      <c r="AC821" s="63"/>
      <c r="AD821" s="63"/>
      <c r="AE821" s="63">
        <v>0</v>
      </c>
      <c r="AF821" s="63"/>
      <c r="AG821" s="63"/>
      <c r="AH821" s="63"/>
      <c r="AI821" s="8"/>
      <c r="AJ821" s="63"/>
      <c r="AK821" s="63"/>
      <c r="AL821" s="63"/>
      <c r="AM821" s="63">
        <v>0</v>
      </c>
      <c r="AN821" s="63"/>
      <c r="AO821" s="63"/>
      <c r="AP821" s="63"/>
      <c r="AQ821" s="63"/>
      <c r="AR821" s="63"/>
      <c r="AS821" s="63"/>
      <c r="AT821" s="63"/>
      <c r="AU821" s="63"/>
      <c r="AW821" s="5">
        <f>IF(Q821&gt;0,RANK(Q821,(N821:P821,Q821:AE821)),0)</f>
        <v>3</v>
      </c>
      <c r="AX821" s="5">
        <f>IF(R821&gt;0,RANK(R821,(N821:P821,Q821:AE821)),0)</f>
        <v>5</v>
      </c>
      <c r="AY821" s="5">
        <f>IF(T821&gt;0,RANK(T821,(N821:P821,Q821:AE821)),0)</f>
        <v>0</v>
      </c>
      <c r="AZ821" s="5">
        <f>IF(S821&gt;0,RANK(S821,(N821:P821,Q821:AE821)),0)</f>
        <v>6</v>
      </c>
      <c r="BA821" s="2">
        <f t="shared" si="347"/>
        <v>4.6034705291839957E-2</v>
      </c>
      <c r="BB821" s="2">
        <f t="shared" si="348"/>
        <v>2.4379750466083463E-3</v>
      </c>
      <c r="BC821" s="2">
        <f t="shared" si="349"/>
        <v>0</v>
      </c>
      <c r="BD821" s="2">
        <f t="shared" si="350"/>
        <v>4.3023089057794351E-4</v>
      </c>
      <c r="BF821" t="s">
        <v>880</v>
      </c>
      <c r="BG821" t="s">
        <v>148</v>
      </c>
      <c r="BH821">
        <v>8</v>
      </c>
      <c r="BJ821" s="114">
        <v>18</v>
      </c>
      <c r="BK821" s="116">
        <v>165</v>
      </c>
      <c r="BL821" s="120">
        <f t="shared" si="352"/>
        <v>18165</v>
      </c>
      <c r="BN821" s="5" t="s">
        <v>3154</v>
      </c>
      <c r="BR821" s="63"/>
      <c r="BY821" s="63">
        <f t="shared" si="351"/>
        <v>6973</v>
      </c>
      <c r="CA821" s="63">
        <v>58</v>
      </c>
      <c r="CB821" s="132"/>
      <c r="CD821" s="63">
        <v>0</v>
      </c>
      <c r="CE821" s="63">
        <v>0</v>
      </c>
      <c r="CF821" s="63">
        <v>4</v>
      </c>
      <c r="CG821" s="8">
        <v>0</v>
      </c>
      <c r="CH821" s="8">
        <v>0</v>
      </c>
      <c r="CI821" s="8">
        <v>0</v>
      </c>
    </row>
    <row r="822" spans="1:87" hidden="1" outlineLevel="1">
      <c r="A822" t="s">
        <v>2660</v>
      </c>
      <c r="B822" t="s">
        <v>148</v>
      </c>
      <c r="C822" s="1">
        <f t="shared" si="340"/>
        <v>40127</v>
      </c>
      <c r="D822" s="5">
        <f>IF(N822&gt;0, RANK(N822,(N822:P822,Q822:AE822)),0)</f>
        <v>2</v>
      </c>
      <c r="E822" s="5">
        <f>IF(O822&gt;0,RANK(O822,(N822:P822,Q822:AE822)),0)</f>
        <v>1</v>
      </c>
      <c r="F822" s="5">
        <f>IF(P822&gt;0,RANK(P822,(N822:P822,Q822:AE822)),0)</f>
        <v>0</v>
      </c>
      <c r="G822" s="132">
        <f t="shared" si="341"/>
        <v>6006</v>
      </c>
      <c r="H822" s="137">
        <f t="shared" si="342"/>
        <v>0.14967478256535499</v>
      </c>
      <c r="I822" s="2"/>
      <c r="J822" s="2">
        <f t="shared" si="343"/>
        <v>0.39701447902908266</v>
      </c>
      <c r="K822" s="2">
        <f t="shared" si="344"/>
        <v>0.54668926159443765</v>
      </c>
      <c r="L822" s="2">
        <f t="shared" si="345"/>
        <v>0</v>
      </c>
      <c r="M822" s="2">
        <f t="shared" si="346"/>
        <v>5.6296259376479751E-2</v>
      </c>
      <c r="N822" s="63">
        <v>15931</v>
      </c>
      <c r="O822" s="63">
        <v>21937</v>
      </c>
      <c r="P822" s="63"/>
      <c r="Q822" s="63">
        <v>1723</v>
      </c>
      <c r="R822" s="63">
        <v>190</v>
      </c>
      <c r="S822" s="63">
        <v>27</v>
      </c>
      <c r="T822" s="63">
        <v>0</v>
      </c>
      <c r="U822" s="63">
        <v>5</v>
      </c>
      <c r="V822" s="63"/>
      <c r="W822" s="63">
        <f>IF(Copyright!B$11=1,IF(CA822&gt;0,CA822-P822-SUM(R822:V822)-SUM(X822:AQ822),SUM(CB822:CI822)),SUM(CC822:CI822))</f>
        <v>311</v>
      </c>
      <c r="X822" s="63"/>
      <c r="Y822" s="63">
        <v>3</v>
      </c>
      <c r="Z822" s="63">
        <v>0</v>
      </c>
      <c r="AA822" s="63"/>
      <c r="AB822" s="63"/>
      <c r="AC822" s="63"/>
      <c r="AD822" s="63"/>
      <c r="AE822" s="63">
        <v>0</v>
      </c>
      <c r="AF822" s="63"/>
      <c r="AG822" s="63"/>
      <c r="AH822" s="63"/>
      <c r="AI822" s="8"/>
      <c r="AJ822" s="63"/>
      <c r="AK822" s="63"/>
      <c r="AL822" s="63"/>
      <c r="AM822" s="63">
        <v>0</v>
      </c>
      <c r="AN822" s="63"/>
      <c r="AO822" s="63"/>
      <c r="AP822" s="63"/>
      <c r="AQ822" s="63"/>
      <c r="AR822" s="63"/>
      <c r="AS822" s="63"/>
      <c r="AT822" s="63"/>
      <c r="AU822" s="63"/>
      <c r="AW822" s="5">
        <f>IF(Q822&gt;0,RANK(Q822,(N822:P822,Q822:AE822)),0)</f>
        <v>3</v>
      </c>
      <c r="AX822" s="5">
        <f>IF(R822&gt;0,RANK(R822,(N822:P822,Q822:AE822)),0)</f>
        <v>5</v>
      </c>
      <c r="AY822" s="5">
        <f>IF(T822&gt;0,RANK(T822,(N822:P822,Q822:AE822)),0)</f>
        <v>0</v>
      </c>
      <c r="AZ822" s="5">
        <f>IF(S822&gt;0,RANK(S822,(N822:P822,Q822:AE822)),0)</f>
        <v>6</v>
      </c>
      <c r="BA822" s="2">
        <f t="shared" si="347"/>
        <v>4.2938669723627483E-2</v>
      </c>
      <c r="BB822" s="2">
        <f t="shared" si="348"/>
        <v>4.7349664814214871E-3</v>
      </c>
      <c r="BC822" s="2">
        <f t="shared" si="349"/>
        <v>0</v>
      </c>
      <c r="BD822" s="2">
        <f t="shared" si="350"/>
        <v>6.7286365788621133E-4</v>
      </c>
      <c r="BF822" t="s">
        <v>2660</v>
      </c>
      <c r="BG822" t="s">
        <v>148</v>
      </c>
      <c r="BH822">
        <v>8</v>
      </c>
      <c r="BJ822" s="114">
        <v>18</v>
      </c>
      <c r="BK822" s="116">
        <v>167</v>
      </c>
      <c r="BL822" s="120">
        <f t="shared" si="352"/>
        <v>18167</v>
      </c>
      <c r="BN822" s="5" t="s">
        <v>3154</v>
      </c>
      <c r="BY822" s="63">
        <f t="shared" si="351"/>
        <v>40127</v>
      </c>
      <c r="CA822" s="63">
        <v>536</v>
      </c>
      <c r="CB822" s="132"/>
      <c r="CD822" s="63">
        <v>0</v>
      </c>
      <c r="CE822" s="63">
        <v>0</v>
      </c>
      <c r="CF822" s="63">
        <v>0</v>
      </c>
      <c r="CG822" s="8">
        <v>1</v>
      </c>
      <c r="CH822" s="8">
        <v>0</v>
      </c>
      <c r="CI822" s="8">
        <v>1</v>
      </c>
    </row>
    <row r="823" spans="1:87" hidden="1" outlineLevel="1">
      <c r="A823" t="s">
        <v>2951</v>
      </c>
      <c r="B823" t="s">
        <v>148</v>
      </c>
      <c r="C823" s="1">
        <f t="shared" si="340"/>
        <v>13552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32">
        <f t="shared" si="341"/>
        <v>6803</v>
      </c>
      <c r="H823" s="137">
        <f t="shared" si="342"/>
        <v>0.50199232585596221</v>
      </c>
      <c r="I823" s="2"/>
      <c r="J823" s="2">
        <f t="shared" si="343"/>
        <v>0.22269775678866588</v>
      </c>
      <c r="K823" s="2">
        <f t="shared" si="344"/>
        <v>0.72469008264462809</v>
      </c>
      <c r="L823" s="2">
        <f t="shared" si="345"/>
        <v>0</v>
      </c>
      <c r="M823" s="2">
        <f t="shared" si="346"/>
        <v>5.2612160566706034E-2</v>
      </c>
      <c r="N823" s="63">
        <v>3018</v>
      </c>
      <c r="O823" s="63">
        <v>9821</v>
      </c>
      <c r="P823" s="63"/>
      <c r="Q823" s="63">
        <v>578</v>
      </c>
      <c r="R823" s="63">
        <v>39</v>
      </c>
      <c r="S823" s="63">
        <v>6</v>
      </c>
      <c r="T823" s="63">
        <v>0</v>
      </c>
      <c r="U823" s="63">
        <v>0</v>
      </c>
      <c r="V823" s="63"/>
      <c r="W823" s="63">
        <f>IF(Copyright!B$11=1,IF(CA823&gt;0,CA823-P823-SUM(R823:V823)-SUM(X823:AQ823),SUM(CB823:CI823)),SUM(CC823:CI823))</f>
        <v>86</v>
      </c>
      <c r="X823" s="63"/>
      <c r="Y823" s="63">
        <v>2</v>
      </c>
      <c r="Z823" s="63">
        <v>0</v>
      </c>
      <c r="AA823" s="63"/>
      <c r="AB823" s="63"/>
      <c r="AC823" s="63"/>
      <c r="AD823" s="63"/>
      <c r="AE823" s="63">
        <v>1</v>
      </c>
      <c r="AF823" s="63"/>
      <c r="AG823" s="63"/>
      <c r="AH823" s="63"/>
      <c r="AI823" s="8"/>
      <c r="AJ823" s="63"/>
      <c r="AK823" s="63"/>
      <c r="AL823" s="63"/>
      <c r="AM823" s="63">
        <v>1</v>
      </c>
      <c r="AN823" s="63"/>
      <c r="AO823" s="63"/>
      <c r="AP823" s="63"/>
      <c r="AQ823" s="63"/>
      <c r="AR823" s="63"/>
      <c r="AS823" s="63"/>
      <c r="AT823" s="63"/>
      <c r="AU823" s="63"/>
      <c r="AW823" s="5">
        <f>IF(Q823&gt;0,RANK(Q823,(N823:P823,Q823:AE823)),0)</f>
        <v>3</v>
      </c>
      <c r="AX823" s="5">
        <f>IF(R823&gt;0,RANK(R823,(N823:P823,Q823:AE823)),0)</f>
        <v>5</v>
      </c>
      <c r="AY823" s="5">
        <f>IF(T823&gt;0,RANK(T823,(N823:P823,Q823:AE823)),0)</f>
        <v>0</v>
      </c>
      <c r="AZ823" s="5">
        <f>IF(S823&gt;0,RANK(S823,(N823:P823,Q823:AE823)),0)</f>
        <v>6</v>
      </c>
      <c r="BA823" s="2">
        <f t="shared" si="347"/>
        <v>4.2650531286894923E-2</v>
      </c>
      <c r="BB823" s="2">
        <f t="shared" si="348"/>
        <v>2.8778040141676504E-3</v>
      </c>
      <c r="BC823" s="2">
        <f t="shared" si="349"/>
        <v>0</v>
      </c>
      <c r="BD823" s="2">
        <f t="shared" si="350"/>
        <v>4.4273907910271547E-4</v>
      </c>
      <c r="BF823" t="s">
        <v>2951</v>
      </c>
      <c r="BG823" t="s">
        <v>148</v>
      </c>
      <c r="BH823">
        <v>2</v>
      </c>
      <c r="BJ823" s="114">
        <v>18</v>
      </c>
      <c r="BK823" s="116">
        <v>169</v>
      </c>
      <c r="BL823" s="120">
        <f t="shared" si="352"/>
        <v>18169</v>
      </c>
      <c r="BN823" s="5" t="s">
        <v>3154</v>
      </c>
      <c r="BY823" s="63">
        <f t="shared" si="351"/>
        <v>13552</v>
      </c>
      <c r="CA823" s="63">
        <v>135</v>
      </c>
      <c r="CB823" s="132"/>
      <c r="CD823" s="63">
        <v>0</v>
      </c>
      <c r="CE823" s="63">
        <v>0</v>
      </c>
      <c r="CF823" s="63">
        <v>1</v>
      </c>
      <c r="CG823" s="8">
        <v>0</v>
      </c>
      <c r="CH823" s="8">
        <v>0</v>
      </c>
      <c r="CI823" s="8">
        <v>1</v>
      </c>
    </row>
    <row r="824" spans="1:87" hidden="1" outlineLevel="1">
      <c r="A824" t="s">
        <v>422</v>
      </c>
      <c r="B824" t="s">
        <v>148</v>
      </c>
      <c r="C824" s="1">
        <f t="shared" si="340"/>
        <v>3930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32">
        <f t="shared" si="341"/>
        <v>2059</v>
      </c>
      <c r="H824" s="137">
        <f t="shared" si="342"/>
        <v>0.52391857506361328</v>
      </c>
      <c r="I824" s="2"/>
      <c r="J824" s="2">
        <f t="shared" si="343"/>
        <v>0.21348600508905852</v>
      </c>
      <c r="K824" s="2">
        <f t="shared" si="344"/>
        <v>0.73740458015267174</v>
      </c>
      <c r="L824" s="2">
        <f t="shared" si="345"/>
        <v>0</v>
      </c>
      <c r="M824" s="2">
        <f t="shared" si="346"/>
        <v>4.9109414758269687E-2</v>
      </c>
      <c r="N824" s="63">
        <v>839</v>
      </c>
      <c r="O824" s="63">
        <v>2898</v>
      </c>
      <c r="P824" s="63"/>
      <c r="Q824" s="63">
        <v>184</v>
      </c>
      <c r="R824" s="63">
        <v>5</v>
      </c>
      <c r="S824" s="63">
        <v>4</v>
      </c>
      <c r="T824" s="63">
        <v>0</v>
      </c>
      <c r="U824" s="63">
        <v>0</v>
      </c>
      <c r="V824" s="63"/>
      <c r="W824" s="63">
        <f>IF(Copyright!B$11=1,IF(CA824&gt;0,CA824-P824-SUM(R824:V824)-SUM(X824:AQ824),SUM(CB824:CI824)),SUM(CC824:CI824))</f>
        <v>0</v>
      </c>
      <c r="X824" s="63"/>
      <c r="Y824" s="63">
        <v>0</v>
      </c>
      <c r="Z824" s="63">
        <v>0</v>
      </c>
      <c r="AA824" s="63"/>
      <c r="AB824" s="63"/>
      <c r="AC824" s="63"/>
      <c r="AD824" s="63"/>
      <c r="AE824" s="63">
        <v>0</v>
      </c>
      <c r="AF824" s="63"/>
      <c r="AG824" s="63"/>
      <c r="AH824" s="63"/>
      <c r="AI824" s="8"/>
      <c r="AJ824" s="63"/>
      <c r="AK824" s="63"/>
      <c r="AL824" s="63"/>
      <c r="AM824" s="63">
        <v>0</v>
      </c>
      <c r="AN824" s="63"/>
      <c r="AO824" s="63"/>
      <c r="AP824" s="63"/>
      <c r="AQ824" s="63"/>
      <c r="AR824" s="63"/>
      <c r="AS824" s="63"/>
      <c r="AT824" s="63"/>
      <c r="AU824" s="63"/>
      <c r="AW824" s="5">
        <f>IF(Q824&gt;0,RANK(Q824,(N824:P824,Q824:AE824)),0)</f>
        <v>3</v>
      </c>
      <c r="AX824" s="5">
        <f>IF(R824&gt;0,RANK(R824,(N824:P824,Q824:AE824)),0)</f>
        <v>4</v>
      </c>
      <c r="AY824" s="5">
        <f>IF(T824&gt;0,RANK(T824,(N824:P824,Q824:AE824)),0)</f>
        <v>0</v>
      </c>
      <c r="AZ824" s="5">
        <f>IF(S824&gt;0,RANK(S824,(N824:P824,Q824:AE824)),0)</f>
        <v>5</v>
      </c>
      <c r="BA824" s="2">
        <f t="shared" si="347"/>
        <v>4.681933842239186E-2</v>
      </c>
      <c r="BB824" s="2">
        <f t="shared" si="348"/>
        <v>1.2722646310432571E-3</v>
      </c>
      <c r="BC824" s="2">
        <f t="shared" si="349"/>
        <v>0</v>
      </c>
      <c r="BD824" s="2">
        <f t="shared" si="350"/>
        <v>1.0178117048346056E-3</v>
      </c>
      <c r="BF824" t="s">
        <v>422</v>
      </c>
      <c r="BG824" t="s">
        <v>148</v>
      </c>
      <c r="BH824">
        <v>4</v>
      </c>
      <c r="BJ824" s="114">
        <v>18</v>
      </c>
      <c r="BK824" s="116">
        <v>171</v>
      </c>
      <c r="BL824" s="120">
        <f t="shared" si="352"/>
        <v>18171</v>
      </c>
      <c r="BN824" s="5" t="s">
        <v>3154</v>
      </c>
      <c r="BY824" s="63">
        <f t="shared" si="351"/>
        <v>3930</v>
      </c>
      <c r="CB824" s="132"/>
      <c r="CD824" s="63">
        <v>0</v>
      </c>
      <c r="CE824" s="63">
        <v>0</v>
      </c>
      <c r="CF824" s="63">
        <v>0</v>
      </c>
      <c r="CG824" s="8">
        <v>0</v>
      </c>
      <c r="CH824" s="8">
        <v>0</v>
      </c>
      <c r="CI824" s="8">
        <v>0</v>
      </c>
    </row>
    <row r="825" spans="1:87" hidden="1" outlineLevel="1">
      <c r="A825" t="s">
        <v>2496</v>
      </c>
      <c r="B825" t="s">
        <v>148</v>
      </c>
      <c r="C825" s="1">
        <f t="shared" si="340"/>
        <v>29939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32">
        <f t="shared" si="341"/>
        <v>10027</v>
      </c>
      <c r="H825" s="137">
        <f t="shared" si="342"/>
        <v>0.33491432579578478</v>
      </c>
      <c r="I825" s="2"/>
      <c r="J825" s="2">
        <f t="shared" si="343"/>
        <v>0.30348375029226093</v>
      </c>
      <c r="K825" s="2">
        <f t="shared" si="344"/>
        <v>0.63839807608804566</v>
      </c>
      <c r="L825" s="2">
        <f t="shared" si="345"/>
        <v>0</v>
      </c>
      <c r="M825" s="2">
        <f t="shared" si="346"/>
        <v>5.8118173619693403E-2</v>
      </c>
      <c r="N825" s="63">
        <v>9086</v>
      </c>
      <c r="O825" s="63">
        <v>19113</v>
      </c>
      <c r="P825" s="63"/>
      <c r="Q825" s="63">
        <v>1390</v>
      </c>
      <c r="R825" s="63">
        <v>0</v>
      </c>
      <c r="S825" s="63">
        <v>0</v>
      </c>
      <c r="T825" s="63">
        <v>0</v>
      </c>
      <c r="U825" s="63">
        <v>0</v>
      </c>
      <c r="V825" s="63"/>
      <c r="W825" s="63">
        <f>IF(Copyright!B$11=1,IF(CA825&gt;0,CA825-P825-SUM(R825:V825)-SUM(X825:AQ825),SUM(CB825:CI825)),SUM(CC825:CI825))</f>
        <v>350</v>
      </c>
      <c r="X825" s="63"/>
      <c r="Y825" s="63">
        <v>0</v>
      </c>
      <c r="Z825" s="63">
        <v>0</v>
      </c>
      <c r="AA825" s="63"/>
      <c r="AB825" s="63"/>
      <c r="AC825" s="63"/>
      <c r="AD825" s="63"/>
      <c r="AE825" s="63">
        <v>0</v>
      </c>
      <c r="AF825" s="63"/>
      <c r="AG825" s="63"/>
      <c r="AH825" s="63"/>
      <c r="AI825" s="8"/>
      <c r="AJ825" s="63"/>
      <c r="AK825" s="63"/>
      <c r="AL825" s="63"/>
      <c r="AM825" s="63">
        <v>0</v>
      </c>
      <c r="AN825" s="63"/>
      <c r="AO825" s="63"/>
      <c r="AP825" s="63"/>
      <c r="AQ825" s="63"/>
      <c r="AR825" s="63"/>
      <c r="AS825" s="63"/>
      <c r="AT825" s="63"/>
      <c r="AU825" s="63"/>
      <c r="AW825" s="5">
        <f>IF(Q825&gt;0,RANK(Q825,(N825:P825,Q825:AE825)),0)</f>
        <v>3</v>
      </c>
      <c r="AX825" s="5">
        <f>IF(R825&gt;0,RANK(R825,(N825:P825,Q825:AE825)),0)</f>
        <v>0</v>
      </c>
      <c r="AY825" s="5">
        <f>IF(T825&gt;0,RANK(T825,(N825:P825,Q825:AE825)),0)</f>
        <v>0</v>
      </c>
      <c r="AZ825" s="5">
        <f>IF(S825&gt;0,RANK(S825,(N825:P825,Q825:AE825)),0)</f>
        <v>0</v>
      </c>
      <c r="BA825" s="2">
        <f t="shared" si="347"/>
        <v>4.6427736397341261E-2</v>
      </c>
      <c r="BB825" s="2">
        <f t="shared" si="348"/>
        <v>0</v>
      </c>
      <c r="BC825" s="2">
        <f t="shared" si="349"/>
        <v>0</v>
      </c>
      <c r="BD825" s="2">
        <f t="shared" si="350"/>
        <v>0</v>
      </c>
      <c r="BF825" t="s">
        <v>2496</v>
      </c>
      <c r="BG825" t="s">
        <v>148</v>
      </c>
      <c r="BH825">
        <v>8</v>
      </c>
      <c r="BI825" s="1"/>
      <c r="BJ825" s="114">
        <v>18</v>
      </c>
      <c r="BK825" s="116">
        <v>173</v>
      </c>
      <c r="BL825" s="120">
        <f t="shared" si="352"/>
        <v>18173</v>
      </c>
      <c r="BM825" s="1"/>
      <c r="BN825" s="5" t="s">
        <v>3154</v>
      </c>
      <c r="BY825" s="63">
        <f t="shared" si="351"/>
        <v>29939</v>
      </c>
      <c r="CA825" s="63">
        <v>350</v>
      </c>
      <c r="CB825" s="132"/>
      <c r="CD825" s="63">
        <v>0</v>
      </c>
      <c r="CE825" s="63">
        <v>0</v>
      </c>
      <c r="CF825" s="63">
        <v>0</v>
      </c>
      <c r="CG825" s="8">
        <v>0</v>
      </c>
      <c r="CH825" s="8">
        <v>0</v>
      </c>
      <c r="CI825" s="8">
        <v>0</v>
      </c>
    </row>
    <row r="826" spans="1:87" hidden="1" outlineLevel="1">
      <c r="A826" t="s">
        <v>692</v>
      </c>
      <c r="B826" t="s">
        <v>148</v>
      </c>
      <c r="C826" s="1">
        <f t="shared" si="340"/>
        <v>11382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32">
        <f t="shared" si="341"/>
        <v>5573</v>
      </c>
      <c r="H826" s="137">
        <f t="shared" si="342"/>
        <v>0.48963275347039187</v>
      </c>
      <c r="I826" s="2"/>
      <c r="J826" s="2">
        <f t="shared" si="343"/>
        <v>0.23159374450887366</v>
      </c>
      <c r="K826" s="2">
        <f t="shared" si="344"/>
        <v>0.72122649797926552</v>
      </c>
      <c r="L826" s="2">
        <f t="shared" si="345"/>
        <v>0</v>
      </c>
      <c r="M826" s="2">
        <f t="shared" si="346"/>
        <v>4.7179757511860876E-2</v>
      </c>
      <c r="N826" s="63">
        <v>2636</v>
      </c>
      <c r="O826" s="63">
        <v>8209</v>
      </c>
      <c r="P826" s="63"/>
      <c r="Q826" s="63">
        <v>491</v>
      </c>
      <c r="R826" s="63">
        <v>32</v>
      </c>
      <c r="S826" s="63">
        <v>9</v>
      </c>
      <c r="T826" s="63">
        <v>0</v>
      </c>
      <c r="U826" s="63">
        <v>0</v>
      </c>
      <c r="V826" s="63"/>
      <c r="W826" s="63">
        <f>IF(Copyright!B$11=1,IF(CA826&gt;0,CA826-P826-SUM(R826:V826)-SUM(X826:AQ826),SUM(CB826:CI826)),SUM(CC826:CI826))</f>
        <v>2</v>
      </c>
      <c r="X826" s="63"/>
      <c r="Y826" s="63">
        <v>3</v>
      </c>
      <c r="Z826" s="63">
        <v>0</v>
      </c>
      <c r="AA826" s="63"/>
      <c r="AB826" s="63"/>
      <c r="AC826" s="63"/>
      <c r="AD826" s="63"/>
      <c r="AE826" s="63">
        <v>0</v>
      </c>
      <c r="AF826" s="63"/>
      <c r="AG826" s="63"/>
      <c r="AH826" s="63"/>
      <c r="AI826" s="8"/>
      <c r="AJ826" s="63"/>
      <c r="AK826" s="63"/>
      <c r="AL826" s="63"/>
      <c r="AM826" s="63">
        <v>0</v>
      </c>
      <c r="AN826" s="63"/>
      <c r="AO826" s="63"/>
      <c r="AP826" s="63"/>
      <c r="AQ826" s="63"/>
      <c r="AR826" s="63"/>
      <c r="AS826" s="63"/>
      <c r="AT826" s="63"/>
      <c r="AU826" s="63"/>
      <c r="AW826" s="5">
        <f>IF(Q826&gt;0,RANK(Q826,(N826:P826,Q826:AE826)),0)</f>
        <v>3</v>
      </c>
      <c r="AX826" s="5">
        <f>IF(R826&gt;0,RANK(R826,(N826:P826,Q826:AE826)),0)</f>
        <v>4</v>
      </c>
      <c r="AY826" s="5">
        <f>IF(T826&gt;0,RANK(T826,(N826:P826,Q826:AE826)),0)</f>
        <v>0</v>
      </c>
      <c r="AZ826" s="5">
        <f>IF(S826&gt;0,RANK(S826,(N826:P826,Q826:AE826)),0)</f>
        <v>5</v>
      </c>
      <c r="BA826" s="2">
        <f t="shared" si="347"/>
        <v>4.3138288525742398E-2</v>
      </c>
      <c r="BB826" s="2">
        <f t="shared" si="348"/>
        <v>2.8114566859954314E-3</v>
      </c>
      <c r="BC826" s="2">
        <f t="shared" si="349"/>
        <v>0</v>
      </c>
      <c r="BD826" s="2">
        <f t="shared" si="350"/>
        <v>7.9072219293621507E-4</v>
      </c>
      <c r="BF826" t="s">
        <v>692</v>
      </c>
      <c r="BG826" t="s">
        <v>148</v>
      </c>
      <c r="BH826">
        <v>9</v>
      </c>
      <c r="BI826" s="1"/>
      <c r="BJ826" s="114">
        <v>18</v>
      </c>
      <c r="BK826" s="116">
        <v>175</v>
      </c>
      <c r="BL826" s="120">
        <f t="shared" si="352"/>
        <v>18175</v>
      </c>
      <c r="BM826" s="1"/>
      <c r="BN826" s="5" t="s">
        <v>3154</v>
      </c>
      <c r="BY826" s="63">
        <f t="shared" si="351"/>
        <v>11382</v>
      </c>
      <c r="CB826" s="132"/>
      <c r="CD826" s="63">
        <v>0</v>
      </c>
      <c r="CE826" s="63">
        <v>0</v>
      </c>
      <c r="CF826" s="63">
        <v>2</v>
      </c>
      <c r="CG826" s="8">
        <v>0</v>
      </c>
      <c r="CH826" s="8">
        <v>0</v>
      </c>
      <c r="CI826" s="8">
        <v>0</v>
      </c>
    </row>
    <row r="827" spans="1:87" hidden="1" outlineLevel="1">
      <c r="A827" t="s">
        <v>423</v>
      </c>
      <c r="B827" t="s">
        <v>148</v>
      </c>
      <c r="C827" s="1">
        <f t="shared" si="340"/>
        <v>25579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32">
        <f t="shared" si="341"/>
        <v>7706</v>
      </c>
      <c r="H827" s="137">
        <f t="shared" si="342"/>
        <v>0.30126275460338559</v>
      </c>
      <c r="I827" s="2"/>
      <c r="J827" s="2">
        <f t="shared" si="343"/>
        <v>0.32534500957816959</v>
      </c>
      <c r="K827" s="2">
        <f t="shared" si="344"/>
        <v>0.62660776418155517</v>
      </c>
      <c r="L827" s="2">
        <f t="shared" si="345"/>
        <v>0</v>
      </c>
      <c r="M827" s="2">
        <f t="shared" si="346"/>
        <v>4.8047226240275243E-2</v>
      </c>
      <c r="N827" s="63">
        <v>8322</v>
      </c>
      <c r="O827" s="63">
        <v>16028</v>
      </c>
      <c r="P827" s="63"/>
      <c r="Q827" s="63">
        <v>1225</v>
      </c>
      <c r="R827" s="63">
        <v>2</v>
      </c>
      <c r="S827" s="63">
        <v>0</v>
      </c>
      <c r="T827" s="63">
        <v>0</v>
      </c>
      <c r="U827" s="63">
        <v>0</v>
      </c>
      <c r="V827" s="63"/>
      <c r="W827" s="63">
        <f>IF(Copyright!B$11=1,IF(CA827&gt;0,CA827-P827-SUM(R827:V827)-SUM(X827:AQ827),SUM(CB827:CI827)),SUM(CC827:CI827))</f>
        <v>0</v>
      </c>
      <c r="X827" s="63"/>
      <c r="Y827" s="63">
        <v>2</v>
      </c>
      <c r="Z827" s="63">
        <v>0</v>
      </c>
      <c r="AA827" s="63"/>
      <c r="AB827" s="63"/>
      <c r="AC827" s="63"/>
      <c r="AD827" s="63"/>
      <c r="AE827" s="63">
        <v>0</v>
      </c>
      <c r="AF827" s="63"/>
      <c r="AG827" s="63"/>
      <c r="AH827" s="63"/>
      <c r="AI827" s="8"/>
      <c r="AJ827" s="63"/>
      <c r="AK827" s="63"/>
      <c r="AL827" s="63"/>
      <c r="AM827" s="63">
        <v>0</v>
      </c>
      <c r="AN827" s="63"/>
      <c r="AO827" s="63"/>
      <c r="AP827" s="63"/>
      <c r="AQ827" s="63"/>
      <c r="AR827" s="63"/>
      <c r="AS827" s="63"/>
      <c r="AT827" s="63"/>
      <c r="AU827" s="63"/>
      <c r="AW827" s="5">
        <f>IF(Q827&gt;0,RANK(Q827,(N827:P827,Q827:AE827)),0)</f>
        <v>3</v>
      </c>
      <c r="AX827" s="5">
        <f>IF(R827&gt;0,RANK(R827,(N827:P827,Q827:AE827)),0)</f>
        <v>4</v>
      </c>
      <c r="AY827" s="5">
        <f>IF(T827&gt;0,RANK(T827,(N827:P827,Q827:AE827)),0)</f>
        <v>0</v>
      </c>
      <c r="AZ827" s="5">
        <f>IF(S827&gt;0,RANK(S827,(N827:P827,Q827:AE827)),0)</f>
        <v>0</v>
      </c>
      <c r="BA827" s="2">
        <f t="shared" si="347"/>
        <v>4.7890847961218189E-2</v>
      </c>
      <c r="BB827" s="2">
        <f t="shared" si="348"/>
        <v>7.8189139528519482E-5</v>
      </c>
      <c r="BC827" s="2">
        <f t="shared" si="349"/>
        <v>0</v>
      </c>
      <c r="BD827" s="2">
        <f t="shared" si="350"/>
        <v>0</v>
      </c>
      <c r="BF827" t="s">
        <v>423</v>
      </c>
      <c r="BG827" t="s">
        <v>148</v>
      </c>
      <c r="BH827">
        <v>6</v>
      </c>
      <c r="BI827" s="1"/>
      <c r="BJ827" s="114">
        <v>18</v>
      </c>
      <c r="BK827" s="116">
        <v>177</v>
      </c>
      <c r="BL827" s="120">
        <f t="shared" si="352"/>
        <v>18177</v>
      </c>
      <c r="BM827" s="1"/>
      <c r="BN827" s="5" t="s">
        <v>3154</v>
      </c>
      <c r="BY827" s="63">
        <f t="shared" si="351"/>
        <v>25579</v>
      </c>
      <c r="CB827" s="132"/>
      <c r="CD827" s="63">
        <v>0</v>
      </c>
      <c r="CE827" s="63">
        <v>0</v>
      </c>
      <c r="CF827" s="63">
        <v>0</v>
      </c>
      <c r="CG827" s="8">
        <v>0</v>
      </c>
      <c r="CH827" s="8">
        <v>0</v>
      </c>
      <c r="CI827" s="8">
        <v>0</v>
      </c>
    </row>
    <row r="828" spans="1:87" hidden="1" outlineLevel="1">
      <c r="A828" t="s">
        <v>720</v>
      </c>
      <c r="B828" t="s">
        <v>148</v>
      </c>
      <c r="C828" s="1">
        <f t="shared" si="340"/>
        <v>13286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32">
        <f t="shared" si="341"/>
        <v>7419</v>
      </c>
      <c r="H828" s="137">
        <f t="shared" si="342"/>
        <v>0.558407346078579</v>
      </c>
      <c r="I828" s="2"/>
      <c r="J828" s="2">
        <f t="shared" si="343"/>
        <v>0.19464097546289327</v>
      </c>
      <c r="K828" s="2">
        <f t="shared" si="344"/>
        <v>0.75304832154147228</v>
      </c>
      <c r="L828" s="2">
        <f t="shared" si="345"/>
        <v>0</v>
      </c>
      <c r="M828" s="2">
        <f t="shared" si="346"/>
        <v>5.231070299563445E-2</v>
      </c>
      <c r="N828" s="63">
        <v>2586</v>
      </c>
      <c r="O828" s="63">
        <v>10005</v>
      </c>
      <c r="P828" s="63"/>
      <c r="Q828" s="63">
        <v>539</v>
      </c>
      <c r="R828" s="63">
        <v>28</v>
      </c>
      <c r="S828" s="63">
        <v>27</v>
      </c>
      <c r="T828" s="63">
        <v>0</v>
      </c>
      <c r="U828" s="63">
        <v>0</v>
      </c>
      <c r="V828" s="63"/>
      <c r="W828" s="63">
        <f>IF(Copyright!B$11=1,IF(CA828&gt;0,CA828-P828-SUM(R828:V828)-SUM(X828:AQ828),SUM(CB828:CI828)),SUM(CC828:CI828))</f>
        <v>101</v>
      </c>
      <c r="X828" s="63"/>
      <c r="Y828" s="63">
        <v>0</v>
      </c>
      <c r="Z828" s="63">
        <v>0</v>
      </c>
      <c r="AA828" s="63"/>
      <c r="AB828" s="63"/>
      <c r="AC828" s="63"/>
      <c r="AD828" s="63"/>
      <c r="AE828" s="63">
        <v>0</v>
      </c>
      <c r="AF828" s="63"/>
      <c r="AG828" s="63"/>
      <c r="AH828" s="63"/>
      <c r="AI828" s="8"/>
      <c r="AJ828" s="63"/>
      <c r="AK828" s="63"/>
      <c r="AL828" s="63"/>
      <c r="AM828" s="63">
        <v>0</v>
      </c>
      <c r="AN828" s="63"/>
      <c r="AO828" s="63"/>
      <c r="AP828" s="63"/>
      <c r="AQ828" s="63"/>
      <c r="AR828" s="63"/>
      <c r="AS828" s="63"/>
      <c r="AT828" s="63"/>
      <c r="AU828" s="63"/>
      <c r="AW828" s="5">
        <f>IF(Q828&gt;0,RANK(Q828,(N828:P828,Q828:AE828)),0)</f>
        <v>3</v>
      </c>
      <c r="AX828" s="5">
        <f>IF(R828&gt;0,RANK(R828,(N828:P828,Q828:AE828)),0)</f>
        <v>5</v>
      </c>
      <c r="AY828" s="5">
        <f>IF(T828&gt;0,RANK(T828,(N828:P828,Q828:AE828)),0)</f>
        <v>0</v>
      </c>
      <c r="AZ828" s="5">
        <f>IF(S828&gt;0,RANK(S828,(N828:P828,Q828:AE828)),0)</f>
        <v>6</v>
      </c>
      <c r="BA828" s="2">
        <f t="shared" si="347"/>
        <v>4.0569020021074813E-2</v>
      </c>
      <c r="BB828" s="2">
        <f t="shared" si="348"/>
        <v>2.1074815595363539E-3</v>
      </c>
      <c r="BC828" s="2">
        <f t="shared" si="349"/>
        <v>0</v>
      </c>
      <c r="BD828" s="2">
        <f t="shared" si="350"/>
        <v>2.0322143609814844E-3</v>
      </c>
      <c r="BF828" t="s">
        <v>720</v>
      </c>
      <c r="BG828" t="s">
        <v>148</v>
      </c>
      <c r="BH828">
        <v>3</v>
      </c>
      <c r="BI828" s="1"/>
      <c r="BJ828" s="114">
        <v>18</v>
      </c>
      <c r="BK828" s="116">
        <v>179</v>
      </c>
      <c r="BL828" s="120">
        <f t="shared" si="352"/>
        <v>18179</v>
      </c>
      <c r="BM828" s="1"/>
      <c r="BN828" s="5" t="s">
        <v>3154</v>
      </c>
      <c r="BY828" s="63">
        <f t="shared" si="351"/>
        <v>13286</v>
      </c>
      <c r="CA828" s="63">
        <v>156</v>
      </c>
      <c r="CB828" s="132"/>
      <c r="CD828" s="63">
        <v>0</v>
      </c>
      <c r="CE828" s="63">
        <v>0</v>
      </c>
      <c r="CF828" s="63">
        <v>0</v>
      </c>
      <c r="CG828" s="8">
        <v>0</v>
      </c>
      <c r="CH828" s="8">
        <v>0</v>
      </c>
      <c r="CI828" s="8">
        <v>0</v>
      </c>
    </row>
    <row r="829" spans="1:87" hidden="1" outlineLevel="1">
      <c r="A829" t="s">
        <v>1976</v>
      </c>
      <c r="B829" t="s">
        <v>148</v>
      </c>
      <c r="C829" s="1">
        <f t="shared" si="340"/>
        <v>10096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32">
        <f t="shared" si="341"/>
        <v>4303</v>
      </c>
      <c r="H829" s="137">
        <f t="shared" si="342"/>
        <v>0.42620839936608557</v>
      </c>
      <c r="I829" s="2"/>
      <c r="J829" s="2">
        <f t="shared" si="343"/>
        <v>0.25653724247226622</v>
      </c>
      <c r="K829" s="2">
        <f t="shared" si="344"/>
        <v>0.68274564183835185</v>
      </c>
      <c r="L829" s="2">
        <f t="shared" si="345"/>
        <v>0</v>
      </c>
      <c r="M829" s="2">
        <f t="shared" si="346"/>
        <v>6.0717115689381873E-2</v>
      </c>
      <c r="N829" s="63">
        <v>2590</v>
      </c>
      <c r="O829" s="63">
        <v>6893</v>
      </c>
      <c r="P829" s="63"/>
      <c r="Q829" s="63">
        <v>530</v>
      </c>
      <c r="R829" s="63">
        <v>24</v>
      </c>
      <c r="S829" s="63">
        <v>12</v>
      </c>
      <c r="T829" s="63">
        <v>2</v>
      </c>
      <c r="U829" s="63">
        <v>0</v>
      </c>
      <c r="V829" s="63"/>
      <c r="W829" s="63">
        <f>IF(Copyright!B$11=1,IF(CA829&gt;0,CA829-P829-SUM(R829:V829)-SUM(X829:AQ829),SUM(CB829:CI829)),SUM(CC829:CI829))</f>
        <v>45</v>
      </c>
      <c r="X829" s="63"/>
      <c r="Y829" s="63">
        <v>0</v>
      </c>
      <c r="Z829" s="63">
        <v>0</v>
      </c>
      <c r="AA829" s="63"/>
      <c r="AB829" s="63"/>
      <c r="AC829" s="63"/>
      <c r="AD829" s="63"/>
      <c r="AE829" s="63">
        <v>0</v>
      </c>
      <c r="AF829" s="63"/>
      <c r="AG829" s="63"/>
      <c r="AH829" s="63"/>
      <c r="AI829" s="8"/>
      <c r="AJ829" s="63"/>
      <c r="AK829" s="63"/>
      <c r="AL829" s="63"/>
      <c r="AM829" s="63">
        <v>0</v>
      </c>
      <c r="AN829" s="63"/>
      <c r="AO829" s="63"/>
      <c r="AP829" s="63"/>
      <c r="AQ829" s="63"/>
      <c r="AR829" s="63"/>
      <c r="AS829" s="63"/>
      <c r="AT829" s="63"/>
      <c r="AU829" s="63"/>
      <c r="AW829" s="5">
        <f>IF(Q829&gt;0,RANK(Q829,(N829:P829,Q829:AE829)),0)</f>
        <v>3</v>
      </c>
      <c r="AX829" s="5">
        <f>IF(R829&gt;0,RANK(R829,(N829:P829,Q829:AE829)),0)</f>
        <v>5</v>
      </c>
      <c r="AY829" s="5">
        <f>IF(T829&gt;0,RANK(T829,(N829:P829,Q829:AE829)),0)</f>
        <v>7</v>
      </c>
      <c r="AZ829" s="5">
        <f>IF(S829&gt;0,RANK(S829,(N829:P829,Q829:AE829)),0)</f>
        <v>6</v>
      </c>
      <c r="BA829" s="2">
        <f t="shared" si="347"/>
        <v>5.2496038034865293E-2</v>
      </c>
      <c r="BB829" s="2">
        <f t="shared" si="348"/>
        <v>2.3771790808240888E-3</v>
      </c>
      <c r="BC829" s="2">
        <f t="shared" si="349"/>
        <v>1.9809825673534074E-4</v>
      </c>
      <c r="BD829" s="2">
        <f t="shared" si="350"/>
        <v>1.1885895404120444E-3</v>
      </c>
      <c r="BF829" t="s">
        <v>1976</v>
      </c>
      <c r="BG829" t="s">
        <v>148</v>
      </c>
      <c r="BH829">
        <v>4</v>
      </c>
      <c r="BI829" s="1"/>
      <c r="BJ829" s="114">
        <v>18</v>
      </c>
      <c r="BK829" s="116">
        <v>181</v>
      </c>
      <c r="BL829" s="120">
        <f t="shared" si="352"/>
        <v>18181</v>
      </c>
      <c r="BM829" s="1"/>
      <c r="BN829" s="5" t="s">
        <v>3154</v>
      </c>
      <c r="BY829" s="63">
        <f t="shared" si="351"/>
        <v>10096</v>
      </c>
      <c r="CA829" s="63">
        <v>83</v>
      </c>
      <c r="CB829" s="132"/>
      <c r="CD829" s="63">
        <v>0</v>
      </c>
      <c r="CE829" s="63">
        <v>0</v>
      </c>
      <c r="CF829" s="63">
        <v>0</v>
      </c>
      <c r="CG829" s="8">
        <v>0</v>
      </c>
      <c r="CH829" s="8">
        <v>0</v>
      </c>
      <c r="CI829" s="8">
        <v>2</v>
      </c>
    </row>
    <row r="830" spans="1:87" hidden="1" outlineLevel="1">
      <c r="A830" t="s">
        <v>2108</v>
      </c>
      <c r="B830" t="s">
        <v>148</v>
      </c>
      <c r="C830" s="1">
        <f t="shared" si="340"/>
        <v>15759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32">
        <f t="shared" si="341"/>
        <v>7979</v>
      </c>
      <c r="H830" s="137">
        <f t="shared" si="342"/>
        <v>0.50631385240180216</v>
      </c>
      <c r="I830" s="2"/>
      <c r="J830" s="2">
        <f t="shared" si="343"/>
        <v>0.21441715844914017</v>
      </c>
      <c r="K830" s="2">
        <f t="shared" si="344"/>
        <v>0.72073101085094227</v>
      </c>
      <c r="L830" s="2">
        <f t="shared" si="345"/>
        <v>0</v>
      </c>
      <c r="M830" s="2">
        <f t="shared" si="346"/>
        <v>6.4851830699917623E-2</v>
      </c>
      <c r="N830" s="63">
        <v>3379</v>
      </c>
      <c r="O830" s="63">
        <v>11358</v>
      </c>
      <c r="P830" s="63"/>
      <c r="Q830" s="63">
        <v>799</v>
      </c>
      <c r="R830" s="63">
        <v>58</v>
      </c>
      <c r="S830" s="63">
        <v>23</v>
      </c>
      <c r="T830" s="63">
        <v>0</v>
      </c>
      <c r="U830" s="63">
        <v>0</v>
      </c>
      <c r="V830" s="63"/>
      <c r="W830" s="63">
        <f>IF(Copyright!B$11=1,IF(CA830&gt;0,CA830-P830-SUM(R830:V830)-SUM(X830:AQ830),SUM(CB830:CI830)),SUM(CC830:CI830))</f>
        <v>138</v>
      </c>
      <c r="X830" s="63"/>
      <c r="Y830" s="63">
        <v>2</v>
      </c>
      <c r="Z830" s="63">
        <v>1</v>
      </c>
      <c r="AA830" s="63"/>
      <c r="AB830" s="63"/>
      <c r="AC830" s="63"/>
      <c r="AD830" s="63"/>
      <c r="AE830" s="63">
        <v>1</v>
      </c>
      <c r="AF830" s="63"/>
      <c r="AG830" s="63"/>
      <c r="AH830" s="63"/>
      <c r="AI830" s="8"/>
      <c r="AJ830" s="63"/>
      <c r="AK830" s="63"/>
      <c r="AL830" s="63"/>
      <c r="AM830" s="63">
        <v>0</v>
      </c>
      <c r="AN830" s="63"/>
      <c r="AO830" s="63"/>
      <c r="AP830" s="63"/>
      <c r="AQ830" s="63"/>
      <c r="AR830" s="63"/>
      <c r="AS830" s="63"/>
      <c r="AT830" s="63"/>
      <c r="AU830" s="63"/>
      <c r="AW830" s="5">
        <f>IF(Q830&gt;0,RANK(Q830,(N830:P830,Q830:AE830)),0)</f>
        <v>3</v>
      </c>
      <c r="AX830" s="5">
        <f>IF(R830&gt;0,RANK(R830,(N830:P830,Q830:AE830)),0)</f>
        <v>5</v>
      </c>
      <c r="AY830" s="5">
        <f>IF(T830&gt;0,RANK(T830,(N830:P830,Q830:AE830)),0)</f>
        <v>0</v>
      </c>
      <c r="AZ830" s="5">
        <f>IF(S830&gt;0,RANK(S830,(N830:P830,Q830:AE830)),0)</f>
        <v>6</v>
      </c>
      <c r="BA830" s="2">
        <f t="shared" si="347"/>
        <v>5.070118662351672E-2</v>
      </c>
      <c r="BB830" s="2">
        <f t="shared" si="348"/>
        <v>3.6804365759248682E-3</v>
      </c>
      <c r="BC830" s="2">
        <f t="shared" si="349"/>
        <v>0</v>
      </c>
      <c r="BD830" s="2">
        <f t="shared" si="350"/>
        <v>1.4594834697633098E-3</v>
      </c>
      <c r="BF830" t="s">
        <v>2108</v>
      </c>
      <c r="BG830" t="s">
        <v>148</v>
      </c>
      <c r="BH830">
        <v>3</v>
      </c>
      <c r="BI830" s="1"/>
      <c r="BJ830" s="114">
        <v>18</v>
      </c>
      <c r="BK830" s="116">
        <v>183</v>
      </c>
      <c r="BL830" s="120">
        <f t="shared" si="352"/>
        <v>18183</v>
      </c>
      <c r="BM830" s="1"/>
      <c r="BN830" s="5" t="s">
        <v>3154</v>
      </c>
      <c r="BY830" s="63">
        <f t="shared" si="351"/>
        <v>15759</v>
      </c>
      <c r="CA830" s="63">
        <v>223</v>
      </c>
      <c r="CB830" s="132"/>
      <c r="CD830" s="63">
        <v>0</v>
      </c>
      <c r="CE830" s="63">
        <v>0</v>
      </c>
      <c r="CF830" s="63">
        <v>0</v>
      </c>
      <c r="CG830" s="8">
        <v>0</v>
      </c>
      <c r="CH830" s="8">
        <v>0</v>
      </c>
      <c r="CI830" s="8">
        <v>2</v>
      </c>
    </row>
    <row r="831" spans="1:87" collapsed="1">
      <c r="A831" t="s">
        <v>150</v>
      </c>
      <c r="B831" t="s">
        <v>544</v>
      </c>
      <c r="C831" s="1">
        <f t="shared" si="340"/>
        <v>2757965</v>
      </c>
      <c r="D831" s="5">
        <f>IF(N831&gt;0, RANK(N831,(N831:P831,Q831:AE831)),0)</f>
        <v>2</v>
      </c>
      <c r="E831" s="5">
        <f>IF(O831&gt;0,RANK(O831,(N831:P831,Q831:AE831)),0)</f>
        <v>1</v>
      </c>
      <c r="F831" s="5">
        <f>IF(P831&gt;0,RANK(P831,(N831:P831,Q831:AE831)),0)</f>
        <v>0</v>
      </c>
      <c r="G831" s="132">
        <f t="shared" si="341"/>
        <v>524160</v>
      </c>
      <c r="H831" s="137">
        <f t="shared" si="342"/>
        <v>0.19005317326362009</v>
      </c>
      <c r="I831" s="2"/>
      <c r="J831" s="2">
        <f t="shared" si="343"/>
        <v>0.37459721207484503</v>
      </c>
      <c r="K831" s="2">
        <f t="shared" si="344"/>
        <v>0.56465038533846512</v>
      </c>
      <c r="L831" s="2">
        <f t="shared" si="345"/>
        <v>0</v>
      </c>
      <c r="M831" s="2">
        <f t="shared" si="346"/>
        <v>6.0752402586689791E-2</v>
      </c>
      <c r="N831" s="63">
        <f t="shared" ref="N831:S831" si="353">SUM(N739:N830)</f>
        <v>1033126</v>
      </c>
      <c r="O831" s="63">
        <f t="shared" si="353"/>
        <v>1557286</v>
      </c>
      <c r="P831" s="63"/>
      <c r="Q831" s="63">
        <f t="shared" si="353"/>
        <v>133993</v>
      </c>
      <c r="R831" s="63">
        <f t="shared" si="353"/>
        <v>7841</v>
      </c>
      <c r="S831" s="63">
        <f t="shared" si="353"/>
        <v>1937</v>
      </c>
      <c r="T831" s="63">
        <f>SUM(T739:T830)</f>
        <v>21</v>
      </c>
      <c r="U831" s="63">
        <f>SUM(U739:U830)</f>
        <v>57</v>
      </c>
      <c r="V831" s="63"/>
      <c r="W831" s="63">
        <f>SUM(W739:W830)</f>
        <v>23354</v>
      </c>
      <c r="X831" s="63"/>
      <c r="Y831" s="63">
        <f>SUM(Y739:Y830)</f>
        <v>269</v>
      </c>
      <c r="Z831" s="63">
        <f>SUM(Z739:Z830)</f>
        <v>25</v>
      </c>
      <c r="AA831" s="63"/>
      <c r="AB831" s="63"/>
      <c r="AC831" s="63"/>
      <c r="AD831" s="63"/>
      <c r="AE831" s="63">
        <f>SUM(AE739:AE830)</f>
        <v>49</v>
      </c>
      <c r="AF831" s="63"/>
      <c r="AG831" s="63"/>
      <c r="AH831" s="63"/>
      <c r="AI831" s="63"/>
      <c r="AJ831" s="63"/>
      <c r="AK831" s="63"/>
      <c r="AL831" s="63"/>
      <c r="AM831" s="63">
        <f>SUM(AM739:AM830)</f>
        <v>7</v>
      </c>
      <c r="AN831" s="63"/>
      <c r="AO831" s="63"/>
      <c r="AP831" s="63"/>
      <c r="AQ831" s="63"/>
      <c r="AR831" s="63"/>
      <c r="AS831" s="63"/>
      <c r="AT831" s="63"/>
      <c r="AU831" s="63"/>
      <c r="AW831" s="5">
        <f>IF(Q831&gt;0,RANK(Q831,(N831:P831,Q831:AE831)),0)</f>
        <v>3</v>
      </c>
      <c r="AX831" s="5">
        <f>IF(R831&gt;0,RANK(R831,(N831:P831,Q831:AE831)),0)</f>
        <v>5</v>
      </c>
      <c r="AY831" s="5">
        <f>IF(T831&gt;0,RANK(T831,(N831:P831,Q831:AE831)),0)</f>
        <v>11</v>
      </c>
      <c r="AZ831" s="5">
        <f>IF(S831&gt;0,RANK(S831,(N831:P831,Q831:AE831)),0)</f>
        <v>6</v>
      </c>
      <c r="BA831" s="2">
        <f t="shared" si="347"/>
        <v>4.8584010311951024E-2</v>
      </c>
      <c r="BB831" s="2">
        <f t="shared" si="348"/>
        <v>2.8430382546551533E-3</v>
      </c>
      <c r="BC831" s="2">
        <f t="shared" si="349"/>
        <v>7.6143098262668306E-6</v>
      </c>
      <c r="BD831" s="2">
        <f t="shared" si="350"/>
        <v>7.0232943492756436E-4</v>
      </c>
      <c r="BF831" t="s">
        <v>150</v>
      </c>
      <c r="BG831" t="s">
        <v>544</v>
      </c>
      <c r="BH831" s="1"/>
      <c r="BI831" s="1"/>
      <c r="BJ831" s="114">
        <v>18</v>
      </c>
      <c r="BK831" s="116"/>
      <c r="BL831" s="114">
        <v>18</v>
      </c>
      <c r="BM831" s="1"/>
      <c r="BN831" s="5" t="s">
        <v>711</v>
      </c>
      <c r="BY831" s="63">
        <f t="shared" si="351"/>
        <v>2186940</v>
      </c>
      <c r="BZ831" s="63">
        <f>SUM(BZ739:BZ830)</f>
        <v>571025</v>
      </c>
      <c r="CA831" s="63">
        <f>SUM(CA739:CA830)</f>
        <v>31645</v>
      </c>
      <c r="CB831" s="132"/>
      <c r="CD831" s="63">
        <f>SUM(CD739:CD830)</f>
        <v>11</v>
      </c>
      <c r="CE831" s="63">
        <f t="shared" ref="CE831:CI831" si="354">SUM(CE739:CE830)</f>
        <v>1</v>
      </c>
      <c r="CF831" s="63">
        <f t="shared" si="354"/>
        <v>121</v>
      </c>
      <c r="CG831" s="63">
        <f t="shared" si="354"/>
        <v>44</v>
      </c>
      <c r="CH831" s="63">
        <f t="shared" si="354"/>
        <v>22</v>
      </c>
      <c r="CI831" s="63">
        <f t="shared" si="354"/>
        <v>148</v>
      </c>
    </row>
    <row r="832" spans="1:87">
      <c r="C832" s="1"/>
      <c r="E832" s="5"/>
      <c r="F832" s="5"/>
      <c r="G832" s="132"/>
      <c r="H832" s="137"/>
      <c r="I832" s="2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W832" s="5"/>
      <c r="AX832" s="5"/>
      <c r="AY832" s="5"/>
      <c r="AZ832" s="5"/>
      <c r="BJ832" s="114"/>
      <c r="BK832" s="116"/>
      <c r="BL832" s="120"/>
    </row>
    <row r="833" spans="1:70" hidden="1" outlineLevel="1">
      <c r="A833" t="s">
        <v>1587</v>
      </c>
      <c r="B833" t="s">
        <v>1622</v>
      </c>
      <c r="C833" s="1">
        <f t="shared" ref="C833:C864" si="355">SUM(N833:AU833)</f>
        <v>3811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6</v>
      </c>
      <c r="G833" s="132">
        <f t="shared" ref="G833:G864" si="356">IF(C833&gt;0,MAX(N833:P833)-LARGE(N833:P833,2),0)</f>
        <v>1328</v>
      </c>
      <c r="H833" s="137">
        <f t="shared" ref="H833:H864" si="357">IF(C833&gt;0,G833/C833,0)</f>
        <v>0.34846496982419312</v>
      </c>
      <c r="I833" s="2"/>
      <c r="J833" s="2">
        <f t="shared" ref="J833:J864" si="358">IF($C833=0,"-",N833/$C833)</f>
        <v>0.29729729729729731</v>
      </c>
      <c r="K833" s="2">
        <f t="shared" ref="K833:K864" si="359">IF($C833=0,"-",O833/$C833)</f>
        <v>0.64576226712149043</v>
      </c>
      <c r="L833" s="2">
        <f t="shared" ref="L833:L864" si="360">IF($C833=0,"-",P833/$C833)</f>
        <v>2.6239832065074785E-3</v>
      </c>
      <c r="M833" s="2">
        <f t="shared" ref="M833:M864" si="361">IF(C833=0,"-",(1-J833-K833-L833))</f>
        <v>5.431645237470472E-2</v>
      </c>
      <c r="N833" s="63">
        <v>1133</v>
      </c>
      <c r="O833" s="63">
        <v>2461</v>
      </c>
      <c r="P833" s="63">
        <v>10</v>
      </c>
      <c r="Q833" s="63">
        <v>127</v>
      </c>
      <c r="R833" s="63">
        <v>14</v>
      </c>
      <c r="S833" s="63">
        <v>10</v>
      </c>
      <c r="T833" s="63">
        <v>3</v>
      </c>
      <c r="U833" s="63"/>
      <c r="V833" s="63">
        <v>0</v>
      </c>
      <c r="W833" s="63">
        <v>38</v>
      </c>
      <c r="X833" s="63"/>
      <c r="Y833" s="63"/>
      <c r="Z833" s="63"/>
      <c r="AA833" s="63"/>
      <c r="AB833" s="63"/>
      <c r="AC833" s="63">
        <v>10</v>
      </c>
      <c r="AD833" s="63"/>
      <c r="AE833" s="63"/>
      <c r="AF833" s="63"/>
      <c r="AG833" s="63"/>
      <c r="AH833" s="63"/>
      <c r="AI833" s="63"/>
      <c r="AJ833" s="63"/>
      <c r="AK833" s="63"/>
      <c r="AL833" s="63">
        <v>5</v>
      </c>
      <c r="AM833" s="63"/>
      <c r="AN833" s="63"/>
      <c r="AO833" s="63"/>
      <c r="AP833" s="63"/>
      <c r="AQ833" s="63"/>
      <c r="AR833" s="63"/>
      <c r="AS833" s="63"/>
      <c r="AT833" s="63"/>
      <c r="AU833" s="63"/>
      <c r="AW833" s="5">
        <f>IF(Q833&gt;0,RANK(Q833,(N833:P833,Q833:AE833)),0)</f>
        <v>3</v>
      </c>
      <c r="AX833" s="5">
        <f>IF(R833&gt;0,RANK(R833,(N833:P833,Q833:AE833)),0)</f>
        <v>5</v>
      </c>
      <c r="AY833" s="5">
        <f>IF(T833&gt;0,RANK(T833,(N833:P833,Q833:AE833)),0)</f>
        <v>9</v>
      </c>
      <c r="AZ833" s="5">
        <f>IF(S833&gt;0,RANK(S833,(N833:P833,Q833:AE833)),0)</f>
        <v>6</v>
      </c>
      <c r="BA833" s="2">
        <f t="shared" ref="BA833:BA864" si="362">IF($C833=0,"-",Q833/$C833)</f>
        <v>3.3324586722644975E-2</v>
      </c>
      <c r="BB833" s="2">
        <f t="shared" ref="BB833:BB864" si="363">IF($C833=0,"-",R833/$C833)</f>
        <v>3.6735764891104696E-3</v>
      </c>
      <c r="BC833" s="2">
        <f t="shared" ref="BC833:BC864" si="364">IF($C833=0,"-",T833/$C833)</f>
        <v>7.8719496195224351E-4</v>
      </c>
      <c r="BD833" s="2">
        <f t="shared" ref="BD833:BD864" si="365">IF($C833=0,"-",S833/$C833)</f>
        <v>2.6239832065074785E-3</v>
      </c>
      <c r="BF833" t="s">
        <v>1587</v>
      </c>
      <c r="BG833" t="s">
        <v>1622</v>
      </c>
      <c r="BH833">
        <v>3</v>
      </c>
      <c r="BJ833" s="114">
        <v>19</v>
      </c>
      <c r="BK833" s="116">
        <v>1</v>
      </c>
      <c r="BL833" s="120">
        <f t="shared" si="352"/>
        <v>19001</v>
      </c>
      <c r="BN833" s="5" t="s">
        <v>3154</v>
      </c>
      <c r="BO833" s="63">
        <v>32</v>
      </c>
      <c r="BP833" s="63">
        <v>5</v>
      </c>
      <c r="BR833" s="63"/>
    </row>
    <row r="834" spans="1:70" hidden="1" outlineLevel="1">
      <c r="A834" t="s">
        <v>1026</v>
      </c>
      <c r="B834" t="s">
        <v>1622</v>
      </c>
      <c r="C834" s="1">
        <f t="shared" si="355"/>
        <v>2106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7</v>
      </c>
      <c r="G834" s="132">
        <f t="shared" si="356"/>
        <v>830</v>
      </c>
      <c r="H834" s="137">
        <f t="shared" si="357"/>
        <v>0.39411206077872746</v>
      </c>
      <c r="I834" s="2"/>
      <c r="J834" s="2">
        <f t="shared" si="358"/>
        <v>0.26828110161443497</v>
      </c>
      <c r="K834" s="2">
        <f t="shared" si="359"/>
        <v>0.66239316239316237</v>
      </c>
      <c r="L834" s="2">
        <f t="shared" si="360"/>
        <v>2.8490028490028491E-3</v>
      </c>
      <c r="M834" s="2">
        <f t="shared" si="361"/>
        <v>6.6476733143399816E-2</v>
      </c>
      <c r="N834" s="63">
        <v>565</v>
      </c>
      <c r="O834" s="63">
        <v>1395</v>
      </c>
      <c r="P834" s="63">
        <v>6</v>
      </c>
      <c r="Q834" s="63">
        <v>93</v>
      </c>
      <c r="R834" s="63">
        <v>9</v>
      </c>
      <c r="S834" s="63">
        <v>13</v>
      </c>
      <c r="T834" s="63">
        <v>1</v>
      </c>
      <c r="U834" s="63"/>
      <c r="V834" s="63">
        <v>0</v>
      </c>
      <c r="W834" s="63">
        <v>22</v>
      </c>
      <c r="X834" s="63"/>
      <c r="Y834" s="63"/>
      <c r="Z834" s="63"/>
      <c r="AA834" s="63"/>
      <c r="AB834" s="63"/>
      <c r="AC834" s="63">
        <v>1</v>
      </c>
      <c r="AD834" s="63"/>
      <c r="AE834" s="63"/>
      <c r="AF834" s="63"/>
      <c r="AG834" s="63"/>
      <c r="AH834" s="63"/>
      <c r="AI834" s="63"/>
      <c r="AJ834" s="63"/>
      <c r="AK834" s="63"/>
      <c r="AL834" s="63">
        <v>1</v>
      </c>
      <c r="AM834" s="63"/>
      <c r="AN834" s="63"/>
      <c r="AO834" s="63"/>
      <c r="AP834" s="63"/>
      <c r="AQ834" s="63"/>
      <c r="AR834" s="63"/>
      <c r="AS834" s="63"/>
      <c r="AT834" s="63"/>
      <c r="AU834" s="63"/>
      <c r="AW834" s="5">
        <f>IF(Q834&gt;0,RANK(Q834,(N834:P834,Q834:AE834)),0)</f>
        <v>3</v>
      </c>
      <c r="AX834" s="5">
        <f>IF(R834&gt;0,RANK(R834,(N834:P834,Q834:AE834)),0)</f>
        <v>6</v>
      </c>
      <c r="AY834" s="5">
        <f>IF(T834&gt;0,RANK(T834,(N834:P834,Q834:AE834)),0)</f>
        <v>8</v>
      </c>
      <c r="AZ834" s="5">
        <f>IF(S834&gt;0,RANK(S834,(N834:P834,Q834:AE834)),0)</f>
        <v>5</v>
      </c>
      <c r="BA834" s="2">
        <f t="shared" si="362"/>
        <v>4.4159544159544158E-2</v>
      </c>
      <c r="BB834" s="2">
        <f t="shared" si="363"/>
        <v>4.2735042735042739E-3</v>
      </c>
      <c r="BC834" s="2">
        <f t="shared" si="364"/>
        <v>4.7483380816714152E-4</v>
      </c>
      <c r="BD834" s="2">
        <f t="shared" si="365"/>
        <v>6.1728395061728392E-3</v>
      </c>
      <c r="BF834" t="s">
        <v>1026</v>
      </c>
      <c r="BG834" t="s">
        <v>1622</v>
      </c>
      <c r="BH834">
        <v>3</v>
      </c>
      <c r="BJ834" s="114">
        <v>19</v>
      </c>
      <c r="BK834" s="116">
        <v>3</v>
      </c>
      <c r="BL834" s="120">
        <f t="shared" si="352"/>
        <v>19003</v>
      </c>
      <c r="BN834" s="5" t="s">
        <v>3154</v>
      </c>
      <c r="BO834" s="63">
        <v>22</v>
      </c>
      <c r="BP834" s="63">
        <v>3</v>
      </c>
      <c r="BR834" s="63"/>
    </row>
    <row r="835" spans="1:70" hidden="1" outlineLevel="1">
      <c r="A835" t="s">
        <v>2799</v>
      </c>
      <c r="B835" t="s">
        <v>1622</v>
      </c>
      <c r="C835" s="1">
        <f t="shared" si="355"/>
        <v>6923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>IF(P835&gt;0,RANK(P835,(N835:P835,Q835:AE835)),0)</f>
        <v>7</v>
      </c>
      <c r="G835" s="132">
        <f t="shared" si="356"/>
        <v>1672</v>
      </c>
      <c r="H835" s="137">
        <f t="shared" si="357"/>
        <v>0.24151379459771774</v>
      </c>
      <c r="I835" s="2"/>
      <c r="J835" s="2">
        <f t="shared" si="358"/>
        <v>0.34970388559872889</v>
      </c>
      <c r="K835" s="2">
        <f t="shared" si="359"/>
        <v>0.5912176801964466</v>
      </c>
      <c r="L835" s="2">
        <f t="shared" si="360"/>
        <v>4.911165679618662E-3</v>
      </c>
      <c r="M835" s="2">
        <f t="shared" si="361"/>
        <v>5.4167268525205842E-2</v>
      </c>
      <c r="N835" s="63">
        <v>2421</v>
      </c>
      <c r="O835" s="63">
        <v>4093</v>
      </c>
      <c r="P835" s="63">
        <v>34</v>
      </c>
      <c r="Q835" s="63">
        <v>227</v>
      </c>
      <c r="R835" s="63">
        <v>46</v>
      </c>
      <c r="S835" s="63">
        <v>35</v>
      </c>
      <c r="T835" s="63">
        <v>1</v>
      </c>
      <c r="U835" s="63"/>
      <c r="V835" s="63">
        <v>1</v>
      </c>
      <c r="W835" s="63">
        <v>49</v>
      </c>
      <c r="X835" s="63"/>
      <c r="Y835" s="63"/>
      <c r="Z835" s="63"/>
      <c r="AA835" s="63"/>
      <c r="AB835" s="63"/>
      <c r="AC835" s="63">
        <v>6</v>
      </c>
      <c r="AD835" s="63"/>
      <c r="AE835" s="63"/>
      <c r="AF835" s="63"/>
      <c r="AG835" s="63"/>
      <c r="AH835" s="63"/>
      <c r="AI835" s="63"/>
      <c r="AJ835" s="63"/>
      <c r="AK835" s="63"/>
      <c r="AL835" s="63">
        <v>10</v>
      </c>
      <c r="AM835" s="63"/>
      <c r="AN835" s="63"/>
      <c r="AO835" s="63"/>
      <c r="AP835" s="63"/>
      <c r="AQ835" s="63"/>
      <c r="AR835" s="63"/>
      <c r="AS835" s="63"/>
      <c r="AT835" s="63"/>
      <c r="AU835" s="63"/>
      <c r="AW835" s="5">
        <f>IF(Q835&gt;0,RANK(Q835,(N835:P835,Q835:AE835)),0)</f>
        <v>3</v>
      </c>
      <c r="AX835" s="5">
        <f>IF(R835&gt;0,RANK(R835,(N835:P835,Q835:AE835)),0)</f>
        <v>5</v>
      </c>
      <c r="AY835" s="5">
        <f>IF(T835&gt;0,RANK(T835,(N835:P835,Q835:AE835)),0)</f>
        <v>9</v>
      </c>
      <c r="AZ835" s="5">
        <f>IF(S835&gt;0,RANK(S835,(N835:P835,Q835:AE835)),0)</f>
        <v>6</v>
      </c>
      <c r="BA835" s="2">
        <f t="shared" si="362"/>
        <v>3.2789253213924598E-2</v>
      </c>
      <c r="BB835" s="2">
        <f t="shared" si="363"/>
        <v>6.6445182724252493E-3</v>
      </c>
      <c r="BC835" s="2">
        <f t="shared" si="364"/>
        <v>1.444460494005489E-4</v>
      </c>
      <c r="BD835" s="2">
        <f t="shared" si="365"/>
        <v>5.0556117290192111E-3</v>
      </c>
      <c r="BF835" t="s">
        <v>2799</v>
      </c>
      <c r="BG835" t="s">
        <v>1622</v>
      </c>
      <c r="BH835">
        <v>1</v>
      </c>
      <c r="BJ835" s="114">
        <v>19</v>
      </c>
      <c r="BK835" s="116">
        <v>5</v>
      </c>
      <c r="BL835" s="120">
        <f t="shared" si="352"/>
        <v>19005</v>
      </c>
      <c r="BN835" s="5" t="s">
        <v>3154</v>
      </c>
      <c r="BO835" s="63">
        <v>91</v>
      </c>
      <c r="BP835" s="63">
        <v>21</v>
      </c>
      <c r="BR835" s="63"/>
    </row>
    <row r="836" spans="1:70" hidden="1" outlineLevel="1">
      <c r="A836" t="s">
        <v>980</v>
      </c>
      <c r="B836" t="s">
        <v>1622</v>
      </c>
      <c r="C836" s="1">
        <f t="shared" si="355"/>
        <v>6136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7</v>
      </c>
      <c r="G836" s="132">
        <f t="shared" si="356"/>
        <v>2219</v>
      </c>
      <c r="H836" s="137">
        <f t="shared" si="357"/>
        <v>0.36163624511082137</v>
      </c>
      <c r="I836" s="2"/>
      <c r="J836" s="2">
        <f t="shared" si="358"/>
        <v>0.29563233376792697</v>
      </c>
      <c r="K836" s="2">
        <f t="shared" si="359"/>
        <v>0.65726857887874834</v>
      </c>
      <c r="L836" s="2">
        <f t="shared" si="360"/>
        <v>3.9113428943937422E-3</v>
      </c>
      <c r="M836" s="2">
        <f t="shared" si="361"/>
        <v>4.3187744458930942E-2</v>
      </c>
      <c r="N836" s="63">
        <v>1814</v>
      </c>
      <c r="O836" s="63">
        <v>4033</v>
      </c>
      <c r="P836" s="63">
        <v>24</v>
      </c>
      <c r="Q836" s="63">
        <v>139</v>
      </c>
      <c r="R836" s="63">
        <v>42</v>
      </c>
      <c r="S836" s="63">
        <v>25</v>
      </c>
      <c r="T836" s="63">
        <v>1</v>
      </c>
      <c r="U836" s="63"/>
      <c r="V836" s="63">
        <v>2</v>
      </c>
      <c r="W836" s="63">
        <v>37</v>
      </c>
      <c r="X836" s="63"/>
      <c r="Y836" s="63"/>
      <c r="Z836" s="63"/>
      <c r="AA836" s="63"/>
      <c r="AB836" s="63"/>
      <c r="AC836" s="63">
        <v>11</v>
      </c>
      <c r="AD836" s="63"/>
      <c r="AE836" s="63"/>
      <c r="AF836" s="63"/>
      <c r="AG836" s="63"/>
      <c r="AH836" s="63"/>
      <c r="AI836" s="63"/>
      <c r="AJ836" s="63"/>
      <c r="AK836" s="63"/>
      <c r="AL836" s="63">
        <v>8</v>
      </c>
      <c r="AM836" s="63"/>
      <c r="AN836" s="63"/>
      <c r="AO836" s="63"/>
      <c r="AP836" s="63"/>
      <c r="AQ836" s="63"/>
      <c r="AR836" s="63"/>
      <c r="AS836" s="63"/>
      <c r="AT836" s="63"/>
      <c r="AU836" s="63"/>
      <c r="AW836" s="5">
        <f>IF(Q836&gt;0,RANK(Q836,(N836:P836,Q836:AE836)),0)</f>
        <v>3</v>
      </c>
      <c r="AX836" s="5">
        <f>IF(R836&gt;0,RANK(R836,(N836:P836,Q836:AE836)),0)</f>
        <v>4</v>
      </c>
      <c r="AY836" s="5">
        <f>IF(T836&gt;0,RANK(T836,(N836:P836,Q836:AE836)),0)</f>
        <v>10</v>
      </c>
      <c r="AZ836" s="5">
        <f>IF(S836&gt;0,RANK(S836,(N836:P836,Q836:AE836)),0)</f>
        <v>6</v>
      </c>
      <c r="BA836" s="2">
        <f t="shared" si="362"/>
        <v>2.2653194263363756E-2</v>
      </c>
      <c r="BB836" s="2">
        <f t="shared" si="363"/>
        <v>6.8448500651890481E-3</v>
      </c>
      <c r="BC836" s="2">
        <f t="shared" si="364"/>
        <v>1.6297262059973924E-4</v>
      </c>
      <c r="BD836" s="2">
        <f t="shared" si="365"/>
        <v>4.0743155149934812E-3</v>
      </c>
      <c r="BF836" t="s">
        <v>980</v>
      </c>
      <c r="BG836" t="s">
        <v>1622</v>
      </c>
      <c r="BH836">
        <v>2</v>
      </c>
      <c r="BJ836" s="114">
        <v>19</v>
      </c>
      <c r="BK836" s="116">
        <v>7</v>
      </c>
      <c r="BL836" s="120">
        <f t="shared" si="352"/>
        <v>19007</v>
      </c>
      <c r="BN836" s="5" t="s">
        <v>3154</v>
      </c>
      <c r="BO836" s="63">
        <v>54</v>
      </c>
      <c r="BP836" s="63">
        <v>6</v>
      </c>
      <c r="BR836" s="63"/>
    </row>
    <row r="837" spans="1:70" hidden="1" outlineLevel="1">
      <c r="A837" t="s">
        <v>1580</v>
      </c>
      <c r="B837" t="s">
        <v>1622</v>
      </c>
      <c r="C837" s="1">
        <f t="shared" si="355"/>
        <v>3412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7</v>
      </c>
      <c r="G837" s="132">
        <f t="shared" si="356"/>
        <v>1056</v>
      </c>
      <c r="H837" s="137">
        <f t="shared" si="357"/>
        <v>0.30949589683470108</v>
      </c>
      <c r="I837" s="2"/>
      <c r="J837" s="2">
        <f t="shared" si="358"/>
        <v>0.31652989449003516</v>
      </c>
      <c r="K837" s="2">
        <f t="shared" si="359"/>
        <v>0.62602579132473624</v>
      </c>
      <c r="L837" s="2">
        <f t="shared" si="360"/>
        <v>2.637749120750293E-3</v>
      </c>
      <c r="M837" s="2">
        <f t="shared" si="361"/>
        <v>5.4806565064478258E-2</v>
      </c>
      <c r="N837" s="63">
        <v>1080</v>
      </c>
      <c r="O837" s="63">
        <v>2136</v>
      </c>
      <c r="P837" s="63">
        <v>9</v>
      </c>
      <c r="Q837" s="63">
        <v>107</v>
      </c>
      <c r="R837" s="63">
        <v>24</v>
      </c>
      <c r="S837" s="63">
        <v>17</v>
      </c>
      <c r="T837" s="63">
        <v>2</v>
      </c>
      <c r="U837" s="63"/>
      <c r="V837" s="63">
        <v>1</v>
      </c>
      <c r="W837" s="63">
        <v>30</v>
      </c>
      <c r="X837" s="63"/>
      <c r="Y837" s="63"/>
      <c r="Z837" s="63"/>
      <c r="AA837" s="63"/>
      <c r="AB837" s="63"/>
      <c r="AC837" s="63">
        <v>4</v>
      </c>
      <c r="AD837" s="63"/>
      <c r="AE837" s="63"/>
      <c r="AF837" s="63"/>
      <c r="AG837" s="63"/>
      <c r="AH837" s="63"/>
      <c r="AI837" s="63"/>
      <c r="AJ837" s="63"/>
      <c r="AK837" s="63"/>
      <c r="AL837" s="63">
        <v>2</v>
      </c>
      <c r="AM837" s="63"/>
      <c r="AN837" s="63"/>
      <c r="AO837" s="63"/>
      <c r="AP837" s="63"/>
      <c r="AQ837" s="63"/>
      <c r="AR837" s="63"/>
      <c r="AS837" s="63"/>
      <c r="AT837" s="63"/>
      <c r="AU837" s="63"/>
      <c r="AW837" s="5">
        <f>IF(Q837&gt;0,RANK(Q837,(N837:P837,Q837:AE837)),0)</f>
        <v>3</v>
      </c>
      <c r="AX837" s="5">
        <f>IF(R837&gt;0,RANK(R837,(N837:P837,Q837:AE837)),0)</f>
        <v>5</v>
      </c>
      <c r="AY837" s="5">
        <f>IF(T837&gt;0,RANK(T837,(N837:P837,Q837:AE837)),0)</f>
        <v>9</v>
      </c>
      <c r="AZ837" s="5">
        <f>IF(S837&gt;0,RANK(S837,(N837:P837,Q837:AE837)),0)</f>
        <v>6</v>
      </c>
      <c r="BA837" s="2">
        <f t="shared" si="362"/>
        <v>3.1359906213364597E-2</v>
      </c>
      <c r="BB837" s="2">
        <f t="shared" si="363"/>
        <v>7.0339976553341153E-3</v>
      </c>
      <c r="BC837" s="2">
        <f t="shared" si="364"/>
        <v>5.8616647127784287E-4</v>
      </c>
      <c r="BD837" s="2">
        <f t="shared" si="365"/>
        <v>4.9824150058616649E-3</v>
      </c>
      <c r="BF837" t="s">
        <v>1580</v>
      </c>
      <c r="BG837" t="s">
        <v>1622</v>
      </c>
      <c r="BH837">
        <v>4</v>
      </c>
      <c r="BJ837" s="114">
        <v>19</v>
      </c>
      <c r="BK837" s="116">
        <v>9</v>
      </c>
      <c r="BL837" s="120">
        <f t="shared" si="352"/>
        <v>19009</v>
      </c>
      <c r="BN837" s="5" t="s">
        <v>3154</v>
      </c>
      <c r="BO837" s="63">
        <v>69</v>
      </c>
      <c r="BP837" s="63">
        <v>5</v>
      </c>
      <c r="BR837" s="63"/>
    </row>
    <row r="838" spans="1:70" hidden="1" outlineLevel="1">
      <c r="A838" t="s">
        <v>1098</v>
      </c>
      <c r="B838" t="s">
        <v>1622</v>
      </c>
      <c r="C838" s="1">
        <f t="shared" si="355"/>
        <v>13844</v>
      </c>
      <c r="D838" s="5">
        <f>IF(N838&gt;0, RANK(N838,(N838:P838,Q838:AE838)),0)</f>
        <v>2</v>
      </c>
      <c r="E838" s="5">
        <f>IF(O838&gt;0,RANK(O838,(N838:P838,Q838:AE838)),0)</f>
        <v>1</v>
      </c>
      <c r="F838" s="5">
        <f>IF(P838&gt;0,RANK(P838,(N838:P838,Q838:AE838)),0)</f>
        <v>6</v>
      </c>
      <c r="G838" s="132">
        <f t="shared" si="356"/>
        <v>3554</v>
      </c>
      <c r="H838" s="137">
        <f t="shared" si="357"/>
        <v>0.25671771164403351</v>
      </c>
      <c r="I838" s="2"/>
      <c r="J838" s="2">
        <f t="shared" si="358"/>
        <v>0.3379081190407397</v>
      </c>
      <c r="K838" s="2">
        <f t="shared" si="359"/>
        <v>0.59462583068477315</v>
      </c>
      <c r="L838" s="2">
        <f t="shared" si="360"/>
        <v>5.0563420976596357E-3</v>
      </c>
      <c r="M838" s="2">
        <f t="shared" si="361"/>
        <v>6.2409708176827519E-2</v>
      </c>
      <c r="N838" s="63">
        <v>4678</v>
      </c>
      <c r="O838" s="63">
        <v>8232</v>
      </c>
      <c r="P838" s="63">
        <v>70</v>
      </c>
      <c r="Q838" s="63">
        <v>542</v>
      </c>
      <c r="R838" s="63">
        <v>86</v>
      </c>
      <c r="S838" s="63">
        <v>61</v>
      </c>
      <c r="T838" s="63">
        <v>2</v>
      </c>
      <c r="U838" s="63"/>
      <c r="V838" s="63">
        <v>4</v>
      </c>
      <c r="W838" s="63">
        <v>139</v>
      </c>
      <c r="X838" s="63"/>
      <c r="Y838" s="63"/>
      <c r="Z838" s="63"/>
      <c r="AA838" s="63"/>
      <c r="AB838" s="63"/>
      <c r="AC838" s="63">
        <v>13</v>
      </c>
      <c r="AD838" s="63"/>
      <c r="AE838" s="63"/>
      <c r="AF838" s="63"/>
      <c r="AG838" s="63"/>
      <c r="AH838" s="63"/>
      <c r="AI838" s="63"/>
      <c r="AJ838" s="63"/>
      <c r="AK838" s="63"/>
      <c r="AL838" s="63">
        <v>17</v>
      </c>
      <c r="AM838" s="63"/>
      <c r="AN838" s="63"/>
      <c r="AO838" s="63"/>
      <c r="AP838" s="63"/>
      <c r="AQ838" s="63"/>
      <c r="AR838" s="63"/>
      <c r="AS838" s="63"/>
      <c r="AT838" s="63"/>
      <c r="AU838" s="63"/>
      <c r="AW838" s="5">
        <f>IF(Q838&gt;0,RANK(Q838,(N838:P838,Q838:AE838)),0)</f>
        <v>3</v>
      </c>
      <c r="AX838" s="5">
        <f>IF(R838&gt;0,RANK(R838,(N838:P838,Q838:AE838)),0)</f>
        <v>5</v>
      </c>
      <c r="AY838" s="5">
        <f>IF(T838&gt;0,RANK(T838,(N838:P838,Q838:AE838)),0)</f>
        <v>10</v>
      </c>
      <c r="AZ838" s="5">
        <f>IF(S838&gt;0,RANK(S838,(N838:P838,Q838:AE838)),0)</f>
        <v>7</v>
      </c>
      <c r="BA838" s="2">
        <f t="shared" si="362"/>
        <v>3.9150534527593178E-2</v>
      </c>
      <c r="BB838" s="2">
        <f t="shared" si="363"/>
        <v>6.2120774342675524E-3</v>
      </c>
      <c r="BC838" s="2">
        <f t="shared" si="364"/>
        <v>1.4446691707598961E-4</v>
      </c>
      <c r="BD838" s="2">
        <f t="shared" si="365"/>
        <v>4.4062409708176828E-3</v>
      </c>
      <c r="BF838" t="s">
        <v>1098</v>
      </c>
      <c r="BG838" t="s">
        <v>1622</v>
      </c>
      <c r="BH838">
        <v>1</v>
      </c>
      <c r="BJ838" s="114">
        <v>19</v>
      </c>
      <c r="BK838" s="116">
        <v>11</v>
      </c>
      <c r="BL838" s="120">
        <f t="shared" si="352"/>
        <v>19011</v>
      </c>
      <c r="BN838" s="5" t="s">
        <v>3154</v>
      </c>
      <c r="BO838" s="63">
        <v>111</v>
      </c>
      <c r="BP838" s="63">
        <v>16</v>
      </c>
      <c r="BR838" s="63"/>
    </row>
    <row r="839" spans="1:70" hidden="1" outlineLevel="1">
      <c r="A839" t="s">
        <v>2900</v>
      </c>
      <c r="B839" t="s">
        <v>1622</v>
      </c>
      <c r="C839" s="1">
        <f t="shared" si="355"/>
        <v>64405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>IF(P839&gt;0,RANK(P839,(N839:P839,Q839:AE839)),0)</f>
        <v>6</v>
      </c>
      <c r="G839" s="132">
        <f t="shared" si="356"/>
        <v>4757</v>
      </c>
      <c r="H839" s="137">
        <f t="shared" si="357"/>
        <v>7.3860725098983004E-2</v>
      </c>
      <c r="I839" s="2"/>
      <c r="J839" s="2">
        <f t="shared" si="358"/>
        <v>0.50047356571694745</v>
      </c>
      <c r="K839" s="2">
        <f t="shared" si="359"/>
        <v>0.42661284061796445</v>
      </c>
      <c r="L839" s="2">
        <f t="shared" si="360"/>
        <v>7.6081049607949697E-3</v>
      </c>
      <c r="M839" s="2">
        <f t="shared" si="361"/>
        <v>6.5305488704293119E-2</v>
      </c>
      <c r="N839" s="63">
        <v>32233</v>
      </c>
      <c r="O839" s="63">
        <v>27476</v>
      </c>
      <c r="P839" s="63">
        <v>490</v>
      </c>
      <c r="Q839" s="63">
        <v>2368</v>
      </c>
      <c r="R839" s="63">
        <v>610</v>
      </c>
      <c r="S839" s="63">
        <v>203</v>
      </c>
      <c r="T839" s="63">
        <v>22</v>
      </c>
      <c r="U839" s="63"/>
      <c r="V839" s="63">
        <v>11</v>
      </c>
      <c r="W839" s="63">
        <v>835</v>
      </c>
      <c r="X839" s="63"/>
      <c r="Y839" s="63"/>
      <c r="Z839" s="63"/>
      <c r="AA839" s="63"/>
      <c r="AB839" s="63"/>
      <c r="AC839" s="63">
        <v>97</v>
      </c>
      <c r="AD839" s="63"/>
      <c r="AE839" s="63"/>
      <c r="AF839" s="63"/>
      <c r="AG839" s="63"/>
      <c r="AH839" s="63"/>
      <c r="AI839" s="63"/>
      <c r="AJ839" s="63"/>
      <c r="AK839" s="63"/>
      <c r="AL839" s="63">
        <v>60</v>
      </c>
      <c r="AM839" s="63"/>
      <c r="AN839" s="63"/>
      <c r="AO839" s="63"/>
      <c r="AP839" s="63"/>
      <c r="AQ839" s="63"/>
      <c r="AR839" s="63"/>
      <c r="AS839" s="63"/>
      <c r="AT839" s="63"/>
      <c r="AU839" s="63"/>
      <c r="AW839" s="5">
        <f>IF(Q839&gt;0,RANK(Q839,(N839:P839,Q839:AE839)),0)</f>
        <v>3</v>
      </c>
      <c r="AX839" s="5">
        <f>IF(R839&gt;0,RANK(R839,(N839:P839,Q839:AE839)),0)</f>
        <v>5</v>
      </c>
      <c r="AY839" s="5">
        <f>IF(T839&gt;0,RANK(T839,(N839:P839,Q839:AE839)),0)</f>
        <v>9</v>
      </c>
      <c r="AZ839" s="5">
        <f>IF(S839&gt;0,RANK(S839,(N839:P839,Q839:AE839)),0)</f>
        <v>7</v>
      </c>
      <c r="BA839" s="2">
        <f t="shared" si="362"/>
        <v>3.6767331728903035E-2</v>
      </c>
      <c r="BB839" s="2">
        <f t="shared" si="363"/>
        <v>9.4713143389488393E-3</v>
      </c>
      <c r="BC839" s="2">
        <f t="shared" si="364"/>
        <v>3.4158838599487618E-4</v>
      </c>
      <c r="BD839" s="2">
        <f t="shared" si="365"/>
        <v>3.15192919804363E-3</v>
      </c>
      <c r="BF839" t="s">
        <v>2900</v>
      </c>
      <c r="BG839" t="s">
        <v>1622</v>
      </c>
      <c r="BH839">
        <v>1</v>
      </c>
      <c r="BJ839" s="114">
        <v>19</v>
      </c>
      <c r="BK839" s="116">
        <v>13</v>
      </c>
      <c r="BL839" s="120">
        <f t="shared" si="352"/>
        <v>19013</v>
      </c>
      <c r="BN839" s="5" t="s">
        <v>3154</v>
      </c>
      <c r="BO839" s="63">
        <v>491</v>
      </c>
      <c r="BP839" s="63">
        <v>111</v>
      </c>
      <c r="BR839" s="63"/>
    </row>
    <row r="840" spans="1:70" hidden="1" outlineLevel="1">
      <c r="A840" t="s">
        <v>1043</v>
      </c>
      <c r="B840" t="s">
        <v>1622</v>
      </c>
      <c r="C840" s="1">
        <f t="shared" si="355"/>
        <v>14196</v>
      </c>
      <c r="D840" s="5">
        <f>IF(N840&gt;0, RANK(N840,(N840:P840,Q840:AE840)),0)</f>
        <v>2</v>
      </c>
      <c r="E840" s="5">
        <f>IF(O840&gt;0,RANK(O840,(N840:P840,Q840:AE840)),0)</f>
        <v>1</v>
      </c>
      <c r="F840" s="5">
        <f>IF(P840&gt;0,RANK(P840,(N840:P840,Q840:AE840)),0)</f>
        <v>5</v>
      </c>
      <c r="G840" s="132">
        <f t="shared" si="356"/>
        <v>1943</v>
      </c>
      <c r="H840" s="137">
        <f t="shared" si="357"/>
        <v>0.13686954071569457</v>
      </c>
      <c r="I840" s="2"/>
      <c r="J840" s="2">
        <f t="shared" si="358"/>
        <v>0.39032121724429419</v>
      </c>
      <c r="K840" s="2">
        <f t="shared" si="359"/>
        <v>0.52719075795998871</v>
      </c>
      <c r="L840" s="2">
        <f t="shared" si="360"/>
        <v>1.1129895745280361E-2</v>
      </c>
      <c r="M840" s="2">
        <f t="shared" si="361"/>
        <v>7.1358129050436675E-2</v>
      </c>
      <c r="N840" s="63">
        <v>5541</v>
      </c>
      <c r="O840" s="63">
        <v>7484</v>
      </c>
      <c r="P840" s="63">
        <v>158</v>
      </c>
      <c r="Q840" s="63">
        <v>643</v>
      </c>
      <c r="R840" s="63">
        <v>104</v>
      </c>
      <c r="S840" s="63">
        <v>56</v>
      </c>
      <c r="T840" s="63">
        <v>6</v>
      </c>
      <c r="U840" s="63"/>
      <c r="V840" s="63">
        <v>0</v>
      </c>
      <c r="W840" s="63">
        <v>162</v>
      </c>
      <c r="X840" s="63"/>
      <c r="Y840" s="63"/>
      <c r="Z840" s="63"/>
      <c r="AA840" s="63"/>
      <c r="AB840" s="63"/>
      <c r="AC840" s="63">
        <v>20</v>
      </c>
      <c r="AD840" s="63"/>
      <c r="AE840" s="63"/>
      <c r="AF840" s="63"/>
      <c r="AG840" s="63"/>
      <c r="AH840" s="63"/>
      <c r="AI840" s="63"/>
      <c r="AJ840" s="63"/>
      <c r="AK840" s="63"/>
      <c r="AL840" s="63">
        <v>22</v>
      </c>
      <c r="AM840" s="63"/>
      <c r="AN840" s="63"/>
      <c r="AO840" s="63"/>
      <c r="AP840" s="63"/>
      <c r="AQ840" s="63"/>
      <c r="AR840" s="63"/>
      <c r="AS840" s="63"/>
      <c r="AT840" s="63"/>
      <c r="AU840" s="63"/>
      <c r="AW840" s="5">
        <f>IF(Q840&gt;0,RANK(Q840,(N840:P840,Q840:AE840)),0)</f>
        <v>3</v>
      </c>
      <c r="AX840" s="5">
        <f>IF(R840&gt;0,RANK(R840,(N840:P840,Q840:AE840)),0)</f>
        <v>6</v>
      </c>
      <c r="AY840" s="5">
        <f>IF(T840&gt;0,RANK(T840,(N840:P840,Q840:AE840)),0)</f>
        <v>9</v>
      </c>
      <c r="AZ840" s="5">
        <f>IF(S840&gt;0,RANK(S840,(N840:P840,Q840:AE840)),0)</f>
        <v>7</v>
      </c>
      <c r="BA840" s="2">
        <f t="shared" si="362"/>
        <v>4.5294449140602988E-2</v>
      </c>
      <c r="BB840" s="2">
        <f t="shared" si="363"/>
        <v>7.326007326007326E-3</v>
      </c>
      <c r="BC840" s="2">
        <f t="shared" si="364"/>
        <v>4.2265426880811494E-4</v>
      </c>
      <c r="BD840" s="2">
        <f t="shared" si="365"/>
        <v>3.9447731755424065E-3</v>
      </c>
      <c r="BF840" t="s">
        <v>1043</v>
      </c>
      <c r="BG840" t="s">
        <v>1622</v>
      </c>
      <c r="BH840">
        <v>4</v>
      </c>
      <c r="BJ840" s="114">
        <v>19</v>
      </c>
      <c r="BK840" s="116">
        <v>15</v>
      </c>
      <c r="BL840" s="120">
        <f t="shared" si="352"/>
        <v>19015</v>
      </c>
      <c r="BN840" s="5" t="s">
        <v>3154</v>
      </c>
      <c r="BO840" s="63">
        <v>98</v>
      </c>
      <c r="BP840" s="63">
        <v>16</v>
      </c>
      <c r="BR840" s="63"/>
    </row>
    <row r="841" spans="1:70" hidden="1" outlineLevel="1">
      <c r="A841" t="s">
        <v>482</v>
      </c>
      <c r="B841" t="s">
        <v>1622</v>
      </c>
      <c r="C841" s="1">
        <f t="shared" si="355"/>
        <v>13538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>IF(P841&gt;0,RANK(P841,(N841:P841,Q841:AE841)),0)</f>
        <v>5</v>
      </c>
      <c r="G841" s="132">
        <f t="shared" si="356"/>
        <v>1852</v>
      </c>
      <c r="H841" s="137">
        <f t="shared" si="357"/>
        <v>0.13680011818584725</v>
      </c>
      <c r="I841" s="2"/>
      <c r="J841" s="2">
        <f t="shared" si="358"/>
        <v>0.39562712365194269</v>
      </c>
      <c r="K841" s="2">
        <f t="shared" si="359"/>
        <v>0.53242724183778989</v>
      </c>
      <c r="L841" s="2">
        <f t="shared" si="360"/>
        <v>6.5002215984635838E-3</v>
      </c>
      <c r="M841" s="2">
        <f t="shared" si="361"/>
        <v>6.5445412911803891E-2</v>
      </c>
      <c r="N841" s="63">
        <v>5356</v>
      </c>
      <c r="O841" s="63">
        <v>7208</v>
      </c>
      <c r="P841" s="63">
        <v>88</v>
      </c>
      <c r="Q841" s="63">
        <v>543</v>
      </c>
      <c r="R841" s="63">
        <v>81</v>
      </c>
      <c r="S841" s="63">
        <v>54</v>
      </c>
      <c r="T841" s="63">
        <v>5</v>
      </c>
      <c r="U841" s="63"/>
      <c r="V841" s="63">
        <v>1</v>
      </c>
      <c r="W841" s="63">
        <v>171</v>
      </c>
      <c r="X841" s="63"/>
      <c r="Y841" s="63"/>
      <c r="Z841" s="63"/>
      <c r="AA841" s="63"/>
      <c r="AB841" s="63"/>
      <c r="AC841" s="63">
        <v>21</v>
      </c>
      <c r="AD841" s="63"/>
      <c r="AE841" s="63"/>
      <c r="AF841" s="63"/>
      <c r="AG841" s="63"/>
      <c r="AH841" s="63"/>
      <c r="AI841" s="63"/>
      <c r="AJ841" s="63"/>
      <c r="AK841" s="63"/>
      <c r="AL841" s="63">
        <v>10</v>
      </c>
      <c r="AM841" s="63"/>
      <c r="AN841" s="63"/>
      <c r="AO841" s="63"/>
      <c r="AP841" s="63"/>
      <c r="AQ841" s="63"/>
      <c r="AR841" s="63"/>
      <c r="AS841" s="63"/>
      <c r="AT841" s="63"/>
      <c r="AU841" s="63"/>
      <c r="AW841" s="5">
        <f>IF(Q841&gt;0,RANK(Q841,(N841:P841,Q841:AE841)),0)</f>
        <v>3</v>
      </c>
      <c r="AX841" s="5">
        <f>IF(R841&gt;0,RANK(R841,(N841:P841,Q841:AE841)),0)</f>
        <v>6</v>
      </c>
      <c r="AY841" s="5">
        <f>IF(T841&gt;0,RANK(T841,(N841:P841,Q841:AE841)),0)</f>
        <v>9</v>
      </c>
      <c r="AZ841" s="5">
        <f>IF(S841&gt;0,RANK(S841,(N841:P841,Q841:AE841)),0)</f>
        <v>7</v>
      </c>
      <c r="BA841" s="2">
        <f t="shared" si="362"/>
        <v>4.010932190870143E-2</v>
      </c>
      <c r="BB841" s="2">
        <f t="shared" si="363"/>
        <v>5.9831585167676171E-3</v>
      </c>
      <c r="BC841" s="2">
        <f t="shared" si="364"/>
        <v>3.6933077263997637E-4</v>
      </c>
      <c r="BD841" s="2">
        <f t="shared" si="365"/>
        <v>3.9887723445117445E-3</v>
      </c>
      <c r="BF841" t="s">
        <v>482</v>
      </c>
      <c r="BG841" t="s">
        <v>1622</v>
      </c>
      <c r="BH841">
        <v>1</v>
      </c>
      <c r="BJ841" s="114">
        <v>19</v>
      </c>
      <c r="BK841" s="116">
        <v>17</v>
      </c>
      <c r="BL841" s="120">
        <f t="shared" si="352"/>
        <v>19017</v>
      </c>
      <c r="BN841" s="5" t="s">
        <v>3154</v>
      </c>
      <c r="BO841" s="63">
        <v>133</v>
      </c>
      <c r="BP841" s="63">
        <v>20</v>
      </c>
      <c r="BR841" s="63"/>
    </row>
    <row r="842" spans="1:70" hidden="1" outlineLevel="1">
      <c r="A842" t="s">
        <v>864</v>
      </c>
      <c r="B842" t="s">
        <v>1622</v>
      </c>
      <c r="C842" s="1">
        <f t="shared" si="355"/>
        <v>10252</v>
      </c>
      <c r="D842" s="5">
        <f>IF(N842&gt;0, RANK(N842,(N842:P842,Q842:AE842)),0)</f>
        <v>2</v>
      </c>
      <c r="E842" s="5">
        <f>IF(O842&gt;0,RANK(O842,(N842:P842,Q842:AE842)),0)</f>
        <v>1</v>
      </c>
      <c r="F842" s="5">
        <f>IF(P842&gt;0,RANK(P842,(N842:P842,Q842:AE842)),0)</f>
        <v>7</v>
      </c>
      <c r="G842" s="132">
        <f t="shared" si="356"/>
        <v>1540</v>
      </c>
      <c r="H842" s="137">
        <f t="shared" si="357"/>
        <v>0.15021459227467812</v>
      </c>
      <c r="I842" s="2"/>
      <c r="J842" s="2">
        <f t="shared" si="358"/>
        <v>0.3872415138509559</v>
      </c>
      <c r="K842" s="2">
        <f t="shared" si="359"/>
        <v>0.53745610612563399</v>
      </c>
      <c r="L842" s="2">
        <f t="shared" si="360"/>
        <v>4.6820132657042525E-3</v>
      </c>
      <c r="M842" s="2">
        <f t="shared" si="361"/>
        <v>7.0620366757705805E-2</v>
      </c>
      <c r="N842" s="63">
        <v>3970</v>
      </c>
      <c r="O842" s="63">
        <v>5510</v>
      </c>
      <c r="P842" s="63">
        <v>48</v>
      </c>
      <c r="Q842" s="63">
        <v>478</v>
      </c>
      <c r="R842" s="63">
        <v>54</v>
      </c>
      <c r="S842" s="63">
        <v>58</v>
      </c>
      <c r="T842" s="63">
        <v>2</v>
      </c>
      <c r="U842" s="63"/>
      <c r="V842" s="63">
        <v>1</v>
      </c>
      <c r="W842" s="63">
        <v>105</v>
      </c>
      <c r="X842" s="63"/>
      <c r="Y842" s="63"/>
      <c r="Z842" s="63"/>
      <c r="AA842" s="63"/>
      <c r="AB842" s="63"/>
      <c r="AC842" s="63">
        <v>9</v>
      </c>
      <c r="AD842" s="63"/>
      <c r="AE842" s="63"/>
      <c r="AF842" s="63"/>
      <c r="AG842" s="63"/>
      <c r="AH842" s="63"/>
      <c r="AI842" s="63"/>
      <c r="AJ842" s="63"/>
      <c r="AK842" s="63"/>
      <c r="AL842" s="63">
        <v>17</v>
      </c>
      <c r="AM842" s="63"/>
      <c r="AN842" s="63"/>
      <c r="AO842" s="63"/>
      <c r="AP842" s="63"/>
      <c r="AQ842" s="63"/>
      <c r="AR842" s="63"/>
      <c r="AS842" s="63"/>
      <c r="AT842" s="63"/>
      <c r="AU842" s="63"/>
      <c r="AW842" s="5">
        <f>IF(Q842&gt;0,RANK(Q842,(N842:P842,Q842:AE842)),0)</f>
        <v>3</v>
      </c>
      <c r="AX842" s="5">
        <f>IF(R842&gt;0,RANK(R842,(N842:P842,Q842:AE842)),0)</f>
        <v>6</v>
      </c>
      <c r="AY842" s="5">
        <f>IF(T842&gt;0,RANK(T842,(N842:P842,Q842:AE842)),0)</f>
        <v>9</v>
      </c>
      <c r="AZ842" s="5">
        <f>IF(S842&gt;0,RANK(S842,(N842:P842,Q842:AE842)),0)</f>
        <v>5</v>
      </c>
      <c r="BA842" s="2">
        <f t="shared" si="362"/>
        <v>4.6625048770971518E-2</v>
      </c>
      <c r="BB842" s="2">
        <f t="shared" si="363"/>
        <v>5.2672649239172845E-3</v>
      </c>
      <c r="BC842" s="2">
        <f t="shared" si="364"/>
        <v>1.9508388607101054E-4</v>
      </c>
      <c r="BD842" s="2">
        <f t="shared" si="365"/>
        <v>5.6574326960593052E-3</v>
      </c>
      <c r="BF842" t="s">
        <v>864</v>
      </c>
      <c r="BG842" t="s">
        <v>1622</v>
      </c>
      <c r="BH842">
        <v>1</v>
      </c>
      <c r="BJ842" s="114">
        <v>19</v>
      </c>
      <c r="BK842" s="116">
        <v>19</v>
      </c>
      <c r="BL842" s="120">
        <f t="shared" si="352"/>
        <v>19019</v>
      </c>
      <c r="BN842" s="5" t="s">
        <v>3154</v>
      </c>
      <c r="BO842" s="63">
        <v>97</v>
      </c>
      <c r="BP842" s="63">
        <v>28</v>
      </c>
      <c r="BR842" s="63"/>
    </row>
    <row r="843" spans="1:70" hidden="1" outlineLevel="1">
      <c r="A843" t="s">
        <v>1982</v>
      </c>
      <c r="B843" t="s">
        <v>1622</v>
      </c>
      <c r="C843" s="1">
        <f t="shared" si="355"/>
        <v>8278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5</v>
      </c>
      <c r="G843" s="132">
        <f t="shared" si="356"/>
        <v>2047</v>
      </c>
      <c r="H843" s="137">
        <f t="shared" si="357"/>
        <v>0.24728195216235807</v>
      </c>
      <c r="I843" s="2"/>
      <c r="J843" s="2">
        <f t="shared" si="358"/>
        <v>0.34501087219135057</v>
      </c>
      <c r="K843" s="2">
        <f t="shared" si="359"/>
        <v>0.59229282435370867</v>
      </c>
      <c r="L843" s="2">
        <f t="shared" si="360"/>
        <v>7.0065233148103407E-3</v>
      </c>
      <c r="M843" s="2">
        <f t="shared" si="361"/>
        <v>5.5689780140130478E-2</v>
      </c>
      <c r="N843" s="63">
        <v>2856</v>
      </c>
      <c r="O843" s="63">
        <v>4903</v>
      </c>
      <c r="P843" s="63">
        <v>58</v>
      </c>
      <c r="Q843" s="63">
        <v>288</v>
      </c>
      <c r="R843" s="63">
        <v>48</v>
      </c>
      <c r="S843" s="63">
        <v>23</v>
      </c>
      <c r="T843" s="63">
        <v>1</v>
      </c>
      <c r="U843" s="63"/>
      <c r="V843" s="63">
        <v>0</v>
      </c>
      <c r="W843" s="63">
        <v>84</v>
      </c>
      <c r="X843" s="63"/>
      <c r="Y843" s="63"/>
      <c r="Z843" s="63"/>
      <c r="AA843" s="63"/>
      <c r="AB843" s="63"/>
      <c r="AC843" s="63">
        <v>4</v>
      </c>
      <c r="AD843" s="63"/>
      <c r="AE843" s="63"/>
      <c r="AF843" s="63"/>
      <c r="AG843" s="63"/>
      <c r="AH843" s="63"/>
      <c r="AI843" s="63"/>
      <c r="AJ843" s="63"/>
      <c r="AK843" s="63"/>
      <c r="AL843" s="63">
        <v>13</v>
      </c>
      <c r="AM843" s="63"/>
      <c r="AN843" s="63"/>
      <c r="AO843" s="63"/>
      <c r="AP843" s="63"/>
      <c r="AQ843" s="63"/>
      <c r="AR843" s="63"/>
      <c r="AS843" s="63"/>
      <c r="AT843" s="63"/>
      <c r="AU843" s="63"/>
      <c r="AW843" s="5">
        <f>IF(Q843&gt;0,RANK(Q843,(N843:P843,Q843:AE843)),0)</f>
        <v>3</v>
      </c>
      <c r="AX843" s="5">
        <f>IF(R843&gt;0,RANK(R843,(N843:P843,Q843:AE843)),0)</f>
        <v>6</v>
      </c>
      <c r="AY843" s="5">
        <f>IF(T843&gt;0,RANK(T843,(N843:P843,Q843:AE843)),0)</f>
        <v>9</v>
      </c>
      <c r="AZ843" s="5">
        <f>IF(S843&gt;0,RANK(S843,(N843:P843,Q843:AE843)),0)</f>
        <v>7</v>
      </c>
      <c r="BA843" s="2">
        <f t="shared" si="362"/>
        <v>3.4791012321816861E-2</v>
      </c>
      <c r="BB843" s="2">
        <f t="shared" si="363"/>
        <v>5.7985020536361438E-3</v>
      </c>
      <c r="BC843" s="2">
        <f t="shared" si="364"/>
        <v>1.2080212611741966E-4</v>
      </c>
      <c r="BD843" s="2">
        <f t="shared" si="365"/>
        <v>2.7784489007006523E-3</v>
      </c>
      <c r="BF843" t="s">
        <v>1982</v>
      </c>
      <c r="BG843" t="s">
        <v>1622</v>
      </c>
      <c r="BH843">
        <v>4</v>
      </c>
      <c r="BJ843" s="114">
        <v>19</v>
      </c>
      <c r="BK843" s="116">
        <v>21</v>
      </c>
      <c r="BL843" s="120">
        <f t="shared" si="352"/>
        <v>19021</v>
      </c>
      <c r="BN843" s="5" t="s">
        <v>3154</v>
      </c>
      <c r="BO843" s="63">
        <v>77</v>
      </c>
      <c r="BP843" s="63">
        <v>26</v>
      </c>
      <c r="BR843" s="63"/>
    </row>
    <row r="844" spans="1:70" hidden="1" outlineLevel="1">
      <c r="A844" t="s">
        <v>1806</v>
      </c>
      <c r="B844" t="s">
        <v>1622</v>
      </c>
      <c r="C844" s="1">
        <f t="shared" si="355"/>
        <v>7513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5</v>
      </c>
      <c r="G844" s="132">
        <f t="shared" si="356"/>
        <v>2764</v>
      </c>
      <c r="H844" s="137">
        <f t="shared" si="357"/>
        <v>0.36789564754425663</v>
      </c>
      <c r="I844" s="2"/>
      <c r="J844" s="2">
        <f t="shared" si="358"/>
        <v>0.28710235591641153</v>
      </c>
      <c r="K844" s="2">
        <f t="shared" si="359"/>
        <v>0.65499800346066817</v>
      </c>
      <c r="L844" s="2">
        <f t="shared" si="360"/>
        <v>6.65513110608279E-3</v>
      </c>
      <c r="M844" s="2">
        <f t="shared" si="361"/>
        <v>5.1244509516837511E-2</v>
      </c>
      <c r="N844" s="63">
        <v>2157</v>
      </c>
      <c r="O844" s="63">
        <v>4921</v>
      </c>
      <c r="P844" s="63">
        <v>50</v>
      </c>
      <c r="Q844" s="63">
        <v>219</v>
      </c>
      <c r="R844" s="63">
        <v>43</v>
      </c>
      <c r="S844" s="63">
        <v>47</v>
      </c>
      <c r="T844" s="63">
        <v>3</v>
      </c>
      <c r="U844" s="63"/>
      <c r="V844" s="63">
        <v>0</v>
      </c>
      <c r="W844" s="63">
        <v>57</v>
      </c>
      <c r="X844" s="63"/>
      <c r="Y844" s="63"/>
      <c r="Z844" s="63"/>
      <c r="AA844" s="63"/>
      <c r="AB844" s="63"/>
      <c r="AC844" s="63">
        <v>11</v>
      </c>
      <c r="AD844" s="63"/>
      <c r="AE844" s="63"/>
      <c r="AF844" s="63"/>
      <c r="AG844" s="63"/>
      <c r="AH844" s="63"/>
      <c r="AI844" s="63"/>
      <c r="AJ844" s="63"/>
      <c r="AK844" s="63"/>
      <c r="AL844" s="63">
        <v>5</v>
      </c>
      <c r="AM844" s="63"/>
      <c r="AN844" s="63"/>
      <c r="AO844" s="63"/>
      <c r="AP844" s="63"/>
      <c r="AQ844" s="63"/>
      <c r="AR844" s="63"/>
      <c r="AS844" s="63"/>
      <c r="AT844" s="63"/>
      <c r="AU844" s="63"/>
      <c r="AW844" s="5">
        <f>IF(Q844&gt;0,RANK(Q844,(N844:P844,Q844:AE844)),0)</f>
        <v>3</v>
      </c>
      <c r="AX844" s="5">
        <f>IF(R844&gt;0,RANK(R844,(N844:P844,Q844:AE844)),0)</f>
        <v>7</v>
      </c>
      <c r="AY844" s="5">
        <f>IF(T844&gt;0,RANK(T844,(N844:P844,Q844:AE844)),0)</f>
        <v>9</v>
      </c>
      <c r="AZ844" s="5">
        <f>IF(S844&gt;0,RANK(S844,(N844:P844,Q844:AE844)),0)</f>
        <v>6</v>
      </c>
      <c r="BA844" s="2">
        <f t="shared" si="362"/>
        <v>2.914947424464262E-2</v>
      </c>
      <c r="BB844" s="2">
        <f t="shared" si="363"/>
        <v>5.7234127512311994E-3</v>
      </c>
      <c r="BC844" s="2">
        <f t="shared" si="364"/>
        <v>3.993078663649674E-4</v>
      </c>
      <c r="BD844" s="2">
        <f t="shared" si="365"/>
        <v>6.2558232397178226E-3</v>
      </c>
      <c r="BF844" t="s">
        <v>1806</v>
      </c>
      <c r="BG844" t="s">
        <v>1622</v>
      </c>
      <c r="BH844">
        <v>4</v>
      </c>
      <c r="BJ844" s="114">
        <v>19</v>
      </c>
      <c r="BK844" s="116">
        <v>23</v>
      </c>
      <c r="BL844" s="120">
        <f t="shared" si="352"/>
        <v>19023</v>
      </c>
      <c r="BN844" s="5" t="s">
        <v>3154</v>
      </c>
      <c r="BO844" s="63">
        <v>61</v>
      </c>
      <c r="BP844" s="63">
        <v>9</v>
      </c>
      <c r="BR844" s="63"/>
    </row>
    <row r="845" spans="1:70" hidden="1" outlineLevel="1">
      <c r="A845" t="s">
        <v>1197</v>
      </c>
      <c r="B845" t="s">
        <v>1622</v>
      </c>
      <c r="C845" s="1">
        <f t="shared" si="355"/>
        <v>5159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7</v>
      </c>
      <c r="G845" s="132">
        <f t="shared" si="356"/>
        <v>2070</v>
      </c>
      <c r="H845" s="137">
        <f t="shared" si="357"/>
        <v>0.40124055049428181</v>
      </c>
      <c r="I845" s="2"/>
      <c r="J845" s="2">
        <f t="shared" si="358"/>
        <v>0.2709827485946889</v>
      </c>
      <c r="K845" s="2">
        <f t="shared" si="359"/>
        <v>0.67222329908897072</v>
      </c>
      <c r="L845" s="2">
        <f t="shared" si="360"/>
        <v>3.2952122504361311E-3</v>
      </c>
      <c r="M845" s="2">
        <f t="shared" si="361"/>
        <v>5.3498740065904195E-2</v>
      </c>
      <c r="N845" s="63">
        <v>1398</v>
      </c>
      <c r="O845" s="63">
        <v>3468</v>
      </c>
      <c r="P845" s="63">
        <v>17</v>
      </c>
      <c r="Q845" s="63">
        <v>173</v>
      </c>
      <c r="R845" s="63">
        <v>18</v>
      </c>
      <c r="S845" s="63">
        <v>29</v>
      </c>
      <c r="T845" s="63">
        <v>0</v>
      </c>
      <c r="U845" s="63"/>
      <c r="V845" s="63">
        <v>1</v>
      </c>
      <c r="W845" s="63">
        <v>49</v>
      </c>
      <c r="X845" s="63"/>
      <c r="Y845" s="63"/>
      <c r="Z845" s="63"/>
      <c r="AA845" s="63"/>
      <c r="AB845" s="63"/>
      <c r="AC845" s="63">
        <v>2</v>
      </c>
      <c r="AD845" s="63"/>
      <c r="AE845" s="63"/>
      <c r="AF845" s="63"/>
      <c r="AG845" s="63"/>
      <c r="AH845" s="63"/>
      <c r="AI845" s="63"/>
      <c r="AJ845" s="63"/>
      <c r="AK845" s="63"/>
      <c r="AL845" s="63">
        <v>4</v>
      </c>
      <c r="AM845" s="63"/>
      <c r="AN845" s="63"/>
      <c r="AO845" s="63"/>
      <c r="AP845" s="63"/>
      <c r="AQ845" s="63"/>
      <c r="AR845" s="63"/>
      <c r="AS845" s="63"/>
      <c r="AT845" s="63"/>
      <c r="AU845" s="63"/>
      <c r="AW845" s="5">
        <f>IF(Q845&gt;0,RANK(Q845,(N845:P845,Q845:AE845)),0)</f>
        <v>3</v>
      </c>
      <c r="AX845" s="5">
        <f>IF(R845&gt;0,RANK(R845,(N845:P845,Q845:AE845)),0)</f>
        <v>6</v>
      </c>
      <c r="AY845" s="5">
        <f>IF(T845&gt;0,RANK(T845,(N845:P845,Q845:AE845)),0)</f>
        <v>0</v>
      </c>
      <c r="AZ845" s="5">
        <f>IF(S845&gt;0,RANK(S845,(N845:P845,Q845:AE845)),0)</f>
        <v>5</v>
      </c>
      <c r="BA845" s="2">
        <f t="shared" si="362"/>
        <v>3.3533630548555925E-2</v>
      </c>
      <c r="BB845" s="2">
        <f t="shared" si="363"/>
        <v>3.489048265167668E-3</v>
      </c>
      <c r="BC845" s="2">
        <f t="shared" si="364"/>
        <v>0</v>
      </c>
      <c r="BD845" s="2">
        <f t="shared" si="365"/>
        <v>5.6212444272145763E-3</v>
      </c>
      <c r="BF845" t="s">
        <v>1197</v>
      </c>
      <c r="BG845" t="s">
        <v>1622</v>
      </c>
      <c r="BH845">
        <v>4</v>
      </c>
      <c r="BJ845" s="114">
        <v>19</v>
      </c>
      <c r="BK845" s="116">
        <v>25</v>
      </c>
      <c r="BL845" s="120">
        <f t="shared" si="352"/>
        <v>19025</v>
      </c>
      <c r="BN845" s="5" t="s">
        <v>3154</v>
      </c>
      <c r="BO845" s="63">
        <v>52</v>
      </c>
      <c r="BP845" s="63">
        <v>7</v>
      </c>
      <c r="BR845" s="63"/>
    </row>
    <row r="846" spans="1:70" hidden="1" outlineLevel="1">
      <c r="A846" t="s">
        <v>1675</v>
      </c>
      <c r="B846" t="s">
        <v>1622</v>
      </c>
      <c r="C846" s="1">
        <f t="shared" si="355"/>
        <v>10544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6</v>
      </c>
      <c r="G846" s="132">
        <f t="shared" si="356"/>
        <v>3329</v>
      </c>
      <c r="H846" s="137">
        <f t="shared" si="357"/>
        <v>0.31572458270106224</v>
      </c>
      <c r="I846" s="2"/>
      <c r="J846" s="2">
        <f t="shared" si="358"/>
        <v>0.31382776934749623</v>
      </c>
      <c r="K846" s="2">
        <f t="shared" si="359"/>
        <v>0.62955235204855842</v>
      </c>
      <c r="L846" s="2">
        <f t="shared" si="360"/>
        <v>5.121396054628225E-3</v>
      </c>
      <c r="M846" s="2">
        <f t="shared" si="361"/>
        <v>5.1498482549317125E-2</v>
      </c>
      <c r="N846" s="63">
        <v>3309</v>
      </c>
      <c r="O846" s="63">
        <v>6638</v>
      </c>
      <c r="P846" s="63">
        <v>54</v>
      </c>
      <c r="Q846" s="63">
        <v>318</v>
      </c>
      <c r="R846" s="63">
        <v>61</v>
      </c>
      <c r="S846" s="63">
        <v>41</v>
      </c>
      <c r="T846" s="63">
        <v>1</v>
      </c>
      <c r="U846" s="63"/>
      <c r="V846" s="63">
        <v>0</v>
      </c>
      <c r="W846" s="63">
        <v>90</v>
      </c>
      <c r="X846" s="63"/>
      <c r="Y846" s="63"/>
      <c r="Z846" s="63"/>
      <c r="AA846" s="63"/>
      <c r="AB846" s="63"/>
      <c r="AC846" s="63">
        <v>13</v>
      </c>
      <c r="AD846" s="63"/>
      <c r="AE846" s="63"/>
      <c r="AF846" s="63"/>
      <c r="AG846" s="63"/>
      <c r="AH846" s="63"/>
      <c r="AI846" s="63"/>
      <c r="AJ846" s="63"/>
      <c r="AK846" s="63"/>
      <c r="AL846" s="63">
        <v>19</v>
      </c>
      <c r="AM846" s="63"/>
      <c r="AN846" s="63"/>
      <c r="AO846" s="63"/>
      <c r="AP846" s="63"/>
      <c r="AQ846" s="63"/>
      <c r="AR846" s="63"/>
      <c r="AS846" s="63"/>
      <c r="AT846" s="63"/>
      <c r="AU846" s="63"/>
      <c r="AW846" s="5">
        <f>IF(Q846&gt;0,RANK(Q846,(N846:P846,Q846:AE846)),0)</f>
        <v>3</v>
      </c>
      <c r="AX846" s="5">
        <f>IF(R846&gt;0,RANK(R846,(N846:P846,Q846:AE846)),0)</f>
        <v>5</v>
      </c>
      <c r="AY846" s="5">
        <f>IF(T846&gt;0,RANK(T846,(N846:P846,Q846:AE846)),0)</f>
        <v>9</v>
      </c>
      <c r="AZ846" s="5">
        <f>IF(S846&gt;0,RANK(S846,(N846:P846,Q846:AE846)),0)</f>
        <v>7</v>
      </c>
      <c r="BA846" s="2">
        <f t="shared" si="362"/>
        <v>3.0159332321699546E-2</v>
      </c>
      <c r="BB846" s="2">
        <f t="shared" si="363"/>
        <v>5.7852807283763274E-3</v>
      </c>
      <c r="BC846" s="2">
        <f t="shared" si="364"/>
        <v>9.4840667678300458E-5</v>
      </c>
      <c r="BD846" s="2">
        <f t="shared" si="365"/>
        <v>3.8884673748103187E-3</v>
      </c>
      <c r="BF846" t="s">
        <v>1675</v>
      </c>
      <c r="BG846" t="s">
        <v>1622</v>
      </c>
      <c r="BH846">
        <v>4</v>
      </c>
      <c r="BJ846" s="114">
        <v>19</v>
      </c>
      <c r="BK846" s="116">
        <v>27</v>
      </c>
      <c r="BL846" s="120">
        <f t="shared" si="352"/>
        <v>19027</v>
      </c>
      <c r="BN846" s="5" t="s">
        <v>3154</v>
      </c>
      <c r="BO846" s="63">
        <v>125</v>
      </c>
      <c r="BP846" s="63">
        <v>13</v>
      </c>
      <c r="BR846" s="63"/>
    </row>
    <row r="847" spans="1:70" hidden="1" outlineLevel="1">
      <c r="A847" t="s">
        <v>339</v>
      </c>
      <c r="B847" t="s">
        <v>1622</v>
      </c>
      <c r="C847" s="1">
        <f t="shared" si="355"/>
        <v>7125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6</v>
      </c>
      <c r="G847" s="132">
        <f t="shared" si="356"/>
        <v>2810</v>
      </c>
      <c r="H847" s="137">
        <f t="shared" si="357"/>
        <v>0.39438596491228073</v>
      </c>
      <c r="I847" s="2"/>
      <c r="J847" s="2">
        <f t="shared" si="358"/>
        <v>0.27382456140350875</v>
      </c>
      <c r="K847" s="2">
        <f t="shared" si="359"/>
        <v>0.66821052631578948</v>
      </c>
      <c r="L847" s="2">
        <f t="shared" si="360"/>
        <v>7.1578947368421053E-3</v>
      </c>
      <c r="M847" s="2">
        <f t="shared" si="361"/>
        <v>5.0807017543859669E-2</v>
      </c>
      <c r="N847" s="63">
        <v>1951</v>
      </c>
      <c r="O847" s="63">
        <v>4761</v>
      </c>
      <c r="P847" s="63">
        <v>51</v>
      </c>
      <c r="Q847" s="63">
        <v>206</v>
      </c>
      <c r="R847" s="63">
        <v>52</v>
      </c>
      <c r="S847" s="63">
        <v>25</v>
      </c>
      <c r="T847" s="63">
        <v>0</v>
      </c>
      <c r="U847" s="63"/>
      <c r="V847" s="63">
        <v>1</v>
      </c>
      <c r="W847" s="63">
        <v>57</v>
      </c>
      <c r="X847" s="63"/>
      <c r="Y847" s="63"/>
      <c r="Z847" s="63"/>
      <c r="AA847" s="63"/>
      <c r="AB847" s="63"/>
      <c r="AC847" s="63">
        <v>8</v>
      </c>
      <c r="AD847" s="63"/>
      <c r="AE847" s="63"/>
      <c r="AF847" s="63"/>
      <c r="AG847" s="63"/>
      <c r="AH847" s="63"/>
      <c r="AI847" s="63"/>
      <c r="AJ847" s="63"/>
      <c r="AK847" s="63"/>
      <c r="AL847" s="63">
        <v>13</v>
      </c>
      <c r="AM847" s="63"/>
      <c r="AN847" s="63"/>
      <c r="AO847" s="63"/>
      <c r="AP847" s="63"/>
      <c r="AQ847" s="63"/>
      <c r="AR847" s="63"/>
      <c r="AS847" s="63"/>
      <c r="AT847" s="63"/>
      <c r="AU847" s="63"/>
      <c r="AW847" s="5">
        <f>IF(Q847&gt;0,RANK(Q847,(N847:P847,Q847:AE847)),0)</f>
        <v>3</v>
      </c>
      <c r="AX847" s="5">
        <f>IF(R847&gt;0,RANK(R847,(N847:P847,Q847:AE847)),0)</f>
        <v>5</v>
      </c>
      <c r="AY847" s="5">
        <f>IF(T847&gt;0,RANK(T847,(N847:P847,Q847:AE847)),0)</f>
        <v>0</v>
      </c>
      <c r="AZ847" s="5">
        <f>IF(S847&gt;0,RANK(S847,(N847:P847,Q847:AE847)),0)</f>
        <v>7</v>
      </c>
      <c r="BA847" s="2">
        <f t="shared" si="362"/>
        <v>2.8912280701754386E-2</v>
      </c>
      <c r="BB847" s="2">
        <f t="shared" si="363"/>
        <v>7.2982456140350876E-3</v>
      </c>
      <c r="BC847" s="2">
        <f t="shared" si="364"/>
        <v>0</v>
      </c>
      <c r="BD847" s="2">
        <f t="shared" si="365"/>
        <v>3.5087719298245615E-3</v>
      </c>
      <c r="BF847" t="s">
        <v>339</v>
      </c>
      <c r="BG847" t="s">
        <v>1622</v>
      </c>
      <c r="BH847">
        <v>3</v>
      </c>
      <c r="BJ847" s="114">
        <v>19</v>
      </c>
      <c r="BK847" s="116">
        <v>29</v>
      </c>
      <c r="BL847" s="120">
        <f t="shared" si="352"/>
        <v>19029</v>
      </c>
      <c r="BN847" s="5" t="s">
        <v>3154</v>
      </c>
      <c r="BO847" s="63">
        <v>59</v>
      </c>
      <c r="BP847" s="63">
        <v>14</v>
      </c>
      <c r="BR847" s="63"/>
    </row>
    <row r="848" spans="1:70" hidden="1" outlineLevel="1">
      <c r="A848" t="s">
        <v>1031</v>
      </c>
      <c r="B848" t="s">
        <v>1622</v>
      </c>
      <c r="C848" s="1">
        <f t="shared" si="355"/>
        <v>9541</v>
      </c>
      <c r="D848" s="5">
        <f>IF(N848&gt;0, RANK(N848,(N848:P848,Q848:AE848)),0)</f>
        <v>2</v>
      </c>
      <c r="E848" s="5">
        <f>IF(O848&gt;0,RANK(O848,(N848:P848,Q848:AE848)),0)</f>
        <v>1</v>
      </c>
      <c r="F848" s="5">
        <f>IF(P848&gt;0,RANK(P848,(N848:P848,Q848:AE848)),0)</f>
        <v>6</v>
      </c>
      <c r="G848" s="132">
        <f t="shared" si="356"/>
        <v>1696</v>
      </c>
      <c r="H848" s="137">
        <f t="shared" si="357"/>
        <v>0.17775914474373755</v>
      </c>
      <c r="I848" s="2"/>
      <c r="J848" s="2">
        <f t="shared" si="358"/>
        <v>0.37721412849806102</v>
      </c>
      <c r="K848" s="2">
        <f t="shared" si="359"/>
        <v>0.55497327324179857</v>
      </c>
      <c r="L848" s="2">
        <f t="shared" si="360"/>
        <v>3.9828110260978931E-3</v>
      </c>
      <c r="M848" s="2">
        <f t="shared" si="361"/>
        <v>6.382978723404252E-2</v>
      </c>
      <c r="N848" s="63">
        <v>3599</v>
      </c>
      <c r="O848" s="63">
        <v>5295</v>
      </c>
      <c r="P848" s="63">
        <v>38</v>
      </c>
      <c r="Q848" s="63">
        <v>365</v>
      </c>
      <c r="R848" s="63">
        <v>70</v>
      </c>
      <c r="S848" s="63">
        <v>35</v>
      </c>
      <c r="T848" s="63">
        <v>2</v>
      </c>
      <c r="U848" s="63"/>
      <c r="V848" s="63">
        <v>0</v>
      </c>
      <c r="W848" s="63">
        <v>111</v>
      </c>
      <c r="X848" s="63"/>
      <c r="Y848" s="63"/>
      <c r="Z848" s="63"/>
      <c r="AA848" s="63"/>
      <c r="AB848" s="63"/>
      <c r="AC848" s="63">
        <v>16</v>
      </c>
      <c r="AD848" s="63"/>
      <c r="AE848" s="63"/>
      <c r="AF848" s="63"/>
      <c r="AG848" s="63"/>
      <c r="AH848" s="63"/>
      <c r="AI848" s="63"/>
      <c r="AJ848" s="63"/>
      <c r="AK848" s="63"/>
      <c r="AL848" s="63">
        <v>10</v>
      </c>
      <c r="AM848" s="63"/>
      <c r="AN848" s="63"/>
      <c r="AO848" s="63"/>
      <c r="AP848" s="63"/>
      <c r="AQ848" s="63"/>
      <c r="AR848" s="63"/>
      <c r="AS848" s="63"/>
      <c r="AT848" s="63"/>
      <c r="AU848" s="63"/>
      <c r="AW848" s="5">
        <f>IF(Q848&gt;0,RANK(Q848,(N848:P848,Q848:AE848)),0)</f>
        <v>3</v>
      </c>
      <c r="AX848" s="5">
        <f>IF(R848&gt;0,RANK(R848,(N848:P848,Q848:AE848)),0)</f>
        <v>5</v>
      </c>
      <c r="AY848" s="5">
        <f>IF(T848&gt;0,RANK(T848,(N848:P848,Q848:AE848)),0)</f>
        <v>9</v>
      </c>
      <c r="AZ848" s="5">
        <f>IF(S848&gt;0,RANK(S848,(N848:P848,Q848:AE848)),0)</f>
        <v>7</v>
      </c>
      <c r="BA848" s="2">
        <f t="shared" si="362"/>
        <v>3.8255948013835028E-2</v>
      </c>
      <c r="BB848" s="2">
        <f t="shared" si="363"/>
        <v>7.3367571533382242E-3</v>
      </c>
      <c r="BC848" s="2">
        <f t="shared" si="364"/>
        <v>2.096216329525207E-4</v>
      </c>
      <c r="BD848" s="2">
        <f t="shared" si="365"/>
        <v>3.6683785766691121E-3</v>
      </c>
      <c r="BF848" t="s">
        <v>1031</v>
      </c>
      <c r="BG848" t="s">
        <v>1622</v>
      </c>
      <c r="BH848">
        <v>2</v>
      </c>
      <c r="BJ848" s="114">
        <v>19</v>
      </c>
      <c r="BK848" s="116">
        <v>31</v>
      </c>
      <c r="BL848" s="120">
        <f t="shared" si="352"/>
        <v>19031</v>
      </c>
      <c r="BN848" s="5" t="s">
        <v>3154</v>
      </c>
      <c r="BO848" s="63">
        <v>80</v>
      </c>
      <c r="BP848" s="63">
        <v>10</v>
      </c>
      <c r="BR848" s="63"/>
    </row>
    <row r="849" spans="1:70" hidden="1" outlineLevel="1">
      <c r="A849" t="s">
        <v>147</v>
      </c>
      <c r="B849" t="s">
        <v>1622</v>
      </c>
      <c r="C849" s="1">
        <f t="shared" si="355"/>
        <v>22965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>IF(P849&gt;0,RANK(P849,(N849:P849,Q849:AE849)),0)</f>
        <v>5</v>
      </c>
      <c r="G849" s="132">
        <f t="shared" si="356"/>
        <v>1759</v>
      </c>
      <c r="H849" s="137">
        <f t="shared" si="357"/>
        <v>7.6594818201611153E-2</v>
      </c>
      <c r="I849" s="2"/>
      <c r="J849" s="2">
        <f t="shared" si="358"/>
        <v>0.42943609841062486</v>
      </c>
      <c r="K849" s="2">
        <f t="shared" si="359"/>
        <v>0.50603091661223598</v>
      </c>
      <c r="L849" s="2">
        <f t="shared" si="360"/>
        <v>6.3139560200304815E-3</v>
      </c>
      <c r="M849" s="2">
        <f t="shared" si="361"/>
        <v>5.8219028957108628E-2</v>
      </c>
      <c r="N849" s="63">
        <v>9862</v>
      </c>
      <c r="O849" s="63">
        <v>11621</v>
      </c>
      <c r="P849" s="63">
        <v>145</v>
      </c>
      <c r="Q849" s="63">
        <v>851</v>
      </c>
      <c r="R849" s="63">
        <v>130</v>
      </c>
      <c r="S849" s="63">
        <v>26</v>
      </c>
      <c r="T849" s="63">
        <v>8</v>
      </c>
      <c r="U849" s="63"/>
      <c r="V849" s="63">
        <v>2</v>
      </c>
      <c r="W849" s="63">
        <v>256</v>
      </c>
      <c r="X849" s="63"/>
      <c r="Y849" s="63"/>
      <c r="Z849" s="63"/>
      <c r="AA849" s="63"/>
      <c r="AB849" s="63"/>
      <c r="AC849" s="63">
        <v>21</v>
      </c>
      <c r="AD849" s="63"/>
      <c r="AE849" s="63"/>
      <c r="AF849" s="63"/>
      <c r="AG849" s="63"/>
      <c r="AH849" s="63"/>
      <c r="AI849" s="63"/>
      <c r="AJ849" s="63"/>
      <c r="AK849" s="63"/>
      <c r="AL849" s="63">
        <v>43</v>
      </c>
      <c r="AM849" s="63"/>
      <c r="AN849" s="63"/>
      <c r="AO849" s="63"/>
      <c r="AP849" s="63"/>
      <c r="AQ849" s="63"/>
      <c r="AR849" s="63"/>
      <c r="AS849" s="63"/>
      <c r="AT849" s="63"/>
      <c r="AU849" s="63"/>
      <c r="AW849" s="5">
        <f>IF(Q849&gt;0,RANK(Q849,(N849:P849,Q849:AE849)),0)</f>
        <v>3</v>
      </c>
      <c r="AX849" s="5">
        <f>IF(R849&gt;0,RANK(R849,(N849:P849,Q849:AE849)),0)</f>
        <v>6</v>
      </c>
      <c r="AY849" s="5">
        <f>IF(T849&gt;0,RANK(T849,(N849:P849,Q849:AE849)),0)</f>
        <v>9</v>
      </c>
      <c r="AZ849" s="5">
        <f>IF(S849&gt;0,RANK(S849,(N849:P849,Q849:AE849)),0)</f>
        <v>7</v>
      </c>
      <c r="BA849" s="2">
        <f t="shared" si="362"/>
        <v>3.7056390158937511E-2</v>
      </c>
      <c r="BB849" s="2">
        <f t="shared" si="363"/>
        <v>5.6607881558893968E-3</v>
      </c>
      <c r="BC849" s="2">
        <f t="shared" si="364"/>
        <v>3.4835619420857828E-4</v>
      </c>
      <c r="BD849" s="2">
        <f t="shared" si="365"/>
        <v>1.1321576311778794E-3</v>
      </c>
      <c r="BF849" t="s">
        <v>147</v>
      </c>
      <c r="BG849" t="s">
        <v>1622</v>
      </c>
      <c r="BH849">
        <v>4</v>
      </c>
      <c r="BJ849" s="114">
        <v>19</v>
      </c>
      <c r="BK849" s="116">
        <v>33</v>
      </c>
      <c r="BL849" s="120">
        <f t="shared" si="352"/>
        <v>19033</v>
      </c>
      <c r="BN849" s="5" t="s">
        <v>3154</v>
      </c>
      <c r="BO849" s="63">
        <v>141</v>
      </c>
      <c r="BP849" s="63">
        <v>31</v>
      </c>
      <c r="BR849" s="63"/>
    </row>
    <row r="850" spans="1:70" hidden="1" outlineLevel="1">
      <c r="A850" t="s">
        <v>1652</v>
      </c>
      <c r="B850" t="s">
        <v>1622</v>
      </c>
      <c r="C850" s="1">
        <f t="shared" si="355"/>
        <v>6258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5</v>
      </c>
      <c r="G850" s="132">
        <f t="shared" si="356"/>
        <v>2513</v>
      </c>
      <c r="H850" s="137">
        <f t="shared" si="357"/>
        <v>0.40156599552572708</v>
      </c>
      <c r="I850" s="2"/>
      <c r="J850" s="2">
        <f t="shared" si="358"/>
        <v>0.26829658037711729</v>
      </c>
      <c r="K850" s="2">
        <f t="shared" si="359"/>
        <v>0.66986257590284437</v>
      </c>
      <c r="L850" s="2">
        <f t="shared" si="360"/>
        <v>6.5516139341642698E-3</v>
      </c>
      <c r="M850" s="2">
        <f t="shared" si="361"/>
        <v>5.5289229785874014E-2</v>
      </c>
      <c r="N850" s="63">
        <v>1679</v>
      </c>
      <c r="O850" s="63">
        <v>4192</v>
      </c>
      <c r="P850" s="63">
        <v>41</v>
      </c>
      <c r="Q850" s="63">
        <v>206</v>
      </c>
      <c r="R850" s="63">
        <v>29</v>
      </c>
      <c r="S850" s="63">
        <v>29</v>
      </c>
      <c r="T850" s="63">
        <v>1</v>
      </c>
      <c r="U850" s="63"/>
      <c r="V850" s="63">
        <v>0</v>
      </c>
      <c r="W850" s="63">
        <v>65</v>
      </c>
      <c r="X850" s="63"/>
      <c r="Y850" s="63"/>
      <c r="Z850" s="63"/>
      <c r="AA850" s="63"/>
      <c r="AB850" s="63"/>
      <c r="AC850" s="63">
        <v>7</v>
      </c>
      <c r="AD850" s="63"/>
      <c r="AE850" s="63"/>
      <c r="AF850" s="63"/>
      <c r="AG850" s="63"/>
      <c r="AH850" s="63"/>
      <c r="AI850" s="63"/>
      <c r="AJ850" s="63"/>
      <c r="AK850" s="63"/>
      <c r="AL850" s="63">
        <v>9</v>
      </c>
      <c r="AM850" s="63"/>
      <c r="AN850" s="63"/>
      <c r="AO850" s="63"/>
      <c r="AP850" s="63"/>
      <c r="AQ850" s="63"/>
      <c r="AR850" s="63"/>
      <c r="AS850" s="63"/>
      <c r="AT850" s="63"/>
      <c r="AU850" s="63"/>
      <c r="AW850" s="5">
        <f>IF(Q850&gt;0,RANK(Q850,(N850:P850,Q850:AE850)),0)</f>
        <v>3</v>
      </c>
      <c r="AX850" s="5">
        <f>IF(R850&gt;0,RANK(R850,(N850:P850,Q850:AE850)),0)</f>
        <v>6</v>
      </c>
      <c r="AY850" s="5">
        <f>IF(T850&gt;0,RANK(T850,(N850:P850,Q850:AE850)),0)</f>
        <v>9</v>
      </c>
      <c r="AZ850" s="5">
        <f>IF(S850&gt;0,RANK(S850,(N850:P850,Q850:AE850)),0)</f>
        <v>6</v>
      </c>
      <c r="BA850" s="2">
        <f t="shared" si="362"/>
        <v>3.2917865132630231E-2</v>
      </c>
      <c r="BB850" s="2">
        <f t="shared" si="363"/>
        <v>4.6340683924576539E-3</v>
      </c>
      <c r="BC850" s="2">
        <f t="shared" si="364"/>
        <v>1.5979546180888463E-4</v>
      </c>
      <c r="BD850" s="2">
        <f t="shared" si="365"/>
        <v>4.6340683924576539E-3</v>
      </c>
      <c r="BF850" t="s">
        <v>1652</v>
      </c>
      <c r="BG850" t="s">
        <v>1622</v>
      </c>
      <c r="BH850">
        <v>4</v>
      </c>
      <c r="BJ850" s="114">
        <v>19</v>
      </c>
      <c r="BK850" s="116">
        <v>35</v>
      </c>
      <c r="BL850" s="120">
        <f t="shared" si="352"/>
        <v>19035</v>
      </c>
      <c r="BN850" s="5" t="s">
        <v>3154</v>
      </c>
      <c r="BO850" s="63">
        <v>49</v>
      </c>
      <c r="BP850" s="63">
        <v>8</v>
      </c>
      <c r="BR850" s="63"/>
    </row>
    <row r="851" spans="1:70" hidden="1" outlineLevel="1">
      <c r="A851" t="s">
        <v>397</v>
      </c>
      <c r="B851" t="s">
        <v>1622</v>
      </c>
      <c r="C851" s="1">
        <f t="shared" si="355"/>
        <v>6435</v>
      </c>
      <c r="D851" s="5">
        <f>IF(N851&gt;0, RANK(N851,(N851:P851,Q851:AE851)),0)</f>
        <v>2</v>
      </c>
      <c r="E851" s="5">
        <f>IF(O851&gt;0,RANK(O851,(N851:P851,Q851:AE851)),0)</f>
        <v>1</v>
      </c>
      <c r="F851" s="5">
        <f>IF(P851&gt;0,RANK(P851,(N851:P851,Q851:AE851)),0)</f>
        <v>7</v>
      </c>
      <c r="G851" s="132">
        <f t="shared" si="356"/>
        <v>1476</v>
      </c>
      <c r="H851" s="137">
        <f t="shared" si="357"/>
        <v>0.22937062937062938</v>
      </c>
      <c r="I851" s="2"/>
      <c r="J851" s="2">
        <f t="shared" si="358"/>
        <v>0.35213675213675216</v>
      </c>
      <c r="K851" s="2">
        <f t="shared" si="359"/>
        <v>0.58150738150738146</v>
      </c>
      <c r="L851" s="2">
        <f t="shared" si="360"/>
        <v>4.3512043512043512E-3</v>
      </c>
      <c r="M851" s="2">
        <f t="shared" si="361"/>
        <v>6.2004662004661967E-2</v>
      </c>
      <c r="N851" s="63">
        <v>2266</v>
      </c>
      <c r="O851" s="63">
        <v>3742</v>
      </c>
      <c r="P851" s="63">
        <v>28</v>
      </c>
      <c r="Q851" s="63">
        <v>236</v>
      </c>
      <c r="R851" s="63">
        <v>48</v>
      </c>
      <c r="S851" s="63">
        <v>33</v>
      </c>
      <c r="T851" s="63">
        <v>1</v>
      </c>
      <c r="U851" s="63"/>
      <c r="V851" s="63">
        <v>3</v>
      </c>
      <c r="W851" s="63">
        <v>63</v>
      </c>
      <c r="X851" s="63"/>
      <c r="Y851" s="63"/>
      <c r="Z851" s="63"/>
      <c r="AA851" s="63"/>
      <c r="AB851" s="63"/>
      <c r="AC851" s="63">
        <v>5</v>
      </c>
      <c r="AD851" s="63"/>
      <c r="AE851" s="63"/>
      <c r="AF851" s="63"/>
      <c r="AG851" s="63"/>
      <c r="AH851" s="63"/>
      <c r="AI851" s="63"/>
      <c r="AJ851" s="63"/>
      <c r="AK851" s="63"/>
      <c r="AL851" s="63">
        <v>10</v>
      </c>
      <c r="AM851" s="63"/>
      <c r="AN851" s="63"/>
      <c r="AO851" s="63"/>
      <c r="AP851" s="63"/>
      <c r="AQ851" s="63"/>
      <c r="AR851" s="63"/>
      <c r="AS851" s="63"/>
      <c r="AT851" s="63"/>
      <c r="AU851" s="63"/>
      <c r="AW851" s="5">
        <f>IF(Q851&gt;0,RANK(Q851,(N851:P851,Q851:AE851)),0)</f>
        <v>3</v>
      </c>
      <c r="AX851" s="5">
        <f>IF(R851&gt;0,RANK(R851,(N851:P851,Q851:AE851)),0)</f>
        <v>5</v>
      </c>
      <c r="AY851" s="5">
        <f>IF(T851&gt;0,RANK(T851,(N851:P851,Q851:AE851)),0)</f>
        <v>10</v>
      </c>
      <c r="AZ851" s="5">
        <f>IF(S851&gt;0,RANK(S851,(N851:P851,Q851:AE851)),0)</f>
        <v>6</v>
      </c>
      <c r="BA851" s="2">
        <f t="shared" si="362"/>
        <v>3.6674436674436678E-2</v>
      </c>
      <c r="BB851" s="2">
        <f t="shared" si="363"/>
        <v>7.4592074592074592E-3</v>
      </c>
      <c r="BC851" s="2">
        <f t="shared" si="364"/>
        <v>1.554001554001554E-4</v>
      </c>
      <c r="BD851" s="2">
        <f t="shared" si="365"/>
        <v>5.1282051282051282E-3</v>
      </c>
      <c r="BF851" t="s">
        <v>397</v>
      </c>
      <c r="BG851" t="s">
        <v>1622</v>
      </c>
      <c r="BH851">
        <v>4</v>
      </c>
      <c r="BJ851" s="114">
        <v>19</v>
      </c>
      <c r="BK851" s="116">
        <v>37</v>
      </c>
      <c r="BL851" s="120">
        <f t="shared" si="352"/>
        <v>19037</v>
      </c>
      <c r="BN851" s="5" t="s">
        <v>3154</v>
      </c>
      <c r="BO851" s="63">
        <v>75</v>
      </c>
      <c r="BP851" s="63">
        <v>8</v>
      </c>
      <c r="BR851" s="63"/>
    </row>
    <row r="852" spans="1:70" hidden="1" outlineLevel="1">
      <c r="A852" t="s">
        <v>3092</v>
      </c>
      <c r="B852" t="s">
        <v>1622</v>
      </c>
      <c r="C852" s="1">
        <f t="shared" si="355"/>
        <v>4454</v>
      </c>
      <c r="D852" s="5">
        <f>IF(N852&gt;0, RANK(N852,(N852:P852,Q852:AE852)),0)</f>
        <v>2</v>
      </c>
      <c r="E852" s="5">
        <f>IF(O852&gt;0,RANK(O852,(N852:P852,Q852:AE852)),0)</f>
        <v>1</v>
      </c>
      <c r="F852" s="5">
        <f>IF(P852&gt;0,RANK(P852,(N852:P852,Q852:AE852)),0)</f>
        <v>6</v>
      </c>
      <c r="G852" s="132">
        <f t="shared" si="356"/>
        <v>1248</v>
      </c>
      <c r="H852" s="137">
        <f t="shared" si="357"/>
        <v>0.28019757521329142</v>
      </c>
      <c r="I852" s="2"/>
      <c r="J852" s="2">
        <f t="shared" si="358"/>
        <v>0.32891782667265379</v>
      </c>
      <c r="K852" s="2">
        <f t="shared" si="359"/>
        <v>0.60911540188594526</v>
      </c>
      <c r="L852" s="2">
        <f t="shared" si="360"/>
        <v>4.4903457566232603E-3</v>
      </c>
      <c r="M852" s="2">
        <f t="shared" si="361"/>
        <v>5.7476425684777691E-2</v>
      </c>
      <c r="N852" s="63">
        <v>1465</v>
      </c>
      <c r="O852" s="63">
        <v>2713</v>
      </c>
      <c r="P852" s="63">
        <v>20</v>
      </c>
      <c r="Q852" s="63">
        <v>160</v>
      </c>
      <c r="R852" s="63">
        <v>18</v>
      </c>
      <c r="S852" s="63">
        <v>26</v>
      </c>
      <c r="T852" s="63">
        <v>0</v>
      </c>
      <c r="U852" s="63"/>
      <c r="V852" s="63">
        <v>0</v>
      </c>
      <c r="W852" s="63">
        <v>39</v>
      </c>
      <c r="X852" s="63"/>
      <c r="Y852" s="63"/>
      <c r="Z852" s="63"/>
      <c r="AA852" s="63"/>
      <c r="AB852" s="63"/>
      <c r="AC852" s="63">
        <v>4</v>
      </c>
      <c r="AD852" s="63"/>
      <c r="AE852" s="63"/>
      <c r="AF852" s="63"/>
      <c r="AG852" s="63"/>
      <c r="AH852" s="63"/>
      <c r="AI852" s="63"/>
      <c r="AJ852" s="63"/>
      <c r="AK852" s="63"/>
      <c r="AL852" s="63">
        <v>9</v>
      </c>
      <c r="AM852" s="63"/>
      <c r="AN852" s="63"/>
      <c r="AO852" s="63"/>
      <c r="AP852" s="63"/>
      <c r="AQ852" s="63"/>
      <c r="AR852" s="63"/>
      <c r="AS852" s="63"/>
      <c r="AT852" s="63"/>
      <c r="AU852" s="63"/>
      <c r="AW852" s="5">
        <f>IF(Q852&gt;0,RANK(Q852,(N852:P852,Q852:AE852)),0)</f>
        <v>3</v>
      </c>
      <c r="AX852" s="5">
        <f>IF(R852&gt;0,RANK(R852,(N852:P852,Q852:AE852)),0)</f>
        <v>7</v>
      </c>
      <c r="AY852" s="5">
        <f>IF(T852&gt;0,RANK(T852,(N852:P852,Q852:AE852)),0)</f>
        <v>0</v>
      </c>
      <c r="AZ852" s="5">
        <f>IF(S852&gt;0,RANK(S852,(N852:P852,Q852:AE852)),0)</f>
        <v>5</v>
      </c>
      <c r="BA852" s="2">
        <f t="shared" si="362"/>
        <v>3.5922766052986083E-2</v>
      </c>
      <c r="BB852" s="2">
        <f t="shared" si="363"/>
        <v>4.0413111809609343E-3</v>
      </c>
      <c r="BC852" s="2">
        <f t="shared" si="364"/>
        <v>0</v>
      </c>
      <c r="BD852" s="2">
        <f t="shared" si="365"/>
        <v>5.8374494836102376E-3</v>
      </c>
      <c r="BF852" t="s">
        <v>3092</v>
      </c>
      <c r="BG852" t="s">
        <v>1622</v>
      </c>
      <c r="BH852">
        <v>2</v>
      </c>
      <c r="BJ852" s="114">
        <v>19</v>
      </c>
      <c r="BK852" s="116">
        <v>39</v>
      </c>
      <c r="BL852" s="120">
        <f t="shared" si="352"/>
        <v>19039</v>
      </c>
      <c r="BN852" s="5" t="s">
        <v>3154</v>
      </c>
      <c r="BO852" s="63">
        <v>51</v>
      </c>
      <c r="BP852" s="63">
        <v>4</v>
      </c>
      <c r="BR852" s="63"/>
    </row>
    <row r="853" spans="1:70" hidden="1" outlineLevel="1">
      <c r="A853" t="s">
        <v>3093</v>
      </c>
      <c r="B853" t="s">
        <v>1622</v>
      </c>
      <c r="C853" s="1">
        <f t="shared" si="355"/>
        <v>8617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5</v>
      </c>
      <c r="G853" s="132">
        <f t="shared" si="356"/>
        <v>3628</v>
      </c>
      <c r="H853" s="137">
        <f t="shared" si="357"/>
        <v>0.42102820006962982</v>
      </c>
      <c r="I853" s="2"/>
      <c r="J853" s="2">
        <f t="shared" si="358"/>
        <v>0.26099570616223744</v>
      </c>
      <c r="K853" s="2">
        <f t="shared" si="359"/>
        <v>0.68202390623186726</v>
      </c>
      <c r="L853" s="2">
        <f t="shared" si="360"/>
        <v>6.7308808169896719E-3</v>
      </c>
      <c r="M853" s="2">
        <f t="shared" si="361"/>
        <v>5.0249506788905628E-2</v>
      </c>
      <c r="N853" s="63">
        <v>2249</v>
      </c>
      <c r="O853" s="63">
        <v>5877</v>
      </c>
      <c r="P853" s="63">
        <v>58</v>
      </c>
      <c r="Q853" s="63">
        <v>288</v>
      </c>
      <c r="R853" s="63">
        <v>35</v>
      </c>
      <c r="S853" s="63">
        <v>25</v>
      </c>
      <c r="T853" s="63">
        <v>2</v>
      </c>
      <c r="U853" s="63"/>
      <c r="V853" s="63">
        <v>1</v>
      </c>
      <c r="W853" s="63">
        <v>63</v>
      </c>
      <c r="X853" s="63"/>
      <c r="Y853" s="63"/>
      <c r="Z853" s="63"/>
      <c r="AA853" s="63"/>
      <c r="AB853" s="63"/>
      <c r="AC853" s="63">
        <v>6</v>
      </c>
      <c r="AD853" s="63"/>
      <c r="AE853" s="63"/>
      <c r="AF853" s="63"/>
      <c r="AG853" s="63"/>
      <c r="AH853" s="63"/>
      <c r="AI853" s="63"/>
      <c r="AJ853" s="63"/>
      <c r="AK853" s="63"/>
      <c r="AL853" s="63">
        <v>13</v>
      </c>
      <c r="AM853" s="63"/>
      <c r="AN853" s="63"/>
      <c r="AO853" s="63"/>
      <c r="AP853" s="63"/>
      <c r="AQ853" s="63"/>
      <c r="AR853" s="63"/>
      <c r="AS853" s="63"/>
      <c r="AT853" s="63"/>
      <c r="AU853" s="63"/>
      <c r="AW853" s="5">
        <f>IF(Q853&gt;0,RANK(Q853,(N853:P853,Q853:AE853)),0)</f>
        <v>3</v>
      </c>
      <c r="AX853" s="5">
        <f>IF(R853&gt;0,RANK(R853,(N853:P853,Q853:AE853)),0)</f>
        <v>6</v>
      </c>
      <c r="AY853" s="5">
        <f>IF(T853&gt;0,RANK(T853,(N853:P853,Q853:AE853)),0)</f>
        <v>9</v>
      </c>
      <c r="AZ853" s="5">
        <f>IF(S853&gt;0,RANK(S853,(N853:P853,Q853:AE853)),0)</f>
        <v>7</v>
      </c>
      <c r="BA853" s="2">
        <f t="shared" si="362"/>
        <v>3.3422304746431472E-2</v>
      </c>
      <c r="BB853" s="2">
        <f t="shared" si="363"/>
        <v>4.0617384240454911E-3</v>
      </c>
      <c r="BC853" s="2">
        <f t="shared" si="364"/>
        <v>2.3209933851688522E-4</v>
      </c>
      <c r="BD853" s="2">
        <f t="shared" si="365"/>
        <v>2.9012417314610655E-3</v>
      </c>
      <c r="BF853" t="s">
        <v>3093</v>
      </c>
      <c r="BG853" t="s">
        <v>1622</v>
      </c>
      <c r="BH853">
        <v>4</v>
      </c>
      <c r="BJ853" s="114">
        <v>19</v>
      </c>
      <c r="BK853" s="116">
        <v>41</v>
      </c>
      <c r="BL853" s="120">
        <f t="shared" si="352"/>
        <v>19041</v>
      </c>
      <c r="BN853" s="5" t="s">
        <v>3154</v>
      </c>
      <c r="BO853" s="63">
        <v>74</v>
      </c>
      <c r="BP853" s="63">
        <v>15</v>
      </c>
      <c r="BR853" s="63"/>
    </row>
    <row r="854" spans="1:70" hidden="1" outlineLevel="1">
      <c r="A854" t="s">
        <v>1495</v>
      </c>
      <c r="B854" t="s">
        <v>1622</v>
      </c>
      <c r="C854" s="1">
        <f t="shared" si="355"/>
        <v>9129</v>
      </c>
      <c r="D854" s="5">
        <f>IF(N854&gt;0, RANK(N854,(N854:P854,Q854:AE854)),0)</f>
        <v>2</v>
      </c>
      <c r="E854" s="5">
        <f>IF(O854&gt;0,RANK(O854,(N854:P854,Q854:AE854)),0)</f>
        <v>1</v>
      </c>
      <c r="F854" s="5">
        <f>IF(P854&gt;0,RANK(P854,(N854:P854,Q854:AE854)),0)</f>
        <v>6</v>
      </c>
      <c r="G854" s="132">
        <f t="shared" si="356"/>
        <v>2080</v>
      </c>
      <c r="H854" s="137">
        <f t="shared" si="357"/>
        <v>0.22784532807536423</v>
      </c>
      <c r="I854" s="2"/>
      <c r="J854" s="2">
        <f t="shared" si="358"/>
        <v>0.35458429181728557</v>
      </c>
      <c r="K854" s="2">
        <f t="shared" si="359"/>
        <v>0.58242961989264985</v>
      </c>
      <c r="L854" s="2">
        <f t="shared" si="360"/>
        <v>5.1484280863183258E-3</v>
      </c>
      <c r="M854" s="2">
        <f t="shared" si="361"/>
        <v>5.7837660203746255E-2</v>
      </c>
      <c r="N854" s="63">
        <v>3237</v>
      </c>
      <c r="O854" s="63">
        <v>5317</v>
      </c>
      <c r="P854" s="63">
        <v>47</v>
      </c>
      <c r="Q854" s="63">
        <v>334</v>
      </c>
      <c r="R854" s="63">
        <v>51</v>
      </c>
      <c r="S854" s="63">
        <v>16</v>
      </c>
      <c r="T854" s="63">
        <v>3</v>
      </c>
      <c r="U854" s="63"/>
      <c r="V854" s="63">
        <v>1</v>
      </c>
      <c r="W854" s="63">
        <v>70</v>
      </c>
      <c r="X854" s="63"/>
      <c r="Y854" s="63"/>
      <c r="Z854" s="63"/>
      <c r="AA854" s="63"/>
      <c r="AB854" s="63"/>
      <c r="AC854" s="63">
        <v>23</v>
      </c>
      <c r="AD854" s="63"/>
      <c r="AE854" s="63"/>
      <c r="AF854" s="63"/>
      <c r="AG854" s="63"/>
      <c r="AH854" s="63"/>
      <c r="AI854" s="63"/>
      <c r="AJ854" s="63"/>
      <c r="AK854" s="63"/>
      <c r="AL854" s="63">
        <v>30</v>
      </c>
      <c r="AM854" s="63"/>
      <c r="AN854" s="63"/>
      <c r="AO854" s="63"/>
      <c r="AP854" s="63"/>
      <c r="AQ854" s="63"/>
      <c r="AR854" s="63"/>
      <c r="AS854" s="63"/>
      <c r="AT854" s="63"/>
      <c r="AU854" s="63"/>
      <c r="AW854" s="5">
        <f>IF(Q854&gt;0,RANK(Q854,(N854:P854,Q854:AE854)),0)</f>
        <v>3</v>
      </c>
      <c r="AX854" s="5">
        <f>IF(R854&gt;0,RANK(R854,(N854:P854,Q854:AE854)),0)</f>
        <v>5</v>
      </c>
      <c r="AY854" s="5">
        <f>IF(T854&gt;0,RANK(T854,(N854:P854,Q854:AE854)),0)</f>
        <v>9</v>
      </c>
      <c r="AZ854" s="5">
        <f>IF(S854&gt;0,RANK(S854,(N854:P854,Q854:AE854)),0)</f>
        <v>8</v>
      </c>
      <c r="BA854" s="2">
        <f t="shared" si="362"/>
        <v>3.6586701719794064E-2</v>
      </c>
      <c r="BB854" s="2">
        <f t="shared" si="363"/>
        <v>5.5865921787709499E-3</v>
      </c>
      <c r="BC854" s="2">
        <f t="shared" si="364"/>
        <v>3.2862306933946765E-4</v>
      </c>
      <c r="BD854" s="2">
        <f t="shared" si="365"/>
        <v>1.7526563698104941E-3</v>
      </c>
      <c r="BF854" t="s">
        <v>1495</v>
      </c>
      <c r="BG854" t="s">
        <v>1622</v>
      </c>
      <c r="BH854">
        <v>1</v>
      </c>
      <c r="BJ854" s="114">
        <v>19</v>
      </c>
      <c r="BK854" s="116">
        <v>43</v>
      </c>
      <c r="BL854" s="120">
        <f t="shared" si="352"/>
        <v>19043</v>
      </c>
      <c r="BN854" s="5" t="s">
        <v>3154</v>
      </c>
      <c r="BO854" s="63">
        <v>75</v>
      </c>
      <c r="BP854" s="63">
        <v>13</v>
      </c>
      <c r="BR854" s="63"/>
    </row>
    <row r="855" spans="1:70" hidden="1" outlineLevel="1">
      <c r="A855" t="s">
        <v>1285</v>
      </c>
      <c r="B855" t="s">
        <v>1622</v>
      </c>
      <c r="C855" s="1">
        <f t="shared" si="355"/>
        <v>23067</v>
      </c>
      <c r="D855" s="5">
        <f>IF(N855&gt;0, RANK(N855,(N855:P855,Q855:AE855)),0)</f>
        <v>2</v>
      </c>
      <c r="E855" s="5">
        <f>IF(O855&gt;0,RANK(O855,(N855:P855,Q855:AE855)),0)</f>
        <v>1</v>
      </c>
      <c r="F855" s="5">
        <f>IF(P855&gt;0,RANK(P855,(N855:P855,Q855:AE855)),0)</f>
        <v>6</v>
      </c>
      <c r="G855" s="132">
        <f t="shared" si="356"/>
        <v>1181</v>
      </c>
      <c r="H855" s="137">
        <f t="shared" si="357"/>
        <v>5.1198682099969653E-2</v>
      </c>
      <c r="I855" s="2"/>
      <c r="J855" s="2">
        <f t="shared" si="358"/>
        <v>0.4376381844193003</v>
      </c>
      <c r="K855" s="2">
        <f t="shared" si="359"/>
        <v>0.48883686651926994</v>
      </c>
      <c r="L855" s="2">
        <f t="shared" si="360"/>
        <v>5.8525165821303156E-3</v>
      </c>
      <c r="M855" s="2">
        <f t="shared" si="361"/>
        <v>6.7672432479299494E-2</v>
      </c>
      <c r="N855" s="63">
        <v>10095</v>
      </c>
      <c r="O855" s="63">
        <v>11276</v>
      </c>
      <c r="P855" s="63">
        <v>135</v>
      </c>
      <c r="Q855" s="63">
        <v>825</v>
      </c>
      <c r="R855" s="63">
        <v>184</v>
      </c>
      <c r="S855" s="63">
        <v>105</v>
      </c>
      <c r="T855" s="63">
        <v>5</v>
      </c>
      <c r="U855" s="63"/>
      <c r="V855" s="63">
        <v>6</v>
      </c>
      <c r="W855" s="63">
        <v>267</v>
      </c>
      <c r="X855" s="63"/>
      <c r="Y855" s="63"/>
      <c r="Z855" s="63"/>
      <c r="AA855" s="63"/>
      <c r="AB855" s="63"/>
      <c r="AC855" s="63">
        <v>103</v>
      </c>
      <c r="AD855" s="63"/>
      <c r="AE855" s="63"/>
      <c r="AF855" s="63"/>
      <c r="AG855" s="63"/>
      <c r="AH855" s="63"/>
      <c r="AI855" s="63"/>
      <c r="AJ855" s="63"/>
      <c r="AK855" s="63"/>
      <c r="AL855" s="63">
        <v>66</v>
      </c>
      <c r="AM855" s="63"/>
      <c r="AN855" s="63"/>
      <c r="AO855" s="63"/>
      <c r="AP855" s="63"/>
      <c r="AQ855" s="63"/>
      <c r="AR855" s="63"/>
      <c r="AS855" s="63"/>
      <c r="AT855" s="63"/>
      <c r="AU855" s="63"/>
      <c r="AW855" s="5">
        <f>IF(Q855&gt;0,RANK(Q855,(N855:P855,Q855:AE855)),0)</f>
        <v>3</v>
      </c>
      <c r="AX855" s="5">
        <f>IF(R855&gt;0,RANK(R855,(N855:P855,Q855:AE855)),0)</f>
        <v>5</v>
      </c>
      <c r="AY855" s="5">
        <f>IF(T855&gt;0,RANK(T855,(N855:P855,Q855:AE855)),0)</f>
        <v>10</v>
      </c>
      <c r="AZ855" s="5">
        <f>IF(S855&gt;0,RANK(S855,(N855:P855,Q855:AE855)),0)</f>
        <v>7</v>
      </c>
      <c r="BA855" s="2">
        <f t="shared" si="362"/>
        <v>3.5765379113018601E-2</v>
      </c>
      <c r="BB855" s="2">
        <f t="shared" si="363"/>
        <v>7.9767633415702092E-3</v>
      </c>
      <c r="BC855" s="2">
        <f t="shared" si="364"/>
        <v>2.1675987341223394E-4</v>
      </c>
      <c r="BD855" s="2">
        <f t="shared" si="365"/>
        <v>4.5519573416569125E-3</v>
      </c>
      <c r="BF855" t="s">
        <v>1285</v>
      </c>
      <c r="BG855" t="s">
        <v>1622</v>
      </c>
      <c r="BH855">
        <v>2</v>
      </c>
      <c r="BJ855" s="114">
        <v>19</v>
      </c>
      <c r="BK855" s="116">
        <v>45</v>
      </c>
      <c r="BL855" s="120">
        <f t="shared" si="352"/>
        <v>19045</v>
      </c>
      <c r="BN855" s="5" t="s">
        <v>3154</v>
      </c>
      <c r="BO855" s="63">
        <v>183</v>
      </c>
      <c r="BP855" s="63">
        <v>97</v>
      </c>
      <c r="BR855" s="63"/>
    </row>
    <row r="856" spans="1:70" hidden="1" outlineLevel="1">
      <c r="A856" t="s">
        <v>1875</v>
      </c>
      <c r="B856" t="s">
        <v>1622</v>
      </c>
      <c r="C856" s="1">
        <f t="shared" si="355"/>
        <v>6935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7</v>
      </c>
      <c r="G856" s="132">
        <f t="shared" si="356"/>
        <v>2626</v>
      </c>
      <c r="H856" s="137">
        <f t="shared" si="357"/>
        <v>0.37865897620764238</v>
      </c>
      <c r="I856" s="2"/>
      <c r="J856" s="2">
        <f t="shared" si="358"/>
        <v>0.28709444844989185</v>
      </c>
      <c r="K856" s="2">
        <f t="shared" si="359"/>
        <v>0.66575342465753429</v>
      </c>
      <c r="L856" s="2">
        <f t="shared" si="360"/>
        <v>2.7397260273972603E-3</v>
      </c>
      <c r="M856" s="2">
        <f t="shared" si="361"/>
        <v>4.4412400865176602E-2</v>
      </c>
      <c r="N856" s="63">
        <v>1991</v>
      </c>
      <c r="O856" s="63">
        <v>4617</v>
      </c>
      <c r="P856" s="63">
        <v>19</v>
      </c>
      <c r="Q856" s="63">
        <v>172</v>
      </c>
      <c r="R856" s="63">
        <v>33</v>
      </c>
      <c r="S856" s="63">
        <v>25</v>
      </c>
      <c r="T856" s="63">
        <v>6</v>
      </c>
      <c r="U856" s="63"/>
      <c r="V856" s="63">
        <v>2</v>
      </c>
      <c r="W856" s="63">
        <v>57</v>
      </c>
      <c r="X856" s="63"/>
      <c r="Y856" s="63"/>
      <c r="Z856" s="63"/>
      <c r="AA856" s="63"/>
      <c r="AB856" s="63"/>
      <c r="AC856" s="63">
        <v>6</v>
      </c>
      <c r="AD856" s="63"/>
      <c r="AE856" s="63"/>
      <c r="AF856" s="63"/>
      <c r="AG856" s="63"/>
      <c r="AH856" s="63"/>
      <c r="AI856" s="63"/>
      <c r="AJ856" s="63"/>
      <c r="AK856" s="63"/>
      <c r="AL856" s="63">
        <v>7</v>
      </c>
      <c r="AM856" s="63"/>
      <c r="AN856" s="63"/>
      <c r="AO856" s="63"/>
      <c r="AP856" s="63"/>
      <c r="AQ856" s="63"/>
      <c r="AR856" s="63"/>
      <c r="AS856" s="63"/>
      <c r="AT856" s="63"/>
      <c r="AU856" s="63"/>
      <c r="AW856" s="5">
        <f>IF(Q856&gt;0,RANK(Q856,(N856:P856,Q856:AE856)),0)</f>
        <v>3</v>
      </c>
      <c r="AX856" s="5">
        <f>IF(R856&gt;0,RANK(R856,(N856:P856,Q856:AE856)),0)</f>
        <v>5</v>
      </c>
      <c r="AY856" s="5">
        <f>IF(T856&gt;0,RANK(T856,(N856:P856,Q856:AE856)),0)</f>
        <v>8</v>
      </c>
      <c r="AZ856" s="5">
        <f>IF(S856&gt;0,RANK(S856,(N856:P856,Q856:AE856)),0)</f>
        <v>6</v>
      </c>
      <c r="BA856" s="2">
        <f t="shared" si="362"/>
        <v>2.4801730353280461E-2</v>
      </c>
      <c r="BB856" s="2">
        <f t="shared" si="363"/>
        <v>4.7584715212689258E-3</v>
      </c>
      <c r="BC856" s="2">
        <f t="shared" si="364"/>
        <v>8.6517664023071377E-4</v>
      </c>
      <c r="BD856" s="2">
        <f t="shared" si="365"/>
        <v>3.6049026676279738E-3</v>
      </c>
      <c r="BF856" t="s">
        <v>1875</v>
      </c>
      <c r="BG856" t="s">
        <v>1622</v>
      </c>
      <c r="BH856">
        <v>4</v>
      </c>
      <c r="BJ856" s="114">
        <v>19</v>
      </c>
      <c r="BK856" s="116">
        <v>47</v>
      </c>
      <c r="BL856" s="120">
        <f t="shared" si="352"/>
        <v>19047</v>
      </c>
      <c r="BN856" s="5" t="s">
        <v>3154</v>
      </c>
      <c r="BO856" s="63">
        <v>74</v>
      </c>
      <c r="BP856" s="63">
        <v>28</v>
      </c>
      <c r="BR856" s="63"/>
    </row>
    <row r="857" spans="1:70" hidden="1" outlineLevel="1">
      <c r="A857" t="s">
        <v>1086</v>
      </c>
      <c r="B857" t="s">
        <v>1622</v>
      </c>
      <c r="C857" s="1">
        <f t="shared" si="355"/>
        <v>38252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5</v>
      </c>
      <c r="G857" s="132">
        <f t="shared" si="356"/>
        <v>3638</v>
      </c>
      <c r="H857" s="137">
        <f t="shared" si="357"/>
        <v>9.5106138241137714E-2</v>
      </c>
      <c r="I857" s="2"/>
      <c r="J857" s="2">
        <f t="shared" si="358"/>
        <v>0.41046219805500367</v>
      </c>
      <c r="K857" s="2">
        <f t="shared" si="359"/>
        <v>0.5055683362961414</v>
      </c>
      <c r="L857" s="2">
        <f t="shared" si="360"/>
        <v>1.3567918017358569E-2</v>
      </c>
      <c r="M857" s="2">
        <f t="shared" si="361"/>
        <v>7.0401547631496419E-2</v>
      </c>
      <c r="N857" s="63">
        <v>15701</v>
      </c>
      <c r="O857" s="63">
        <v>19339</v>
      </c>
      <c r="P857" s="63">
        <v>519</v>
      </c>
      <c r="Q857" s="63">
        <v>1757</v>
      </c>
      <c r="R857" s="63">
        <v>181</v>
      </c>
      <c r="S857" s="63">
        <v>143</v>
      </c>
      <c r="T857" s="63">
        <v>15</v>
      </c>
      <c r="U857" s="63"/>
      <c r="V857" s="63">
        <v>8</v>
      </c>
      <c r="W857" s="63">
        <v>535</v>
      </c>
      <c r="X857" s="63"/>
      <c r="Y857" s="63"/>
      <c r="Z857" s="63"/>
      <c r="AA857" s="63"/>
      <c r="AB857" s="63"/>
      <c r="AC857" s="63">
        <v>26</v>
      </c>
      <c r="AD857" s="63"/>
      <c r="AE857" s="63"/>
      <c r="AF857" s="63"/>
      <c r="AG857" s="63"/>
      <c r="AH857" s="63"/>
      <c r="AI857" s="63"/>
      <c r="AJ857" s="63"/>
      <c r="AK857" s="63"/>
      <c r="AL857" s="63">
        <v>28</v>
      </c>
      <c r="AM857" s="63"/>
      <c r="AN857" s="63"/>
      <c r="AO857" s="63"/>
      <c r="AP857" s="63"/>
      <c r="AQ857" s="63"/>
      <c r="AR857" s="63"/>
      <c r="AS857" s="63"/>
      <c r="AT857" s="63"/>
      <c r="AU857" s="63"/>
      <c r="AW857" s="5">
        <f>IF(Q857&gt;0,RANK(Q857,(N857:P857,Q857:AE857)),0)</f>
        <v>3</v>
      </c>
      <c r="AX857" s="5">
        <f>IF(R857&gt;0,RANK(R857,(N857:P857,Q857:AE857)),0)</f>
        <v>6</v>
      </c>
      <c r="AY857" s="5">
        <f>IF(T857&gt;0,RANK(T857,(N857:P857,Q857:AE857)),0)</f>
        <v>9</v>
      </c>
      <c r="AZ857" s="5">
        <f>IF(S857&gt;0,RANK(S857,(N857:P857,Q857:AE857)),0)</f>
        <v>7</v>
      </c>
      <c r="BA857" s="2">
        <f t="shared" si="362"/>
        <v>4.5932238837184981E-2</v>
      </c>
      <c r="BB857" s="2">
        <f t="shared" si="363"/>
        <v>4.7317787305238938E-3</v>
      </c>
      <c r="BC857" s="2">
        <f t="shared" si="364"/>
        <v>3.9213635888319564E-4</v>
      </c>
      <c r="BD857" s="2">
        <f t="shared" si="365"/>
        <v>3.7383666213531321E-3</v>
      </c>
      <c r="BF857" t="s">
        <v>1086</v>
      </c>
      <c r="BG857" t="s">
        <v>1622</v>
      </c>
      <c r="BH857">
        <v>3</v>
      </c>
      <c r="BJ857" s="114">
        <v>19</v>
      </c>
      <c r="BK857" s="116">
        <v>49</v>
      </c>
      <c r="BL857" s="120">
        <f t="shared" si="352"/>
        <v>19049</v>
      </c>
      <c r="BN857" s="5" t="s">
        <v>3154</v>
      </c>
      <c r="BO857" s="63">
        <v>289</v>
      </c>
      <c r="BP857" s="63">
        <v>47</v>
      </c>
      <c r="BR857" s="63"/>
    </row>
    <row r="858" spans="1:70" hidden="1" outlineLevel="1">
      <c r="A858" t="s">
        <v>1840</v>
      </c>
      <c r="B858" t="s">
        <v>1622</v>
      </c>
      <c r="C858" s="1">
        <f t="shared" si="355"/>
        <v>3882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5</v>
      </c>
      <c r="G858" s="132">
        <f t="shared" si="356"/>
        <v>1746</v>
      </c>
      <c r="H858" s="137">
        <f t="shared" si="357"/>
        <v>0.44976816074188564</v>
      </c>
      <c r="I858" s="2"/>
      <c r="J858" s="2">
        <f t="shared" si="358"/>
        <v>0.25167439464193714</v>
      </c>
      <c r="K858" s="2">
        <f t="shared" si="359"/>
        <v>0.70144255538382272</v>
      </c>
      <c r="L858" s="2">
        <f t="shared" si="360"/>
        <v>5.4095826893353939E-3</v>
      </c>
      <c r="M858" s="2">
        <f t="shared" si="361"/>
        <v>4.1473467284904808E-2</v>
      </c>
      <c r="N858" s="63">
        <v>977</v>
      </c>
      <c r="O858" s="63">
        <v>2723</v>
      </c>
      <c r="P858" s="63">
        <v>21</v>
      </c>
      <c r="Q858" s="63">
        <v>85</v>
      </c>
      <c r="R858" s="63">
        <v>25</v>
      </c>
      <c r="S858" s="63">
        <v>17</v>
      </c>
      <c r="T858" s="63">
        <v>1</v>
      </c>
      <c r="U858" s="63"/>
      <c r="V858" s="63">
        <v>0</v>
      </c>
      <c r="W858" s="63">
        <v>20</v>
      </c>
      <c r="X858" s="63"/>
      <c r="Y858" s="63"/>
      <c r="Z858" s="63"/>
      <c r="AA858" s="63"/>
      <c r="AB858" s="63"/>
      <c r="AC858" s="63">
        <v>6</v>
      </c>
      <c r="AD858" s="63"/>
      <c r="AE858" s="63"/>
      <c r="AF858" s="63"/>
      <c r="AG858" s="63"/>
      <c r="AH858" s="63"/>
      <c r="AI858" s="63"/>
      <c r="AJ858" s="63"/>
      <c r="AK858" s="63"/>
      <c r="AL858" s="63">
        <v>7</v>
      </c>
      <c r="AM858" s="63"/>
      <c r="AN858" s="63"/>
      <c r="AO858" s="63"/>
      <c r="AP858" s="63"/>
      <c r="AQ858" s="63"/>
      <c r="AR858" s="63"/>
      <c r="AS858" s="63"/>
      <c r="AT858" s="63"/>
      <c r="AU858" s="63"/>
      <c r="AW858" s="5">
        <f>IF(Q858&gt;0,RANK(Q858,(N858:P858,Q858:AE858)),0)</f>
        <v>3</v>
      </c>
      <c r="AX858" s="5">
        <f>IF(R858&gt;0,RANK(R858,(N858:P858,Q858:AE858)),0)</f>
        <v>4</v>
      </c>
      <c r="AY858" s="5">
        <f>IF(T858&gt;0,RANK(T858,(N858:P858,Q858:AE858)),0)</f>
        <v>9</v>
      </c>
      <c r="AZ858" s="5">
        <f>IF(S858&gt;0,RANK(S858,(N858:P858,Q858:AE858)),0)</f>
        <v>7</v>
      </c>
      <c r="BA858" s="2">
        <f t="shared" si="362"/>
        <v>2.1895929933024215E-2</v>
      </c>
      <c r="BB858" s="2">
        <f t="shared" si="363"/>
        <v>6.439979392065945E-3</v>
      </c>
      <c r="BC858" s="2">
        <f t="shared" si="364"/>
        <v>2.5759917568263783E-4</v>
      </c>
      <c r="BD858" s="2">
        <f t="shared" si="365"/>
        <v>4.3791859866048428E-3</v>
      </c>
      <c r="BF858" t="s">
        <v>1840</v>
      </c>
      <c r="BG858" t="s">
        <v>1622</v>
      </c>
      <c r="BH858">
        <v>2</v>
      </c>
      <c r="BJ858" s="114">
        <v>19</v>
      </c>
      <c r="BK858" s="116">
        <v>51</v>
      </c>
      <c r="BL858" s="120">
        <f t="shared" si="352"/>
        <v>19051</v>
      </c>
      <c r="BN858" s="5" t="s">
        <v>3154</v>
      </c>
      <c r="BO858" s="63">
        <v>55</v>
      </c>
      <c r="BP858" s="63">
        <v>6</v>
      </c>
      <c r="BR858" s="63"/>
    </row>
    <row r="859" spans="1:70" hidden="1" outlineLevel="1">
      <c r="A859" t="s">
        <v>1934</v>
      </c>
      <c r="B859" t="s">
        <v>1622</v>
      </c>
      <c r="C859" s="1">
        <f t="shared" si="355"/>
        <v>3734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7</v>
      </c>
      <c r="G859" s="132">
        <f t="shared" si="356"/>
        <v>1095</v>
      </c>
      <c r="H859" s="137">
        <f t="shared" si="357"/>
        <v>0.29325120514193892</v>
      </c>
      <c r="I859" s="2"/>
      <c r="J859" s="2">
        <f t="shared" si="358"/>
        <v>0.3216389930369577</v>
      </c>
      <c r="K859" s="2">
        <f t="shared" si="359"/>
        <v>0.61489019817889667</v>
      </c>
      <c r="L859" s="2">
        <f t="shared" si="360"/>
        <v>5.3561863952865559E-3</v>
      </c>
      <c r="M859" s="2">
        <f t="shared" si="361"/>
        <v>5.811462238885913E-2</v>
      </c>
      <c r="N859" s="63">
        <v>1201</v>
      </c>
      <c r="O859" s="63">
        <v>2296</v>
      </c>
      <c r="P859" s="63">
        <v>20</v>
      </c>
      <c r="Q859" s="63">
        <v>123</v>
      </c>
      <c r="R859" s="63">
        <v>29</v>
      </c>
      <c r="S859" s="63">
        <v>26</v>
      </c>
      <c r="T859" s="63">
        <v>1</v>
      </c>
      <c r="U859" s="63"/>
      <c r="V859" s="63">
        <v>1</v>
      </c>
      <c r="W859" s="63">
        <v>31</v>
      </c>
      <c r="X859" s="63"/>
      <c r="Y859" s="63"/>
      <c r="Z859" s="63"/>
      <c r="AA859" s="63"/>
      <c r="AB859" s="63"/>
      <c r="AC859" s="63">
        <v>1</v>
      </c>
      <c r="AD859" s="63"/>
      <c r="AE859" s="63"/>
      <c r="AF859" s="63"/>
      <c r="AG859" s="63"/>
      <c r="AH859" s="63"/>
      <c r="AI859" s="63"/>
      <c r="AJ859" s="63"/>
      <c r="AK859" s="63"/>
      <c r="AL859" s="63">
        <v>5</v>
      </c>
      <c r="AM859" s="63"/>
      <c r="AN859" s="63"/>
      <c r="AO859" s="63"/>
      <c r="AP859" s="63"/>
      <c r="AQ859" s="63"/>
      <c r="AR859" s="63"/>
      <c r="AS859" s="63"/>
      <c r="AT859" s="63"/>
      <c r="AU859" s="63"/>
      <c r="AW859" s="5">
        <f>IF(Q859&gt;0,RANK(Q859,(N859:P859,Q859:AE859)),0)</f>
        <v>3</v>
      </c>
      <c r="AX859" s="5">
        <f>IF(R859&gt;0,RANK(R859,(N859:P859,Q859:AE859)),0)</f>
        <v>5</v>
      </c>
      <c r="AY859" s="5">
        <f>IF(T859&gt;0,RANK(T859,(N859:P859,Q859:AE859)),0)</f>
        <v>8</v>
      </c>
      <c r="AZ859" s="5">
        <f>IF(S859&gt;0,RANK(S859,(N859:P859,Q859:AE859)),0)</f>
        <v>6</v>
      </c>
      <c r="BA859" s="2">
        <f t="shared" si="362"/>
        <v>3.2940546331012316E-2</v>
      </c>
      <c r="BB859" s="2">
        <f t="shared" si="363"/>
        <v>7.766470273165506E-3</v>
      </c>
      <c r="BC859" s="2">
        <f t="shared" si="364"/>
        <v>2.6780931976432779E-4</v>
      </c>
      <c r="BD859" s="2">
        <f t="shared" si="365"/>
        <v>6.9630423138725226E-3</v>
      </c>
      <c r="BF859" t="s">
        <v>1934</v>
      </c>
      <c r="BG859" t="s">
        <v>1622</v>
      </c>
      <c r="BH859">
        <v>2</v>
      </c>
      <c r="BJ859" s="114">
        <v>19</v>
      </c>
      <c r="BK859" s="116">
        <v>53</v>
      </c>
      <c r="BL859" s="120">
        <f t="shared" si="352"/>
        <v>19053</v>
      </c>
      <c r="BN859" s="5" t="s">
        <v>3154</v>
      </c>
      <c r="BO859" s="63">
        <v>37</v>
      </c>
      <c r="BP859" s="63">
        <v>13</v>
      </c>
      <c r="BR859" s="63"/>
    </row>
    <row r="860" spans="1:70" hidden="1" outlineLevel="1">
      <c r="A860" t="s">
        <v>1708</v>
      </c>
      <c r="B860" t="s">
        <v>1622</v>
      </c>
      <c r="C860" s="1">
        <f t="shared" si="355"/>
        <v>9241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5</v>
      </c>
      <c r="G860" s="132">
        <f t="shared" si="356"/>
        <v>2737</v>
      </c>
      <c r="H860" s="137">
        <f t="shared" si="357"/>
        <v>0.29618006709230604</v>
      </c>
      <c r="I860" s="2"/>
      <c r="J860" s="2">
        <f t="shared" si="358"/>
        <v>0.31998701439238175</v>
      </c>
      <c r="K860" s="2">
        <f t="shared" si="359"/>
        <v>0.6161670814846878</v>
      </c>
      <c r="L860" s="2">
        <f t="shared" si="360"/>
        <v>5.0860296504707282E-3</v>
      </c>
      <c r="M860" s="2">
        <f t="shared" si="361"/>
        <v>5.8759874472459728E-2</v>
      </c>
      <c r="N860" s="63">
        <v>2957</v>
      </c>
      <c r="O860" s="63">
        <v>5694</v>
      </c>
      <c r="P860" s="63">
        <v>47</v>
      </c>
      <c r="Q860" s="63">
        <v>337</v>
      </c>
      <c r="R860" s="63">
        <v>40</v>
      </c>
      <c r="S860" s="63">
        <v>38</v>
      </c>
      <c r="T860" s="63">
        <v>0</v>
      </c>
      <c r="U860" s="63"/>
      <c r="V860" s="63">
        <v>2</v>
      </c>
      <c r="W860" s="63">
        <v>69</v>
      </c>
      <c r="X860" s="63"/>
      <c r="Y860" s="63"/>
      <c r="Z860" s="63"/>
      <c r="AA860" s="63"/>
      <c r="AB860" s="63"/>
      <c r="AC860" s="63">
        <v>18</v>
      </c>
      <c r="AD860" s="63"/>
      <c r="AE860" s="63"/>
      <c r="AF860" s="63"/>
      <c r="AG860" s="63"/>
      <c r="AH860" s="63"/>
      <c r="AI860" s="63"/>
      <c r="AJ860" s="63"/>
      <c r="AK860" s="63"/>
      <c r="AL860" s="63">
        <v>39</v>
      </c>
      <c r="AM860" s="63"/>
      <c r="AN860" s="63"/>
      <c r="AO860" s="63"/>
      <c r="AP860" s="63"/>
      <c r="AQ860" s="63"/>
      <c r="AR860" s="63"/>
      <c r="AS860" s="63"/>
      <c r="AT860" s="63"/>
      <c r="AU860" s="63"/>
      <c r="AW860" s="5">
        <f>IF(Q860&gt;0,RANK(Q860,(N860:P860,Q860:AE860)),0)</f>
        <v>3</v>
      </c>
      <c r="AX860" s="5">
        <f>IF(R860&gt;0,RANK(R860,(N860:P860,Q860:AE860)),0)</f>
        <v>6</v>
      </c>
      <c r="AY860" s="5">
        <f>IF(T860&gt;0,RANK(T860,(N860:P860,Q860:AE860)),0)</f>
        <v>0</v>
      </c>
      <c r="AZ860" s="5">
        <f>IF(S860&gt;0,RANK(S860,(N860:P860,Q860:AE860)),0)</f>
        <v>7</v>
      </c>
      <c r="BA860" s="2">
        <f t="shared" si="362"/>
        <v>3.6467914727843304E-2</v>
      </c>
      <c r="BB860" s="2">
        <f t="shared" si="363"/>
        <v>4.3285358727410458E-3</v>
      </c>
      <c r="BC860" s="2">
        <f t="shared" si="364"/>
        <v>0</v>
      </c>
      <c r="BD860" s="2">
        <f t="shared" si="365"/>
        <v>4.1121090791039934E-3</v>
      </c>
      <c r="BF860" t="s">
        <v>1708</v>
      </c>
      <c r="BG860" t="s">
        <v>1622</v>
      </c>
      <c r="BH860">
        <v>1</v>
      </c>
      <c r="BJ860" s="114">
        <v>19</v>
      </c>
      <c r="BK860" s="116">
        <v>55</v>
      </c>
      <c r="BL860" s="120">
        <f t="shared" si="352"/>
        <v>19055</v>
      </c>
      <c r="BN860" s="5" t="s">
        <v>3154</v>
      </c>
      <c r="BO860" s="63">
        <v>85</v>
      </c>
      <c r="BP860" s="63">
        <v>13</v>
      </c>
      <c r="BR860" s="63"/>
    </row>
    <row r="861" spans="1:70" hidden="1" outlineLevel="1">
      <c r="A861" t="s">
        <v>3088</v>
      </c>
      <c r="B861" t="s">
        <v>1622</v>
      </c>
      <c r="C861" s="1">
        <f t="shared" si="355"/>
        <v>19103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>IF(P861&gt;0,RANK(P861,(N861:P861,Q861:AE861)),0)</f>
        <v>6</v>
      </c>
      <c r="G861" s="132">
        <f t="shared" si="356"/>
        <v>1317</v>
      </c>
      <c r="H861" s="137">
        <f t="shared" si="357"/>
        <v>6.8942050986756001E-2</v>
      </c>
      <c r="I861" s="2"/>
      <c r="J861" s="2">
        <f t="shared" si="358"/>
        <v>0.42988012354080513</v>
      </c>
      <c r="K861" s="2">
        <f t="shared" si="359"/>
        <v>0.49882217452756111</v>
      </c>
      <c r="L861" s="2">
        <f t="shared" si="360"/>
        <v>6.8052138407579963E-3</v>
      </c>
      <c r="M861" s="2">
        <f t="shared" si="361"/>
        <v>6.449248809087571E-2</v>
      </c>
      <c r="N861" s="63">
        <v>8212</v>
      </c>
      <c r="O861" s="63">
        <v>9529</v>
      </c>
      <c r="P861" s="63">
        <v>130</v>
      </c>
      <c r="Q861" s="63">
        <v>635</v>
      </c>
      <c r="R861" s="63">
        <v>134</v>
      </c>
      <c r="S861" s="63">
        <v>75</v>
      </c>
      <c r="T861" s="63">
        <v>8</v>
      </c>
      <c r="U861" s="63"/>
      <c r="V861" s="63">
        <v>4</v>
      </c>
      <c r="W861" s="63">
        <v>300</v>
      </c>
      <c r="X861" s="63"/>
      <c r="Y861" s="63"/>
      <c r="Z861" s="63"/>
      <c r="AA861" s="63"/>
      <c r="AB861" s="63"/>
      <c r="AC861" s="63">
        <v>36</v>
      </c>
      <c r="AD861" s="63"/>
      <c r="AE861" s="63"/>
      <c r="AF861" s="63"/>
      <c r="AG861" s="63"/>
      <c r="AH861" s="63"/>
      <c r="AI861" s="63"/>
      <c r="AJ861" s="63"/>
      <c r="AK861" s="63"/>
      <c r="AL861" s="63">
        <v>40</v>
      </c>
      <c r="AM861" s="63"/>
      <c r="AN861" s="63"/>
      <c r="AO861" s="63"/>
      <c r="AP861" s="63"/>
      <c r="AQ861" s="63"/>
      <c r="AR861" s="63"/>
      <c r="AS861" s="63"/>
      <c r="AT861" s="63"/>
      <c r="AU861" s="63"/>
      <c r="AW861" s="5">
        <f>IF(Q861&gt;0,RANK(Q861,(N861:P861,Q861:AE861)),0)</f>
        <v>3</v>
      </c>
      <c r="AX861" s="5">
        <f>IF(R861&gt;0,RANK(R861,(N861:P861,Q861:AE861)),0)</f>
        <v>5</v>
      </c>
      <c r="AY861" s="5">
        <f>IF(T861&gt;0,RANK(T861,(N861:P861,Q861:AE861)),0)</f>
        <v>9</v>
      </c>
      <c r="AZ861" s="5">
        <f>IF(S861&gt;0,RANK(S861,(N861:P861,Q861:AE861)),0)</f>
        <v>7</v>
      </c>
      <c r="BA861" s="2">
        <f t="shared" si="362"/>
        <v>3.3240852222164059E-2</v>
      </c>
      <c r="BB861" s="2">
        <f t="shared" si="363"/>
        <v>7.0146050358582419E-3</v>
      </c>
      <c r="BC861" s="2">
        <f t="shared" si="364"/>
        <v>4.1878239020049206E-4</v>
      </c>
      <c r="BD861" s="2">
        <f t="shared" si="365"/>
        <v>3.926084908129613E-3</v>
      </c>
      <c r="BF861" t="s">
        <v>3088</v>
      </c>
      <c r="BG861" t="s">
        <v>1622</v>
      </c>
      <c r="BH861">
        <v>2</v>
      </c>
      <c r="BJ861" s="114">
        <v>19</v>
      </c>
      <c r="BK861" s="116">
        <v>57</v>
      </c>
      <c r="BL861" s="120">
        <f t="shared" si="352"/>
        <v>19057</v>
      </c>
      <c r="BN861" s="5" t="s">
        <v>3154</v>
      </c>
      <c r="BO861" s="63">
        <v>143</v>
      </c>
      <c r="BP861" s="63">
        <v>25</v>
      </c>
      <c r="BR861" s="63"/>
    </row>
    <row r="862" spans="1:70" hidden="1" outlineLevel="1">
      <c r="A862" t="s">
        <v>1047</v>
      </c>
      <c r="B862" t="s">
        <v>1622</v>
      </c>
      <c r="C862" s="1">
        <f t="shared" si="355"/>
        <v>10354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6</v>
      </c>
      <c r="G862" s="132">
        <f t="shared" si="356"/>
        <v>3697</v>
      </c>
      <c r="H862" s="137">
        <f t="shared" si="357"/>
        <v>0.35706007340158391</v>
      </c>
      <c r="I862" s="2"/>
      <c r="J862" s="2">
        <f t="shared" si="358"/>
        <v>0.29515163221943208</v>
      </c>
      <c r="K862" s="2">
        <f t="shared" si="359"/>
        <v>0.65221170562101605</v>
      </c>
      <c r="L862" s="2">
        <f t="shared" si="360"/>
        <v>4.9256326057562291E-3</v>
      </c>
      <c r="M862" s="2">
        <f t="shared" si="361"/>
        <v>4.7711029553795643E-2</v>
      </c>
      <c r="N862" s="63">
        <v>3056</v>
      </c>
      <c r="O862" s="63">
        <v>6753</v>
      </c>
      <c r="P862" s="63">
        <v>51</v>
      </c>
      <c r="Q862" s="63">
        <v>292</v>
      </c>
      <c r="R862" s="63">
        <v>54</v>
      </c>
      <c r="S862" s="63">
        <v>31</v>
      </c>
      <c r="T862" s="63">
        <v>6</v>
      </c>
      <c r="U862" s="63"/>
      <c r="V862" s="63">
        <v>0</v>
      </c>
      <c r="W862" s="63">
        <v>89</v>
      </c>
      <c r="X862" s="63"/>
      <c r="Y862" s="63"/>
      <c r="Z862" s="63"/>
      <c r="AA862" s="63"/>
      <c r="AB862" s="63"/>
      <c r="AC862" s="63">
        <v>14</v>
      </c>
      <c r="AD862" s="63"/>
      <c r="AE862" s="63"/>
      <c r="AF862" s="63"/>
      <c r="AG862" s="63"/>
      <c r="AH862" s="63"/>
      <c r="AI862" s="63"/>
      <c r="AJ862" s="63"/>
      <c r="AK862" s="63"/>
      <c r="AL862" s="63">
        <v>8</v>
      </c>
      <c r="AM862" s="63"/>
      <c r="AN862" s="63"/>
      <c r="AO862" s="63"/>
      <c r="AP862" s="63"/>
      <c r="AQ862" s="63"/>
      <c r="AR862" s="63"/>
      <c r="AS862" s="63"/>
      <c r="AT862" s="63"/>
      <c r="AU862" s="63"/>
      <c r="AW862" s="5">
        <f>IF(Q862&gt;0,RANK(Q862,(N862:P862,Q862:AE862)),0)</f>
        <v>3</v>
      </c>
      <c r="AX862" s="5">
        <f>IF(R862&gt;0,RANK(R862,(N862:P862,Q862:AE862)),0)</f>
        <v>5</v>
      </c>
      <c r="AY862" s="5">
        <f>IF(T862&gt;0,RANK(T862,(N862:P862,Q862:AE862)),0)</f>
        <v>9</v>
      </c>
      <c r="AZ862" s="5">
        <f>IF(S862&gt;0,RANK(S862,(N862:P862,Q862:AE862)),0)</f>
        <v>7</v>
      </c>
      <c r="BA862" s="2">
        <f t="shared" si="362"/>
        <v>2.820166119374155E-2</v>
      </c>
      <c r="BB862" s="2">
        <f t="shared" si="363"/>
        <v>5.2153757002124787E-3</v>
      </c>
      <c r="BC862" s="2">
        <f t="shared" si="364"/>
        <v>5.7948618891249756E-4</v>
      </c>
      <c r="BD862" s="2">
        <f t="shared" si="365"/>
        <v>2.9940119760479044E-3</v>
      </c>
      <c r="BF862" t="s">
        <v>1047</v>
      </c>
      <c r="BG862" t="s">
        <v>1622</v>
      </c>
      <c r="BH862">
        <v>4</v>
      </c>
      <c r="BJ862" s="114">
        <v>19</v>
      </c>
      <c r="BK862" s="116">
        <v>59</v>
      </c>
      <c r="BL862" s="120">
        <f t="shared" si="352"/>
        <v>19059</v>
      </c>
      <c r="BN862" s="5" t="s">
        <v>3154</v>
      </c>
      <c r="BO862" s="63">
        <v>88</v>
      </c>
      <c r="BP862" s="63">
        <v>15</v>
      </c>
      <c r="BR862" s="63"/>
    </row>
    <row r="863" spans="1:70" hidden="1" outlineLevel="1">
      <c r="A863" t="s">
        <v>485</v>
      </c>
      <c r="B863" t="s">
        <v>1622</v>
      </c>
      <c r="C863" s="1">
        <f t="shared" si="355"/>
        <v>49721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>IF(P863&gt;0,RANK(P863,(N863:P863,Q863:AE863)),0)</f>
        <v>6</v>
      </c>
      <c r="G863" s="132">
        <f t="shared" si="356"/>
        <v>610</v>
      </c>
      <c r="H863" s="137">
        <f t="shared" si="357"/>
        <v>1.2268457995615534E-2</v>
      </c>
      <c r="I863" s="2"/>
      <c r="J863" s="2">
        <f t="shared" si="358"/>
        <v>0.45956436918002452</v>
      </c>
      <c r="K863" s="2">
        <f t="shared" si="359"/>
        <v>0.47183282717564007</v>
      </c>
      <c r="L863" s="2">
        <f t="shared" si="360"/>
        <v>6.1342289978077672E-3</v>
      </c>
      <c r="M863" s="2">
        <f t="shared" si="361"/>
        <v>6.2468574646527643E-2</v>
      </c>
      <c r="N863" s="63">
        <v>22850</v>
      </c>
      <c r="O863" s="63">
        <v>23460</v>
      </c>
      <c r="P863" s="63">
        <v>305</v>
      </c>
      <c r="Q863" s="63">
        <v>2013</v>
      </c>
      <c r="R863" s="63">
        <v>379</v>
      </c>
      <c r="S863" s="63">
        <v>60</v>
      </c>
      <c r="T863" s="63">
        <v>12</v>
      </c>
      <c r="U863" s="63"/>
      <c r="V863" s="63">
        <v>12</v>
      </c>
      <c r="W863" s="63">
        <v>504</v>
      </c>
      <c r="X863" s="63"/>
      <c r="Y863" s="63"/>
      <c r="Z863" s="63"/>
      <c r="AA863" s="63"/>
      <c r="AB863" s="63"/>
      <c r="AC863" s="63">
        <v>38</v>
      </c>
      <c r="AD863" s="63"/>
      <c r="AE863" s="63"/>
      <c r="AF863" s="63"/>
      <c r="AG863" s="63"/>
      <c r="AH863" s="63"/>
      <c r="AI863" s="63"/>
      <c r="AJ863" s="63"/>
      <c r="AK863" s="63"/>
      <c r="AL863" s="63">
        <v>88</v>
      </c>
      <c r="AM863" s="63"/>
      <c r="AN863" s="63"/>
      <c r="AO863" s="63"/>
      <c r="AP863" s="63"/>
      <c r="AQ863" s="63"/>
      <c r="AR863" s="63"/>
      <c r="AS863" s="63"/>
      <c r="AT863" s="63"/>
      <c r="AU863" s="63"/>
      <c r="AW863" s="5">
        <f>IF(Q863&gt;0,RANK(Q863,(N863:P863,Q863:AE863)),0)</f>
        <v>3</v>
      </c>
      <c r="AX863" s="5">
        <f>IF(R863&gt;0,RANK(R863,(N863:P863,Q863:AE863)),0)</f>
        <v>5</v>
      </c>
      <c r="AY863" s="5">
        <f>IF(T863&gt;0,RANK(T863,(N863:P863,Q863:AE863)),0)</f>
        <v>9</v>
      </c>
      <c r="AZ863" s="5">
        <f>IF(S863&gt;0,RANK(S863,(N863:P863,Q863:AE863)),0)</f>
        <v>7</v>
      </c>
      <c r="BA863" s="2">
        <f t="shared" si="362"/>
        <v>4.0485911385531266E-2</v>
      </c>
      <c r="BB863" s="2">
        <f t="shared" si="363"/>
        <v>7.6225337382594882E-3</v>
      </c>
      <c r="BC863" s="2">
        <f t="shared" si="364"/>
        <v>2.4134671466784658E-4</v>
      </c>
      <c r="BD863" s="2">
        <f t="shared" si="365"/>
        <v>1.2067335733392328E-3</v>
      </c>
      <c r="BF863" t="s">
        <v>485</v>
      </c>
      <c r="BG863" t="s">
        <v>1622</v>
      </c>
      <c r="BH863">
        <v>1</v>
      </c>
      <c r="BJ863" s="114">
        <v>19</v>
      </c>
      <c r="BK863" s="116">
        <v>61</v>
      </c>
      <c r="BL863" s="120">
        <f t="shared" si="352"/>
        <v>19061</v>
      </c>
      <c r="BN863" s="5" t="s">
        <v>3154</v>
      </c>
      <c r="BO863" s="63">
        <v>461</v>
      </c>
      <c r="BP863" s="63">
        <v>39</v>
      </c>
      <c r="BR863" s="63"/>
    </row>
    <row r="864" spans="1:70" hidden="1" outlineLevel="1">
      <c r="A864" t="s">
        <v>822</v>
      </c>
      <c r="B864" t="s">
        <v>1622</v>
      </c>
      <c r="C864" s="1">
        <f t="shared" si="355"/>
        <v>4753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7</v>
      </c>
      <c r="G864" s="132">
        <f t="shared" si="356"/>
        <v>1767</v>
      </c>
      <c r="H864" s="137">
        <f t="shared" si="357"/>
        <v>0.37176520092573112</v>
      </c>
      <c r="I864" s="2"/>
      <c r="J864" s="2">
        <f t="shared" si="358"/>
        <v>0.28550389227856093</v>
      </c>
      <c r="K864" s="2">
        <f t="shared" si="359"/>
        <v>0.65726909320429205</v>
      </c>
      <c r="L864" s="2">
        <f t="shared" si="360"/>
        <v>3.366294971596886E-3</v>
      </c>
      <c r="M864" s="2">
        <f t="shared" si="361"/>
        <v>5.3860719545550183E-2</v>
      </c>
      <c r="N864" s="63">
        <v>1357</v>
      </c>
      <c r="O864" s="63">
        <v>3124</v>
      </c>
      <c r="P864" s="63">
        <v>16</v>
      </c>
      <c r="Q864" s="63">
        <v>139</v>
      </c>
      <c r="R864" s="63">
        <v>26</v>
      </c>
      <c r="S864" s="63">
        <v>20</v>
      </c>
      <c r="T864" s="63">
        <v>0</v>
      </c>
      <c r="U864" s="63"/>
      <c r="V864" s="63">
        <v>1</v>
      </c>
      <c r="W864" s="63">
        <v>41</v>
      </c>
      <c r="X864" s="63"/>
      <c r="Y864" s="63"/>
      <c r="Z864" s="63"/>
      <c r="AA864" s="63"/>
      <c r="AB864" s="63"/>
      <c r="AC864" s="63">
        <v>13</v>
      </c>
      <c r="AD864" s="63"/>
      <c r="AE864" s="63"/>
      <c r="AF864" s="63"/>
      <c r="AG864" s="63"/>
      <c r="AH864" s="63"/>
      <c r="AI864" s="63"/>
      <c r="AJ864" s="63"/>
      <c r="AK864" s="63"/>
      <c r="AL864" s="63">
        <v>16</v>
      </c>
      <c r="AM864" s="63"/>
      <c r="AN864" s="63"/>
      <c r="AO864" s="63"/>
      <c r="AP864" s="63"/>
      <c r="AQ864" s="63"/>
      <c r="AR864" s="63"/>
      <c r="AS864" s="63"/>
      <c r="AT864" s="63"/>
      <c r="AU864" s="63"/>
      <c r="AW864" s="5">
        <f>IF(Q864&gt;0,RANK(Q864,(N864:P864,Q864:AE864)),0)</f>
        <v>3</v>
      </c>
      <c r="AX864" s="5">
        <f>IF(R864&gt;0,RANK(R864,(N864:P864,Q864:AE864)),0)</f>
        <v>5</v>
      </c>
      <c r="AY864" s="5">
        <f>IF(T864&gt;0,RANK(T864,(N864:P864,Q864:AE864)),0)</f>
        <v>0</v>
      </c>
      <c r="AZ864" s="5">
        <f>IF(S864&gt;0,RANK(S864,(N864:P864,Q864:AE864)),0)</f>
        <v>6</v>
      </c>
      <c r="BA864" s="2">
        <f t="shared" si="362"/>
        <v>2.924468756574795E-2</v>
      </c>
      <c r="BB864" s="2">
        <f t="shared" si="363"/>
        <v>5.4702293288449401E-3</v>
      </c>
      <c r="BC864" s="2">
        <f t="shared" si="364"/>
        <v>0</v>
      </c>
      <c r="BD864" s="2">
        <f t="shared" si="365"/>
        <v>4.2078687144961081E-3</v>
      </c>
      <c r="BF864" t="s">
        <v>822</v>
      </c>
      <c r="BG864" t="s">
        <v>1622</v>
      </c>
      <c r="BH864">
        <v>4</v>
      </c>
      <c r="BJ864" s="114">
        <v>19</v>
      </c>
      <c r="BK864" s="116">
        <v>63</v>
      </c>
      <c r="BL864" s="120">
        <f t="shared" si="352"/>
        <v>19063</v>
      </c>
      <c r="BN864" s="5" t="s">
        <v>3154</v>
      </c>
      <c r="BO864" s="63">
        <v>47</v>
      </c>
      <c r="BP864" s="63">
        <v>10</v>
      </c>
      <c r="BR864" s="63"/>
    </row>
    <row r="865" spans="1:70" hidden="1" outlineLevel="1">
      <c r="A865" t="s">
        <v>1416</v>
      </c>
      <c r="B865" t="s">
        <v>1622</v>
      </c>
      <c r="C865" s="1">
        <f t="shared" ref="C865:C896" si="366">SUM(N865:AU865)</f>
        <v>9975</v>
      </c>
      <c r="D865" s="5">
        <f>IF(N865&gt;0, RANK(N865,(N865:P865,Q865:AE865)),0)</f>
        <v>2</v>
      </c>
      <c r="E865" s="5">
        <f>IF(O865&gt;0,RANK(O865,(N865:P865,Q865:AE865)),0)</f>
        <v>1</v>
      </c>
      <c r="F865" s="5">
        <f>IF(P865&gt;0,RANK(P865,(N865:P865,Q865:AE865)),0)</f>
        <v>5</v>
      </c>
      <c r="G865" s="132">
        <f t="shared" ref="G865:G896" si="367">IF(C865&gt;0,MAX(N865:P865)-LARGE(N865:P865,2),0)</f>
        <v>1931</v>
      </c>
      <c r="H865" s="137">
        <f t="shared" ref="H865:H896" si="368">IF(C865&gt;0,G865/C865,0)</f>
        <v>0.19358395989974939</v>
      </c>
      <c r="I865" s="2"/>
      <c r="J865" s="2">
        <f t="shared" ref="J865:J896" si="369">IF($C865=0,"-",N865/$C865)</f>
        <v>0.36982456140350878</v>
      </c>
      <c r="K865" s="2">
        <f t="shared" ref="K865:K896" si="370">IF($C865=0,"-",O865/$C865)</f>
        <v>0.56340852130325814</v>
      </c>
      <c r="L865" s="2">
        <f t="shared" ref="L865:L896" si="371">IF($C865=0,"-",P865/$C865)</f>
        <v>6.5162907268170424E-3</v>
      </c>
      <c r="M865" s="2">
        <f t="shared" ref="M865:M896" si="372">IF(C865=0,"-",(1-J865-K865-L865))</f>
        <v>6.0250626566416096E-2</v>
      </c>
      <c r="N865" s="63">
        <v>3689</v>
      </c>
      <c r="O865" s="63">
        <v>5620</v>
      </c>
      <c r="P865" s="63">
        <v>65</v>
      </c>
      <c r="Q865" s="63">
        <v>328</v>
      </c>
      <c r="R865" s="63">
        <v>62</v>
      </c>
      <c r="S865" s="63">
        <v>43</v>
      </c>
      <c r="T865" s="63">
        <v>4</v>
      </c>
      <c r="U865" s="63"/>
      <c r="V865" s="63">
        <v>1</v>
      </c>
      <c r="W865" s="63">
        <v>104</v>
      </c>
      <c r="X865" s="63"/>
      <c r="Y865" s="63"/>
      <c r="Z865" s="63"/>
      <c r="AA865" s="63"/>
      <c r="AB865" s="63"/>
      <c r="AC865" s="63">
        <v>35</v>
      </c>
      <c r="AD865" s="63"/>
      <c r="AE865" s="63"/>
      <c r="AF865" s="63"/>
      <c r="AG865" s="63"/>
      <c r="AH865" s="63"/>
      <c r="AI865" s="63"/>
      <c r="AJ865" s="63"/>
      <c r="AK865" s="63"/>
      <c r="AL865" s="63">
        <v>24</v>
      </c>
      <c r="AM865" s="63"/>
      <c r="AN865" s="63"/>
      <c r="AO865" s="63"/>
      <c r="AP865" s="63"/>
      <c r="AQ865" s="63"/>
      <c r="AR865" s="63"/>
      <c r="AS865" s="63"/>
      <c r="AT865" s="63"/>
      <c r="AU865" s="63"/>
      <c r="AW865" s="5">
        <f>IF(Q865&gt;0,RANK(Q865,(N865:P865,Q865:AE865)),0)</f>
        <v>3</v>
      </c>
      <c r="AX865" s="5">
        <f>IF(R865&gt;0,RANK(R865,(N865:P865,Q865:AE865)),0)</f>
        <v>6</v>
      </c>
      <c r="AY865" s="5">
        <f>IF(T865&gt;0,RANK(T865,(N865:P865,Q865:AE865)),0)</f>
        <v>9</v>
      </c>
      <c r="AZ865" s="5">
        <f>IF(S865&gt;0,RANK(S865,(N865:P865,Q865:AE865)),0)</f>
        <v>7</v>
      </c>
      <c r="BA865" s="2">
        <f t="shared" ref="BA865:BA896" si="373">IF($C865=0,"-",Q865/$C865)</f>
        <v>3.2882205513784464E-2</v>
      </c>
      <c r="BB865" s="2">
        <f t="shared" ref="BB865:BB896" si="374">IF($C865=0,"-",R865/$C865)</f>
        <v>6.2155388471177948E-3</v>
      </c>
      <c r="BC865" s="2">
        <f t="shared" ref="BC865:BC896" si="375">IF($C865=0,"-",T865/$C865)</f>
        <v>4.0100250626566418E-4</v>
      </c>
      <c r="BD865" s="2">
        <f t="shared" ref="BD865:BD896" si="376">IF($C865=0,"-",S865/$C865)</f>
        <v>4.31077694235589E-3</v>
      </c>
      <c r="BF865" t="s">
        <v>1416</v>
      </c>
      <c r="BG865" t="s">
        <v>1622</v>
      </c>
      <c r="BH865">
        <v>1</v>
      </c>
      <c r="BJ865" s="114">
        <v>19</v>
      </c>
      <c r="BK865" s="116">
        <v>65</v>
      </c>
      <c r="BL865" s="120">
        <f t="shared" si="352"/>
        <v>19065</v>
      </c>
      <c r="BN865" s="5" t="s">
        <v>3154</v>
      </c>
      <c r="BO865" s="63">
        <v>105</v>
      </c>
      <c r="BP865" s="63">
        <v>18</v>
      </c>
      <c r="BR865" s="63"/>
    </row>
    <row r="866" spans="1:70" hidden="1" outlineLevel="1">
      <c r="A866" t="s">
        <v>2935</v>
      </c>
      <c r="B866" t="s">
        <v>1622</v>
      </c>
      <c r="C866" s="1">
        <f t="shared" si="366"/>
        <v>8060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>IF(P866&gt;0,RANK(P866,(N866:P866,Q866:AE866)),0)</f>
        <v>5</v>
      </c>
      <c r="G866" s="132">
        <f t="shared" si="367"/>
        <v>1196</v>
      </c>
      <c r="H866" s="137">
        <f t="shared" si="368"/>
        <v>0.14838709677419354</v>
      </c>
      <c r="I866" s="2"/>
      <c r="J866" s="2">
        <f t="shared" si="369"/>
        <v>0.39441687344913151</v>
      </c>
      <c r="K866" s="2">
        <f t="shared" si="370"/>
        <v>0.54280397022332505</v>
      </c>
      <c r="L866" s="2">
        <f t="shared" si="371"/>
        <v>7.8163771712158811E-3</v>
      </c>
      <c r="M866" s="2">
        <f t="shared" si="372"/>
        <v>5.4962779156327503E-2</v>
      </c>
      <c r="N866" s="63">
        <v>3179</v>
      </c>
      <c r="O866" s="63">
        <v>4375</v>
      </c>
      <c r="P866" s="63">
        <v>63</v>
      </c>
      <c r="Q866" s="63">
        <v>241</v>
      </c>
      <c r="R866" s="63">
        <v>60</v>
      </c>
      <c r="S866" s="63">
        <v>43</v>
      </c>
      <c r="T866" s="63">
        <v>3</v>
      </c>
      <c r="U866" s="63"/>
      <c r="V866" s="63">
        <v>3</v>
      </c>
      <c r="W866" s="63">
        <v>69</v>
      </c>
      <c r="X866" s="63"/>
      <c r="Y866" s="63"/>
      <c r="Z866" s="63"/>
      <c r="AA866" s="63"/>
      <c r="AB866" s="63"/>
      <c r="AC866" s="63">
        <v>8</v>
      </c>
      <c r="AD866" s="63"/>
      <c r="AE866" s="63"/>
      <c r="AF866" s="63"/>
      <c r="AG866" s="63"/>
      <c r="AH866" s="63"/>
      <c r="AI866" s="63"/>
      <c r="AJ866" s="63"/>
      <c r="AK866" s="63"/>
      <c r="AL866" s="63">
        <v>16</v>
      </c>
      <c r="AM866" s="63"/>
      <c r="AN866" s="63"/>
      <c r="AO866" s="63"/>
      <c r="AP866" s="63"/>
      <c r="AQ866" s="63"/>
      <c r="AR866" s="63"/>
      <c r="AS866" s="63"/>
      <c r="AT866" s="63"/>
      <c r="AU866" s="63"/>
      <c r="AW866" s="5">
        <f>IF(Q866&gt;0,RANK(Q866,(N866:P866,Q866:AE866)),0)</f>
        <v>3</v>
      </c>
      <c r="AX866" s="5">
        <f>IF(R866&gt;0,RANK(R866,(N866:P866,Q866:AE866)),0)</f>
        <v>6</v>
      </c>
      <c r="AY866" s="5">
        <f>IF(T866&gt;0,RANK(T866,(N866:P866,Q866:AE866)),0)</f>
        <v>9</v>
      </c>
      <c r="AZ866" s="5">
        <f>IF(S866&gt;0,RANK(S866,(N866:P866,Q866:AE866)),0)</f>
        <v>7</v>
      </c>
      <c r="BA866" s="2">
        <f t="shared" si="373"/>
        <v>2.9900744416873449E-2</v>
      </c>
      <c r="BB866" s="2">
        <f t="shared" si="374"/>
        <v>7.4441687344913151E-3</v>
      </c>
      <c r="BC866" s="2">
        <f t="shared" si="375"/>
        <v>3.7220843672456576E-4</v>
      </c>
      <c r="BD866" s="2">
        <f t="shared" si="376"/>
        <v>5.3349875930521094E-3</v>
      </c>
      <c r="BF866" t="s">
        <v>2935</v>
      </c>
      <c r="BG866" t="s">
        <v>1622</v>
      </c>
      <c r="BH866">
        <v>4</v>
      </c>
      <c r="BJ866" s="114">
        <v>19</v>
      </c>
      <c r="BK866" s="116">
        <v>67</v>
      </c>
      <c r="BL866" s="120">
        <f t="shared" si="352"/>
        <v>19067</v>
      </c>
      <c r="BN866" s="5" t="s">
        <v>3154</v>
      </c>
      <c r="BO866" s="63">
        <v>86</v>
      </c>
      <c r="BP866" s="63">
        <v>13</v>
      </c>
      <c r="BR866" s="63"/>
    </row>
    <row r="867" spans="1:70" hidden="1" outlineLevel="1">
      <c r="A867" t="s">
        <v>1138</v>
      </c>
      <c r="B867" t="s">
        <v>1622</v>
      </c>
      <c r="C867" s="1">
        <f t="shared" si="366"/>
        <v>4968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6</v>
      </c>
      <c r="G867" s="132">
        <f t="shared" si="367"/>
        <v>1670</v>
      </c>
      <c r="H867" s="137">
        <f t="shared" si="368"/>
        <v>0.33615136876006441</v>
      </c>
      <c r="I867" s="2"/>
      <c r="J867" s="2">
        <f t="shared" si="369"/>
        <v>0.30052334943639292</v>
      </c>
      <c r="K867" s="2">
        <f t="shared" si="370"/>
        <v>0.63667471819645738</v>
      </c>
      <c r="L867" s="2">
        <f t="shared" si="371"/>
        <v>5.6360708534621577E-3</v>
      </c>
      <c r="M867" s="2">
        <f t="shared" si="372"/>
        <v>5.7165861513687549E-2</v>
      </c>
      <c r="N867" s="63">
        <v>1493</v>
      </c>
      <c r="O867" s="63">
        <v>3163</v>
      </c>
      <c r="P867" s="63">
        <v>28</v>
      </c>
      <c r="Q867" s="63">
        <v>188</v>
      </c>
      <c r="R867" s="63">
        <v>31</v>
      </c>
      <c r="S867" s="63">
        <v>16</v>
      </c>
      <c r="T867" s="63">
        <v>2</v>
      </c>
      <c r="U867" s="63"/>
      <c r="V867" s="63">
        <v>0</v>
      </c>
      <c r="W867" s="63">
        <v>38</v>
      </c>
      <c r="X867" s="63"/>
      <c r="Y867" s="63"/>
      <c r="Z867" s="63"/>
      <c r="AA867" s="63"/>
      <c r="AB867" s="63"/>
      <c r="AC867" s="63">
        <v>5</v>
      </c>
      <c r="AD867" s="63"/>
      <c r="AE867" s="63"/>
      <c r="AF867" s="63"/>
      <c r="AG867" s="63"/>
      <c r="AH867" s="63"/>
      <c r="AI867" s="63"/>
      <c r="AJ867" s="63"/>
      <c r="AK867" s="63"/>
      <c r="AL867" s="63">
        <v>4</v>
      </c>
      <c r="AM867" s="63"/>
      <c r="AN867" s="63"/>
      <c r="AO867" s="63"/>
      <c r="AP867" s="63"/>
      <c r="AQ867" s="63"/>
      <c r="AR867" s="63"/>
      <c r="AS867" s="63"/>
      <c r="AT867" s="63"/>
      <c r="AU867" s="63"/>
      <c r="AW867" s="5">
        <f>IF(Q867&gt;0,RANK(Q867,(N867:P867,Q867:AE867)),0)</f>
        <v>3</v>
      </c>
      <c r="AX867" s="5">
        <f>IF(R867&gt;0,RANK(R867,(N867:P867,Q867:AE867)),0)</f>
        <v>5</v>
      </c>
      <c r="AY867" s="5">
        <f>IF(T867&gt;0,RANK(T867,(N867:P867,Q867:AE867)),0)</f>
        <v>9</v>
      </c>
      <c r="AZ867" s="5">
        <f>IF(S867&gt;0,RANK(S867,(N867:P867,Q867:AE867)),0)</f>
        <v>7</v>
      </c>
      <c r="BA867" s="2">
        <f t="shared" si="373"/>
        <v>3.7842190016103061E-2</v>
      </c>
      <c r="BB867" s="2">
        <f t="shared" si="374"/>
        <v>6.2399355877616747E-3</v>
      </c>
      <c r="BC867" s="2">
        <f t="shared" si="375"/>
        <v>4.0257648953301127E-4</v>
      </c>
      <c r="BD867" s="2">
        <f t="shared" si="376"/>
        <v>3.2206119162640902E-3</v>
      </c>
      <c r="BF867" t="s">
        <v>1138</v>
      </c>
      <c r="BG867" t="s">
        <v>1622</v>
      </c>
      <c r="BH867">
        <v>4</v>
      </c>
      <c r="BJ867" s="114">
        <v>19</v>
      </c>
      <c r="BK867" s="116">
        <v>69</v>
      </c>
      <c r="BL867" s="120">
        <f t="shared" si="352"/>
        <v>19069</v>
      </c>
      <c r="BN867" s="5" t="s">
        <v>3154</v>
      </c>
      <c r="BO867" s="63">
        <v>65</v>
      </c>
      <c r="BP867" s="63">
        <v>13</v>
      </c>
      <c r="BR867" s="63"/>
    </row>
    <row r="868" spans="1:70" hidden="1" outlineLevel="1">
      <c r="A868" t="s">
        <v>1757</v>
      </c>
      <c r="B868" t="s">
        <v>1622</v>
      </c>
      <c r="C868" s="1">
        <f t="shared" si="366"/>
        <v>3595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6</v>
      </c>
      <c r="G868" s="132">
        <f t="shared" si="367"/>
        <v>1444</v>
      </c>
      <c r="H868" s="137">
        <f t="shared" si="368"/>
        <v>0.40166898470097356</v>
      </c>
      <c r="I868" s="2"/>
      <c r="J868" s="2">
        <f t="shared" si="369"/>
        <v>0.26787204450625868</v>
      </c>
      <c r="K868" s="2">
        <f t="shared" si="370"/>
        <v>0.66954102920723224</v>
      </c>
      <c r="L868" s="2">
        <f t="shared" si="371"/>
        <v>5.2851182197496526E-3</v>
      </c>
      <c r="M868" s="2">
        <f t="shared" si="372"/>
        <v>5.7301808066759427E-2</v>
      </c>
      <c r="N868" s="63">
        <v>963</v>
      </c>
      <c r="O868" s="63">
        <v>2407</v>
      </c>
      <c r="P868" s="63">
        <v>19</v>
      </c>
      <c r="Q868" s="63">
        <v>115</v>
      </c>
      <c r="R868" s="63">
        <v>21</v>
      </c>
      <c r="S868" s="63">
        <v>15</v>
      </c>
      <c r="T868" s="63">
        <v>3</v>
      </c>
      <c r="U868" s="63"/>
      <c r="V868" s="63">
        <v>2</v>
      </c>
      <c r="W868" s="63">
        <v>31</v>
      </c>
      <c r="X868" s="63"/>
      <c r="Y868" s="63"/>
      <c r="Z868" s="63"/>
      <c r="AA868" s="63"/>
      <c r="AB868" s="63"/>
      <c r="AC868" s="63">
        <v>10</v>
      </c>
      <c r="AD868" s="63"/>
      <c r="AE868" s="63"/>
      <c r="AF868" s="63"/>
      <c r="AG868" s="63"/>
      <c r="AH868" s="63"/>
      <c r="AI868" s="63"/>
      <c r="AJ868" s="63"/>
      <c r="AK868" s="63"/>
      <c r="AL868" s="63">
        <v>9</v>
      </c>
      <c r="AM868" s="63"/>
      <c r="AN868" s="63"/>
      <c r="AO868" s="63"/>
      <c r="AP868" s="63"/>
      <c r="AQ868" s="63"/>
      <c r="AR868" s="63"/>
      <c r="AS868" s="63"/>
      <c r="AT868" s="63"/>
      <c r="AU868" s="63"/>
      <c r="AW868" s="5">
        <f>IF(Q868&gt;0,RANK(Q868,(N868:P868,Q868:AE868)),0)</f>
        <v>3</v>
      </c>
      <c r="AX868" s="5">
        <f>IF(R868&gt;0,RANK(R868,(N868:P868,Q868:AE868)),0)</f>
        <v>5</v>
      </c>
      <c r="AY868" s="5">
        <f>IF(T868&gt;0,RANK(T868,(N868:P868,Q868:AE868)),0)</f>
        <v>9</v>
      </c>
      <c r="AZ868" s="5">
        <f>IF(S868&gt;0,RANK(S868,(N868:P868,Q868:AE868)),0)</f>
        <v>7</v>
      </c>
      <c r="BA868" s="2">
        <f t="shared" si="373"/>
        <v>3.1988873435326845E-2</v>
      </c>
      <c r="BB868" s="2">
        <f t="shared" si="374"/>
        <v>5.8414464534075105E-3</v>
      </c>
      <c r="BC868" s="2">
        <f t="shared" si="375"/>
        <v>8.3449235048678721E-4</v>
      </c>
      <c r="BD868" s="2">
        <f t="shared" si="376"/>
        <v>4.172461752433936E-3</v>
      </c>
      <c r="BF868" t="s">
        <v>1757</v>
      </c>
      <c r="BG868" t="s">
        <v>1622</v>
      </c>
      <c r="BH868">
        <v>3</v>
      </c>
      <c r="BJ868" s="114">
        <v>19</v>
      </c>
      <c r="BK868" s="116">
        <v>71</v>
      </c>
      <c r="BL868" s="120">
        <f t="shared" si="352"/>
        <v>19071</v>
      </c>
      <c r="BN868" s="5" t="s">
        <v>3154</v>
      </c>
      <c r="BO868" s="63">
        <v>33</v>
      </c>
      <c r="BP868" s="63">
        <v>5</v>
      </c>
      <c r="BR868" s="63"/>
    </row>
    <row r="869" spans="1:70" hidden="1" outlineLevel="1">
      <c r="A869" t="s">
        <v>2189</v>
      </c>
      <c r="B869" t="s">
        <v>1622</v>
      </c>
      <c r="C869" s="1">
        <f t="shared" si="366"/>
        <v>4821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6</v>
      </c>
      <c r="G869" s="132">
        <f t="shared" si="367"/>
        <v>1129</v>
      </c>
      <c r="H869" s="137">
        <f t="shared" si="368"/>
        <v>0.23418377929890064</v>
      </c>
      <c r="I869" s="2"/>
      <c r="J869" s="2">
        <f t="shared" si="369"/>
        <v>0.35075710433520019</v>
      </c>
      <c r="K869" s="2">
        <f t="shared" si="370"/>
        <v>0.58494088363410079</v>
      </c>
      <c r="L869" s="2">
        <f t="shared" si="371"/>
        <v>6.015349512549264E-3</v>
      </c>
      <c r="M869" s="2">
        <f t="shared" si="372"/>
        <v>5.82866625181497E-2</v>
      </c>
      <c r="N869" s="63">
        <v>1691</v>
      </c>
      <c r="O869" s="63">
        <v>2820</v>
      </c>
      <c r="P869" s="63">
        <v>29</v>
      </c>
      <c r="Q869" s="63">
        <v>160</v>
      </c>
      <c r="R869" s="63">
        <v>31</v>
      </c>
      <c r="S869" s="63">
        <v>20</v>
      </c>
      <c r="T869" s="63">
        <v>1</v>
      </c>
      <c r="U869" s="63"/>
      <c r="V869" s="63">
        <v>1</v>
      </c>
      <c r="W869" s="63">
        <v>55</v>
      </c>
      <c r="X869" s="63"/>
      <c r="Y869" s="63"/>
      <c r="Z869" s="63"/>
      <c r="AA869" s="63"/>
      <c r="AB869" s="63"/>
      <c r="AC869" s="63">
        <v>9</v>
      </c>
      <c r="AD869" s="63"/>
      <c r="AE869" s="63"/>
      <c r="AF869" s="63"/>
      <c r="AG869" s="63"/>
      <c r="AH869" s="63"/>
      <c r="AI869" s="63"/>
      <c r="AJ869" s="63"/>
      <c r="AK869" s="63"/>
      <c r="AL869" s="63">
        <v>4</v>
      </c>
      <c r="AM869" s="63"/>
      <c r="AN869" s="63"/>
      <c r="AO869" s="63"/>
      <c r="AP869" s="63"/>
      <c r="AQ869" s="63"/>
      <c r="AR869" s="63"/>
      <c r="AS869" s="63"/>
      <c r="AT869" s="63"/>
      <c r="AU869" s="63"/>
      <c r="AW869" s="5">
        <f>IF(Q869&gt;0,RANK(Q869,(N869:P869,Q869:AE869)),0)</f>
        <v>3</v>
      </c>
      <c r="AX869" s="5">
        <f>IF(R869&gt;0,RANK(R869,(N869:P869,Q869:AE869)),0)</f>
        <v>5</v>
      </c>
      <c r="AY869" s="5">
        <f>IF(T869&gt;0,RANK(T869,(N869:P869,Q869:AE869)),0)</f>
        <v>9</v>
      </c>
      <c r="AZ869" s="5">
        <f>IF(S869&gt;0,RANK(S869,(N869:P869,Q869:AE869)),0)</f>
        <v>7</v>
      </c>
      <c r="BA869" s="2">
        <f t="shared" si="373"/>
        <v>3.3188135241651109E-2</v>
      </c>
      <c r="BB869" s="2">
        <f t="shared" si="374"/>
        <v>6.4302012030699029E-3</v>
      </c>
      <c r="BC869" s="2">
        <f t="shared" si="375"/>
        <v>2.0742584526031943E-4</v>
      </c>
      <c r="BD869" s="2">
        <f t="shared" si="376"/>
        <v>4.1485169052063887E-3</v>
      </c>
      <c r="BF869" t="s">
        <v>2189</v>
      </c>
      <c r="BG869" t="s">
        <v>1622</v>
      </c>
      <c r="BH869">
        <v>4</v>
      </c>
      <c r="BJ869" s="114">
        <v>19</v>
      </c>
      <c r="BK869" s="116">
        <v>73</v>
      </c>
      <c r="BL869" s="120">
        <f t="shared" si="352"/>
        <v>19073</v>
      </c>
      <c r="BN869" s="5" t="s">
        <v>3154</v>
      </c>
      <c r="BO869" s="63">
        <v>49</v>
      </c>
      <c r="BP869" s="63">
        <v>6</v>
      </c>
      <c r="BR869" s="63"/>
    </row>
    <row r="870" spans="1:70" hidden="1" outlineLevel="1">
      <c r="A870" t="s">
        <v>648</v>
      </c>
      <c r="B870" t="s">
        <v>1622</v>
      </c>
      <c r="C870" s="1">
        <f t="shared" si="366"/>
        <v>6872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5</v>
      </c>
      <c r="G870" s="132">
        <f t="shared" si="367"/>
        <v>2671</v>
      </c>
      <c r="H870" s="137">
        <f t="shared" si="368"/>
        <v>0.38867869615832362</v>
      </c>
      <c r="I870" s="2"/>
      <c r="J870" s="2">
        <f t="shared" si="369"/>
        <v>0.270081490104773</v>
      </c>
      <c r="K870" s="2">
        <f t="shared" si="370"/>
        <v>0.65876018626309663</v>
      </c>
      <c r="L870" s="2">
        <f t="shared" si="371"/>
        <v>7.2759022118742724E-3</v>
      </c>
      <c r="M870" s="2">
        <f t="shared" si="372"/>
        <v>6.3882421420256102E-2</v>
      </c>
      <c r="N870" s="63">
        <v>1856</v>
      </c>
      <c r="O870" s="63">
        <v>4527</v>
      </c>
      <c r="P870" s="63">
        <v>50</v>
      </c>
      <c r="Q870" s="63">
        <v>233</v>
      </c>
      <c r="R870" s="63">
        <v>38</v>
      </c>
      <c r="S870" s="63">
        <v>37</v>
      </c>
      <c r="T870" s="63">
        <v>3</v>
      </c>
      <c r="U870" s="63"/>
      <c r="V870" s="63">
        <v>0</v>
      </c>
      <c r="W870" s="63">
        <v>96</v>
      </c>
      <c r="X870" s="63"/>
      <c r="Y870" s="63"/>
      <c r="Z870" s="63"/>
      <c r="AA870" s="63"/>
      <c r="AB870" s="63"/>
      <c r="AC870" s="63">
        <v>11</v>
      </c>
      <c r="AD870" s="63"/>
      <c r="AE870" s="63"/>
      <c r="AF870" s="63"/>
      <c r="AG870" s="63"/>
      <c r="AH870" s="63"/>
      <c r="AI870" s="63"/>
      <c r="AJ870" s="63"/>
      <c r="AK870" s="63"/>
      <c r="AL870" s="63">
        <v>21</v>
      </c>
      <c r="AM870" s="63"/>
      <c r="AN870" s="63"/>
      <c r="AO870" s="63"/>
      <c r="AP870" s="63"/>
      <c r="AQ870" s="63"/>
      <c r="AR870" s="63"/>
      <c r="AS870" s="63"/>
      <c r="AT870" s="63"/>
      <c r="AU870" s="63"/>
      <c r="AW870" s="5">
        <f>IF(Q870&gt;0,RANK(Q870,(N870:P870,Q870:AE870)),0)</f>
        <v>3</v>
      </c>
      <c r="AX870" s="5">
        <f>IF(R870&gt;0,RANK(R870,(N870:P870,Q870:AE870)),0)</f>
        <v>6</v>
      </c>
      <c r="AY870" s="5">
        <f>IF(T870&gt;0,RANK(T870,(N870:P870,Q870:AE870)),0)</f>
        <v>9</v>
      </c>
      <c r="AZ870" s="5">
        <f>IF(S870&gt;0,RANK(S870,(N870:P870,Q870:AE870)),0)</f>
        <v>7</v>
      </c>
      <c r="BA870" s="2">
        <f t="shared" si="373"/>
        <v>3.3905704307334111E-2</v>
      </c>
      <c r="BB870" s="2">
        <f t="shared" si="374"/>
        <v>5.5296856810244472E-3</v>
      </c>
      <c r="BC870" s="2">
        <f t="shared" si="375"/>
        <v>4.3655413271245633E-4</v>
      </c>
      <c r="BD870" s="2">
        <f t="shared" si="376"/>
        <v>5.3841676367869613E-3</v>
      </c>
      <c r="BF870" t="s">
        <v>648</v>
      </c>
      <c r="BG870" t="s">
        <v>1622</v>
      </c>
      <c r="BH870">
        <v>4</v>
      </c>
      <c r="BJ870" s="114">
        <v>19</v>
      </c>
      <c r="BK870" s="116">
        <v>75</v>
      </c>
      <c r="BL870" s="120">
        <f t="shared" si="352"/>
        <v>19075</v>
      </c>
      <c r="BN870" s="5" t="s">
        <v>3154</v>
      </c>
      <c r="BO870" s="63">
        <v>71</v>
      </c>
      <c r="BP870" s="63">
        <v>1</v>
      </c>
      <c r="BR870" s="63"/>
    </row>
    <row r="871" spans="1:70" hidden="1" outlineLevel="1">
      <c r="A871" t="s">
        <v>1745</v>
      </c>
      <c r="B871" t="s">
        <v>1622</v>
      </c>
      <c r="C871" s="1">
        <f t="shared" si="366"/>
        <v>5750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7</v>
      </c>
      <c r="G871" s="132">
        <f t="shared" si="367"/>
        <v>1896</v>
      </c>
      <c r="H871" s="137">
        <f t="shared" si="368"/>
        <v>0.32973913043478259</v>
      </c>
      <c r="I871" s="2"/>
      <c r="J871" s="2">
        <f t="shared" si="369"/>
        <v>0.30121739130434783</v>
      </c>
      <c r="K871" s="2">
        <f t="shared" si="370"/>
        <v>0.63095652173913042</v>
      </c>
      <c r="L871" s="2">
        <f t="shared" si="371"/>
        <v>3.1304347826086958E-3</v>
      </c>
      <c r="M871" s="2">
        <f t="shared" si="372"/>
        <v>6.4695652173913001E-2</v>
      </c>
      <c r="N871" s="63">
        <v>1732</v>
      </c>
      <c r="O871" s="63">
        <v>3628</v>
      </c>
      <c r="P871" s="63">
        <v>18</v>
      </c>
      <c r="Q871" s="63">
        <v>258</v>
      </c>
      <c r="R871" s="63">
        <v>19</v>
      </c>
      <c r="S871" s="63">
        <v>20</v>
      </c>
      <c r="T871" s="63">
        <v>0</v>
      </c>
      <c r="U871" s="63"/>
      <c r="V871" s="63">
        <v>0</v>
      </c>
      <c r="W871" s="63">
        <v>53</v>
      </c>
      <c r="X871" s="63"/>
      <c r="Y871" s="63"/>
      <c r="Z871" s="63"/>
      <c r="AA871" s="63"/>
      <c r="AB871" s="63"/>
      <c r="AC871" s="63">
        <v>15</v>
      </c>
      <c r="AD871" s="63"/>
      <c r="AE871" s="63"/>
      <c r="AF871" s="63"/>
      <c r="AG871" s="63"/>
      <c r="AH871" s="63"/>
      <c r="AI871" s="63"/>
      <c r="AJ871" s="63"/>
      <c r="AK871" s="63"/>
      <c r="AL871" s="63">
        <v>7</v>
      </c>
      <c r="AM871" s="63"/>
      <c r="AN871" s="63"/>
      <c r="AO871" s="63"/>
      <c r="AP871" s="63"/>
      <c r="AQ871" s="63"/>
      <c r="AR871" s="63"/>
      <c r="AS871" s="63"/>
      <c r="AT871" s="63"/>
      <c r="AU871" s="63"/>
      <c r="AW871" s="5">
        <f>IF(Q871&gt;0,RANK(Q871,(N871:P871,Q871:AE871)),0)</f>
        <v>3</v>
      </c>
      <c r="AX871" s="5">
        <f>IF(R871&gt;0,RANK(R871,(N871:P871,Q871:AE871)),0)</f>
        <v>6</v>
      </c>
      <c r="AY871" s="5">
        <f>IF(T871&gt;0,RANK(T871,(N871:P871,Q871:AE871)),0)</f>
        <v>0</v>
      </c>
      <c r="AZ871" s="5">
        <f>IF(S871&gt;0,RANK(S871,(N871:P871,Q871:AE871)),0)</f>
        <v>5</v>
      </c>
      <c r="BA871" s="2">
        <f t="shared" si="373"/>
        <v>4.4869565217391306E-2</v>
      </c>
      <c r="BB871" s="2">
        <f t="shared" si="374"/>
        <v>3.3043478260869567E-3</v>
      </c>
      <c r="BC871" s="2">
        <f t="shared" si="375"/>
        <v>0</v>
      </c>
      <c r="BD871" s="2">
        <f t="shared" si="376"/>
        <v>3.4782608695652175E-3</v>
      </c>
      <c r="BF871" t="s">
        <v>1745</v>
      </c>
      <c r="BG871" t="s">
        <v>1622</v>
      </c>
      <c r="BH871">
        <v>3</v>
      </c>
      <c r="BJ871" s="114">
        <v>19</v>
      </c>
      <c r="BK871" s="116">
        <v>77</v>
      </c>
      <c r="BL871" s="120">
        <f t="shared" si="352"/>
        <v>19077</v>
      </c>
      <c r="BN871" s="5" t="s">
        <v>3154</v>
      </c>
      <c r="BO871" s="63">
        <v>61</v>
      </c>
      <c r="BP871" s="63">
        <v>5</v>
      </c>
      <c r="BR871" s="63"/>
    </row>
    <row r="872" spans="1:70" hidden="1" outlineLevel="1">
      <c r="A872" t="s">
        <v>2646</v>
      </c>
      <c r="B872" t="s">
        <v>1622</v>
      </c>
      <c r="C872" s="1">
        <f t="shared" si="366"/>
        <v>7694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5</v>
      </c>
      <c r="G872" s="132">
        <f t="shared" si="367"/>
        <v>1737</v>
      </c>
      <c r="H872" s="137">
        <f t="shared" si="368"/>
        <v>0.2257603327268001</v>
      </c>
      <c r="I872" s="2"/>
      <c r="J872" s="2">
        <f t="shared" si="369"/>
        <v>0.35430205354821936</v>
      </c>
      <c r="K872" s="2">
        <f t="shared" si="370"/>
        <v>0.58006238627501949</v>
      </c>
      <c r="L872" s="2">
        <f t="shared" si="371"/>
        <v>8.838055627761892E-3</v>
      </c>
      <c r="M872" s="2">
        <f t="shared" si="372"/>
        <v>5.6797504548999303E-2</v>
      </c>
      <c r="N872" s="63">
        <v>2726</v>
      </c>
      <c r="O872" s="63">
        <v>4463</v>
      </c>
      <c r="P872" s="63">
        <v>68</v>
      </c>
      <c r="Q872" s="63">
        <v>259</v>
      </c>
      <c r="R872" s="63">
        <v>31</v>
      </c>
      <c r="S872" s="63">
        <v>51</v>
      </c>
      <c r="T872" s="63">
        <v>3</v>
      </c>
      <c r="U872" s="63"/>
      <c r="V872" s="63">
        <v>0</v>
      </c>
      <c r="W872" s="63">
        <v>80</v>
      </c>
      <c r="X872" s="63"/>
      <c r="Y872" s="63"/>
      <c r="Z872" s="63"/>
      <c r="AA872" s="63"/>
      <c r="AB872" s="63"/>
      <c r="AC872" s="63">
        <v>5</v>
      </c>
      <c r="AD872" s="63"/>
      <c r="AE872" s="63"/>
      <c r="AF872" s="63"/>
      <c r="AG872" s="63"/>
      <c r="AH872" s="63"/>
      <c r="AI872" s="63"/>
      <c r="AJ872" s="63"/>
      <c r="AK872" s="63"/>
      <c r="AL872" s="63">
        <v>8</v>
      </c>
      <c r="AM872" s="63"/>
      <c r="AN872" s="63"/>
      <c r="AO872" s="63"/>
      <c r="AP872" s="63"/>
      <c r="AQ872" s="63"/>
      <c r="AR872" s="63"/>
      <c r="AS872" s="63"/>
      <c r="AT872" s="63"/>
      <c r="AU872" s="63"/>
      <c r="AW872" s="5">
        <f>IF(Q872&gt;0,RANK(Q872,(N872:P872,Q872:AE872)),0)</f>
        <v>3</v>
      </c>
      <c r="AX872" s="5">
        <f>IF(R872&gt;0,RANK(R872,(N872:P872,Q872:AE872)),0)</f>
        <v>7</v>
      </c>
      <c r="AY872" s="5">
        <f>IF(T872&gt;0,RANK(T872,(N872:P872,Q872:AE872)),0)</f>
        <v>9</v>
      </c>
      <c r="AZ872" s="5">
        <f>IF(S872&gt;0,RANK(S872,(N872:P872,Q872:AE872)),0)</f>
        <v>6</v>
      </c>
      <c r="BA872" s="2">
        <f t="shared" si="373"/>
        <v>3.3662594229269559E-2</v>
      </c>
      <c r="BB872" s="2">
        <f t="shared" si="374"/>
        <v>4.0291135950090984E-3</v>
      </c>
      <c r="BC872" s="2">
        <f t="shared" si="375"/>
        <v>3.8991421887184821E-4</v>
      </c>
      <c r="BD872" s="2">
        <f t="shared" si="376"/>
        <v>6.628541720821419E-3</v>
      </c>
      <c r="BF872" t="s">
        <v>2646</v>
      </c>
      <c r="BG872" t="s">
        <v>1622</v>
      </c>
      <c r="BH872">
        <v>4</v>
      </c>
      <c r="BJ872" s="114">
        <v>19</v>
      </c>
      <c r="BK872" s="116">
        <v>79</v>
      </c>
      <c r="BL872" s="120">
        <f t="shared" ref="BL872:BL935" si="377">1000*BJ872+BK872</f>
        <v>19079</v>
      </c>
      <c r="BN872" s="5" t="s">
        <v>3154</v>
      </c>
      <c r="BO872" s="63">
        <v>68</v>
      </c>
      <c r="BP872" s="63">
        <v>23</v>
      </c>
      <c r="BR872" s="63"/>
    </row>
    <row r="873" spans="1:70" hidden="1" outlineLevel="1">
      <c r="A873" t="s">
        <v>597</v>
      </c>
      <c r="B873" t="s">
        <v>1622</v>
      </c>
      <c r="C873" s="1">
        <f t="shared" si="366"/>
        <v>5871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5</v>
      </c>
      <c r="G873" s="132">
        <f t="shared" si="367"/>
        <v>2390</v>
      </c>
      <c r="H873" s="137">
        <f t="shared" si="368"/>
        <v>0.4070856753534321</v>
      </c>
      <c r="I873" s="2"/>
      <c r="J873" s="2">
        <f t="shared" si="369"/>
        <v>0.27031170158405721</v>
      </c>
      <c r="K873" s="2">
        <f t="shared" si="370"/>
        <v>0.67739737693748936</v>
      </c>
      <c r="L873" s="2">
        <f t="shared" si="371"/>
        <v>5.2801907681825928E-3</v>
      </c>
      <c r="M873" s="2">
        <f t="shared" si="372"/>
        <v>4.7010730710270787E-2</v>
      </c>
      <c r="N873" s="63">
        <v>1587</v>
      </c>
      <c r="O873" s="63">
        <v>3977</v>
      </c>
      <c r="P873" s="63">
        <v>31</v>
      </c>
      <c r="Q873" s="63">
        <v>166</v>
      </c>
      <c r="R873" s="63">
        <v>24</v>
      </c>
      <c r="S873" s="63">
        <v>23</v>
      </c>
      <c r="T873" s="63">
        <v>1</v>
      </c>
      <c r="U873" s="63"/>
      <c r="V873" s="63">
        <v>0</v>
      </c>
      <c r="W873" s="63">
        <v>41</v>
      </c>
      <c r="X873" s="63"/>
      <c r="Y873" s="63"/>
      <c r="Z873" s="63"/>
      <c r="AA873" s="63"/>
      <c r="AB873" s="63"/>
      <c r="AC873" s="63">
        <v>8</v>
      </c>
      <c r="AD873" s="63"/>
      <c r="AE873" s="63"/>
      <c r="AF873" s="63"/>
      <c r="AG873" s="63"/>
      <c r="AH873" s="63"/>
      <c r="AI873" s="63"/>
      <c r="AJ873" s="63"/>
      <c r="AK873" s="63"/>
      <c r="AL873" s="63">
        <v>13</v>
      </c>
      <c r="AM873" s="63"/>
      <c r="AN873" s="63"/>
      <c r="AO873" s="63"/>
      <c r="AP873" s="63"/>
      <c r="AQ873" s="63"/>
      <c r="AR873" s="63"/>
      <c r="AS873" s="63"/>
      <c r="AT873" s="63"/>
      <c r="AU873" s="63"/>
      <c r="AW873" s="5">
        <f>IF(Q873&gt;0,RANK(Q873,(N873:P873,Q873:AE873)),0)</f>
        <v>3</v>
      </c>
      <c r="AX873" s="5">
        <f>IF(R873&gt;0,RANK(R873,(N873:P873,Q873:AE873)),0)</f>
        <v>6</v>
      </c>
      <c r="AY873" s="5">
        <f>IF(T873&gt;0,RANK(T873,(N873:P873,Q873:AE873)),0)</f>
        <v>9</v>
      </c>
      <c r="AZ873" s="5">
        <f>IF(S873&gt;0,RANK(S873,(N873:P873,Q873:AE873)),0)</f>
        <v>7</v>
      </c>
      <c r="BA873" s="2">
        <f t="shared" si="373"/>
        <v>2.8274569919945494E-2</v>
      </c>
      <c r="BB873" s="2">
        <f t="shared" si="374"/>
        <v>4.087889626980072E-3</v>
      </c>
      <c r="BC873" s="2">
        <f t="shared" si="375"/>
        <v>1.7032873445750298E-4</v>
      </c>
      <c r="BD873" s="2">
        <f t="shared" si="376"/>
        <v>3.9175608925225685E-3</v>
      </c>
      <c r="BF873" t="s">
        <v>597</v>
      </c>
      <c r="BG873" t="s">
        <v>1622</v>
      </c>
      <c r="BH873">
        <v>4</v>
      </c>
      <c r="BJ873" s="114">
        <v>19</v>
      </c>
      <c r="BK873" s="116">
        <v>81</v>
      </c>
      <c r="BL873" s="120">
        <f t="shared" si="377"/>
        <v>19081</v>
      </c>
      <c r="BN873" s="5" t="s">
        <v>3154</v>
      </c>
      <c r="BO873" s="63">
        <v>50</v>
      </c>
      <c r="BP873" s="63">
        <v>12</v>
      </c>
      <c r="BR873" s="63"/>
    </row>
    <row r="874" spans="1:70" hidden="1" outlineLevel="1">
      <c r="A874" t="s">
        <v>1648</v>
      </c>
      <c r="B874" t="s">
        <v>1622</v>
      </c>
      <c r="C874" s="1">
        <f t="shared" si="366"/>
        <v>8533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4</v>
      </c>
      <c r="G874" s="132">
        <f t="shared" si="367"/>
        <v>2467</v>
      </c>
      <c r="H874" s="137">
        <f t="shared" si="368"/>
        <v>0.28911285597093639</v>
      </c>
      <c r="I874" s="2"/>
      <c r="J874" s="2">
        <f t="shared" si="369"/>
        <v>0.32661432087190906</v>
      </c>
      <c r="K874" s="2">
        <f t="shared" si="370"/>
        <v>0.61572717684284539</v>
      </c>
      <c r="L874" s="2">
        <f t="shared" si="371"/>
        <v>8.0862533692722376E-3</v>
      </c>
      <c r="M874" s="2">
        <f t="shared" si="372"/>
        <v>4.9572248915973366E-2</v>
      </c>
      <c r="N874" s="63">
        <v>2787</v>
      </c>
      <c r="O874" s="63">
        <v>5254</v>
      </c>
      <c r="P874" s="63">
        <v>69</v>
      </c>
      <c r="Q874" s="63">
        <v>298</v>
      </c>
      <c r="R874" s="63">
        <v>28</v>
      </c>
      <c r="S874" s="63">
        <v>8</v>
      </c>
      <c r="T874" s="63">
        <v>4</v>
      </c>
      <c r="U874" s="63"/>
      <c r="V874" s="63">
        <v>4</v>
      </c>
      <c r="W874" s="63">
        <v>69</v>
      </c>
      <c r="X874" s="63"/>
      <c r="Y874" s="63"/>
      <c r="Z874" s="63"/>
      <c r="AA874" s="63"/>
      <c r="AB874" s="63"/>
      <c r="AC874" s="63">
        <v>3</v>
      </c>
      <c r="AD874" s="63"/>
      <c r="AE874" s="63"/>
      <c r="AF874" s="63"/>
      <c r="AG874" s="63"/>
      <c r="AH874" s="63"/>
      <c r="AI874" s="63"/>
      <c r="AJ874" s="63"/>
      <c r="AK874" s="63"/>
      <c r="AL874" s="63">
        <v>9</v>
      </c>
      <c r="AM874" s="63"/>
      <c r="AN874" s="63"/>
      <c r="AO874" s="63"/>
      <c r="AP874" s="63"/>
      <c r="AQ874" s="63"/>
      <c r="AR874" s="63"/>
      <c r="AS874" s="63"/>
      <c r="AT874" s="63"/>
      <c r="AU874" s="63"/>
      <c r="AW874" s="5">
        <f>IF(Q874&gt;0,RANK(Q874,(N874:P874,Q874:AE874)),0)</f>
        <v>3</v>
      </c>
      <c r="AX874" s="5">
        <f>IF(R874&gt;0,RANK(R874,(N874:P874,Q874:AE874)),0)</f>
        <v>6</v>
      </c>
      <c r="AY874" s="5">
        <f>IF(T874&gt;0,RANK(T874,(N874:P874,Q874:AE874)),0)</f>
        <v>8</v>
      </c>
      <c r="AZ874" s="5">
        <f>IF(S874&gt;0,RANK(S874,(N874:P874,Q874:AE874)),0)</f>
        <v>7</v>
      </c>
      <c r="BA874" s="2">
        <f t="shared" si="373"/>
        <v>3.4923239189030821E-2</v>
      </c>
      <c r="BB874" s="2">
        <f t="shared" si="374"/>
        <v>3.2813781788351109E-3</v>
      </c>
      <c r="BC874" s="2">
        <f t="shared" si="375"/>
        <v>4.6876831126215867E-4</v>
      </c>
      <c r="BD874" s="2">
        <f t="shared" si="376"/>
        <v>9.3753662252431735E-4</v>
      </c>
      <c r="BF874" t="s">
        <v>1648</v>
      </c>
      <c r="BG874" t="s">
        <v>1622</v>
      </c>
      <c r="BH874">
        <v>4</v>
      </c>
      <c r="BJ874" s="114">
        <v>19</v>
      </c>
      <c r="BK874" s="116">
        <v>83</v>
      </c>
      <c r="BL874" s="120">
        <f t="shared" si="377"/>
        <v>19083</v>
      </c>
      <c r="BN874" s="5" t="s">
        <v>3154</v>
      </c>
      <c r="BO874" s="63">
        <v>85</v>
      </c>
      <c r="BP874" s="63">
        <v>21</v>
      </c>
      <c r="BR874" s="63"/>
    </row>
    <row r="875" spans="1:70" hidden="1" outlineLevel="1">
      <c r="A875" t="s">
        <v>875</v>
      </c>
      <c r="B875" t="s">
        <v>1622</v>
      </c>
      <c r="C875" s="1">
        <f t="shared" si="366"/>
        <v>7465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6</v>
      </c>
      <c r="G875" s="132">
        <f t="shared" si="367"/>
        <v>2771</v>
      </c>
      <c r="H875" s="137">
        <f t="shared" si="368"/>
        <v>0.37119892833221702</v>
      </c>
      <c r="I875" s="2"/>
      <c r="J875" s="2">
        <f t="shared" si="369"/>
        <v>0.28546550569323509</v>
      </c>
      <c r="K875" s="2">
        <f t="shared" si="370"/>
        <v>0.65666443402545216</v>
      </c>
      <c r="L875" s="2">
        <f t="shared" si="371"/>
        <v>5.2243804420629607E-3</v>
      </c>
      <c r="M875" s="2">
        <f t="shared" si="372"/>
        <v>5.2645679839249733E-2</v>
      </c>
      <c r="N875" s="63">
        <v>2131</v>
      </c>
      <c r="O875" s="63">
        <v>4902</v>
      </c>
      <c r="P875" s="63">
        <v>39</v>
      </c>
      <c r="Q875" s="63">
        <v>210</v>
      </c>
      <c r="R875" s="63">
        <v>50</v>
      </c>
      <c r="S875" s="63">
        <v>37</v>
      </c>
      <c r="T875" s="63">
        <v>3</v>
      </c>
      <c r="U875" s="63"/>
      <c r="V875" s="63">
        <v>1</v>
      </c>
      <c r="W875" s="63">
        <v>68</v>
      </c>
      <c r="X875" s="63"/>
      <c r="Y875" s="63"/>
      <c r="Z875" s="63"/>
      <c r="AA875" s="63"/>
      <c r="AB875" s="63"/>
      <c r="AC875" s="63">
        <v>7</v>
      </c>
      <c r="AD875" s="63"/>
      <c r="AE875" s="63"/>
      <c r="AF875" s="63"/>
      <c r="AG875" s="63"/>
      <c r="AH875" s="63"/>
      <c r="AI875" s="63"/>
      <c r="AJ875" s="63"/>
      <c r="AK875" s="63"/>
      <c r="AL875" s="63">
        <v>17</v>
      </c>
      <c r="AM875" s="63"/>
      <c r="AN875" s="63"/>
      <c r="AO875" s="63"/>
      <c r="AP875" s="63"/>
      <c r="AQ875" s="63"/>
      <c r="AR875" s="63"/>
      <c r="AS875" s="63"/>
      <c r="AT875" s="63"/>
      <c r="AU875" s="63"/>
      <c r="AW875" s="5">
        <f>IF(Q875&gt;0,RANK(Q875,(N875:P875,Q875:AE875)),0)</f>
        <v>3</v>
      </c>
      <c r="AX875" s="5">
        <f>IF(R875&gt;0,RANK(R875,(N875:P875,Q875:AE875)),0)</f>
        <v>5</v>
      </c>
      <c r="AY875" s="5">
        <f>IF(T875&gt;0,RANK(T875,(N875:P875,Q875:AE875)),0)</f>
        <v>9</v>
      </c>
      <c r="AZ875" s="5">
        <f>IF(S875&gt;0,RANK(S875,(N875:P875,Q875:AE875)),0)</f>
        <v>7</v>
      </c>
      <c r="BA875" s="2">
        <f t="shared" si="373"/>
        <v>2.813127930341594E-2</v>
      </c>
      <c r="BB875" s="2">
        <f t="shared" si="374"/>
        <v>6.6979236436704621E-3</v>
      </c>
      <c r="BC875" s="2">
        <f t="shared" si="375"/>
        <v>4.0187541862022773E-4</v>
      </c>
      <c r="BD875" s="2">
        <f t="shared" si="376"/>
        <v>4.9564634963161422E-3</v>
      </c>
      <c r="BF875" t="s">
        <v>875</v>
      </c>
      <c r="BG875" t="s">
        <v>1622</v>
      </c>
      <c r="BH875">
        <v>4</v>
      </c>
      <c r="BJ875" s="114">
        <v>19</v>
      </c>
      <c r="BK875" s="116">
        <v>85</v>
      </c>
      <c r="BL875" s="120">
        <f t="shared" si="377"/>
        <v>19085</v>
      </c>
      <c r="BN875" s="5" t="s">
        <v>3154</v>
      </c>
      <c r="BO875" s="63">
        <v>73</v>
      </c>
      <c r="BP875" s="63">
        <v>14</v>
      </c>
      <c r="BR875" s="63"/>
    </row>
    <row r="876" spans="1:70" hidden="1" outlineLevel="1">
      <c r="A876" t="s">
        <v>3123</v>
      </c>
      <c r="B876" t="s">
        <v>1622</v>
      </c>
      <c r="C876" s="1">
        <f t="shared" si="366"/>
        <v>9404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5</v>
      </c>
      <c r="G876" s="132">
        <f t="shared" si="367"/>
        <v>2875</v>
      </c>
      <c r="H876" s="137">
        <f t="shared" si="368"/>
        <v>0.30572096980008506</v>
      </c>
      <c r="I876" s="2"/>
      <c r="J876" s="2">
        <f t="shared" si="369"/>
        <v>0.30880476393024248</v>
      </c>
      <c r="K876" s="2">
        <f t="shared" si="370"/>
        <v>0.61452573373032748</v>
      </c>
      <c r="L876" s="2">
        <f t="shared" si="371"/>
        <v>1.0633772862611655E-2</v>
      </c>
      <c r="M876" s="2">
        <f t="shared" si="372"/>
        <v>6.6035729476818378E-2</v>
      </c>
      <c r="N876" s="63">
        <v>2904</v>
      </c>
      <c r="O876" s="63">
        <v>5779</v>
      </c>
      <c r="P876" s="63">
        <v>100</v>
      </c>
      <c r="Q876" s="63">
        <v>337</v>
      </c>
      <c r="R876" s="63">
        <v>113</v>
      </c>
      <c r="S876" s="63">
        <v>40</v>
      </c>
      <c r="T876" s="63">
        <v>4</v>
      </c>
      <c r="U876" s="63"/>
      <c r="V876" s="63">
        <v>4</v>
      </c>
      <c r="W876" s="63">
        <v>94</v>
      </c>
      <c r="X876" s="63"/>
      <c r="Y876" s="63"/>
      <c r="Z876" s="63"/>
      <c r="AA876" s="63"/>
      <c r="AB876" s="63"/>
      <c r="AC876" s="63">
        <v>15</v>
      </c>
      <c r="AD876" s="63"/>
      <c r="AE876" s="63"/>
      <c r="AF876" s="63"/>
      <c r="AG876" s="63"/>
      <c r="AH876" s="63"/>
      <c r="AI876" s="63"/>
      <c r="AJ876" s="63"/>
      <c r="AK876" s="63"/>
      <c r="AL876" s="63">
        <v>14</v>
      </c>
      <c r="AM876" s="63"/>
      <c r="AN876" s="63"/>
      <c r="AO876" s="63"/>
      <c r="AP876" s="63"/>
      <c r="AQ876" s="63"/>
      <c r="AR876" s="63"/>
      <c r="AS876" s="63"/>
      <c r="AT876" s="63"/>
      <c r="AU876" s="63"/>
      <c r="AW876" s="5">
        <f>IF(Q876&gt;0,RANK(Q876,(N876:P876,Q876:AE876)),0)</f>
        <v>3</v>
      </c>
      <c r="AX876" s="5">
        <f>IF(R876&gt;0,RANK(R876,(N876:P876,Q876:AE876)),0)</f>
        <v>4</v>
      </c>
      <c r="AY876" s="5">
        <f>IF(T876&gt;0,RANK(T876,(N876:P876,Q876:AE876)),0)</f>
        <v>9</v>
      </c>
      <c r="AZ876" s="5">
        <f>IF(S876&gt;0,RANK(S876,(N876:P876,Q876:AE876)),0)</f>
        <v>7</v>
      </c>
      <c r="BA876" s="2">
        <f t="shared" si="373"/>
        <v>3.5835814547001278E-2</v>
      </c>
      <c r="BB876" s="2">
        <f t="shared" si="374"/>
        <v>1.2016163334751169E-2</v>
      </c>
      <c r="BC876" s="2">
        <f t="shared" si="375"/>
        <v>4.253509145044662E-4</v>
      </c>
      <c r="BD876" s="2">
        <f t="shared" si="376"/>
        <v>4.253509145044662E-3</v>
      </c>
      <c r="BF876" t="s">
        <v>3123</v>
      </c>
      <c r="BG876" t="s">
        <v>1622</v>
      </c>
      <c r="BH876">
        <v>2</v>
      </c>
      <c r="BJ876" s="114">
        <v>19</v>
      </c>
      <c r="BK876" s="116">
        <v>87</v>
      </c>
      <c r="BL876" s="120">
        <f t="shared" si="377"/>
        <v>19087</v>
      </c>
      <c r="BN876" s="5" t="s">
        <v>3154</v>
      </c>
      <c r="BO876" s="63">
        <v>73</v>
      </c>
      <c r="BP876" s="63">
        <v>23</v>
      </c>
      <c r="BR876" s="63"/>
    </row>
    <row r="877" spans="1:70" hidden="1" outlineLevel="1">
      <c r="A877" t="s">
        <v>1049</v>
      </c>
      <c r="B877" t="s">
        <v>1622</v>
      </c>
      <c r="C877" s="1">
        <f t="shared" si="366"/>
        <v>4559</v>
      </c>
      <c r="D877" s="5">
        <f>IF(N877&gt;0, RANK(N877,(N877:P877,Q877:AE877)),0)</f>
        <v>2</v>
      </c>
      <c r="E877" s="5">
        <f>IF(O877&gt;0,RANK(O877,(N877:P877,Q877:AE877)),0)</f>
        <v>1</v>
      </c>
      <c r="F877" s="5">
        <f>IF(P877&gt;0,RANK(P877,(N877:P877,Q877:AE877)),0)</f>
        <v>6</v>
      </c>
      <c r="G877" s="132">
        <f t="shared" si="367"/>
        <v>934</v>
      </c>
      <c r="H877" s="137">
        <f t="shared" si="368"/>
        <v>0.20486948892300944</v>
      </c>
      <c r="I877" s="2"/>
      <c r="J877" s="2">
        <f t="shared" si="369"/>
        <v>0.36784382540030708</v>
      </c>
      <c r="K877" s="2">
        <f t="shared" si="370"/>
        <v>0.57271331432331651</v>
      </c>
      <c r="L877" s="2">
        <f t="shared" si="371"/>
        <v>3.290195218249616E-3</v>
      </c>
      <c r="M877" s="2">
        <f t="shared" si="372"/>
        <v>5.6152665058126737E-2</v>
      </c>
      <c r="N877" s="63">
        <v>1677</v>
      </c>
      <c r="O877" s="63">
        <v>2611</v>
      </c>
      <c r="P877" s="63">
        <v>15</v>
      </c>
      <c r="Q877" s="63">
        <v>131</v>
      </c>
      <c r="R877" s="63">
        <v>38</v>
      </c>
      <c r="S877" s="63">
        <v>15</v>
      </c>
      <c r="T877" s="63">
        <v>0</v>
      </c>
      <c r="U877" s="63"/>
      <c r="V877" s="63">
        <v>1</v>
      </c>
      <c r="W877" s="63">
        <v>47</v>
      </c>
      <c r="X877" s="63"/>
      <c r="Y877" s="63"/>
      <c r="Z877" s="63"/>
      <c r="AA877" s="63"/>
      <c r="AB877" s="63"/>
      <c r="AC877" s="63">
        <v>13</v>
      </c>
      <c r="AD877" s="63"/>
      <c r="AE877" s="63"/>
      <c r="AF877" s="63"/>
      <c r="AG877" s="63"/>
      <c r="AH877" s="63"/>
      <c r="AI877" s="63"/>
      <c r="AJ877" s="63"/>
      <c r="AK877" s="63"/>
      <c r="AL877" s="63">
        <v>11</v>
      </c>
      <c r="AM877" s="63"/>
      <c r="AN877" s="63"/>
      <c r="AO877" s="63"/>
      <c r="AP877" s="63"/>
      <c r="AQ877" s="63"/>
      <c r="AR877" s="63"/>
      <c r="AS877" s="63"/>
      <c r="AT877" s="63"/>
      <c r="AU877" s="63"/>
      <c r="AW877" s="5">
        <f>IF(Q877&gt;0,RANK(Q877,(N877:P877,Q877:AE877)),0)</f>
        <v>3</v>
      </c>
      <c r="AX877" s="5">
        <f>IF(R877&gt;0,RANK(R877,(N877:P877,Q877:AE877)),0)</f>
        <v>5</v>
      </c>
      <c r="AY877" s="5">
        <f>IF(T877&gt;0,RANK(T877,(N877:P877,Q877:AE877)),0)</f>
        <v>0</v>
      </c>
      <c r="AZ877" s="5">
        <f>IF(S877&gt;0,RANK(S877,(N877:P877,Q877:AE877)),0)</f>
        <v>6</v>
      </c>
      <c r="BA877" s="2">
        <f t="shared" si="373"/>
        <v>2.8734371572713316E-2</v>
      </c>
      <c r="BB877" s="2">
        <f t="shared" si="374"/>
        <v>8.3351612195656944E-3</v>
      </c>
      <c r="BC877" s="2">
        <f t="shared" si="375"/>
        <v>0</v>
      </c>
      <c r="BD877" s="2">
        <f t="shared" si="376"/>
        <v>3.290195218249616E-3</v>
      </c>
      <c r="BF877" t="s">
        <v>1049</v>
      </c>
      <c r="BG877" t="s">
        <v>1622</v>
      </c>
      <c r="BH877">
        <v>1</v>
      </c>
      <c r="BJ877" s="114">
        <v>19</v>
      </c>
      <c r="BK877" s="116">
        <v>89</v>
      </c>
      <c r="BL877" s="120">
        <f t="shared" si="377"/>
        <v>19089</v>
      </c>
      <c r="BN877" s="5" t="s">
        <v>3154</v>
      </c>
      <c r="BO877" s="63">
        <v>72</v>
      </c>
      <c r="BP877" s="63">
        <v>9</v>
      </c>
      <c r="BR877" s="63"/>
    </row>
    <row r="878" spans="1:70" hidden="1" outlineLevel="1">
      <c r="A878" t="s">
        <v>1878</v>
      </c>
      <c r="B878" t="s">
        <v>1622</v>
      </c>
      <c r="C878" s="1">
        <f t="shared" si="366"/>
        <v>5087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5</v>
      </c>
      <c r="G878" s="132">
        <f t="shared" si="367"/>
        <v>2316</v>
      </c>
      <c r="H878" s="137">
        <f t="shared" si="368"/>
        <v>0.45527816001572635</v>
      </c>
      <c r="I878" s="2"/>
      <c r="J878" s="2">
        <f t="shared" si="369"/>
        <v>0.2461175545508158</v>
      </c>
      <c r="K878" s="2">
        <f t="shared" si="370"/>
        <v>0.70139571456654215</v>
      </c>
      <c r="L878" s="2">
        <f t="shared" si="371"/>
        <v>7.8631806565755847E-3</v>
      </c>
      <c r="M878" s="2">
        <f t="shared" si="372"/>
        <v>4.4623550226066414E-2</v>
      </c>
      <c r="N878" s="63">
        <v>1252</v>
      </c>
      <c r="O878" s="63">
        <v>3568</v>
      </c>
      <c r="P878" s="63">
        <v>40</v>
      </c>
      <c r="Q878" s="63">
        <v>127</v>
      </c>
      <c r="R878" s="63">
        <v>20</v>
      </c>
      <c r="S878" s="63">
        <v>13</v>
      </c>
      <c r="T878" s="63">
        <v>2</v>
      </c>
      <c r="U878" s="63"/>
      <c r="V878" s="63">
        <v>2</v>
      </c>
      <c r="W878" s="63">
        <v>49</v>
      </c>
      <c r="X878" s="63"/>
      <c r="Y878" s="63"/>
      <c r="Z878" s="63"/>
      <c r="AA878" s="63"/>
      <c r="AB878" s="63"/>
      <c r="AC878" s="63">
        <v>6</v>
      </c>
      <c r="AD878" s="63"/>
      <c r="AE878" s="63"/>
      <c r="AF878" s="63"/>
      <c r="AG878" s="63"/>
      <c r="AH878" s="63"/>
      <c r="AI878" s="63"/>
      <c r="AJ878" s="63"/>
      <c r="AK878" s="63"/>
      <c r="AL878" s="63">
        <v>8</v>
      </c>
      <c r="AM878" s="63"/>
      <c r="AN878" s="63"/>
      <c r="AO878" s="63"/>
      <c r="AP878" s="63"/>
      <c r="AQ878" s="63"/>
      <c r="AR878" s="63"/>
      <c r="AS878" s="63"/>
      <c r="AT878" s="63"/>
      <c r="AU878" s="63"/>
      <c r="AW878" s="5">
        <f>IF(Q878&gt;0,RANK(Q878,(N878:P878,Q878:AE878)),0)</f>
        <v>3</v>
      </c>
      <c r="AX878" s="5">
        <f>IF(R878&gt;0,RANK(R878,(N878:P878,Q878:AE878)),0)</f>
        <v>6</v>
      </c>
      <c r="AY878" s="5">
        <f>IF(T878&gt;0,RANK(T878,(N878:P878,Q878:AE878)),0)</f>
        <v>9</v>
      </c>
      <c r="AZ878" s="5">
        <f>IF(S878&gt;0,RANK(S878,(N878:P878,Q878:AE878)),0)</f>
        <v>7</v>
      </c>
      <c r="BA878" s="2">
        <f t="shared" si="373"/>
        <v>2.496559858462748E-2</v>
      </c>
      <c r="BB878" s="2">
        <f t="shared" si="374"/>
        <v>3.9315903282877923E-3</v>
      </c>
      <c r="BC878" s="2">
        <f t="shared" si="375"/>
        <v>3.9315903282877927E-4</v>
      </c>
      <c r="BD878" s="2">
        <f t="shared" si="376"/>
        <v>2.5555337133870652E-3</v>
      </c>
      <c r="BF878" t="s">
        <v>1878</v>
      </c>
      <c r="BG878" t="s">
        <v>1622</v>
      </c>
      <c r="BH878">
        <v>4</v>
      </c>
      <c r="BJ878" s="114">
        <v>19</v>
      </c>
      <c r="BK878" s="116">
        <v>91</v>
      </c>
      <c r="BL878" s="120">
        <f t="shared" si="377"/>
        <v>19091</v>
      </c>
      <c r="BN878" s="5" t="s">
        <v>3154</v>
      </c>
      <c r="BO878" s="63">
        <v>45</v>
      </c>
      <c r="BP878" s="63">
        <v>9</v>
      </c>
      <c r="BR878" s="63"/>
    </row>
    <row r="879" spans="1:70" hidden="1" outlineLevel="1">
      <c r="A879" t="s">
        <v>66</v>
      </c>
      <c r="B879" t="s">
        <v>1622</v>
      </c>
      <c r="C879" s="1">
        <f t="shared" si="366"/>
        <v>3612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5</v>
      </c>
      <c r="G879" s="132">
        <f t="shared" si="367"/>
        <v>1863</v>
      </c>
      <c r="H879" s="137">
        <f t="shared" si="368"/>
        <v>0.51578073089700993</v>
      </c>
      <c r="I879" s="2"/>
      <c r="J879" s="2">
        <f t="shared" si="369"/>
        <v>0.21926910299003322</v>
      </c>
      <c r="K879" s="2">
        <f t="shared" si="370"/>
        <v>0.73504983388704315</v>
      </c>
      <c r="L879" s="2">
        <f t="shared" si="371"/>
        <v>4.4296788482834993E-3</v>
      </c>
      <c r="M879" s="2">
        <f t="shared" si="372"/>
        <v>4.1251384274640139E-2</v>
      </c>
      <c r="N879" s="63">
        <v>792</v>
      </c>
      <c r="O879" s="63">
        <v>2655</v>
      </c>
      <c r="P879" s="63">
        <v>16</v>
      </c>
      <c r="Q879" s="63">
        <v>103</v>
      </c>
      <c r="R879" s="63">
        <v>9</v>
      </c>
      <c r="S879" s="63">
        <v>8</v>
      </c>
      <c r="T879" s="63">
        <v>0</v>
      </c>
      <c r="U879" s="63"/>
      <c r="V879" s="63">
        <v>2</v>
      </c>
      <c r="W879" s="63">
        <v>21</v>
      </c>
      <c r="X879" s="63"/>
      <c r="Y879" s="63"/>
      <c r="Z879" s="63"/>
      <c r="AA879" s="63"/>
      <c r="AB879" s="63"/>
      <c r="AC879" s="63">
        <v>4</v>
      </c>
      <c r="AD879" s="63"/>
      <c r="AE879" s="63"/>
      <c r="AF879" s="63"/>
      <c r="AG879" s="63"/>
      <c r="AH879" s="63"/>
      <c r="AI879" s="63"/>
      <c r="AJ879" s="63"/>
      <c r="AK879" s="63"/>
      <c r="AL879" s="63">
        <v>2</v>
      </c>
      <c r="AM879" s="63"/>
      <c r="AN879" s="63"/>
      <c r="AO879" s="63"/>
      <c r="AP879" s="63"/>
      <c r="AQ879" s="63"/>
      <c r="AR879" s="63"/>
      <c r="AS879" s="63"/>
      <c r="AT879" s="63"/>
      <c r="AU879" s="63"/>
      <c r="AW879" s="5">
        <f>IF(Q879&gt;0,RANK(Q879,(N879:P879,Q879:AE879)),0)</f>
        <v>3</v>
      </c>
      <c r="AX879" s="5">
        <f>IF(R879&gt;0,RANK(R879,(N879:P879,Q879:AE879)),0)</f>
        <v>6</v>
      </c>
      <c r="AY879" s="5">
        <f>IF(T879&gt;0,RANK(T879,(N879:P879,Q879:AE879)),0)</f>
        <v>0</v>
      </c>
      <c r="AZ879" s="5">
        <f>IF(S879&gt;0,RANK(S879,(N879:P879,Q879:AE879)),0)</f>
        <v>7</v>
      </c>
      <c r="BA879" s="2">
        <f t="shared" si="373"/>
        <v>2.8516057585825028E-2</v>
      </c>
      <c r="BB879" s="2">
        <f t="shared" si="374"/>
        <v>2.4916943521594683E-3</v>
      </c>
      <c r="BC879" s="2">
        <f t="shared" si="375"/>
        <v>0</v>
      </c>
      <c r="BD879" s="2">
        <f t="shared" si="376"/>
        <v>2.2148394241417496E-3</v>
      </c>
      <c r="BF879" t="s">
        <v>66</v>
      </c>
      <c r="BG879" t="s">
        <v>1622</v>
      </c>
      <c r="BH879">
        <v>4</v>
      </c>
      <c r="BJ879" s="114">
        <v>19</v>
      </c>
      <c r="BK879" s="116">
        <v>93</v>
      </c>
      <c r="BL879" s="120">
        <f t="shared" si="377"/>
        <v>19093</v>
      </c>
      <c r="BN879" s="5" t="s">
        <v>3154</v>
      </c>
      <c r="BO879" s="63">
        <v>33</v>
      </c>
      <c r="BP879" s="63">
        <v>3</v>
      </c>
      <c r="BR879" s="63"/>
    </row>
    <row r="880" spans="1:70" hidden="1" outlineLevel="1">
      <c r="A880" t="s">
        <v>1621</v>
      </c>
      <c r="B880" t="s">
        <v>1622</v>
      </c>
      <c r="C880" s="1">
        <f t="shared" si="366"/>
        <v>8904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7</v>
      </c>
      <c r="G880" s="132">
        <f t="shared" si="367"/>
        <v>2121</v>
      </c>
      <c r="H880" s="137">
        <f t="shared" si="368"/>
        <v>0.23820754716981132</v>
      </c>
      <c r="I880" s="2"/>
      <c r="J880" s="2">
        <f t="shared" si="369"/>
        <v>0.34636118598382748</v>
      </c>
      <c r="K880" s="2">
        <f t="shared" si="370"/>
        <v>0.58456873315363878</v>
      </c>
      <c r="L880" s="2">
        <f t="shared" si="371"/>
        <v>6.0646900269541778E-3</v>
      </c>
      <c r="M880" s="2">
        <f t="shared" si="372"/>
        <v>6.3005390835579572E-2</v>
      </c>
      <c r="N880" s="63">
        <v>3084</v>
      </c>
      <c r="O880" s="63">
        <v>5205</v>
      </c>
      <c r="P880" s="63">
        <v>54</v>
      </c>
      <c r="Q880" s="63">
        <v>317</v>
      </c>
      <c r="R880" s="63">
        <v>61</v>
      </c>
      <c r="S880" s="63">
        <v>69</v>
      </c>
      <c r="T880" s="63">
        <v>6</v>
      </c>
      <c r="U880" s="63"/>
      <c r="V880" s="63">
        <v>0</v>
      </c>
      <c r="W880" s="63">
        <v>85</v>
      </c>
      <c r="X880" s="63"/>
      <c r="Y880" s="63"/>
      <c r="Z880" s="63"/>
      <c r="AA880" s="63"/>
      <c r="AB880" s="63"/>
      <c r="AC880" s="63">
        <v>9</v>
      </c>
      <c r="AD880" s="63"/>
      <c r="AE880" s="63"/>
      <c r="AF880" s="63"/>
      <c r="AG880" s="63"/>
      <c r="AH880" s="63"/>
      <c r="AI880" s="63"/>
      <c r="AJ880" s="63"/>
      <c r="AK880" s="63"/>
      <c r="AL880" s="63">
        <v>14</v>
      </c>
      <c r="AM880" s="63"/>
      <c r="AN880" s="63"/>
      <c r="AO880" s="63"/>
      <c r="AP880" s="63"/>
      <c r="AQ880" s="63"/>
      <c r="AR880" s="63"/>
      <c r="AS880" s="63"/>
      <c r="AT880" s="63"/>
      <c r="AU880" s="63"/>
      <c r="AW880" s="5">
        <f>IF(Q880&gt;0,RANK(Q880,(N880:P880,Q880:AE880)),0)</f>
        <v>3</v>
      </c>
      <c r="AX880" s="5">
        <f>IF(R880&gt;0,RANK(R880,(N880:P880,Q880:AE880)),0)</f>
        <v>6</v>
      </c>
      <c r="AY880" s="5">
        <f>IF(T880&gt;0,RANK(T880,(N880:P880,Q880:AE880)),0)</f>
        <v>9</v>
      </c>
      <c r="AZ880" s="5">
        <f>IF(S880&gt;0,RANK(S880,(N880:P880,Q880:AE880)),0)</f>
        <v>5</v>
      </c>
      <c r="BA880" s="2">
        <f t="shared" si="373"/>
        <v>3.5601976639712492E-2</v>
      </c>
      <c r="BB880" s="2">
        <f t="shared" si="374"/>
        <v>6.8508535489667562E-3</v>
      </c>
      <c r="BC880" s="2">
        <f t="shared" si="375"/>
        <v>6.7385444743935314E-4</v>
      </c>
      <c r="BD880" s="2">
        <f t="shared" si="376"/>
        <v>7.7493261455525604E-3</v>
      </c>
      <c r="BF880" t="s">
        <v>1621</v>
      </c>
      <c r="BG880" t="s">
        <v>1622</v>
      </c>
      <c r="BH880">
        <v>1</v>
      </c>
      <c r="BJ880" s="114">
        <v>19</v>
      </c>
      <c r="BK880" s="116">
        <v>95</v>
      </c>
      <c r="BL880" s="120">
        <f t="shared" si="377"/>
        <v>19095</v>
      </c>
      <c r="BN880" s="5" t="s">
        <v>3154</v>
      </c>
      <c r="BO880" s="63">
        <v>90</v>
      </c>
      <c r="BP880" s="63">
        <v>8</v>
      </c>
      <c r="BR880" s="63"/>
    </row>
    <row r="881" spans="1:70" hidden="1" outlineLevel="1">
      <c r="A881" t="s">
        <v>2921</v>
      </c>
      <c r="B881" t="s">
        <v>1622</v>
      </c>
      <c r="C881" s="1">
        <f t="shared" si="366"/>
        <v>10310</v>
      </c>
      <c r="D881" s="5">
        <f>IF(N881&gt;0, RANK(N881,(N881:P881,Q881:AE881)),0)</f>
        <v>2</v>
      </c>
      <c r="E881" s="5">
        <f>IF(O881&gt;0,RANK(O881,(N881:P881,Q881:AE881)),0)</f>
        <v>1</v>
      </c>
      <c r="F881" s="5">
        <f>IF(P881&gt;0,RANK(P881,(N881:P881,Q881:AE881)),0)</f>
        <v>6</v>
      </c>
      <c r="G881" s="132">
        <f t="shared" si="367"/>
        <v>1987</v>
      </c>
      <c r="H881" s="137">
        <f t="shared" si="368"/>
        <v>0.192725509214355</v>
      </c>
      <c r="I881" s="2"/>
      <c r="J881" s="2">
        <f t="shared" si="369"/>
        <v>0.37216294859359844</v>
      </c>
      <c r="K881" s="2">
        <f t="shared" si="370"/>
        <v>0.56488845780795349</v>
      </c>
      <c r="L881" s="2">
        <f t="shared" si="371"/>
        <v>5.3346265761396701E-3</v>
      </c>
      <c r="M881" s="2">
        <f t="shared" si="372"/>
        <v>5.7613967022308393E-2</v>
      </c>
      <c r="N881" s="63">
        <v>3837</v>
      </c>
      <c r="O881" s="63">
        <v>5824</v>
      </c>
      <c r="P881" s="63">
        <v>55</v>
      </c>
      <c r="Q881" s="63">
        <v>319</v>
      </c>
      <c r="R881" s="63">
        <v>85</v>
      </c>
      <c r="S881" s="63">
        <v>53</v>
      </c>
      <c r="T881" s="63">
        <v>7</v>
      </c>
      <c r="U881" s="63"/>
      <c r="V881" s="63">
        <v>2</v>
      </c>
      <c r="W881" s="63">
        <v>102</v>
      </c>
      <c r="X881" s="63"/>
      <c r="Y881" s="63"/>
      <c r="Z881" s="63"/>
      <c r="AA881" s="63"/>
      <c r="AB881" s="63"/>
      <c r="AC881" s="63">
        <v>14</v>
      </c>
      <c r="AD881" s="63"/>
      <c r="AE881" s="63"/>
      <c r="AF881" s="63"/>
      <c r="AG881" s="63"/>
      <c r="AH881" s="63"/>
      <c r="AI881" s="63"/>
      <c r="AJ881" s="63"/>
      <c r="AK881" s="63"/>
      <c r="AL881" s="63">
        <v>12</v>
      </c>
      <c r="AM881" s="63"/>
      <c r="AN881" s="63"/>
      <c r="AO881" s="63"/>
      <c r="AP881" s="63"/>
      <c r="AQ881" s="63"/>
      <c r="AR881" s="63"/>
      <c r="AS881" s="63"/>
      <c r="AT881" s="63"/>
      <c r="AU881" s="63"/>
      <c r="AW881" s="5">
        <f>IF(Q881&gt;0,RANK(Q881,(N881:P881,Q881:AE881)),0)</f>
        <v>3</v>
      </c>
      <c r="AX881" s="5">
        <f>IF(R881&gt;0,RANK(R881,(N881:P881,Q881:AE881)),0)</f>
        <v>5</v>
      </c>
      <c r="AY881" s="5">
        <f>IF(T881&gt;0,RANK(T881,(N881:P881,Q881:AE881)),0)</f>
        <v>9</v>
      </c>
      <c r="AZ881" s="5">
        <f>IF(S881&gt;0,RANK(S881,(N881:P881,Q881:AE881)),0)</f>
        <v>7</v>
      </c>
      <c r="BA881" s="2">
        <f t="shared" si="373"/>
        <v>3.0940834141610089E-2</v>
      </c>
      <c r="BB881" s="2">
        <f t="shared" si="374"/>
        <v>8.2444228903976718E-3</v>
      </c>
      <c r="BC881" s="2">
        <f t="shared" si="375"/>
        <v>6.7895247332686709E-4</v>
      </c>
      <c r="BD881" s="2">
        <f t="shared" si="376"/>
        <v>5.1406401551891369E-3</v>
      </c>
      <c r="BF881" t="s">
        <v>2921</v>
      </c>
      <c r="BG881" t="s">
        <v>1622</v>
      </c>
      <c r="BH881">
        <v>1</v>
      </c>
      <c r="BJ881" s="114">
        <v>19</v>
      </c>
      <c r="BK881" s="116">
        <v>97</v>
      </c>
      <c r="BL881" s="120">
        <f t="shared" si="377"/>
        <v>19097</v>
      </c>
      <c r="BN881" s="5" t="s">
        <v>3154</v>
      </c>
      <c r="BO881" s="63">
        <v>167</v>
      </c>
      <c r="BP881" s="63">
        <v>27</v>
      </c>
      <c r="BR881" s="63"/>
    </row>
    <row r="882" spans="1:70" hidden="1" outlineLevel="1">
      <c r="A882" t="s">
        <v>1471</v>
      </c>
      <c r="B882" t="s">
        <v>1622</v>
      </c>
      <c r="C882" s="1">
        <f t="shared" si="366"/>
        <v>19034</v>
      </c>
      <c r="D882" s="5">
        <f>IF(N882&gt;0, RANK(N882,(N882:P882,Q882:AE882)),0)</f>
        <v>2</v>
      </c>
      <c r="E882" s="5">
        <f>IF(O882&gt;0,RANK(O882,(N882:P882,Q882:AE882)),0)</f>
        <v>1</v>
      </c>
      <c r="F882" s="5">
        <f>IF(P882&gt;0,RANK(P882,(N882:P882,Q882:AE882)),0)</f>
        <v>6</v>
      </c>
      <c r="G882" s="132">
        <f t="shared" si="367"/>
        <v>3451</v>
      </c>
      <c r="H882" s="137">
        <f t="shared" si="368"/>
        <v>0.1813071346012399</v>
      </c>
      <c r="I882" s="2"/>
      <c r="J882" s="2">
        <f t="shared" si="369"/>
        <v>0.37348954502469267</v>
      </c>
      <c r="K882" s="2">
        <f t="shared" si="370"/>
        <v>0.55479667962593249</v>
      </c>
      <c r="L882" s="2">
        <f t="shared" si="371"/>
        <v>4.7809183566249868E-3</v>
      </c>
      <c r="M882" s="2">
        <f t="shared" si="372"/>
        <v>6.6932856992749853E-2</v>
      </c>
      <c r="N882" s="63">
        <v>7109</v>
      </c>
      <c r="O882" s="63">
        <v>10560</v>
      </c>
      <c r="P882" s="63">
        <v>91</v>
      </c>
      <c r="Q882" s="63">
        <v>715</v>
      </c>
      <c r="R882" s="63">
        <v>95</v>
      </c>
      <c r="S882" s="63">
        <v>90</v>
      </c>
      <c r="T882" s="63">
        <v>4</v>
      </c>
      <c r="U882" s="63"/>
      <c r="V882" s="63">
        <v>2</v>
      </c>
      <c r="W882" s="63">
        <v>253</v>
      </c>
      <c r="X882" s="63"/>
      <c r="Y882" s="63"/>
      <c r="Z882" s="63"/>
      <c r="AA882" s="63"/>
      <c r="AB882" s="63"/>
      <c r="AC882" s="63">
        <v>76</v>
      </c>
      <c r="AD882" s="63"/>
      <c r="AE882" s="63"/>
      <c r="AF882" s="63"/>
      <c r="AG882" s="63"/>
      <c r="AH882" s="63"/>
      <c r="AI882" s="63"/>
      <c r="AJ882" s="63"/>
      <c r="AK882" s="63"/>
      <c r="AL882" s="63">
        <v>39</v>
      </c>
      <c r="AM882" s="63"/>
      <c r="AN882" s="63"/>
      <c r="AO882" s="63"/>
      <c r="AP882" s="63"/>
      <c r="AQ882" s="63"/>
      <c r="AR882" s="63"/>
      <c r="AS882" s="63"/>
      <c r="AT882" s="63"/>
      <c r="AU882" s="63"/>
      <c r="AW882" s="5">
        <f>IF(Q882&gt;0,RANK(Q882,(N882:P882,Q882:AE882)),0)</f>
        <v>3</v>
      </c>
      <c r="AX882" s="5">
        <f>IF(R882&gt;0,RANK(R882,(N882:P882,Q882:AE882)),0)</f>
        <v>5</v>
      </c>
      <c r="AY882" s="5">
        <f>IF(T882&gt;0,RANK(T882,(N882:P882,Q882:AE882)),0)</f>
        <v>9</v>
      </c>
      <c r="AZ882" s="5">
        <f>IF(S882&gt;0,RANK(S882,(N882:P882,Q882:AE882)),0)</f>
        <v>7</v>
      </c>
      <c r="BA882" s="2">
        <f t="shared" si="373"/>
        <v>3.7564358516339186E-2</v>
      </c>
      <c r="BB882" s="2">
        <f t="shared" si="374"/>
        <v>4.9910686140590523E-3</v>
      </c>
      <c r="BC882" s="2">
        <f t="shared" si="375"/>
        <v>2.1015025743406537E-4</v>
      </c>
      <c r="BD882" s="2">
        <f t="shared" si="376"/>
        <v>4.7283807922664702E-3</v>
      </c>
      <c r="BF882" t="s">
        <v>1471</v>
      </c>
      <c r="BG882" t="s">
        <v>1622</v>
      </c>
      <c r="BH882">
        <v>2</v>
      </c>
      <c r="BJ882" s="114">
        <v>19</v>
      </c>
      <c r="BK882" s="116">
        <v>99</v>
      </c>
      <c r="BL882" s="120">
        <f t="shared" si="377"/>
        <v>19099</v>
      </c>
      <c r="BN882" s="5" t="s">
        <v>3154</v>
      </c>
      <c r="BO882" s="63">
        <v>134</v>
      </c>
      <c r="BP882" s="63">
        <v>58</v>
      </c>
      <c r="BR882" s="63"/>
    </row>
    <row r="883" spans="1:70" hidden="1" outlineLevel="1">
      <c r="A883" t="s">
        <v>1092</v>
      </c>
      <c r="B883" t="s">
        <v>1622</v>
      </c>
      <c r="C883" s="1">
        <f t="shared" si="366"/>
        <v>8156</v>
      </c>
      <c r="D883" s="5">
        <f>IF(N883&gt;0, RANK(N883,(N883:P883,Q883:AE883)),0)</f>
        <v>2</v>
      </c>
      <c r="E883" s="5">
        <f>IF(O883&gt;0,RANK(O883,(N883:P883,Q883:AE883)),0)</f>
        <v>1</v>
      </c>
      <c r="F883" s="5">
        <f>IF(P883&gt;0,RANK(P883,(N883:P883,Q883:AE883)),0)</f>
        <v>6</v>
      </c>
      <c r="G883" s="132">
        <f t="shared" si="367"/>
        <v>38</v>
      </c>
      <c r="H883" s="137">
        <f t="shared" si="368"/>
        <v>4.6591466405100541E-3</v>
      </c>
      <c r="I883" s="2"/>
      <c r="J883" s="2">
        <f t="shared" si="369"/>
        <v>0.4548798430603237</v>
      </c>
      <c r="K883" s="2">
        <f t="shared" si="370"/>
        <v>0.45953898970083373</v>
      </c>
      <c r="L883" s="2">
        <f t="shared" si="371"/>
        <v>3.0652280529671408E-3</v>
      </c>
      <c r="M883" s="2">
        <f t="shared" si="372"/>
        <v>8.2515939185875437E-2</v>
      </c>
      <c r="N883" s="63">
        <v>3710</v>
      </c>
      <c r="O883" s="63">
        <v>3748</v>
      </c>
      <c r="P883" s="63">
        <v>25</v>
      </c>
      <c r="Q883" s="63">
        <v>246</v>
      </c>
      <c r="R883" s="63">
        <v>256</v>
      </c>
      <c r="S883" s="63">
        <v>22</v>
      </c>
      <c r="T883" s="63">
        <v>0</v>
      </c>
      <c r="U883" s="63"/>
      <c r="V883" s="63">
        <v>2</v>
      </c>
      <c r="W883" s="63">
        <v>136</v>
      </c>
      <c r="X883" s="63"/>
      <c r="Y883" s="63"/>
      <c r="Z883" s="63"/>
      <c r="AA883" s="63"/>
      <c r="AB883" s="63"/>
      <c r="AC883" s="63">
        <v>5</v>
      </c>
      <c r="AD883" s="63"/>
      <c r="AE883" s="63"/>
      <c r="AF883" s="63"/>
      <c r="AG883" s="63"/>
      <c r="AH883" s="63"/>
      <c r="AI883" s="63"/>
      <c r="AJ883" s="63"/>
      <c r="AK883" s="63"/>
      <c r="AL883" s="63">
        <v>6</v>
      </c>
      <c r="AM883" s="63"/>
      <c r="AN883" s="63"/>
      <c r="AO883" s="63"/>
      <c r="AP883" s="63"/>
      <c r="AQ883" s="63"/>
      <c r="AR883" s="63"/>
      <c r="AS883" s="63"/>
      <c r="AT883" s="63"/>
      <c r="AU883" s="63"/>
      <c r="AW883" s="5">
        <f>IF(Q883&gt;0,RANK(Q883,(N883:P883,Q883:AE883)),0)</f>
        <v>4</v>
      </c>
      <c r="AX883" s="5">
        <f>IF(R883&gt;0,RANK(R883,(N883:P883,Q883:AE883)),0)</f>
        <v>3</v>
      </c>
      <c r="AY883" s="5">
        <f>IF(T883&gt;0,RANK(T883,(N883:P883,Q883:AE883)),0)</f>
        <v>0</v>
      </c>
      <c r="AZ883" s="5">
        <f>IF(S883&gt;0,RANK(S883,(N883:P883,Q883:AE883)),0)</f>
        <v>7</v>
      </c>
      <c r="BA883" s="2">
        <f t="shared" si="373"/>
        <v>3.0161844041196664E-2</v>
      </c>
      <c r="BB883" s="2">
        <f t="shared" si="374"/>
        <v>3.1387935262383523E-2</v>
      </c>
      <c r="BC883" s="2">
        <f t="shared" si="375"/>
        <v>0</v>
      </c>
      <c r="BD883" s="2">
        <f t="shared" si="376"/>
        <v>2.6974006866110839E-3</v>
      </c>
      <c r="BF883" t="s">
        <v>1092</v>
      </c>
      <c r="BG883" t="s">
        <v>1622</v>
      </c>
      <c r="BH883">
        <v>2</v>
      </c>
      <c r="BJ883" s="114">
        <v>19</v>
      </c>
      <c r="BK883" s="116">
        <v>101</v>
      </c>
      <c r="BL883" s="120">
        <f t="shared" si="377"/>
        <v>19101</v>
      </c>
      <c r="BN883" s="5" t="s">
        <v>3154</v>
      </c>
      <c r="BO883" s="63">
        <v>110</v>
      </c>
      <c r="BP883" s="63">
        <v>19</v>
      </c>
      <c r="BR883" s="63"/>
    </row>
    <row r="884" spans="1:70" hidden="1" outlineLevel="1">
      <c r="A884" t="s">
        <v>1361</v>
      </c>
      <c r="B884" t="s">
        <v>1622</v>
      </c>
      <c r="C884" s="1">
        <f t="shared" si="366"/>
        <v>76940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>IF(P884&gt;0,RANK(P884,(N884:P884,Q884:AE884)),0)</f>
        <v>6</v>
      </c>
      <c r="G884" s="132">
        <f t="shared" si="367"/>
        <v>29156</v>
      </c>
      <c r="H884" s="137">
        <f t="shared" si="368"/>
        <v>0.37894463218092017</v>
      </c>
      <c r="I884" s="2"/>
      <c r="J884" s="2">
        <f t="shared" si="369"/>
        <v>0.65245645957889264</v>
      </c>
      <c r="K884" s="2">
        <f t="shared" si="370"/>
        <v>0.27351182739797247</v>
      </c>
      <c r="L884" s="2">
        <f t="shared" si="371"/>
        <v>9.3709383935534178E-3</v>
      </c>
      <c r="M884" s="2">
        <f t="shared" si="372"/>
        <v>6.4660774629581461E-2</v>
      </c>
      <c r="N884" s="63">
        <v>50200</v>
      </c>
      <c r="O884" s="63">
        <v>21044</v>
      </c>
      <c r="P884" s="63">
        <v>721</v>
      </c>
      <c r="Q884" s="63">
        <v>2758</v>
      </c>
      <c r="R884" s="63">
        <v>878</v>
      </c>
      <c r="S884" s="63">
        <v>130</v>
      </c>
      <c r="T884" s="63">
        <v>18</v>
      </c>
      <c r="U884" s="63"/>
      <c r="V884" s="63">
        <v>35</v>
      </c>
      <c r="W884" s="63">
        <v>964</v>
      </c>
      <c r="X884" s="63"/>
      <c r="Y884" s="63"/>
      <c r="Z884" s="63"/>
      <c r="AA884" s="63"/>
      <c r="AB884" s="63"/>
      <c r="AC884" s="63">
        <v>125</v>
      </c>
      <c r="AD884" s="63"/>
      <c r="AE884" s="63"/>
      <c r="AF884" s="63"/>
      <c r="AG884" s="63"/>
      <c r="AH884" s="63"/>
      <c r="AI884" s="63"/>
      <c r="AJ884" s="63"/>
      <c r="AK884" s="63"/>
      <c r="AL884" s="63">
        <v>67</v>
      </c>
      <c r="AM884" s="63"/>
      <c r="AN884" s="63"/>
      <c r="AO884" s="63"/>
      <c r="AP884" s="63"/>
      <c r="AQ884" s="63"/>
      <c r="AR884" s="63"/>
      <c r="AS884" s="63"/>
      <c r="AT884" s="63"/>
      <c r="AU884" s="63"/>
      <c r="AW884" s="5">
        <f>IF(Q884&gt;0,RANK(Q884,(N884:P884,Q884:AE884)),0)</f>
        <v>3</v>
      </c>
      <c r="AX884" s="5">
        <f>IF(R884&gt;0,RANK(R884,(N884:P884,Q884:AE884)),0)</f>
        <v>5</v>
      </c>
      <c r="AY884" s="5">
        <f>IF(T884&gt;0,RANK(T884,(N884:P884,Q884:AE884)),0)</f>
        <v>10</v>
      </c>
      <c r="AZ884" s="5">
        <f>IF(S884&gt;0,RANK(S884,(N884:P884,Q884:AE884)),0)</f>
        <v>7</v>
      </c>
      <c r="BA884" s="2">
        <f t="shared" si="373"/>
        <v>3.5846113854951914E-2</v>
      </c>
      <c r="BB884" s="2">
        <f t="shared" si="374"/>
        <v>1.1411489472316091E-2</v>
      </c>
      <c r="BC884" s="2">
        <f t="shared" si="375"/>
        <v>2.3394853132310893E-4</v>
      </c>
      <c r="BD884" s="2">
        <f t="shared" si="376"/>
        <v>1.6896282817780088E-3</v>
      </c>
      <c r="BF884" t="s">
        <v>1361</v>
      </c>
      <c r="BG884" t="s">
        <v>1622</v>
      </c>
      <c r="BH884">
        <v>2</v>
      </c>
      <c r="BJ884" s="114">
        <v>19</v>
      </c>
      <c r="BK884" s="116">
        <v>103</v>
      </c>
      <c r="BL884" s="120">
        <f t="shared" si="377"/>
        <v>19103</v>
      </c>
      <c r="BN884" s="5" t="s">
        <v>3154</v>
      </c>
      <c r="BO884" s="63">
        <v>423</v>
      </c>
      <c r="BP884" s="63">
        <v>113</v>
      </c>
      <c r="BR884" s="63"/>
    </row>
    <row r="885" spans="1:70" hidden="1" outlineLevel="1">
      <c r="A885" t="s">
        <v>241</v>
      </c>
      <c r="B885" t="s">
        <v>1622</v>
      </c>
      <c r="C885" s="1">
        <f t="shared" si="366"/>
        <v>10133</v>
      </c>
      <c r="D885" s="5">
        <f>IF(N885&gt;0, RANK(N885,(N885:P885,Q885:AE885)),0)</f>
        <v>2</v>
      </c>
      <c r="E885" s="5">
        <f>IF(O885&gt;0,RANK(O885,(N885:P885,Q885:AE885)),0)</f>
        <v>1</v>
      </c>
      <c r="F885" s="5">
        <f>IF(P885&gt;0,RANK(P885,(N885:P885,Q885:AE885)),0)</f>
        <v>6</v>
      </c>
      <c r="G885" s="132">
        <f t="shared" si="367"/>
        <v>1933</v>
      </c>
      <c r="H885" s="137">
        <f t="shared" si="368"/>
        <v>0.19076285404125135</v>
      </c>
      <c r="I885" s="2"/>
      <c r="J885" s="2">
        <f t="shared" si="369"/>
        <v>0.37372939899338792</v>
      </c>
      <c r="K885" s="2">
        <f t="shared" si="370"/>
        <v>0.56449225303463935</v>
      </c>
      <c r="L885" s="2">
        <f t="shared" si="371"/>
        <v>4.9343728412118816E-3</v>
      </c>
      <c r="M885" s="2">
        <f t="shared" si="372"/>
        <v>5.6843975130760907E-2</v>
      </c>
      <c r="N885" s="63">
        <v>3787</v>
      </c>
      <c r="O885" s="63">
        <v>5720</v>
      </c>
      <c r="P885" s="63">
        <v>50</v>
      </c>
      <c r="Q885" s="63">
        <v>305</v>
      </c>
      <c r="R885" s="63">
        <v>62</v>
      </c>
      <c r="S885" s="63">
        <v>40</v>
      </c>
      <c r="T885" s="63">
        <v>1</v>
      </c>
      <c r="U885" s="63"/>
      <c r="V885" s="63">
        <v>2</v>
      </c>
      <c r="W885" s="63">
        <v>109</v>
      </c>
      <c r="X885" s="63"/>
      <c r="Y885" s="63"/>
      <c r="Z885" s="63"/>
      <c r="AA885" s="63"/>
      <c r="AB885" s="63"/>
      <c r="AC885" s="63">
        <v>32</v>
      </c>
      <c r="AD885" s="63"/>
      <c r="AE885" s="63"/>
      <c r="AF885" s="63"/>
      <c r="AG885" s="63"/>
      <c r="AH885" s="63"/>
      <c r="AI885" s="63"/>
      <c r="AJ885" s="63"/>
      <c r="AK885" s="63"/>
      <c r="AL885" s="63">
        <v>25</v>
      </c>
      <c r="AM885" s="63"/>
      <c r="AN885" s="63"/>
      <c r="AO885" s="63"/>
      <c r="AP885" s="63"/>
      <c r="AQ885" s="63"/>
      <c r="AR885" s="63"/>
      <c r="AS885" s="63"/>
      <c r="AT885" s="63"/>
      <c r="AU885" s="63"/>
      <c r="AW885" s="5">
        <f>IF(Q885&gt;0,RANK(Q885,(N885:P885,Q885:AE885)),0)</f>
        <v>3</v>
      </c>
      <c r="AX885" s="5">
        <f>IF(R885&gt;0,RANK(R885,(N885:P885,Q885:AE885)),0)</f>
        <v>5</v>
      </c>
      <c r="AY885" s="5">
        <f>IF(T885&gt;0,RANK(T885,(N885:P885,Q885:AE885)),0)</f>
        <v>10</v>
      </c>
      <c r="AZ885" s="5">
        <f>IF(S885&gt;0,RANK(S885,(N885:P885,Q885:AE885)),0)</f>
        <v>7</v>
      </c>
      <c r="BA885" s="2">
        <f t="shared" si="373"/>
        <v>3.0099674331392479E-2</v>
      </c>
      <c r="BB885" s="2">
        <f t="shared" si="374"/>
        <v>6.1186223231027336E-3</v>
      </c>
      <c r="BC885" s="2">
        <f t="shared" si="375"/>
        <v>9.8687456824237644E-5</v>
      </c>
      <c r="BD885" s="2">
        <f t="shared" si="376"/>
        <v>3.9474982729695053E-3</v>
      </c>
      <c r="BF885" t="s">
        <v>241</v>
      </c>
      <c r="BG885" t="s">
        <v>1622</v>
      </c>
      <c r="BH885">
        <v>1</v>
      </c>
      <c r="BJ885" s="114">
        <v>19</v>
      </c>
      <c r="BK885" s="116">
        <v>105</v>
      </c>
      <c r="BL885" s="120">
        <f t="shared" si="377"/>
        <v>19105</v>
      </c>
      <c r="BN885" s="5" t="s">
        <v>3154</v>
      </c>
      <c r="BO885" s="63">
        <v>95</v>
      </c>
      <c r="BP885" s="63">
        <v>8</v>
      </c>
      <c r="BR885" s="63"/>
    </row>
    <row r="886" spans="1:70" hidden="1" outlineLevel="1">
      <c r="A886" t="s">
        <v>958</v>
      </c>
      <c r="B886" t="s">
        <v>1622</v>
      </c>
      <c r="C886" s="1">
        <f t="shared" si="366"/>
        <v>4985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7</v>
      </c>
      <c r="G886" s="132">
        <f t="shared" si="367"/>
        <v>2048</v>
      </c>
      <c r="H886" s="137">
        <f t="shared" si="368"/>
        <v>0.41083249749247741</v>
      </c>
      <c r="I886" s="2"/>
      <c r="J886" s="2">
        <f t="shared" si="369"/>
        <v>0.26920762286860583</v>
      </c>
      <c r="K886" s="2">
        <f t="shared" si="370"/>
        <v>0.6800401203610833</v>
      </c>
      <c r="L886" s="2">
        <f t="shared" si="371"/>
        <v>3.009027081243731E-3</v>
      </c>
      <c r="M886" s="2">
        <f t="shared" si="372"/>
        <v>4.774322968906719E-2</v>
      </c>
      <c r="N886" s="63">
        <v>1342</v>
      </c>
      <c r="O886" s="63">
        <v>3390</v>
      </c>
      <c r="P886" s="63">
        <v>15</v>
      </c>
      <c r="Q886" s="63">
        <v>139</v>
      </c>
      <c r="R886" s="63">
        <v>28</v>
      </c>
      <c r="S886" s="63">
        <v>17</v>
      </c>
      <c r="T886" s="63">
        <v>1</v>
      </c>
      <c r="U886" s="63"/>
      <c r="V886" s="63">
        <v>1</v>
      </c>
      <c r="W886" s="63">
        <v>44</v>
      </c>
      <c r="X886" s="63"/>
      <c r="Y886" s="63"/>
      <c r="Z886" s="63"/>
      <c r="AA886" s="63"/>
      <c r="AB886" s="63"/>
      <c r="AC886" s="63">
        <v>1</v>
      </c>
      <c r="AD886" s="63"/>
      <c r="AE886" s="63"/>
      <c r="AF886" s="63"/>
      <c r="AG886" s="63"/>
      <c r="AH886" s="63"/>
      <c r="AI886" s="63"/>
      <c r="AJ886" s="63"/>
      <c r="AK886" s="63"/>
      <c r="AL886" s="63">
        <v>7</v>
      </c>
      <c r="AM886" s="63"/>
      <c r="AN886" s="63"/>
      <c r="AO886" s="63"/>
      <c r="AP886" s="63"/>
      <c r="AQ886" s="63"/>
      <c r="AR886" s="63"/>
      <c r="AS886" s="63"/>
      <c r="AT886" s="63"/>
      <c r="AU886" s="63"/>
      <c r="AW886" s="5">
        <f>IF(Q886&gt;0,RANK(Q886,(N886:P886,Q886:AE886)),0)</f>
        <v>3</v>
      </c>
      <c r="AX886" s="5">
        <f>IF(R886&gt;0,RANK(R886,(N886:P886,Q886:AE886)),0)</f>
        <v>5</v>
      </c>
      <c r="AY886" s="5">
        <f>IF(T886&gt;0,RANK(T886,(N886:P886,Q886:AE886)),0)</f>
        <v>8</v>
      </c>
      <c r="AZ886" s="5">
        <f>IF(S886&gt;0,RANK(S886,(N886:P886,Q886:AE886)),0)</f>
        <v>6</v>
      </c>
      <c r="BA886" s="2">
        <f t="shared" si="373"/>
        <v>2.7883650952858576E-2</v>
      </c>
      <c r="BB886" s="2">
        <f t="shared" si="374"/>
        <v>5.6168505516549653E-3</v>
      </c>
      <c r="BC886" s="2">
        <f t="shared" si="375"/>
        <v>2.0060180541624874E-4</v>
      </c>
      <c r="BD886" s="2">
        <f t="shared" si="376"/>
        <v>3.4102306920762286E-3</v>
      </c>
      <c r="BF886" t="s">
        <v>958</v>
      </c>
      <c r="BG886" t="s">
        <v>1622</v>
      </c>
      <c r="BH886">
        <v>2</v>
      </c>
      <c r="BJ886" s="114">
        <v>19</v>
      </c>
      <c r="BK886" s="116">
        <v>107</v>
      </c>
      <c r="BL886" s="120">
        <f t="shared" si="377"/>
        <v>19107</v>
      </c>
      <c r="BN886" s="5" t="s">
        <v>3154</v>
      </c>
      <c r="BO886" s="63">
        <v>44</v>
      </c>
      <c r="BP886" s="63">
        <v>6</v>
      </c>
      <c r="BR886" s="63"/>
    </row>
    <row r="887" spans="1:70" hidden="1" outlineLevel="1">
      <c r="A887" t="s">
        <v>2103</v>
      </c>
      <c r="B887" t="s">
        <v>1622</v>
      </c>
      <c r="C887" s="1">
        <f t="shared" si="366"/>
        <v>8607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5</v>
      </c>
      <c r="G887" s="132">
        <f t="shared" si="367"/>
        <v>3110</v>
      </c>
      <c r="H887" s="137">
        <f t="shared" si="368"/>
        <v>0.36133379807133731</v>
      </c>
      <c r="I887" s="2"/>
      <c r="J887" s="2">
        <f t="shared" si="369"/>
        <v>0.2954571860113861</v>
      </c>
      <c r="K887" s="2">
        <f t="shared" si="370"/>
        <v>0.65679098408272341</v>
      </c>
      <c r="L887" s="2">
        <f t="shared" si="371"/>
        <v>4.1826420355524571E-3</v>
      </c>
      <c r="M887" s="2">
        <f t="shared" si="372"/>
        <v>4.3569187870337985E-2</v>
      </c>
      <c r="N887" s="63">
        <v>2543</v>
      </c>
      <c r="O887" s="63">
        <v>5653</v>
      </c>
      <c r="P887" s="63">
        <v>36</v>
      </c>
      <c r="Q887" s="63">
        <v>194</v>
      </c>
      <c r="R887" s="63">
        <v>33</v>
      </c>
      <c r="S887" s="63">
        <v>22</v>
      </c>
      <c r="T887" s="63">
        <v>1</v>
      </c>
      <c r="U887" s="63"/>
      <c r="V887" s="63">
        <v>1</v>
      </c>
      <c r="W887" s="63">
        <v>70</v>
      </c>
      <c r="X887" s="63"/>
      <c r="Y887" s="63"/>
      <c r="Z887" s="63"/>
      <c r="AA887" s="63"/>
      <c r="AB887" s="63"/>
      <c r="AC887" s="63">
        <v>26</v>
      </c>
      <c r="AD887" s="63"/>
      <c r="AE887" s="63"/>
      <c r="AF887" s="63"/>
      <c r="AG887" s="63"/>
      <c r="AH887" s="63"/>
      <c r="AI887" s="63"/>
      <c r="AJ887" s="63"/>
      <c r="AK887" s="63"/>
      <c r="AL887" s="63">
        <v>28</v>
      </c>
      <c r="AM887" s="63"/>
      <c r="AN887" s="63"/>
      <c r="AO887" s="63"/>
      <c r="AP887" s="63"/>
      <c r="AQ887" s="63"/>
      <c r="AR887" s="63"/>
      <c r="AS887" s="63"/>
      <c r="AT887" s="63"/>
      <c r="AU887" s="63"/>
      <c r="AW887" s="5">
        <f>IF(Q887&gt;0,RANK(Q887,(N887:P887,Q887:AE887)),0)</f>
        <v>3</v>
      </c>
      <c r="AX887" s="5">
        <f>IF(R887&gt;0,RANK(R887,(N887:P887,Q887:AE887)),0)</f>
        <v>6</v>
      </c>
      <c r="AY887" s="5">
        <f>IF(T887&gt;0,RANK(T887,(N887:P887,Q887:AE887)),0)</f>
        <v>9</v>
      </c>
      <c r="AZ887" s="5">
        <f>IF(S887&gt;0,RANK(S887,(N887:P887,Q887:AE887)),0)</f>
        <v>8</v>
      </c>
      <c r="BA887" s="2">
        <f t="shared" si="373"/>
        <v>2.2539793191588241E-2</v>
      </c>
      <c r="BB887" s="2">
        <f t="shared" si="374"/>
        <v>3.8340885325897525E-3</v>
      </c>
      <c r="BC887" s="2">
        <f t="shared" si="375"/>
        <v>1.1618450098756825E-4</v>
      </c>
      <c r="BD887" s="2">
        <f t="shared" si="376"/>
        <v>2.5560590217265015E-3</v>
      </c>
      <c r="BF887" t="s">
        <v>2103</v>
      </c>
      <c r="BG887" t="s">
        <v>1622</v>
      </c>
      <c r="BH887">
        <v>4</v>
      </c>
      <c r="BJ887" s="114">
        <v>19</v>
      </c>
      <c r="BK887" s="116">
        <v>109</v>
      </c>
      <c r="BL887" s="120">
        <f t="shared" si="377"/>
        <v>19109</v>
      </c>
      <c r="BN887" s="5" t="s">
        <v>3154</v>
      </c>
      <c r="BO887" s="63">
        <v>94</v>
      </c>
      <c r="BP887" s="63">
        <v>41</v>
      </c>
      <c r="BR887" s="63"/>
    </row>
    <row r="888" spans="1:70" hidden="1" outlineLevel="1">
      <c r="A888" t="s">
        <v>97</v>
      </c>
      <c r="B888" t="s">
        <v>1622</v>
      </c>
      <c r="C888" s="1">
        <f t="shared" si="366"/>
        <v>16151</v>
      </c>
      <c r="D888" s="5">
        <f>IF(N888&gt;0, RANK(N888,(N888:P888,Q888:AE888)),0)</f>
        <v>2</v>
      </c>
      <c r="E888" s="5">
        <f>IF(O888&gt;0,RANK(O888,(N888:P888,Q888:AE888)),0)</f>
        <v>1</v>
      </c>
      <c r="F888" s="5">
        <f>IF(P888&gt;0,RANK(P888,(N888:P888,Q888:AE888)),0)</f>
        <v>6</v>
      </c>
      <c r="G888" s="132">
        <f t="shared" si="367"/>
        <v>2588</v>
      </c>
      <c r="H888" s="137">
        <f t="shared" si="368"/>
        <v>0.16023775617608818</v>
      </c>
      <c r="I888" s="2"/>
      <c r="J888" s="2">
        <f t="shared" si="369"/>
        <v>0.38480589437186552</v>
      </c>
      <c r="K888" s="2">
        <f t="shared" si="370"/>
        <v>0.54504365054795367</v>
      </c>
      <c r="L888" s="2">
        <f t="shared" si="371"/>
        <v>5.2009163519286736E-3</v>
      </c>
      <c r="M888" s="2">
        <f t="shared" si="372"/>
        <v>6.4949538728252126E-2</v>
      </c>
      <c r="N888" s="63">
        <v>6215</v>
      </c>
      <c r="O888" s="63">
        <v>8803</v>
      </c>
      <c r="P888" s="63">
        <v>84</v>
      </c>
      <c r="Q888" s="63">
        <v>510</v>
      </c>
      <c r="R888" s="63">
        <v>145</v>
      </c>
      <c r="S888" s="63">
        <v>77</v>
      </c>
      <c r="T888" s="63">
        <v>8</v>
      </c>
      <c r="U888" s="63"/>
      <c r="V888" s="63">
        <v>5</v>
      </c>
      <c r="W888" s="63">
        <v>187</v>
      </c>
      <c r="X888" s="63"/>
      <c r="Y888" s="63"/>
      <c r="Z888" s="63"/>
      <c r="AA888" s="63"/>
      <c r="AB888" s="63"/>
      <c r="AC888" s="63">
        <v>78</v>
      </c>
      <c r="AD888" s="63"/>
      <c r="AE888" s="63"/>
      <c r="AF888" s="63"/>
      <c r="AG888" s="63"/>
      <c r="AH888" s="63"/>
      <c r="AI888" s="63"/>
      <c r="AJ888" s="63"/>
      <c r="AK888" s="63"/>
      <c r="AL888" s="63">
        <v>39</v>
      </c>
      <c r="AM888" s="63"/>
      <c r="AN888" s="63"/>
      <c r="AO888" s="63"/>
      <c r="AP888" s="63"/>
      <c r="AQ888" s="63"/>
      <c r="AR888" s="63"/>
      <c r="AS888" s="63"/>
      <c r="AT888" s="63"/>
      <c r="AU888" s="63"/>
      <c r="AW888" s="5">
        <f>IF(Q888&gt;0,RANK(Q888,(N888:P888,Q888:AE888)),0)</f>
        <v>3</v>
      </c>
      <c r="AX888" s="5">
        <f>IF(R888&gt;0,RANK(R888,(N888:P888,Q888:AE888)),0)</f>
        <v>5</v>
      </c>
      <c r="AY888" s="5">
        <f>IF(T888&gt;0,RANK(T888,(N888:P888,Q888:AE888)),0)</f>
        <v>9</v>
      </c>
      <c r="AZ888" s="5">
        <f>IF(S888&gt;0,RANK(S888,(N888:P888,Q888:AE888)),0)</f>
        <v>8</v>
      </c>
      <c r="BA888" s="2">
        <f t="shared" si="373"/>
        <v>3.1576992136709801E-2</v>
      </c>
      <c r="BB888" s="2">
        <f t="shared" si="374"/>
        <v>8.9777722741625904E-3</v>
      </c>
      <c r="BC888" s="2">
        <f t="shared" si="375"/>
        <v>4.9532536685034981E-4</v>
      </c>
      <c r="BD888" s="2">
        <f t="shared" si="376"/>
        <v>4.7675066559346169E-3</v>
      </c>
      <c r="BF888" t="s">
        <v>97</v>
      </c>
      <c r="BG888" t="s">
        <v>1622</v>
      </c>
      <c r="BH888">
        <v>2</v>
      </c>
      <c r="BJ888" s="114">
        <v>19</v>
      </c>
      <c r="BK888" s="116">
        <v>111</v>
      </c>
      <c r="BL888" s="120">
        <f t="shared" si="377"/>
        <v>19111</v>
      </c>
      <c r="BN888" s="5" t="s">
        <v>3154</v>
      </c>
      <c r="BO888" s="63">
        <v>148</v>
      </c>
      <c r="BP888" s="63">
        <v>48</v>
      </c>
      <c r="BR888" s="63"/>
    </row>
    <row r="889" spans="1:70" hidden="1" outlineLevel="1">
      <c r="A889" t="s">
        <v>1421</v>
      </c>
      <c r="B889" t="s">
        <v>1622</v>
      </c>
      <c r="C889" s="1">
        <f t="shared" si="366"/>
        <v>117098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>IF(P889&gt;0,RANK(P889,(N889:P889,Q889:AE889)),0)</f>
        <v>6</v>
      </c>
      <c r="G889" s="132">
        <f t="shared" si="367"/>
        <v>10545</v>
      </c>
      <c r="H889" s="137">
        <f t="shared" si="368"/>
        <v>9.0052776307024879E-2</v>
      </c>
      <c r="I889" s="2"/>
      <c r="J889" s="2">
        <f t="shared" si="369"/>
        <v>0.50329638422517886</v>
      </c>
      <c r="K889" s="2">
        <f t="shared" si="370"/>
        <v>0.41324360791815401</v>
      </c>
      <c r="L889" s="2">
        <f t="shared" si="371"/>
        <v>7.9676851867666407E-3</v>
      </c>
      <c r="M889" s="2">
        <f t="shared" si="372"/>
        <v>7.5492322669900483E-2</v>
      </c>
      <c r="N889" s="63">
        <v>58935</v>
      </c>
      <c r="O889" s="63">
        <v>48390</v>
      </c>
      <c r="P889" s="63">
        <v>933</v>
      </c>
      <c r="Q889" s="63">
        <v>5557</v>
      </c>
      <c r="R889" s="63">
        <v>1005</v>
      </c>
      <c r="S889" s="63">
        <v>266</v>
      </c>
      <c r="T889" s="63">
        <v>34</v>
      </c>
      <c r="U889" s="63"/>
      <c r="V889" s="63">
        <v>23</v>
      </c>
      <c r="W889" s="63">
        <v>1703</v>
      </c>
      <c r="X889" s="63"/>
      <c r="Y889" s="63"/>
      <c r="Z889" s="63"/>
      <c r="AA889" s="63"/>
      <c r="AB889" s="63"/>
      <c r="AC889" s="63">
        <v>119</v>
      </c>
      <c r="AD889" s="63"/>
      <c r="AE889" s="63"/>
      <c r="AF889" s="63"/>
      <c r="AG889" s="63"/>
      <c r="AH889" s="63"/>
      <c r="AI889" s="63"/>
      <c r="AJ889" s="63"/>
      <c r="AK889" s="63"/>
      <c r="AL889" s="63">
        <v>133</v>
      </c>
      <c r="AM889" s="63"/>
      <c r="AN889" s="63"/>
      <c r="AO889" s="63"/>
      <c r="AP889" s="63"/>
      <c r="AQ889" s="63"/>
      <c r="AR889" s="63"/>
      <c r="AS889" s="63"/>
      <c r="AT889" s="63"/>
      <c r="AU889" s="63"/>
      <c r="AW889" s="5">
        <f>IF(Q889&gt;0,RANK(Q889,(N889:P889,Q889:AE889)),0)</f>
        <v>3</v>
      </c>
      <c r="AX889" s="5">
        <f>IF(R889&gt;0,RANK(R889,(N889:P889,Q889:AE889)),0)</f>
        <v>5</v>
      </c>
      <c r="AY889" s="5">
        <f>IF(T889&gt;0,RANK(T889,(N889:P889,Q889:AE889)),0)</f>
        <v>9</v>
      </c>
      <c r="AZ889" s="5">
        <f>IF(S889&gt;0,RANK(S889,(N889:P889,Q889:AE889)),0)</f>
        <v>7</v>
      </c>
      <c r="BA889" s="2">
        <f t="shared" si="373"/>
        <v>4.7455977044868404E-2</v>
      </c>
      <c r="BB889" s="2">
        <f t="shared" si="374"/>
        <v>8.582554783173069E-3</v>
      </c>
      <c r="BC889" s="2">
        <f t="shared" si="375"/>
        <v>2.9035508719192469E-4</v>
      </c>
      <c r="BD889" s="2">
        <f t="shared" si="376"/>
        <v>2.2716015645015287E-3</v>
      </c>
      <c r="BF889" t="s">
        <v>1421</v>
      </c>
      <c r="BG889" t="s">
        <v>1622</v>
      </c>
      <c r="BH889">
        <v>1</v>
      </c>
      <c r="BJ889" s="114">
        <v>19</v>
      </c>
      <c r="BK889" s="116">
        <v>113</v>
      </c>
      <c r="BL889" s="120">
        <f t="shared" si="377"/>
        <v>19113</v>
      </c>
      <c r="BN889" s="5" t="s">
        <v>3154</v>
      </c>
      <c r="BO889" s="63">
        <v>770</v>
      </c>
      <c r="BP889" s="63">
        <v>248</v>
      </c>
      <c r="BR889" s="63"/>
    </row>
    <row r="890" spans="1:70" hidden="1" outlineLevel="1">
      <c r="A890" t="s">
        <v>3204</v>
      </c>
      <c r="B890" t="s">
        <v>1622</v>
      </c>
      <c r="C890" s="1">
        <f t="shared" si="366"/>
        <v>5008</v>
      </c>
      <c r="D890" s="5">
        <f>IF(N890&gt;0, RANK(N890,(N890:P890,Q890:AE890)),0)</f>
        <v>2</v>
      </c>
      <c r="E890" s="5">
        <f>IF(O890&gt;0,RANK(O890,(N890:P890,Q890:AE890)),0)</f>
        <v>1</v>
      </c>
      <c r="F890" s="5">
        <f>IF(P890&gt;0,RANK(P890,(N890:P890,Q890:AE890)),0)</f>
        <v>5</v>
      </c>
      <c r="G890" s="132">
        <f t="shared" si="367"/>
        <v>1421</v>
      </c>
      <c r="H890" s="137">
        <f t="shared" si="368"/>
        <v>0.28374600638977637</v>
      </c>
      <c r="I890" s="2"/>
      <c r="J890" s="2">
        <f t="shared" si="369"/>
        <v>0.32907348242811502</v>
      </c>
      <c r="K890" s="2">
        <f t="shared" si="370"/>
        <v>0.61281948881789139</v>
      </c>
      <c r="L890" s="2">
        <f t="shared" si="371"/>
        <v>7.7875399361022361E-3</v>
      </c>
      <c r="M890" s="2">
        <f t="shared" si="372"/>
        <v>5.0319488817891417E-2</v>
      </c>
      <c r="N890" s="63">
        <v>1648</v>
      </c>
      <c r="O890" s="63">
        <v>3069</v>
      </c>
      <c r="P890" s="63">
        <v>39</v>
      </c>
      <c r="Q890" s="63">
        <v>136</v>
      </c>
      <c r="R890" s="63">
        <v>28</v>
      </c>
      <c r="S890" s="63">
        <v>26</v>
      </c>
      <c r="T890" s="63">
        <v>1</v>
      </c>
      <c r="U890" s="63"/>
      <c r="V890" s="63">
        <v>4</v>
      </c>
      <c r="W890" s="63">
        <v>48</v>
      </c>
      <c r="X890" s="63"/>
      <c r="Y890" s="63"/>
      <c r="Z890" s="63"/>
      <c r="AA890" s="63"/>
      <c r="AB890" s="63"/>
      <c r="AC890" s="63">
        <v>4</v>
      </c>
      <c r="AD890" s="63"/>
      <c r="AE890" s="63"/>
      <c r="AF890" s="63"/>
      <c r="AG890" s="63"/>
      <c r="AH890" s="63"/>
      <c r="AI890" s="63"/>
      <c r="AJ890" s="63"/>
      <c r="AK890" s="63"/>
      <c r="AL890" s="63">
        <v>5</v>
      </c>
      <c r="AM890" s="63"/>
      <c r="AN890" s="63"/>
      <c r="AO890" s="63"/>
      <c r="AP890" s="63"/>
      <c r="AQ890" s="63"/>
      <c r="AR890" s="63"/>
      <c r="AS890" s="63"/>
      <c r="AT890" s="63"/>
      <c r="AU890" s="63"/>
      <c r="AW890" s="5">
        <f>IF(Q890&gt;0,RANK(Q890,(N890:P890,Q890:AE890)),0)</f>
        <v>3</v>
      </c>
      <c r="AX890" s="5">
        <f>IF(R890&gt;0,RANK(R890,(N890:P890,Q890:AE890)),0)</f>
        <v>6</v>
      </c>
      <c r="AY890" s="5">
        <f>IF(T890&gt;0,RANK(T890,(N890:P890,Q890:AE890)),0)</f>
        <v>10</v>
      </c>
      <c r="AZ890" s="5">
        <f>IF(S890&gt;0,RANK(S890,(N890:P890,Q890:AE890)),0)</f>
        <v>7</v>
      </c>
      <c r="BA890" s="2">
        <f t="shared" si="373"/>
        <v>2.7156549520766772E-2</v>
      </c>
      <c r="BB890" s="2">
        <f t="shared" si="374"/>
        <v>5.5910543130990413E-3</v>
      </c>
      <c r="BC890" s="2">
        <f t="shared" si="375"/>
        <v>1.9968051118210862E-4</v>
      </c>
      <c r="BD890" s="2">
        <f t="shared" si="376"/>
        <v>5.1916932907348241E-3</v>
      </c>
      <c r="BF890" t="s">
        <v>3204</v>
      </c>
      <c r="BG890" t="s">
        <v>1622</v>
      </c>
      <c r="BH890">
        <v>2</v>
      </c>
      <c r="BJ890" s="114">
        <v>19</v>
      </c>
      <c r="BK890" s="116">
        <v>115</v>
      </c>
      <c r="BL890" s="120">
        <f t="shared" si="377"/>
        <v>19115</v>
      </c>
      <c r="BN890" s="5" t="s">
        <v>3154</v>
      </c>
      <c r="BO890" s="63">
        <v>55</v>
      </c>
      <c r="BP890" s="63">
        <v>13</v>
      </c>
      <c r="BR890" s="63"/>
    </row>
    <row r="891" spans="1:70" hidden="1" outlineLevel="1">
      <c r="A891" t="s">
        <v>2067</v>
      </c>
      <c r="B891" t="s">
        <v>1622</v>
      </c>
      <c r="C891" s="1">
        <f t="shared" si="366"/>
        <v>4354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7</v>
      </c>
      <c r="G891" s="132">
        <f t="shared" si="367"/>
        <v>1638</v>
      </c>
      <c r="H891" s="137">
        <f t="shared" si="368"/>
        <v>0.3762057877813505</v>
      </c>
      <c r="I891" s="2"/>
      <c r="J891" s="2">
        <f t="shared" si="369"/>
        <v>0.28456591639871381</v>
      </c>
      <c r="K891" s="2">
        <f t="shared" si="370"/>
        <v>0.66077170418006426</v>
      </c>
      <c r="L891" s="2">
        <f t="shared" si="371"/>
        <v>3.6747818098300414E-3</v>
      </c>
      <c r="M891" s="2">
        <f t="shared" si="372"/>
        <v>5.0987597611391947E-2</v>
      </c>
      <c r="N891" s="63">
        <v>1239</v>
      </c>
      <c r="O891" s="63">
        <v>2877</v>
      </c>
      <c r="P891" s="63">
        <v>16</v>
      </c>
      <c r="Q891" s="63">
        <v>115</v>
      </c>
      <c r="R891" s="63">
        <v>28</v>
      </c>
      <c r="S891" s="63">
        <v>18</v>
      </c>
      <c r="T891" s="63">
        <v>0</v>
      </c>
      <c r="U891" s="63"/>
      <c r="V891" s="63">
        <v>1</v>
      </c>
      <c r="W891" s="63">
        <v>50</v>
      </c>
      <c r="X891" s="63"/>
      <c r="Y891" s="63"/>
      <c r="Z891" s="63"/>
      <c r="AA891" s="63"/>
      <c r="AB891" s="63"/>
      <c r="AC891" s="63">
        <v>6</v>
      </c>
      <c r="AD891" s="63"/>
      <c r="AE891" s="63"/>
      <c r="AF891" s="63"/>
      <c r="AG891" s="63"/>
      <c r="AH891" s="63"/>
      <c r="AI891" s="63"/>
      <c r="AJ891" s="63"/>
      <c r="AK891" s="63"/>
      <c r="AL891" s="63">
        <v>4</v>
      </c>
      <c r="AM891" s="63"/>
      <c r="AN891" s="63"/>
      <c r="AO891" s="63"/>
      <c r="AP891" s="63"/>
      <c r="AQ891" s="63"/>
      <c r="AR891" s="63"/>
      <c r="AS891" s="63"/>
      <c r="AT891" s="63"/>
      <c r="AU891" s="63"/>
      <c r="AW891" s="5">
        <f>IF(Q891&gt;0,RANK(Q891,(N891:P891,Q891:AE891)),0)</f>
        <v>3</v>
      </c>
      <c r="AX891" s="5">
        <f>IF(R891&gt;0,RANK(R891,(N891:P891,Q891:AE891)),0)</f>
        <v>5</v>
      </c>
      <c r="AY891" s="5">
        <f>IF(T891&gt;0,RANK(T891,(N891:P891,Q891:AE891)),0)</f>
        <v>0</v>
      </c>
      <c r="AZ891" s="5">
        <f>IF(S891&gt;0,RANK(S891,(N891:P891,Q891:AE891)),0)</f>
        <v>6</v>
      </c>
      <c r="BA891" s="2">
        <f t="shared" si="373"/>
        <v>2.641249425815342E-2</v>
      </c>
      <c r="BB891" s="2">
        <f t="shared" si="374"/>
        <v>6.4308681672025723E-3</v>
      </c>
      <c r="BC891" s="2">
        <f t="shared" si="375"/>
        <v>0</v>
      </c>
      <c r="BD891" s="2">
        <f t="shared" si="376"/>
        <v>4.1341295360587966E-3</v>
      </c>
      <c r="BF891" t="s">
        <v>2067</v>
      </c>
      <c r="BG891" t="s">
        <v>1622</v>
      </c>
      <c r="BH891">
        <v>2</v>
      </c>
      <c r="BJ891" s="114">
        <v>19</v>
      </c>
      <c r="BK891" s="116">
        <v>117</v>
      </c>
      <c r="BL891" s="120">
        <f t="shared" si="377"/>
        <v>19117</v>
      </c>
      <c r="BN891" s="5" t="s">
        <v>3154</v>
      </c>
      <c r="BO891" s="63">
        <v>28</v>
      </c>
      <c r="BP891" s="63">
        <v>10</v>
      </c>
      <c r="BR891" s="63"/>
    </row>
    <row r="892" spans="1:70" hidden="1" outlineLevel="1">
      <c r="A892" t="s">
        <v>316</v>
      </c>
      <c r="B892" t="s">
        <v>1622</v>
      </c>
      <c r="C892" s="1">
        <f t="shared" si="366"/>
        <v>6377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4</v>
      </c>
      <c r="G892" s="132">
        <f t="shared" si="367"/>
        <v>4272</v>
      </c>
      <c r="H892" s="137">
        <f t="shared" si="368"/>
        <v>0.66990748000627254</v>
      </c>
      <c r="I892" s="2"/>
      <c r="J892" s="2">
        <f t="shared" si="369"/>
        <v>0.14426846479535832</v>
      </c>
      <c r="K892" s="2">
        <f t="shared" si="370"/>
        <v>0.81417594480163091</v>
      </c>
      <c r="L892" s="2">
        <f t="shared" si="371"/>
        <v>5.4884742041712408E-3</v>
      </c>
      <c r="M892" s="2">
        <f t="shared" si="372"/>
        <v>3.606711619883958E-2</v>
      </c>
      <c r="N892" s="63">
        <v>920</v>
      </c>
      <c r="O892" s="63">
        <v>5192</v>
      </c>
      <c r="P892" s="63">
        <v>35</v>
      </c>
      <c r="Q892" s="63">
        <v>137</v>
      </c>
      <c r="R892" s="63">
        <v>18</v>
      </c>
      <c r="S892" s="63">
        <v>18</v>
      </c>
      <c r="T892" s="63">
        <v>1</v>
      </c>
      <c r="U892" s="63"/>
      <c r="V892" s="63">
        <v>1</v>
      </c>
      <c r="W892" s="63">
        <v>32</v>
      </c>
      <c r="X892" s="63"/>
      <c r="Y892" s="63"/>
      <c r="Z892" s="63"/>
      <c r="AA892" s="63"/>
      <c r="AB892" s="63"/>
      <c r="AC892" s="63">
        <v>7</v>
      </c>
      <c r="AD892" s="63"/>
      <c r="AE892" s="63"/>
      <c r="AF892" s="63"/>
      <c r="AG892" s="63"/>
      <c r="AH892" s="63"/>
      <c r="AI892" s="63"/>
      <c r="AJ892" s="63"/>
      <c r="AK892" s="63"/>
      <c r="AL892" s="63">
        <v>16</v>
      </c>
      <c r="AM892" s="63"/>
      <c r="AN892" s="63"/>
      <c r="AO892" s="63"/>
      <c r="AP892" s="63"/>
      <c r="AQ892" s="63"/>
      <c r="AR892" s="63"/>
      <c r="AS892" s="63"/>
      <c r="AT892" s="63"/>
      <c r="AU892" s="63"/>
      <c r="AW892" s="5">
        <f>IF(Q892&gt;0,RANK(Q892,(N892:P892,Q892:AE892)),0)</f>
        <v>3</v>
      </c>
      <c r="AX892" s="5">
        <f>IF(R892&gt;0,RANK(R892,(N892:P892,Q892:AE892)),0)</f>
        <v>6</v>
      </c>
      <c r="AY892" s="5">
        <f>IF(T892&gt;0,RANK(T892,(N892:P892,Q892:AE892)),0)</f>
        <v>9</v>
      </c>
      <c r="AZ892" s="5">
        <f>IF(S892&gt;0,RANK(S892,(N892:P892,Q892:AE892)),0)</f>
        <v>6</v>
      </c>
      <c r="BA892" s="2">
        <f t="shared" si="373"/>
        <v>2.148345617061314E-2</v>
      </c>
      <c r="BB892" s="2">
        <f t="shared" si="374"/>
        <v>2.8226438764309236E-3</v>
      </c>
      <c r="BC892" s="2">
        <f t="shared" si="375"/>
        <v>1.5681354869060687E-4</v>
      </c>
      <c r="BD892" s="2">
        <f t="shared" si="376"/>
        <v>2.8226438764309236E-3</v>
      </c>
      <c r="BF892" t="s">
        <v>316</v>
      </c>
      <c r="BG892" t="s">
        <v>1622</v>
      </c>
      <c r="BH892">
        <v>4</v>
      </c>
      <c r="BJ892" s="114">
        <v>19</v>
      </c>
      <c r="BK892" s="116">
        <v>119</v>
      </c>
      <c r="BL892" s="120">
        <f t="shared" si="377"/>
        <v>19119</v>
      </c>
      <c r="BN892" s="5" t="s">
        <v>3154</v>
      </c>
      <c r="BO892" s="63">
        <v>47</v>
      </c>
      <c r="BP892" s="63">
        <v>7</v>
      </c>
      <c r="BR892" s="63"/>
    </row>
    <row r="893" spans="1:70" hidden="1" outlineLevel="1">
      <c r="A893" t="s">
        <v>1650</v>
      </c>
      <c r="B893" t="s">
        <v>1622</v>
      </c>
      <c r="C893" s="1">
        <f t="shared" si="366"/>
        <v>8636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4</v>
      </c>
      <c r="G893" s="132">
        <f t="shared" si="367"/>
        <v>2682</v>
      </c>
      <c r="H893" s="137">
        <f t="shared" si="368"/>
        <v>0.31056044465030108</v>
      </c>
      <c r="I893" s="2"/>
      <c r="J893" s="2">
        <f t="shared" si="369"/>
        <v>0.31009726725335801</v>
      </c>
      <c r="K893" s="2">
        <f t="shared" si="370"/>
        <v>0.62065771190365915</v>
      </c>
      <c r="L893" s="2">
        <f t="shared" si="371"/>
        <v>9.7267253358036126E-3</v>
      </c>
      <c r="M893" s="2">
        <f t="shared" si="372"/>
        <v>5.9518295507179284E-2</v>
      </c>
      <c r="N893" s="63">
        <v>2678</v>
      </c>
      <c r="O893" s="63">
        <v>5360</v>
      </c>
      <c r="P893" s="63">
        <v>84</v>
      </c>
      <c r="Q893" s="63">
        <v>347</v>
      </c>
      <c r="R893" s="63">
        <v>41</v>
      </c>
      <c r="S893" s="63">
        <v>37</v>
      </c>
      <c r="T893" s="63">
        <v>1</v>
      </c>
      <c r="U893" s="63"/>
      <c r="V893" s="63">
        <v>1</v>
      </c>
      <c r="W893" s="63">
        <v>71</v>
      </c>
      <c r="X893" s="63"/>
      <c r="Y893" s="63"/>
      <c r="Z893" s="63"/>
      <c r="AA893" s="63"/>
      <c r="AB893" s="63"/>
      <c r="AC893" s="63">
        <v>5</v>
      </c>
      <c r="AD893" s="63"/>
      <c r="AE893" s="63"/>
      <c r="AF893" s="63"/>
      <c r="AG893" s="63"/>
      <c r="AH893" s="63"/>
      <c r="AI893" s="63"/>
      <c r="AJ893" s="63"/>
      <c r="AK893" s="63"/>
      <c r="AL893" s="63">
        <v>11</v>
      </c>
      <c r="AM893" s="63"/>
      <c r="AN893" s="63"/>
      <c r="AO893" s="63"/>
      <c r="AP893" s="63"/>
      <c r="AQ893" s="63"/>
      <c r="AR893" s="63"/>
      <c r="AS893" s="63"/>
      <c r="AT893" s="63"/>
      <c r="AU893" s="63"/>
      <c r="AW893" s="5">
        <f>IF(Q893&gt;0,RANK(Q893,(N893:P893,Q893:AE893)),0)</f>
        <v>3</v>
      </c>
      <c r="AX893" s="5">
        <f>IF(R893&gt;0,RANK(R893,(N893:P893,Q893:AE893)),0)</f>
        <v>6</v>
      </c>
      <c r="AY893" s="5">
        <f>IF(T893&gt;0,RANK(T893,(N893:P893,Q893:AE893)),0)</f>
        <v>9</v>
      </c>
      <c r="AZ893" s="5">
        <f>IF(S893&gt;0,RANK(S893,(N893:P893,Q893:AE893)),0)</f>
        <v>7</v>
      </c>
      <c r="BA893" s="2">
        <f t="shared" si="373"/>
        <v>4.0180639184807784E-2</v>
      </c>
      <c r="BB893" s="2">
        <f t="shared" si="374"/>
        <v>4.747568318666049E-3</v>
      </c>
      <c r="BC893" s="2">
        <f t="shared" si="375"/>
        <v>1.1579434923575729E-4</v>
      </c>
      <c r="BD893" s="2">
        <f t="shared" si="376"/>
        <v>4.2843909217230199E-3</v>
      </c>
      <c r="BF893" t="s">
        <v>1650</v>
      </c>
      <c r="BG893" t="s">
        <v>1622</v>
      </c>
      <c r="BH893">
        <v>3</v>
      </c>
      <c r="BJ893" s="114">
        <v>19</v>
      </c>
      <c r="BK893" s="116">
        <v>121</v>
      </c>
      <c r="BL893" s="120">
        <f t="shared" si="377"/>
        <v>19121</v>
      </c>
      <c r="BN893" s="5" t="s">
        <v>3154</v>
      </c>
      <c r="BO893" s="63">
        <v>67</v>
      </c>
      <c r="BP893" s="63">
        <v>3</v>
      </c>
      <c r="BR893" s="63"/>
    </row>
    <row r="894" spans="1:70" hidden="1" outlineLevel="1">
      <c r="A894" t="s">
        <v>1305</v>
      </c>
      <c r="B894" t="s">
        <v>1622</v>
      </c>
      <c r="C894" s="1">
        <f t="shared" si="366"/>
        <v>10632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5</v>
      </c>
      <c r="G894" s="132">
        <f t="shared" si="367"/>
        <v>4813</v>
      </c>
      <c r="H894" s="137">
        <f t="shared" si="368"/>
        <v>0.45268999247554553</v>
      </c>
      <c r="I894" s="2"/>
      <c r="J894" s="2">
        <f t="shared" si="369"/>
        <v>0.24633182844243792</v>
      </c>
      <c r="K894" s="2">
        <f t="shared" si="370"/>
        <v>0.69902182091798348</v>
      </c>
      <c r="L894" s="2">
        <f t="shared" si="371"/>
        <v>6.8660647103085028E-3</v>
      </c>
      <c r="M894" s="2">
        <f t="shared" si="372"/>
        <v>4.7780285929270062E-2</v>
      </c>
      <c r="N894" s="63">
        <v>2619</v>
      </c>
      <c r="O894" s="63">
        <v>7432</v>
      </c>
      <c r="P894" s="63">
        <v>73</v>
      </c>
      <c r="Q894" s="63">
        <v>318</v>
      </c>
      <c r="R894" s="63">
        <v>38</v>
      </c>
      <c r="S894" s="63">
        <v>35</v>
      </c>
      <c r="T894" s="63">
        <v>0</v>
      </c>
      <c r="U894" s="63"/>
      <c r="V894" s="63">
        <v>0</v>
      </c>
      <c r="W894" s="63">
        <v>95</v>
      </c>
      <c r="X894" s="63"/>
      <c r="Y894" s="63"/>
      <c r="Z894" s="63"/>
      <c r="AA894" s="63"/>
      <c r="AB894" s="63"/>
      <c r="AC894" s="63">
        <v>9</v>
      </c>
      <c r="AD894" s="63"/>
      <c r="AE894" s="63"/>
      <c r="AF894" s="63"/>
      <c r="AG894" s="63"/>
      <c r="AH894" s="63"/>
      <c r="AI894" s="63"/>
      <c r="AJ894" s="63"/>
      <c r="AK894" s="63"/>
      <c r="AL894" s="63">
        <v>13</v>
      </c>
      <c r="AM894" s="63"/>
      <c r="AN894" s="63"/>
      <c r="AO894" s="63"/>
      <c r="AP894" s="63"/>
      <c r="AQ894" s="63"/>
      <c r="AR894" s="63"/>
      <c r="AS894" s="63"/>
      <c r="AT894" s="63"/>
      <c r="AU894" s="63"/>
      <c r="AW894" s="5">
        <f>IF(Q894&gt;0,RANK(Q894,(N894:P894,Q894:AE894)),0)</f>
        <v>3</v>
      </c>
      <c r="AX894" s="5">
        <f>IF(R894&gt;0,RANK(R894,(N894:P894,Q894:AE894)),0)</f>
        <v>6</v>
      </c>
      <c r="AY894" s="5">
        <f>IF(T894&gt;0,RANK(T894,(N894:P894,Q894:AE894)),0)</f>
        <v>0</v>
      </c>
      <c r="AZ894" s="5">
        <f>IF(S894&gt;0,RANK(S894,(N894:P894,Q894:AE894)),0)</f>
        <v>7</v>
      </c>
      <c r="BA894" s="2">
        <f t="shared" si="373"/>
        <v>2.9909706546275394E-2</v>
      </c>
      <c r="BB894" s="2">
        <f t="shared" si="374"/>
        <v>3.5741158765989467E-3</v>
      </c>
      <c r="BC894" s="2">
        <f t="shared" si="375"/>
        <v>0</v>
      </c>
      <c r="BD894" s="2">
        <f t="shared" si="376"/>
        <v>3.2919488337095561E-3</v>
      </c>
      <c r="BF894" t="s">
        <v>1305</v>
      </c>
      <c r="BG894" t="s">
        <v>1622</v>
      </c>
      <c r="BH894">
        <v>2</v>
      </c>
      <c r="BJ894" s="114">
        <v>19</v>
      </c>
      <c r="BK894" s="116">
        <v>123</v>
      </c>
      <c r="BL894" s="120">
        <f t="shared" si="377"/>
        <v>19123</v>
      </c>
      <c r="BN894" s="5" t="s">
        <v>3154</v>
      </c>
      <c r="BO894" s="63">
        <v>79</v>
      </c>
      <c r="BP894" s="63">
        <v>12</v>
      </c>
      <c r="BR894" s="63"/>
    </row>
    <row r="895" spans="1:70" hidden="1" outlineLevel="1">
      <c r="A895" t="s">
        <v>1826</v>
      </c>
      <c r="B895" t="s">
        <v>1622</v>
      </c>
      <c r="C895" s="1">
        <f t="shared" si="366"/>
        <v>17816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5</v>
      </c>
      <c r="G895" s="132">
        <f t="shared" si="367"/>
        <v>5480</v>
      </c>
      <c r="H895" s="137">
        <f t="shared" si="368"/>
        <v>0.3075886843286933</v>
      </c>
      <c r="I895" s="2"/>
      <c r="J895" s="2">
        <f t="shared" si="369"/>
        <v>0.30770094297260892</v>
      </c>
      <c r="K895" s="2">
        <f t="shared" si="370"/>
        <v>0.61528962730130221</v>
      </c>
      <c r="L895" s="2">
        <f t="shared" si="371"/>
        <v>1.1450381679389313E-2</v>
      </c>
      <c r="M895" s="2">
        <f t="shared" si="372"/>
        <v>6.55590480466995E-2</v>
      </c>
      <c r="N895" s="63">
        <v>5482</v>
      </c>
      <c r="O895" s="63">
        <v>10962</v>
      </c>
      <c r="P895" s="63">
        <v>204</v>
      </c>
      <c r="Q895" s="63">
        <v>706</v>
      </c>
      <c r="R895" s="63">
        <v>73</v>
      </c>
      <c r="S895" s="63">
        <v>111</v>
      </c>
      <c r="T895" s="63">
        <v>7</v>
      </c>
      <c r="U895" s="63"/>
      <c r="V895" s="63">
        <v>1</v>
      </c>
      <c r="W895" s="63">
        <v>223</v>
      </c>
      <c r="X895" s="63"/>
      <c r="Y895" s="63"/>
      <c r="Z895" s="63"/>
      <c r="AA895" s="63"/>
      <c r="AB895" s="63"/>
      <c r="AC895" s="63">
        <v>19</v>
      </c>
      <c r="AD895" s="63"/>
      <c r="AE895" s="63"/>
      <c r="AF895" s="63"/>
      <c r="AG895" s="63"/>
      <c r="AH895" s="63"/>
      <c r="AI895" s="63"/>
      <c r="AJ895" s="63"/>
      <c r="AK895" s="63"/>
      <c r="AL895" s="63">
        <v>28</v>
      </c>
      <c r="AM895" s="63"/>
      <c r="AN895" s="63"/>
      <c r="AO895" s="63"/>
      <c r="AP895" s="63"/>
      <c r="AQ895" s="63"/>
      <c r="AR895" s="63"/>
      <c r="AS895" s="63"/>
      <c r="AT895" s="63"/>
      <c r="AU895" s="63"/>
      <c r="AW895" s="5">
        <f>IF(Q895&gt;0,RANK(Q895,(N895:P895,Q895:AE895)),0)</f>
        <v>3</v>
      </c>
      <c r="AX895" s="5">
        <f>IF(R895&gt;0,RANK(R895,(N895:P895,Q895:AE895)),0)</f>
        <v>7</v>
      </c>
      <c r="AY895" s="5">
        <f>IF(T895&gt;0,RANK(T895,(N895:P895,Q895:AE895)),0)</f>
        <v>9</v>
      </c>
      <c r="AZ895" s="5">
        <f>IF(S895&gt;0,RANK(S895,(N895:P895,Q895:AE895)),0)</f>
        <v>6</v>
      </c>
      <c r="BA895" s="2">
        <f t="shared" si="373"/>
        <v>3.9627301302200268E-2</v>
      </c>
      <c r="BB895" s="2">
        <f t="shared" si="374"/>
        <v>4.0974405029187248E-3</v>
      </c>
      <c r="BC895" s="2">
        <f t="shared" si="375"/>
        <v>3.9290525370453522E-4</v>
      </c>
      <c r="BD895" s="2">
        <f t="shared" si="376"/>
        <v>6.2303547373147731E-3</v>
      </c>
      <c r="BF895" t="s">
        <v>1826</v>
      </c>
      <c r="BG895" t="s">
        <v>1622</v>
      </c>
      <c r="BH895">
        <v>2</v>
      </c>
      <c r="BJ895" s="114">
        <v>19</v>
      </c>
      <c r="BK895" s="116">
        <v>125</v>
      </c>
      <c r="BL895" s="120">
        <f t="shared" si="377"/>
        <v>19125</v>
      </c>
      <c r="BN895" s="5" t="s">
        <v>3154</v>
      </c>
      <c r="BO895" s="63">
        <v>175</v>
      </c>
      <c r="BP895" s="63">
        <v>0</v>
      </c>
      <c r="BR895" s="63"/>
    </row>
    <row r="896" spans="1:70" hidden="1" outlineLevel="1">
      <c r="A896" t="s">
        <v>1847</v>
      </c>
      <c r="B896" t="s">
        <v>1622</v>
      </c>
      <c r="C896" s="1">
        <f t="shared" si="366"/>
        <v>17980</v>
      </c>
      <c r="D896" s="5">
        <f>IF(N896&gt;0, RANK(N896,(N896:P896,Q896:AE896)),0)</f>
        <v>2</v>
      </c>
      <c r="E896" s="5">
        <f>IF(O896&gt;0,RANK(O896,(N896:P896,Q896:AE896)),0)</f>
        <v>1</v>
      </c>
      <c r="F896" s="5">
        <f>IF(P896&gt;0,RANK(P896,(N896:P896,Q896:AE896)),0)</f>
        <v>6</v>
      </c>
      <c r="G896" s="132">
        <f t="shared" si="367"/>
        <v>1494</v>
      </c>
      <c r="H896" s="137">
        <f t="shared" si="368"/>
        <v>8.3092324805339263E-2</v>
      </c>
      <c r="I896" s="2"/>
      <c r="J896" s="2">
        <f t="shared" si="369"/>
        <v>0.42558398220244714</v>
      </c>
      <c r="K896" s="2">
        <f t="shared" si="370"/>
        <v>0.50867630700778643</v>
      </c>
      <c r="L896" s="2">
        <f t="shared" si="371"/>
        <v>5.7842046718576193E-3</v>
      </c>
      <c r="M896" s="2">
        <f t="shared" si="372"/>
        <v>5.9955506117908751E-2</v>
      </c>
      <c r="N896" s="63">
        <v>7652</v>
      </c>
      <c r="O896" s="63">
        <v>9146</v>
      </c>
      <c r="P896" s="63">
        <v>104</v>
      </c>
      <c r="Q896" s="63">
        <v>577</v>
      </c>
      <c r="R896" s="63">
        <v>117</v>
      </c>
      <c r="S896" s="63">
        <v>77</v>
      </c>
      <c r="T896" s="63">
        <v>5</v>
      </c>
      <c r="U896" s="63"/>
      <c r="V896" s="63">
        <v>7</v>
      </c>
      <c r="W896" s="63">
        <v>228</v>
      </c>
      <c r="X896" s="63"/>
      <c r="Y896" s="63"/>
      <c r="Z896" s="63"/>
      <c r="AA896" s="63"/>
      <c r="AB896" s="63"/>
      <c r="AC896" s="63">
        <v>34</v>
      </c>
      <c r="AD896" s="63"/>
      <c r="AE896" s="63"/>
      <c r="AF896" s="63"/>
      <c r="AG896" s="63"/>
      <c r="AH896" s="63"/>
      <c r="AI896" s="63"/>
      <c r="AJ896" s="63"/>
      <c r="AK896" s="63"/>
      <c r="AL896" s="63">
        <v>33</v>
      </c>
      <c r="AM896" s="63"/>
      <c r="AN896" s="63"/>
      <c r="AO896" s="63"/>
      <c r="AP896" s="63"/>
      <c r="AQ896" s="63"/>
      <c r="AR896" s="63"/>
      <c r="AS896" s="63"/>
      <c r="AT896" s="63"/>
      <c r="AU896" s="63"/>
      <c r="AW896" s="5">
        <f>IF(Q896&gt;0,RANK(Q896,(N896:P896,Q896:AE896)),0)</f>
        <v>3</v>
      </c>
      <c r="AX896" s="5">
        <f>IF(R896&gt;0,RANK(R896,(N896:P896,Q896:AE896)),0)</f>
        <v>5</v>
      </c>
      <c r="AY896" s="5">
        <f>IF(T896&gt;0,RANK(T896,(N896:P896,Q896:AE896)),0)</f>
        <v>10</v>
      </c>
      <c r="AZ896" s="5">
        <f>IF(S896&gt;0,RANK(S896,(N896:P896,Q896:AE896)),0)</f>
        <v>7</v>
      </c>
      <c r="BA896" s="2">
        <f t="shared" si="373"/>
        <v>3.2091212458286986E-2</v>
      </c>
      <c r="BB896" s="2">
        <f t="shared" si="374"/>
        <v>6.5072302558398217E-3</v>
      </c>
      <c r="BC896" s="2">
        <f t="shared" si="375"/>
        <v>2.7808676307007786E-4</v>
      </c>
      <c r="BD896" s="2">
        <f t="shared" si="376"/>
        <v>4.2825361512791992E-3</v>
      </c>
      <c r="BF896" t="s">
        <v>1847</v>
      </c>
      <c r="BG896" t="s">
        <v>1622</v>
      </c>
      <c r="BH896">
        <v>1</v>
      </c>
      <c r="BJ896" s="114">
        <v>19</v>
      </c>
      <c r="BK896" s="116">
        <v>127</v>
      </c>
      <c r="BL896" s="120">
        <f t="shared" si="377"/>
        <v>19127</v>
      </c>
      <c r="BN896" s="5" t="s">
        <v>3154</v>
      </c>
      <c r="BO896" s="63">
        <v>153</v>
      </c>
      <c r="BP896" s="63">
        <v>42</v>
      </c>
      <c r="BR896" s="63"/>
    </row>
    <row r="897" spans="1:70" hidden="1" outlineLevel="1">
      <c r="A897" t="s">
        <v>752</v>
      </c>
      <c r="B897" t="s">
        <v>1622</v>
      </c>
      <c r="C897" s="1">
        <f t="shared" ref="C897:C932" si="378">SUM(N897:AU897)</f>
        <v>7698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4</v>
      </c>
      <c r="G897" s="132">
        <f t="shared" ref="G897:G932" si="379">IF(C897&gt;0,MAX(N897:P897)-LARGE(N897:P897,2),0)</f>
        <v>2977</v>
      </c>
      <c r="H897" s="137">
        <f t="shared" ref="H897:H928" si="380">IF(C897&gt;0,G897/C897,0)</f>
        <v>0.38672382436996622</v>
      </c>
      <c r="I897" s="2"/>
      <c r="J897" s="2">
        <f t="shared" ref="J897:J932" si="381">IF($C897=0,"-",N897/$C897)</f>
        <v>0.27149909067290207</v>
      </c>
      <c r="K897" s="2">
        <f t="shared" ref="K897:K932" si="382">IF($C897=0,"-",O897/$C897)</f>
        <v>0.65822291504286823</v>
      </c>
      <c r="L897" s="2">
        <f t="shared" ref="L897:L932" si="383">IF($C897=0,"-",P897/$C897)</f>
        <v>9.8726942062873479E-3</v>
      </c>
      <c r="M897" s="2">
        <f t="shared" ref="M897:M928" si="384">IF(C897=0,"-",(1-J897-K897-L897))</f>
        <v>6.0405300077942412E-2</v>
      </c>
      <c r="N897" s="63">
        <v>2090</v>
      </c>
      <c r="O897" s="63">
        <v>5067</v>
      </c>
      <c r="P897" s="63">
        <v>76</v>
      </c>
      <c r="Q897" s="63">
        <v>307</v>
      </c>
      <c r="R897" s="63">
        <v>56</v>
      </c>
      <c r="S897" s="63">
        <v>26</v>
      </c>
      <c r="T897" s="63">
        <v>2</v>
      </c>
      <c r="U897" s="63"/>
      <c r="V897" s="63">
        <v>0</v>
      </c>
      <c r="W897" s="63">
        <v>59</v>
      </c>
      <c r="X897" s="63"/>
      <c r="Y897" s="63"/>
      <c r="Z897" s="63"/>
      <c r="AA897" s="63"/>
      <c r="AB897" s="63"/>
      <c r="AC897" s="63">
        <v>8</v>
      </c>
      <c r="AD897" s="63"/>
      <c r="AE897" s="63"/>
      <c r="AF897" s="63"/>
      <c r="AG897" s="63"/>
      <c r="AH897" s="63"/>
      <c r="AI897" s="63"/>
      <c r="AJ897" s="63"/>
      <c r="AK897" s="63"/>
      <c r="AL897" s="63">
        <v>7</v>
      </c>
      <c r="AM897" s="63"/>
      <c r="AN897" s="63"/>
      <c r="AO897" s="63"/>
      <c r="AP897" s="63"/>
      <c r="AQ897" s="63"/>
      <c r="AR897" s="63"/>
      <c r="AS897" s="63"/>
      <c r="AT897" s="63"/>
      <c r="AU897" s="63"/>
      <c r="AW897" s="5">
        <f>IF(Q897&gt;0,RANK(Q897,(N897:P897,Q897:AE897)),0)</f>
        <v>3</v>
      </c>
      <c r="AX897" s="5">
        <f>IF(R897&gt;0,RANK(R897,(N897:P897,Q897:AE897)),0)</f>
        <v>6</v>
      </c>
      <c r="AY897" s="5">
        <f>IF(T897&gt;0,RANK(T897,(N897:P897,Q897:AE897)),0)</f>
        <v>9</v>
      </c>
      <c r="AZ897" s="5">
        <f>IF(S897&gt;0,RANK(S897,(N897:P897,Q897:AE897)),0)</f>
        <v>7</v>
      </c>
      <c r="BA897" s="2">
        <f t="shared" ref="BA897:BA932" si="385">IF($C897=0,"-",Q897/$C897)</f>
        <v>3.9880488438555468E-2</v>
      </c>
      <c r="BB897" s="2">
        <f t="shared" ref="BB897:BB932" si="386">IF($C897=0,"-",R897/$C897)</f>
        <v>7.2746167835801507E-3</v>
      </c>
      <c r="BC897" s="2">
        <f t="shared" ref="BC897:BC932" si="387">IF($C897=0,"-",T897/$C897)</f>
        <v>2.5980774227071969E-4</v>
      </c>
      <c r="BD897" s="2">
        <f t="shared" ref="BD897:BD932" si="388">IF($C897=0,"-",S897/$C897)</f>
        <v>3.3775006495193557E-3</v>
      </c>
      <c r="BF897" t="s">
        <v>752</v>
      </c>
      <c r="BG897" t="s">
        <v>1622</v>
      </c>
      <c r="BH897">
        <v>3</v>
      </c>
      <c r="BJ897" s="114">
        <v>19</v>
      </c>
      <c r="BK897" s="116">
        <v>129</v>
      </c>
      <c r="BL897" s="120">
        <f t="shared" si="377"/>
        <v>19129</v>
      </c>
      <c r="BN897" s="5" t="s">
        <v>3154</v>
      </c>
      <c r="BO897" s="63">
        <v>63</v>
      </c>
      <c r="BP897" s="63">
        <v>11</v>
      </c>
      <c r="BR897" s="63"/>
    </row>
    <row r="898" spans="1:70" hidden="1" outlineLevel="1">
      <c r="A898" t="s">
        <v>312</v>
      </c>
      <c r="B898" t="s">
        <v>1622</v>
      </c>
      <c r="C898" s="1">
        <f t="shared" si="378"/>
        <v>5417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>IF(P898&gt;0,RANK(P898,(N898:P898,Q898:AE898)),0)</f>
        <v>6</v>
      </c>
      <c r="G898" s="132">
        <f t="shared" si="379"/>
        <v>1302</v>
      </c>
      <c r="H898" s="137">
        <f t="shared" si="380"/>
        <v>0.24035443972678605</v>
      </c>
      <c r="I898" s="2"/>
      <c r="J898" s="2">
        <f t="shared" si="381"/>
        <v>0.34853239800627656</v>
      </c>
      <c r="K898" s="2">
        <f t="shared" si="382"/>
        <v>0.58888683773306261</v>
      </c>
      <c r="L898" s="2">
        <f t="shared" si="383"/>
        <v>4.6151006091932805E-3</v>
      </c>
      <c r="M898" s="2">
        <f t="shared" si="384"/>
        <v>5.7965663651467554E-2</v>
      </c>
      <c r="N898" s="63">
        <v>1888</v>
      </c>
      <c r="O898" s="63">
        <v>3190</v>
      </c>
      <c r="P898" s="63">
        <v>25</v>
      </c>
      <c r="Q898" s="63">
        <v>210</v>
      </c>
      <c r="R898" s="63">
        <v>28</v>
      </c>
      <c r="S898" s="63">
        <v>16</v>
      </c>
      <c r="T898" s="63">
        <v>1</v>
      </c>
      <c r="U898" s="63"/>
      <c r="V898" s="63">
        <v>1</v>
      </c>
      <c r="W898" s="63">
        <v>34</v>
      </c>
      <c r="X898" s="63"/>
      <c r="Y898" s="63"/>
      <c r="Z898" s="63"/>
      <c r="AA898" s="63"/>
      <c r="AB898" s="63"/>
      <c r="AC898" s="63">
        <v>10</v>
      </c>
      <c r="AD898" s="63"/>
      <c r="AE898" s="63"/>
      <c r="AF898" s="63"/>
      <c r="AG898" s="63"/>
      <c r="AH898" s="63"/>
      <c r="AI898" s="63"/>
      <c r="AJ898" s="63"/>
      <c r="AK898" s="63"/>
      <c r="AL898" s="63">
        <v>14</v>
      </c>
      <c r="AM898" s="63"/>
      <c r="AN898" s="63"/>
      <c r="AO898" s="63"/>
      <c r="AP898" s="63"/>
      <c r="AQ898" s="63"/>
      <c r="AR898" s="63"/>
      <c r="AS898" s="63"/>
      <c r="AT898" s="63"/>
      <c r="AU898" s="63"/>
      <c r="AW898" s="5">
        <f>IF(Q898&gt;0,RANK(Q898,(N898:P898,Q898:AE898)),0)</f>
        <v>3</v>
      </c>
      <c r="AX898" s="5">
        <f>IF(R898&gt;0,RANK(R898,(N898:P898,Q898:AE898)),0)</f>
        <v>5</v>
      </c>
      <c r="AY898" s="5">
        <f>IF(T898&gt;0,RANK(T898,(N898:P898,Q898:AE898)),0)</f>
        <v>9</v>
      </c>
      <c r="AZ898" s="5">
        <f>IF(S898&gt;0,RANK(S898,(N898:P898,Q898:AE898)),0)</f>
        <v>7</v>
      </c>
      <c r="BA898" s="2">
        <f t="shared" si="385"/>
        <v>3.8766845117223558E-2</v>
      </c>
      <c r="BB898" s="2">
        <f t="shared" si="386"/>
        <v>5.168912682296474E-3</v>
      </c>
      <c r="BC898" s="2">
        <f t="shared" si="387"/>
        <v>1.8460402436773122E-4</v>
      </c>
      <c r="BD898" s="2">
        <f t="shared" si="388"/>
        <v>2.9536643898836995E-3</v>
      </c>
      <c r="BF898" t="s">
        <v>312</v>
      </c>
      <c r="BG898" t="s">
        <v>1622</v>
      </c>
      <c r="BH898">
        <v>1</v>
      </c>
      <c r="BJ898" s="114">
        <v>19</v>
      </c>
      <c r="BK898" s="116">
        <v>131</v>
      </c>
      <c r="BL898" s="120">
        <f t="shared" si="377"/>
        <v>19131</v>
      </c>
      <c r="BN898" s="5" t="s">
        <v>3154</v>
      </c>
      <c r="BO898" s="63">
        <v>101</v>
      </c>
      <c r="BP898" s="63">
        <v>3</v>
      </c>
      <c r="BR898" s="63"/>
    </row>
    <row r="899" spans="1:70" hidden="1" outlineLevel="1">
      <c r="A899" t="s">
        <v>293</v>
      </c>
      <c r="B899" t="s">
        <v>1622</v>
      </c>
      <c r="C899" s="1">
        <f t="shared" si="378"/>
        <v>4572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6</v>
      </c>
      <c r="G899" s="132">
        <f t="shared" si="379"/>
        <v>1873</v>
      </c>
      <c r="H899" s="137">
        <f t="shared" si="380"/>
        <v>0.40966754155730534</v>
      </c>
      <c r="I899" s="2"/>
      <c r="J899" s="2">
        <f t="shared" si="381"/>
        <v>0.27274715660542431</v>
      </c>
      <c r="K899" s="2">
        <f t="shared" si="382"/>
        <v>0.6824146981627297</v>
      </c>
      <c r="L899" s="2">
        <f t="shared" si="383"/>
        <v>2.6246719160104987E-3</v>
      </c>
      <c r="M899" s="2">
        <f t="shared" si="384"/>
        <v>4.221347331583554E-2</v>
      </c>
      <c r="N899" s="63">
        <v>1247</v>
      </c>
      <c r="O899" s="63">
        <v>3120</v>
      </c>
      <c r="P899" s="63">
        <v>12</v>
      </c>
      <c r="Q899" s="63">
        <v>112</v>
      </c>
      <c r="R899" s="63">
        <v>22</v>
      </c>
      <c r="S899" s="63">
        <v>10</v>
      </c>
      <c r="T899" s="63">
        <v>0</v>
      </c>
      <c r="U899" s="63"/>
      <c r="V899" s="63">
        <v>2</v>
      </c>
      <c r="W899" s="63">
        <v>39</v>
      </c>
      <c r="X899" s="63"/>
      <c r="Y899" s="63"/>
      <c r="Z899" s="63"/>
      <c r="AA899" s="63"/>
      <c r="AB899" s="63"/>
      <c r="AC899" s="63">
        <v>4</v>
      </c>
      <c r="AD899" s="63"/>
      <c r="AE899" s="63"/>
      <c r="AF899" s="63"/>
      <c r="AG899" s="63"/>
      <c r="AH899" s="63"/>
      <c r="AI899" s="63"/>
      <c r="AJ899" s="63"/>
      <c r="AK899" s="63"/>
      <c r="AL899" s="63">
        <v>4</v>
      </c>
      <c r="AM899" s="63"/>
      <c r="AN899" s="63"/>
      <c r="AO899" s="63"/>
      <c r="AP899" s="63"/>
      <c r="AQ899" s="63"/>
      <c r="AR899" s="63"/>
      <c r="AS899" s="63"/>
      <c r="AT899" s="63"/>
      <c r="AU899" s="63"/>
      <c r="AW899" s="5">
        <f>IF(Q899&gt;0,RANK(Q899,(N899:P899,Q899:AE899)),0)</f>
        <v>3</v>
      </c>
      <c r="AX899" s="5">
        <f>IF(R899&gt;0,RANK(R899,(N899:P899,Q899:AE899)),0)</f>
        <v>5</v>
      </c>
      <c r="AY899" s="5">
        <f>IF(T899&gt;0,RANK(T899,(N899:P899,Q899:AE899)),0)</f>
        <v>0</v>
      </c>
      <c r="AZ899" s="5">
        <f>IF(S899&gt;0,RANK(S899,(N899:P899,Q899:AE899)),0)</f>
        <v>7</v>
      </c>
      <c r="BA899" s="2">
        <f t="shared" si="385"/>
        <v>2.4496937882764653E-2</v>
      </c>
      <c r="BB899" s="2">
        <f t="shared" si="386"/>
        <v>4.8118985126859139E-3</v>
      </c>
      <c r="BC899" s="2">
        <f t="shared" si="387"/>
        <v>0</v>
      </c>
      <c r="BD899" s="2">
        <f t="shared" si="388"/>
        <v>2.1872265966754157E-3</v>
      </c>
      <c r="BF899" t="s">
        <v>293</v>
      </c>
      <c r="BG899" t="s">
        <v>1622</v>
      </c>
      <c r="BH899">
        <v>4</v>
      </c>
      <c r="BJ899" s="114">
        <v>19</v>
      </c>
      <c r="BK899" s="116">
        <v>133</v>
      </c>
      <c r="BL899" s="120">
        <f t="shared" si="377"/>
        <v>19133</v>
      </c>
      <c r="BN899" s="5" t="s">
        <v>3154</v>
      </c>
      <c r="BO899" s="63">
        <v>46</v>
      </c>
      <c r="BP899" s="63">
        <v>11</v>
      </c>
      <c r="BR899" s="63"/>
    </row>
    <row r="900" spans="1:70" hidden="1" outlineLevel="1">
      <c r="A900" t="s">
        <v>644</v>
      </c>
      <c r="B900" t="s">
        <v>1622</v>
      </c>
      <c r="C900" s="1">
        <f t="shared" si="378"/>
        <v>3865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5</v>
      </c>
      <c r="G900" s="132">
        <f t="shared" si="379"/>
        <v>1582</v>
      </c>
      <c r="H900" s="137">
        <f t="shared" si="380"/>
        <v>0.4093143596377749</v>
      </c>
      <c r="I900" s="2"/>
      <c r="J900" s="2">
        <f t="shared" si="381"/>
        <v>0.27322121604139715</v>
      </c>
      <c r="K900" s="2">
        <f t="shared" si="382"/>
        <v>0.682535575679172</v>
      </c>
      <c r="L900" s="2">
        <f t="shared" si="383"/>
        <v>3.8809831824062097E-3</v>
      </c>
      <c r="M900" s="2">
        <f t="shared" si="384"/>
        <v>4.0362225097024633E-2</v>
      </c>
      <c r="N900" s="63">
        <v>1056</v>
      </c>
      <c r="O900" s="63">
        <v>2638</v>
      </c>
      <c r="P900" s="63">
        <v>15</v>
      </c>
      <c r="Q900" s="63">
        <v>104</v>
      </c>
      <c r="R900" s="63">
        <v>13</v>
      </c>
      <c r="S900" s="63">
        <v>20</v>
      </c>
      <c r="T900" s="63">
        <v>1</v>
      </c>
      <c r="U900" s="63"/>
      <c r="V900" s="63">
        <v>0</v>
      </c>
      <c r="W900" s="63">
        <v>14</v>
      </c>
      <c r="X900" s="63"/>
      <c r="Y900" s="63"/>
      <c r="Z900" s="63"/>
      <c r="AA900" s="63"/>
      <c r="AB900" s="63"/>
      <c r="AC900" s="63">
        <v>3</v>
      </c>
      <c r="AD900" s="63"/>
      <c r="AE900" s="63"/>
      <c r="AF900" s="63"/>
      <c r="AG900" s="63"/>
      <c r="AH900" s="63"/>
      <c r="AI900" s="63"/>
      <c r="AJ900" s="63"/>
      <c r="AK900" s="63"/>
      <c r="AL900" s="63">
        <v>1</v>
      </c>
      <c r="AM900" s="63"/>
      <c r="AN900" s="63"/>
      <c r="AO900" s="63"/>
      <c r="AP900" s="63"/>
      <c r="AQ900" s="63"/>
      <c r="AR900" s="63"/>
      <c r="AS900" s="63"/>
      <c r="AT900" s="63"/>
      <c r="AU900" s="63"/>
      <c r="AW900" s="5">
        <f>IF(Q900&gt;0,RANK(Q900,(N900:P900,Q900:AE900)),0)</f>
        <v>3</v>
      </c>
      <c r="AX900" s="5">
        <f>IF(R900&gt;0,RANK(R900,(N900:P900,Q900:AE900)),0)</f>
        <v>7</v>
      </c>
      <c r="AY900" s="5">
        <f>IF(T900&gt;0,RANK(T900,(N900:P900,Q900:AE900)),0)</f>
        <v>9</v>
      </c>
      <c r="AZ900" s="5">
        <f>IF(S900&gt;0,RANK(S900,(N900:P900,Q900:AE900)),0)</f>
        <v>4</v>
      </c>
      <c r="BA900" s="2">
        <f t="shared" si="385"/>
        <v>2.6908150064683053E-2</v>
      </c>
      <c r="BB900" s="2">
        <f t="shared" si="386"/>
        <v>3.3635187580853816E-3</v>
      </c>
      <c r="BC900" s="2">
        <f t="shared" si="387"/>
        <v>2.5873221216041398E-4</v>
      </c>
      <c r="BD900" s="2">
        <f t="shared" si="388"/>
        <v>5.1746442432082798E-3</v>
      </c>
      <c r="BF900" t="s">
        <v>644</v>
      </c>
      <c r="BG900" t="s">
        <v>1622</v>
      </c>
      <c r="BH900">
        <v>2</v>
      </c>
      <c r="BJ900" s="114">
        <v>19</v>
      </c>
      <c r="BK900" s="116">
        <v>135</v>
      </c>
      <c r="BL900" s="120">
        <f t="shared" si="377"/>
        <v>19135</v>
      </c>
      <c r="BN900" s="5" t="s">
        <v>3154</v>
      </c>
      <c r="BO900" s="63">
        <v>37</v>
      </c>
      <c r="BP900" s="63">
        <v>5</v>
      </c>
      <c r="BR900" s="63"/>
    </row>
    <row r="901" spans="1:70" hidden="1" outlineLevel="1">
      <c r="A901" t="s">
        <v>1406</v>
      </c>
      <c r="B901" t="s">
        <v>1622</v>
      </c>
      <c r="C901" s="1">
        <f t="shared" si="378"/>
        <v>5044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6</v>
      </c>
      <c r="G901" s="132">
        <f t="shared" si="379"/>
        <v>2122</v>
      </c>
      <c r="H901" s="137">
        <f t="shared" si="380"/>
        <v>0.42069785884218874</v>
      </c>
      <c r="I901" s="2"/>
      <c r="J901" s="2">
        <f t="shared" si="381"/>
        <v>0.26050753370341001</v>
      </c>
      <c r="K901" s="2">
        <f t="shared" si="382"/>
        <v>0.68120539254559875</v>
      </c>
      <c r="L901" s="2">
        <f t="shared" si="383"/>
        <v>5.3528945281522602E-3</v>
      </c>
      <c r="M901" s="2">
        <f t="shared" si="384"/>
        <v>5.293417922283903E-2</v>
      </c>
      <c r="N901" s="63">
        <v>1314</v>
      </c>
      <c r="O901" s="63">
        <v>3436</v>
      </c>
      <c r="P901" s="63">
        <v>27</v>
      </c>
      <c r="Q901" s="63">
        <v>152</v>
      </c>
      <c r="R901" s="63">
        <v>38</v>
      </c>
      <c r="S901" s="63">
        <v>21</v>
      </c>
      <c r="T901" s="63">
        <v>1</v>
      </c>
      <c r="U901" s="63"/>
      <c r="V901" s="63">
        <v>3</v>
      </c>
      <c r="W901" s="63">
        <v>39</v>
      </c>
      <c r="X901" s="63"/>
      <c r="Y901" s="63"/>
      <c r="Z901" s="63"/>
      <c r="AA901" s="63"/>
      <c r="AB901" s="63"/>
      <c r="AC901" s="63">
        <v>5</v>
      </c>
      <c r="AD901" s="63"/>
      <c r="AE901" s="63"/>
      <c r="AF901" s="63"/>
      <c r="AG901" s="63"/>
      <c r="AH901" s="63"/>
      <c r="AI901" s="63"/>
      <c r="AJ901" s="63"/>
      <c r="AK901" s="63"/>
      <c r="AL901" s="63">
        <v>8</v>
      </c>
      <c r="AM901" s="63"/>
      <c r="AN901" s="63"/>
      <c r="AO901" s="63"/>
      <c r="AP901" s="63"/>
      <c r="AQ901" s="63"/>
      <c r="AR901" s="63"/>
      <c r="AS901" s="63"/>
      <c r="AT901" s="63"/>
      <c r="AU901" s="63"/>
      <c r="AW901" s="5">
        <f>IF(Q901&gt;0,RANK(Q901,(N901:P901,Q901:AE901)),0)</f>
        <v>3</v>
      </c>
      <c r="AX901" s="5">
        <f>IF(R901&gt;0,RANK(R901,(N901:P901,Q901:AE901)),0)</f>
        <v>5</v>
      </c>
      <c r="AY901" s="5">
        <f>IF(T901&gt;0,RANK(T901,(N901:P901,Q901:AE901)),0)</f>
        <v>10</v>
      </c>
      <c r="AZ901" s="5">
        <f>IF(S901&gt;0,RANK(S901,(N901:P901,Q901:AE901)),0)</f>
        <v>7</v>
      </c>
      <c r="BA901" s="2">
        <f t="shared" si="385"/>
        <v>3.013481363996828E-2</v>
      </c>
      <c r="BB901" s="2">
        <f t="shared" si="386"/>
        <v>7.5337034099920699E-3</v>
      </c>
      <c r="BC901" s="2">
        <f t="shared" si="387"/>
        <v>1.9825535289452815E-4</v>
      </c>
      <c r="BD901" s="2">
        <f t="shared" si="388"/>
        <v>4.1633624107850912E-3</v>
      </c>
      <c r="BF901" t="s">
        <v>1406</v>
      </c>
      <c r="BG901" t="s">
        <v>1622</v>
      </c>
      <c r="BH901">
        <v>3</v>
      </c>
      <c r="BJ901" s="114">
        <v>19</v>
      </c>
      <c r="BK901" s="116">
        <v>137</v>
      </c>
      <c r="BL901" s="120">
        <f t="shared" si="377"/>
        <v>19137</v>
      </c>
      <c r="BN901" s="5" t="s">
        <v>3154</v>
      </c>
      <c r="BO901" s="63">
        <v>50</v>
      </c>
      <c r="BP901" s="63">
        <v>8</v>
      </c>
      <c r="BR901" s="63"/>
    </row>
    <row r="902" spans="1:70" hidden="1" outlineLevel="1">
      <c r="A902" t="s">
        <v>2080</v>
      </c>
      <c r="B902" t="s">
        <v>1622</v>
      </c>
      <c r="C902" s="1">
        <f t="shared" si="378"/>
        <v>19434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>IF(P902&gt;0,RANK(P902,(N902:P902,Q902:AE902)),0)</f>
        <v>6</v>
      </c>
      <c r="G902" s="132">
        <f t="shared" si="379"/>
        <v>1216</v>
      </c>
      <c r="H902" s="137">
        <f t="shared" si="380"/>
        <v>6.2570752289801385E-2</v>
      </c>
      <c r="I902" s="2"/>
      <c r="J902" s="2">
        <f t="shared" si="381"/>
        <v>0.43058557167850159</v>
      </c>
      <c r="K902" s="2">
        <f t="shared" si="382"/>
        <v>0.493156323968303</v>
      </c>
      <c r="L902" s="2">
        <f t="shared" si="383"/>
        <v>6.998044663990944E-3</v>
      </c>
      <c r="M902" s="2">
        <f t="shared" si="384"/>
        <v>6.9260059689204415E-2</v>
      </c>
      <c r="N902" s="63">
        <v>8368</v>
      </c>
      <c r="O902" s="63">
        <v>9584</v>
      </c>
      <c r="P902" s="63">
        <v>136</v>
      </c>
      <c r="Q902" s="63">
        <v>748</v>
      </c>
      <c r="R902" s="63">
        <v>183</v>
      </c>
      <c r="S902" s="63">
        <v>87</v>
      </c>
      <c r="T902" s="63">
        <v>3</v>
      </c>
      <c r="U902" s="63"/>
      <c r="V902" s="63">
        <v>7</v>
      </c>
      <c r="W902" s="63">
        <v>213</v>
      </c>
      <c r="X902" s="63"/>
      <c r="Y902" s="63"/>
      <c r="Z902" s="63"/>
      <c r="AA902" s="63"/>
      <c r="AB902" s="63"/>
      <c r="AC902" s="63">
        <v>63</v>
      </c>
      <c r="AD902" s="63"/>
      <c r="AE902" s="63"/>
      <c r="AF902" s="63"/>
      <c r="AG902" s="63"/>
      <c r="AH902" s="63"/>
      <c r="AI902" s="63"/>
      <c r="AJ902" s="63"/>
      <c r="AK902" s="63"/>
      <c r="AL902" s="63">
        <v>42</v>
      </c>
      <c r="AM902" s="63"/>
      <c r="AN902" s="63"/>
      <c r="AO902" s="63"/>
      <c r="AP902" s="63"/>
      <c r="AQ902" s="63"/>
      <c r="AR902" s="63"/>
      <c r="AS902" s="63"/>
      <c r="AT902" s="63"/>
      <c r="AU902" s="63"/>
      <c r="AW902" s="5">
        <f>IF(Q902&gt;0,RANK(Q902,(N902:P902,Q902:AE902)),0)</f>
        <v>3</v>
      </c>
      <c r="AX902" s="5">
        <f>IF(R902&gt;0,RANK(R902,(N902:P902,Q902:AE902)),0)</f>
        <v>5</v>
      </c>
      <c r="AY902" s="5">
        <f>IF(T902&gt;0,RANK(T902,(N902:P902,Q902:AE902)),0)</f>
        <v>10</v>
      </c>
      <c r="AZ902" s="5">
        <f>IF(S902&gt;0,RANK(S902,(N902:P902,Q902:AE902)),0)</f>
        <v>7</v>
      </c>
      <c r="BA902" s="2">
        <f t="shared" si="385"/>
        <v>3.8489245651950194E-2</v>
      </c>
      <c r="BB902" s="2">
        <f t="shared" si="386"/>
        <v>9.4164865699289911E-3</v>
      </c>
      <c r="BC902" s="2">
        <f t="shared" si="387"/>
        <v>1.5436863229391788E-4</v>
      </c>
      <c r="BD902" s="2">
        <f t="shared" si="388"/>
        <v>4.4766903365236182E-3</v>
      </c>
      <c r="BF902" t="s">
        <v>2080</v>
      </c>
      <c r="BG902" t="s">
        <v>1622</v>
      </c>
      <c r="BH902">
        <v>2</v>
      </c>
      <c r="BJ902" s="114">
        <v>19</v>
      </c>
      <c r="BK902" s="116">
        <v>139</v>
      </c>
      <c r="BL902" s="120">
        <f t="shared" si="377"/>
        <v>19139</v>
      </c>
      <c r="BN902" s="5" t="s">
        <v>3154</v>
      </c>
      <c r="BO902" s="63">
        <v>155</v>
      </c>
      <c r="BP902" s="63">
        <v>34</v>
      </c>
      <c r="BR902" s="63"/>
    </row>
    <row r="903" spans="1:70" hidden="1" outlineLevel="1">
      <c r="A903" t="s">
        <v>2224</v>
      </c>
      <c r="B903" t="s">
        <v>1622</v>
      </c>
      <c r="C903" s="1">
        <f t="shared" si="378"/>
        <v>7406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5</v>
      </c>
      <c r="G903" s="132">
        <f t="shared" si="379"/>
        <v>4437</v>
      </c>
      <c r="H903" s="137">
        <f t="shared" si="380"/>
        <v>0.59910883067782883</v>
      </c>
      <c r="I903" s="2"/>
      <c r="J903" s="2">
        <f t="shared" si="381"/>
        <v>0.17755873615987036</v>
      </c>
      <c r="K903" s="2">
        <f t="shared" si="382"/>
        <v>0.77666756683769911</v>
      </c>
      <c r="L903" s="2">
        <f t="shared" si="383"/>
        <v>4.1857953011072103E-3</v>
      </c>
      <c r="M903" s="2">
        <f t="shared" si="384"/>
        <v>4.1587901701323295E-2</v>
      </c>
      <c r="N903" s="63">
        <v>1315</v>
      </c>
      <c r="O903" s="63">
        <v>5752</v>
      </c>
      <c r="P903" s="63">
        <v>31</v>
      </c>
      <c r="Q903" s="63">
        <v>197</v>
      </c>
      <c r="R903" s="63">
        <v>28</v>
      </c>
      <c r="S903" s="63">
        <v>22</v>
      </c>
      <c r="T903" s="63">
        <v>3</v>
      </c>
      <c r="U903" s="63"/>
      <c r="V903" s="63">
        <v>2</v>
      </c>
      <c r="W903" s="63">
        <v>36</v>
      </c>
      <c r="X903" s="63"/>
      <c r="Y903" s="63"/>
      <c r="Z903" s="63"/>
      <c r="AA903" s="63"/>
      <c r="AB903" s="63"/>
      <c r="AC903" s="63">
        <v>4</v>
      </c>
      <c r="AD903" s="63"/>
      <c r="AE903" s="63"/>
      <c r="AF903" s="63"/>
      <c r="AG903" s="63"/>
      <c r="AH903" s="63"/>
      <c r="AI903" s="63"/>
      <c r="AJ903" s="63"/>
      <c r="AK903" s="63"/>
      <c r="AL903" s="63">
        <v>16</v>
      </c>
      <c r="AM903" s="63"/>
      <c r="AN903" s="63"/>
      <c r="AO903" s="63"/>
      <c r="AP903" s="63"/>
      <c r="AQ903" s="63"/>
      <c r="AR903" s="63"/>
      <c r="AS903" s="63"/>
      <c r="AT903" s="63"/>
      <c r="AU903" s="63"/>
      <c r="AW903" s="5">
        <f>IF(Q903&gt;0,RANK(Q903,(N903:P903,Q903:AE903)),0)</f>
        <v>3</v>
      </c>
      <c r="AX903" s="5">
        <f>IF(R903&gt;0,RANK(R903,(N903:P903,Q903:AE903)),0)</f>
        <v>6</v>
      </c>
      <c r="AY903" s="5">
        <f>IF(T903&gt;0,RANK(T903,(N903:P903,Q903:AE903)),0)</f>
        <v>9</v>
      </c>
      <c r="AZ903" s="5">
        <f>IF(S903&gt;0,RANK(S903,(N903:P903,Q903:AE903)),0)</f>
        <v>7</v>
      </c>
      <c r="BA903" s="2">
        <f t="shared" si="385"/>
        <v>2.6600054010261949E-2</v>
      </c>
      <c r="BB903" s="2">
        <f t="shared" si="386"/>
        <v>3.780718336483932E-3</v>
      </c>
      <c r="BC903" s="2">
        <f t="shared" si="387"/>
        <v>4.0507696462327843E-4</v>
      </c>
      <c r="BD903" s="2">
        <f t="shared" si="388"/>
        <v>2.9705644072373751E-3</v>
      </c>
      <c r="BF903" t="s">
        <v>2224</v>
      </c>
      <c r="BG903" t="s">
        <v>1622</v>
      </c>
      <c r="BH903">
        <v>4</v>
      </c>
      <c r="BJ903" s="114">
        <v>19</v>
      </c>
      <c r="BK903" s="116">
        <v>141</v>
      </c>
      <c r="BL903" s="120">
        <f t="shared" si="377"/>
        <v>19141</v>
      </c>
      <c r="BN903" s="5" t="s">
        <v>3154</v>
      </c>
      <c r="BO903" s="63">
        <v>52</v>
      </c>
      <c r="BP903" s="63">
        <v>2</v>
      </c>
      <c r="BR903" s="63"/>
    </row>
    <row r="904" spans="1:70" hidden="1" outlineLevel="1">
      <c r="A904" t="s">
        <v>848</v>
      </c>
      <c r="B904" t="s">
        <v>1622</v>
      </c>
      <c r="C904" s="1">
        <f t="shared" si="378"/>
        <v>3213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4</v>
      </c>
      <c r="G904" s="132">
        <f t="shared" si="379"/>
        <v>1979</v>
      </c>
      <c r="H904" s="137">
        <f t="shared" si="380"/>
        <v>0.61593526299408652</v>
      </c>
      <c r="I904" s="2"/>
      <c r="J904" s="2">
        <f t="shared" si="381"/>
        <v>0.17180205415499533</v>
      </c>
      <c r="K904" s="2">
        <f t="shared" si="382"/>
        <v>0.78773731714908191</v>
      </c>
      <c r="L904" s="2">
        <f t="shared" si="383"/>
        <v>6.2247121070650481E-3</v>
      </c>
      <c r="M904" s="2">
        <f t="shared" si="384"/>
        <v>3.4235916588857662E-2</v>
      </c>
      <c r="N904" s="63">
        <v>552</v>
      </c>
      <c r="O904" s="63">
        <v>2531</v>
      </c>
      <c r="P904" s="63">
        <v>20</v>
      </c>
      <c r="Q904" s="63">
        <v>73</v>
      </c>
      <c r="R904" s="63">
        <v>10</v>
      </c>
      <c r="S904" s="63">
        <v>10</v>
      </c>
      <c r="T904" s="63">
        <v>0</v>
      </c>
      <c r="U904" s="63"/>
      <c r="V904" s="63">
        <v>1</v>
      </c>
      <c r="W904" s="63">
        <v>13</v>
      </c>
      <c r="X904" s="63"/>
      <c r="Y904" s="63"/>
      <c r="Z904" s="63"/>
      <c r="AA904" s="63"/>
      <c r="AB904" s="63"/>
      <c r="AC904" s="63">
        <v>0</v>
      </c>
      <c r="AD904" s="63"/>
      <c r="AE904" s="63"/>
      <c r="AF904" s="63"/>
      <c r="AG904" s="63"/>
      <c r="AH904" s="63"/>
      <c r="AI904" s="63"/>
      <c r="AJ904" s="63"/>
      <c r="AK904" s="63"/>
      <c r="AL904" s="63">
        <v>3</v>
      </c>
      <c r="AM904" s="63"/>
      <c r="AN904" s="63"/>
      <c r="AO904" s="63"/>
      <c r="AP904" s="63"/>
      <c r="AQ904" s="63"/>
      <c r="AR904" s="63"/>
      <c r="AS904" s="63"/>
      <c r="AT904" s="63"/>
      <c r="AU904" s="63"/>
      <c r="AW904" s="5">
        <f>IF(Q904&gt;0,RANK(Q904,(N904:P904,Q904:AE904)),0)</f>
        <v>3</v>
      </c>
      <c r="AX904" s="5">
        <f>IF(R904&gt;0,RANK(R904,(N904:P904,Q904:AE904)),0)</f>
        <v>6</v>
      </c>
      <c r="AY904" s="5">
        <f>IF(T904&gt;0,RANK(T904,(N904:P904,Q904:AE904)),0)</f>
        <v>0</v>
      </c>
      <c r="AZ904" s="5">
        <f>IF(S904&gt;0,RANK(S904,(N904:P904,Q904:AE904)),0)</f>
        <v>6</v>
      </c>
      <c r="BA904" s="2">
        <f t="shared" si="385"/>
        <v>2.2720199190787427E-2</v>
      </c>
      <c r="BB904" s="2">
        <f t="shared" si="386"/>
        <v>3.1123560535325241E-3</v>
      </c>
      <c r="BC904" s="2">
        <f t="shared" si="387"/>
        <v>0</v>
      </c>
      <c r="BD904" s="2">
        <f t="shared" si="388"/>
        <v>3.1123560535325241E-3</v>
      </c>
      <c r="BF904" t="s">
        <v>848</v>
      </c>
      <c r="BG904" t="s">
        <v>1622</v>
      </c>
      <c r="BH904">
        <v>4</v>
      </c>
      <c r="BJ904" s="114">
        <v>19</v>
      </c>
      <c r="BK904" s="116">
        <v>143</v>
      </c>
      <c r="BL904" s="120">
        <f t="shared" si="377"/>
        <v>19143</v>
      </c>
      <c r="BN904" s="5" t="s">
        <v>3154</v>
      </c>
      <c r="BO904" s="63">
        <v>35</v>
      </c>
      <c r="BP904" s="63">
        <v>3</v>
      </c>
      <c r="BR904" s="63"/>
    </row>
    <row r="905" spans="1:70" hidden="1" outlineLevel="1">
      <c r="A905" t="s">
        <v>3004</v>
      </c>
      <c r="B905" t="s">
        <v>1622</v>
      </c>
      <c r="C905" s="1">
        <f t="shared" si="378"/>
        <v>7044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6</v>
      </c>
      <c r="G905" s="132">
        <f t="shared" si="379"/>
        <v>3086</v>
      </c>
      <c r="H905" s="137">
        <f t="shared" si="380"/>
        <v>0.43810335036910847</v>
      </c>
      <c r="I905" s="2"/>
      <c r="J905" s="2">
        <f t="shared" si="381"/>
        <v>0.25653038046564453</v>
      </c>
      <c r="K905" s="2">
        <f t="shared" si="382"/>
        <v>0.69463373083475299</v>
      </c>
      <c r="L905" s="2">
        <f t="shared" si="383"/>
        <v>4.9687677455990918E-3</v>
      </c>
      <c r="M905" s="2">
        <f t="shared" si="384"/>
        <v>4.3867120954003441E-2</v>
      </c>
      <c r="N905" s="63">
        <v>1807</v>
      </c>
      <c r="O905" s="63">
        <v>4893</v>
      </c>
      <c r="P905" s="63">
        <v>35</v>
      </c>
      <c r="Q905" s="63">
        <v>176</v>
      </c>
      <c r="R905" s="63">
        <v>37</v>
      </c>
      <c r="S905" s="63">
        <v>30</v>
      </c>
      <c r="T905" s="63">
        <v>3</v>
      </c>
      <c r="U905" s="63"/>
      <c r="V905" s="63">
        <v>0</v>
      </c>
      <c r="W905" s="63">
        <v>49</v>
      </c>
      <c r="X905" s="63"/>
      <c r="Y905" s="63"/>
      <c r="Z905" s="63"/>
      <c r="AA905" s="63"/>
      <c r="AB905" s="63"/>
      <c r="AC905" s="63">
        <v>7</v>
      </c>
      <c r="AD905" s="63"/>
      <c r="AE905" s="63"/>
      <c r="AF905" s="63"/>
      <c r="AG905" s="63"/>
      <c r="AH905" s="63"/>
      <c r="AI905" s="63"/>
      <c r="AJ905" s="63"/>
      <c r="AK905" s="63"/>
      <c r="AL905" s="63">
        <v>7</v>
      </c>
      <c r="AM905" s="63"/>
      <c r="AN905" s="63"/>
      <c r="AO905" s="63"/>
      <c r="AP905" s="63"/>
      <c r="AQ905" s="63"/>
      <c r="AR905" s="63"/>
      <c r="AS905" s="63"/>
      <c r="AT905" s="63"/>
      <c r="AU905" s="63"/>
      <c r="AW905" s="5">
        <f>IF(Q905&gt;0,RANK(Q905,(N905:P905,Q905:AE905)),0)</f>
        <v>3</v>
      </c>
      <c r="AX905" s="5">
        <f>IF(R905&gt;0,RANK(R905,(N905:P905,Q905:AE905)),0)</f>
        <v>5</v>
      </c>
      <c r="AY905" s="5">
        <f>IF(T905&gt;0,RANK(T905,(N905:P905,Q905:AE905)),0)</f>
        <v>9</v>
      </c>
      <c r="AZ905" s="5">
        <f>IF(S905&gt;0,RANK(S905,(N905:P905,Q905:AE905)),0)</f>
        <v>7</v>
      </c>
      <c r="BA905" s="2">
        <f t="shared" si="385"/>
        <v>2.4985803520726858E-2</v>
      </c>
      <c r="BB905" s="2">
        <f t="shared" si="386"/>
        <v>5.2526973310618964E-3</v>
      </c>
      <c r="BC905" s="2">
        <f t="shared" si="387"/>
        <v>4.2589437819420784E-4</v>
      </c>
      <c r="BD905" s="2">
        <f t="shared" si="388"/>
        <v>4.2589437819420782E-3</v>
      </c>
      <c r="BF905" t="s">
        <v>3004</v>
      </c>
      <c r="BG905" t="s">
        <v>1622</v>
      </c>
      <c r="BH905">
        <v>3</v>
      </c>
      <c r="BJ905" s="114">
        <v>19</v>
      </c>
      <c r="BK905" s="116">
        <v>145</v>
      </c>
      <c r="BL905" s="120">
        <f t="shared" si="377"/>
        <v>19145</v>
      </c>
      <c r="BN905" s="5" t="s">
        <v>3154</v>
      </c>
      <c r="BO905" s="63">
        <v>62</v>
      </c>
      <c r="BP905" s="63">
        <v>15</v>
      </c>
      <c r="BR905" s="63"/>
    </row>
    <row r="906" spans="1:70" hidden="1" outlineLevel="1">
      <c r="A906" t="s">
        <v>614</v>
      </c>
      <c r="B906" t="s">
        <v>1622</v>
      </c>
      <c r="C906" s="1">
        <f t="shared" si="378"/>
        <v>4703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6</v>
      </c>
      <c r="G906" s="132">
        <f t="shared" si="379"/>
        <v>1683</v>
      </c>
      <c r="H906" s="137">
        <f t="shared" si="380"/>
        <v>0.35785668722092284</v>
      </c>
      <c r="I906" s="2"/>
      <c r="J906" s="2">
        <f t="shared" si="381"/>
        <v>0.29725706995534767</v>
      </c>
      <c r="K906" s="2">
        <f t="shared" si="382"/>
        <v>0.65511375717627052</v>
      </c>
      <c r="L906" s="2">
        <f t="shared" si="383"/>
        <v>2.7641930682543057E-3</v>
      </c>
      <c r="M906" s="2">
        <f t="shared" si="384"/>
        <v>4.4864979800127561E-2</v>
      </c>
      <c r="N906" s="63">
        <v>1398</v>
      </c>
      <c r="O906" s="63">
        <v>3081</v>
      </c>
      <c r="P906" s="63">
        <v>13</v>
      </c>
      <c r="Q906" s="63">
        <v>131</v>
      </c>
      <c r="R906" s="63">
        <v>20</v>
      </c>
      <c r="S906" s="63">
        <v>12</v>
      </c>
      <c r="T906" s="63">
        <v>0</v>
      </c>
      <c r="U906" s="63"/>
      <c r="V906" s="63">
        <v>1</v>
      </c>
      <c r="W906" s="63">
        <v>24</v>
      </c>
      <c r="X906" s="63"/>
      <c r="Y906" s="63"/>
      <c r="Z906" s="63"/>
      <c r="AA906" s="63"/>
      <c r="AB906" s="63"/>
      <c r="AC906" s="63">
        <v>9</v>
      </c>
      <c r="AD906" s="63"/>
      <c r="AE906" s="63"/>
      <c r="AF906" s="63"/>
      <c r="AG906" s="63"/>
      <c r="AH906" s="63"/>
      <c r="AI906" s="63"/>
      <c r="AJ906" s="63"/>
      <c r="AK906" s="63"/>
      <c r="AL906" s="63">
        <v>14</v>
      </c>
      <c r="AM906" s="63"/>
      <c r="AN906" s="63"/>
      <c r="AO906" s="63"/>
      <c r="AP906" s="63"/>
      <c r="AQ906" s="63"/>
      <c r="AR906" s="63"/>
      <c r="AS906" s="63"/>
      <c r="AT906" s="63"/>
      <c r="AU906" s="63"/>
      <c r="AW906" s="5">
        <f>IF(Q906&gt;0,RANK(Q906,(N906:P906,Q906:AE906)),0)</f>
        <v>3</v>
      </c>
      <c r="AX906" s="5">
        <f>IF(R906&gt;0,RANK(R906,(N906:P906,Q906:AE906)),0)</f>
        <v>5</v>
      </c>
      <c r="AY906" s="5">
        <f>IF(T906&gt;0,RANK(T906,(N906:P906,Q906:AE906)),0)</f>
        <v>0</v>
      </c>
      <c r="AZ906" s="5">
        <f>IF(S906&gt;0,RANK(S906,(N906:P906,Q906:AE906)),0)</f>
        <v>7</v>
      </c>
      <c r="BA906" s="2">
        <f t="shared" si="385"/>
        <v>2.7854560918562619E-2</v>
      </c>
      <c r="BB906" s="2">
        <f t="shared" si="386"/>
        <v>4.2526047203912398E-3</v>
      </c>
      <c r="BC906" s="2">
        <f t="shared" si="387"/>
        <v>0</v>
      </c>
      <c r="BD906" s="2">
        <f t="shared" si="388"/>
        <v>2.5515628322347436E-3</v>
      </c>
      <c r="BF906" t="s">
        <v>614</v>
      </c>
      <c r="BG906" t="s">
        <v>1622</v>
      </c>
      <c r="BH906">
        <v>4</v>
      </c>
      <c r="BJ906" s="114">
        <v>19</v>
      </c>
      <c r="BK906" s="116">
        <v>147</v>
      </c>
      <c r="BL906" s="120">
        <f t="shared" si="377"/>
        <v>19147</v>
      </c>
      <c r="BN906" s="5" t="s">
        <v>3154</v>
      </c>
      <c r="BO906" s="63">
        <v>37</v>
      </c>
      <c r="BP906" s="63">
        <v>20</v>
      </c>
      <c r="BR906" s="63"/>
    </row>
    <row r="907" spans="1:70" hidden="1" outlineLevel="1">
      <c r="A907" t="s">
        <v>231</v>
      </c>
      <c r="B907" t="s">
        <v>1622</v>
      </c>
      <c r="C907" s="1">
        <f t="shared" si="378"/>
        <v>13190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5</v>
      </c>
      <c r="G907" s="132">
        <f t="shared" si="379"/>
        <v>6795</v>
      </c>
      <c r="H907" s="137">
        <f t="shared" si="380"/>
        <v>0.51516300227445033</v>
      </c>
      <c r="I907" s="2"/>
      <c r="J907" s="2">
        <f t="shared" si="381"/>
        <v>0.21872630780894617</v>
      </c>
      <c r="K907" s="2">
        <f t="shared" si="382"/>
        <v>0.73388931008339653</v>
      </c>
      <c r="L907" s="2">
        <f t="shared" si="383"/>
        <v>5.4586808188021229E-3</v>
      </c>
      <c r="M907" s="2">
        <f t="shared" si="384"/>
        <v>4.1925701288855151E-2</v>
      </c>
      <c r="N907" s="63">
        <v>2885</v>
      </c>
      <c r="O907" s="63">
        <v>9680</v>
      </c>
      <c r="P907" s="63">
        <v>72</v>
      </c>
      <c r="Q907" s="63">
        <v>343</v>
      </c>
      <c r="R907" s="63">
        <v>52</v>
      </c>
      <c r="S907" s="63">
        <v>33</v>
      </c>
      <c r="T907" s="63">
        <v>1</v>
      </c>
      <c r="U907" s="63"/>
      <c r="V907" s="63">
        <v>3</v>
      </c>
      <c r="W907" s="63">
        <v>102</v>
      </c>
      <c r="X907" s="63"/>
      <c r="Y907" s="63"/>
      <c r="Z907" s="63"/>
      <c r="AA907" s="63"/>
      <c r="AB907" s="63"/>
      <c r="AC907" s="63">
        <v>5</v>
      </c>
      <c r="AD907" s="63"/>
      <c r="AE907" s="63"/>
      <c r="AF907" s="63"/>
      <c r="AG907" s="63"/>
      <c r="AH907" s="63"/>
      <c r="AI907" s="63"/>
      <c r="AJ907" s="63"/>
      <c r="AK907" s="63"/>
      <c r="AL907" s="63">
        <v>14</v>
      </c>
      <c r="AM907" s="63"/>
      <c r="AN907" s="63"/>
      <c r="AO907" s="63"/>
      <c r="AP907" s="63"/>
      <c r="AQ907" s="63"/>
      <c r="AR907" s="63"/>
      <c r="AS907" s="63"/>
      <c r="AT907" s="63"/>
      <c r="AU907" s="63"/>
      <c r="AW907" s="5">
        <f>IF(Q907&gt;0,RANK(Q907,(N907:P907,Q907:AE907)),0)</f>
        <v>3</v>
      </c>
      <c r="AX907" s="5">
        <f>IF(R907&gt;0,RANK(R907,(N907:P907,Q907:AE907)),0)</f>
        <v>6</v>
      </c>
      <c r="AY907" s="5">
        <f>IF(T907&gt;0,RANK(T907,(N907:P907,Q907:AE907)),0)</f>
        <v>10</v>
      </c>
      <c r="AZ907" s="5">
        <f>IF(S907&gt;0,RANK(S907,(N907:P907,Q907:AE907)),0)</f>
        <v>7</v>
      </c>
      <c r="BA907" s="2">
        <f t="shared" si="385"/>
        <v>2.6004548900682337E-2</v>
      </c>
      <c r="BB907" s="2">
        <f t="shared" si="386"/>
        <v>3.9423805913570888E-3</v>
      </c>
      <c r="BC907" s="2">
        <f t="shared" si="387"/>
        <v>7.581501137225171E-5</v>
      </c>
      <c r="BD907" s="2">
        <f t="shared" si="388"/>
        <v>2.5018953752843063E-3</v>
      </c>
      <c r="BF907" t="s">
        <v>231</v>
      </c>
      <c r="BG907" t="s">
        <v>1622</v>
      </c>
      <c r="BH907">
        <v>4</v>
      </c>
      <c r="BJ907" s="114">
        <v>19</v>
      </c>
      <c r="BK907" s="116">
        <v>149</v>
      </c>
      <c r="BL907" s="120">
        <f t="shared" si="377"/>
        <v>19149</v>
      </c>
      <c r="BN907" s="5" t="s">
        <v>3154</v>
      </c>
      <c r="BO907" s="63">
        <v>62</v>
      </c>
      <c r="BP907" s="63">
        <v>22</v>
      </c>
      <c r="BR907" s="63"/>
    </row>
    <row r="908" spans="1:70" hidden="1" outlineLevel="1">
      <c r="A908" t="s">
        <v>2627</v>
      </c>
      <c r="B908" t="s">
        <v>1622</v>
      </c>
      <c r="C908" s="1">
        <f t="shared" si="378"/>
        <v>3865</v>
      </c>
      <c r="D908" s="5">
        <f>IF(N908&gt;0, RANK(N908,(N908:P908,Q908:AE908)),0)</f>
        <v>2</v>
      </c>
      <c r="E908" s="5">
        <f>IF(O908&gt;0,RANK(O908,(N908:P908,Q908:AE908)),0)</f>
        <v>1</v>
      </c>
      <c r="F908" s="5">
        <f>IF(P908&gt;0,RANK(P908,(N908:P908,Q908:AE908)),0)</f>
        <v>6</v>
      </c>
      <c r="G908" s="132">
        <f t="shared" si="379"/>
        <v>1739</v>
      </c>
      <c r="H908" s="137">
        <f t="shared" si="380"/>
        <v>0.44993531694695987</v>
      </c>
      <c r="I908" s="2"/>
      <c r="J908" s="2">
        <f t="shared" si="381"/>
        <v>0.24915912031047865</v>
      </c>
      <c r="K908" s="2">
        <f t="shared" si="382"/>
        <v>0.69909443725743858</v>
      </c>
      <c r="L908" s="2">
        <f t="shared" si="383"/>
        <v>3.6222509702457956E-3</v>
      </c>
      <c r="M908" s="2">
        <f t="shared" si="384"/>
        <v>4.8124191461837024E-2</v>
      </c>
      <c r="N908" s="63">
        <v>963</v>
      </c>
      <c r="O908" s="63">
        <v>2702</v>
      </c>
      <c r="P908" s="63">
        <v>14</v>
      </c>
      <c r="Q908" s="63">
        <v>115</v>
      </c>
      <c r="R908" s="63">
        <v>14</v>
      </c>
      <c r="S908" s="63">
        <v>21</v>
      </c>
      <c r="T908" s="63">
        <v>1</v>
      </c>
      <c r="U908" s="63"/>
      <c r="V908" s="63">
        <v>0</v>
      </c>
      <c r="W908" s="63">
        <v>23</v>
      </c>
      <c r="X908" s="63"/>
      <c r="Y908" s="63"/>
      <c r="Z908" s="63"/>
      <c r="AA908" s="63"/>
      <c r="AB908" s="63"/>
      <c r="AC908" s="63">
        <v>6</v>
      </c>
      <c r="AD908" s="63"/>
      <c r="AE908" s="63"/>
      <c r="AF908" s="63"/>
      <c r="AG908" s="63"/>
      <c r="AH908" s="63"/>
      <c r="AI908" s="63"/>
      <c r="AJ908" s="63"/>
      <c r="AK908" s="63"/>
      <c r="AL908" s="63">
        <v>6</v>
      </c>
      <c r="AM908" s="63"/>
      <c r="AN908" s="63"/>
      <c r="AO908" s="63"/>
      <c r="AP908" s="63"/>
      <c r="AQ908" s="63"/>
      <c r="AR908" s="63"/>
      <c r="AS908" s="63"/>
      <c r="AT908" s="63"/>
      <c r="AU908" s="63"/>
      <c r="AW908" s="5">
        <f>IF(Q908&gt;0,RANK(Q908,(N908:P908,Q908:AE908)),0)</f>
        <v>3</v>
      </c>
      <c r="AX908" s="5">
        <f>IF(R908&gt;0,RANK(R908,(N908:P908,Q908:AE908)),0)</f>
        <v>6</v>
      </c>
      <c r="AY908" s="5">
        <f>IF(T908&gt;0,RANK(T908,(N908:P908,Q908:AE908)),0)</f>
        <v>9</v>
      </c>
      <c r="AZ908" s="5">
        <f>IF(S908&gt;0,RANK(S908,(N908:P908,Q908:AE908)),0)</f>
        <v>5</v>
      </c>
      <c r="BA908" s="2">
        <f t="shared" si="385"/>
        <v>2.9754204398447608E-2</v>
      </c>
      <c r="BB908" s="2">
        <f t="shared" si="386"/>
        <v>3.6222509702457956E-3</v>
      </c>
      <c r="BC908" s="2">
        <f t="shared" si="387"/>
        <v>2.5873221216041398E-4</v>
      </c>
      <c r="BD908" s="2">
        <f t="shared" si="388"/>
        <v>5.4333764553686935E-3</v>
      </c>
      <c r="BF908" t="s">
        <v>2627</v>
      </c>
      <c r="BG908" t="s">
        <v>1622</v>
      </c>
      <c r="BH908">
        <v>4</v>
      </c>
      <c r="BJ908" s="114">
        <v>19</v>
      </c>
      <c r="BK908" s="116">
        <v>151</v>
      </c>
      <c r="BL908" s="120">
        <f t="shared" si="377"/>
        <v>19151</v>
      </c>
      <c r="BN908" s="5" t="s">
        <v>3154</v>
      </c>
      <c r="BO908" s="63">
        <v>51</v>
      </c>
      <c r="BP908" s="63">
        <v>2</v>
      </c>
      <c r="BR908" s="63"/>
    </row>
    <row r="909" spans="1:70" hidden="1" outlineLevel="1">
      <c r="A909" t="s">
        <v>879</v>
      </c>
      <c r="B909" t="s">
        <v>1622</v>
      </c>
      <c r="C909" s="1">
        <f t="shared" si="378"/>
        <v>231555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>IF(P909&gt;0,RANK(P909,(N909:P909,Q909:AE909)),0)</f>
        <v>5</v>
      </c>
      <c r="G909" s="132">
        <f t="shared" si="379"/>
        <v>26312</v>
      </c>
      <c r="H909" s="137">
        <f t="shared" si="380"/>
        <v>0.11363175055602341</v>
      </c>
      <c r="I909" s="2"/>
      <c r="J909" s="2">
        <f t="shared" si="381"/>
        <v>0.51738895726717193</v>
      </c>
      <c r="K909" s="2">
        <f t="shared" si="382"/>
        <v>0.40375720671114856</v>
      </c>
      <c r="L909" s="2">
        <f t="shared" si="383"/>
        <v>1.0278335600613244E-2</v>
      </c>
      <c r="M909" s="2">
        <f t="shared" si="384"/>
        <v>6.8575500421066263E-2</v>
      </c>
      <c r="N909" s="63">
        <v>119804</v>
      </c>
      <c r="O909" s="63">
        <v>93492</v>
      </c>
      <c r="P909" s="63">
        <v>2380</v>
      </c>
      <c r="Q909" s="63">
        <v>10029</v>
      </c>
      <c r="R909" s="63">
        <v>1737</v>
      </c>
      <c r="S909" s="63">
        <v>672</v>
      </c>
      <c r="T909" s="63">
        <v>73</v>
      </c>
      <c r="U909" s="63"/>
      <c r="V909" s="63">
        <v>51</v>
      </c>
      <c r="W909" s="63">
        <v>2896</v>
      </c>
      <c r="X909" s="63"/>
      <c r="Y909" s="63"/>
      <c r="Z909" s="63"/>
      <c r="AA909" s="63"/>
      <c r="AB909" s="63"/>
      <c r="AC909" s="63">
        <v>200</v>
      </c>
      <c r="AD909" s="63"/>
      <c r="AE909" s="63"/>
      <c r="AF909" s="63"/>
      <c r="AG909" s="63"/>
      <c r="AH909" s="63"/>
      <c r="AI909" s="63"/>
      <c r="AJ909" s="63"/>
      <c r="AK909" s="63"/>
      <c r="AL909" s="63">
        <v>221</v>
      </c>
      <c r="AM909" s="63"/>
      <c r="AN909" s="63"/>
      <c r="AO909" s="63"/>
      <c r="AP909" s="63"/>
      <c r="AQ909" s="63"/>
      <c r="AR909" s="63"/>
      <c r="AS909" s="63"/>
      <c r="AT909" s="63"/>
      <c r="AU909" s="63"/>
      <c r="AW909" s="5">
        <f>IF(Q909&gt;0,RANK(Q909,(N909:P909,Q909:AE909)),0)</f>
        <v>3</v>
      </c>
      <c r="AX909" s="5">
        <f>IF(R909&gt;0,RANK(R909,(N909:P909,Q909:AE909)),0)</f>
        <v>6</v>
      </c>
      <c r="AY909" s="5">
        <f>IF(T909&gt;0,RANK(T909,(N909:P909,Q909:AE909)),0)</f>
        <v>9</v>
      </c>
      <c r="AZ909" s="5">
        <f>IF(S909&gt;0,RANK(S909,(N909:P909,Q909:AE909)),0)</f>
        <v>7</v>
      </c>
      <c r="BA909" s="2">
        <f t="shared" si="385"/>
        <v>4.3311524259895054E-2</v>
      </c>
      <c r="BB909" s="2">
        <f t="shared" si="386"/>
        <v>7.5014575370862214E-3</v>
      </c>
      <c r="BC909" s="2">
        <f t="shared" si="387"/>
        <v>3.1525987346418778E-4</v>
      </c>
      <c r="BD909" s="2">
        <f t="shared" si="388"/>
        <v>2.9021182872319752E-3</v>
      </c>
      <c r="BF909" t="s">
        <v>879</v>
      </c>
      <c r="BG909" t="s">
        <v>1622</v>
      </c>
      <c r="BH909">
        <v>3</v>
      </c>
      <c r="BJ909" s="114">
        <v>19</v>
      </c>
      <c r="BK909" s="116">
        <v>153</v>
      </c>
      <c r="BL909" s="120">
        <f t="shared" si="377"/>
        <v>19153</v>
      </c>
      <c r="BN909" s="5" t="s">
        <v>3154</v>
      </c>
      <c r="BO909" s="63">
        <v>1668</v>
      </c>
      <c r="BP909" s="63">
        <v>162</v>
      </c>
      <c r="BR909" s="63"/>
    </row>
    <row r="910" spans="1:70" hidden="1" outlineLevel="1">
      <c r="A910" t="s">
        <v>1216</v>
      </c>
      <c r="B910" t="s">
        <v>1622</v>
      </c>
      <c r="C910" s="1">
        <f t="shared" si="378"/>
        <v>42680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6</v>
      </c>
      <c r="G910" s="132">
        <f t="shared" si="379"/>
        <v>9092</v>
      </c>
      <c r="H910" s="137">
        <f t="shared" si="380"/>
        <v>0.21302717900656046</v>
      </c>
      <c r="I910" s="2"/>
      <c r="J910" s="2">
        <f t="shared" si="381"/>
        <v>0.35977038425492036</v>
      </c>
      <c r="K910" s="2">
        <f t="shared" si="382"/>
        <v>0.57279756326148079</v>
      </c>
      <c r="L910" s="2">
        <f t="shared" si="383"/>
        <v>5.9278350515463915E-3</v>
      </c>
      <c r="M910" s="2">
        <f t="shared" si="384"/>
        <v>6.1504217432052456E-2</v>
      </c>
      <c r="N910" s="63">
        <v>15355</v>
      </c>
      <c r="O910" s="63">
        <v>24447</v>
      </c>
      <c r="P910" s="63">
        <v>253</v>
      </c>
      <c r="Q910" s="63">
        <v>1469</v>
      </c>
      <c r="R910" s="63">
        <v>327</v>
      </c>
      <c r="S910" s="63">
        <v>93</v>
      </c>
      <c r="T910" s="63">
        <v>8</v>
      </c>
      <c r="U910" s="63"/>
      <c r="V910" s="63">
        <v>6</v>
      </c>
      <c r="W910" s="63">
        <v>431</v>
      </c>
      <c r="X910" s="63"/>
      <c r="Y910" s="63"/>
      <c r="Z910" s="63"/>
      <c r="AA910" s="63"/>
      <c r="AB910" s="63"/>
      <c r="AC910" s="63">
        <v>137</v>
      </c>
      <c r="AD910" s="63"/>
      <c r="AE910" s="63"/>
      <c r="AF910" s="63"/>
      <c r="AG910" s="63"/>
      <c r="AH910" s="63"/>
      <c r="AI910" s="63"/>
      <c r="AJ910" s="63"/>
      <c r="AK910" s="63"/>
      <c r="AL910" s="63">
        <v>154</v>
      </c>
      <c r="AM910" s="63"/>
      <c r="AN910" s="63"/>
      <c r="AO910" s="63"/>
      <c r="AP910" s="63"/>
      <c r="AQ910" s="63"/>
      <c r="AR910" s="63"/>
      <c r="AS910" s="63"/>
      <c r="AT910" s="63"/>
      <c r="AU910" s="63"/>
      <c r="AW910" s="5">
        <f>IF(Q910&gt;0,RANK(Q910,(N910:P910,Q910:AE910)),0)</f>
        <v>3</v>
      </c>
      <c r="AX910" s="5">
        <f>IF(R910&gt;0,RANK(R910,(N910:P910,Q910:AE910)),0)</f>
        <v>5</v>
      </c>
      <c r="AY910" s="5">
        <f>IF(T910&gt;0,RANK(T910,(N910:P910,Q910:AE910)),0)</f>
        <v>9</v>
      </c>
      <c r="AZ910" s="5">
        <f>IF(S910&gt;0,RANK(S910,(N910:P910,Q910:AE910)),0)</f>
        <v>8</v>
      </c>
      <c r="BA910" s="2">
        <f t="shared" si="385"/>
        <v>3.4418931583880034E-2</v>
      </c>
      <c r="BB910" s="2">
        <f t="shared" si="386"/>
        <v>7.6616682286785379E-3</v>
      </c>
      <c r="BC910" s="2">
        <f t="shared" si="387"/>
        <v>1.8744142455482662E-4</v>
      </c>
      <c r="BD910" s="2">
        <f t="shared" si="388"/>
        <v>2.1790065604498595E-3</v>
      </c>
      <c r="BF910" t="s">
        <v>1216</v>
      </c>
      <c r="BG910" t="s">
        <v>1622</v>
      </c>
      <c r="BH910">
        <v>3</v>
      </c>
      <c r="BJ910" s="114">
        <v>19</v>
      </c>
      <c r="BK910" s="116">
        <v>155</v>
      </c>
      <c r="BL910" s="120">
        <f t="shared" si="377"/>
        <v>19155</v>
      </c>
      <c r="BN910" s="5" t="s">
        <v>3154</v>
      </c>
      <c r="BO910" s="63">
        <v>259</v>
      </c>
      <c r="BP910" s="63">
        <v>119</v>
      </c>
      <c r="BR910" s="63"/>
    </row>
    <row r="911" spans="1:70" hidden="1" outlineLevel="1">
      <c r="A911" t="s">
        <v>1780</v>
      </c>
      <c r="B911" t="s">
        <v>1622</v>
      </c>
      <c r="C911" s="1">
        <f t="shared" si="378"/>
        <v>9833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>IF(P911&gt;0,RANK(P911,(N911:P911,Q911:AE911)),0)</f>
        <v>6</v>
      </c>
      <c r="G911" s="132">
        <f t="shared" si="379"/>
        <v>642</v>
      </c>
      <c r="H911" s="137">
        <f t="shared" si="380"/>
        <v>6.5290348825383912E-2</v>
      </c>
      <c r="I911" s="2"/>
      <c r="J911" s="2">
        <f t="shared" si="381"/>
        <v>0.43770975287297875</v>
      </c>
      <c r="K911" s="2">
        <f t="shared" si="382"/>
        <v>0.50300010169836262</v>
      </c>
      <c r="L911" s="2">
        <f t="shared" si="383"/>
        <v>4.6781246821926163E-3</v>
      </c>
      <c r="M911" s="2">
        <f t="shared" si="384"/>
        <v>5.4612020746466011E-2</v>
      </c>
      <c r="N911" s="63">
        <v>4304</v>
      </c>
      <c r="O911" s="63">
        <v>4946</v>
      </c>
      <c r="P911" s="63">
        <v>46</v>
      </c>
      <c r="Q911" s="63">
        <v>283</v>
      </c>
      <c r="R911" s="63">
        <v>73</v>
      </c>
      <c r="S911" s="63">
        <v>44</v>
      </c>
      <c r="T911" s="63">
        <v>3</v>
      </c>
      <c r="U911" s="63"/>
      <c r="V911" s="63">
        <v>8</v>
      </c>
      <c r="W911" s="63">
        <v>95</v>
      </c>
      <c r="X911" s="63"/>
      <c r="Y911" s="63"/>
      <c r="Z911" s="63"/>
      <c r="AA911" s="63"/>
      <c r="AB911" s="63"/>
      <c r="AC911" s="63">
        <v>20</v>
      </c>
      <c r="AD911" s="63"/>
      <c r="AE911" s="63"/>
      <c r="AF911" s="63"/>
      <c r="AG911" s="63"/>
      <c r="AH911" s="63"/>
      <c r="AI911" s="63"/>
      <c r="AJ911" s="63"/>
      <c r="AK911" s="63"/>
      <c r="AL911" s="63">
        <v>11</v>
      </c>
      <c r="AM911" s="63"/>
      <c r="AN911" s="63"/>
      <c r="AO911" s="63"/>
      <c r="AP911" s="63"/>
      <c r="AQ911" s="63"/>
      <c r="AR911" s="63"/>
      <c r="AS911" s="63"/>
      <c r="AT911" s="63"/>
      <c r="AU911" s="63"/>
      <c r="AW911" s="5">
        <f>IF(Q911&gt;0,RANK(Q911,(N911:P911,Q911:AE911)),0)</f>
        <v>3</v>
      </c>
      <c r="AX911" s="5">
        <f>IF(R911&gt;0,RANK(R911,(N911:P911,Q911:AE911)),0)</f>
        <v>5</v>
      </c>
      <c r="AY911" s="5">
        <f>IF(T911&gt;0,RANK(T911,(N911:P911,Q911:AE911)),0)</f>
        <v>10</v>
      </c>
      <c r="AZ911" s="5">
        <f>IF(S911&gt;0,RANK(S911,(N911:P911,Q911:AE911)),0)</f>
        <v>7</v>
      </c>
      <c r="BA911" s="2">
        <f t="shared" si="385"/>
        <v>2.878063663175023E-2</v>
      </c>
      <c r="BB911" s="2">
        <f t="shared" si="386"/>
        <v>7.4239804739143697E-3</v>
      </c>
      <c r="BC911" s="2">
        <f t="shared" si="387"/>
        <v>3.050950879690837E-4</v>
      </c>
      <c r="BD911" s="2">
        <f t="shared" si="388"/>
        <v>4.4747279568798943E-3</v>
      </c>
      <c r="BF911" t="s">
        <v>1780</v>
      </c>
      <c r="BG911" t="s">
        <v>1622</v>
      </c>
      <c r="BH911">
        <v>1</v>
      </c>
      <c r="BJ911" s="114">
        <v>19</v>
      </c>
      <c r="BK911" s="116">
        <v>157</v>
      </c>
      <c r="BL911" s="120">
        <f t="shared" si="377"/>
        <v>19157</v>
      </c>
      <c r="BN911" s="5" t="s">
        <v>3154</v>
      </c>
      <c r="BO911" s="63">
        <v>67</v>
      </c>
      <c r="BP911" s="63">
        <v>16</v>
      </c>
      <c r="BR911" s="63"/>
    </row>
    <row r="912" spans="1:70" hidden="1" outlineLevel="1">
      <c r="A912" t="s">
        <v>1445</v>
      </c>
      <c r="B912" t="s">
        <v>1622</v>
      </c>
      <c r="C912" s="1">
        <f t="shared" si="378"/>
        <v>2707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7</v>
      </c>
      <c r="G912" s="132">
        <f t="shared" si="379"/>
        <v>1071</v>
      </c>
      <c r="H912" s="137">
        <f t="shared" si="380"/>
        <v>0.39564093091983749</v>
      </c>
      <c r="I912" s="2"/>
      <c r="J912" s="2">
        <f t="shared" si="381"/>
        <v>0.2781677133357961</v>
      </c>
      <c r="K912" s="2">
        <f t="shared" si="382"/>
        <v>0.67380864425563358</v>
      </c>
      <c r="L912" s="2">
        <f t="shared" si="383"/>
        <v>2.5858884373845584E-3</v>
      </c>
      <c r="M912" s="2">
        <f t="shared" si="384"/>
        <v>4.5437753971185817E-2</v>
      </c>
      <c r="N912" s="63">
        <v>753</v>
      </c>
      <c r="O912" s="63">
        <v>1824</v>
      </c>
      <c r="P912" s="63">
        <v>7</v>
      </c>
      <c r="Q912" s="63">
        <v>72</v>
      </c>
      <c r="R912" s="63">
        <v>8</v>
      </c>
      <c r="S912" s="63">
        <v>15</v>
      </c>
      <c r="T912" s="63">
        <v>2</v>
      </c>
      <c r="U912" s="63"/>
      <c r="V912" s="63">
        <v>0</v>
      </c>
      <c r="W912" s="63">
        <v>19</v>
      </c>
      <c r="X912" s="63"/>
      <c r="Y912" s="63"/>
      <c r="Z912" s="63"/>
      <c r="AA912" s="63"/>
      <c r="AB912" s="63"/>
      <c r="AC912" s="63">
        <v>2</v>
      </c>
      <c r="AD912" s="63"/>
      <c r="AE912" s="63"/>
      <c r="AF912" s="63"/>
      <c r="AG912" s="63"/>
      <c r="AH912" s="63"/>
      <c r="AI912" s="63"/>
      <c r="AJ912" s="63"/>
      <c r="AK912" s="63"/>
      <c r="AL912" s="63">
        <v>5</v>
      </c>
      <c r="AM912" s="63"/>
      <c r="AN912" s="63"/>
      <c r="AO912" s="63"/>
      <c r="AP912" s="63"/>
      <c r="AQ912" s="63"/>
      <c r="AR912" s="63"/>
      <c r="AS912" s="63"/>
      <c r="AT912" s="63"/>
      <c r="AU912" s="63"/>
      <c r="AW912" s="5">
        <f>IF(Q912&gt;0,RANK(Q912,(N912:P912,Q912:AE912)),0)</f>
        <v>3</v>
      </c>
      <c r="AX912" s="5">
        <f>IF(R912&gt;0,RANK(R912,(N912:P912,Q912:AE912)),0)</f>
        <v>6</v>
      </c>
      <c r="AY912" s="5">
        <f>IF(T912&gt;0,RANK(T912,(N912:P912,Q912:AE912)),0)</f>
        <v>8</v>
      </c>
      <c r="AZ912" s="5">
        <f>IF(S912&gt;0,RANK(S912,(N912:P912,Q912:AE912)),0)</f>
        <v>5</v>
      </c>
      <c r="BA912" s="2">
        <f t="shared" si="385"/>
        <v>2.6597709641669746E-2</v>
      </c>
      <c r="BB912" s="2">
        <f t="shared" si="386"/>
        <v>2.9553010712966383E-3</v>
      </c>
      <c r="BC912" s="2">
        <f t="shared" si="387"/>
        <v>7.3882526782415958E-4</v>
      </c>
      <c r="BD912" s="2">
        <f t="shared" si="388"/>
        <v>5.5411895086811972E-3</v>
      </c>
      <c r="BF912" t="s">
        <v>1445</v>
      </c>
      <c r="BG912" t="s">
        <v>1622</v>
      </c>
      <c r="BH912">
        <v>3</v>
      </c>
      <c r="BJ912" s="114">
        <v>19</v>
      </c>
      <c r="BK912" s="116">
        <v>159</v>
      </c>
      <c r="BL912" s="120">
        <f t="shared" si="377"/>
        <v>19159</v>
      </c>
      <c r="BN912" s="5" t="s">
        <v>3154</v>
      </c>
      <c r="BO912" s="63">
        <v>43</v>
      </c>
      <c r="BP912" s="63">
        <v>2</v>
      </c>
      <c r="BR912" s="63"/>
    </row>
    <row r="913" spans="1:70" hidden="1" outlineLevel="1">
      <c r="A913" t="s">
        <v>791</v>
      </c>
      <c r="B913" t="s">
        <v>1622</v>
      </c>
      <c r="C913" s="1">
        <f t="shared" si="378"/>
        <v>5212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>IF(P913&gt;0,RANK(P913,(N913:P913,Q913:AE913)),0)</f>
        <v>7</v>
      </c>
      <c r="G913" s="132">
        <f t="shared" si="379"/>
        <v>2433</v>
      </c>
      <c r="H913" s="137">
        <f t="shared" si="380"/>
        <v>0.4668073676132003</v>
      </c>
      <c r="I913" s="2"/>
      <c r="J913" s="2">
        <f t="shared" si="381"/>
        <v>0.24366845740598619</v>
      </c>
      <c r="K913" s="2">
        <f t="shared" si="382"/>
        <v>0.71047582501918649</v>
      </c>
      <c r="L913" s="2">
        <f t="shared" si="383"/>
        <v>2.8779739063699156E-3</v>
      </c>
      <c r="M913" s="2">
        <f t="shared" si="384"/>
        <v>4.2977743668457399E-2</v>
      </c>
      <c r="N913" s="63">
        <v>1270</v>
      </c>
      <c r="O913" s="63">
        <v>3703</v>
      </c>
      <c r="P913" s="63">
        <v>15</v>
      </c>
      <c r="Q913" s="63">
        <v>129</v>
      </c>
      <c r="R913" s="63">
        <v>23</v>
      </c>
      <c r="S913" s="63">
        <v>17</v>
      </c>
      <c r="T913" s="63">
        <v>1</v>
      </c>
      <c r="U913" s="63"/>
      <c r="V913" s="63">
        <v>0</v>
      </c>
      <c r="W913" s="63">
        <v>42</v>
      </c>
      <c r="X913" s="63"/>
      <c r="Y913" s="63"/>
      <c r="Z913" s="63"/>
      <c r="AA913" s="63"/>
      <c r="AB913" s="63"/>
      <c r="AC913" s="63">
        <v>4</v>
      </c>
      <c r="AD913" s="63"/>
      <c r="AE913" s="63"/>
      <c r="AF913" s="63"/>
      <c r="AG913" s="63"/>
      <c r="AH913" s="63"/>
      <c r="AI913" s="63"/>
      <c r="AJ913" s="63"/>
      <c r="AK913" s="63"/>
      <c r="AL913" s="63">
        <v>8</v>
      </c>
      <c r="AM913" s="63"/>
      <c r="AN913" s="63"/>
      <c r="AO913" s="63"/>
      <c r="AP913" s="63"/>
      <c r="AQ913" s="63"/>
      <c r="AR913" s="63"/>
      <c r="AS913" s="63"/>
      <c r="AT913" s="63"/>
      <c r="AU913" s="63"/>
      <c r="AW913" s="5">
        <f>IF(Q913&gt;0,RANK(Q913,(N913:P913,Q913:AE913)),0)</f>
        <v>3</v>
      </c>
      <c r="AX913" s="5">
        <f>IF(R913&gt;0,RANK(R913,(N913:P913,Q913:AE913)),0)</f>
        <v>5</v>
      </c>
      <c r="AY913" s="5">
        <f>IF(T913&gt;0,RANK(T913,(N913:P913,Q913:AE913)),0)</f>
        <v>9</v>
      </c>
      <c r="AZ913" s="5">
        <f>IF(S913&gt;0,RANK(S913,(N913:P913,Q913:AE913)),0)</f>
        <v>6</v>
      </c>
      <c r="BA913" s="2">
        <f t="shared" si="385"/>
        <v>2.4750575594781273E-2</v>
      </c>
      <c r="BB913" s="2">
        <f t="shared" si="386"/>
        <v>4.412893323100537E-3</v>
      </c>
      <c r="BC913" s="2">
        <f t="shared" si="387"/>
        <v>1.918649270913277E-4</v>
      </c>
      <c r="BD913" s="2">
        <f t="shared" si="388"/>
        <v>3.2617037605525709E-3</v>
      </c>
      <c r="BF913" t="s">
        <v>791</v>
      </c>
      <c r="BG913" t="s">
        <v>1622</v>
      </c>
      <c r="BH913">
        <v>4</v>
      </c>
      <c r="BJ913" s="114">
        <v>19</v>
      </c>
      <c r="BK913" s="116">
        <v>161</v>
      </c>
      <c r="BL913" s="120">
        <f t="shared" si="377"/>
        <v>19161</v>
      </c>
      <c r="BN913" s="5" t="s">
        <v>3154</v>
      </c>
      <c r="BO913" s="63">
        <v>41</v>
      </c>
      <c r="BP913" s="63">
        <v>4</v>
      </c>
      <c r="BR913" s="63"/>
    </row>
    <row r="914" spans="1:70" hidden="1" outlineLevel="1">
      <c r="A914" t="s">
        <v>830</v>
      </c>
      <c r="B914" t="s">
        <v>1622</v>
      </c>
      <c r="C914" s="1">
        <f t="shared" si="378"/>
        <v>86220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>IF(P914&gt;0,RANK(P914,(N914:P914,Q914:AE914)),0)</f>
        <v>6</v>
      </c>
      <c r="G914" s="132">
        <f t="shared" si="379"/>
        <v>1291</v>
      </c>
      <c r="H914" s="137">
        <f t="shared" si="380"/>
        <v>1.497332405474368E-2</v>
      </c>
      <c r="I914" s="2"/>
      <c r="J914" s="2">
        <f t="shared" si="381"/>
        <v>0.46903270702853167</v>
      </c>
      <c r="K914" s="2">
        <f t="shared" si="382"/>
        <v>0.45405938297378801</v>
      </c>
      <c r="L914" s="2">
        <f t="shared" si="383"/>
        <v>7.5040593829737877E-3</v>
      </c>
      <c r="M914" s="2">
        <f t="shared" si="384"/>
        <v>6.9403850614706594E-2</v>
      </c>
      <c r="N914" s="63">
        <v>40440</v>
      </c>
      <c r="O914" s="63">
        <v>39149</v>
      </c>
      <c r="P914" s="63">
        <v>647</v>
      </c>
      <c r="Q914" s="63">
        <v>3555</v>
      </c>
      <c r="R914" s="63">
        <v>784</v>
      </c>
      <c r="S914" s="63">
        <v>298</v>
      </c>
      <c r="T914" s="63">
        <v>28</v>
      </c>
      <c r="U914" s="63"/>
      <c r="V914" s="63">
        <v>16</v>
      </c>
      <c r="W914" s="63">
        <v>1119</v>
      </c>
      <c r="X914" s="63"/>
      <c r="Y914" s="63"/>
      <c r="Z914" s="63"/>
      <c r="AA914" s="63"/>
      <c r="AB914" s="63"/>
      <c r="AC914" s="63">
        <v>99</v>
      </c>
      <c r="AD914" s="63"/>
      <c r="AE914" s="63"/>
      <c r="AF914" s="63"/>
      <c r="AG914" s="63"/>
      <c r="AH914" s="63"/>
      <c r="AI914" s="63"/>
      <c r="AJ914" s="63"/>
      <c r="AK914" s="63"/>
      <c r="AL914" s="63">
        <v>85</v>
      </c>
      <c r="AM914" s="63"/>
      <c r="AN914" s="63"/>
      <c r="AO914" s="63"/>
      <c r="AP914" s="63"/>
      <c r="AQ914" s="63"/>
      <c r="AR914" s="63"/>
      <c r="AS914" s="63"/>
      <c r="AT914" s="63"/>
      <c r="AU914" s="63"/>
      <c r="AW914" s="5">
        <f>IF(Q914&gt;0,RANK(Q914,(N914:P914,Q914:AE914)),0)</f>
        <v>3</v>
      </c>
      <c r="AX914" s="5">
        <f>IF(R914&gt;0,RANK(R914,(N914:P914,Q914:AE914)),0)</f>
        <v>5</v>
      </c>
      <c r="AY914" s="5">
        <f>IF(T914&gt;0,RANK(T914,(N914:P914,Q914:AE914)),0)</f>
        <v>9</v>
      </c>
      <c r="AZ914" s="5">
        <f>IF(S914&gt;0,RANK(S914,(N914:P914,Q914:AE914)),0)</f>
        <v>7</v>
      </c>
      <c r="BA914" s="2">
        <f t="shared" si="385"/>
        <v>4.1231732776617951E-2</v>
      </c>
      <c r="BB914" s="2">
        <f t="shared" si="386"/>
        <v>9.093017861285085E-3</v>
      </c>
      <c r="BC914" s="2">
        <f t="shared" si="387"/>
        <v>3.2475063790303872E-4</v>
      </c>
      <c r="BD914" s="2">
        <f t="shared" si="388"/>
        <v>3.4562746462537693E-3</v>
      </c>
      <c r="BF914" t="s">
        <v>830</v>
      </c>
      <c r="BG914" t="s">
        <v>1622</v>
      </c>
      <c r="BH914">
        <v>2</v>
      </c>
      <c r="BJ914" s="114">
        <v>19</v>
      </c>
      <c r="BK914" s="116">
        <v>163</v>
      </c>
      <c r="BL914" s="120">
        <f t="shared" si="377"/>
        <v>19163</v>
      </c>
      <c r="BN914" s="5" t="s">
        <v>3154</v>
      </c>
      <c r="BO914" s="63">
        <v>986</v>
      </c>
      <c r="BP914" s="63">
        <v>80</v>
      </c>
      <c r="BR914" s="63"/>
    </row>
    <row r="915" spans="1:70" hidden="1" outlineLevel="1">
      <c r="A915" t="s">
        <v>23</v>
      </c>
      <c r="B915" t="s">
        <v>1622</v>
      </c>
      <c r="C915" s="1">
        <f t="shared" si="378"/>
        <v>6370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5</v>
      </c>
      <c r="G915" s="132">
        <f t="shared" si="379"/>
        <v>2700</v>
      </c>
      <c r="H915" s="137">
        <f t="shared" si="380"/>
        <v>0.42386185243328101</v>
      </c>
      <c r="I915" s="2"/>
      <c r="J915" s="2">
        <f t="shared" si="381"/>
        <v>0.26091051805337517</v>
      </c>
      <c r="K915" s="2">
        <f t="shared" si="382"/>
        <v>0.68477237048665618</v>
      </c>
      <c r="L915" s="2">
        <f t="shared" si="383"/>
        <v>6.1224489795918364E-3</v>
      </c>
      <c r="M915" s="2">
        <f t="shared" si="384"/>
        <v>4.8194662480376814E-2</v>
      </c>
      <c r="N915" s="63">
        <v>1662</v>
      </c>
      <c r="O915" s="63">
        <v>4362</v>
      </c>
      <c r="P915" s="63">
        <v>39</v>
      </c>
      <c r="Q915" s="63">
        <v>174</v>
      </c>
      <c r="R915" s="63">
        <v>28</v>
      </c>
      <c r="S915" s="63">
        <v>21</v>
      </c>
      <c r="T915" s="63">
        <v>2</v>
      </c>
      <c r="U915" s="63"/>
      <c r="V915" s="63">
        <v>1</v>
      </c>
      <c r="W915" s="63">
        <v>63</v>
      </c>
      <c r="X915" s="63"/>
      <c r="Y915" s="63"/>
      <c r="Z915" s="63"/>
      <c r="AA915" s="63"/>
      <c r="AB915" s="63"/>
      <c r="AC915" s="63">
        <v>5</v>
      </c>
      <c r="AD915" s="63"/>
      <c r="AE915" s="63"/>
      <c r="AF915" s="63"/>
      <c r="AG915" s="63"/>
      <c r="AH915" s="63"/>
      <c r="AI915" s="63"/>
      <c r="AJ915" s="63"/>
      <c r="AK915" s="63"/>
      <c r="AL915" s="63">
        <v>13</v>
      </c>
      <c r="AM915" s="63"/>
      <c r="AN915" s="63"/>
      <c r="AO915" s="63"/>
      <c r="AP915" s="63"/>
      <c r="AQ915" s="63"/>
      <c r="AR915" s="63"/>
      <c r="AS915" s="63"/>
      <c r="AT915" s="63"/>
      <c r="AU915" s="63"/>
      <c r="AW915" s="5">
        <f>IF(Q915&gt;0,RANK(Q915,(N915:P915,Q915:AE915)),0)</f>
        <v>3</v>
      </c>
      <c r="AX915" s="5">
        <f>IF(R915&gt;0,RANK(R915,(N915:P915,Q915:AE915)),0)</f>
        <v>6</v>
      </c>
      <c r="AY915" s="5">
        <f>IF(T915&gt;0,RANK(T915,(N915:P915,Q915:AE915)),0)</f>
        <v>9</v>
      </c>
      <c r="AZ915" s="5">
        <f>IF(S915&gt;0,RANK(S915,(N915:P915,Q915:AE915)),0)</f>
        <v>7</v>
      </c>
      <c r="BA915" s="2">
        <f t="shared" si="385"/>
        <v>2.7315541601255888E-2</v>
      </c>
      <c r="BB915" s="2">
        <f t="shared" si="386"/>
        <v>4.3956043956043956E-3</v>
      </c>
      <c r="BC915" s="2">
        <f t="shared" si="387"/>
        <v>3.1397174254317112E-4</v>
      </c>
      <c r="BD915" s="2">
        <f t="shared" si="388"/>
        <v>3.2967032967032967E-3</v>
      </c>
      <c r="BF915" t="s">
        <v>23</v>
      </c>
      <c r="BG915" t="s">
        <v>1622</v>
      </c>
      <c r="BH915">
        <v>4</v>
      </c>
      <c r="BJ915" s="114">
        <v>19</v>
      </c>
      <c r="BK915" s="116">
        <v>165</v>
      </c>
      <c r="BL915" s="120">
        <f t="shared" si="377"/>
        <v>19165</v>
      </c>
      <c r="BN915" s="5" t="s">
        <v>3154</v>
      </c>
      <c r="BO915" s="63">
        <v>73</v>
      </c>
      <c r="BP915" s="63">
        <v>5</v>
      </c>
      <c r="BR915" s="63"/>
    </row>
    <row r="916" spans="1:70" hidden="1" outlineLevel="1">
      <c r="A916" t="s">
        <v>994</v>
      </c>
      <c r="B916" t="s">
        <v>1622</v>
      </c>
      <c r="C916" s="1">
        <f t="shared" si="378"/>
        <v>18194</v>
      </c>
      <c r="D916" s="5">
        <f>IF(N916&gt;0, RANK(N916,(N916:P916,Q916:AE916)),0)</f>
        <v>2</v>
      </c>
      <c r="E916" s="5">
        <f>IF(O916&gt;0,RANK(O916,(N916:P916,Q916:AE916)),0)</f>
        <v>1</v>
      </c>
      <c r="F916" s="5">
        <f>IF(P916&gt;0,RANK(P916,(N916:P916,Q916:AE916)),0)</f>
        <v>4</v>
      </c>
      <c r="G916" s="132">
        <f t="shared" si="379"/>
        <v>12485</v>
      </c>
      <c r="H916" s="137">
        <f t="shared" si="380"/>
        <v>0.68621523579201937</v>
      </c>
      <c r="I916" s="2"/>
      <c r="J916" s="2">
        <f t="shared" si="381"/>
        <v>0.12641530174782895</v>
      </c>
      <c r="K916" s="2">
        <f t="shared" si="382"/>
        <v>0.81263053753984826</v>
      </c>
      <c r="L916" s="2">
        <f t="shared" si="383"/>
        <v>1.9347037484885126E-2</v>
      </c>
      <c r="M916" s="2">
        <f t="shared" si="384"/>
        <v>4.1607123227437717E-2</v>
      </c>
      <c r="N916" s="63">
        <v>2300</v>
      </c>
      <c r="O916" s="63">
        <v>14785</v>
      </c>
      <c r="P916" s="63">
        <v>352</v>
      </c>
      <c r="Q916" s="63">
        <v>435</v>
      </c>
      <c r="R916" s="63">
        <v>53</v>
      </c>
      <c r="S916" s="63">
        <v>86</v>
      </c>
      <c r="T916" s="63">
        <v>4</v>
      </c>
      <c r="U916" s="63"/>
      <c r="V916" s="63">
        <v>0</v>
      </c>
      <c r="W916" s="63">
        <v>165</v>
      </c>
      <c r="X916" s="63"/>
      <c r="Y916" s="63"/>
      <c r="Z916" s="63"/>
      <c r="AA916" s="63"/>
      <c r="AB916" s="63"/>
      <c r="AC916" s="63">
        <v>5</v>
      </c>
      <c r="AD916" s="63"/>
      <c r="AE916" s="63"/>
      <c r="AF916" s="63"/>
      <c r="AG916" s="63"/>
      <c r="AH916" s="63"/>
      <c r="AI916" s="63"/>
      <c r="AJ916" s="63"/>
      <c r="AK916" s="63"/>
      <c r="AL916" s="63">
        <v>9</v>
      </c>
      <c r="AM916" s="63"/>
      <c r="AN916" s="63"/>
      <c r="AO916" s="63"/>
      <c r="AP916" s="63"/>
      <c r="AQ916" s="63"/>
      <c r="AR916" s="63"/>
      <c r="AS916" s="63"/>
      <c r="AT916" s="63"/>
      <c r="AU916" s="63"/>
      <c r="AW916" s="5">
        <f>IF(Q916&gt;0,RANK(Q916,(N916:P916,Q916:AE916)),0)</f>
        <v>3</v>
      </c>
      <c r="AX916" s="5">
        <f>IF(R916&gt;0,RANK(R916,(N916:P916,Q916:AE916)),0)</f>
        <v>7</v>
      </c>
      <c r="AY916" s="5">
        <f>IF(T916&gt;0,RANK(T916,(N916:P916,Q916:AE916)),0)</f>
        <v>9</v>
      </c>
      <c r="AZ916" s="5">
        <f>IF(S916&gt;0,RANK(S916,(N916:P916,Q916:AE916)),0)</f>
        <v>6</v>
      </c>
      <c r="BA916" s="2">
        <f t="shared" si="385"/>
        <v>2.3908980982741562E-2</v>
      </c>
      <c r="BB916" s="2">
        <f t="shared" si="386"/>
        <v>2.9130482576673628E-3</v>
      </c>
      <c r="BC916" s="2">
        <f t="shared" si="387"/>
        <v>2.1985269869187644E-4</v>
      </c>
      <c r="BD916" s="2">
        <f t="shared" si="388"/>
        <v>4.7268330218753433E-3</v>
      </c>
      <c r="BF916" t="s">
        <v>994</v>
      </c>
      <c r="BG916" t="s">
        <v>1622</v>
      </c>
      <c r="BH916">
        <v>4</v>
      </c>
      <c r="BJ916" s="114">
        <v>19</v>
      </c>
      <c r="BK916" s="116">
        <v>167</v>
      </c>
      <c r="BL916" s="120">
        <f t="shared" si="377"/>
        <v>19167</v>
      </c>
      <c r="BN916" s="5" t="s">
        <v>3154</v>
      </c>
      <c r="BO916" s="63">
        <v>120</v>
      </c>
      <c r="BP916" s="63">
        <v>18</v>
      </c>
      <c r="BR916" s="63"/>
    </row>
    <row r="917" spans="1:70" hidden="1" outlineLevel="1">
      <c r="A917" t="s">
        <v>113</v>
      </c>
      <c r="B917" t="s">
        <v>1622</v>
      </c>
      <c r="C917" s="1">
        <f t="shared" si="378"/>
        <v>50667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>IF(P917&gt;0,RANK(P917,(N917:P917,Q917:AE917)),0)</f>
        <v>4</v>
      </c>
      <c r="G917" s="132">
        <f t="shared" si="379"/>
        <v>6251</v>
      </c>
      <c r="H917" s="137">
        <f t="shared" si="380"/>
        <v>0.12337418832770837</v>
      </c>
      <c r="I917" s="2"/>
      <c r="J917" s="2">
        <f t="shared" si="381"/>
        <v>0.50741113545305627</v>
      </c>
      <c r="K917" s="2">
        <f t="shared" si="382"/>
        <v>0.38403694712534786</v>
      </c>
      <c r="L917" s="2">
        <f t="shared" si="383"/>
        <v>2.0940651706238773E-2</v>
      </c>
      <c r="M917" s="2">
        <f t="shared" si="384"/>
        <v>8.7611265715357101E-2</v>
      </c>
      <c r="N917" s="63">
        <v>25709</v>
      </c>
      <c r="O917" s="63">
        <v>19458</v>
      </c>
      <c r="P917" s="63">
        <v>1061</v>
      </c>
      <c r="Q917" s="63">
        <v>3014</v>
      </c>
      <c r="R917" s="63">
        <v>491</v>
      </c>
      <c r="S917" s="63">
        <v>126</v>
      </c>
      <c r="T917" s="63">
        <v>15</v>
      </c>
      <c r="U917" s="63"/>
      <c r="V917" s="63">
        <v>15</v>
      </c>
      <c r="W917" s="63">
        <v>691</v>
      </c>
      <c r="X917" s="63"/>
      <c r="Y917" s="63"/>
      <c r="Z917" s="63"/>
      <c r="AA917" s="63"/>
      <c r="AB917" s="63"/>
      <c r="AC917" s="63">
        <v>24</v>
      </c>
      <c r="AD917" s="63"/>
      <c r="AE917" s="63"/>
      <c r="AF917" s="63"/>
      <c r="AG917" s="63"/>
      <c r="AH917" s="63"/>
      <c r="AI917" s="63"/>
      <c r="AJ917" s="63"/>
      <c r="AK917" s="63"/>
      <c r="AL917" s="63">
        <v>63</v>
      </c>
      <c r="AM917" s="63"/>
      <c r="AN917" s="63"/>
      <c r="AO917" s="63"/>
      <c r="AP917" s="63"/>
      <c r="AQ917" s="63"/>
      <c r="AR917" s="63"/>
      <c r="AS917" s="63"/>
      <c r="AT917" s="63"/>
      <c r="AU917" s="63"/>
      <c r="AW917" s="5">
        <f>IF(Q917&gt;0,RANK(Q917,(N917:P917,Q917:AE917)),0)</f>
        <v>3</v>
      </c>
      <c r="AX917" s="5">
        <f>IF(R917&gt;0,RANK(R917,(N917:P917,Q917:AE917)),0)</f>
        <v>6</v>
      </c>
      <c r="AY917" s="5">
        <f>IF(T917&gt;0,RANK(T917,(N917:P917,Q917:AE917)),0)</f>
        <v>9</v>
      </c>
      <c r="AZ917" s="5">
        <f>IF(S917&gt;0,RANK(S917,(N917:P917,Q917:AE917)),0)</f>
        <v>7</v>
      </c>
      <c r="BA917" s="2">
        <f t="shared" si="385"/>
        <v>5.9486450747034562E-2</v>
      </c>
      <c r="BB917" s="2">
        <f t="shared" si="386"/>
        <v>9.6907257189097432E-3</v>
      </c>
      <c r="BC917" s="2">
        <f t="shared" si="387"/>
        <v>2.9605068387707976E-4</v>
      </c>
      <c r="BD917" s="2">
        <f t="shared" si="388"/>
        <v>2.48682574456747E-3</v>
      </c>
      <c r="BF917" t="s">
        <v>113</v>
      </c>
      <c r="BG917" t="s">
        <v>1622</v>
      </c>
      <c r="BH917">
        <v>4</v>
      </c>
      <c r="BJ917" s="114">
        <v>19</v>
      </c>
      <c r="BK917" s="116">
        <v>169</v>
      </c>
      <c r="BL917" s="120">
        <f t="shared" si="377"/>
        <v>19169</v>
      </c>
      <c r="BN917" s="5" t="s">
        <v>3154</v>
      </c>
      <c r="BO917" s="63">
        <v>290</v>
      </c>
      <c r="BP917" s="63">
        <v>17</v>
      </c>
      <c r="BR917" s="63"/>
    </row>
    <row r="918" spans="1:70" hidden="1" outlineLevel="1">
      <c r="A918" t="s">
        <v>1317</v>
      </c>
      <c r="B918" t="s">
        <v>1622</v>
      </c>
      <c r="C918" s="1">
        <f t="shared" si="378"/>
        <v>8752</v>
      </c>
      <c r="D918" s="5">
        <f>IF(N918&gt;0, RANK(N918,(N918:P918,Q918:AE918)),0)</f>
        <v>2</v>
      </c>
      <c r="E918" s="5">
        <f>IF(O918&gt;0,RANK(O918,(N918:P918,Q918:AE918)),0)</f>
        <v>1</v>
      </c>
      <c r="F918" s="5">
        <f>IF(P918&gt;0,RANK(P918,(N918:P918,Q918:AE918)),0)</f>
        <v>7</v>
      </c>
      <c r="G918" s="132">
        <f t="shared" si="379"/>
        <v>1775</v>
      </c>
      <c r="H918" s="137">
        <f t="shared" si="380"/>
        <v>0.2028107861060329</v>
      </c>
      <c r="I918" s="2"/>
      <c r="J918" s="2">
        <f t="shared" si="381"/>
        <v>0.36517367458866545</v>
      </c>
      <c r="K918" s="2">
        <f t="shared" si="382"/>
        <v>0.56798446069469832</v>
      </c>
      <c r="L918" s="2">
        <f t="shared" si="383"/>
        <v>5.0274223034734921E-3</v>
      </c>
      <c r="M918" s="2">
        <f t="shared" si="384"/>
        <v>6.181444241316273E-2</v>
      </c>
      <c r="N918" s="63">
        <v>3196</v>
      </c>
      <c r="O918" s="63">
        <v>4971</v>
      </c>
      <c r="P918" s="63">
        <v>44</v>
      </c>
      <c r="Q918" s="63">
        <v>245</v>
      </c>
      <c r="R918" s="63">
        <v>79</v>
      </c>
      <c r="S918" s="63">
        <v>46</v>
      </c>
      <c r="T918" s="63">
        <v>1</v>
      </c>
      <c r="U918" s="63"/>
      <c r="V918" s="63">
        <v>3</v>
      </c>
      <c r="W918" s="63">
        <v>110</v>
      </c>
      <c r="X918" s="63"/>
      <c r="Y918" s="63"/>
      <c r="Z918" s="63"/>
      <c r="AA918" s="63"/>
      <c r="AB918" s="63"/>
      <c r="AC918" s="63">
        <v>37</v>
      </c>
      <c r="AD918" s="63"/>
      <c r="AE918" s="63"/>
      <c r="AF918" s="63"/>
      <c r="AG918" s="63"/>
      <c r="AH918" s="63"/>
      <c r="AI918" s="63"/>
      <c r="AJ918" s="63"/>
      <c r="AK918" s="63"/>
      <c r="AL918" s="63">
        <v>20</v>
      </c>
      <c r="AM918" s="63"/>
      <c r="AN918" s="63"/>
      <c r="AO918" s="63"/>
      <c r="AP918" s="63"/>
      <c r="AQ918" s="63"/>
      <c r="AR918" s="63"/>
      <c r="AS918" s="63"/>
      <c r="AT918" s="63"/>
      <c r="AU918" s="63"/>
      <c r="AW918" s="5">
        <f>IF(Q918&gt;0,RANK(Q918,(N918:P918,Q918:AE918)),0)</f>
        <v>3</v>
      </c>
      <c r="AX918" s="5">
        <f>IF(R918&gt;0,RANK(R918,(N918:P918,Q918:AE918)),0)</f>
        <v>5</v>
      </c>
      <c r="AY918" s="5">
        <f>IF(T918&gt;0,RANK(T918,(N918:P918,Q918:AE918)),0)</f>
        <v>10</v>
      </c>
      <c r="AZ918" s="5">
        <f>IF(S918&gt;0,RANK(S918,(N918:P918,Q918:AE918)),0)</f>
        <v>6</v>
      </c>
      <c r="BA918" s="2">
        <f t="shared" si="385"/>
        <v>2.7993601462522853E-2</v>
      </c>
      <c r="BB918" s="2">
        <f t="shared" si="386"/>
        <v>9.0265082266910417E-3</v>
      </c>
      <c r="BC918" s="2">
        <f t="shared" si="387"/>
        <v>1.1425959780621572E-4</v>
      </c>
      <c r="BD918" s="2">
        <f t="shared" si="388"/>
        <v>5.2559414990859228E-3</v>
      </c>
      <c r="BF918" t="s">
        <v>1317</v>
      </c>
      <c r="BG918" t="s">
        <v>1622</v>
      </c>
      <c r="BH918">
        <v>1</v>
      </c>
      <c r="BJ918" s="114">
        <v>19</v>
      </c>
      <c r="BK918" s="116">
        <v>171</v>
      </c>
      <c r="BL918" s="120">
        <f t="shared" si="377"/>
        <v>19171</v>
      </c>
      <c r="BN918" s="5" t="s">
        <v>3154</v>
      </c>
      <c r="BO918" s="63">
        <v>105</v>
      </c>
      <c r="BP918" s="63">
        <v>9</v>
      </c>
      <c r="BR918" s="63"/>
    </row>
    <row r="919" spans="1:70" hidden="1" outlineLevel="1">
      <c r="A919" t="s">
        <v>1140</v>
      </c>
      <c r="B919" t="s">
        <v>1622</v>
      </c>
      <c r="C919" s="1">
        <f t="shared" si="378"/>
        <v>3029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6</v>
      </c>
      <c r="G919" s="132">
        <f t="shared" si="379"/>
        <v>1353</v>
      </c>
      <c r="H919" s="137">
        <f t="shared" si="380"/>
        <v>0.44668207329151532</v>
      </c>
      <c r="I919" s="2"/>
      <c r="J919" s="2">
        <f t="shared" si="381"/>
        <v>0.25024760647078242</v>
      </c>
      <c r="K919" s="2">
        <f t="shared" si="382"/>
        <v>0.6969296797622978</v>
      </c>
      <c r="L919" s="2">
        <f t="shared" si="383"/>
        <v>3.9617035325189833E-3</v>
      </c>
      <c r="M919" s="2">
        <f t="shared" si="384"/>
        <v>4.8861010234400842E-2</v>
      </c>
      <c r="N919" s="63">
        <v>758</v>
      </c>
      <c r="O919" s="63">
        <v>2111</v>
      </c>
      <c r="P919" s="63">
        <v>12</v>
      </c>
      <c r="Q919" s="63">
        <v>97</v>
      </c>
      <c r="R919" s="63">
        <v>10</v>
      </c>
      <c r="S919" s="63">
        <v>14</v>
      </c>
      <c r="T919" s="63">
        <v>2</v>
      </c>
      <c r="U919" s="63"/>
      <c r="V919" s="63">
        <v>0</v>
      </c>
      <c r="W919" s="63">
        <v>20</v>
      </c>
      <c r="X919" s="63"/>
      <c r="Y919" s="63"/>
      <c r="Z919" s="63"/>
      <c r="AA919" s="63"/>
      <c r="AB919" s="63"/>
      <c r="AC919" s="63">
        <v>2</v>
      </c>
      <c r="AD919" s="63"/>
      <c r="AE919" s="63"/>
      <c r="AF919" s="63"/>
      <c r="AG919" s="63"/>
      <c r="AH919" s="63"/>
      <c r="AI919" s="63"/>
      <c r="AJ919" s="63"/>
      <c r="AK919" s="63"/>
      <c r="AL919" s="63">
        <v>3</v>
      </c>
      <c r="AM919" s="63"/>
      <c r="AN919" s="63"/>
      <c r="AO919" s="63"/>
      <c r="AP919" s="63"/>
      <c r="AQ919" s="63"/>
      <c r="AR919" s="63"/>
      <c r="AS919" s="63"/>
      <c r="AT919" s="63"/>
      <c r="AU919" s="63"/>
      <c r="AW919" s="5">
        <f>IF(Q919&gt;0,RANK(Q919,(N919:P919,Q919:AE919)),0)</f>
        <v>3</v>
      </c>
      <c r="AX919" s="5">
        <f>IF(R919&gt;0,RANK(R919,(N919:P919,Q919:AE919)),0)</f>
        <v>7</v>
      </c>
      <c r="AY919" s="5">
        <f>IF(T919&gt;0,RANK(T919,(N919:P919,Q919:AE919)),0)</f>
        <v>8</v>
      </c>
      <c r="AZ919" s="5">
        <f>IF(S919&gt;0,RANK(S919,(N919:P919,Q919:AE919)),0)</f>
        <v>5</v>
      </c>
      <c r="BA919" s="2">
        <f t="shared" si="385"/>
        <v>3.2023770221195111E-2</v>
      </c>
      <c r="BB919" s="2">
        <f t="shared" si="386"/>
        <v>3.3014196104324861E-3</v>
      </c>
      <c r="BC919" s="2">
        <f t="shared" si="387"/>
        <v>6.6028392208649722E-4</v>
      </c>
      <c r="BD919" s="2">
        <f t="shared" si="388"/>
        <v>4.6219874546054801E-3</v>
      </c>
      <c r="BF919" t="s">
        <v>1140</v>
      </c>
      <c r="BG919" t="s">
        <v>1622</v>
      </c>
      <c r="BH919">
        <v>3</v>
      </c>
      <c r="BJ919" s="114">
        <v>19</v>
      </c>
      <c r="BK919" s="116">
        <v>173</v>
      </c>
      <c r="BL919" s="120">
        <f t="shared" si="377"/>
        <v>19173</v>
      </c>
      <c r="BN919" s="5" t="s">
        <v>3154</v>
      </c>
      <c r="BO919" s="63">
        <v>32</v>
      </c>
      <c r="BP919" s="63">
        <v>4</v>
      </c>
      <c r="BR919" s="63"/>
    </row>
    <row r="920" spans="1:70" hidden="1" outlineLevel="1">
      <c r="A920" t="s">
        <v>1513</v>
      </c>
      <c r="B920" t="s">
        <v>1622</v>
      </c>
      <c r="C920" s="1">
        <f t="shared" si="378"/>
        <v>5832</v>
      </c>
      <c r="D920" s="5">
        <f>IF(N920&gt;0, RANK(N920,(N920:P920,Q920:AE920)),0)</f>
        <v>2</v>
      </c>
      <c r="E920" s="5">
        <f>IF(O920&gt;0,RANK(O920,(N920:P920,Q920:AE920)),0)</f>
        <v>1</v>
      </c>
      <c r="F920" s="5">
        <f>IF(P920&gt;0,RANK(P920,(N920:P920,Q920:AE920)),0)</f>
        <v>7</v>
      </c>
      <c r="G920" s="132">
        <f t="shared" si="379"/>
        <v>1603</v>
      </c>
      <c r="H920" s="137">
        <f t="shared" si="380"/>
        <v>0.27486282578875171</v>
      </c>
      <c r="I920" s="2"/>
      <c r="J920" s="2">
        <f t="shared" si="381"/>
        <v>0.32956104252400548</v>
      </c>
      <c r="K920" s="2">
        <f t="shared" si="382"/>
        <v>0.60442386831275718</v>
      </c>
      <c r="L920" s="2">
        <f t="shared" si="383"/>
        <v>3.0864197530864196E-3</v>
      </c>
      <c r="M920" s="2">
        <f t="shared" si="384"/>
        <v>6.2928669410150975E-2</v>
      </c>
      <c r="N920" s="63">
        <v>1922</v>
      </c>
      <c r="O920" s="63">
        <v>3525</v>
      </c>
      <c r="P920" s="63">
        <v>18</v>
      </c>
      <c r="Q920" s="63">
        <v>213</v>
      </c>
      <c r="R920" s="63">
        <v>52</v>
      </c>
      <c r="S920" s="63">
        <v>26</v>
      </c>
      <c r="T920" s="63">
        <v>1</v>
      </c>
      <c r="U920" s="63"/>
      <c r="V920" s="63">
        <v>0</v>
      </c>
      <c r="W920" s="63">
        <v>57</v>
      </c>
      <c r="X920" s="63"/>
      <c r="Y920" s="63"/>
      <c r="Z920" s="63"/>
      <c r="AA920" s="63"/>
      <c r="AB920" s="63"/>
      <c r="AC920" s="63">
        <v>9</v>
      </c>
      <c r="AD920" s="63"/>
      <c r="AE920" s="63"/>
      <c r="AF920" s="63"/>
      <c r="AG920" s="63"/>
      <c r="AH920" s="63"/>
      <c r="AI920" s="63"/>
      <c r="AJ920" s="63"/>
      <c r="AK920" s="63"/>
      <c r="AL920" s="63">
        <v>9</v>
      </c>
      <c r="AM920" s="63"/>
      <c r="AN920" s="63"/>
      <c r="AO920" s="63"/>
      <c r="AP920" s="63"/>
      <c r="AQ920" s="63"/>
      <c r="AR920" s="63"/>
      <c r="AS920" s="63"/>
      <c r="AT920" s="63"/>
      <c r="AU920" s="63"/>
      <c r="AW920" s="5">
        <f>IF(Q920&gt;0,RANK(Q920,(N920:P920,Q920:AE920)),0)</f>
        <v>3</v>
      </c>
      <c r="AX920" s="5">
        <f>IF(R920&gt;0,RANK(R920,(N920:P920,Q920:AE920)),0)</f>
        <v>5</v>
      </c>
      <c r="AY920" s="5">
        <f>IF(T920&gt;0,RANK(T920,(N920:P920,Q920:AE920)),0)</f>
        <v>9</v>
      </c>
      <c r="AZ920" s="5">
        <f>IF(S920&gt;0,RANK(S920,(N920:P920,Q920:AE920)),0)</f>
        <v>6</v>
      </c>
      <c r="BA920" s="2">
        <f t="shared" si="385"/>
        <v>3.6522633744855967E-2</v>
      </c>
      <c r="BB920" s="2">
        <f t="shared" si="386"/>
        <v>8.9163237311385458E-3</v>
      </c>
      <c r="BC920" s="2">
        <f t="shared" si="387"/>
        <v>1.7146776406035664E-4</v>
      </c>
      <c r="BD920" s="2">
        <f t="shared" si="388"/>
        <v>4.4581618655692729E-3</v>
      </c>
      <c r="BF920" t="s">
        <v>1513</v>
      </c>
      <c r="BG920" t="s">
        <v>1622</v>
      </c>
      <c r="BH920">
        <v>3</v>
      </c>
      <c r="BJ920" s="114">
        <v>19</v>
      </c>
      <c r="BK920" s="116">
        <v>175</v>
      </c>
      <c r="BL920" s="120">
        <f t="shared" si="377"/>
        <v>19175</v>
      </c>
      <c r="BN920" s="5" t="s">
        <v>3154</v>
      </c>
      <c r="BO920" s="63">
        <v>37</v>
      </c>
      <c r="BP920" s="63">
        <v>16</v>
      </c>
      <c r="BR920" s="63"/>
    </row>
    <row r="921" spans="1:70" hidden="1" outlineLevel="1">
      <c r="A921" t="s">
        <v>1598</v>
      </c>
      <c r="B921" t="s">
        <v>1622</v>
      </c>
      <c r="C921" s="1">
        <f t="shared" si="378"/>
        <v>3561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6</v>
      </c>
      <c r="G921" s="132">
        <f t="shared" si="379"/>
        <v>1682</v>
      </c>
      <c r="H921" s="137">
        <f t="shared" si="380"/>
        <v>0.47233923055321536</v>
      </c>
      <c r="I921" s="2"/>
      <c r="J921" s="2">
        <f t="shared" si="381"/>
        <v>0.2372928952541421</v>
      </c>
      <c r="K921" s="2">
        <f t="shared" si="382"/>
        <v>0.70963212580735746</v>
      </c>
      <c r="L921" s="2">
        <f t="shared" si="383"/>
        <v>5.8972198820556026E-3</v>
      </c>
      <c r="M921" s="2">
        <f t="shared" si="384"/>
        <v>4.7177759056444835E-2</v>
      </c>
      <c r="N921" s="63">
        <v>845</v>
      </c>
      <c r="O921" s="63">
        <v>2527</v>
      </c>
      <c r="P921" s="63">
        <v>21</v>
      </c>
      <c r="Q921" s="63">
        <v>83</v>
      </c>
      <c r="R921" s="63">
        <v>19</v>
      </c>
      <c r="S921" s="63">
        <v>22</v>
      </c>
      <c r="T921" s="63">
        <v>1</v>
      </c>
      <c r="U921" s="63"/>
      <c r="V921" s="63">
        <v>0</v>
      </c>
      <c r="W921" s="63">
        <v>32</v>
      </c>
      <c r="X921" s="63"/>
      <c r="Y921" s="63"/>
      <c r="Z921" s="63"/>
      <c r="AA921" s="63"/>
      <c r="AB921" s="63"/>
      <c r="AC921" s="63">
        <v>3</v>
      </c>
      <c r="AD921" s="63"/>
      <c r="AE921" s="63"/>
      <c r="AF921" s="63"/>
      <c r="AG921" s="63"/>
      <c r="AH921" s="63"/>
      <c r="AI921" s="63"/>
      <c r="AJ921" s="63"/>
      <c r="AK921" s="63"/>
      <c r="AL921" s="63">
        <v>8</v>
      </c>
      <c r="AM921" s="63"/>
      <c r="AN921" s="63"/>
      <c r="AO921" s="63"/>
      <c r="AP921" s="63"/>
      <c r="AQ921" s="63"/>
      <c r="AR921" s="63"/>
      <c r="AS921" s="63"/>
      <c r="AT921" s="63"/>
      <c r="AU921" s="63"/>
      <c r="AW921" s="5">
        <f>IF(Q921&gt;0,RANK(Q921,(N921:P921,Q921:AE921)),0)</f>
        <v>3</v>
      </c>
      <c r="AX921" s="5">
        <f>IF(R921&gt;0,RANK(R921,(N921:P921,Q921:AE921)),0)</f>
        <v>7</v>
      </c>
      <c r="AY921" s="5">
        <f>IF(T921&gt;0,RANK(T921,(N921:P921,Q921:AE921)),0)</f>
        <v>9</v>
      </c>
      <c r="AZ921" s="5">
        <f>IF(S921&gt;0,RANK(S921,(N921:P921,Q921:AE921)),0)</f>
        <v>5</v>
      </c>
      <c r="BA921" s="2">
        <f t="shared" si="385"/>
        <v>2.3308059533838809E-2</v>
      </c>
      <c r="BB921" s="2">
        <f t="shared" si="386"/>
        <v>5.3355798932884025E-3</v>
      </c>
      <c r="BC921" s="2">
        <f t="shared" si="387"/>
        <v>2.8081999438360012E-4</v>
      </c>
      <c r="BD921" s="2">
        <f t="shared" si="388"/>
        <v>6.1780398764392022E-3</v>
      </c>
      <c r="BF921" t="s">
        <v>1598</v>
      </c>
      <c r="BG921" t="s">
        <v>1622</v>
      </c>
      <c r="BH921">
        <v>2</v>
      </c>
      <c r="BJ921" s="114">
        <v>19</v>
      </c>
      <c r="BK921" s="116">
        <v>177</v>
      </c>
      <c r="BL921" s="120">
        <f t="shared" si="377"/>
        <v>19177</v>
      </c>
      <c r="BN921" s="5" t="s">
        <v>3154</v>
      </c>
      <c r="BO921" s="63">
        <v>28</v>
      </c>
      <c r="BP921" s="63">
        <v>6</v>
      </c>
      <c r="BR921" s="63"/>
    </row>
    <row r="922" spans="1:70" hidden="1" outlineLevel="1">
      <c r="A922" t="s">
        <v>1327</v>
      </c>
      <c r="B922" t="s">
        <v>1622</v>
      </c>
      <c r="C922" s="1">
        <f t="shared" si="378"/>
        <v>15149</v>
      </c>
      <c r="D922" s="5">
        <f>IF(N922&gt;0, RANK(N922,(N922:P922,Q922:AE922)),0)</f>
        <v>2</v>
      </c>
      <c r="E922" s="5">
        <f>IF(O922&gt;0,RANK(O922,(N922:P922,Q922:AE922)),0)</f>
        <v>1</v>
      </c>
      <c r="F922" s="5">
        <f>IF(P922&gt;0,RANK(P922,(N922:P922,Q922:AE922)),0)</f>
        <v>6</v>
      </c>
      <c r="G922" s="132">
        <f t="shared" si="379"/>
        <v>3121</v>
      </c>
      <c r="H922" s="137">
        <f t="shared" si="380"/>
        <v>0.20602019935309263</v>
      </c>
      <c r="I922" s="2"/>
      <c r="J922" s="2">
        <f t="shared" si="381"/>
        <v>0.36926529803947455</v>
      </c>
      <c r="K922" s="2">
        <f t="shared" si="382"/>
        <v>0.57528549739256718</v>
      </c>
      <c r="L922" s="2">
        <f t="shared" si="383"/>
        <v>4.290712258234867E-3</v>
      </c>
      <c r="M922" s="2">
        <f t="shared" si="384"/>
        <v>5.1158492309723344E-2</v>
      </c>
      <c r="N922" s="63">
        <v>5594</v>
      </c>
      <c r="O922" s="63">
        <v>8715</v>
      </c>
      <c r="P922" s="63">
        <v>65</v>
      </c>
      <c r="Q922" s="63">
        <v>380</v>
      </c>
      <c r="R922" s="63">
        <v>122</v>
      </c>
      <c r="S922" s="63">
        <v>49</v>
      </c>
      <c r="T922" s="63">
        <v>4</v>
      </c>
      <c r="U922" s="63"/>
      <c r="V922" s="63">
        <v>1</v>
      </c>
      <c r="W922" s="63">
        <v>144</v>
      </c>
      <c r="X922" s="63"/>
      <c r="Y922" s="63"/>
      <c r="Z922" s="63"/>
      <c r="AA922" s="63"/>
      <c r="AB922" s="63"/>
      <c r="AC922" s="63">
        <v>45</v>
      </c>
      <c r="AD922" s="63"/>
      <c r="AE922" s="63"/>
      <c r="AF922" s="63"/>
      <c r="AG922" s="63"/>
      <c r="AH922" s="63"/>
      <c r="AI922" s="63"/>
      <c r="AJ922" s="63"/>
      <c r="AK922" s="63"/>
      <c r="AL922" s="63">
        <v>30</v>
      </c>
      <c r="AM922" s="63"/>
      <c r="AN922" s="63"/>
      <c r="AO922" s="63"/>
      <c r="AP922" s="63"/>
      <c r="AQ922" s="63"/>
      <c r="AR922" s="63"/>
      <c r="AS922" s="63"/>
      <c r="AT922" s="63"/>
      <c r="AU922" s="63"/>
      <c r="AW922" s="5">
        <f>IF(Q922&gt;0,RANK(Q922,(N922:P922,Q922:AE922)),0)</f>
        <v>3</v>
      </c>
      <c r="AX922" s="5">
        <f>IF(R922&gt;0,RANK(R922,(N922:P922,Q922:AE922)),0)</f>
        <v>5</v>
      </c>
      <c r="AY922" s="5">
        <f>IF(T922&gt;0,RANK(T922,(N922:P922,Q922:AE922)),0)</f>
        <v>9</v>
      </c>
      <c r="AZ922" s="5">
        <f>IF(S922&gt;0,RANK(S922,(N922:P922,Q922:AE922)),0)</f>
        <v>7</v>
      </c>
      <c r="BA922" s="2">
        <f t="shared" si="385"/>
        <v>2.5084163971219223E-2</v>
      </c>
      <c r="BB922" s="2">
        <f t="shared" si="386"/>
        <v>8.0533368539177502E-3</v>
      </c>
      <c r="BC922" s="2">
        <f t="shared" si="387"/>
        <v>2.6404383127599183E-4</v>
      </c>
      <c r="BD922" s="2">
        <f t="shared" si="388"/>
        <v>3.2345369331308999E-3</v>
      </c>
      <c r="BF922" t="s">
        <v>1327</v>
      </c>
      <c r="BG922" t="s">
        <v>1622</v>
      </c>
      <c r="BH922">
        <v>2</v>
      </c>
      <c r="BJ922" s="114">
        <v>19</v>
      </c>
      <c r="BK922" s="116">
        <v>179</v>
      </c>
      <c r="BL922" s="120">
        <f t="shared" si="377"/>
        <v>19179</v>
      </c>
      <c r="BN922" s="5" t="s">
        <v>3154</v>
      </c>
      <c r="BO922" s="63">
        <v>100</v>
      </c>
      <c r="BP922" s="63">
        <v>28</v>
      </c>
      <c r="BR922" s="63"/>
    </row>
    <row r="923" spans="1:70" hidden="1" outlineLevel="1">
      <c r="A923" t="s">
        <v>422</v>
      </c>
      <c r="B923" t="s">
        <v>1622</v>
      </c>
      <c r="C923" s="1">
        <f t="shared" si="378"/>
        <v>27300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5</v>
      </c>
      <c r="G923" s="132">
        <f t="shared" si="379"/>
        <v>4403</v>
      </c>
      <c r="H923" s="137">
        <f t="shared" si="380"/>
        <v>0.16128205128205128</v>
      </c>
      <c r="I923" s="2"/>
      <c r="J923" s="2">
        <f t="shared" si="381"/>
        <v>0.38135531135531137</v>
      </c>
      <c r="K923" s="2">
        <f t="shared" si="382"/>
        <v>0.54263736263736262</v>
      </c>
      <c r="L923" s="2">
        <f t="shared" si="383"/>
        <v>7.1062271062271067E-3</v>
      </c>
      <c r="M923" s="2">
        <f t="shared" si="384"/>
        <v>6.8901098901098856E-2</v>
      </c>
      <c r="N923" s="63">
        <v>10411</v>
      </c>
      <c r="O923" s="63">
        <v>14814</v>
      </c>
      <c r="P923" s="63">
        <v>194</v>
      </c>
      <c r="Q923" s="63">
        <v>1275</v>
      </c>
      <c r="R923" s="63">
        <v>123</v>
      </c>
      <c r="S923" s="63">
        <v>124</v>
      </c>
      <c r="T923" s="63">
        <v>12</v>
      </c>
      <c r="U923" s="63"/>
      <c r="V923" s="63">
        <v>7</v>
      </c>
      <c r="W923" s="63">
        <v>295</v>
      </c>
      <c r="X923" s="63"/>
      <c r="Y923" s="63"/>
      <c r="Z923" s="63"/>
      <c r="AA923" s="63"/>
      <c r="AB923" s="63"/>
      <c r="AC923" s="63">
        <v>17</v>
      </c>
      <c r="AD923" s="63"/>
      <c r="AE923" s="63"/>
      <c r="AF923" s="63"/>
      <c r="AG923" s="63"/>
      <c r="AH923" s="63"/>
      <c r="AI923" s="63"/>
      <c r="AJ923" s="63"/>
      <c r="AK923" s="63"/>
      <c r="AL923" s="63">
        <v>28</v>
      </c>
      <c r="AM923" s="63"/>
      <c r="AN923" s="63"/>
      <c r="AO923" s="63"/>
      <c r="AP923" s="63"/>
      <c r="AQ923" s="63"/>
      <c r="AR923" s="63"/>
      <c r="AS923" s="63"/>
      <c r="AT923" s="63"/>
      <c r="AU923" s="63"/>
      <c r="AW923" s="5">
        <f>IF(Q923&gt;0,RANK(Q923,(N923:P923,Q923:AE923)),0)</f>
        <v>3</v>
      </c>
      <c r="AX923" s="5">
        <f>IF(R923&gt;0,RANK(R923,(N923:P923,Q923:AE923)),0)</f>
        <v>7</v>
      </c>
      <c r="AY923" s="5">
        <f>IF(T923&gt;0,RANK(T923,(N923:P923,Q923:AE923)),0)</f>
        <v>9</v>
      </c>
      <c r="AZ923" s="5">
        <f>IF(S923&gt;0,RANK(S923,(N923:P923,Q923:AE923)),0)</f>
        <v>6</v>
      </c>
      <c r="BA923" s="2">
        <f t="shared" si="385"/>
        <v>4.6703296703296704E-2</v>
      </c>
      <c r="BB923" s="2">
        <f t="shared" si="386"/>
        <v>4.5054945054945053E-3</v>
      </c>
      <c r="BC923" s="2">
        <f t="shared" si="387"/>
        <v>4.3956043956043956E-4</v>
      </c>
      <c r="BD923" s="2">
        <f t="shared" si="388"/>
        <v>4.5421245421245421E-3</v>
      </c>
      <c r="BF923" t="s">
        <v>422</v>
      </c>
      <c r="BG923" t="s">
        <v>1622</v>
      </c>
      <c r="BH923">
        <v>3</v>
      </c>
      <c r="BJ923" s="114">
        <v>19</v>
      </c>
      <c r="BK923" s="116">
        <v>181</v>
      </c>
      <c r="BL923" s="120">
        <f t="shared" si="377"/>
        <v>19181</v>
      </c>
      <c r="BN923" s="5" t="s">
        <v>3154</v>
      </c>
      <c r="BO923" s="63">
        <v>192</v>
      </c>
      <c r="BP923" s="63">
        <v>15</v>
      </c>
      <c r="BR923" s="63"/>
    </row>
    <row r="924" spans="1:70" hidden="1" outlineLevel="1">
      <c r="A924" t="s">
        <v>692</v>
      </c>
      <c r="B924" t="s">
        <v>1622</v>
      </c>
      <c r="C924" s="1">
        <f t="shared" si="378"/>
        <v>10929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5</v>
      </c>
      <c r="G924" s="132">
        <f t="shared" si="379"/>
        <v>2230</v>
      </c>
      <c r="H924" s="137">
        <f t="shared" si="380"/>
        <v>0.20404428584499953</v>
      </c>
      <c r="I924" s="2"/>
      <c r="J924" s="2">
        <f t="shared" si="381"/>
        <v>0.36078323725866962</v>
      </c>
      <c r="K924" s="2">
        <f t="shared" si="382"/>
        <v>0.56482752310366913</v>
      </c>
      <c r="L924" s="2">
        <f t="shared" si="383"/>
        <v>8.417970537103121E-3</v>
      </c>
      <c r="M924" s="2">
        <f t="shared" si="384"/>
        <v>6.5971269100558075E-2</v>
      </c>
      <c r="N924" s="63">
        <v>3943</v>
      </c>
      <c r="O924" s="63">
        <v>6173</v>
      </c>
      <c r="P924" s="63">
        <v>92</v>
      </c>
      <c r="Q924" s="63">
        <v>459</v>
      </c>
      <c r="R924" s="63">
        <v>79</v>
      </c>
      <c r="S924" s="63">
        <v>63</v>
      </c>
      <c r="T924" s="63">
        <v>2</v>
      </c>
      <c r="U924" s="63"/>
      <c r="V924" s="63">
        <v>2</v>
      </c>
      <c r="W924" s="63">
        <v>96</v>
      </c>
      <c r="X924" s="63"/>
      <c r="Y924" s="63"/>
      <c r="Z924" s="63"/>
      <c r="AA924" s="63"/>
      <c r="AB924" s="63"/>
      <c r="AC924" s="63">
        <v>10</v>
      </c>
      <c r="AD924" s="63"/>
      <c r="AE924" s="63"/>
      <c r="AF924" s="63"/>
      <c r="AG924" s="63"/>
      <c r="AH924" s="63"/>
      <c r="AI924" s="63"/>
      <c r="AJ924" s="63"/>
      <c r="AK924" s="63"/>
      <c r="AL924" s="63">
        <v>10</v>
      </c>
      <c r="AM924" s="63"/>
      <c r="AN924" s="63"/>
      <c r="AO924" s="63"/>
      <c r="AP924" s="63"/>
      <c r="AQ924" s="63"/>
      <c r="AR924" s="63"/>
      <c r="AS924" s="63"/>
      <c r="AT924" s="63"/>
      <c r="AU924" s="63"/>
      <c r="AW924" s="5">
        <f>IF(Q924&gt;0,RANK(Q924,(N924:P924,Q924:AE924)),0)</f>
        <v>3</v>
      </c>
      <c r="AX924" s="5">
        <f>IF(R924&gt;0,RANK(R924,(N924:P924,Q924:AE924)),0)</f>
        <v>6</v>
      </c>
      <c r="AY924" s="5">
        <f>IF(T924&gt;0,RANK(T924,(N924:P924,Q924:AE924)),0)</f>
        <v>9</v>
      </c>
      <c r="AZ924" s="5">
        <f>IF(S924&gt;0,RANK(S924,(N924:P924,Q924:AE924)),0)</f>
        <v>7</v>
      </c>
      <c r="BA924" s="2">
        <f t="shared" si="385"/>
        <v>4.1998353005764481E-2</v>
      </c>
      <c r="BB924" s="2">
        <f t="shared" si="386"/>
        <v>7.2284747003385488E-3</v>
      </c>
      <c r="BC924" s="2">
        <f t="shared" si="387"/>
        <v>1.8299935950224174E-4</v>
      </c>
      <c r="BD924" s="2">
        <f t="shared" si="388"/>
        <v>5.7644798243206147E-3</v>
      </c>
      <c r="BF924" t="s">
        <v>692</v>
      </c>
      <c r="BG924" t="s">
        <v>1622</v>
      </c>
      <c r="BH924">
        <v>2</v>
      </c>
      <c r="BJ924" s="114">
        <v>19</v>
      </c>
      <c r="BK924" s="116">
        <v>183</v>
      </c>
      <c r="BL924" s="120">
        <f t="shared" si="377"/>
        <v>19183</v>
      </c>
      <c r="BN924" s="5" t="s">
        <v>3154</v>
      </c>
      <c r="BO924" s="63">
        <v>137</v>
      </c>
      <c r="BP924" s="63">
        <v>26</v>
      </c>
      <c r="BR924" s="63"/>
    </row>
    <row r="925" spans="1:70" hidden="1" outlineLevel="1">
      <c r="A925" t="s">
        <v>423</v>
      </c>
      <c r="B925" t="s">
        <v>1622</v>
      </c>
      <c r="C925" s="1">
        <f t="shared" si="378"/>
        <v>2940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4</v>
      </c>
      <c r="G925" s="132">
        <f t="shared" si="379"/>
        <v>1350</v>
      </c>
      <c r="H925" s="137">
        <f t="shared" si="380"/>
        <v>0.45918367346938777</v>
      </c>
      <c r="I925" s="2"/>
      <c r="J925" s="2">
        <f t="shared" si="381"/>
        <v>0.2445578231292517</v>
      </c>
      <c r="K925" s="2">
        <f t="shared" si="382"/>
        <v>0.70374149659863949</v>
      </c>
      <c r="L925" s="2">
        <f t="shared" si="383"/>
        <v>6.8027210884353739E-3</v>
      </c>
      <c r="M925" s="2">
        <f t="shared" si="384"/>
        <v>4.489795918367346E-2</v>
      </c>
      <c r="N925" s="63">
        <v>719</v>
      </c>
      <c r="O925" s="63">
        <v>2069</v>
      </c>
      <c r="P925" s="63">
        <v>20</v>
      </c>
      <c r="Q925" s="63">
        <v>78</v>
      </c>
      <c r="R925" s="63">
        <v>17</v>
      </c>
      <c r="S925" s="63">
        <v>10</v>
      </c>
      <c r="T925" s="63">
        <v>1</v>
      </c>
      <c r="U925" s="63"/>
      <c r="V925" s="63">
        <v>0</v>
      </c>
      <c r="W925" s="63">
        <v>19</v>
      </c>
      <c r="X925" s="63"/>
      <c r="Y925" s="63"/>
      <c r="Z925" s="63"/>
      <c r="AA925" s="63"/>
      <c r="AB925" s="63"/>
      <c r="AC925" s="63">
        <v>3</v>
      </c>
      <c r="AD925" s="63"/>
      <c r="AE925" s="63"/>
      <c r="AF925" s="63"/>
      <c r="AG925" s="63"/>
      <c r="AH925" s="63"/>
      <c r="AI925" s="63"/>
      <c r="AJ925" s="63"/>
      <c r="AK925" s="63"/>
      <c r="AL925" s="63">
        <v>4</v>
      </c>
      <c r="AM925" s="63"/>
      <c r="AN925" s="63"/>
      <c r="AO925" s="63"/>
      <c r="AP925" s="63"/>
      <c r="AQ925" s="63"/>
      <c r="AR925" s="63"/>
      <c r="AS925" s="63"/>
      <c r="AT925" s="63"/>
      <c r="AU925" s="63"/>
      <c r="AW925" s="5">
        <f>IF(Q925&gt;0,RANK(Q925,(N925:P925,Q925:AE925)),0)</f>
        <v>3</v>
      </c>
      <c r="AX925" s="5">
        <f>IF(R925&gt;0,RANK(R925,(N925:P925,Q925:AE925)),0)</f>
        <v>6</v>
      </c>
      <c r="AY925" s="5">
        <f>IF(T925&gt;0,RANK(T925,(N925:P925,Q925:AE925)),0)</f>
        <v>9</v>
      </c>
      <c r="AZ925" s="5">
        <f>IF(S925&gt;0,RANK(S925,(N925:P925,Q925:AE925)),0)</f>
        <v>7</v>
      </c>
      <c r="BA925" s="2">
        <f t="shared" si="385"/>
        <v>2.6530612244897958E-2</v>
      </c>
      <c r="BB925" s="2">
        <f t="shared" si="386"/>
        <v>5.7823129251700677E-3</v>
      </c>
      <c r="BC925" s="2">
        <f t="shared" si="387"/>
        <v>3.4013605442176868E-4</v>
      </c>
      <c r="BD925" s="2">
        <f t="shared" si="388"/>
        <v>3.4013605442176869E-3</v>
      </c>
      <c r="BF925" t="s">
        <v>423</v>
      </c>
      <c r="BG925" t="s">
        <v>1622</v>
      </c>
      <c r="BH925">
        <v>2</v>
      </c>
      <c r="BJ925" s="114">
        <v>19</v>
      </c>
      <c r="BK925" s="116">
        <v>185</v>
      </c>
      <c r="BL925" s="120">
        <f t="shared" si="377"/>
        <v>19185</v>
      </c>
      <c r="BN925" s="5" t="s">
        <v>3154</v>
      </c>
      <c r="BO925" s="63">
        <v>42</v>
      </c>
      <c r="BP925" s="63">
        <v>7</v>
      </c>
      <c r="BR925" s="63"/>
    </row>
    <row r="926" spans="1:70" hidden="1" outlineLevel="1">
      <c r="A926" t="s">
        <v>697</v>
      </c>
      <c r="B926" t="s">
        <v>1622</v>
      </c>
      <c r="C926" s="1">
        <f t="shared" si="378"/>
        <v>17430</v>
      </c>
      <c r="D926" s="5">
        <f>IF(N926&gt;0, RANK(N926,(N926:P926,Q926:AE926)),0)</f>
        <v>2</v>
      </c>
      <c r="E926" s="5">
        <f>IF(O926&gt;0,RANK(O926,(N926:P926,Q926:AE926)),0)</f>
        <v>1</v>
      </c>
      <c r="F926" s="5">
        <f>IF(P926&gt;0,RANK(P926,(N926:P926,Q926:AE926)),0)</f>
        <v>6</v>
      </c>
      <c r="G926" s="132">
        <f t="shared" si="379"/>
        <v>3751</v>
      </c>
      <c r="H926" s="137">
        <f t="shared" si="380"/>
        <v>0.21520367183017786</v>
      </c>
      <c r="I926" s="2"/>
      <c r="J926" s="2">
        <f t="shared" si="381"/>
        <v>0.36173264486517498</v>
      </c>
      <c r="K926" s="2">
        <f t="shared" si="382"/>
        <v>0.57693631669535284</v>
      </c>
      <c r="L926" s="2">
        <f t="shared" si="383"/>
        <v>5.966724039013196E-3</v>
      </c>
      <c r="M926" s="2">
        <f t="shared" si="384"/>
        <v>5.536431440045899E-2</v>
      </c>
      <c r="N926" s="63">
        <v>6305</v>
      </c>
      <c r="O926" s="63">
        <v>10056</v>
      </c>
      <c r="P926" s="63">
        <v>104</v>
      </c>
      <c r="Q926" s="63">
        <v>569</v>
      </c>
      <c r="R926" s="63">
        <v>113</v>
      </c>
      <c r="S926" s="63">
        <v>65</v>
      </c>
      <c r="T926" s="63">
        <v>5</v>
      </c>
      <c r="U926" s="63"/>
      <c r="V926" s="63">
        <v>3</v>
      </c>
      <c r="W926" s="63">
        <v>170</v>
      </c>
      <c r="X926" s="63"/>
      <c r="Y926" s="63"/>
      <c r="Z926" s="63"/>
      <c r="AA926" s="63"/>
      <c r="AB926" s="63"/>
      <c r="AC926" s="63">
        <v>24</v>
      </c>
      <c r="AD926" s="63"/>
      <c r="AE926" s="63"/>
      <c r="AF926" s="63"/>
      <c r="AG926" s="63"/>
      <c r="AH926" s="63"/>
      <c r="AI926" s="63"/>
      <c r="AJ926" s="63"/>
      <c r="AK926" s="63"/>
      <c r="AL926" s="63">
        <v>16</v>
      </c>
      <c r="AM926" s="63"/>
      <c r="AN926" s="63"/>
      <c r="AO926" s="63"/>
      <c r="AP926" s="63"/>
      <c r="AQ926" s="63"/>
      <c r="AR926" s="63"/>
      <c r="AS926" s="63"/>
      <c r="AT926" s="63"/>
      <c r="AU926" s="63"/>
      <c r="AW926" s="5">
        <f>IF(Q926&gt;0,RANK(Q926,(N926:P926,Q926:AE926)),0)</f>
        <v>3</v>
      </c>
      <c r="AX926" s="5">
        <f>IF(R926&gt;0,RANK(R926,(N926:P926,Q926:AE926)),0)</f>
        <v>5</v>
      </c>
      <c r="AY926" s="5">
        <f>IF(T926&gt;0,RANK(T926,(N926:P926,Q926:AE926)),0)</f>
        <v>9</v>
      </c>
      <c r="AZ926" s="5">
        <f>IF(S926&gt;0,RANK(S926,(N926:P926,Q926:AE926)),0)</f>
        <v>7</v>
      </c>
      <c r="BA926" s="2">
        <f t="shared" si="385"/>
        <v>3.264486517498566E-2</v>
      </c>
      <c r="BB926" s="2">
        <f t="shared" si="386"/>
        <v>6.4830751577739532E-3</v>
      </c>
      <c r="BC926" s="2">
        <f t="shared" si="387"/>
        <v>2.8686173264486515E-4</v>
      </c>
      <c r="BD926" s="2">
        <f t="shared" si="388"/>
        <v>3.7292025243832474E-3</v>
      </c>
      <c r="BF926" t="s">
        <v>697</v>
      </c>
      <c r="BG926" t="s">
        <v>1622</v>
      </c>
      <c r="BH926">
        <v>4</v>
      </c>
      <c r="BJ926" s="114">
        <v>19</v>
      </c>
      <c r="BK926" s="116">
        <v>187</v>
      </c>
      <c r="BL926" s="120">
        <f t="shared" si="377"/>
        <v>19187</v>
      </c>
      <c r="BN926" s="5" t="s">
        <v>3154</v>
      </c>
      <c r="BO926" s="63">
        <v>116</v>
      </c>
      <c r="BP926" s="63">
        <v>47</v>
      </c>
      <c r="BR926" s="63"/>
    </row>
    <row r="927" spans="1:70" hidden="1" outlineLevel="1">
      <c r="A927" t="s">
        <v>1617</v>
      </c>
      <c r="B927" t="s">
        <v>1622</v>
      </c>
      <c r="C927" s="1">
        <f t="shared" si="378"/>
        <v>5787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4</v>
      </c>
      <c r="G927" s="132">
        <f t="shared" si="379"/>
        <v>1516</v>
      </c>
      <c r="H927" s="137">
        <f t="shared" si="380"/>
        <v>0.26196647658545014</v>
      </c>
      <c r="I927" s="2"/>
      <c r="J927" s="2">
        <f t="shared" si="381"/>
        <v>0.33367893554518752</v>
      </c>
      <c r="K927" s="2">
        <f t="shared" si="382"/>
        <v>0.5956454121306376</v>
      </c>
      <c r="L927" s="2">
        <f t="shared" si="383"/>
        <v>8.4672541904268189E-3</v>
      </c>
      <c r="M927" s="2">
        <f t="shared" si="384"/>
        <v>6.2208398133748122E-2</v>
      </c>
      <c r="N927" s="63">
        <v>1931</v>
      </c>
      <c r="O927" s="63">
        <v>3447</v>
      </c>
      <c r="P927" s="63">
        <v>49</v>
      </c>
      <c r="Q927" s="63">
        <v>218</v>
      </c>
      <c r="R927" s="63">
        <v>34</v>
      </c>
      <c r="S927" s="63">
        <v>36</v>
      </c>
      <c r="T927" s="63">
        <v>7</v>
      </c>
      <c r="U927" s="63"/>
      <c r="V927" s="63">
        <v>1</v>
      </c>
      <c r="W927" s="63">
        <v>48</v>
      </c>
      <c r="X927" s="63"/>
      <c r="Y927" s="63"/>
      <c r="Z927" s="63"/>
      <c r="AA927" s="63"/>
      <c r="AB927" s="63"/>
      <c r="AC927" s="63">
        <v>6</v>
      </c>
      <c r="AD927" s="63"/>
      <c r="AE927" s="63"/>
      <c r="AF927" s="63"/>
      <c r="AG927" s="63"/>
      <c r="AH927" s="63"/>
      <c r="AI927" s="63"/>
      <c r="AJ927" s="63"/>
      <c r="AK927" s="63"/>
      <c r="AL927" s="63">
        <v>10</v>
      </c>
      <c r="AM927" s="63"/>
      <c r="AN927" s="63"/>
      <c r="AO927" s="63"/>
      <c r="AP927" s="63"/>
      <c r="AQ927" s="63"/>
      <c r="AR927" s="63"/>
      <c r="AS927" s="63"/>
      <c r="AT927" s="63"/>
      <c r="AU927" s="63"/>
      <c r="AW927" s="5">
        <f>IF(Q927&gt;0,RANK(Q927,(N927:P927,Q927:AE927)),0)</f>
        <v>3</v>
      </c>
      <c r="AX927" s="5">
        <f>IF(R927&gt;0,RANK(R927,(N927:P927,Q927:AE927)),0)</f>
        <v>7</v>
      </c>
      <c r="AY927" s="5">
        <f>IF(T927&gt;0,RANK(T927,(N927:P927,Q927:AE927)),0)</f>
        <v>8</v>
      </c>
      <c r="AZ927" s="5">
        <f>IF(S927&gt;0,RANK(S927,(N927:P927,Q927:AE927)),0)</f>
        <v>6</v>
      </c>
      <c r="BA927" s="2">
        <f t="shared" si="385"/>
        <v>3.767064109210299E-2</v>
      </c>
      <c r="BB927" s="2">
        <f t="shared" si="386"/>
        <v>5.8752376015206494E-3</v>
      </c>
      <c r="BC927" s="2">
        <f t="shared" si="387"/>
        <v>1.2096077414895455E-3</v>
      </c>
      <c r="BD927" s="2">
        <f t="shared" si="388"/>
        <v>6.2208398133748056E-3</v>
      </c>
      <c r="BF927" t="s">
        <v>1617</v>
      </c>
      <c r="BG927" t="s">
        <v>1622</v>
      </c>
      <c r="BH927">
        <v>4</v>
      </c>
      <c r="BJ927" s="114">
        <v>19</v>
      </c>
      <c r="BK927" s="116">
        <v>189</v>
      </c>
      <c r="BL927" s="120">
        <f t="shared" si="377"/>
        <v>19189</v>
      </c>
      <c r="BN927" s="5" t="s">
        <v>3154</v>
      </c>
      <c r="BO927" s="63">
        <v>57</v>
      </c>
      <c r="BP927" s="63">
        <v>20</v>
      </c>
      <c r="BR927" s="63"/>
    </row>
    <row r="928" spans="1:70" hidden="1" outlineLevel="1">
      <c r="A928" t="s">
        <v>785</v>
      </c>
      <c r="B928" t="s">
        <v>1622</v>
      </c>
      <c r="C928" s="1">
        <f t="shared" si="378"/>
        <v>11362</v>
      </c>
      <c r="D928" s="5">
        <f>IF(N928&gt;0, RANK(N928,(N928:P928,Q928:AE928)),0)</f>
        <v>2</v>
      </c>
      <c r="E928" s="5">
        <f>IF(O928&gt;0,RANK(O928,(N928:P928,Q928:AE928)),0)</f>
        <v>1</v>
      </c>
      <c r="F928" s="5">
        <f>IF(P928&gt;0,RANK(P928,(N928:P928,Q928:AE928)),0)</f>
        <v>5</v>
      </c>
      <c r="G928" s="132">
        <f t="shared" si="379"/>
        <v>90</v>
      </c>
      <c r="H928" s="137">
        <f t="shared" si="380"/>
        <v>7.9211406442527728E-3</v>
      </c>
      <c r="I928" s="2"/>
      <c r="J928" s="2">
        <f t="shared" si="381"/>
        <v>0.46241858827671184</v>
      </c>
      <c r="K928" s="2">
        <f t="shared" si="382"/>
        <v>0.47033972892096459</v>
      </c>
      <c r="L928" s="2">
        <f t="shared" si="383"/>
        <v>8.9772927301531424E-3</v>
      </c>
      <c r="M928" s="2">
        <f t="shared" si="384"/>
        <v>5.8264390072170477E-2</v>
      </c>
      <c r="N928" s="63">
        <v>5254</v>
      </c>
      <c r="O928" s="63">
        <v>5344</v>
      </c>
      <c r="P928" s="63">
        <v>102</v>
      </c>
      <c r="Q928" s="63">
        <v>382</v>
      </c>
      <c r="R928" s="63">
        <v>99</v>
      </c>
      <c r="S928" s="63">
        <v>35</v>
      </c>
      <c r="T928" s="63">
        <v>0</v>
      </c>
      <c r="U928" s="63"/>
      <c r="V928" s="63">
        <v>0</v>
      </c>
      <c r="W928" s="63">
        <v>116</v>
      </c>
      <c r="X928" s="63"/>
      <c r="Y928" s="63"/>
      <c r="Z928" s="63"/>
      <c r="AA928" s="63"/>
      <c r="AB928" s="63"/>
      <c r="AC928" s="63">
        <v>13</v>
      </c>
      <c r="AD928" s="63"/>
      <c r="AE928" s="63"/>
      <c r="AF928" s="63"/>
      <c r="AG928" s="63"/>
      <c r="AH928" s="63"/>
      <c r="AI928" s="63"/>
      <c r="AJ928" s="63"/>
      <c r="AK928" s="63"/>
      <c r="AL928" s="63">
        <v>17</v>
      </c>
      <c r="AM928" s="63"/>
      <c r="AN928" s="63"/>
      <c r="AO928" s="63"/>
      <c r="AP928" s="63"/>
      <c r="AQ928" s="63"/>
      <c r="AR928" s="63"/>
      <c r="AS928" s="63"/>
      <c r="AT928" s="63"/>
      <c r="AU928" s="63"/>
      <c r="AW928" s="5">
        <f>IF(Q928&gt;0,RANK(Q928,(N928:P928,Q928:AE928)),0)</f>
        <v>3</v>
      </c>
      <c r="AX928" s="5">
        <f>IF(R928&gt;0,RANK(R928,(N928:P928,Q928:AE928)),0)</f>
        <v>6</v>
      </c>
      <c r="AY928" s="5">
        <f>IF(T928&gt;0,RANK(T928,(N928:P928,Q928:AE928)),0)</f>
        <v>0</v>
      </c>
      <c r="AZ928" s="5">
        <f>IF(S928&gt;0,RANK(S928,(N928:P928,Q928:AE928)),0)</f>
        <v>7</v>
      </c>
      <c r="BA928" s="2">
        <f t="shared" si="385"/>
        <v>3.3620841401161769E-2</v>
      </c>
      <c r="BB928" s="2">
        <f t="shared" si="386"/>
        <v>8.7132547086780504E-3</v>
      </c>
      <c r="BC928" s="2">
        <f t="shared" si="387"/>
        <v>0</v>
      </c>
      <c r="BD928" s="2">
        <f t="shared" si="388"/>
        <v>3.0804435838760781E-3</v>
      </c>
      <c r="BF928" t="s">
        <v>785</v>
      </c>
      <c r="BG928" t="s">
        <v>1622</v>
      </c>
      <c r="BH928">
        <v>1</v>
      </c>
      <c r="BJ928" s="114">
        <v>19</v>
      </c>
      <c r="BK928" s="116">
        <v>191</v>
      </c>
      <c r="BL928" s="120">
        <f t="shared" si="377"/>
        <v>19191</v>
      </c>
      <c r="BN928" s="5" t="s">
        <v>3154</v>
      </c>
      <c r="BO928" s="63">
        <v>126</v>
      </c>
      <c r="BP928" s="63">
        <v>23</v>
      </c>
      <c r="BR928" s="63"/>
    </row>
    <row r="929" spans="1:87" hidden="1" outlineLevel="1">
      <c r="A929" t="s">
        <v>784</v>
      </c>
      <c r="B929" t="s">
        <v>1622</v>
      </c>
      <c r="C929" s="1">
        <f t="shared" si="378"/>
        <v>43718</v>
      </c>
      <c r="D929" s="5">
        <f>IF(N929&gt;0, RANK(N929,(N929:P929,Q929:AE929)),0)</f>
        <v>2</v>
      </c>
      <c r="E929" s="5">
        <f>IF(O929&gt;0,RANK(O929,(N929:P929,Q929:AE929)),0)</f>
        <v>1</v>
      </c>
      <c r="F929" s="5">
        <f>IF(P929&gt;0,RANK(P929,(N929:P929,Q929:AE929)),0)</f>
        <v>6</v>
      </c>
      <c r="G929" s="132">
        <f t="shared" si="379"/>
        <v>8517</v>
      </c>
      <c r="H929" s="137">
        <f>IF(C929&gt;0,G929/C929,0)</f>
        <v>0.19481678027357152</v>
      </c>
      <c r="I929" s="2"/>
      <c r="J929" s="2">
        <f t="shared" si="381"/>
        <v>0.37078548881467588</v>
      </c>
      <c r="K929" s="2">
        <f t="shared" si="382"/>
        <v>0.5656022690882474</v>
      </c>
      <c r="L929" s="2">
        <f t="shared" si="383"/>
        <v>5.3524863900452904E-3</v>
      </c>
      <c r="M929" s="2">
        <f>IF(C929=0,"-",(1-J929-K929-L929))</f>
        <v>5.825975570703143E-2</v>
      </c>
      <c r="N929" s="63">
        <v>16210</v>
      </c>
      <c r="O929" s="63">
        <v>24727</v>
      </c>
      <c r="P929" s="63">
        <v>234</v>
      </c>
      <c r="Q929" s="63">
        <v>1179</v>
      </c>
      <c r="R929" s="63">
        <v>324</v>
      </c>
      <c r="S929" s="63">
        <v>207</v>
      </c>
      <c r="T929" s="63">
        <v>12</v>
      </c>
      <c r="U929" s="63"/>
      <c r="V929" s="63">
        <v>12</v>
      </c>
      <c r="W929" s="63">
        <v>569</v>
      </c>
      <c r="X929" s="63"/>
      <c r="Y929" s="63"/>
      <c r="Z929" s="63"/>
      <c r="AA929" s="63"/>
      <c r="AB929" s="63"/>
      <c r="AC929" s="63">
        <v>151</v>
      </c>
      <c r="AD929" s="63"/>
      <c r="AE929" s="63"/>
      <c r="AF929" s="63"/>
      <c r="AG929" s="63"/>
      <c r="AH929" s="63"/>
      <c r="AI929" s="63"/>
      <c r="AJ929" s="63"/>
      <c r="AK929" s="63"/>
      <c r="AL929" s="63">
        <v>93</v>
      </c>
      <c r="AM929" s="63"/>
      <c r="AN929" s="63"/>
      <c r="AO929" s="63"/>
      <c r="AP929" s="63"/>
      <c r="AQ929" s="63"/>
      <c r="AR929" s="63"/>
      <c r="AS929" s="63"/>
      <c r="AT929" s="63"/>
      <c r="AU929" s="63"/>
      <c r="AW929" s="5">
        <f>IF(Q929&gt;0,RANK(Q929,(N929:P929,Q929:AE929)),0)</f>
        <v>3</v>
      </c>
      <c r="AX929" s="5">
        <f>IF(R929&gt;0,RANK(R929,(N929:P929,Q929:AE929)),0)</f>
        <v>5</v>
      </c>
      <c r="AY929" s="5">
        <f>IF(T929&gt;0,RANK(T929,(N929:P929,Q929:AE929)),0)</f>
        <v>9</v>
      </c>
      <c r="AZ929" s="5">
        <f>IF(S929&gt;0,RANK(S929,(N929:P929,Q929:AE929)),0)</f>
        <v>7</v>
      </c>
      <c r="BA929" s="2">
        <f t="shared" si="385"/>
        <v>2.6968296811382041E-2</v>
      </c>
      <c r="BB929" s="2">
        <f t="shared" si="386"/>
        <v>7.4111350016011716E-3</v>
      </c>
      <c r="BC929" s="2">
        <f t="shared" si="387"/>
        <v>2.7448648154078414E-4</v>
      </c>
      <c r="BD929" s="2">
        <f t="shared" si="388"/>
        <v>4.7348918065785259E-3</v>
      </c>
      <c r="BF929" t="s">
        <v>784</v>
      </c>
      <c r="BG929" t="s">
        <v>1622</v>
      </c>
      <c r="BH929">
        <v>4</v>
      </c>
      <c r="BJ929" s="114">
        <v>19</v>
      </c>
      <c r="BK929" s="116">
        <v>193</v>
      </c>
      <c r="BL929" s="120">
        <f t="shared" si="377"/>
        <v>19193</v>
      </c>
      <c r="BN929" s="5" t="s">
        <v>3154</v>
      </c>
      <c r="BO929" s="63">
        <v>318</v>
      </c>
      <c r="BP929" s="63">
        <v>131</v>
      </c>
      <c r="BR929" s="63"/>
    </row>
    <row r="930" spans="1:87" hidden="1" outlineLevel="1">
      <c r="A930" t="s">
        <v>1837</v>
      </c>
      <c r="B930" t="s">
        <v>1622</v>
      </c>
      <c r="C930" s="1">
        <f t="shared" si="378"/>
        <v>4257</v>
      </c>
      <c r="D930" s="5">
        <f>IF(N930&gt;0, RANK(N930,(N930:P930,Q930:AE930)),0)</f>
        <v>2</v>
      </c>
      <c r="E930" s="5">
        <f>IF(O930&gt;0,RANK(O930,(N930:P930,Q930:AE930)),0)</f>
        <v>1</v>
      </c>
      <c r="F930" s="5">
        <f>IF(P930&gt;0,RANK(P930,(N930:P930,Q930:AE930)),0)</f>
        <v>4</v>
      </c>
      <c r="G930" s="132">
        <f t="shared" si="379"/>
        <v>923</v>
      </c>
      <c r="H930" s="137">
        <f>IF(C930&gt;0,G930/C930,0)</f>
        <v>0.21681935635424007</v>
      </c>
      <c r="I930" s="2"/>
      <c r="J930" s="2">
        <f t="shared" si="381"/>
        <v>0.3594080338266385</v>
      </c>
      <c r="K930" s="2">
        <f t="shared" si="382"/>
        <v>0.57622739018087854</v>
      </c>
      <c r="L930" s="2">
        <f t="shared" si="383"/>
        <v>7.9868451961475212E-3</v>
      </c>
      <c r="M930" s="2">
        <f>IF(C930=0,"-",(1-J930-K930-L930))</f>
        <v>5.6377730796335387E-2</v>
      </c>
      <c r="N930" s="63">
        <v>1530</v>
      </c>
      <c r="O930" s="63">
        <v>2453</v>
      </c>
      <c r="P930" s="63">
        <v>34</v>
      </c>
      <c r="Q930" s="63">
        <v>165</v>
      </c>
      <c r="R930" s="63">
        <v>24</v>
      </c>
      <c r="S930" s="63">
        <v>15</v>
      </c>
      <c r="T930" s="63">
        <v>1</v>
      </c>
      <c r="U930" s="63"/>
      <c r="V930" s="63">
        <v>0</v>
      </c>
      <c r="W930" s="63">
        <v>24</v>
      </c>
      <c r="X930" s="63"/>
      <c r="Y930" s="63"/>
      <c r="Z930" s="63"/>
      <c r="AA930" s="63"/>
      <c r="AB930" s="63"/>
      <c r="AC930" s="63">
        <v>4</v>
      </c>
      <c r="AD930" s="63"/>
      <c r="AE930" s="63"/>
      <c r="AF930" s="63"/>
      <c r="AG930" s="63"/>
      <c r="AH930" s="63"/>
      <c r="AI930" s="63"/>
      <c r="AJ930" s="63"/>
      <c r="AK930" s="63"/>
      <c r="AL930" s="63">
        <v>7</v>
      </c>
      <c r="AM930" s="63"/>
      <c r="AN930" s="63"/>
      <c r="AO930" s="63"/>
      <c r="AP930" s="63"/>
      <c r="AQ930" s="63"/>
      <c r="AR930" s="63"/>
      <c r="AS930" s="63"/>
      <c r="AT930" s="63"/>
      <c r="AU930" s="63"/>
      <c r="AW930" s="5">
        <f>IF(Q930&gt;0,RANK(Q930,(N930:P930,Q930:AE930)),0)</f>
        <v>3</v>
      </c>
      <c r="AX930" s="5">
        <f>IF(R930&gt;0,RANK(R930,(N930:P930,Q930:AE930)),0)</f>
        <v>5</v>
      </c>
      <c r="AY930" s="5">
        <f>IF(T930&gt;0,RANK(T930,(N930:P930,Q930:AE930)),0)</f>
        <v>9</v>
      </c>
      <c r="AZ930" s="5">
        <f>IF(S930&gt;0,RANK(S930,(N930:P930,Q930:AE930)),0)</f>
        <v>7</v>
      </c>
      <c r="BA930" s="2">
        <f t="shared" si="385"/>
        <v>3.875968992248062E-2</v>
      </c>
      <c r="BB930" s="2">
        <f t="shared" si="386"/>
        <v>5.637773079633545E-3</v>
      </c>
      <c r="BC930" s="2">
        <f t="shared" si="387"/>
        <v>2.3490721165139771E-4</v>
      </c>
      <c r="BD930" s="2">
        <f t="shared" si="388"/>
        <v>3.5236081747709656E-3</v>
      </c>
      <c r="BF930" t="s">
        <v>1837</v>
      </c>
      <c r="BG930" t="s">
        <v>1622</v>
      </c>
      <c r="BH930">
        <v>1</v>
      </c>
      <c r="BJ930" s="114">
        <v>19</v>
      </c>
      <c r="BK930" s="116">
        <v>195</v>
      </c>
      <c r="BL930" s="120">
        <f t="shared" si="377"/>
        <v>19195</v>
      </c>
      <c r="BN930" s="5" t="s">
        <v>3154</v>
      </c>
      <c r="BO930" s="63">
        <v>43</v>
      </c>
      <c r="BP930" s="63">
        <v>5</v>
      </c>
      <c r="BR930" s="63"/>
    </row>
    <row r="931" spans="1:87" hidden="1" outlineLevel="1">
      <c r="A931" t="s">
        <v>341</v>
      </c>
      <c r="B931" t="s">
        <v>1622</v>
      </c>
      <c r="C931" s="1">
        <f t="shared" si="378"/>
        <v>6026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6</v>
      </c>
      <c r="G931" s="132">
        <f t="shared" si="379"/>
        <v>1904</v>
      </c>
      <c r="H931" s="137">
        <f>IF(C931&gt;0,G931/C931,0)</f>
        <v>0.31596415532691668</v>
      </c>
      <c r="I931" s="2"/>
      <c r="J931" s="2">
        <f t="shared" si="381"/>
        <v>0.3146365748423498</v>
      </c>
      <c r="K931" s="2">
        <f t="shared" si="382"/>
        <v>0.63060073016926654</v>
      </c>
      <c r="L931" s="2">
        <f t="shared" si="383"/>
        <v>4.1486890142714899E-3</v>
      </c>
      <c r="M931" s="2">
        <f>IF(C931=0,"-",(1-J931-K931-L931))</f>
        <v>5.0614005974112107E-2</v>
      </c>
      <c r="N931" s="63">
        <v>1896</v>
      </c>
      <c r="O931" s="63">
        <v>3800</v>
      </c>
      <c r="P931" s="63">
        <v>25</v>
      </c>
      <c r="Q931" s="63">
        <v>176</v>
      </c>
      <c r="R931" s="63">
        <v>35</v>
      </c>
      <c r="S931" s="63">
        <v>19</v>
      </c>
      <c r="T931" s="63">
        <v>1</v>
      </c>
      <c r="U931" s="63"/>
      <c r="V931" s="63">
        <v>2</v>
      </c>
      <c r="W931" s="63">
        <v>60</v>
      </c>
      <c r="X931" s="63"/>
      <c r="Y931" s="63"/>
      <c r="Z931" s="63"/>
      <c r="AA931" s="63"/>
      <c r="AB931" s="63"/>
      <c r="AC931" s="63">
        <v>6</v>
      </c>
      <c r="AD931" s="63"/>
      <c r="AE931" s="63"/>
      <c r="AF931" s="63"/>
      <c r="AG931" s="63"/>
      <c r="AH931" s="63"/>
      <c r="AI931" s="63"/>
      <c r="AJ931" s="63"/>
      <c r="AK931" s="63"/>
      <c r="AL931" s="63">
        <v>6</v>
      </c>
      <c r="AM931" s="63"/>
      <c r="AN931" s="63"/>
      <c r="AO931" s="63"/>
      <c r="AP931" s="63"/>
      <c r="AQ931" s="63"/>
      <c r="AR931" s="63"/>
      <c r="AS931" s="63"/>
      <c r="AT931" s="63"/>
      <c r="AU931" s="63"/>
      <c r="AW931" s="5">
        <f>IF(Q931&gt;0,RANK(Q931,(N931:P931,Q931:AE931)),0)</f>
        <v>3</v>
      </c>
      <c r="AX931" s="5">
        <f>IF(R931&gt;0,RANK(R931,(N931:P931,Q931:AE931)),0)</f>
        <v>5</v>
      </c>
      <c r="AY931" s="5">
        <f>IF(T931&gt;0,RANK(T931,(N931:P931,Q931:AE931)),0)</f>
        <v>10</v>
      </c>
      <c r="AZ931" s="5">
        <f>IF(S931&gt;0,RANK(S931,(N931:P931,Q931:AE931)),0)</f>
        <v>7</v>
      </c>
      <c r="BA931" s="2">
        <f t="shared" si="385"/>
        <v>2.9206770660471292E-2</v>
      </c>
      <c r="BB931" s="2">
        <f t="shared" si="386"/>
        <v>5.8081646199800866E-3</v>
      </c>
      <c r="BC931" s="2">
        <f t="shared" si="387"/>
        <v>1.6594756057085962E-4</v>
      </c>
      <c r="BD931" s="2">
        <f t="shared" si="388"/>
        <v>3.1530036508463327E-3</v>
      </c>
      <c r="BF931" t="s">
        <v>341</v>
      </c>
      <c r="BG931" t="s">
        <v>1622</v>
      </c>
      <c r="BH931">
        <v>4</v>
      </c>
      <c r="BJ931" s="114">
        <v>19</v>
      </c>
      <c r="BK931" s="116">
        <v>197</v>
      </c>
      <c r="BL931" s="120">
        <f t="shared" si="377"/>
        <v>19197</v>
      </c>
      <c r="BN931" s="5" t="s">
        <v>3154</v>
      </c>
      <c r="BO931" s="63">
        <v>56</v>
      </c>
      <c r="BP931" s="63">
        <v>10</v>
      </c>
      <c r="BR931" s="63"/>
    </row>
    <row r="932" spans="1:87" collapsed="1">
      <c r="A932" t="s">
        <v>1621</v>
      </c>
      <c r="B932" t="s">
        <v>544</v>
      </c>
      <c r="C932" s="1">
        <f t="shared" si="378"/>
        <v>1566031</v>
      </c>
      <c r="D932" s="5">
        <f>IF(N932&gt;0, RANK(N932,(N932:P932,Q932:AE932)),0)</f>
        <v>2</v>
      </c>
      <c r="E932" s="5">
        <f>IF(O932&gt;0,RANK(O932,(N932:P932,Q932:AE932)),0)</f>
        <v>1</v>
      </c>
      <c r="F932" s="5">
        <f>IF(P932&gt;0,RANK(P932,(N932:P932,Q932:AE932)),0)</f>
        <v>5</v>
      </c>
      <c r="G932" s="132">
        <f t="shared" si="379"/>
        <v>147314</v>
      </c>
      <c r="H932" s="137">
        <f>IF(C932&gt;0,G932/C932,0)</f>
        <v>9.4068380510986052E-2</v>
      </c>
      <c r="I932" s="2"/>
      <c r="J932" s="2">
        <f t="shared" si="381"/>
        <v>0.41740489172947409</v>
      </c>
      <c r="K932" s="2">
        <f t="shared" si="382"/>
        <v>0.51147327224046013</v>
      </c>
      <c r="L932" s="2">
        <f t="shared" si="383"/>
        <v>7.8963954097971238E-3</v>
      </c>
      <c r="M932" s="2">
        <f>IF(C932=0,"-",(1-J932-K932-L932))</f>
        <v>6.3225440620268594E-2</v>
      </c>
      <c r="N932" s="63">
        <f t="shared" ref="N932:T932" si="389">SUM(N833:N931)</f>
        <v>653669</v>
      </c>
      <c r="O932" s="63">
        <f t="shared" si="389"/>
        <v>800983</v>
      </c>
      <c r="P932" s="63">
        <f t="shared" si="389"/>
        <v>12366</v>
      </c>
      <c r="Q932" s="63">
        <f t="shared" si="389"/>
        <v>59186</v>
      </c>
      <c r="R932" s="63">
        <f t="shared" si="389"/>
        <v>11479</v>
      </c>
      <c r="S932" s="63">
        <f t="shared" si="389"/>
        <v>5335</v>
      </c>
      <c r="T932" s="63">
        <f t="shared" si="389"/>
        <v>451</v>
      </c>
      <c r="U932" s="63"/>
      <c r="V932" s="63">
        <f>SUM(V833:V931)</f>
        <v>323</v>
      </c>
      <c r="W932" s="63">
        <f>SUM(W833:W931)</f>
        <v>17746</v>
      </c>
      <c r="X932" s="63"/>
      <c r="Y932" s="63"/>
      <c r="Z932" s="63"/>
      <c r="AA932" s="63"/>
      <c r="AB932" s="63"/>
      <c r="AC932" s="63">
        <f>SUM(AC833:AC931)</f>
        <v>2246</v>
      </c>
      <c r="AD932" s="63"/>
      <c r="AE932" s="63"/>
      <c r="AF932" s="63"/>
      <c r="AG932" s="63"/>
      <c r="AH932" s="63"/>
      <c r="AI932" s="63"/>
      <c r="AJ932" s="63"/>
      <c r="AK932" s="63"/>
      <c r="AL932" s="63">
        <f>SUM(AL833:AL931)</f>
        <v>2247</v>
      </c>
      <c r="AM932" s="63"/>
      <c r="AN932" s="63"/>
      <c r="AO932" s="63"/>
      <c r="AP932" s="63"/>
      <c r="AQ932" s="63"/>
      <c r="AR932" s="63"/>
      <c r="AS932" s="63"/>
      <c r="AT932" s="63"/>
      <c r="AU932" s="63"/>
      <c r="AW932" s="5">
        <f>IF(Q932&gt;0,RANK(Q932,(N932:P932,Q932:AE932)),0)</f>
        <v>3</v>
      </c>
      <c r="AX932" s="5">
        <f>IF(R932&gt;0,RANK(R932,(N932:P932,Q932:AE932)),0)</f>
        <v>6</v>
      </c>
      <c r="AY932" s="5">
        <f>IF(T932&gt;0,RANK(T932,(N932:P932,Q932:AE932)),0)</f>
        <v>9</v>
      </c>
      <c r="AZ932" s="5">
        <f>IF(S932&gt;0,RANK(S932,(N932:P932,Q932:AE932)),0)</f>
        <v>7</v>
      </c>
      <c r="BA932" s="2">
        <f t="shared" si="385"/>
        <v>3.7793632437672052E-2</v>
      </c>
      <c r="BB932" s="2">
        <f t="shared" si="386"/>
        <v>7.3299953832331542E-3</v>
      </c>
      <c r="BC932" s="2">
        <f t="shared" si="387"/>
        <v>2.8798919050772304E-4</v>
      </c>
      <c r="BD932" s="2">
        <f t="shared" si="388"/>
        <v>3.4067013999084308E-3</v>
      </c>
      <c r="BF932" t="s">
        <v>1621</v>
      </c>
      <c r="BG932" t="s">
        <v>544</v>
      </c>
      <c r="BJ932" s="114">
        <v>19</v>
      </c>
      <c r="BK932" s="116"/>
      <c r="BL932" s="114">
        <v>19</v>
      </c>
      <c r="BN932" s="5" t="s">
        <v>711</v>
      </c>
      <c r="BO932" s="63">
        <f>SUM(BO833:BO931)</f>
        <v>12914</v>
      </c>
      <c r="BP932" s="63">
        <f>SUM(BP833:BP931)</f>
        <v>2426</v>
      </c>
      <c r="BR932" s="63"/>
    </row>
    <row r="933" spans="1:87">
      <c r="C933" s="1"/>
      <c r="E933" s="5"/>
      <c r="F933" s="5"/>
      <c r="G933" s="132"/>
      <c r="H933" s="137"/>
      <c r="I933" s="2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W933" s="5"/>
      <c r="AX933" s="5"/>
      <c r="AY933" s="5"/>
      <c r="AZ933" s="5"/>
      <c r="BJ933" s="114"/>
      <c r="BK933" s="116"/>
      <c r="BL933" s="120"/>
      <c r="CD933" s="132" t="s">
        <v>4383</v>
      </c>
      <c r="CE933" s="63" t="s">
        <v>2118</v>
      </c>
      <c r="CF933" s="63" t="s">
        <v>4384</v>
      </c>
      <c r="CG933" s="8" t="s">
        <v>4385</v>
      </c>
      <c r="CH933" s="8" t="s">
        <v>2625</v>
      </c>
      <c r="CI933" s="8" t="s">
        <v>3649</v>
      </c>
    </row>
    <row r="934" spans="1:87" hidden="1" outlineLevel="1">
      <c r="A934" t="s">
        <v>1717</v>
      </c>
      <c r="B934" t="s">
        <v>457</v>
      </c>
      <c r="C934" s="1">
        <f t="shared" ref="C934:C965" si="390">SUM(N934:AU934)</f>
        <v>5454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5</v>
      </c>
      <c r="G934" s="132">
        <f t="shared" ref="G934:G965" si="391">IF(C934&gt;0,MAX(N934:P934)-LARGE(N934:P934,2),0)</f>
        <v>2218</v>
      </c>
      <c r="H934" s="137">
        <f t="shared" ref="H934:H965" si="392">IF(C934&gt;0,G934/C934,0)</f>
        <v>0.40667400073340665</v>
      </c>
      <c r="I934" s="2"/>
      <c r="J934" s="2">
        <f t="shared" ref="J934:J965" si="393">IF($C934=0,"-",N934/$C934)</f>
        <v>0.26274294096076273</v>
      </c>
      <c r="K934" s="2">
        <f t="shared" ref="K934:K965" si="394">IF($C934=0,"-",O934/$C934)</f>
        <v>0.66941694169416943</v>
      </c>
      <c r="L934" s="2">
        <f t="shared" ref="L934:L965" si="395">IF($C934=0,"-",P934/$C934)</f>
        <v>3.4836817015034835E-3</v>
      </c>
      <c r="M934" s="2">
        <f t="shared" ref="M934:M965" si="396">IF(C934=0,"-",(1-J934-K934-L934))</f>
        <v>6.4356435643564414E-2</v>
      </c>
      <c r="N934" s="63">
        <v>1433</v>
      </c>
      <c r="O934" s="63">
        <v>3651</v>
      </c>
      <c r="P934" s="63">
        <v>19</v>
      </c>
      <c r="Q934" s="63">
        <v>229</v>
      </c>
      <c r="R934" s="63">
        <v>121</v>
      </c>
      <c r="S934" s="63">
        <v>1</v>
      </c>
      <c r="T934" s="63"/>
      <c r="U934" s="63"/>
      <c r="V934" s="63"/>
      <c r="W934" s="63">
        <f>IF(Copyright!B$11=1,IF(CA934&gt;0,CA934-P934-SUM(S934:V934)-SUM(X934:AO934)-AQ934,SUM(CB934:CI934)),SUM(CC934:CI934))</f>
        <v>0</v>
      </c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W934" s="5">
        <f>IF(Q934&gt;0,RANK(Q934,(N934:P934,Q934:AE934)),0)</f>
        <v>3</v>
      </c>
      <c r="AX934" s="5">
        <f>IF(R934&gt;0,RANK(R934,(N934:P934,Q934:AE934)),0)</f>
        <v>4</v>
      </c>
      <c r="AY934" s="5">
        <f>IF(T934&gt;0,RANK(T934,(N934:P934,Q934:AE934)),0)</f>
        <v>0</v>
      </c>
      <c r="AZ934" s="5">
        <f>IF(S934&gt;0,RANK(S934,(N934:P934,Q934:AE934)),0)</f>
        <v>6</v>
      </c>
      <c r="BA934" s="2">
        <f t="shared" ref="BA934:BA965" si="397">IF($C934=0,"-",Q934/$C934)</f>
        <v>4.198753208654199E-2</v>
      </c>
      <c r="BB934" s="2">
        <f t="shared" ref="BB934:BB965" si="398">IF($C934=0,"-",R934/$C934)</f>
        <v>2.2185551888522184E-2</v>
      </c>
      <c r="BC934" s="2">
        <f t="shared" ref="BC934:BC965" si="399">IF($C934=0,"-",T934/$C934)</f>
        <v>0</v>
      </c>
      <c r="BD934" s="2">
        <f t="shared" ref="BD934:BD965" si="400">IF($C934=0,"-",S934/$C934)</f>
        <v>1.8335166850018335E-4</v>
      </c>
      <c r="BF934" t="s">
        <v>1717</v>
      </c>
      <c r="BG934" t="s">
        <v>457</v>
      </c>
      <c r="BH934">
        <v>2</v>
      </c>
      <c r="BJ934" s="114">
        <v>20</v>
      </c>
      <c r="BK934" s="116">
        <v>1</v>
      </c>
      <c r="BL934" s="120">
        <f t="shared" si="377"/>
        <v>20001</v>
      </c>
      <c r="BN934" s="5" t="s">
        <v>3154</v>
      </c>
      <c r="BY934" s="63">
        <f t="shared" ref="BY934:BY997" si="401">C934-BZ934</f>
        <v>5454</v>
      </c>
    </row>
    <row r="935" spans="1:87" hidden="1" outlineLevel="1">
      <c r="A935" t="s">
        <v>1961</v>
      </c>
      <c r="B935" t="s">
        <v>457</v>
      </c>
      <c r="C935" s="1">
        <f t="shared" si="390"/>
        <v>3350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5</v>
      </c>
      <c r="G935" s="132">
        <f t="shared" si="391"/>
        <v>1763</v>
      </c>
      <c r="H935" s="137">
        <f t="shared" si="392"/>
        <v>0.52626865671641787</v>
      </c>
      <c r="I935" s="2"/>
      <c r="J935" s="2">
        <f t="shared" si="393"/>
        <v>0.20059701492537313</v>
      </c>
      <c r="K935" s="2">
        <f t="shared" si="394"/>
        <v>0.72686567164179106</v>
      </c>
      <c r="L935" s="2">
        <f t="shared" si="395"/>
        <v>3.2835820895522386E-3</v>
      </c>
      <c r="M935" s="2">
        <f t="shared" si="396"/>
        <v>6.9253731343283637E-2</v>
      </c>
      <c r="N935" s="63">
        <v>672</v>
      </c>
      <c r="O935" s="63">
        <v>2435</v>
      </c>
      <c r="P935" s="63">
        <v>11</v>
      </c>
      <c r="Q935" s="63">
        <v>151</v>
      </c>
      <c r="R935" s="63">
        <v>81</v>
      </c>
      <c r="S935" s="63"/>
      <c r="T935" s="63"/>
      <c r="U935" s="63"/>
      <c r="V935" s="63"/>
      <c r="W935" s="63">
        <f>IF(Copyright!B$11=1,IF(CA935&gt;0,CA935-P935-SUM(S935:V935)-SUM(X935:AO935)-AQ935,SUM(CB935:CI935)),SUM(CC935:CI935))</f>
        <v>0</v>
      </c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W935" s="5">
        <f>IF(Q935&gt;0,RANK(Q935,(N935:P935,Q935:AE935)),0)</f>
        <v>3</v>
      </c>
      <c r="AX935" s="5">
        <f>IF(R935&gt;0,RANK(R935,(N935:P935,Q935:AE935)),0)</f>
        <v>4</v>
      </c>
      <c r="AY935" s="5">
        <f>IF(T935&gt;0,RANK(T935,(N935:P935,Q935:AE935)),0)</f>
        <v>0</v>
      </c>
      <c r="AZ935" s="5">
        <f>IF(S935&gt;0,RANK(S935,(N935:P935,Q935:AE935)),0)</f>
        <v>0</v>
      </c>
      <c r="BA935" s="2">
        <f t="shared" si="397"/>
        <v>4.5074626865671645E-2</v>
      </c>
      <c r="BB935" s="2">
        <f t="shared" si="398"/>
        <v>2.4179104477611939E-2</v>
      </c>
      <c r="BC935" s="2">
        <f t="shared" si="399"/>
        <v>0</v>
      </c>
      <c r="BD935" s="2">
        <f t="shared" si="400"/>
        <v>0</v>
      </c>
      <c r="BF935" t="s">
        <v>1961</v>
      </c>
      <c r="BG935" t="s">
        <v>457</v>
      </c>
      <c r="BH935">
        <v>2</v>
      </c>
      <c r="BJ935" s="114">
        <v>20</v>
      </c>
      <c r="BK935" s="116">
        <v>3</v>
      </c>
      <c r="BL935" s="120">
        <f t="shared" si="377"/>
        <v>20003</v>
      </c>
      <c r="BN935" s="5" t="s">
        <v>3154</v>
      </c>
      <c r="BY935" s="63">
        <f t="shared" si="401"/>
        <v>3350</v>
      </c>
    </row>
    <row r="936" spans="1:87" hidden="1" outlineLevel="1">
      <c r="A936" t="s">
        <v>1712</v>
      </c>
      <c r="B936" t="s">
        <v>457</v>
      </c>
      <c r="C936" s="1">
        <f t="shared" si="390"/>
        <v>6575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5</v>
      </c>
      <c r="G936" s="132">
        <f t="shared" si="391"/>
        <v>2060</v>
      </c>
      <c r="H936" s="137">
        <f t="shared" si="392"/>
        <v>0.31330798479087452</v>
      </c>
      <c r="I936" s="2"/>
      <c r="J936" s="2">
        <f t="shared" si="393"/>
        <v>0.30250950570342205</v>
      </c>
      <c r="K936" s="2">
        <f t="shared" si="394"/>
        <v>0.61581749049429657</v>
      </c>
      <c r="L936" s="2">
        <f t="shared" si="395"/>
        <v>6.2357414448669206E-3</v>
      </c>
      <c r="M936" s="2">
        <f t="shared" si="396"/>
        <v>7.543726235741445E-2</v>
      </c>
      <c r="N936" s="63">
        <v>1989</v>
      </c>
      <c r="O936" s="63">
        <v>4049</v>
      </c>
      <c r="P936" s="63">
        <v>41</v>
      </c>
      <c r="Q936" s="63">
        <v>316</v>
      </c>
      <c r="R936" s="63">
        <v>163</v>
      </c>
      <c r="S936" s="63"/>
      <c r="T936" s="63"/>
      <c r="U936" s="63"/>
      <c r="V936" s="63"/>
      <c r="W936" s="63">
        <f>IF(Copyright!B$11=1,IF(CA936&gt;0,CA936-P936-SUM(S936:V936)-SUM(X936:AO936)-AQ936,SUM(CB936:CI936)),SUM(CC936:CI936))</f>
        <v>0</v>
      </c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>
        <v>17</v>
      </c>
      <c r="AO936" s="63"/>
      <c r="AP936" s="63"/>
      <c r="AQ936" s="63"/>
      <c r="AR936" s="63"/>
      <c r="AS936" s="63"/>
      <c r="AT936" s="63"/>
      <c r="AU936" s="63"/>
      <c r="AW936" s="5">
        <f>IF(Q936&gt;0,RANK(Q936,(N936:P936,Q936:AE936)),0)</f>
        <v>3</v>
      </c>
      <c r="AX936" s="5">
        <f>IF(R936&gt;0,RANK(R936,(N936:P936,Q936:AE936)),0)</f>
        <v>4</v>
      </c>
      <c r="AY936" s="5">
        <f>IF(T936&gt;0,RANK(T936,(N936:P936,Q936:AE936)),0)</f>
        <v>0</v>
      </c>
      <c r="AZ936" s="5">
        <f>IF(S936&gt;0,RANK(S936,(N936:P936,Q936:AE936)),0)</f>
        <v>0</v>
      </c>
      <c r="BA936" s="2">
        <f t="shared" si="397"/>
        <v>4.8060836501901141E-2</v>
      </c>
      <c r="BB936" s="2">
        <f t="shared" si="398"/>
        <v>2.4790874524714828E-2</v>
      </c>
      <c r="BC936" s="2">
        <f t="shared" si="399"/>
        <v>0</v>
      </c>
      <c r="BD936" s="2">
        <f t="shared" si="400"/>
        <v>0</v>
      </c>
      <c r="BF936" t="s">
        <v>1712</v>
      </c>
      <c r="BG936" t="s">
        <v>457</v>
      </c>
      <c r="BH936">
        <v>2</v>
      </c>
      <c r="BJ936" s="114">
        <v>20</v>
      </c>
      <c r="BK936" s="116">
        <v>5</v>
      </c>
      <c r="BL936" s="120">
        <f t="shared" ref="BL936:BL999" si="402">1000*BJ936+BK936</f>
        <v>20005</v>
      </c>
      <c r="BN936" s="5" t="s">
        <v>3154</v>
      </c>
      <c r="BY936" s="63">
        <f t="shared" si="401"/>
        <v>6575</v>
      </c>
    </row>
    <row r="937" spans="1:87" hidden="1" outlineLevel="1">
      <c r="A937" t="s">
        <v>2267</v>
      </c>
      <c r="B937" t="s">
        <v>457</v>
      </c>
      <c r="C937" s="1">
        <f t="shared" si="390"/>
        <v>2252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5</v>
      </c>
      <c r="G937" s="132">
        <f t="shared" si="391"/>
        <v>1564</v>
      </c>
      <c r="H937" s="137">
        <f t="shared" si="392"/>
        <v>0.69449378330373002</v>
      </c>
      <c r="I937" s="2"/>
      <c r="J937" s="2">
        <f t="shared" si="393"/>
        <v>0.12699822380106571</v>
      </c>
      <c r="K937" s="2">
        <f t="shared" si="394"/>
        <v>0.82149200710479575</v>
      </c>
      <c r="L937" s="2">
        <f t="shared" si="395"/>
        <v>3.1083481349911189E-3</v>
      </c>
      <c r="M937" s="2">
        <f t="shared" si="396"/>
        <v>4.8401420959147394E-2</v>
      </c>
      <c r="N937" s="63">
        <v>286</v>
      </c>
      <c r="O937" s="63">
        <v>1850</v>
      </c>
      <c r="P937" s="63">
        <v>7</v>
      </c>
      <c r="Q937" s="63">
        <v>78</v>
      </c>
      <c r="R937" s="63">
        <v>28</v>
      </c>
      <c r="S937" s="63">
        <v>2</v>
      </c>
      <c r="T937" s="63"/>
      <c r="U937" s="63"/>
      <c r="V937" s="63"/>
      <c r="W937" s="63">
        <f>IF(Copyright!B$11=1,IF(CA937&gt;0,CA937-P937-SUM(S937:V937)-SUM(X937:AO937)-AQ937,SUM(CB937:CI937)),SUM(CC937:CI937))</f>
        <v>0</v>
      </c>
      <c r="X937" s="63"/>
      <c r="Y937" s="63">
        <v>1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W937" s="5">
        <f>IF(Q937&gt;0,RANK(Q937,(N937:P937,Q937:AE937)),0)</f>
        <v>3</v>
      </c>
      <c r="AX937" s="5">
        <f>IF(R937&gt;0,RANK(R937,(N937:P937,Q937:AE937)),0)</f>
        <v>4</v>
      </c>
      <c r="AY937" s="5">
        <f>IF(T937&gt;0,RANK(T937,(N937:P937,Q937:AE937)),0)</f>
        <v>0</v>
      </c>
      <c r="AZ937" s="5">
        <f>IF(S937&gt;0,RANK(S937,(N937:P937,Q937:AE937)),0)</f>
        <v>6</v>
      </c>
      <c r="BA937" s="2">
        <f t="shared" si="397"/>
        <v>3.4635879218472471E-2</v>
      </c>
      <c r="BB937" s="2">
        <f t="shared" si="398"/>
        <v>1.2433392539964476E-2</v>
      </c>
      <c r="BC937" s="2">
        <f t="shared" si="399"/>
        <v>0</v>
      </c>
      <c r="BD937" s="2">
        <f t="shared" si="400"/>
        <v>8.8809946714031975E-4</v>
      </c>
      <c r="BF937" t="s">
        <v>2267</v>
      </c>
      <c r="BG937" t="s">
        <v>457</v>
      </c>
      <c r="BH937">
        <v>4</v>
      </c>
      <c r="BJ937" s="114">
        <v>20</v>
      </c>
      <c r="BK937" s="116">
        <v>7</v>
      </c>
      <c r="BL937" s="120">
        <f t="shared" si="402"/>
        <v>20007</v>
      </c>
      <c r="BN937" s="5" t="s">
        <v>3154</v>
      </c>
      <c r="BY937" s="63">
        <f t="shared" si="401"/>
        <v>2252</v>
      </c>
    </row>
    <row r="938" spans="1:87" hidden="1" outlineLevel="1">
      <c r="A938" t="s">
        <v>545</v>
      </c>
      <c r="B938" t="s">
        <v>457</v>
      </c>
      <c r="C938" s="1">
        <f t="shared" si="390"/>
        <v>10337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6</v>
      </c>
      <c r="G938" s="132">
        <f t="shared" si="391"/>
        <v>6049</v>
      </c>
      <c r="H938" s="137">
        <f t="shared" si="392"/>
        <v>0.58517945245235559</v>
      </c>
      <c r="I938" s="2"/>
      <c r="J938" s="2">
        <f t="shared" si="393"/>
        <v>0.177904614491632</v>
      </c>
      <c r="K938" s="2">
        <f t="shared" si="394"/>
        <v>0.76308406694398767</v>
      </c>
      <c r="L938" s="2">
        <f t="shared" si="395"/>
        <v>2.998935861468511E-3</v>
      </c>
      <c r="M938" s="2">
        <f t="shared" si="396"/>
        <v>5.6012382702911846E-2</v>
      </c>
      <c r="N938" s="63">
        <v>1839</v>
      </c>
      <c r="O938" s="63">
        <v>7888</v>
      </c>
      <c r="P938" s="63">
        <v>31</v>
      </c>
      <c r="Q938" s="63">
        <v>347</v>
      </c>
      <c r="R938" s="63">
        <v>157</v>
      </c>
      <c r="S938" s="63">
        <v>5</v>
      </c>
      <c r="T938" s="63"/>
      <c r="U938" s="63"/>
      <c r="V938" s="63"/>
      <c r="W938" s="63">
        <f>IF(Copyright!B$11=1,IF(CA938&gt;0,CA938-P938-SUM(S938:V938)-SUM(X938:AO938)-AQ938,SUM(CB938:CI938)),SUM(CC938:CI938))</f>
        <v>69</v>
      </c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>
        <v>1</v>
      </c>
      <c r="AR938" s="63"/>
      <c r="AS938" s="63"/>
      <c r="AT938" s="63"/>
      <c r="AU938" s="63"/>
      <c r="AW938" s="5">
        <f>IF(Q938&gt;0,RANK(Q938,(N938:P938,Q938:AE938)),0)</f>
        <v>3</v>
      </c>
      <c r="AX938" s="5">
        <f>IF(R938&gt;0,RANK(R938,(N938:P938,Q938:AE938)),0)</f>
        <v>4</v>
      </c>
      <c r="AY938" s="5">
        <f>IF(T938&gt;0,RANK(T938,(N938:P938,Q938:AE938)),0)</f>
        <v>0</v>
      </c>
      <c r="AZ938" s="5">
        <f>IF(S938&gt;0,RANK(S938,(N938:P938,Q938:AE938)),0)</f>
        <v>7</v>
      </c>
      <c r="BA938" s="2">
        <f t="shared" si="397"/>
        <v>3.3568733675147532E-2</v>
      </c>
      <c r="BB938" s="2">
        <f t="shared" si="398"/>
        <v>1.5188159040340524E-2</v>
      </c>
      <c r="BC938" s="2">
        <f t="shared" si="399"/>
        <v>0</v>
      </c>
      <c r="BD938" s="2">
        <f t="shared" si="400"/>
        <v>4.8369933249492117E-4</v>
      </c>
      <c r="BF938" t="s">
        <v>545</v>
      </c>
      <c r="BG938" t="s">
        <v>457</v>
      </c>
      <c r="BH938">
        <v>1</v>
      </c>
      <c r="BJ938" s="114">
        <v>20</v>
      </c>
      <c r="BK938" s="116">
        <v>9</v>
      </c>
      <c r="BL938" s="120">
        <f t="shared" si="402"/>
        <v>20009</v>
      </c>
      <c r="BN938" s="5" t="s">
        <v>3154</v>
      </c>
      <c r="BY938" s="63">
        <f t="shared" si="401"/>
        <v>10337</v>
      </c>
      <c r="CA938" s="133">
        <v>106</v>
      </c>
      <c r="CI938" s="8">
        <v>1</v>
      </c>
    </row>
    <row r="939" spans="1:87" hidden="1" outlineLevel="1">
      <c r="A939" t="s">
        <v>690</v>
      </c>
      <c r="B939" t="s">
        <v>457</v>
      </c>
      <c r="C939" s="1">
        <f t="shared" si="390"/>
        <v>6093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5</v>
      </c>
      <c r="G939" s="132">
        <f t="shared" si="391"/>
        <v>3088</v>
      </c>
      <c r="H939" s="137">
        <f t="shared" si="392"/>
        <v>0.50681109469883467</v>
      </c>
      <c r="I939" s="2"/>
      <c r="J939" s="2">
        <f t="shared" si="393"/>
        <v>0.21926801247333005</v>
      </c>
      <c r="K939" s="2">
        <f t="shared" si="394"/>
        <v>0.72607910717216473</v>
      </c>
      <c r="L939" s="2">
        <f t="shared" si="395"/>
        <v>2.7900869850648285E-3</v>
      </c>
      <c r="M939" s="2">
        <f t="shared" si="396"/>
        <v>5.1862793369440392E-2</v>
      </c>
      <c r="N939" s="63">
        <v>1336</v>
      </c>
      <c r="O939" s="63">
        <v>4424</v>
      </c>
      <c r="P939" s="63">
        <v>17</v>
      </c>
      <c r="Q939" s="63">
        <v>205</v>
      </c>
      <c r="R939" s="63">
        <v>108</v>
      </c>
      <c r="S939" s="63">
        <v>3</v>
      </c>
      <c r="T939" s="63"/>
      <c r="U939" s="63"/>
      <c r="V939" s="63"/>
      <c r="W939" s="63">
        <f>IF(Copyright!B$11=1,IF(CA939&gt;0,CA939-P939-SUM(S939:V939)-SUM(X939:AO939)-AQ939,SUM(CB939:CI939)),SUM(CC939:CI939))</f>
        <v>0</v>
      </c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W939" s="5">
        <f>IF(Q939&gt;0,RANK(Q939,(N939:P939,Q939:AE939)),0)</f>
        <v>3</v>
      </c>
      <c r="AX939" s="5">
        <f>IF(R939&gt;0,RANK(R939,(N939:P939,Q939:AE939)),0)</f>
        <v>4</v>
      </c>
      <c r="AY939" s="5">
        <f>IF(T939&gt;0,RANK(T939,(N939:P939,Q939:AE939)),0)</f>
        <v>0</v>
      </c>
      <c r="AZ939" s="5">
        <f>IF(S939&gt;0,RANK(S939,(N939:P939,Q939:AE939)),0)</f>
        <v>6</v>
      </c>
      <c r="BA939" s="2">
        <f t="shared" si="397"/>
        <v>3.3645166584605285E-2</v>
      </c>
      <c r="BB939" s="2">
        <f t="shared" si="398"/>
        <v>1.7725258493353029E-2</v>
      </c>
      <c r="BC939" s="2">
        <f t="shared" si="399"/>
        <v>0</v>
      </c>
      <c r="BD939" s="2">
        <f t="shared" si="400"/>
        <v>4.9236829148202859E-4</v>
      </c>
      <c r="BF939" t="s">
        <v>690</v>
      </c>
      <c r="BG939" t="s">
        <v>457</v>
      </c>
      <c r="BH939">
        <v>2</v>
      </c>
      <c r="BJ939" s="114">
        <v>20</v>
      </c>
      <c r="BK939" s="116">
        <v>11</v>
      </c>
      <c r="BL939" s="120">
        <f t="shared" si="402"/>
        <v>20011</v>
      </c>
      <c r="BN939" s="5" t="s">
        <v>3154</v>
      </c>
      <c r="BY939" s="63">
        <f t="shared" si="401"/>
        <v>6093</v>
      </c>
    </row>
    <row r="940" spans="1:87" hidden="1" outlineLevel="1">
      <c r="A940" t="s">
        <v>578</v>
      </c>
      <c r="B940" t="s">
        <v>457</v>
      </c>
      <c r="C940" s="1">
        <f t="shared" si="390"/>
        <v>4036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5</v>
      </c>
      <c r="G940" s="132">
        <f t="shared" si="391"/>
        <v>2043</v>
      </c>
      <c r="H940" s="137">
        <f t="shared" si="392"/>
        <v>0.50619425173439048</v>
      </c>
      <c r="I940" s="2"/>
      <c r="J940" s="2">
        <f t="shared" si="393"/>
        <v>0.21382556987115955</v>
      </c>
      <c r="K940" s="2">
        <f t="shared" si="394"/>
        <v>0.72001982160555</v>
      </c>
      <c r="L940" s="2">
        <f t="shared" si="395"/>
        <v>2.4777006937561942E-3</v>
      </c>
      <c r="M940" s="2">
        <f t="shared" si="396"/>
        <v>6.3676907829534279E-2</v>
      </c>
      <c r="N940" s="63">
        <v>863</v>
      </c>
      <c r="O940" s="63">
        <v>2906</v>
      </c>
      <c r="P940" s="63">
        <v>10</v>
      </c>
      <c r="Q940" s="63">
        <v>158</v>
      </c>
      <c r="R940" s="63">
        <v>97</v>
      </c>
      <c r="S940" s="63">
        <v>2</v>
      </c>
      <c r="T940" s="63"/>
      <c r="U940" s="63"/>
      <c r="V940" s="63"/>
      <c r="W940" s="63">
        <f>IF(Copyright!B$11=1,IF(CA940&gt;0,CA940-P940-SUM(S940:V940)-SUM(X940:AO940)-AQ940,SUM(CB940:CI940)),SUM(CC940:CI940))</f>
        <v>0</v>
      </c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W940" s="5">
        <f>IF(Q940&gt;0,RANK(Q940,(N940:P940,Q940:AE940)),0)</f>
        <v>3</v>
      </c>
      <c r="AX940" s="5">
        <f>IF(R940&gt;0,RANK(R940,(N940:P940,Q940:AE940)),0)</f>
        <v>4</v>
      </c>
      <c r="AY940" s="5">
        <f>IF(T940&gt;0,RANK(T940,(N940:P940,Q940:AE940)),0)</f>
        <v>0</v>
      </c>
      <c r="AZ940" s="5">
        <f>IF(S940&gt;0,RANK(S940,(N940:P940,Q940:AE940)),0)</f>
        <v>6</v>
      </c>
      <c r="BA940" s="2">
        <f t="shared" si="397"/>
        <v>3.9147670961347872E-2</v>
      </c>
      <c r="BB940" s="2">
        <f t="shared" si="398"/>
        <v>2.4033696729435085E-2</v>
      </c>
      <c r="BC940" s="2">
        <f t="shared" si="399"/>
        <v>0</v>
      </c>
      <c r="BD940" s="2">
        <f t="shared" si="400"/>
        <v>4.9554013875123884E-4</v>
      </c>
      <c r="BF940" t="s">
        <v>578</v>
      </c>
      <c r="BG940" t="s">
        <v>457</v>
      </c>
      <c r="BH940">
        <v>2</v>
      </c>
      <c r="BJ940" s="114">
        <v>20</v>
      </c>
      <c r="BK940" s="116">
        <v>13</v>
      </c>
      <c r="BL940" s="120">
        <f t="shared" si="402"/>
        <v>20013</v>
      </c>
      <c r="BN940" s="5" t="s">
        <v>3154</v>
      </c>
      <c r="BY940" s="63">
        <f t="shared" si="401"/>
        <v>4036</v>
      </c>
    </row>
    <row r="941" spans="1:87" hidden="1" outlineLevel="1">
      <c r="A941" t="s">
        <v>1806</v>
      </c>
      <c r="B941" t="s">
        <v>457</v>
      </c>
      <c r="C941" s="1">
        <f t="shared" si="390"/>
        <v>27657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5</v>
      </c>
      <c r="G941" s="132">
        <f t="shared" si="391"/>
        <v>12500</v>
      </c>
      <c r="H941" s="137">
        <f t="shared" si="392"/>
        <v>0.45196514444806019</v>
      </c>
      <c r="I941" s="2"/>
      <c r="J941" s="2">
        <f t="shared" si="393"/>
        <v>0.23766135155656795</v>
      </c>
      <c r="K941" s="2">
        <f t="shared" si="394"/>
        <v>0.68962649600462811</v>
      </c>
      <c r="L941" s="2">
        <f t="shared" si="395"/>
        <v>5.9659399067143945E-3</v>
      </c>
      <c r="M941" s="2">
        <f t="shared" si="396"/>
        <v>6.6746212532089511E-2</v>
      </c>
      <c r="N941" s="63">
        <v>6573</v>
      </c>
      <c r="O941" s="63">
        <v>19073</v>
      </c>
      <c r="P941" s="63">
        <v>165</v>
      </c>
      <c r="Q941" s="63">
        <v>1415</v>
      </c>
      <c r="R941" s="63">
        <v>395</v>
      </c>
      <c r="S941" s="63">
        <v>22</v>
      </c>
      <c r="T941" s="63"/>
      <c r="U941" s="63"/>
      <c r="V941" s="63"/>
      <c r="W941" s="63">
        <f>IF(Copyright!B$11=1,IF(CA941&gt;0,CA941-P941-SUM(S941:V941)-SUM(X941:AO941)-AQ941,SUM(CB941:CI941)),SUM(CC941:CI941))</f>
        <v>0</v>
      </c>
      <c r="X941" s="63"/>
      <c r="Y941" s="63">
        <v>4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>
        <v>10</v>
      </c>
      <c r="AO941" s="63"/>
      <c r="AP941" s="63"/>
      <c r="AQ941" s="63"/>
      <c r="AR941" s="63"/>
      <c r="AS941" s="63"/>
      <c r="AT941" s="63"/>
      <c r="AU941" s="63"/>
      <c r="AW941" s="5">
        <f>IF(Q941&gt;0,RANK(Q941,(N941:P941,Q941:AE941)),0)</f>
        <v>3</v>
      </c>
      <c r="AX941" s="5">
        <f>IF(R941&gt;0,RANK(R941,(N941:P941,Q941:AE941)),0)</f>
        <v>4</v>
      </c>
      <c r="AY941" s="5">
        <f>IF(T941&gt;0,RANK(T941,(N941:P941,Q941:AE941)),0)</f>
        <v>0</v>
      </c>
      <c r="AZ941" s="5">
        <f>IF(S941&gt;0,RANK(S941,(N941:P941,Q941:AE941)),0)</f>
        <v>6</v>
      </c>
      <c r="BA941" s="2">
        <f t="shared" si="397"/>
        <v>5.1162454351520413E-2</v>
      </c>
      <c r="BB941" s="2">
        <f t="shared" si="398"/>
        <v>1.4282098564558702E-2</v>
      </c>
      <c r="BC941" s="2">
        <f t="shared" si="399"/>
        <v>0</v>
      </c>
      <c r="BD941" s="2">
        <f t="shared" si="400"/>
        <v>7.9545865422858588E-4</v>
      </c>
      <c r="BF941" t="s">
        <v>1806</v>
      </c>
      <c r="BG941" t="s">
        <v>457</v>
      </c>
      <c r="BH941">
        <v>4</v>
      </c>
      <c r="BJ941" s="114">
        <v>20</v>
      </c>
      <c r="BK941" s="116">
        <v>15</v>
      </c>
      <c r="BL941" s="120">
        <f t="shared" si="402"/>
        <v>20015</v>
      </c>
      <c r="BN941" s="5" t="s">
        <v>3154</v>
      </c>
      <c r="BY941" s="63">
        <f t="shared" si="401"/>
        <v>27657</v>
      </c>
    </row>
    <row r="942" spans="1:87" hidden="1" outlineLevel="1">
      <c r="A942" t="s">
        <v>215</v>
      </c>
      <c r="B942" t="s">
        <v>457</v>
      </c>
      <c r="C942" s="1">
        <f t="shared" si="390"/>
        <v>1369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5</v>
      </c>
      <c r="G942" s="132">
        <f t="shared" si="391"/>
        <v>653</v>
      </c>
      <c r="H942" s="137">
        <f t="shared" si="392"/>
        <v>0.47699050401753107</v>
      </c>
      <c r="I942" s="2"/>
      <c r="J942" s="2">
        <f t="shared" si="393"/>
        <v>0.23082542001460921</v>
      </c>
      <c r="K942" s="2">
        <f t="shared" si="394"/>
        <v>0.70781592403214022</v>
      </c>
      <c r="L942" s="2">
        <f t="shared" si="395"/>
        <v>5.1132213294375461E-3</v>
      </c>
      <c r="M942" s="2">
        <f t="shared" si="396"/>
        <v>5.6245434623813081E-2</v>
      </c>
      <c r="N942" s="63">
        <v>316</v>
      </c>
      <c r="O942" s="63">
        <v>969</v>
      </c>
      <c r="P942" s="63">
        <v>7</v>
      </c>
      <c r="Q942" s="63">
        <v>45</v>
      </c>
      <c r="R942" s="63">
        <v>31</v>
      </c>
      <c r="S942" s="63">
        <v>1</v>
      </c>
      <c r="T942" s="63"/>
      <c r="U942" s="63"/>
      <c r="V942" s="63"/>
      <c r="W942" s="63">
        <f>IF(Copyright!B$11=1,IF(CA942&gt;0,CA942-P942-SUM(S942:V942)-SUM(X942:AO942)-AQ942,SUM(CB942:CI942)),SUM(CC942:CI942))</f>
        <v>0</v>
      </c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W942" s="5">
        <f>IF(Q942&gt;0,RANK(Q942,(N942:P942,Q942:AE942)),0)</f>
        <v>3</v>
      </c>
      <c r="AX942" s="5">
        <f>IF(R942&gt;0,RANK(R942,(N942:P942,Q942:AE942)),0)</f>
        <v>4</v>
      </c>
      <c r="AY942" s="5">
        <f>IF(T942&gt;0,RANK(T942,(N942:P942,Q942:AE942)),0)</f>
        <v>0</v>
      </c>
      <c r="AZ942" s="5">
        <f>IF(S942&gt;0,RANK(S942,(N942:P942,Q942:AE942)),0)</f>
        <v>6</v>
      </c>
      <c r="BA942" s="2">
        <f t="shared" si="397"/>
        <v>3.2870708546384221E-2</v>
      </c>
      <c r="BB942" s="2">
        <f t="shared" si="398"/>
        <v>2.2644265887509132E-2</v>
      </c>
      <c r="BC942" s="2">
        <f t="shared" si="399"/>
        <v>0</v>
      </c>
      <c r="BD942" s="2">
        <f t="shared" si="400"/>
        <v>7.3046018991964939E-4</v>
      </c>
      <c r="BF942" t="s">
        <v>215</v>
      </c>
      <c r="BG942" t="s">
        <v>457</v>
      </c>
      <c r="BH942">
        <v>1</v>
      </c>
      <c r="BJ942" s="114">
        <v>20</v>
      </c>
      <c r="BK942" s="116">
        <v>17</v>
      </c>
      <c r="BL942" s="120">
        <f t="shared" si="402"/>
        <v>20017</v>
      </c>
      <c r="BN942" s="5" t="s">
        <v>3154</v>
      </c>
      <c r="BY942" s="63">
        <f t="shared" si="401"/>
        <v>1369</v>
      </c>
    </row>
    <row r="943" spans="1:87" hidden="1" outlineLevel="1">
      <c r="A943" t="s">
        <v>1370</v>
      </c>
      <c r="B943" t="s">
        <v>457</v>
      </c>
      <c r="C943" s="1">
        <f t="shared" si="390"/>
        <v>1481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32">
        <f t="shared" si="391"/>
        <v>1039</v>
      </c>
      <c r="H943" s="137">
        <f t="shared" si="392"/>
        <v>0.70155300472653614</v>
      </c>
      <c r="I943" s="2"/>
      <c r="J943" s="2">
        <f t="shared" si="393"/>
        <v>0.13301823092505063</v>
      </c>
      <c r="K943" s="2">
        <f t="shared" si="394"/>
        <v>0.83457123565158675</v>
      </c>
      <c r="L943" s="2">
        <f t="shared" si="395"/>
        <v>0</v>
      </c>
      <c r="M943" s="2">
        <f t="shared" si="396"/>
        <v>3.2410533423362642E-2</v>
      </c>
      <c r="N943" s="63">
        <v>197</v>
      </c>
      <c r="O943" s="63">
        <v>1236</v>
      </c>
      <c r="P943" s="63"/>
      <c r="Q943" s="63">
        <v>25</v>
      </c>
      <c r="R943" s="63">
        <v>23</v>
      </c>
      <c r="S943" s="63"/>
      <c r="T943" s="63"/>
      <c r="U943" s="63"/>
      <c r="V943" s="63"/>
      <c r="W943" s="63">
        <f>IF(Copyright!B$11=1,IF(CA943&gt;0,CA943-P943-SUM(S943:V943)-SUM(X943:AO943)-AQ943,SUM(CB943:CI943)),SUM(CC943:CI943))</f>
        <v>0</v>
      </c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W943" s="5">
        <f>IF(Q943&gt;0,RANK(Q943,(N943:P943,Q943:AE943)),0)</f>
        <v>3</v>
      </c>
      <c r="AX943" s="5">
        <f>IF(R943&gt;0,RANK(R943,(N943:P943,Q943:AE943)),0)</f>
        <v>4</v>
      </c>
      <c r="AY943" s="5">
        <f>IF(T943&gt;0,RANK(T943,(N943:P943,Q943:AE943)),0)</f>
        <v>0</v>
      </c>
      <c r="AZ943" s="5">
        <f>IF(S943&gt;0,RANK(S943,(N943:P943,Q943:AE943)),0)</f>
        <v>0</v>
      </c>
      <c r="BA943" s="2">
        <f t="shared" si="397"/>
        <v>1.6880486158001352E-2</v>
      </c>
      <c r="BB943" s="2">
        <f t="shared" si="398"/>
        <v>1.5530047265361242E-2</v>
      </c>
      <c r="BC943" s="2">
        <f t="shared" si="399"/>
        <v>0</v>
      </c>
      <c r="BD943" s="2">
        <f t="shared" si="400"/>
        <v>0</v>
      </c>
      <c r="BF943" t="s">
        <v>1370</v>
      </c>
      <c r="BG943" t="s">
        <v>457</v>
      </c>
      <c r="BH943">
        <v>4</v>
      </c>
      <c r="BJ943" s="114">
        <v>20</v>
      </c>
      <c r="BK943" s="116">
        <v>19</v>
      </c>
      <c r="BL943" s="120">
        <f t="shared" si="402"/>
        <v>20019</v>
      </c>
      <c r="BN943" s="5" t="s">
        <v>3154</v>
      </c>
      <c r="BY943" s="63">
        <f t="shared" si="401"/>
        <v>1481</v>
      </c>
    </row>
    <row r="944" spans="1:87" hidden="1" outlineLevel="1">
      <c r="A944" t="s">
        <v>1652</v>
      </c>
      <c r="B944" t="s">
        <v>457</v>
      </c>
      <c r="C944" s="1">
        <f t="shared" si="390"/>
        <v>8620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5</v>
      </c>
      <c r="G944" s="132">
        <f t="shared" si="391"/>
        <v>4177</v>
      </c>
      <c r="H944" s="137">
        <f t="shared" si="392"/>
        <v>0.4845707656612529</v>
      </c>
      <c r="I944" s="2"/>
      <c r="J944" s="2">
        <f t="shared" si="393"/>
        <v>0.2325986078886311</v>
      </c>
      <c r="K944" s="2">
        <f t="shared" si="394"/>
        <v>0.71716937354988397</v>
      </c>
      <c r="L944" s="2">
        <f t="shared" si="395"/>
        <v>6.9605568445475633E-4</v>
      </c>
      <c r="M944" s="2">
        <f t="shared" si="396"/>
        <v>4.9535962877030201E-2</v>
      </c>
      <c r="N944" s="63">
        <v>2005</v>
      </c>
      <c r="O944" s="63">
        <v>6182</v>
      </c>
      <c r="P944" s="63">
        <v>6</v>
      </c>
      <c r="Q944" s="63">
        <v>296</v>
      </c>
      <c r="R944" s="63">
        <v>130</v>
      </c>
      <c r="S944" s="63">
        <v>1</v>
      </c>
      <c r="T944" s="63"/>
      <c r="U944" s="63"/>
      <c r="V944" s="63"/>
      <c r="W944" s="63">
        <f>IF(Copyright!B$11=1,IF(CA944&gt;0,CA944-P944-SUM(S944:V944)-SUM(X944:AO944)-AQ944,SUM(CB944:CI944)),SUM(CC944:CI944))</f>
        <v>0</v>
      </c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W944" s="5">
        <f>IF(Q944&gt;0,RANK(Q944,(N944:P944,Q944:AE944)),0)</f>
        <v>3</v>
      </c>
      <c r="AX944" s="5">
        <f>IF(R944&gt;0,RANK(R944,(N944:P944,Q944:AE944)),0)</f>
        <v>4</v>
      </c>
      <c r="AY944" s="5">
        <f>IF(T944&gt;0,RANK(T944,(N944:P944,Q944:AE944)),0)</f>
        <v>0</v>
      </c>
      <c r="AZ944" s="5">
        <f>IF(S944&gt;0,RANK(S944,(N944:P944,Q944:AE944)),0)</f>
        <v>6</v>
      </c>
      <c r="BA944" s="2">
        <f t="shared" si="397"/>
        <v>3.4338747099767981E-2</v>
      </c>
      <c r="BB944" s="2">
        <f t="shared" si="398"/>
        <v>1.5081206496519721E-2</v>
      </c>
      <c r="BC944" s="2">
        <f t="shared" si="399"/>
        <v>0</v>
      </c>
      <c r="BD944" s="2">
        <f t="shared" si="400"/>
        <v>1.160092807424594E-4</v>
      </c>
      <c r="BF944" t="s">
        <v>1652</v>
      </c>
      <c r="BG944" t="s">
        <v>457</v>
      </c>
      <c r="BH944">
        <v>2</v>
      </c>
      <c r="BJ944" s="114">
        <v>20</v>
      </c>
      <c r="BK944" s="116">
        <v>21</v>
      </c>
      <c r="BL944" s="120">
        <f t="shared" si="402"/>
        <v>20021</v>
      </c>
      <c r="BN944" s="5" t="s">
        <v>3154</v>
      </c>
      <c r="BY944" s="63">
        <f t="shared" si="401"/>
        <v>8620</v>
      </c>
    </row>
    <row r="945" spans="1:82" hidden="1" outlineLevel="1">
      <c r="A945" t="s">
        <v>2001</v>
      </c>
      <c r="B945" t="s">
        <v>457</v>
      </c>
      <c r="C945" s="1">
        <f t="shared" si="390"/>
        <v>1407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5</v>
      </c>
      <c r="G945" s="132">
        <f t="shared" si="391"/>
        <v>992</v>
      </c>
      <c r="H945" s="137">
        <f t="shared" si="392"/>
        <v>0.70504619758351106</v>
      </c>
      <c r="I945" s="2"/>
      <c r="J945" s="2">
        <f t="shared" si="393"/>
        <v>0.12864250177683015</v>
      </c>
      <c r="K945" s="2">
        <f t="shared" si="394"/>
        <v>0.83368869936034118</v>
      </c>
      <c r="L945" s="2">
        <f t="shared" si="395"/>
        <v>2.8429282160625444E-3</v>
      </c>
      <c r="M945" s="2">
        <f t="shared" si="396"/>
        <v>3.4825870646766156E-2</v>
      </c>
      <c r="N945" s="63">
        <v>181</v>
      </c>
      <c r="O945" s="63">
        <v>1173</v>
      </c>
      <c r="P945" s="63">
        <v>4</v>
      </c>
      <c r="Q945" s="63">
        <v>29</v>
      </c>
      <c r="R945" s="63">
        <v>20</v>
      </c>
      <c r="S945" s="63"/>
      <c r="T945" s="63"/>
      <c r="U945" s="63"/>
      <c r="V945" s="63"/>
      <c r="W945" s="63">
        <f>IF(Copyright!B$11=1,IF(CA945&gt;0,CA945-P945-SUM(S945:V945)-SUM(X945:AO945)-AQ945,SUM(CB945:CI945)),SUM(CC945:CI945))</f>
        <v>0</v>
      </c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W945" s="5">
        <f>IF(Q945&gt;0,RANK(Q945,(N945:P945,Q945:AE945)),0)</f>
        <v>3</v>
      </c>
      <c r="AX945" s="5">
        <f>IF(R945&gt;0,RANK(R945,(N945:P945,Q945:AE945)),0)</f>
        <v>4</v>
      </c>
      <c r="AY945" s="5">
        <f>IF(T945&gt;0,RANK(T945,(N945:P945,Q945:AE945)),0)</f>
        <v>0</v>
      </c>
      <c r="AZ945" s="5">
        <f>IF(S945&gt;0,RANK(S945,(N945:P945,Q945:AE945)),0)</f>
        <v>0</v>
      </c>
      <c r="BA945" s="2">
        <f t="shared" si="397"/>
        <v>2.0611229566453448E-2</v>
      </c>
      <c r="BB945" s="2">
        <f t="shared" si="398"/>
        <v>1.4214641080312722E-2</v>
      </c>
      <c r="BC945" s="2">
        <f t="shared" si="399"/>
        <v>0</v>
      </c>
      <c r="BD945" s="2">
        <f t="shared" si="400"/>
        <v>0</v>
      </c>
      <c r="BF945" t="s">
        <v>2001</v>
      </c>
      <c r="BG945" t="s">
        <v>457</v>
      </c>
      <c r="BH945">
        <v>1</v>
      </c>
      <c r="BJ945" s="114">
        <v>20</v>
      </c>
      <c r="BK945" s="116">
        <v>23</v>
      </c>
      <c r="BL945" s="120">
        <f t="shared" si="402"/>
        <v>20023</v>
      </c>
      <c r="BN945" s="5" t="s">
        <v>3154</v>
      </c>
      <c r="BY945" s="63">
        <f t="shared" si="401"/>
        <v>1407</v>
      </c>
    </row>
    <row r="946" spans="1:82" hidden="1" outlineLevel="1">
      <c r="A946" t="s">
        <v>392</v>
      </c>
      <c r="B946" t="s">
        <v>457</v>
      </c>
      <c r="C946" s="1">
        <f t="shared" si="390"/>
        <v>1005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5</v>
      </c>
      <c r="G946" s="132">
        <f t="shared" si="391"/>
        <v>705</v>
      </c>
      <c r="H946" s="137">
        <f t="shared" si="392"/>
        <v>0.70149253731343286</v>
      </c>
      <c r="I946" s="2"/>
      <c r="J946" s="2">
        <f t="shared" si="393"/>
        <v>0.11940298507462686</v>
      </c>
      <c r="K946" s="2">
        <f t="shared" si="394"/>
        <v>0.82089552238805974</v>
      </c>
      <c r="L946" s="2">
        <f t="shared" si="395"/>
        <v>3.9800995024875619E-3</v>
      </c>
      <c r="M946" s="2">
        <f t="shared" si="396"/>
        <v>5.5721393034825824E-2</v>
      </c>
      <c r="N946" s="63">
        <v>120</v>
      </c>
      <c r="O946" s="63">
        <v>825</v>
      </c>
      <c r="P946" s="63">
        <v>4</v>
      </c>
      <c r="Q946" s="63">
        <v>36</v>
      </c>
      <c r="R946" s="63">
        <v>20</v>
      </c>
      <c r="S946" s="63"/>
      <c r="T946" s="63"/>
      <c r="U946" s="63"/>
      <c r="V946" s="63"/>
      <c r="W946" s="63">
        <f>IF(Copyright!B$11=1,IF(CA946&gt;0,CA946-P946-SUM(S946:V946)-SUM(X946:AO946)-AQ946,SUM(CB946:CI946)),SUM(CC946:CI946))</f>
        <v>0</v>
      </c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W946" s="5">
        <f>IF(Q946&gt;0,RANK(Q946,(N946:P946,Q946:AE946)),0)</f>
        <v>3</v>
      </c>
      <c r="AX946" s="5">
        <f>IF(R946&gt;0,RANK(R946,(N946:P946,Q946:AE946)),0)</f>
        <v>4</v>
      </c>
      <c r="AY946" s="5">
        <f>IF(T946&gt;0,RANK(T946,(N946:P946,Q946:AE946)),0)</f>
        <v>0</v>
      </c>
      <c r="AZ946" s="5">
        <f>IF(S946&gt;0,RANK(S946,(N946:P946,Q946:AE946)),0)</f>
        <v>0</v>
      </c>
      <c r="BA946" s="2">
        <f t="shared" si="397"/>
        <v>3.5820895522388062E-2</v>
      </c>
      <c r="BB946" s="2">
        <f t="shared" si="398"/>
        <v>1.9900497512437811E-2</v>
      </c>
      <c r="BC946" s="2">
        <f t="shared" si="399"/>
        <v>0</v>
      </c>
      <c r="BD946" s="2">
        <f t="shared" si="400"/>
        <v>0</v>
      </c>
      <c r="BF946" t="s">
        <v>392</v>
      </c>
      <c r="BG946" t="s">
        <v>457</v>
      </c>
      <c r="BH946">
        <v>1</v>
      </c>
      <c r="BJ946" s="114">
        <v>20</v>
      </c>
      <c r="BK946" s="116">
        <v>25</v>
      </c>
      <c r="BL946" s="120">
        <f t="shared" si="402"/>
        <v>20025</v>
      </c>
      <c r="BN946" s="5" t="s">
        <v>3154</v>
      </c>
      <c r="BY946" s="63">
        <f t="shared" si="401"/>
        <v>1005</v>
      </c>
    </row>
    <row r="947" spans="1:82" hidden="1" outlineLevel="1">
      <c r="A947" t="s">
        <v>3093</v>
      </c>
      <c r="B947" t="s">
        <v>457</v>
      </c>
      <c r="C947" s="1">
        <f t="shared" si="390"/>
        <v>3820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5</v>
      </c>
      <c r="G947" s="132">
        <f t="shared" si="391"/>
        <v>2214</v>
      </c>
      <c r="H947" s="137">
        <f t="shared" si="392"/>
        <v>0.57958115183246073</v>
      </c>
      <c r="I947" s="2"/>
      <c r="J947" s="2">
        <f t="shared" si="393"/>
        <v>0.17722513089005235</v>
      </c>
      <c r="K947" s="2">
        <f t="shared" si="394"/>
        <v>0.75680628272251305</v>
      </c>
      <c r="L947" s="2">
        <f t="shared" si="395"/>
        <v>4.1884816753926706E-3</v>
      </c>
      <c r="M947" s="2">
        <f t="shared" si="396"/>
        <v>6.1780104712041962E-2</v>
      </c>
      <c r="N947" s="63">
        <v>677</v>
      </c>
      <c r="O947" s="63">
        <v>2891</v>
      </c>
      <c r="P947" s="63">
        <v>16</v>
      </c>
      <c r="Q947" s="63">
        <v>150</v>
      </c>
      <c r="R947" s="63">
        <v>85</v>
      </c>
      <c r="S947" s="63"/>
      <c r="T947" s="63"/>
      <c r="U947" s="63"/>
      <c r="V947" s="63"/>
      <c r="W947" s="63">
        <f>IF(Copyright!B$11=1,IF(CA947&gt;0,CA947-P947-SUM(S947:V947)-SUM(X947:AO947)-AQ947,SUM(CB947:CI947)),SUM(CC947:CI947))</f>
        <v>0</v>
      </c>
      <c r="X947" s="63"/>
      <c r="Y947" s="63"/>
      <c r="Z947" s="63"/>
      <c r="AA947" s="63"/>
      <c r="AB947" s="63"/>
      <c r="AC947" s="63"/>
      <c r="AD947" s="63">
        <v>1</v>
      </c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W947" s="5">
        <f>IF(Q947&gt;0,RANK(Q947,(N947:P947,Q947:AE947)),0)</f>
        <v>3</v>
      </c>
      <c r="AX947" s="5">
        <f>IF(R947&gt;0,RANK(R947,(N947:P947,Q947:AE947)),0)</f>
        <v>4</v>
      </c>
      <c r="AY947" s="5">
        <f>IF(T947&gt;0,RANK(T947,(N947:P947,Q947:AE947)),0)</f>
        <v>0</v>
      </c>
      <c r="AZ947" s="5">
        <f>IF(S947&gt;0,RANK(S947,(N947:P947,Q947:AE947)),0)</f>
        <v>0</v>
      </c>
      <c r="BA947" s="2">
        <f t="shared" si="397"/>
        <v>3.9267015706806283E-2</v>
      </c>
      <c r="BB947" s="2">
        <f t="shared" si="398"/>
        <v>2.2251308900523559E-2</v>
      </c>
      <c r="BC947" s="2">
        <f t="shared" si="399"/>
        <v>0</v>
      </c>
      <c r="BD947" s="2">
        <f t="shared" si="400"/>
        <v>0</v>
      </c>
      <c r="BF947" t="s">
        <v>3093</v>
      </c>
      <c r="BG947" t="s">
        <v>457</v>
      </c>
      <c r="BH947">
        <v>1</v>
      </c>
      <c r="BJ947" s="114">
        <v>20</v>
      </c>
      <c r="BK947" s="116">
        <v>27</v>
      </c>
      <c r="BL947" s="120">
        <f t="shared" si="402"/>
        <v>20027</v>
      </c>
      <c r="BN947" s="5" t="s">
        <v>3154</v>
      </c>
      <c r="BY947" s="63">
        <f t="shared" si="401"/>
        <v>3820</v>
      </c>
    </row>
    <row r="948" spans="1:82" hidden="1" outlineLevel="1">
      <c r="A948" t="s">
        <v>213</v>
      </c>
      <c r="B948" t="s">
        <v>457</v>
      </c>
      <c r="C948" s="1">
        <f t="shared" si="390"/>
        <v>3930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5</v>
      </c>
      <c r="G948" s="132">
        <f t="shared" si="391"/>
        <v>2158</v>
      </c>
      <c r="H948" s="137">
        <f t="shared" si="392"/>
        <v>0.54910941475826969</v>
      </c>
      <c r="I948" s="2"/>
      <c r="J948" s="2">
        <f t="shared" si="393"/>
        <v>0.19363867684478372</v>
      </c>
      <c r="K948" s="2">
        <f t="shared" si="394"/>
        <v>0.74274809160305344</v>
      </c>
      <c r="L948" s="2">
        <f t="shared" si="395"/>
        <v>3.8167938931297708E-3</v>
      </c>
      <c r="M948" s="2">
        <f t="shared" si="396"/>
        <v>5.9796437659033037E-2</v>
      </c>
      <c r="N948" s="63">
        <v>761</v>
      </c>
      <c r="O948" s="63">
        <v>2919</v>
      </c>
      <c r="P948" s="63">
        <v>15</v>
      </c>
      <c r="Q948" s="63">
        <v>161</v>
      </c>
      <c r="R948" s="63">
        <v>74</v>
      </c>
      <c r="S948" s="63"/>
      <c r="T948" s="63"/>
      <c r="U948" s="63"/>
      <c r="V948" s="63"/>
      <c r="W948" s="63">
        <f>IF(Copyright!B$11=1,IF(CA948&gt;0,CA948-P948-SUM(S948:V948)-SUM(X948:AO948)-AQ948,SUM(CB948:CI948)),SUM(CC948:CI948))</f>
        <v>0</v>
      </c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W948" s="5">
        <f>IF(Q948&gt;0,RANK(Q948,(N948:P948,Q948:AE948)),0)</f>
        <v>3</v>
      </c>
      <c r="AX948" s="5">
        <f>IF(R948&gt;0,RANK(R948,(N948:P948,Q948:AE948)),0)</f>
        <v>4</v>
      </c>
      <c r="AY948" s="5">
        <f>IF(T948&gt;0,RANK(T948,(N948:P948,Q948:AE948)),0)</f>
        <v>0</v>
      </c>
      <c r="AZ948" s="5">
        <f>IF(S948&gt;0,RANK(S948,(N948:P948,Q948:AE948)),0)</f>
        <v>0</v>
      </c>
      <c r="BA948" s="2">
        <f t="shared" si="397"/>
        <v>4.0966921119592874E-2</v>
      </c>
      <c r="BB948" s="2">
        <f t="shared" si="398"/>
        <v>1.8829516539440202E-2</v>
      </c>
      <c r="BC948" s="2">
        <f t="shared" si="399"/>
        <v>0</v>
      </c>
      <c r="BD948" s="2">
        <f t="shared" si="400"/>
        <v>0</v>
      </c>
      <c r="BF948" t="s">
        <v>213</v>
      </c>
      <c r="BG948" t="s">
        <v>457</v>
      </c>
      <c r="BH948">
        <v>1</v>
      </c>
      <c r="BJ948" s="114">
        <v>20</v>
      </c>
      <c r="BK948" s="116">
        <v>29</v>
      </c>
      <c r="BL948" s="120">
        <f t="shared" si="402"/>
        <v>20029</v>
      </c>
      <c r="BN948" s="5" t="s">
        <v>3154</v>
      </c>
      <c r="BY948" s="63">
        <f t="shared" si="401"/>
        <v>3930</v>
      </c>
    </row>
    <row r="949" spans="1:82" hidden="1" outlineLevel="1">
      <c r="A949" t="s">
        <v>1534</v>
      </c>
      <c r="B949" t="s">
        <v>457</v>
      </c>
      <c r="C949" s="1">
        <f t="shared" si="390"/>
        <v>4068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5</v>
      </c>
      <c r="G949" s="132">
        <f t="shared" si="391"/>
        <v>2323</v>
      </c>
      <c r="H949" s="137">
        <f t="shared" si="392"/>
        <v>0.57104228121927236</v>
      </c>
      <c r="I949" s="2"/>
      <c r="J949" s="2">
        <f t="shared" si="393"/>
        <v>0.17871189773844642</v>
      </c>
      <c r="K949" s="2">
        <f t="shared" si="394"/>
        <v>0.74975417895771879</v>
      </c>
      <c r="L949" s="2">
        <f t="shared" si="395"/>
        <v>7.3746312684365781E-3</v>
      </c>
      <c r="M949" s="2">
        <f t="shared" si="396"/>
        <v>6.4159292035398219E-2</v>
      </c>
      <c r="N949" s="63">
        <v>727</v>
      </c>
      <c r="O949" s="63">
        <v>3050</v>
      </c>
      <c r="P949" s="63">
        <v>30</v>
      </c>
      <c r="Q949" s="63">
        <v>189</v>
      </c>
      <c r="R949" s="63">
        <v>70</v>
      </c>
      <c r="S949" s="63">
        <v>1</v>
      </c>
      <c r="T949" s="63"/>
      <c r="U949" s="63"/>
      <c r="V949" s="63"/>
      <c r="W949" s="63">
        <f>IF(Copyright!B$11=1,IF(CA949&gt;0,CA949-P949-SUM(S949:V949)-SUM(X949:AO949)-AQ949,SUM(CB949:CI949)),SUM(CC949:CI949))</f>
        <v>0</v>
      </c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>
        <v>1</v>
      </c>
      <c r="AO949" s="63"/>
      <c r="AP949" s="63"/>
      <c r="AQ949" s="63"/>
      <c r="AR949" s="63"/>
      <c r="AS949" s="63"/>
      <c r="AT949" s="63"/>
      <c r="AU949" s="63"/>
      <c r="AW949" s="5">
        <f>IF(Q949&gt;0,RANK(Q949,(N949:P949,Q949:AE949)),0)</f>
        <v>3</v>
      </c>
      <c r="AX949" s="5">
        <f>IF(R949&gt;0,RANK(R949,(N949:P949,Q949:AE949)),0)</f>
        <v>4</v>
      </c>
      <c r="AY949" s="5">
        <f>IF(T949&gt;0,RANK(T949,(N949:P949,Q949:AE949)),0)</f>
        <v>0</v>
      </c>
      <c r="AZ949" s="5">
        <f>IF(S949&gt;0,RANK(S949,(N949:P949,Q949:AE949)),0)</f>
        <v>6</v>
      </c>
      <c r="BA949" s="2">
        <f t="shared" si="397"/>
        <v>4.6460176991150445E-2</v>
      </c>
      <c r="BB949" s="2">
        <f t="shared" si="398"/>
        <v>1.720747295968535E-2</v>
      </c>
      <c r="BC949" s="2">
        <f t="shared" si="399"/>
        <v>0</v>
      </c>
      <c r="BD949" s="2">
        <f t="shared" si="400"/>
        <v>2.4582104228121929E-4</v>
      </c>
      <c r="BF949" t="s">
        <v>1534</v>
      </c>
      <c r="BG949" t="s">
        <v>457</v>
      </c>
      <c r="BH949">
        <v>2</v>
      </c>
      <c r="BJ949" s="114">
        <v>20</v>
      </c>
      <c r="BK949" s="116">
        <v>31</v>
      </c>
      <c r="BL949" s="120">
        <f t="shared" si="402"/>
        <v>20031</v>
      </c>
      <c r="BN949" s="5" t="s">
        <v>3154</v>
      </c>
      <c r="BY949" s="63">
        <f t="shared" si="401"/>
        <v>4068</v>
      </c>
    </row>
    <row r="950" spans="1:82" hidden="1" outlineLevel="1">
      <c r="A950" t="s">
        <v>1142</v>
      </c>
      <c r="B950" t="s">
        <v>457</v>
      </c>
      <c r="C950" s="1">
        <f t="shared" si="390"/>
        <v>867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32">
        <f t="shared" si="391"/>
        <v>613</v>
      </c>
      <c r="H950" s="137">
        <f t="shared" si="392"/>
        <v>0.70703575547866204</v>
      </c>
      <c r="I950" s="2"/>
      <c r="J950" s="2">
        <f t="shared" si="393"/>
        <v>0.11764705882352941</v>
      </c>
      <c r="K950" s="2">
        <f t="shared" si="394"/>
        <v>0.82468281430219148</v>
      </c>
      <c r="L950" s="2">
        <f t="shared" si="395"/>
        <v>0</v>
      </c>
      <c r="M950" s="2">
        <f t="shared" si="396"/>
        <v>5.7670126874279082E-2</v>
      </c>
      <c r="N950" s="63">
        <v>102</v>
      </c>
      <c r="O950" s="63">
        <v>715</v>
      </c>
      <c r="P950" s="63"/>
      <c r="Q950" s="63">
        <v>40</v>
      </c>
      <c r="R950" s="63">
        <v>10</v>
      </c>
      <c r="S950" s="63"/>
      <c r="T950" s="63"/>
      <c r="U950" s="63"/>
      <c r="V950" s="63"/>
      <c r="W950" s="63">
        <f>IF(Copyright!B$11=1,IF(CA950&gt;0,CA950-P950-SUM(S950:V950)-SUM(X950:AO950)-AQ950,SUM(CB950:CI950)),SUM(CC950:CI950))</f>
        <v>0</v>
      </c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W950" s="5">
        <f>IF(Q950&gt;0,RANK(Q950,(N950:P950,Q950:AE950)),0)</f>
        <v>3</v>
      </c>
      <c r="AX950" s="5">
        <f>IF(R950&gt;0,RANK(R950,(N950:P950,Q950:AE950)),0)</f>
        <v>4</v>
      </c>
      <c r="AY950" s="5">
        <f>IF(T950&gt;0,RANK(T950,(N950:P950,Q950:AE950)),0)</f>
        <v>0</v>
      </c>
      <c r="AZ950" s="5">
        <f>IF(S950&gt;0,RANK(S950,(N950:P950,Q950:AE950)),0)</f>
        <v>0</v>
      </c>
      <c r="BA950" s="2">
        <f t="shared" si="397"/>
        <v>4.61361014994233E-2</v>
      </c>
      <c r="BB950" s="2">
        <f t="shared" si="398"/>
        <v>1.1534025374855825E-2</v>
      </c>
      <c r="BC950" s="2">
        <f t="shared" si="399"/>
        <v>0</v>
      </c>
      <c r="BD950" s="2">
        <f t="shared" si="400"/>
        <v>0</v>
      </c>
      <c r="BF950" t="s">
        <v>1142</v>
      </c>
      <c r="BG950" t="s">
        <v>457</v>
      </c>
      <c r="BH950">
        <v>4</v>
      </c>
      <c r="BJ950" s="114">
        <v>20</v>
      </c>
      <c r="BK950" s="116">
        <v>33</v>
      </c>
      <c r="BL950" s="120">
        <f t="shared" si="402"/>
        <v>20033</v>
      </c>
      <c r="BN950" s="5" t="s">
        <v>3154</v>
      </c>
      <c r="BY950" s="63">
        <f t="shared" si="401"/>
        <v>867</v>
      </c>
    </row>
    <row r="951" spans="1:82" hidden="1" outlineLevel="1">
      <c r="A951" t="s">
        <v>2681</v>
      </c>
      <c r="B951" t="s">
        <v>457</v>
      </c>
      <c r="C951" s="1">
        <f t="shared" si="390"/>
        <v>12621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5</v>
      </c>
      <c r="G951" s="132">
        <f t="shared" si="391"/>
        <v>4719</v>
      </c>
      <c r="H951" s="137">
        <f t="shared" si="392"/>
        <v>0.37390064178749705</v>
      </c>
      <c r="I951" s="2"/>
      <c r="J951" s="2">
        <f t="shared" si="393"/>
        <v>0.2813564693764361</v>
      </c>
      <c r="K951" s="2">
        <f t="shared" si="394"/>
        <v>0.65525711116393315</v>
      </c>
      <c r="L951" s="2">
        <f t="shared" si="395"/>
        <v>2.535456778385231E-3</v>
      </c>
      <c r="M951" s="2">
        <f t="shared" si="396"/>
        <v>6.085096268124552E-2</v>
      </c>
      <c r="N951" s="63">
        <v>3551</v>
      </c>
      <c r="O951" s="63">
        <v>8270</v>
      </c>
      <c r="P951" s="63">
        <v>32</v>
      </c>
      <c r="Q951" s="63">
        <v>479</v>
      </c>
      <c r="R951" s="63">
        <v>275</v>
      </c>
      <c r="S951" s="63">
        <v>12</v>
      </c>
      <c r="T951" s="63"/>
      <c r="U951" s="63"/>
      <c r="V951" s="63"/>
      <c r="W951" s="63">
        <f>IF(Copyright!B$11=1,IF(CA951&gt;0,CA951-P951-SUM(S951:V951)-SUM(X951:AO951)-AQ951,SUM(CB951:CI951)),SUM(CC951:CI951))</f>
        <v>0</v>
      </c>
      <c r="X951" s="63"/>
      <c r="Y951" s="63">
        <v>2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W951" s="5">
        <f>IF(Q951&gt;0,RANK(Q951,(N951:P951,Q951:AE951)),0)</f>
        <v>3</v>
      </c>
      <c r="AX951" s="5">
        <f>IF(R951&gt;0,RANK(R951,(N951:P951,Q951:AE951)),0)</f>
        <v>4</v>
      </c>
      <c r="AY951" s="5">
        <f>IF(T951&gt;0,RANK(T951,(N951:P951,Q951:AE951)),0)</f>
        <v>0</v>
      </c>
      <c r="AZ951" s="5">
        <f>IF(S951&gt;0,RANK(S951,(N951:P951,Q951:AE951)),0)</f>
        <v>6</v>
      </c>
      <c r="BA951" s="2">
        <f t="shared" si="397"/>
        <v>3.7952618651453926E-2</v>
      </c>
      <c r="BB951" s="2">
        <f t="shared" si="398"/>
        <v>2.1789081689248077E-2</v>
      </c>
      <c r="BC951" s="2">
        <f t="shared" si="399"/>
        <v>0</v>
      </c>
      <c r="BD951" s="2">
        <f t="shared" si="400"/>
        <v>9.5079629189446157E-4</v>
      </c>
      <c r="BF951" t="s">
        <v>2681</v>
      </c>
      <c r="BG951" t="s">
        <v>457</v>
      </c>
      <c r="BH951">
        <v>4</v>
      </c>
      <c r="BJ951" s="114">
        <v>20</v>
      </c>
      <c r="BK951" s="116">
        <v>35</v>
      </c>
      <c r="BL951" s="120">
        <f t="shared" si="402"/>
        <v>20035</v>
      </c>
      <c r="BN951" s="5" t="s">
        <v>3154</v>
      </c>
      <c r="BY951" s="63">
        <f t="shared" si="401"/>
        <v>12621</v>
      </c>
    </row>
    <row r="952" spans="1:82" hidden="1" outlineLevel="1">
      <c r="A952" t="s">
        <v>1875</v>
      </c>
      <c r="B952" t="s">
        <v>457</v>
      </c>
      <c r="C952" s="1">
        <f t="shared" si="390"/>
        <v>14891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5</v>
      </c>
      <c r="G952" s="132">
        <f t="shared" si="391"/>
        <v>3425</v>
      </c>
      <c r="H952" s="137">
        <f t="shared" si="392"/>
        <v>0.23000470082600227</v>
      </c>
      <c r="I952" s="2"/>
      <c r="J952" s="2">
        <f t="shared" si="393"/>
        <v>0.34913706265529515</v>
      </c>
      <c r="K952" s="2">
        <f t="shared" si="394"/>
        <v>0.57914176348129742</v>
      </c>
      <c r="L952" s="2">
        <f t="shared" si="395"/>
        <v>3.6263514874756565E-3</v>
      </c>
      <c r="M952" s="2">
        <f t="shared" si="396"/>
        <v>6.8094822375931716E-2</v>
      </c>
      <c r="N952" s="63">
        <v>5199</v>
      </c>
      <c r="O952" s="63">
        <v>8624</v>
      </c>
      <c r="P952" s="63">
        <v>54</v>
      </c>
      <c r="Q952" s="63">
        <v>672</v>
      </c>
      <c r="R952" s="63">
        <v>314</v>
      </c>
      <c r="S952" s="63">
        <v>28</v>
      </c>
      <c r="T952" s="63"/>
      <c r="U952" s="63"/>
      <c r="V952" s="63"/>
      <c r="W952" s="63">
        <f>IF(Copyright!B$11=1,IF(CA952&gt;0,CA952-P952-SUM(S952:V952)-SUM(X952:AO952)-AQ952,SUM(CB952:CI952)),SUM(CC952:CI952))</f>
        <v>0</v>
      </c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W952" s="5">
        <f>IF(Q952&gt;0,RANK(Q952,(N952:P952,Q952:AE952)),0)</f>
        <v>3</v>
      </c>
      <c r="AX952" s="5">
        <f>IF(R952&gt;0,RANK(R952,(N952:P952,Q952:AE952)),0)</f>
        <v>4</v>
      </c>
      <c r="AY952" s="5">
        <f>IF(T952&gt;0,RANK(T952,(N952:P952,Q952:AE952)),0)</f>
        <v>0</v>
      </c>
      <c r="AZ952" s="5">
        <f>IF(S952&gt;0,RANK(S952,(N952:P952,Q952:AE952)),0)</f>
        <v>6</v>
      </c>
      <c r="BA952" s="2">
        <f t="shared" si="397"/>
        <v>4.5127929621919277E-2</v>
      </c>
      <c r="BB952" s="2">
        <f t="shared" si="398"/>
        <v>2.1086562353099188E-2</v>
      </c>
      <c r="BC952" s="2">
        <f t="shared" si="399"/>
        <v>0</v>
      </c>
      <c r="BD952" s="2">
        <f t="shared" si="400"/>
        <v>1.8803304009133034E-3</v>
      </c>
      <c r="BF952" t="s">
        <v>1875</v>
      </c>
      <c r="BG952" t="s">
        <v>457</v>
      </c>
      <c r="BH952">
        <v>2</v>
      </c>
      <c r="BJ952" s="114">
        <v>20</v>
      </c>
      <c r="BK952" s="116">
        <v>37</v>
      </c>
      <c r="BL952" s="120">
        <f t="shared" si="402"/>
        <v>20037</v>
      </c>
      <c r="BN952" s="5" t="s">
        <v>3154</v>
      </c>
      <c r="BY952" s="63">
        <f t="shared" si="401"/>
        <v>14891</v>
      </c>
    </row>
    <row r="953" spans="1:82" hidden="1" outlineLevel="1">
      <c r="A953" t="s">
        <v>1934</v>
      </c>
      <c r="B953" t="s">
        <v>457</v>
      </c>
      <c r="C953" s="1">
        <f t="shared" si="390"/>
        <v>1452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5</v>
      </c>
      <c r="G953" s="132">
        <f t="shared" si="391"/>
        <v>1032</v>
      </c>
      <c r="H953" s="137">
        <f t="shared" si="392"/>
        <v>0.71074380165289253</v>
      </c>
      <c r="I953" s="2"/>
      <c r="J953" s="2">
        <f t="shared" si="393"/>
        <v>0.12258953168044077</v>
      </c>
      <c r="K953" s="2">
        <f t="shared" si="394"/>
        <v>0.83333333333333337</v>
      </c>
      <c r="L953" s="2">
        <f t="shared" si="395"/>
        <v>6.8870523415977963E-4</v>
      </c>
      <c r="M953" s="2">
        <f t="shared" si="396"/>
        <v>4.3388429752066117E-2</v>
      </c>
      <c r="N953" s="63">
        <v>178</v>
      </c>
      <c r="O953" s="63">
        <v>1210</v>
      </c>
      <c r="P953" s="63">
        <v>1</v>
      </c>
      <c r="Q953" s="63">
        <v>42</v>
      </c>
      <c r="R953" s="63">
        <v>20</v>
      </c>
      <c r="S953" s="63">
        <v>1</v>
      </c>
      <c r="T953" s="63"/>
      <c r="U953" s="63"/>
      <c r="V953" s="63"/>
      <c r="W953" s="63">
        <f>IF(Copyright!B$11=1,IF(CA953&gt;0,CA953-P953-SUM(S953:V953)-SUM(X953:AO953)-AQ953,SUM(CB953:CI953)),SUM(CC953:CI953))</f>
        <v>0</v>
      </c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W953" s="5">
        <f>IF(Q953&gt;0,RANK(Q953,(N953:P953,Q953:AE953)),0)</f>
        <v>3</v>
      </c>
      <c r="AX953" s="5">
        <f>IF(R953&gt;0,RANK(R953,(N953:P953,Q953:AE953)),0)</f>
        <v>4</v>
      </c>
      <c r="AY953" s="5">
        <f>IF(T953&gt;0,RANK(T953,(N953:P953,Q953:AE953)),0)</f>
        <v>0</v>
      </c>
      <c r="AZ953" s="5">
        <f>IF(S953&gt;0,RANK(S953,(N953:P953,Q953:AE953)),0)</f>
        <v>5</v>
      </c>
      <c r="BA953" s="2">
        <f t="shared" si="397"/>
        <v>2.8925619834710745E-2</v>
      </c>
      <c r="BB953" s="2">
        <f t="shared" si="398"/>
        <v>1.3774104683195593E-2</v>
      </c>
      <c r="BC953" s="2">
        <f t="shared" si="399"/>
        <v>0</v>
      </c>
      <c r="BD953" s="2">
        <f t="shared" si="400"/>
        <v>6.8870523415977963E-4</v>
      </c>
      <c r="BF953" t="s">
        <v>1934</v>
      </c>
      <c r="BG953" t="s">
        <v>457</v>
      </c>
      <c r="BH953">
        <v>1</v>
      </c>
      <c r="BJ953" s="114">
        <v>20</v>
      </c>
      <c r="BK953" s="116">
        <v>39</v>
      </c>
      <c r="BL953" s="120">
        <f t="shared" si="402"/>
        <v>20039</v>
      </c>
      <c r="BN953" s="5" t="s">
        <v>3154</v>
      </c>
      <c r="BY953" s="63">
        <f t="shared" si="401"/>
        <v>1452</v>
      </c>
    </row>
    <row r="954" spans="1:82" hidden="1" outlineLevel="1">
      <c r="A954" t="s">
        <v>1047</v>
      </c>
      <c r="B954" t="s">
        <v>457</v>
      </c>
      <c r="C954" s="1">
        <f t="shared" si="390"/>
        <v>8210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5</v>
      </c>
      <c r="G954" s="132">
        <f t="shared" si="391"/>
        <v>4420</v>
      </c>
      <c r="H954" s="137">
        <f t="shared" si="392"/>
        <v>0.53836784409256999</v>
      </c>
      <c r="I954" s="2"/>
      <c r="J954" s="2">
        <f t="shared" si="393"/>
        <v>0.19598051157125457</v>
      </c>
      <c r="K954" s="2">
        <f t="shared" si="394"/>
        <v>0.73434835566382461</v>
      </c>
      <c r="L954" s="2">
        <f t="shared" si="395"/>
        <v>2.5578562728380025E-3</v>
      </c>
      <c r="M954" s="2">
        <f t="shared" si="396"/>
        <v>6.7113276492082874E-2</v>
      </c>
      <c r="N954" s="63">
        <v>1609</v>
      </c>
      <c r="O954" s="63">
        <v>6029</v>
      </c>
      <c r="P954" s="63">
        <v>21</v>
      </c>
      <c r="Q954" s="63">
        <v>369</v>
      </c>
      <c r="R954" s="63">
        <v>169</v>
      </c>
      <c r="S954" s="63">
        <v>11</v>
      </c>
      <c r="T954" s="63"/>
      <c r="U954" s="63"/>
      <c r="V954" s="63"/>
      <c r="W954" s="63">
        <f>IF(Copyright!B$11=1,IF(CA954&gt;0,CA954-P954-SUM(S954:V954)-SUM(X954:AO954)-AQ954,SUM(CB954:CI954)),SUM(CC954:CI954))</f>
        <v>1</v>
      </c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>
        <v>1</v>
      </c>
      <c r="AO954" s="63"/>
      <c r="AP954" s="63"/>
      <c r="AQ954" s="63"/>
      <c r="AR954" s="63"/>
      <c r="AS954" s="63"/>
      <c r="AT954" s="63"/>
      <c r="AU954" s="63"/>
      <c r="AW954" s="5">
        <f>IF(Q954&gt;0,RANK(Q954,(N954:P954,Q954:AE954)),0)</f>
        <v>3</v>
      </c>
      <c r="AX954" s="5">
        <f>IF(R954&gt;0,RANK(R954,(N954:P954,Q954:AE954)),0)</f>
        <v>4</v>
      </c>
      <c r="AY954" s="5">
        <f>IF(T954&gt;0,RANK(T954,(N954:P954,Q954:AE954)),0)</f>
        <v>0</v>
      </c>
      <c r="AZ954" s="5">
        <f>IF(S954&gt;0,RANK(S954,(N954:P954,Q954:AE954)),0)</f>
        <v>6</v>
      </c>
      <c r="BA954" s="2">
        <f t="shared" si="397"/>
        <v>4.4945188794153469E-2</v>
      </c>
      <c r="BB954" s="2">
        <f t="shared" si="398"/>
        <v>2.0584652862362971E-2</v>
      </c>
      <c r="BC954" s="2">
        <f t="shared" si="399"/>
        <v>0</v>
      </c>
      <c r="BD954" s="2">
        <f t="shared" si="400"/>
        <v>1.3398294762484776E-3</v>
      </c>
      <c r="BF954" t="s">
        <v>1047</v>
      </c>
      <c r="BG954" t="s">
        <v>457</v>
      </c>
      <c r="BH954">
        <v>1</v>
      </c>
      <c r="BJ954" s="114">
        <v>20</v>
      </c>
      <c r="BK954" s="116">
        <v>41</v>
      </c>
      <c r="BL954" s="120">
        <f t="shared" si="402"/>
        <v>20041</v>
      </c>
      <c r="BN954" s="5" t="s">
        <v>3154</v>
      </c>
      <c r="BY954" s="63">
        <f t="shared" si="401"/>
        <v>8210</v>
      </c>
      <c r="CD954" s="63">
        <v>1</v>
      </c>
    </row>
    <row r="955" spans="1:82" hidden="1" outlineLevel="1">
      <c r="A955" t="s">
        <v>1538</v>
      </c>
      <c r="B955" t="s">
        <v>457</v>
      </c>
      <c r="C955" s="1">
        <f t="shared" si="390"/>
        <v>3378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>IF(P955&gt;0,RANK(P955,(N955:P955,Q955:AE955)),0)</f>
        <v>5</v>
      </c>
      <c r="G955" s="132">
        <f t="shared" si="391"/>
        <v>2019</v>
      </c>
      <c r="H955" s="137">
        <f t="shared" si="392"/>
        <v>0.59769094138543521</v>
      </c>
      <c r="I955" s="2"/>
      <c r="J955" s="2">
        <f t="shared" si="393"/>
        <v>0.17377146240378921</v>
      </c>
      <c r="K955" s="2">
        <f t="shared" si="394"/>
        <v>0.77146240378922437</v>
      </c>
      <c r="L955" s="2">
        <f t="shared" si="395"/>
        <v>5.9206631142687976E-4</v>
      </c>
      <c r="M955" s="2">
        <f t="shared" si="396"/>
        <v>5.4174067495559593E-2</v>
      </c>
      <c r="N955" s="63">
        <v>587</v>
      </c>
      <c r="O955" s="63">
        <v>2606</v>
      </c>
      <c r="P955" s="63">
        <v>2</v>
      </c>
      <c r="Q955" s="63">
        <v>125</v>
      </c>
      <c r="R955" s="63">
        <v>56</v>
      </c>
      <c r="S955" s="63"/>
      <c r="T955" s="63"/>
      <c r="U955" s="63"/>
      <c r="V955" s="63"/>
      <c r="W955" s="63">
        <f>IF(Copyright!B$11=1,IF(CA955&gt;0,CA955-P955-SUM(S955:V955)-SUM(X955:AO955)-AQ955,SUM(CB955:CI955)),SUM(CC955:CI955))</f>
        <v>0</v>
      </c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>
        <v>2</v>
      </c>
      <c r="AO955" s="63"/>
      <c r="AP955" s="63"/>
      <c r="AQ955" s="63"/>
      <c r="AR955" s="63"/>
      <c r="AS955" s="63"/>
      <c r="AT955" s="63"/>
      <c r="AU955" s="63"/>
      <c r="AW955" s="5">
        <f>IF(Q955&gt;0,RANK(Q955,(N955:P955,Q955:AE955)),0)</f>
        <v>3</v>
      </c>
      <c r="AX955" s="5">
        <f>IF(R955&gt;0,RANK(R955,(N955:P955,Q955:AE955)),0)</f>
        <v>4</v>
      </c>
      <c r="AY955" s="5">
        <f>IF(T955&gt;0,RANK(T955,(N955:P955,Q955:AE955)),0)</f>
        <v>0</v>
      </c>
      <c r="AZ955" s="5">
        <f>IF(S955&gt;0,RANK(S955,(N955:P955,Q955:AE955)),0)</f>
        <v>0</v>
      </c>
      <c r="BA955" s="2">
        <f t="shared" si="397"/>
        <v>3.7004144464179989E-2</v>
      </c>
      <c r="BB955" s="2">
        <f t="shared" si="398"/>
        <v>1.6577856719952634E-2</v>
      </c>
      <c r="BC955" s="2">
        <f t="shared" si="399"/>
        <v>0</v>
      </c>
      <c r="BD955" s="2">
        <f t="shared" si="400"/>
        <v>0</v>
      </c>
      <c r="BF955" t="s">
        <v>1538</v>
      </c>
      <c r="BG955" t="s">
        <v>457</v>
      </c>
      <c r="BH955">
        <v>2</v>
      </c>
      <c r="BJ955" s="114">
        <v>20</v>
      </c>
      <c r="BK955" s="116">
        <v>43</v>
      </c>
      <c r="BL955" s="120">
        <f t="shared" si="402"/>
        <v>20043</v>
      </c>
      <c r="BN955" s="5" t="s">
        <v>3154</v>
      </c>
      <c r="BY955" s="63">
        <f t="shared" si="401"/>
        <v>3378</v>
      </c>
    </row>
    <row r="956" spans="1:82" hidden="1" outlineLevel="1">
      <c r="A956" t="s">
        <v>1148</v>
      </c>
      <c r="B956" t="s">
        <v>457</v>
      </c>
      <c r="C956" s="1">
        <f t="shared" si="390"/>
        <v>50087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>IF(P956&gt;0,RANK(P956,(N956:P956,Q956:AE956)),0)</f>
        <v>5</v>
      </c>
      <c r="G956" s="132">
        <f t="shared" si="391"/>
        <v>16507</v>
      </c>
      <c r="H956" s="137">
        <f t="shared" si="392"/>
        <v>0.32956655419569947</v>
      </c>
      <c r="I956" s="2"/>
      <c r="J956" s="2">
        <f t="shared" si="393"/>
        <v>0.62281629963862883</v>
      </c>
      <c r="K956" s="2">
        <f t="shared" si="394"/>
        <v>0.29324974544292931</v>
      </c>
      <c r="L956" s="2">
        <f t="shared" si="395"/>
        <v>3.9730868289176834E-3</v>
      </c>
      <c r="M956" s="2">
        <f t="shared" si="396"/>
        <v>7.996086808952417E-2</v>
      </c>
      <c r="N956" s="63">
        <v>31195</v>
      </c>
      <c r="O956" s="63">
        <v>14688</v>
      </c>
      <c r="P956" s="63">
        <v>199</v>
      </c>
      <c r="Q956" s="63">
        <v>2429</v>
      </c>
      <c r="R956" s="63">
        <v>1555</v>
      </c>
      <c r="S956" s="63">
        <v>8</v>
      </c>
      <c r="T956" s="63">
        <v>2</v>
      </c>
      <c r="U956" s="63"/>
      <c r="V956" s="63">
        <v>2</v>
      </c>
      <c r="W956" s="63">
        <f>IF(Copyright!B$11=1,IF(CA956&gt;0,CA956-P956-SUM(S956:V956)-SUM(X956:AO956)-AQ956,SUM(CB956:CI956)),SUM(CC956:CI956))</f>
        <v>0</v>
      </c>
      <c r="X956" s="63"/>
      <c r="Y956" s="63">
        <v>1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>
        <v>8</v>
      </c>
      <c r="AO956" s="63"/>
      <c r="AP956" s="63"/>
      <c r="AQ956" s="63"/>
      <c r="AR956" s="63"/>
      <c r="AS956" s="63"/>
      <c r="AT956" s="63"/>
      <c r="AU956" s="63"/>
      <c r="AW956" s="5">
        <f>IF(Q956&gt;0,RANK(Q956,(N956:P956,Q956:AE956)),0)</f>
        <v>3</v>
      </c>
      <c r="AX956" s="5">
        <f>IF(R956&gt;0,RANK(R956,(N956:P956,Q956:AE956)),0)</f>
        <v>4</v>
      </c>
      <c r="AY956" s="5">
        <f>IF(T956&gt;0,RANK(T956,(N956:P956,Q956:AE956)),0)</f>
        <v>7</v>
      </c>
      <c r="AZ956" s="5">
        <f>IF(S956&gt;0,RANK(S956,(N956:P956,Q956:AE956)),0)</f>
        <v>6</v>
      </c>
      <c r="BA956" s="2">
        <f t="shared" si="397"/>
        <v>4.8495617625331923E-2</v>
      </c>
      <c r="BB956" s="2">
        <f t="shared" si="398"/>
        <v>3.1045979994809032E-2</v>
      </c>
      <c r="BC956" s="2">
        <f t="shared" si="399"/>
        <v>3.9930520893645057E-5</v>
      </c>
      <c r="BD956" s="2">
        <f t="shared" si="400"/>
        <v>1.5972208357458023E-4</v>
      </c>
      <c r="BF956" t="s">
        <v>1148</v>
      </c>
      <c r="BG956" t="s">
        <v>457</v>
      </c>
      <c r="BH956">
        <v>2</v>
      </c>
      <c r="BJ956" s="114">
        <v>20</v>
      </c>
      <c r="BK956" s="116">
        <v>45</v>
      </c>
      <c r="BL956" s="120">
        <f t="shared" si="402"/>
        <v>20045</v>
      </c>
      <c r="BN956" s="5" t="s">
        <v>3154</v>
      </c>
      <c r="BY956" s="63">
        <f t="shared" si="401"/>
        <v>50087</v>
      </c>
    </row>
    <row r="957" spans="1:82" hidden="1" outlineLevel="1">
      <c r="A957" t="s">
        <v>2115</v>
      </c>
      <c r="B957" t="s">
        <v>457</v>
      </c>
      <c r="C957" s="1">
        <f t="shared" si="390"/>
        <v>1319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5</v>
      </c>
      <c r="G957" s="132">
        <f t="shared" si="391"/>
        <v>825</v>
      </c>
      <c r="H957" s="137">
        <f t="shared" si="392"/>
        <v>0.62547384382107662</v>
      </c>
      <c r="I957" s="2"/>
      <c r="J957" s="2">
        <f t="shared" si="393"/>
        <v>0.16072782410917361</v>
      </c>
      <c r="K957" s="2">
        <f t="shared" si="394"/>
        <v>0.78620166793025015</v>
      </c>
      <c r="L957" s="2">
        <f t="shared" si="395"/>
        <v>1.5163002274450341E-3</v>
      </c>
      <c r="M957" s="2">
        <f t="shared" si="396"/>
        <v>5.1554207733131185E-2</v>
      </c>
      <c r="N957" s="63">
        <v>212</v>
      </c>
      <c r="O957" s="63">
        <v>1037</v>
      </c>
      <c r="P957" s="63">
        <v>2</v>
      </c>
      <c r="Q957" s="63">
        <v>33</v>
      </c>
      <c r="R957" s="63">
        <v>34</v>
      </c>
      <c r="S957" s="63">
        <v>1</v>
      </c>
      <c r="T957" s="63"/>
      <c r="U957" s="63"/>
      <c r="V957" s="63"/>
      <c r="W957" s="63">
        <f>IF(Copyright!B$11=1,IF(CA957&gt;0,CA957-P957-SUM(S957:V957)-SUM(X957:AO957)-AQ957,SUM(CB957:CI957)),SUM(CC957:CI957))</f>
        <v>0</v>
      </c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W957" s="5">
        <f>IF(Q957&gt;0,RANK(Q957,(N957:P957,Q957:AE957)),0)</f>
        <v>4</v>
      </c>
      <c r="AX957" s="5">
        <f>IF(R957&gt;0,RANK(R957,(N957:P957,Q957:AE957)),0)</f>
        <v>3</v>
      </c>
      <c r="AY957" s="5">
        <f>IF(T957&gt;0,RANK(T957,(N957:P957,Q957:AE957)),0)</f>
        <v>0</v>
      </c>
      <c r="AZ957" s="5">
        <f>IF(S957&gt;0,RANK(S957,(N957:P957,Q957:AE957)),0)</f>
        <v>6</v>
      </c>
      <c r="BA957" s="2">
        <f t="shared" si="397"/>
        <v>2.5018953752843062E-2</v>
      </c>
      <c r="BB957" s="2">
        <f t="shared" si="398"/>
        <v>2.5777103866565579E-2</v>
      </c>
      <c r="BC957" s="2">
        <f t="shared" si="399"/>
        <v>0</v>
      </c>
      <c r="BD957" s="2">
        <f t="shared" si="400"/>
        <v>7.5815011372251705E-4</v>
      </c>
      <c r="BF957" t="s">
        <v>2115</v>
      </c>
      <c r="BG957" t="s">
        <v>457</v>
      </c>
      <c r="BH957">
        <v>4</v>
      </c>
      <c r="BJ957" s="114">
        <v>20</v>
      </c>
      <c r="BK957" s="116">
        <v>47</v>
      </c>
      <c r="BL957" s="120">
        <f t="shared" si="402"/>
        <v>20047</v>
      </c>
      <c r="BN957" s="5" t="s">
        <v>3154</v>
      </c>
      <c r="BY957" s="63">
        <f t="shared" si="401"/>
        <v>1319</v>
      </c>
    </row>
    <row r="958" spans="1:82" hidden="1" outlineLevel="1">
      <c r="A958" t="s">
        <v>2116</v>
      </c>
      <c r="B958" t="s">
        <v>457</v>
      </c>
      <c r="C958" s="1">
        <f t="shared" si="390"/>
        <v>1259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32">
        <f t="shared" si="391"/>
        <v>888</v>
      </c>
      <c r="H958" s="137">
        <f t="shared" si="392"/>
        <v>0.70532168387609218</v>
      </c>
      <c r="I958" s="2"/>
      <c r="J958" s="2">
        <f t="shared" si="393"/>
        <v>0.12708498808578236</v>
      </c>
      <c r="K958" s="2">
        <f t="shared" si="394"/>
        <v>0.83240667196187446</v>
      </c>
      <c r="L958" s="2">
        <f t="shared" si="395"/>
        <v>0</v>
      </c>
      <c r="M958" s="2">
        <f t="shared" si="396"/>
        <v>4.0508339952343153E-2</v>
      </c>
      <c r="N958" s="63">
        <v>160</v>
      </c>
      <c r="O958" s="63">
        <v>1048</v>
      </c>
      <c r="P958" s="63"/>
      <c r="Q958" s="63">
        <v>35</v>
      </c>
      <c r="R958" s="63">
        <v>16</v>
      </c>
      <c r="S958" s="63"/>
      <c r="T958" s="63"/>
      <c r="U958" s="63"/>
      <c r="V958" s="63"/>
      <c r="W958" s="63">
        <f>IF(Copyright!B$11=1,IF(CA958&gt;0,CA958-P958-SUM(S958:V958)-SUM(X958:AO958)-AQ958,SUM(CB958:CI958)),SUM(CC958:CI958))</f>
        <v>0</v>
      </c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W958" s="5">
        <f>IF(Q958&gt;0,RANK(Q958,(N958:P958,Q958:AE958)),0)</f>
        <v>3</v>
      </c>
      <c r="AX958" s="5">
        <f>IF(R958&gt;0,RANK(R958,(N958:P958,Q958:AE958)),0)</f>
        <v>4</v>
      </c>
      <c r="AY958" s="5">
        <f>IF(T958&gt;0,RANK(T958,(N958:P958,Q958:AE958)),0)</f>
        <v>0</v>
      </c>
      <c r="AZ958" s="5">
        <f>IF(S958&gt;0,RANK(S958,(N958:P958,Q958:AE958)),0)</f>
        <v>0</v>
      </c>
      <c r="BA958" s="2">
        <f t="shared" si="397"/>
        <v>2.7799841143764891E-2</v>
      </c>
      <c r="BB958" s="2">
        <f t="shared" si="398"/>
        <v>1.2708498808578236E-2</v>
      </c>
      <c r="BC958" s="2">
        <f t="shared" si="399"/>
        <v>0</v>
      </c>
      <c r="BD958" s="2">
        <f t="shared" si="400"/>
        <v>0</v>
      </c>
      <c r="BF958" t="s">
        <v>2116</v>
      </c>
      <c r="BG958" t="s">
        <v>457</v>
      </c>
      <c r="BH958">
        <v>4</v>
      </c>
      <c r="BJ958" s="114">
        <v>20</v>
      </c>
      <c r="BK958" s="116">
        <v>49</v>
      </c>
      <c r="BL958" s="120">
        <f t="shared" si="402"/>
        <v>20049</v>
      </c>
      <c r="BN958" s="5" t="s">
        <v>3154</v>
      </c>
      <c r="BY958" s="63">
        <f t="shared" si="401"/>
        <v>1259</v>
      </c>
    </row>
    <row r="959" spans="1:82" hidden="1" outlineLevel="1">
      <c r="A959" t="s">
        <v>2381</v>
      </c>
      <c r="B959" t="s">
        <v>457</v>
      </c>
      <c r="C959" s="1">
        <f t="shared" si="390"/>
        <v>11947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5</v>
      </c>
      <c r="G959" s="132">
        <f t="shared" si="391"/>
        <v>5724</v>
      </c>
      <c r="H959" s="137">
        <f t="shared" si="392"/>
        <v>0.47911609609106887</v>
      </c>
      <c r="I959" s="2"/>
      <c r="J959" s="2">
        <f t="shared" si="393"/>
        <v>0.22951368544404452</v>
      </c>
      <c r="K959" s="2">
        <f t="shared" si="394"/>
        <v>0.70862978153511347</v>
      </c>
      <c r="L959" s="2">
        <f t="shared" si="395"/>
        <v>3.0133087804469741E-3</v>
      </c>
      <c r="M959" s="2">
        <f t="shared" si="396"/>
        <v>5.8843224240395064E-2</v>
      </c>
      <c r="N959" s="63">
        <v>2742</v>
      </c>
      <c r="O959" s="63">
        <v>8466</v>
      </c>
      <c r="P959" s="63">
        <v>36</v>
      </c>
      <c r="Q959" s="63">
        <v>464</v>
      </c>
      <c r="R959" s="63">
        <v>237</v>
      </c>
      <c r="S959" s="63">
        <v>1</v>
      </c>
      <c r="T959" s="63"/>
      <c r="U959" s="63"/>
      <c r="V959" s="63"/>
      <c r="W959" s="63">
        <f>IF(Copyright!B$11=1,IF(CA959&gt;0,CA959-P959-SUM(S959:V959)-SUM(X959:AO959)-AQ959,SUM(CB959:CI959)),SUM(CC959:CI959))</f>
        <v>0</v>
      </c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>
        <v>1</v>
      </c>
      <c r="AO959" s="63"/>
      <c r="AP959" s="63"/>
      <c r="AQ959" s="63"/>
      <c r="AR959" s="63"/>
      <c r="AS959" s="63"/>
      <c r="AT959" s="63"/>
      <c r="AU959" s="63"/>
      <c r="AW959" s="5">
        <f>IF(Q959&gt;0,RANK(Q959,(N959:P959,Q959:AE959)),0)</f>
        <v>3</v>
      </c>
      <c r="AX959" s="5">
        <f>IF(R959&gt;0,RANK(R959,(N959:P959,Q959:AE959)),0)</f>
        <v>4</v>
      </c>
      <c r="AY959" s="5">
        <f>IF(T959&gt;0,RANK(T959,(N959:P959,Q959:AE959)),0)</f>
        <v>0</v>
      </c>
      <c r="AZ959" s="5">
        <f>IF(S959&gt;0,RANK(S959,(N959:P959,Q959:AE959)),0)</f>
        <v>6</v>
      </c>
      <c r="BA959" s="2">
        <f t="shared" si="397"/>
        <v>3.8838202059094336E-2</v>
      </c>
      <c r="BB959" s="2">
        <f t="shared" si="398"/>
        <v>1.983761613794258E-2</v>
      </c>
      <c r="BC959" s="2">
        <f t="shared" si="399"/>
        <v>0</v>
      </c>
      <c r="BD959" s="2">
        <f t="shared" si="400"/>
        <v>8.370302167908261E-5</v>
      </c>
      <c r="BF959" t="s">
        <v>2381</v>
      </c>
      <c r="BG959" t="s">
        <v>457</v>
      </c>
      <c r="BH959">
        <v>1</v>
      </c>
      <c r="BJ959" s="114">
        <v>20</v>
      </c>
      <c r="BK959" s="116">
        <v>51</v>
      </c>
      <c r="BL959" s="120">
        <f t="shared" si="402"/>
        <v>20051</v>
      </c>
      <c r="BN959" s="5" t="s">
        <v>3154</v>
      </c>
      <c r="BY959" s="63">
        <f t="shared" si="401"/>
        <v>11947</v>
      </c>
    </row>
    <row r="960" spans="1:82" hidden="1" outlineLevel="1">
      <c r="A960" t="s">
        <v>1466</v>
      </c>
      <c r="B960" t="s">
        <v>457</v>
      </c>
      <c r="C960" s="1">
        <f t="shared" si="390"/>
        <v>2679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5</v>
      </c>
      <c r="G960" s="132">
        <f t="shared" si="391"/>
        <v>1448</v>
      </c>
      <c r="H960" s="137">
        <f t="shared" si="392"/>
        <v>0.54050018663680477</v>
      </c>
      <c r="I960" s="2"/>
      <c r="J960" s="2">
        <f t="shared" si="393"/>
        <v>0.1944755505785741</v>
      </c>
      <c r="K960" s="2">
        <f t="shared" si="394"/>
        <v>0.7349757372153789</v>
      </c>
      <c r="L960" s="2">
        <f t="shared" si="395"/>
        <v>2.6129152668906306E-3</v>
      </c>
      <c r="M960" s="2">
        <f t="shared" si="396"/>
        <v>6.7935796939156343E-2</v>
      </c>
      <c r="N960" s="63">
        <v>521</v>
      </c>
      <c r="O960" s="63">
        <v>1969</v>
      </c>
      <c r="P960" s="63">
        <v>7</v>
      </c>
      <c r="Q960" s="63">
        <v>107</v>
      </c>
      <c r="R960" s="63">
        <v>74</v>
      </c>
      <c r="S960" s="63"/>
      <c r="T960" s="63"/>
      <c r="U960" s="63"/>
      <c r="V960" s="63"/>
      <c r="W960" s="63">
        <f>IF(Copyright!B$11=1,IF(CA960&gt;0,CA960-P960-SUM(S960:V960)-SUM(X960:AO960)-AQ960,SUM(CB960:CI960)),SUM(CC960:CI960))</f>
        <v>0</v>
      </c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>
        <v>1</v>
      </c>
      <c r="AO960" s="63"/>
      <c r="AP960" s="63"/>
      <c r="AQ960" s="63"/>
      <c r="AR960" s="63"/>
      <c r="AS960" s="63"/>
      <c r="AT960" s="63"/>
      <c r="AU960" s="63"/>
      <c r="AW960" s="5">
        <f>IF(Q960&gt;0,RANK(Q960,(N960:P960,Q960:AE960)),0)</f>
        <v>3</v>
      </c>
      <c r="AX960" s="5">
        <f>IF(R960&gt;0,RANK(R960,(N960:P960,Q960:AE960)),0)</f>
        <v>4</v>
      </c>
      <c r="AY960" s="5">
        <f>IF(T960&gt;0,RANK(T960,(N960:P960,Q960:AE960)),0)</f>
        <v>0</v>
      </c>
      <c r="AZ960" s="5">
        <f>IF(S960&gt;0,RANK(S960,(N960:P960,Q960:AE960)),0)</f>
        <v>0</v>
      </c>
      <c r="BA960" s="2">
        <f t="shared" si="397"/>
        <v>3.9940276222471073E-2</v>
      </c>
      <c r="BB960" s="2">
        <f t="shared" si="398"/>
        <v>2.7622247107129527E-2</v>
      </c>
      <c r="BC960" s="2">
        <f t="shared" si="399"/>
        <v>0</v>
      </c>
      <c r="BD960" s="2">
        <f t="shared" si="400"/>
        <v>0</v>
      </c>
      <c r="BF960" t="s">
        <v>1466</v>
      </c>
      <c r="BG960" t="s">
        <v>457</v>
      </c>
      <c r="BH960">
        <v>1</v>
      </c>
      <c r="BJ960" s="114">
        <v>20</v>
      </c>
      <c r="BK960" s="116">
        <v>53</v>
      </c>
      <c r="BL960" s="120">
        <f t="shared" si="402"/>
        <v>20053</v>
      </c>
      <c r="BN960" s="5" t="s">
        <v>3154</v>
      </c>
      <c r="BY960" s="63">
        <f t="shared" si="401"/>
        <v>2679</v>
      </c>
    </row>
    <row r="961" spans="1:77" hidden="1" outlineLevel="1">
      <c r="A961" t="s">
        <v>1802</v>
      </c>
      <c r="B961" t="s">
        <v>457</v>
      </c>
      <c r="C961" s="1">
        <f t="shared" si="390"/>
        <v>10159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5</v>
      </c>
      <c r="G961" s="132">
        <f t="shared" si="391"/>
        <v>3155</v>
      </c>
      <c r="H961" s="137">
        <f t="shared" si="392"/>
        <v>0.31056206319519636</v>
      </c>
      <c r="I961" s="2"/>
      <c r="J961" s="2">
        <f t="shared" si="393"/>
        <v>0.31449945860813072</v>
      </c>
      <c r="K961" s="2">
        <f t="shared" si="394"/>
        <v>0.62506152180332708</v>
      </c>
      <c r="L961" s="2">
        <f t="shared" si="395"/>
        <v>9.8434885323358591E-4</v>
      </c>
      <c r="M961" s="2">
        <f t="shared" si="396"/>
        <v>5.9454670735308669E-2</v>
      </c>
      <c r="N961" s="63">
        <v>3195</v>
      </c>
      <c r="O961" s="63">
        <v>6350</v>
      </c>
      <c r="P961" s="63">
        <v>10</v>
      </c>
      <c r="Q961" s="63">
        <v>424</v>
      </c>
      <c r="R961" s="63">
        <v>180</v>
      </c>
      <c r="S961" s="63"/>
      <c r="T961" s="63"/>
      <c r="U961" s="63"/>
      <c r="V961" s="63"/>
      <c r="W961" s="63">
        <f>IF(Copyright!B$11=1,IF(CA961&gt;0,CA961-P961-SUM(S961:V961)-SUM(X961:AO961)-AQ961,SUM(CB961:CI961)),SUM(CC961:CI961))</f>
        <v>0</v>
      </c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W961" s="5">
        <f>IF(Q961&gt;0,RANK(Q961,(N961:P961,Q961:AE961)),0)</f>
        <v>3</v>
      </c>
      <c r="AX961" s="5">
        <f>IF(R961&gt;0,RANK(R961,(N961:P961,Q961:AE961)),0)</f>
        <v>4</v>
      </c>
      <c r="AY961" s="5">
        <f>IF(T961&gt;0,RANK(T961,(N961:P961,Q961:AE961)),0)</f>
        <v>0</v>
      </c>
      <c r="AZ961" s="5">
        <f>IF(S961&gt;0,RANK(S961,(N961:P961,Q961:AE961)),0)</f>
        <v>0</v>
      </c>
      <c r="BA961" s="2">
        <f t="shared" si="397"/>
        <v>4.1736391377104047E-2</v>
      </c>
      <c r="BB961" s="2">
        <f t="shared" si="398"/>
        <v>1.7718279358204549E-2</v>
      </c>
      <c r="BC961" s="2">
        <f t="shared" si="399"/>
        <v>0</v>
      </c>
      <c r="BD961" s="2">
        <f t="shared" si="400"/>
        <v>0</v>
      </c>
      <c r="BF961" t="s">
        <v>1802</v>
      </c>
      <c r="BG961" t="s">
        <v>457</v>
      </c>
      <c r="BH961">
        <v>1</v>
      </c>
      <c r="BJ961" s="114">
        <v>20</v>
      </c>
      <c r="BK961" s="116">
        <v>55</v>
      </c>
      <c r="BL961" s="120">
        <f t="shared" si="402"/>
        <v>20055</v>
      </c>
      <c r="BN961" s="5" t="s">
        <v>3154</v>
      </c>
      <c r="BY961" s="63">
        <f t="shared" si="401"/>
        <v>10159</v>
      </c>
    </row>
    <row r="962" spans="1:77" hidden="1" outlineLevel="1">
      <c r="A962" t="s">
        <v>780</v>
      </c>
      <c r="B962" t="s">
        <v>457</v>
      </c>
      <c r="C962" s="1">
        <f t="shared" si="390"/>
        <v>7718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5</v>
      </c>
      <c r="G962" s="132">
        <f t="shared" si="391"/>
        <v>2965</v>
      </c>
      <c r="H962" s="137">
        <f t="shared" si="392"/>
        <v>0.38416688261207566</v>
      </c>
      <c r="I962" s="2"/>
      <c r="J962" s="2">
        <f t="shared" si="393"/>
        <v>0.27844001036537963</v>
      </c>
      <c r="K962" s="2">
        <f t="shared" si="394"/>
        <v>0.66260689297745534</v>
      </c>
      <c r="L962" s="2">
        <f t="shared" si="395"/>
        <v>4.0165846074112464E-3</v>
      </c>
      <c r="M962" s="2">
        <f t="shared" si="396"/>
        <v>5.4936512049753722E-2</v>
      </c>
      <c r="N962" s="63">
        <v>2149</v>
      </c>
      <c r="O962" s="63">
        <v>5114</v>
      </c>
      <c r="P962" s="63">
        <v>31</v>
      </c>
      <c r="Q962" s="63">
        <v>281</v>
      </c>
      <c r="R962" s="63">
        <v>136</v>
      </c>
      <c r="S962" s="63">
        <v>2</v>
      </c>
      <c r="T962" s="63"/>
      <c r="U962" s="63"/>
      <c r="V962" s="63"/>
      <c r="W962" s="63">
        <f>IF(Copyright!B$11=1,IF(CA962&gt;0,CA962-P962-SUM(S962:V962)-SUM(X962:AO962)-AQ962,SUM(CB962:CI962)),SUM(CC962:CI962))</f>
        <v>0</v>
      </c>
      <c r="X962" s="63"/>
      <c r="Y962" s="63">
        <v>3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>
        <v>2</v>
      </c>
      <c r="AO962" s="63"/>
      <c r="AP962" s="63"/>
      <c r="AQ962" s="63"/>
      <c r="AR962" s="63"/>
      <c r="AS962" s="63"/>
      <c r="AT962" s="63"/>
      <c r="AU962" s="63"/>
      <c r="AW962" s="5">
        <f>IF(Q962&gt;0,RANK(Q962,(N962:P962,Q962:AE962)),0)</f>
        <v>3</v>
      </c>
      <c r="AX962" s="5">
        <f>IF(R962&gt;0,RANK(R962,(N962:P962,Q962:AE962)),0)</f>
        <v>4</v>
      </c>
      <c r="AY962" s="5">
        <f>IF(T962&gt;0,RANK(T962,(N962:P962,Q962:AE962)),0)</f>
        <v>0</v>
      </c>
      <c r="AZ962" s="5">
        <f>IF(S962&gt;0,RANK(S962,(N962:P962,Q962:AE962)),0)</f>
        <v>7</v>
      </c>
      <c r="BA962" s="2">
        <f t="shared" si="397"/>
        <v>3.6408395957501942E-2</v>
      </c>
      <c r="BB962" s="2">
        <f t="shared" si="398"/>
        <v>1.7621145374449341E-2</v>
      </c>
      <c r="BC962" s="2">
        <f t="shared" si="399"/>
        <v>0</v>
      </c>
      <c r="BD962" s="2">
        <f t="shared" si="400"/>
        <v>2.5913449080072558E-4</v>
      </c>
      <c r="BF962" t="s">
        <v>780</v>
      </c>
      <c r="BG962" t="s">
        <v>457</v>
      </c>
      <c r="BH962">
        <v>1</v>
      </c>
      <c r="BJ962" s="114">
        <v>20</v>
      </c>
      <c r="BK962" s="116">
        <v>57</v>
      </c>
      <c r="BL962" s="120">
        <f t="shared" si="402"/>
        <v>20057</v>
      </c>
      <c r="BN962" s="5" t="s">
        <v>3154</v>
      </c>
      <c r="BY962" s="63">
        <f t="shared" si="401"/>
        <v>7718</v>
      </c>
    </row>
    <row r="963" spans="1:77" hidden="1" outlineLevel="1">
      <c r="A963" t="s">
        <v>1138</v>
      </c>
      <c r="B963" t="s">
        <v>457</v>
      </c>
      <c r="C963" s="1">
        <f t="shared" si="390"/>
        <v>10965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5</v>
      </c>
      <c r="G963" s="132">
        <f t="shared" si="391"/>
        <v>4293</v>
      </c>
      <c r="H963" s="137">
        <f t="shared" si="392"/>
        <v>0.39151846785225719</v>
      </c>
      <c r="I963" s="2"/>
      <c r="J963" s="2">
        <f t="shared" si="393"/>
        <v>0.26374829001367989</v>
      </c>
      <c r="K963" s="2">
        <f t="shared" si="394"/>
        <v>0.65526675786593702</v>
      </c>
      <c r="L963" s="2">
        <f t="shared" si="395"/>
        <v>4.4687642498860008E-3</v>
      </c>
      <c r="M963" s="2">
        <f t="shared" si="396"/>
        <v>7.6516187870497146E-2</v>
      </c>
      <c r="N963" s="63">
        <v>2892</v>
      </c>
      <c r="O963" s="63">
        <v>7185</v>
      </c>
      <c r="P963" s="63">
        <v>49</v>
      </c>
      <c r="Q963" s="63">
        <v>568</v>
      </c>
      <c r="R963" s="63">
        <v>265</v>
      </c>
      <c r="S963" s="63">
        <v>6</v>
      </c>
      <c r="T963" s="63"/>
      <c r="U963" s="63"/>
      <c r="V963" s="63"/>
      <c r="W963" s="63">
        <f>IF(Copyright!B$11=1,IF(CA963&gt;0,CA963-P963-SUM(S963:V963)-SUM(X963:AO963)-AQ963,SUM(CB963:CI963)),SUM(CC963:CI963))</f>
        <v>0</v>
      </c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W963" s="5">
        <f>IF(Q963&gt;0,RANK(Q963,(N963:P963,Q963:AE963)),0)</f>
        <v>3</v>
      </c>
      <c r="AX963" s="5">
        <f>IF(R963&gt;0,RANK(R963,(N963:P963,Q963:AE963)),0)</f>
        <v>4</v>
      </c>
      <c r="AY963" s="5">
        <f>IF(T963&gt;0,RANK(T963,(N963:P963,Q963:AE963)),0)</f>
        <v>0</v>
      </c>
      <c r="AZ963" s="5">
        <f>IF(S963&gt;0,RANK(S963,(N963:P963,Q963:AE963)),0)</f>
        <v>6</v>
      </c>
      <c r="BA963" s="2">
        <f t="shared" si="397"/>
        <v>5.1801185590515275E-2</v>
      </c>
      <c r="BB963" s="2">
        <f t="shared" si="398"/>
        <v>2.4167806657546739E-2</v>
      </c>
      <c r="BC963" s="2">
        <f t="shared" si="399"/>
        <v>0</v>
      </c>
      <c r="BD963" s="2">
        <f t="shared" si="400"/>
        <v>5.4719562243502051E-4</v>
      </c>
      <c r="BF963" t="s">
        <v>1138</v>
      </c>
      <c r="BG963" t="s">
        <v>457</v>
      </c>
      <c r="BH963">
        <v>2</v>
      </c>
      <c r="BJ963" s="114">
        <v>20</v>
      </c>
      <c r="BK963" s="116">
        <v>59</v>
      </c>
      <c r="BL963" s="120">
        <f t="shared" si="402"/>
        <v>20059</v>
      </c>
      <c r="BN963" s="5" t="s">
        <v>3154</v>
      </c>
      <c r="BY963" s="63">
        <f t="shared" si="401"/>
        <v>10965</v>
      </c>
    </row>
    <row r="964" spans="1:77" hidden="1" outlineLevel="1">
      <c r="A964" t="s">
        <v>1596</v>
      </c>
      <c r="B964" t="s">
        <v>457</v>
      </c>
      <c r="C964" s="1">
        <f t="shared" si="390"/>
        <v>7504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5</v>
      </c>
      <c r="G964" s="132">
        <f t="shared" si="391"/>
        <v>1552</v>
      </c>
      <c r="H964" s="137">
        <f t="shared" si="392"/>
        <v>0.2068230277185501</v>
      </c>
      <c r="I964" s="2"/>
      <c r="J964" s="2">
        <f t="shared" si="393"/>
        <v>0.36273987206823027</v>
      </c>
      <c r="K964" s="2">
        <f t="shared" si="394"/>
        <v>0.56956289978678043</v>
      </c>
      <c r="L964" s="2">
        <f t="shared" si="395"/>
        <v>3.4648187633262262E-3</v>
      </c>
      <c r="M964" s="2">
        <f t="shared" si="396"/>
        <v>6.4232409381663122E-2</v>
      </c>
      <c r="N964" s="63">
        <v>2722</v>
      </c>
      <c r="O964" s="63">
        <v>4274</v>
      </c>
      <c r="P964" s="63">
        <v>26</v>
      </c>
      <c r="Q964" s="63">
        <v>312</v>
      </c>
      <c r="R964" s="63">
        <v>156</v>
      </c>
      <c r="S964" s="63">
        <v>14</v>
      </c>
      <c r="T964" s="63"/>
      <c r="U964" s="63"/>
      <c r="V964" s="63"/>
      <c r="W964" s="63">
        <f>IF(Copyright!B$11=1,IF(CA964&gt;0,CA964-P964-SUM(S964:V964)-SUM(X964:AO964)-AQ964,SUM(CB964:CI964)),SUM(CC964:CI964))</f>
        <v>0</v>
      </c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W964" s="5">
        <f>IF(Q964&gt;0,RANK(Q964,(N964:P964,Q964:AE964)),0)</f>
        <v>3</v>
      </c>
      <c r="AX964" s="5">
        <f>IF(R964&gt;0,RANK(R964,(N964:P964,Q964:AE964)),0)</f>
        <v>4</v>
      </c>
      <c r="AY964" s="5">
        <f>IF(T964&gt;0,RANK(T964,(N964:P964,Q964:AE964)),0)</f>
        <v>0</v>
      </c>
      <c r="AZ964" s="5">
        <f>IF(S964&gt;0,RANK(S964,(N964:P964,Q964:AE964)),0)</f>
        <v>6</v>
      </c>
      <c r="BA964" s="2">
        <f t="shared" si="397"/>
        <v>4.1577825159914712E-2</v>
      </c>
      <c r="BB964" s="2">
        <f t="shared" si="398"/>
        <v>2.0788912579957356E-2</v>
      </c>
      <c r="BC964" s="2">
        <f t="shared" si="399"/>
        <v>0</v>
      </c>
      <c r="BD964" s="2">
        <f t="shared" si="400"/>
        <v>1.8656716417910447E-3</v>
      </c>
      <c r="BF964" t="s">
        <v>1596</v>
      </c>
      <c r="BG964" t="s">
        <v>457</v>
      </c>
      <c r="BH964">
        <v>1</v>
      </c>
      <c r="BJ964" s="114">
        <v>20</v>
      </c>
      <c r="BK964" s="116">
        <v>61</v>
      </c>
      <c r="BL964" s="120">
        <f t="shared" si="402"/>
        <v>20061</v>
      </c>
      <c r="BN964" s="5" t="s">
        <v>3154</v>
      </c>
      <c r="BY964" s="63">
        <f t="shared" si="401"/>
        <v>7504</v>
      </c>
    </row>
    <row r="965" spans="1:77" hidden="1" outlineLevel="1">
      <c r="A965" t="s">
        <v>1553</v>
      </c>
      <c r="B965" t="s">
        <v>457</v>
      </c>
      <c r="C965" s="1">
        <f t="shared" si="390"/>
        <v>1343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32">
        <f t="shared" si="391"/>
        <v>991</v>
      </c>
      <c r="H965" s="137">
        <f t="shared" si="392"/>
        <v>0.73790022338049144</v>
      </c>
      <c r="I965" s="2"/>
      <c r="J965" s="2">
        <f t="shared" si="393"/>
        <v>0.11094564408041697</v>
      </c>
      <c r="K965" s="2">
        <f t="shared" si="394"/>
        <v>0.8488458674609084</v>
      </c>
      <c r="L965" s="2">
        <f t="shared" si="395"/>
        <v>0</v>
      </c>
      <c r="M965" s="2">
        <f t="shared" si="396"/>
        <v>4.020848845867464E-2</v>
      </c>
      <c r="N965" s="63">
        <v>149</v>
      </c>
      <c r="O965" s="63">
        <v>1140</v>
      </c>
      <c r="P965" s="63"/>
      <c r="Q965" s="63">
        <v>41</v>
      </c>
      <c r="R965" s="63">
        <v>13</v>
      </c>
      <c r="S965" s="63"/>
      <c r="T965" s="63"/>
      <c r="U965" s="63"/>
      <c r="V965" s="63"/>
      <c r="W965" s="63">
        <f>IF(Copyright!B$11=1,IF(CA965&gt;0,CA965-P965-SUM(S965:V965)-SUM(X965:AO965)-AQ965,SUM(CB965:CI965)),SUM(CC965:CI965))</f>
        <v>0</v>
      </c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W965" s="5">
        <f>IF(Q965&gt;0,RANK(Q965,(N965:P965,Q965:AE965)),0)</f>
        <v>3</v>
      </c>
      <c r="AX965" s="5">
        <f>IF(R965&gt;0,RANK(R965,(N965:P965,Q965:AE965)),0)</f>
        <v>4</v>
      </c>
      <c r="AY965" s="5">
        <f>IF(T965&gt;0,RANK(T965,(N965:P965,Q965:AE965)),0)</f>
        <v>0</v>
      </c>
      <c r="AZ965" s="5">
        <f>IF(S965&gt;0,RANK(S965,(N965:P965,Q965:AE965)),0)</f>
        <v>0</v>
      </c>
      <c r="BA965" s="2">
        <f t="shared" si="397"/>
        <v>3.052866716306776E-2</v>
      </c>
      <c r="BB965" s="2">
        <f t="shared" si="398"/>
        <v>9.6798212956068497E-3</v>
      </c>
      <c r="BC965" s="2">
        <f t="shared" si="399"/>
        <v>0</v>
      </c>
      <c r="BD965" s="2">
        <f t="shared" si="400"/>
        <v>0</v>
      </c>
      <c r="BF965" t="s">
        <v>1553</v>
      </c>
      <c r="BG965" t="s">
        <v>457</v>
      </c>
      <c r="BH965">
        <v>1</v>
      </c>
      <c r="BJ965" s="114">
        <v>20</v>
      </c>
      <c r="BK965" s="116">
        <v>63</v>
      </c>
      <c r="BL965" s="120">
        <f t="shared" si="402"/>
        <v>20063</v>
      </c>
      <c r="BN965" s="5" t="s">
        <v>3154</v>
      </c>
      <c r="BY965" s="63">
        <f t="shared" si="401"/>
        <v>1343</v>
      </c>
    </row>
    <row r="966" spans="1:77" hidden="1" outlineLevel="1">
      <c r="A966" t="s">
        <v>938</v>
      </c>
      <c r="B966" t="s">
        <v>457</v>
      </c>
      <c r="C966" s="1">
        <f t="shared" ref="C966:C997" si="403">SUM(N966:AU966)</f>
        <v>1284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5</v>
      </c>
      <c r="G966" s="132">
        <f t="shared" ref="G966:G997" si="404">IF(C966&gt;0,MAX(N966:P966)-LARGE(N966:P966,2),0)</f>
        <v>837</v>
      </c>
      <c r="H966" s="137">
        <f t="shared" ref="H966:H997" si="405">IF(C966&gt;0,G966/C966,0)</f>
        <v>0.65186915887850472</v>
      </c>
      <c r="I966" s="2"/>
      <c r="J966" s="2">
        <f t="shared" ref="J966:J997" si="406">IF($C966=0,"-",N966/$C966)</f>
        <v>0.14641744548286603</v>
      </c>
      <c r="K966" s="2">
        <f t="shared" ref="K966:K997" si="407">IF($C966=0,"-",O966/$C966)</f>
        <v>0.79828660436137067</v>
      </c>
      <c r="L966" s="2">
        <f t="shared" ref="L966:L997" si="408">IF($C966=0,"-",P966/$C966)</f>
        <v>2.3364485981308409E-3</v>
      </c>
      <c r="M966" s="2">
        <f t="shared" ref="M966:M997" si="409">IF(C966=0,"-",(1-J966-K966-L966))</f>
        <v>5.2959501557632432E-2</v>
      </c>
      <c r="N966" s="63">
        <v>188</v>
      </c>
      <c r="O966" s="63">
        <v>1025</v>
      </c>
      <c r="P966" s="63">
        <v>3</v>
      </c>
      <c r="Q966" s="63">
        <v>38</v>
      </c>
      <c r="R966" s="63">
        <v>30</v>
      </c>
      <c r="S966" s="63"/>
      <c r="T966" s="63"/>
      <c r="U966" s="63"/>
      <c r="V966" s="63"/>
      <c r="W966" s="63">
        <f>IF(Copyright!B$11=1,IF(CA966&gt;0,CA966-P966-SUM(S966:V966)-SUM(X966:AO966)-AQ966,SUM(CB966:CI966)),SUM(CC966:CI966))</f>
        <v>0</v>
      </c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W966" s="5">
        <f>IF(Q966&gt;0,RANK(Q966,(N966:P966,Q966:AE966)),0)</f>
        <v>3</v>
      </c>
      <c r="AX966" s="5">
        <f>IF(R966&gt;0,RANK(R966,(N966:P966,Q966:AE966)),0)</f>
        <v>4</v>
      </c>
      <c r="AY966" s="5">
        <f>IF(T966&gt;0,RANK(T966,(N966:P966,Q966:AE966)),0)</f>
        <v>0</v>
      </c>
      <c r="AZ966" s="5">
        <f>IF(S966&gt;0,RANK(S966,(N966:P966,Q966:AE966)),0)</f>
        <v>0</v>
      </c>
      <c r="BA966" s="2">
        <f t="shared" ref="BA966:BA997" si="410">IF($C966=0,"-",Q966/$C966)</f>
        <v>2.9595015576323987E-2</v>
      </c>
      <c r="BB966" s="2">
        <f t="shared" ref="BB966:BB997" si="411">IF($C966=0,"-",R966/$C966)</f>
        <v>2.336448598130841E-2</v>
      </c>
      <c r="BC966" s="2">
        <f t="shared" ref="BC966:BC997" si="412">IF($C966=0,"-",T966/$C966)</f>
        <v>0</v>
      </c>
      <c r="BD966" s="2">
        <f t="shared" ref="BD966:BD997" si="413">IF($C966=0,"-",S966/$C966)</f>
        <v>0</v>
      </c>
      <c r="BF966" t="s">
        <v>938</v>
      </c>
      <c r="BG966" t="s">
        <v>457</v>
      </c>
      <c r="BH966">
        <v>1</v>
      </c>
      <c r="BJ966" s="114">
        <v>20</v>
      </c>
      <c r="BK966" s="116">
        <v>65</v>
      </c>
      <c r="BL966" s="120">
        <f t="shared" si="402"/>
        <v>20065</v>
      </c>
      <c r="BN966" s="5" t="s">
        <v>3154</v>
      </c>
      <c r="BY966" s="63">
        <f t="shared" si="401"/>
        <v>1284</v>
      </c>
    </row>
    <row r="967" spans="1:77" hidden="1" outlineLevel="1">
      <c r="A967" t="s">
        <v>1417</v>
      </c>
      <c r="B967" t="s">
        <v>457</v>
      </c>
      <c r="C967" s="1">
        <f t="shared" si="403"/>
        <v>2389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5</v>
      </c>
      <c r="G967" s="132">
        <f t="shared" si="404"/>
        <v>1363</v>
      </c>
      <c r="H967" s="137">
        <f t="shared" si="405"/>
        <v>0.5705316031812474</v>
      </c>
      <c r="I967" s="2"/>
      <c r="J967" s="2">
        <f t="shared" si="406"/>
        <v>0.1845960652992884</v>
      </c>
      <c r="K967" s="2">
        <f t="shared" si="407"/>
        <v>0.75512766848053581</v>
      </c>
      <c r="L967" s="2">
        <f t="shared" si="408"/>
        <v>3.7672666387609877E-3</v>
      </c>
      <c r="M967" s="2">
        <f t="shared" si="409"/>
        <v>5.6508999581414802E-2</v>
      </c>
      <c r="N967" s="63">
        <v>441</v>
      </c>
      <c r="O967" s="63">
        <v>1804</v>
      </c>
      <c r="P967" s="63">
        <v>9</v>
      </c>
      <c r="Q967" s="63">
        <v>101</v>
      </c>
      <c r="R967" s="63">
        <v>33</v>
      </c>
      <c r="S967" s="63">
        <v>1</v>
      </c>
      <c r="T967" s="63"/>
      <c r="U967" s="63"/>
      <c r="V967" s="63"/>
      <c r="W967" s="63">
        <f>IF(Copyright!B$11=1,IF(CA967&gt;0,CA967-P967-SUM(S967:V967)-SUM(X967:AO967)-AQ967,SUM(CB967:CI967)),SUM(CC967:CI967))</f>
        <v>0</v>
      </c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W967" s="5">
        <f>IF(Q967&gt;0,RANK(Q967,(N967:P967,Q967:AE967)),0)</f>
        <v>3</v>
      </c>
      <c r="AX967" s="5">
        <f>IF(R967&gt;0,RANK(R967,(N967:P967,Q967:AE967)),0)</f>
        <v>4</v>
      </c>
      <c r="AY967" s="5">
        <f>IF(T967&gt;0,RANK(T967,(N967:P967,Q967:AE967)),0)</f>
        <v>0</v>
      </c>
      <c r="AZ967" s="5">
        <f>IF(S967&gt;0,RANK(S967,(N967:P967,Q967:AE967)),0)</f>
        <v>6</v>
      </c>
      <c r="BA967" s="2">
        <f t="shared" si="410"/>
        <v>4.2277103390539972E-2</v>
      </c>
      <c r="BB967" s="2">
        <f t="shared" si="411"/>
        <v>1.381331100879029E-2</v>
      </c>
      <c r="BC967" s="2">
        <f t="shared" si="412"/>
        <v>0</v>
      </c>
      <c r="BD967" s="2">
        <f t="shared" si="413"/>
        <v>4.1858518208455421E-4</v>
      </c>
      <c r="BF967" t="s">
        <v>1417</v>
      </c>
      <c r="BG967" t="s">
        <v>457</v>
      </c>
      <c r="BH967">
        <v>1</v>
      </c>
      <c r="BJ967" s="114">
        <v>20</v>
      </c>
      <c r="BK967" s="116">
        <v>67</v>
      </c>
      <c r="BL967" s="120">
        <f t="shared" si="402"/>
        <v>20067</v>
      </c>
      <c r="BN967" s="5" t="s">
        <v>3154</v>
      </c>
      <c r="BY967" s="63">
        <f t="shared" si="401"/>
        <v>2389</v>
      </c>
    </row>
    <row r="968" spans="1:77" hidden="1" outlineLevel="1">
      <c r="A968" t="s">
        <v>2207</v>
      </c>
      <c r="B968" t="s">
        <v>457</v>
      </c>
      <c r="C968" s="1">
        <f t="shared" si="403"/>
        <v>2066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32">
        <f t="shared" si="404"/>
        <v>1435</v>
      </c>
      <c r="H968" s="137">
        <f t="shared" si="405"/>
        <v>0.69457889641819937</v>
      </c>
      <c r="I968" s="2"/>
      <c r="J968" s="2">
        <f t="shared" si="406"/>
        <v>0.12729912875121008</v>
      </c>
      <c r="K968" s="2">
        <f t="shared" si="407"/>
        <v>0.82187802516940944</v>
      </c>
      <c r="L968" s="2">
        <f t="shared" si="408"/>
        <v>0</v>
      </c>
      <c r="M968" s="2">
        <f t="shared" si="409"/>
        <v>5.0822846079380479E-2</v>
      </c>
      <c r="N968" s="63">
        <v>263</v>
      </c>
      <c r="O968" s="63">
        <v>1698</v>
      </c>
      <c r="P968" s="63"/>
      <c r="Q968" s="63">
        <v>75</v>
      </c>
      <c r="R968" s="63">
        <v>30</v>
      </c>
      <c r="S968" s="63"/>
      <c r="T968" s="63"/>
      <c r="U968" s="63"/>
      <c r="V968" s="63"/>
      <c r="W968" s="63">
        <f>IF(Copyright!B$11=1,IF(CA968&gt;0,CA968-P968-SUM(S968:V968)-SUM(X968:AO968)-AQ968,SUM(CB968:CI968)),SUM(CC968:CI968))</f>
        <v>0</v>
      </c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W968" s="5">
        <f>IF(Q968&gt;0,RANK(Q968,(N968:P968,Q968:AE968)),0)</f>
        <v>3</v>
      </c>
      <c r="AX968" s="5">
        <f>IF(R968&gt;0,RANK(R968,(N968:P968,Q968:AE968)),0)</f>
        <v>4</v>
      </c>
      <c r="AY968" s="5">
        <f>IF(T968&gt;0,RANK(T968,(N968:P968,Q968:AE968)),0)</f>
        <v>0</v>
      </c>
      <c r="AZ968" s="5">
        <f>IF(S968&gt;0,RANK(S968,(N968:P968,Q968:AE968)),0)</f>
        <v>0</v>
      </c>
      <c r="BA968" s="2">
        <f t="shared" si="410"/>
        <v>3.6302032913843173E-2</v>
      </c>
      <c r="BB968" s="2">
        <f t="shared" si="411"/>
        <v>1.452081316553727E-2</v>
      </c>
      <c r="BC968" s="2">
        <f t="shared" si="412"/>
        <v>0</v>
      </c>
      <c r="BD968" s="2">
        <f t="shared" si="413"/>
        <v>0</v>
      </c>
      <c r="BF968" t="s">
        <v>2207</v>
      </c>
      <c r="BG968" t="s">
        <v>457</v>
      </c>
      <c r="BH968">
        <v>1</v>
      </c>
      <c r="BJ968" s="114">
        <v>20</v>
      </c>
      <c r="BK968" s="116">
        <v>69</v>
      </c>
      <c r="BL968" s="120">
        <f t="shared" si="402"/>
        <v>20069</v>
      </c>
      <c r="BN968" s="5" t="s">
        <v>3154</v>
      </c>
      <c r="BY968" s="63">
        <f t="shared" si="401"/>
        <v>2066</v>
      </c>
    </row>
    <row r="969" spans="1:77" hidden="1" outlineLevel="1">
      <c r="A969" t="s">
        <v>2132</v>
      </c>
      <c r="B969" t="s">
        <v>457</v>
      </c>
      <c r="C969" s="1">
        <f t="shared" si="403"/>
        <v>650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32">
        <f t="shared" si="404"/>
        <v>451</v>
      </c>
      <c r="H969" s="137">
        <f t="shared" si="405"/>
        <v>0.69384615384615389</v>
      </c>
      <c r="I969" s="2"/>
      <c r="J969" s="2">
        <f t="shared" si="406"/>
        <v>0.12769230769230769</v>
      </c>
      <c r="K969" s="2">
        <f t="shared" si="407"/>
        <v>0.82153846153846155</v>
      </c>
      <c r="L969" s="2">
        <f t="shared" si="408"/>
        <v>0</v>
      </c>
      <c r="M969" s="2">
        <f t="shared" si="409"/>
        <v>5.0769230769230789E-2</v>
      </c>
      <c r="N969" s="63">
        <v>83</v>
      </c>
      <c r="O969" s="63">
        <v>534</v>
      </c>
      <c r="P969" s="63"/>
      <c r="Q969" s="63">
        <v>25</v>
      </c>
      <c r="R969" s="63">
        <v>8</v>
      </c>
      <c r="S969" s="63"/>
      <c r="T969" s="63"/>
      <c r="U969" s="63"/>
      <c r="V969" s="63"/>
      <c r="W969" s="63">
        <f>IF(Copyright!B$11=1,IF(CA969&gt;0,CA969-P969-SUM(S969:V969)-SUM(X969:AO969)-AQ969,SUM(CB969:CI969)),SUM(CC969:CI969))</f>
        <v>0</v>
      </c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W969" s="5">
        <f>IF(Q969&gt;0,RANK(Q969,(N969:P969,Q969:AE969)),0)</f>
        <v>3</v>
      </c>
      <c r="AX969" s="5">
        <f>IF(R969&gt;0,RANK(R969,(N969:P969,Q969:AE969)),0)</f>
        <v>4</v>
      </c>
      <c r="AY969" s="5">
        <f>IF(T969&gt;0,RANK(T969,(N969:P969,Q969:AE969)),0)</f>
        <v>0</v>
      </c>
      <c r="AZ969" s="5">
        <f>IF(S969&gt;0,RANK(S969,(N969:P969,Q969:AE969)),0)</f>
        <v>0</v>
      </c>
      <c r="BA969" s="2">
        <f t="shared" si="410"/>
        <v>3.8461538461538464E-2</v>
      </c>
      <c r="BB969" s="2">
        <f t="shared" si="411"/>
        <v>1.2307692307692308E-2</v>
      </c>
      <c r="BC969" s="2">
        <f t="shared" si="412"/>
        <v>0</v>
      </c>
      <c r="BD969" s="2">
        <f t="shared" si="413"/>
        <v>0</v>
      </c>
      <c r="BF969" t="s">
        <v>2132</v>
      </c>
      <c r="BG969" t="s">
        <v>457</v>
      </c>
      <c r="BH969">
        <v>1</v>
      </c>
      <c r="BJ969" s="114">
        <v>20</v>
      </c>
      <c r="BK969" s="116">
        <v>71</v>
      </c>
      <c r="BL969" s="120">
        <f t="shared" si="402"/>
        <v>20071</v>
      </c>
      <c r="BN969" s="5" t="s">
        <v>3154</v>
      </c>
      <c r="BY969" s="63">
        <f t="shared" si="401"/>
        <v>650</v>
      </c>
    </row>
    <row r="970" spans="1:77" hidden="1" outlineLevel="1">
      <c r="A970" t="s">
        <v>652</v>
      </c>
      <c r="B970" t="s">
        <v>457</v>
      </c>
      <c r="C970" s="1">
        <f t="shared" si="403"/>
        <v>2840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5</v>
      </c>
      <c r="G970" s="132">
        <f t="shared" si="404"/>
        <v>1675</v>
      </c>
      <c r="H970" s="137">
        <f t="shared" si="405"/>
        <v>0.58978873239436624</v>
      </c>
      <c r="I970" s="2"/>
      <c r="J970" s="2">
        <f t="shared" si="406"/>
        <v>0.17077464788732394</v>
      </c>
      <c r="K970" s="2">
        <f t="shared" si="407"/>
        <v>0.76056338028169013</v>
      </c>
      <c r="L970" s="2">
        <f t="shared" si="408"/>
        <v>2.8169014084507044E-3</v>
      </c>
      <c r="M970" s="2">
        <f t="shared" si="409"/>
        <v>6.5845070422535179E-2</v>
      </c>
      <c r="N970" s="63">
        <v>485</v>
      </c>
      <c r="O970" s="63">
        <v>2160</v>
      </c>
      <c r="P970" s="63">
        <v>8</v>
      </c>
      <c r="Q970" s="63">
        <v>122</v>
      </c>
      <c r="R970" s="63">
        <v>59</v>
      </c>
      <c r="S970" s="63">
        <v>6</v>
      </c>
      <c r="T970" s="63"/>
      <c r="U970" s="63"/>
      <c r="V970" s="63"/>
      <c r="W970" s="63">
        <f>IF(Copyright!B$11=1,IF(CA970&gt;0,CA970-P970-SUM(S970:V970)-SUM(X970:AO970)-AQ970,SUM(CB970:CI970)),SUM(CC970:CI970))</f>
        <v>0</v>
      </c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W970" s="5">
        <f>IF(Q970&gt;0,RANK(Q970,(N970:P970,Q970:AE970)),0)</f>
        <v>3</v>
      </c>
      <c r="AX970" s="5">
        <f>IF(R970&gt;0,RANK(R970,(N970:P970,Q970:AE970)),0)</f>
        <v>4</v>
      </c>
      <c r="AY970" s="5">
        <f>IF(T970&gt;0,RANK(T970,(N970:P970,Q970:AE970)),0)</f>
        <v>0</v>
      </c>
      <c r="AZ970" s="5">
        <f>IF(S970&gt;0,RANK(S970,(N970:P970,Q970:AE970)),0)</f>
        <v>6</v>
      </c>
      <c r="BA970" s="2">
        <f t="shared" si="410"/>
        <v>4.2957746478873238E-2</v>
      </c>
      <c r="BB970" s="2">
        <f t="shared" si="411"/>
        <v>2.0774647887323944E-2</v>
      </c>
      <c r="BC970" s="2">
        <f t="shared" si="412"/>
        <v>0</v>
      </c>
      <c r="BD970" s="2">
        <f t="shared" si="413"/>
        <v>2.112676056338028E-3</v>
      </c>
      <c r="BF970" t="s">
        <v>652</v>
      </c>
      <c r="BG970" t="s">
        <v>457</v>
      </c>
      <c r="BH970">
        <v>4</v>
      </c>
      <c r="BJ970" s="114">
        <v>20</v>
      </c>
      <c r="BK970" s="116">
        <v>73</v>
      </c>
      <c r="BL970" s="120">
        <f t="shared" si="402"/>
        <v>20073</v>
      </c>
      <c r="BN970" s="5" t="s">
        <v>3154</v>
      </c>
      <c r="BY970" s="63">
        <f t="shared" si="401"/>
        <v>2840</v>
      </c>
    </row>
    <row r="971" spans="1:77" hidden="1" outlineLevel="1">
      <c r="A971" t="s">
        <v>2646</v>
      </c>
      <c r="B971" t="s">
        <v>457</v>
      </c>
      <c r="C971" s="1">
        <f t="shared" si="403"/>
        <v>876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5</v>
      </c>
      <c r="G971" s="132">
        <f t="shared" si="404"/>
        <v>584</v>
      </c>
      <c r="H971" s="137">
        <f t="shared" si="405"/>
        <v>0.66666666666666663</v>
      </c>
      <c r="I971" s="2"/>
      <c r="J971" s="2">
        <f t="shared" si="406"/>
        <v>0.13812785388127855</v>
      </c>
      <c r="K971" s="2">
        <f t="shared" si="407"/>
        <v>0.8047945205479452</v>
      </c>
      <c r="L971" s="2">
        <f t="shared" si="408"/>
        <v>3.4246575342465752E-3</v>
      </c>
      <c r="M971" s="2">
        <f t="shared" si="409"/>
        <v>5.365296803652965E-2</v>
      </c>
      <c r="N971" s="63">
        <v>121</v>
      </c>
      <c r="O971" s="63">
        <v>705</v>
      </c>
      <c r="P971" s="63">
        <v>3</v>
      </c>
      <c r="Q971" s="63">
        <v>31</v>
      </c>
      <c r="R971" s="63">
        <v>14</v>
      </c>
      <c r="S971" s="63">
        <v>2</v>
      </c>
      <c r="T971" s="63"/>
      <c r="U971" s="63"/>
      <c r="V971" s="63"/>
      <c r="W971" s="63">
        <f>IF(Copyright!B$11=1,IF(CA971&gt;0,CA971-P971-SUM(S971:V971)-SUM(X971:AO971)-AQ971,SUM(CB971:CI971)),SUM(CC971:CI971))</f>
        <v>0</v>
      </c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W971" s="5">
        <f>IF(Q971&gt;0,RANK(Q971,(N971:P971,Q971:AE971)),0)</f>
        <v>3</v>
      </c>
      <c r="AX971" s="5">
        <f>IF(R971&gt;0,RANK(R971,(N971:P971,Q971:AE971)),0)</f>
        <v>4</v>
      </c>
      <c r="AY971" s="5">
        <f>IF(T971&gt;0,RANK(T971,(N971:P971,Q971:AE971)),0)</f>
        <v>0</v>
      </c>
      <c r="AZ971" s="5">
        <f>IF(S971&gt;0,RANK(S971,(N971:P971,Q971:AE971)),0)</f>
        <v>6</v>
      </c>
      <c r="BA971" s="2">
        <f t="shared" si="410"/>
        <v>3.5388127853881277E-2</v>
      </c>
      <c r="BB971" s="2">
        <f t="shared" si="411"/>
        <v>1.5981735159817351E-2</v>
      </c>
      <c r="BC971" s="2">
        <f t="shared" si="412"/>
        <v>0</v>
      </c>
      <c r="BD971" s="2">
        <f t="shared" si="413"/>
        <v>2.2831050228310501E-3</v>
      </c>
      <c r="BF971" t="s">
        <v>2646</v>
      </c>
      <c r="BG971" t="s">
        <v>457</v>
      </c>
      <c r="BH971">
        <v>1</v>
      </c>
      <c r="BJ971" s="114">
        <v>20</v>
      </c>
      <c r="BK971" s="116">
        <v>75</v>
      </c>
      <c r="BL971" s="120">
        <f t="shared" si="402"/>
        <v>20075</v>
      </c>
      <c r="BN971" s="5" t="s">
        <v>3154</v>
      </c>
      <c r="BY971" s="63">
        <f t="shared" si="401"/>
        <v>876</v>
      </c>
    </row>
    <row r="972" spans="1:77" hidden="1" outlineLevel="1">
      <c r="A972" t="s">
        <v>1175</v>
      </c>
      <c r="B972" t="s">
        <v>457</v>
      </c>
      <c r="C972" s="1">
        <f t="shared" si="403"/>
        <v>2578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5</v>
      </c>
      <c r="G972" s="132">
        <f t="shared" si="404"/>
        <v>1603</v>
      </c>
      <c r="H972" s="137">
        <f t="shared" si="405"/>
        <v>0.62179984484096196</v>
      </c>
      <c r="I972" s="2"/>
      <c r="J972" s="2">
        <f t="shared" si="406"/>
        <v>0.15244375484871994</v>
      </c>
      <c r="K972" s="2">
        <f t="shared" si="407"/>
        <v>0.77424359968968193</v>
      </c>
      <c r="L972" s="2">
        <f t="shared" si="408"/>
        <v>4.6547711404189293E-3</v>
      </c>
      <c r="M972" s="2">
        <f t="shared" si="409"/>
        <v>6.8657874321179174E-2</v>
      </c>
      <c r="N972" s="63">
        <v>393</v>
      </c>
      <c r="O972" s="63">
        <v>1996</v>
      </c>
      <c r="P972" s="63">
        <v>12</v>
      </c>
      <c r="Q972" s="63">
        <v>117</v>
      </c>
      <c r="R972" s="63">
        <v>60</v>
      </c>
      <c r="S972" s="63"/>
      <c r="T972" s="63"/>
      <c r="U972" s="63"/>
      <c r="V972" s="63"/>
      <c r="W972" s="63">
        <f>IF(Copyright!B$11=1,IF(CA972&gt;0,CA972-P972-SUM(S972:V972)-SUM(X972:AO972)-AQ972,SUM(CB972:CI972)),SUM(CC972:CI972))</f>
        <v>0</v>
      </c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W972" s="5">
        <f>IF(Q972&gt;0,RANK(Q972,(N972:P972,Q972:AE972)),0)</f>
        <v>3</v>
      </c>
      <c r="AX972" s="5">
        <f>IF(R972&gt;0,RANK(R972,(N972:P972,Q972:AE972)),0)</f>
        <v>4</v>
      </c>
      <c r="AY972" s="5">
        <f>IF(T972&gt;0,RANK(T972,(N972:P972,Q972:AE972)),0)</f>
        <v>0</v>
      </c>
      <c r="AZ972" s="5">
        <f>IF(S972&gt;0,RANK(S972,(N972:P972,Q972:AE972)),0)</f>
        <v>0</v>
      </c>
      <c r="BA972" s="2">
        <f t="shared" si="410"/>
        <v>4.538401861908456E-2</v>
      </c>
      <c r="BB972" s="2">
        <f t="shared" si="411"/>
        <v>2.3273855702094646E-2</v>
      </c>
      <c r="BC972" s="2">
        <f t="shared" si="412"/>
        <v>0</v>
      </c>
      <c r="BD972" s="2">
        <f t="shared" si="413"/>
        <v>0</v>
      </c>
      <c r="BF972" t="s">
        <v>1175</v>
      </c>
      <c r="BG972" t="s">
        <v>457</v>
      </c>
      <c r="BH972">
        <v>4</v>
      </c>
      <c r="BJ972" s="114">
        <v>20</v>
      </c>
      <c r="BK972" s="116">
        <v>77</v>
      </c>
      <c r="BL972" s="120">
        <f t="shared" si="402"/>
        <v>20077</v>
      </c>
      <c r="BN972" s="5" t="s">
        <v>3154</v>
      </c>
      <c r="BY972" s="63">
        <f t="shared" si="401"/>
        <v>2578</v>
      </c>
    </row>
    <row r="973" spans="1:77" hidden="1" outlineLevel="1">
      <c r="A973" t="s">
        <v>956</v>
      </c>
      <c r="B973" t="s">
        <v>457</v>
      </c>
      <c r="C973" s="1">
        <f t="shared" si="403"/>
        <v>14916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5</v>
      </c>
      <c r="G973" s="132">
        <f t="shared" si="404"/>
        <v>3600</v>
      </c>
      <c r="H973" s="137">
        <f t="shared" si="405"/>
        <v>0.24135156878519709</v>
      </c>
      <c r="I973" s="2"/>
      <c r="J973" s="2">
        <f t="shared" si="406"/>
        <v>0.33976937516760525</v>
      </c>
      <c r="K973" s="2">
        <f t="shared" si="407"/>
        <v>0.58112094395280234</v>
      </c>
      <c r="L973" s="2">
        <f t="shared" si="408"/>
        <v>7.8439259855189059E-3</v>
      </c>
      <c r="M973" s="2">
        <f t="shared" si="409"/>
        <v>7.1265754894073566E-2</v>
      </c>
      <c r="N973" s="63">
        <v>5068</v>
      </c>
      <c r="O973" s="63">
        <v>8668</v>
      </c>
      <c r="P973" s="63">
        <v>117</v>
      </c>
      <c r="Q973" s="63">
        <v>684</v>
      </c>
      <c r="R973" s="63">
        <v>370</v>
      </c>
      <c r="S973" s="63">
        <v>8</v>
      </c>
      <c r="T973" s="63"/>
      <c r="U973" s="63"/>
      <c r="V973" s="63"/>
      <c r="W973" s="63">
        <f>IF(Copyright!B$11=1,IF(CA973&gt;0,CA973-P973-SUM(S973:V973)-SUM(X973:AO973)-AQ973,SUM(CB973:CI973)),SUM(CC973:CI973))</f>
        <v>0</v>
      </c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>
        <v>1</v>
      </c>
      <c r="AO973" s="63"/>
      <c r="AP973" s="63"/>
      <c r="AQ973" s="63"/>
      <c r="AR973" s="63"/>
      <c r="AS973" s="63"/>
      <c r="AT973" s="63"/>
      <c r="AU973" s="63"/>
      <c r="AW973" s="5">
        <f>IF(Q973&gt;0,RANK(Q973,(N973:P973,Q973:AE973)),0)</f>
        <v>3</v>
      </c>
      <c r="AX973" s="5">
        <f>IF(R973&gt;0,RANK(R973,(N973:P973,Q973:AE973)),0)</f>
        <v>4</v>
      </c>
      <c r="AY973" s="5">
        <f>IF(T973&gt;0,RANK(T973,(N973:P973,Q973:AE973)),0)</f>
        <v>0</v>
      </c>
      <c r="AZ973" s="5">
        <f>IF(S973&gt;0,RANK(S973,(N973:P973,Q973:AE973)),0)</f>
        <v>6</v>
      </c>
      <c r="BA973" s="2">
        <f t="shared" si="410"/>
        <v>4.5856798069187452E-2</v>
      </c>
      <c r="BB973" s="2">
        <f t="shared" si="411"/>
        <v>2.4805577902923037E-2</v>
      </c>
      <c r="BC973" s="2">
        <f t="shared" si="412"/>
        <v>0</v>
      </c>
      <c r="BD973" s="2">
        <f t="shared" si="413"/>
        <v>5.3633681952266023E-4</v>
      </c>
      <c r="BF973" t="s">
        <v>956</v>
      </c>
      <c r="BG973" t="s">
        <v>457</v>
      </c>
      <c r="BH973">
        <v>4</v>
      </c>
      <c r="BJ973" s="114">
        <v>20</v>
      </c>
      <c r="BK973" s="116">
        <v>79</v>
      </c>
      <c r="BL973" s="120">
        <f t="shared" si="402"/>
        <v>20079</v>
      </c>
      <c r="BN973" s="5" t="s">
        <v>3154</v>
      </c>
      <c r="BY973" s="63">
        <f t="shared" si="401"/>
        <v>14916</v>
      </c>
    </row>
    <row r="974" spans="1:77" hidden="1" outlineLevel="1">
      <c r="A974" t="s">
        <v>2318</v>
      </c>
      <c r="B974" t="s">
        <v>457</v>
      </c>
      <c r="C974" s="1">
        <f t="shared" si="403"/>
        <v>1354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5</v>
      </c>
      <c r="G974" s="132">
        <f t="shared" si="404"/>
        <v>795</v>
      </c>
      <c r="H974" s="137">
        <f t="shared" si="405"/>
        <v>0.58714918759231904</v>
      </c>
      <c r="I974" s="2"/>
      <c r="J974" s="2">
        <f t="shared" si="406"/>
        <v>0.18094534711964549</v>
      </c>
      <c r="K974" s="2">
        <f t="shared" si="407"/>
        <v>0.76809453471196454</v>
      </c>
      <c r="L974" s="2">
        <f t="shared" si="408"/>
        <v>3.692762186115214E-3</v>
      </c>
      <c r="M974" s="2">
        <f t="shared" si="409"/>
        <v>4.7267355982274752E-2</v>
      </c>
      <c r="N974" s="63">
        <v>245</v>
      </c>
      <c r="O974" s="63">
        <v>1040</v>
      </c>
      <c r="P974" s="63">
        <v>5</v>
      </c>
      <c r="Q974" s="63">
        <v>41</v>
      </c>
      <c r="R974" s="63">
        <v>22</v>
      </c>
      <c r="S974" s="63">
        <v>1</v>
      </c>
      <c r="T974" s="63"/>
      <c r="U974" s="63"/>
      <c r="V974" s="63"/>
      <c r="W974" s="63">
        <f>IF(Copyright!B$11=1,IF(CA974&gt;0,CA974-P974-SUM(S974:V974)-SUM(X974:AO974)-AQ974,SUM(CB974:CI974)),SUM(CC974:CI974))</f>
        <v>0</v>
      </c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W974" s="5">
        <f>IF(Q974&gt;0,RANK(Q974,(N974:P974,Q974:AE974)),0)</f>
        <v>3</v>
      </c>
      <c r="AX974" s="5">
        <f>IF(R974&gt;0,RANK(R974,(N974:P974,Q974:AE974)),0)</f>
        <v>4</v>
      </c>
      <c r="AY974" s="5">
        <f>IF(T974&gt;0,RANK(T974,(N974:P974,Q974:AE974)),0)</f>
        <v>0</v>
      </c>
      <c r="AZ974" s="5">
        <f>IF(S974&gt;0,RANK(S974,(N974:P974,Q974:AE974)),0)</f>
        <v>6</v>
      </c>
      <c r="BA974" s="2">
        <f t="shared" si="410"/>
        <v>3.0280649926144758E-2</v>
      </c>
      <c r="BB974" s="2">
        <f t="shared" si="411"/>
        <v>1.6248153618906941E-2</v>
      </c>
      <c r="BC974" s="2">
        <f t="shared" si="412"/>
        <v>0</v>
      </c>
      <c r="BD974" s="2">
        <f t="shared" si="413"/>
        <v>7.3855243722304289E-4</v>
      </c>
      <c r="BF974" t="s">
        <v>2318</v>
      </c>
      <c r="BG974" t="s">
        <v>457</v>
      </c>
      <c r="BH974">
        <v>1</v>
      </c>
      <c r="BJ974" s="114">
        <v>20</v>
      </c>
      <c r="BK974" s="116">
        <v>81</v>
      </c>
      <c r="BL974" s="120">
        <f t="shared" si="402"/>
        <v>20081</v>
      </c>
      <c r="BN974" s="5" t="s">
        <v>3154</v>
      </c>
      <c r="BY974" s="63">
        <f t="shared" si="401"/>
        <v>1354</v>
      </c>
    </row>
    <row r="975" spans="1:77" hidden="1" outlineLevel="1">
      <c r="A975" t="s">
        <v>1385</v>
      </c>
      <c r="B975" t="s">
        <v>457</v>
      </c>
      <c r="C975" s="1">
        <f t="shared" si="403"/>
        <v>1017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32">
        <f t="shared" si="404"/>
        <v>731</v>
      </c>
      <c r="H975" s="137">
        <f t="shared" si="405"/>
        <v>0.71878072763028511</v>
      </c>
      <c r="I975" s="2"/>
      <c r="J975" s="2">
        <f t="shared" si="406"/>
        <v>0.12192723697148476</v>
      </c>
      <c r="K975" s="2">
        <f t="shared" si="407"/>
        <v>0.84070796460176989</v>
      </c>
      <c r="L975" s="2">
        <f t="shared" si="408"/>
        <v>0</v>
      </c>
      <c r="M975" s="2">
        <f t="shared" si="409"/>
        <v>3.7364798426745338E-2</v>
      </c>
      <c r="N975" s="63">
        <v>124</v>
      </c>
      <c r="O975" s="63">
        <v>855</v>
      </c>
      <c r="P975" s="63"/>
      <c r="Q975" s="63">
        <v>21</v>
      </c>
      <c r="R975" s="63">
        <v>17</v>
      </c>
      <c r="S975" s="63"/>
      <c r="T975" s="63"/>
      <c r="U975" s="63"/>
      <c r="V975" s="63"/>
      <c r="W975" s="63">
        <f>IF(Copyright!B$11=1,IF(CA975&gt;0,CA975-P975-SUM(S975:V975)-SUM(X975:AO975)-AQ975,SUM(CB975:CI975)),SUM(CC975:CI975))</f>
        <v>0</v>
      </c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W975" s="5">
        <f>IF(Q975&gt;0,RANK(Q975,(N975:P975,Q975:AE975)),0)</f>
        <v>3</v>
      </c>
      <c r="AX975" s="5">
        <f>IF(R975&gt;0,RANK(R975,(N975:P975,Q975:AE975)),0)</f>
        <v>4</v>
      </c>
      <c r="AY975" s="5">
        <f>IF(T975&gt;0,RANK(T975,(N975:P975,Q975:AE975)),0)</f>
        <v>0</v>
      </c>
      <c r="AZ975" s="5">
        <f>IF(S975&gt;0,RANK(S975,(N975:P975,Q975:AE975)),0)</f>
        <v>0</v>
      </c>
      <c r="BA975" s="2">
        <f t="shared" si="410"/>
        <v>2.0648967551622419E-2</v>
      </c>
      <c r="BB975" s="2">
        <f t="shared" si="411"/>
        <v>1.6715830875122909E-2</v>
      </c>
      <c r="BC975" s="2">
        <f t="shared" si="412"/>
        <v>0</v>
      </c>
      <c r="BD975" s="2">
        <f t="shared" si="413"/>
        <v>0</v>
      </c>
      <c r="BF975" t="s">
        <v>1385</v>
      </c>
      <c r="BG975" t="s">
        <v>457</v>
      </c>
      <c r="BH975">
        <v>1</v>
      </c>
      <c r="BJ975" s="114">
        <v>20</v>
      </c>
      <c r="BK975" s="116">
        <v>83</v>
      </c>
      <c r="BL975" s="120">
        <f t="shared" si="402"/>
        <v>20083</v>
      </c>
      <c r="BN975" s="5" t="s">
        <v>3154</v>
      </c>
      <c r="BY975" s="63">
        <f t="shared" si="401"/>
        <v>1017</v>
      </c>
    </row>
    <row r="976" spans="1:77" hidden="1" outlineLevel="1">
      <c r="A976" t="s">
        <v>2921</v>
      </c>
      <c r="B976" t="s">
        <v>457</v>
      </c>
      <c r="C976" s="1">
        <f t="shared" si="403"/>
        <v>5818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5</v>
      </c>
      <c r="G976" s="132">
        <f t="shared" si="404"/>
        <v>2427</v>
      </c>
      <c r="H976" s="137">
        <f t="shared" si="405"/>
        <v>0.41715366105190788</v>
      </c>
      <c r="I976" s="2"/>
      <c r="J976" s="2">
        <f t="shared" si="406"/>
        <v>0.2598831213475421</v>
      </c>
      <c r="K976" s="2">
        <f t="shared" si="407"/>
        <v>0.67703678239944998</v>
      </c>
      <c r="L976" s="2">
        <f t="shared" si="408"/>
        <v>1.5469233413544173E-3</v>
      </c>
      <c r="M976" s="2">
        <f t="shared" si="409"/>
        <v>6.1533172911653507E-2</v>
      </c>
      <c r="N976" s="63">
        <v>1512</v>
      </c>
      <c r="O976" s="63">
        <v>3939</v>
      </c>
      <c r="P976" s="63">
        <v>9</v>
      </c>
      <c r="Q976" s="63">
        <v>213</v>
      </c>
      <c r="R976" s="63">
        <v>143</v>
      </c>
      <c r="S976" s="63">
        <v>2</v>
      </c>
      <c r="T976" s="63"/>
      <c r="U976" s="63"/>
      <c r="V976" s="63"/>
      <c r="W976" s="63">
        <f>IF(Copyright!B$11=1,IF(CA976&gt;0,CA976-P976-SUM(S976:V976)-SUM(X976:AO976)-AQ976,SUM(CB976:CI976)),SUM(CC976:CI976))</f>
        <v>0</v>
      </c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W976" s="5">
        <f>IF(Q976&gt;0,RANK(Q976,(N976:P976,Q976:AE976)),0)</f>
        <v>3</v>
      </c>
      <c r="AX976" s="5">
        <f>IF(R976&gt;0,RANK(R976,(N976:P976,Q976:AE976)),0)</f>
        <v>4</v>
      </c>
      <c r="AY976" s="5">
        <f>IF(T976&gt;0,RANK(T976,(N976:P976,Q976:AE976)),0)</f>
        <v>0</v>
      </c>
      <c r="AZ976" s="5">
        <f>IF(S976&gt;0,RANK(S976,(N976:P976,Q976:AE976)),0)</f>
        <v>6</v>
      </c>
      <c r="BA976" s="2">
        <f t="shared" si="410"/>
        <v>3.6610519078721211E-2</v>
      </c>
      <c r="BB976" s="2">
        <f t="shared" si="411"/>
        <v>2.4578893090409074E-2</v>
      </c>
      <c r="BC976" s="2">
        <f t="shared" si="412"/>
        <v>0</v>
      </c>
      <c r="BD976" s="2">
        <f t="shared" si="413"/>
        <v>3.4376074252320387E-4</v>
      </c>
      <c r="BF976" t="s">
        <v>2921</v>
      </c>
      <c r="BG976" t="s">
        <v>457</v>
      </c>
      <c r="BH976">
        <v>2</v>
      </c>
      <c r="BJ976" s="114">
        <v>20</v>
      </c>
      <c r="BK976" s="116">
        <v>85</v>
      </c>
      <c r="BL976" s="120">
        <f t="shared" si="402"/>
        <v>20085</v>
      </c>
      <c r="BN976" s="5" t="s">
        <v>3154</v>
      </c>
      <c r="BY976" s="63">
        <f t="shared" si="401"/>
        <v>5818</v>
      </c>
    </row>
    <row r="977" spans="1:86" hidden="1" outlineLevel="1">
      <c r="A977" t="s">
        <v>1092</v>
      </c>
      <c r="B977" t="s">
        <v>457</v>
      </c>
      <c r="C977" s="1">
        <f t="shared" si="403"/>
        <v>8337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5</v>
      </c>
      <c r="G977" s="132">
        <f t="shared" si="404"/>
        <v>2695</v>
      </c>
      <c r="H977" s="137">
        <f t="shared" si="405"/>
        <v>0.32325776658270361</v>
      </c>
      <c r="I977" s="2"/>
      <c r="J977" s="2">
        <f t="shared" si="406"/>
        <v>0.30202710807244815</v>
      </c>
      <c r="K977" s="2">
        <f t="shared" si="407"/>
        <v>0.6252848746551517</v>
      </c>
      <c r="L977" s="2">
        <f t="shared" si="408"/>
        <v>2.9986805805445604E-3</v>
      </c>
      <c r="M977" s="2">
        <f t="shared" si="409"/>
        <v>6.9689336691855591E-2</v>
      </c>
      <c r="N977" s="63">
        <v>2518</v>
      </c>
      <c r="O977" s="63">
        <v>5213</v>
      </c>
      <c r="P977" s="63">
        <v>25</v>
      </c>
      <c r="Q977" s="63">
        <v>384</v>
      </c>
      <c r="R977" s="63">
        <v>185</v>
      </c>
      <c r="S977" s="63">
        <v>8</v>
      </c>
      <c r="T977" s="63"/>
      <c r="U977" s="63"/>
      <c r="V977" s="63"/>
      <c r="W977" s="63">
        <f>IF(Copyright!B$11=1,IF(CA977&gt;0,CA977-P977-SUM(S977:V977)-SUM(X977:AO977)-AQ977,SUM(CB977:CI977)),SUM(CC977:CI977))</f>
        <v>0</v>
      </c>
      <c r="X977" s="63"/>
      <c r="Y977" s="63">
        <v>2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>
        <v>2</v>
      </c>
      <c r="AO977" s="63"/>
      <c r="AP977" s="63"/>
      <c r="AQ977" s="63"/>
      <c r="AR977" s="63"/>
      <c r="AS977" s="63"/>
      <c r="AT977" s="63"/>
      <c r="AU977" s="63"/>
      <c r="AW977" s="5">
        <f>IF(Q977&gt;0,RANK(Q977,(N977:P977,Q977:AE977)),0)</f>
        <v>3</v>
      </c>
      <c r="AX977" s="5">
        <f>IF(R977&gt;0,RANK(R977,(N977:P977,Q977:AE977)),0)</f>
        <v>4</v>
      </c>
      <c r="AY977" s="5">
        <f>IF(T977&gt;0,RANK(T977,(N977:P977,Q977:AE977)),0)</f>
        <v>0</v>
      </c>
      <c r="AZ977" s="5">
        <f>IF(S977&gt;0,RANK(S977,(N977:P977,Q977:AE977)),0)</f>
        <v>6</v>
      </c>
      <c r="BA977" s="2">
        <f t="shared" si="410"/>
        <v>4.6059733717164444E-2</v>
      </c>
      <c r="BB977" s="2">
        <f t="shared" si="411"/>
        <v>2.2190236296029748E-2</v>
      </c>
      <c r="BC977" s="2">
        <f t="shared" si="412"/>
        <v>0</v>
      </c>
      <c r="BD977" s="2">
        <f t="shared" si="413"/>
        <v>9.5957778577425933E-4</v>
      </c>
      <c r="BF977" t="s">
        <v>1092</v>
      </c>
      <c r="BG977" t="s">
        <v>457</v>
      </c>
      <c r="BH977">
        <v>2</v>
      </c>
      <c r="BJ977" s="114">
        <v>20</v>
      </c>
      <c r="BK977" s="116">
        <v>87</v>
      </c>
      <c r="BL977" s="120">
        <f t="shared" si="402"/>
        <v>20087</v>
      </c>
      <c r="BN977" s="5" t="s">
        <v>3154</v>
      </c>
      <c r="BY977" s="63">
        <f t="shared" si="401"/>
        <v>8337</v>
      </c>
    </row>
    <row r="978" spans="1:86" hidden="1" outlineLevel="1">
      <c r="A978" t="s">
        <v>1381</v>
      </c>
      <c r="B978" t="s">
        <v>457</v>
      </c>
      <c r="C978" s="1">
        <f t="shared" si="403"/>
        <v>1494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>IF(P978&gt;0,RANK(P978,(N978:P978,Q978:AE978)),0)</f>
        <v>5</v>
      </c>
      <c r="G978" s="132">
        <f t="shared" si="404"/>
        <v>1043</v>
      </c>
      <c r="H978" s="137">
        <f t="shared" si="405"/>
        <v>0.69812583668005357</v>
      </c>
      <c r="I978" s="2"/>
      <c r="J978" s="2">
        <f t="shared" si="406"/>
        <v>0.12048192771084337</v>
      </c>
      <c r="K978" s="2">
        <f t="shared" si="407"/>
        <v>0.81860776439089689</v>
      </c>
      <c r="L978" s="2">
        <f t="shared" si="408"/>
        <v>1.3386880856760374E-3</v>
      </c>
      <c r="M978" s="2">
        <f t="shared" si="409"/>
        <v>5.9571619812583756E-2</v>
      </c>
      <c r="N978" s="63">
        <v>180</v>
      </c>
      <c r="O978" s="63">
        <v>1223</v>
      </c>
      <c r="P978" s="63">
        <v>2</v>
      </c>
      <c r="Q978" s="63">
        <v>48</v>
      </c>
      <c r="R978" s="63">
        <v>41</v>
      </c>
      <c r="S978" s="63"/>
      <c r="T978" s="63"/>
      <c r="U978" s="63"/>
      <c r="V978" s="63"/>
      <c r="W978" s="63">
        <f>IF(Copyright!B$11=1,IF(CA978&gt;0,CA978-P978-SUM(S978:V978)-SUM(X978:AO978)-AQ978,SUM(CB978:CI978)),SUM(CC978:CI978))</f>
        <v>0</v>
      </c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W978" s="5">
        <f>IF(Q978&gt;0,RANK(Q978,(N978:P978,Q978:AE978)),0)</f>
        <v>3</v>
      </c>
      <c r="AX978" s="5">
        <f>IF(R978&gt;0,RANK(R978,(N978:P978,Q978:AE978)),0)</f>
        <v>4</v>
      </c>
      <c r="AY978" s="5">
        <f>IF(T978&gt;0,RANK(T978,(N978:P978,Q978:AE978)),0)</f>
        <v>0</v>
      </c>
      <c r="AZ978" s="5">
        <f>IF(S978&gt;0,RANK(S978,(N978:P978,Q978:AE978)),0)</f>
        <v>0</v>
      </c>
      <c r="BA978" s="2">
        <f t="shared" si="410"/>
        <v>3.2128514056224897E-2</v>
      </c>
      <c r="BB978" s="2">
        <f t="shared" si="411"/>
        <v>2.744310575635877E-2</v>
      </c>
      <c r="BC978" s="2">
        <f t="shared" si="412"/>
        <v>0</v>
      </c>
      <c r="BD978" s="2">
        <f t="shared" si="413"/>
        <v>0</v>
      </c>
      <c r="BF978" t="s">
        <v>1381</v>
      </c>
      <c r="BG978" t="s">
        <v>457</v>
      </c>
      <c r="BH978">
        <v>1</v>
      </c>
      <c r="BJ978" s="114">
        <v>20</v>
      </c>
      <c r="BK978" s="116">
        <v>89</v>
      </c>
      <c r="BL978" s="120">
        <f t="shared" si="402"/>
        <v>20089</v>
      </c>
      <c r="BN978" s="5" t="s">
        <v>3154</v>
      </c>
      <c r="BY978" s="63">
        <f t="shared" si="401"/>
        <v>1494</v>
      </c>
    </row>
    <row r="979" spans="1:86" hidden="1" outlineLevel="1">
      <c r="A979" t="s">
        <v>1361</v>
      </c>
      <c r="B979" t="s">
        <v>457</v>
      </c>
      <c r="C979" s="1">
        <f t="shared" si="403"/>
        <v>294208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>IF(P979&gt;0,RANK(P979,(N979:P979,Q979:AE979)),0)</f>
        <v>6</v>
      </c>
      <c r="G979" s="132">
        <f t="shared" si="404"/>
        <v>7638</v>
      </c>
      <c r="H979" s="137">
        <f t="shared" si="405"/>
        <v>2.5961224711768545E-2</v>
      </c>
      <c r="I979" s="2"/>
      <c r="J979" s="2">
        <f t="shared" si="406"/>
        <v>0.44136121383510984</v>
      </c>
      <c r="K979" s="2">
        <f t="shared" si="407"/>
        <v>0.46732243854687838</v>
      </c>
      <c r="L979" s="2">
        <f t="shared" si="408"/>
        <v>8.0215357842070914E-3</v>
      </c>
      <c r="M979" s="2">
        <f t="shared" si="409"/>
        <v>8.3294811833804688E-2</v>
      </c>
      <c r="N979" s="63">
        <v>129852</v>
      </c>
      <c r="O979" s="63">
        <v>137490</v>
      </c>
      <c r="P979" s="63">
        <v>2360</v>
      </c>
      <c r="Q979" s="63">
        <v>15156</v>
      </c>
      <c r="R979" s="63">
        <v>5022</v>
      </c>
      <c r="S979" s="63">
        <v>141</v>
      </c>
      <c r="T979" s="63">
        <v>1</v>
      </c>
      <c r="U979" s="63"/>
      <c r="V979" s="63">
        <v>3</v>
      </c>
      <c r="W979" s="63">
        <f>IF(Copyright!B$11=1,IF(CA979&gt;0,CA979-P979-SUM(S979:V979)-SUM(X979:AO979)-AQ979,SUM(CB979:CI979)),SUM(CC979:CI979))</f>
        <v>4128</v>
      </c>
      <c r="X979" s="63"/>
      <c r="Y979" s="63">
        <v>5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>
        <v>1</v>
      </c>
      <c r="AM979" s="63"/>
      <c r="AN979" s="63">
        <v>48</v>
      </c>
      <c r="AO979" s="63"/>
      <c r="AP979" s="63"/>
      <c r="AQ979" s="63">
        <v>1</v>
      </c>
      <c r="AR979" s="63"/>
      <c r="AS979" s="63"/>
      <c r="AT979" s="63"/>
      <c r="AU979" s="63"/>
      <c r="AW979" s="5">
        <f>IF(Q979&gt;0,RANK(Q979,(N979:P979,Q979:AE979)),0)</f>
        <v>3</v>
      </c>
      <c r="AX979" s="5">
        <f>IF(R979&gt;0,RANK(R979,(N979:P979,Q979:AE979)),0)</f>
        <v>4</v>
      </c>
      <c r="AY979" s="5">
        <f>IF(T979&gt;0,RANK(T979,(N979:P979,Q979:AE979)),0)</f>
        <v>10</v>
      </c>
      <c r="AZ979" s="5">
        <f>IF(S979&gt;0,RANK(S979,(N979:P979,Q979:AE979)),0)</f>
        <v>7</v>
      </c>
      <c r="BA979" s="2">
        <f t="shared" si="410"/>
        <v>5.1514574722645201E-2</v>
      </c>
      <c r="BB979" s="2">
        <f t="shared" si="411"/>
        <v>1.7069556232325429E-2</v>
      </c>
      <c r="BC979" s="2">
        <f t="shared" si="412"/>
        <v>3.3989558407657168E-6</v>
      </c>
      <c r="BD979" s="2">
        <f t="shared" si="413"/>
        <v>4.7925277354796608E-4</v>
      </c>
      <c r="BF979" t="s">
        <v>1361</v>
      </c>
      <c r="BG979" t="s">
        <v>457</v>
      </c>
      <c r="BH979">
        <v>3</v>
      </c>
      <c r="BJ979" s="114">
        <v>20</v>
      </c>
      <c r="BK979" s="116">
        <v>91</v>
      </c>
      <c r="BL979" s="120">
        <f t="shared" si="402"/>
        <v>20091</v>
      </c>
      <c r="BN979" s="5" t="s">
        <v>3154</v>
      </c>
      <c r="BY979" s="63">
        <f t="shared" si="401"/>
        <v>0</v>
      </c>
      <c r="BZ979" s="63">
        <v>294208</v>
      </c>
      <c r="CA979" s="63">
        <v>6688</v>
      </c>
      <c r="CD979" s="63">
        <v>1</v>
      </c>
      <c r="CG979" s="8">
        <v>8</v>
      </c>
      <c r="CH979" s="8">
        <v>1</v>
      </c>
    </row>
    <row r="980" spans="1:86" hidden="1" outlineLevel="1">
      <c r="A980" t="s">
        <v>826</v>
      </c>
      <c r="B980" t="s">
        <v>457</v>
      </c>
      <c r="C980" s="1">
        <f t="shared" si="403"/>
        <v>1316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5</v>
      </c>
      <c r="G980" s="132">
        <f t="shared" si="404"/>
        <v>901</v>
      </c>
      <c r="H980" s="137">
        <f t="shared" si="405"/>
        <v>0.68465045592705165</v>
      </c>
      <c r="I980" s="2"/>
      <c r="J980" s="2">
        <f t="shared" si="406"/>
        <v>0.13221884498480244</v>
      </c>
      <c r="K980" s="2">
        <f t="shared" si="407"/>
        <v>0.81686930091185406</v>
      </c>
      <c r="L980" s="2">
        <f t="shared" si="408"/>
        <v>8.3586626139817623E-3</v>
      </c>
      <c r="M980" s="2">
        <f t="shared" si="409"/>
        <v>4.255319148936177E-2</v>
      </c>
      <c r="N980" s="63">
        <v>174</v>
      </c>
      <c r="O980" s="63">
        <v>1075</v>
      </c>
      <c r="P980" s="63">
        <v>11</v>
      </c>
      <c r="Q980" s="63">
        <v>41</v>
      </c>
      <c r="R980" s="63">
        <v>13</v>
      </c>
      <c r="S980" s="63">
        <v>2</v>
      </c>
      <c r="T980" s="63"/>
      <c r="U980" s="63"/>
      <c r="V980" s="63"/>
      <c r="W980" s="63">
        <f>IF(Copyright!B$11=1,IF(CA980&gt;0,CA980-P980-SUM(S980:V980)-SUM(X980:AO980)-AQ980,SUM(CB980:CI980)),SUM(CC980:CI980))</f>
        <v>0</v>
      </c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W980" s="5">
        <f>IF(Q980&gt;0,RANK(Q980,(N980:P980,Q980:AE980)),0)</f>
        <v>3</v>
      </c>
      <c r="AX980" s="5">
        <f>IF(R980&gt;0,RANK(R980,(N980:P980,Q980:AE980)),0)</f>
        <v>4</v>
      </c>
      <c r="AY980" s="5">
        <f>IF(T980&gt;0,RANK(T980,(N980:P980,Q980:AE980)),0)</f>
        <v>0</v>
      </c>
      <c r="AZ980" s="5">
        <f>IF(S980&gt;0,RANK(S980,(N980:P980,Q980:AE980)),0)</f>
        <v>6</v>
      </c>
      <c r="BA980" s="2">
        <f t="shared" si="410"/>
        <v>3.115501519756839E-2</v>
      </c>
      <c r="BB980" s="2">
        <f t="shared" si="411"/>
        <v>9.8784194528875376E-3</v>
      </c>
      <c r="BC980" s="2">
        <f t="shared" si="412"/>
        <v>0</v>
      </c>
      <c r="BD980" s="2">
        <f t="shared" si="413"/>
        <v>1.5197568389057751E-3</v>
      </c>
      <c r="BF980" t="s">
        <v>826</v>
      </c>
      <c r="BG980" t="s">
        <v>457</v>
      </c>
      <c r="BH980">
        <v>1</v>
      </c>
      <c r="BJ980" s="114">
        <v>20</v>
      </c>
      <c r="BK980" s="116">
        <v>93</v>
      </c>
      <c r="BL980" s="120">
        <f t="shared" si="402"/>
        <v>20093</v>
      </c>
      <c r="BN980" s="5" t="s">
        <v>3154</v>
      </c>
      <c r="BY980" s="63">
        <f t="shared" si="401"/>
        <v>1316</v>
      </c>
    </row>
    <row r="981" spans="1:86" hidden="1" outlineLevel="1">
      <c r="A981" t="s">
        <v>1338</v>
      </c>
      <c r="B981" t="s">
        <v>457</v>
      </c>
      <c r="C981" s="1">
        <f t="shared" si="403"/>
        <v>3334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5</v>
      </c>
      <c r="G981" s="132">
        <f t="shared" si="404"/>
        <v>1931</v>
      </c>
      <c r="H981" s="137">
        <f t="shared" si="405"/>
        <v>0.57918416316736654</v>
      </c>
      <c r="I981" s="2"/>
      <c r="J981" s="2">
        <f t="shared" si="406"/>
        <v>0.17966406718656269</v>
      </c>
      <c r="K981" s="2">
        <f t="shared" si="407"/>
        <v>0.75884823035392923</v>
      </c>
      <c r="L981" s="2">
        <f t="shared" si="408"/>
        <v>5.99880023995201E-3</v>
      </c>
      <c r="M981" s="2">
        <f t="shared" si="409"/>
        <v>5.5488902219556067E-2</v>
      </c>
      <c r="N981" s="63">
        <v>599</v>
      </c>
      <c r="O981" s="63">
        <v>2530</v>
      </c>
      <c r="P981" s="63">
        <v>20</v>
      </c>
      <c r="Q981" s="63">
        <v>114</v>
      </c>
      <c r="R981" s="63">
        <v>69</v>
      </c>
      <c r="S981" s="63">
        <v>1</v>
      </c>
      <c r="T981" s="63"/>
      <c r="U981" s="63"/>
      <c r="V981" s="63"/>
      <c r="W981" s="63">
        <f>IF(Copyright!B$11=1,IF(CA981&gt;0,CA981-P981-SUM(S981:V981)-SUM(X981:AO981)-AQ981,SUM(CB981:CI981)),SUM(CC981:CI981))</f>
        <v>0</v>
      </c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>
        <v>1</v>
      </c>
      <c r="AO981" s="63"/>
      <c r="AP981" s="63"/>
      <c r="AQ981" s="63"/>
      <c r="AR981" s="63"/>
      <c r="AS981" s="63"/>
      <c r="AT981" s="63"/>
      <c r="AU981" s="63"/>
      <c r="AW981" s="5">
        <f>IF(Q981&gt;0,RANK(Q981,(N981:P981,Q981:AE981)),0)</f>
        <v>3</v>
      </c>
      <c r="AX981" s="5">
        <f>IF(R981&gt;0,RANK(R981,(N981:P981,Q981:AE981)),0)</f>
        <v>4</v>
      </c>
      <c r="AY981" s="5">
        <f>IF(T981&gt;0,RANK(T981,(N981:P981,Q981:AE981)),0)</f>
        <v>0</v>
      </c>
      <c r="AZ981" s="5">
        <f>IF(S981&gt;0,RANK(S981,(N981:P981,Q981:AE981)),0)</f>
        <v>6</v>
      </c>
      <c r="BA981" s="2">
        <f t="shared" si="410"/>
        <v>3.4193161367726453E-2</v>
      </c>
      <c r="BB981" s="2">
        <f t="shared" si="411"/>
        <v>2.0695860827834433E-2</v>
      </c>
      <c r="BC981" s="2">
        <f t="shared" si="412"/>
        <v>0</v>
      </c>
      <c r="BD981" s="2">
        <f t="shared" si="413"/>
        <v>2.9994001199760045E-4</v>
      </c>
      <c r="BF981" t="s">
        <v>1338</v>
      </c>
      <c r="BG981" t="s">
        <v>457</v>
      </c>
      <c r="BH981">
        <v>4</v>
      </c>
      <c r="BJ981" s="114">
        <v>20</v>
      </c>
      <c r="BK981" s="116">
        <v>95</v>
      </c>
      <c r="BL981" s="120">
        <f t="shared" si="402"/>
        <v>20095</v>
      </c>
      <c r="BN981" s="5" t="s">
        <v>3154</v>
      </c>
      <c r="BY981" s="63">
        <f t="shared" si="401"/>
        <v>3334</v>
      </c>
    </row>
    <row r="982" spans="1:86" hidden="1" outlineLevel="1">
      <c r="A982" t="s">
        <v>1238</v>
      </c>
      <c r="B982" t="s">
        <v>457</v>
      </c>
      <c r="C982" s="1">
        <f t="shared" si="403"/>
        <v>1079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5</v>
      </c>
      <c r="G982" s="132">
        <f t="shared" si="404"/>
        <v>786</v>
      </c>
      <c r="H982" s="137">
        <f t="shared" si="405"/>
        <v>0.72845227062094531</v>
      </c>
      <c r="I982" s="2"/>
      <c r="J982" s="2">
        <f t="shared" si="406"/>
        <v>0.1056533827618165</v>
      </c>
      <c r="K982" s="2">
        <f t="shared" si="407"/>
        <v>0.83410565338276177</v>
      </c>
      <c r="L982" s="2">
        <f t="shared" si="408"/>
        <v>9.2678405931417981E-4</v>
      </c>
      <c r="M982" s="2">
        <f t="shared" si="409"/>
        <v>5.9314179796107591E-2</v>
      </c>
      <c r="N982" s="63">
        <v>114</v>
      </c>
      <c r="O982" s="63">
        <v>900</v>
      </c>
      <c r="P982" s="63">
        <v>1</v>
      </c>
      <c r="Q982" s="63">
        <v>44</v>
      </c>
      <c r="R982" s="63">
        <v>16</v>
      </c>
      <c r="S982" s="63"/>
      <c r="T982" s="63"/>
      <c r="U982" s="63"/>
      <c r="V982" s="63"/>
      <c r="W982" s="63">
        <f>IF(Copyright!B$11=1,IF(CA982&gt;0,CA982-P982-SUM(S982:V982)-SUM(X982:AO982)-AQ982,SUM(CB982:CI982)),SUM(CC982:CI982))</f>
        <v>0</v>
      </c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>
        <v>4</v>
      </c>
      <c r="AO982" s="63"/>
      <c r="AP982" s="63"/>
      <c r="AQ982" s="63"/>
      <c r="AR982" s="63"/>
      <c r="AS982" s="63"/>
      <c r="AT982" s="63"/>
      <c r="AU982" s="63"/>
      <c r="AW982" s="5">
        <f>IF(Q982&gt;0,RANK(Q982,(N982:P982,Q982:AE982)),0)</f>
        <v>3</v>
      </c>
      <c r="AX982" s="5">
        <f>IF(R982&gt;0,RANK(R982,(N982:P982,Q982:AE982)),0)</f>
        <v>4</v>
      </c>
      <c r="AY982" s="5">
        <f>IF(T982&gt;0,RANK(T982,(N982:P982,Q982:AE982)),0)</f>
        <v>0</v>
      </c>
      <c r="AZ982" s="5">
        <f>IF(S982&gt;0,RANK(S982,(N982:P982,Q982:AE982)),0)</f>
        <v>0</v>
      </c>
      <c r="BA982" s="2">
        <f t="shared" si="410"/>
        <v>4.077849860982391E-2</v>
      </c>
      <c r="BB982" s="2">
        <f t="shared" si="411"/>
        <v>1.4828544949026877E-2</v>
      </c>
      <c r="BC982" s="2">
        <f t="shared" si="412"/>
        <v>0</v>
      </c>
      <c r="BD982" s="2">
        <f t="shared" si="413"/>
        <v>0</v>
      </c>
      <c r="BF982" t="s">
        <v>1238</v>
      </c>
      <c r="BG982" t="s">
        <v>457</v>
      </c>
      <c r="BH982">
        <v>4</v>
      </c>
      <c r="BJ982" s="114">
        <v>20</v>
      </c>
      <c r="BK982" s="116">
        <v>97</v>
      </c>
      <c r="BL982" s="120">
        <f t="shared" si="402"/>
        <v>20097</v>
      </c>
      <c r="BN982" s="5" t="s">
        <v>3154</v>
      </c>
      <c r="BY982" s="63">
        <f t="shared" si="401"/>
        <v>1079</v>
      </c>
    </row>
    <row r="983" spans="1:86" hidden="1" outlineLevel="1">
      <c r="A983" t="s">
        <v>3145</v>
      </c>
      <c r="B983" t="s">
        <v>457</v>
      </c>
      <c r="C983" s="1">
        <f t="shared" si="403"/>
        <v>8107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5</v>
      </c>
      <c r="G983" s="132">
        <f t="shared" si="404"/>
        <v>3044</v>
      </c>
      <c r="H983" s="137">
        <f t="shared" si="405"/>
        <v>0.37547798199087207</v>
      </c>
      <c r="I983" s="2"/>
      <c r="J983" s="2">
        <f t="shared" si="406"/>
        <v>0.28259528802269646</v>
      </c>
      <c r="K983" s="2">
        <f t="shared" si="407"/>
        <v>0.65807327001356852</v>
      </c>
      <c r="L983" s="2">
        <f t="shared" si="408"/>
        <v>1.2335019119279634E-3</v>
      </c>
      <c r="M983" s="2">
        <f t="shared" si="409"/>
        <v>5.8097940051807004E-2</v>
      </c>
      <c r="N983" s="63">
        <v>2291</v>
      </c>
      <c r="O983" s="63">
        <v>5335</v>
      </c>
      <c r="P983" s="63">
        <v>10</v>
      </c>
      <c r="Q983" s="63">
        <v>298</v>
      </c>
      <c r="R983" s="63">
        <v>166</v>
      </c>
      <c r="S983" s="63">
        <v>6</v>
      </c>
      <c r="T983" s="63"/>
      <c r="U983" s="63"/>
      <c r="V983" s="63"/>
      <c r="W983" s="63">
        <f>IF(Copyright!B$11=1,IF(CA983&gt;0,CA983-P983-SUM(S983:V983)-SUM(X983:AO983)-AQ983,SUM(CB983:CI983)),SUM(CC983:CI983))</f>
        <v>0</v>
      </c>
      <c r="X983" s="63"/>
      <c r="Y983" s="63">
        <v>1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W983" s="5">
        <f>IF(Q983&gt;0,RANK(Q983,(N983:P983,Q983:AE983)),0)</f>
        <v>3</v>
      </c>
      <c r="AX983" s="5">
        <f>IF(R983&gt;0,RANK(R983,(N983:P983,Q983:AE983)),0)</f>
        <v>4</v>
      </c>
      <c r="AY983" s="5">
        <f>IF(T983&gt;0,RANK(T983,(N983:P983,Q983:AE983)),0)</f>
        <v>0</v>
      </c>
      <c r="AZ983" s="5">
        <f>IF(S983&gt;0,RANK(S983,(N983:P983,Q983:AE983)),0)</f>
        <v>6</v>
      </c>
      <c r="BA983" s="2">
        <f t="shared" si="410"/>
        <v>3.6758356975453314E-2</v>
      </c>
      <c r="BB983" s="2">
        <f t="shared" si="411"/>
        <v>2.0476131738004194E-2</v>
      </c>
      <c r="BC983" s="2">
        <f t="shared" si="412"/>
        <v>0</v>
      </c>
      <c r="BD983" s="2">
        <f t="shared" si="413"/>
        <v>7.4010114715677814E-4</v>
      </c>
      <c r="BF983" t="s">
        <v>3145</v>
      </c>
      <c r="BG983" t="s">
        <v>457</v>
      </c>
      <c r="BH983">
        <v>2</v>
      </c>
      <c r="BJ983" s="114">
        <v>20</v>
      </c>
      <c r="BK983" s="116">
        <v>99</v>
      </c>
      <c r="BL983" s="120">
        <f t="shared" si="402"/>
        <v>20099</v>
      </c>
      <c r="BN983" s="5" t="s">
        <v>3154</v>
      </c>
      <c r="BY983" s="63">
        <f t="shared" si="401"/>
        <v>8107</v>
      </c>
    </row>
    <row r="984" spans="1:86" hidden="1" outlineLevel="1">
      <c r="A984" t="s">
        <v>1863</v>
      </c>
      <c r="B984" t="s">
        <v>457</v>
      </c>
      <c r="C984" s="1">
        <f t="shared" si="403"/>
        <v>871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32">
        <f t="shared" si="404"/>
        <v>612</v>
      </c>
      <c r="H984" s="137">
        <f t="shared" si="405"/>
        <v>0.70264064293915041</v>
      </c>
      <c r="I984" s="2"/>
      <c r="J984" s="2">
        <f t="shared" si="406"/>
        <v>0.12169919632606199</v>
      </c>
      <c r="K984" s="2">
        <f t="shared" si="407"/>
        <v>0.82433983926521237</v>
      </c>
      <c r="L984" s="2">
        <f t="shared" si="408"/>
        <v>0</v>
      </c>
      <c r="M984" s="2">
        <f t="shared" si="409"/>
        <v>5.3960964408725665E-2</v>
      </c>
      <c r="N984" s="63">
        <v>106</v>
      </c>
      <c r="O984" s="63">
        <v>718</v>
      </c>
      <c r="P984" s="63"/>
      <c r="Q984" s="63">
        <v>33</v>
      </c>
      <c r="R984" s="63">
        <v>14</v>
      </c>
      <c r="S984" s="63"/>
      <c r="T984" s="63"/>
      <c r="U984" s="63"/>
      <c r="V984" s="63"/>
      <c r="W984" s="63">
        <f>IF(Copyright!B$11=1,IF(CA984&gt;0,CA984-P984-SUM(S984:V984)-SUM(X984:AO984)-AQ984,SUM(CB984:CI984)),SUM(CC984:CI984))</f>
        <v>0</v>
      </c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W984" s="5">
        <f>IF(Q984&gt;0,RANK(Q984,(N984:P984,Q984:AE984)),0)</f>
        <v>3</v>
      </c>
      <c r="AX984" s="5">
        <f>IF(R984&gt;0,RANK(R984,(N984:P984,Q984:AE984)),0)</f>
        <v>4</v>
      </c>
      <c r="AY984" s="5">
        <f>IF(T984&gt;0,RANK(T984,(N984:P984,Q984:AE984)),0)</f>
        <v>0</v>
      </c>
      <c r="AZ984" s="5">
        <f>IF(S984&gt;0,RANK(S984,(N984:P984,Q984:AE984)),0)</f>
        <v>0</v>
      </c>
      <c r="BA984" s="2">
        <f t="shared" si="410"/>
        <v>3.7887485648679678E-2</v>
      </c>
      <c r="BB984" s="2">
        <f t="shared" si="411"/>
        <v>1.6073478760045924E-2</v>
      </c>
      <c r="BC984" s="2">
        <f t="shared" si="412"/>
        <v>0</v>
      </c>
      <c r="BD984" s="2">
        <f t="shared" si="413"/>
        <v>0</v>
      </c>
      <c r="BF984" t="s">
        <v>1863</v>
      </c>
      <c r="BG984" t="s">
        <v>457</v>
      </c>
      <c r="BH984">
        <v>1</v>
      </c>
      <c r="BJ984" s="114">
        <v>20</v>
      </c>
      <c r="BK984" s="116">
        <v>101</v>
      </c>
      <c r="BL984" s="120">
        <f t="shared" si="402"/>
        <v>20101</v>
      </c>
      <c r="BN984" s="5" t="s">
        <v>3154</v>
      </c>
      <c r="BY984" s="63">
        <f t="shared" si="401"/>
        <v>871</v>
      </c>
    </row>
    <row r="985" spans="1:86" hidden="1" outlineLevel="1">
      <c r="A985" t="s">
        <v>945</v>
      </c>
      <c r="B985" t="s">
        <v>457</v>
      </c>
      <c r="C985" s="1">
        <f t="shared" si="403"/>
        <v>30639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6</v>
      </c>
      <c r="G985" s="132">
        <f t="shared" si="404"/>
        <v>7429</v>
      </c>
      <c r="H985" s="137">
        <f t="shared" si="405"/>
        <v>0.2424687489800581</v>
      </c>
      <c r="I985" s="2"/>
      <c r="J985" s="2">
        <f t="shared" si="406"/>
        <v>0.33320278076960735</v>
      </c>
      <c r="K985" s="2">
        <f t="shared" si="407"/>
        <v>0.57567152974966551</v>
      </c>
      <c r="L985" s="2">
        <f t="shared" si="408"/>
        <v>5.0589118443813436E-3</v>
      </c>
      <c r="M985" s="2">
        <f t="shared" si="409"/>
        <v>8.6066777636345737E-2</v>
      </c>
      <c r="N985" s="63">
        <v>10209</v>
      </c>
      <c r="O985" s="63">
        <v>17638</v>
      </c>
      <c r="P985" s="63">
        <v>155</v>
      </c>
      <c r="Q985" s="63">
        <v>1611</v>
      </c>
      <c r="R985" s="63">
        <v>662</v>
      </c>
      <c r="S985" s="63">
        <v>20</v>
      </c>
      <c r="T985" s="63"/>
      <c r="U985" s="63"/>
      <c r="V985" s="63"/>
      <c r="W985" s="63">
        <f>IF(Copyright!B$11=1,IF(CA985&gt;0,CA985-P985-SUM(S985:V985)-SUM(X985:AO985)-AQ985,SUM(CB985:CI985)),SUM(CC985:CI985))</f>
        <v>338</v>
      </c>
      <c r="X985" s="63"/>
      <c r="Y985" s="63">
        <v>2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>
        <v>4</v>
      </c>
      <c r="AO985" s="63"/>
      <c r="AP985" s="63"/>
      <c r="AQ985" s="63"/>
      <c r="AR985" s="63"/>
      <c r="AS985" s="63"/>
      <c r="AT985" s="63"/>
      <c r="AU985" s="63"/>
      <c r="AW985" s="5">
        <f>IF(Q985&gt;0,RANK(Q985,(N985:P985,Q985:AE985)),0)</f>
        <v>3</v>
      </c>
      <c r="AX985" s="5">
        <f>IF(R985&gt;0,RANK(R985,(N985:P985,Q985:AE985)),0)</f>
        <v>4</v>
      </c>
      <c r="AY985" s="5">
        <f>IF(T985&gt;0,RANK(T985,(N985:P985,Q985:AE985)),0)</f>
        <v>0</v>
      </c>
      <c r="AZ985" s="5">
        <f>IF(S985&gt;0,RANK(S985,(N985:P985,Q985:AE985)),0)</f>
        <v>7</v>
      </c>
      <c r="BA985" s="2">
        <f t="shared" si="410"/>
        <v>5.2580045040634488E-2</v>
      </c>
      <c r="BB985" s="2">
        <f t="shared" si="411"/>
        <v>2.1606449296648064E-2</v>
      </c>
      <c r="BC985" s="2">
        <f t="shared" si="412"/>
        <v>0</v>
      </c>
      <c r="BD985" s="2">
        <f t="shared" si="413"/>
        <v>6.5276281862985085E-4</v>
      </c>
      <c r="BF985" t="s">
        <v>945</v>
      </c>
      <c r="BG985" t="s">
        <v>457</v>
      </c>
      <c r="BH985">
        <v>2</v>
      </c>
      <c r="BJ985" s="114">
        <v>20</v>
      </c>
      <c r="BK985" s="116">
        <v>103</v>
      </c>
      <c r="BL985" s="120">
        <f t="shared" si="402"/>
        <v>20103</v>
      </c>
      <c r="BN985" s="5" t="s">
        <v>3154</v>
      </c>
      <c r="BY985" s="63">
        <f t="shared" si="401"/>
        <v>0</v>
      </c>
      <c r="BZ985" s="63">
        <f>662+17638+10209+1611+519</f>
        <v>30639</v>
      </c>
      <c r="CA985" s="63">
        <v>519</v>
      </c>
    </row>
    <row r="986" spans="1:86" hidden="1" outlineLevel="1">
      <c r="A986" t="s">
        <v>1597</v>
      </c>
      <c r="B986" t="s">
        <v>457</v>
      </c>
      <c r="C986" s="1">
        <f t="shared" si="403"/>
        <v>1464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32">
        <f t="shared" si="404"/>
        <v>964</v>
      </c>
      <c r="H986" s="137">
        <f t="shared" si="405"/>
        <v>0.65846994535519121</v>
      </c>
      <c r="I986" s="2"/>
      <c r="J986" s="2">
        <f t="shared" si="406"/>
        <v>0.14685792349726776</v>
      </c>
      <c r="K986" s="2">
        <f t="shared" si="407"/>
        <v>0.80532786885245899</v>
      </c>
      <c r="L986" s="2">
        <f t="shared" si="408"/>
        <v>0</v>
      </c>
      <c r="M986" s="2">
        <f t="shared" si="409"/>
        <v>4.7814207650273222E-2</v>
      </c>
      <c r="N986" s="63">
        <v>215</v>
      </c>
      <c r="O986" s="63">
        <v>1179</v>
      </c>
      <c r="P986" s="63"/>
      <c r="Q986" s="63">
        <v>41</v>
      </c>
      <c r="R986" s="63">
        <v>29</v>
      </c>
      <c r="S986" s="63"/>
      <c r="T986" s="63"/>
      <c r="U986" s="63"/>
      <c r="V986" s="63"/>
      <c r="W986" s="63">
        <f>IF(Copyright!B$11=1,IF(CA986&gt;0,CA986-P986-SUM(S986:V986)-SUM(X986:AO986)-AQ986,SUM(CB986:CI986)),SUM(CC986:CI986))</f>
        <v>0</v>
      </c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W986" s="5">
        <f>IF(Q986&gt;0,RANK(Q986,(N986:P986,Q986:AE986)),0)</f>
        <v>3</v>
      </c>
      <c r="AX986" s="5">
        <f>IF(R986&gt;0,RANK(R986,(N986:P986,Q986:AE986)),0)</f>
        <v>4</v>
      </c>
      <c r="AY986" s="5">
        <f>IF(T986&gt;0,RANK(T986,(N986:P986,Q986:AE986)),0)</f>
        <v>0</v>
      </c>
      <c r="AZ986" s="5">
        <f>IF(S986&gt;0,RANK(S986,(N986:P986,Q986:AE986)),0)</f>
        <v>0</v>
      </c>
      <c r="BA986" s="2">
        <f t="shared" si="410"/>
        <v>2.8005464480874317E-2</v>
      </c>
      <c r="BB986" s="2">
        <f t="shared" si="411"/>
        <v>1.9808743169398908E-2</v>
      </c>
      <c r="BC986" s="2">
        <f t="shared" si="412"/>
        <v>0</v>
      </c>
      <c r="BD986" s="2">
        <f t="shared" si="413"/>
        <v>0</v>
      </c>
      <c r="BF986" t="s">
        <v>1597</v>
      </c>
      <c r="BG986" t="s">
        <v>457</v>
      </c>
      <c r="BH986">
        <v>1</v>
      </c>
      <c r="BJ986" s="114">
        <v>20</v>
      </c>
      <c r="BK986" s="116">
        <v>105</v>
      </c>
      <c r="BL986" s="120">
        <f t="shared" si="402"/>
        <v>20105</v>
      </c>
      <c r="BN986" s="5" t="s">
        <v>3154</v>
      </c>
      <c r="BY986" s="63">
        <f t="shared" si="401"/>
        <v>1464</v>
      </c>
    </row>
    <row r="987" spans="1:86" hidden="1" outlineLevel="1">
      <c r="A987" t="s">
        <v>1421</v>
      </c>
      <c r="B987" t="s">
        <v>457</v>
      </c>
      <c r="C987" s="1">
        <f t="shared" si="403"/>
        <v>4454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6</v>
      </c>
      <c r="G987" s="132">
        <f t="shared" si="404"/>
        <v>2748</v>
      </c>
      <c r="H987" s="137">
        <f t="shared" si="405"/>
        <v>0.61697350696003594</v>
      </c>
      <c r="I987" s="2"/>
      <c r="J987" s="2">
        <f t="shared" si="406"/>
        <v>0.16524472384373598</v>
      </c>
      <c r="K987" s="2">
        <f t="shared" si="407"/>
        <v>0.78221823080377184</v>
      </c>
      <c r="L987" s="2">
        <f t="shared" si="408"/>
        <v>4.0413111809609343E-3</v>
      </c>
      <c r="M987" s="2">
        <f t="shared" si="409"/>
        <v>4.8495734171531218E-2</v>
      </c>
      <c r="N987" s="63">
        <v>736</v>
      </c>
      <c r="O987" s="63">
        <v>3484</v>
      </c>
      <c r="P987" s="63">
        <v>18</v>
      </c>
      <c r="Q987" s="63">
        <v>119</v>
      </c>
      <c r="R987" s="63">
        <v>65</v>
      </c>
      <c r="S987" s="63">
        <v>4</v>
      </c>
      <c r="T987" s="63"/>
      <c r="U987" s="63"/>
      <c r="V987" s="63"/>
      <c r="W987" s="63">
        <f>IF(Copyright!B$11=1,IF(CA987&gt;0,CA987-P987-SUM(S987:V987)-SUM(X987:AO987)-AQ987,SUM(CB987:CI987)),SUM(CC987:CI987))</f>
        <v>27</v>
      </c>
      <c r="X987" s="63"/>
      <c r="Y987" s="63">
        <v>1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W987" s="5">
        <f>IF(Q987&gt;0,RANK(Q987,(N987:P987,Q987:AE987)),0)</f>
        <v>3</v>
      </c>
      <c r="AX987" s="5">
        <f>IF(R987&gt;0,RANK(R987,(N987:P987,Q987:AE987)),0)</f>
        <v>4</v>
      </c>
      <c r="AY987" s="5">
        <f>IF(T987&gt;0,RANK(T987,(N987:P987,Q987:AE987)),0)</f>
        <v>0</v>
      </c>
      <c r="AZ987" s="5">
        <f>IF(S987&gt;0,RANK(S987,(N987:P987,Q987:AE987)),0)</f>
        <v>7</v>
      </c>
      <c r="BA987" s="2">
        <f t="shared" si="410"/>
        <v>2.6717557251908396E-2</v>
      </c>
      <c r="BB987" s="2">
        <f t="shared" si="411"/>
        <v>1.4593623709025595E-2</v>
      </c>
      <c r="BC987" s="2">
        <f t="shared" si="412"/>
        <v>0</v>
      </c>
      <c r="BD987" s="2">
        <f t="shared" si="413"/>
        <v>8.9806915132465196E-4</v>
      </c>
      <c r="BF987" t="s">
        <v>1421</v>
      </c>
      <c r="BG987" t="s">
        <v>457</v>
      </c>
      <c r="BH987">
        <v>2</v>
      </c>
      <c r="BJ987" s="114">
        <v>20</v>
      </c>
      <c r="BK987" s="116">
        <v>107</v>
      </c>
      <c r="BL987" s="120">
        <f t="shared" si="402"/>
        <v>20107</v>
      </c>
      <c r="BN987" s="5" t="s">
        <v>3154</v>
      </c>
      <c r="BY987" s="63">
        <f t="shared" si="401"/>
        <v>4454</v>
      </c>
      <c r="CA987" s="133">
        <v>50</v>
      </c>
    </row>
    <row r="988" spans="1:86" hidden="1" outlineLevel="1">
      <c r="A988" t="s">
        <v>844</v>
      </c>
      <c r="B988" t="s">
        <v>457</v>
      </c>
      <c r="C988" s="1">
        <f t="shared" si="403"/>
        <v>1357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5</v>
      </c>
      <c r="G988" s="132">
        <f t="shared" si="404"/>
        <v>983</v>
      </c>
      <c r="H988" s="137">
        <f t="shared" si="405"/>
        <v>0.7243920412675019</v>
      </c>
      <c r="I988" s="2"/>
      <c r="J988" s="2">
        <f t="shared" si="406"/>
        <v>0.10980103168754606</v>
      </c>
      <c r="K988" s="2">
        <f t="shared" si="407"/>
        <v>0.83419307295504785</v>
      </c>
      <c r="L988" s="2">
        <f t="shared" si="408"/>
        <v>7.3691967575534268E-4</v>
      </c>
      <c r="M988" s="2">
        <f t="shared" si="409"/>
        <v>5.5268975681650734E-2</v>
      </c>
      <c r="N988" s="63">
        <v>149</v>
      </c>
      <c r="O988" s="63">
        <v>1132</v>
      </c>
      <c r="P988" s="63">
        <v>1</v>
      </c>
      <c r="Q988" s="63">
        <v>47</v>
      </c>
      <c r="R988" s="63">
        <v>28</v>
      </c>
      <c r="S988" s="63"/>
      <c r="T988" s="63"/>
      <c r="U988" s="63"/>
      <c r="V988" s="63"/>
      <c r="W988" s="63">
        <f>IF(Copyright!B$11=1,IF(CA988&gt;0,CA988-P988-SUM(S988:V988)-SUM(X988:AO988)-AQ988,SUM(CB988:CI988)),SUM(CC988:CI988))</f>
        <v>0</v>
      </c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W988" s="5">
        <f>IF(Q988&gt;0,RANK(Q988,(N988:P988,Q988:AE988)),0)</f>
        <v>3</v>
      </c>
      <c r="AX988" s="5">
        <f>IF(R988&gt;0,RANK(R988,(N988:P988,Q988:AE988)),0)</f>
        <v>4</v>
      </c>
      <c r="AY988" s="5">
        <f>IF(T988&gt;0,RANK(T988,(N988:P988,Q988:AE988)),0)</f>
        <v>0</v>
      </c>
      <c r="AZ988" s="5">
        <f>IF(S988&gt;0,RANK(S988,(N988:P988,Q988:AE988)),0)</f>
        <v>0</v>
      </c>
      <c r="BA988" s="2">
        <f t="shared" si="410"/>
        <v>3.4635224760501106E-2</v>
      </c>
      <c r="BB988" s="2">
        <f t="shared" si="411"/>
        <v>2.0633750921149593E-2</v>
      </c>
      <c r="BC988" s="2">
        <f t="shared" si="412"/>
        <v>0</v>
      </c>
      <c r="BD988" s="2">
        <f t="shared" si="413"/>
        <v>0</v>
      </c>
      <c r="BF988" t="s">
        <v>844</v>
      </c>
      <c r="BG988" t="s">
        <v>457</v>
      </c>
      <c r="BH988">
        <v>1</v>
      </c>
      <c r="BJ988" s="114">
        <v>20</v>
      </c>
      <c r="BK988" s="116">
        <v>109</v>
      </c>
      <c r="BL988" s="120">
        <f t="shared" si="402"/>
        <v>20109</v>
      </c>
      <c r="BN988" s="5" t="s">
        <v>3154</v>
      </c>
      <c r="BY988" s="63">
        <f t="shared" si="401"/>
        <v>1357</v>
      </c>
    </row>
    <row r="989" spans="1:86" hidden="1" outlineLevel="1">
      <c r="A989" t="s">
        <v>316</v>
      </c>
      <c r="B989" t="s">
        <v>457</v>
      </c>
      <c r="C989" s="1">
        <f t="shared" si="403"/>
        <v>12472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6</v>
      </c>
      <c r="G989" s="132">
        <f t="shared" si="404"/>
        <v>1903</v>
      </c>
      <c r="H989" s="137">
        <f t="shared" si="405"/>
        <v>0.15258178319435536</v>
      </c>
      <c r="I989" s="2"/>
      <c r="J989" s="2">
        <f t="shared" si="406"/>
        <v>0.37275497113534317</v>
      </c>
      <c r="K989" s="2">
        <f t="shared" si="407"/>
        <v>0.52533675432969851</v>
      </c>
      <c r="L989" s="2">
        <f t="shared" si="408"/>
        <v>6.0936497754971132E-3</v>
      </c>
      <c r="M989" s="2">
        <f t="shared" si="409"/>
        <v>9.5814624759461203E-2</v>
      </c>
      <c r="N989" s="63">
        <v>4649</v>
      </c>
      <c r="O989" s="63">
        <v>6552</v>
      </c>
      <c r="P989" s="63">
        <v>76</v>
      </c>
      <c r="Q989" s="63">
        <v>670</v>
      </c>
      <c r="R989" s="63">
        <v>331</v>
      </c>
      <c r="S989" s="63">
        <v>9</v>
      </c>
      <c r="T989" s="63"/>
      <c r="U989" s="63"/>
      <c r="V989" s="63"/>
      <c r="W989" s="63">
        <f>IF(Copyright!B$11=1,IF(CA989&gt;0,CA989-P989-SUM(S989:V989)-SUM(X989:AO989)-AQ989,SUM(CB989:CI989)),SUM(CC989:CI989))</f>
        <v>184</v>
      </c>
      <c r="X989" s="63"/>
      <c r="Y989" s="63"/>
      <c r="Z989" s="63"/>
      <c r="AA989" s="63"/>
      <c r="AB989" s="63"/>
      <c r="AC989" s="63"/>
      <c r="AD989" s="63">
        <v>1</v>
      </c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W989" s="5">
        <f>IF(Q989&gt;0,RANK(Q989,(N989:P989,Q989:AE989)),0)</f>
        <v>3</v>
      </c>
      <c r="AX989" s="5">
        <f>IF(R989&gt;0,RANK(R989,(N989:P989,Q989:AE989)),0)</f>
        <v>4</v>
      </c>
      <c r="AY989" s="5">
        <f>IF(T989&gt;0,RANK(T989,(N989:P989,Q989:AE989)),0)</f>
        <v>0</v>
      </c>
      <c r="AZ989" s="5">
        <f>IF(S989&gt;0,RANK(S989,(N989:P989,Q989:AE989)),0)</f>
        <v>7</v>
      </c>
      <c r="BA989" s="2">
        <f t="shared" si="410"/>
        <v>5.3720333547145609E-2</v>
      </c>
      <c r="BB989" s="2">
        <f t="shared" si="411"/>
        <v>2.6539448364336114E-2</v>
      </c>
      <c r="BC989" s="2">
        <f t="shared" si="412"/>
        <v>0</v>
      </c>
      <c r="BD989" s="2">
        <f t="shared" si="413"/>
        <v>7.2161642078255291E-4</v>
      </c>
      <c r="BF989" t="s">
        <v>316</v>
      </c>
      <c r="BG989" t="s">
        <v>457</v>
      </c>
      <c r="BH989">
        <v>1</v>
      </c>
      <c r="BJ989" s="114">
        <v>20</v>
      </c>
      <c r="BK989" s="116">
        <v>111</v>
      </c>
      <c r="BL989" s="120">
        <f t="shared" si="402"/>
        <v>20111</v>
      </c>
      <c r="BN989" s="5" t="s">
        <v>3154</v>
      </c>
      <c r="BO989" s="63">
        <v>146</v>
      </c>
      <c r="BY989" s="63">
        <f t="shared" si="401"/>
        <v>0</v>
      </c>
      <c r="BZ989" s="63">
        <v>12472</v>
      </c>
      <c r="CA989" s="63">
        <v>270</v>
      </c>
    </row>
    <row r="990" spans="1:86" hidden="1" outlineLevel="1">
      <c r="A990" t="s">
        <v>1334</v>
      </c>
      <c r="B990" t="s">
        <v>457</v>
      </c>
      <c r="C990" s="1">
        <f t="shared" si="403"/>
        <v>12742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5</v>
      </c>
      <c r="G990" s="132">
        <f t="shared" si="404"/>
        <v>5323</v>
      </c>
      <c r="H990" s="137">
        <f t="shared" si="405"/>
        <v>0.41775231517815098</v>
      </c>
      <c r="I990" s="2"/>
      <c r="J990" s="2">
        <f t="shared" si="406"/>
        <v>0.25317846491916496</v>
      </c>
      <c r="K990" s="2">
        <f t="shared" si="407"/>
        <v>0.67093078009731599</v>
      </c>
      <c r="L990" s="2">
        <f t="shared" si="408"/>
        <v>7.6911002982263379E-3</v>
      </c>
      <c r="M990" s="2">
        <f t="shared" si="409"/>
        <v>6.819965468529271E-2</v>
      </c>
      <c r="N990" s="63">
        <v>3226</v>
      </c>
      <c r="O990" s="63">
        <v>8549</v>
      </c>
      <c r="P990" s="63">
        <v>98</v>
      </c>
      <c r="Q990" s="63">
        <v>574</v>
      </c>
      <c r="R990" s="63">
        <v>295</v>
      </c>
      <c r="S990" s="63"/>
      <c r="T990" s="63"/>
      <c r="U990" s="63"/>
      <c r="V990" s="63"/>
      <c r="W990" s="63">
        <f>IF(Copyright!B$11=1,IF(CA990&gt;0,CA990-P990-SUM(S990:V990)-SUM(X990:AO990)-AQ990,SUM(CB990:CI990)),SUM(CC990:CI990))</f>
        <v>0</v>
      </c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W990" s="5">
        <f>IF(Q990&gt;0,RANK(Q990,(N990:P990,Q990:AE990)),0)</f>
        <v>3</v>
      </c>
      <c r="AX990" s="5">
        <f>IF(R990&gt;0,RANK(R990,(N990:P990,Q990:AE990)),0)</f>
        <v>4</v>
      </c>
      <c r="AY990" s="5">
        <f>IF(T990&gt;0,RANK(T990,(N990:P990,Q990:AE990)),0)</f>
        <v>0</v>
      </c>
      <c r="AZ990" s="5">
        <f>IF(S990&gt;0,RANK(S990,(N990:P990,Q990:AE990)),0)</f>
        <v>0</v>
      </c>
      <c r="BA990" s="2">
        <f t="shared" si="410"/>
        <v>4.5047873175325694E-2</v>
      </c>
      <c r="BB990" s="2">
        <f t="shared" si="411"/>
        <v>2.3151781509967037E-2</v>
      </c>
      <c r="BC990" s="2">
        <f t="shared" si="412"/>
        <v>0</v>
      </c>
      <c r="BD990" s="2">
        <f t="shared" si="413"/>
        <v>0</v>
      </c>
      <c r="BF990" t="s">
        <v>1334</v>
      </c>
      <c r="BG990" t="s">
        <v>457</v>
      </c>
      <c r="BH990">
        <v>1</v>
      </c>
      <c r="BJ990" s="114">
        <v>20</v>
      </c>
      <c r="BK990" s="116">
        <v>113</v>
      </c>
      <c r="BL990" s="120">
        <f t="shared" si="402"/>
        <v>20113</v>
      </c>
      <c r="BN990" s="5" t="s">
        <v>3154</v>
      </c>
      <c r="BY990" s="63">
        <f t="shared" si="401"/>
        <v>12742</v>
      </c>
    </row>
    <row r="991" spans="1:86" hidden="1" outlineLevel="1">
      <c r="A991" t="s">
        <v>1826</v>
      </c>
      <c r="B991" t="s">
        <v>457</v>
      </c>
      <c r="C991" s="1">
        <f t="shared" si="403"/>
        <v>5624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5</v>
      </c>
      <c r="G991" s="132">
        <f t="shared" si="404"/>
        <v>2799</v>
      </c>
      <c r="H991" s="137">
        <f t="shared" si="405"/>
        <v>0.49768847795163584</v>
      </c>
      <c r="I991" s="2"/>
      <c r="J991" s="2">
        <f t="shared" si="406"/>
        <v>0.21408250355618777</v>
      </c>
      <c r="K991" s="2">
        <f t="shared" si="407"/>
        <v>0.71177098150782359</v>
      </c>
      <c r="L991" s="2">
        <f t="shared" si="408"/>
        <v>7.1123755334281651E-3</v>
      </c>
      <c r="M991" s="2">
        <f t="shared" si="409"/>
        <v>6.7034139402560505E-2</v>
      </c>
      <c r="N991" s="63">
        <v>1204</v>
      </c>
      <c r="O991" s="63">
        <v>4003</v>
      </c>
      <c r="P991" s="63">
        <v>40</v>
      </c>
      <c r="Q991" s="63">
        <v>227</v>
      </c>
      <c r="R991" s="63">
        <v>143</v>
      </c>
      <c r="S991" s="63">
        <v>6</v>
      </c>
      <c r="T991" s="63"/>
      <c r="U991" s="63"/>
      <c r="V991" s="63"/>
      <c r="W991" s="63">
        <f>IF(Copyright!B$11=1,IF(CA991&gt;0,CA991-P991-SUM(S991:V991)-SUM(X991:AO991)-AQ991,SUM(CB991:CI991)),SUM(CC991:CI991))</f>
        <v>0</v>
      </c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>
        <v>1</v>
      </c>
      <c r="AO991" s="63"/>
      <c r="AP991" s="63"/>
      <c r="AQ991" s="63"/>
      <c r="AR991" s="63"/>
      <c r="AS991" s="63"/>
      <c r="AT991" s="63"/>
      <c r="AU991" s="63"/>
      <c r="AW991" s="5">
        <f>IF(Q991&gt;0,RANK(Q991,(N991:P991,Q991:AE991)),0)</f>
        <v>3</v>
      </c>
      <c r="AX991" s="5">
        <f>IF(R991&gt;0,RANK(R991,(N991:P991,Q991:AE991)),0)</f>
        <v>4</v>
      </c>
      <c r="AY991" s="5">
        <f>IF(T991&gt;0,RANK(T991,(N991:P991,Q991:AE991)),0)</f>
        <v>0</v>
      </c>
      <c r="AZ991" s="5">
        <f>IF(S991&gt;0,RANK(S991,(N991:P991,Q991:AE991)),0)</f>
        <v>6</v>
      </c>
      <c r="BA991" s="2">
        <f t="shared" si="410"/>
        <v>4.0362731152204838E-2</v>
      </c>
      <c r="BB991" s="2">
        <f t="shared" si="411"/>
        <v>2.5426742532005688E-2</v>
      </c>
      <c r="BC991" s="2">
        <f t="shared" si="412"/>
        <v>0</v>
      </c>
      <c r="BD991" s="2">
        <f t="shared" si="413"/>
        <v>1.0668563300142249E-3</v>
      </c>
      <c r="BF991" t="s">
        <v>1826</v>
      </c>
      <c r="BG991" t="s">
        <v>457</v>
      </c>
      <c r="BH991">
        <v>1</v>
      </c>
      <c r="BJ991" s="114">
        <v>20</v>
      </c>
      <c r="BK991" s="116">
        <v>115</v>
      </c>
      <c r="BL991" s="120">
        <f t="shared" si="402"/>
        <v>20115</v>
      </c>
      <c r="BN991" s="5" t="s">
        <v>3154</v>
      </c>
      <c r="BY991" s="63">
        <f t="shared" si="401"/>
        <v>5624</v>
      </c>
    </row>
    <row r="992" spans="1:86" hidden="1" outlineLevel="1">
      <c r="A992" t="s">
        <v>1847</v>
      </c>
      <c r="B992" t="s">
        <v>457</v>
      </c>
      <c r="C992" s="1">
        <f t="shared" si="403"/>
        <v>4673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5</v>
      </c>
      <c r="G992" s="132">
        <f t="shared" si="404"/>
        <v>2235</v>
      </c>
      <c r="H992" s="137">
        <f t="shared" si="405"/>
        <v>0.47827947785148728</v>
      </c>
      <c r="I992" s="2"/>
      <c r="J992" s="2">
        <f t="shared" si="406"/>
        <v>0.22940295313503103</v>
      </c>
      <c r="K992" s="2">
        <f t="shared" si="407"/>
        <v>0.70768243098651828</v>
      </c>
      <c r="L992" s="2">
        <f t="shared" si="408"/>
        <v>2.995934089450032E-3</v>
      </c>
      <c r="M992" s="2">
        <f t="shared" si="409"/>
        <v>5.9918681789000679E-2</v>
      </c>
      <c r="N992" s="63">
        <v>1072</v>
      </c>
      <c r="O992" s="63">
        <v>3307</v>
      </c>
      <c r="P992" s="63">
        <v>14</v>
      </c>
      <c r="Q992" s="63">
        <v>204</v>
      </c>
      <c r="R992" s="63">
        <v>73</v>
      </c>
      <c r="S992" s="63">
        <v>3</v>
      </c>
      <c r="T992" s="63"/>
      <c r="U992" s="63"/>
      <c r="V992" s="63"/>
      <c r="W992" s="63">
        <f>IF(Copyright!B$11=1,IF(CA992&gt;0,CA992-P992-SUM(S992:V992)-SUM(X992:AO992)-AQ992,SUM(CB992:CI992)),SUM(CC992:CI992))</f>
        <v>0</v>
      </c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W992" s="5">
        <f>IF(Q992&gt;0,RANK(Q992,(N992:P992,Q992:AE992)),0)</f>
        <v>3</v>
      </c>
      <c r="AX992" s="5">
        <f>IF(R992&gt;0,RANK(R992,(N992:P992,Q992:AE992)),0)</f>
        <v>4</v>
      </c>
      <c r="AY992" s="5">
        <f>IF(T992&gt;0,RANK(T992,(N992:P992,Q992:AE992)),0)</f>
        <v>0</v>
      </c>
      <c r="AZ992" s="5">
        <f>IF(S992&gt;0,RANK(S992,(N992:P992,Q992:AE992)),0)</f>
        <v>6</v>
      </c>
      <c r="BA992" s="2">
        <f t="shared" si="410"/>
        <v>4.3655039589129037E-2</v>
      </c>
      <c r="BB992" s="2">
        <f t="shared" si="411"/>
        <v>1.5621656323560882E-2</v>
      </c>
      <c r="BC992" s="2">
        <f t="shared" si="412"/>
        <v>0</v>
      </c>
      <c r="BD992" s="2">
        <f t="shared" si="413"/>
        <v>6.4198587631072112E-4</v>
      </c>
      <c r="BF992" t="s">
        <v>1847</v>
      </c>
      <c r="BG992" t="s">
        <v>457</v>
      </c>
      <c r="BJ992" s="114">
        <v>20</v>
      </c>
      <c r="BK992" s="116">
        <v>117</v>
      </c>
      <c r="BL992" s="120">
        <f t="shared" si="402"/>
        <v>20117</v>
      </c>
      <c r="BN992" s="5" t="s">
        <v>3154</v>
      </c>
      <c r="BY992" s="63">
        <f t="shared" si="401"/>
        <v>4673</v>
      </c>
    </row>
    <row r="993" spans="1:82" hidden="1" outlineLevel="1">
      <c r="A993" t="s">
        <v>1788</v>
      </c>
      <c r="B993" t="s">
        <v>457</v>
      </c>
      <c r="C993" s="1">
        <f t="shared" si="403"/>
        <v>1732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6</v>
      </c>
      <c r="G993" s="132">
        <f t="shared" si="404"/>
        <v>1205</v>
      </c>
      <c r="H993" s="137">
        <f t="shared" si="405"/>
        <v>0.69572748267898388</v>
      </c>
      <c r="I993" s="2"/>
      <c r="J993" s="2">
        <f t="shared" si="406"/>
        <v>0.12124711316397228</v>
      </c>
      <c r="K993" s="2">
        <f t="shared" si="407"/>
        <v>0.81697459584295617</v>
      </c>
      <c r="L993" s="2">
        <f t="shared" si="408"/>
        <v>5.7736720554272519E-3</v>
      </c>
      <c r="M993" s="2">
        <f t="shared" si="409"/>
        <v>5.6004618937644274E-2</v>
      </c>
      <c r="N993" s="63">
        <v>210</v>
      </c>
      <c r="O993" s="63">
        <v>1415</v>
      </c>
      <c r="P993" s="63">
        <v>10</v>
      </c>
      <c r="Q993" s="63">
        <v>62</v>
      </c>
      <c r="R993" s="63">
        <v>18</v>
      </c>
      <c r="S993" s="63">
        <v>1</v>
      </c>
      <c r="T993" s="63"/>
      <c r="U993" s="63"/>
      <c r="V993" s="63"/>
      <c r="W993" s="63">
        <f>IF(Copyright!B$11=1,IF(CA993&gt;0,CA993-P993-SUM(S993:V993)-SUM(X993:AO993)-AQ993,SUM(CB993:CI993)),SUM(CC993:CI993))</f>
        <v>12</v>
      </c>
      <c r="X993" s="63"/>
      <c r="Y993" s="63">
        <v>4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W993" s="5">
        <f>IF(Q993&gt;0,RANK(Q993,(N993:P993,Q993:AE993)),0)</f>
        <v>3</v>
      </c>
      <c r="AX993" s="5">
        <f>IF(R993&gt;0,RANK(R993,(N993:P993,Q993:AE993)),0)</f>
        <v>4</v>
      </c>
      <c r="AY993" s="5">
        <f>IF(T993&gt;0,RANK(T993,(N993:P993,Q993:AE993)),0)</f>
        <v>0</v>
      </c>
      <c r="AZ993" s="5">
        <f>IF(S993&gt;0,RANK(S993,(N993:P993,Q993:AE993)),0)</f>
        <v>8</v>
      </c>
      <c r="BA993" s="2">
        <f t="shared" si="410"/>
        <v>3.5796766743648963E-2</v>
      </c>
      <c r="BB993" s="2">
        <f t="shared" si="411"/>
        <v>1.0392609699769052E-2</v>
      </c>
      <c r="BC993" s="2">
        <f t="shared" si="412"/>
        <v>0</v>
      </c>
      <c r="BD993" s="2">
        <f t="shared" si="413"/>
        <v>5.7736720554272516E-4</v>
      </c>
      <c r="BF993" t="s">
        <v>1788</v>
      </c>
      <c r="BG993" t="s">
        <v>457</v>
      </c>
      <c r="BH993">
        <v>1</v>
      </c>
      <c r="BJ993" s="114">
        <v>20</v>
      </c>
      <c r="BK993" s="116">
        <v>119</v>
      </c>
      <c r="BL993" s="120">
        <f t="shared" si="402"/>
        <v>20119</v>
      </c>
      <c r="BN993" s="5" t="s">
        <v>3154</v>
      </c>
      <c r="BY993" s="63">
        <f t="shared" si="401"/>
        <v>1732</v>
      </c>
      <c r="CA993" s="133">
        <v>27</v>
      </c>
    </row>
    <row r="994" spans="1:82" hidden="1" outlineLevel="1">
      <c r="A994" t="s">
        <v>182</v>
      </c>
      <c r="B994" t="s">
        <v>457</v>
      </c>
      <c r="C994" s="1">
        <f t="shared" si="403"/>
        <v>15022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5</v>
      </c>
      <c r="G994" s="132">
        <f t="shared" si="404"/>
        <v>6012</v>
      </c>
      <c r="H994" s="137">
        <f t="shared" si="405"/>
        <v>0.40021302090267608</v>
      </c>
      <c r="I994" s="2"/>
      <c r="J994" s="2">
        <f t="shared" si="406"/>
        <v>0.26567700705631742</v>
      </c>
      <c r="K994" s="2">
        <f t="shared" si="407"/>
        <v>0.66589002795899344</v>
      </c>
      <c r="L994" s="2">
        <f t="shared" si="408"/>
        <v>5.0592464385567837E-3</v>
      </c>
      <c r="M994" s="2">
        <f t="shared" si="409"/>
        <v>6.3373718546132315E-2</v>
      </c>
      <c r="N994" s="63">
        <v>3991</v>
      </c>
      <c r="O994" s="63">
        <v>10003</v>
      </c>
      <c r="P994" s="63">
        <v>76</v>
      </c>
      <c r="Q994" s="63">
        <v>683</v>
      </c>
      <c r="R994" s="63">
        <v>259</v>
      </c>
      <c r="S994" s="63">
        <v>9</v>
      </c>
      <c r="T994" s="63"/>
      <c r="U994" s="63"/>
      <c r="V994" s="63"/>
      <c r="W994" s="63">
        <f>IF(Copyright!B$11=1,IF(CA994&gt;0,CA994-P994-SUM(S994:V994)-SUM(X994:AO994)-AQ994,SUM(CB994:CI994)),SUM(CC994:CI994))</f>
        <v>0</v>
      </c>
      <c r="X994" s="63"/>
      <c r="Y994" s="63">
        <v>1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W994" s="5">
        <f>IF(Q994&gt;0,RANK(Q994,(N994:P994,Q994:AE994)),0)</f>
        <v>3</v>
      </c>
      <c r="AX994" s="5">
        <f>IF(R994&gt;0,RANK(R994,(N994:P994,Q994:AE994)),0)</f>
        <v>4</v>
      </c>
      <c r="AY994" s="5">
        <f>IF(T994&gt;0,RANK(T994,(N994:P994,Q994:AE994)),0)</f>
        <v>0</v>
      </c>
      <c r="AZ994" s="5">
        <f>IF(S994&gt;0,RANK(S994,(N994:P994,Q994:AE994)),0)</f>
        <v>6</v>
      </c>
      <c r="BA994" s="2">
        <f t="shared" si="410"/>
        <v>4.546664891492478E-2</v>
      </c>
      <c r="BB994" s="2">
        <f t="shared" si="411"/>
        <v>1.7241379310344827E-2</v>
      </c>
      <c r="BC994" s="2">
        <f t="shared" si="412"/>
        <v>0</v>
      </c>
      <c r="BD994" s="2">
        <f t="shared" si="413"/>
        <v>5.9912128877646117E-4</v>
      </c>
      <c r="BF994" t="s">
        <v>182</v>
      </c>
      <c r="BG994" t="s">
        <v>457</v>
      </c>
      <c r="BJ994" s="114">
        <v>20</v>
      </c>
      <c r="BK994" s="116">
        <v>121</v>
      </c>
      <c r="BL994" s="120">
        <f t="shared" si="402"/>
        <v>20121</v>
      </c>
      <c r="BN994" s="5" t="s">
        <v>3154</v>
      </c>
      <c r="BY994" s="63">
        <f t="shared" si="401"/>
        <v>15022</v>
      </c>
    </row>
    <row r="995" spans="1:82" hidden="1" outlineLevel="1">
      <c r="A995" t="s">
        <v>312</v>
      </c>
      <c r="B995" t="s">
        <v>457</v>
      </c>
      <c r="C995" s="1">
        <f t="shared" si="403"/>
        <v>2942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5</v>
      </c>
      <c r="G995" s="132">
        <f t="shared" si="404"/>
        <v>1831</v>
      </c>
      <c r="H995" s="137">
        <f t="shared" si="405"/>
        <v>0.6223657375934738</v>
      </c>
      <c r="I995" s="2"/>
      <c r="J995" s="2">
        <f t="shared" si="406"/>
        <v>0.16213460231135282</v>
      </c>
      <c r="K995" s="2">
        <f t="shared" si="407"/>
        <v>0.78450033990482659</v>
      </c>
      <c r="L995" s="2">
        <f t="shared" si="408"/>
        <v>4.0788579197824611E-3</v>
      </c>
      <c r="M995" s="2">
        <f t="shared" si="409"/>
        <v>4.9286199864038149E-2</v>
      </c>
      <c r="N995" s="63">
        <v>477</v>
      </c>
      <c r="O995" s="63">
        <v>2308</v>
      </c>
      <c r="P995" s="63">
        <v>12</v>
      </c>
      <c r="Q995" s="63">
        <v>89</v>
      </c>
      <c r="R995" s="63">
        <v>55</v>
      </c>
      <c r="S995" s="63"/>
      <c r="T995" s="63"/>
      <c r="U995" s="63"/>
      <c r="V995" s="63"/>
      <c r="W995" s="63">
        <f>IF(Copyright!B$11=1,IF(CA995&gt;0,CA995-P995-SUM(S995:V995)-SUM(X995:AO995)-AQ995,SUM(CB995:CI995)),SUM(CC995:CI995))</f>
        <v>0</v>
      </c>
      <c r="X995" s="63"/>
      <c r="Y995" s="63">
        <v>1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W995" s="5">
        <f>IF(Q995&gt;0,RANK(Q995,(N995:P995,Q995:AE995)),0)</f>
        <v>3</v>
      </c>
      <c r="AX995" s="5">
        <f>IF(R995&gt;0,RANK(R995,(N995:P995,Q995:AE995)),0)</f>
        <v>4</v>
      </c>
      <c r="AY995" s="5">
        <f>IF(T995&gt;0,RANK(T995,(N995:P995,Q995:AE995)),0)</f>
        <v>0</v>
      </c>
      <c r="AZ995" s="5">
        <f>IF(S995&gt;0,RANK(S995,(N995:P995,Q995:AE995)),0)</f>
        <v>0</v>
      </c>
      <c r="BA995" s="2">
        <f t="shared" si="410"/>
        <v>3.0251529571719917E-2</v>
      </c>
      <c r="BB995" s="2">
        <f t="shared" si="411"/>
        <v>1.8694765465669613E-2</v>
      </c>
      <c r="BC995" s="2">
        <f t="shared" si="412"/>
        <v>0</v>
      </c>
      <c r="BD995" s="2">
        <f t="shared" si="413"/>
        <v>0</v>
      </c>
      <c r="BF995" t="s">
        <v>312</v>
      </c>
      <c r="BG995" t="s">
        <v>457</v>
      </c>
      <c r="BH995">
        <v>1</v>
      </c>
      <c r="BJ995" s="114">
        <v>20</v>
      </c>
      <c r="BK995" s="116">
        <v>123</v>
      </c>
      <c r="BL995" s="120">
        <f t="shared" si="402"/>
        <v>20123</v>
      </c>
      <c r="BN995" s="5" t="s">
        <v>3154</v>
      </c>
      <c r="BY995" s="63">
        <f t="shared" si="401"/>
        <v>2942</v>
      </c>
    </row>
    <row r="996" spans="1:82" hidden="1" outlineLevel="1">
      <c r="A996" t="s">
        <v>1406</v>
      </c>
      <c r="B996" t="s">
        <v>457</v>
      </c>
      <c r="C996" s="1">
        <f t="shared" si="403"/>
        <v>12004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5</v>
      </c>
      <c r="G996" s="132">
        <f t="shared" si="404"/>
        <v>6042</v>
      </c>
      <c r="H996" s="137">
        <f t="shared" si="405"/>
        <v>0.50333222259246913</v>
      </c>
      <c r="I996" s="2"/>
      <c r="J996" s="2">
        <f t="shared" si="406"/>
        <v>0.21967677440853048</v>
      </c>
      <c r="K996" s="2">
        <f t="shared" si="407"/>
        <v>0.72300899700099963</v>
      </c>
      <c r="L996" s="2">
        <f t="shared" si="408"/>
        <v>4.498500499833389E-3</v>
      </c>
      <c r="M996" s="2">
        <f t="shared" si="409"/>
        <v>5.2815728090636477E-2</v>
      </c>
      <c r="N996" s="63">
        <v>2637</v>
      </c>
      <c r="O996" s="63">
        <v>8679</v>
      </c>
      <c r="P996" s="63">
        <v>54</v>
      </c>
      <c r="Q996" s="63">
        <v>407</v>
      </c>
      <c r="R996" s="63">
        <v>210</v>
      </c>
      <c r="S996" s="63">
        <v>16</v>
      </c>
      <c r="T996" s="63"/>
      <c r="U996" s="63"/>
      <c r="V996" s="63"/>
      <c r="W996" s="63">
        <f>IF(Copyright!B$11=1,IF(CA996&gt;0,CA996-P996-SUM(S996:V996)-SUM(X996:AO996)-AQ996,SUM(CB996:CI996)),SUM(CC996:CI996))</f>
        <v>1</v>
      </c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W996" s="5">
        <f>IF(Q996&gt;0,RANK(Q996,(N996:P996,Q996:AE996)),0)</f>
        <v>3</v>
      </c>
      <c r="AX996" s="5">
        <f>IF(R996&gt;0,RANK(R996,(N996:P996,Q996:AE996)),0)</f>
        <v>4</v>
      </c>
      <c r="AY996" s="5">
        <f>IF(T996&gt;0,RANK(T996,(N996:P996,Q996:AE996)),0)</f>
        <v>0</v>
      </c>
      <c r="AZ996" s="5">
        <f>IF(S996&gt;0,RANK(S996,(N996:P996,Q996:AE996)),0)</f>
        <v>6</v>
      </c>
      <c r="BA996" s="2">
        <f t="shared" si="410"/>
        <v>3.3905364878373874E-2</v>
      </c>
      <c r="BB996" s="2">
        <f t="shared" si="411"/>
        <v>1.7494168610463177E-2</v>
      </c>
      <c r="BC996" s="2">
        <f t="shared" si="412"/>
        <v>0</v>
      </c>
      <c r="BD996" s="2">
        <f t="shared" si="413"/>
        <v>1.3328890369876708E-3</v>
      </c>
      <c r="BF996" t="s">
        <v>1406</v>
      </c>
      <c r="BG996" t="s">
        <v>457</v>
      </c>
      <c r="BH996">
        <v>2</v>
      </c>
      <c r="BJ996" s="114">
        <v>20</v>
      </c>
      <c r="BK996" s="116">
        <v>125</v>
      </c>
      <c r="BL996" s="120">
        <f t="shared" si="402"/>
        <v>20125</v>
      </c>
      <c r="BN996" s="5" t="s">
        <v>3154</v>
      </c>
      <c r="BY996" s="63">
        <f t="shared" si="401"/>
        <v>12004</v>
      </c>
      <c r="CD996" s="63">
        <v>1</v>
      </c>
    </row>
    <row r="997" spans="1:82" hidden="1" outlineLevel="1">
      <c r="A997" t="s">
        <v>2619</v>
      </c>
      <c r="B997" t="s">
        <v>457</v>
      </c>
      <c r="C997" s="1">
        <f t="shared" si="403"/>
        <v>2624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5</v>
      </c>
      <c r="G997" s="132">
        <f t="shared" si="404"/>
        <v>1219</v>
      </c>
      <c r="H997" s="137">
        <f t="shared" si="405"/>
        <v>0.46455792682926828</v>
      </c>
      <c r="I997" s="2"/>
      <c r="J997" s="2">
        <f t="shared" si="406"/>
        <v>0.22903963414634146</v>
      </c>
      <c r="K997" s="2">
        <f t="shared" si="407"/>
        <v>0.69359756097560976</v>
      </c>
      <c r="L997" s="2">
        <f t="shared" si="408"/>
        <v>7.6219512195121954E-4</v>
      </c>
      <c r="M997" s="2">
        <f t="shared" si="409"/>
        <v>7.6600609756097587E-2</v>
      </c>
      <c r="N997" s="63">
        <v>601</v>
      </c>
      <c r="O997" s="63">
        <v>1820</v>
      </c>
      <c r="P997" s="63">
        <v>2</v>
      </c>
      <c r="Q997" s="63">
        <v>138</v>
      </c>
      <c r="R997" s="63">
        <v>62</v>
      </c>
      <c r="S997" s="63">
        <v>1</v>
      </c>
      <c r="T997" s="63"/>
      <c r="U997" s="63"/>
      <c r="V997" s="63"/>
      <c r="W997" s="63">
        <f>IF(Copyright!B$11=1,IF(CA997&gt;0,CA997-P997-SUM(S997:V997)-SUM(X997:AO997)-AQ997,SUM(CB997:CI997)),SUM(CC997:CI997))</f>
        <v>0</v>
      </c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W997" s="5">
        <f>IF(Q997&gt;0,RANK(Q997,(N997:P997,Q997:AE997)),0)</f>
        <v>3</v>
      </c>
      <c r="AX997" s="5">
        <f>IF(R997&gt;0,RANK(R997,(N997:P997,Q997:AE997)),0)</f>
        <v>4</v>
      </c>
      <c r="AY997" s="5">
        <f>IF(T997&gt;0,RANK(T997,(N997:P997,Q997:AE997)),0)</f>
        <v>0</v>
      </c>
      <c r="AZ997" s="5">
        <f>IF(S997&gt;0,RANK(S997,(N997:P997,Q997:AE997)),0)</f>
        <v>6</v>
      </c>
      <c r="BA997" s="2">
        <f t="shared" si="410"/>
        <v>5.2591463414634144E-2</v>
      </c>
      <c r="BB997" s="2">
        <f t="shared" si="411"/>
        <v>2.3628048780487805E-2</v>
      </c>
      <c r="BC997" s="2">
        <f t="shared" si="412"/>
        <v>0</v>
      </c>
      <c r="BD997" s="2">
        <f t="shared" si="413"/>
        <v>3.8109756097560977E-4</v>
      </c>
      <c r="BF997" t="s">
        <v>2619</v>
      </c>
      <c r="BG997" t="s">
        <v>457</v>
      </c>
      <c r="BH997">
        <v>1</v>
      </c>
      <c r="BJ997" s="114">
        <v>20</v>
      </c>
      <c r="BK997" s="116">
        <v>127</v>
      </c>
      <c r="BL997" s="120">
        <f t="shared" si="402"/>
        <v>20127</v>
      </c>
      <c r="BN997" s="5" t="s">
        <v>3154</v>
      </c>
      <c r="BY997" s="63">
        <f t="shared" si="401"/>
        <v>2624</v>
      </c>
    </row>
    <row r="998" spans="1:82" hidden="1" outlineLevel="1">
      <c r="A998" t="s">
        <v>941</v>
      </c>
      <c r="B998" t="s">
        <v>457</v>
      </c>
      <c r="C998" s="1">
        <f t="shared" ref="C998:C1029" si="414">SUM(N998:AU998)</f>
        <v>1192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5</v>
      </c>
      <c r="G998" s="132">
        <f t="shared" ref="G998:G1029" si="415">IF(C998&gt;0,MAX(N998:P998)-LARGE(N998:P998,2),0)</f>
        <v>848</v>
      </c>
      <c r="H998" s="137">
        <f t="shared" ref="H998:H1029" si="416">IF(C998&gt;0,G998/C998,0)</f>
        <v>0.71140939597315433</v>
      </c>
      <c r="I998" s="2"/>
      <c r="J998" s="2">
        <f t="shared" ref="J998:J1029" si="417">IF($C998=0,"-",N998/$C998)</f>
        <v>0.12332214765100671</v>
      </c>
      <c r="K998" s="2">
        <f t="shared" ref="K998:K1029" si="418">IF($C998=0,"-",O998/$C998)</f>
        <v>0.83473154362416102</v>
      </c>
      <c r="L998" s="2">
        <f t="shared" ref="L998:L1029" si="419">IF($C998=0,"-",P998/$C998)</f>
        <v>2.5167785234899327E-3</v>
      </c>
      <c r="M998" s="2">
        <f t="shared" ref="M998:M1029" si="420">IF(C998=0,"-",(1-J998-K998-L998))</f>
        <v>3.9429530201342364E-2</v>
      </c>
      <c r="N998" s="63">
        <v>147</v>
      </c>
      <c r="O998" s="63">
        <v>995</v>
      </c>
      <c r="P998" s="63">
        <v>3</v>
      </c>
      <c r="Q998" s="63">
        <v>33</v>
      </c>
      <c r="R998" s="63">
        <v>14</v>
      </c>
      <c r="S998" s="63"/>
      <c r="T998" s="63"/>
      <c r="U998" s="63"/>
      <c r="V998" s="63"/>
      <c r="W998" s="63">
        <f>IF(Copyright!B$11=1,IF(CA998&gt;0,CA998-P998-SUM(S998:V998)-SUM(X998:AO998)-AQ998,SUM(CB998:CI998)),SUM(CC998:CI998))</f>
        <v>0</v>
      </c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W998" s="5">
        <f>IF(Q998&gt;0,RANK(Q998,(N998:P998,Q998:AE998)),0)</f>
        <v>3</v>
      </c>
      <c r="AX998" s="5">
        <f>IF(R998&gt;0,RANK(R998,(N998:P998,Q998:AE998)),0)</f>
        <v>4</v>
      </c>
      <c r="AY998" s="5">
        <f>IF(T998&gt;0,RANK(T998,(N998:P998,Q998:AE998)),0)</f>
        <v>0</v>
      </c>
      <c r="AZ998" s="5">
        <f>IF(S998&gt;0,RANK(S998,(N998:P998,Q998:AE998)),0)</f>
        <v>0</v>
      </c>
      <c r="BA998" s="2">
        <f t="shared" ref="BA998:BA1029" si="421">IF($C998=0,"-",Q998/$C998)</f>
        <v>2.7684563758389263E-2</v>
      </c>
      <c r="BB998" s="2">
        <f t="shared" ref="BB998:BB1029" si="422">IF($C998=0,"-",R998/$C998)</f>
        <v>1.1744966442953021E-2</v>
      </c>
      <c r="BC998" s="2">
        <f t="shared" ref="BC998:BC1029" si="423">IF($C998=0,"-",T998/$C998)</f>
        <v>0</v>
      </c>
      <c r="BD998" s="2">
        <f t="shared" ref="BD998:BD1029" si="424">IF($C998=0,"-",S998/$C998)</f>
        <v>0</v>
      </c>
      <c r="BF998" t="s">
        <v>941</v>
      </c>
      <c r="BG998" t="s">
        <v>457</v>
      </c>
      <c r="BH998">
        <v>1</v>
      </c>
      <c r="BJ998" s="114">
        <v>20</v>
      </c>
      <c r="BK998" s="116">
        <v>129</v>
      </c>
      <c r="BL998" s="120">
        <f t="shared" si="402"/>
        <v>20129</v>
      </c>
      <c r="BN998" s="5" t="s">
        <v>3154</v>
      </c>
      <c r="BY998" s="63">
        <f t="shared" ref="BY998:BY1037" si="425">C998-BZ998</f>
        <v>1192</v>
      </c>
    </row>
    <row r="999" spans="1:82" hidden="1" outlineLevel="1">
      <c r="A999" t="s">
        <v>414</v>
      </c>
      <c r="B999" t="s">
        <v>457</v>
      </c>
      <c r="C999" s="1">
        <f t="shared" si="414"/>
        <v>5122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5</v>
      </c>
      <c r="G999" s="132">
        <f t="shared" si="415"/>
        <v>3399</v>
      </c>
      <c r="H999" s="137">
        <f t="shared" si="416"/>
        <v>0.6636079656384225</v>
      </c>
      <c r="I999" s="2"/>
      <c r="J999" s="2">
        <f t="shared" si="417"/>
        <v>0.14154627098789535</v>
      </c>
      <c r="K999" s="2">
        <f t="shared" si="418"/>
        <v>0.8051542366263178</v>
      </c>
      <c r="L999" s="2">
        <f t="shared" si="419"/>
        <v>4.4904334244435769E-3</v>
      </c>
      <c r="M999" s="2">
        <f t="shared" si="420"/>
        <v>4.8809058961343216E-2</v>
      </c>
      <c r="N999" s="63">
        <v>725</v>
      </c>
      <c r="O999" s="63">
        <v>4124</v>
      </c>
      <c r="P999" s="63">
        <v>23</v>
      </c>
      <c r="Q999" s="63">
        <v>164</v>
      </c>
      <c r="R999" s="63">
        <v>82</v>
      </c>
      <c r="S999" s="63">
        <v>4</v>
      </c>
      <c r="T999" s="63"/>
      <c r="U999" s="63"/>
      <c r="V999" s="63"/>
      <c r="W999" s="63">
        <f>IF(Copyright!B$11=1,IF(CA999&gt;0,CA999-P999-SUM(S999:V999)-SUM(X999:AO999)-AQ999,SUM(CB999:CI999)),SUM(CC999:CI999))</f>
        <v>0</v>
      </c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W999" s="5">
        <f>IF(Q999&gt;0,RANK(Q999,(N999:P999,Q999:AE999)),0)</f>
        <v>3</v>
      </c>
      <c r="AX999" s="5">
        <f>IF(R999&gt;0,RANK(R999,(N999:P999,Q999:AE999)),0)</f>
        <v>4</v>
      </c>
      <c r="AY999" s="5">
        <f>IF(T999&gt;0,RANK(T999,(N999:P999,Q999:AE999)),0)</f>
        <v>0</v>
      </c>
      <c r="AZ999" s="5">
        <f>IF(S999&gt;0,RANK(S999,(N999:P999,Q999:AE999)),0)</f>
        <v>6</v>
      </c>
      <c r="BA999" s="2">
        <f t="shared" si="421"/>
        <v>3.2018742678641153E-2</v>
      </c>
      <c r="BB999" s="2">
        <f t="shared" si="422"/>
        <v>1.6009371339320577E-2</v>
      </c>
      <c r="BC999" s="2">
        <f t="shared" si="423"/>
        <v>0</v>
      </c>
      <c r="BD999" s="2">
        <f t="shared" si="424"/>
        <v>7.8094494338149163E-4</v>
      </c>
      <c r="BF999" t="s">
        <v>414</v>
      </c>
      <c r="BG999" t="s">
        <v>457</v>
      </c>
      <c r="BH999">
        <v>2</v>
      </c>
      <c r="BJ999" s="114">
        <v>20</v>
      </c>
      <c r="BK999" s="116">
        <v>131</v>
      </c>
      <c r="BL999" s="120">
        <f t="shared" si="402"/>
        <v>20131</v>
      </c>
      <c r="BN999" s="5" t="s">
        <v>3154</v>
      </c>
      <c r="BY999" s="63">
        <f t="shared" si="425"/>
        <v>5122</v>
      </c>
    </row>
    <row r="1000" spans="1:82" hidden="1" outlineLevel="1">
      <c r="A1000" t="s">
        <v>2007</v>
      </c>
      <c r="B1000" t="s">
        <v>457</v>
      </c>
      <c r="C1000" s="1">
        <f t="shared" si="414"/>
        <v>6314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5</v>
      </c>
      <c r="G1000" s="132">
        <f t="shared" si="415"/>
        <v>2930</v>
      </c>
      <c r="H1000" s="137">
        <f t="shared" si="416"/>
        <v>0.46404814697497626</v>
      </c>
      <c r="I1000" s="2"/>
      <c r="J1000" s="2">
        <f t="shared" si="417"/>
        <v>0.23772568894520113</v>
      </c>
      <c r="K1000" s="2">
        <f t="shared" si="418"/>
        <v>0.70177383592017739</v>
      </c>
      <c r="L1000" s="2">
        <f t="shared" si="419"/>
        <v>2.2172949002217295E-3</v>
      </c>
      <c r="M1000" s="2">
        <f t="shared" si="420"/>
        <v>5.8283180234399802E-2</v>
      </c>
      <c r="N1000" s="63">
        <v>1501</v>
      </c>
      <c r="O1000" s="63">
        <v>4431</v>
      </c>
      <c r="P1000" s="63">
        <v>14</v>
      </c>
      <c r="Q1000" s="63">
        <v>240</v>
      </c>
      <c r="R1000" s="63">
        <v>120</v>
      </c>
      <c r="S1000" s="63">
        <v>8</v>
      </c>
      <c r="T1000" s="63"/>
      <c r="U1000" s="63"/>
      <c r="V1000" s="63"/>
      <c r="W1000" s="63">
        <f>IF(Copyright!B$11=1,IF(CA1000&gt;0,CA1000-P1000-SUM(S1000:V1000)-SUM(X1000:AO1000)-AQ1000,SUM(CB1000:CI1000)),SUM(CC1000:CI1000))</f>
        <v>0</v>
      </c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W1000" s="5">
        <f>IF(Q1000&gt;0,RANK(Q1000,(N1000:P1000,Q1000:AE1000)),0)</f>
        <v>3</v>
      </c>
      <c r="AX1000" s="5">
        <f>IF(R1000&gt;0,RANK(R1000,(N1000:P1000,Q1000:AE1000)),0)</f>
        <v>4</v>
      </c>
      <c r="AY1000" s="5">
        <f>IF(T1000&gt;0,RANK(T1000,(N1000:P1000,Q1000:AE1000)),0)</f>
        <v>0</v>
      </c>
      <c r="AZ1000" s="5">
        <f>IF(S1000&gt;0,RANK(S1000,(N1000:P1000,Q1000:AE1000)),0)</f>
        <v>6</v>
      </c>
      <c r="BA1000" s="2">
        <f t="shared" si="421"/>
        <v>3.8010769718086791E-2</v>
      </c>
      <c r="BB1000" s="2">
        <f t="shared" si="422"/>
        <v>1.9005384859043396E-2</v>
      </c>
      <c r="BC1000" s="2">
        <f t="shared" si="423"/>
        <v>0</v>
      </c>
      <c r="BD1000" s="2">
        <f t="shared" si="424"/>
        <v>1.2670256572695597E-3</v>
      </c>
      <c r="BF1000" t="s">
        <v>2007</v>
      </c>
      <c r="BG1000" t="s">
        <v>457</v>
      </c>
      <c r="BH1000">
        <v>2</v>
      </c>
      <c r="BJ1000" s="114">
        <v>20</v>
      </c>
      <c r="BK1000" s="116">
        <v>133</v>
      </c>
      <c r="BL1000" s="120">
        <f t="shared" ref="BL1000:BL1063" si="426">1000*BJ1000+BK1000</f>
        <v>20133</v>
      </c>
      <c r="BN1000" s="5" t="s">
        <v>3154</v>
      </c>
      <c r="BY1000" s="63">
        <f t="shared" si="425"/>
        <v>6314</v>
      </c>
    </row>
    <row r="1001" spans="1:82" hidden="1" outlineLevel="1">
      <c r="A1001" t="s">
        <v>103</v>
      </c>
      <c r="B1001" t="s">
        <v>457</v>
      </c>
      <c r="C1001" s="1">
        <f t="shared" si="414"/>
        <v>1454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5</v>
      </c>
      <c r="G1001" s="132">
        <f t="shared" si="415"/>
        <v>1066</v>
      </c>
      <c r="H1001" s="137">
        <f t="shared" si="416"/>
        <v>0.73314993122420913</v>
      </c>
      <c r="I1001" s="2"/>
      <c r="J1001" s="2">
        <f t="shared" si="417"/>
        <v>0.11141678129298486</v>
      </c>
      <c r="K1001" s="2">
        <f t="shared" si="418"/>
        <v>0.84456671251719395</v>
      </c>
      <c r="L1001" s="2">
        <f t="shared" si="419"/>
        <v>6.8775790921595599E-4</v>
      </c>
      <c r="M1001" s="2">
        <f t="shared" si="420"/>
        <v>4.3328748280605268E-2</v>
      </c>
      <c r="N1001" s="63">
        <v>162</v>
      </c>
      <c r="O1001" s="63">
        <v>1228</v>
      </c>
      <c r="P1001" s="63">
        <v>1</v>
      </c>
      <c r="Q1001" s="63">
        <v>42</v>
      </c>
      <c r="R1001" s="63">
        <v>21</v>
      </c>
      <c r="S1001" s="63"/>
      <c r="T1001" s="63"/>
      <c r="U1001" s="63"/>
      <c r="V1001" s="63"/>
      <c r="W1001" s="63">
        <f>IF(Copyright!B$11=1,IF(CA1001&gt;0,CA1001-P1001-SUM(S1001:V1001)-SUM(X1001:AO1001)-AQ1001,SUM(CB1001:CI1001)),SUM(CC1001:CI1001))</f>
        <v>0</v>
      </c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W1001" s="5">
        <f>IF(Q1001&gt;0,RANK(Q1001,(N1001:P1001,Q1001:AE1001)),0)</f>
        <v>3</v>
      </c>
      <c r="AX1001" s="5">
        <f>IF(R1001&gt;0,RANK(R1001,(N1001:P1001,Q1001:AE1001)),0)</f>
        <v>4</v>
      </c>
      <c r="AY1001" s="5">
        <f>IF(T1001&gt;0,RANK(T1001,(N1001:P1001,Q1001:AE1001)),0)</f>
        <v>0</v>
      </c>
      <c r="AZ1001" s="5">
        <f>IF(S1001&gt;0,RANK(S1001,(N1001:P1001,Q1001:AE1001)),0)</f>
        <v>0</v>
      </c>
      <c r="BA1001" s="2">
        <f t="shared" si="421"/>
        <v>2.8885832187070151E-2</v>
      </c>
      <c r="BB1001" s="2">
        <f t="shared" si="422"/>
        <v>1.4442916093535076E-2</v>
      </c>
      <c r="BC1001" s="2">
        <f t="shared" si="423"/>
        <v>0</v>
      </c>
      <c r="BD1001" s="2">
        <f t="shared" si="424"/>
        <v>0</v>
      </c>
      <c r="BF1001" t="s">
        <v>103</v>
      </c>
      <c r="BG1001" t="s">
        <v>457</v>
      </c>
      <c r="BH1001">
        <v>1</v>
      </c>
      <c r="BJ1001" s="114">
        <v>20</v>
      </c>
      <c r="BK1001" s="116">
        <v>135</v>
      </c>
      <c r="BL1001" s="120">
        <f t="shared" si="426"/>
        <v>20135</v>
      </c>
      <c r="BN1001" s="5" t="s">
        <v>3154</v>
      </c>
      <c r="BY1001" s="63">
        <f t="shared" si="425"/>
        <v>1454</v>
      </c>
    </row>
    <row r="1002" spans="1:82" hidden="1" outlineLevel="1">
      <c r="A1002" t="s">
        <v>2475</v>
      </c>
      <c r="B1002" t="s">
        <v>457</v>
      </c>
      <c r="C1002" s="1">
        <f t="shared" si="414"/>
        <v>2234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5</v>
      </c>
      <c r="G1002" s="132">
        <f t="shared" si="415"/>
        <v>1559</v>
      </c>
      <c r="H1002" s="137">
        <f t="shared" si="416"/>
        <v>0.69785138764547894</v>
      </c>
      <c r="I1002" s="2"/>
      <c r="J1002" s="2">
        <f t="shared" si="417"/>
        <v>0.12578334825425247</v>
      </c>
      <c r="K1002" s="2">
        <f t="shared" si="418"/>
        <v>0.82363473589973146</v>
      </c>
      <c r="L1002" s="2">
        <f t="shared" si="419"/>
        <v>2.2381378692927483E-3</v>
      </c>
      <c r="M1002" s="2">
        <f t="shared" si="420"/>
        <v>4.8343777976723262E-2</v>
      </c>
      <c r="N1002" s="63">
        <v>281</v>
      </c>
      <c r="O1002" s="63">
        <v>1840</v>
      </c>
      <c r="P1002" s="63">
        <v>5</v>
      </c>
      <c r="Q1002" s="63">
        <v>67</v>
      </c>
      <c r="R1002" s="63">
        <v>41</v>
      </c>
      <c r="S1002" s="63"/>
      <c r="T1002" s="63"/>
      <c r="U1002" s="63"/>
      <c r="V1002" s="63"/>
      <c r="W1002" s="63">
        <f>IF(Copyright!B$11=1,IF(CA1002&gt;0,CA1002-P1002-SUM(S1002:V1002)-SUM(X1002:AO1002)-AQ1002,SUM(CB1002:CI1002)),SUM(CC1002:CI1002))</f>
        <v>0</v>
      </c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W1002" s="5">
        <f>IF(Q1002&gt;0,RANK(Q1002,(N1002:P1002,Q1002:AE1002)),0)</f>
        <v>3</v>
      </c>
      <c r="AX1002" s="5">
        <f>IF(R1002&gt;0,RANK(R1002,(N1002:P1002,Q1002:AE1002)),0)</f>
        <v>4</v>
      </c>
      <c r="AY1002" s="5">
        <f>IF(T1002&gt;0,RANK(T1002,(N1002:P1002,Q1002:AE1002)),0)</f>
        <v>0</v>
      </c>
      <c r="AZ1002" s="5">
        <f>IF(S1002&gt;0,RANK(S1002,(N1002:P1002,Q1002:AE1002)),0)</f>
        <v>0</v>
      </c>
      <c r="BA1002" s="2">
        <f t="shared" si="421"/>
        <v>2.999104744852283E-2</v>
      </c>
      <c r="BB1002" s="2">
        <f t="shared" si="422"/>
        <v>1.8352730528200537E-2</v>
      </c>
      <c r="BC1002" s="2">
        <f t="shared" si="423"/>
        <v>0</v>
      </c>
      <c r="BD1002" s="2">
        <f t="shared" si="424"/>
        <v>0</v>
      </c>
      <c r="BF1002" t="s">
        <v>2475</v>
      </c>
      <c r="BG1002" t="s">
        <v>457</v>
      </c>
      <c r="BH1002">
        <v>1</v>
      </c>
      <c r="BJ1002" s="114">
        <v>20</v>
      </c>
      <c r="BK1002" s="116">
        <v>137</v>
      </c>
      <c r="BL1002" s="120">
        <f t="shared" si="426"/>
        <v>20137</v>
      </c>
      <c r="BN1002" s="5" t="s">
        <v>3154</v>
      </c>
      <c r="BY1002" s="63">
        <f t="shared" si="425"/>
        <v>2234</v>
      </c>
    </row>
    <row r="1003" spans="1:82" hidden="1" outlineLevel="1">
      <c r="A1003" t="s">
        <v>375</v>
      </c>
      <c r="B1003" t="s">
        <v>457</v>
      </c>
      <c r="C1003" s="1">
        <f t="shared" si="414"/>
        <v>7046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32">
        <f t="shared" si="415"/>
        <v>3073</v>
      </c>
      <c r="H1003" s="137">
        <f t="shared" si="416"/>
        <v>0.43613397672438264</v>
      </c>
      <c r="I1003" s="2"/>
      <c r="J1003" s="2">
        <f t="shared" si="417"/>
        <v>0.24879364178257168</v>
      </c>
      <c r="K1003" s="2">
        <f t="shared" si="418"/>
        <v>0.68492761850695427</v>
      </c>
      <c r="L1003" s="2">
        <f t="shared" si="419"/>
        <v>0</v>
      </c>
      <c r="M1003" s="2">
        <f t="shared" si="420"/>
        <v>6.6278739710474044E-2</v>
      </c>
      <c r="N1003" s="63">
        <v>1753</v>
      </c>
      <c r="O1003" s="63">
        <v>4826</v>
      </c>
      <c r="P1003" s="63"/>
      <c r="Q1003" s="63">
        <v>302</v>
      </c>
      <c r="R1003" s="63">
        <v>165</v>
      </c>
      <c r="S1003" s="63"/>
      <c r="T1003" s="63"/>
      <c r="U1003" s="63"/>
      <c r="V1003" s="63"/>
      <c r="W1003" s="63">
        <f>IF(Copyright!B$11=1,IF(CA1003&gt;0,CA1003-P1003-SUM(S1003:V1003)-SUM(X1003:AO1003)-AQ1003,SUM(CB1003:CI1003)),SUM(CC1003:CI1003))</f>
        <v>0</v>
      </c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W1003" s="5">
        <f>IF(Q1003&gt;0,RANK(Q1003,(N1003:P1003,Q1003:AE1003)),0)</f>
        <v>3</v>
      </c>
      <c r="AX1003" s="5">
        <f>IF(R1003&gt;0,RANK(R1003,(N1003:P1003,Q1003:AE1003)),0)</f>
        <v>4</v>
      </c>
      <c r="AY1003" s="5">
        <f>IF(T1003&gt;0,RANK(T1003,(N1003:P1003,Q1003:AE1003)),0)</f>
        <v>0</v>
      </c>
      <c r="AZ1003" s="5">
        <f>IF(S1003&gt;0,RANK(S1003,(N1003:P1003,Q1003:AE1003)),0)</f>
        <v>0</v>
      </c>
      <c r="BA1003" s="2">
        <f t="shared" si="421"/>
        <v>4.286119784274766E-2</v>
      </c>
      <c r="BB1003" s="2">
        <f t="shared" si="422"/>
        <v>2.341754186772637E-2</v>
      </c>
      <c r="BC1003" s="2">
        <f t="shared" si="423"/>
        <v>0</v>
      </c>
      <c r="BD1003" s="2">
        <f t="shared" si="424"/>
        <v>0</v>
      </c>
      <c r="BF1003" t="s">
        <v>375</v>
      </c>
      <c r="BG1003" t="s">
        <v>457</v>
      </c>
      <c r="BH1003">
        <v>2</v>
      </c>
      <c r="BJ1003" s="114">
        <v>20</v>
      </c>
      <c r="BK1003" s="116">
        <v>139</v>
      </c>
      <c r="BL1003" s="120">
        <f t="shared" si="426"/>
        <v>20139</v>
      </c>
      <c r="BN1003" s="5" t="s">
        <v>3154</v>
      </c>
      <c r="BY1003" s="63">
        <f t="shared" si="425"/>
        <v>7046</v>
      </c>
    </row>
    <row r="1004" spans="1:82" hidden="1" outlineLevel="1">
      <c r="A1004" t="s">
        <v>575</v>
      </c>
      <c r="B1004" t="s">
        <v>457</v>
      </c>
      <c r="C1004" s="1">
        <f t="shared" si="414"/>
        <v>1788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5</v>
      </c>
      <c r="G1004" s="132">
        <f t="shared" si="415"/>
        <v>1227</v>
      </c>
      <c r="H1004" s="137">
        <f t="shared" si="416"/>
        <v>0.68624161073825507</v>
      </c>
      <c r="I1004" s="2"/>
      <c r="J1004" s="2">
        <f t="shared" si="417"/>
        <v>0.13031319910514541</v>
      </c>
      <c r="K1004" s="2">
        <f t="shared" si="418"/>
        <v>0.81655480984340045</v>
      </c>
      <c r="L1004" s="2">
        <f t="shared" si="419"/>
        <v>3.3557046979865771E-3</v>
      </c>
      <c r="M1004" s="2">
        <f t="shared" si="420"/>
        <v>4.9776286353467585E-2</v>
      </c>
      <c r="N1004" s="63">
        <v>233</v>
      </c>
      <c r="O1004" s="63">
        <v>1460</v>
      </c>
      <c r="P1004" s="63">
        <v>6</v>
      </c>
      <c r="Q1004" s="63">
        <v>46</v>
      </c>
      <c r="R1004" s="63">
        <v>41</v>
      </c>
      <c r="S1004" s="63">
        <v>2</v>
      </c>
      <c r="T1004" s="63"/>
      <c r="U1004" s="63"/>
      <c r="V1004" s="63"/>
      <c r="W1004" s="63">
        <f>IF(Copyright!B$11=1,IF(CA1004&gt;0,CA1004-P1004-SUM(S1004:V1004)-SUM(X1004:AO1004)-AQ1004,SUM(CB1004:CI1004)),SUM(CC1004:CI1004))</f>
        <v>0</v>
      </c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W1004" s="5">
        <f>IF(Q1004&gt;0,RANK(Q1004,(N1004:P1004,Q1004:AE1004)),0)</f>
        <v>3</v>
      </c>
      <c r="AX1004" s="5">
        <f>IF(R1004&gt;0,RANK(R1004,(N1004:P1004,Q1004:AE1004)),0)</f>
        <v>4</v>
      </c>
      <c r="AY1004" s="5">
        <f>IF(T1004&gt;0,RANK(T1004,(N1004:P1004,Q1004:AE1004)),0)</f>
        <v>0</v>
      </c>
      <c r="AZ1004" s="5">
        <f>IF(S1004&gt;0,RANK(S1004,(N1004:P1004,Q1004:AE1004)),0)</f>
        <v>6</v>
      </c>
      <c r="BA1004" s="2">
        <f t="shared" si="421"/>
        <v>2.5727069351230425E-2</v>
      </c>
      <c r="BB1004" s="2">
        <f t="shared" si="422"/>
        <v>2.2930648769574943E-2</v>
      </c>
      <c r="BC1004" s="2">
        <f t="shared" si="423"/>
        <v>0</v>
      </c>
      <c r="BD1004" s="2">
        <f t="shared" si="424"/>
        <v>1.1185682326621924E-3</v>
      </c>
      <c r="BF1004" t="s">
        <v>575</v>
      </c>
      <c r="BG1004" t="s">
        <v>457</v>
      </c>
      <c r="BH1004">
        <v>1</v>
      </c>
      <c r="BJ1004" s="114">
        <v>20</v>
      </c>
      <c r="BK1004" s="116">
        <v>141</v>
      </c>
      <c r="BL1004" s="120">
        <f t="shared" si="426"/>
        <v>20141</v>
      </c>
      <c r="BN1004" s="5" t="s">
        <v>3154</v>
      </c>
      <c r="BY1004" s="63">
        <f t="shared" si="425"/>
        <v>1788</v>
      </c>
    </row>
    <row r="1005" spans="1:82" hidden="1" outlineLevel="1">
      <c r="A1005" t="s">
        <v>37</v>
      </c>
      <c r="B1005" t="s">
        <v>457</v>
      </c>
      <c r="C1005" s="1">
        <f t="shared" si="414"/>
        <v>2903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5</v>
      </c>
      <c r="G1005" s="132">
        <f t="shared" si="415"/>
        <v>1859</v>
      </c>
      <c r="H1005" s="137">
        <f t="shared" si="416"/>
        <v>0.64037202893558387</v>
      </c>
      <c r="I1005" s="2"/>
      <c r="J1005" s="2">
        <f t="shared" si="417"/>
        <v>0.14605580434033757</v>
      </c>
      <c r="K1005" s="2">
        <f t="shared" si="418"/>
        <v>0.78642783327592147</v>
      </c>
      <c r="L1005" s="2">
        <f t="shared" si="419"/>
        <v>2.4112986565621771E-3</v>
      </c>
      <c r="M1005" s="2">
        <f t="shared" si="420"/>
        <v>6.5105063727178752E-2</v>
      </c>
      <c r="N1005" s="63">
        <v>424</v>
      </c>
      <c r="O1005" s="63">
        <v>2283</v>
      </c>
      <c r="P1005" s="63">
        <v>7</v>
      </c>
      <c r="Q1005" s="63">
        <v>144</v>
      </c>
      <c r="R1005" s="63">
        <v>42</v>
      </c>
      <c r="S1005" s="63">
        <v>2</v>
      </c>
      <c r="T1005" s="63"/>
      <c r="U1005" s="63"/>
      <c r="V1005" s="63"/>
      <c r="W1005" s="63">
        <f>IF(Copyright!B$11=1,IF(CA1005&gt;0,CA1005-P1005-SUM(S1005:V1005)-SUM(X1005:AO1005)-AQ1005,SUM(CB1005:CI1005)),SUM(CC1005:CI1005))</f>
        <v>0</v>
      </c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>
        <v>1</v>
      </c>
      <c r="AO1005" s="63"/>
      <c r="AP1005" s="63"/>
      <c r="AQ1005" s="63"/>
      <c r="AR1005" s="63"/>
      <c r="AS1005" s="63"/>
      <c r="AT1005" s="63"/>
      <c r="AU1005" s="63"/>
      <c r="AW1005" s="5">
        <f>IF(Q1005&gt;0,RANK(Q1005,(N1005:P1005,Q1005:AE1005)),0)</f>
        <v>3</v>
      </c>
      <c r="AX1005" s="5">
        <f>IF(R1005&gt;0,RANK(R1005,(N1005:P1005,Q1005:AE1005)),0)</f>
        <v>4</v>
      </c>
      <c r="AY1005" s="5">
        <f>IF(T1005&gt;0,RANK(T1005,(N1005:P1005,Q1005:AE1005)),0)</f>
        <v>0</v>
      </c>
      <c r="AZ1005" s="5">
        <f>IF(S1005&gt;0,RANK(S1005,(N1005:P1005,Q1005:AE1005)),0)</f>
        <v>6</v>
      </c>
      <c r="BA1005" s="2">
        <f t="shared" si="421"/>
        <v>4.9603858077850498E-2</v>
      </c>
      <c r="BB1005" s="2">
        <f t="shared" si="422"/>
        <v>1.4467791939373063E-2</v>
      </c>
      <c r="BC1005" s="2">
        <f t="shared" si="423"/>
        <v>0</v>
      </c>
      <c r="BD1005" s="2">
        <f t="shared" si="424"/>
        <v>6.889424733034792E-4</v>
      </c>
      <c r="BF1005" t="s">
        <v>37</v>
      </c>
      <c r="BG1005" t="s">
        <v>457</v>
      </c>
      <c r="BH1005">
        <v>1</v>
      </c>
      <c r="BJ1005" s="114">
        <v>20</v>
      </c>
      <c r="BK1005" s="116">
        <v>143</v>
      </c>
      <c r="BL1005" s="120">
        <f t="shared" si="426"/>
        <v>20143</v>
      </c>
      <c r="BN1005" s="5" t="s">
        <v>3154</v>
      </c>
      <c r="BY1005" s="63">
        <f t="shared" si="425"/>
        <v>2903</v>
      </c>
    </row>
    <row r="1006" spans="1:82" hidden="1" outlineLevel="1">
      <c r="A1006" t="s">
        <v>20</v>
      </c>
      <c r="B1006" t="s">
        <v>457</v>
      </c>
      <c r="C1006" s="1">
        <f t="shared" si="414"/>
        <v>2661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5</v>
      </c>
      <c r="G1006" s="132">
        <f t="shared" si="415"/>
        <v>1325</v>
      </c>
      <c r="H1006" s="137">
        <f t="shared" si="416"/>
        <v>0.49793310785419015</v>
      </c>
      <c r="I1006" s="2"/>
      <c r="J1006" s="2">
        <f t="shared" si="417"/>
        <v>0.21758737316798196</v>
      </c>
      <c r="K1006" s="2">
        <f t="shared" si="418"/>
        <v>0.71552048102217214</v>
      </c>
      <c r="L1006" s="2">
        <f t="shared" si="419"/>
        <v>3.7579857196542651E-3</v>
      </c>
      <c r="M1006" s="2">
        <f t="shared" si="420"/>
        <v>6.3134160090191654E-2</v>
      </c>
      <c r="N1006" s="63">
        <v>579</v>
      </c>
      <c r="O1006" s="63">
        <v>1904</v>
      </c>
      <c r="P1006" s="63">
        <v>10</v>
      </c>
      <c r="Q1006" s="63">
        <v>131</v>
      </c>
      <c r="R1006" s="63">
        <v>34</v>
      </c>
      <c r="S1006" s="63">
        <v>2</v>
      </c>
      <c r="T1006" s="63"/>
      <c r="U1006" s="63"/>
      <c r="V1006" s="63"/>
      <c r="W1006" s="63">
        <f>IF(Copyright!B$11=1,IF(CA1006&gt;0,CA1006-P1006-SUM(S1006:V1006)-SUM(X1006:AO1006)-AQ1006,SUM(CB1006:CI1006)),SUM(CC1006:CI1006))</f>
        <v>0</v>
      </c>
      <c r="X1006" s="63"/>
      <c r="Y1006" s="63"/>
      <c r="Z1006" s="63"/>
      <c r="AA1006" s="63"/>
      <c r="AB1006" s="63"/>
      <c r="AC1006" s="63"/>
      <c r="AD1006" s="63">
        <v>1</v>
      </c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W1006" s="5">
        <f>IF(Q1006&gt;0,RANK(Q1006,(N1006:P1006,Q1006:AE1006)),0)</f>
        <v>3</v>
      </c>
      <c r="AX1006" s="5">
        <f>IF(R1006&gt;0,RANK(R1006,(N1006:P1006,Q1006:AE1006)),0)</f>
        <v>4</v>
      </c>
      <c r="AY1006" s="5">
        <f>IF(T1006&gt;0,RANK(T1006,(N1006:P1006,Q1006:AE1006)),0)</f>
        <v>0</v>
      </c>
      <c r="AZ1006" s="5">
        <f>IF(S1006&gt;0,RANK(S1006,(N1006:P1006,Q1006:AE1006)),0)</f>
        <v>6</v>
      </c>
      <c r="BA1006" s="2">
        <f t="shared" si="421"/>
        <v>4.9229612927470877E-2</v>
      </c>
      <c r="BB1006" s="2">
        <f t="shared" si="422"/>
        <v>1.2777151446824501E-2</v>
      </c>
      <c r="BC1006" s="2">
        <f t="shared" si="423"/>
        <v>0</v>
      </c>
      <c r="BD1006" s="2">
        <f t="shared" si="424"/>
        <v>7.5159714393085303E-4</v>
      </c>
      <c r="BF1006" t="s">
        <v>20</v>
      </c>
      <c r="BG1006" t="s">
        <v>457</v>
      </c>
      <c r="BJ1006" s="114">
        <v>20</v>
      </c>
      <c r="BK1006" s="116">
        <v>145</v>
      </c>
      <c r="BL1006" s="120">
        <f t="shared" si="426"/>
        <v>20145</v>
      </c>
      <c r="BN1006" s="5" t="s">
        <v>3154</v>
      </c>
      <c r="BY1006" s="63">
        <f t="shared" si="425"/>
        <v>2661</v>
      </c>
    </row>
    <row r="1007" spans="1:82" hidden="1" outlineLevel="1">
      <c r="A1007" t="s">
        <v>2486</v>
      </c>
      <c r="B1007" t="s">
        <v>457</v>
      </c>
      <c r="C1007" s="1">
        <f t="shared" si="414"/>
        <v>2664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5</v>
      </c>
      <c r="G1007" s="132">
        <f t="shared" si="415"/>
        <v>1933</v>
      </c>
      <c r="H1007" s="137">
        <f t="shared" si="416"/>
        <v>0.72560060060060061</v>
      </c>
      <c r="I1007" s="2"/>
      <c r="J1007" s="2">
        <f t="shared" si="417"/>
        <v>0.11261261261261261</v>
      </c>
      <c r="K1007" s="2">
        <f t="shared" si="418"/>
        <v>0.83821321321321318</v>
      </c>
      <c r="L1007" s="2">
        <f t="shared" si="419"/>
        <v>3.7537537537537537E-3</v>
      </c>
      <c r="M1007" s="2">
        <f t="shared" si="420"/>
        <v>4.5420420420420493E-2</v>
      </c>
      <c r="N1007" s="63">
        <v>300</v>
      </c>
      <c r="O1007" s="63">
        <v>2233</v>
      </c>
      <c r="P1007" s="63">
        <v>10</v>
      </c>
      <c r="Q1007" s="63">
        <v>87</v>
      </c>
      <c r="R1007" s="63">
        <v>29</v>
      </c>
      <c r="S1007" s="63">
        <v>5</v>
      </c>
      <c r="T1007" s="63"/>
      <c r="U1007" s="63"/>
      <c r="V1007" s="63"/>
      <c r="W1007" s="63">
        <f>IF(Copyright!B$11=1,IF(CA1007&gt;0,CA1007-P1007-SUM(S1007:V1007)-SUM(X1007:AO1007)-AQ1007,SUM(CB1007:CI1007)),SUM(CC1007:CI1007))</f>
        <v>0</v>
      </c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W1007" s="5">
        <f>IF(Q1007&gt;0,RANK(Q1007,(N1007:P1007,Q1007:AE1007)),0)</f>
        <v>3</v>
      </c>
      <c r="AX1007" s="5">
        <f>IF(R1007&gt;0,RANK(R1007,(N1007:P1007,Q1007:AE1007)),0)</f>
        <v>4</v>
      </c>
      <c r="AY1007" s="5">
        <f>IF(T1007&gt;0,RANK(T1007,(N1007:P1007,Q1007:AE1007)),0)</f>
        <v>0</v>
      </c>
      <c r="AZ1007" s="5">
        <f>IF(S1007&gt;0,RANK(S1007,(N1007:P1007,Q1007:AE1007)),0)</f>
        <v>6</v>
      </c>
      <c r="BA1007" s="2">
        <f t="shared" si="421"/>
        <v>3.2657657657657657E-2</v>
      </c>
      <c r="BB1007" s="2">
        <f t="shared" si="422"/>
        <v>1.0885885885885885E-2</v>
      </c>
      <c r="BC1007" s="2">
        <f t="shared" si="423"/>
        <v>0</v>
      </c>
      <c r="BD1007" s="2">
        <f t="shared" si="424"/>
        <v>1.8768768768768769E-3</v>
      </c>
      <c r="BF1007" t="s">
        <v>2486</v>
      </c>
      <c r="BG1007" t="s">
        <v>457</v>
      </c>
      <c r="BH1007">
        <v>1</v>
      </c>
      <c r="BJ1007" s="114">
        <v>20</v>
      </c>
      <c r="BK1007" s="116">
        <v>147</v>
      </c>
      <c r="BL1007" s="120">
        <f t="shared" si="426"/>
        <v>20147</v>
      </c>
      <c r="BN1007" s="5" t="s">
        <v>3154</v>
      </c>
      <c r="BY1007" s="63">
        <f t="shared" si="425"/>
        <v>2664</v>
      </c>
    </row>
    <row r="1008" spans="1:82" hidden="1" outlineLevel="1">
      <c r="A1008" t="s">
        <v>2308</v>
      </c>
      <c r="B1008" t="s">
        <v>457</v>
      </c>
      <c r="C1008" s="1">
        <f t="shared" si="414"/>
        <v>10693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5</v>
      </c>
      <c r="G1008" s="132">
        <f t="shared" si="415"/>
        <v>5387</v>
      </c>
      <c r="H1008" s="137">
        <f t="shared" si="416"/>
        <v>0.50378752454877018</v>
      </c>
      <c r="I1008" s="2"/>
      <c r="J1008" s="2">
        <f t="shared" si="417"/>
        <v>0.20808005237070981</v>
      </c>
      <c r="K1008" s="2">
        <f t="shared" si="418"/>
        <v>0.71186757691947999</v>
      </c>
      <c r="L1008" s="2">
        <f t="shared" si="419"/>
        <v>8.4167212194893853E-3</v>
      </c>
      <c r="M1008" s="2">
        <f t="shared" si="420"/>
        <v>7.1635649490320807E-2</v>
      </c>
      <c r="N1008" s="63">
        <v>2225</v>
      </c>
      <c r="O1008" s="63">
        <v>7612</v>
      </c>
      <c r="P1008" s="63">
        <v>90</v>
      </c>
      <c r="Q1008" s="63">
        <v>543</v>
      </c>
      <c r="R1008" s="63">
        <v>193</v>
      </c>
      <c r="S1008" s="63">
        <v>26</v>
      </c>
      <c r="T1008" s="63"/>
      <c r="U1008" s="63"/>
      <c r="V1008" s="63"/>
      <c r="W1008" s="63">
        <f>IF(Copyright!B$11=1,IF(CA1008&gt;0,CA1008-P1008-SUM(S1008:V1008)-SUM(X1008:AO1008)-AQ1008,SUM(CB1008:CI1008)),SUM(CC1008:CI1008))</f>
        <v>0</v>
      </c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>
        <v>4</v>
      </c>
      <c r="AO1008" s="63"/>
      <c r="AP1008" s="63"/>
      <c r="AQ1008" s="63"/>
      <c r="AR1008" s="63"/>
      <c r="AS1008" s="63"/>
      <c r="AT1008" s="63"/>
      <c r="AU1008" s="63"/>
      <c r="AW1008" s="5">
        <f>IF(Q1008&gt;0,RANK(Q1008,(N1008:P1008,Q1008:AE1008)),0)</f>
        <v>3</v>
      </c>
      <c r="AX1008" s="5">
        <f>IF(R1008&gt;0,RANK(R1008,(N1008:P1008,Q1008:AE1008)),0)</f>
        <v>4</v>
      </c>
      <c r="AY1008" s="5">
        <f>IF(T1008&gt;0,RANK(T1008,(N1008:P1008,Q1008:AE1008)),0)</f>
        <v>0</v>
      </c>
      <c r="AZ1008" s="5">
        <f>IF(S1008&gt;0,RANK(S1008,(N1008:P1008,Q1008:AE1008)),0)</f>
        <v>6</v>
      </c>
      <c r="BA1008" s="2">
        <f t="shared" si="421"/>
        <v>5.0780884690919292E-2</v>
      </c>
      <c r="BB1008" s="2">
        <f t="shared" si="422"/>
        <v>1.8049191059571684E-2</v>
      </c>
      <c r="BC1008" s="2">
        <f t="shared" si="423"/>
        <v>0</v>
      </c>
      <c r="BD1008" s="2">
        <f t="shared" si="424"/>
        <v>2.4314972411858225E-3</v>
      </c>
      <c r="BF1008" t="s">
        <v>2308</v>
      </c>
      <c r="BG1008" t="s">
        <v>457</v>
      </c>
      <c r="BH1008">
        <v>1</v>
      </c>
      <c r="BJ1008" s="114">
        <v>20</v>
      </c>
      <c r="BK1008" s="116">
        <v>149</v>
      </c>
      <c r="BL1008" s="120">
        <f t="shared" si="426"/>
        <v>20149</v>
      </c>
      <c r="BN1008" s="5" t="s">
        <v>3154</v>
      </c>
      <c r="BY1008" s="63">
        <f t="shared" si="425"/>
        <v>10693</v>
      </c>
    </row>
    <row r="1009" spans="1:85" hidden="1" outlineLevel="1">
      <c r="A1009" t="s">
        <v>21</v>
      </c>
      <c r="B1009" t="s">
        <v>457</v>
      </c>
      <c r="C1009" s="1">
        <f t="shared" si="414"/>
        <v>3842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5</v>
      </c>
      <c r="G1009" s="132">
        <f t="shared" si="415"/>
        <v>2067</v>
      </c>
      <c r="H1009" s="137">
        <f t="shared" si="416"/>
        <v>0.53800104112441438</v>
      </c>
      <c r="I1009" s="2"/>
      <c r="J1009" s="2">
        <f t="shared" si="417"/>
        <v>0.20067673086933888</v>
      </c>
      <c r="K1009" s="2">
        <f t="shared" si="418"/>
        <v>0.73867777199375328</v>
      </c>
      <c r="L1009" s="2">
        <f t="shared" si="419"/>
        <v>4.1644976574700676E-3</v>
      </c>
      <c r="M1009" s="2">
        <f t="shared" si="420"/>
        <v>5.6480999479437743E-2</v>
      </c>
      <c r="N1009" s="63">
        <v>771</v>
      </c>
      <c r="O1009" s="63">
        <v>2838</v>
      </c>
      <c r="P1009" s="63">
        <v>16</v>
      </c>
      <c r="Q1009" s="63">
        <v>164</v>
      </c>
      <c r="R1009" s="63">
        <v>50</v>
      </c>
      <c r="S1009" s="63">
        <v>2</v>
      </c>
      <c r="T1009" s="63"/>
      <c r="U1009" s="63"/>
      <c r="V1009" s="63"/>
      <c r="W1009" s="63">
        <f>IF(Copyright!B$11=1,IF(CA1009&gt;0,CA1009-P1009-SUM(S1009:V1009)-SUM(X1009:AO1009)-AQ1009,SUM(CB1009:CI1009)),SUM(CC1009:CI1009))</f>
        <v>1</v>
      </c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W1009" s="5">
        <f>IF(Q1009&gt;0,RANK(Q1009,(N1009:P1009,Q1009:AE1009)),0)</f>
        <v>3</v>
      </c>
      <c r="AX1009" s="5">
        <f>IF(R1009&gt;0,RANK(R1009,(N1009:P1009,Q1009:AE1009)),0)</f>
        <v>4</v>
      </c>
      <c r="AY1009" s="5">
        <f>IF(T1009&gt;0,RANK(T1009,(N1009:P1009,Q1009:AE1009)),0)</f>
        <v>0</v>
      </c>
      <c r="AZ1009" s="5">
        <f>IF(S1009&gt;0,RANK(S1009,(N1009:P1009,Q1009:AE1009)),0)</f>
        <v>6</v>
      </c>
      <c r="BA1009" s="2">
        <f t="shared" si="421"/>
        <v>4.2686100989068193E-2</v>
      </c>
      <c r="BB1009" s="2">
        <f t="shared" si="422"/>
        <v>1.3014055179593961E-2</v>
      </c>
      <c r="BC1009" s="2">
        <f t="shared" si="423"/>
        <v>0</v>
      </c>
      <c r="BD1009" s="2">
        <f t="shared" si="424"/>
        <v>5.2056220718375845E-4</v>
      </c>
      <c r="BF1009" t="s">
        <v>21</v>
      </c>
      <c r="BG1009" t="s">
        <v>457</v>
      </c>
      <c r="BH1009">
        <v>4</v>
      </c>
      <c r="BJ1009" s="114">
        <v>20</v>
      </c>
      <c r="BK1009" s="116">
        <v>151</v>
      </c>
      <c r="BL1009" s="120">
        <f t="shared" si="426"/>
        <v>20151</v>
      </c>
      <c r="BN1009" s="5" t="s">
        <v>3154</v>
      </c>
      <c r="BY1009" s="63">
        <f t="shared" si="425"/>
        <v>3842</v>
      </c>
      <c r="CF1009" s="63">
        <v>1</v>
      </c>
    </row>
    <row r="1010" spans="1:85" hidden="1" outlineLevel="1">
      <c r="A1010" t="s">
        <v>598</v>
      </c>
      <c r="B1010" t="s">
        <v>457</v>
      </c>
      <c r="C1010" s="1">
        <f t="shared" si="414"/>
        <v>1472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32">
        <f t="shared" si="415"/>
        <v>1057</v>
      </c>
      <c r="H1010" s="137">
        <f t="shared" si="416"/>
        <v>0.71807065217391308</v>
      </c>
      <c r="I1010" s="2"/>
      <c r="J1010" s="2">
        <f t="shared" si="417"/>
        <v>0.11073369565217392</v>
      </c>
      <c r="K1010" s="2">
        <f t="shared" si="418"/>
        <v>0.82880434782608692</v>
      </c>
      <c r="L1010" s="2">
        <f t="shared" si="419"/>
        <v>0</v>
      </c>
      <c r="M1010" s="2">
        <f t="shared" si="420"/>
        <v>6.0461956521739135E-2</v>
      </c>
      <c r="N1010" s="63">
        <v>163</v>
      </c>
      <c r="O1010" s="63">
        <v>1220</v>
      </c>
      <c r="P1010" s="63"/>
      <c r="Q1010" s="63">
        <v>55</v>
      </c>
      <c r="R1010" s="63">
        <v>26</v>
      </c>
      <c r="S1010" s="63">
        <v>7</v>
      </c>
      <c r="T1010" s="63"/>
      <c r="U1010" s="63"/>
      <c r="V1010" s="63"/>
      <c r="W1010" s="63">
        <f>IF(Copyright!B$11=1,IF(CA1010&gt;0,CA1010-P1010-SUM(S1010:V1010)-SUM(X1010:AO1010)-AQ1010,SUM(CB1010:CI1010)),SUM(CC1010:CI1010))</f>
        <v>1</v>
      </c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W1010" s="5">
        <f>IF(Q1010&gt;0,RANK(Q1010,(N1010:P1010,Q1010:AE1010)),0)</f>
        <v>3</v>
      </c>
      <c r="AX1010" s="5">
        <f>IF(R1010&gt;0,RANK(R1010,(N1010:P1010,Q1010:AE1010)),0)</f>
        <v>4</v>
      </c>
      <c r="AY1010" s="5">
        <f>IF(T1010&gt;0,RANK(T1010,(N1010:P1010,Q1010:AE1010)),0)</f>
        <v>0</v>
      </c>
      <c r="AZ1010" s="5">
        <f>IF(S1010&gt;0,RANK(S1010,(N1010:P1010,Q1010:AE1010)),0)</f>
        <v>5</v>
      </c>
      <c r="BA1010" s="2">
        <f t="shared" si="421"/>
        <v>3.7364130434782608E-2</v>
      </c>
      <c r="BB1010" s="2">
        <f t="shared" si="422"/>
        <v>1.7663043478260868E-2</v>
      </c>
      <c r="BC1010" s="2">
        <f t="shared" si="423"/>
        <v>0</v>
      </c>
      <c r="BD1010" s="2">
        <f t="shared" si="424"/>
        <v>4.755434782608696E-3</v>
      </c>
      <c r="BF1010" t="s">
        <v>598</v>
      </c>
      <c r="BG1010" t="s">
        <v>457</v>
      </c>
      <c r="BH1010">
        <v>1</v>
      </c>
      <c r="BJ1010" s="114">
        <v>20</v>
      </c>
      <c r="BK1010" s="116">
        <v>153</v>
      </c>
      <c r="BL1010" s="120">
        <f t="shared" si="426"/>
        <v>20153</v>
      </c>
      <c r="BN1010" s="5" t="s">
        <v>3154</v>
      </c>
      <c r="BY1010" s="63">
        <f t="shared" si="425"/>
        <v>1472</v>
      </c>
      <c r="CD1010" s="63">
        <v>1</v>
      </c>
    </row>
    <row r="1011" spans="1:85" hidden="1" outlineLevel="1">
      <c r="A1011" t="s">
        <v>599</v>
      </c>
      <c r="B1011" t="s">
        <v>457</v>
      </c>
      <c r="C1011" s="1">
        <f t="shared" si="414"/>
        <v>24536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6</v>
      </c>
      <c r="G1011" s="132">
        <f t="shared" si="415"/>
        <v>8676</v>
      </c>
      <c r="H1011" s="137">
        <f t="shared" si="416"/>
        <v>0.353602869253342</v>
      </c>
      <c r="I1011" s="2"/>
      <c r="J1011" s="2">
        <f t="shared" si="417"/>
        <v>0.27865177698076293</v>
      </c>
      <c r="K1011" s="2">
        <f t="shared" si="418"/>
        <v>0.63225464623410499</v>
      </c>
      <c r="L1011" s="2">
        <f t="shared" si="419"/>
        <v>4.5647212259537009E-3</v>
      </c>
      <c r="M1011" s="2">
        <f t="shared" si="420"/>
        <v>8.4528855559178384E-2</v>
      </c>
      <c r="N1011" s="63">
        <v>6837</v>
      </c>
      <c r="O1011" s="63">
        <v>15513</v>
      </c>
      <c r="P1011" s="63">
        <v>112</v>
      </c>
      <c r="Q1011" s="63">
        <v>1280</v>
      </c>
      <c r="R1011" s="63">
        <v>456</v>
      </c>
      <c r="S1011" s="63">
        <v>11</v>
      </c>
      <c r="T1011" s="63"/>
      <c r="U1011" s="63"/>
      <c r="V1011" s="63"/>
      <c r="W1011" s="63">
        <f>IF(Copyright!B$11=1,IF(CA1011&gt;0,CA1011-P1011-SUM(S1011:V1011)-SUM(X1011:AO1011)-AQ1011,SUM(CB1011:CI1011)),SUM(CC1011:CI1011))</f>
        <v>327</v>
      </c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W1011" s="5">
        <f>IF(Q1011&gt;0,RANK(Q1011,(N1011:P1011,Q1011:AE1011)),0)</f>
        <v>3</v>
      </c>
      <c r="AX1011" s="5">
        <f>IF(R1011&gt;0,RANK(R1011,(N1011:P1011,Q1011:AE1011)),0)</f>
        <v>4</v>
      </c>
      <c r="AY1011" s="5">
        <f>IF(T1011&gt;0,RANK(T1011,(N1011:P1011,Q1011:AE1011)),0)</f>
        <v>0</v>
      </c>
      <c r="AZ1011" s="5">
        <f>IF(S1011&gt;0,RANK(S1011,(N1011:P1011,Q1011:AE1011)),0)</f>
        <v>7</v>
      </c>
      <c r="BA1011" s="2">
        <f t="shared" si="421"/>
        <v>5.2168242582328009E-2</v>
      </c>
      <c r="BB1011" s="2">
        <f t="shared" si="422"/>
        <v>1.8584936419954352E-2</v>
      </c>
      <c r="BC1011" s="2">
        <f t="shared" si="423"/>
        <v>0</v>
      </c>
      <c r="BD1011" s="2">
        <f t="shared" si="424"/>
        <v>4.483208346918813E-4</v>
      </c>
      <c r="BF1011" t="s">
        <v>599</v>
      </c>
      <c r="BG1011" t="s">
        <v>457</v>
      </c>
      <c r="BH1011">
        <v>1</v>
      </c>
      <c r="BJ1011" s="114">
        <v>20</v>
      </c>
      <c r="BK1011" s="116">
        <v>155</v>
      </c>
      <c r="BL1011" s="120">
        <f t="shared" si="426"/>
        <v>20155</v>
      </c>
      <c r="BN1011" s="5" t="s">
        <v>3154</v>
      </c>
      <c r="BY1011" s="63">
        <f t="shared" si="425"/>
        <v>0</v>
      </c>
      <c r="BZ1011" s="63">
        <v>24536</v>
      </c>
      <c r="CA1011" s="63">
        <v>450</v>
      </c>
      <c r="CF1011" s="63">
        <v>1</v>
      </c>
    </row>
    <row r="1012" spans="1:85" hidden="1" outlineLevel="1">
      <c r="A1012" t="s">
        <v>1800</v>
      </c>
      <c r="B1012" t="s">
        <v>457</v>
      </c>
      <c r="C1012" s="1">
        <f t="shared" si="414"/>
        <v>2529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5</v>
      </c>
      <c r="G1012" s="132">
        <f t="shared" si="415"/>
        <v>1649</v>
      </c>
      <c r="H1012" s="137">
        <f t="shared" si="416"/>
        <v>0.65203637801502567</v>
      </c>
      <c r="I1012" s="2"/>
      <c r="J1012" s="2">
        <f t="shared" si="417"/>
        <v>0.14827995255041518</v>
      </c>
      <c r="K1012" s="2">
        <f t="shared" si="418"/>
        <v>0.80031633056544094</v>
      </c>
      <c r="L1012" s="2">
        <f t="shared" si="419"/>
        <v>1.5816528272044287E-3</v>
      </c>
      <c r="M1012" s="2">
        <f t="shared" si="420"/>
        <v>4.9822064056939487E-2</v>
      </c>
      <c r="N1012" s="63">
        <v>375</v>
      </c>
      <c r="O1012" s="63">
        <v>2024</v>
      </c>
      <c r="P1012" s="63">
        <v>4</v>
      </c>
      <c r="Q1012" s="63">
        <v>83</v>
      </c>
      <c r="R1012" s="63">
        <v>43</v>
      </c>
      <c r="S1012" s="63"/>
      <c r="T1012" s="63"/>
      <c r="U1012" s="63"/>
      <c r="V1012" s="63"/>
      <c r="W1012" s="63">
        <f>IF(Copyright!B$11=1,IF(CA1012&gt;0,CA1012-P1012-SUM(S1012:V1012)-SUM(X1012:AO1012)-AQ1012,SUM(CB1012:CI1012)),SUM(CC1012:CI1012))</f>
        <v>0</v>
      </c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W1012" s="5">
        <f>IF(Q1012&gt;0,RANK(Q1012,(N1012:P1012,Q1012:AE1012)),0)</f>
        <v>3</v>
      </c>
      <c r="AX1012" s="5">
        <f>IF(R1012&gt;0,RANK(R1012,(N1012:P1012,Q1012:AE1012)),0)</f>
        <v>4</v>
      </c>
      <c r="AY1012" s="5">
        <f>IF(T1012&gt;0,RANK(T1012,(N1012:P1012,Q1012:AE1012)),0)</f>
        <v>0</v>
      </c>
      <c r="AZ1012" s="5">
        <f>IF(S1012&gt;0,RANK(S1012,(N1012:P1012,Q1012:AE1012)),0)</f>
        <v>0</v>
      </c>
      <c r="BA1012" s="2">
        <f t="shared" si="421"/>
        <v>3.2819296164491897E-2</v>
      </c>
      <c r="BB1012" s="2">
        <f t="shared" si="422"/>
        <v>1.7002767892447607E-2</v>
      </c>
      <c r="BC1012" s="2">
        <f t="shared" si="423"/>
        <v>0</v>
      </c>
      <c r="BD1012" s="2">
        <f t="shared" si="424"/>
        <v>0</v>
      </c>
      <c r="BF1012" t="s">
        <v>1800</v>
      </c>
      <c r="BG1012" t="s">
        <v>457</v>
      </c>
      <c r="BH1012">
        <v>1</v>
      </c>
      <c r="BJ1012" s="114">
        <v>20</v>
      </c>
      <c r="BK1012" s="116">
        <v>157</v>
      </c>
      <c r="BL1012" s="120">
        <f t="shared" si="426"/>
        <v>20157</v>
      </c>
      <c r="BN1012" s="5" t="s">
        <v>3154</v>
      </c>
      <c r="BY1012" s="63">
        <f t="shared" si="425"/>
        <v>2529</v>
      </c>
    </row>
    <row r="1013" spans="1:85" hidden="1" outlineLevel="1">
      <c r="A1013" t="s">
        <v>412</v>
      </c>
      <c r="B1013" t="s">
        <v>457</v>
      </c>
      <c r="C1013" s="1">
        <f t="shared" si="414"/>
        <v>3804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>IF(P1013&gt;0,RANK(P1013,(N1013:P1013,Q1013:AE1013)),0)</f>
        <v>5</v>
      </c>
      <c r="G1013" s="132">
        <f t="shared" si="415"/>
        <v>2142</v>
      </c>
      <c r="H1013" s="137">
        <f t="shared" si="416"/>
        <v>0.56309148264984232</v>
      </c>
      <c r="I1013" s="2"/>
      <c r="J1013" s="2">
        <f t="shared" si="417"/>
        <v>0.18270241850683491</v>
      </c>
      <c r="K1013" s="2">
        <f t="shared" si="418"/>
        <v>0.74579390115667721</v>
      </c>
      <c r="L1013" s="2">
        <f t="shared" si="419"/>
        <v>1.3144058885383807E-3</v>
      </c>
      <c r="M1013" s="2">
        <f t="shared" si="420"/>
        <v>7.0189274447949521E-2</v>
      </c>
      <c r="N1013" s="63">
        <v>695</v>
      </c>
      <c r="O1013" s="63">
        <v>2837</v>
      </c>
      <c r="P1013" s="63">
        <v>5</v>
      </c>
      <c r="Q1013" s="63">
        <v>194</v>
      </c>
      <c r="R1013" s="63">
        <v>69</v>
      </c>
      <c r="S1013" s="63">
        <v>4</v>
      </c>
      <c r="T1013" s="63"/>
      <c r="U1013" s="63"/>
      <c r="V1013" s="63"/>
      <c r="W1013" s="63">
        <f>IF(Copyright!B$11=1,IF(CA1013&gt;0,CA1013-P1013-SUM(S1013:V1013)-SUM(X1013:AO1013)-AQ1013,SUM(CB1013:CI1013)),SUM(CC1013:CI1013))</f>
        <v>0</v>
      </c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W1013" s="5">
        <f>IF(Q1013&gt;0,RANK(Q1013,(N1013:P1013,Q1013:AE1013)),0)</f>
        <v>3</v>
      </c>
      <c r="AX1013" s="5">
        <f>IF(R1013&gt;0,RANK(R1013,(N1013:P1013,Q1013:AE1013)),0)</f>
        <v>4</v>
      </c>
      <c r="AY1013" s="5">
        <f>IF(T1013&gt;0,RANK(T1013,(N1013:P1013,Q1013:AE1013)),0)</f>
        <v>0</v>
      </c>
      <c r="AZ1013" s="5">
        <f>IF(S1013&gt;0,RANK(S1013,(N1013:P1013,Q1013:AE1013)),0)</f>
        <v>6</v>
      </c>
      <c r="BA1013" s="2">
        <f t="shared" si="421"/>
        <v>5.0998948475289171E-2</v>
      </c>
      <c r="BB1013" s="2">
        <f t="shared" si="422"/>
        <v>1.8138801261829655E-2</v>
      </c>
      <c r="BC1013" s="2">
        <f t="shared" si="423"/>
        <v>0</v>
      </c>
      <c r="BD1013" s="2">
        <f t="shared" si="424"/>
        <v>1.0515247108307045E-3</v>
      </c>
      <c r="BF1013" t="s">
        <v>412</v>
      </c>
      <c r="BG1013" t="s">
        <v>457</v>
      </c>
      <c r="BH1013">
        <v>1</v>
      </c>
      <c r="BJ1013" s="114">
        <v>20</v>
      </c>
      <c r="BK1013" s="116">
        <v>159</v>
      </c>
      <c r="BL1013" s="120">
        <f t="shared" si="426"/>
        <v>20159</v>
      </c>
      <c r="BN1013" s="5" t="s">
        <v>3154</v>
      </c>
      <c r="BY1013" s="63">
        <f t="shared" si="425"/>
        <v>3804</v>
      </c>
    </row>
    <row r="1014" spans="1:85" hidden="1" outlineLevel="1">
      <c r="A1014" t="s">
        <v>1577</v>
      </c>
      <c r="B1014" t="s">
        <v>457</v>
      </c>
      <c r="C1014" s="1">
        <f t="shared" si="414"/>
        <v>21974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>IF(P1014&gt;0,RANK(P1014,(N1014:P1014,Q1014:AE1014)),0)</f>
        <v>6</v>
      </c>
      <c r="G1014" s="132">
        <f t="shared" si="415"/>
        <v>766</v>
      </c>
      <c r="H1014" s="137">
        <f t="shared" si="416"/>
        <v>3.4859379266405754E-2</v>
      </c>
      <c r="I1014" s="2"/>
      <c r="J1014" s="2">
        <f t="shared" si="417"/>
        <v>0.42509329207244928</v>
      </c>
      <c r="K1014" s="2">
        <f t="shared" si="418"/>
        <v>0.45995267133885503</v>
      </c>
      <c r="L1014" s="2">
        <f t="shared" si="419"/>
        <v>9.5112405570219345E-3</v>
      </c>
      <c r="M1014" s="2">
        <f>IF(C1014=0,"-",(1-J1014-K1014-L1014))</f>
        <v>0.10544279603167375</v>
      </c>
      <c r="N1014" s="63">
        <v>9341</v>
      </c>
      <c r="O1014" s="63">
        <v>10107</v>
      </c>
      <c r="P1014" s="63">
        <v>209</v>
      </c>
      <c r="Q1014" s="63">
        <v>1468</v>
      </c>
      <c r="R1014" s="63">
        <v>399</v>
      </c>
      <c r="S1014" s="63">
        <v>8</v>
      </c>
      <c r="T1014" s="63"/>
      <c r="U1014" s="63"/>
      <c r="V1014" s="63"/>
      <c r="W1014" s="63">
        <f>IF(Copyright!B$11=1,IF(CA1014&gt;0,CA1014-P1014-SUM(S1014:V1014)-SUM(X1014:AO1014)-AQ1014,SUM(CB1014:CI1014)),SUM(CC1014:CI1014))</f>
        <v>442</v>
      </c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W1014" s="5">
        <f>IF(Q1014&gt;0,RANK(Q1014,(N1014:P1014,Q1014:AE1014)),0)</f>
        <v>3</v>
      </c>
      <c r="AX1014" s="5">
        <f>IF(R1014&gt;0,RANK(R1014,(N1014:P1014,Q1014:AE1014)),0)</f>
        <v>5</v>
      </c>
      <c r="AY1014" s="5">
        <f>IF(T1014&gt;0,RANK(T1014,(N1014:P1014,Q1014:AE1014)),0)</f>
        <v>0</v>
      </c>
      <c r="AZ1014" s="5">
        <f>IF(S1014&gt;0,RANK(S1014,(N1014:P1014,Q1014:AE1014)),0)</f>
        <v>7</v>
      </c>
      <c r="BA1014" s="2">
        <f t="shared" si="421"/>
        <v>6.6806225539273692E-2</v>
      </c>
      <c r="BB1014" s="2">
        <f t="shared" si="422"/>
        <v>1.8157822881587331E-2</v>
      </c>
      <c r="BC1014" s="2">
        <f t="shared" si="423"/>
        <v>0</v>
      </c>
      <c r="BD1014" s="2">
        <f t="shared" si="424"/>
        <v>3.6406662419222717E-4</v>
      </c>
      <c r="BF1014" t="s">
        <v>1577</v>
      </c>
      <c r="BG1014" t="s">
        <v>457</v>
      </c>
      <c r="BH1014">
        <v>1</v>
      </c>
      <c r="BJ1014" s="114">
        <v>20</v>
      </c>
      <c r="BK1014" s="116">
        <v>161</v>
      </c>
      <c r="BL1014" s="120">
        <f t="shared" si="426"/>
        <v>20161</v>
      </c>
      <c r="BN1014" s="5" t="s">
        <v>3154</v>
      </c>
      <c r="BY1014" s="63">
        <f t="shared" si="425"/>
        <v>341</v>
      </c>
      <c r="BZ1014" s="63">
        <f>9997+9155+1428+394+659</f>
        <v>21633</v>
      </c>
      <c r="CA1014" s="63">
        <v>659</v>
      </c>
    </row>
    <row r="1015" spans="1:85" hidden="1" outlineLevel="1">
      <c r="A1015" t="s">
        <v>663</v>
      </c>
      <c r="B1015" t="s">
        <v>457</v>
      </c>
      <c r="C1015" s="1">
        <f t="shared" si="414"/>
        <v>2419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5</v>
      </c>
      <c r="G1015" s="132">
        <f t="shared" si="415"/>
        <v>1756</v>
      </c>
      <c r="H1015" s="137">
        <f t="shared" si="416"/>
        <v>0.72591980157089708</v>
      </c>
      <c r="I1015" s="2"/>
      <c r="J1015" s="2">
        <f t="shared" si="417"/>
        <v>0.11368334022323275</v>
      </c>
      <c r="K1015" s="2">
        <f t="shared" si="418"/>
        <v>0.83960314179412976</v>
      </c>
      <c r="L1015" s="2">
        <f t="shared" si="419"/>
        <v>8.2678792889623808E-4</v>
      </c>
      <c r="M1015" s="2">
        <f t="shared" si="420"/>
        <v>4.5886730053741213E-2</v>
      </c>
      <c r="N1015" s="63">
        <v>275</v>
      </c>
      <c r="O1015" s="63">
        <v>2031</v>
      </c>
      <c r="P1015" s="63">
        <v>2</v>
      </c>
      <c r="Q1015" s="63">
        <v>80</v>
      </c>
      <c r="R1015" s="63">
        <v>29</v>
      </c>
      <c r="S1015" s="63">
        <v>2</v>
      </c>
      <c r="T1015" s="63"/>
      <c r="U1015" s="63"/>
      <c r="V1015" s="63"/>
      <c r="W1015" s="63">
        <f>IF(Copyright!B$11=1,IF(CA1015&gt;0,CA1015-P1015-SUM(S1015:V1015)-SUM(X1015:AO1015)-AQ1015,SUM(CB1015:CI1015)),SUM(CC1015:CI1015))</f>
        <v>0</v>
      </c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W1015" s="5">
        <f>IF(Q1015&gt;0,RANK(Q1015,(N1015:P1015,Q1015:AE1015)),0)</f>
        <v>3</v>
      </c>
      <c r="AX1015" s="5">
        <f>IF(R1015&gt;0,RANK(R1015,(N1015:P1015,Q1015:AE1015)),0)</f>
        <v>4</v>
      </c>
      <c r="AY1015" s="5">
        <f>IF(T1015&gt;0,RANK(T1015,(N1015:P1015,Q1015:AE1015)),0)</f>
        <v>0</v>
      </c>
      <c r="AZ1015" s="5">
        <f>IF(S1015&gt;0,RANK(S1015,(N1015:P1015,Q1015:AE1015)),0)</f>
        <v>5</v>
      </c>
      <c r="BA1015" s="2">
        <f t="shared" si="421"/>
        <v>3.3071517155849522E-2</v>
      </c>
      <c r="BB1015" s="2">
        <f t="shared" si="422"/>
        <v>1.1988424968995453E-2</v>
      </c>
      <c r="BC1015" s="2">
        <f t="shared" si="423"/>
        <v>0</v>
      </c>
      <c r="BD1015" s="2">
        <f t="shared" si="424"/>
        <v>8.2678792889623808E-4</v>
      </c>
      <c r="BF1015" t="s">
        <v>663</v>
      </c>
      <c r="BG1015" t="s">
        <v>457</v>
      </c>
      <c r="BH1015">
        <v>1</v>
      </c>
      <c r="BJ1015" s="114">
        <v>20</v>
      </c>
      <c r="BK1015" s="116">
        <v>163</v>
      </c>
      <c r="BL1015" s="120">
        <f t="shared" si="426"/>
        <v>20163</v>
      </c>
      <c r="BN1015" s="5" t="s">
        <v>3154</v>
      </c>
      <c r="BY1015" s="63">
        <f t="shared" si="425"/>
        <v>2419</v>
      </c>
    </row>
    <row r="1016" spans="1:85" hidden="1" outlineLevel="1">
      <c r="A1016" t="s">
        <v>2483</v>
      </c>
      <c r="B1016" t="s">
        <v>457</v>
      </c>
      <c r="C1016" s="1">
        <f t="shared" si="414"/>
        <v>1503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32">
        <f t="shared" si="415"/>
        <v>964</v>
      </c>
      <c r="H1016" s="137">
        <f t="shared" si="416"/>
        <v>0.64138389886892877</v>
      </c>
      <c r="I1016" s="2"/>
      <c r="J1016" s="2">
        <f t="shared" si="417"/>
        <v>0.15502328675981369</v>
      </c>
      <c r="K1016" s="2">
        <f t="shared" si="418"/>
        <v>0.79640718562874246</v>
      </c>
      <c r="L1016" s="2">
        <f t="shared" si="419"/>
        <v>0</v>
      </c>
      <c r="M1016" s="2">
        <f t="shared" si="420"/>
        <v>4.8569527611443841E-2</v>
      </c>
      <c r="N1016" s="63">
        <v>233</v>
      </c>
      <c r="O1016" s="63">
        <v>1197</v>
      </c>
      <c r="P1016" s="63"/>
      <c r="Q1016" s="63">
        <v>55</v>
      </c>
      <c r="R1016" s="63">
        <v>18</v>
      </c>
      <c r="S1016" s="63"/>
      <c r="T1016" s="63"/>
      <c r="U1016" s="63"/>
      <c r="V1016" s="63"/>
      <c r="W1016" s="63">
        <f>IF(Copyright!B$11=1,IF(CA1016&gt;0,CA1016-P1016-SUM(S1016:V1016)-SUM(X1016:AO1016)-AQ1016,SUM(CB1016:CI1016)),SUM(CC1016:CI1016))</f>
        <v>0</v>
      </c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W1016" s="5">
        <f>IF(Q1016&gt;0,RANK(Q1016,(N1016:P1016,Q1016:AE1016)),0)</f>
        <v>3</v>
      </c>
      <c r="AX1016" s="5">
        <f>IF(R1016&gt;0,RANK(R1016,(N1016:P1016,Q1016:AE1016)),0)</f>
        <v>4</v>
      </c>
      <c r="AY1016" s="5">
        <f>IF(T1016&gt;0,RANK(T1016,(N1016:P1016,Q1016:AE1016)),0)</f>
        <v>0</v>
      </c>
      <c r="AZ1016" s="5">
        <f>IF(S1016&gt;0,RANK(S1016,(N1016:P1016,Q1016:AE1016)),0)</f>
        <v>0</v>
      </c>
      <c r="BA1016" s="2">
        <f t="shared" si="421"/>
        <v>3.6593479707252165E-2</v>
      </c>
      <c r="BB1016" s="2">
        <f t="shared" si="422"/>
        <v>1.1976047904191617E-2</v>
      </c>
      <c r="BC1016" s="2">
        <f t="shared" si="423"/>
        <v>0</v>
      </c>
      <c r="BD1016" s="2">
        <f t="shared" si="424"/>
        <v>0</v>
      </c>
      <c r="BF1016" t="s">
        <v>2483</v>
      </c>
      <c r="BG1016" t="s">
        <v>457</v>
      </c>
      <c r="BH1016">
        <v>1</v>
      </c>
      <c r="BJ1016" s="114">
        <v>20</v>
      </c>
      <c r="BK1016" s="116">
        <v>165</v>
      </c>
      <c r="BL1016" s="120">
        <f t="shared" si="426"/>
        <v>20165</v>
      </c>
      <c r="BN1016" s="5" t="s">
        <v>3154</v>
      </c>
      <c r="BY1016" s="63">
        <f t="shared" si="425"/>
        <v>1503</v>
      </c>
    </row>
    <row r="1017" spans="1:85" hidden="1" outlineLevel="1">
      <c r="A1017" t="s">
        <v>1820</v>
      </c>
      <c r="B1017" t="s">
        <v>457</v>
      </c>
      <c r="C1017" s="1">
        <f t="shared" si="414"/>
        <v>3193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5</v>
      </c>
      <c r="G1017" s="132">
        <f t="shared" si="415"/>
        <v>2113</v>
      </c>
      <c r="H1017" s="137">
        <f t="shared" si="416"/>
        <v>0.6617601002192296</v>
      </c>
      <c r="I1017" s="2"/>
      <c r="J1017" s="2">
        <f t="shared" si="417"/>
        <v>0.14437832759160665</v>
      </c>
      <c r="K1017" s="2">
        <f t="shared" si="418"/>
        <v>0.80613842781083622</v>
      </c>
      <c r="L1017" s="2">
        <f t="shared" si="419"/>
        <v>9.395552771688068E-4</v>
      </c>
      <c r="M1017" s="2">
        <f t="shared" si="420"/>
        <v>4.8543689320388349E-2</v>
      </c>
      <c r="N1017" s="63">
        <v>461</v>
      </c>
      <c r="O1017" s="63">
        <v>2574</v>
      </c>
      <c r="P1017" s="63">
        <v>3</v>
      </c>
      <c r="Q1017" s="63">
        <v>111</v>
      </c>
      <c r="R1017" s="63">
        <v>44</v>
      </c>
      <c r="S1017" s="63"/>
      <c r="T1017" s="63"/>
      <c r="U1017" s="63"/>
      <c r="V1017" s="63"/>
      <c r="W1017" s="63">
        <f>IF(Copyright!B$11=1,IF(CA1017&gt;0,CA1017-P1017-SUM(S1017:V1017)-SUM(X1017:AO1017)-AQ1017,SUM(CB1017:CI1017)),SUM(CC1017:CI1017))</f>
        <v>0</v>
      </c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W1017" s="5">
        <f>IF(Q1017&gt;0,RANK(Q1017,(N1017:P1017,Q1017:AE1017)),0)</f>
        <v>3</v>
      </c>
      <c r="AX1017" s="5">
        <f>IF(R1017&gt;0,RANK(R1017,(N1017:P1017,Q1017:AE1017)),0)</f>
        <v>4</v>
      </c>
      <c r="AY1017" s="5">
        <f>IF(T1017&gt;0,RANK(T1017,(N1017:P1017,Q1017:AE1017)),0)</f>
        <v>0</v>
      </c>
      <c r="AZ1017" s="5">
        <f>IF(S1017&gt;0,RANK(S1017,(N1017:P1017,Q1017:AE1017)),0)</f>
        <v>0</v>
      </c>
      <c r="BA1017" s="2">
        <f t="shared" si="421"/>
        <v>3.4763545255245852E-2</v>
      </c>
      <c r="BB1017" s="2">
        <f t="shared" si="422"/>
        <v>1.3780144065142498E-2</v>
      </c>
      <c r="BC1017" s="2">
        <f t="shared" si="423"/>
        <v>0</v>
      </c>
      <c r="BD1017" s="2">
        <f t="shared" si="424"/>
        <v>0</v>
      </c>
      <c r="BF1017" t="s">
        <v>1820</v>
      </c>
      <c r="BG1017" t="s">
        <v>457</v>
      </c>
      <c r="BH1017">
        <v>1</v>
      </c>
      <c r="BJ1017" s="114">
        <v>20</v>
      </c>
      <c r="BK1017" s="116">
        <v>167</v>
      </c>
      <c r="BL1017" s="120">
        <f t="shared" si="426"/>
        <v>20167</v>
      </c>
      <c r="BN1017" s="5" t="s">
        <v>3154</v>
      </c>
      <c r="BY1017" s="63">
        <f t="shared" si="425"/>
        <v>3193</v>
      </c>
    </row>
    <row r="1018" spans="1:85" hidden="1" outlineLevel="1">
      <c r="A1018" t="s">
        <v>649</v>
      </c>
      <c r="B1018" t="s">
        <v>457</v>
      </c>
      <c r="C1018" s="1">
        <f t="shared" si="414"/>
        <v>22064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5</v>
      </c>
      <c r="G1018" s="132">
        <f t="shared" si="415"/>
        <v>7511</v>
      </c>
      <c r="H1018" s="137">
        <f t="shared" si="416"/>
        <v>0.3404187817258883</v>
      </c>
      <c r="I1018" s="2"/>
      <c r="J1018" s="2">
        <f t="shared" si="417"/>
        <v>0.28630348078317619</v>
      </c>
      <c r="K1018" s="2">
        <f t="shared" si="418"/>
        <v>0.62672226250906449</v>
      </c>
      <c r="L1018" s="2">
        <f t="shared" si="419"/>
        <v>3.1725888324873096E-3</v>
      </c>
      <c r="M1018" s="2">
        <f t="shared" si="420"/>
        <v>8.3801667875272073E-2</v>
      </c>
      <c r="N1018" s="63">
        <v>6317</v>
      </c>
      <c r="O1018" s="63">
        <v>13828</v>
      </c>
      <c r="P1018" s="63">
        <v>70</v>
      </c>
      <c r="Q1018" s="63">
        <v>1378</v>
      </c>
      <c r="R1018" s="63">
        <v>461</v>
      </c>
      <c r="S1018" s="63">
        <v>5</v>
      </c>
      <c r="T1018" s="63"/>
      <c r="U1018" s="63"/>
      <c r="V1018" s="63">
        <v>1</v>
      </c>
      <c r="W1018" s="63">
        <f>IF(Copyright!B$11=1,IF(CA1018&gt;0,CA1018-P1018-SUM(S1018:V1018)-SUM(X1018:AO1018)-AQ1018,SUM(CB1018:CI1018)),SUM(CC1018:CI1018))</f>
        <v>1</v>
      </c>
      <c r="X1018" s="63"/>
      <c r="Y1018" s="63">
        <v>2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>
        <v>1</v>
      </c>
      <c r="AO1018" s="63"/>
      <c r="AP1018" s="63"/>
      <c r="AQ1018" s="63"/>
      <c r="AR1018" s="63"/>
      <c r="AS1018" s="63"/>
      <c r="AT1018" s="63"/>
      <c r="AU1018" s="63"/>
      <c r="AW1018" s="5">
        <f>IF(Q1018&gt;0,RANK(Q1018,(N1018:P1018,Q1018:AE1018)),0)</f>
        <v>3</v>
      </c>
      <c r="AX1018" s="5">
        <f>IF(R1018&gt;0,RANK(R1018,(N1018:P1018,Q1018:AE1018)),0)</f>
        <v>4</v>
      </c>
      <c r="AY1018" s="5">
        <f>IF(T1018&gt;0,RANK(T1018,(N1018:P1018,Q1018:AE1018)),0)</f>
        <v>0</v>
      </c>
      <c r="AZ1018" s="5">
        <f>IF(S1018&gt;0,RANK(S1018,(N1018:P1018,Q1018:AE1018)),0)</f>
        <v>6</v>
      </c>
      <c r="BA1018" s="2">
        <f t="shared" si="421"/>
        <v>6.2454677302393041E-2</v>
      </c>
      <c r="BB1018" s="2">
        <f t="shared" si="422"/>
        <v>2.0893763596809282E-2</v>
      </c>
      <c r="BC1018" s="2">
        <f t="shared" si="423"/>
        <v>0</v>
      </c>
      <c r="BD1018" s="2">
        <f t="shared" si="424"/>
        <v>2.2661348803480785E-4</v>
      </c>
      <c r="BF1018" t="s">
        <v>649</v>
      </c>
      <c r="BG1018" t="s">
        <v>457</v>
      </c>
      <c r="BH1018">
        <v>1</v>
      </c>
      <c r="BJ1018" s="114">
        <v>20</v>
      </c>
      <c r="BK1018" s="116">
        <v>169</v>
      </c>
      <c r="BL1018" s="120">
        <f t="shared" si="426"/>
        <v>20169</v>
      </c>
      <c r="BN1018" s="5" t="s">
        <v>3154</v>
      </c>
      <c r="BY1018" s="63">
        <f t="shared" si="425"/>
        <v>22064</v>
      </c>
      <c r="CG1018" s="8">
        <v>1</v>
      </c>
    </row>
    <row r="1019" spans="1:85" hidden="1" outlineLevel="1">
      <c r="A1019" t="s">
        <v>830</v>
      </c>
      <c r="B1019" t="s">
        <v>457</v>
      </c>
      <c r="C1019" s="1">
        <f t="shared" si="414"/>
        <v>2202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5</v>
      </c>
      <c r="G1019" s="132">
        <f t="shared" si="415"/>
        <v>1629</v>
      </c>
      <c r="H1019" s="137">
        <f t="shared" si="416"/>
        <v>0.73978201634877383</v>
      </c>
      <c r="I1019" s="2"/>
      <c r="J1019" s="2">
        <f t="shared" si="417"/>
        <v>0.10717529518619437</v>
      </c>
      <c r="K1019" s="2">
        <f t="shared" si="418"/>
        <v>0.84695731153496823</v>
      </c>
      <c r="L1019" s="2">
        <f t="shared" si="419"/>
        <v>2.270663033605813E-3</v>
      </c>
      <c r="M1019" s="2">
        <f t="shared" si="420"/>
        <v>4.3596730245231564E-2</v>
      </c>
      <c r="N1019" s="63">
        <v>236</v>
      </c>
      <c r="O1019" s="63">
        <v>1865</v>
      </c>
      <c r="P1019" s="63">
        <v>5</v>
      </c>
      <c r="Q1019" s="63">
        <v>69</v>
      </c>
      <c r="R1019" s="63">
        <v>27</v>
      </c>
      <c r="S1019" s="63"/>
      <c r="T1019" s="63"/>
      <c r="U1019" s="63"/>
      <c r="V1019" s="63"/>
      <c r="W1019" s="63">
        <f>IF(Copyright!B$11=1,IF(CA1019&gt;0,CA1019-P1019-SUM(S1019:V1019)-SUM(X1019:AO1019)-AQ1019,SUM(CB1019:CI1019)),SUM(CC1019:CI1019))</f>
        <v>0</v>
      </c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W1019" s="5">
        <f>IF(Q1019&gt;0,RANK(Q1019,(N1019:P1019,Q1019:AE1019)),0)</f>
        <v>3</v>
      </c>
      <c r="AX1019" s="5">
        <f>IF(R1019&gt;0,RANK(R1019,(N1019:P1019,Q1019:AE1019)),0)</f>
        <v>4</v>
      </c>
      <c r="AY1019" s="5">
        <f>IF(T1019&gt;0,RANK(T1019,(N1019:P1019,Q1019:AE1019)),0)</f>
        <v>0</v>
      </c>
      <c r="AZ1019" s="5">
        <f>IF(S1019&gt;0,RANK(S1019,(N1019:P1019,Q1019:AE1019)),0)</f>
        <v>0</v>
      </c>
      <c r="BA1019" s="2">
        <f t="shared" si="421"/>
        <v>3.1335149863760216E-2</v>
      </c>
      <c r="BB1019" s="2">
        <f t="shared" si="422"/>
        <v>1.226158038147139E-2</v>
      </c>
      <c r="BC1019" s="2">
        <f t="shared" si="423"/>
        <v>0</v>
      </c>
      <c r="BD1019" s="2">
        <f t="shared" si="424"/>
        <v>0</v>
      </c>
      <c r="BF1019" t="s">
        <v>830</v>
      </c>
      <c r="BG1019" t="s">
        <v>457</v>
      </c>
      <c r="BH1019">
        <v>1</v>
      </c>
      <c r="BJ1019" s="114">
        <v>20</v>
      </c>
      <c r="BK1019" s="116">
        <v>171</v>
      </c>
      <c r="BL1019" s="120">
        <f t="shared" si="426"/>
        <v>20171</v>
      </c>
      <c r="BN1019" s="5" t="s">
        <v>3154</v>
      </c>
      <c r="BY1019" s="63">
        <f t="shared" si="425"/>
        <v>2202</v>
      </c>
    </row>
    <row r="1020" spans="1:85" hidden="1" outlineLevel="1">
      <c r="A1020" t="s">
        <v>2832</v>
      </c>
      <c r="B1020" t="s">
        <v>457</v>
      </c>
      <c r="C1020" s="1">
        <f t="shared" si="414"/>
        <v>191798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6</v>
      </c>
      <c r="G1020" s="132">
        <f t="shared" si="415"/>
        <v>34726</v>
      </c>
      <c r="H1020" s="137">
        <f t="shared" si="416"/>
        <v>0.18105506835316323</v>
      </c>
      <c r="I1020" s="2"/>
      <c r="J1020" s="2">
        <f t="shared" si="417"/>
        <v>0.36302255497971825</v>
      </c>
      <c r="K1020" s="2">
        <f t="shared" si="418"/>
        <v>0.54407762333288145</v>
      </c>
      <c r="L1020" s="2">
        <f t="shared" si="419"/>
        <v>6.9813032461235255E-3</v>
      </c>
      <c r="M1020" s="2">
        <f t="shared" si="420"/>
        <v>8.5918518441276764E-2</v>
      </c>
      <c r="N1020" s="63">
        <v>69627</v>
      </c>
      <c r="O1020" s="63">
        <v>104353</v>
      </c>
      <c r="P1020" s="63">
        <v>1339</v>
      </c>
      <c r="Q1020" s="63">
        <v>9214</v>
      </c>
      <c r="R1020" s="63">
        <v>4042</v>
      </c>
      <c r="S1020" s="63">
        <v>118</v>
      </c>
      <c r="T1020" s="63"/>
      <c r="U1020" s="63"/>
      <c r="V1020" s="63"/>
      <c r="W1020" s="63">
        <f>IF(Copyright!B$11=1,IF(CA1020&gt;0,CA1020-P1020-SUM(S1020:V1020)-SUM(X1020:AO1020)-AQ1020,SUM(CB1020:CI1020)),SUM(CC1020:CI1020))</f>
        <v>3018</v>
      </c>
      <c r="X1020" s="63"/>
      <c r="Y1020" s="63">
        <v>5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>
        <v>1</v>
      </c>
      <c r="AM1020" s="63"/>
      <c r="AN1020" s="63">
        <v>77</v>
      </c>
      <c r="AO1020" s="63"/>
      <c r="AP1020" s="63"/>
      <c r="AQ1020" s="63">
        <v>4</v>
      </c>
      <c r="AR1020" s="63"/>
      <c r="AS1020" s="63"/>
      <c r="AT1020" s="63"/>
      <c r="AU1020" s="63"/>
      <c r="AW1020" s="5">
        <f>IF(Q1020&gt;0,RANK(Q1020,(N1020:P1020,Q1020:AE1020)),0)</f>
        <v>3</v>
      </c>
      <c r="AX1020" s="5">
        <f>IF(R1020&gt;0,RANK(R1020,(N1020:P1020,Q1020:AE1020)),0)</f>
        <v>4</v>
      </c>
      <c r="AY1020" s="5">
        <f>IF(T1020&gt;0,RANK(T1020,(N1020:P1020,Q1020:AE1020)),0)</f>
        <v>0</v>
      </c>
      <c r="AZ1020" s="5">
        <f>IF(S1020&gt;0,RANK(S1020,(N1020:P1020,Q1020:AE1020)),0)</f>
        <v>7</v>
      </c>
      <c r="BA1020" s="2">
        <f t="shared" si="421"/>
        <v>4.804012554875442E-2</v>
      </c>
      <c r="BB1020" s="2">
        <f t="shared" si="422"/>
        <v>2.1074255205997976E-2</v>
      </c>
      <c r="BC1020" s="2">
        <f t="shared" si="423"/>
        <v>0</v>
      </c>
      <c r="BD1020" s="2">
        <f t="shared" si="424"/>
        <v>6.1523060720132636E-4</v>
      </c>
      <c r="BF1020" t="s">
        <v>2832</v>
      </c>
      <c r="BG1020" t="s">
        <v>457</v>
      </c>
      <c r="BH1020">
        <v>4</v>
      </c>
      <c r="BJ1020" s="114">
        <v>20</v>
      </c>
      <c r="BK1020" s="116">
        <v>173</v>
      </c>
      <c r="BL1020" s="120">
        <f t="shared" si="426"/>
        <v>20173</v>
      </c>
      <c r="BN1020" s="5" t="s">
        <v>3154</v>
      </c>
      <c r="BY1020" s="63">
        <f t="shared" si="425"/>
        <v>0</v>
      </c>
      <c r="BZ1020" s="63">
        <f>69627+9214+4042+104353+4562</f>
        <v>191798</v>
      </c>
      <c r="CA1020" s="63">
        <v>4562</v>
      </c>
      <c r="CD1020" s="63">
        <v>2</v>
      </c>
      <c r="CF1020" s="63">
        <v>1</v>
      </c>
    </row>
    <row r="1021" spans="1:85" hidden="1" outlineLevel="1">
      <c r="A1021" t="s">
        <v>650</v>
      </c>
      <c r="B1021" t="s">
        <v>457</v>
      </c>
      <c r="C1021" s="1">
        <f t="shared" si="414"/>
        <v>5038</v>
      </c>
      <c r="D1021" s="5">
        <f>IF(N1021&gt;0, RANK(N1021,(N1021:P1021,Q1021:AE1021)),0)</f>
        <v>2</v>
      </c>
      <c r="E1021" s="5">
        <f>IF(O1021&gt;0,RANK(O1021,(N1021:P1021,Q1021:AE1021)),0)</f>
        <v>1</v>
      </c>
      <c r="F1021" s="5">
        <f>IF(P1021&gt;0,RANK(P1021,(N1021:P1021,Q1021:AE1021)),0)</f>
        <v>5</v>
      </c>
      <c r="G1021" s="132">
        <f t="shared" si="415"/>
        <v>1531</v>
      </c>
      <c r="H1021" s="137">
        <f t="shared" si="416"/>
        <v>0.30389043271139343</v>
      </c>
      <c r="I1021" s="2"/>
      <c r="J1021" s="2">
        <f t="shared" si="417"/>
        <v>0.32314410480349343</v>
      </c>
      <c r="K1021" s="2">
        <f t="shared" si="418"/>
        <v>0.62703453751488691</v>
      </c>
      <c r="L1021" s="2">
        <f t="shared" si="419"/>
        <v>1.1909487892020642E-3</v>
      </c>
      <c r="M1021" s="2">
        <f t="shared" si="420"/>
        <v>4.8630408892417598E-2</v>
      </c>
      <c r="N1021" s="63">
        <v>1628</v>
      </c>
      <c r="O1021" s="63">
        <v>3159</v>
      </c>
      <c r="P1021" s="63">
        <v>6</v>
      </c>
      <c r="Q1021" s="63">
        <v>186</v>
      </c>
      <c r="R1021" s="63">
        <v>58</v>
      </c>
      <c r="S1021" s="63">
        <v>1</v>
      </c>
      <c r="T1021" s="63"/>
      <c r="U1021" s="63"/>
      <c r="V1021" s="63"/>
      <c r="W1021" s="63">
        <f>IF(Copyright!B$11=1,IF(CA1021&gt;0,CA1021-P1021-SUM(S1021:V1021)-SUM(X1021:AO1021)-AQ1021,SUM(CB1021:CI1021)),SUM(CC1021:CI1021))</f>
        <v>0</v>
      </c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W1021" s="5">
        <f>IF(Q1021&gt;0,RANK(Q1021,(N1021:P1021,Q1021:AE1021)),0)</f>
        <v>3</v>
      </c>
      <c r="AX1021" s="5">
        <f>IF(R1021&gt;0,RANK(R1021,(N1021:P1021,Q1021:AE1021)),0)</f>
        <v>4</v>
      </c>
      <c r="AY1021" s="5">
        <f>IF(T1021&gt;0,RANK(T1021,(N1021:P1021,Q1021:AE1021)),0)</f>
        <v>0</v>
      </c>
      <c r="AZ1021" s="5">
        <f>IF(S1021&gt;0,RANK(S1021,(N1021:P1021,Q1021:AE1021)),0)</f>
        <v>6</v>
      </c>
      <c r="BA1021" s="2">
        <f t="shared" si="421"/>
        <v>3.6919412465263993E-2</v>
      </c>
      <c r="BB1021" s="2">
        <f t="shared" si="422"/>
        <v>1.1512504962286622E-2</v>
      </c>
      <c r="BC1021" s="2">
        <f t="shared" si="423"/>
        <v>0</v>
      </c>
      <c r="BD1021" s="2">
        <f t="shared" si="424"/>
        <v>1.9849146486701071E-4</v>
      </c>
      <c r="BF1021" t="s">
        <v>650</v>
      </c>
      <c r="BG1021" t="s">
        <v>457</v>
      </c>
      <c r="BH1021">
        <v>1</v>
      </c>
      <c r="BJ1021" s="114">
        <v>20</v>
      </c>
      <c r="BK1021" s="116">
        <v>175</v>
      </c>
      <c r="BL1021" s="120">
        <f t="shared" si="426"/>
        <v>20175</v>
      </c>
      <c r="BN1021" s="5" t="s">
        <v>3154</v>
      </c>
      <c r="BY1021" s="63">
        <f t="shared" si="425"/>
        <v>5038</v>
      </c>
    </row>
    <row r="1022" spans="1:85" hidden="1" outlineLevel="1">
      <c r="A1022" t="s">
        <v>88</v>
      </c>
      <c r="B1022" t="s">
        <v>457</v>
      </c>
      <c r="C1022" s="1">
        <f t="shared" si="414"/>
        <v>76766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>IF(P1022&gt;0,RANK(P1022,(N1022:P1022,Q1022:AE1022)),0)</f>
        <v>6</v>
      </c>
      <c r="G1022" s="132">
        <f t="shared" si="415"/>
        <v>2008</v>
      </c>
      <c r="H1022" s="137">
        <f t="shared" si="416"/>
        <v>2.6157413438240889E-2</v>
      </c>
      <c r="I1022" s="2"/>
      <c r="J1022" s="2">
        <f t="shared" si="417"/>
        <v>0.44194044238334679</v>
      </c>
      <c r="K1022" s="2">
        <f t="shared" si="418"/>
        <v>0.46809785582158769</v>
      </c>
      <c r="L1022" s="2">
        <f t="shared" si="419"/>
        <v>4.259698303936639E-3</v>
      </c>
      <c r="M1022" s="2">
        <f t="shared" si="420"/>
        <v>8.5702003491128831E-2</v>
      </c>
      <c r="N1022" s="63">
        <v>33926</v>
      </c>
      <c r="O1022" s="63">
        <v>35934</v>
      </c>
      <c r="P1022" s="63">
        <v>327</v>
      </c>
      <c r="Q1022" s="63">
        <v>3412</v>
      </c>
      <c r="R1022" s="63">
        <v>1752</v>
      </c>
      <c r="S1022" s="63">
        <v>33</v>
      </c>
      <c r="T1022" s="63"/>
      <c r="U1022" s="63"/>
      <c r="V1022" s="63">
        <v>1</v>
      </c>
      <c r="W1022" s="63">
        <f>IF(Copyright!B$11=1,IF(CA1022&gt;0,CA1022-P1022-SUM(S1022:V1022)-SUM(X1022:AO1022)-AQ1022,SUM(CB1022:CI1022)),SUM(CC1022:CI1022))</f>
        <v>1362</v>
      </c>
      <c r="X1022" s="63"/>
      <c r="Y1022" s="63">
        <v>4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>
        <v>15</v>
      </c>
      <c r="AO1022" s="63"/>
      <c r="AP1022" s="63"/>
      <c r="AQ1022" s="63"/>
      <c r="AR1022" s="63"/>
      <c r="AS1022" s="63"/>
      <c r="AT1022" s="63"/>
      <c r="AU1022" s="63"/>
      <c r="AW1022" s="5">
        <f>IF(Q1022&gt;0,RANK(Q1022,(N1022:P1022,Q1022:AE1022)),0)</f>
        <v>3</v>
      </c>
      <c r="AX1022" s="5">
        <f>IF(R1022&gt;0,RANK(R1022,(N1022:P1022,Q1022:AE1022)),0)</f>
        <v>4</v>
      </c>
      <c r="AY1022" s="5">
        <f>IF(T1022&gt;0,RANK(T1022,(N1022:P1022,Q1022:AE1022)),0)</f>
        <v>0</v>
      </c>
      <c r="AZ1022" s="5">
        <f>IF(S1022&gt;0,RANK(S1022,(N1022:P1022,Q1022:AE1022)),0)</f>
        <v>7</v>
      </c>
      <c r="BA1022" s="2">
        <f t="shared" si="421"/>
        <v>4.4446760284500952E-2</v>
      </c>
      <c r="BB1022" s="2">
        <f t="shared" si="422"/>
        <v>2.2822603756871531E-2</v>
      </c>
      <c r="BC1022" s="2">
        <f t="shared" si="423"/>
        <v>0</v>
      </c>
      <c r="BD1022" s="2">
        <f t="shared" si="424"/>
        <v>4.2987781048901857E-4</v>
      </c>
      <c r="BF1022" t="s">
        <v>88</v>
      </c>
      <c r="BG1022" t="s">
        <v>457</v>
      </c>
      <c r="BH1022">
        <v>2</v>
      </c>
      <c r="BJ1022" s="114">
        <v>20</v>
      </c>
      <c r="BK1022" s="116">
        <v>177</v>
      </c>
      <c r="BL1022" s="120">
        <f t="shared" si="426"/>
        <v>20177</v>
      </c>
      <c r="BN1022" s="5" t="s">
        <v>3154</v>
      </c>
      <c r="BY1022" s="63">
        <f t="shared" si="425"/>
        <v>0</v>
      </c>
      <c r="BZ1022" s="63">
        <v>76766</v>
      </c>
      <c r="CA1022" s="63">
        <v>1742</v>
      </c>
      <c r="CE1022" s="63">
        <v>1</v>
      </c>
      <c r="CG1022" s="8">
        <v>1</v>
      </c>
    </row>
    <row r="1023" spans="1:85" hidden="1" outlineLevel="1">
      <c r="A1023" t="s">
        <v>303</v>
      </c>
      <c r="B1023" t="s">
        <v>457</v>
      </c>
      <c r="C1023" s="1">
        <f t="shared" si="414"/>
        <v>1374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32">
        <f t="shared" si="415"/>
        <v>1070</v>
      </c>
      <c r="H1023" s="137">
        <f t="shared" si="416"/>
        <v>0.77874818049490535</v>
      </c>
      <c r="I1023" s="2"/>
      <c r="J1023" s="2">
        <f t="shared" si="417"/>
        <v>9.2430858806404656E-2</v>
      </c>
      <c r="K1023" s="2">
        <f t="shared" si="418"/>
        <v>0.87117903930131002</v>
      </c>
      <c r="L1023" s="2">
        <f t="shared" si="419"/>
        <v>0</v>
      </c>
      <c r="M1023" s="2">
        <f t="shared" si="420"/>
        <v>3.6390101892285309E-2</v>
      </c>
      <c r="N1023" s="63">
        <v>127</v>
      </c>
      <c r="O1023" s="63">
        <v>1197</v>
      </c>
      <c r="P1023" s="63"/>
      <c r="Q1023" s="63">
        <v>38</v>
      </c>
      <c r="R1023" s="63">
        <v>12</v>
      </c>
      <c r="S1023" s="63"/>
      <c r="T1023" s="63"/>
      <c r="U1023" s="63"/>
      <c r="V1023" s="63"/>
      <c r="W1023" s="63">
        <f>IF(Copyright!B$11=1,IF(CA1023&gt;0,CA1023-P1023-SUM(S1023:V1023)-SUM(X1023:AO1023)-AQ1023,SUM(CB1023:CI1023)),SUM(CC1023:CI1023))</f>
        <v>0</v>
      </c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W1023" s="5">
        <f>IF(Q1023&gt;0,RANK(Q1023,(N1023:P1023,Q1023:AE1023)),0)</f>
        <v>3</v>
      </c>
      <c r="AX1023" s="5">
        <f>IF(R1023&gt;0,RANK(R1023,(N1023:P1023,Q1023:AE1023)),0)</f>
        <v>4</v>
      </c>
      <c r="AY1023" s="5">
        <f>IF(T1023&gt;0,RANK(T1023,(N1023:P1023,Q1023:AE1023)),0)</f>
        <v>0</v>
      </c>
      <c r="AZ1023" s="5">
        <f>IF(S1023&gt;0,RANK(S1023,(N1023:P1023,Q1023:AE1023)),0)</f>
        <v>0</v>
      </c>
      <c r="BA1023" s="2">
        <f t="shared" si="421"/>
        <v>2.7656477438136828E-2</v>
      </c>
      <c r="BB1023" s="2">
        <f t="shared" si="422"/>
        <v>8.7336244541484712E-3</v>
      </c>
      <c r="BC1023" s="2">
        <f t="shared" si="423"/>
        <v>0</v>
      </c>
      <c r="BD1023" s="2">
        <f t="shared" si="424"/>
        <v>0</v>
      </c>
      <c r="BF1023" t="s">
        <v>303</v>
      </c>
      <c r="BG1023" t="s">
        <v>457</v>
      </c>
      <c r="BH1023">
        <v>1</v>
      </c>
      <c r="BJ1023" s="114">
        <v>20</v>
      </c>
      <c r="BK1023" s="116">
        <v>179</v>
      </c>
      <c r="BL1023" s="120">
        <f t="shared" si="426"/>
        <v>20179</v>
      </c>
      <c r="BN1023" s="5" t="s">
        <v>3154</v>
      </c>
      <c r="BY1023" s="63">
        <f t="shared" si="425"/>
        <v>1374</v>
      </c>
    </row>
    <row r="1024" spans="1:85" hidden="1" outlineLevel="1">
      <c r="A1024" t="s">
        <v>2877</v>
      </c>
      <c r="B1024" t="s">
        <v>457</v>
      </c>
      <c r="C1024" s="1">
        <f t="shared" si="414"/>
        <v>2612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5</v>
      </c>
      <c r="G1024" s="132">
        <f t="shared" si="415"/>
        <v>1742</v>
      </c>
      <c r="H1024" s="137">
        <f t="shared" si="416"/>
        <v>0.66692189892802445</v>
      </c>
      <c r="I1024" s="2"/>
      <c r="J1024" s="2">
        <f t="shared" si="417"/>
        <v>0.13284839203675344</v>
      </c>
      <c r="K1024" s="2">
        <f t="shared" si="418"/>
        <v>0.79977029096477792</v>
      </c>
      <c r="L1024" s="2">
        <f t="shared" si="419"/>
        <v>5.7427258805513018E-3</v>
      </c>
      <c r="M1024" s="2">
        <f t="shared" si="420"/>
        <v>6.1638591117917307E-2</v>
      </c>
      <c r="N1024" s="63">
        <v>347</v>
      </c>
      <c r="O1024" s="63">
        <v>2089</v>
      </c>
      <c r="P1024" s="63">
        <v>15</v>
      </c>
      <c r="Q1024" s="63">
        <v>111</v>
      </c>
      <c r="R1024" s="63">
        <v>47</v>
      </c>
      <c r="S1024" s="63">
        <v>3</v>
      </c>
      <c r="T1024" s="63"/>
      <c r="U1024" s="63"/>
      <c r="V1024" s="63"/>
      <c r="W1024" s="63">
        <f>IF(Copyright!B$11=1,IF(CA1024&gt;0,CA1024-P1024-SUM(S1024:V1024)-SUM(X1024:AO1024)-AQ1024,SUM(CB1024:CI1024)),SUM(CC1024:CI1024))</f>
        <v>0</v>
      </c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W1024" s="5">
        <f>IF(Q1024&gt;0,RANK(Q1024,(N1024:P1024,Q1024:AE1024)),0)</f>
        <v>3</v>
      </c>
      <c r="AX1024" s="5">
        <f>IF(R1024&gt;0,RANK(R1024,(N1024:P1024,Q1024:AE1024)),0)</f>
        <v>4</v>
      </c>
      <c r="AY1024" s="5">
        <f>IF(T1024&gt;0,RANK(T1024,(N1024:P1024,Q1024:AE1024)),0)</f>
        <v>0</v>
      </c>
      <c r="AZ1024" s="5">
        <f>IF(S1024&gt;0,RANK(S1024,(N1024:P1024,Q1024:AE1024)),0)</f>
        <v>6</v>
      </c>
      <c r="BA1024" s="2">
        <f t="shared" si="421"/>
        <v>4.249617151607963E-2</v>
      </c>
      <c r="BB1024" s="2">
        <f t="shared" si="422"/>
        <v>1.7993874425727412E-2</v>
      </c>
      <c r="BC1024" s="2">
        <f t="shared" si="423"/>
        <v>0</v>
      </c>
      <c r="BD1024" s="2">
        <f t="shared" si="424"/>
        <v>1.1485451761102604E-3</v>
      </c>
      <c r="BF1024" t="s">
        <v>2877</v>
      </c>
      <c r="BG1024" t="s">
        <v>457</v>
      </c>
      <c r="BH1024">
        <v>1</v>
      </c>
      <c r="BJ1024" s="114">
        <v>20</v>
      </c>
      <c r="BK1024" s="116">
        <v>181</v>
      </c>
      <c r="BL1024" s="120">
        <f t="shared" si="426"/>
        <v>20181</v>
      </c>
      <c r="BN1024" s="5" t="s">
        <v>3154</v>
      </c>
      <c r="BY1024" s="63">
        <f t="shared" si="425"/>
        <v>2612</v>
      </c>
    </row>
    <row r="1025" spans="1:95" hidden="1" outlineLevel="1">
      <c r="A1025" t="s">
        <v>1984</v>
      </c>
      <c r="B1025" t="s">
        <v>457</v>
      </c>
      <c r="C1025" s="1">
        <f t="shared" si="414"/>
        <v>2042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32">
        <f t="shared" si="415"/>
        <v>1364</v>
      </c>
      <c r="H1025" s="137">
        <f t="shared" si="416"/>
        <v>0.66797257590597459</v>
      </c>
      <c r="I1025" s="2"/>
      <c r="J1025" s="2">
        <f t="shared" si="417"/>
        <v>0.14544564152791381</v>
      </c>
      <c r="K1025" s="2">
        <f t="shared" si="418"/>
        <v>0.81341821743388831</v>
      </c>
      <c r="L1025" s="2">
        <f t="shared" si="419"/>
        <v>0</v>
      </c>
      <c r="M1025" s="2">
        <f t="shared" si="420"/>
        <v>4.1136141038197849E-2</v>
      </c>
      <c r="N1025" s="63">
        <v>297</v>
      </c>
      <c r="O1025" s="63">
        <v>1661</v>
      </c>
      <c r="P1025" s="63"/>
      <c r="Q1025" s="63">
        <v>55</v>
      </c>
      <c r="R1025" s="63">
        <v>29</v>
      </c>
      <c r="S1025" s="63"/>
      <c r="T1025" s="63"/>
      <c r="U1025" s="63"/>
      <c r="V1025" s="63"/>
      <c r="W1025" s="63">
        <f>IF(Copyright!B$11=1,IF(CA1025&gt;0,CA1025-P1025-SUM(S1025:V1025)-SUM(X1025:AO1025)-AQ1025,SUM(CB1025:CI1025)),SUM(CC1025:CI1025))</f>
        <v>0</v>
      </c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W1025" s="5">
        <f>IF(Q1025&gt;0,RANK(Q1025,(N1025:P1025,Q1025:AE1025)),0)</f>
        <v>3</v>
      </c>
      <c r="AX1025" s="5">
        <f>IF(R1025&gt;0,RANK(R1025,(N1025:P1025,Q1025:AE1025)),0)</f>
        <v>4</v>
      </c>
      <c r="AY1025" s="5">
        <f>IF(T1025&gt;0,RANK(T1025,(N1025:P1025,Q1025:AE1025)),0)</f>
        <v>0</v>
      </c>
      <c r="AZ1025" s="5">
        <f>IF(S1025&gt;0,RANK(S1025,(N1025:P1025,Q1025:AE1025)),0)</f>
        <v>0</v>
      </c>
      <c r="BA1025" s="2">
        <f t="shared" si="421"/>
        <v>2.6934378060724781E-2</v>
      </c>
      <c r="BB1025" s="2">
        <f t="shared" si="422"/>
        <v>1.4201762977473066E-2</v>
      </c>
      <c r="BC1025" s="2">
        <f t="shared" si="423"/>
        <v>0</v>
      </c>
      <c r="BD1025" s="2">
        <f t="shared" si="424"/>
        <v>0</v>
      </c>
      <c r="BF1025" t="s">
        <v>1984</v>
      </c>
      <c r="BG1025" t="s">
        <v>457</v>
      </c>
      <c r="BH1025">
        <v>1</v>
      </c>
      <c r="BJ1025" s="114">
        <v>20</v>
      </c>
      <c r="BK1025" s="116">
        <v>183</v>
      </c>
      <c r="BL1025" s="120">
        <f t="shared" si="426"/>
        <v>20183</v>
      </c>
      <c r="BN1025" s="5" t="s">
        <v>3154</v>
      </c>
      <c r="BY1025" s="63">
        <f t="shared" si="425"/>
        <v>2042</v>
      </c>
    </row>
    <row r="1026" spans="1:95" hidden="1" outlineLevel="1">
      <c r="A1026" t="s">
        <v>2683</v>
      </c>
      <c r="B1026" t="s">
        <v>457</v>
      </c>
      <c r="C1026" s="1">
        <f t="shared" si="414"/>
        <v>1896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5</v>
      </c>
      <c r="G1026" s="132">
        <f t="shared" si="415"/>
        <v>1186</v>
      </c>
      <c r="H1026" s="137">
        <f t="shared" si="416"/>
        <v>0.62552742616033752</v>
      </c>
      <c r="I1026" s="2"/>
      <c r="J1026" s="2">
        <f t="shared" si="417"/>
        <v>0.16033755274261605</v>
      </c>
      <c r="K1026" s="2">
        <f t="shared" si="418"/>
        <v>0.78586497890295359</v>
      </c>
      <c r="L1026" s="2">
        <f t="shared" si="419"/>
        <v>2.6371308016877636E-3</v>
      </c>
      <c r="M1026" s="2">
        <f t="shared" si="420"/>
        <v>5.1160337552742567E-2</v>
      </c>
      <c r="N1026" s="63">
        <v>304</v>
      </c>
      <c r="O1026" s="63">
        <v>1490</v>
      </c>
      <c r="P1026" s="63">
        <v>5</v>
      </c>
      <c r="Q1026" s="63">
        <v>62</v>
      </c>
      <c r="R1026" s="63">
        <v>34</v>
      </c>
      <c r="S1026" s="63"/>
      <c r="T1026" s="63"/>
      <c r="U1026" s="63"/>
      <c r="V1026" s="63"/>
      <c r="W1026" s="63">
        <f>IF(Copyright!B$11=1,IF(CA1026&gt;0,CA1026-P1026-SUM(S1026:V1026)-SUM(X1026:AO1026)-AQ1026,SUM(CB1026:CI1026)),SUM(CC1026:CI1026))</f>
        <v>0</v>
      </c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>
        <v>1</v>
      </c>
      <c r="AO1026" s="63"/>
      <c r="AP1026" s="63"/>
      <c r="AQ1026" s="63"/>
      <c r="AR1026" s="63"/>
      <c r="AS1026" s="63"/>
      <c r="AT1026" s="63"/>
      <c r="AU1026" s="63"/>
      <c r="AW1026" s="5">
        <f>IF(Q1026&gt;0,RANK(Q1026,(N1026:P1026,Q1026:AE1026)),0)</f>
        <v>3</v>
      </c>
      <c r="AX1026" s="5">
        <f>IF(R1026&gt;0,RANK(R1026,(N1026:P1026,Q1026:AE1026)),0)</f>
        <v>4</v>
      </c>
      <c r="AY1026" s="5">
        <f>IF(T1026&gt;0,RANK(T1026,(N1026:P1026,Q1026:AE1026)),0)</f>
        <v>0</v>
      </c>
      <c r="AZ1026" s="5">
        <f>IF(S1026&gt;0,RANK(S1026,(N1026:P1026,Q1026:AE1026)),0)</f>
        <v>0</v>
      </c>
      <c r="BA1026" s="2">
        <f t="shared" si="421"/>
        <v>3.2700421940928273E-2</v>
      </c>
      <c r="BB1026" s="2">
        <f t="shared" si="422"/>
        <v>1.7932489451476793E-2</v>
      </c>
      <c r="BC1026" s="2">
        <f t="shared" si="423"/>
        <v>0</v>
      </c>
      <c r="BD1026" s="2">
        <f t="shared" si="424"/>
        <v>0</v>
      </c>
      <c r="BF1026" t="s">
        <v>2683</v>
      </c>
      <c r="BG1026" t="s">
        <v>457</v>
      </c>
      <c r="BH1026">
        <v>4</v>
      </c>
      <c r="BJ1026" s="114">
        <v>20</v>
      </c>
      <c r="BK1026" s="116">
        <v>185</v>
      </c>
      <c r="BL1026" s="120">
        <f t="shared" si="426"/>
        <v>20185</v>
      </c>
      <c r="BN1026" s="5" t="s">
        <v>3154</v>
      </c>
      <c r="BY1026" s="63">
        <f t="shared" si="425"/>
        <v>1896</v>
      </c>
    </row>
    <row r="1027" spans="1:95" hidden="1" outlineLevel="1">
      <c r="A1027" t="s">
        <v>2516</v>
      </c>
      <c r="B1027" t="s">
        <v>457</v>
      </c>
      <c r="C1027" s="1">
        <f t="shared" si="414"/>
        <v>637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5</v>
      </c>
      <c r="G1027" s="132">
        <f t="shared" si="415"/>
        <v>377</v>
      </c>
      <c r="H1027" s="137">
        <f t="shared" si="416"/>
        <v>0.59183673469387754</v>
      </c>
      <c r="I1027" s="2"/>
      <c r="J1027" s="2">
        <f t="shared" si="417"/>
        <v>0.18053375196232338</v>
      </c>
      <c r="K1027" s="2">
        <f t="shared" si="418"/>
        <v>0.77237048665620089</v>
      </c>
      <c r="L1027" s="2">
        <f t="shared" si="419"/>
        <v>6.2794348508634227E-3</v>
      </c>
      <c r="M1027" s="2">
        <f t="shared" si="420"/>
        <v>4.0816326530612332E-2</v>
      </c>
      <c r="N1027" s="63">
        <v>115</v>
      </c>
      <c r="O1027" s="63">
        <v>492</v>
      </c>
      <c r="P1027" s="63">
        <v>4</v>
      </c>
      <c r="Q1027" s="63">
        <v>19</v>
      </c>
      <c r="R1027" s="63">
        <v>7</v>
      </c>
      <c r="S1027" s="63"/>
      <c r="T1027" s="63"/>
      <c r="U1027" s="63"/>
      <c r="V1027" s="63"/>
      <c r="W1027" s="63">
        <f>IF(Copyright!B$11=1,IF(CA1027&gt;0,CA1027-P1027-SUM(S1027:V1027)-SUM(X1027:AO1027)-AQ1027,SUM(CB1027:CI1027)),SUM(CC1027:CI1027))</f>
        <v>0</v>
      </c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W1027" s="5">
        <f>IF(Q1027&gt;0,RANK(Q1027,(N1027:P1027,Q1027:AE1027)),0)</f>
        <v>3</v>
      </c>
      <c r="AX1027" s="5">
        <f>IF(R1027&gt;0,RANK(R1027,(N1027:P1027,Q1027:AE1027)),0)</f>
        <v>4</v>
      </c>
      <c r="AY1027" s="5">
        <f>IF(T1027&gt;0,RANK(T1027,(N1027:P1027,Q1027:AE1027)),0)</f>
        <v>0</v>
      </c>
      <c r="AZ1027" s="5">
        <f>IF(S1027&gt;0,RANK(S1027,(N1027:P1027,Q1027:AE1027)),0)</f>
        <v>0</v>
      </c>
      <c r="BA1027" s="2">
        <f t="shared" si="421"/>
        <v>2.9827315541601257E-2</v>
      </c>
      <c r="BB1027" s="2">
        <f t="shared" si="422"/>
        <v>1.098901098901099E-2</v>
      </c>
      <c r="BC1027" s="2">
        <f t="shared" si="423"/>
        <v>0</v>
      </c>
      <c r="BD1027" s="2">
        <f t="shared" si="424"/>
        <v>0</v>
      </c>
      <c r="BF1027" t="s">
        <v>2516</v>
      </c>
      <c r="BG1027" t="s">
        <v>457</v>
      </c>
      <c r="BH1027">
        <v>1</v>
      </c>
      <c r="BJ1027" s="114">
        <v>20</v>
      </c>
      <c r="BK1027" s="116">
        <v>187</v>
      </c>
      <c r="BL1027" s="120">
        <f t="shared" si="426"/>
        <v>20187</v>
      </c>
      <c r="BN1027" s="5" t="s">
        <v>3154</v>
      </c>
      <c r="BY1027" s="63">
        <f t="shared" si="425"/>
        <v>637</v>
      </c>
    </row>
    <row r="1028" spans="1:95" hidden="1" outlineLevel="1">
      <c r="A1028" t="s">
        <v>2778</v>
      </c>
      <c r="B1028" t="s">
        <v>457</v>
      </c>
      <c r="C1028" s="1">
        <f t="shared" si="414"/>
        <v>1891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32">
        <f t="shared" si="415"/>
        <v>1379</v>
      </c>
      <c r="H1028" s="137">
        <f t="shared" si="416"/>
        <v>0.72924378635642517</v>
      </c>
      <c r="I1028" s="2"/>
      <c r="J1028" s="2">
        <f t="shared" si="417"/>
        <v>0.11634056054997356</v>
      </c>
      <c r="K1028" s="2">
        <f t="shared" si="418"/>
        <v>0.84558434690639872</v>
      </c>
      <c r="L1028" s="2">
        <f t="shared" si="419"/>
        <v>0</v>
      </c>
      <c r="M1028" s="2">
        <f t="shared" si="420"/>
        <v>3.8075092543627731E-2</v>
      </c>
      <c r="N1028" s="63">
        <v>220</v>
      </c>
      <c r="O1028" s="63">
        <v>1599</v>
      </c>
      <c r="P1028" s="63"/>
      <c r="Q1028" s="63">
        <v>49</v>
      </c>
      <c r="R1028" s="63">
        <v>23</v>
      </c>
      <c r="S1028" s="63"/>
      <c r="T1028" s="63"/>
      <c r="U1028" s="63"/>
      <c r="V1028" s="63"/>
      <c r="W1028" s="63">
        <f>IF(Copyright!B$11=1,IF(CA1028&gt;0,CA1028-P1028-SUM(S1028:V1028)-SUM(X1028:AO1028)-AQ1028,SUM(CB1028:CI1028)),SUM(CC1028:CI1028))</f>
        <v>0</v>
      </c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W1028" s="5">
        <f>IF(Q1028&gt;0,RANK(Q1028,(N1028:P1028,Q1028:AE1028)),0)</f>
        <v>3</v>
      </c>
      <c r="AX1028" s="5">
        <f>IF(R1028&gt;0,RANK(R1028,(N1028:P1028,Q1028:AE1028)),0)</f>
        <v>4</v>
      </c>
      <c r="AY1028" s="5">
        <f>IF(T1028&gt;0,RANK(T1028,(N1028:P1028,Q1028:AE1028)),0)</f>
        <v>0</v>
      </c>
      <c r="AZ1028" s="5">
        <f>IF(S1028&gt;0,RANK(S1028,(N1028:P1028,Q1028:AE1028)),0)</f>
        <v>0</v>
      </c>
      <c r="BA1028" s="2">
        <f t="shared" si="421"/>
        <v>2.5912215758857746E-2</v>
      </c>
      <c r="BB1028" s="2">
        <f t="shared" si="422"/>
        <v>1.2162876784769964E-2</v>
      </c>
      <c r="BC1028" s="2">
        <f t="shared" si="423"/>
        <v>0</v>
      </c>
      <c r="BD1028" s="2">
        <f t="shared" si="424"/>
        <v>0</v>
      </c>
      <c r="BF1028" t="s">
        <v>2778</v>
      </c>
      <c r="BG1028" t="s">
        <v>457</v>
      </c>
      <c r="BH1028">
        <v>1</v>
      </c>
      <c r="BJ1028" s="114">
        <v>20</v>
      </c>
      <c r="BK1028" s="116">
        <v>189</v>
      </c>
      <c r="BL1028" s="120">
        <f t="shared" si="426"/>
        <v>20189</v>
      </c>
      <c r="BN1028" s="5" t="s">
        <v>3154</v>
      </c>
      <c r="BY1028" s="63">
        <f t="shared" si="425"/>
        <v>1891</v>
      </c>
    </row>
    <row r="1029" spans="1:95" hidden="1" outlineLevel="1">
      <c r="A1029" t="s">
        <v>3170</v>
      </c>
      <c r="B1029" t="s">
        <v>457</v>
      </c>
      <c r="C1029" s="1">
        <f t="shared" si="414"/>
        <v>9722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5</v>
      </c>
      <c r="G1029" s="132">
        <f t="shared" si="415"/>
        <v>4908</v>
      </c>
      <c r="H1029" s="137">
        <f t="shared" si="416"/>
        <v>0.50483439621477066</v>
      </c>
      <c r="I1029" s="2"/>
      <c r="J1029" s="2">
        <f t="shared" si="417"/>
        <v>0.21353630940135773</v>
      </c>
      <c r="K1029" s="2">
        <f t="shared" si="418"/>
        <v>0.71837070561612837</v>
      </c>
      <c r="L1029" s="2">
        <f t="shared" si="419"/>
        <v>2.982925324007406E-3</v>
      </c>
      <c r="M1029" s="2">
        <f t="shared" si="420"/>
        <v>6.5110059658506525E-2</v>
      </c>
      <c r="N1029" s="63">
        <v>2076</v>
      </c>
      <c r="O1029" s="63">
        <v>6984</v>
      </c>
      <c r="P1029" s="63">
        <v>29</v>
      </c>
      <c r="Q1029" s="63">
        <v>420</v>
      </c>
      <c r="R1029" s="63">
        <v>205</v>
      </c>
      <c r="S1029" s="63">
        <v>5</v>
      </c>
      <c r="T1029" s="63"/>
      <c r="U1029" s="63"/>
      <c r="V1029" s="63"/>
      <c r="W1029" s="63">
        <f>IF(Copyright!B$11=1,IF(CA1029&gt;0,CA1029-P1029-SUM(S1029:V1029)-SUM(X1029:AO1029)-AQ1029,SUM(CB1029:CI1029)),SUM(CC1029:CI1029))</f>
        <v>0</v>
      </c>
      <c r="X1029" s="63"/>
      <c r="Y1029" s="63">
        <v>2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>
        <v>1</v>
      </c>
      <c r="AO1029" s="63"/>
      <c r="AP1029" s="63"/>
      <c r="AQ1029" s="63"/>
      <c r="AR1029" s="63"/>
      <c r="AS1029" s="63"/>
      <c r="AT1029" s="63"/>
      <c r="AU1029" s="63"/>
      <c r="AW1029" s="5">
        <f>IF(Q1029&gt;0,RANK(Q1029,(N1029:P1029,Q1029:AE1029)),0)</f>
        <v>3</v>
      </c>
      <c r="AX1029" s="5">
        <f>IF(R1029&gt;0,RANK(R1029,(N1029:P1029,Q1029:AE1029)),0)</f>
        <v>4</v>
      </c>
      <c r="AY1029" s="5">
        <f>IF(T1029&gt;0,RANK(T1029,(N1029:P1029,Q1029:AE1029)),0)</f>
        <v>0</v>
      </c>
      <c r="AZ1029" s="5">
        <f>IF(S1029&gt;0,RANK(S1029,(N1029:P1029,Q1029:AE1029)),0)</f>
        <v>6</v>
      </c>
      <c r="BA1029" s="2">
        <f t="shared" si="421"/>
        <v>4.3200987451141738E-2</v>
      </c>
      <c r="BB1029" s="2">
        <f t="shared" si="422"/>
        <v>2.108619625591442E-2</v>
      </c>
      <c r="BC1029" s="2">
        <f t="shared" si="423"/>
        <v>0</v>
      </c>
      <c r="BD1029" s="2">
        <f t="shared" si="424"/>
        <v>5.142974696564493E-4</v>
      </c>
      <c r="BF1029" t="s">
        <v>3170</v>
      </c>
      <c r="BG1029" t="s">
        <v>457</v>
      </c>
      <c r="BH1029">
        <v>4</v>
      </c>
      <c r="BJ1029" s="114">
        <v>20</v>
      </c>
      <c r="BK1029" s="116">
        <v>191</v>
      </c>
      <c r="BL1029" s="120">
        <f t="shared" si="426"/>
        <v>20191</v>
      </c>
      <c r="BN1029" s="5" t="s">
        <v>3154</v>
      </c>
      <c r="BY1029" s="63">
        <f t="shared" si="425"/>
        <v>9722</v>
      </c>
    </row>
    <row r="1030" spans="1:95" hidden="1" outlineLevel="1">
      <c r="A1030" t="s">
        <v>1917</v>
      </c>
      <c r="B1030" t="s">
        <v>457</v>
      </c>
      <c r="C1030" s="1">
        <f t="shared" ref="C1030:C1039" si="427">SUM(N1030:AU1030)</f>
        <v>3576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5</v>
      </c>
      <c r="G1030" s="132">
        <f t="shared" ref="G1030:G1039" si="428">IF(C1030&gt;0,MAX(N1030:P1030)-LARGE(N1030:P1030,2),0)</f>
        <v>2435</v>
      </c>
      <c r="H1030" s="137">
        <f t="shared" ref="H1030:H1039" si="429">IF(C1030&gt;0,G1030/C1030,0)</f>
        <v>0.68092841163310958</v>
      </c>
      <c r="I1030" s="2"/>
      <c r="J1030" s="2">
        <f t="shared" ref="J1030:J1039" si="430">IF($C1030=0,"-",N1030/$C1030)</f>
        <v>0.13227069351230425</v>
      </c>
      <c r="K1030" s="2">
        <f t="shared" ref="K1030:K1039" si="431">IF($C1030=0,"-",O1030/$C1030)</f>
        <v>0.81319910514541383</v>
      </c>
      <c r="L1030" s="2">
        <f t="shared" ref="L1030:L1039" si="432">IF($C1030=0,"-",P1030/$C1030)</f>
        <v>1.9574944071588368E-3</v>
      </c>
      <c r="M1030" s="2">
        <f t="shared" ref="M1030:M1039" si="433">IF(C1030=0,"-",(1-J1030-K1030-L1030))</f>
        <v>5.2572706935123087E-2</v>
      </c>
      <c r="N1030" s="63">
        <v>473</v>
      </c>
      <c r="O1030" s="63">
        <v>2908</v>
      </c>
      <c r="P1030" s="63">
        <v>7</v>
      </c>
      <c r="Q1030" s="63">
        <v>131</v>
      </c>
      <c r="R1030" s="63">
        <v>56</v>
      </c>
      <c r="S1030" s="63">
        <v>1</v>
      </c>
      <c r="T1030" s="63"/>
      <c r="U1030" s="63"/>
      <c r="V1030" s="63"/>
      <c r="W1030" s="63">
        <f>IF(Copyright!B$11=1,IF(CA1030&gt;0,CA1030-P1030-SUM(S1030:V1030)-SUM(X1030:AO1030)-AQ1030,SUM(CB1030:CI1030)),SUM(CC1030:CI1030))</f>
        <v>0</v>
      </c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W1030" s="5">
        <f>IF(Q1030&gt;0,RANK(Q1030,(N1030:P1030,Q1030:AE1030)),0)</f>
        <v>3</v>
      </c>
      <c r="AX1030" s="5">
        <f>IF(R1030&gt;0,RANK(R1030,(N1030:P1030,Q1030:AE1030)),0)</f>
        <v>4</v>
      </c>
      <c r="AY1030" s="5">
        <f>IF(T1030&gt;0,RANK(T1030,(N1030:P1030,Q1030:AE1030)),0)</f>
        <v>0</v>
      </c>
      <c r="AZ1030" s="5">
        <f>IF(S1030&gt;0,RANK(S1030,(N1030:P1030,Q1030:AE1030)),0)</f>
        <v>6</v>
      </c>
      <c r="BA1030" s="2">
        <f t="shared" ref="BA1030:BA1039" si="434">IF($C1030=0,"-",Q1030/$C1030)</f>
        <v>3.6633109619686799E-2</v>
      </c>
      <c r="BB1030" s="2">
        <f t="shared" ref="BB1030:BB1039" si="435">IF($C1030=0,"-",R1030/$C1030)</f>
        <v>1.5659955257270694E-2</v>
      </c>
      <c r="BC1030" s="2">
        <f t="shared" ref="BC1030:BC1039" si="436">IF($C1030=0,"-",T1030/$C1030)</f>
        <v>0</v>
      </c>
      <c r="BD1030" s="2">
        <f t="shared" ref="BD1030:BD1039" si="437">IF($C1030=0,"-",S1030/$C1030)</f>
        <v>2.7964205816554809E-4</v>
      </c>
      <c r="BF1030" t="s">
        <v>1917</v>
      </c>
      <c r="BG1030" t="s">
        <v>457</v>
      </c>
      <c r="BH1030">
        <v>1</v>
      </c>
      <c r="BJ1030" s="114">
        <v>20</v>
      </c>
      <c r="BK1030" s="116">
        <v>193</v>
      </c>
      <c r="BL1030" s="120">
        <f t="shared" si="426"/>
        <v>20193</v>
      </c>
      <c r="BN1030" s="5" t="s">
        <v>3154</v>
      </c>
      <c r="BY1030" s="63">
        <f t="shared" si="425"/>
        <v>3576</v>
      </c>
    </row>
    <row r="1031" spans="1:95" hidden="1" outlineLevel="1">
      <c r="A1031" t="s">
        <v>2333</v>
      </c>
      <c r="B1031" t="s">
        <v>457</v>
      </c>
      <c r="C1031" s="1">
        <f t="shared" si="427"/>
        <v>1482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32">
        <f t="shared" si="428"/>
        <v>1029</v>
      </c>
      <c r="H1031" s="137">
        <f t="shared" si="429"/>
        <v>0.69433198380566796</v>
      </c>
      <c r="I1031" s="2"/>
      <c r="J1031" s="2">
        <f t="shared" si="430"/>
        <v>0.13360323886639677</v>
      </c>
      <c r="K1031" s="2">
        <f t="shared" si="431"/>
        <v>0.82793522267206476</v>
      </c>
      <c r="L1031" s="2">
        <f t="shared" si="432"/>
        <v>0</v>
      </c>
      <c r="M1031" s="2">
        <f t="shared" si="433"/>
        <v>3.8461538461538436E-2</v>
      </c>
      <c r="N1031" s="63">
        <v>198</v>
      </c>
      <c r="O1031" s="63">
        <v>1227</v>
      </c>
      <c r="P1031" s="63"/>
      <c r="Q1031" s="63">
        <v>40</v>
      </c>
      <c r="R1031" s="63">
        <v>17</v>
      </c>
      <c r="S1031" s="63"/>
      <c r="T1031" s="63"/>
      <c r="U1031" s="63"/>
      <c r="V1031" s="63"/>
      <c r="W1031" s="63">
        <f>IF(Copyright!B$11=1,IF(CA1031&gt;0,CA1031-P1031-SUM(S1031:V1031)-SUM(X1031:AO1031)-AQ1031,SUM(CB1031:CI1031)),SUM(CC1031:CI1031))</f>
        <v>0</v>
      </c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W1031" s="5">
        <f>IF(Q1031&gt;0,RANK(Q1031,(N1031:P1031,Q1031:AE1031)),0)</f>
        <v>3</v>
      </c>
      <c r="AX1031" s="5">
        <f>IF(R1031&gt;0,RANK(R1031,(N1031:P1031,Q1031:AE1031)),0)</f>
        <v>4</v>
      </c>
      <c r="AY1031" s="5">
        <f>IF(T1031&gt;0,RANK(T1031,(N1031:P1031,Q1031:AE1031)),0)</f>
        <v>0</v>
      </c>
      <c r="AZ1031" s="5">
        <f>IF(S1031&gt;0,RANK(S1031,(N1031:P1031,Q1031:AE1031)),0)</f>
        <v>0</v>
      </c>
      <c r="BA1031" s="2">
        <f t="shared" si="434"/>
        <v>2.6990553306342781E-2</v>
      </c>
      <c r="BB1031" s="2">
        <f t="shared" si="435"/>
        <v>1.1470985155195682E-2</v>
      </c>
      <c r="BC1031" s="2">
        <f t="shared" si="436"/>
        <v>0</v>
      </c>
      <c r="BD1031" s="2">
        <f t="shared" si="437"/>
        <v>0</v>
      </c>
      <c r="BF1031" t="s">
        <v>2333</v>
      </c>
      <c r="BG1031" t="s">
        <v>457</v>
      </c>
      <c r="BH1031">
        <v>1</v>
      </c>
      <c r="BJ1031" s="114">
        <v>20</v>
      </c>
      <c r="BK1031" s="116">
        <v>195</v>
      </c>
      <c r="BL1031" s="120">
        <f t="shared" si="426"/>
        <v>20195</v>
      </c>
      <c r="BN1031" s="5" t="s">
        <v>3154</v>
      </c>
      <c r="BY1031" s="63">
        <f t="shared" si="425"/>
        <v>1482</v>
      </c>
    </row>
    <row r="1032" spans="1:95" hidden="1" outlineLevel="1">
      <c r="A1032" t="s">
        <v>2219</v>
      </c>
      <c r="B1032" t="s">
        <v>457</v>
      </c>
      <c r="C1032" s="1">
        <f t="shared" si="427"/>
        <v>3380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5</v>
      </c>
      <c r="G1032" s="132">
        <f t="shared" si="428"/>
        <v>1596</v>
      </c>
      <c r="H1032" s="137">
        <f t="shared" si="429"/>
        <v>0.47218934911242605</v>
      </c>
      <c r="I1032" s="2"/>
      <c r="J1032" s="2">
        <f t="shared" si="430"/>
        <v>0.22958579881656804</v>
      </c>
      <c r="K1032" s="2">
        <f t="shared" si="431"/>
        <v>0.70177514792899409</v>
      </c>
      <c r="L1032" s="2">
        <f t="shared" si="432"/>
        <v>4.4378698224852072E-3</v>
      </c>
      <c r="M1032" s="2">
        <f t="shared" si="433"/>
        <v>6.4201183431952663E-2</v>
      </c>
      <c r="N1032" s="63">
        <v>776</v>
      </c>
      <c r="O1032" s="63">
        <v>2372</v>
      </c>
      <c r="P1032" s="63">
        <v>15</v>
      </c>
      <c r="Q1032" s="63">
        <v>143</v>
      </c>
      <c r="R1032" s="63">
        <v>69</v>
      </c>
      <c r="S1032" s="63">
        <v>3</v>
      </c>
      <c r="T1032" s="63"/>
      <c r="U1032" s="63"/>
      <c r="V1032" s="63"/>
      <c r="W1032" s="63">
        <f>IF(Copyright!B$11=1,IF(CA1032&gt;0,CA1032-P1032-SUM(S1032:V1032)-SUM(X1032:AO1032)-AQ1032,SUM(CB1032:CI1032)),SUM(CC1032:CI1032))</f>
        <v>0</v>
      </c>
      <c r="X1032" s="63"/>
      <c r="Y1032" s="63">
        <v>1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>
        <v>1</v>
      </c>
      <c r="AO1032" s="63"/>
      <c r="AP1032" s="63"/>
      <c r="AQ1032" s="63"/>
      <c r="AR1032" s="63"/>
      <c r="AS1032" s="63"/>
      <c r="AT1032" s="63"/>
      <c r="AU1032" s="63"/>
      <c r="AW1032" s="5">
        <f>IF(Q1032&gt;0,RANK(Q1032,(N1032:P1032,Q1032:AE1032)),0)</f>
        <v>3</v>
      </c>
      <c r="AX1032" s="5">
        <f>IF(R1032&gt;0,RANK(R1032,(N1032:P1032,Q1032:AE1032)),0)</f>
        <v>4</v>
      </c>
      <c r="AY1032" s="5">
        <f>IF(T1032&gt;0,RANK(T1032,(N1032:P1032,Q1032:AE1032)),0)</f>
        <v>0</v>
      </c>
      <c r="AZ1032" s="5">
        <f>IF(S1032&gt;0,RANK(S1032,(N1032:P1032,Q1032:AE1032)),0)</f>
        <v>6</v>
      </c>
      <c r="BA1032" s="2">
        <f t="shared" si="434"/>
        <v>4.230769230769231E-2</v>
      </c>
      <c r="BB1032" s="2">
        <f t="shared" si="435"/>
        <v>2.0414201183431954E-2</v>
      </c>
      <c r="BC1032" s="2">
        <f t="shared" si="436"/>
        <v>0</v>
      </c>
      <c r="BD1032" s="2">
        <f t="shared" si="437"/>
        <v>8.8757396449704138E-4</v>
      </c>
      <c r="BF1032" t="s">
        <v>2219</v>
      </c>
      <c r="BG1032" t="s">
        <v>457</v>
      </c>
      <c r="BH1032">
        <v>1</v>
      </c>
      <c r="BJ1032" s="114">
        <v>20</v>
      </c>
      <c r="BK1032" s="116">
        <v>197</v>
      </c>
      <c r="BL1032" s="120">
        <f t="shared" si="426"/>
        <v>20197</v>
      </c>
      <c r="BN1032" s="5" t="s">
        <v>3154</v>
      </c>
      <c r="BY1032" s="63">
        <f t="shared" si="425"/>
        <v>3380</v>
      </c>
    </row>
    <row r="1033" spans="1:95" hidden="1" outlineLevel="1">
      <c r="A1033" t="s">
        <v>335</v>
      </c>
      <c r="B1033" t="s">
        <v>457</v>
      </c>
      <c r="C1033" s="1">
        <f t="shared" si="427"/>
        <v>798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4</v>
      </c>
      <c r="G1033" s="132">
        <f t="shared" si="428"/>
        <v>675</v>
      </c>
      <c r="H1033" s="137">
        <f t="shared" si="429"/>
        <v>0.84586466165413532</v>
      </c>
      <c r="I1033" s="2"/>
      <c r="J1033" s="2">
        <f t="shared" si="430"/>
        <v>5.764411027568922E-2</v>
      </c>
      <c r="K1033" s="2">
        <f t="shared" si="431"/>
        <v>0.90350877192982459</v>
      </c>
      <c r="L1033" s="2">
        <f t="shared" si="432"/>
        <v>1.0025062656641603E-2</v>
      </c>
      <c r="M1033" s="2">
        <f t="shared" si="433"/>
        <v>2.8822055137844527E-2</v>
      </c>
      <c r="N1033" s="63">
        <v>46</v>
      </c>
      <c r="O1033" s="63">
        <v>721</v>
      </c>
      <c r="P1033" s="63">
        <v>8</v>
      </c>
      <c r="Q1033" s="63">
        <v>15</v>
      </c>
      <c r="R1033" s="63">
        <v>8</v>
      </c>
      <c r="S1033" s="63"/>
      <c r="T1033" s="63"/>
      <c r="U1033" s="63"/>
      <c r="V1033" s="63"/>
      <c r="W1033" s="63">
        <f>IF(Copyright!B$11=1,IF(CA1033&gt;0,CA1033-P1033-SUM(S1033:V1033)-SUM(X1033:AO1033)-AQ1033,SUM(CB1033:CI1033)),SUM(CC1033:CI1033))</f>
        <v>0</v>
      </c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W1033" s="5">
        <f>IF(Q1033&gt;0,RANK(Q1033,(N1033:P1033,Q1033:AE1033)),0)</f>
        <v>3</v>
      </c>
      <c r="AX1033" s="5">
        <f>IF(R1033&gt;0,RANK(R1033,(N1033:P1033,Q1033:AE1033)),0)</f>
        <v>4</v>
      </c>
      <c r="AY1033" s="5">
        <f>IF(T1033&gt;0,RANK(T1033,(N1033:P1033,Q1033:AE1033)),0)</f>
        <v>0</v>
      </c>
      <c r="AZ1033" s="5">
        <f>IF(S1033&gt;0,RANK(S1033,(N1033:P1033,Q1033:AE1033)),0)</f>
        <v>0</v>
      </c>
      <c r="BA1033" s="2">
        <f t="shared" si="434"/>
        <v>1.8796992481203006E-2</v>
      </c>
      <c r="BB1033" s="2">
        <f t="shared" si="435"/>
        <v>1.0025062656641603E-2</v>
      </c>
      <c r="BC1033" s="2">
        <f t="shared" si="436"/>
        <v>0</v>
      </c>
      <c r="BD1033" s="2">
        <f t="shared" si="437"/>
        <v>0</v>
      </c>
      <c r="BF1033" t="s">
        <v>335</v>
      </c>
      <c r="BG1033" t="s">
        <v>457</v>
      </c>
      <c r="BH1033">
        <v>1</v>
      </c>
      <c r="BJ1033" s="114">
        <v>20</v>
      </c>
      <c r="BK1033" s="116">
        <v>199</v>
      </c>
      <c r="BL1033" s="120">
        <f t="shared" si="426"/>
        <v>20199</v>
      </c>
      <c r="BN1033" s="5" t="s">
        <v>3154</v>
      </c>
      <c r="BY1033" s="63">
        <f t="shared" si="425"/>
        <v>798</v>
      </c>
    </row>
    <row r="1034" spans="1:95" hidden="1" outlineLevel="1">
      <c r="A1034" t="s">
        <v>692</v>
      </c>
      <c r="B1034" t="s">
        <v>457</v>
      </c>
      <c r="C1034" s="1">
        <f t="shared" si="427"/>
        <v>2765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5</v>
      </c>
      <c r="G1034" s="132">
        <f t="shared" si="428"/>
        <v>1807</v>
      </c>
      <c r="H1034" s="137">
        <f t="shared" si="429"/>
        <v>0.65352622061482823</v>
      </c>
      <c r="I1034" s="2"/>
      <c r="J1034" s="2">
        <f t="shared" si="430"/>
        <v>0.1399638336347197</v>
      </c>
      <c r="K1034" s="2">
        <f t="shared" si="431"/>
        <v>0.79349005424954788</v>
      </c>
      <c r="L1034" s="2">
        <f t="shared" si="432"/>
        <v>4.7016274864376132E-3</v>
      </c>
      <c r="M1034" s="2">
        <f t="shared" si="433"/>
        <v>6.1844484629294746E-2</v>
      </c>
      <c r="N1034" s="63">
        <v>387</v>
      </c>
      <c r="O1034" s="63">
        <v>2194</v>
      </c>
      <c r="P1034" s="63">
        <v>13</v>
      </c>
      <c r="Q1034" s="63">
        <v>124</v>
      </c>
      <c r="R1034" s="63">
        <v>45</v>
      </c>
      <c r="S1034" s="63">
        <v>2</v>
      </c>
      <c r="T1034" s="63"/>
      <c r="U1034" s="63"/>
      <c r="V1034" s="63"/>
      <c r="W1034" s="63">
        <f>IF(Copyright!B$11=1,IF(CA1034&gt;0,CA1034-P1034-SUM(S1034:V1034)-SUM(X1034:AO1034)-AQ1034,SUM(CB1034:CI1034)),SUM(CC1034:CI1034))</f>
        <v>0</v>
      </c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W1034" s="5">
        <f>IF(Q1034&gt;0,RANK(Q1034,(N1034:P1034,Q1034:AE1034)),0)</f>
        <v>3</v>
      </c>
      <c r="AX1034" s="5">
        <f>IF(R1034&gt;0,RANK(R1034,(N1034:P1034,Q1034:AE1034)),0)</f>
        <v>4</v>
      </c>
      <c r="AY1034" s="5">
        <f>IF(T1034&gt;0,RANK(T1034,(N1034:P1034,Q1034:AE1034)),0)</f>
        <v>0</v>
      </c>
      <c r="AZ1034" s="5">
        <f>IF(S1034&gt;0,RANK(S1034,(N1034:P1034,Q1034:AE1034)),0)</f>
        <v>6</v>
      </c>
      <c r="BA1034" s="2">
        <f t="shared" si="434"/>
        <v>4.484629294755877E-2</v>
      </c>
      <c r="BB1034" s="2">
        <f t="shared" si="435"/>
        <v>1.62748643761302E-2</v>
      </c>
      <c r="BC1034" s="2">
        <f t="shared" si="436"/>
        <v>0</v>
      </c>
      <c r="BD1034" s="2">
        <f t="shared" si="437"/>
        <v>7.2332730560578662E-4</v>
      </c>
      <c r="BF1034" t="s">
        <v>692</v>
      </c>
      <c r="BG1034" t="s">
        <v>457</v>
      </c>
      <c r="BH1034">
        <v>1</v>
      </c>
      <c r="BJ1034" s="114">
        <v>20</v>
      </c>
      <c r="BK1034" s="116">
        <v>201</v>
      </c>
      <c r="BL1034" s="120">
        <f t="shared" si="426"/>
        <v>20201</v>
      </c>
      <c r="BN1034" s="5" t="s">
        <v>3154</v>
      </c>
      <c r="BY1034" s="63">
        <f t="shared" si="425"/>
        <v>2765</v>
      </c>
    </row>
    <row r="1035" spans="1:95" hidden="1" outlineLevel="1">
      <c r="A1035" t="s">
        <v>1231</v>
      </c>
      <c r="B1035" t="s">
        <v>457</v>
      </c>
      <c r="C1035" s="1">
        <f t="shared" si="427"/>
        <v>956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4</v>
      </c>
      <c r="G1035" s="132">
        <f t="shared" si="428"/>
        <v>629</v>
      </c>
      <c r="H1035" s="137">
        <f t="shared" si="429"/>
        <v>0.65794979079497906</v>
      </c>
      <c r="I1035" s="2"/>
      <c r="J1035" s="2">
        <f t="shared" si="430"/>
        <v>0.14644351464435146</v>
      </c>
      <c r="K1035" s="2">
        <f t="shared" si="431"/>
        <v>0.80439330543933052</v>
      </c>
      <c r="L1035" s="2">
        <f t="shared" si="432"/>
        <v>1.7782426778242679E-2</v>
      </c>
      <c r="M1035" s="2">
        <f t="shared" si="433"/>
        <v>3.138075313807534E-2</v>
      </c>
      <c r="N1035" s="63">
        <v>140</v>
      </c>
      <c r="O1035" s="63">
        <v>769</v>
      </c>
      <c r="P1035" s="63">
        <v>17</v>
      </c>
      <c r="Q1035" s="63">
        <v>18</v>
      </c>
      <c r="R1035" s="63">
        <v>12</v>
      </c>
      <c r="S1035" s="63"/>
      <c r="T1035" s="63"/>
      <c r="U1035" s="63"/>
      <c r="V1035" s="63"/>
      <c r="W1035" s="63">
        <f>IF(Copyright!B$11=1,IF(CA1035&gt;0,CA1035-P1035-SUM(S1035:V1035)-SUM(X1035:AO1035)-AQ1035,SUM(CB1035:CI1035)),SUM(CC1035:CI1035))</f>
        <v>0</v>
      </c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W1035" s="5">
        <f>IF(Q1035&gt;0,RANK(Q1035,(N1035:P1035,Q1035:AE1035)),0)</f>
        <v>3</v>
      </c>
      <c r="AX1035" s="5">
        <f>IF(R1035&gt;0,RANK(R1035,(N1035:P1035,Q1035:AE1035)),0)</f>
        <v>5</v>
      </c>
      <c r="AY1035" s="5">
        <f>IF(T1035&gt;0,RANK(T1035,(N1035:P1035,Q1035:AE1035)),0)</f>
        <v>0</v>
      </c>
      <c r="AZ1035" s="5">
        <f>IF(S1035&gt;0,RANK(S1035,(N1035:P1035,Q1035:AE1035)),0)</f>
        <v>0</v>
      </c>
      <c r="BA1035" s="2">
        <f t="shared" si="434"/>
        <v>1.8828451882845189E-2</v>
      </c>
      <c r="BB1035" s="2">
        <f t="shared" si="435"/>
        <v>1.2552301255230125E-2</v>
      </c>
      <c r="BC1035" s="2">
        <f t="shared" si="436"/>
        <v>0</v>
      </c>
      <c r="BD1035" s="2">
        <f t="shared" si="437"/>
        <v>0</v>
      </c>
      <c r="BF1035" t="s">
        <v>1231</v>
      </c>
      <c r="BG1035" t="s">
        <v>457</v>
      </c>
      <c r="BH1035">
        <v>1</v>
      </c>
      <c r="BJ1035" s="114">
        <v>20</v>
      </c>
      <c r="BK1035" s="116">
        <v>203</v>
      </c>
      <c r="BL1035" s="120">
        <f t="shared" si="426"/>
        <v>20203</v>
      </c>
      <c r="BN1035" s="5" t="s">
        <v>3154</v>
      </c>
      <c r="BY1035" s="63">
        <f t="shared" si="425"/>
        <v>956</v>
      </c>
    </row>
    <row r="1036" spans="1:95" hidden="1" outlineLevel="1">
      <c r="A1036" t="s">
        <v>1232</v>
      </c>
      <c r="B1036" t="s">
        <v>457</v>
      </c>
      <c r="C1036" s="1">
        <f t="shared" si="427"/>
        <v>3591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5</v>
      </c>
      <c r="G1036" s="132">
        <f t="shared" si="428"/>
        <v>2194</v>
      </c>
      <c r="H1036" s="137">
        <f t="shared" si="429"/>
        <v>0.61097187412976883</v>
      </c>
      <c r="I1036" s="2"/>
      <c r="J1036" s="2">
        <f t="shared" si="430"/>
        <v>0.16541353383458646</v>
      </c>
      <c r="K1036" s="2">
        <f t="shared" si="431"/>
        <v>0.77638540796435529</v>
      </c>
      <c r="L1036" s="2">
        <f t="shared" si="432"/>
        <v>3.6201615148983568E-3</v>
      </c>
      <c r="M1036" s="2">
        <f t="shared" si="433"/>
        <v>5.4580896686159897E-2</v>
      </c>
      <c r="N1036" s="63">
        <v>594</v>
      </c>
      <c r="O1036" s="63">
        <v>2788</v>
      </c>
      <c r="P1036" s="63">
        <v>13</v>
      </c>
      <c r="Q1036" s="63">
        <v>135</v>
      </c>
      <c r="R1036" s="63">
        <v>60</v>
      </c>
      <c r="S1036" s="63">
        <v>1</v>
      </c>
      <c r="T1036" s="63"/>
      <c r="U1036" s="63"/>
      <c r="V1036" s="63"/>
      <c r="W1036" s="63">
        <f>IF(Copyright!B$11=1,IF(CA1036&gt;0,CA1036-P1036-SUM(S1036:V1036)-SUM(X1036:AO1036)-AQ1036,SUM(CB1036:CI1036)),SUM(CC1036:CI1036))</f>
        <v>0</v>
      </c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W1036" s="5">
        <f>IF(Q1036&gt;0,RANK(Q1036,(N1036:P1036,Q1036:AE1036)),0)</f>
        <v>3</v>
      </c>
      <c r="AX1036" s="5">
        <f>IF(R1036&gt;0,RANK(R1036,(N1036:P1036,Q1036:AE1036)),0)</f>
        <v>4</v>
      </c>
      <c r="AY1036" s="5">
        <f>IF(T1036&gt;0,RANK(T1036,(N1036:P1036,Q1036:AE1036)),0)</f>
        <v>0</v>
      </c>
      <c r="AZ1036" s="5">
        <f>IF(S1036&gt;0,RANK(S1036,(N1036:P1036,Q1036:AE1036)),0)</f>
        <v>6</v>
      </c>
      <c r="BA1036" s="2">
        <f t="shared" si="434"/>
        <v>3.7593984962406013E-2</v>
      </c>
      <c r="BB1036" s="2">
        <f t="shared" si="435"/>
        <v>1.6708437761069339E-2</v>
      </c>
      <c r="BC1036" s="2">
        <f t="shared" si="436"/>
        <v>0</v>
      </c>
      <c r="BD1036" s="2">
        <f t="shared" si="437"/>
        <v>2.7847396268448898E-4</v>
      </c>
      <c r="BF1036" t="s">
        <v>1232</v>
      </c>
      <c r="BG1036" t="s">
        <v>457</v>
      </c>
      <c r="BH1036">
        <v>2</v>
      </c>
      <c r="BJ1036" s="114">
        <v>20</v>
      </c>
      <c r="BK1036" s="116">
        <v>205</v>
      </c>
      <c r="BL1036" s="120">
        <f t="shared" si="426"/>
        <v>20205</v>
      </c>
      <c r="BN1036" s="5" t="s">
        <v>3154</v>
      </c>
      <c r="BY1036" s="63">
        <f t="shared" si="425"/>
        <v>3591</v>
      </c>
    </row>
    <row r="1037" spans="1:95" hidden="1" outlineLevel="1">
      <c r="A1037" t="s">
        <v>2932</v>
      </c>
      <c r="B1037" t="s">
        <v>457</v>
      </c>
      <c r="C1037" s="1">
        <f t="shared" si="427"/>
        <v>1443</v>
      </c>
      <c r="D1037" s="5">
        <f>IF(N1037&gt;0, RANK(N1037,(N1037:P1037,Q1037:AE1037)),0)</f>
        <v>2</v>
      </c>
      <c r="E1037" s="5">
        <f>IF(O1037&gt;0,RANK(O1037,(N1037:P1037,Q1037:AE1037)),0)</f>
        <v>1</v>
      </c>
      <c r="F1037" s="5">
        <f>IF(P1037&gt;0,RANK(P1037,(N1037:P1037,Q1037:AE1037)),0)</f>
        <v>0</v>
      </c>
      <c r="G1037" s="132">
        <f t="shared" si="428"/>
        <v>809</v>
      </c>
      <c r="H1037" s="137">
        <f t="shared" si="429"/>
        <v>0.56063756063756065</v>
      </c>
      <c r="I1037" s="2"/>
      <c r="J1037" s="2">
        <f t="shared" si="430"/>
        <v>0.1891891891891892</v>
      </c>
      <c r="K1037" s="2">
        <f t="shared" si="431"/>
        <v>0.74982674982674979</v>
      </c>
      <c r="L1037" s="2">
        <f t="shared" si="432"/>
        <v>0</v>
      </c>
      <c r="M1037" s="2">
        <f t="shared" si="433"/>
        <v>6.098406098406095E-2</v>
      </c>
      <c r="N1037" s="63">
        <v>273</v>
      </c>
      <c r="O1037" s="63">
        <v>1082</v>
      </c>
      <c r="P1037" s="63"/>
      <c r="Q1037" s="63">
        <v>64</v>
      </c>
      <c r="R1037" s="63">
        <v>24</v>
      </c>
      <c r="S1037" s="63"/>
      <c r="T1037" s="63"/>
      <c r="U1037" s="63"/>
      <c r="V1037" s="63"/>
      <c r="W1037" s="63">
        <f>IF(Copyright!B$11=1,IF(CA1037&gt;0,CA1037-P1037-SUM(S1037:V1037)-SUM(X1037:AO1037)-AQ1037,SUM(CB1037:CI1037)),SUM(CC1037:CI1037))</f>
        <v>0</v>
      </c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W1037" s="5">
        <f>IF(Q1037&gt;0,RANK(Q1037,(N1037:P1037,Q1037:AE1037)),0)</f>
        <v>3</v>
      </c>
      <c r="AX1037" s="5">
        <f>IF(R1037&gt;0,RANK(R1037,(N1037:P1037,Q1037:AE1037)),0)</f>
        <v>4</v>
      </c>
      <c r="AY1037" s="5">
        <f>IF(T1037&gt;0,RANK(T1037,(N1037:P1037,Q1037:AE1037)),0)</f>
        <v>0</v>
      </c>
      <c r="AZ1037" s="5">
        <f>IF(S1037&gt;0,RANK(S1037,(N1037:P1037,Q1037:AE1037)),0)</f>
        <v>0</v>
      </c>
      <c r="BA1037" s="2">
        <f t="shared" si="434"/>
        <v>4.4352044352044352E-2</v>
      </c>
      <c r="BB1037" s="2">
        <f t="shared" si="435"/>
        <v>1.6632016632016633E-2</v>
      </c>
      <c r="BC1037" s="2">
        <f t="shared" si="436"/>
        <v>0</v>
      </c>
      <c r="BD1037" s="2">
        <f t="shared" si="437"/>
        <v>0</v>
      </c>
      <c r="BF1037" t="s">
        <v>2932</v>
      </c>
      <c r="BG1037" t="s">
        <v>457</v>
      </c>
      <c r="BH1037">
        <v>2</v>
      </c>
      <c r="BJ1037" s="114">
        <v>20</v>
      </c>
      <c r="BK1037" s="116">
        <v>207</v>
      </c>
      <c r="BL1037" s="120">
        <f t="shared" si="426"/>
        <v>20207</v>
      </c>
      <c r="BN1037" s="5" t="s">
        <v>3154</v>
      </c>
      <c r="BY1037" s="63">
        <f t="shared" si="425"/>
        <v>1443</v>
      </c>
    </row>
    <row r="1038" spans="1:95" hidden="1" outlineLevel="1">
      <c r="A1038" t="s">
        <v>1541</v>
      </c>
      <c r="B1038" t="s">
        <v>457</v>
      </c>
      <c r="C1038" s="1">
        <f t="shared" si="427"/>
        <v>49243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>IF(P1038&gt;0,RANK(P1038,(N1038:P1038,Q1038:AE1038)),0)</f>
        <v>6</v>
      </c>
      <c r="G1038" s="132">
        <f t="shared" si="428"/>
        <v>14340</v>
      </c>
      <c r="H1038" s="137">
        <f t="shared" si="429"/>
        <v>0.29120890278821354</v>
      </c>
      <c r="I1038" s="2"/>
      <c r="J1038" s="2">
        <f t="shared" si="430"/>
        <v>0.61218853441098231</v>
      </c>
      <c r="K1038" s="2">
        <f t="shared" si="431"/>
        <v>0.32097963162276871</v>
      </c>
      <c r="L1038" s="2">
        <f t="shared" si="432"/>
        <v>2.4978169486018316E-3</v>
      </c>
      <c r="M1038" s="2">
        <f t="shared" si="433"/>
        <v>6.4334017017647141E-2</v>
      </c>
      <c r="N1038" s="63">
        <v>30146</v>
      </c>
      <c r="O1038" s="63">
        <v>15806</v>
      </c>
      <c r="P1038" s="63">
        <v>123</v>
      </c>
      <c r="Q1038" s="63">
        <v>1725</v>
      </c>
      <c r="R1038" s="63">
        <v>947</v>
      </c>
      <c r="S1038" s="63">
        <v>22</v>
      </c>
      <c r="T1038" s="63"/>
      <c r="U1038" s="63"/>
      <c r="V1038" s="63"/>
      <c r="W1038" s="63">
        <f>IF(Copyright!B$11=1,IF(CA1038&gt;0,CA1038-P1038-SUM(S1038:V1038)-SUM(X1038:AO1038)-AQ1038,SUM(CB1038:CI1038)),SUM(CC1038:CI1038))</f>
        <v>462</v>
      </c>
      <c r="X1038" s="63"/>
      <c r="Y1038" s="63">
        <v>3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>
        <v>9</v>
      </c>
      <c r="AO1038" s="63"/>
      <c r="AP1038" s="63"/>
      <c r="AQ1038" s="63"/>
      <c r="AR1038" s="63"/>
      <c r="AS1038" s="63"/>
      <c r="AT1038" s="63"/>
      <c r="AU1038" s="63"/>
      <c r="AW1038" s="5">
        <f>IF(Q1038&gt;0,RANK(Q1038,(N1038:P1038,Q1038:AE1038)),0)</f>
        <v>3</v>
      </c>
      <c r="AX1038" s="5">
        <f>IF(R1038&gt;0,RANK(R1038,(N1038:P1038,Q1038:AE1038)),0)</f>
        <v>4</v>
      </c>
      <c r="AY1038" s="5">
        <f>IF(T1038&gt;0,RANK(T1038,(N1038:P1038,Q1038:AE1038)),0)</f>
        <v>0</v>
      </c>
      <c r="AZ1038" s="5">
        <f>IF(S1038&gt;0,RANK(S1038,(N1038:P1038,Q1038:AE1038)),0)</f>
        <v>7</v>
      </c>
      <c r="BA1038" s="2">
        <f t="shared" si="434"/>
        <v>3.503035964502569E-2</v>
      </c>
      <c r="BB1038" s="2">
        <f t="shared" si="435"/>
        <v>1.9231159758747438E-2</v>
      </c>
      <c r="BC1038" s="2">
        <f t="shared" si="436"/>
        <v>0</v>
      </c>
      <c r="BD1038" s="2">
        <f t="shared" si="437"/>
        <v>4.4676400706699428E-4</v>
      </c>
      <c r="BF1038" t="s">
        <v>1541</v>
      </c>
      <c r="BG1038" t="s">
        <v>457</v>
      </c>
      <c r="BH1038">
        <v>3</v>
      </c>
      <c r="BJ1038" s="114">
        <v>20</v>
      </c>
      <c r="BK1038" s="116">
        <v>209</v>
      </c>
      <c r="BL1038" s="120">
        <f t="shared" si="426"/>
        <v>20209</v>
      </c>
      <c r="BN1038" s="5" t="s">
        <v>3154</v>
      </c>
      <c r="BY1038" s="63">
        <f>C1038-BZ1038</f>
        <v>0</v>
      </c>
      <c r="BZ1038" s="63">
        <v>49243</v>
      </c>
      <c r="CA1038" s="63">
        <v>619</v>
      </c>
    </row>
    <row r="1039" spans="1:95" collapsed="1">
      <c r="A1039" t="s">
        <v>90</v>
      </c>
      <c r="B1039" t="s">
        <v>544</v>
      </c>
      <c r="C1039" s="1">
        <f t="shared" si="427"/>
        <v>1194755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>IF(P1039&gt;0,RANK(P1039,(N1039:P1039,Q1039:AE1039)),0)</f>
        <v>6</v>
      </c>
      <c r="G1039" s="132">
        <f t="shared" si="428"/>
        <v>244013</v>
      </c>
      <c r="H1039" s="137">
        <f t="shared" si="429"/>
        <v>0.20423685190687629</v>
      </c>
      <c r="I1039" s="2"/>
      <c r="J1039" s="2">
        <f t="shared" si="430"/>
        <v>0.35739963423463389</v>
      </c>
      <c r="K1039" s="2">
        <f t="shared" si="431"/>
        <v>0.56163648614151018</v>
      </c>
      <c r="L1039" s="2">
        <f t="shared" si="432"/>
        <v>5.4571857828592469E-3</v>
      </c>
      <c r="M1039" s="2">
        <f t="shared" si="433"/>
        <v>7.5506693840996619E-2</v>
      </c>
      <c r="N1039" s="63">
        <f t="shared" ref="N1039:T1039" si="438">SUM(N934:N1038)</f>
        <v>427005</v>
      </c>
      <c r="O1039" s="63">
        <f t="shared" si="438"/>
        <v>671018</v>
      </c>
      <c r="P1039" s="63">
        <f t="shared" si="438"/>
        <v>6520</v>
      </c>
      <c r="Q1039" s="63">
        <f t="shared" si="438"/>
        <v>55406</v>
      </c>
      <c r="R1039" s="63">
        <f t="shared" si="438"/>
        <v>23506</v>
      </c>
      <c r="S1039" s="63">
        <f t="shared" si="438"/>
        <v>646</v>
      </c>
      <c r="T1039" s="63">
        <f t="shared" si="438"/>
        <v>3</v>
      </c>
      <c r="U1039" s="133"/>
      <c r="V1039" s="63">
        <f>SUM(V934:V1038)</f>
        <v>7</v>
      </c>
      <c r="W1039" s="63">
        <f>SUM(W934:W1038)</f>
        <v>10374</v>
      </c>
      <c r="X1039" s="63"/>
      <c r="Y1039" s="63">
        <f>SUM(Y934:Y1038)</f>
        <v>45</v>
      </c>
      <c r="Z1039" s="63"/>
      <c r="AA1039" s="133"/>
      <c r="AB1039" s="133"/>
      <c r="AC1039" s="133"/>
      <c r="AD1039" s="63">
        <f>SUM(AD934:AD1038)</f>
        <v>3</v>
      </c>
      <c r="AE1039" s="133"/>
      <c r="AF1039" s="133"/>
      <c r="AG1039" s="133"/>
      <c r="AH1039" s="63"/>
      <c r="AI1039" s="133"/>
      <c r="AJ1039" s="63"/>
      <c r="AK1039" s="133"/>
      <c r="AL1039" s="63">
        <f>SUM(AL934:AL1038)</f>
        <v>2</v>
      </c>
      <c r="AM1039" s="133"/>
      <c r="AN1039" s="63">
        <f>SUM(AN934:AN1038)</f>
        <v>214</v>
      </c>
      <c r="AO1039" s="133"/>
      <c r="AP1039" s="63"/>
      <c r="AQ1039" s="63">
        <f>SUM(AQ934:AQ1038)</f>
        <v>6</v>
      </c>
      <c r="AR1039" s="63"/>
      <c r="AS1039" s="63"/>
      <c r="AT1039" s="63"/>
      <c r="AU1039" s="63"/>
      <c r="AW1039" s="5">
        <f>IF(Q1039&gt;0,RANK(Q1039,(N1039:P1039,Q1039:AE1039)),0)</f>
        <v>3</v>
      </c>
      <c r="AX1039" s="5">
        <f>IF(R1039&gt;0,RANK(R1039,(N1039:P1039,Q1039:AE1039)),0)</f>
        <v>4</v>
      </c>
      <c r="AY1039" s="5">
        <f>IF(T1039&gt;0,RANK(T1039,(N1039:P1039,Q1039:AE1039)),0)</f>
        <v>10</v>
      </c>
      <c r="AZ1039" s="5">
        <f>IF(S1039&gt;0,RANK(S1039,(N1039:P1039,Q1039:AE1039)),0)</f>
        <v>7</v>
      </c>
      <c r="BA1039" s="2">
        <f t="shared" si="434"/>
        <v>4.6374361270720775E-2</v>
      </c>
      <c r="BB1039" s="2">
        <f t="shared" si="435"/>
        <v>1.9674326535565868E-2</v>
      </c>
      <c r="BC1039" s="2">
        <f t="shared" si="436"/>
        <v>2.510975053462844E-6</v>
      </c>
      <c r="BD1039" s="2">
        <f t="shared" si="437"/>
        <v>5.4069662817899907E-4</v>
      </c>
      <c r="BF1039" t="s">
        <v>90</v>
      </c>
      <c r="BG1039" t="s">
        <v>544</v>
      </c>
      <c r="BJ1039" s="114">
        <v>20</v>
      </c>
      <c r="BK1039" s="116"/>
      <c r="BL1039" s="114">
        <v>20</v>
      </c>
      <c r="BN1039" s="5" t="s">
        <v>711</v>
      </c>
      <c r="BY1039" s="63">
        <f>C1039-BZ1039</f>
        <v>493460</v>
      </c>
      <c r="BZ1039" s="63">
        <f>SUM(BZ934:BZ1038)</f>
        <v>701295</v>
      </c>
      <c r="CA1039" s="63">
        <f>SUM(CA934:CA1038)</f>
        <v>15692</v>
      </c>
      <c r="CD1039" s="63">
        <f t="shared" ref="CD1039:CI1039" si="439">SUM(CD934:CD1038)</f>
        <v>6</v>
      </c>
      <c r="CE1039" s="63">
        <f t="shared" si="439"/>
        <v>1</v>
      </c>
      <c r="CF1039" s="63">
        <f t="shared" si="439"/>
        <v>3</v>
      </c>
      <c r="CG1039" s="63">
        <f t="shared" si="439"/>
        <v>10</v>
      </c>
      <c r="CH1039" s="63">
        <f t="shared" si="439"/>
        <v>1</v>
      </c>
      <c r="CI1039" s="63">
        <f t="shared" si="439"/>
        <v>1</v>
      </c>
      <c r="CJ1039" s="63"/>
    </row>
    <row r="1040" spans="1:95">
      <c r="C1040" s="1"/>
      <c r="E1040" s="5"/>
      <c r="F1040" s="5"/>
      <c r="G1040" s="132"/>
      <c r="H1040" s="137"/>
      <c r="I1040" s="2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128"/>
      <c r="Z1040" s="128"/>
      <c r="AA1040" s="8"/>
      <c r="AB1040" s="8"/>
      <c r="AC1040" s="8"/>
      <c r="AD1040" s="8"/>
      <c r="AE1040" s="128"/>
      <c r="AF1040" s="128"/>
      <c r="AG1040" s="128"/>
      <c r="AH1040" s="8"/>
      <c r="AI1040" s="128"/>
      <c r="AJ1040" s="8"/>
      <c r="AK1040" s="8"/>
      <c r="AL1040" s="8"/>
      <c r="AM1040" s="128"/>
      <c r="AN1040" s="128"/>
      <c r="AO1040" s="8"/>
      <c r="AP1040" s="8"/>
      <c r="AQ1040" s="128"/>
      <c r="AR1040" s="8"/>
      <c r="AS1040" s="8"/>
      <c r="AT1040" s="8"/>
      <c r="AU1040" s="8"/>
      <c r="AW1040" s="5"/>
      <c r="AX1040" s="5"/>
      <c r="AY1040" s="5"/>
      <c r="AZ1040" s="5"/>
      <c r="BJ1040" s="114"/>
      <c r="BK1040" s="116"/>
      <c r="BL1040" s="120"/>
      <c r="CA1040" s="132"/>
      <c r="CB1040" s="132"/>
      <c r="CD1040" s="132" t="s">
        <v>3505</v>
      </c>
      <c r="CE1040" s="132" t="s">
        <v>3506</v>
      </c>
      <c r="CF1040" s="132" t="s">
        <v>3507</v>
      </c>
      <c r="CG1040" s="8" t="s">
        <v>3508</v>
      </c>
      <c r="CH1040" s="8" t="s">
        <v>3509</v>
      </c>
      <c r="CI1040" s="8" t="s">
        <v>3510</v>
      </c>
      <c r="CJ1040" s="8" t="s">
        <v>3511</v>
      </c>
      <c r="CK1040" s="128" t="s">
        <v>3512</v>
      </c>
      <c r="CL1040" s="8" t="s">
        <v>3513</v>
      </c>
      <c r="CM1040" s="8" t="s">
        <v>3514</v>
      </c>
      <c r="CN1040" s="8" t="s">
        <v>3515</v>
      </c>
      <c r="CO1040" s="8" t="s">
        <v>3516</v>
      </c>
      <c r="CP1040" t="s">
        <v>3517</v>
      </c>
      <c r="CQ1040" t="s">
        <v>3518</v>
      </c>
    </row>
    <row r="1041" spans="1:95" ht="13" hidden="1" customHeight="1" outlineLevel="1">
      <c r="A1041" t="s">
        <v>1587</v>
      </c>
      <c r="B1041" t="s">
        <v>1009</v>
      </c>
      <c r="C1041" s="1">
        <f t="shared" ref="C1041:C1072" si="440">SUM(N1041:AU1041)</f>
        <v>8233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4</v>
      </c>
      <c r="G1041" s="132">
        <f t="shared" ref="G1041:G1094" si="441">IF(C1041&gt;0,MAX(N1041:P1041)-LARGE(N1041:P1041,2),0)</f>
        <v>5314</v>
      </c>
      <c r="H1041" s="137">
        <f t="shared" ref="H1041:H1094" si="442">IF(C1041&gt;0,G1041/C1041,0)</f>
        <v>0.64545123284343497</v>
      </c>
      <c r="I1041" s="2"/>
      <c r="J1041" s="2">
        <f t="shared" ref="J1041:J1072" si="443">IF($C1041=0,"-",N1041/$C1041)</f>
        <v>0.16069476497024171</v>
      </c>
      <c r="K1041" s="2">
        <f t="shared" ref="K1041:K1072" si="444">IF($C1041=0,"-",O1041/$C1041)</f>
        <v>0.80614599781367668</v>
      </c>
      <c r="L1041" s="2">
        <f t="shared" ref="L1041:L1072" si="445">IF($C1041=0,"-",P1041/$C1041)</f>
        <v>1.1174541479412122E-2</v>
      </c>
      <c r="M1041" s="2">
        <f t="shared" ref="M1041:M1072" si="446">IF(C1041=0,"-",(1-J1041-K1041-L1041))</f>
        <v>2.1984695736669481E-2</v>
      </c>
      <c r="N1041" s="63">
        <v>1323</v>
      </c>
      <c r="O1041" s="63">
        <v>6637</v>
      </c>
      <c r="P1041" s="63">
        <v>92</v>
      </c>
      <c r="Q1041" s="63">
        <v>141</v>
      </c>
      <c r="R1041" s="63">
        <v>35</v>
      </c>
      <c r="S1041" s="63">
        <v>0</v>
      </c>
      <c r="T1041" s="63">
        <v>3</v>
      </c>
      <c r="U1041" s="63"/>
      <c r="V1041" s="63"/>
      <c r="W1041" s="63">
        <f>IF(Copyright!B$11=1,IF(CA1041&gt;0,CA1041-SUM(S1041)-SUM(X1041:AI1041)-SUM(AJ1041:AT1041),SUM(CD1041:CQ1041)),SUM(CD1041:CQ1041))</f>
        <v>0</v>
      </c>
      <c r="X1041" s="63"/>
      <c r="Y1041" s="63">
        <v>0</v>
      </c>
      <c r="Z1041" s="63">
        <v>0</v>
      </c>
      <c r="AA1041" s="63"/>
      <c r="AB1041" s="63"/>
      <c r="AC1041" s="63"/>
      <c r="AD1041" s="63"/>
      <c r="AE1041" s="63">
        <v>0</v>
      </c>
      <c r="AF1041" s="63">
        <v>0</v>
      </c>
      <c r="AG1041" s="63">
        <v>1</v>
      </c>
      <c r="AH1041" s="63"/>
      <c r="AI1041" s="63"/>
      <c r="AJ1041" s="63"/>
      <c r="AK1041" s="63"/>
      <c r="AL1041" s="63"/>
      <c r="AM1041" s="63">
        <v>0</v>
      </c>
      <c r="AN1041" s="63">
        <v>1</v>
      </c>
      <c r="AO1041" s="63"/>
      <c r="AP1041" s="63"/>
      <c r="AQ1041" s="63">
        <v>0</v>
      </c>
      <c r="AR1041" s="63"/>
      <c r="AS1041" s="63"/>
      <c r="AT1041" s="63"/>
      <c r="AU1041" s="63"/>
      <c r="AW1041" s="5">
        <f>IF(Q1041&gt;0,RANK(Q1041,(N1041:P1041,Q1041:AE1041)),0)</f>
        <v>3</v>
      </c>
      <c r="AX1041" s="5">
        <f>IF(R1041&gt;0,RANK(R1041,(N1041:P1041,Q1041:AE1041)),0)</f>
        <v>5</v>
      </c>
      <c r="AY1041" s="5">
        <f>IF(T1041&gt;0,RANK(T1041,(N1041:P1041,Q1041:AE1041)),0)</f>
        <v>6</v>
      </c>
      <c r="AZ1041" s="5">
        <f>IF(S1041&gt;0,RANK(S1041,(N1041:P1041,Q1041:AE1041)),0)</f>
        <v>0</v>
      </c>
      <c r="BA1041" s="2">
        <f t="shared" ref="BA1041:BA1072" si="447">IF($C1041=0,"-",Q1041/$C1041)</f>
        <v>1.7126199441272926E-2</v>
      </c>
      <c r="BB1041" s="2">
        <f t="shared" ref="BB1041:BB1072" si="448">IF($C1041=0,"-",R1041/$C1041)</f>
        <v>4.2511842584720032E-3</v>
      </c>
      <c r="BC1041" s="2">
        <f t="shared" ref="BC1041:BC1072" si="449">IF($C1041=0,"-",T1041/$C1041)</f>
        <v>3.6438722215474309E-4</v>
      </c>
      <c r="BD1041" s="2">
        <f t="shared" ref="BD1041:BD1072" si="450">IF($C1041=0,"-",S1041/$C1041)</f>
        <v>0</v>
      </c>
      <c r="BF1041" t="s">
        <v>1587</v>
      </c>
      <c r="BG1041" t="s">
        <v>1009</v>
      </c>
      <c r="BH1041">
        <v>1</v>
      </c>
      <c r="BJ1041" s="114">
        <v>21</v>
      </c>
      <c r="BK1041" s="116">
        <v>1</v>
      </c>
      <c r="BL1041" s="120">
        <f t="shared" si="426"/>
        <v>21001</v>
      </c>
      <c r="BN1041" s="5" t="s">
        <v>3154</v>
      </c>
      <c r="BZ1041" s="63">
        <f>C1041</f>
        <v>8233</v>
      </c>
      <c r="CD1041" s="63">
        <v>0</v>
      </c>
      <c r="CE1041" s="63">
        <v>0</v>
      </c>
      <c r="CF1041" s="63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>
        <v>0</v>
      </c>
      <c r="CQ1041">
        <v>0</v>
      </c>
    </row>
    <row r="1042" spans="1:95" ht="13" hidden="1" customHeight="1" outlineLevel="1">
      <c r="A1042" t="s">
        <v>1717</v>
      </c>
      <c r="B1042" t="s">
        <v>1009</v>
      </c>
      <c r="C1042" s="1">
        <f t="shared" si="440"/>
        <v>8096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4</v>
      </c>
      <c r="G1042" s="132">
        <f t="shared" si="441"/>
        <v>5117</v>
      </c>
      <c r="H1042" s="137">
        <f t="shared" si="442"/>
        <v>0.63204051383399207</v>
      </c>
      <c r="I1042" s="2"/>
      <c r="J1042" s="2">
        <f t="shared" si="443"/>
        <v>0.16662549407114624</v>
      </c>
      <c r="K1042" s="2">
        <f t="shared" si="444"/>
        <v>0.79866600790513831</v>
      </c>
      <c r="L1042" s="2">
        <f t="shared" si="445"/>
        <v>7.781620553359684E-3</v>
      </c>
      <c r="M1042" s="2">
        <f t="shared" si="446"/>
        <v>2.6926877470355767E-2</v>
      </c>
      <c r="N1042" s="63">
        <v>1349</v>
      </c>
      <c r="O1042" s="63">
        <v>6466</v>
      </c>
      <c r="P1042" s="63">
        <v>63</v>
      </c>
      <c r="Q1042" s="63">
        <v>161</v>
      </c>
      <c r="R1042" s="63">
        <v>46</v>
      </c>
      <c r="S1042" s="63">
        <v>2</v>
      </c>
      <c r="T1042" s="63">
        <v>6</v>
      </c>
      <c r="U1042" s="63"/>
      <c r="V1042" s="63"/>
      <c r="W1042" s="63">
        <f>IF(Copyright!B$11=1,IF(CA1042&gt;0,CA1042-SUM(S1042)-SUM(X1042:AI1042)-SUM(AJ1042:AT1042),SUM(CD1042:CQ1042)),SUM(CD1042:CQ1042))</f>
        <v>1</v>
      </c>
      <c r="X1042" s="63"/>
      <c r="Y1042" s="63">
        <v>0</v>
      </c>
      <c r="Z1042" s="63">
        <v>0</v>
      </c>
      <c r="AA1042" s="63"/>
      <c r="AB1042" s="63"/>
      <c r="AC1042" s="63"/>
      <c r="AD1042" s="63"/>
      <c r="AE1042" s="63">
        <v>1</v>
      </c>
      <c r="AF1042" s="63">
        <v>0</v>
      </c>
      <c r="AG1042" s="63">
        <v>1</v>
      </c>
      <c r="AH1042" s="63"/>
      <c r="AI1042" s="63"/>
      <c r="AJ1042" s="63"/>
      <c r="AK1042" s="63"/>
      <c r="AL1042" s="63"/>
      <c r="AM1042" s="63">
        <v>0</v>
      </c>
      <c r="AN1042" s="63">
        <v>0</v>
      </c>
      <c r="AO1042" s="63"/>
      <c r="AP1042" s="63"/>
      <c r="AQ1042" s="63">
        <v>0</v>
      </c>
      <c r="AR1042" s="63"/>
      <c r="AS1042" s="63"/>
      <c r="AT1042" s="63"/>
      <c r="AU1042" s="63"/>
      <c r="AW1042" s="5">
        <f>IF(Q1042&gt;0,RANK(Q1042,(N1042:P1042,Q1042:AE1042)),0)</f>
        <v>3</v>
      </c>
      <c r="AX1042" s="5">
        <f>IF(R1042&gt;0,RANK(R1042,(N1042:P1042,Q1042:AE1042)),0)</f>
        <v>5</v>
      </c>
      <c r="AY1042" s="5">
        <f>IF(T1042&gt;0,RANK(T1042,(N1042:P1042,Q1042:AE1042)),0)</f>
        <v>6</v>
      </c>
      <c r="AZ1042" s="5">
        <f>IF(S1042&gt;0,RANK(S1042,(N1042:P1042,Q1042:AE1042)),0)</f>
        <v>7</v>
      </c>
      <c r="BA1042" s="2">
        <f t="shared" si="447"/>
        <v>1.9886363636363636E-2</v>
      </c>
      <c r="BB1042" s="2">
        <f t="shared" si="448"/>
        <v>5.681818181818182E-3</v>
      </c>
      <c r="BC1042" s="2">
        <f t="shared" si="449"/>
        <v>7.4110671936758888E-4</v>
      </c>
      <c r="BD1042" s="2">
        <f t="shared" si="450"/>
        <v>2.4703557312252963E-4</v>
      </c>
      <c r="BF1042" t="s">
        <v>1717</v>
      </c>
      <c r="BG1042" t="s">
        <v>1009</v>
      </c>
      <c r="BH1042">
        <v>1</v>
      </c>
      <c r="BJ1042" s="114">
        <v>21</v>
      </c>
      <c r="BK1042" s="116">
        <v>3</v>
      </c>
      <c r="BL1042" s="120">
        <f t="shared" si="426"/>
        <v>21003</v>
      </c>
      <c r="BN1042" s="5" t="s">
        <v>3154</v>
      </c>
      <c r="BZ1042" s="63">
        <f t="shared" ref="BZ1042:BZ1105" si="451">C1042</f>
        <v>8096</v>
      </c>
      <c r="CD1042" s="63">
        <v>0</v>
      </c>
      <c r="CE1042" s="63">
        <v>0</v>
      </c>
      <c r="CF1042" s="63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1</v>
      </c>
      <c r="CN1042" s="8">
        <v>0</v>
      </c>
      <c r="CO1042" s="8">
        <v>0</v>
      </c>
      <c r="CP1042">
        <v>0</v>
      </c>
      <c r="CQ1042">
        <v>0</v>
      </c>
    </row>
    <row r="1043" spans="1:95" ht="13" hidden="1" customHeight="1" outlineLevel="1">
      <c r="A1043" t="s">
        <v>1961</v>
      </c>
      <c r="B1043" t="s">
        <v>1009</v>
      </c>
      <c r="C1043" s="1">
        <f t="shared" si="440"/>
        <v>11422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4</v>
      </c>
      <c r="G1043" s="132">
        <f t="shared" si="441"/>
        <v>5608</v>
      </c>
      <c r="H1043" s="137">
        <f t="shared" si="442"/>
        <v>0.49098231483102783</v>
      </c>
      <c r="I1043" s="2"/>
      <c r="J1043" s="2">
        <f t="shared" si="443"/>
        <v>0.23060759936963754</v>
      </c>
      <c r="K1043" s="2">
        <f t="shared" si="444"/>
        <v>0.72158991420066543</v>
      </c>
      <c r="L1043" s="2">
        <f t="shared" si="445"/>
        <v>1.444580633864472E-2</v>
      </c>
      <c r="M1043" s="2">
        <f t="shared" si="446"/>
        <v>3.3356680091052367E-2</v>
      </c>
      <c r="N1043" s="63">
        <v>2634</v>
      </c>
      <c r="O1043" s="63">
        <v>8242</v>
      </c>
      <c r="P1043" s="63">
        <v>165</v>
      </c>
      <c r="Q1043" s="63">
        <v>319</v>
      </c>
      <c r="R1043" s="63">
        <v>54</v>
      </c>
      <c r="S1043" s="63">
        <v>2</v>
      </c>
      <c r="T1043" s="63">
        <v>6</v>
      </c>
      <c r="U1043" s="63"/>
      <c r="V1043" s="63"/>
      <c r="W1043" s="63">
        <f>IF(Copyright!B$11=1,IF(CA1043&gt;0,CA1043-SUM(S1043)-SUM(X1043:AI1043)-SUM(AJ1043:AT1043),SUM(CD1043:CQ1043)),SUM(CD1043:CQ1043))</f>
        <v>0</v>
      </c>
      <c r="X1043" s="63"/>
      <c r="Y1043" s="63">
        <v>0</v>
      </c>
      <c r="Z1043" s="63">
        <v>0</v>
      </c>
      <c r="AA1043" s="63"/>
      <c r="AB1043" s="63"/>
      <c r="AC1043" s="63"/>
      <c r="AD1043" s="63"/>
      <c r="AE1043" s="63">
        <v>0</v>
      </c>
      <c r="AF1043" s="63">
        <v>0</v>
      </c>
      <c r="AG1043" s="63">
        <v>0</v>
      </c>
      <c r="AH1043" s="63"/>
      <c r="AI1043" s="63"/>
      <c r="AJ1043" s="63"/>
      <c r="AK1043" s="63"/>
      <c r="AL1043" s="63"/>
      <c r="AM1043" s="63">
        <v>0</v>
      </c>
      <c r="AN1043" s="63">
        <v>0</v>
      </c>
      <c r="AO1043" s="63"/>
      <c r="AP1043" s="63"/>
      <c r="AQ1043" s="63">
        <v>0</v>
      </c>
      <c r="AR1043" s="63"/>
      <c r="AS1043" s="63"/>
      <c r="AT1043" s="63"/>
      <c r="AU1043" s="63"/>
      <c r="AW1043" s="5">
        <f>IF(Q1043&gt;0,RANK(Q1043,(N1043:P1043,Q1043:AE1043)),0)</f>
        <v>3</v>
      </c>
      <c r="AX1043" s="5">
        <f>IF(R1043&gt;0,RANK(R1043,(N1043:P1043,Q1043:AE1043)),0)</f>
        <v>5</v>
      </c>
      <c r="AY1043" s="5">
        <f>IF(T1043&gt;0,RANK(T1043,(N1043:P1043,Q1043:AE1043)),0)</f>
        <v>6</v>
      </c>
      <c r="AZ1043" s="5">
        <f>IF(S1043&gt;0,RANK(S1043,(N1043:P1043,Q1043:AE1043)),0)</f>
        <v>7</v>
      </c>
      <c r="BA1043" s="2">
        <f t="shared" si="447"/>
        <v>2.7928558921379795E-2</v>
      </c>
      <c r="BB1043" s="2">
        <f t="shared" si="448"/>
        <v>4.7277184381019086E-3</v>
      </c>
      <c r="BC1043" s="2">
        <f t="shared" si="449"/>
        <v>5.2530204867798987E-4</v>
      </c>
      <c r="BD1043" s="2">
        <f t="shared" si="450"/>
        <v>1.7510068289266329E-4</v>
      </c>
      <c r="BF1043" t="s">
        <v>1961</v>
      </c>
      <c r="BG1043" t="s">
        <v>1009</v>
      </c>
      <c r="BH1043">
        <v>6</v>
      </c>
      <c r="BJ1043" s="114">
        <v>21</v>
      </c>
      <c r="BK1043" s="116">
        <v>5</v>
      </c>
      <c r="BL1043" s="120">
        <f t="shared" si="426"/>
        <v>21005</v>
      </c>
      <c r="BN1043" s="5" t="s">
        <v>3154</v>
      </c>
      <c r="BZ1043" s="63">
        <f t="shared" si="451"/>
        <v>11422</v>
      </c>
      <c r="CD1043" s="63">
        <v>0</v>
      </c>
      <c r="CE1043" s="63">
        <v>0</v>
      </c>
      <c r="CF1043" s="63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O1043" s="8">
        <v>0</v>
      </c>
      <c r="CP1043">
        <v>0</v>
      </c>
      <c r="CQ1043">
        <v>0</v>
      </c>
    </row>
    <row r="1044" spans="1:95" ht="13" hidden="1" customHeight="1" outlineLevel="1">
      <c r="A1044" t="s">
        <v>1391</v>
      </c>
      <c r="B1044" t="s">
        <v>1009</v>
      </c>
      <c r="C1044" s="1">
        <f t="shared" si="440"/>
        <v>4101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4</v>
      </c>
      <c r="G1044" s="132">
        <f t="shared" si="441"/>
        <v>2345</v>
      </c>
      <c r="H1044" s="137">
        <f t="shared" si="442"/>
        <v>0.57181175323091926</v>
      </c>
      <c r="I1044" s="2"/>
      <c r="J1044" s="2">
        <f t="shared" si="443"/>
        <v>0.19897585954645208</v>
      </c>
      <c r="K1044" s="2">
        <f t="shared" si="444"/>
        <v>0.7707876127773714</v>
      </c>
      <c r="L1044" s="2">
        <f t="shared" si="445"/>
        <v>5.6083881980004873E-3</v>
      </c>
      <c r="M1044" s="2">
        <f t="shared" si="446"/>
        <v>2.4628139478175975E-2</v>
      </c>
      <c r="N1044" s="63">
        <v>816</v>
      </c>
      <c r="O1044" s="63">
        <v>3161</v>
      </c>
      <c r="P1044" s="63">
        <v>23</v>
      </c>
      <c r="Q1044" s="63">
        <v>77</v>
      </c>
      <c r="R1044" s="63">
        <v>20</v>
      </c>
      <c r="S1044" s="63">
        <v>0</v>
      </c>
      <c r="T1044" s="63">
        <v>4</v>
      </c>
      <c r="U1044" s="63"/>
      <c r="V1044" s="63"/>
      <c r="W1044" s="63">
        <f>IF(Copyright!B$11=1,IF(CA1044&gt;0,CA1044-SUM(S1044)-SUM(X1044:AI1044)-SUM(AJ1044:AT1044),SUM(CD1044:CQ1044)),SUM(CD1044:CQ1044))</f>
        <v>0</v>
      </c>
      <c r="X1044" s="63"/>
      <c r="Y1044" s="63">
        <v>0</v>
      </c>
      <c r="Z1044" s="63">
        <v>0</v>
      </c>
      <c r="AA1044" s="63"/>
      <c r="AB1044" s="63"/>
      <c r="AC1044" s="63"/>
      <c r="AD1044" s="63"/>
      <c r="AE1044" s="63">
        <v>0</v>
      </c>
      <c r="AF1044" s="63">
        <v>0</v>
      </c>
      <c r="AG1044" s="63">
        <v>0</v>
      </c>
      <c r="AH1044" s="63"/>
      <c r="AI1044" s="63"/>
      <c r="AJ1044" s="63"/>
      <c r="AK1044" s="63"/>
      <c r="AL1044" s="63"/>
      <c r="AM1044" s="63">
        <v>0</v>
      </c>
      <c r="AN1044" s="63">
        <v>0</v>
      </c>
      <c r="AO1044" s="63"/>
      <c r="AP1044" s="63"/>
      <c r="AQ1044" s="63">
        <v>0</v>
      </c>
      <c r="AR1044" s="63"/>
      <c r="AS1044" s="63"/>
      <c r="AT1044" s="63"/>
      <c r="AU1044" s="63"/>
      <c r="AW1044" s="5">
        <f>IF(Q1044&gt;0,RANK(Q1044,(N1044:P1044,Q1044:AE1044)),0)</f>
        <v>3</v>
      </c>
      <c r="AX1044" s="5">
        <f>IF(R1044&gt;0,RANK(R1044,(N1044:P1044,Q1044:AE1044)),0)</f>
        <v>5</v>
      </c>
      <c r="AY1044" s="5">
        <f>IF(T1044&gt;0,RANK(T1044,(N1044:P1044,Q1044:AE1044)),0)</f>
        <v>6</v>
      </c>
      <c r="AZ1044" s="5">
        <f>IF(S1044&gt;0,RANK(S1044,(N1044:P1044,Q1044:AE1044)),0)</f>
        <v>0</v>
      </c>
      <c r="BA1044" s="2">
        <f t="shared" si="447"/>
        <v>1.8775908315045112E-2</v>
      </c>
      <c r="BB1044" s="2">
        <f t="shared" si="448"/>
        <v>4.8768593026091199E-3</v>
      </c>
      <c r="BC1044" s="2">
        <f t="shared" si="449"/>
        <v>9.7537186052182399E-4</v>
      </c>
      <c r="BD1044" s="2">
        <f t="shared" si="450"/>
        <v>0</v>
      </c>
      <c r="BF1044" t="s">
        <v>1391</v>
      </c>
      <c r="BG1044" t="s">
        <v>1009</v>
      </c>
      <c r="BH1044">
        <v>1</v>
      </c>
      <c r="BJ1044" s="114">
        <v>21</v>
      </c>
      <c r="BK1044" s="116">
        <v>7</v>
      </c>
      <c r="BL1044" s="120">
        <f t="shared" si="426"/>
        <v>21007</v>
      </c>
      <c r="BN1044" s="5" t="s">
        <v>3154</v>
      </c>
      <c r="BZ1044" s="63">
        <f t="shared" si="451"/>
        <v>4101</v>
      </c>
      <c r="CD1044" s="63">
        <v>0</v>
      </c>
      <c r="CE1044" s="63">
        <v>0</v>
      </c>
      <c r="CF1044" s="63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>
        <v>0</v>
      </c>
      <c r="CQ1044">
        <v>0</v>
      </c>
    </row>
    <row r="1045" spans="1:95" ht="13" hidden="1" customHeight="1" outlineLevel="1">
      <c r="A1045" t="s">
        <v>1738</v>
      </c>
      <c r="B1045" t="s">
        <v>1009</v>
      </c>
      <c r="C1045" s="1">
        <f t="shared" si="440"/>
        <v>18488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4</v>
      </c>
      <c r="G1045" s="132">
        <f t="shared" si="441"/>
        <v>9208</v>
      </c>
      <c r="H1045" s="137">
        <f t="shared" si="442"/>
        <v>0.49805279099956729</v>
      </c>
      <c r="I1045" s="2"/>
      <c r="J1045" s="2">
        <f t="shared" si="443"/>
        <v>0.23123106880138469</v>
      </c>
      <c r="K1045" s="2">
        <f t="shared" si="444"/>
        <v>0.72928385980095201</v>
      </c>
      <c r="L1045" s="2">
        <f t="shared" si="445"/>
        <v>9.0328861964517528E-3</v>
      </c>
      <c r="M1045" s="2">
        <f t="shared" si="446"/>
        <v>3.0452185201211575E-2</v>
      </c>
      <c r="N1045" s="63">
        <v>4275</v>
      </c>
      <c r="O1045" s="63">
        <v>13483</v>
      </c>
      <c r="P1045" s="63">
        <v>167</v>
      </c>
      <c r="Q1045" s="63">
        <v>455</v>
      </c>
      <c r="R1045" s="63">
        <v>93</v>
      </c>
      <c r="S1045" s="63">
        <v>5</v>
      </c>
      <c r="T1045" s="63">
        <v>10</v>
      </c>
      <c r="U1045" s="63"/>
      <c r="V1045" s="63"/>
      <c r="W1045" s="63">
        <f>IF(Copyright!B$11=1,IF(CA1045&gt;0,CA1045-SUM(S1045)-SUM(X1045:AI1045)-SUM(AJ1045:AT1045),SUM(CD1045:CQ1045)),SUM(CD1045:CQ1045))</f>
        <v>0</v>
      </c>
      <c r="X1045" s="63"/>
      <c r="Y1045" s="63">
        <v>0</v>
      </c>
      <c r="Z1045" s="63">
        <v>0</v>
      </c>
      <c r="AA1045" s="63"/>
      <c r="AB1045" s="63"/>
      <c r="AC1045" s="63"/>
      <c r="AD1045" s="63"/>
      <c r="AE1045" s="63">
        <v>0</v>
      </c>
      <c r="AF1045" s="63">
        <v>0</v>
      </c>
      <c r="AG1045" s="63">
        <v>0</v>
      </c>
      <c r="AH1045" s="63"/>
      <c r="AI1045" s="63"/>
      <c r="AJ1045" s="63"/>
      <c r="AK1045" s="63"/>
      <c r="AL1045" s="63"/>
      <c r="AM1045" s="63">
        <v>0</v>
      </c>
      <c r="AN1045" s="63">
        <v>0</v>
      </c>
      <c r="AO1045" s="63"/>
      <c r="AP1045" s="63"/>
      <c r="AQ1045" s="63">
        <v>0</v>
      </c>
      <c r="AR1045" s="63"/>
      <c r="AS1045" s="63"/>
      <c r="AT1045" s="63"/>
      <c r="AU1045" s="63"/>
      <c r="AW1045" s="5">
        <f>IF(Q1045&gt;0,RANK(Q1045,(N1045:P1045,Q1045:AE1045)),0)</f>
        <v>3</v>
      </c>
      <c r="AX1045" s="5">
        <f>IF(R1045&gt;0,RANK(R1045,(N1045:P1045,Q1045:AE1045)),0)</f>
        <v>5</v>
      </c>
      <c r="AY1045" s="5">
        <f>IF(T1045&gt;0,RANK(T1045,(N1045:P1045,Q1045:AE1045)),0)</f>
        <v>6</v>
      </c>
      <c r="AZ1045" s="5">
        <f>IF(S1045&gt;0,RANK(S1045,(N1045:P1045,Q1045:AE1045)),0)</f>
        <v>7</v>
      </c>
      <c r="BA1045" s="2">
        <f t="shared" si="447"/>
        <v>2.4610558199913458E-2</v>
      </c>
      <c r="BB1045" s="2">
        <f t="shared" si="448"/>
        <v>5.0302899177845093E-3</v>
      </c>
      <c r="BC1045" s="2">
        <f t="shared" si="449"/>
        <v>5.4089138900908693E-4</v>
      </c>
      <c r="BD1045" s="2">
        <f t="shared" si="450"/>
        <v>2.7044569450454346E-4</v>
      </c>
      <c r="BF1045" t="s">
        <v>1738</v>
      </c>
      <c r="BG1045" t="s">
        <v>1009</v>
      </c>
      <c r="BH1045">
        <v>2</v>
      </c>
      <c r="BJ1045" s="114">
        <v>21</v>
      </c>
      <c r="BK1045" s="116">
        <v>9</v>
      </c>
      <c r="BL1045" s="120">
        <f t="shared" si="426"/>
        <v>21009</v>
      </c>
      <c r="BN1045" s="5" t="s">
        <v>3154</v>
      </c>
      <c r="BZ1045" s="63">
        <f t="shared" si="451"/>
        <v>18488</v>
      </c>
      <c r="CD1045" s="63">
        <v>0</v>
      </c>
      <c r="CE1045" s="63">
        <v>0</v>
      </c>
      <c r="CF1045" s="63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</v>
      </c>
      <c r="CN1045" s="8">
        <v>0</v>
      </c>
      <c r="CO1045" s="8">
        <v>0</v>
      </c>
      <c r="CP1045">
        <v>0</v>
      </c>
      <c r="CQ1045">
        <v>0</v>
      </c>
    </row>
    <row r="1046" spans="1:95" ht="13" hidden="1" customHeight="1" outlineLevel="1">
      <c r="A1046" t="s">
        <v>708</v>
      </c>
      <c r="B1046" t="s">
        <v>1009</v>
      </c>
      <c r="C1046" s="1">
        <f t="shared" si="440"/>
        <v>4587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4</v>
      </c>
      <c r="G1046" s="132">
        <f t="shared" si="441"/>
        <v>1721</v>
      </c>
      <c r="H1046" s="137">
        <f t="shared" si="442"/>
        <v>0.37519075648572053</v>
      </c>
      <c r="I1046" s="2"/>
      <c r="J1046" s="2">
        <f t="shared" si="443"/>
        <v>0.29670808807499455</v>
      </c>
      <c r="K1046" s="2">
        <f t="shared" si="444"/>
        <v>0.67189884456071503</v>
      </c>
      <c r="L1046" s="2">
        <f t="shared" si="445"/>
        <v>7.6302594288205801E-3</v>
      </c>
      <c r="M1046" s="2">
        <f t="shared" si="446"/>
        <v>2.3762807935469792E-2</v>
      </c>
      <c r="N1046" s="63">
        <v>1361</v>
      </c>
      <c r="O1046" s="63">
        <v>3082</v>
      </c>
      <c r="P1046" s="63">
        <v>35</v>
      </c>
      <c r="Q1046" s="63">
        <v>75</v>
      </c>
      <c r="R1046" s="63">
        <v>24</v>
      </c>
      <c r="S1046" s="63">
        <v>0</v>
      </c>
      <c r="T1046" s="63">
        <v>6</v>
      </c>
      <c r="U1046" s="63"/>
      <c r="V1046" s="63"/>
      <c r="W1046" s="63">
        <f>IF(Copyright!B$11=1,IF(CA1046&gt;0,CA1046-SUM(S1046)-SUM(X1046:AI1046)-SUM(AJ1046:AT1046),SUM(CD1046:CQ1046)),SUM(CD1046:CQ1046))</f>
        <v>4</v>
      </c>
      <c r="X1046" s="63"/>
      <c r="Y1046" s="63">
        <v>0</v>
      </c>
      <c r="Z1046" s="63">
        <v>0</v>
      </c>
      <c r="AA1046" s="63"/>
      <c r="AB1046" s="63"/>
      <c r="AC1046" s="63"/>
      <c r="AD1046" s="63"/>
      <c r="AE1046" s="63">
        <v>0</v>
      </c>
      <c r="AF1046" s="63">
        <v>0</v>
      </c>
      <c r="AG1046" s="63">
        <v>0</v>
      </c>
      <c r="AH1046" s="63"/>
      <c r="AI1046" s="63"/>
      <c r="AJ1046" s="63"/>
      <c r="AK1046" s="63"/>
      <c r="AL1046" s="63"/>
      <c r="AM1046" s="63">
        <v>0</v>
      </c>
      <c r="AN1046" s="63">
        <v>0</v>
      </c>
      <c r="AO1046" s="63"/>
      <c r="AP1046" s="63"/>
      <c r="AQ1046" s="63">
        <v>0</v>
      </c>
      <c r="AR1046" s="63"/>
      <c r="AS1046" s="63"/>
      <c r="AT1046" s="63"/>
      <c r="AU1046" s="63"/>
      <c r="AW1046" s="5">
        <f>IF(Q1046&gt;0,RANK(Q1046,(N1046:P1046,Q1046:AE1046)),0)</f>
        <v>3</v>
      </c>
      <c r="AX1046" s="5">
        <f>IF(R1046&gt;0,RANK(R1046,(N1046:P1046,Q1046:AE1046)),0)</f>
        <v>5</v>
      </c>
      <c r="AY1046" s="5">
        <f>IF(T1046&gt;0,RANK(T1046,(N1046:P1046,Q1046:AE1046)),0)</f>
        <v>6</v>
      </c>
      <c r="AZ1046" s="5">
        <f>IF(S1046&gt;0,RANK(S1046,(N1046:P1046,Q1046:AE1046)),0)</f>
        <v>0</v>
      </c>
      <c r="BA1046" s="2">
        <f t="shared" si="447"/>
        <v>1.6350555918901243E-2</v>
      </c>
      <c r="BB1046" s="2">
        <f t="shared" si="448"/>
        <v>5.232177894048398E-3</v>
      </c>
      <c r="BC1046" s="2">
        <f t="shared" si="449"/>
        <v>1.3080444735120995E-3</v>
      </c>
      <c r="BD1046" s="2">
        <f t="shared" si="450"/>
        <v>0</v>
      </c>
      <c r="BF1046" t="s">
        <v>708</v>
      </c>
      <c r="BG1046" t="s">
        <v>1009</v>
      </c>
      <c r="BH1046">
        <v>6</v>
      </c>
      <c r="BJ1046" s="114">
        <v>21</v>
      </c>
      <c r="BK1046" s="116">
        <v>11</v>
      </c>
      <c r="BL1046" s="120">
        <f t="shared" si="426"/>
        <v>21011</v>
      </c>
      <c r="BN1046" s="5" t="s">
        <v>3154</v>
      </c>
      <c r="BZ1046" s="63">
        <f t="shared" si="451"/>
        <v>4587</v>
      </c>
      <c r="CD1046" s="63">
        <v>0</v>
      </c>
      <c r="CE1046" s="63">
        <v>0</v>
      </c>
      <c r="CF1046" s="63">
        <v>4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>
        <v>0</v>
      </c>
      <c r="CQ1046">
        <v>0</v>
      </c>
    </row>
    <row r="1047" spans="1:95" ht="13" hidden="1" customHeight="1" outlineLevel="1">
      <c r="A1047" t="s">
        <v>1972</v>
      </c>
      <c r="B1047" t="s">
        <v>1009</v>
      </c>
      <c r="C1047" s="1">
        <f t="shared" si="440"/>
        <v>9718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4</v>
      </c>
      <c r="G1047" s="132">
        <f t="shared" si="441"/>
        <v>6044</v>
      </c>
      <c r="H1047" s="137">
        <f t="shared" si="442"/>
        <v>0.62193867050833507</v>
      </c>
      <c r="I1047" s="2"/>
      <c r="J1047" s="2">
        <f t="shared" si="443"/>
        <v>0.17699115044247787</v>
      </c>
      <c r="K1047" s="2">
        <f t="shared" si="444"/>
        <v>0.79892982095081289</v>
      </c>
      <c r="L1047" s="2">
        <f t="shared" si="445"/>
        <v>4.5276805927145503E-3</v>
      </c>
      <c r="M1047" s="2">
        <f t="shared" si="446"/>
        <v>1.9551348013994635E-2</v>
      </c>
      <c r="N1047" s="63">
        <v>1720</v>
      </c>
      <c r="O1047" s="63">
        <v>7764</v>
      </c>
      <c r="P1047" s="63">
        <v>44</v>
      </c>
      <c r="Q1047" s="63">
        <v>144</v>
      </c>
      <c r="R1047" s="63">
        <v>42</v>
      </c>
      <c r="S1047" s="63">
        <v>0</v>
      </c>
      <c r="T1047" s="63">
        <v>4</v>
      </c>
      <c r="U1047" s="63"/>
      <c r="V1047" s="63"/>
      <c r="W1047" s="63">
        <f>IF(Copyright!B$11=1,IF(CA1047&gt;0,CA1047-SUM(S1047)-SUM(X1047:AI1047)-SUM(AJ1047:AT1047),SUM(CD1047:CQ1047)),SUM(CD1047:CQ1047))</f>
        <v>0</v>
      </c>
      <c r="X1047" s="63"/>
      <c r="Y1047" s="63">
        <v>0</v>
      </c>
      <c r="Z1047" s="63">
        <v>0</v>
      </c>
      <c r="AA1047" s="63"/>
      <c r="AB1047" s="63"/>
      <c r="AC1047" s="63"/>
      <c r="AD1047" s="63"/>
      <c r="AE1047" s="63">
        <v>0</v>
      </c>
      <c r="AF1047" s="63">
        <v>0</v>
      </c>
      <c r="AG1047" s="63">
        <v>0</v>
      </c>
      <c r="AH1047" s="63"/>
      <c r="AI1047" s="63"/>
      <c r="AJ1047" s="63"/>
      <c r="AK1047" s="63"/>
      <c r="AL1047" s="63"/>
      <c r="AM1047" s="63">
        <v>0</v>
      </c>
      <c r="AN1047" s="63">
        <v>0</v>
      </c>
      <c r="AO1047" s="63"/>
      <c r="AP1047" s="63"/>
      <c r="AQ1047" s="63">
        <v>0</v>
      </c>
      <c r="AR1047" s="63"/>
      <c r="AS1047" s="63"/>
      <c r="AT1047" s="63"/>
      <c r="AU1047" s="63"/>
      <c r="AW1047" s="5">
        <f>IF(Q1047&gt;0,RANK(Q1047,(N1047:P1047,Q1047:AE1047)),0)</f>
        <v>3</v>
      </c>
      <c r="AX1047" s="5">
        <f>IF(R1047&gt;0,RANK(R1047,(N1047:P1047,Q1047:AE1047)),0)</f>
        <v>5</v>
      </c>
      <c r="AY1047" s="5">
        <f>IF(T1047&gt;0,RANK(T1047,(N1047:P1047,Q1047:AE1047)),0)</f>
        <v>6</v>
      </c>
      <c r="AZ1047" s="5">
        <f>IF(S1047&gt;0,RANK(S1047,(N1047:P1047,Q1047:AE1047)),0)</f>
        <v>0</v>
      </c>
      <c r="BA1047" s="2">
        <f t="shared" si="447"/>
        <v>1.4817863757974892E-2</v>
      </c>
      <c r="BB1047" s="2">
        <f t="shared" si="448"/>
        <v>4.3218769294093434E-3</v>
      </c>
      <c r="BC1047" s="2">
        <f t="shared" si="449"/>
        <v>4.1160732661041366E-4</v>
      </c>
      <c r="BD1047" s="2">
        <f t="shared" si="450"/>
        <v>0</v>
      </c>
      <c r="BF1047" t="s">
        <v>1972</v>
      </c>
      <c r="BG1047" t="s">
        <v>1009</v>
      </c>
      <c r="BH1047">
        <v>5</v>
      </c>
      <c r="BJ1047" s="114">
        <v>21</v>
      </c>
      <c r="BK1047" s="116">
        <v>13</v>
      </c>
      <c r="BL1047" s="120">
        <f t="shared" si="426"/>
        <v>21013</v>
      </c>
      <c r="BN1047" s="5" t="s">
        <v>3154</v>
      </c>
      <c r="BZ1047" s="63">
        <f t="shared" si="451"/>
        <v>9718</v>
      </c>
      <c r="CD1047" s="63">
        <v>0</v>
      </c>
      <c r="CE1047" s="63">
        <v>0</v>
      </c>
      <c r="CF1047" s="63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>
        <v>0</v>
      </c>
      <c r="CQ1047">
        <v>0</v>
      </c>
    </row>
    <row r="1048" spans="1:95" ht="13" hidden="1" customHeight="1" outlineLevel="1">
      <c r="A1048" t="s">
        <v>1043</v>
      </c>
      <c r="B1048" t="s">
        <v>1009</v>
      </c>
      <c r="C1048" s="1">
        <f t="shared" si="440"/>
        <v>57618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4</v>
      </c>
      <c r="G1048" s="132">
        <f t="shared" si="441"/>
        <v>24056</v>
      </c>
      <c r="H1048" s="137">
        <f t="shared" si="442"/>
        <v>0.4175084175084175</v>
      </c>
      <c r="I1048" s="2"/>
      <c r="J1048" s="2">
        <f t="shared" si="443"/>
        <v>0.26078655975563192</v>
      </c>
      <c r="K1048" s="2">
        <f t="shared" si="444"/>
        <v>0.67829497726404941</v>
      </c>
      <c r="L1048" s="2">
        <f t="shared" si="445"/>
        <v>1.3242389531049325E-2</v>
      </c>
      <c r="M1048" s="2">
        <f t="shared" si="446"/>
        <v>4.7676073449269343E-2</v>
      </c>
      <c r="N1048" s="63">
        <v>15026</v>
      </c>
      <c r="O1048" s="63">
        <v>39082</v>
      </c>
      <c r="P1048" s="63">
        <v>763</v>
      </c>
      <c r="Q1048" s="63">
        <v>2299</v>
      </c>
      <c r="R1048" s="63">
        <v>380</v>
      </c>
      <c r="S1048" s="63">
        <v>41</v>
      </c>
      <c r="T1048" s="63">
        <v>20</v>
      </c>
      <c r="U1048" s="63"/>
      <c r="V1048" s="63"/>
      <c r="W1048" s="63">
        <f>IF(Copyright!B$11=1,IF(CA1048&gt;0,CA1048-SUM(S1048)-SUM(X1048:AI1048)-SUM(AJ1048:AT1048),SUM(CD1048:CQ1048)),SUM(CD1048:CQ1048))</f>
        <v>3</v>
      </c>
      <c r="X1048" s="63"/>
      <c r="Y1048" s="63">
        <v>2</v>
      </c>
      <c r="Z1048" s="63">
        <v>0</v>
      </c>
      <c r="AA1048" s="63"/>
      <c r="AB1048" s="63"/>
      <c r="AC1048" s="63"/>
      <c r="AD1048" s="63"/>
      <c r="AE1048" s="63">
        <v>2</v>
      </c>
      <c r="AF1048" s="63">
        <v>0</v>
      </c>
      <c r="AG1048" s="63">
        <v>0</v>
      </c>
      <c r="AH1048" s="63"/>
      <c r="AI1048" s="63"/>
      <c r="AJ1048" s="63"/>
      <c r="AK1048" s="63"/>
      <c r="AL1048" s="63"/>
      <c r="AM1048" s="63">
        <v>0</v>
      </c>
      <c r="AN1048" s="63">
        <v>0</v>
      </c>
      <c r="AO1048" s="63"/>
      <c r="AP1048" s="63"/>
      <c r="AQ1048" s="63">
        <v>0</v>
      </c>
      <c r="AR1048" s="63"/>
      <c r="AS1048" s="63"/>
      <c r="AT1048" s="63"/>
      <c r="AU1048" s="63"/>
      <c r="AW1048" s="5">
        <f>IF(Q1048&gt;0,RANK(Q1048,(N1048:P1048,Q1048:AE1048)),0)</f>
        <v>3</v>
      </c>
      <c r="AX1048" s="5">
        <f>IF(R1048&gt;0,RANK(R1048,(N1048:P1048,Q1048:AE1048)),0)</f>
        <v>5</v>
      </c>
      <c r="AY1048" s="5">
        <f>IF(T1048&gt;0,RANK(T1048,(N1048:P1048,Q1048:AE1048)),0)</f>
        <v>7</v>
      </c>
      <c r="AZ1048" s="5">
        <f>IF(S1048&gt;0,RANK(S1048,(N1048:P1048,Q1048:AE1048)),0)</f>
        <v>6</v>
      </c>
      <c r="BA1048" s="2">
        <f t="shared" si="447"/>
        <v>3.9900725467735779E-2</v>
      </c>
      <c r="BB1048" s="2">
        <f t="shared" si="448"/>
        <v>6.5951612343364925E-3</v>
      </c>
      <c r="BC1048" s="2">
        <f t="shared" si="449"/>
        <v>3.4711374917560482E-4</v>
      </c>
      <c r="BD1048" s="2">
        <f t="shared" si="450"/>
        <v>7.1158318580998991E-4</v>
      </c>
      <c r="BF1048" t="s">
        <v>1043</v>
      </c>
      <c r="BG1048" t="s">
        <v>1009</v>
      </c>
      <c r="BH1048">
        <v>4</v>
      </c>
      <c r="BJ1048" s="114">
        <v>21</v>
      </c>
      <c r="BK1048" s="116">
        <v>15</v>
      </c>
      <c r="BL1048" s="120">
        <f t="shared" si="426"/>
        <v>21015</v>
      </c>
      <c r="BN1048" s="5" t="s">
        <v>3154</v>
      </c>
      <c r="BZ1048" s="63">
        <f t="shared" si="451"/>
        <v>57618</v>
      </c>
      <c r="CD1048" s="63">
        <v>2</v>
      </c>
      <c r="CE1048" s="63">
        <v>0</v>
      </c>
      <c r="CF1048" s="63">
        <v>0</v>
      </c>
      <c r="CG1048" s="8">
        <v>0</v>
      </c>
      <c r="CH1048" s="8">
        <v>0</v>
      </c>
      <c r="CI1048" s="8">
        <v>0</v>
      </c>
      <c r="CJ1048" s="8">
        <v>1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>
        <v>0</v>
      </c>
      <c r="CQ1048">
        <v>0</v>
      </c>
    </row>
    <row r="1049" spans="1:95" ht="13" hidden="1" customHeight="1" outlineLevel="1">
      <c r="A1049" t="s">
        <v>690</v>
      </c>
      <c r="B1049" t="s">
        <v>1009</v>
      </c>
      <c r="C1049" s="1">
        <f t="shared" si="440"/>
        <v>8803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4</v>
      </c>
      <c r="G1049" s="132">
        <f t="shared" si="441"/>
        <v>2778</v>
      </c>
      <c r="H1049" s="137">
        <f t="shared" si="442"/>
        <v>0.31557423605589002</v>
      </c>
      <c r="I1049" s="2"/>
      <c r="J1049" s="2">
        <f t="shared" si="443"/>
        <v>0.31705100533908892</v>
      </c>
      <c r="K1049" s="2">
        <f t="shared" si="444"/>
        <v>0.632625241394979</v>
      </c>
      <c r="L1049" s="2">
        <f t="shared" si="445"/>
        <v>1.09053731682381E-2</v>
      </c>
      <c r="M1049" s="2">
        <f t="shared" si="446"/>
        <v>3.9418380097693981E-2</v>
      </c>
      <c r="N1049" s="63">
        <v>2791</v>
      </c>
      <c r="O1049" s="63">
        <v>5569</v>
      </c>
      <c r="P1049" s="63">
        <v>96</v>
      </c>
      <c r="Q1049" s="63">
        <v>283</v>
      </c>
      <c r="R1049" s="63">
        <v>52</v>
      </c>
      <c r="S1049" s="63">
        <v>5</v>
      </c>
      <c r="T1049" s="63">
        <v>4</v>
      </c>
      <c r="U1049" s="63"/>
      <c r="V1049" s="63"/>
      <c r="W1049" s="63">
        <f>IF(Copyright!B$11=1,IF(CA1049&gt;0,CA1049-SUM(S1049)-SUM(X1049:AI1049)-SUM(AJ1049:AT1049),SUM(CD1049:CQ1049)),SUM(CD1049:CQ1049))</f>
        <v>0</v>
      </c>
      <c r="X1049" s="63"/>
      <c r="Y1049" s="63">
        <v>3</v>
      </c>
      <c r="Z1049" s="63">
        <v>0</v>
      </c>
      <c r="AA1049" s="63"/>
      <c r="AB1049" s="63"/>
      <c r="AC1049" s="63"/>
      <c r="AD1049" s="63"/>
      <c r="AE1049" s="63">
        <v>0</v>
      </c>
      <c r="AF1049" s="63">
        <v>0</v>
      </c>
      <c r="AG1049" s="63">
        <v>0</v>
      </c>
      <c r="AH1049" s="63"/>
      <c r="AI1049" s="63"/>
      <c r="AJ1049" s="63"/>
      <c r="AK1049" s="63"/>
      <c r="AL1049" s="63"/>
      <c r="AM1049" s="63">
        <v>0</v>
      </c>
      <c r="AN1049" s="63">
        <v>0</v>
      </c>
      <c r="AO1049" s="63"/>
      <c r="AP1049" s="63"/>
      <c r="AQ1049" s="63">
        <v>0</v>
      </c>
      <c r="AR1049" s="63"/>
      <c r="AS1049" s="63"/>
      <c r="AT1049" s="63"/>
      <c r="AU1049" s="63"/>
      <c r="AW1049" s="5">
        <f>IF(Q1049&gt;0,RANK(Q1049,(N1049:P1049,Q1049:AE1049)),0)</f>
        <v>3</v>
      </c>
      <c r="AX1049" s="5">
        <f>IF(R1049&gt;0,RANK(R1049,(N1049:P1049,Q1049:AE1049)),0)</f>
        <v>5</v>
      </c>
      <c r="AY1049" s="5">
        <f>IF(T1049&gt;0,RANK(T1049,(N1049:P1049,Q1049:AE1049)),0)</f>
        <v>7</v>
      </c>
      <c r="AZ1049" s="5">
        <f>IF(S1049&gt;0,RANK(S1049,(N1049:P1049,Q1049:AE1049)),0)</f>
        <v>6</v>
      </c>
      <c r="BA1049" s="2">
        <f t="shared" si="447"/>
        <v>3.2148131318868567E-2</v>
      </c>
      <c r="BB1049" s="2">
        <f t="shared" si="448"/>
        <v>5.9070771327956375E-3</v>
      </c>
      <c r="BC1049" s="2">
        <f t="shared" si="449"/>
        <v>4.5439054867658755E-4</v>
      </c>
      <c r="BD1049" s="2">
        <f t="shared" si="450"/>
        <v>5.6798818584573437E-4</v>
      </c>
      <c r="BF1049" t="s">
        <v>690</v>
      </c>
      <c r="BG1049" t="s">
        <v>1009</v>
      </c>
      <c r="BH1049">
        <v>6</v>
      </c>
      <c r="BJ1049" s="114">
        <v>21</v>
      </c>
      <c r="BK1049" s="116">
        <v>17</v>
      </c>
      <c r="BL1049" s="120">
        <f t="shared" si="426"/>
        <v>21017</v>
      </c>
      <c r="BN1049" s="5" t="s">
        <v>3154</v>
      </c>
      <c r="BZ1049" s="63">
        <f t="shared" si="451"/>
        <v>8803</v>
      </c>
      <c r="CD1049" s="63">
        <v>0</v>
      </c>
      <c r="CE1049" s="63">
        <v>0</v>
      </c>
      <c r="CF1049" s="63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>
        <v>0</v>
      </c>
      <c r="CQ1049">
        <v>0</v>
      </c>
    </row>
    <row r="1050" spans="1:95" ht="13" hidden="1" customHeight="1" outlineLevel="1">
      <c r="A1050" t="s">
        <v>2284</v>
      </c>
      <c r="B1050" t="s">
        <v>1009</v>
      </c>
      <c r="C1050" s="1">
        <f t="shared" si="440"/>
        <v>20454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4</v>
      </c>
      <c r="G1050" s="132">
        <f t="shared" si="441"/>
        <v>7570</v>
      </c>
      <c r="H1050" s="137">
        <f t="shared" si="442"/>
        <v>0.37009875818910726</v>
      </c>
      <c r="I1050" s="2"/>
      <c r="J1050" s="2">
        <f t="shared" si="443"/>
        <v>0.29436784980932823</v>
      </c>
      <c r="K1050" s="2">
        <f t="shared" si="444"/>
        <v>0.66446660799843549</v>
      </c>
      <c r="L1050" s="2">
        <f t="shared" si="445"/>
        <v>8.2135523613963042E-3</v>
      </c>
      <c r="M1050" s="2">
        <f t="shared" si="446"/>
        <v>3.2951989830839926E-2</v>
      </c>
      <c r="N1050" s="63">
        <v>6021</v>
      </c>
      <c r="O1050" s="63">
        <v>13591</v>
      </c>
      <c r="P1050" s="63">
        <v>168</v>
      </c>
      <c r="Q1050" s="63">
        <v>496</v>
      </c>
      <c r="R1050" s="63">
        <v>167</v>
      </c>
      <c r="S1050" s="63">
        <v>0</v>
      </c>
      <c r="T1050" s="63">
        <v>11</v>
      </c>
      <c r="U1050" s="63"/>
      <c r="V1050" s="63"/>
      <c r="W1050" s="63">
        <f>IF(Copyright!B$11=1,IF(CA1050&gt;0,CA1050-SUM(S1050)-SUM(X1050:AI1050)-SUM(AJ1050:AT1050),SUM(CD1050:CQ1050)),SUM(CD1050:CQ1050))</f>
        <v>0</v>
      </c>
      <c r="X1050" s="63"/>
      <c r="Y1050" s="63">
        <v>0</v>
      </c>
      <c r="Z1050" s="63">
        <v>0</v>
      </c>
      <c r="AA1050" s="63"/>
      <c r="AB1050" s="63"/>
      <c r="AC1050" s="63"/>
      <c r="AD1050" s="63"/>
      <c r="AE1050" s="63">
        <v>0</v>
      </c>
      <c r="AF1050" s="63">
        <v>0</v>
      </c>
      <c r="AG1050" s="63">
        <v>0</v>
      </c>
      <c r="AH1050" s="63"/>
      <c r="AI1050" s="63"/>
      <c r="AJ1050" s="63"/>
      <c r="AK1050" s="63"/>
      <c r="AL1050" s="63"/>
      <c r="AM1050" s="63">
        <v>0</v>
      </c>
      <c r="AN1050" s="63">
        <v>0</v>
      </c>
      <c r="AO1050" s="63"/>
      <c r="AP1050" s="63"/>
      <c r="AQ1050" s="63">
        <v>0</v>
      </c>
      <c r="AR1050" s="63"/>
      <c r="AS1050" s="63"/>
      <c r="AT1050" s="63"/>
      <c r="AU1050" s="63"/>
      <c r="AW1050" s="5">
        <f>IF(Q1050&gt;0,RANK(Q1050,(N1050:P1050,Q1050:AE1050)),0)</f>
        <v>3</v>
      </c>
      <c r="AX1050" s="5">
        <f>IF(R1050&gt;0,RANK(R1050,(N1050:P1050,Q1050:AE1050)),0)</f>
        <v>5</v>
      </c>
      <c r="AY1050" s="5">
        <f>IF(T1050&gt;0,RANK(T1050,(N1050:P1050,Q1050:AE1050)),0)</f>
        <v>6</v>
      </c>
      <c r="AZ1050" s="5">
        <f>IF(S1050&gt;0,RANK(S1050,(N1050:P1050,Q1050:AE1050)),0)</f>
        <v>0</v>
      </c>
      <c r="BA1050" s="2">
        <f t="shared" si="447"/>
        <v>2.4249535543170039E-2</v>
      </c>
      <c r="BB1050" s="2">
        <f t="shared" si="448"/>
        <v>8.1646621687689446E-3</v>
      </c>
      <c r="BC1050" s="2">
        <f t="shared" si="449"/>
        <v>5.3779211890094848E-4</v>
      </c>
      <c r="BD1050" s="2">
        <f t="shared" si="450"/>
        <v>0</v>
      </c>
      <c r="BF1050" t="s">
        <v>2284</v>
      </c>
      <c r="BG1050" t="s">
        <v>1009</v>
      </c>
      <c r="BJ1050" s="114">
        <v>21</v>
      </c>
      <c r="BK1050" s="116">
        <v>19</v>
      </c>
      <c r="BL1050" s="120">
        <f t="shared" si="426"/>
        <v>21019</v>
      </c>
      <c r="BN1050" s="5" t="s">
        <v>3154</v>
      </c>
      <c r="BZ1050" s="63">
        <f t="shared" si="451"/>
        <v>20454</v>
      </c>
      <c r="CD1050" s="63">
        <v>0</v>
      </c>
      <c r="CE1050" s="63">
        <v>0</v>
      </c>
      <c r="CF1050" s="63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0</v>
      </c>
      <c r="CN1050" s="8">
        <v>0</v>
      </c>
      <c r="CO1050" s="8">
        <v>0</v>
      </c>
      <c r="CP1050">
        <v>0</v>
      </c>
      <c r="CQ1050">
        <v>0</v>
      </c>
    </row>
    <row r="1051" spans="1:95" ht="13" hidden="1" customHeight="1" outlineLevel="1">
      <c r="A1051" t="s">
        <v>1956</v>
      </c>
      <c r="B1051" t="s">
        <v>1009</v>
      </c>
      <c r="C1051" s="1">
        <f t="shared" si="440"/>
        <v>12946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4</v>
      </c>
      <c r="G1051" s="132">
        <f t="shared" si="441"/>
        <v>3759</v>
      </c>
      <c r="H1051" s="137">
        <f t="shared" si="442"/>
        <v>0.29035995674339565</v>
      </c>
      <c r="I1051" s="2"/>
      <c r="J1051" s="2">
        <f t="shared" si="443"/>
        <v>0.33068129151861581</v>
      </c>
      <c r="K1051" s="2">
        <f t="shared" si="444"/>
        <v>0.62104124826201146</v>
      </c>
      <c r="L1051" s="2">
        <f t="shared" si="445"/>
        <v>1.3054225243318399E-2</v>
      </c>
      <c r="M1051" s="2">
        <f t="shared" si="446"/>
        <v>3.5223234976054341E-2</v>
      </c>
      <c r="N1051" s="63">
        <v>4281</v>
      </c>
      <c r="O1051" s="63">
        <v>8040</v>
      </c>
      <c r="P1051" s="63">
        <v>169</v>
      </c>
      <c r="Q1051" s="63">
        <v>365</v>
      </c>
      <c r="R1051" s="63">
        <v>73</v>
      </c>
      <c r="S1051" s="63">
        <v>3</v>
      </c>
      <c r="T1051" s="63">
        <v>10</v>
      </c>
      <c r="U1051" s="63"/>
      <c r="V1051" s="63"/>
      <c r="W1051" s="63">
        <f>IF(Copyright!B$11=1,IF(CA1051&gt;0,CA1051-SUM(S1051)-SUM(X1051:AI1051)-SUM(AJ1051:AT1051),SUM(CD1051:CQ1051)),SUM(CD1051:CQ1051))</f>
        <v>1</v>
      </c>
      <c r="X1051" s="63"/>
      <c r="Y1051" s="63">
        <v>2</v>
      </c>
      <c r="Z1051" s="63">
        <v>0</v>
      </c>
      <c r="AA1051" s="63"/>
      <c r="AB1051" s="63"/>
      <c r="AC1051" s="63"/>
      <c r="AD1051" s="63"/>
      <c r="AE1051" s="63">
        <v>0</v>
      </c>
      <c r="AF1051" s="63">
        <v>0</v>
      </c>
      <c r="AG1051" s="63">
        <v>0</v>
      </c>
      <c r="AH1051" s="63"/>
      <c r="AI1051" s="63"/>
      <c r="AJ1051" s="63"/>
      <c r="AK1051" s="63"/>
      <c r="AL1051" s="63"/>
      <c r="AM1051" s="63">
        <v>0</v>
      </c>
      <c r="AN1051" s="63">
        <v>2</v>
      </c>
      <c r="AO1051" s="63"/>
      <c r="AP1051" s="63"/>
      <c r="AQ1051" s="63">
        <v>0</v>
      </c>
      <c r="AR1051" s="63"/>
      <c r="AS1051" s="63"/>
      <c r="AT1051" s="63"/>
      <c r="AU1051" s="63"/>
      <c r="AW1051" s="5">
        <f>IF(Q1051&gt;0,RANK(Q1051,(N1051:P1051,Q1051:AE1051)),0)</f>
        <v>3</v>
      </c>
      <c r="AX1051" s="5">
        <f>IF(R1051&gt;0,RANK(R1051,(N1051:P1051,Q1051:AE1051)),0)</f>
        <v>5</v>
      </c>
      <c r="AY1051" s="5">
        <f>IF(T1051&gt;0,RANK(T1051,(N1051:P1051,Q1051:AE1051)),0)</f>
        <v>6</v>
      </c>
      <c r="AZ1051" s="5">
        <f>IF(S1051&gt;0,RANK(S1051,(N1051:P1051,Q1051:AE1051)),0)</f>
        <v>7</v>
      </c>
      <c r="BA1051" s="2">
        <f t="shared" si="447"/>
        <v>2.8194036768113703E-2</v>
      </c>
      <c r="BB1051" s="2">
        <f t="shared" si="448"/>
        <v>5.6388073536227405E-3</v>
      </c>
      <c r="BC1051" s="2">
        <f t="shared" si="449"/>
        <v>7.7243936350996452E-4</v>
      </c>
      <c r="BD1051" s="2">
        <f t="shared" si="450"/>
        <v>2.3173180905298934E-4</v>
      </c>
      <c r="BF1051" t="s">
        <v>1956</v>
      </c>
      <c r="BG1051" t="s">
        <v>1009</v>
      </c>
      <c r="BH1051">
        <v>2</v>
      </c>
      <c r="BJ1051" s="114">
        <v>21</v>
      </c>
      <c r="BK1051" s="116">
        <v>21</v>
      </c>
      <c r="BL1051" s="120">
        <f t="shared" si="426"/>
        <v>21021</v>
      </c>
      <c r="BN1051" s="5" t="s">
        <v>3154</v>
      </c>
      <c r="BZ1051" s="63">
        <f t="shared" si="451"/>
        <v>12946</v>
      </c>
      <c r="CD1051" s="63">
        <v>0</v>
      </c>
      <c r="CE1051" s="63">
        <v>0</v>
      </c>
      <c r="CF1051" s="63">
        <v>0</v>
      </c>
      <c r="CG1051" s="8">
        <v>1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>
        <v>0</v>
      </c>
      <c r="CQ1051">
        <v>0</v>
      </c>
    </row>
    <row r="1052" spans="1:95" ht="13" hidden="1" customHeight="1" outlineLevel="1">
      <c r="A1052" t="s">
        <v>2027</v>
      </c>
      <c r="B1052" t="s">
        <v>1009</v>
      </c>
      <c r="C1052" s="1">
        <f t="shared" si="440"/>
        <v>3527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4</v>
      </c>
      <c r="G1052" s="132">
        <f t="shared" si="441"/>
        <v>2006</v>
      </c>
      <c r="H1052" s="137">
        <f t="shared" si="442"/>
        <v>0.5687553161326907</v>
      </c>
      <c r="I1052" s="2"/>
      <c r="J1052" s="2">
        <f t="shared" si="443"/>
        <v>0.19988658916926566</v>
      </c>
      <c r="K1052" s="2">
        <f t="shared" si="444"/>
        <v>0.76864190530195631</v>
      </c>
      <c r="L1052" s="2">
        <f t="shared" si="445"/>
        <v>9.9234476892543239E-3</v>
      </c>
      <c r="M1052" s="2">
        <f t="shared" si="446"/>
        <v>2.1548057839523765E-2</v>
      </c>
      <c r="N1052" s="63">
        <v>705</v>
      </c>
      <c r="O1052" s="63">
        <v>2711</v>
      </c>
      <c r="P1052" s="63">
        <v>35</v>
      </c>
      <c r="Q1052" s="63">
        <v>51</v>
      </c>
      <c r="R1052" s="63">
        <v>20</v>
      </c>
      <c r="S1052" s="63">
        <v>0</v>
      </c>
      <c r="T1052" s="63">
        <v>5</v>
      </c>
      <c r="U1052" s="63"/>
      <c r="V1052" s="63"/>
      <c r="W1052" s="63">
        <f>IF(Copyright!B$11=1,IF(CA1052&gt;0,CA1052-SUM(S1052)-SUM(X1052:AI1052)-SUM(AJ1052:AT1052),SUM(CD1052:CQ1052)),SUM(CD1052:CQ1052))</f>
        <v>0</v>
      </c>
      <c r="X1052" s="63"/>
      <c r="Y1052" s="63">
        <v>0</v>
      </c>
      <c r="Z1052" s="63">
        <v>0</v>
      </c>
      <c r="AA1052" s="63"/>
      <c r="AB1052" s="63"/>
      <c r="AC1052" s="63"/>
      <c r="AD1052" s="63"/>
      <c r="AE1052" s="63">
        <v>0</v>
      </c>
      <c r="AF1052" s="63">
        <v>0</v>
      </c>
      <c r="AG1052" s="63">
        <v>0</v>
      </c>
      <c r="AH1052" s="63"/>
      <c r="AI1052" s="63"/>
      <c r="AJ1052" s="63"/>
      <c r="AK1052" s="63"/>
      <c r="AL1052" s="63"/>
      <c r="AM1052" s="63">
        <v>0</v>
      </c>
      <c r="AN1052" s="63">
        <v>0</v>
      </c>
      <c r="AO1052" s="63"/>
      <c r="AP1052" s="63"/>
      <c r="AQ1052" s="63">
        <v>0</v>
      </c>
      <c r="AR1052" s="63"/>
      <c r="AS1052" s="63"/>
      <c r="AT1052" s="63"/>
      <c r="AU1052" s="63"/>
      <c r="AW1052" s="5">
        <f>IF(Q1052&gt;0,RANK(Q1052,(N1052:P1052,Q1052:AE1052)),0)</f>
        <v>3</v>
      </c>
      <c r="AX1052" s="5">
        <f>IF(R1052&gt;0,RANK(R1052,(N1052:P1052,Q1052:AE1052)),0)</f>
        <v>5</v>
      </c>
      <c r="AY1052" s="5">
        <f>IF(T1052&gt;0,RANK(T1052,(N1052:P1052,Q1052:AE1052)),0)</f>
        <v>6</v>
      </c>
      <c r="AZ1052" s="5">
        <f>IF(S1052&gt;0,RANK(S1052,(N1052:P1052,Q1052:AE1052)),0)</f>
        <v>0</v>
      </c>
      <c r="BA1052" s="2">
        <f t="shared" si="447"/>
        <v>1.4459880918627729E-2</v>
      </c>
      <c r="BB1052" s="2">
        <f t="shared" si="448"/>
        <v>5.6705415367167564E-3</v>
      </c>
      <c r="BC1052" s="2">
        <f t="shared" si="449"/>
        <v>1.4176353841791891E-3</v>
      </c>
      <c r="BD1052" s="2">
        <f t="shared" si="450"/>
        <v>0</v>
      </c>
      <c r="BF1052" t="s">
        <v>2027</v>
      </c>
      <c r="BG1052" t="s">
        <v>1009</v>
      </c>
      <c r="BH1052">
        <v>4</v>
      </c>
      <c r="BJ1052" s="114">
        <v>21</v>
      </c>
      <c r="BK1052" s="116">
        <v>23</v>
      </c>
      <c r="BL1052" s="120">
        <f t="shared" si="426"/>
        <v>21023</v>
      </c>
      <c r="BN1052" s="5" t="s">
        <v>3154</v>
      </c>
      <c r="BZ1052" s="63">
        <f t="shared" si="451"/>
        <v>3527</v>
      </c>
      <c r="CD1052" s="63">
        <v>0</v>
      </c>
      <c r="CE1052" s="63">
        <v>0</v>
      </c>
      <c r="CF1052" s="63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0</v>
      </c>
      <c r="CN1052" s="8">
        <v>0</v>
      </c>
      <c r="CO1052" s="8">
        <v>0</v>
      </c>
      <c r="CP1052">
        <v>0</v>
      </c>
      <c r="CQ1052">
        <v>0</v>
      </c>
    </row>
    <row r="1053" spans="1:95" ht="13" hidden="1" customHeight="1" outlineLevel="1">
      <c r="A1053" t="s">
        <v>2322</v>
      </c>
      <c r="B1053" t="s">
        <v>1009</v>
      </c>
      <c r="C1053" s="1">
        <f t="shared" si="440"/>
        <v>5738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4</v>
      </c>
      <c r="G1053" s="132">
        <f t="shared" si="441"/>
        <v>2454</v>
      </c>
      <c r="H1053" s="137">
        <f t="shared" si="442"/>
        <v>0.42767514813523877</v>
      </c>
      <c r="I1053" s="2"/>
      <c r="J1053" s="2">
        <f t="shared" si="443"/>
        <v>0.26786336702683861</v>
      </c>
      <c r="K1053" s="2">
        <f t="shared" si="444"/>
        <v>0.69553851516207743</v>
      </c>
      <c r="L1053" s="2">
        <f t="shared" si="445"/>
        <v>8.3652840711049142E-3</v>
      </c>
      <c r="M1053" s="2">
        <f t="shared" si="446"/>
        <v>2.8232833739978994E-2</v>
      </c>
      <c r="N1053" s="63">
        <v>1537</v>
      </c>
      <c r="O1053" s="63">
        <v>3991</v>
      </c>
      <c r="P1053" s="63">
        <v>48</v>
      </c>
      <c r="Q1053" s="63">
        <v>117</v>
      </c>
      <c r="R1053" s="63">
        <v>35</v>
      </c>
      <c r="S1053" s="63">
        <v>2</v>
      </c>
      <c r="T1053" s="63">
        <v>7</v>
      </c>
      <c r="U1053" s="63"/>
      <c r="V1053" s="63"/>
      <c r="W1053" s="63">
        <f>IF(Copyright!B$11=1,IF(CA1053&gt;0,CA1053-SUM(S1053)-SUM(X1053:AI1053)-SUM(AJ1053:AT1053),SUM(CD1053:CQ1053)),SUM(CD1053:CQ1053))</f>
        <v>0</v>
      </c>
      <c r="X1053" s="63"/>
      <c r="Y1053" s="63">
        <v>1</v>
      </c>
      <c r="Z1053" s="63">
        <v>0</v>
      </c>
      <c r="AA1053" s="63"/>
      <c r="AB1053" s="63"/>
      <c r="AC1053" s="63"/>
      <c r="AD1053" s="63"/>
      <c r="AE1053" s="63">
        <v>0</v>
      </c>
      <c r="AF1053" s="63">
        <v>0</v>
      </c>
      <c r="AG1053" s="63">
        <v>0</v>
      </c>
      <c r="AH1053" s="63"/>
      <c r="AI1053" s="63"/>
      <c r="AJ1053" s="63"/>
      <c r="AK1053" s="63"/>
      <c r="AL1053" s="63"/>
      <c r="AM1053" s="63">
        <v>0</v>
      </c>
      <c r="AN1053" s="63">
        <v>0</v>
      </c>
      <c r="AO1053" s="63"/>
      <c r="AP1053" s="63"/>
      <c r="AQ1053" s="63">
        <v>0</v>
      </c>
      <c r="AR1053" s="63"/>
      <c r="AS1053" s="63"/>
      <c r="AT1053" s="63"/>
      <c r="AU1053" s="63"/>
      <c r="AW1053" s="5">
        <f>IF(Q1053&gt;0,RANK(Q1053,(N1053:P1053,Q1053:AE1053)),0)</f>
        <v>3</v>
      </c>
      <c r="AX1053" s="5">
        <f>IF(R1053&gt;0,RANK(R1053,(N1053:P1053,Q1053:AE1053)),0)</f>
        <v>5</v>
      </c>
      <c r="AY1053" s="5">
        <f>IF(T1053&gt;0,RANK(T1053,(N1053:P1053,Q1053:AE1053)),0)</f>
        <v>6</v>
      </c>
      <c r="AZ1053" s="5">
        <f>IF(S1053&gt;0,RANK(S1053,(N1053:P1053,Q1053:AE1053)),0)</f>
        <v>7</v>
      </c>
      <c r="BA1053" s="2">
        <f t="shared" si="447"/>
        <v>2.0390379923318231E-2</v>
      </c>
      <c r="BB1053" s="2">
        <f t="shared" si="448"/>
        <v>6.0996863018473336E-3</v>
      </c>
      <c r="BC1053" s="2">
        <f t="shared" si="449"/>
        <v>1.2199372603694668E-3</v>
      </c>
      <c r="BD1053" s="2">
        <f t="shared" si="450"/>
        <v>3.4855350296270478E-4</v>
      </c>
      <c r="BF1053" t="s">
        <v>2322</v>
      </c>
      <c r="BG1053" t="s">
        <v>1009</v>
      </c>
      <c r="BH1053">
        <v>5</v>
      </c>
      <c r="BJ1053" s="114">
        <v>21</v>
      </c>
      <c r="BK1053" s="116">
        <v>25</v>
      </c>
      <c r="BL1053" s="120">
        <f t="shared" si="426"/>
        <v>21025</v>
      </c>
      <c r="BN1053" s="5" t="s">
        <v>3154</v>
      </c>
      <c r="BZ1053" s="63">
        <f t="shared" si="451"/>
        <v>5738</v>
      </c>
      <c r="CD1053" s="63">
        <v>0</v>
      </c>
      <c r="CE1053" s="63">
        <v>0</v>
      </c>
      <c r="CF1053" s="63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>
        <v>0</v>
      </c>
      <c r="CQ1053">
        <v>0</v>
      </c>
    </row>
    <row r="1054" spans="1:95" ht="13" hidden="1" customHeight="1" outlineLevel="1">
      <c r="A1054" t="s">
        <v>368</v>
      </c>
      <c r="B1054" t="s">
        <v>1009</v>
      </c>
      <c r="C1054" s="1">
        <f t="shared" si="440"/>
        <v>8774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4</v>
      </c>
      <c r="G1054" s="132">
        <f t="shared" si="441"/>
        <v>4524</v>
      </c>
      <c r="H1054" s="137">
        <f t="shared" si="442"/>
        <v>0.51561431502165489</v>
      </c>
      <c r="I1054" s="2"/>
      <c r="J1054" s="2">
        <f t="shared" si="443"/>
        <v>0.22338728060177798</v>
      </c>
      <c r="K1054" s="2">
        <f t="shared" si="444"/>
        <v>0.73900159562343282</v>
      </c>
      <c r="L1054" s="2">
        <f t="shared" si="445"/>
        <v>9.1178481878276731E-3</v>
      </c>
      <c r="M1054" s="2">
        <f t="shared" si="446"/>
        <v>2.8493275586961471E-2</v>
      </c>
      <c r="N1054" s="63">
        <v>1960</v>
      </c>
      <c r="O1054" s="63">
        <v>6484</v>
      </c>
      <c r="P1054" s="63">
        <v>80</v>
      </c>
      <c r="Q1054" s="63">
        <v>194</v>
      </c>
      <c r="R1054" s="63">
        <v>47</v>
      </c>
      <c r="S1054" s="63">
        <v>3</v>
      </c>
      <c r="T1054" s="63">
        <v>6</v>
      </c>
      <c r="U1054" s="63"/>
      <c r="V1054" s="63"/>
      <c r="W1054" s="63">
        <f>IF(Copyright!B$11=1,IF(CA1054&gt;0,CA1054-SUM(S1054)-SUM(X1054:AI1054)-SUM(AJ1054:AT1054),SUM(CD1054:CQ1054)),SUM(CD1054:CQ1054))</f>
        <v>0</v>
      </c>
      <c r="X1054" s="63"/>
      <c r="Y1054" s="63">
        <v>0</v>
      </c>
      <c r="Z1054" s="63">
        <v>0</v>
      </c>
      <c r="AA1054" s="63"/>
      <c r="AB1054" s="63"/>
      <c r="AC1054" s="63"/>
      <c r="AD1054" s="63"/>
      <c r="AE1054" s="63">
        <v>0</v>
      </c>
      <c r="AF1054" s="63">
        <v>0</v>
      </c>
      <c r="AG1054" s="63">
        <v>0</v>
      </c>
      <c r="AH1054" s="63"/>
      <c r="AI1054" s="63"/>
      <c r="AJ1054" s="63"/>
      <c r="AK1054" s="63"/>
      <c r="AL1054" s="63"/>
      <c r="AM1054" s="63">
        <v>0</v>
      </c>
      <c r="AN1054" s="63">
        <v>0</v>
      </c>
      <c r="AO1054" s="63"/>
      <c r="AP1054" s="63"/>
      <c r="AQ1054" s="63">
        <v>0</v>
      </c>
      <c r="AR1054" s="63"/>
      <c r="AS1054" s="63"/>
      <c r="AT1054" s="63"/>
      <c r="AU1054" s="63"/>
      <c r="AW1054" s="5">
        <f>IF(Q1054&gt;0,RANK(Q1054,(N1054:P1054,Q1054:AE1054)),0)</f>
        <v>3</v>
      </c>
      <c r="AX1054" s="5">
        <f>IF(R1054&gt;0,RANK(R1054,(N1054:P1054,Q1054:AE1054)),0)</f>
        <v>5</v>
      </c>
      <c r="AY1054" s="5">
        <f>IF(T1054&gt;0,RANK(T1054,(N1054:P1054,Q1054:AE1054)),0)</f>
        <v>6</v>
      </c>
      <c r="AZ1054" s="5">
        <f>IF(S1054&gt;0,RANK(S1054,(N1054:P1054,Q1054:AE1054)),0)</f>
        <v>7</v>
      </c>
      <c r="BA1054" s="2">
        <f t="shared" si="447"/>
        <v>2.2110781855482105E-2</v>
      </c>
      <c r="BB1054" s="2">
        <f t="shared" si="448"/>
        <v>5.3567358103487573E-3</v>
      </c>
      <c r="BC1054" s="2">
        <f t="shared" si="449"/>
        <v>6.8383861408707544E-4</v>
      </c>
      <c r="BD1054" s="2">
        <f t="shared" si="450"/>
        <v>3.4191930704353772E-4</v>
      </c>
      <c r="BF1054" t="s">
        <v>368</v>
      </c>
      <c r="BG1054" t="s">
        <v>1009</v>
      </c>
      <c r="BH1054">
        <v>2</v>
      </c>
      <c r="BJ1054" s="114">
        <v>21</v>
      </c>
      <c r="BK1054" s="116">
        <v>27</v>
      </c>
      <c r="BL1054" s="120">
        <f t="shared" si="426"/>
        <v>21027</v>
      </c>
      <c r="BN1054" s="5" t="s">
        <v>3154</v>
      </c>
      <c r="BZ1054" s="63">
        <f t="shared" si="451"/>
        <v>8774</v>
      </c>
      <c r="CD1054" s="63">
        <v>0</v>
      </c>
      <c r="CE1054" s="63">
        <v>0</v>
      </c>
      <c r="CF1054" s="63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>
        <v>0</v>
      </c>
      <c r="CQ1054">
        <v>0</v>
      </c>
    </row>
    <row r="1055" spans="1:95" ht="13" hidden="1" customHeight="1" outlineLevel="1">
      <c r="A1055" t="s">
        <v>2499</v>
      </c>
      <c r="B1055" t="s">
        <v>1009</v>
      </c>
      <c r="C1055" s="1">
        <f t="shared" si="440"/>
        <v>36069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4</v>
      </c>
      <c r="G1055" s="132">
        <f t="shared" si="441"/>
        <v>17955</v>
      </c>
      <c r="H1055" s="137">
        <f t="shared" si="442"/>
        <v>0.49779589120851703</v>
      </c>
      <c r="I1055" s="2"/>
      <c r="J1055" s="2">
        <f t="shared" si="443"/>
        <v>0.22886689400870552</v>
      </c>
      <c r="K1055" s="2">
        <f t="shared" si="444"/>
        <v>0.7266627852172225</v>
      </c>
      <c r="L1055" s="2">
        <f t="shared" si="445"/>
        <v>9.8145221658487904E-3</v>
      </c>
      <c r="M1055" s="2">
        <f t="shared" si="446"/>
        <v>3.4655798608223189E-2</v>
      </c>
      <c r="N1055" s="63">
        <v>8255</v>
      </c>
      <c r="O1055" s="63">
        <v>26210</v>
      </c>
      <c r="P1055" s="63">
        <v>354</v>
      </c>
      <c r="Q1055" s="63">
        <v>964</v>
      </c>
      <c r="R1055" s="63">
        <v>253</v>
      </c>
      <c r="S1055" s="63">
        <v>10</v>
      </c>
      <c r="T1055" s="63">
        <v>18</v>
      </c>
      <c r="U1055" s="63"/>
      <c r="V1055" s="63"/>
      <c r="W1055" s="63">
        <f>IF(Copyright!B$11=1,IF(CA1055&gt;0,CA1055-SUM(S1055)-SUM(X1055:AI1055)-SUM(AJ1055:AT1055),SUM(CD1055:CQ1055)),SUM(CD1055:CQ1055))</f>
        <v>1</v>
      </c>
      <c r="X1055" s="63"/>
      <c r="Y1055" s="63">
        <v>0</v>
      </c>
      <c r="Z1055" s="63">
        <v>0</v>
      </c>
      <c r="AA1055" s="63"/>
      <c r="AB1055" s="63"/>
      <c r="AC1055" s="63"/>
      <c r="AD1055" s="63"/>
      <c r="AE1055" s="63">
        <v>0</v>
      </c>
      <c r="AF1055" s="63">
        <v>0</v>
      </c>
      <c r="AG1055" s="63">
        <v>2</v>
      </c>
      <c r="AH1055" s="63"/>
      <c r="AI1055" s="63"/>
      <c r="AJ1055" s="63"/>
      <c r="AK1055" s="63"/>
      <c r="AL1055" s="63"/>
      <c r="AM1055" s="63">
        <v>0</v>
      </c>
      <c r="AN1055" s="63">
        <v>2</v>
      </c>
      <c r="AO1055" s="63"/>
      <c r="AP1055" s="63"/>
      <c r="AQ1055" s="63">
        <v>0</v>
      </c>
      <c r="AR1055" s="63"/>
      <c r="AS1055" s="63"/>
      <c r="AT1055" s="63"/>
      <c r="AU1055" s="63"/>
      <c r="AW1055" s="5">
        <f>IF(Q1055&gt;0,RANK(Q1055,(N1055:P1055,Q1055:AE1055)),0)</f>
        <v>3</v>
      </c>
      <c r="AX1055" s="5">
        <f>IF(R1055&gt;0,RANK(R1055,(N1055:P1055,Q1055:AE1055)),0)</f>
        <v>5</v>
      </c>
      <c r="AY1055" s="5">
        <f>IF(T1055&gt;0,RANK(T1055,(N1055:P1055,Q1055:AE1055)),0)</f>
        <v>6</v>
      </c>
      <c r="AZ1055" s="5">
        <f>IF(S1055&gt;0,RANK(S1055,(N1055:P1055,Q1055:AE1055)),0)</f>
        <v>7</v>
      </c>
      <c r="BA1055" s="2">
        <f t="shared" si="447"/>
        <v>2.6726551886661676E-2</v>
      </c>
      <c r="BB1055" s="2">
        <f t="shared" si="448"/>
        <v>7.014333638304361E-3</v>
      </c>
      <c r="BC1055" s="2">
        <f t="shared" si="449"/>
        <v>4.9904349995841301E-4</v>
      </c>
      <c r="BD1055" s="2">
        <f t="shared" si="450"/>
        <v>2.7724638886578504E-4</v>
      </c>
      <c r="BF1055" t="s">
        <v>2499</v>
      </c>
      <c r="BG1055" t="s">
        <v>1009</v>
      </c>
      <c r="BH1055">
        <v>2</v>
      </c>
      <c r="BJ1055" s="114">
        <v>21</v>
      </c>
      <c r="BK1055" s="116">
        <v>29</v>
      </c>
      <c r="BL1055" s="120">
        <f t="shared" si="426"/>
        <v>21029</v>
      </c>
      <c r="BN1055" s="5" t="s">
        <v>3154</v>
      </c>
      <c r="BZ1055" s="63">
        <f t="shared" si="451"/>
        <v>36069</v>
      </c>
      <c r="CD1055" s="63">
        <v>0</v>
      </c>
      <c r="CE1055" s="63">
        <v>0</v>
      </c>
      <c r="CF1055" s="63">
        <v>0</v>
      </c>
      <c r="CG1055" s="8">
        <v>0</v>
      </c>
      <c r="CH1055" s="8">
        <v>0</v>
      </c>
      <c r="CI1055" s="8">
        <v>1</v>
      </c>
      <c r="CJ1055" s="8">
        <v>0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>
        <v>0</v>
      </c>
      <c r="CQ1055">
        <v>0</v>
      </c>
    </row>
    <row r="1056" spans="1:95" ht="13" hidden="1" customHeight="1" outlineLevel="1">
      <c r="A1056" t="s">
        <v>1806</v>
      </c>
      <c r="B1056" t="s">
        <v>1009</v>
      </c>
      <c r="C1056" s="1">
        <f t="shared" si="440"/>
        <v>5576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4</v>
      </c>
      <c r="G1056" s="132">
        <f t="shared" si="441"/>
        <v>3481</v>
      </c>
      <c r="H1056" s="137">
        <f t="shared" si="442"/>
        <v>0.62428263988522237</v>
      </c>
      <c r="I1056" s="2"/>
      <c r="J1056" s="2">
        <f t="shared" si="443"/>
        <v>0.16983500717360114</v>
      </c>
      <c r="K1056" s="2">
        <f t="shared" si="444"/>
        <v>0.79411764705882348</v>
      </c>
      <c r="L1056" s="2">
        <f t="shared" si="445"/>
        <v>9.5050215208034427E-3</v>
      </c>
      <c r="M1056" s="2">
        <f t="shared" si="446"/>
        <v>2.6542324246771956E-2</v>
      </c>
      <c r="N1056" s="63">
        <v>947</v>
      </c>
      <c r="O1056" s="63">
        <v>4428</v>
      </c>
      <c r="P1056" s="63">
        <v>53</v>
      </c>
      <c r="Q1056" s="63">
        <v>136</v>
      </c>
      <c r="R1056" s="63">
        <v>11</v>
      </c>
      <c r="S1056" s="63">
        <v>0</v>
      </c>
      <c r="T1056" s="63">
        <v>1</v>
      </c>
      <c r="U1056" s="63"/>
      <c r="V1056" s="63"/>
      <c r="W1056" s="63">
        <f>IF(Copyright!B$11=1,IF(CA1056&gt;0,CA1056-SUM(S1056)-SUM(X1056:AI1056)-SUM(AJ1056:AT1056),SUM(CD1056:CQ1056)),SUM(CD1056:CQ1056))</f>
        <v>0</v>
      </c>
      <c r="X1056" s="63"/>
      <c r="Y1056" s="63">
        <v>0</v>
      </c>
      <c r="Z1056" s="63">
        <v>0</v>
      </c>
      <c r="AA1056" s="63"/>
      <c r="AB1056" s="63"/>
      <c r="AC1056" s="63"/>
      <c r="AD1056" s="63"/>
      <c r="AE1056" s="63">
        <v>0</v>
      </c>
      <c r="AF1056" s="63">
        <v>0</v>
      </c>
      <c r="AG1056" s="63">
        <v>0</v>
      </c>
      <c r="AH1056" s="63"/>
      <c r="AI1056" s="63"/>
      <c r="AJ1056" s="63"/>
      <c r="AK1056" s="63"/>
      <c r="AL1056" s="63"/>
      <c r="AM1056" s="63">
        <v>0</v>
      </c>
      <c r="AN1056" s="63">
        <v>0</v>
      </c>
      <c r="AO1056" s="63"/>
      <c r="AP1056" s="63"/>
      <c r="AQ1056" s="63">
        <v>0</v>
      </c>
      <c r="AR1056" s="63"/>
      <c r="AS1056" s="63"/>
      <c r="AT1056" s="63"/>
      <c r="AU1056" s="63"/>
      <c r="AW1056" s="5">
        <f>IF(Q1056&gt;0,RANK(Q1056,(N1056:P1056,Q1056:AE1056)),0)</f>
        <v>3</v>
      </c>
      <c r="AX1056" s="5">
        <f>IF(R1056&gt;0,RANK(R1056,(N1056:P1056,Q1056:AE1056)),0)</f>
        <v>5</v>
      </c>
      <c r="AY1056" s="5">
        <f>IF(T1056&gt;0,RANK(T1056,(N1056:P1056,Q1056:AE1056)),0)</f>
        <v>6</v>
      </c>
      <c r="AZ1056" s="5">
        <f>IF(S1056&gt;0,RANK(S1056,(N1056:P1056,Q1056:AE1056)),0)</f>
        <v>0</v>
      </c>
      <c r="BA1056" s="2">
        <f t="shared" si="447"/>
        <v>2.4390243902439025E-2</v>
      </c>
      <c r="BB1056" s="2">
        <f t="shared" si="448"/>
        <v>1.9727403156384504E-3</v>
      </c>
      <c r="BC1056" s="2">
        <f t="shared" si="449"/>
        <v>1.793400286944046E-4</v>
      </c>
      <c r="BD1056" s="2">
        <f t="shared" si="450"/>
        <v>0</v>
      </c>
      <c r="BF1056" t="s">
        <v>1806</v>
      </c>
      <c r="BG1056" t="s">
        <v>1009</v>
      </c>
      <c r="BH1056">
        <v>2</v>
      </c>
      <c r="BJ1056" s="114">
        <v>21</v>
      </c>
      <c r="BK1056" s="116">
        <v>31</v>
      </c>
      <c r="BL1056" s="120">
        <f t="shared" si="426"/>
        <v>21031</v>
      </c>
      <c r="BN1056" s="5" t="s">
        <v>3154</v>
      </c>
      <c r="BZ1056" s="63">
        <f t="shared" si="451"/>
        <v>5576</v>
      </c>
      <c r="CD1056" s="63">
        <v>0</v>
      </c>
      <c r="CE1056" s="63">
        <v>0</v>
      </c>
      <c r="CF1056" s="63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>
        <v>0</v>
      </c>
      <c r="CQ1056">
        <v>0</v>
      </c>
    </row>
    <row r="1057" spans="1:95" ht="13" hidden="1" customHeight="1" outlineLevel="1">
      <c r="A1057" t="s">
        <v>317</v>
      </c>
      <c r="B1057" t="s">
        <v>1009</v>
      </c>
      <c r="C1057" s="1">
        <f t="shared" si="440"/>
        <v>5975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4</v>
      </c>
      <c r="G1057" s="132">
        <f t="shared" si="441"/>
        <v>3247</v>
      </c>
      <c r="H1057" s="137">
        <f t="shared" si="442"/>
        <v>0.54343096234309618</v>
      </c>
      <c r="I1057" s="2"/>
      <c r="J1057" s="2">
        <f t="shared" si="443"/>
        <v>0.2108786610878661</v>
      </c>
      <c r="K1057" s="2">
        <f t="shared" si="444"/>
        <v>0.75430962343096231</v>
      </c>
      <c r="L1057" s="2">
        <f t="shared" si="445"/>
        <v>9.2050209205020925E-3</v>
      </c>
      <c r="M1057" s="2">
        <f t="shared" si="446"/>
        <v>2.5606694560669475E-2</v>
      </c>
      <c r="N1057" s="63">
        <v>1260</v>
      </c>
      <c r="O1057" s="63">
        <v>4507</v>
      </c>
      <c r="P1057" s="63">
        <v>55</v>
      </c>
      <c r="Q1057" s="63">
        <v>118</v>
      </c>
      <c r="R1057" s="63">
        <v>32</v>
      </c>
      <c r="S1057" s="63">
        <v>0</v>
      </c>
      <c r="T1057" s="63">
        <v>3</v>
      </c>
      <c r="U1057" s="63"/>
      <c r="V1057" s="63"/>
      <c r="W1057" s="63">
        <f>IF(Copyright!B$11=1,IF(CA1057&gt;0,CA1057-SUM(S1057)-SUM(X1057:AI1057)-SUM(AJ1057:AT1057),SUM(CD1057:CQ1057)),SUM(CD1057:CQ1057))</f>
        <v>0</v>
      </c>
      <c r="X1057" s="63"/>
      <c r="Y1057" s="63">
        <v>0</v>
      </c>
      <c r="Z1057" s="63">
        <v>0</v>
      </c>
      <c r="AA1057" s="63"/>
      <c r="AB1057" s="63"/>
      <c r="AC1057" s="63"/>
      <c r="AD1057" s="63"/>
      <c r="AE1057" s="63">
        <v>0</v>
      </c>
      <c r="AF1057" s="63">
        <v>0</v>
      </c>
      <c r="AG1057" s="63">
        <v>0</v>
      </c>
      <c r="AH1057" s="63"/>
      <c r="AI1057" s="63"/>
      <c r="AJ1057" s="63"/>
      <c r="AK1057" s="63"/>
      <c r="AL1057" s="63"/>
      <c r="AM1057" s="63">
        <v>0</v>
      </c>
      <c r="AN1057" s="63">
        <v>0</v>
      </c>
      <c r="AO1057" s="63"/>
      <c r="AP1057" s="63"/>
      <c r="AQ1057" s="63">
        <v>0</v>
      </c>
      <c r="AR1057" s="63"/>
      <c r="AS1057" s="63"/>
      <c r="AT1057" s="63"/>
      <c r="AU1057" s="63"/>
      <c r="AW1057" s="5">
        <f>IF(Q1057&gt;0,RANK(Q1057,(N1057:P1057,Q1057:AE1057)),0)</f>
        <v>3</v>
      </c>
      <c r="AX1057" s="5">
        <f>IF(R1057&gt;0,RANK(R1057,(N1057:P1057,Q1057:AE1057)),0)</f>
        <v>5</v>
      </c>
      <c r="AY1057" s="5">
        <f>IF(T1057&gt;0,RANK(T1057,(N1057:P1057,Q1057:AE1057)),0)</f>
        <v>6</v>
      </c>
      <c r="AZ1057" s="5">
        <f>IF(S1057&gt;0,RANK(S1057,(N1057:P1057,Q1057:AE1057)),0)</f>
        <v>0</v>
      </c>
      <c r="BA1057" s="2">
        <f t="shared" si="447"/>
        <v>1.9748953974895397E-2</v>
      </c>
      <c r="BB1057" s="2">
        <f t="shared" si="448"/>
        <v>5.3556485355648539E-3</v>
      </c>
      <c r="BC1057" s="2">
        <f t="shared" si="449"/>
        <v>5.0209205020920506E-4</v>
      </c>
      <c r="BD1057" s="2">
        <f t="shared" si="450"/>
        <v>0</v>
      </c>
      <c r="BF1057" t="s">
        <v>317</v>
      </c>
      <c r="BG1057" t="s">
        <v>1009</v>
      </c>
      <c r="BH1057">
        <v>1</v>
      </c>
      <c r="BJ1057" s="114">
        <v>21</v>
      </c>
      <c r="BK1057" s="116">
        <v>33</v>
      </c>
      <c r="BL1057" s="120">
        <f t="shared" si="426"/>
        <v>21033</v>
      </c>
      <c r="BN1057" s="5" t="s">
        <v>3154</v>
      </c>
      <c r="BZ1057" s="63">
        <f t="shared" si="451"/>
        <v>5975</v>
      </c>
      <c r="CD1057" s="63">
        <v>0</v>
      </c>
      <c r="CE1057" s="63">
        <v>0</v>
      </c>
      <c r="CF1057" s="63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>
        <v>0</v>
      </c>
      <c r="CQ1057">
        <v>0</v>
      </c>
    </row>
    <row r="1058" spans="1:95" ht="13" hidden="1" customHeight="1" outlineLevel="1">
      <c r="A1058" t="s">
        <v>205</v>
      </c>
      <c r="B1058" t="s">
        <v>1009</v>
      </c>
      <c r="C1058" s="1">
        <f t="shared" si="440"/>
        <v>16049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4</v>
      </c>
      <c r="G1058" s="132">
        <f t="shared" si="441"/>
        <v>5618</v>
      </c>
      <c r="H1058" s="137">
        <f t="shared" si="442"/>
        <v>0.35005296280142068</v>
      </c>
      <c r="I1058" s="2"/>
      <c r="J1058" s="2">
        <f t="shared" si="443"/>
        <v>0.29590628699607452</v>
      </c>
      <c r="K1058" s="2">
        <f t="shared" si="444"/>
        <v>0.64595924979749519</v>
      </c>
      <c r="L1058" s="2">
        <f t="shared" si="445"/>
        <v>1.7508879057885226E-2</v>
      </c>
      <c r="M1058" s="2">
        <f t="shared" si="446"/>
        <v>4.0625584148545113E-2</v>
      </c>
      <c r="N1058" s="63">
        <v>4749</v>
      </c>
      <c r="O1058" s="63">
        <v>10367</v>
      </c>
      <c r="P1058" s="63">
        <v>281</v>
      </c>
      <c r="Q1058" s="63">
        <v>492</v>
      </c>
      <c r="R1058" s="63">
        <v>150</v>
      </c>
      <c r="S1058" s="63">
        <v>4</v>
      </c>
      <c r="T1058" s="63">
        <v>6</v>
      </c>
      <c r="U1058" s="63"/>
      <c r="V1058" s="63"/>
      <c r="W1058" s="63">
        <f>IF(Copyright!B$11=1,IF(CA1058&gt;0,CA1058-SUM(S1058)-SUM(X1058:AI1058)-SUM(AJ1058:AT1058),SUM(CD1058:CQ1058)),SUM(CD1058:CQ1058))</f>
        <v>0</v>
      </c>
      <c r="X1058" s="63"/>
      <c r="Y1058" s="63">
        <v>0</v>
      </c>
      <c r="Z1058" s="63">
        <v>0</v>
      </c>
      <c r="AA1058" s="63"/>
      <c r="AB1058" s="63"/>
      <c r="AC1058" s="63"/>
      <c r="AD1058" s="63"/>
      <c r="AE1058" s="63">
        <v>0</v>
      </c>
      <c r="AF1058" s="63">
        <v>0</v>
      </c>
      <c r="AG1058" s="63">
        <v>0</v>
      </c>
      <c r="AH1058" s="63"/>
      <c r="AI1058" s="63"/>
      <c r="AJ1058" s="63"/>
      <c r="AK1058" s="63"/>
      <c r="AL1058" s="63"/>
      <c r="AM1058" s="63">
        <v>0</v>
      </c>
      <c r="AN1058" s="63">
        <v>0</v>
      </c>
      <c r="AO1058" s="63"/>
      <c r="AP1058" s="63"/>
      <c r="AQ1058" s="63">
        <v>0</v>
      </c>
      <c r="AR1058" s="63"/>
      <c r="AS1058" s="63"/>
      <c r="AT1058" s="63"/>
      <c r="AU1058" s="63"/>
      <c r="AW1058" s="5">
        <f>IF(Q1058&gt;0,RANK(Q1058,(N1058:P1058,Q1058:AE1058)),0)</f>
        <v>3</v>
      </c>
      <c r="AX1058" s="5">
        <f>IF(R1058&gt;0,RANK(R1058,(N1058:P1058,Q1058:AE1058)),0)</f>
        <v>5</v>
      </c>
      <c r="AY1058" s="5">
        <f>IF(T1058&gt;0,RANK(T1058,(N1058:P1058,Q1058:AE1058)),0)</f>
        <v>6</v>
      </c>
      <c r="AZ1058" s="5">
        <f>IF(S1058&gt;0,RANK(S1058,(N1058:P1058,Q1058:AE1058)),0)</f>
        <v>7</v>
      </c>
      <c r="BA1058" s="2">
        <f t="shared" si="447"/>
        <v>3.065611564583463E-2</v>
      </c>
      <c r="BB1058" s="2">
        <f t="shared" si="448"/>
        <v>9.346376721291046E-3</v>
      </c>
      <c r="BC1058" s="2">
        <f t="shared" si="449"/>
        <v>3.7385506885164187E-4</v>
      </c>
      <c r="BD1058" s="2">
        <f t="shared" si="450"/>
        <v>2.4923671256776121E-4</v>
      </c>
      <c r="BF1058" t="s">
        <v>205</v>
      </c>
      <c r="BG1058" t="s">
        <v>1009</v>
      </c>
      <c r="BH1058">
        <v>1</v>
      </c>
      <c r="BJ1058" s="114">
        <v>21</v>
      </c>
      <c r="BK1058" s="116">
        <v>35</v>
      </c>
      <c r="BL1058" s="120">
        <f t="shared" si="426"/>
        <v>21035</v>
      </c>
      <c r="BN1058" s="5" t="s">
        <v>3154</v>
      </c>
      <c r="BZ1058" s="63">
        <f t="shared" si="451"/>
        <v>16049</v>
      </c>
      <c r="CD1058" s="63">
        <v>0</v>
      </c>
      <c r="CE1058" s="63">
        <v>0</v>
      </c>
      <c r="CF1058" s="63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0</v>
      </c>
      <c r="CP1058">
        <v>0</v>
      </c>
      <c r="CQ1058">
        <v>0</v>
      </c>
    </row>
    <row r="1059" spans="1:95" ht="13" hidden="1" customHeight="1" outlineLevel="1">
      <c r="A1059" t="s">
        <v>206</v>
      </c>
      <c r="B1059" t="s">
        <v>1009</v>
      </c>
      <c r="C1059" s="1">
        <f t="shared" si="440"/>
        <v>42510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4</v>
      </c>
      <c r="G1059" s="132">
        <f t="shared" si="441"/>
        <v>10392</v>
      </c>
      <c r="H1059" s="137">
        <f t="shared" si="442"/>
        <v>0.24446012702893438</v>
      </c>
      <c r="I1059" s="2"/>
      <c r="J1059" s="2">
        <f t="shared" si="443"/>
        <v>0.34481298517995768</v>
      </c>
      <c r="K1059" s="2">
        <f t="shared" si="444"/>
        <v>0.589273112208892</v>
      </c>
      <c r="L1059" s="2">
        <f t="shared" si="445"/>
        <v>1.2985179957657023E-2</v>
      </c>
      <c r="M1059" s="2">
        <f t="shared" si="446"/>
        <v>5.2928722653493243E-2</v>
      </c>
      <c r="N1059" s="63">
        <v>14658</v>
      </c>
      <c r="O1059" s="63">
        <v>25050</v>
      </c>
      <c r="P1059" s="63">
        <v>552</v>
      </c>
      <c r="Q1059" s="63">
        <v>1789</v>
      </c>
      <c r="R1059" s="63">
        <v>422</v>
      </c>
      <c r="S1059" s="63">
        <v>14</v>
      </c>
      <c r="T1059" s="63">
        <v>18</v>
      </c>
      <c r="U1059" s="63"/>
      <c r="V1059" s="63"/>
      <c r="W1059" s="63">
        <f>IF(Copyright!B$11=1,IF(CA1059&gt;0,CA1059-SUM(S1059)-SUM(X1059:AI1059)-SUM(AJ1059:AT1059),SUM(CD1059:CQ1059)),SUM(CD1059:CQ1059))</f>
        <v>0</v>
      </c>
      <c r="X1059" s="63"/>
      <c r="Y1059" s="63">
        <v>0</v>
      </c>
      <c r="Z1059" s="63">
        <v>0</v>
      </c>
      <c r="AA1059" s="63"/>
      <c r="AB1059" s="63"/>
      <c r="AC1059" s="63"/>
      <c r="AD1059" s="63"/>
      <c r="AE1059" s="63">
        <v>1</v>
      </c>
      <c r="AF1059" s="63">
        <v>0</v>
      </c>
      <c r="AG1059" s="63">
        <v>0</v>
      </c>
      <c r="AH1059" s="63"/>
      <c r="AI1059" s="63"/>
      <c r="AJ1059" s="63"/>
      <c r="AK1059" s="63"/>
      <c r="AL1059" s="63"/>
      <c r="AM1059" s="63">
        <v>0</v>
      </c>
      <c r="AN1059" s="63">
        <v>6</v>
      </c>
      <c r="AO1059" s="63"/>
      <c r="AP1059" s="63"/>
      <c r="AQ1059" s="63">
        <v>0</v>
      </c>
      <c r="AR1059" s="63"/>
      <c r="AS1059" s="63"/>
      <c r="AT1059" s="63"/>
      <c r="AU1059" s="63"/>
      <c r="AW1059" s="5">
        <f>IF(Q1059&gt;0,RANK(Q1059,(N1059:P1059,Q1059:AE1059)),0)</f>
        <v>3</v>
      </c>
      <c r="AX1059" s="5">
        <f>IF(R1059&gt;0,RANK(R1059,(N1059:P1059,Q1059:AE1059)),0)</f>
        <v>5</v>
      </c>
      <c r="AY1059" s="5">
        <f>IF(T1059&gt;0,RANK(T1059,(N1059:P1059,Q1059:AE1059)),0)</f>
        <v>6</v>
      </c>
      <c r="AZ1059" s="5">
        <f>IF(S1059&gt;0,RANK(S1059,(N1059:P1059,Q1059:AE1059)),0)</f>
        <v>7</v>
      </c>
      <c r="BA1059" s="2">
        <f t="shared" si="447"/>
        <v>4.2084215478710892E-2</v>
      </c>
      <c r="BB1059" s="2">
        <f t="shared" si="448"/>
        <v>9.9270759821218531E-3</v>
      </c>
      <c r="BC1059" s="2">
        <f t="shared" si="449"/>
        <v>4.2342978122794639E-4</v>
      </c>
      <c r="BD1059" s="2">
        <f t="shared" si="450"/>
        <v>3.2933427428840273E-4</v>
      </c>
      <c r="BF1059" t="s">
        <v>206</v>
      </c>
      <c r="BG1059" t="s">
        <v>1009</v>
      </c>
      <c r="BH1059">
        <v>4</v>
      </c>
      <c r="BJ1059" s="114">
        <v>21</v>
      </c>
      <c r="BK1059" s="116">
        <v>37</v>
      </c>
      <c r="BL1059" s="120">
        <f t="shared" si="426"/>
        <v>21037</v>
      </c>
      <c r="BN1059" s="5" t="s">
        <v>3154</v>
      </c>
      <c r="BZ1059" s="63">
        <f t="shared" si="451"/>
        <v>42510</v>
      </c>
      <c r="CD1059" s="63">
        <v>0</v>
      </c>
      <c r="CE1059" s="63">
        <v>0</v>
      </c>
      <c r="CF1059" s="63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>
        <v>0</v>
      </c>
      <c r="CQ1059">
        <v>0</v>
      </c>
    </row>
    <row r="1060" spans="1:95" ht="13" hidden="1" customHeight="1" outlineLevel="1">
      <c r="A1060" t="s">
        <v>507</v>
      </c>
      <c r="B1060" t="s">
        <v>1009</v>
      </c>
      <c r="C1060" s="1">
        <f t="shared" si="440"/>
        <v>2601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4</v>
      </c>
      <c r="G1060" s="132">
        <f t="shared" si="441"/>
        <v>1662</v>
      </c>
      <c r="H1060" s="137">
        <f t="shared" si="442"/>
        <v>0.63898500576701267</v>
      </c>
      <c r="I1060" s="2"/>
      <c r="J1060" s="2">
        <f t="shared" si="443"/>
        <v>0.16608996539792387</v>
      </c>
      <c r="K1060" s="2">
        <f t="shared" si="444"/>
        <v>0.80507497116493654</v>
      </c>
      <c r="L1060" s="2">
        <f t="shared" si="445"/>
        <v>7.3048827374086892E-3</v>
      </c>
      <c r="M1060" s="2">
        <f t="shared" si="446"/>
        <v>2.1530180699730908E-2</v>
      </c>
      <c r="N1060" s="63">
        <v>432</v>
      </c>
      <c r="O1060" s="63">
        <v>2094</v>
      </c>
      <c r="P1060" s="63">
        <v>19</v>
      </c>
      <c r="Q1060" s="63">
        <v>42</v>
      </c>
      <c r="R1060" s="63">
        <v>12</v>
      </c>
      <c r="S1060" s="63">
        <v>0</v>
      </c>
      <c r="T1060" s="63">
        <v>2</v>
      </c>
      <c r="U1060" s="63"/>
      <c r="V1060" s="63"/>
      <c r="W1060" s="63">
        <f>IF(Copyright!B$11=1,IF(CA1060&gt;0,CA1060-SUM(S1060)-SUM(X1060:AI1060)-SUM(AJ1060:AT1060),SUM(CD1060:CQ1060)),SUM(CD1060:CQ1060))</f>
        <v>0</v>
      </c>
      <c r="X1060" s="63"/>
      <c r="Y1060" s="63">
        <v>0</v>
      </c>
      <c r="Z1060" s="63">
        <v>0</v>
      </c>
      <c r="AA1060" s="63"/>
      <c r="AB1060" s="63"/>
      <c r="AC1060" s="63"/>
      <c r="AD1060" s="63"/>
      <c r="AE1060" s="63">
        <v>0</v>
      </c>
      <c r="AF1060" s="63">
        <v>0</v>
      </c>
      <c r="AG1060" s="63">
        <v>0</v>
      </c>
      <c r="AH1060" s="63"/>
      <c r="AI1060" s="63"/>
      <c r="AJ1060" s="63"/>
      <c r="AK1060" s="63"/>
      <c r="AL1060" s="63"/>
      <c r="AM1060" s="63">
        <v>0</v>
      </c>
      <c r="AN1060" s="63">
        <v>0</v>
      </c>
      <c r="AO1060" s="63"/>
      <c r="AP1060" s="63"/>
      <c r="AQ1060" s="63">
        <v>0</v>
      </c>
      <c r="AR1060" s="63"/>
      <c r="AS1060" s="63"/>
      <c r="AT1060" s="63"/>
      <c r="AU1060" s="63"/>
      <c r="AW1060" s="5">
        <f>IF(Q1060&gt;0,RANK(Q1060,(N1060:P1060,Q1060:AE1060)),0)</f>
        <v>3</v>
      </c>
      <c r="AX1060" s="5">
        <f>IF(R1060&gt;0,RANK(R1060,(N1060:P1060,Q1060:AE1060)),0)</f>
        <v>5</v>
      </c>
      <c r="AY1060" s="5">
        <f>IF(T1060&gt;0,RANK(T1060,(N1060:P1060,Q1060:AE1060)),0)</f>
        <v>6</v>
      </c>
      <c r="AZ1060" s="5">
        <f>IF(S1060&gt;0,RANK(S1060,(N1060:P1060,Q1060:AE1060)),0)</f>
        <v>0</v>
      </c>
      <c r="BA1060" s="2">
        <f t="shared" si="447"/>
        <v>1.6147635524798153E-2</v>
      </c>
      <c r="BB1060" s="2">
        <f t="shared" si="448"/>
        <v>4.61361014994233E-3</v>
      </c>
      <c r="BC1060" s="2">
        <f t="shared" si="449"/>
        <v>7.6893502499038834E-4</v>
      </c>
      <c r="BD1060" s="2">
        <f t="shared" si="450"/>
        <v>0</v>
      </c>
      <c r="BF1060" t="s">
        <v>507</v>
      </c>
      <c r="BG1060" t="s">
        <v>1009</v>
      </c>
      <c r="BH1060">
        <v>1</v>
      </c>
      <c r="BJ1060" s="114">
        <v>21</v>
      </c>
      <c r="BK1060" s="116">
        <v>39</v>
      </c>
      <c r="BL1060" s="120">
        <f t="shared" si="426"/>
        <v>21039</v>
      </c>
      <c r="BN1060" s="5" t="s">
        <v>3154</v>
      </c>
      <c r="BZ1060" s="63">
        <f t="shared" si="451"/>
        <v>2601</v>
      </c>
      <c r="CD1060" s="63">
        <v>0</v>
      </c>
      <c r="CE1060" s="63">
        <v>0</v>
      </c>
      <c r="CF1060" s="63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>
        <v>0</v>
      </c>
      <c r="CQ1060">
        <v>0</v>
      </c>
    </row>
    <row r="1061" spans="1:95" ht="13" hidden="1" customHeight="1" outlineLevel="1">
      <c r="A1061" t="s">
        <v>1675</v>
      </c>
      <c r="B1061" t="s">
        <v>1009</v>
      </c>
      <c r="C1061" s="1">
        <f t="shared" si="440"/>
        <v>3855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4</v>
      </c>
      <c r="G1061" s="132">
        <f t="shared" si="441"/>
        <v>1482</v>
      </c>
      <c r="H1061" s="137">
        <f t="shared" si="442"/>
        <v>0.38443579766536967</v>
      </c>
      <c r="I1061" s="2"/>
      <c r="J1061" s="2">
        <f t="shared" si="443"/>
        <v>0.2869001297016861</v>
      </c>
      <c r="K1061" s="2">
        <f t="shared" si="444"/>
        <v>0.67133592736705572</v>
      </c>
      <c r="L1061" s="2">
        <f t="shared" si="445"/>
        <v>8.5603112840466934E-3</v>
      </c>
      <c r="M1061" s="2">
        <f t="shared" si="446"/>
        <v>3.320363164721149E-2</v>
      </c>
      <c r="N1061" s="63">
        <v>1106</v>
      </c>
      <c r="O1061" s="63">
        <v>2588</v>
      </c>
      <c r="P1061" s="63">
        <v>33</v>
      </c>
      <c r="Q1061" s="63">
        <v>100</v>
      </c>
      <c r="R1061" s="63">
        <v>24</v>
      </c>
      <c r="S1061" s="63">
        <v>0</v>
      </c>
      <c r="T1061" s="63">
        <v>4</v>
      </c>
      <c r="U1061" s="63"/>
      <c r="V1061" s="63"/>
      <c r="W1061" s="63">
        <f>IF(Copyright!B$11=1,IF(CA1061&gt;0,CA1061-SUM(S1061)-SUM(X1061:AI1061)-SUM(AJ1061:AT1061),SUM(CD1061:CQ1061)),SUM(CD1061:CQ1061))</f>
        <v>0</v>
      </c>
      <c r="X1061" s="63"/>
      <c r="Y1061" s="63">
        <v>0</v>
      </c>
      <c r="Z1061" s="63">
        <v>0</v>
      </c>
      <c r="AA1061" s="63"/>
      <c r="AB1061" s="63"/>
      <c r="AC1061" s="63"/>
      <c r="AD1061" s="63"/>
      <c r="AE1061" s="63">
        <v>0</v>
      </c>
      <c r="AF1061" s="63">
        <v>0</v>
      </c>
      <c r="AG1061" s="63">
        <v>0</v>
      </c>
      <c r="AH1061" s="63"/>
      <c r="AI1061" s="63"/>
      <c r="AJ1061" s="63"/>
      <c r="AK1061" s="63"/>
      <c r="AL1061" s="63"/>
      <c r="AM1061" s="63">
        <v>0</v>
      </c>
      <c r="AN1061" s="63">
        <v>0</v>
      </c>
      <c r="AO1061" s="63"/>
      <c r="AP1061" s="63"/>
      <c r="AQ1061" s="63">
        <v>0</v>
      </c>
      <c r="AR1061" s="63"/>
      <c r="AS1061" s="63"/>
      <c r="AT1061" s="63"/>
      <c r="AU1061" s="63"/>
      <c r="AW1061" s="5">
        <f>IF(Q1061&gt;0,RANK(Q1061,(N1061:P1061,Q1061:AE1061)),0)</f>
        <v>3</v>
      </c>
      <c r="AX1061" s="5">
        <f>IF(R1061&gt;0,RANK(R1061,(N1061:P1061,Q1061:AE1061)),0)</f>
        <v>5</v>
      </c>
      <c r="AY1061" s="5">
        <f>IF(T1061&gt;0,RANK(T1061,(N1061:P1061,Q1061:AE1061)),0)</f>
        <v>6</v>
      </c>
      <c r="AZ1061" s="5">
        <f>IF(S1061&gt;0,RANK(S1061,(N1061:P1061,Q1061:AE1061)),0)</f>
        <v>0</v>
      </c>
      <c r="BA1061" s="2">
        <f t="shared" si="447"/>
        <v>2.5940337224383919E-2</v>
      </c>
      <c r="BB1061" s="2">
        <f t="shared" si="448"/>
        <v>6.2256809338521405E-3</v>
      </c>
      <c r="BC1061" s="2">
        <f t="shared" si="449"/>
        <v>1.0376134889753567E-3</v>
      </c>
      <c r="BD1061" s="2">
        <f t="shared" si="450"/>
        <v>0</v>
      </c>
      <c r="BF1061" t="s">
        <v>1675</v>
      </c>
      <c r="BG1061" t="s">
        <v>1009</v>
      </c>
      <c r="BH1061">
        <v>4</v>
      </c>
      <c r="BJ1061" s="114">
        <v>21</v>
      </c>
      <c r="BK1061" s="116">
        <v>41</v>
      </c>
      <c r="BL1061" s="120">
        <f t="shared" si="426"/>
        <v>21041</v>
      </c>
      <c r="BN1061" s="5" t="s">
        <v>3154</v>
      </c>
      <c r="BZ1061" s="63">
        <f t="shared" si="451"/>
        <v>3855</v>
      </c>
      <c r="CD1061" s="63">
        <v>0</v>
      </c>
      <c r="CE1061" s="63">
        <v>0</v>
      </c>
      <c r="CF1061" s="63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>
        <v>0</v>
      </c>
      <c r="CQ1061">
        <v>0</v>
      </c>
    </row>
    <row r="1062" spans="1:95" ht="13" hidden="1" customHeight="1" outlineLevel="1">
      <c r="A1062" t="s">
        <v>1842</v>
      </c>
      <c r="B1062" t="s">
        <v>1009</v>
      </c>
      <c r="C1062" s="1">
        <f t="shared" si="440"/>
        <v>10278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4</v>
      </c>
      <c r="G1062" s="132">
        <f t="shared" si="441"/>
        <v>5311</v>
      </c>
      <c r="H1062" s="137">
        <f t="shared" si="442"/>
        <v>0.51673477330219886</v>
      </c>
      <c r="I1062" s="2"/>
      <c r="J1062" s="2">
        <f t="shared" si="443"/>
        <v>0.22144386067328273</v>
      </c>
      <c r="K1062" s="2">
        <f t="shared" si="444"/>
        <v>0.73817863397548156</v>
      </c>
      <c r="L1062" s="2">
        <f t="shared" si="445"/>
        <v>1.0605176104300448E-2</v>
      </c>
      <c r="M1062" s="2">
        <f t="shared" si="446"/>
        <v>2.9772329246935295E-2</v>
      </c>
      <c r="N1062" s="63">
        <v>2276</v>
      </c>
      <c r="O1062" s="63">
        <v>7587</v>
      </c>
      <c r="P1062" s="63">
        <v>109</v>
      </c>
      <c r="Q1062" s="63">
        <v>237</v>
      </c>
      <c r="R1062" s="63">
        <v>58</v>
      </c>
      <c r="S1062" s="63">
        <v>0</v>
      </c>
      <c r="T1062" s="63">
        <v>7</v>
      </c>
      <c r="U1062" s="63"/>
      <c r="V1062" s="63"/>
      <c r="W1062" s="63">
        <f>IF(Copyright!B$11=1,IF(CA1062&gt;0,CA1062-SUM(S1062)-SUM(X1062:AI1062)-SUM(AJ1062:AT1062),SUM(CD1062:CQ1062)),SUM(CD1062:CQ1062))</f>
        <v>4</v>
      </c>
      <c r="X1062" s="63"/>
      <c r="Y1062" s="63">
        <v>0</v>
      </c>
      <c r="Z1062" s="63">
        <v>0</v>
      </c>
      <c r="AA1062" s="63"/>
      <c r="AB1062" s="63"/>
      <c r="AC1062" s="63"/>
      <c r="AD1062" s="63"/>
      <c r="AE1062" s="63">
        <v>0</v>
      </c>
      <c r="AF1062" s="63">
        <v>0</v>
      </c>
      <c r="AG1062" s="63">
        <v>0</v>
      </c>
      <c r="AH1062" s="63"/>
      <c r="AI1062" s="63"/>
      <c r="AJ1062" s="63"/>
      <c r="AK1062" s="63"/>
      <c r="AL1062" s="63"/>
      <c r="AM1062" s="63">
        <v>0</v>
      </c>
      <c r="AN1062" s="63">
        <v>0</v>
      </c>
      <c r="AO1062" s="63"/>
      <c r="AP1062" s="63"/>
      <c r="AQ1062" s="63">
        <v>0</v>
      </c>
      <c r="AR1062" s="63"/>
      <c r="AS1062" s="63"/>
      <c r="AT1062" s="63"/>
      <c r="AU1062" s="63"/>
      <c r="AW1062" s="5">
        <f>IF(Q1062&gt;0,RANK(Q1062,(N1062:P1062,Q1062:AE1062)),0)</f>
        <v>3</v>
      </c>
      <c r="AX1062" s="5">
        <f>IF(R1062&gt;0,RANK(R1062,(N1062:P1062,Q1062:AE1062)),0)</f>
        <v>5</v>
      </c>
      <c r="AY1062" s="5">
        <f>IF(T1062&gt;0,RANK(T1062,(N1062:P1062,Q1062:AE1062)),0)</f>
        <v>6</v>
      </c>
      <c r="AZ1062" s="5">
        <f>IF(S1062&gt;0,RANK(S1062,(N1062:P1062,Q1062:AE1062)),0)</f>
        <v>0</v>
      </c>
      <c r="BA1062" s="2">
        <f t="shared" si="447"/>
        <v>2.3058960887332166E-2</v>
      </c>
      <c r="BB1062" s="2">
        <f t="shared" si="448"/>
        <v>5.6431212298112474E-3</v>
      </c>
      <c r="BC1062" s="2">
        <f t="shared" si="449"/>
        <v>6.810663553220471E-4</v>
      </c>
      <c r="BD1062" s="2">
        <f t="shared" si="450"/>
        <v>0</v>
      </c>
      <c r="BF1062" t="s">
        <v>1842</v>
      </c>
      <c r="BG1062" t="s">
        <v>1009</v>
      </c>
      <c r="BH1062">
        <v>5</v>
      </c>
      <c r="BJ1062" s="114">
        <v>21</v>
      </c>
      <c r="BK1062" s="116">
        <v>43</v>
      </c>
      <c r="BL1062" s="120">
        <f t="shared" si="426"/>
        <v>21043</v>
      </c>
      <c r="BN1062" s="5" t="s">
        <v>3154</v>
      </c>
      <c r="BZ1062" s="63">
        <f t="shared" si="451"/>
        <v>10278</v>
      </c>
      <c r="CD1062" s="63">
        <v>0</v>
      </c>
      <c r="CE1062" s="63">
        <v>0</v>
      </c>
      <c r="CF1062" s="63">
        <v>4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>
        <v>0</v>
      </c>
      <c r="CQ1062">
        <v>0</v>
      </c>
    </row>
    <row r="1063" spans="1:95" ht="13" hidden="1" customHeight="1" outlineLevel="1">
      <c r="A1063" t="s">
        <v>440</v>
      </c>
      <c r="B1063" t="s">
        <v>1009</v>
      </c>
      <c r="C1063" s="1">
        <f t="shared" si="440"/>
        <v>6439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4</v>
      </c>
      <c r="G1063" s="132">
        <f t="shared" si="441"/>
        <v>4715</v>
      </c>
      <c r="H1063" s="137">
        <f t="shared" si="442"/>
        <v>0.73225656157788477</v>
      </c>
      <c r="I1063" s="2"/>
      <c r="J1063" s="2">
        <f t="shared" si="443"/>
        <v>0.11911787544649791</v>
      </c>
      <c r="K1063" s="2">
        <f t="shared" si="444"/>
        <v>0.85137443702438265</v>
      </c>
      <c r="L1063" s="2">
        <f t="shared" si="445"/>
        <v>6.2121447429725109E-3</v>
      </c>
      <c r="M1063" s="2">
        <f t="shared" si="446"/>
        <v>2.3295542786146962E-2</v>
      </c>
      <c r="N1063" s="63">
        <v>767</v>
      </c>
      <c r="O1063" s="63">
        <v>5482</v>
      </c>
      <c r="P1063" s="63">
        <v>40</v>
      </c>
      <c r="Q1063" s="63">
        <v>121</v>
      </c>
      <c r="R1063" s="63">
        <v>28</v>
      </c>
      <c r="S1063" s="63">
        <v>0</v>
      </c>
      <c r="T1063" s="63">
        <v>1</v>
      </c>
      <c r="U1063" s="63"/>
      <c r="V1063" s="63"/>
      <c r="W1063" s="63">
        <f>IF(Copyright!B$11=1,IF(CA1063&gt;0,CA1063-SUM(S1063)-SUM(X1063:AI1063)-SUM(AJ1063:AT1063),SUM(CD1063:CQ1063)),SUM(CD1063:CQ1063))</f>
        <v>0</v>
      </c>
      <c r="X1063" s="63"/>
      <c r="Y1063" s="63">
        <v>0</v>
      </c>
      <c r="Z1063" s="63">
        <v>0</v>
      </c>
      <c r="AA1063" s="63"/>
      <c r="AB1063" s="63"/>
      <c r="AC1063" s="63"/>
      <c r="AD1063" s="63"/>
      <c r="AE1063" s="63">
        <v>0</v>
      </c>
      <c r="AF1063" s="63">
        <v>0</v>
      </c>
      <c r="AG1063" s="63">
        <v>0</v>
      </c>
      <c r="AH1063" s="63"/>
      <c r="AI1063" s="63"/>
      <c r="AJ1063" s="63"/>
      <c r="AK1063" s="63"/>
      <c r="AL1063" s="63"/>
      <c r="AM1063" s="63">
        <v>0</v>
      </c>
      <c r="AN1063" s="63">
        <v>0</v>
      </c>
      <c r="AO1063" s="63"/>
      <c r="AP1063" s="63"/>
      <c r="AQ1063" s="63">
        <v>0</v>
      </c>
      <c r="AR1063" s="63"/>
      <c r="AS1063" s="63"/>
      <c r="AT1063" s="63"/>
      <c r="AU1063" s="63"/>
      <c r="AW1063" s="5">
        <f>IF(Q1063&gt;0,RANK(Q1063,(N1063:P1063,Q1063:AE1063)),0)</f>
        <v>3</v>
      </c>
      <c r="AX1063" s="5">
        <f>IF(R1063&gt;0,RANK(R1063,(N1063:P1063,Q1063:AE1063)),0)</f>
        <v>5</v>
      </c>
      <c r="AY1063" s="5">
        <f>IF(T1063&gt;0,RANK(T1063,(N1063:P1063,Q1063:AE1063)),0)</f>
        <v>6</v>
      </c>
      <c r="AZ1063" s="5">
        <f>IF(S1063&gt;0,RANK(S1063,(N1063:P1063,Q1063:AE1063)),0)</f>
        <v>0</v>
      </c>
      <c r="BA1063" s="2">
        <f t="shared" si="447"/>
        <v>1.8791737847491847E-2</v>
      </c>
      <c r="BB1063" s="2">
        <f t="shared" si="448"/>
        <v>4.3485013200807582E-3</v>
      </c>
      <c r="BC1063" s="2">
        <f t="shared" si="449"/>
        <v>1.5530361857431278E-4</v>
      </c>
      <c r="BD1063" s="2">
        <f t="shared" si="450"/>
        <v>0</v>
      </c>
      <c r="BF1063" t="s">
        <v>440</v>
      </c>
      <c r="BG1063" t="s">
        <v>1009</v>
      </c>
      <c r="BH1063">
        <v>1</v>
      </c>
      <c r="BJ1063" s="114">
        <v>21</v>
      </c>
      <c r="BK1063" s="116">
        <v>45</v>
      </c>
      <c r="BL1063" s="120">
        <f t="shared" si="426"/>
        <v>21045</v>
      </c>
      <c r="BN1063" s="5" t="s">
        <v>3154</v>
      </c>
      <c r="BZ1063" s="63">
        <f t="shared" si="451"/>
        <v>6439</v>
      </c>
      <c r="CD1063" s="63">
        <v>0</v>
      </c>
      <c r="CE1063" s="63">
        <v>0</v>
      </c>
      <c r="CF1063" s="63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>
        <v>0</v>
      </c>
      <c r="CQ1063">
        <v>0</v>
      </c>
    </row>
    <row r="1064" spans="1:95" ht="13" hidden="1" customHeight="1" outlineLevel="1">
      <c r="A1064" t="s">
        <v>2836</v>
      </c>
      <c r="B1064" t="s">
        <v>1009</v>
      </c>
      <c r="C1064" s="1">
        <f t="shared" si="440"/>
        <v>22083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4</v>
      </c>
      <c r="G1064" s="132">
        <f t="shared" si="441"/>
        <v>6920</v>
      </c>
      <c r="H1064" s="137">
        <f t="shared" si="442"/>
        <v>0.31336322057691435</v>
      </c>
      <c r="I1064" s="2"/>
      <c r="J1064" s="2">
        <f t="shared" si="443"/>
        <v>0.32549925281891046</v>
      </c>
      <c r="K1064" s="2">
        <f t="shared" si="444"/>
        <v>0.6388624733958248</v>
      </c>
      <c r="L1064" s="2">
        <f t="shared" si="445"/>
        <v>8.1057827287959062E-3</v>
      </c>
      <c r="M1064" s="2">
        <f t="shared" si="446"/>
        <v>2.7532491056468836E-2</v>
      </c>
      <c r="N1064" s="63">
        <v>7188</v>
      </c>
      <c r="O1064" s="63">
        <v>14108</v>
      </c>
      <c r="P1064" s="63">
        <v>179</v>
      </c>
      <c r="Q1064" s="63">
        <v>474</v>
      </c>
      <c r="R1064" s="63">
        <v>120</v>
      </c>
      <c r="S1064" s="63">
        <v>0</v>
      </c>
      <c r="T1064" s="63">
        <v>14</v>
      </c>
      <c r="U1064" s="63"/>
      <c r="V1064" s="63"/>
      <c r="W1064" s="63">
        <f>IF(Copyright!B$11=1,IF(CA1064&gt;0,CA1064-SUM(S1064)-SUM(X1064:AI1064)-SUM(AJ1064:AT1064),SUM(CD1064:CQ1064)),SUM(CD1064:CQ1064))</f>
        <v>0</v>
      </c>
      <c r="X1064" s="63"/>
      <c r="Y1064" s="63">
        <v>0</v>
      </c>
      <c r="Z1064" s="63">
        <v>0</v>
      </c>
      <c r="AA1064" s="63"/>
      <c r="AB1064" s="63"/>
      <c r="AC1064" s="63"/>
      <c r="AD1064" s="63"/>
      <c r="AE1064" s="63">
        <v>0</v>
      </c>
      <c r="AF1064" s="63">
        <v>0</v>
      </c>
      <c r="AG1064" s="63">
        <v>0</v>
      </c>
      <c r="AH1064" s="63"/>
      <c r="AI1064" s="63"/>
      <c r="AJ1064" s="63"/>
      <c r="AK1064" s="63"/>
      <c r="AL1064" s="63"/>
      <c r="AM1064" s="63">
        <v>0</v>
      </c>
      <c r="AN1064" s="63">
        <v>0</v>
      </c>
      <c r="AO1064" s="63"/>
      <c r="AP1064" s="63"/>
      <c r="AQ1064" s="63">
        <v>0</v>
      </c>
      <c r="AR1064" s="63"/>
      <c r="AS1064" s="63"/>
      <c r="AT1064" s="63"/>
      <c r="AU1064" s="63"/>
      <c r="AW1064" s="5">
        <f>IF(Q1064&gt;0,RANK(Q1064,(N1064:P1064,Q1064:AE1064)),0)</f>
        <v>3</v>
      </c>
      <c r="AX1064" s="5">
        <f>IF(R1064&gt;0,RANK(R1064,(N1064:P1064,Q1064:AE1064)),0)</f>
        <v>5</v>
      </c>
      <c r="AY1064" s="5">
        <f>IF(T1064&gt;0,RANK(T1064,(N1064:P1064,Q1064:AE1064)),0)</f>
        <v>6</v>
      </c>
      <c r="AZ1064" s="5">
        <f>IF(S1064&gt;0,RANK(S1064,(N1064:P1064,Q1064:AE1064)),0)</f>
        <v>0</v>
      </c>
      <c r="BA1064" s="2">
        <f t="shared" si="447"/>
        <v>2.1464474935470722E-2</v>
      </c>
      <c r="BB1064" s="2">
        <f t="shared" si="448"/>
        <v>5.4340442874609429E-3</v>
      </c>
      <c r="BC1064" s="2">
        <f t="shared" si="449"/>
        <v>6.3397183353710999E-4</v>
      </c>
      <c r="BD1064" s="2">
        <f t="shared" si="450"/>
        <v>0</v>
      </c>
      <c r="BF1064" t="s">
        <v>2836</v>
      </c>
      <c r="BG1064" t="s">
        <v>1009</v>
      </c>
      <c r="BH1064">
        <v>1</v>
      </c>
      <c r="BJ1064" s="114">
        <v>21</v>
      </c>
      <c r="BK1064" s="116">
        <v>47</v>
      </c>
      <c r="BL1064" s="120">
        <f t="shared" ref="BL1064:BL1127" si="452">1000*BJ1064+BK1064</f>
        <v>21047</v>
      </c>
      <c r="BN1064" s="5" t="s">
        <v>3154</v>
      </c>
      <c r="BZ1064" s="63">
        <f t="shared" si="451"/>
        <v>22083</v>
      </c>
      <c r="CD1064" s="63">
        <v>0</v>
      </c>
      <c r="CE1064" s="63">
        <v>0</v>
      </c>
      <c r="CF1064" s="63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>
        <v>0</v>
      </c>
      <c r="CQ1064">
        <v>0</v>
      </c>
    </row>
    <row r="1065" spans="1:95" ht="13" hidden="1" customHeight="1" outlineLevel="1">
      <c r="A1065" t="s">
        <v>392</v>
      </c>
      <c r="B1065" t="s">
        <v>1009</v>
      </c>
      <c r="C1065" s="1">
        <f t="shared" si="440"/>
        <v>16205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4</v>
      </c>
      <c r="G1065" s="132">
        <f t="shared" si="441"/>
        <v>6004</v>
      </c>
      <c r="H1065" s="137">
        <f t="shared" si="442"/>
        <v>0.3705029311940759</v>
      </c>
      <c r="I1065" s="2"/>
      <c r="J1065" s="2">
        <f t="shared" si="443"/>
        <v>0.29040419623572972</v>
      </c>
      <c r="K1065" s="2">
        <f t="shared" si="444"/>
        <v>0.66090712742980562</v>
      </c>
      <c r="L1065" s="2">
        <f t="shared" si="445"/>
        <v>1.2526997840172787E-2</v>
      </c>
      <c r="M1065" s="2">
        <f t="shared" si="446"/>
        <v>3.6161678494291818E-2</v>
      </c>
      <c r="N1065" s="63">
        <v>4706</v>
      </c>
      <c r="O1065" s="63">
        <v>10710</v>
      </c>
      <c r="P1065" s="63">
        <v>203</v>
      </c>
      <c r="Q1065" s="63">
        <v>453</v>
      </c>
      <c r="R1065" s="63">
        <v>121</v>
      </c>
      <c r="S1065" s="63">
        <v>3</v>
      </c>
      <c r="T1065" s="63">
        <v>9</v>
      </c>
      <c r="U1065" s="63"/>
      <c r="V1065" s="63"/>
      <c r="W1065" s="63">
        <f>IF(Copyright!B$11=1,IF(CA1065&gt;0,CA1065-SUM(S1065)-SUM(X1065:AI1065)-SUM(AJ1065:AT1065),SUM(CD1065:CQ1065)),SUM(CD1065:CQ1065))</f>
        <v>0</v>
      </c>
      <c r="X1065" s="63"/>
      <c r="Y1065" s="63">
        <v>0</v>
      </c>
      <c r="Z1065" s="63">
        <v>0</v>
      </c>
      <c r="AA1065" s="63"/>
      <c r="AB1065" s="63"/>
      <c r="AC1065" s="63"/>
      <c r="AD1065" s="63"/>
      <c r="AE1065" s="63">
        <v>0</v>
      </c>
      <c r="AF1065" s="63">
        <v>0</v>
      </c>
      <c r="AG1065" s="63">
        <v>0</v>
      </c>
      <c r="AH1065" s="63"/>
      <c r="AI1065" s="63"/>
      <c r="AJ1065" s="63"/>
      <c r="AK1065" s="63"/>
      <c r="AL1065" s="63"/>
      <c r="AM1065" s="63">
        <v>0</v>
      </c>
      <c r="AN1065" s="63">
        <v>0</v>
      </c>
      <c r="AO1065" s="63"/>
      <c r="AP1065" s="63"/>
      <c r="AQ1065" s="63">
        <v>0</v>
      </c>
      <c r="AR1065" s="63"/>
      <c r="AS1065" s="63"/>
      <c r="AT1065" s="63"/>
      <c r="AU1065" s="63"/>
      <c r="AW1065" s="5">
        <f>IF(Q1065&gt;0,RANK(Q1065,(N1065:P1065,Q1065:AE1065)),0)</f>
        <v>3</v>
      </c>
      <c r="AX1065" s="5">
        <f>IF(R1065&gt;0,RANK(R1065,(N1065:P1065,Q1065:AE1065)),0)</f>
        <v>5</v>
      </c>
      <c r="AY1065" s="5">
        <f>IF(T1065&gt;0,RANK(T1065,(N1065:P1065,Q1065:AE1065)),0)</f>
        <v>6</v>
      </c>
      <c r="AZ1065" s="5">
        <f>IF(S1065&gt;0,RANK(S1065,(N1065:P1065,Q1065:AE1065)),0)</f>
        <v>7</v>
      </c>
      <c r="BA1065" s="2">
        <f t="shared" si="447"/>
        <v>2.7954335081764887E-2</v>
      </c>
      <c r="BB1065" s="2">
        <f t="shared" si="448"/>
        <v>7.4668312249305769E-3</v>
      </c>
      <c r="BC1065" s="2">
        <f t="shared" si="449"/>
        <v>5.5538414069731569E-4</v>
      </c>
      <c r="BD1065" s="2">
        <f t="shared" si="450"/>
        <v>1.8512804689910521E-4</v>
      </c>
      <c r="BF1065" t="s">
        <v>392</v>
      </c>
      <c r="BG1065" t="s">
        <v>1009</v>
      </c>
      <c r="BH1065">
        <v>6</v>
      </c>
      <c r="BJ1065" s="114">
        <v>21</v>
      </c>
      <c r="BK1065" s="116">
        <v>49</v>
      </c>
      <c r="BL1065" s="120">
        <f t="shared" si="452"/>
        <v>21049</v>
      </c>
      <c r="BN1065" s="5" t="s">
        <v>3154</v>
      </c>
      <c r="BZ1065" s="63">
        <f t="shared" si="451"/>
        <v>16205</v>
      </c>
      <c r="CD1065" s="63">
        <v>0</v>
      </c>
      <c r="CE1065" s="63">
        <v>0</v>
      </c>
      <c r="CF1065" s="63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>
        <v>0</v>
      </c>
      <c r="CQ1065">
        <v>0</v>
      </c>
    </row>
    <row r="1066" spans="1:95" ht="13" hidden="1" customHeight="1" outlineLevel="1">
      <c r="A1066" t="s">
        <v>3093</v>
      </c>
      <c r="B1066" t="s">
        <v>1009</v>
      </c>
      <c r="C1066" s="1">
        <f t="shared" si="440"/>
        <v>6767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4</v>
      </c>
      <c r="G1066" s="132">
        <f t="shared" si="441"/>
        <v>5109</v>
      </c>
      <c r="H1066" s="137">
        <f t="shared" si="442"/>
        <v>0.75498743904241172</v>
      </c>
      <c r="I1066" s="2"/>
      <c r="J1066" s="2">
        <f t="shared" si="443"/>
        <v>0.11112753066351411</v>
      </c>
      <c r="K1066" s="2">
        <f t="shared" si="444"/>
        <v>0.86611496970592583</v>
      </c>
      <c r="L1066" s="2">
        <f t="shared" si="445"/>
        <v>5.911038865080538E-3</v>
      </c>
      <c r="M1066" s="2">
        <f t="shared" si="446"/>
        <v>1.6846460765479524E-2</v>
      </c>
      <c r="N1066" s="63">
        <v>752</v>
      </c>
      <c r="O1066" s="63">
        <v>5861</v>
      </c>
      <c r="P1066" s="63">
        <v>40</v>
      </c>
      <c r="Q1066" s="63">
        <v>83</v>
      </c>
      <c r="R1066" s="63">
        <v>26</v>
      </c>
      <c r="S1066" s="63">
        <v>2</v>
      </c>
      <c r="T1066" s="63">
        <v>3</v>
      </c>
      <c r="U1066" s="63"/>
      <c r="V1066" s="63"/>
      <c r="W1066" s="63">
        <f>IF(Copyright!B$11=1,IF(CA1066&gt;0,CA1066-SUM(S1066)-SUM(X1066:AI1066)-SUM(AJ1066:AT1066),SUM(CD1066:CQ1066)),SUM(CD1066:CQ1066))</f>
        <v>0</v>
      </c>
      <c r="X1066" s="63"/>
      <c r="Y1066" s="63">
        <v>0</v>
      </c>
      <c r="Z1066" s="63">
        <v>0</v>
      </c>
      <c r="AA1066" s="63"/>
      <c r="AB1066" s="63"/>
      <c r="AC1066" s="63"/>
      <c r="AD1066" s="63"/>
      <c r="AE1066" s="63">
        <v>0</v>
      </c>
      <c r="AF1066" s="63">
        <v>0</v>
      </c>
      <c r="AG1066" s="63">
        <v>0</v>
      </c>
      <c r="AH1066" s="63"/>
      <c r="AI1066" s="63"/>
      <c r="AJ1066" s="63"/>
      <c r="AK1066" s="63"/>
      <c r="AL1066" s="63"/>
      <c r="AM1066" s="63">
        <v>0</v>
      </c>
      <c r="AN1066" s="63">
        <v>0</v>
      </c>
      <c r="AO1066" s="63"/>
      <c r="AP1066" s="63"/>
      <c r="AQ1066" s="63">
        <v>0</v>
      </c>
      <c r="AR1066" s="63"/>
      <c r="AS1066" s="63"/>
      <c r="AT1066" s="63"/>
      <c r="AU1066" s="63"/>
      <c r="AW1066" s="5">
        <f>IF(Q1066&gt;0,RANK(Q1066,(N1066:P1066,Q1066:AE1066)),0)</f>
        <v>3</v>
      </c>
      <c r="AX1066" s="5">
        <f>IF(R1066&gt;0,RANK(R1066,(N1066:P1066,Q1066:AE1066)),0)</f>
        <v>5</v>
      </c>
      <c r="AY1066" s="5">
        <f>IF(T1066&gt;0,RANK(T1066,(N1066:P1066,Q1066:AE1066)),0)</f>
        <v>6</v>
      </c>
      <c r="AZ1066" s="5">
        <f>IF(S1066&gt;0,RANK(S1066,(N1066:P1066,Q1066:AE1066)),0)</f>
        <v>7</v>
      </c>
      <c r="BA1066" s="2">
        <f t="shared" si="447"/>
        <v>1.2265405645042117E-2</v>
      </c>
      <c r="BB1066" s="2">
        <f t="shared" si="448"/>
        <v>3.8421752623023497E-3</v>
      </c>
      <c r="BC1066" s="2">
        <f t="shared" si="449"/>
        <v>4.4332791488104032E-4</v>
      </c>
      <c r="BD1066" s="2">
        <f t="shared" si="450"/>
        <v>2.9555194325402688E-4</v>
      </c>
      <c r="BF1066" t="s">
        <v>3093</v>
      </c>
      <c r="BG1066" t="s">
        <v>1009</v>
      </c>
      <c r="BH1066">
        <v>5</v>
      </c>
      <c r="BJ1066" s="114">
        <v>21</v>
      </c>
      <c r="BK1066" s="116">
        <v>51</v>
      </c>
      <c r="BL1066" s="120">
        <f t="shared" si="452"/>
        <v>21051</v>
      </c>
      <c r="BN1066" s="5" t="s">
        <v>3154</v>
      </c>
      <c r="BZ1066" s="63">
        <f t="shared" si="451"/>
        <v>6767</v>
      </c>
      <c r="CD1066" s="63">
        <v>0</v>
      </c>
      <c r="CE1066" s="63">
        <v>0</v>
      </c>
      <c r="CF1066" s="63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>
        <v>0</v>
      </c>
      <c r="CQ1066">
        <v>0</v>
      </c>
    </row>
    <row r="1067" spans="1:95" ht="13" hidden="1" customHeight="1" outlineLevel="1">
      <c r="A1067" t="s">
        <v>1285</v>
      </c>
      <c r="B1067" t="s">
        <v>1009</v>
      </c>
      <c r="C1067" s="1">
        <f t="shared" si="440"/>
        <v>4462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4</v>
      </c>
      <c r="G1067" s="132">
        <f t="shared" si="441"/>
        <v>3262</v>
      </c>
      <c r="H1067" s="137">
        <f t="shared" si="442"/>
        <v>0.73106230389959659</v>
      </c>
      <c r="I1067" s="2"/>
      <c r="J1067" s="2">
        <f t="shared" si="443"/>
        <v>0.12259076647243389</v>
      </c>
      <c r="K1067" s="2">
        <f t="shared" si="444"/>
        <v>0.85365307037203053</v>
      </c>
      <c r="L1067" s="2">
        <f t="shared" si="445"/>
        <v>5.1546391752577319E-3</v>
      </c>
      <c r="M1067" s="2">
        <f t="shared" si="446"/>
        <v>1.8601523980277795E-2</v>
      </c>
      <c r="N1067" s="63">
        <v>547</v>
      </c>
      <c r="O1067" s="63">
        <v>3809</v>
      </c>
      <c r="P1067" s="63">
        <v>23</v>
      </c>
      <c r="Q1067" s="63">
        <v>60</v>
      </c>
      <c r="R1067" s="63">
        <v>15</v>
      </c>
      <c r="S1067" s="63">
        <v>0</v>
      </c>
      <c r="T1067" s="63">
        <v>4</v>
      </c>
      <c r="U1067" s="63"/>
      <c r="V1067" s="63"/>
      <c r="W1067" s="63">
        <f>IF(Copyright!B$11=1,IF(CA1067&gt;0,CA1067-SUM(S1067)-SUM(X1067:AI1067)-SUM(AJ1067:AT1067),SUM(CD1067:CQ1067)),SUM(CD1067:CQ1067))</f>
        <v>0</v>
      </c>
      <c r="X1067" s="63"/>
      <c r="Y1067" s="63">
        <v>4</v>
      </c>
      <c r="Z1067" s="63">
        <v>0</v>
      </c>
      <c r="AA1067" s="63"/>
      <c r="AB1067" s="63"/>
      <c r="AC1067" s="63"/>
      <c r="AD1067" s="63"/>
      <c r="AE1067" s="63">
        <v>0</v>
      </c>
      <c r="AF1067" s="63">
        <v>0</v>
      </c>
      <c r="AG1067" s="63">
        <v>0</v>
      </c>
      <c r="AH1067" s="63"/>
      <c r="AI1067" s="63"/>
      <c r="AJ1067" s="63"/>
      <c r="AK1067" s="63"/>
      <c r="AL1067" s="63"/>
      <c r="AM1067" s="63">
        <v>0</v>
      </c>
      <c r="AN1067" s="63">
        <v>0</v>
      </c>
      <c r="AO1067" s="63"/>
      <c r="AP1067" s="63"/>
      <c r="AQ1067" s="63">
        <v>0</v>
      </c>
      <c r="AR1067" s="63"/>
      <c r="AS1067" s="63"/>
      <c r="AT1067" s="63"/>
      <c r="AU1067" s="63"/>
      <c r="AW1067" s="5">
        <f>IF(Q1067&gt;0,RANK(Q1067,(N1067:P1067,Q1067:AE1067)),0)</f>
        <v>3</v>
      </c>
      <c r="AX1067" s="5">
        <f>IF(R1067&gt;0,RANK(R1067,(N1067:P1067,Q1067:AE1067)),0)</f>
        <v>5</v>
      </c>
      <c r="AY1067" s="5">
        <f>IF(T1067&gt;0,RANK(T1067,(N1067:P1067,Q1067:AE1067)),0)</f>
        <v>6</v>
      </c>
      <c r="AZ1067" s="5">
        <f>IF(S1067&gt;0,RANK(S1067,(N1067:P1067,Q1067:AE1067)),0)</f>
        <v>0</v>
      </c>
      <c r="BA1067" s="2">
        <f t="shared" si="447"/>
        <v>1.344688480502017E-2</v>
      </c>
      <c r="BB1067" s="2">
        <f t="shared" si="448"/>
        <v>3.3617212012550424E-3</v>
      </c>
      <c r="BC1067" s="2">
        <f t="shared" si="449"/>
        <v>8.9645898700134474E-4</v>
      </c>
      <c r="BD1067" s="2">
        <f t="shared" si="450"/>
        <v>0</v>
      </c>
      <c r="BF1067" t="s">
        <v>1285</v>
      </c>
      <c r="BG1067" t="s">
        <v>1009</v>
      </c>
      <c r="BH1067">
        <v>1</v>
      </c>
      <c r="BJ1067" s="114">
        <v>21</v>
      </c>
      <c r="BK1067" s="116">
        <v>53</v>
      </c>
      <c r="BL1067" s="120">
        <f t="shared" si="452"/>
        <v>21053</v>
      </c>
      <c r="BN1067" s="5" t="s">
        <v>3154</v>
      </c>
      <c r="BZ1067" s="63">
        <f t="shared" si="451"/>
        <v>4462</v>
      </c>
      <c r="CD1067" s="63">
        <v>0</v>
      </c>
      <c r="CE1067" s="63">
        <v>0</v>
      </c>
      <c r="CF1067" s="63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0</v>
      </c>
      <c r="CN1067" s="8">
        <v>0</v>
      </c>
      <c r="CO1067" s="8">
        <v>0</v>
      </c>
      <c r="CP1067">
        <v>0</v>
      </c>
      <c r="CQ1067">
        <v>0</v>
      </c>
    </row>
    <row r="1068" spans="1:95" ht="13" hidden="1" customHeight="1" outlineLevel="1">
      <c r="A1068" t="s">
        <v>1856</v>
      </c>
      <c r="B1068" t="s">
        <v>1009</v>
      </c>
      <c r="C1068" s="1">
        <f t="shared" si="440"/>
        <v>4037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4</v>
      </c>
      <c r="G1068" s="132">
        <f t="shared" si="441"/>
        <v>2673</v>
      </c>
      <c r="H1068" s="137">
        <f t="shared" si="442"/>
        <v>0.66212534059945505</v>
      </c>
      <c r="I1068" s="2"/>
      <c r="J1068" s="2">
        <f t="shared" si="443"/>
        <v>0.15283626455288582</v>
      </c>
      <c r="K1068" s="2">
        <f t="shared" si="444"/>
        <v>0.81496160515234084</v>
      </c>
      <c r="L1068" s="2">
        <f t="shared" si="445"/>
        <v>8.9175130047064646E-3</v>
      </c>
      <c r="M1068" s="2">
        <f t="shared" si="446"/>
        <v>2.3284617290066902E-2</v>
      </c>
      <c r="N1068" s="63">
        <v>617</v>
      </c>
      <c r="O1068" s="63">
        <v>3290</v>
      </c>
      <c r="P1068" s="63">
        <v>36</v>
      </c>
      <c r="Q1068" s="63">
        <v>76</v>
      </c>
      <c r="R1068" s="63">
        <v>17</v>
      </c>
      <c r="S1068" s="63">
        <v>0</v>
      </c>
      <c r="T1068" s="63">
        <v>1</v>
      </c>
      <c r="U1068" s="63"/>
      <c r="V1068" s="63"/>
      <c r="W1068" s="63">
        <f>IF(Copyright!B$11=1,IF(CA1068&gt;0,CA1068-SUM(S1068)-SUM(X1068:AI1068)-SUM(AJ1068:AT1068),SUM(CD1068:CQ1068)),SUM(CD1068:CQ1068))</f>
        <v>0</v>
      </c>
      <c r="X1068" s="63"/>
      <c r="Y1068" s="63">
        <v>0</v>
      </c>
      <c r="Z1068" s="63">
        <v>0</v>
      </c>
      <c r="AA1068" s="63"/>
      <c r="AB1068" s="63"/>
      <c r="AC1068" s="63"/>
      <c r="AD1068" s="63"/>
      <c r="AE1068" s="63">
        <v>0</v>
      </c>
      <c r="AF1068" s="63">
        <v>0</v>
      </c>
      <c r="AG1068" s="63">
        <v>0</v>
      </c>
      <c r="AH1068" s="63"/>
      <c r="AI1068" s="63"/>
      <c r="AJ1068" s="63"/>
      <c r="AK1068" s="63"/>
      <c r="AL1068" s="63"/>
      <c r="AM1068" s="63">
        <v>0</v>
      </c>
      <c r="AN1068" s="63">
        <v>0</v>
      </c>
      <c r="AO1068" s="63"/>
      <c r="AP1068" s="63"/>
      <c r="AQ1068" s="63">
        <v>0</v>
      </c>
      <c r="AR1068" s="63"/>
      <c r="AS1068" s="63"/>
      <c r="AT1068" s="63"/>
      <c r="AU1068" s="63"/>
      <c r="AW1068" s="5">
        <f>IF(Q1068&gt;0,RANK(Q1068,(N1068:P1068,Q1068:AE1068)),0)</f>
        <v>3</v>
      </c>
      <c r="AX1068" s="5">
        <f>IF(R1068&gt;0,RANK(R1068,(N1068:P1068,Q1068:AE1068)),0)</f>
        <v>5</v>
      </c>
      <c r="AY1068" s="5">
        <f>IF(T1068&gt;0,RANK(T1068,(N1068:P1068,Q1068:AE1068)),0)</f>
        <v>6</v>
      </c>
      <c r="AZ1068" s="5">
        <f>IF(S1068&gt;0,RANK(S1068,(N1068:P1068,Q1068:AE1068)),0)</f>
        <v>0</v>
      </c>
      <c r="BA1068" s="2">
        <f t="shared" si="447"/>
        <v>1.8825860787713648E-2</v>
      </c>
      <c r="BB1068" s="2">
        <f t="shared" si="448"/>
        <v>4.2110478077780527E-3</v>
      </c>
      <c r="BC1068" s="2">
        <f t="shared" si="449"/>
        <v>2.4770869457517957E-4</v>
      </c>
      <c r="BD1068" s="2">
        <f t="shared" si="450"/>
        <v>0</v>
      </c>
      <c r="BF1068" t="s">
        <v>1856</v>
      </c>
      <c r="BG1068" t="s">
        <v>1009</v>
      </c>
      <c r="BH1068">
        <v>1</v>
      </c>
      <c r="BJ1068" s="114">
        <v>21</v>
      </c>
      <c r="BK1068" s="116">
        <v>55</v>
      </c>
      <c r="BL1068" s="120">
        <f t="shared" si="452"/>
        <v>21055</v>
      </c>
      <c r="BN1068" s="5" t="s">
        <v>3154</v>
      </c>
      <c r="BZ1068" s="63">
        <f t="shared" si="451"/>
        <v>4037</v>
      </c>
      <c r="CD1068" s="63">
        <v>0</v>
      </c>
      <c r="CE1068" s="63">
        <v>0</v>
      </c>
      <c r="CF1068" s="63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>
        <v>0</v>
      </c>
      <c r="CQ1068">
        <v>0</v>
      </c>
    </row>
    <row r="1069" spans="1:95" ht="13" hidden="1" customHeight="1" outlineLevel="1">
      <c r="A1069" t="s">
        <v>1531</v>
      </c>
      <c r="B1069" t="s">
        <v>1009</v>
      </c>
      <c r="C1069" s="1">
        <f t="shared" si="440"/>
        <v>3066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4</v>
      </c>
      <c r="G1069" s="132">
        <f t="shared" si="441"/>
        <v>2043</v>
      </c>
      <c r="H1069" s="137">
        <f t="shared" si="442"/>
        <v>0.66634050880626228</v>
      </c>
      <c r="I1069" s="2"/>
      <c r="J1069" s="2">
        <f t="shared" si="443"/>
        <v>0.149706457925636</v>
      </c>
      <c r="K1069" s="2">
        <f t="shared" si="444"/>
        <v>0.81604696673189825</v>
      </c>
      <c r="L1069" s="2">
        <f t="shared" si="445"/>
        <v>7.175472928897586E-3</v>
      </c>
      <c r="M1069" s="2">
        <f t="shared" si="446"/>
        <v>2.7071102413568193E-2</v>
      </c>
      <c r="N1069" s="63">
        <v>459</v>
      </c>
      <c r="O1069" s="63">
        <v>2502</v>
      </c>
      <c r="P1069" s="63">
        <v>22</v>
      </c>
      <c r="Q1069" s="63">
        <v>67</v>
      </c>
      <c r="R1069" s="63">
        <v>11</v>
      </c>
      <c r="S1069" s="63">
        <v>0</v>
      </c>
      <c r="T1069" s="63">
        <v>5</v>
      </c>
      <c r="U1069" s="63"/>
      <c r="V1069" s="63"/>
      <c r="W1069" s="63">
        <f>IF(Copyright!B$11=1,IF(CA1069&gt;0,CA1069-SUM(S1069)-SUM(X1069:AI1069)-SUM(AJ1069:AT1069),SUM(CD1069:CQ1069)),SUM(CD1069:CQ1069))</f>
        <v>0</v>
      </c>
      <c r="X1069" s="63"/>
      <c r="Y1069" s="63">
        <v>0</v>
      </c>
      <c r="Z1069" s="63">
        <v>0</v>
      </c>
      <c r="AA1069" s="63"/>
      <c r="AB1069" s="63"/>
      <c r="AC1069" s="63"/>
      <c r="AD1069" s="63"/>
      <c r="AE1069" s="63">
        <v>0</v>
      </c>
      <c r="AF1069" s="63">
        <v>0</v>
      </c>
      <c r="AG1069" s="63">
        <v>0</v>
      </c>
      <c r="AH1069" s="63"/>
      <c r="AI1069" s="63"/>
      <c r="AJ1069" s="63"/>
      <c r="AK1069" s="63"/>
      <c r="AL1069" s="63"/>
      <c r="AM1069" s="63">
        <v>0</v>
      </c>
      <c r="AN1069" s="63">
        <v>0</v>
      </c>
      <c r="AO1069" s="63"/>
      <c r="AP1069" s="63"/>
      <c r="AQ1069" s="63">
        <v>0</v>
      </c>
      <c r="AR1069" s="63"/>
      <c r="AS1069" s="63"/>
      <c r="AT1069" s="63"/>
      <c r="AU1069" s="63"/>
      <c r="AW1069" s="5">
        <f>IF(Q1069&gt;0,RANK(Q1069,(N1069:P1069,Q1069:AE1069)),0)</f>
        <v>3</v>
      </c>
      <c r="AX1069" s="5">
        <f>IF(R1069&gt;0,RANK(R1069,(N1069:P1069,Q1069:AE1069)),0)</f>
        <v>5</v>
      </c>
      <c r="AY1069" s="5">
        <f>IF(T1069&gt;0,RANK(T1069,(N1069:P1069,Q1069:AE1069)),0)</f>
        <v>6</v>
      </c>
      <c r="AZ1069" s="5">
        <f>IF(S1069&gt;0,RANK(S1069,(N1069:P1069,Q1069:AE1069)),0)</f>
        <v>0</v>
      </c>
      <c r="BA1069" s="2">
        <f t="shared" si="447"/>
        <v>2.1852576647097194E-2</v>
      </c>
      <c r="BB1069" s="2">
        <f t="shared" si="448"/>
        <v>3.587736464448793E-3</v>
      </c>
      <c r="BC1069" s="2">
        <f t="shared" si="449"/>
        <v>1.6307893020221786E-3</v>
      </c>
      <c r="BD1069" s="2">
        <f t="shared" si="450"/>
        <v>0</v>
      </c>
      <c r="BF1069" t="s">
        <v>1531</v>
      </c>
      <c r="BG1069" t="s">
        <v>1009</v>
      </c>
      <c r="BH1069">
        <v>1</v>
      </c>
      <c r="BJ1069" s="114">
        <v>21</v>
      </c>
      <c r="BK1069" s="116">
        <v>57</v>
      </c>
      <c r="BL1069" s="120">
        <f t="shared" si="452"/>
        <v>21057</v>
      </c>
      <c r="BN1069" s="5" t="s">
        <v>3154</v>
      </c>
      <c r="BZ1069" s="63">
        <f t="shared" si="451"/>
        <v>3066</v>
      </c>
      <c r="CD1069" s="63">
        <v>0</v>
      </c>
      <c r="CE1069" s="63">
        <v>0</v>
      </c>
      <c r="CF1069" s="63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>
        <v>0</v>
      </c>
      <c r="CQ1069">
        <v>0</v>
      </c>
    </row>
    <row r="1070" spans="1:95" ht="13" hidden="1" customHeight="1" outlineLevel="1">
      <c r="A1070" t="s">
        <v>1404</v>
      </c>
      <c r="B1070" t="s">
        <v>1009</v>
      </c>
      <c r="C1070" s="1">
        <f t="shared" si="440"/>
        <v>45807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4</v>
      </c>
      <c r="G1070" s="132">
        <f t="shared" si="441"/>
        <v>14744</v>
      </c>
      <c r="H1070" s="137">
        <f t="shared" si="442"/>
        <v>0.32187220293841551</v>
      </c>
      <c r="I1070" s="2"/>
      <c r="J1070" s="2">
        <f t="shared" si="443"/>
        <v>0.30918855196803979</v>
      </c>
      <c r="K1070" s="2">
        <f t="shared" si="444"/>
        <v>0.6310607549064553</v>
      </c>
      <c r="L1070" s="2">
        <f t="shared" si="445"/>
        <v>1.6176566900255419E-2</v>
      </c>
      <c r="M1070" s="2">
        <f t="shared" si="446"/>
        <v>4.3574126225249546E-2</v>
      </c>
      <c r="N1070" s="63">
        <v>14163</v>
      </c>
      <c r="O1070" s="63">
        <v>28907</v>
      </c>
      <c r="P1070" s="63">
        <v>741</v>
      </c>
      <c r="Q1070" s="63">
        <v>1488</v>
      </c>
      <c r="R1070" s="63">
        <v>453</v>
      </c>
      <c r="S1070" s="63">
        <v>17</v>
      </c>
      <c r="T1070" s="63">
        <v>29</v>
      </c>
      <c r="U1070" s="63"/>
      <c r="V1070" s="63"/>
      <c r="W1070" s="63">
        <f>IF(Copyright!B$11=1,IF(CA1070&gt;0,CA1070-SUM(S1070)-SUM(X1070:AI1070)-SUM(AJ1070:AT1070),SUM(CD1070:CQ1070)),SUM(CD1070:CQ1070))</f>
        <v>1</v>
      </c>
      <c r="X1070" s="63"/>
      <c r="Y1070" s="63">
        <v>0</v>
      </c>
      <c r="Z1070" s="63">
        <v>0</v>
      </c>
      <c r="AA1070" s="63"/>
      <c r="AB1070" s="63"/>
      <c r="AC1070" s="63"/>
      <c r="AD1070" s="63"/>
      <c r="AE1070" s="63">
        <v>1</v>
      </c>
      <c r="AF1070" s="63">
        <v>0</v>
      </c>
      <c r="AG1070" s="63">
        <v>1</v>
      </c>
      <c r="AH1070" s="63"/>
      <c r="AI1070" s="63"/>
      <c r="AJ1070" s="63"/>
      <c r="AK1070" s="63"/>
      <c r="AL1070" s="63"/>
      <c r="AM1070" s="63">
        <v>0</v>
      </c>
      <c r="AN1070" s="63">
        <v>6</v>
      </c>
      <c r="AO1070" s="63"/>
      <c r="AP1070" s="63"/>
      <c r="AQ1070" s="63">
        <v>0</v>
      </c>
      <c r="AR1070" s="63"/>
      <c r="AS1070" s="63"/>
      <c r="AT1070" s="63"/>
      <c r="AU1070" s="63"/>
      <c r="AW1070" s="5">
        <f>IF(Q1070&gt;0,RANK(Q1070,(N1070:P1070,Q1070:AE1070)),0)</f>
        <v>3</v>
      </c>
      <c r="AX1070" s="5">
        <f>IF(R1070&gt;0,RANK(R1070,(N1070:P1070,Q1070:AE1070)),0)</f>
        <v>5</v>
      </c>
      <c r="AY1070" s="5">
        <f>IF(T1070&gt;0,RANK(T1070,(N1070:P1070,Q1070:AE1070)),0)</f>
        <v>6</v>
      </c>
      <c r="AZ1070" s="5">
        <f>IF(S1070&gt;0,RANK(S1070,(N1070:P1070,Q1070:AE1070)),0)</f>
        <v>7</v>
      </c>
      <c r="BA1070" s="2">
        <f t="shared" si="447"/>
        <v>3.2484118147881332E-2</v>
      </c>
      <c r="BB1070" s="2">
        <f t="shared" si="448"/>
        <v>9.8893182264719361E-3</v>
      </c>
      <c r="BC1070" s="2">
        <f t="shared" si="449"/>
        <v>6.3309101229069788E-4</v>
      </c>
      <c r="BD1070" s="2">
        <f t="shared" si="450"/>
        <v>3.7112231754971947E-4</v>
      </c>
      <c r="BF1070" t="s">
        <v>1404</v>
      </c>
      <c r="BG1070" t="s">
        <v>1009</v>
      </c>
      <c r="BH1070">
        <v>2</v>
      </c>
      <c r="BJ1070" s="114">
        <v>21</v>
      </c>
      <c r="BK1070" s="116">
        <v>59</v>
      </c>
      <c r="BL1070" s="120">
        <f t="shared" si="452"/>
        <v>21059</v>
      </c>
      <c r="BN1070" s="5" t="s">
        <v>3154</v>
      </c>
      <c r="BZ1070" s="63">
        <f t="shared" si="451"/>
        <v>45807</v>
      </c>
      <c r="CD1070" s="63">
        <v>0</v>
      </c>
      <c r="CE1070" s="63">
        <v>0</v>
      </c>
      <c r="CF1070" s="63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1</v>
      </c>
      <c r="CP1070">
        <v>0</v>
      </c>
      <c r="CQ1070">
        <v>0</v>
      </c>
    </row>
    <row r="1071" spans="1:95" ht="13" hidden="1" customHeight="1" outlineLevel="1">
      <c r="A1071" t="s">
        <v>3179</v>
      </c>
      <c r="B1071" t="s">
        <v>1009</v>
      </c>
      <c r="C1071" s="1">
        <f t="shared" si="440"/>
        <v>5244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4</v>
      </c>
      <c r="G1071" s="132">
        <f t="shared" si="441"/>
        <v>3156</v>
      </c>
      <c r="H1071" s="137">
        <f t="shared" si="442"/>
        <v>0.60183066361556059</v>
      </c>
      <c r="I1071" s="2"/>
      <c r="J1071" s="2">
        <f t="shared" si="443"/>
        <v>0.18668954996186118</v>
      </c>
      <c r="K1071" s="2">
        <f t="shared" si="444"/>
        <v>0.78852021357742186</v>
      </c>
      <c r="L1071" s="2">
        <f t="shared" si="445"/>
        <v>5.3394355453852023E-3</v>
      </c>
      <c r="M1071" s="2">
        <f t="shared" si="446"/>
        <v>1.9450800915331783E-2</v>
      </c>
      <c r="N1071" s="63">
        <v>979</v>
      </c>
      <c r="O1071" s="63">
        <v>4135</v>
      </c>
      <c r="P1071" s="63">
        <v>28</v>
      </c>
      <c r="Q1071" s="63">
        <v>77</v>
      </c>
      <c r="R1071" s="63">
        <v>20</v>
      </c>
      <c r="S1071" s="63">
        <v>2</v>
      </c>
      <c r="T1071" s="63">
        <v>2</v>
      </c>
      <c r="U1071" s="63"/>
      <c r="V1071" s="63"/>
      <c r="W1071" s="63">
        <f>IF(Copyright!B$11=1,IF(CA1071&gt;0,CA1071-SUM(S1071)-SUM(X1071:AI1071)-SUM(AJ1071:AT1071),SUM(CD1071:CQ1071)),SUM(CD1071:CQ1071))</f>
        <v>0</v>
      </c>
      <c r="X1071" s="63"/>
      <c r="Y1071" s="63">
        <v>0</v>
      </c>
      <c r="Z1071" s="63">
        <v>0</v>
      </c>
      <c r="AA1071" s="63"/>
      <c r="AB1071" s="63"/>
      <c r="AC1071" s="63"/>
      <c r="AD1071" s="63"/>
      <c r="AE1071" s="63">
        <v>0</v>
      </c>
      <c r="AF1071" s="63">
        <v>0</v>
      </c>
      <c r="AG1071" s="63">
        <v>1</v>
      </c>
      <c r="AH1071" s="63"/>
      <c r="AI1071" s="63"/>
      <c r="AJ1071" s="63"/>
      <c r="AK1071" s="63"/>
      <c r="AL1071" s="63"/>
      <c r="AM1071" s="63">
        <v>0</v>
      </c>
      <c r="AN1071" s="63">
        <v>0</v>
      </c>
      <c r="AO1071" s="63"/>
      <c r="AP1071" s="63"/>
      <c r="AQ1071" s="63">
        <v>0</v>
      </c>
      <c r="AR1071" s="63"/>
      <c r="AS1071" s="63"/>
      <c r="AT1071" s="63"/>
      <c r="AU1071" s="63"/>
      <c r="AW1071" s="5">
        <f>IF(Q1071&gt;0,RANK(Q1071,(N1071:P1071,Q1071:AE1071)),0)</f>
        <v>3</v>
      </c>
      <c r="AX1071" s="5">
        <f>IF(R1071&gt;0,RANK(R1071,(N1071:P1071,Q1071:AE1071)),0)</f>
        <v>5</v>
      </c>
      <c r="AY1071" s="5">
        <f>IF(T1071&gt;0,RANK(T1071,(N1071:P1071,Q1071:AE1071)),0)</f>
        <v>6</v>
      </c>
      <c r="AZ1071" s="5">
        <f>IF(S1071&gt;0,RANK(S1071,(N1071:P1071,Q1071:AE1071)),0)</f>
        <v>6</v>
      </c>
      <c r="BA1071" s="2">
        <f t="shared" si="447"/>
        <v>1.4683447749809305E-2</v>
      </c>
      <c r="BB1071" s="2">
        <f t="shared" si="448"/>
        <v>3.8138825324180014E-3</v>
      </c>
      <c r="BC1071" s="2">
        <f t="shared" si="449"/>
        <v>3.8138825324180017E-4</v>
      </c>
      <c r="BD1071" s="2">
        <f t="shared" si="450"/>
        <v>3.8138825324180017E-4</v>
      </c>
      <c r="BF1071" t="s">
        <v>3179</v>
      </c>
      <c r="BG1071" t="s">
        <v>1009</v>
      </c>
      <c r="BH1071">
        <v>2</v>
      </c>
      <c r="BJ1071" s="114">
        <v>21</v>
      </c>
      <c r="BK1071" s="116">
        <v>61</v>
      </c>
      <c r="BL1071" s="120">
        <f t="shared" si="452"/>
        <v>21061</v>
      </c>
      <c r="BN1071" s="5" t="s">
        <v>3154</v>
      </c>
      <c r="BZ1071" s="63">
        <f t="shared" si="451"/>
        <v>5244</v>
      </c>
      <c r="CD1071" s="63">
        <v>0</v>
      </c>
      <c r="CE1071" s="63">
        <v>0</v>
      </c>
      <c r="CF1071" s="63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>
        <v>0</v>
      </c>
      <c r="CQ1071">
        <v>0</v>
      </c>
    </row>
    <row r="1072" spans="1:95" ht="13" hidden="1" customHeight="1" outlineLevel="1">
      <c r="A1072" t="s">
        <v>541</v>
      </c>
      <c r="B1072" t="s">
        <v>1009</v>
      </c>
      <c r="C1072" s="1">
        <f t="shared" si="440"/>
        <v>2855</v>
      </c>
      <c r="D1072" s="5">
        <f>IF(N1072&gt;0, RANK(N1072,(N1072:P1072,Q1072:AE1072)),0)</f>
        <v>2</v>
      </c>
      <c r="E1072" s="5">
        <f>IF(O1072&gt;0,RANK(O1072,(N1072:P1072,Q1072:AE1072)),0)</f>
        <v>1</v>
      </c>
      <c r="F1072" s="5">
        <f>IF(P1072&gt;0,RANK(P1072,(N1072:P1072,Q1072:AE1072)),0)</f>
        <v>4</v>
      </c>
      <c r="G1072" s="132">
        <f t="shared" si="441"/>
        <v>1260</v>
      </c>
      <c r="H1072" s="137">
        <f t="shared" si="442"/>
        <v>0.44133099824868649</v>
      </c>
      <c r="I1072" s="2"/>
      <c r="J1072" s="2">
        <f t="shared" si="443"/>
        <v>0.25919439579684761</v>
      </c>
      <c r="K1072" s="2">
        <f t="shared" si="444"/>
        <v>0.70052539404553416</v>
      </c>
      <c r="L1072" s="2">
        <f t="shared" si="445"/>
        <v>7.3555166374781088E-3</v>
      </c>
      <c r="M1072" s="2">
        <f t="shared" si="446"/>
        <v>3.2924693520140068E-2</v>
      </c>
      <c r="N1072" s="63">
        <v>740</v>
      </c>
      <c r="O1072" s="63">
        <v>2000</v>
      </c>
      <c r="P1072" s="63">
        <v>21</v>
      </c>
      <c r="Q1072" s="63">
        <v>67</v>
      </c>
      <c r="R1072" s="63">
        <v>19</v>
      </c>
      <c r="S1072" s="63">
        <v>0</v>
      </c>
      <c r="T1072" s="63">
        <v>8</v>
      </c>
      <c r="U1072" s="63"/>
      <c r="V1072" s="63"/>
      <c r="W1072" s="63">
        <f>IF(Copyright!B$11=1,IF(CA1072&gt;0,CA1072-SUM(S1072)-SUM(X1072:AI1072)-SUM(AJ1072:AT1072),SUM(CD1072:CQ1072)),SUM(CD1072:CQ1072))</f>
        <v>0</v>
      </c>
      <c r="X1072" s="63"/>
      <c r="Y1072" s="63">
        <v>0</v>
      </c>
      <c r="Z1072" s="63">
        <v>0</v>
      </c>
      <c r="AA1072" s="63"/>
      <c r="AB1072" s="63"/>
      <c r="AC1072" s="63"/>
      <c r="AD1072" s="63"/>
      <c r="AE1072" s="63">
        <v>0</v>
      </c>
      <c r="AF1072" s="63">
        <v>0</v>
      </c>
      <c r="AG1072" s="63">
        <v>0</v>
      </c>
      <c r="AH1072" s="63"/>
      <c r="AI1072" s="63"/>
      <c r="AJ1072" s="63"/>
      <c r="AK1072" s="63"/>
      <c r="AL1072" s="63"/>
      <c r="AM1072" s="63">
        <v>0</v>
      </c>
      <c r="AN1072" s="63">
        <v>0</v>
      </c>
      <c r="AO1072" s="63"/>
      <c r="AP1072" s="63"/>
      <c r="AQ1072" s="63">
        <v>0</v>
      </c>
      <c r="AR1072" s="63"/>
      <c r="AS1072" s="63"/>
      <c r="AT1072" s="63"/>
      <c r="AU1072" s="63"/>
      <c r="AW1072" s="5">
        <f>IF(Q1072&gt;0,RANK(Q1072,(N1072:P1072,Q1072:AE1072)),0)</f>
        <v>3</v>
      </c>
      <c r="AX1072" s="5">
        <f>IF(R1072&gt;0,RANK(R1072,(N1072:P1072,Q1072:AE1072)),0)</f>
        <v>5</v>
      </c>
      <c r="AY1072" s="5">
        <f>IF(T1072&gt;0,RANK(T1072,(N1072:P1072,Q1072:AE1072)),0)</f>
        <v>6</v>
      </c>
      <c r="AZ1072" s="5">
        <f>IF(S1072&gt;0,RANK(S1072,(N1072:P1072,Q1072:AE1072)),0)</f>
        <v>0</v>
      </c>
      <c r="BA1072" s="2">
        <f t="shared" si="447"/>
        <v>2.3467600700525393E-2</v>
      </c>
      <c r="BB1072" s="2">
        <f t="shared" si="448"/>
        <v>6.6549912434325743E-3</v>
      </c>
      <c r="BC1072" s="2">
        <f t="shared" si="449"/>
        <v>2.8021015761821367E-3</v>
      </c>
      <c r="BD1072" s="2">
        <f t="shared" si="450"/>
        <v>0</v>
      </c>
      <c r="BF1072" t="s">
        <v>541</v>
      </c>
      <c r="BG1072" t="s">
        <v>1009</v>
      </c>
      <c r="BH1072">
        <v>5</v>
      </c>
      <c r="BJ1072" s="114">
        <v>21</v>
      </c>
      <c r="BK1072" s="116">
        <v>63</v>
      </c>
      <c r="BL1072" s="120">
        <f t="shared" si="452"/>
        <v>21063</v>
      </c>
      <c r="BN1072" s="5" t="s">
        <v>3154</v>
      </c>
      <c r="BZ1072" s="63">
        <f t="shared" si="451"/>
        <v>2855</v>
      </c>
      <c r="CD1072" s="63">
        <v>0</v>
      </c>
      <c r="CE1072" s="63">
        <v>0</v>
      </c>
      <c r="CF1072" s="63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>
        <v>0</v>
      </c>
      <c r="CQ1072">
        <v>0</v>
      </c>
    </row>
    <row r="1073" spans="1:95" ht="13" hidden="1" customHeight="1" outlineLevel="1">
      <c r="A1073" t="s">
        <v>557</v>
      </c>
      <c r="B1073" t="s">
        <v>1009</v>
      </c>
      <c r="C1073" s="1">
        <f t="shared" ref="C1073:C1104" si="453">SUM(N1073:AU1073)</f>
        <v>5545</v>
      </c>
      <c r="D1073" s="5">
        <f>IF(N1073&gt;0, RANK(N1073,(N1073:P1073,Q1073:AE1073)),0)</f>
        <v>2</v>
      </c>
      <c r="E1073" s="5">
        <f>IF(O1073&gt;0,RANK(O1073,(N1073:P1073,Q1073:AE1073)),0)</f>
        <v>1</v>
      </c>
      <c r="F1073" s="5">
        <f>IF(P1073&gt;0,RANK(P1073,(N1073:P1073,Q1073:AE1073)),0)</f>
        <v>4</v>
      </c>
      <c r="G1073" s="132">
        <f t="shared" si="441"/>
        <v>3128</v>
      </c>
      <c r="H1073" s="137">
        <f t="shared" si="442"/>
        <v>0.56411181244364295</v>
      </c>
      <c r="I1073" s="2"/>
      <c r="J1073" s="2">
        <f t="shared" ref="J1073:J1104" si="454">IF($C1073=0,"-",N1073/$C1073)</f>
        <v>0.19981965734896304</v>
      </c>
      <c r="K1073" s="2">
        <f t="shared" ref="K1073:K1104" si="455">IF($C1073=0,"-",O1073/$C1073)</f>
        <v>0.76393146979260595</v>
      </c>
      <c r="L1073" s="2">
        <f t="shared" ref="L1073:L1104" si="456">IF($C1073=0,"-",P1073/$C1073)</f>
        <v>6.3119927862939585E-3</v>
      </c>
      <c r="M1073" s="2">
        <f t="shared" ref="M1073:M1104" si="457">IF(C1073=0,"-",(1-J1073-K1073-L1073))</f>
        <v>2.9936880072137077E-2</v>
      </c>
      <c r="N1073" s="63">
        <v>1108</v>
      </c>
      <c r="O1073" s="63">
        <v>4236</v>
      </c>
      <c r="P1073" s="63">
        <v>35</v>
      </c>
      <c r="Q1073" s="63">
        <v>129</v>
      </c>
      <c r="R1073" s="63">
        <v>30</v>
      </c>
      <c r="S1073" s="63">
        <v>0</v>
      </c>
      <c r="T1073" s="63">
        <v>7</v>
      </c>
      <c r="U1073" s="63"/>
      <c r="V1073" s="63"/>
      <c r="W1073" s="63">
        <f>IF(Copyright!B$11=1,IF(CA1073&gt;0,CA1073-SUM(S1073)-SUM(X1073:AI1073)-SUM(AJ1073:AT1073),SUM(CD1073:CQ1073)),SUM(CD1073:CQ1073))</f>
        <v>0</v>
      </c>
      <c r="X1073" s="63"/>
      <c r="Y1073" s="63">
        <v>0</v>
      </c>
      <c r="Z1073" s="63">
        <v>0</v>
      </c>
      <c r="AA1073" s="63"/>
      <c r="AB1073" s="63"/>
      <c r="AC1073" s="63"/>
      <c r="AD1073" s="63"/>
      <c r="AE1073" s="63">
        <v>0</v>
      </c>
      <c r="AF1073" s="63">
        <v>0</v>
      </c>
      <c r="AG1073" s="63">
        <v>0</v>
      </c>
      <c r="AH1073" s="63"/>
      <c r="AI1073" s="63"/>
      <c r="AJ1073" s="63"/>
      <c r="AK1073" s="63"/>
      <c r="AL1073" s="63"/>
      <c r="AM1073" s="63">
        <v>0</v>
      </c>
      <c r="AN1073" s="63">
        <v>0</v>
      </c>
      <c r="AO1073" s="63"/>
      <c r="AP1073" s="63"/>
      <c r="AQ1073" s="63">
        <v>0</v>
      </c>
      <c r="AR1073" s="63"/>
      <c r="AS1073" s="63"/>
      <c r="AT1073" s="63"/>
      <c r="AU1073" s="63"/>
      <c r="AW1073" s="5">
        <f>IF(Q1073&gt;0,RANK(Q1073,(N1073:P1073,Q1073:AE1073)),0)</f>
        <v>3</v>
      </c>
      <c r="AX1073" s="5">
        <f>IF(R1073&gt;0,RANK(R1073,(N1073:P1073,Q1073:AE1073)),0)</f>
        <v>5</v>
      </c>
      <c r="AY1073" s="5">
        <f>IF(T1073&gt;0,RANK(T1073,(N1073:P1073,Q1073:AE1073)),0)</f>
        <v>6</v>
      </c>
      <c r="AZ1073" s="5">
        <f>IF(S1073&gt;0,RANK(S1073,(N1073:P1073,Q1073:AE1073)),0)</f>
        <v>0</v>
      </c>
      <c r="BA1073" s="2">
        <f t="shared" ref="BA1073:BA1104" si="458">IF($C1073=0,"-",Q1073/$C1073)</f>
        <v>2.3264201983769162E-2</v>
      </c>
      <c r="BB1073" s="2">
        <f t="shared" ref="BB1073:BB1104" si="459">IF($C1073=0,"-",R1073/$C1073)</f>
        <v>5.4102795311091077E-3</v>
      </c>
      <c r="BC1073" s="2">
        <f t="shared" ref="BC1073:BC1104" si="460">IF($C1073=0,"-",T1073/$C1073)</f>
        <v>1.2623985572587917E-3</v>
      </c>
      <c r="BD1073" s="2">
        <f t="shared" ref="BD1073:BD1104" si="461">IF($C1073=0,"-",S1073/$C1073)</f>
        <v>0</v>
      </c>
      <c r="BF1073" t="s">
        <v>557</v>
      </c>
      <c r="BG1073" t="s">
        <v>1009</v>
      </c>
      <c r="BH1073">
        <v>6</v>
      </c>
      <c r="BJ1073" s="114">
        <v>21</v>
      </c>
      <c r="BK1073" s="116">
        <v>65</v>
      </c>
      <c r="BL1073" s="120">
        <f t="shared" si="452"/>
        <v>21065</v>
      </c>
      <c r="BN1073" s="5" t="s">
        <v>3154</v>
      </c>
      <c r="BZ1073" s="63">
        <f t="shared" si="451"/>
        <v>5545</v>
      </c>
      <c r="CD1073" s="63">
        <v>0</v>
      </c>
      <c r="CE1073" s="63">
        <v>0</v>
      </c>
      <c r="CF1073" s="63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>
        <v>0</v>
      </c>
      <c r="CQ1073">
        <v>0</v>
      </c>
    </row>
    <row r="1074" spans="1:95" ht="13" hidden="1" customHeight="1" outlineLevel="1">
      <c r="A1074" t="s">
        <v>1416</v>
      </c>
      <c r="B1074" t="s">
        <v>1009</v>
      </c>
      <c r="C1074" s="1">
        <f t="shared" si="453"/>
        <v>136315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>IF(P1074&gt;0,RANK(P1074,(N1074:P1074,Q1074:AE1074)),0)</f>
        <v>4</v>
      </c>
      <c r="G1074" s="132">
        <f t="shared" si="441"/>
        <v>12884</v>
      </c>
      <c r="H1074" s="137">
        <f t="shared" si="442"/>
        <v>9.4516377507977839E-2</v>
      </c>
      <c r="I1074" s="2"/>
      <c r="J1074" s="2">
        <f t="shared" si="454"/>
        <v>0.51188790668671824</v>
      </c>
      <c r="K1074" s="2">
        <f t="shared" si="455"/>
        <v>0.41737152917874043</v>
      </c>
      <c r="L1074" s="2">
        <f t="shared" si="456"/>
        <v>1.9337563731064079E-2</v>
      </c>
      <c r="M1074" s="2">
        <f t="shared" si="457"/>
        <v>5.1403000403477249E-2</v>
      </c>
      <c r="N1074" s="63">
        <v>69778</v>
      </c>
      <c r="O1074" s="63">
        <v>56894</v>
      </c>
      <c r="P1074" s="63">
        <v>2636</v>
      </c>
      <c r="Q1074" s="63">
        <v>5230</v>
      </c>
      <c r="R1074" s="63">
        <v>1580</v>
      </c>
      <c r="S1074" s="63">
        <v>29</v>
      </c>
      <c r="T1074" s="63">
        <v>127</v>
      </c>
      <c r="U1074" s="63"/>
      <c r="V1074" s="63"/>
      <c r="W1074" s="63">
        <f>IF(Copyright!B$11=1,IF(CA1074&gt;0,CA1074-SUM(S1074)-SUM(X1074:AI1074)-SUM(AJ1074:AT1074),SUM(CD1074:CQ1074)),SUM(CD1074:CQ1074))</f>
        <v>2</v>
      </c>
      <c r="X1074" s="63"/>
      <c r="Y1074" s="63">
        <v>3</v>
      </c>
      <c r="Z1074" s="63">
        <v>0</v>
      </c>
      <c r="AA1074" s="63"/>
      <c r="AB1074" s="63"/>
      <c r="AC1074" s="63"/>
      <c r="AD1074" s="63"/>
      <c r="AE1074" s="63">
        <v>0</v>
      </c>
      <c r="AF1074" s="63">
        <v>1</v>
      </c>
      <c r="AG1074" s="63">
        <v>3</v>
      </c>
      <c r="AH1074" s="63"/>
      <c r="AI1074" s="63"/>
      <c r="AJ1074" s="63"/>
      <c r="AK1074" s="63"/>
      <c r="AL1074" s="63"/>
      <c r="AM1074" s="63">
        <v>0</v>
      </c>
      <c r="AN1074" s="63">
        <v>29</v>
      </c>
      <c r="AO1074" s="63"/>
      <c r="AP1074" s="63"/>
      <c r="AQ1074" s="63">
        <v>3</v>
      </c>
      <c r="AR1074" s="63"/>
      <c r="AS1074" s="63"/>
      <c r="AT1074" s="63"/>
      <c r="AU1074" s="63"/>
      <c r="AW1074" s="5">
        <f>IF(Q1074&gt;0,RANK(Q1074,(N1074:P1074,Q1074:AE1074)),0)</f>
        <v>3</v>
      </c>
      <c r="AX1074" s="5">
        <f>IF(R1074&gt;0,RANK(R1074,(N1074:P1074,Q1074:AE1074)),0)</f>
        <v>5</v>
      </c>
      <c r="AY1074" s="5">
        <f>IF(T1074&gt;0,RANK(T1074,(N1074:P1074,Q1074:AE1074)),0)</f>
        <v>6</v>
      </c>
      <c r="AZ1074" s="5">
        <f>IF(S1074&gt;0,RANK(S1074,(N1074:P1074,Q1074:AE1074)),0)</f>
        <v>7</v>
      </c>
      <c r="BA1074" s="2">
        <f t="shared" si="458"/>
        <v>3.8367017569599822E-2</v>
      </c>
      <c r="BB1074" s="2">
        <f t="shared" si="459"/>
        <v>1.1590800718923083E-2</v>
      </c>
      <c r="BC1074" s="2">
        <f t="shared" si="460"/>
        <v>9.316656274071085E-4</v>
      </c>
      <c r="BD1074" s="2">
        <f t="shared" si="461"/>
        <v>2.1274254484099329E-4</v>
      </c>
      <c r="BF1074" t="s">
        <v>1416</v>
      </c>
      <c r="BG1074" t="s">
        <v>1009</v>
      </c>
      <c r="BH1074">
        <v>6</v>
      </c>
      <c r="BJ1074" s="114">
        <v>21</v>
      </c>
      <c r="BK1074" s="116">
        <v>67</v>
      </c>
      <c r="BL1074" s="120">
        <f t="shared" si="452"/>
        <v>21067</v>
      </c>
      <c r="BN1074" s="5" t="s">
        <v>3154</v>
      </c>
      <c r="BZ1074" s="63">
        <f t="shared" si="451"/>
        <v>136315</v>
      </c>
      <c r="CD1074" s="63">
        <v>1</v>
      </c>
      <c r="CE1074" s="63">
        <v>0</v>
      </c>
      <c r="CF1074" s="63">
        <v>0</v>
      </c>
      <c r="CG1074" s="8">
        <v>0</v>
      </c>
      <c r="CH1074" s="8">
        <v>0</v>
      </c>
      <c r="CI1074" s="8">
        <v>0</v>
      </c>
      <c r="CJ1074" s="8">
        <v>1</v>
      </c>
      <c r="CK1074" s="8">
        <v>0</v>
      </c>
      <c r="CL1074" s="8">
        <v>0</v>
      </c>
      <c r="CM1074" s="8">
        <v>0</v>
      </c>
      <c r="CN1074" s="8">
        <v>0</v>
      </c>
      <c r="CO1074" s="8">
        <v>0</v>
      </c>
      <c r="CP1074">
        <v>0</v>
      </c>
      <c r="CQ1074">
        <v>0</v>
      </c>
    </row>
    <row r="1075" spans="1:95" ht="13" hidden="1" customHeight="1" outlineLevel="1">
      <c r="A1075" t="s">
        <v>1514</v>
      </c>
      <c r="B1075" t="s">
        <v>1009</v>
      </c>
      <c r="C1075" s="1">
        <f t="shared" si="453"/>
        <v>6260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4</v>
      </c>
      <c r="G1075" s="132">
        <f t="shared" si="441"/>
        <v>3374</v>
      </c>
      <c r="H1075" s="137">
        <f t="shared" si="442"/>
        <v>0.5389776357827476</v>
      </c>
      <c r="I1075" s="2"/>
      <c r="J1075" s="2">
        <f t="shared" si="454"/>
        <v>0.21533546325878594</v>
      </c>
      <c r="K1075" s="2">
        <f t="shared" si="455"/>
        <v>0.75431309904153354</v>
      </c>
      <c r="L1075" s="2">
        <f t="shared" si="456"/>
        <v>8.1469648562300327E-3</v>
      </c>
      <c r="M1075" s="2">
        <f t="shared" si="457"/>
        <v>2.2204472843450486E-2</v>
      </c>
      <c r="N1075" s="63">
        <v>1348</v>
      </c>
      <c r="O1075" s="63">
        <v>4722</v>
      </c>
      <c r="P1075" s="63">
        <v>51</v>
      </c>
      <c r="Q1075" s="63">
        <v>109</v>
      </c>
      <c r="R1075" s="63">
        <v>20</v>
      </c>
      <c r="S1075" s="63">
        <v>2</v>
      </c>
      <c r="T1075" s="63">
        <v>7</v>
      </c>
      <c r="U1075" s="63"/>
      <c r="V1075" s="63"/>
      <c r="W1075" s="63">
        <f>IF(Copyright!B$11=1,IF(CA1075&gt;0,CA1075-SUM(S1075)-SUM(X1075:AI1075)-SUM(AJ1075:AT1075),SUM(CD1075:CQ1075)),SUM(CD1075:CQ1075))</f>
        <v>1</v>
      </c>
      <c r="X1075" s="63"/>
      <c r="Y1075" s="63">
        <v>0</v>
      </c>
      <c r="Z1075" s="63">
        <v>0</v>
      </c>
      <c r="AA1075" s="63"/>
      <c r="AB1075" s="63"/>
      <c r="AC1075" s="63"/>
      <c r="AD1075" s="63"/>
      <c r="AE1075" s="63">
        <v>0</v>
      </c>
      <c r="AF1075" s="63">
        <v>0</v>
      </c>
      <c r="AG1075" s="63">
        <v>0</v>
      </c>
      <c r="AH1075" s="63"/>
      <c r="AI1075" s="63"/>
      <c r="AJ1075" s="63"/>
      <c r="AK1075" s="63"/>
      <c r="AL1075" s="63"/>
      <c r="AM1075" s="63">
        <v>0</v>
      </c>
      <c r="AN1075" s="63">
        <v>0</v>
      </c>
      <c r="AO1075" s="63"/>
      <c r="AP1075" s="63"/>
      <c r="AQ1075" s="63">
        <v>0</v>
      </c>
      <c r="AR1075" s="63"/>
      <c r="AS1075" s="63"/>
      <c r="AT1075" s="63"/>
      <c r="AU1075" s="63"/>
      <c r="AW1075" s="5">
        <f>IF(Q1075&gt;0,RANK(Q1075,(N1075:P1075,Q1075:AE1075)),0)</f>
        <v>3</v>
      </c>
      <c r="AX1075" s="5">
        <f>IF(R1075&gt;0,RANK(R1075,(N1075:P1075,Q1075:AE1075)),0)</f>
        <v>5</v>
      </c>
      <c r="AY1075" s="5">
        <f>IF(T1075&gt;0,RANK(T1075,(N1075:P1075,Q1075:AE1075)),0)</f>
        <v>6</v>
      </c>
      <c r="AZ1075" s="5">
        <f>IF(S1075&gt;0,RANK(S1075,(N1075:P1075,Q1075:AE1075)),0)</f>
        <v>7</v>
      </c>
      <c r="BA1075" s="2">
        <f t="shared" si="458"/>
        <v>1.7412140575079872E-2</v>
      </c>
      <c r="BB1075" s="2">
        <f t="shared" si="459"/>
        <v>3.1948881789137379E-3</v>
      </c>
      <c r="BC1075" s="2">
        <f t="shared" si="460"/>
        <v>1.1182108626198084E-3</v>
      </c>
      <c r="BD1075" s="2">
        <f t="shared" si="461"/>
        <v>3.1948881789137381E-4</v>
      </c>
      <c r="BF1075" t="s">
        <v>1514</v>
      </c>
      <c r="BG1075" t="s">
        <v>1009</v>
      </c>
      <c r="BH1075">
        <v>6</v>
      </c>
      <c r="BJ1075" s="114">
        <v>21</v>
      </c>
      <c r="BK1075" s="116">
        <v>69</v>
      </c>
      <c r="BL1075" s="120">
        <f t="shared" si="452"/>
        <v>21069</v>
      </c>
      <c r="BN1075" s="5" t="s">
        <v>3154</v>
      </c>
      <c r="BZ1075" s="63">
        <f t="shared" si="451"/>
        <v>6260</v>
      </c>
      <c r="CD1075" s="63">
        <v>0</v>
      </c>
      <c r="CE1075" s="63">
        <v>0</v>
      </c>
      <c r="CF1075" s="63">
        <v>0</v>
      </c>
      <c r="CG1075" s="8">
        <v>1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0</v>
      </c>
      <c r="CN1075" s="8">
        <v>0</v>
      </c>
      <c r="CO1075" s="8">
        <v>0</v>
      </c>
      <c r="CP1075">
        <v>0</v>
      </c>
      <c r="CQ1075">
        <v>0</v>
      </c>
    </row>
    <row r="1076" spans="1:95" ht="13" hidden="1" customHeight="1" outlineLevel="1">
      <c r="A1076" t="s">
        <v>2935</v>
      </c>
      <c r="B1076" t="s">
        <v>1009</v>
      </c>
      <c r="C1076" s="1">
        <f t="shared" si="453"/>
        <v>16540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4</v>
      </c>
      <c r="G1076" s="132">
        <f t="shared" si="441"/>
        <v>7978</v>
      </c>
      <c r="H1076" s="137">
        <f t="shared" si="442"/>
        <v>0.4823458282950423</v>
      </c>
      <c r="I1076" s="2"/>
      <c r="J1076" s="2">
        <f t="shared" si="454"/>
        <v>0.24274486094316808</v>
      </c>
      <c r="K1076" s="2">
        <f t="shared" si="455"/>
        <v>0.72509068923821041</v>
      </c>
      <c r="L1076" s="2">
        <f t="shared" si="456"/>
        <v>6.0459492140266021E-3</v>
      </c>
      <c r="M1076" s="2">
        <f t="shared" si="457"/>
        <v>2.6118500604594939E-2</v>
      </c>
      <c r="N1076" s="63">
        <v>4015</v>
      </c>
      <c r="O1076" s="63">
        <v>11993</v>
      </c>
      <c r="P1076" s="63">
        <v>100</v>
      </c>
      <c r="Q1076" s="63">
        <v>357</v>
      </c>
      <c r="R1076" s="63">
        <v>56</v>
      </c>
      <c r="S1076" s="63">
        <v>0</v>
      </c>
      <c r="T1076" s="63">
        <v>19</v>
      </c>
      <c r="U1076" s="63"/>
      <c r="V1076" s="63"/>
      <c r="W1076" s="63">
        <f>IF(Copyright!B$11=1,IF(CA1076&gt;0,CA1076-SUM(S1076)-SUM(X1076:AI1076)-SUM(AJ1076:AT1076),SUM(CD1076:CQ1076)),SUM(CD1076:CQ1076))</f>
        <v>0</v>
      </c>
      <c r="X1076" s="63"/>
      <c r="Y1076" s="63">
        <v>0</v>
      </c>
      <c r="Z1076" s="63">
        <v>0</v>
      </c>
      <c r="AA1076" s="63"/>
      <c r="AB1076" s="63"/>
      <c r="AC1076" s="63"/>
      <c r="AD1076" s="63"/>
      <c r="AE1076" s="63">
        <v>0</v>
      </c>
      <c r="AF1076" s="63">
        <v>0</v>
      </c>
      <c r="AG1076" s="63">
        <v>0</v>
      </c>
      <c r="AH1076" s="63"/>
      <c r="AI1076" s="63"/>
      <c r="AJ1076" s="63"/>
      <c r="AK1076" s="63"/>
      <c r="AL1076" s="63"/>
      <c r="AM1076" s="63">
        <v>0</v>
      </c>
      <c r="AN1076" s="63">
        <v>0</v>
      </c>
      <c r="AO1076" s="63"/>
      <c r="AP1076" s="63"/>
      <c r="AQ1076" s="63">
        <v>0</v>
      </c>
      <c r="AR1076" s="63"/>
      <c r="AS1076" s="63"/>
      <c r="AT1076" s="63"/>
      <c r="AU1076" s="63"/>
      <c r="AW1076" s="5">
        <f>IF(Q1076&gt;0,RANK(Q1076,(N1076:P1076,Q1076:AE1076)),0)</f>
        <v>3</v>
      </c>
      <c r="AX1076" s="5">
        <f>IF(R1076&gt;0,RANK(R1076,(N1076:P1076,Q1076:AE1076)),0)</f>
        <v>5</v>
      </c>
      <c r="AY1076" s="5">
        <f>IF(T1076&gt;0,RANK(T1076,(N1076:P1076,Q1076:AE1076)),0)</f>
        <v>6</v>
      </c>
      <c r="AZ1076" s="5">
        <f>IF(S1076&gt;0,RANK(S1076,(N1076:P1076,Q1076:AE1076)),0)</f>
        <v>0</v>
      </c>
      <c r="BA1076" s="2">
        <f t="shared" si="458"/>
        <v>2.1584038694074971E-2</v>
      </c>
      <c r="BB1076" s="2">
        <f t="shared" si="459"/>
        <v>3.3857315598548971E-3</v>
      </c>
      <c r="BC1076" s="2">
        <f t="shared" si="460"/>
        <v>1.1487303506650544E-3</v>
      </c>
      <c r="BD1076" s="2">
        <f t="shared" si="461"/>
        <v>0</v>
      </c>
      <c r="BF1076" t="s">
        <v>2935</v>
      </c>
      <c r="BG1076" t="s">
        <v>1009</v>
      </c>
      <c r="BH1076">
        <v>5</v>
      </c>
      <c r="BJ1076" s="114">
        <v>21</v>
      </c>
      <c r="BK1076" s="116">
        <v>71</v>
      </c>
      <c r="BL1076" s="120">
        <f t="shared" si="452"/>
        <v>21071</v>
      </c>
      <c r="BN1076" s="5" t="s">
        <v>3154</v>
      </c>
      <c r="BZ1076" s="63">
        <f t="shared" si="451"/>
        <v>16540</v>
      </c>
      <c r="CD1076" s="63">
        <v>0</v>
      </c>
      <c r="CE1076" s="63">
        <v>0</v>
      </c>
      <c r="CF1076" s="63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>
        <v>0</v>
      </c>
      <c r="CQ1076">
        <v>0</v>
      </c>
    </row>
    <row r="1077" spans="1:95" ht="13" hidden="1" customHeight="1" outlineLevel="1">
      <c r="A1077" t="s">
        <v>1138</v>
      </c>
      <c r="B1077" t="s">
        <v>1009</v>
      </c>
      <c r="C1077" s="1">
        <f t="shared" si="453"/>
        <v>23865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>IF(P1077&gt;0,RANK(P1077,(N1077:P1077,Q1077:AE1077)),0)</f>
        <v>4</v>
      </c>
      <c r="G1077" s="132">
        <f t="shared" si="441"/>
        <v>1102</v>
      </c>
      <c r="H1077" s="137">
        <f t="shared" si="442"/>
        <v>4.617640896710664E-2</v>
      </c>
      <c r="I1077" s="2"/>
      <c r="J1077" s="2">
        <f t="shared" si="454"/>
        <v>0.44906767232348627</v>
      </c>
      <c r="K1077" s="2">
        <f t="shared" si="455"/>
        <v>0.49524408129059294</v>
      </c>
      <c r="L1077" s="2">
        <f t="shared" si="456"/>
        <v>1.4372512046930651E-2</v>
      </c>
      <c r="M1077" s="2">
        <f t="shared" si="457"/>
        <v>4.1315734338990086E-2</v>
      </c>
      <c r="N1077" s="63">
        <v>10717</v>
      </c>
      <c r="O1077" s="63">
        <v>11819</v>
      </c>
      <c r="P1077" s="63">
        <v>343</v>
      </c>
      <c r="Q1077" s="63">
        <v>725</v>
      </c>
      <c r="R1077" s="63">
        <v>236</v>
      </c>
      <c r="S1077" s="63">
        <v>4</v>
      </c>
      <c r="T1077" s="63">
        <v>20</v>
      </c>
      <c r="U1077" s="63"/>
      <c r="V1077" s="63"/>
      <c r="W1077" s="63">
        <f>IF(Copyright!B$11=1,IF(CA1077&gt;0,CA1077-SUM(S1077)-SUM(X1077:AI1077)-SUM(AJ1077:AT1077),SUM(CD1077:CQ1077)),SUM(CD1077:CQ1077))</f>
        <v>0</v>
      </c>
      <c r="X1077" s="63"/>
      <c r="Y1077" s="63">
        <v>1</v>
      </c>
      <c r="Z1077" s="63">
        <v>0</v>
      </c>
      <c r="AA1077" s="63"/>
      <c r="AB1077" s="63"/>
      <c r="AC1077" s="63"/>
      <c r="AD1077" s="63"/>
      <c r="AE1077" s="63">
        <v>0</v>
      </c>
      <c r="AF1077" s="63">
        <v>0</v>
      </c>
      <c r="AG1077" s="63">
        <v>0</v>
      </c>
      <c r="AH1077" s="63"/>
      <c r="AI1077" s="63"/>
      <c r="AJ1077" s="63"/>
      <c r="AK1077" s="63"/>
      <c r="AL1077" s="63"/>
      <c r="AM1077" s="63">
        <v>0</v>
      </c>
      <c r="AN1077" s="63">
        <v>0</v>
      </c>
      <c r="AO1077" s="63"/>
      <c r="AP1077" s="63"/>
      <c r="AQ1077" s="63">
        <v>0</v>
      </c>
      <c r="AR1077" s="63"/>
      <c r="AS1077" s="63"/>
      <c r="AT1077" s="63"/>
      <c r="AU1077" s="63"/>
      <c r="AW1077" s="5">
        <f>IF(Q1077&gt;0,RANK(Q1077,(N1077:P1077,Q1077:AE1077)),0)</f>
        <v>3</v>
      </c>
      <c r="AX1077" s="5">
        <f>IF(R1077&gt;0,RANK(R1077,(N1077:P1077,Q1077:AE1077)),0)</f>
        <v>5</v>
      </c>
      <c r="AY1077" s="5">
        <f>IF(T1077&gt;0,RANK(T1077,(N1077:P1077,Q1077:AE1077)),0)</f>
        <v>6</v>
      </c>
      <c r="AZ1077" s="5">
        <f>IF(S1077&gt;0,RANK(S1077,(N1077:P1077,Q1077:AE1077)),0)</f>
        <v>7</v>
      </c>
      <c r="BA1077" s="2">
        <f t="shared" si="458"/>
        <v>3.0379216425728054E-2</v>
      </c>
      <c r="BB1077" s="2">
        <f t="shared" si="459"/>
        <v>9.8889587261680283E-3</v>
      </c>
      <c r="BC1077" s="2">
        <f t="shared" si="460"/>
        <v>8.380473496752566E-4</v>
      </c>
      <c r="BD1077" s="2">
        <f t="shared" si="461"/>
        <v>1.6760946993505134E-4</v>
      </c>
      <c r="BF1077" t="s">
        <v>1138</v>
      </c>
      <c r="BG1077" t="s">
        <v>1009</v>
      </c>
      <c r="BH1077">
        <v>6</v>
      </c>
      <c r="BJ1077" s="114">
        <v>21</v>
      </c>
      <c r="BK1077" s="116">
        <v>73</v>
      </c>
      <c r="BL1077" s="120">
        <f t="shared" si="452"/>
        <v>21073</v>
      </c>
      <c r="BN1077" s="5" t="s">
        <v>3154</v>
      </c>
      <c r="BZ1077" s="63">
        <f t="shared" si="451"/>
        <v>23865</v>
      </c>
      <c r="CD1077" s="63">
        <v>0</v>
      </c>
      <c r="CE1077" s="63">
        <v>0</v>
      </c>
      <c r="CF1077" s="63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>
        <v>0</v>
      </c>
      <c r="CQ1077">
        <v>0</v>
      </c>
    </row>
    <row r="1078" spans="1:95" ht="13" hidden="1" customHeight="1" outlineLevel="1">
      <c r="A1078" t="s">
        <v>2388</v>
      </c>
      <c r="B1078" t="s">
        <v>1009</v>
      </c>
      <c r="C1078" s="1">
        <f t="shared" si="453"/>
        <v>2382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4</v>
      </c>
      <c r="G1078" s="132">
        <f t="shared" si="441"/>
        <v>775</v>
      </c>
      <c r="H1078" s="137">
        <f t="shared" si="442"/>
        <v>0.32535684298908479</v>
      </c>
      <c r="I1078" s="2"/>
      <c r="J1078" s="2">
        <f t="shared" si="454"/>
        <v>0.32493702770780858</v>
      </c>
      <c r="K1078" s="2">
        <f t="shared" si="455"/>
        <v>0.65029387069689337</v>
      </c>
      <c r="L1078" s="2">
        <f t="shared" si="456"/>
        <v>6.7170445004198151E-3</v>
      </c>
      <c r="M1078" s="2">
        <f t="shared" si="457"/>
        <v>1.8052057094878289E-2</v>
      </c>
      <c r="N1078" s="63">
        <v>774</v>
      </c>
      <c r="O1078" s="63">
        <v>1549</v>
      </c>
      <c r="P1078" s="63">
        <v>16</v>
      </c>
      <c r="Q1078" s="63">
        <v>35</v>
      </c>
      <c r="R1078" s="63">
        <v>7</v>
      </c>
      <c r="S1078" s="63">
        <v>0</v>
      </c>
      <c r="T1078" s="63">
        <v>1</v>
      </c>
      <c r="U1078" s="63"/>
      <c r="V1078" s="63"/>
      <c r="W1078" s="63">
        <f>IF(Copyright!B$11=1,IF(CA1078&gt;0,CA1078-SUM(S1078)-SUM(X1078:AI1078)-SUM(AJ1078:AT1078),SUM(CD1078:CQ1078)),SUM(CD1078:CQ1078))</f>
        <v>0</v>
      </c>
      <c r="X1078" s="63"/>
      <c r="Y1078" s="63">
        <v>0</v>
      </c>
      <c r="Z1078" s="63">
        <v>0</v>
      </c>
      <c r="AA1078" s="63"/>
      <c r="AB1078" s="63"/>
      <c r="AC1078" s="63"/>
      <c r="AD1078" s="63"/>
      <c r="AE1078" s="63">
        <v>0</v>
      </c>
      <c r="AF1078" s="63">
        <v>0</v>
      </c>
      <c r="AG1078" s="63">
        <v>0</v>
      </c>
      <c r="AH1078" s="63"/>
      <c r="AI1078" s="63"/>
      <c r="AJ1078" s="63"/>
      <c r="AK1078" s="63"/>
      <c r="AL1078" s="63"/>
      <c r="AM1078" s="63">
        <v>0</v>
      </c>
      <c r="AN1078" s="63">
        <v>0</v>
      </c>
      <c r="AO1078" s="63"/>
      <c r="AP1078" s="63"/>
      <c r="AQ1078" s="63">
        <v>0</v>
      </c>
      <c r="AR1078" s="63"/>
      <c r="AS1078" s="63"/>
      <c r="AT1078" s="63"/>
      <c r="AU1078" s="63"/>
      <c r="AW1078" s="5">
        <f>IF(Q1078&gt;0,RANK(Q1078,(N1078:P1078,Q1078:AE1078)),0)</f>
        <v>3</v>
      </c>
      <c r="AX1078" s="5">
        <f>IF(R1078&gt;0,RANK(R1078,(N1078:P1078,Q1078:AE1078)),0)</f>
        <v>5</v>
      </c>
      <c r="AY1078" s="5">
        <f>IF(T1078&gt;0,RANK(T1078,(N1078:P1078,Q1078:AE1078)),0)</f>
        <v>6</v>
      </c>
      <c r="AZ1078" s="5">
        <f>IF(S1078&gt;0,RANK(S1078,(N1078:P1078,Q1078:AE1078)),0)</f>
        <v>0</v>
      </c>
      <c r="BA1078" s="2">
        <f t="shared" si="458"/>
        <v>1.4693534844668345E-2</v>
      </c>
      <c r="BB1078" s="2">
        <f t="shared" si="459"/>
        <v>2.9387069689336691E-3</v>
      </c>
      <c r="BC1078" s="2">
        <f t="shared" si="460"/>
        <v>4.1981528127623844E-4</v>
      </c>
      <c r="BD1078" s="2">
        <f t="shared" si="461"/>
        <v>0</v>
      </c>
      <c r="BF1078" t="s">
        <v>2388</v>
      </c>
      <c r="BG1078" t="s">
        <v>1009</v>
      </c>
      <c r="BH1078">
        <v>1</v>
      </c>
      <c r="BJ1078" s="114">
        <v>21</v>
      </c>
      <c r="BK1078" s="116">
        <v>75</v>
      </c>
      <c r="BL1078" s="120">
        <f t="shared" si="452"/>
        <v>21075</v>
      </c>
      <c r="BN1078" s="5" t="s">
        <v>3154</v>
      </c>
      <c r="BZ1078" s="63">
        <f t="shared" si="451"/>
        <v>2382</v>
      </c>
      <c r="CD1078" s="63">
        <v>0</v>
      </c>
      <c r="CE1078" s="63">
        <v>0</v>
      </c>
      <c r="CF1078" s="63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0</v>
      </c>
      <c r="CN1078" s="8">
        <v>0</v>
      </c>
      <c r="CO1078" s="8">
        <v>0</v>
      </c>
      <c r="CP1078">
        <v>0</v>
      </c>
      <c r="CQ1078">
        <v>0</v>
      </c>
    </row>
    <row r="1079" spans="1:95" ht="13" hidden="1" customHeight="1" outlineLevel="1">
      <c r="A1079" t="s">
        <v>45</v>
      </c>
      <c r="B1079" t="s">
        <v>1009</v>
      </c>
      <c r="C1079" s="1">
        <f t="shared" si="453"/>
        <v>3338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4</v>
      </c>
      <c r="G1079" s="132">
        <f t="shared" si="441"/>
        <v>1694</v>
      </c>
      <c r="H1079" s="137">
        <f t="shared" si="442"/>
        <v>0.50748951467944881</v>
      </c>
      <c r="I1079" s="2"/>
      <c r="J1079" s="2">
        <f t="shared" si="454"/>
        <v>0.2243858597962852</v>
      </c>
      <c r="K1079" s="2">
        <f t="shared" si="455"/>
        <v>0.73187537447573392</v>
      </c>
      <c r="L1079" s="2">
        <f t="shared" si="456"/>
        <v>7.1899340922708206E-3</v>
      </c>
      <c r="M1079" s="2">
        <f t="shared" si="457"/>
        <v>3.6548831635710037E-2</v>
      </c>
      <c r="N1079" s="63">
        <v>749</v>
      </c>
      <c r="O1079" s="63">
        <v>2443</v>
      </c>
      <c r="P1079" s="63">
        <v>24</v>
      </c>
      <c r="Q1079" s="63">
        <v>100</v>
      </c>
      <c r="R1079" s="63">
        <v>18</v>
      </c>
      <c r="S1079" s="63">
        <v>1</v>
      </c>
      <c r="T1079" s="63">
        <v>3</v>
      </c>
      <c r="U1079" s="63"/>
      <c r="V1079" s="63"/>
      <c r="W1079" s="63">
        <f>IF(Copyright!B$11=1,IF(CA1079&gt;0,CA1079-SUM(S1079)-SUM(X1079:AI1079)-SUM(AJ1079:AT1079),SUM(CD1079:CQ1079)),SUM(CD1079:CQ1079))</f>
        <v>0</v>
      </c>
      <c r="X1079" s="63"/>
      <c r="Y1079" s="63">
        <v>0</v>
      </c>
      <c r="Z1079" s="63">
        <v>0</v>
      </c>
      <c r="AA1079" s="63"/>
      <c r="AB1079" s="63"/>
      <c r="AC1079" s="63"/>
      <c r="AD1079" s="63"/>
      <c r="AE1079" s="63">
        <v>0</v>
      </c>
      <c r="AF1079" s="63">
        <v>0</v>
      </c>
      <c r="AG1079" s="63">
        <v>0</v>
      </c>
      <c r="AH1079" s="63"/>
      <c r="AI1079" s="63"/>
      <c r="AJ1079" s="63"/>
      <c r="AK1079" s="63"/>
      <c r="AL1079" s="63"/>
      <c r="AM1079" s="63">
        <v>0</v>
      </c>
      <c r="AN1079" s="63">
        <v>0</v>
      </c>
      <c r="AO1079" s="63"/>
      <c r="AP1079" s="63"/>
      <c r="AQ1079" s="63">
        <v>0</v>
      </c>
      <c r="AR1079" s="63"/>
      <c r="AS1079" s="63"/>
      <c r="AT1079" s="63"/>
      <c r="AU1079" s="63"/>
      <c r="AW1079" s="5">
        <f>IF(Q1079&gt;0,RANK(Q1079,(N1079:P1079,Q1079:AE1079)),0)</f>
        <v>3</v>
      </c>
      <c r="AX1079" s="5">
        <f>IF(R1079&gt;0,RANK(R1079,(N1079:P1079,Q1079:AE1079)),0)</f>
        <v>5</v>
      </c>
      <c r="AY1079" s="5">
        <f>IF(T1079&gt;0,RANK(T1079,(N1079:P1079,Q1079:AE1079)),0)</f>
        <v>6</v>
      </c>
      <c r="AZ1079" s="5">
        <f>IF(S1079&gt;0,RANK(S1079,(N1079:P1079,Q1079:AE1079)),0)</f>
        <v>7</v>
      </c>
      <c r="BA1079" s="2">
        <f t="shared" si="458"/>
        <v>2.9958058717795086E-2</v>
      </c>
      <c r="BB1079" s="2">
        <f t="shared" si="459"/>
        <v>5.3924505692031152E-3</v>
      </c>
      <c r="BC1079" s="2">
        <f t="shared" si="460"/>
        <v>8.9874176153385257E-4</v>
      </c>
      <c r="BD1079" s="2">
        <f t="shared" si="461"/>
        <v>2.9958058717795088E-4</v>
      </c>
      <c r="BF1079" t="s">
        <v>45</v>
      </c>
      <c r="BG1079" t="s">
        <v>1009</v>
      </c>
      <c r="BH1079">
        <v>4</v>
      </c>
      <c r="BJ1079" s="114">
        <v>21</v>
      </c>
      <c r="BK1079" s="116">
        <v>77</v>
      </c>
      <c r="BL1079" s="120">
        <f t="shared" si="452"/>
        <v>21077</v>
      </c>
      <c r="BN1079" s="5" t="s">
        <v>3154</v>
      </c>
      <c r="BZ1079" s="63">
        <f t="shared" si="451"/>
        <v>3338</v>
      </c>
      <c r="CD1079" s="63">
        <v>0</v>
      </c>
      <c r="CE1079" s="63">
        <v>0</v>
      </c>
      <c r="CF1079" s="63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>
        <v>0</v>
      </c>
      <c r="CQ1079">
        <v>0</v>
      </c>
    </row>
    <row r="1080" spans="1:95" ht="13" hidden="1" customHeight="1" outlineLevel="1">
      <c r="A1080" t="s">
        <v>342</v>
      </c>
      <c r="B1080" t="s">
        <v>1009</v>
      </c>
      <c r="C1080" s="1">
        <f t="shared" si="453"/>
        <v>7623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4</v>
      </c>
      <c r="G1080" s="132">
        <f t="shared" si="441"/>
        <v>4451</v>
      </c>
      <c r="H1080" s="137">
        <f t="shared" si="442"/>
        <v>0.58389085661812934</v>
      </c>
      <c r="I1080" s="2"/>
      <c r="J1080" s="2">
        <f t="shared" si="454"/>
        <v>0.19060737242555426</v>
      </c>
      <c r="K1080" s="2">
        <f t="shared" si="455"/>
        <v>0.77449822904368359</v>
      </c>
      <c r="L1080" s="2">
        <f t="shared" si="456"/>
        <v>8.658008658008658E-3</v>
      </c>
      <c r="M1080" s="2">
        <f t="shared" si="457"/>
        <v>2.6236389872753493E-2</v>
      </c>
      <c r="N1080" s="63">
        <v>1453</v>
      </c>
      <c r="O1080" s="63">
        <v>5904</v>
      </c>
      <c r="P1080" s="63">
        <v>66</v>
      </c>
      <c r="Q1080" s="63">
        <v>157</v>
      </c>
      <c r="R1080" s="63">
        <v>33</v>
      </c>
      <c r="S1080" s="63">
        <v>2</v>
      </c>
      <c r="T1080" s="63">
        <v>6</v>
      </c>
      <c r="U1080" s="63"/>
      <c r="V1080" s="63"/>
      <c r="W1080" s="63">
        <f>IF(Copyright!B$11=1,IF(CA1080&gt;0,CA1080-SUM(S1080)-SUM(X1080:AI1080)-SUM(AJ1080:AT1080),SUM(CD1080:CQ1080)),SUM(CD1080:CQ1080))</f>
        <v>0</v>
      </c>
      <c r="X1080" s="63"/>
      <c r="Y1080" s="63">
        <v>0</v>
      </c>
      <c r="Z1080" s="63">
        <v>0</v>
      </c>
      <c r="AA1080" s="63"/>
      <c r="AB1080" s="63"/>
      <c r="AC1080" s="63"/>
      <c r="AD1080" s="63"/>
      <c r="AE1080" s="63">
        <v>0</v>
      </c>
      <c r="AF1080" s="63">
        <v>0</v>
      </c>
      <c r="AG1080" s="63">
        <v>0</v>
      </c>
      <c r="AH1080" s="63"/>
      <c r="AI1080" s="63"/>
      <c r="AJ1080" s="63"/>
      <c r="AK1080" s="63"/>
      <c r="AL1080" s="63"/>
      <c r="AM1080" s="63">
        <v>0</v>
      </c>
      <c r="AN1080" s="63">
        <v>2</v>
      </c>
      <c r="AO1080" s="63"/>
      <c r="AP1080" s="63"/>
      <c r="AQ1080" s="63">
        <v>0</v>
      </c>
      <c r="AR1080" s="63"/>
      <c r="AS1080" s="63"/>
      <c r="AT1080" s="63"/>
      <c r="AU1080" s="63"/>
      <c r="AW1080" s="5">
        <f>IF(Q1080&gt;0,RANK(Q1080,(N1080:P1080,Q1080:AE1080)),0)</f>
        <v>3</v>
      </c>
      <c r="AX1080" s="5">
        <f>IF(R1080&gt;0,RANK(R1080,(N1080:P1080,Q1080:AE1080)),0)</f>
        <v>5</v>
      </c>
      <c r="AY1080" s="5">
        <f>IF(T1080&gt;0,RANK(T1080,(N1080:P1080,Q1080:AE1080)),0)</f>
        <v>6</v>
      </c>
      <c r="AZ1080" s="5">
        <f>IF(S1080&gt;0,RANK(S1080,(N1080:P1080,Q1080:AE1080)),0)</f>
        <v>7</v>
      </c>
      <c r="BA1080" s="2">
        <f t="shared" si="458"/>
        <v>2.0595566050111504E-2</v>
      </c>
      <c r="BB1080" s="2">
        <f t="shared" si="459"/>
        <v>4.329004329004329E-3</v>
      </c>
      <c r="BC1080" s="2">
        <f t="shared" si="460"/>
        <v>7.8709169618260523E-4</v>
      </c>
      <c r="BD1080" s="2">
        <f t="shared" si="461"/>
        <v>2.623638987275351E-4</v>
      </c>
      <c r="BF1080" t="s">
        <v>342</v>
      </c>
      <c r="BG1080" t="s">
        <v>1009</v>
      </c>
      <c r="BH1080">
        <v>2</v>
      </c>
      <c r="BJ1080" s="114">
        <v>21</v>
      </c>
      <c r="BK1080" s="116">
        <v>79</v>
      </c>
      <c r="BL1080" s="120">
        <f t="shared" si="452"/>
        <v>21079</v>
      </c>
      <c r="BN1080" s="5" t="s">
        <v>3154</v>
      </c>
      <c r="BZ1080" s="63">
        <f t="shared" si="451"/>
        <v>7623</v>
      </c>
      <c r="CD1080" s="63">
        <v>0</v>
      </c>
      <c r="CE1080" s="63">
        <v>0</v>
      </c>
      <c r="CF1080" s="63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>
        <v>0</v>
      </c>
      <c r="CQ1080">
        <v>0</v>
      </c>
    </row>
    <row r="1081" spans="1:95" ht="13" hidden="1" customHeight="1" outlineLevel="1">
      <c r="A1081" t="s">
        <v>1417</v>
      </c>
      <c r="B1081" t="s">
        <v>1009</v>
      </c>
      <c r="C1081" s="1">
        <f t="shared" si="453"/>
        <v>9559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4</v>
      </c>
      <c r="G1081" s="132">
        <f t="shared" si="441"/>
        <v>5358</v>
      </c>
      <c r="H1081" s="137">
        <f t="shared" si="442"/>
        <v>0.56051888272831885</v>
      </c>
      <c r="I1081" s="2"/>
      <c r="J1081" s="2">
        <f t="shared" si="454"/>
        <v>0.19981169578407784</v>
      </c>
      <c r="K1081" s="2">
        <f t="shared" si="455"/>
        <v>0.76033057851239672</v>
      </c>
      <c r="L1081" s="2">
        <f t="shared" si="456"/>
        <v>7.9506224500470752E-3</v>
      </c>
      <c r="M1081" s="2">
        <f t="shared" si="457"/>
        <v>3.1907103253478342E-2</v>
      </c>
      <c r="N1081" s="63">
        <v>1910</v>
      </c>
      <c r="O1081" s="63">
        <v>7268</v>
      </c>
      <c r="P1081" s="63">
        <v>76</v>
      </c>
      <c r="Q1081" s="63">
        <v>226</v>
      </c>
      <c r="R1081" s="63">
        <v>71</v>
      </c>
      <c r="S1081" s="63">
        <v>3</v>
      </c>
      <c r="T1081" s="63">
        <v>5</v>
      </c>
      <c r="U1081" s="63"/>
      <c r="V1081" s="63"/>
      <c r="W1081" s="63">
        <f>IF(Copyright!B$11=1,IF(CA1081&gt;0,CA1081-SUM(S1081)-SUM(X1081:AI1081)-SUM(AJ1081:AT1081),SUM(CD1081:CQ1081)),SUM(CD1081:CQ1081))</f>
        <v>0</v>
      </c>
      <c r="X1081" s="63"/>
      <c r="Y1081" s="63">
        <v>0</v>
      </c>
      <c r="Z1081" s="63">
        <v>0</v>
      </c>
      <c r="AA1081" s="63"/>
      <c r="AB1081" s="63"/>
      <c r="AC1081" s="63"/>
      <c r="AD1081" s="63"/>
      <c r="AE1081" s="63">
        <v>0</v>
      </c>
      <c r="AF1081" s="63">
        <v>0</v>
      </c>
      <c r="AG1081" s="63">
        <v>0</v>
      </c>
      <c r="AH1081" s="63"/>
      <c r="AI1081" s="63"/>
      <c r="AJ1081" s="63"/>
      <c r="AK1081" s="63"/>
      <c r="AL1081" s="63"/>
      <c r="AM1081" s="63">
        <v>0</v>
      </c>
      <c r="AN1081" s="63">
        <v>0</v>
      </c>
      <c r="AO1081" s="63"/>
      <c r="AP1081" s="63"/>
      <c r="AQ1081" s="63">
        <v>0</v>
      </c>
      <c r="AR1081" s="63"/>
      <c r="AS1081" s="63"/>
      <c r="AT1081" s="63"/>
      <c r="AU1081" s="63"/>
      <c r="AW1081" s="5">
        <f>IF(Q1081&gt;0,RANK(Q1081,(N1081:P1081,Q1081:AE1081)),0)</f>
        <v>3</v>
      </c>
      <c r="AX1081" s="5">
        <f>IF(R1081&gt;0,RANK(R1081,(N1081:P1081,Q1081:AE1081)),0)</f>
        <v>5</v>
      </c>
      <c r="AY1081" s="5">
        <f>IF(T1081&gt;0,RANK(T1081,(N1081:P1081,Q1081:AE1081)),0)</f>
        <v>6</v>
      </c>
      <c r="AZ1081" s="5">
        <f>IF(S1081&gt;0,RANK(S1081,(N1081:P1081,Q1081:AE1081)),0)</f>
        <v>7</v>
      </c>
      <c r="BA1081" s="2">
        <f t="shared" si="458"/>
        <v>2.3642640443561042E-2</v>
      </c>
      <c r="BB1081" s="2">
        <f t="shared" si="459"/>
        <v>7.4275551835966108E-3</v>
      </c>
      <c r="BC1081" s="2">
        <f t="shared" si="460"/>
        <v>5.2306726645046553E-4</v>
      </c>
      <c r="BD1081" s="2">
        <f t="shared" si="461"/>
        <v>3.1384035987027932E-4</v>
      </c>
      <c r="BF1081" t="s">
        <v>1417</v>
      </c>
      <c r="BG1081" t="s">
        <v>1009</v>
      </c>
      <c r="BH1081">
        <v>4</v>
      </c>
      <c r="BJ1081" s="114">
        <v>21</v>
      </c>
      <c r="BK1081" s="116">
        <v>81</v>
      </c>
      <c r="BL1081" s="120">
        <f t="shared" si="452"/>
        <v>21081</v>
      </c>
      <c r="BN1081" s="5" t="s">
        <v>3154</v>
      </c>
      <c r="BZ1081" s="63">
        <f t="shared" si="451"/>
        <v>9559</v>
      </c>
      <c r="CD1081" s="63">
        <v>0</v>
      </c>
      <c r="CE1081" s="63">
        <v>0</v>
      </c>
      <c r="CF1081" s="63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>
        <v>0</v>
      </c>
      <c r="CQ1081">
        <v>0</v>
      </c>
    </row>
    <row r="1082" spans="1:95" ht="13" hidden="1" customHeight="1" outlineLevel="1">
      <c r="A1082" t="s">
        <v>216</v>
      </c>
      <c r="B1082" t="s">
        <v>1009</v>
      </c>
      <c r="C1082" s="1">
        <f t="shared" si="453"/>
        <v>16606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4</v>
      </c>
      <c r="G1082" s="132">
        <f t="shared" si="441"/>
        <v>9363</v>
      </c>
      <c r="H1082" s="137">
        <f t="shared" si="442"/>
        <v>0.56383234975310126</v>
      </c>
      <c r="I1082" s="2"/>
      <c r="J1082" s="2">
        <f t="shared" si="454"/>
        <v>0.19920510658798024</v>
      </c>
      <c r="K1082" s="2">
        <f t="shared" si="455"/>
        <v>0.76303745634108155</v>
      </c>
      <c r="L1082" s="2">
        <f t="shared" si="456"/>
        <v>6.7445501625918343E-3</v>
      </c>
      <c r="M1082" s="2">
        <f t="shared" si="457"/>
        <v>3.1012886908346315E-2</v>
      </c>
      <c r="N1082" s="63">
        <v>3308</v>
      </c>
      <c r="O1082" s="63">
        <v>12671</v>
      </c>
      <c r="P1082" s="63">
        <v>112</v>
      </c>
      <c r="Q1082" s="63">
        <v>411</v>
      </c>
      <c r="R1082" s="63">
        <v>80</v>
      </c>
      <c r="S1082" s="63">
        <v>11</v>
      </c>
      <c r="T1082" s="63">
        <v>10</v>
      </c>
      <c r="U1082" s="63"/>
      <c r="V1082" s="63"/>
      <c r="W1082" s="63">
        <f>IF(Copyright!B$11=1,IF(CA1082&gt;0,CA1082-SUM(S1082)-SUM(X1082:AI1082)-SUM(AJ1082:AT1082),SUM(CD1082:CQ1082)),SUM(CD1082:CQ1082))</f>
        <v>0</v>
      </c>
      <c r="X1082" s="63"/>
      <c r="Y1082" s="63">
        <v>2</v>
      </c>
      <c r="Z1082" s="63">
        <v>0</v>
      </c>
      <c r="AA1082" s="63"/>
      <c r="AB1082" s="63"/>
      <c r="AC1082" s="63"/>
      <c r="AD1082" s="63"/>
      <c r="AE1082" s="63">
        <v>1</v>
      </c>
      <c r="AF1082" s="63">
        <v>0</v>
      </c>
      <c r="AG1082" s="63">
        <v>0</v>
      </c>
      <c r="AH1082" s="63"/>
      <c r="AI1082" s="63"/>
      <c r="AJ1082" s="63"/>
      <c r="AK1082" s="63"/>
      <c r="AL1082" s="63"/>
      <c r="AM1082" s="63">
        <v>0</v>
      </c>
      <c r="AN1082" s="63">
        <v>0</v>
      </c>
      <c r="AO1082" s="63"/>
      <c r="AP1082" s="63"/>
      <c r="AQ1082" s="63">
        <v>0</v>
      </c>
      <c r="AR1082" s="63"/>
      <c r="AS1082" s="63"/>
      <c r="AT1082" s="63"/>
      <c r="AU1082" s="63"/>
      <c r="AW1082" s="5">
        <f>IF(Q1082&gt;0,RANK(Q1082,(N1082:P1082,Q1082:AE1082)),0)</f>
        <v>3</v>
      </c>
      <c r="AX1082" s="5">
        <f>IF(R1082&gt;0,RANK(R1082,(N1082:P1082,Q1082:AE1082)),0)</f>
        <v>5</v>
      </c>
      <c r="AY1082" s="5">
        <f>IF(T1082&gt;0,RANK(T1082,(N1082:P1082,Q1082:AE1082)),0)</f>
        <v>7</v>
      </c>
      <c r="AZ1082" s="5">
        <f>IF(S1082&gt;0,RANK(S1082,(N1082:P1082,Q1082:AE1082)),0)</f>
        <v>6</v>
      </c>
      <c r="BA1082" s="2">
        <f t="shared" si="458"/>
        <v>2.4750090328796822E-2</v>
      </c>
      <c r="BB1082" s="2">
        <f t="shared" si="459"/>
        <v>4.8175358304227388E-3</v>
      </c>
      <c r="BC1082" s="2">
        <f t="shared" si="460"/>
        <v>6.0219197880284235E-4</v>
      </c>
      <c r="BD1082" s="2">
        <f t="shared" si="461"/>
        <v>6.6241117668312658E-4</v>
      </c>
      <c r="BF1082" t="s">
        <v>216</v>
      </c>
      <c r="BG1082" t="s">
        <v>1009</v>
      </c>
      <c r="BH1082">
        <v>1</v>
      </c>
      <c r="BJ1082" s="114">
        <v>21</v>
      </c>
      <c r="BK1082" s="116">
        <v>83</v>
      </c>
      <c r="BL1082" s="120">
        <f t="shared" si="452"/>
        <v>21083</v>
      </c>
      <c r="BN1082" s="5" t="s">
        <v>3154</v>
      </c>
      <c r="BZ1082" s="63">
        <f t="shared" si="451"/>
        <v>16606</v>
      </c>
      <c r="CD1082" s="63">
        <v>0</v>
      </c>
      <c r="CE1082" s="63">
        <v>0</v>
      </c>
      <c r="CF1082" s="63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>
        <v>0</v>
      </c>
      <c r="CQ1082">
        <v>0</v>
      </c>
    </row>
    <row r="1083" spans="1:95" ht="13" hidden="1" customHeight="1" outlineLevel="1">
      <c r="A1083" t="s">
        <v>2250</v>
      </c>
      <c r="B1083" t="s">
        <v>1009</v>
      </c>
      <c r="C1083" s="1">
        <f t="shared" si="453"/>
        <v>10576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4</v>
      </c>
      <c r="G1083" s="132">
        <f t="shared" si="441"/>
        <v>6260</v>
      </c>
      <c r="H1083" s="137">
        <f t="shared" si="442"/>
        <v>0.59190620272314676</v>
      </c>
      <c r="I1083" s="2"/>
      <c r="J1083" s="2">
        <f t="shared" si="454"/>
        <v>0.18523071104387293</v>
      </c>
      <c r="K1083" s="2">
        <f t="shared" si="455"/>
        <v>0.77713691376701965</v>
      </c>
      <c r="L1083" s="2">
        <f t="shared" si="456"/>
        <v>7.6588502269288958E-3</v>
      </c>
      <c r="M1083" s="2">
        <f t="shared" si="457"/>
        <v>2.9973524962178553E-2</v>
      </c>
      <c r="N1083" s="63">
        <v>1959</v>
      </c>
      <c r="O1083" s="63">
        <v>8219</v>
      </c>
      <c r="P1083" s="63">
        <v>81</v>
      </c>
      <c r="Q1083" s="63">
        <v>259</v>
      </c>
      <c r="R1083" s="63">
        <v>46</v>
      </c>
      <c r="S1083" s="63">
        <v>1</v>
      </c>
      <c r="T1083" s="63">
        <v>8</v>
      </c>
      <c r="U1083" s="63"/>
      <c r="V1083" s="63"/>
      <c r="W1083" s="63">
        <f>IF(Copyright!B$11=1,IF(CA1083&gt;0,CA1083-SUM(S1083)-SUM(X1083:AI1083)-SUM(AJ1083:AT1083),SUM(CD1083:CQ1083)),SUM(CD1083:CQ1083))</f>
        <v>0</v>
      </c>
      <c r="X1083" s="63"/>
      <c r="Y1083" s="63">
        <v>0</v>
      </c>
      <c r="Z1083" s="63">
        <v>0</v>
      </c>
      <c r="AA1083" s="63"/>
      <c r="AB1083" s="63"/>
      <c r="AC1083" s="63"/>
      <c r="AD1083" s="63"/>
      <c r="AE1083" s="63">
        <v>0</v>
      </c>
      <c r="AF1083" s="63">
        <v>0</v>
      </c>
      <c r="AG1083" s="63">
        <v>2</v>
      </c>
      <c r="AH1083" s="63"/>
      <c r="AI1083" s="63"/>
      <c r="AJ1083" s="63"/>
      <c r="AK1083" s="63"/>
      <c r="AL1083" s="63"/>
      <c r="AM1083" s="63">
        <v>0</v>
      </c>
      <c r="AN1083" s="63">
        <v>1</v>
      </c>
      <c r="AO1083" s="63"/>
      <c r="AP1083" s="63"/>
      <c r="AQ1083" s="63">
        <v>0</v>
      </c>
      <c r="AR1083" s="63"/>
      <c r="AS1083" s="63"/>
      <c r="AT1083" s="63"/>
      <c r="AU1083" s="63"/>
      <c r="AW1083" s="5">
        <f>IF(Q1083&gt;0,RANK(Q1083,(N1083:P1083,Q1083:AE1083)),0)</f>
        <v>3</v>
      </c>
      <c r="AX1083" s="5">
        <f>IF(R1083&gt;0,RANK(R1083,(N1083:P1083,Q1083:AE1083)),0)</f>
        <v>5</v>
      </c>
      <c r="AY1083" s="5">
        <f>IF(T1083&gt;0,RANK(T1083,(N1083:P1083,Q1083:AE1083)),0)</f>
        <v>6</v>
      </c>
      <c r="AZ1083" s="5">
        <f>IF(S1083&gt;0,RANK(S1083,(N1083:P1083,Q1083:AE1083)),0)</f>
        <v>7</v>
      </c>
      <c r="BA1083" s="2">
        <f t="shared" si="458"/>
        <v>2.4489409984871407E-2</v>
      </c>
      <c r="BB1083" s="2">
        <f t="shared" si="459"/>
        <v>4.3494704992435703E-3</v>
      </c>
      <c r="BC1083" s="2">
        <f t="shared" si="460"/>
        <v>7.5642965204236008E-4</v>
      </c>
      <c r="BD1083" s="2">
        <f t="shared" si="461"/>
        <v>9.455370650529501E-5</v>
      </c>
      <c r="BF1083" t="s">
        <v>2250</v>
      </c>
      <c r="BG1083" t="s">
        <v>1009</v>
      </c>
      <c r="BH1083">
        <v>2</v>
      </c>
      <c r="BJ1083" s="114">
        <v>21</v>
      </c>
      <c r="BK1083" s="116">
        <v>85</v>
      </c>
      <c r="BL1083" s="120">
        <f t="shared" si="452"/>
        <v>21085</v>
      </c>
      <c r="BN1083" s="5" t="s">
        <v>3154</v>
      </c>
      <c r="BZ1083" s="63">
        <f t="shared" si="451"/>
        <v>10576</v>
      </c>
      <c r="CD1083" s="63">
        <v>0</v>
      </c>
      <c r="CE1083" s="63">
        <v>0</v>
      </c>
      <c r="CF1083" s="63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0</v>
      </c>
      <c r="CN1083" s="8">
        <v>0</v>
      </c>
      <c r="CO1083" s="8">
        <v>0</v>
      </c>
      <c r="CP1083">
        <v>0</v>
      </c>
      <c r="CQ1083">
        <v>0</v>
      </c>
    </row>
    <row r="1084" spans="1:95" ht="13" hidden="1" customHeight="1" outlineLevel="1">
      <c r="A1084" t="s">
        <v>2392</v>
      </c>
      <c r="B1084" t="s">
        <v>1009</v>
      </c>
      <c r="C1084" s="1">
        <f t="shared" si="453"/>
        <v>5333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5</v>
      </c>
      <c r="G1084" s="132">
        <f t="shared" si="441"/>
        <v>3540</v>
      </c>
      <c r="H1084" s="137">
        <f t="shared" si="442"/>
        <v>0.66379148696793555</v>
      </c>
      <c r="I1084" s="2"/>
      <c r="J1084" s="2">
        <f t="shared" si="454"/>
        <v>0.15600975060941308</v>
      </c>
      <c r="K1084" s="2">
        <f t="shared" si="455"/>
        <v>0.81980123757734857</v>
      </c>
      <c r="L1084" s="2">
        <f t="shared" si="456"/>
        <v>3.5627226701668855E-3</v>
      </c>
      <c r="M1084" s="2">
        <f t="shared" si="457"/>
        <v>2.0626289143071408E-2</v>
      </c>
      <c r="N1084" s="63">
        <v>832</v>
      </c>
      <c r="O1084" s="63">
        <v>4372</v>
      </c>
      <c r="P1084" s="63">
        <v>19</v>
      </c>
      <c r="Q1084" s="63">
        <v>84</v>
      </c>
      <c r="R1084" s="63">
        <v>24</v>
      </c>
      <c r="S1084" s="63">
        <v>0</v>
      </c>
      <c r="T1084" s="63">
        <v>2</v>
      </c>
      <c r="U1084" s="63"/>
      <c r="V1084" s="63"/>
      <c r="W1084" s="63">
        <f>IF(Copyright!B$11=1,IF(CA1084&gt;0,CA1084-SUM(S1084)-SUM(X1084:AI1084)-SUM(AJ1084:AT1084),SUM(CD1084:CQ1084)),SUM(CD1084:CQ1084))</f>
        <v>0</v>
      </c>
      <c r="X1084" s="63"/>
      <c r="Y1084" s="63">
        <v>0</v>
      </c>
      <c r="Z1084" s="63">
        <v>0</v>
      </c>
      <c r="AA1084" s="63"/>
      <c r="AB1084" s="63"/>
      <c r="AC1084" s="63"/>
      <c r="AD1084" s="63"/>
      <c r="AE1084" s="63">
        <v>0</v>
      </c>
      <c r="AF1084" s="63">
        <v>0</v>
      </c>
      <c r="AG1084" s="63">
        <v>0</v>
      </c>
      <c r="AH1084" s="63"/>
      <c r="AI1084" s="63"/>
      <c r="AJ1084" s="63"/>
      <c r="AK1084" s="63"/>
      <c r="AL1084" s="63"/>
      <c r="AM1084" s="63">
        <v>0</v>
      </c>
      <c r="AN1084" s="63">
        <v>0</v>
      </c>
      <c r="AO1084" s="63"/>
      <c r="AP1084" s="63"/>
      <c r="AQ1084" s="63">
        <v>0</v>
      </c>
      <c r="AR1084" s="63"/>
      <c r="AS1084" s="63"/>
      <c r="AT1084" s="63"/>
      <c r="AU1084" s="63"/>
      <c r="AW1084" s="5">
        <f>IF(Q1084&gt;0,RANK(Q1084,(N1084:P1084,Q1084:AE1084)),0)</f>
        <v>3</v>
      </c>
      <c r="AX1084" s="5">
        <f>IF(R1084&gt;0,RANK(R1084,(N1084:P1084,Q1084:AE1084)),0)</f>
        <v>4</v>
      </c>
      <c r="AY1084" s="5">
        <f>IF(T1084&gt;0,RANK(T1084,(N1084:P1084,Q1084:AE1084)),0)</f>
        <v>6</v>
      </c>
      <c r="AZ1084" s="5">
        <f>IF(S1084&gt;0,RANK(S1084,(N1084:P1084,Q1084:AE1084)),0)</f>
        <v>0</v>
      </c>
      <c r="BA1084" s="2">
        <f t="shared" si="458"/>
        <v>1.5750984436527282E-2</v>
      </c>
      <c r="BB1084" s="2">
        <f t="shared" si="459"/>
        <v>4.5002812675792236E-3</v>
      </c>
      <c r="BC1084" s="2">
        <f t="shared" si="460"/>
        <v>3.750234389649353E-4</v>
      </c>
      <c r="BD1084" s="2">
        <f t="shared" si="461"/>
        <v>0</v>
      </c>
      <c r="BF1084" t="s">
        <v>2392</v>
      </c>
      <c r="BG1084" t="s">
        <v>1009</v>
      </c>
      <c r="BH1084">
        <v>2</v>
      </c>
      <c r="BJ1084" s="114">
        <v>21</v>
      </c>
      <c r="BK1084" s="116">
        <v>87</v>
      </c>
      <c r="BL1084" s="120">
        <f t="shared" si="452"/>
        <v>21087</v>
      </c>
      <c r="BN1084" s="5" t="s">
        <v>3154</v>
      </c>
      <c r="BZ1084" s="63">
        <f t="shared" si="451"/>
        <v>5333</v>
      </c>
      <c r="CD1084" s="63">
        <v>0</v>
      </c>
      <c r="CE1084" s="63">
        <v>0</v>
      </c>
      <c r="CF1084" s="63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>
        <v>0</v>
      </c>
      <c r="CQ1084">
        <v>0</v>
      </c>
    </row>
    <row r="1085" spans="1:95" ht="13" hidden="1" customHeight="1" outlineLevel="1">
      <c r="A1085" t="s">
        <v>2314</v>
      </c>
      <c r="B1085" t="s">
        <v>1009</v>
      </c>
      <c r="C1085" s="1">
        <f t="shared" si="453"/>
        <v>16277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4</v>
      </c>
      <c r="G1085" s="132">
        <f t="shared" si="441"/>
        <v>7400</v>
      </c>
      <c r="H1085" s="137">
        <f t="shared" si="442"/>
        <v>0.45462923143085338</v>
      </c>
      <c r="I1085" s="2"/>
      <c r="J1085" s="2">
        <f t="shared" si="454"/>
        <v>0.25471524236652948</v>
      </c>
      <c r="K1085" s="2">
        <f t="shared" si="455"/>
        <v>0.70934447379738286</v>
      </c>
      <c r="L1085" s="2">
        <f t="shared" si="456"/>
        <v>8.9082754807396948E-3</v>
      </c>
      <c r="M1085" s="2">
        <f t="shared" si="457"/>
        <v>2.7032008355347911E-2</v>
      </c>
      <c r="N1085" s="63">
        <v>4146</v>
      </c>
      <c r="O1085" s="63">
        <v>11546</v>
      </c>
      <c r="P1085" s="63">
        <v>145</v>
      </c>
      <c r="Q1085" s="63">
        <v>319</v>
      </c>
      <c r="R1085" s="63">
        <v>109</v>
      </c>
      <c r="S1085" s="63">
        <v>4</v>
      </c>
      <c r="T1085" s="63">
        <v>8</v>
      </c>
      <c r="U1085" s="63"/>
      <c r="V1085" s="63"/>
      <c r="W1085" s="63">
        <f>IF(Copyright!B$11=1,IF(CA1085&gt;0,CA1085-SUM(S1085)-SUM(X1085:AI1085)-SUM(AJ1085:AT1085),SUM(CD1085:CQ1085)),SUM(CD1085:CQ1085))</f>
        <v>0</v>
      </c>
      <c r="X1085" s="63"/>
      <c r="Y1085" s="63">
        <v>0</v>
      </c>
      <c r="Z1085" s="63">
        <v>0</v>
      </c>
      <c r="AA1085" s="63"/>
      <c r="AB1085" s="63"/>
      <c r="AC1085" s="63"/>
      <c r="AD1085" s="63"/>
      <c r="AE1085" s="63">
        <v>0</v>
      </c>
      <c r="AF1085" s="63">
        <v>0</v>
      </c>
      <c r="AG1085" s="63">
        <v>0</v>
      </c>
      <c r="AH1085" s="63"/>
      <c r="AI1085" s="63"/>
      <c r="AJ1085" s="63"/>
      <c r="AK1085" s="63"/>
      <c r="AL1085" s="63"/>
      <c r="AM1085" s="63">
        <v>0</v>
      </c>
      <c r="AN1085" s="63">
        <v>0</v>
      </c>
      <c r="AO1085" s="63"/>
      <c r="AP1085" s="63"/>
      <c r="AQ1085" s="63">
        <v>0</v>
      </c>
      <c r="AR1085" s="63"/>
      <c r="AS1085" s="63"/>
      <c r="AT1085" s="63"/>
      <c r="AU1085" s="63"/>
      <c r="AW1085" s="5">
        <f>IF(Q1085&gt;0,RANK(Q1085,(N1085:P1085,Q1085:AE1085)),0)</f>
        <v>3</v>
      </c>
      <c r="AX1085" s="5">
        <f>IF(R1085&gt;0,RANK(R1085,(N1085:P1085,Q1085:AE1085)),0)</f>
        <v>5</v>
      </c>
      <c r="AY1085" s="5">
        <f>IF(T1085&gt;0,RANK(T1085,(N1085:P1085,Q1085:AE1085)),0)</f>
        <v>6</v>
      </c>
      <c r="AZ1085" s="5">
        <f>IF(S1085&gt;0,RANK(S1085,(N1085:P1085,Q1085:AE1085)),0)</f>
        <v>7</v>
      </c>
      <c r="BA1085" s="2">
        <f t="shared" si="458"/>
        <v>1.9598206057627326E-2</v>
      </c>
      <c r="BB1085" s="2">
        <f t="shared" si="459"/>
        <v>6.6965657062112187E-3</v>
      </c>
      <c r="BC1085" s="2">
        <f t="shared" si="460"/>
        <v>4.9149106100632796E-4</v>
      </c>
      <c r="BD1085" s="2">
        <f t="shared" si="461"/>
        <v>2.4574553050316398E-4</v>
      </c>
      <c r="BF1085" t="s">
        <v>2314</v>
      </c>
      <c r="BG1085" t="s">
        <v>1009</v>
      </c>
      <c r="BH1085">
        <v>4</v>
      </c>
      <c r="BJ1085" s="114">
        <v>21</v>
      </c>
      <c r="BK1085" s="116">
        <v>89</v>
      </c>
      <c r="BL1085" s="120">
        <f t="shared" si="452"/>
        <v>21089</v>
      </c>
      <c r="BN1085" s="5" t="s">
        <v>3154</v>
      </c>
      <c r="BZ1085" s="63">
        <f t="shared" si="451"/>
        <v>16277</v>
      </c>
      <c r="CD1085" s="63">
        <v>0</v>
      </c>
      <c r="CE1085" s="63">
        <v>0</v>
      </c>
      <c r="CF1085" s="63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>
        <v>0</v>
      </c>
      <c r="CQ1085">
        <v>0</v>
      </c>
    </row>
    <row r="1086" spans="1:95" ht="13" hidden="1" customHeight="1" outlineLevel="1">
      <c r="A1086" t="s">
        <v>597</v>
      </c>
      <c r="B1086" t="s">
        <v>1009</v>
      </c>
      <c r="C1086" s="1">
        <f t="shared" si="453"/>
        <v>4295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4</v>
      </c>
      <c r="G1086" s="132">
        <f t="shared" si="441"/>
        <v>1544</v>
      </c>
      <c r="H1086" s="137">
        <f t="shared" si="442"/>
        <v>0.35948777648428404</v>
      </c>
      <c r="I1086" s="2"/>
      <c r="J1086" s="2">
        <f t="shared" si="454"/>
        <v>0.28963911525029101</v>
      </c>
      <c r="K1086" s="2">
        <f t="shared" si="455"/>
        <v>0.64912689173457505</v>
      </c>
      <c r="L1086" s="2">
        <f t="shared" si="456"/>
        <v>2.0256111757857975E-2</v>
      </c>
      <c r="M1086" s="2">
        <f t="shared" si="457"/>
        <v>4.0977881257275903E-2</v>
      </c>
      <c r="N1086" s="63">
        <v>1244</v>
      </c>
      <c r="O1086" s="63">
        <v>2788</v>
      </c>
      <c r="P1086" s="63">
        <v>87</v>
      </c>
      <c r="Q1086" s="63">
        <v>129</v>
      </c>
      <c r="R1086" s="63">
        <v>44</v>
      </c>
      <c r="S1086" s="63">
        <v>2</v>
      </c>
      <c r="T1086" s="63">
        <v>1</v>
      </c>
      <c r="U1086" s="63"/>
      <c r="V1086" s="63"/>
      <c r="W1086" s="63">
        <f>IF(Copyright!B$11=1,IF(CA1086&gt;0,CA1086-SUM(S1086)-SUM(X1086:AI1086)-SUM(AJ1086:AT1086),SUM(CD1086:CQ1086)),SUM(CD1086:CQ1086))</f>
        <v>0</v>
      </c>
      <c r="X1086" s="63"/>
      <c r="Y1086" s="63">
        <v>0</v>
      </c>
      <c r="Z1086" s="63">
        <v>0</v>
      </c>
      <c r="AA1086" s="63"/>
      <c r="AB1086" s="63"/>
      <c r="AC1086" s="63"/>
      <c r="AD1086" s="63"/>
      <c r="AE1086" s="63">
        <v>0</v>
      </c>
      <c r="AF1086" s="63">
        <v>0</v>
      </c>
      <c r="AG1086" s="63">
        <v>0</v>
      </c>
      <c r="AH1086" s="63"/>
      <c r="AI1086" s="63"/>
      <c r="AJ1086" s="63"/>
      <c r="AK1086" s="63"/>
      <c r="AL1086" s="63"/>
      <c r="AM1086" s="63">
        <v>0</v>
      </c>
      <c r="AN1086" s="63">
        <v>0</v>
      </c>
      <c r="AO1086" s="63"/>
      <c r="AP1086" s="63"/>
      <c r="AQ1086" s="63">
        <v>0</v>
      </c>
      <c r="AR1086" s="63"/>
      <c r="AS1086" s="63"/>
      <c r="AT1086" s="63"/>
      <c r="AU1086" s="63"/>
      <c r="AW1086" s="5">
        <f>IF(Q1086&gt;0,RANK(Q1086,(N1086:P1086,Q1086:AE1086)),0)</f>
        <v>3</v>
      </c>
      <c r="AX1086" s="5">
        <f>IF(R1086&gt;0,RANK(R1086,(N1086:P1086,Q1086:AE1086)),0)</f>
        <v>5</v>
      </c>
      <c r="AY1086" s="5">
        <f>IF(T1086&gt;0,RANK(T1086,(N1086:P1086,Q1086:AE1086)),0)</f>
        <v>7</v>
      </c>
      <c r="AZ1086" s="5">
        <f>IF(S1086&gt;0,RANK(S1086,(N1086:P1086,Q1086:AE1086)),0)</f>
        <v>6</v>
      </c>
      <c r="BA1086" s="2">
        <f t="shared" si="458"/>
        <v>3.0034924330616997E-2</v>
      </c>
      <c r="BB1086" s="2">
        <f t="shared" si="459"/>
        <v>1.0244470314318976E-2</v>
      </c>
      <c r="BC1086" s="2">
        <f t="shared" si="460"/>
        <v>2.3282887077997672E-4</v>
      </c>
      <c r="BD1086" s="2">
        <f t="shared" si="461"/>
        <v>4.6565774155995343E-4</v>
      </c>
      <c r="BF1086" t="s">
        <v>597</v>
      </c>
      <c r="BG1086" t="s">
        <v>1009</v>
      </c>
      <c r="BH1086">
        <v>2</v>
      </c>
      <c r="BJ1086" s="114">
        <v>21</v>
      </c>
      <c r="BK1086" s="116">
        <v>91</v>
      </c>
      <c r="BL1086" s="120">
        <f t="shared" si="452"/>
        <v>21091</v>
      </c>
      <c r="BN1086" s="5" t="s">
        <v>3154</v>
      </c>
      <c r="BZ1086" s="63">
        <f t="shared" si="451"/>
        <v>4295</v>
      </c>
      <c r="CD1086" s="63">
        <v>0</v>
      </c>
      <c r="CE1086" s="63">
        <v>0</v>
      </c>
      <c r="CF1086" s="63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0</v>
      </c>
      <c r="CN1086" s="8">
        <v>0</v>
      </c>
      <c r="CO1086" s="8">
        <v>0</v>
      </c>
      <c r="CP1086">
        <v>0</v>
      </c>
      <c r="CQ1086">
        <v>0</v>
      </c>
    </row>
    <row r="1087" spans="1:95" ht="13" hidden="1" customHeight="1" outlineLevel="1">
      <c r="A1087" t="s">
        <v>1648</v>
      </c>
      <c r="B1087" t="s">
        <v>1009</v>
      </c>
      <c r="C1087" s="1">
        <f t="shared" si="453"/>
        <v>43156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4</v>
      </c>
      <c r="G1087" s="132">
        <f t="shared" si="441"/>
        <v>13027</v>
      </c>
      <c r="H1087" s="137">
        <f t="shared" si="442"/>
        <v>0.30185837427008988</v>
      </c>
      <c r="I1087" s="2"/>
      <c r="J1087" s="2">
        <f t="shared" si="454"/>
        <v>0.32310686810640465</v>
      </c>
      <c r="K1087" s="2">
        <f t="shared" si="455"/>
        <v>0.62496524237649453</v>
      </c>
      <c r="L1087" s="2">
        <f t="shared" si="456"/>
        <v>1.0195569561590508E-2</v>
      </c>
      <c r="M1087" s="2">
        <f t="shared" si="457"/>
        <v>4.17323199555103E-2</v>
      </c>
      <c r="N1087" s="63">
        <v>13944</v>
      </c>
      <c r="O1087" s="63">
        <v>26971</v>
      </c>
      <c r="P1087" s="63">
        <v>440</v>
      </c>
      <c r="Q1087" s="63">
        <v>1413</v>
      </c>
      <c r="R1087" s="63">
        <v>346</v>
      </c>
      <c r="S1087" s="63">
        <v>7</v>
      </c>
      <c r="T1087" s="63">
        <v>28</v>
      </c>
      <c r="U1087" s="63"/>
      <c r="V1087" s="63"/>
      <c r="W1087" s="63">
        <f>IF(Copyright!B$11=1,IF(CA1087&gt;0,CA1087-SUM(S1087)-SUM(X1087:AI1087)-SUM(AJ1087:AT1087),SUM(CD1087:CQ1087)),SUM(CD1087:CQ1087))</f>
        <v>0</v>
      </c>
      <c r="X1087" s="63"/>
      <c r="Y1087" s="63">
        <v>0</v>
      </c>
      <c r="Z1087" s="63">
        <v>0</v>
      </c>
      <c r="AA1087" s="63"/>
      <c r="AB1087" s="63"/>
      <c r="AC1087" s="63"/>
      <c r="AD1087" s="63"/>
      <c r="AE1087" s="63">
        <v>0</v>
      </c>
      <c r="AF1087" s="63">
        <v>0</v>
      </c>
      <c r="AG1087" s="63">
        <v>5</v>
      </c>
      <c r="AH1087" s="63"/>
      <c r="AI1087" s="63"/>
      <c r="AJ1087" s="63"/>
      <c r="AK1087" s="63"/>
      <c r="AL1087" s="63"/>
      <c r="AM1087" s="63">
        <v>1</v>
      </c>
      <c r="AN1087" s="63">
        <v>1</v>
      </c>
      <c r="AO1087" s="63"/>
      <c r="AP1087" s="63"/>
      <c r="AQ1087" s="63">
        <v>0</v>
      </c>
      <c r="AR1087" s="63"/>
      <c r="AS1087" s="63"/>
      <c r="AT1087" s="63"/>
      <c r="AU1087" s="63"/>
      <c r="AW1087" s="5">
        <f>IF(Q1087&gt;0,RANK(Q1087,(N1087:P1087,Q1087:AE1087)),0)</f>
        <v>3</v>
      </c>
      <c r="AX1087" s="5">
        <f>IF(R1087&gt;0,RANK(R1087,(N1087:P1087,Q1087:AE1087)),0)</f>
        <v>5</v>
      </c>
      <c r="AY1087" s="5">
        <f>IF(T1087&gt;0,RANK(T1087,(N1087:P1087,Q1087:AE1087)),0)</f>
        <v>6</v>
      </c>
      <c r="AZ1087" s="5">
        <f>IF(S1087&gt;0,RANK(S1087,(N1087:P1087,Q1087:AE1087)),0)</f>
        <v>7</v>
      </c>
      <c r="BA1087" s="2">
        <f t="shared" si="458"/>
        <v>3.2741681342107705E-2</v>
      </c>
      <c r="BB1087" s="2">
        <f t="shared" si="459"/>
        <v>8.0174251552507184E-3</v>
      </c>
      <c r="BC1087" s="2">
        <f t="shared" si="460"/>
        <v>6.4880897210121415E-4</v>
      </c>
      <c r="BD1087" s="2">
        <f t="shared" si="461"/>
        <v>1.6220224302530354E-4</v>
      </c>
      <c r="BF1087" t="s">
        <v>1648</v>
      </c>
      <c r="BG1087" t="s">
        <v>1009</v>
      </c>
      <c r="BH1087">
        <v>2</v>
      </c>
      <c r="BJ1087" s="114">
        <v>21</v>
      </c>
      <c r="BK1087" s="116">
        <v>93</v>
      </c>
      <c r="BL1087" s="120">
        <f t="shared" si="452"/>
        <v>21093</v>
      </c>
      <c r="BN1087" s="5" t="s">
        <v>3154</v>
      </c>
      <c r="BZ1087" s="63">
        <f t="shared" si="451"/>
        <v>43156</v>
      </c>
      <c r="CD1087" s="63">
        <v>0</v>
      </c>
      <c r="CE1087" s="63">
        <v>0</v>
      </c>
      <c r="CF1087" s="63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>
        <v>0</v>
      </c>
      <c r="CQ1087">
        <v>0</v>
      </c>
    </row>
    <row r="1088" spans="1:95" ht="13" hidden="1" customHeight="1" outlineLevel="1">
      <c r="A1088" t="s">
        <v>1433</v>
      </c>
      <c r="B1088" t="s">
        <v>1009</v>
      </c>
      <c r="C1088" s="1">
        <f t="shared" si="453"/>
        <v>10757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4</v>
      </c>
      <c r="G1088" s="132">
        <f t="shared" si="441"/>
        <v>7757</v>
      </c>
      <c r="H1088" s="137">
        <f t="shared" si="442"/>
        <v>0.72111183415450408</v>
      </c>
      <c r="I1088" s="2"/>
      <c r="J1088" s="2">
        <f t="shared" si="454"/>
        <v>0.12754485451334016</v>
      </c>
      <c r="K1088" s="2">
        <f t="shared" si="455"/>
        <v>0.84865668866784416</v>
      </c>
      <c r="L1088" s="2">
        <f t="shared" si="456"/>
        <v>4.4622106535279352E-3</v>
      </c>
      <c r="M1088" s="2">
        <f t="shared" si="457"/>
        <v>1.9336246165287715E-2</v>
      </c>
      <c r="N1088" s="63">
        <v>1372</v>
      </c>
      <c r="O1088" s="63">
        <v>9129</v>
      </c>
      <c r="P1088" s="63">
        <v>48</v>
      </c>
      <c r="Q1088" s="63">
        <v>156</v>
      </c>
      <c r="R1088" s="63">
        <v>39</v>
      </c>
      <c r="S1088" s="63">
        <v>0</v>
      </c>
      <c r="T1088" s="63">
        <v>13</v>
      </c>
      <c r="U1088" s="63"/>
      <c r="V1088" s="63"/>
      <c r="W1088" s="63">
        <f>IF(Copyright!B$11=1,IF(CA1088&gt;0,CA1088-SUM(S1088)-SUM(X1088:AI1088)-SUM(AJ1088:AT1088),SUM(CD1088:CQ1088)),SUM(CD1088:CQ1088))</f>
        <v>0</v>
      </c>
      <c r="X1088" s="63"/>
      <c r="Y1088" s="63">
        <v>0</v>
      </c>
      <c r="Z1088" s="63">
        <v>0</v>
      </c>
      <c r="AA1088" s="63"/>
      <c r="AB1088" s="63"/>
      <c r="AC1088" s="63"/>
      <c r="AD1088" s="63"/>
      <c r="AE1088" s="63">
        <v>0</v>
      </c>
      <c r="AF1088" s="63">
        <v>0</v>
      </c>
      <c r="AG1088" s="63">
        <v>0</v>
      </c>
      <c r="AH1088" s="63"/>
      <c r="AI1088" s="63"/>
      <c r="AJ1088" s="63"/>
      <c r="AK1088" s="63"/>
      <c r="AL1088" s="63"/>
      <c r="AM1088" s="63">
        <v>0</v>
      </c>
      <c r="AN1088" s="63">
        <v>0</v>
      </c>
      <c r="AO1088" s="63"/>
      <c r="AP1088" s="63"/>
      <c r="AQ1088" s="63">
        <v>0</v>
      </c>
      <c r="AR1088" s="63"/>
      <c r="AS1088" s="63"/>
      <c r="AT1088" s="63"/>
      <c r="AU1088" s="63"/>
      <c r="AW1088" s="5">
        <f>IF(Q1088&gt;0,RANK(Q1088,(N1088:P1088,Q1088:AE1088)),0)</f>
        <v>3</v>
      </c>
      <c r="AX1088" s="5">
        <f>IF(R1088&gt;0,RANK(R1088,(N1088:P1088,Q1088:AE1088)),0)</f>
        <v>5</v>
      </c>
      <c r="AY1088" s="5">
        <f>IF(T1088&gt;0,RANK(T1088,(N1088:P1088,Q1088:AE1088)),0)</f>
        <v>6</v>
      </c>
      <c r="AZ1088" s="5">
        <f>IF(S1088&gt;0,RANK(S1088,(N1088:P1088,Q1088:AE1088)),0)</f>
        <v>0</v>
      </c>
      <c r="BA1088" s="2">
        <f t="shared" si="458"/>
        <v>1.450218462396579E-2</v>
      </c>
      <c r="BB1088" s="2">
        <f t="shared" si="459"/>
        <v>3.6255461559914475E-3</v>
      </c>
      <c r="BC1088" s="2">
        <f t="shared" si="460"/>
        <v>1.2085153853304824E-3</v>
      </c>
      <c r="BD1088" s="2">
        <f t="shared" si="461"/>
        <v>0</v>
      </c>
      <c r="BF1088" t="s">
        <v>1433</v>
      </c>
      <c r="BG1088" t="s">
        <v>1009</v>
      </c>
      <c r="BH1088">
        <v>5</v>
      </c>
      <c r="BJ1088" s="114">
        <v>21</v>
      </c>
      <c r="BK1088" s="116">
        <v>95</v>
      </c>
      <c r="BL1088" s="120">
        <f t="shared" si="452"/>
        <v>21095</v>
      </c>
      <c r="BN1088" s="5" t="s">
        <v>3154</v>
      </c>
      <c r="BZ1088" s="63">
        <f t="shared" si="451"/>
        <v>10757</v>
      </c>
      <c r="CD1088" s="63">
        <v>0</v>
      </c>
      <c r="CE1088" s="63">
        <v>0</v>
      </c>
      <c r="CF1088" s="63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>
        <v>0</v>
      </c>
      <c r="CQ1088">
        <v>0</v>
      </c>
    </row>
    <row r="1089" spans="1:95" ht="13" hidden="1" customHeight="1" outlineLevel="1">
      <c r="A1089" t="s">
        <v>875</v>
      </c>
      <c r="B1089" t="s">
        <v>1009</v>
      </c>
      <c r="C1089" s="1">
        <f t="shared" si="453"/>
        <v>7781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4</v>
      </c>
      <c r="G1089" s="132">
        <f t="shared" si="441"/>
        <v>3404</v>
      </c>
      <c r="H1089" s="137">
        <f t="shared" si="442"/>
        <v>0.4374759028402519</v>
      </c>
      <c r="I1089" s="2"/>
      <c r="J1089" s="2">
        <f t="shared" si="454"/>
        <v>0.26102043439146638</v>
      </c>
      <c r="K1089" s="2">
        <f t="shared" si="455"/>
        <v>0.69849633723171833</v>
      </c>
      <c r="L1089" s="2">
        <f t="shared" si="456"/>
        <v>1.0024418455211412E-2</v>
      </c>
      <c r="M1089" s="2">
        <f t="shared" si="457"/>
        <v>3.0458809921603873E-2</v>
      </c>
      <c r="N1089" s="63">
        <v>2031</v>
      </c>
      <c r="O1089" s="63">
        <v>5435</v>
      </c>
      <c r="P1089" s="63">
        <v>78</v>
      </c>
      <c r="Q1089" s="63">
        <v>184</v>
      </c>
      <c r="R1089" s="63">
        <v>46</v>
      </c>
      <c r="S1089" s="63">
        <v>1</v>
      </c>
      <c r="T1089" s="63">
        <v>6</v>
      </c>
      <c r="U1089" s="63"/>
      <c r="V1089" s="63"/>
      <c r="W1089" s="63">
        <f>IF(Copyright!B$11=1,IF(CA1089&gt;0,CA1089-SUM(S1089)-SUM(X1089:AI1089)-SUM(AJ1089:AT1089),SUM(CD1089:CQ1089)),SUM(CD1089:CQ1089))</f>
        <v>0</v>
      </c>
      <c r="X1089" s="63"/>
      <c r="Y1089" s="63">
        <v>0</v>
      </c>
      <c r="Z1089" s="63">
        <v>0</v>
      </c>
      <c r="AA1089" s="63"/>
      <c r="AB1089" s="63"/>
      <c r="AC1089" s="63"/>
      <c r="AD1089" s="63"/>
      <c r="AE1089" s="63">
        <v>0</v>
      </c>
      <c r="AF1089" s="63">
        <v>0</v>
      </c>
      <c r="AG1089" s="63">
        <v>0</v>
      </c>
      <c r="AH1089" s="63"/>
      <c r="AI1089" s="63"/>
      <c r="AJ1089" s="63"/>
      <c r="AK1089" s="63"/>
      <c r="AL1089" s="63"/>
      <c r="AM1089" s="63">
        <v>0</v>
      </c>
      <c r="AN1089" s="63">
        <v>0</v>
      </c>
      <c r="AO1089" s="63"/>
      <c r="AP1089" s="63"/>
      <c r="AQ1089" s="63">
        <v>0</v>
      </c>
      <c r="AR1089" s="63"/>
      <c r="AS1089" s="63"/>
      <c r="AT1089" s="63"/>
      <c r="AU1089" s="63"/>
      <c r="AW1089" s="5">
        <f>IF(Q1089&gt;0,RANK(Q1089,(N1089:P1089,Q1089:AE1089)),0)</f>
        <v>3</v>
      </c>
      <c r="AX1089" s="5">
        <f>IF(R1089&gt;0,RANK(R1089,(N1089:P1089,Q1089:AE1089)),0)</f>
        <v>5</v>
      </c>
      <c r="AY1089" s="5">
        <f>IF(T1089&gt;0,RANK(T1089,(N1089:P1089,Q1089:AE1089)),0)</f>
        <v>6</v>
      </c>
      <c r="AZ1089" s="5">
        <f>IF(S1089&gt;0,RANK(S1089,(N1089:P1089,Q1089:AE1089)),0)</f>
        <v>7</v>
      </c>
      <c r="BA1089" s="2">
        <f t="shared" si="458"/>
        <v>2.3647346099473075E-2</v>
      </c>
      <c r="BB1089" s="2">
        <f t="shared" si="459"/>
        <v>5.9118365248682688E-3</v>
      </c>
      <c r="BC1089" s="2">
        <f t="shared" si="460"/>
        <v>7.7110911193933938E-4</v>
      </c>
      <c r="BD1089" s="2">
        <f t="shared" si="461"/>
        <v>1.2851818532322323E-4</v>
      </c>
      <c r="BF1089" t="s">
        <v>875</v>
      </c>
      <c r="BG1089" t="s">
        <v>1009</v>
      </c>
      <c r="BJ1089" s="114">
        <v>21</v>
      </c>
      <c r="BK1089" s="116">
        <v>97</v>
      </c>
      <c r="BL1089" s="120">
        <f t="shared" si="452"/>
        <v>21097</v>
      </c>
      <c r="BN1089" s="5" t="s">
        <v>3154</v>
      </c>
      <c r="BZ1089" s="63">
        <f t="shared" si="451"/>
        <v>7781</v>
      </c>
      <c r="CD1089" s="63">
        <v>0</v>
      </c>
      <c r="CE1089" s="63">
        <v>0</v>
      </c>
      <c r="CF1089" s="63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>
        <v>0</v>
      </c>
      <c r="CQ1089">
        <v>0</v>
      </c>
    </row>
    <row r="1090" spans="1:95" ht="13" hidden="1" customHeight="1" outlineLevel="1">
      <c r="A1090" t="s">
        <v>2936</v>
      </c>
      <c r="B1090" t="s">
        <v>1009</v>
      </c>
      <c r="C1090" s="1">
        <f t="shared" si="453"/>
        <v>7264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5</v>
      </c>
      <c r="G1090" s="132">
        <f t="shared" si="441"/>
        <v>3590</v>
      </c>
      <c r="H1090" s="137">
        <f t="shared" si="442"/>
        <v>0.49421806167400884</v>
      </c>
      <c r="I1090" s="2"/>
      <c r="J1090" s="2">
        <f t="shared" si="454"/>
        <v>0.23816079295154186</v>
      </c>
      <c r="K1090" s="2">
        <f t="shared" si="455"/>
        <v>0.73237885462555063</v>
      </c>
      <c r="L1090" s="2">
        <f t="shared" si="456"/>
        <v>4.4052863436123352E-3</v>
      </c>
      <c r="M1090" s="2">
        <f t="shared" si="457"/>
        <v>2.505506607929512E-2</v>
      </c>
      <c r="N1090" s="63">
        <v>1730</v>
      </c>
      <c r="O1090" s="63">
        <v>5320</v>
      </c>
      <c r="P1090" s="63">
        <v>32</v>
      </c>
      <c r="Q1090" s="63">
        <v>140</v>
      </c>
      <c r="R1090" s="63">
        <v>39</v>
      </c>
      <c r="S1090" s="63">
        <v>0</v>
      </c>
      <c r="T1090" s="63">
        <v>2</v>
      </c>
      <c r="U1090" s="63"/>
      <c r="V1090" s="63"/>
      <c r="W1090" s="63">
        <f>IF(Copyright!B$11=1,IF(CA1090&gt;0,CA1090-SUM(S1090)-SUM(X1090:AI1090)-SUM(AJ1090:AT1090),SUM(CD1090:CQ1090)),SUM(CD1090:CQ1090))</f>
        <v>0</v>
      </c>
      <c r="X1090" s="63"/>
      <c r="Y1090" s="63">
        <v>0</v>
      </c>
      <c r="Z1090" s="63">
        <v>0</v>
      </c>
      <c r="AA1090" s="63"/>
      <c r="AB1090" s="63"/>
      <c r="AC1090" s="63"/>
      <c r="AD1090" s="63"/>
      <c r="AE1090" s="63">
        <v>0</v>
      </c>
      <c r="AF1090" s="63">
        <v>0</v>
      </c>
      <c r="AG1090" s="63">
        <v>1</v>
      </c>
      <c r="AH1090" s="63"/>
      <c r="AI1090" s="63"/>
      <c r="AJ1090" s="63"/>
      <c r="AK1090" s="63"/>
      <c r="AL1090" s="63"/>
      <c r="AM1090" s="63">
        <v>0</v>
      </c>
      <c r="AN1090" s="63">
        <v>0</v>
      </c>
      <c r="AO1090" s="63"/>
      <c r="AP1090" s="63"/>
      <c r="AQ1090" s="63">
        <v>0</v>
      </c>
      <c r="AR1090" s="63"/>
      <c r="AS1090" s="63"/>
      <c r="AT1090" s="63"/>
      <c r="AU1090" s="63"/>
      <c r="AW1090" s="5">
        <f>IF(Q1090&gt;0,RANK(Q1090,(N1090:P1090,Q1090:AE1090)),0)</f>
        <v>3</v>
      </c>
      <c r="AX1090" s="5">
        <f>IF(R1090&gt;0,RANK(R1090,(N1090:P1090,Q1090:AE1090)),0)</f>
        <v>4</v>
      </c>
      <c r="AY1090" s="5">
        <f>IF(T1090&gt;0,RANK(T1090,(N1090:P1090,Q1090:AE1090)),0)</f>
        <v>6</v>
      </c>
      <c r="AZ1090" s="5">
        <f>IF(S1090&gt;0,RANK(S1090,(N1090:P1090,Q1090:AE1090)),0)</f>
        <v>0</v>
      </c>
      <c r="BA1090" s="2">
        <f t="shared" si="458"/>
        <v>1.9273127753303965E-2</v>
      </c>
      <c r="BB1090" s="2">
        <f t="shared" si="459"/>
        <v>5.3689427312775331E-3</v>
      </c>
      <c r="BC1090" s="2">
        <f t="shared" si="460"/>
        <v>2.7533039647577095E-4</v>
      </c>
      <c r="BD1090" s="2">
        <f t="shared" si="461"/>
        <v>0</v>
      </c>
      <c r="BF1090" t="s">
        <v>2936</v>
      </c>
      <c r="BG1090" t="s">
        <v>1009</v>
      </c>
      <c r="BH1090">
        <v>2</v>
      </c>
      <c r="BJ1090" s="114">
        <v>21</v>
      </c>
      <c r="BK1090" s="116">
        <v>99</v>
      </c>
      <c r="BL1090" s="120">
        <f t="shared" si="452"/>
        <v>21099</v>
      </c>
      <c r="BN1090" s="5" t="s">
        <v>3154</v>
      </c>
      <c r="BZ1090" s="63">
        <f t="shared" si="451"/>
        <v>7264</v>
      </c>
      <c r="CD1090" s="63">
        <v>0</v>
      </c>
      <c r="CE1090" s="63">
        <v>0</v>
      </c>
      <c r="CF1090" s="63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>
        <v>0</v>
      </c>
      <c r="CQ1090">
        <v>0</v>
      </c>
    </row>
    <row r="1091" spans="1:95" ht="13" hidden="1" customHeight="1" outlineLevel="1">
      <c r="A1091" t="s">
        <v>954</v>
      </c>
      <c r="B1091" t="s">
        <v>1009</v>
      </c>
      <c r="C1091" s="1">
        <f t="shared" si="453"/>
        <v>19710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4</v>
      </c>
      <c r="G1091" s="132">
        <f t="shared" si="441"/>
        <v>5452</v>
      </c>
      <c r="H1091" s="137">
        <f t="shared" si="442"/>
        <v>0.27661085743277525</v>
      </c>
      <c r="I1091" s="2"/>
      <c r="J1091" s="2">
        <f t="shared" si="454"/>
        <v>0.34028411973617451</v>
      </c>
      <c r="K1091" s="2">
        <f t="shared" si="455"/>
        <v>0.61689497716894981</v>
      </c>
      <c r="L1091" s="2">
        <f t="shared" si="456"/>
        <v>8.9802130898021301E-3</v>
      </c>
      <c r="M1091" s="2">
        <f t="shared" si="457"/>
        <v>3.3840690005073497E-2</v>
      </c>
      <c r="N1091" s="63">
        <v>6707</v>
      </c>
      <c r="O1091" s="63">
        <v>12159</v>
      </c>
      <c r="P1091" s="63">
        <v>177</v>
      </c>
      <c r="Q1091" s="63">
        <v>507</v>
      </c>
      <c r="R1091" s="63">
        <v>142</v>
      </c>
      <c r="S1091" s="63">
        <v>2</v>
      </c>
      <c r="T1091" s="63">
        <v>13</v>
      </c>
      <c r="U1091" s="63"/>
      <c r="V1091" s="63"/>
      <c r="W1091" s="63">
        <f>IF(Copyright!B$11=1,IF(CA1091&gt;0,CA1091-SUM(S1091)-SUM(X1091:AI1091)-SUM(AJ1091:AT1091),SUM(CD1091:CQ1091)),SUM(CD1091:CQ1091))</f>
        <v>1</v>
      </c>
      <c r="X1091" s="63"/>
      <c r="Y1091" s="63">
        <v>0</v>
      </c>
      <c r="Z1091" s="63">
        <v>0</v>
      </c>
      <c r="AA1091" s="63"/>
      <c r="AB1091" s="63"/>
      <c r="AC1091" s="63"/>
      <c r="AD1091" s="63"/>
      <c r="AE1091" s="63">
        <v>0</v>
      </c>
      <c r="AF1091" s="63">
        <v>0</v>
      </c>
      <c r="AG1091" s="63">
        <v>0</v>
      </c>
      <c r="AH1091" s="63"/>
      <c r="AI1091" s="63"/>
      <c r="AJ1091" s="63"/>
      <c r="AK1091" s="63"/>
      <c r="AL1091" s="63"/>
      <c r="AM1091" s="63">
        <v>0</v>
      </c>
      <c r="AN1091" s="63">
        <v>2</v>
      </c>
      <c r="AO1091" s="63"/>
      <c r="AP1091" s="63"/>
      <c r="AQ1091" s="63">
        <v>0</v>
      </c>
      <c r="AR1091" s="63"/>
      <c r="AS1091" s="63"/>
      <c r="AT1091" s="63"/>
      <c r="AU1091" s="63"/>
      <c r="AW1091" s="5">
        <f>IF(Q1091&gt;0,RANK(Q1091,(N1091:P1091,Q1091:AE1091)),0)</f>
        <v>3</v>
      </c>
      <c r="AX1091" s="5">
        <f>IF(R1091&gt;0,RANK(R1091,(N1091:P1091,Q1091:AE1091)),0)</f>
        <v>5</v>
      </c>
      <c r="AY1091" s="5">
        <f>IF(T1091&gt;0,RANK(T1091,(N1091:P1091,Q1091:AE1091)),0)</f>
        <v>6</v>
      </c>
      <c r="AZ1091" s="5">
        <f>IF(S1091&gt;0,RANK(S1091,(N1091:P1091,Q1091:AE1091)),0)</f>
        <v>7</v>
      </c>
      <c r="BA1091" s="2">
        <f t="shared" si="458"/>
        <v>2.5722983257229833E-2</v>
      </c>
      <c r="BB1091" s="2">
        <f t="shared" si="459"/>
        <v>7.2044647387113142E-3</v>
      </c>
      <c r="BC1091" s="2">
        <f t="shared" si="460"/>
        <v>6.5956367326230338E-4</v>
      </c>
      <c r="BD1091" s="2">
        <f t="shared" si="461"/>
        <v>1.0147133434804668E-4</v>
      </c>
      <c r="BF1091" t="s">
        <v>954</v>
      </c>
      <c r="BG1091" t="s">
        <v>1009</v>
      </c>
      <c r="BH1091">
        <v>1</v>
      </c>
      <c r="BJ1091" s="114">
        <v>21</v>
      </c>
      <c r="BK1091" s="116">
        <v>101</v>
      </c>
      <c r="BL1091" s="120">
        <f t="shared" si="452"/>
        <v>21101</v>
      </c>
      <c r="BN1091" s="5" t="s">
        <v>3154</v>
      </c>
      <c r="BZ1091" s="63">
        <f t="shared" si="451"/>
        <v>19710</v>
      </c>
      <c r="CD1091" s="63">
        <v>0</v>
      </c>
      <c r="CE1091" s="63">
        <v>1</v>
      </c>
      <c r="CF1091" s="63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>
        <v>0</v>
      </c>
      <c r="CQ1091">
        <v>0</v>
      </c>
    </row>
    <row r="1092" spans="1:95" ht="13" hidden="1" customHeight="1" outlineLevel="1">
      <c r="A1092" t="s">
        <v>3123</v>
      </c>
      <c r="B1092" t="s">
        <v>1009</v>
      </c>
      <c r="C1092" s="1">
        <f t="shared" si="453"/>
        <v>7149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4</v>
      </c>
      <c r="G1092" s="132">
        <f t="shared" si="441"/>
        <v>3116</v>
      </c>
      <c r="H1092" s="137">
        <f t="shared" si="442"/>
        <v>0.43586515596586933</v>
      </c>
      <c r="I1092" s="2"/>
      <c r="J1092" s="2">
        <f t="shared" si="454"/>
        <v>0.2557000979157924</v>
      </c>
      <c r="K1092" s="2">
        <f t="shared" si="455"/>
        <v>0.69156525388166179</v>
      </c>
      <c r="L1092" s="2">
        <f t="shared" si="456"/>
        <v>1.2309413904042523E-2</v>
      </c>
      <c r="M1092" s="2">
        <f t="shared" si="457"/>
        <v>4.0425234298503282E-2</v>
      </c>
      <c r="N1092" s="63">
        <v>1828</v>
      </c>
      <c r="O1092" s="63">
        <v>4944</v>
      </c>
      <c r="P1092" s="63">
        <v>88</v>
      </c>
      <c r="Q1092" s="63">
        <v>224</v>
      </c>
      <c r="R1092" s="63">
        <v>58</v>
      </c>
      <c r="S1092" s="63">
        <v>4</v>
      </c>
      <c r="T1092" s="63">
        <v>3</v>
      </c>
      <c r="U1092" s="63"/>
      <c r="V1092" s="63"/>
      <c r="W1092" s="63">
        <f>IF(Copyright!B$11=1,IF(CA1092&gt;0,CA1092-SUM(S1092)-SUM(X1092:AI1092)-SUM(AJ1092:AT1092),SUM(CD1092:CQ1092)),SUM(CD1092:CQ1092))</f>
        <v>0</v>
      </c>
      <c r="X1092" s="63"/>
      <c r="Y1092" s="63">
        <v>0</v>
      </c>
      <c r="Z1092" s="63">
        <v>0</v>
      </c>
      <c r="AA1092" s="63"/>
      <c r="AB1092" s="63"/>
      <c r="AC1092" s="63"/>
      <c r="AD1092" s="63"/>
      <c r="AE1092" s="63">
        <v>0</v>
      </c>
      <c r="AF1092" s="63">
        <v>0</v>
      </c>
      <c r="AG1092" s="63">
        <v>0</v>
      </c>
      <c r="AH1092" s="63"/>
      <c r="AI1092" s="63"/>
      <c r="AJ1092" s="63"/>
      <c r="AK1092" s="63"/>
      <c r="AL1092" s="63"/>
      <c r="AM1092" s="63">
        <v>0</v>
      </c>
      <c r="AN1092" s="63">
        <v>0</v>
      </c>
      <c r="AO1092" s="63"/>
      <c r="AP1092" s="63"/>
      <c r="AQ1092" s="63">
        <v>0</v>
      </c>
      <c r="AR1092" s="63"/>
      <c r="AS1092" s="63"/>
      <c r="AT1092" s="63"/>
      <c r="AU1092" s="63"/>
      <c r="AW1092" s="5">
        <f>IF(Q1092&gt;0,RANK(Q1092,(N1092:P1092,Q1092:AE1092)),0)</f>
        <v>3</v>
      </c>
      <c r="AX1092" s="5">
        <f>IF(R1092&gt;0,RANK(R1092,(N1092:P1092,Q1092:AE1092)),0)</f>
        <v>5</v>
      </c>
      <c r="AY1092" s="5">
        <f>IF(T1092&gt;0,RANK(T1092,(N1092:P1092,Q1092:AE1092)),0)</f>
        <v>7</v>
      </c>
      <c r="AZ1092" s="5">
        <f>IF(S1092&gt;0,RANK(S1092,(N1092:P1092,Q1092:AE1092)),0)</f>
        <v>6</v>
      </c>
      <c r="BA1092" s="2">
        <f t="shared" si="458"/>
        <v>3.133305357392642E-2</v>
      </c>
      <c r="BB1092" s="2">
        <f t="shared" si="459"/>
        <v>8.1130228003916637E-3</v>
      </c>
      <c r="BC1092" s="2">
        <f t="shared" si="460"/>
        <v>4.1963911036508602E-4</v>
      </c>
      <c r="BD1092" s="2">
        <f t="shared" si="461"/>
        <v>5.5951881382011466E-4</v>
      </c>
      <c r="BF1092" t="s">
        <v>3123</v>
      </c>
      <c r="BG1092" t="s">
        <v>1009</v>
      </c>
      <c r="BH1092">
        <v>4</v>
      </c>
      <c r="BJ1092" s="114">
        <v>21</v>
      </c>
      <c r="BK1092" s="116">
        <v>103</v>
      </c>
      <c r="BL1092" s="120">
        <f t="shared" si="452"/>
        <v>21103</v>
      </c>
      <c r="BN1092" s="5" t="s">
        <v>3154</v>
      </c>
      <c r="BZ1092" s="63">
        <f t="shared" si="451"/>
        <v>7149</v>
      </c>
      <c r="CD1092" s="63">
        <v>0</v>
      </c>
      <c r="CE1092" s="63">
        <v>0</v>
      </c>
      <c r="CF1092" s="63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>
        <v>0</v>
      </c>
      <c r="CQ1092">
        <v>0</v>
      </c>
    </row>
    <row r="1093" spans="1:95" ht="13" hidden="1" customHeight="1" outlineLevel="1">
      <c r="A1093" t="s">
        <v>443</v>
      </c>
      <c r="B1093" t="s">
        <v>1009</v>
      </c>
      <c r="C1093" s="1">
        <f t="shared" si="453"/>
        <v>2157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4</v>
      </c>
      <c r="G1093" s="132">
        <f t="shared" si="441"/>
        <v>1208</v>
      </c>
      <c r="H1093" s="137">
        <f t="shared" si="442"/>
        <v>0.56003708854891054</v>
      </c>
      <c r="I1093" s="2"/>
      <c r="J1093" s="2">
        <f t="shared" si="454"/>
        <v>0.20815948076031526</v>
      </c>
      <c r="K1093" s="2">
        <f t="shared" si="455"/>
        <v>0.76819656930922575</v>
      </c>
      <c r="L1093" s="2">
        <f t="shared" si="456"/>
        <v>8.8085303662494199E-3</v>
      </c>
      <c r="M1093" s="2">
        <f t="shared" si="457"/>
        <v>1.483541956420951E-2</v>
      </c>
      <c r="N1093" s="63">
        <v>449</v>
      </c>
      <c r="O1093" s="63">
        <v>1657</v>
      </c>
      <c r="P1093" s="63">
        <v>19</v>
      </c>
      <c r="Q1093" s="63">
        <v>26</v>
      </c>
      <c r="R1093" s="63">
        <v>6</v>
      </c>
      <c r="S1093" s="63">
        <v>0</v>
      </c>
      <c r="T1093" s="63">
        <v>0</v>
      </c>
      <c r="U1093" s="63"/>
      <c r="V1093" s="63"/>
      <c r="W1093" s="63">
        <f>IF(Copyright!B$11=1,IF(CA1093&gt;0,CA1093-SUM(S1093)-SUM(X1093:AI1093)-SUM(AJ1093:AT1093),SUM(CD1093:CQ1093)),SUM(CD1093:CQ1093))</f>
        <v>0</v>
      </c>
      <c r="X1093" s="63"/>
      <c r="Y1093" s="63">
        <v>0</v>
      </c>
      <c r="Z1093" s="63">
        <v>0</v>
      </c>
      <c r="AA1093" s="63"/>
      <c r="AB1093" s="63"/>
      <c r="AC1093" s="63"/>
      <c r="AD1093" s="63"/>
      <c r="AE1093" s="63">
        <v>0</v>
      </c>
      <c r="AF1093" s="63">
        <v>0</v>
      </c>
      <c r="AG1093" s="63">
        <v>0</v>
      </c>
      <c r="AH1093" s="63"/>
      <c r="AI1093" s="63"/>
      <c r="AJ1093" s="63"/>
      <c r="AK1093" s="63"/>
      <c r="AL1093" s="63"/>
      <c r="AM1093" s="63">
        <v>0</v>
      </c>
      <c r="AN1093" s="63">
        <v>0</v>
      </c>
      <c r="AO1093" s="63"/>
      <c r="AP1093" s="63"/>
      <c r="AQ1093" s="63">
        <v>0</v>
      </c>
      <c r="AR1093" s="63"/>
      <c r="AS1093" s="63"/>
      <c r="AT1093" s="63"/>
      <c r="AU1093" s="63"/>
      <c r="AW1093" s="5">
        <f>IF(Q1093&gt;0,RANK(Q1093,(N1093:P1093,Q1093:AE1093)),0)</f>
        <v>3</v>
      </c>
      <c r="AX1093" s="5">
        <f>IF(R1093&gt;0,RANK(R1093,(N1093:P1093,Q1093:AE1093)),0)</f>
        <v>5</v>
      </c>
      <c r="AY1093" s="5">
        <f>IF(T1093&gt;0,RANK(T1093,(N1093:P1093,Q1093:AE1093)),0)</f>
        <v>0</v>
      </c>
      <c r="AZ1093" s="5">
        <f>IF(S1093&gt;0,RANK(S1093,(N1093:P1093,Q1093:AE1093)),0)</f>
        <v>0</v>
      </c>
      <c r="BA1093" s="2">
        <f t="shared" si="458"/>
        <v>1.2053778395920259E-2</v>
      </c>
      <c r="BB1093" s="2">
        <f t="shared" si="459"/>
        <v>2.7816411682892906E-3</v>
      </c>
      <c r="BC1093" s="2">
        <f t="shared" si="460"/>
        <v>0</v>
      </c>
      <c r="BD1093" s="2">
        <f t="shared" si="461"/>
        <v>0</v>
      </c>
      <c r="BF1093" t="s">
        <v>443</v>
      </c>
      <c r="BG1093" t="s">
        <v>1009</v>
      </c>
      <c r="BH1093">
        <v>1</v>
      </c>
      <c r="BJ1093" s="114">
        <v>21</v>
      </c>
      <c r="BK1093" s="116">
        <v>105</v>
      </c>
      <c r="BL1093" s="120">
        <f t="shared" si="452"/>
        <v>21105</v>
      </c>
      <c r="BN1093" s="5" t="s">
        <v>3154</v>
      </c>
      <c r="BZ1093" s="63">
        <f t="shared" si="451"/>
        <v>2157</v>
      </c>
      <c r="CD1093" s="63">
        <v>0</v>
      </c>
      <c r="CE1093" s="63">
        <v>0</v>
      </c>
      <c r="CF1093" s="63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>
        <v>0</v>
      </c>
      <c r="CQ1093">
        <v>0</v>
      </c>
    </row>
    <row r="1094" spans="1:95" ht="13" hidden="1" customHeight="1" outlineLevel="1">
      <c r="A1094" t="s">
        <v>40</v>
      </c>
      <c r="B1094" t="s">
        <v>1009</v>
      </c>
      <c r="C1094" s="1">
        <f t="shared" si="453"/>
        <v>20345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4</v>
      </c>
      <c r="G1094" s="132">
        <f t="shared" si="441"/>
        <v>10967</v>
      </c>
      <c r="H1094" s="137">
        <f t="shared" si="442"/>
        <v>0.53905136397149178</v>
      </c>
      <c r="I1094" s="2"/>
      <c r="J1094" s="2">
        <f t="shared" si="454"/>
        <v>0.21184566232489555</v>
      </c>
      <c r="K1094" s="2">
        <f t="shared" si="455"/>
        <v>0.75089702629638733</v>
      </c>
      <c r="L1094" s="2">
        <f t="shared" si="456"/>
        <v>8.0117965101990669E-3</v>
      </c>
      <c r="M1094" s="2">
        <f t="shared" si="457"/>
        <v>2.9245514868518063E-2</v>
      </c>
      <c r="N1094" s="63">
        <v>4310</v>
      </c>
      <c r="O1094" s="63">
        <v>15277</v>
      </c>
      <c r="P1094" s="63">
        <v>163</v>
      </c>
      <c r="Q1094" s="63">
        <v>478</v>
      </c>
      <c r="R1094" s="63">
        <v>97</v>
      </c>
      <c r="S1094" s="63">
        <v>2</v>
      </c>
      <c r="T1094" s="63">
        <v>16</v>
      </c>
      <c r="U1094" s="63"/>
      <c r="V1094" s="63"/>
      <c r="W1094" s="63">
        <f>IF(Copyright!B$11=1,IF(CA1094&gt;0,CA1094-SUM(S1094)-SUM(X1094:AI1094)-SUM(AJ1094:AT1094),SUM(CD1094:CQ1094)),SUM(CD1094:CQ1094))</f>
        <v>0</v>
      </c>
      <c r="X1094" s="63"/>
      <c r="Y1094" s="63">
        <v>0</v>
      </c>
      <c r="Z1094" s="63">
        <v>0</v>
      </c>
      <c r="AA1094" s="63"/>
      <c r="AB1094" s="63"/>
      <c r="AC1094" s="63"/>
      <c r="AD1094" s="63"/>
      <c r="AE1094" s="63">
        <v>1</v>
      </c>
      <c r="AF1094" s="63">
        <v>0</v>
      </c>
      <c r="AG1094" s="63">
        <v>0</v>
      </c>
      <c r="AH1094" s="63"/>
      <c r="AI1094" s="63"/>
      <c r="AJ1094" s="63"/>
      <c r="AK1094" s="63"/>
      <c r="AL1094" s="63"/>
      <c r="AM1094" s="63">
        <v>0</v>
      </c>
      <c r="AN1094" s="63">
        <v>1</v>
      </c>
      <c r="AO1094" s="63"/>
      <c r="AP1094" s="63"/>
      <c r="AQ1094" s="63">
        <v>0</v>
      </c>
      <c r="AR1094" s="63"/>
      <c r="AS1094" s="63"/>
      <c r="AT1094" s="63"/>
      <c r="AU1094" s="63"/>
      <c r="AW1094" s="5">
        <f>IF(Q1094&gt;0,RANK(Q1094,(N1094:P1094,Q1094:AE1094)),0)</f>
        <v>3</v>
      </c>
      <c r="AX1094" s="5">
        <f>IF(R1094&gt;0,RANK(R1094,(N1094:P1094,Q1094:AE1094)),0)</f>
        <v>5</v>
      </c>
      <c r="AY1094" s="5">
        <f>IF(T1094&gt;0,RANK(T1094,(N1094:P1094,Q1094:AE1094)),0)</f>
        <v>6</v>
      </c>
      <c r="AZ1094" s="5">
        <f>IF(S1094&gt;0,RANK(S1094,(N1094:P1094,Q1094:AE1094)),0)</f>
        <v>7</v>
      </c>
      <c r="BA1094" s="2">
        <f t="shared" si="458"/>
        <v>2.3494716146473336E-2</v>
      </c>
      <c r="BB1094" s="2">
        <f t="shared" si="459"/>
        <v>4.7677562054558855E-3</v>
      </c>
      <c r="BC1094" s="2">
        <f t="shared" si="460"/>
        <v>7.8643401327107394E-4</v>
      </c>
      <c r="BD1094" s="2">
        <f t="shared" si="461"/>
        <v>9.8304251658884242E-5</v>
      </c>
      <c r="BF1094" t="s">
        <v>40</v>
      </c>
      <c r="BG1094" t="s">
        <v>1009</v>
      </c>
      <c r="BH1094">
        <v>1</v>
      </c>
      <c r="BJ1094" s="114">
        <v>21</v>
      </c>
      <c r="BK1094" s="116">
        <v>107</v>
      </c>
      <c r="BL1094" s="120">
        <f t="shared" si="452"/>
        <v>21107</v>
      </c>
      <c r="BN1094" s="5" t="s">
        <v>3154</v>
      </c>
      <c r="BZ1094" s="63">
        <f t="shared" si="451"/>
        <v>20345</v>
      </c>
      <c r="CD1094" s="63">
        <v>0</v>
      </c>
      <c r="CE1094" s="63">
        <v>0</v>
      </c>
      <c r="CF1094" s="63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0</v>
      </c>
      <c r="CN1094" s="8">
        <v>0</v>
      </c>
      <c r="CO1094" s="8">
        <v>0</v>
      </c>
      <c r="CP1094">
        <v>0</v>
      </c>
      <c r="CQ1094">
        <v>0</v>
      </c>
    </row>
    <row r="1095" spans="1:95" ht="13" hidden="1" customHeight="1" outlineLevel="1">
      <c r="A1095" t="s">
        <v>2921</v>
      </c>
      <c r="B1095" t="s">
        <v>1009</v>
      </c>
      <c r="C1095" s="1">
        <f t="shared" si="453"/>
        <v>5501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>IF(P1095&gt;0,RANK(P1095,(N1095:P1095,Q1095:AE1095)),0)</f>
        <v>4</v>
      </c>
      <c r="G1095" s="132">
        <f t="shared" ref="G1095:G1158" si="462">IF(C1095&gt;0,MAX(N1095:P1095)-LARGE(N1095:P1095,2),0)</f>
        <v>4407</v>
      </c>
      <c r="H1095" s="137">
        <f t="shared" ref="H1095:H1158" si="463">IF(C1095&gt;0,G1095/C1095,0)</f>
        <v>0.80112706780585352</v>
      </c>
      <c r="I1095" s="2"/>
      <c r="J1095" s="2">
        <f t="shared" si="454"/>
        <v>8.7620432648609345E-2</v>
      </c>
      <c r="K1095" s="2">
        <f t="shared" si="455"/>
        <v>0.88874750045446282</v>
      </c>
      <c r="L1095" s="2">
        <f t="shared" si="456"/>
        <v>4.9081985093619345E-3</v>
      </c>
      <c r="M1095" s="2">
        <f t="shared" si="457"/>
        <v>1.8723868387565939E-2</v>
      </c>
      <c r="N1095" s="63">
        <v>482</v>
      </c>
      <c r="O1095" s="63">
        <v>4889</v>
      </c>
      <c r="P1095" s="63">
        <v>27</v>
      </c>
      <c r="Q1095" s="63">
        <v>79</v>
      </c>
      <c r="R1095" s="63">
        <v>20</v>
      </c>
      <c r="S1095" s="63">
        <v>0</v>
      </c>
      <c r="T1095" s="63">
        <v>3</v>
      </c>
      <c r="U1095" s="63"/>
      <c r="V1095" s="63"/>
      <c r="W1095" s="63">
        <f>IF(Copyright!B$11=1,IF(CA1095&gt;0,CA1095-SUM(S1095)-SUM(X1095:AI1095)-SUM(AJ1095:AT1095),SUM(CD1095:CQ1095)),SUM(CD1095:CQ1095))</f>
        <v>0</v>
      </c>
      <c r="X1095" s="63"/>
      <c r="Y1095" s="63">
        <v>0</v>
      </c>
      <c r="Z1095" s="63">
        <v>0</v>
      </c>
      <c r="AA1095" s="63"/>
      <c r="AB1095" s="63"/>
      <c r="AC1095" s="63"/>
      <c r="AD1095" s="63"/>
      <c r="AE1095" s="63">
        <v>0</v>
      </c>
      <c r="AF1095" s="63">
        <v>0</v>
      </c>
      <c r="AG1095" s="63">
        <v>0</v>
      </c>
      <c r="AH1095" s="63"/>
      <c r="AI1095" s="63"/>
      <c r="AJ1095" s="63"/>
      <c r="AK1095" s="63"/>
      <c r="AL1095" s="63"/>
      <c r="AM1095" s="63">
        <v>0</v>
      </c>
      <c r="AN1095" s="63">
        <v>1</v>
      </c>
      <c r="AO1095" s="63"/>
      <c r="AP1095" s="63"/>
      <c r="AQ1095" s="63">
        <v>0</v>
      </c>
      <c r="AR1095" s="63"/>
      <c r="AS1095" s="63"/>
      <c r="AT1095" s="63"/>
      <c r="AU1095" s="63"/>
      <c r="AW1095" s="5">
        <f>IF(Q1095&gt;0,RANK(Q1095,(N1095:P1095,Q1095:AE1095)),0)</f>
        <v>3</v>
      </c>
      <c r="AX1095" s="5">
        <f>IF(R1095&gt;0,RANK(R1095,(N1095:P1095,Q1095:AE1095)),0)</f>
        <v>5</v>
      </c>
      <c r="AY1095" s="5">
        <f>IF(T1095&gt;0,RANK(T1095,(N1095:P1095,Q1095:AE1095)),0)</f>
        <v>6</v>
      </c>
      <c r="AZ1095" s="5">
        <f>IF(S1095&gt;0,RANK(S1095,(N1095:P1095,Q1095:AE1095)),0)</f>
        <v>0</v>
      </c>
      <c r="BA1095" s="2">
        <f t="shared" si="458"/>
        <v>1.4361025268133067E-2</v>
      </c>
      <c r="BB1095" s="2">
        <f t="shared" si="459"/>
        <v>3.6357025995273585E-3</v>
      </c>
      <c r="BC1095" s="2">
        <f t="shared" si="460"/>
        <v>5.4535538992910384E-4</v>
      </c>
      <c r="BD1095" s="2">
        <f t="shared" si="461"/>
        <v>0</v>
      </c>
      <c r="BF1095" t="s">
        <v>2921</v>
      </c>
      <c r="BG1095" t="s">
        <v>1009</v>
      </c>
      <c r="BH1095">
        <v>5</v>
      </c>
      <c r="BJ1095" s="114">
        <v>21</v>
      </c>
      <c r="BK1095" s="116">
        <v>109</v>
      </c>
      <c r="BL1095" s="120">
        <f t="shared" si="452"/>
        <v>21109</v>
      </c>
      <c r="BN1095" s="5" t="s">
        <v>3154</v>
      </c>
      <c r="BZ1095" s="63">
        <f t="shared" si="451"/>
        <v>5501</v>
      </c>
      <c r="CD1095" s="63">
        <v>0</v>
      </c>
      <c r="CE1095" s="63">
        <v>0</v>
      </c>
      <c r="CF1095" s="63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>
        <v>0</v>
      </c>
      <c r="CQ1095">
        <v>0</v>
      </c>
    </row>
    <row r="1096" spans="1:95" ht="13" hidden="1" customHeight="1" outlineLevel="1">
      <c r="A1096" t="s">
        <v>1092</v>
      </c>
      <c r="B1096" t="s">
        <v>1009</v>
      </c>
      <c r="C1096" s="1">
        <f t="shared" si="453"/>
        <v>353100</v>
      </c>
      <c r="D1096" s="5">
        <f>IF(N1096&gt;0, RANK(N1096,(N1096:P1096,Q1096:AE1096)),0)</f>
        <v>1</v>
      </c>
      <c r="E1096" s="5">
        <f>IF(O1096&gt;0,RANK(O1096,(N1096:P1096,Q1096:AE1096)),0)</f>
        <v>2</v>
      </c>
      <c r="F1096" s="5">
        <f>IF(P1096&gt;0,RANK(P1096,(N1096:P1096,Q1096:AE1096)),0)</f>
        <v>4</v>
      </c>
      <c r="G1096" s="132">
        <f t="shared" si="462"/>
        <v>47068</v>
      </c>
      <c r="H1096" s="137">
        <f t="shared" si="463"/>
        <v>0.13329934862645143</v>
      </c>
      <c r="I1096" s="2"/>
      <c r="J1096" s="2">
        <f t="shared" si="454"/>
        <v>0.54045879354290571</v>
      </c>
      <c r="K1096" s="2">
        <f t="shared" si="455"/>
        <v>0.40715944491645428</v>
      </c>
      <c r="L1096" s="2">
        <f t="shared" si="456"/>
        <v>1.3551401869158878E-2</v>
      </c>
      <c r="M1096" s="2">
        <f t="shared" si="457"/>
        <v>3.8830359671481129E-2</v>
      </c>
      <c r="N1096" s="63">
        <v>190836</v>
      </c>
      <c r="O1096" s="63">
        <v>143768</v>
      </c>
      <c r="P1096" s="63">
        <v>4785</v>
      </c>
      <c r="Q1096" s="63">
        <v>10188</v>
      </c>
      <c r="R1096" s="63">
        <v>3224</v>
      </c>
      <c r="S1096" s="63">
        <v>57</v>
      </c>
      <c r="T1096" s="63">
        <v>156</v>
      </c>
      <c r="U1096" s="63"/>
      <c r="V1096" s="63"/>
      <c r="W1096" s="63">
        <f>IF(Copyright!B$11=1,IF(CA1096&gt;0,CA1096-SUM(S1096)-SUM(X1096:AI1096)-SUM(AJ1096:AT1096),SUM(CD1096:CQ1096)),SUM(CD1096:CQ1096))</f>
        <v>30</v>
      </c>
      <c r="X1096" s="63"/>
      <c r="Y1096" s="63">
        <v>4</v>
      </c>
      <c r="Z1096" s="63">
        <v>0</v>
      </c>
      <c r="AA1096" s="63"/>
      <c r="AB1096" s="63"/>
      <c r="AC1096" s="63"/>
      <c r="AD1096" s="63"/>
      <c r="AE1096" s="63">
        <v>1</v>
      </c>
      <c r="AF1096" s="63">
        <v>0</v>
      </c>
      <c r="AG1096" s="63">
        <v>1</v>
      </c>
      <c r="AH1096" s="63"/>
      <c r="AI1096" s="63"/>
      <c r="AJ1096" s="63"/>
      <c r="AK1096" s="63"/>
      <c r="AL1096" s="63"/>
      <c r="AM1096" s="63">
        <v>0</v>
      </c>
      <c r="AN1096" s="63">
        <v>47</v>
      </c>
      <c r="AO1096" s="63"/>
      <c r="AP1096" s="63"/>
      <c r="AQ1096" s="63">
        <v>3</v>
      </c>
      <c r="AR1096" s="63"/>
      <c r="AS1096" s="63"/>
      <c r="AT1096" s="63"/>
      <c r="AU1096" s="63"/>
      <c r="AW1096" s="5">
        <f>IF(Q1096&gt;0,RANK(Q1096,(N1096:P1096,Q1096:AE1096)),0)</f>
        <v>3</v>
      </c>
      <c r="AX1096" s="5">
        <f>IF(R1096&gt;0,RANK(R1096,(N1096:P1096,Q1096:AE1096)),0)</f>
        <v>5</v>
      </c>
      <c r="AY1096" s="5">
        <f>IF(T1096&gt;0,RANK(T1096,(N1096:P1096,Q1096:AE1096)),0)</f>
        <v>6</v>
      </c>
      <c r="AZ1096" s="5">
        <f>IF(S1096&gt;0,RANK(S1096,(N1096:P1096,Q1096:AE1096)),0)</f>
        <v>7</v>
      </c>
      <c r="BA1096" s="2">
        <f t="shared" si="458"/>
        <v>2.885301614273577E-2</v>
      </c>
      <c r="BB1096" s="2">
        <f t="shared" si="459"/>
        <v>9.1305579156046451E-3</v>
      </c>
      <c r="BC1096" s="2">
        <f t="shared" si="460"/>
        <v>4.4180118946474085E-4</v>
      </c>
      <c r="BD1096" s="2">
        <f t="shared" si="461"/>
        <v>1.6142735768903994E-4</v>
      </c>
      <c r="BF1096" t="s">
        <v>1092</v>
      </c>
      <c r="BG1096" t="s">
        <v>1009</v>
      </c>
      <c r="BJ1096" s="114">
        <v>21</v>
      </c>
      <c r="BK1096" s="116">
        <v>111</v>
      </c>
      <c r="BL1096" s="120">
        <f t="shared" si="452"/>
        <v>21111</v>
      </c>
      <c r="BN1096" s="5" t="s">
        <v>3154</v>
      </c>
      <c r="BZ1096" s="63">
        <f t="shared" si="451"/>
        <v>353100</v>
      </c>
      <c r="CD1096" s="63">
        <v>2</v>
      </c>
      <c r="CE1096" s="63">
        <v>13</v>
      </c>
      <c r="CF1096" s="63">
        <v>0</v>
      </c>
      <c r="CG1096" s="8">
        <v>3</v>
      </c>
      <c r="CH1096" s="8">
        <v>6</v>
      </c>
      <c r="CI1096" s="8">
        <v>2</v>
      </c>
      <c r="CJ1096" s="8">
        <v>0</v>
      </c>
      <c r="CK1096" s="8">
        <v>2</v>
      </c>
      <c r="CL1096" s="8">
        <v>1</v>
      </c>
      <c r="CM1096" s="8">
        <v>0</v>
      </c>
      <c r="CN1096" s="8">
        <v>1</v>
      </c>
      <c r="CO1096" s="8">
        <v>0</v>
      </c>
      <c r="CP1096">
        <v>0</v>
      </c>
      <c r="CQ1096">
        <v>0</v>
      </c>
    </row>
    <row r="1097" spans="1:95" ht="13" hidden="1" customHeight="1" outlineLevel="1">
      <c r="A1097" t="s">
        <v>606</v>
      </c>
      <c r="B1097" t="s">
        <v>1009</v>
      </c>
      <c r="C1097" s="1">
        <f t="shared" si="453"/>
        <v>23326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4</v>
      </c>
      <c r="G1097" s="132">
        <f t="shared" si="462"/>
        <v>9330</v>
      </c>
      <c r="H1097" s="137">
        <f t="shared" si="463"/>
        <v>0.3999828517534082</v>
      </c>
      <c r="I1097" s="2"/>
      <c r="J1097" s="2">
        <f t="shared" si="454"/>
        <v>0.26339706764983278</v>
      </c>
      <c r="K1097" s="2">
        <f t="shared" si="455"/>
        <v>0.66337991940324104</v>
      </c>
      <c r="L1097" s="2">
        <f t="shared" si="456"/>
        <v>2.8937666123638857E-2</v>
      </c>
      <c r="M1097" s="2">
        <f t="shared" si="457"/>
        <v>4.4285346823287379E-2</v>
      </c>
      <c r="N1097" s="63">
        <v>6144</v>
      </c>
      <c r="O1097" s="63">
        <v>15474</v>
      </c>
      <c r="P1097" s="63">
        <v>675</v>
      </c>
      <c r="Q1097" s="63">
        <v>829</v>
      </c>
      <c r="R1097" s="63">
        <v>170</v>
      </c>
      <c r="S1097" s="63">
        <v>10</v>
      </c>
      <c r="T1097" s="63">
        <v>14</v>
      </c>
      <c r="U1097" s="63"/>
      <c r="V1097" s="63"/>
      <c r="W1097" s="63">
        <f>IF(Copyright!B$11=1,IF(CA1097&gt;0,CA1097-SUM(S1097)-SUM(X1097:AI1097)-SUM(AJ1097:AT1097),SUM(CD1097:CQ1097)),SUM(CD1097:CQ1097))</f>
        <v>0</v>
      </c>
      <c r="X1097" s="63"/>
      <c r="Y1097" s="63">
        <v>1</v>
      </c>
      <c r="Z1097" s="63">
        <v>0</v>
      </c>
      <c r="AA1097" s="63"/>
      <c r="AB1097" s="63"/>
      <c r="AC1097" s="63"/>
      <c r="AD1097" s="63"/>
      <c r="AE1097" s="63">
        <v>0</v>
      </c>
      <c r="AF1097" s="63">
        <v>0</v>
      </c>
      <c r="AG1097" s="63">
        <v>2</v>
      </c>
      <c r="AH1097" s="63"/>
      <c r="AI1097" s="63"/>
      <c r="AJ1097" s="63"/>
      <c r="AK1097" s="63"/>
      <c r="AL1097" s="63"/>
      <c r="AM1097" s="63">
        <v>0</v>
      </c>
      <c r="AN1097" s="63">
        <v>7</v>
      </c>
      <c r="AO1097" s="63"/>
      <c r="AP1097" s="63"/>
      <c r="AQ1097" s="63">
        <v>0</v>
      </c>
      <c r="AR1097" s="63"/>
      <c r="AS1097" s="63"/>
      <c r="AT1097" s="63"/>
      <c r="AU1097" s="63"/>
      <c r="AW1097" s="5">
        <f>IF(Q1097&gt;0,RANK(Q1097,(N1097:P1097,Q1097:AE1097)),0)</f>
        <v>3</v>
      </c>
      <c r="AX1097" s="5">
        <f>IF(R1097&gt;0,RANK(R1097,(N1097:P1097,Q1097:AE1097)),0)</f>
        <v>5</v>
      </c>
      <c r="AY1097" s="5">
        <f>IF(T1097&gt;0,RANK(T1097,(N1097:P1097,Q1097:AE1097)),0)</f>
        <v>6</v>
      </c>
      <c r="AZ1097" s="5">
        <f>IF(S1097&gt;0,RANK(S1097,(N1097:P1097,Q1097:AE1097)),0)</f>
        <v>7</v>
      </c>
      <c r="BA1097" s="2">
        <f t="shared" si="458"/>
        <v>3.5539741061476463E-2</v>
      </c>
      <c r="BB1097" s="2">
        <f t="shared" si="459"/>
        <v>7.2880048015090456E-3</v>
      </c>
      <c r="BC1097" s="2">
        <f t="shared" si="460"/>
        <v>6.0018863071250965E-4</v>
      </c>
      <c r="BD1097" s="2">
        <f t="shared" si="461"/>
        <v>4.2870616479464977E-4</v>
      </c>
      <c r="BF1097" t="s">
        <v>606</v>
      </c>
      <c r="BG1097" t="s">
        <v>1009</v>
      </c>
      <c r="BJ1097" s="114">
        <v>21</v>
      </c>
      <c r="BK1097" s="116">
        <v>113</v>
      </c>
      <c r="BL1097" s="120">
        <f t="shared" si="452"/>
        <v>21113</v>
      </c>
      <c r="BN1097" s="5" t="s">
        <v>3154</v>
      </c>
      <c r="BZ1097" s="63">
        <f t="shared" si="451"/>
        <v>23326</v>
      </c>
      <c r="CD1097" s="63">
        <v>0</v>
      </c>
      <c r="CE1097" s="63">
        <v>0</v>
      </c>
      <c r="CF1097" s="63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>
        <v>0</v>
      </c>
      <c r="CQ1097">
        <v>0</v>
      </c>
    </row>
    <row r="1098" spans="1:95" ht="13" hidden="1" customHeight="1" outlineLevel="1">
      <c r="A1098" t="s">
        <v>1361</v>
      </c>
      <c r="B1098" t="s">
        <v>1009</v>
      </c>
      <c r="C1098" s="1">
        <f t="shared" si="453"/>
        <v>9572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5</v>
      </c>
      <c r="G1098" s="132">
        <f t="shared" si="462"/>
        <v>6793</v>
      </c>
      <c r="H1098" s="137">
        <f t="shared" si="463"/>
        <v>0.70967404931048894</v>
      </c>
      <c r="I1098" s="2"/>
      <c r="J1098" s="2">
        <f t="shared" si="454"/>
        <v>0.13058921855411618</v>
      </c>
      <c r="K1098" s="2">
        <f t="shared" si="455"/>
        <v>0.84026326786460515</v>
      </c>
      <c r="L1098" s="2">
        <f t="shared" si="456"/>
        <v>4.5967404931048896E-3</v>
      </c>
      <c r="M1098" s="2">
        <f t="shared" si="457"/>
        <v>2.4550773088173761E-2</v>
      </c>
      <c r="N1098" s="63">
        <v>1250</v>
      </c>
      <c r="O1098" s="63">
        <v>8043</v>
      </c>
      <c r="P1098" s="63">
        <v>44</v>
      </c>
      <c r="Q1098" s="63">
        <v>163</v>
      </c>
      <c r="R1098" s="63">
        <v>60</v>
      </c>
      <c r="S1098" s="63">
        <v>0</v>
      </c>
      <c r="T1098" s="63">
        <v>12</v>
      </c>
      <c r="U1098" s="63"/>
      <c r="V1098" s="63"/>
      <c r="W1098" s="63">
        <f>IF(Copyright!B$11=1,IF(CA1098&gt;0,CA1098-SUM(S1098)-SUM(X1098:AI1098)-SUM(AJ1098:AT1098),SUM(CD1098:CQ1098)),SUM(CD1098:CQ1098))</f>
        <v>0</v>
      </c>
      <c r="X1098" s="63"/>
      <c r="Y1098" s="63">
        <v>0</v>
      </c>
      <c r="Z1098" s="63">
        <v>0</v>
      </c>
      <c r="AA1098" s="63"/>
      <c r="AB1098" s="63"/>
      <c r="AC1098" s="63"/>
      <c r="AD1098" s="63"/>
      <c r="AE1098" s="63">
        <v>0</v>
      </c>
      <c r="AF1098" s="63">
        <v>0</v>
      </c>
      <c r="AG1098" s="63">
        <v>0</v>
      </c>
      <c r="AH1098" s="63"/>
      <c r="AI1098" s="63"/>
      <c r="AJ1098" s="63"/>
      <c r="AK1098" s="63"/>
      <c r="AL1098" s="63"/>
      <c r="AM1098" s="63">
        <v>0</v>
      </c>
      <c r="AN1098" s="63">
        <v>0</v>
      </c>
      <c r="AO1098" s="63"/>
      <c r="AP1098" s="63"/>
      <c r="AQ1098" s="63">
        <v>0</v>
      </c>
      <c r="AR1098" s="63"/>
      <c r="AS1098" s="63"/>
      <c r="AT1098" s="63"/>
      <c r="AU1098" s="63"/>
      <c r="AW1098" s="5">
        <f>IF(Q1098&gt;0,RANK(Q1098,(N1098:P1098,Q1098:AE1098)),0)</f>
        <v>3</v>
      </c>
      <c r="AX1098" s="5">
        <f>IF(R1098&gt;0,RANK(R1098,(N1098:P1098,Q1098:AE1098)),0)</f>
        <v>4</v>
      </c>
      <c r="AY1098" s="5">
        <f>IF(T1098&gt;0,RANK(T1098,(N1098:P1098,Q1098:AE1098)),0)</f>
        <v>6</v>
      </c>
      <c r="AZ1098" s="5">
        <f>IF(S1098&gt;0,RANK(S1098,(N1098:P1098,Q1098:AE1098)),0)</f>
        <v>0</v>
      </c>
      <c r="BA1098" s="2">
        <f t="shared" si="458"/>
        <v>1.7028834099456748E-2</v>
      </c>
      <c r="BB1098" s="2">
        <f t="shared" si="459"/>
        <v>6.2682824905975765E-3</v>
      </c>
      <c r="BC1098" s="2">
        <f t="shared" si="460"/>
        <v>1.2536564981195152E-3</v>
      </c>
      <c r="BD1098" s="2">
        <f t="shared" si="461"/>
        <v>0</v>
      </c>
      <c r="BF1098" t="s">
        <v>1361</v>
      </c>
      <c r="BG1098" t="s">
        <v>1009</v>
      </c>
      <c r="BH1098">
        <v>5</v>
      </c>
      <c r="BJ1098" s="114">
        <v>21</v>
      </c>
      <c r="BK1098" s="116">
        <v>115</v>
      </c>
      <c r="BL1098" s="120">
        <f t="shared" si="452"/>
        <v>21115</v>
      </c>
      <c r="BN1098" s="5" t="s">
        <v>3154</v>
      </c>
      <c r="BZ1098" s="63">
        <f t="shared" si="451"/>
        <v>9572</v>
      </c>
      <c r="CD1098" s="63">
        <v>0</v>
      </c>
      <c r="CE1098" s="63">
        <v>0</v>
      </c>
      <c r="CF1098" s="63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>
        <v>0</v>
      </c>
      <c r="CQ1098">
        <v>0</v>
      </c>
    </row>
    <row r="1099" spans="1:95" ht="13" hidden="1" customHeight="1" outlineLevel="1">
      <c r="A1099" t="s">
        <v>896</v>
      </c>
      <c r="B1099" t="s">
        <v>1009</v>
      </c>
      <c r="C1099" s="1">
        <f t="shared" si="453"/>
        <v>71998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4</v>
      </c>
      <c r="G1099" s="132">
        <f t="shared" si="462"/>
        <v>18744</v>
      </c>
      <c r="H1099" s="137">
        <f t="shared" si="463"/>
        <v>0.26034056501569486</v>
      </c>
      <c r="I1099" s="2"/>
      <c r="J1099" s="2">
        <f t="shared" si="454"/>
        <v>0.33631489763604544</v>
      </c>
      <c r="K1099" s="2">
        <f t="shared" si="455"/>
        <v>0.5966554626517403</v>
      </c>
      <c r="L1099" s="2">
        <f t="shared" si="456"/>
        <v>1.3028139670546404E-2</v>
      </c>
      <c r="M1099" s="2">
        <f t="shared" si="457"/>
        <v>5.4001500041667802E-2</v>
      </c>
      <c r="N1099" s="63">
        <v>24214</v>
      </c>
      <c r="O1099" s="63">
        <v>42958</v>
      </c>
      <c r="P1099" s="63">
        <v>938</v>
      </c>
      <c r="Q1099" s="63">
        <v>3093</v>
      </c>
      <c r="R1099" s="63">
        <v>703</v>
      </c>
      <c r="S1099" s="63">
        <v>35</v>
      </c>
      <c r="T1099" s="63">
        <v>42</v>
      </c>
      <c r="U1099" s="63"/>
      <c r="V1099" s="63"/>
      <c r="W1099" s="63">
        <f>IF(Copyright!B$11=1,IF(CA1099&gt;0,CA1099-SUM(S1099)-SUM(X1099:AI1099)-SUM(AJ1099:AT1099),SUM(CD1099:CQ1099)),SUM(CD1099:CQ1099))</f>
        <v>3</v>
      </c>
      <c r="X1099" s="63"/>
      <c r="Y1099" s="63">
        <v>0</v>
      </c>
      <c r="Z1099" s="63">
        <v>0</v>
      </c>
      <c r="AA1099" s="63"/>
      <c r="AB1099" s="63"/>
      <c r="AC1099" s="63"/>
      <c r="AD1099" s="63"/>
      <c r="AE1099" s="63">
        <v>0</v>
      </c>
      <c r="AF1099" s="63">
        <v>2</v>
      </c>
      <c r="AG1099" s="63">
        <v>0</v>
      </c>
      <c r="AH1099" s="63"/>
      <c r="AI1099" s="63"/>
      <c r="AJ1099" s="63"/>
      <c r="AK1099" s="63"/>
      <c r="AL1099" s="63"/>
      <c r="AM1099" s="63">
        <v>0</v>
      </c>
      <c r="AN1099" s="63">
        <v>10</v>
      </c>
      <c r="AO1099" s="63"/>
      <c r="AP1099" s="63"/>
      <c r="AQ1099" s="63">
        <v>0</v>
      </c>
      <c r="AR1099" s="63"/>
      <c r="AS1099" s="63"/>
      <c r="AT1099" s="63"/>
      <c r="AU1099" s="63"/>
      <c r="AW1099" s="5">
        <f>IF(Q1099&gt;0,RANK(Q1099,(N1099:P1099,Q1099:AE1099)),0)</f>
        <v>3</v>
      </c>
      <c r="AX1099" s="5">
        <f>IF(R1099&gt;0,RANK(R1099,(N1099:P1099,Q1099:AE1099)),0)</f>
        <v>5</v>
      </c>
      <c r="AY1099" s="5">
        <f>IF(T1099&gt;0,RANK(T1099,(N1099:P1099,Q1099:AE1099)),0)</f>
        <v>6</v>
      </c>
      <c r="AZ1099" s="5">
        <f>IF(S1099&gt;0,RANK(S1099,(N1099:P1099,Q1099:AE1099)),0)</f>
        <v>7</v>
      </c>
      <c r="BA1099" s="2">
        <f t="shared" si="458"/>
        <v>4.2959526653518154E-2</v>
      </c>
      <c r="BB1099" s="2">
        <f t="shared" si="459"/>
        <v>9.7641601155587648E-3</v>
      </c>
      <c r="BC1099" s="2">
        <f t="shared" si="460"/>
        <v>5.8334953748715238E-4</v>
      </c>
      <c r="BD1099" s="2">
        <f t="shared" si="461"/>
        <v>4.86124614572627E-4</v>
      </c>
      <c r="BF1099" t="s">
        <v>896</v>
      </c>
      <c r="BG1099" t="s">
        <v>1009</v>
      </c>
      <c r="BH1099">
        <v>4</v>
      </c>
      <c r="BJ1099" s="114">
        <v>21</v>
      </c>
      <c r="BK1099" s="116">
        <v>117</v>
      </c>
      <c r="BL1099" s="120">
        <f t="shared" si="452"/>
        <v>21117</v>
      </c>
      <c r="BN1099" s="5" t="s">
        <v>3154</v>
      </c>
      <c r="BZ1099" s="63">
        <f t="shared" si="451"/>
        <v>71998</v>
      </c>
      <c r="CD1099" s="63">
        <v>1</v>
      </c>
      <c r="CE1099" s="63">
        <v>0</v>
      </c>
      <c r="CF1099" s="63">
        <v>0</v>
      </c>
      <c r="CG1099" s="8">
        <v>0</v>
      </c>
      <c r="CH1099" s="8">
        <v>0</v>
      </c>
      <c r="CI1099" s="8">
        <v>1</v>
      </c>
      <c r="CJ1099" s="8">
        <v>0</v>
      </c>
      <c r="CK1099" s="8">
        <v>0</v>
      </c>
      <c r="CL1099" s="8">
        <v>0</v>
      </c>
      <c r="CM1099" s="8">
        <v>0</v>
      </c>
      <c r="CN1099" s="8">
        <v>1</v>
      </c>
      <c r="CO1099" s="8">
        <v>0</v>
      </c>
      <c r="CP1099">
        <v>0</v>
      </c>
      <c r="CQ1099">
        <v>0</v>
      </c>
    </row>
    <row r="1100" spans="1:95" ht="13" hidden="1" customHeight="1" outlineLevel="1">
      <c r="A1100" t="s">
        <v>1243</v>
      </c>
      <c r="B1100" t="s">
        <v>1009</v>
      </c>
      <c r="C1100" s="1">
        <f t="shared" si="453"/>
        <v>5763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4</v>
      </c>
      <c r="G1100" s="132">
        <f t="shared" si="462"/>
        <v>3112</v>
      </c>
      <c r="H1100" s="137">
        <f t="shared" si="463"/>
        <v>0.53999652958528543</v>
      </c>
      <c r="I1100" s="2"/>
      <c r="J1100" s="2">
        <f t="shared" si="454"/>
        <v>0.21603331598125977</v>
      </c>
      <c r="K1100" s="2">
        <f t="shared" si="455"/>
        <v>0.75602984556654518</v>
      </c>
      <c r="L1100" s="2">
        <f t="shared" si="456"/>
        <v>6.7673086933888599E-3</v>
      </c>
      <c r="M1100" s="2">
        <f t="shared" si="457"/>
        <v>2.1169529758806219E-2</v>
      </c>
      <c r="N1100" s="63">
        <v>1245</v>
      </c>
      <c r="O1100" s="63">
        <v>4357</v>
      </c>
      <c r="P1100" s="63">
        <v>39</v>
      </c>
      <c r="Q1100" s="63">
        <v>102</v>
      </c>
      <c r="R1100" s="63">
        <v>13</v>
      </c>
      <c r="S1100" s="63">
        <v>0</v>
      </c>
      <c r="T1100" s="63">
        <v>7</v>
      </c>
      <c r="U1100" s="63"/>
      <c r="V1100" s="63"/>
      <c r="W1100" s="63">
        <f>IF(Copyright!B$11=1,IF(CA1100&gt;0,CA1100-SUM(S1100)-SUM(X1100:AI1100)-SUM(AJ1100:AT1100),SUM(CD1100:CQ1100)),SUM(CD1100:CQ1100))</f>
        <v>0</v>
      </c>
      <c r="X1100" s="63"/>
      <c r="Y1100" s="63">
        <v>0</v>
      </c>
      <c r="Z1100" s="63">
        <v>0</v>
      </c>
      <c r="AA1100" s="63"/>
      <c r="AB1100" s="63"/>
      <c r="AC1100" s="63"/>
      <c r="AD1100" s="63"/>
      <c r="AE1100" s="63">
        <v>0</v>
      </c>
      <c r="AF1100" s="63">
        <v>0</v>
      </c>
      <c r="AG1100" s="63">
        <v>0</v>
      </c>
      <c r="AH1100" s="63"/>
      <c r="AI1100" s="63"/>
      <c r="AJ1100" s="63"/>
      <c r="AK1100" s="63"/>
      <c r="AL1100" s="63"/>
      <c r="AM1100" s="63">
        <v>0</v>
      </c>
      <c r="AN1100" s="63">
        <v>0</v>
      </c>
      <c r="AO1100" s="63"/>
      <c r="AP1100" s="63"/>
      <c r="AQ1100" s="63">
        <v>0</v>
      </c>
      <c r="AR1100" s="63"/>
      <c r="AS1100" s="63"/>
      <c r="AT1100" s="63"/>
      <c r="AU1100" s="63"/>
      <c r="AW1100" s="5">
        <f>IF(Q1100&gt;0,RANK(Q1100,(N1100:P1100,Q1100:AE1100)),0)</f>
        <v>3</v>
      </c>
      <c r="AX1100" s="5">
        <f>IF(R1100&gt;0,RANK(R1100,(N1100:P1100,Q1100:AE1100)),0)</f>
        <v>5</v>
      </c>
      <c r="AY1100" s="5">
        <f>IF(T1100&gt;0,RANK(T1100,(N1100:P1100,Q1100:AE1100)),0)</f>
        <v>6</v>
      </c>
      <c r="AZ1100" s="5">
        <f>IF(S1100&gt;0,RANK(S1100,(N1100:P1100,Q1100:AE1100)),0)</f>
        <v>0</v>
      </c>
      <c r="BA1100" s="2">
        <f t="shared" si="458"/>
        <v>1.7699115044247787E-2</v>
      </c>
      <c r="BB1100" s="2">
        <f t="shared" si="459"/>
        <v>2.2557695644629533E-3</v>
      </c>
      <c r="BC1100" s="2">
        <f t="shared" si="460"/>
        <v>1.2146451500954364E-3</v>
      </c>
      <c r="BD1100" s="2">
        <f t="shared" si="461"/>
        <v>0</v>
      </c>
      <c r="BF1100" t="s">
        <v>1243</v>
      </c>
      <c r="BG1100" t="s">
        <v>1009</v>
      </c>
      <c r="BH1100">
        <v>5</v>
      </c>
      <c r="BJ1100" s="114">
        <v>21</v>
      </c>
      <c r="BK1100" s="116">
        <v>119</v>
      </c>
      <c r="BL1100" s="120">
        <f t="shared" si="452"/>
        <v>21119</v>
      </c>
      <c r="BN1100" s="5" t="s">
        <v>3154</v>
      </c>
      <c r="BZ1100" s="63">
        <f t="shared" si="451"/>
        <v>5763</v>
      </c>
      <c r="CD1100" s="63">
        <v>0</v>
      </c>
      <c r="CE1100" s="63">
        <v>0</v>
      </c>
      <c r="CF1100" s="63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>
        <v>0</v>
      </c>
      <c r="CQ1100">
        <v>0</v>
      </c>
    </row>
    <row r="1101" spans="1:95" ht="13" hidden="1" customHeight="1" outlineLevel="1">
      <c r="A1101" t="s">
        <v>1729</v>
      </c>
      <c r="B1101" t="s">
        <v>1009</v>
      </c>
      <c r="C1101" s="1">
        <f t="shared" si="453"/>
        <v>12012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4</v>
      </c>
      <c r="G1101" s="132">
        <f t="shared" si="462"/>
        <v>8124</v>
      </c>
      <c r="H1101" s="137">
        <f t="shared" si="463"/>
        <v>0.67632367632367629</v>
      </c>
      <c r="I1101" s="2"/>
      <c r="J1101" s="2">
        <f t="shared" si="454"/>
        <v>0.14660339660339661</v>
      </c>
      <c r="K1101" s="2">
        <f t="shared" si="455"/>
        <v>0.8229270729270729</v>
      </c>
      <c r="L1101" s="2">
        <f t="shared" si="456"/>
        <v>8.4915084915084919E-3</v>
      </c>
      <c r="M1101" s="2">
        <f t="shared" si="457"/>
        <v>2.1978021978022001E-2</v>
      </c>
      <c r="N1101" s="63">
        <v>1761</v>
      </c>
      <c r="O1101" s="63">
        <v>9885</v>
      </c>
      <c r="P1101" s="63">
        <v>102</v>
      </c>
      <c r="Q1101" s="63">
        <v>189</v>
      </c>
      <c r="R1101" s="63">
        <v>64</v>
      </c>
      <c r="S1101" s="63">
        <v>0</v>
      </c>
      <c r="T1101" s="63">
        <v>11</v>
      </c>
      <c r="U1101" s="63"/>
      <c r="V1101" s="63"/>
      <c r="W1101" s="63">
        <f>IF(Copyright!B$11=1,IF(CA1101&gt;0,CA1101-SUM(S1101)-SUM(X1101:AI1101)-SUM(AJ1101:AT1101),SUM(CD1101:CQ1101)),SUM(CD1101:CQ1101))</f>
        <v>0</v>
      </c>
      <c r="X1101" s="63"/>
      <c r="Y1101" s="63">
        <v>0</v>
      </c>
      <c r="Z1101" s="63">
        <v>0</v>
      </c>
      <c r="AA1101" s="63"/>
      <c r="AB1101" s="63"/>
      <c r="AC1101" s="63"/>
      <c r="AD1101" s="63"/>
      <c r="AE1101" s="63">
        <v>0</v>
      </c>
      <c r="AF1101" s="63">
        <v>0</v>
      </c>
      <c r="AG1101" s="63">
        <v>0</v>
      </c>
      <c r="AH1101" s="63"/>
      <c r="AI1101" s="63"/>
      <c r="AJ1101" s="63"/>
      <c r="AK1101" s="63"/>
      <c r="AL1101" s="63"/>
      <c r="AM1101" s="63">
        <v>0</v>
      </c>
      <c r="AN1101" s="63">
        <v>0</v>
      </c>
      <c r="AO1101" s="63"/>
      <c r="AP1101" s="63"/>
      <c r="AQ1101" s="63">
        <v>0</v>
      </c>
      <c r="AR1101" s="63"/>
      <c r="AS1101" s="63"/>
      <c r="AT1101" s="63"/>
      <c r="AU1101" s="63"/>
      <c r="AW1101" s="5">
        <f>IF(Q1101&gt;0,RANK(Q1101,(N1101:P1101,Q1101:AE1101)),0)</f>
        <v>3</v>
      </c>
      <c r="AX1101" s="5">
        <f>IF(R1101&gt;0,RANK(R1101,(N1101:P1101,Q1101:AE1101)),0)</f>
        <v>5</v>
      </c>
      <c r="AY1101" s="5">
        <f>IF(T1101&gt;0,RANK(T1101,(N1101:P1101,Q1101:AE1101)),0)</f>
        <v>6</v>
      </c>
      <c r="AZ1101" s="5">
        <f>IF(S1101&gt;0,RANK(S1101,(N1101:P1101,Q1101:AE1101)),0)</f>
        <v>0</v>
      </c>
      <c r="BA1101" s="2">
        <f t="shared" si="458"/>
        <v>1.5734265734265736E-2</v>
      </c>
      <c r="BB1101" s="2">
        <f t="shared" si="459"/>
        <v>5.328005328005328E-3</v>
      </c>
      <c r="BC1101" s="2">
        <f t="shared" si="460"/>
        <v>9.1575091575091575E-4</v>
      </c>
      <c r="BD1101" s="2">
        <f t="shared" si="461"/>
        <v>0</v>
      </c>
      <c r="BF1101" t="s">
        <v>1729</v>
      </c>
      <c r="BG1101" t="s">
        <v>1009</v>
      </c>
      <c r="BH1101">
        <v>5</v>
      </c>
      <c r="BJ1101" s="114">
        <v>21</v>
      </c>
      <c r="BK1101" s="116">
        <v>121</v>
      </c>
      <c r="BL1101" s="120">
        <f t="shared" si="452"/>
        <v>21121</v>
      </c>
      <c r="BN1101" s="5" t="s">
        <v>3154</v>
      </c>
      <c r="BZ1101" s="63">
        <f t="shared" si="451"/>
        <v>12012</v>
      </c>
      <c r="CD1101" s="63">
        <v>0</v>
      </c>
      <c r="CE1101" s="63">
        <v>0</v>
      </c>
      <c r="CF1101" s="63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>
        <v>0</v>
      </c>
      <c r="CQ1101">
        <v>0</v>
      </c>
    </row>
    <row r="1102" spans="1:95" ht="13" hidden="1" customHeight="1" outlineLevel="1">
      <c r="A1102" t="s">
        <v>102</v>
      </c>
      <c r="B1102" t="s">
        <v>1009</v>
      </c>
      <c r="C1102" s="1">
        <f t="shared" si="453"/>
        <v>6367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4</v>
      </c>
      <c r="G1102" s="132">
        <f t="shared" si="462"/>
        <v>3521</v>
      </c>
      <c r="H1102" s="137">
        <f t="shared" si="463"/>
        <v>0.55300769593215016</v>
      </c>
      <c r="I1102" s="2"/>
      <c r="J1102" s="2">
        <f t="shared" si="454"/>
        <v>0.20072247526307524</v>
      </c>
      <c r="K1102" s="2">
        <f t="shared" si="455"/>
        <v>0.75373017119522534</v>
      </c>
      <c r="L1102" s="2">
        <f t="shared" si="456"/>
        <v>1.2564787183917072E-2</v>
      </c>
      <c r="M1102" s="2">
        <f t="shared" si="457"/>
        <v>3.2982566357782406E-2</v>
      </c>
      <c r="N1102" s="63">
        <v>1278</v>
      </c>
      <c r="O1102" s="63">
        <v>4799</v>
      </c>
      <c r="P1102" s="63">
        <v>80</v>
      </c>
      <c r="Q1102" s="63">
        <v>174</v>
      </c>
      <c r="R1102" s="63">
        <v>28</v>
      </c>
      <c r="S1102" s="63">
        <v>0</v>
      </c>
      <c r="T1102" s="63">
        <v>8</v>
      </c>
      <c r="U1102" s="63"/>
      <c r="V1102" s="63"/>
      <c r="W1102" s="63">
        <f>IF(Copyright!B$11=1,IF(CA1102&gt;0,CA1102-SUM(S1102)-SUM(X1102:AI1102)-SUM(AJ1102:AT1102),SUM(CD1102:CQ1102)),SUM(CD1102:CQ1102))</f>
        <v>0</v>
      </c>
      <c r="X1102" s="63"/>
      <c r="Y1102" s="63">
        <v>0</v>
      </c>
      <c r="Z1102" s="63">
        <v>0</v>
      </c>
      <c r="AA1102" s="63"/>
      <c r="AB1102" s="63"/>
      <c r="AC1102" s="63"/>
      <c r="AD1102" s="63"/>
      <c r="AE1102" s="63">
        <v>0</v>
      </c>
      <c r="AF1102" s="63">
        <v>0</v>
      </c>
      <c r="AG1102" s="63">
        <v>0</v>
      </c>
      <c r="AH1102" s="63"/>
      <c r="AI1102" s="63"/>
      <c r="AJ1102" s="63"/>
      <c r="AK1102" s="63"/>
      <c r="AL1102" s="63"/>
      <c r="AM1102" s="63">
        <v>0</v>
      </c>
      <c r="AN1102" s="63">
        <v>0</v>
      </c>
      <c r="AO1102" s="63"/>
      <c r="AP1102" s="63"/>
      <c r="AQ1102" s="63">
        <v>0</v>
      </c>
      <c r="AR1102" s="63"/>
      <c r="AS1102" s="63"/>
      <c r="AT1102" s="63"/>
      <c r="AU1102" s="63"/>
      <c r="AW1102" s="5">
        <f>IF(Q1102&gt;0,RANK(Q1102,(N1102:P1102,Q1102:AE1102)),0)</f>
        <v>3</v>
      </c>
      <c r="AX1102" s="5">
        <f>IF(R1102&gt;0,RANK(R1102,(N1102:P1102,Q1102:AE1102)),0)</f>
        <v>5</v>
      </c>
      <c r="AY1102" s="5">
        <f>IF(T1102&gt;0,RANK(T1102,(N1102:P1102,Q1102:AE1102)),0)</f>
        <v>6</v>
      </c>
      <c r="AZ1102" s="5">
        <f>IF(S1102&gt;0,RANK(S1102,(N1102:P1102,Q1102:AE1102)),0)</f>
        <v>0</v>
      </c>
      <c r="BA1102" s="2">
        <f t="shared" si="458"/>
        <v>2.7328412125019633E-2</v>
      </c>
      <c r="BB1102" s="2">
        <f t="shared" si="459"/>
        <v>4.3976755143709757E-3</v>
      </c>
      <c r="BC1102" s="2">
        <f t="shared" si="460"/>
        <v>1.2564787183917073E-3</v>
      </c>
      <c r="BD1102" s="2">
        <f t="shared" si="461"/>
        <v>0</v>
      </c>
      <c r="BF1102" t="s">
        <v>102</v>
      </c>
      <c r="BG1102" t="s">
        <v>1009</v>
      </c>
      <c r="BH1102">
        <v>2</v>
      </c>
      <c r="BJ1102" s="114">
        <v>21</v>
      </c>
      <c r="BK1102" s="116">
        <v>123</v>
      </c>
      <c r="BL1102" s="120">
        <f t="shared" si="452"/>
        <v>21123</v>
      </c>
      <c r="BN1102" s="5" t="s">
        <v>3154</v>
      </c>
      <c r="BZ1102" s="63">
        <f t="shared" si="451"/>
        <v>6367</v>
      </c>
      <c r="CD1102" s="63">
        <v>0</v>
      </c>
      <c r="CE1102" s="63">
        <v>0</v>
      </c>
      <c r="CF1102" s="63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>
        <v>0</v>
      </c>
      <c r="CQ1102">
        <v>0</v>
      </c>
    </row>
    <row r="1103" spans="1:95" ht="13" hidden="1" customHeight="1" outlineLevel="1">
      <c r="A1103" t="s">
        <v>846</v>
      </c>
      <c r="B1103" t="s">
        <v>1009</v>
      </c>
      <c r="C1103" s="1">
        <f t="shared" si="453"/>
        <v>24833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4</v>
      </c>
      <c r="G1103" s="132">
        <f t="shared" si="462"/>
        <v>17152</v>
      </c>
      <c r="H1103" s="137">
        <f t="shared" si="463"/>
        <v>0.69069383481657476</v>
      </c>
      <c r="I1103" s="2"/>
      <c r="J1103" s="2">
        <f t="shared" si="454"/>
        <v>0.1385253493335481</v>
      </c>
      <c r="K1103" s="2">
        <f t="shared" si="455"/>
        <v>0.82921918415012286</v>
      </c>
      <c r="L1103" s="2">
        <f t="shared" si="456"/>
        <v>7.7316474046631497E-3</v>
      </c>
      <c r="M1103" s="2">
        <f t="shared" si="457"/>
        <v>2.4523819111665894E-2</v>
      </c>
      <c r="N1103" s="63">
        <v>3440</v>
      </c>
      <c r="O1103" s="63">
        <v>20592</v>
      </c>
      <c r="P1103" s="63">
        <v>192</v>
      </c>
      <c r="Q1103" s="63">
        <v>473</v>
      </c>
      <c r="R1103" s="63">
        <v>114</v>
      </c>
      <c r="S1103" s="63">
        <v>8</v>
      </c>
      <c r="T1103" s="63">
        <v>13</v>
      </c>
      <c r="U1103" s="63"/>
      <c r="V1103" s="63"/>
      <c r="W1103" s="63">
        <f>IF(Copyright!B$11=1,IF(CA1103&gt;0,CA1103-SUM(S1103)-SUM(X1103:AI1103)-SUM(AJ1103:AT1103),SUM(CD1103:CQ1103)),SUM(CD1103:CQ1103))</f>
        <v>0</v>
      </c>
      <c r="X1103" s="63"/>
      <c r="Y1103" s="63">
        <v>0</v>
      </c>
      <c r="Z1103" s="63">
        <v>0</v>
      </c>
      <c r="AA1103" s="63"/>
      <c r="AB1103" s="63"/>
      <c r="AC1103" s="63"/>
      <c r="AD1103" s="63"/>
      <c r="AE1103" s="63">
        <v>0</v>
      </c>
      <c r="AF1103" s="63">
        <v>0</v>
      </c>
      <c r="AG1103" s="63">
        <v>0</v>
      </c>
      <c r="AH1103" s="63"/>
      <c r="AI1103" s="63"/>
      <c r="AJ1103" s="63"/>
      <c r="AK1103" s="63"/>
      <c r="AL1103" s="63"/>
      <c r="AM1103" s="63">
        <v>0</v>
      </c>
      <c r="AN1103" s="63">
        <v>1</v>
      </c>
      <c r="AO1103" s="63"/>
      <c r="AP1103" s="63"/>
      <c r="AQ1103" s="63">
        <v>0</v>
      </c>
      <c r="AR1103" s="63"/>
      <c r="AS1103" s="63"/>
      <c r="AT1103" s="63"/>
      <c r="AU1103" s="63"/>
      <c r="AW1103" s="5">
        <f>IF(Q1103&gt;0,RANK(Q1103,(N1103:P1103,Q1103:AE1103)),0)</f>
        <v>3</v>
      </c>
      <c r="AX1103" s="5">
        <f>IF(R1103&gt;0,RANK(R1103,(N1103:P1103,Q1103:AE1103)),0)</f>
        <v>5</v>
      </c>
      <c r="AY1103" s="5">
        <f>IF(T1103&gt;0,RANK(T1103,(N1103:P1103,Q1103:AE1103)),0)</f>
        <v>6</v>
      </c>
      <c r="AZ1103" s="5">
        <f>IF(S1103&gt;0,RANK(S1103,(N1103:P1103,Q1103:AE1103)),0)</f>
        <v>7</v>
      </c>
      <c r="BA1103" s="2">
        <f t="shared" si="458"/>
        <v>1.9047235533362863E-2</v>
      </c>
      <c r="BB1103" s="2">
        <f t="shared" si="459"/>
        <v>4.5906656465187455E-3</v>
      </c>
      <c r="BC1103" s="2">
        <f t="shared" si="460"/>
        <v>5.2349695969073414E-4</v>
      </c>
      <c r="BD1103" s="2">
        <f t="shared" si="461"/>
        <v>3.2215197519429789E-4</v>
      </c>
      <c r="BF1103" t="s">
        <v>846</v>
      </c>
      <c r="BG1103" t="s">
        <v>1009</v>
      </c>
      <c r="BH1103">
        <v>5</v>
      </c>
      <c r="BJ1103" s="114">
        <v>21</v>
      </c>
      <c r="BK1103" s="116">
        <v>125</v>
      </c>
      <c r="BL1103" s="120">
        <f t="shared" si="452"/>
        <v>21125</v>
      </c>
      <c r="BN1103" s="5" t="s">
        <v>3154</v>
      </c>
      <c r="BZ1103" s="63">
        <f t="shared" si="451"/>
        <v>24833</v>
      </c>
      <c r="CD1103" s="63">
        <v>0</v>
      </c>
      <c r="CE1103" s="63">
        <v>0</v>
      </c>
      <c r="CF1103" s="63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>
        <v>0</v>
      </c>
      <c r="CQ1103">
        <v>0</v>
      </c>
    </row>
    <row r="1104" spans="1:95" ht="13" hidden="1" customHeight="1" outlineLevel="1">
      <c r="A1104" t="s">
        <v>548</v>
      </c>
      <c r="B1104" t="s">
        <v>1009</v>
      </c>
      <c r="C1104" s="1">
        <f t="shared" si="453"/>
        <v>6042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4</v>
      </c>
      <c r="G1104" s="132">
        <f t="shared" si="462"/>
        <v>3771</v>
      </c>
      <c r="H1104" s="137">
        <f t="shared" si="463"/>
        <v>0.62413108242303872</v>
      </c>
      <c r="I1104" s="2"/>
      <c r="J1104" s="2">
        <f t="shared" si="454"/>
        <v>0.17295597484276728</v>
      </c>
      <c r="K1104" s="2">
        <f t="shared" si="455"/>
        <v>0.79708705726580598</v>
      </c>
      <c r="L1104" s="2">
        <f t="shared" si="456"/>
        <v>6.1238000662032438E-3</v>
      </c>
      <c r="M1104" s="2">
        <f t="shared" si="457"/>
        <v>2.3833167825223524E-2</v>
      </c>
      <c r="N1104" s="63">
        <v>1045</v>
      </c>
      <c r="O1104" s="63">
        <v>4816</v>
      </c>
      <c r="P1104" s="63">
        <v>37</v>
      </c>
      <c r="Q1104" s="63">
        <v>107</v>
      </c>
      <c r="R1104" s="63">
        <v>32</v>
      </c>
      <c r="S1104" s="63">
        <v>0</v>
      </c>
      <c r="T1104" s="63">
        <v>5</v>
      </c>
      <c r="U1104" s="63"/>
      <c r="V1104" s="63"/>
      <c r="W1104" s="63">
        <f>IF(Copyright!B$11=1,IF(CA1104&gt;0,CA1104-SUM(S1104)-SUM(X1104:AI1104)-SUM(AJ1104:AT1104),SUM(CD1104:CQ1104)),SUM(CD1104:CQ1104))</f>
        <v>0</v>
      </c>
      <c r="X1104" s="63"/>
      <c r="Y1104" s="63">
        <v>0</v>
      </c>
      <c r="Z1104" s="63">
        <v>0</v>
      </c>
      <c r="AA1104" s="63"/>
      <c r="AB1104" s="63"/>
      <c r="AC1104" s="63"/>
      <c r="AD1104" s="63"/>
      <c r="AE1104" s="63">
        <v>0</v>
      </c>
      <c r="AF1104" s="63">
        <v>0</v>
      </c>
      <c r="AG1104" s="63">
        <v>0</v>
      </c>
      <c r="AH1104" s="63"/>
      <c r="AI1104" s="63"/>
      <c r="AJ1104" s="63"/>
      <c r="AK1104" s="63"/>
      <c r="AL1104" s="63"/>
      <c r="AM1104" s="63">
        <v>0</v>
      </c>
      <c r="AN1104" s="63">
        <v>0</v>
      </c>
      <c r="AO1104" s="63"/>
      <c r="AP1104" s="63"/>
      <c r="AQ1104" s="63">
        <v>0</v>
      </c>
      <c r="AR1104" s="63"/>
      <c r="AS1104" s="63"/>
      <c r="AT1104" s="63"/>
      <c r="AU1104" s="63"/>
      <c r="AW1104" s="5">
        <f>IF(Q1104&gt;0,RANK(Q1104,(N1104:P1104,Q1104:AE1104)),0)</f>
        <v>3</v>
      </c>
      <c r="AX1104" s="5">
        <f>IF(R1104&gt;0,RANK(R1104,(N1104:P1104,Q1104:AE1104)),0)</f>
        <v>5</v>
      </c>
      <c r="AY1104" s="5">
        <f>IF(T1104&gt;0,RANK(T1104,(N1104:P1104,Q1104:AE1104)),0)</f>
        <v>6</v>
      </c>
      <c r="AZ1104" s="5">
        <f>IF(S1104&gt;0,RANK(S1104,(N1104:P1104,Q1104:AE1104)),0)</f>
        <v>0</v>
      </c>
      <c r="BA1104" s="2">
        <f t="shared" si="458"/>
        <v>1.7709367759020191E-2</v>
      </c>
      <c r="BB1104" s="2">
        <f t="shared" si="459"/>
        <v>5.2962595167163192E-3</v>
      </c>
      <c r="BC1104" s="2">
        <f t="shared" si="460"/>
        <v>8.2754054948692491E-4</v>
      </c>
      <c r="BD1104" s="2">
        <f t="shared" si="461"/>
        <v>0</v>
      </c>
      <c r="BF1104" t="s">
        <v>548</v>
      </c>
      <c r="BG1104" t="s">
        <v>1009</v>
      </c>
      <c r="BH1104">
        <v>5</v>
      </c>
      <c r="BJ1104" s="114">
        <v>21</v>
      </c>
      <c r="BK1104" s="116">
        <v>127</v>
      </c>
      <c r="BL1104" s="120">
        <f t="shared" si="452"/>
        <v>21127</v>
      </c>
      <c r="BN1104" s="5" t="s">
        <v>3154</v>
      </c>
      <c r="BZ1104" s="63">
        <f t="shared" si="451"/>
        <v>6042</v>
      </c>
      <c r="CD1104" s="63">
        <v>0</v>
      </c>
      <c r="CE1104" s="63">
        <v>0</v>
      </c>
      <c r="CF1104" s="63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>
        <v>0</v>
      </c>
      <c r="CQ1104">
        <v>0</v>
      </c>
    </row>
    <row r="1105" spans="1:95" ht="13" hidden="1" customHeight="1" outlineLevel="1">
      <c r="A1105" t="s">
        <v>97</v>
      </c>
      <c r="B1105" t="s">
        <v>1009</v>
      </c>
      <c r="C1105" s="1">
        <f t="shared" ref="C1105:C1136" si="464">SUM(N1105:AU1105)</f>
        <v>2667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4</v>
      </c>
      <c r="G1105" s="132">
        <f t="shared" si="462"/>
        <v>1707</v>
      </c>
      <c r="H1105" s="137">
        <f t="shared" si="463"/>
        <v>0.64004499437570306</v>
      </c>
      <c r="I1105" s="2"/>
      <c r="J1105" s="2">
        <f t="shared" ref="J1105:J1136" si="465">IF($C1105=0,"-",N1105/$C1105)</f>
        <v>0.16647919010123735</v>
      </c>
      <c r="K1105" s="2">
        <f t="shared" ref="K1105:K1136" si="466">IF($C1105=0,"-",O1105/$C1105)</f>
        <v>0.80652418447694041</v>
      </c>
      <c r="L1105" s="2">
        <f t="shared" ref="L1105:L1136" si="467">IF($C1105=0,"-",P1105/$C1105)</f>
        <v>7.1241094863142111E-3</v>
      </c>
      <c r="M1105" s="2">
        <f t="shared" ref="M1105:M1136" si="468">IF(C1105=0,"-",(1-J1105-K1105-L1105))</f>
        <v>1.9872515935508029E-2</v>
      </c>
      <c r="N1105" s="63">
        <v>444</v>
      </c>
      <c r="O1105" s="63">
        <v>2151</v>
      </c>
      <c r="P1105" s="63">
        <v>19</v>
      </c>
      <c r="Q1105" s="63">
        <v>42</v>
      </c>
      <c r="R1105" s="63">
        <v>7</v>
      </c>
      <c r="S1105" s="63">
        <v>0</v>
      </c>
      <c r="T1105" s="63">
        <v>4</v>
      </c>
      <c r="U1105" s="63"/>
      <c r="V1105" s="63"/>
      <c r="W1105" s="63">
        <f>IF(Copyright!B$11=1,IF(CA1105&gt;0,CA1105-SUM(S1105)-SUM(X1105:AI1105)-SUM(AJ1105:AT1105),SUM(CD1105:CQ1105)),SUM(CD1105:CQ1105))</f>
        <v>0</v>
      </c>
      <c r="X1105" s="63"/>
      <c r="Y1105" s="63">
        <v>0</v>
      </c>
      <c r="Z1105" s="63">
        <v>0</v>
      </c>
      <c r="AA1105" s="63"/>
      <c r="AB1105" s="63"/>
      <c r="AC1105" s="63"/>
      <c r="AD1105" s="63"/>
      <c r="AE1105" s="63">
        <v>0</v>
      </c>
      <c r="AF1105" s="63">
        <v>0</v>
      </c>
      <c r="AG1105" s="63">
        <v>0</v>
      </c>
      <c r="AH1105" s="63"/>
      <c r="AI1105" s="63"/>
      <c r="AJ1105" s="63"/>
      <c r="AK1105" s="63"/>
      <c r="AL1105" s="63"/>
      <c r="AM1105" s="63">
        <v>0</v>
      </c>
      <c r="AN1105" s="63">
        <v>0</v>
      </c>
      <c r="AO1105" s="63"/>
      <c r="AP1105" s="63"/>
      <c r="AQ1105" s="63">
        <v>0</v>
      </c>
      <c r="AR1105" s="63"/>
      <c r="AS1105" s="63"/>
      <c r="AT1105" s="63"/>
      <c r="AU1105" s="63"/>
      <c r="AW1105" s="5">
        <f>IF(Q1105&gt;0,RANK(Q1105,(N1105:P1105,Q1105:AE1105)),0)</f>
        <v>3</v>
      </c>
      <c r="AX1105" s="5">
        <f>IF(R1105&gt;0,RANK(R1105,(N1105:P1105,Q1105:AE1105)),0)</f>
        <v>5</v>
      </c>
      <c r="AY1105" s="5">
        <f>IF(T1105&gt;0,RANK(T1105,(N1105:P1105,Q1105:AE1105)),0)</f>
        <v>6</v>
      </c>
      <c r="AZ1105" s="5">
        <f>IF(S1105&gt;0,RANK(S1105,(N1105:P1105,Q1105:AE1105)),0)</f>
        <v>0</v>
      </c>
      <c r="BA1105" s="2">
        <f t="shared" ref="BA1105:BA1136" si="469">IF($C1105=0,"-",Q1105/$C1105)</f>
        <v>1.5748031496062992E-2</v>
      </c>
      <c r="BB1105" s="2">
        <f t="shared" ref="BB1105:BB1136" si="470">IF($C1105=0,"-",R1105/$C1105)</f>
        <v>2.6246719160104987E-3</v>
      </c>
      <c r="BC1105" s="2">
        <f t="shared" ref="BC1105:BC1136" si="471">IF($C1105=0,"-",T1105/$C1105)</f>
        <v>1.4998125234345708E-3</v>
      </c>
      <c r="BD1105" s="2">
        <f t="shared" ref="BD1105:BD1136" si="472">IF($C1105=0,"-",S1105/$C1105)</f>
        <v>0</v>
      </c>
      <c r="BF1105" t="s">
        <v>97</v>
      </c>
      <c r="BG1105" t="s">
        <v>1009</v>
      </c>
      <c r="BH1105">
        <v>5</v>
      </c>
      <c r="BJ1105" s="114">
        <v>21</v>
      </c>
      <c r="BK1105" s="116">
        <v>129</v>
      </c>
      <c r="BL1105" s="120">
        <f t="shared" si="452"/>
        <v>21129</v>
      </c>
      <c r="BN1105" s="5" t="s">
        <v>3154</v>
      </c>
      <c r="BZ1105" s="63">
        <f t="shared" si="451"/>
        <v>2667</v>
      </c>
      <c r="CD1105" s="63">
        <v>0</v>
      </c>
      <c r="CE1105" s="63">
        <v>0</v>
      </c>
      <c r="CF1105" s="63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>
        <v>0</v>
      </c>
      <c r="CQ1105">
        <v>0</v>
      </c>
    </row>
    <row r="1106" spans="1:95" ht="13" hidden="1" customHeight="1" outlineLevel="1">
      <c r="A1106" t="s">
        <v>560</v>
      </c>
      <c r="B1106" t="s">
        <v>1009</v>
      </c>
      <c r="C1106" s="1">
        <f t="shared" si="464"/>
        <v>4492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4</v>
      </c>
      <c r="G1106" s="132">
        <f t="shared" si="462"/>
        <v>3615</v>
      </c>
      <c r="H1106" s="137">
        <f t="shared" si="463"/>
        <v>0.80476402493321464</v>
      </c>
      <c r="I1106" s="2"/>
      <c r="J1106" s="2">
        <f t="shared" si="465"/>
        <v>8.9047195013357075E-2</v>
      </c>
      <c r="K1106" s="2">
        <f t="shared" si="466"/>
        <v>0.89381121994657164</v>
      </c>
      <c r="L1106" s="2">
        <f t="shared" si="467"/>
        <v>4.0071237756010682E-3</v>
      </c>
      <c r="M1106" s="2">
        <f t="shared" si="468"/>
        <v>1.3134461264470172E-2</v>
      </c>
      <c r="N1106" s="63">
        <v>400</v>
      </c>
      <c r="O1106" s="63">
        <v>4015</v>
      </c>
      <c r="P1106" s="63">
        <v>18</v>
      </c>
      <c r="Q1106" s="63">
        <v>39</v>
      </c>
      <c r="R1106" s="63">
        <v>15</v>
      </c>
      <c r="S1106" s="63">
        <v>0</v>
      </c>
      <c r="T1106" s="63">
        <v>5</v>
      </c>
      <c r="U1106" s="63"/>
      <c r="V1106" s="63"/>
      <c r="W1106" s="63">
        <f>IF(Copyright!B$11=1,IF(CA1106&gt;0,CA1106-SUM(S1106)-SUM(X1106:AI1106)-SUM(AJ1106:AT1106),SUM(CD1106:CQ1106)),SUM(CD1106:CQ1106))</f>
        <v>0</v>
      </c>
      <c r="X1106" s="63"/>
      <c r="Y1106" s="63">
        <v>0</v>
      </c>
      <c r="Z1106" s="63">
        <v>0</v>
      </c>
      <c r="AA1106" s="63"/>
      <c r="AB1106" s="63"/>
      <c r="AC1106" s="63"/>
      <c r="AD1106" s="63"/>
      <c r="AE1106" s="63">
        <v>0</v>
      </c>
      <c r="AF1106" s="63">
        <v>0</v>
      </c>
      <c r="AG1106" s="63">
        <v>0</v>
      </c>
      <c r="AH1106" s="63"/>
      <c r="AI1106" s="63"/>
      <c r="AJ1106" s="63"/>
      <c r="AK1106" s="63"/>
      <c r="AL1106" s="63"/>
      <c r="AM1106" s="63">
        <v>0</v>
      </c>
      <c r="AN1106" s="63">
        <v>0</v>
      </c>
      <c r="AO1106" s="63"/>
      <c r="AP1106" s="63"/>
      <c r="AQ1106" s="63">
        <v>0</v>
      </c>
      <c r="AR1106" s="63"/>
      <c r="AS1106" s="63"/>
      <c r="AT1106" s="63"/>
      <c r="AU1106" s="63"/>
      <c r="AW1106" s="5">
        <f>IF(Q1106&gt;0,RANK(Q1106,(N1106:P1106,Q1106:AE1106)),0)</f>
        <v>3</v>
      </c>
      <c r="AX1106" s="5">
        <f>IF(R1106&gt;0,RANK(R1106,(N1106:P1106,Q1106:AE1106)),0)</f>
        <v>5</v>
      </c>
      <c r="AY1106" s="5">
        <f>IF(T1106&gt;0,RANK(T1106,(N1106:P1106,Q1106:AE1106)),0)</f>
        <v>6</v>
      </c>
      <c r="AZ1106" s="5">
        <f>IF(S1106&gt;0,RANK(S1106,(N1106:P1106,Q1106:AE1106)),0)</f>
        <v>0</v>
      </c>
      <c r="BA1106" s="2">
        <f t="shared" si="469"/>
        <v>8.682101513802316E-3</v>
      </c>
      <c r="BB1106" s="2">
        <f t="shared" si="470"/>
        <v>3.3392698130008903E-3</v>
      </c>
      <c r="BC1106" s="2">
        <f t="shared" si="471"/>
        <v>1.1130899376669634E-3</v>
      </c>
      <c r="BD1106" s="2">
        <f t="shared" si="472"/>
        <v>0</v>
      </c>
      <c r="BF1106" t="s">
        <v>560</v>
      </c>
      <c r="BG1106" t="s">
        <v>1009</v>
      </c>
      <c r="BH1106">
        <v>5</v>
      </c>
      <c r="BJ1106" s="114">
        <v>21</v>
      </c>
      <c r="BK1106" s="116">
        <v>131</v>
      </c>
      <c r="BL1106" s="120">
        <f t="shared" si="452"/>
        <v>21131</v>
      </c>
      <c r="BN1106" s="5" t="s">
        <v>3154</v>
      </c>
      <c r="BR1106" s="63"/>
      <c r="BZ1106" s="63">
        <f t="shared" ref="BZ1106:BZ1160" si="473">C1106</f>
        <v>4492</v>
      </c>
      <c r="CD1106" s="63">
        <v>0</v>
      </c>
      <c r="CE1106" s="63">
        <v>0</v>
      </c>
      <c r="CF1106" s="63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0</v>
      </c>
      <c r="CP1106">
        <v>0</v>
      </c>
      <c r="CQ1106">
        <v>0</v>
      </c>
    </row>
    <row r="1107" spans="1:95" ht="13" hidden="1" customHeight="1" outlineLevel="1">
      <c r="A1107" t="s">
        <v>1730</v>
      </c>
      <c r="B1107" t="s">
        <v>1009</v>
      </c>
      <c r="C1107" s="1">
        <f t="shared" si="464"/>
        <v>9134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4</v>
      </c>
      <c r="G1107" s="132">
        <f t="shared" si="462"/>
        <v>5751</v>
      </c>
      <c r="H1107" s="137">
        <f t="shared" si="463"/>
        <v>0.6296255747755638</v>
      </c>
      <c r="I1107" s="2"/>
      <c r="J1107" s="2">
        <f t="shared" si="465"/>
        <v>0.16881979417560761</v>
      </c>
      <c r="K1107" s="2">
        <f t="shared" si="466"/>
        <v>0.79844536895117146</v>
      </c>
      <c r="L1107" s="2">
        <f t="shared" si="467"/>
        <v>5.3645719290562732E-3</v>
      </c>
      <c r="M1107" s="2">
        <f t="shared" si="468"/>
        <v>2.737026494416471E-2</v>
      </c>
      <c r="N1107" s="63">
        <v>1542</v>
      </c>
      <c r="O1107" s="63">
        <v>7293</v>
      </c>
      <c r="P1107" s="63">
        <v>49</v>
      </c>
      <c r="Q1107" s="63">
        <v>210</v>
      </c>
      <c r="R1107" s="63">
        <v>37</v>
      </c>
      <c r="S1107" s="63">
        <v>0</v>
      </c>
      <c r="T1107" s="63">
        <v>3</v>
      </c>
      <c r="U1107" s="63"/>
      <c r="V1107" s="63"/>
      <c r="W1107" s="63">
        <f>IF(Copyright!B$11=1,IF(CA1107&gt;0,CA1107-SUM(S1107)-SUM(X1107:AI1107)-SUM(AJ1107:AT1107),SUM(CD1107:CQ1107)),SUM(CD1107:CQ1107))</f>
        <v>0</v>
      </c>
      <c r="X1107" s="63"/>
      <c r="Y1107" s="63">
        <v>0</v>
      </c>
      <c r="Z1107" s="63">
        <v>0</v>
      </c>
      <c r="AA1107" s="63"/>
      <c r="AB1107" s="63"/>
      <c r="AC1107" s="63"/>
      <c r="AD1107" s="63"/>
      <c r="AE1107" s="63">
        <v>0</v>
      </c>
      <c r="AF1107" s="63">
        <v>0</v>
      </c>
      <c r="AG1107" s="63">
        <v>0</v>
      </c>
      <c r="AH1107" s="63"/>
      <c r="AI1107" s="63"/>
      <c r="AJ1107" s="63"/>
      <c r="AK1107" s="63"/>
      <c r="AL1107" s="63"/>
      <c r="AM1107" s="63">
        <v>0</v>
      </c>
      <c r="AN1107" s="63">
        <v>0</v>
      </c>
      <c r="AO1107" s="63"/>
      <c r="AP1107" s="63"/>
      <c r="AQ1107" s="63">
        <v>0</v>
      </c>
      <c r="AR1107" s="63"/>
      <c r="AS1107" s="63"/>
      <c r="AT1107" s="63"/>
      <c r="AU1107" s="63"/>
      <c r="AW1107" s="5">
        <f>IF(Q1107&gt;0,RANK(Q1107,(N1107:P1107,Q1107:AE1107)),0)</f>
        <v>3</v>
      </c>
      <c r="AX1107" s="5">
        <f>IF(R1107&gt;0,RANK(R1107,(N1107:P1107,Q1107:AE1107)),0)</f>
        <v>5</v>
      </c>
      <c r="AY1107" s="5">
        <f>IF(T1107&gt;0,RANK(T1107,(N1107:P1107,Q1107:AE1107)),0)</f>
        <v>6</v>
      </c>
      <c r="AZ1107" s="5">
        <f>IF(S1107&gt;0,RANK(S1107,(N1107:P1107,Q1107:AE1107)),0)</f>
        <v>0</v>
      </c>
      <c r="BA1107" s="2">
        <f t="shared" si="469"/>
        <v>2.2991022553098314E-2</v>
      </c>
      <c r="BB1107" s="2">
        <f t="shared" si="470"/>
        <v>4.0507992117363696E-3</v>
      </c>
      <c r="BC1107" s="2">
        <f t="shared" si="471"/>
        <v>3.2844317932997593E-4</v>
      </c>
      <c r="BD1107" s="2">
        <f t="shared" si="472"/>
        <v>0</v>
      </c>
      <c r="BF1107" t="s">
        <v>1730</v>
      </c>
      <c r="BG1107" t="s">
        <v>1009</v>
      </c>
      <c r="BH1107">
        <v>5</v>
      </c>
      <c r="BJ1107" s="114">
        <v>21</v>
      </c>
      <c r="BK1107" s="116">
        <v>133</v>
      </c>
      <c r="BL1107" s="120">
        <f t="shared" si="452"/>
        <v>21133</v>
      </c>
      <c r="BN1107" s="5" t="s">
        <v>3154</v>
      </c>
      <c r="BZ1107" s="63">
        <f t="shared" si="473"/>
        <v>9134</v>
      </c>
      <c r="CD1107" s="63">
        <v>0</v>
      </c>
      <c r="CE1107" s="63">
        <v>0</v>
      </c>
      <c r="CF1107" s="63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>
        <v>0</v>
      </c>
      <c r="CQ1107">
        <v>0</v>
      </c>
    </row>
    <row r="1108" spans="1:95" ht="13" hidden="1" customHeight="1" outlineLevel="1">
      <c r="A1108" t="s">
        <v>2787</v>
      </c>
      <c r="B1108" t="s">
        <v>1009</v>
      </c>
      <c r="C1108" s="1">
        <f t="shared" si="464"/>
        <v>5298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4</v>
      </c>
      <c r="G1108" s="132">
        <f t="shared" si="462"/>
        <v>3578</v>
      </c>
      <c r="H1108" s="137">
        <f t="shared" si="463"/>
        <v>0.67534918837297098</v>
      </c>
      <c r="I1108" s="2"/>
      <c r="J1108" s="2">
        <f t="shared" si="465"/>
        <v>0.14816912042280106</v>
      </c>
      <c r="K1108" s="2">
        <f t="shared" si="466"/>
        <v>0.82351830879577204</v>
      </c>
      <c r="L1108" s="2">
        <f t="shared" si="467"/>
        <v>6.4175160437901094E-3</v>
      </c>
      <c r="M1108" s="2">
        <f t="shared" si="468"/>
        <v>2.1895054737636796E-2</v>
      </c>
      <c r="N1108" s="63">
        <v>785</v>
      </c>
      <c r="O1108" s="63">
        <v>4363</v>
      </c>
      <c r="P1108" s="63">
        <v>34</v>
      </c>
      <c r="Q1108" s="63">
        <v>95</v>
      </c>
      <c r="R1108" s="63">
        <v>16</v>
      </c>
      <c r="S1108" s="63">
        <v>0</v>
      </c>
      <c r="T1108" s="63">
        <v>5</v>
      </c>
      <c r="U1108" s="63"/>
      <c r="V1108" s="63"/>
      <c r="W1108" s="63">
        <f>IF(Copyright!B$11=1,IF(CA1108&gt;0,CA1108-SUM(S1108)-SUM(X1108:AI1108)-SUM(AJ1108:AT1108),SUM(CD1108:CQ1108)),SUM(CD1108:CQ1108))</f>
        <v>0</v>
      </c>
      <c r="X1108" s="63"/>
      <c r="Y1108" s="63">
        <v>0</v>
      </c>
      <c r="Z1108" s="63">
        <v>0</v>
      </c>
      <c r="AA1108" s="63"/>
      <c r="AB1108" s="63"/>
      <c r="AC1108" s="63"/>
      <c r="AD1108" s="63"/>
      <c r="AE1108" s="63">
        <v>0</v>
      </c>
      <c r="AF1108" s="63">
        <v>0</v>
      </c>
      <c r="AG1108" s="63">
        <v>0</v>
      </c>
      <c r="AH1108" s="63"/>
      <c r="AI1108" s="63"/>
      <c r="AJ1108" s="63"/>
      <c r="AK1108" s="63"/>
      <c r="AL1108" s="63"/>
      <c r="AM1108" s="63">
        <v>0</v>
      </c>
      <c r="AN1108" s="63">
        <v>0</v>
      </c>
      <c r="AO1108" s="63"/>
      <c r="AP1108" s="63"/>
      <c r="AQ1108" s="63">
        <v>0</v>
      </c>
      <c r="AR1108" s="63"/>
      <c r="AS1108" s="63"/>
      <c r="AT1108" s="63"/>
      <c r="AU1108" s="63"/>
      <c r="AW1108" s="5">
        <f>IF(Q1108&gt;0,RANK(Q1108,(N1108:P1108,Q1108:AE1108)),0)</f>
        <v>3</v>
      </c>
      <c r="AX1108" s="5">
        <f>IF(R1108&gt;0,RANK(R1108,(N1108:P1108,Q1108:AE1108)),0)</f>
        <v>5</v>
      </c>
      <c r="AY1108" s="5">
        <f>IF(T1108&gt;0,RANK(T1108,(N1108:P1108,Q1108:AE1108)),0)</f>
        <v>6</v>
      </c>
      <c r="AZ1108" s="5">
        <f>IF(S1108&gt;0,RANK(S1108,(N1108:P1108,Q1108:AE1108)),0)</f>
        <v>0</v>
      </c>
      <c r="BA1108" s="2">
        <f t="shared" si="469"/>
        <v>1.793129482823707E-2</v>
      </c>
      <c r="BB1108" s="2">
        <f t="shared" si="470"/>
        <v>3.020007550018875E-3</v>
      </c>
      <c r="BC1108" s="2">
        <f t="shared" si="471"/>
        <v>9.4375235938089848E-4</v>
      </c>
      <c r="BD1108" s="2">
        <f t="shared" si="472"/>
        <v>0</v>
      </c>
      <c r="BF1108" t="s">
        <v>2787</v>
      </c>
      <c r="BG1108" t="s">
        <v>1009</v>
      </c>
      <c r="BH1108">
        <v>4</v>
      </c>
      <c r="BJ1108" s="114">
        <v>21</v>
      </c>
      <c r="BK1108" s="116">
        <v>135</v>
      </c>
      <c r="BL1108" s="120">
        <f t="shared" si="452"/>
        <v>21135</v>
      </c>
      <c r="BN1108" s="5" t="s">
        <v>3154</v>
      </c>
      <c r="BZ1108" s="63">
        <f t="shared" si="473"/>
        <v>5298</v>
      </c>
      <c r="CD1108" s="63">
        <v>0</v>
      </c>
      <c r="CE1108" s="63">
        <v>0</v>
      </c>
      <c r="CF1108" s="63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>
        <v>0</v>
      </c>
      <c r="CQ1108">
        <v>0</v>
      </c>
    </row>
    <row r="1109" spans="1:95" ht="13" hidden="1" customHeight="1" outlineLevel="1">
      <c r="A1109" t="s">
        <v>1597</v>
      </c>
      <c r="B1109" t="s">
        <v>1009</v>
      </c>
      <c r="C1109" s="1">
        <f t="shared" si="464"/>
        <v>9561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4</v>
      </c>
      <c r="G1109" s="132">
        <f t="shared" si="462"/>
        <v>5473</v>
      </c>
      <c r="H1109" s="137">
        <f t="shared" si="463"/>
        <v>0.57242966216922919</v>
      </c>
      <c r="I1109" s="2"/>
      <c r="J1109" s="2">
        <f t="shared" si="465"/>
        <v>0.19506327789980127</v>
      </c>
      <c r="K1109" s="2">
        <f t="shared" si="466"/>
        <v>0.76749294006903046</v>
      </c>
      <c r="L1109" s="2">
        <f t="shared" si="467"/>
        <v>8.5765087333960887E-3</v>
      </c>
      <c r="M1109" s="2">
        <f t="shared" si="468"/>
        <v>2.8867273297772181E-2</v>
      </c>
      <c r="N1109" s="63">
        <v>1865</v>
      </c>
      <c r="O1109" s="63">
        <v>7338</v>
      </c>
      <c r="P1109" s="63">
        <v>82</v>
      </c>
      <c r="Q1109" s="63">
        <v>226</v>
      </c>
      <c r="R1109" s="63">
        <v>44</v>
      </c>
      <c r="S1109" s="63">
        <v>0</v>
      </c>
      <c r="T1109" s="63">
        <v>6</v>
      </c>
      <c r="U1109" s="63"/>
      <c r="V1109" s="63"/>
      <c r="W1109" s="63">
        <f>IF(Copyright!B$11=1,IF(CA1109&gt;0,CA1109-SUM(S1109)-SUM(X1109:AI1109)-SUM(AJ1109:AT1109),SUM(CD1109:CQ1109)),SUM(CD1109:CQ1109))</f>
        <v>0</v>
      </c>
      <c r="X1109" s="63"/>
      <c r="Y1109" s="63">
        <v>0</v>
      </c>
      <c r="Z1109" s="63">
        <v>0</v>
      </c>
      <c r="AA1109" s="63"/>
      <c r="AB1109" s="63"/>
      <c r="AC1109" s="63"/>
      <c r="AD1109" s="63"/>
      <c r="AE1109" s="63">
        <v>0</v>
      </c>
      <c r="AF1109" s="63">
        <v>0</v>
      </c>
      <c r="AG1109" s="63">
        <v>0</v>
      </c>
      <c r="AH1109" s="63"/>
      <c r="AI1109" s="63"/>
      <c r="AJ1109" s="63"/>
      <c r="AK1109" s="63"/>
      <c r="AL1109" s="63"/>
      <c r="AM1109" s="63">
        <v>0</v>
      </c>
      <c r="AN1109" s="63">
        <v>0</v>
      </c>
      <c r="AO1109" s="63"/>
      <c r="AP1109" s="63"/>
      <c r="AQ1109" s="63">
        <v>0</v>
      </c>
      <c r="AR1109" s="63"/>
      <c r="AS1109" s="63"/>
      <c r="AT1109" s="63"/>
      <c r="AU1109" s="63"/>
      <c r="AW1109" s="5">
        <f>IF(Q1109&gt;0,RANK(Q1109,(N1109:P1109,Q1109:AE1109)),0)</f>
        <v>3</v>
      </c>
      <c r="AX1109" s="5">
        <f>IF(R1109&gt;0,RANK(R1109,(N1109:P1109,Q1109:AE1109)),0)</f>
        <v>5</v>
      </c>
      <c r="AY1109" s="5">
        <f>IF(T1109&gt;0,RANK(T1109,(N1109:P1109,Q1109:AE1109)),0)</f>
        <v>6</v>
      </c>
      <c r="AZ1109" s="5">
        <f>IF(S1109&gt;0,RANK(S1109,(N1109:P1109,Q1109:AE1109)),0)</f>
        <v>0</v>
      </c>
      <c r="BA1109" s="2">
        <f t="shared" si="469"/>
        <v>2.3637694801798975E-2</v>
      </c>
      <c r="BB1109" s="2">
        <f t="shared" si="470"/>
        <v>4.6020290764564372E-3</v>
      </c>
      <c r="BC1109" s="2">
        <f t="shared" si="471"/>
        <v>6.275494195167869E-4</v>
      </c>
      <c r="BD1109" s="2">
        <f t="shared" si="472"/>
        <v>0</v>
      </c>
      <c r="BF1109" t="s">
        <v>1597</v>
      </c>
      <c r="BG1109" t="s">
        <v>1009</v>
      </c>
      <c r="BH1109">
        <v>5</v>
      </c>
      <c r="BJ1109" s="114">
        <v>21</v>
      </c>
      <c r="BK1109" s="116">
        <v>137</v>
      </c>
      <c r="BL1109" s="120">
        <f t="shared" si="452"/>
        <v>21137</v>
      </c>
      <c r="BN1109" s="5" t="s">
        <v>3154</v>
      </c>
      <c r="BZ1109" s="63">
        <f t="shared" si="473"/>
        <v>9561</v>
      </c>
      <c r="CD1109" s="63">
        <v>0</v>
      </c>
      <c r="CE1109" s="63">
        <v>0</v>
      </c>
      <c r="CF1109" s="63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>
        <v>0</v>
      </c>
      <c r="CQ1109">
        <v>0</v>
      </c>
    </row>
    <row r="1110" spans="1:95" ht="13" hidden="1" customHeight="1" outlineLevel="1">
      <c r="A1110" t="s">
        <v>616</v>
      </c>
      <c r="B1110" t="s">
        <v>1009</v>
      </c>
      <c r="C1110" s="1">
        <f t="shared" si="464"/>
        <v>4645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4</v>
      </c>
      <c r="G1110" s="132">
        <f t="shared" si="462"/>
        <v>2683</v>
      </c>
      <c r="H1110" s="137">
        <f t="shared" si="463"/>
        <v>0.5776103336921421</v>
      </c>
      <c r="I1110" s="2"/>
      <c r="J1110" s="2">
        <f t="shared" si="465"/>
        <v>0.19095801937567278</v>
      </c>
      <c r="K1110" s="2">
        <f t="shared" si="466"/>
        <v>0.7685683530678149</v>
      </c>
      <c r="L1110" s="2">
        <f t="shared" si="467"/>
        <v>9.903121636167923E-3</v>
      </c>
      <c r="M1110" s="2">
        <f t="shared" si="468"/>
        <v>3.0570505920344368E-2</v>
      </c>
      <c r="N1110" s="63">
        <v>887</v>
      </c>
      <c r="O1110" s="63">
        <v>3570</v>
      </c>
      <c r="P1110" s="63">
        <v>46</v>
      </c>
      <c r="Q1110" s="63">
        <v>115</v>
      </c>
      <c r="R1110" s="63">
        <v>24</v>
      </c>
      <c r="S1110" s="63">
        <v>2</v>
      </c>
      <c r="T1110" s="63">
        <v>1</v>
      </c>
      <c r="U1110" s="63"/>
      <c r="V1110" s="63"/>
      <c r="W1110" s="63">
        <f>IF(Copyright!B$11=1,IF(CA1110&gt;0,CA1110-SUM(S1110)-SUM(X1110:AI1110)-SUM(AJ1110:AT1110),SUM(CD1110:CQ1110)),SUM(CD1110:CQ1110))</f>
        <v>0</v>
      </c>
      <c r="X1110" s="63"/>
      <c r="Y1110" s="63">
        <v>0</v>
      </c>
      <c r="Z1110" s="63">
        <v>0</v>
      </c>
      <c r="AA1110" s="63"/>
      <c r="AB1110" s="63"/>
      <c r="AC1110" s="63"/>
      <c r="AD1110" s="63"/>
      <c r="AE1110" s="63">
        <v>0</v>
      </c>
      <c r="AF1110" s="63">
        <v>0</v>
      </c>
      <c r="AG1110" s="63">
        <v>0</v>
      </c>
      <c r="AH1110" s="63"/>
      <c r="AI1110" s="63"/>
      <c r="AJ1110" s="63"/>
      <c r="AK1110" s="63"/>
      <c r="AL1110" s="63"/>
      <c r="AM1110" s="63">
        <v>0</v>
      </c>
      <c r="AN1110" s="63">
        <v>0</v>
      </c>
      <c r="AO1110" s="63"/>
      <c r="AP1110" s="63"/>
      <c r="AQ1110" s="63">
        <v>0</v>
      </c>
      <c r="AR1110" s="63"/>
      <c r="AS1110" s="63"/>
      <c r="AT1110" s="63"/>
      <c r="AU1110" s="63"/>
      <c r="AW1110" s="5">
        <f>IF(Q1110&gt;0,RANK(Q1110,(N1110:P1110,Q1110:AE1110)),0)</f>
        <v>3</v>
      </c>
      <c r="AX1110" s="5">
        <f>IF(R1110&gt;0,RANK(R1110,(N1110:P1110,Q1110:AE1110)),0)</f>
        <v>5</v>
      </c>
      <c r="AY1110" s="5">
        <f>IF(T1110&gt;0,RANK(T1110,(N1110:P1110,Q1110:AE1110)),0)</f>
        <v>7</v>
      </c>
      <c r="AZ1110" s="5">
        <f>IF(S1110&gt;0,RANK(S1110,(N1110:P1110,Q1110:AE1110)),0)</f>
        <v>6</v>
      </c>
      <c r="BA1110" s="2">
        <f t="shared" si="469"/>
        <v>2.4757804090419805E-2</v>
      </c>
      <c r="BB1110" s="2">
        <f t="shared" si="470"/>
        <v>5.1668460710441334E-3</v>
      </c>
      <c r="BC1110" s="2">
        <f t="shared" si="471"/>
        <v>2.1528525296017224E-4</v>
      </c>
      <c r="BD1110" s="2">
        <f t="shared" si="472"/>
        <v>4.3057050592034448E-4</v>
      </c>
      <c r="BF1110" t="s">
        <v>616</v>
      </c>
      <c r="BG1110" t="s">
        <v>1009</v>
      </c>
      <c r="BH1110">
        <v>1</v>
      </c>
      <c r="BJ1110" s="114">
        <v>21</v>
      </c>
      <c r="BK1110" s="116">
        <v>139</v>
      </c>
      <c r="BL1110" s="120">
        <f t="shared" si="452"/>
        <v>21139</v>
      </c>
      <c r="BN1110" s="5" t="s">
        <v>3154</v>
      </c>
      <c r="BZ1110" s="63">
        <f t="shared" si="473"/>
        <v>4645</v>
      </c>
      <c r="CD1110" s="63">
        <v>0</v>
      </c>
      <c r="CE1110" s="63">
        <v>0</v>
      </c>
      <c r="CF1110" s="63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>
        <v>0</v>
      </c>
      <c r="CQ1110">
        <v>0</v>
      </c>
    </row>
    <row r="1111" spans="1:95" ht="13" hidden="1" customHeight="1" outlineLevel="1">
      <c r="A1111" t="s">
        <v>844</v>
      </c>
      <c r="B1111" t="s">
        <v>1009</v>
      </c>
      <c r="C1111" s="1">
        <f t="shared" si="464"/>
        <v>10899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4</v>
      </c>
      <c r="G1111" s="132">
        <f t="shared" si="462"/>
        <v>5023</v>
      </c>
      <c r="H1111" s="137">
        <f t="shared" si="463"/>
        <v>0.4608679695384898</v>
      </c>
      <c r="I1111" s="2"/>
      <c r="J1111" s="2">
        <f t="shared" si="465"/>
        <v>0.25277548398935684</v>
      </c>
      <c r="K1111" s="2">
        <f t="shared" si="466"/>
        <v>0.71364345352784664</v>
      </c>
      <c r="L1111" s="2">
        <f t="shared" si="467"/>
        <v>8.3493898522800265E-3</v>
      </c>
      <c r="M1111" s="2">
        <f t="shared" si="468"/>
        <v>2.5231672630516549E-2</v>
      </c>
      <c r="N1111" s="63">
        <v>2755</v>
      </c>
      <c r="O1111" s="63">
        <v>7778</v>
      </c>
      <c r="P1111" s="63">
        <v>91</v>
      </c>
      <c r="Q1111" s="63">
        <v>229</v>
      </c>
      <c r="R1111" s="63">
        <v>43</v>
      </c>
      <c r="S1111" s="63">
        <v>0</v>
      </c>
      <c r="T1111" s="63">
        <v>3</v>
      </c>
      <c r="U1111" s="63"/>
      <c r="V1111" s="63"/>
      <c r="W1111" s="63">
        <f>IF(Copyright!B$11=1,IF(CA1111&gt;0,CA1111-SUM(S1111)-SUM(X1111:AI1111)-SUM(AJ1111:AT1111),SUM(CD1111:CQ1111)),SUM(CD1111:CQ1111))</f>
        <v>0</v>
      </c>
      <c r="X1111" s="63"/>
      <c r="Y1111" s="63">
        <v>0</v>
      </c>
      <c r="Z1111" s="63">
        <v>0</v>
      </c>
      <c r="AA1111" s="63"/>
      <c r="AB1111" s="63"/>
      <c r="AC1111" s="63"/>
      <c r="AD1111" s="63"/>
      <c r="AE1111" s="63">
        <v>0</v>
      </c>
      <c r="AF1111" s="63">
        <v>0</v>
      </c>
      <c r="AG1111" s="63">
        <v>0</v>
      </c>
      <c r="AH1111" s="63"/>
      <c r="AI1111" s="63"/>
      <c r="AJ1111" s="63"/>
      <c r="AK1111" s="63"/>
      <c r="AL1111" s="63"/>
      <c r="AM1111" s="63">
        <v>0</v>
      </c>
      <c r="AN1111" s="63">
        <v>0</v>
      </c>
      <c r="AO1111" s="63"/>
      <c r="AP1111" s="63"/>
      <c r="AQ1111" s="63">
        <v>0</v>
      </c>
      <c r="AR1111" s="63"/>
      <c r="AS1111" s="63"/>
      <c r="AT1111" s="63"/>
      <c r="AU1111" s="63"/>
      <c r="AW1111" s="5">
        <f>IF(Q1111&gt;0,RANK(Q1111,(N1111:P1111,Q1111:AE1111)),0)</f>
        <v>3</v>
      </c>
      <c r="AX1111" s="5">
        <f>IF(R1111&gt;0,RANK(R1111,(N1111:P1111,Q1111:AE1111)),0)</f>
        <v>5</v>
      </c>
      <c r="AY1111" s="5">
        <f>IF(T1111&gt;0,RANK(T1111,(N1111:P1111,Q1111:AE1111)),0)</f>
        <v>6</v>
      </c>
      <c r="AZ1111" s="5">
        <f>IF(S1111&gt;0,RANK(S1111,(N1111:P1111,Q1111:AE1111)),0)</f>
        <v>0</v>
      </c>
      <c r="BA1111" s="2">
        <f t="shared" si="469"/>
        <v>2.1011101935957427E-2</v>
      </c>
      <c r="BB1111" s="2">
        <f t="shared" si="470"/>
        <v>3.9453160840444076E-3</v>
      </c>
      <c r="BC1111" s="2">
        <f t="shared" si="471"/>
        <v>2.7525461051472613E-4</v>
      </c>
      <c r="BD1111" s="2">
        <f t="shared" si="472"/>
        <v>0</v>
      </c>
      <c r="BF1111" t="s">
        <v>844</v>
      </c>
      <c r="BG1111" t="s">
        <v>1009</v>
      </c>
      <c r="BH1111">
        <v>1</v>
      </c>
      <c r="BJ1111" s="114">
        <v>21</v>
      </c>
      <c r="BK1111" s="116">
        <v>141</v>
      </c>
      <c r="BL1111" s="120">
        <f t="shared" si="452"/>
        <v>21141</v>
      </c>
      <c r="BN1111" s="5" t="s">
        <v>3154</v>
      </c>
      <c r="BZ1111" s="63">
        <f t="shared" si="473"/>
        <v>10899</v>
      </c>
      <c r="CD1111" s="63">
        <v>0</v>
      </c>
      <c r="CE1111" s="63">
        <v>0</v>
      </c>
      <c r="CF1111" s="63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0</v>
      </c>
      <c r="CN1111" s="8">
        <v>0</v>
      </c>
      <c r="CO1111" s="8">
        <v>0</v>
      </c>
      <c r="CP1111">
        <v>0</v>
      </c>
      <c r="CQ1111">
        <v>0</v>
      </c>
    </row>
    <row r="1112" spans="1:95" ht="13" hidden="1" customHeight="1" outlineLevel="1">
      <c r="A1112" t="s">
        <v>316</v>
      </c>
      <c r="B1112" t="s">
        <v>1009</v>
      </c>
      <c r="C1112" s="1">
        <f t="shared" si="464"/>
        <v>3962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4</v>
      </c>
      <c r="G1112" s="132">
        <f t="shared" si="462"/>
        <v>1744</v>
      </c>
      <c r="H1112" s="137">
        <f t="shared" si="463"/>
        <v>0.44018172640080766</v>
      </c>
      <c r="I1112" s="2"/>
      <c r="J1112" s="2">
        <f t="shared" si="465"/>
        <v>0.26375567895002522</v>
      </c>
      <c r="K1112" s="2">
        <f t="shared" si="466"/>
        <v>0.70393740535083293</v>
      </c>
      <c r="L1112" s="2">
        <f t="shared" si="467"/>
        <v>9.0863200403836445E-3</v>
      </c>
      <c r="M1112" s="2">
        <f t="shared" si="468"/>
        <v>2.3220595658758149E-2</v>
      </c>
      <c r="N1112" s="63">
        <v>1045</v>
      </c>
      <c r="O1112" s="63">
        <v>2789</v>
      </c>
      <c r="P1112" s="63">
        <v>36</v>
      </c>
      <c r="Q1112" s="63">
        <v>74</v>
      </c>
      <c r="R1112" s="63">
        <v>15</v>
      </c>
      <c r="S1112" s="63">
        <v>1</v>
      </c>
      <c r="T1112" s="63">
        <v>2</v>
      </c>
      <c r="U1112" s="63"/>
      <c r="V1112" s="63"/>
      <c r="W1112" s="63">
        <f>IF(Copyright!B$11=1,IF(CA1112&gt;0,CA1112-SUM(S1112)-SUM(X1112:AI1112)-SUM(AJ1112:AT1112),SUM(CD1112:CQ1112)),SUM(CD1112:CQ1112))</f>
        <v>0</v>
      </c>
      <c r="X1112" s="63"/>
      <c r="Y1112" s="63">
        <v>0</v>
      </c>
      <c r="Z1112" s="63">
        <v>0</v>
      </c>
      <c r="AA1112" s="63"/>
      <c r="AB1112" s="63"/>
      <c r="AC1112" s="63"/>
      <c r="AD1112" s="63"/>
      <c r="AE1112" s="63">
        <v>0</v>
      </c>
      <c r="AF1112" s="63">
        <v>0</v>
      </c>
      <c r="AG1112" s="63">
        <v>0</v>
      </c>
      <c r="AH1112" s="63"/>
      <c r="AI1112" s="63"/>
      <c r="AJ1112" s="63"/>
      <c r="AK1112" s="63"/>
      <c r="AL1112" s="63"/>
      <c r="AM1112" s="63">
        <v>0</v>
      </c>
      <c r="AN1112" s="63">
        <v>0</v>
      </c>
      <c r="AO1112" s="63"/>
      <c r="AP1112" s="63"/>
      <c r="AQ1112" s="63">
        <v>0</v>
      </c>
      <c r="AR1112" s="63"/>
      <c r="AS1112" s="63"/>
      <c r="AT1112" s="63"/>
      <c r="AU1112" s="63"/>
      <c r="AW1112" s="5">
        <f>IF(Q1112&gt;0,RANK(Q1112,(N1112:P1112,Q1112:AE1112)),0)</f>
        <v>3</v>
      </c>
      <c r="AX1112" s="5">
        <f>IF(R1112&gt;0,RANK(R1112,(N1112:P1112,Q1112:AE1112)),0)</f>
        <v>5</v>
      </c>
      <c r="AY1112" s="5">
        <f>IF(T1112&gt;0,RANK(T1112,(N1112:P1112,Q1112:AE1112)),0)</f>
        <v>6</v>
      </c>
      <c r="AZ1112" s="5">
        <f>IF(S1112&gt;0,RANK(S1112,(N1112:P1112,Q1112:AE1112)),0)</f>
        <v>7</v>
      </c>
      <c r="BA1112" s="2">
        <f t="shared" si="469"/>
        <v>1.867743563856638E-2</v>
      </c>
      <c r="BB1112" s="2">
        <f t="shared" si="470"/>
        <v>3.7859666834931852E-3</v>
      </c>
      <c r="BC1112" s="2">
        <f t="shared" si="471"/>
        <v>5.0479555779909136E-4</v>
      </c>
      <c r="BD1112" s="2">
        <f t="shared" si="472"/>
        <v>2.5239777889954568E-4</v>
      </c>
      <c r="BF1112" t="s">
        <v>316</v>
      </c>
      <c r="BG1112" t="s">
        <v>1009</v>
      </c>
      <c r="BH1112">
        <v>1</v>
      </c>
      <c r="BJ1112" s="114">
        <v>21</v>
      </c>
      <c r="BK1112" s="116">
        <v>143</v>
      </c>
      <c r="BL1112" s="120">
        <f t="shared" si="452"/>
        <v>21143</v>
      </c>
      <c r="BN1112" s="5" t="s">
        <v>3154</v>
      </c>
      <c r="BZ1112" s="63">
        <f t="shared" si="473"/>
        <v>3962</v>
      </c>
      <c r="CD1112" s="63">
        <v>0</v>
      </c>
      <c r="CE1112" s="63">
        <v>0</v>
      </c>
      <c r="CF1112" s="63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>
        <v>0</v>
      </c>
      <c r="CQ1112">
        <v>0</v>
      </c>
    </row>
    <row r="1113" spans="1:95" ht="13" hidden="1" customHeight="1" outlineLevel="1">
      <c r="A1113" t="s">
        <v>549</v>
      </c>
      <c r="B1113" t="s">
        <v>1009</v>
      </c>
      <c r="C1113" s="1">
        <f t="shared" si="464"/>
        <v>31307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4</v>
      </c>
      <c r="G1113" s="132">
        <f t="shared" si="462"/>
        <v>11640</v>
      </c>
      <c r="H1113" s="137">
        <f t="shared" si="463"/>
        <v>0.37180183345577666</v>
      </c>
      <c r="I1113" s="2"/>
      <c r="J1113" s="2">
        <f t="shared" si="465"/>
        <v>0.29175583735266875</v>
      </c>
      <c r="K1113" s="2">
        <f t="shared" si="466"/>
        <v>0.66355767080844541</v>
      </c>
      <c r="L1113" s="2">
        <f t="shared" si="467"/>
        <v>1.0221356246206919E-2</v>
      </c>
      <c r="M1113" s="2">
        <f t="shared" si="468"/>
        <v>3.4465135592678928E-2</v>
      </c>
      <c r="N1113" s="63">
        <v>9134</v>
      </c>
      <c r="O1113" s="63">
        <v>20774</v>
      </c>
      <c r="P1113" s="63">
        <v>320</v>
      </c>
      <c r="Q1113" s="63">
        <v>839</v>
      </c>
      <c r="R1113" s="63">
        <v>217</v>
      </c>
      <c r="S1113" s="63">
        <v>11</v>
      </c>
      <c r="T1113" s="63">
        <v>10</v>
      </c>
      <c r="U1113" s="63"/>
      <c r="V1113" s="63"/>
      <c r="W1113" s="63">
        <f>IF(Copyright!B$11=1,IF(CA1113&gt;0,CA1113-SUM(S1113)-SUM(X1113:AI1113)-SUM(AJ1113:AT1113),SUM(CD1113:CQ1113)),SUM(CD1113:CQ1113))</f>
        <v>0</v>
      </c>
      <c r="X1113" s="63"/>
      <c r="Y1113" s="63">
        <v>0</v>
      </c>
      <c r="Z1113" s="63">
        <v>0</v>
      </c>
      <c r="AA1113" s="63"/>
      <c r="AB1113" s="63"/>
      <c r="AC1113" s="63"/>
      <c r="AD1113" s="63"/>
      <c r="AE1113" s="63">
        <v>0</v>
      </c>
      <c r="AF1113" s="63">
        <v>0</v>
      </c>
      <c r="AG1113" s="63">
        <v>1</v>
      </c>
      <c r="AH1113" s="63"/>
      <c r="AI1113" s="63"/>
      <c r="AJ1113" s="63"/>
      <c r="AK1113" s="63"/>
      <c r="AL1113" s="63"/>
      <c r="AM1113" s="63">
        <v>0</v>
      </c>
      <c r="AN1113" s="63">
        <v>1</v>
      </c>
      <c r="AO1113" s="63"/>
      <c r="AP1113" s="63"/>
      <c r="AQ1113" s="63">
        <v>0</v>
      </c>
      <c r="AR1113" s="63"/>
      <c r="AS1113" s="63"/>
      <c r="AT1113" s="63"/>
      <c r="AU1113" s="63"/>
      <c r="AW1113" s="5">
        <f>IF(Q1113&gt;0,RANK(Q1113,(N1113:P1113,Q1113:AE1113)),0)</f>
        <v>3</v>
      </c>
      <c r="AX1113" s="5">
        <f>IF(R1113&gt;0,RANK(R1113,(N1113:P1113,Q1113:AE1113)),0)</f>
        <v>5</v>
      </c>
      <c r="AY1113" s="5">
        <f>IF(T1113&gt;0,RANK(T1113,(N1113:P1113,Q1113:AE1113)),0)</f>
        <v>7</v>
      </c>
      <c r="AZ1113" s="5">
        <f>IF(S1113&gt;0,RANK(S1113,(N1113:P1113,Q1113:AE1113)),0)</f>
        <v>6</v>
      </c>
      <c r="BA1113" s="2">
        <f t="shared" si="469"/>
        <v>2.6799118408023764E-2</v>
      </c>
      <c r="BB1113" s="2">
        <f t="shared" si="470"/>
        <v>6.9313572044590668E-3</v>
      </c>
      <c r="BC1113" s="2">
        <f t="shared" si="471"/>
        <v>3.1941738269396621E-4</v>
      </c>
      <c r="BD1113" s="2">
        <f t="shared" si="472"/>
        <v>3.5135912096336284E-4</v>
      </c>
      <c r="BF1113" t="s">
        <v>549</v>
      </c>
      <c r="BG1113" t="s">
        <v>1009</v>
      </c>
      <c r="BH1113">
        <v>1</v>
      </c>
      <c r="BJ1113" s="114">
        <v>21</v>
      </c>
      <c r="BK1113" s="116">
        <v>145</v>
      </c>
      <c r="BL1113" s="120">
        <f t="shared" si="452"/>
        <v>21145</v>
      </c>
      <c r="BN1113" s="5" t="s">
        <v>3154</v>
      </c>
      <c r="BZ1113" s="63">
        <f t="shared" si="473"/>
        <v>31307</v>
      </c>
      <c r="CD1113" s="63">
        <v>0</v>
      </c>
      <c r="CE1113" s="63">
        <v>0</v>
      </c>
      <c r="CF1113" s="63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>
        <v>0</v>
      </c>
      <c r="CQ1113">
        <v>0</v>
      </c>
    </row>
    <row r="1114" spans="1:95" ht="13" hidden="1" customHeight="1" outlineLevel="1">
      <c r="A1114" t="s">
        <v>165</v>
      </c>
      <c r="B1114" t="s">
        <v>1009</v>
      </c>
      <c r="C1114" s="1">
        <f t="shared" si="464"/>
        <v>5776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4</v>
      </c>
      <c r="G1114" s="132">
        <f t="shared" si="462"/>
        <v>4348</v>
      </c>
      <c r="H1114" s="137">
        <f t="shared" si="463"/>
        <v>0.75277008310249305</v>
      </c>
      <c r="I1114" s="2"/>
      <c r="J1114" s="2">
        <f t="shared" si="465"/>
        <v>0.1149584487534626</v>
      </c>
      <c r="K1114" s="2">
        <f t="shared" si="466"/>
        <v>0.86772853185595566</v>
      </c>
      <c r="L1114" s="2">
        <f t="shared" si="467"/>
        <v>3.2894736842105261E-3</v>
      </c>
      <c r="M1114" s="2">
        <f t="shared" si="468"/>
        <v>1.4023545706371193E-2</v>
      </c>
      <c r="N1114" s="63">
        <v>664</v>
      </c>
      <c r="O1114" s="63">
        <v>5012</v>
      </c>
      <c r="P1114" s="63">
        <v>19</v>
      </c>
      <c r="Q1114" s="63">
        <v>59</v>
      </c>
      <c r="R1114" s="63">
        <v>18</v>
      </c>
      <c r="S1114" s="63">
        <v>0</v>
      </c>
      <c r="T1114" s="63">
        <v>4</v>
      </c>
      <c r="U1114" s="63"/>
      <c r="V1114" s="63"/>
      <c r="W1114" s="63">
        <f>IF(Copyright!B$11=1,IF(CA1114&gt;0,CA1114-SUM(S1114)-SUM(X1114:AI1114)-SUM(AJ1114:AT1114),SUM(CD1114:CQ1114)),SUM(CD1114:CQ1114))</f>
        <v>0</v>
      </c>
      <c r="X1114" s="63"/>
      <c r="Y1114" s="63">
        <v>0</v>
      </c>
      <c r="Z1114" s="63">
        <v>0</v>
      </c>
      <c r="AA1114" s="63"/>
      <c r="AB1114" s="63"/>
      <c r="AC1114" s="63"/>
      <c r="AD1114" s="63"/>
      <c r="AE1114" s="63">
        <v>0</v>
      </c>
      <c r="AF1114" s="63">
        <v>0</v>
      </c>
      <c r="AG1114" s="63">
        <v>0</v>
      </c>
      <c r="AH1114" s="63"/>
      <c r="AI1114" s="63"/>
      <c r="AJ1114" s="63"/>
      <c r="AK1114" s="63"/>
      <c r="AL1114" s="63"/>
      <c r="AM1114" s="63">
        <v>0</v>
      </c>
      <c r="AN1114" s="63">
        <v>0</v>
      </c>
      <c r="AO1114" s="63"/>
      <c r="AP1114" s="63"/>
      <c r="AQ1114" s="63">
        <v>0</v>
      </c>
      <c r="AR1114" s="63"/>
      <c r="AS1114" s="63"/>
      <c r="AT1114" s="63"/>
      <c r="AU1114" s="63"/>
      <c r="AW1114" s="5">
        <f>IF(Q1114&gt;0,RANK(Q1114,(N1114:P1114,Q1114:AE1114)),0)</f>
        <v>3</v>
      </c>
      <c r="AX1114" s="5">
        <f>IF(R1114&gt;0,RANK(R1114,(N1114:P1114,Q1114:AE1114)),0)</f>
        <v>5</v>
      </c>
      <c r="AY1114" s="5">
        <f>IF(T1114&gt;0,RANK(T1114,(N1114:P1114,Q1114:AE1114)),0)</f>
        <v>6</v>
      </c>
      <c r="AZ1114" s="5">
        <f>IF(S1114&gt;0,RANK(S1114,(N1114:P1114,Q1114:AE1114)),0)</f>
        <v>0</v>
      </c>
      <c r="BA1114" s="2">
        <f t="shared" si="469"/>
        <v>1.0214681440443213E-2</v>
      </c>
      <c r="BB1114" s="2">
        <f t="shared" si="470"/>
        <v>3.1163434903047093E-3</v>
      </c>
      <c r="BC1114" s="2">
        <f t="shared" si="471"/>
        <v>6.925207756232687E-4</v>
      </c>
      <c r="BD1114" s="2">
        <f t="shared" si="472"/>
        <v>0</v>
      </c>
      <c r="BF1114" t="s">
        <v>165</v>
      </c>
      <c r="BG1114" t="s">
        <v>1009</v>
      </c>
      <c r="BH1114">
        <v>5</v>
      </c>
      <c r="BJ1114" s="114">
        <v>21</v>
      </c>
      <c r="BK1114" s="116">
        <v>147</v>
      </c>
      <c r="BL1114" s="120">
        <f t="shared" si="452"/>
        <v>21147</v>
      </c>
      <c r="BN1114" s="5" t="s">
        <v>3154</v>
      </c>
      <c r="BZ1114" s="63">
        <f t="shared" si="473"/>
        <v>5776</v>
      </c>
      <c r="CD1114" s="63">
        <v>0</v>
      </c>
      <c r="CE1114" s="63">
        <v>0</v>
      </c>
      <c r="CF1114" s="63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0</v>
      </c>
      <c r="CN1114" s="8">
        <v>0</v>
      </c>
      <c r="CO1114" s="8">
        <v>0</v>
      </c>
      <c r="CP1114">
        <v>0</v>
      </c>
      <c r="CQ1114">
        <v>0</v>
      </c>
    </row>
    <row r="1115" spans="1:95" ht="13" hidden="1" customHeight="1" outlineLevel="1">
      <c r="A1115" t="s">
        <v>117</v>
      </c>
      <c r="B1115" t="s">
        <v>1009</v>
      </c>
      <c r="C1115" s="1">
        <f t="shared" si="464"/>
        <v>4566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4</v>
      </c>
      <c r="G1115" s="132">
        <f t="shared" si="462"/>
        <v>2393</v>
      </c>
      <c r="H1115" s="137">
        <f t="shared" si="463"/>
        <v>0.52409110819097682</v>
      </c>
      <c r="I1115" s="2"/>
      <c r="J1115" s="2">
        <f t="shared" si="465"/>
        <v>0.21638195356986423</v>
      </c>
      <c r="K1115" s="2">
        <f t="shared" si="466"/>
        <v>0.74047306176084104</v>
      </c>
      <c r="L1115" s="2">
        <f t="shared" si="467"/>
        <v>9.6364432763907139E-3</v>
      </c>
      <c r="M1115" s="2">
        <f t="shared" si="468"/>
        <v>3.3508541392904018E-2</v>
      </c>
      <c r="N1115" s="63">
        <v>988</v>
      </c>
      <c r="O1115" s="63">
        <v>3381</v>
      </c>
      <c r="P1115" s="63">
        <v>44</v>
      </c>
      <c r="Q1115" s="63">
        <v>137</v>
      </c>
      <c r="R1115" s="63">
        <v>15</v>
      </c>
      <c r="S1115" s="63">
        <v>0</v>
      </c>
      <c r="T1115" s="63">
        <v>1</v>
      </c>
      <c r="U1115" s="63"/>
      <c r="V1115" s="63"/>
      <c r="W1115" s="63">
        <f>IF(Copyright!B$11=1,IF(CA1115&gt;0,CA1115-SUM(S1115)-SUM(X1115:AI1115)-SUM(AJ1115:AT1115),SUM(CD1115:CQ1115)),SUM(CD1115:CQ1115))</f>
        <v>0</v>
      </c>
      <c r="X1115" s="63"/>
      <c r="Y1115" s="63">
        <v>0</v>
      </c>
      <c r="Z1115" s="63">
        <v>0</v>
      </c>
      <c r="AA1115" s="63"/>
      <c r="AB1115" s="63"/>
      <c r="AC1115" s="63"/>
      <c r="AD1115" s="63"/>
      <c r="AE1115" s="63">
        <v>0</v>
      </c>
      <c r="AF1115" s="63">
        <v>0</v>
      </c>
      <c r="AG1115" s="63">
        <v>0</v>
      </c>
      <c r="AH1115" s="63"/>
      <c r="AI1115" s="63"/>
      <c r="AJ1115" s="63"/>
      <c r="AK1115" s="63"/>
      <c r="AL1115" s="63"/>
      <c r="AM1115" s="63">
        <v>0</v>
      </c>
      <c r="AN1115" s="63">
        <v>0</v>
      </c>
      <c r="AO1115" s="63"/>
      <c r="AP1115" s="63"/>
      <c r="AQ1115" s="63">
        <v>0</v>
      </c>
      <c r="AR1115" s="63"/>
      <c r="AS1115" s="63"/>
      <c r="AT1115" s="63"/>
      <c r="AU1115" s="63"/>
      <c r="AW1115" s="5">
        <f>IF(Q1115&gt;0,RANK(Q1115,(N1115:P1115,Q1115:AE1115)),0)</f>
        <v>3</v>
      </c>
      <c r="AX1115" s="5">
        <f>IF(R1115&gt;0,RANK(R1115,(N1115:P1115,Q1115:AE1115)),0)</f>
        <v>5</v>
      </c>
      <c r="AY1115" s="5">
        <f>IF(T1115&gt;0,RANK(T1115,(N1115:P1115,Q1115:AE1115)),0)</f>
        <v>6</v>
      </c>
      <c r="AZ1115" s="5">
        <f>IF(S1115&gt;0,RANK(S1115,(N1115:P1115,Q1115:AE1115)),0)</f>
        <v>0</v>
      </c>
      <c r="BA1115" s="2">
        <f t="shared" si="469"/>
        <v>3.0004380201489267E-2</v>
      </c>
      <c r="BB1115" s="2">
        <f t="shared" si="470"/>
        <v>3.2851511169513796E-3</v>
      </c>
      <c r="BC1115" s="2">
        <f t="shared" si="471"/>
        <v>2.1901007446342531E-4</v>
      </c>
      <c r="BD1115" s="2">
        <f t="shared" si="472"/>
        <v>0</v>
      </c>
      <c r="BF1115" t="s">
        <v>117</v>
      </c>
      <c r="BG1115" t="s">
        <v>1009</v>
      </c>
      <c r="BH1115">
        <v>1</v>
      </c>
      <c r="BJ1115" s="114">
        <v>21</v>
      </c>
      <c r="BK1115" s="116">
        <v>149</v>
      </c>
      <c r="BL1115" s="120">
        <f t="shared" si="452"/>
        <v>21149</v>
      </c>
      <c r="BN1115" s="5" t="s">
        <v>3154</v>
      </c>
      <c r="BZ1115" s="63">
        <f t="shared" si="473"/>
        <v>4566</v>
      </c>
      <c r="CD1115" s="63">
        <v>0</v>
      </c>
      <c r="CE1115" s="63">
        <v>0</v>
      </c>
      <c r="CF1115" s="63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0</v>
      </c>
      <c r="CN1115" s="8">
        <v>0</v>
      </c>
      <c r="CO1115" s="8">
        <v>0</v>
      </c>
      <c r="CP1115">
        <v>0</v>
      </c>
      <c r="CQ1115">
        <v>0</v>
      </c>
    </row>
    <row r="1116" spans="1:95" ht="13" hidden="1" customHeight="1" outlineLevel="1">
      <c r="A1116" t="s">
        <v>1650</v>
      </c>
      <c r="B1116" t="s">
        <v>1009</v>
      </c>
      <c r="C1116" s="1">
        <f t="shared" si="464"/>
        <v>37371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4</v>
      </c>
      <c r="G1116" s="132">
        <f t="shared" si="462"/>
        <v>11638</v>
      </c>
      <c r="H1116" s="137">
        <f t="shared" si="463"/>
        <v>0.31141794439538678</v>
      </c>
      <c r="I1116" s="2"/>
      <c r="J1116" s="2">
        <f t="shared" si="465"/>
        <v>0.31556554547643895</v>
      </c>
      <c r="K1116" s="2">
        <f t="shared" si="466"/>
        <v>0.62698348987182573</v>
      </c>
      <c r="L1116" s="2">
        <f t="shared" si="467"/>
        <v>1.4770811591876053E-2</v>
      </c>
      <c r="M1116" s="2">
        <f t="shared" si="468"/>
        <v>4.2680153059859213E-2</v>
      </c>
      <c r="N1116" s="63">
        <v>11793</v>
      </c>
      <c r="O1116" s="63">
        <v>23431</v>
      </c>
      <c r="P1116" s="63">
        <v>552</v>
      </c>
      <c r="Q1116" s="63">
        <v>1189</v>
      </c>
      <c r="R1116" s="63">
        <v>353</v>
      </c>
      <c r="S1116" s="63">
        <v>20</v>
      </c>
      <c r="T1116" s="63">
        <v>18</v>
      </c>
      <c r="U1116" s="63"/>
      <c r="V1116" s="63"/>
      <c r="W1116" s="63">
        <f>IF(Copyright!B$11=1,IF(CA1116&gt;0,CA1116-SUM(S1116)-SUM(X1116:AI1116)-SUM(AJ1116:AT1116),SUM(CD1116:CQ1116)),SUM(CD1116:CQ1116))</f>
        <v>0</v>
      </c>
      <c r="X1116" s="63"/>
      <c r="Y1116" s="63">
        <v>11</v>
      </c>
      <c r="Z1116" s="63">
        <v>0</v>
      </c>
      <c r="AA1116" s="63"/>
      <c r="AB1116" s="63"/>
      <c r="AC1116" s="63"/>
      <c r="AD1116" s="63"/>
      <c r="AE1116" s="63">
        <v>0</v>
      </c>
      <c r="AF1116" s="63">
        <v>1</v>
      </c>
      <c r="AG1116" s="63">
        <v>0</v>
      </c>
      <c r="AH1116" s="63"/>
      <c r="AI1116" s="63"/>
      <c r="AJ1116" s="63"/>
      <c r="AK1116" s="63"/>
      <c r="AL1116" s="63"/>
      <c r="AM1116" s="63">
        <v>0</v>
      </c>
      <c r="AN1116" s="63">
        <v>3</v>
      </c>
      <c r="AO1116" s="63"/>
      <c r="AP1116" s="63"/>
      <c r="AQ1116" s="63">
        <v>0</v>
      </c>
      <c r="AR1116" s="63"/>
      <c r="AS1116" s="63"/>
      <c r="AT1116" s="63"/>
      <c r="AU1116" s="63"/>
      <c r="AW1116" s="5">
        <f>IF(Q1116&gt;0,RANK(Q1116,(N1116:P1116,Q1116:AE1116)),0)</f>
        <v>3</v>
      </c>
      <c r="AX1116" s="5">
        <f>IF(R1116&gt;0,RANK(R1116,(N1116:P1116,Q1116:AE1116)),0)</f>
        <v>5</v>
      </c>
      <c r="AY1116" s="5">
        <f>IF(T1116&gt;0,RANK(T1116,(N1116:P1116,Q1116:AE1116)),0)</f>
        <v>7</v>
      </c>
      <c r="AZ1116" s="5">
        <f>IF(S1116&gt;0,RANK(S1116,(N1116:P1116,Q1116:AE1116)),0)</f>
        <v>6</v>
      </c>
      <c r="BA1116" s="2">
        <f t="shared" si="469"/>
        <v>3.1816114099167805E-2</v>
      </c>
      <c r="BB1116" s="2">
        <f t="shared" si="470"/>
        <v>9.4458269781381287E-3</v>
      </c>
      <c r="BC1116" s="2">
        <f t="shared" si="471"/>
        <v>4.8165689973508869E-4</v>
      </c>
      <c r="BD1116" s="2">
        <f t="shared" si="472"/>
        <v>5.3517433303898747E-4</v>
      </c>
      <c r="BF1116" t="s">
        <v>1650</v>
      </c>
      <c r="BG1116" t="s">
        <v>1009</v>
      </c>
      <c r="BH1116">
        <v>6</v>
      </c>
      <c r="BJ1116" s="114">
        <v>21</v>
      </c>
      <c r="BK1116" s="116">
        <v>151</v>
      </c>
      <c r="BL1116" s="120">
        <f t="shared" si="452"/>
        <v>21151</v>
      </c>
      <c r="BN1116" s="5" t="s">
        <v>3154</v>
      </c>
      <c r="BZ1116" s="63">
        <f t="shared" si="473"/>
        <v>37371</v>
      </c>
      <c r="CD1116" s="63">
        <v>0</v>
      </c>
      <c r="CE1116" s="63">
        <v>0</v>
      </c>
      <c r="CF1116" s="63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>
        <v>0</v>
      </c>
      <c r="CQ1116">
        <v>0</v>
      </c>
    </row>
    <row r="1117" spans="1:95" ht="13" hidden="1" customHeight="1" outlineLevel="1">
      <c r="A1117" t="s">
        <v>546</v>
      </c>
      <c r="B1117" t="s">
        <v>1009</v>
      </c>
      <c r="C1117" s="1">
        <f t="shared" si="464"/>
        <v>5116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4</v>
      </c>
      <c r="G1117" s="132">
        <f t="shared" si="462"/>
        <v>2652</v>
      </c>
      <c r="H1117" s="137">
        <f t="shared" si="463"/>
        <v>0.51837372947615323</v>
      </c>
      <c r="I1117" s="2"/>
      <c r="J1117" s="2">
        <f t="shared" si="465"/>
        <v>0.22908522283033619</v>
      </c>
      <c r="K1117" s="2">
        <f t="shared" si="466"/>
        <v>0.7474589523064894</v>
      </c>
      <c r="L1117" s="2">
        <f t="shared" si="467"/>
        <v>6.645817044566067E-3</v>
      </c>
      <c r="M1117" s="2">
        <f t="shared" si="468"/>
        <v>1.6810007818608367E-2</v>
      </c>
      <c r="N1117" s="63">
        <v>1172</v>
      </c>
      <c r="O1117" s="63">
        <v>3824</v>
      </c>
      <c r="P1117" s="63">
        <v>34</v>
      </c>
      <c r="Q1117" s="63">
        <v>66</v>
      </c>
      <c r="R1117" s="63">
        <v>17</v>
      </c>
      <c r="S1117" s="63">
        <v>0</v>
      </c>
      <c r="T1117" s="63">
        <v>3</v>
      </c>
      <c r="U1117" s="63"/>
      <c r="V1117" s="63"/>
      <c r="W1117" s="63">
        <f>IF(Copyright!B$11=1,IF(CA1117&gt;0,CA1117-SUM(S1117)-SUM(X1117:AI1117)-SUM(AJ1117:AT1117),SUM(CD1117:CQ1117)),SUM(CD1117:CQ1117))</f>
        <v>0</v>
      </c>
      <c r="X1117" s="63"/>
      <c r="Y1117" s="63">
        <v>0</v>
      </c>
      <c r="Z1117" s="63">
        <v>0</v>
      </c>
      <c r="AA1117" s="63"/>
      <c r="AB1117" s="63"/>
      <c r="AC1117" s="63"/>
      <c r="AD1117" s="63"/>
      <c r="AE1117" s="63">
        <v>0</v>
      </c>
      <c r="AF1117" s="63">
        <v>0</v>
      </c>
      <c r="AG1117" s="63">
        <v>0</v>
      </c>
      <c r="AH1117" s="63"/>
      <c r="AI1117" s="63"/>
      <c r="AJ1117" s="63"/>
      <c r="AK1117" s="63"/>
      <c r="AL1117" s="63"/>
      <c r="AM1117" s="63">
        <v>0</v>
      </c>
      <c r="AN1117" s="63">
        <v>0</v>
      </c>
      <c r="AO1117" s="63"/>
      <c r="AP1117" s="63"/>
      <c r="AQ1117" s="63">
        <v>0</v>
      </c>
      <c r="AR1117" s="63"/>
      <c r="AS1117" s="63"/>
      <c r="AT1117" s="63"/>
      <c r="AU1117" s="63"/>
      <c r="AW1117" s="5">
        <f>IF(Q1117&gt;0,RANK(Q1117,(N1117:P1117,Q1117:AE1117)),0)</f>
        <v>3</v>
      </c>
      <c r="AX1117" s="5">
        <f>IF(R1117&gt;0,RANK(R1117,(N1117:P1117,Q1117:AE1117)),0)</f>
        <v>5</v>
      </c>
      <c r="AY1117" s="5">
        <f>IF(T1117&gt;0,RANK(T1117,(N1117:P1117,Q1117:AE1117)),0)</f>
        <v>6</v>
      </c>
      <c r="AZ1117" s="5">
        <f>IF(S1117&gt;0,RANK(S1117,(N1117:P1117,Q1117:AE1117)),0)</f>
        <v>0</v>
      </c>
      <c r="BA1117" s="2">
        <f t="shared" si="469"/>
        <v>1.2900703674745896E-2</v>
      </c>
      <c r="BB1117" s="2">
        <f t="shared" si="470"/>
        <v>3.3229085222830335E-3</v>
      </c>
      <c r="BC1117" s="2">
        <f t="shared" si="471"/>
        <v>5.8639562157935892E-4</v>
      </c>
      <c r="BD1117" s="2">
        <f t="shared" si="472"/>
        <v>0</v>
      </c>
      <c r="BF1117" t="s">
        <v>546</v>
      </c>
      <c r="BG1117" t="s">
        <v>1009</v>
      </c>
      <c r="BH1117">
        <v>5</v>
      </c>
      <c r="BJ1117" s="114">
        <v>21</v>
      </c>
      <c r="BK1117" s="116">
        <v>153</v>
      </c>
      <c r="BL1117" s="120">
        <f t="shared" si="452"/>
        <v>21153</v>
      </c>
      <c r="BN1117" s="5" t="s">
        <v>3154</v>
      </c>
      <c r="BZ1117" s="63">
        <f t="shared" si="473"/>
        <v>5116</v>
      </c>
      <c r="CD1117" s="63">
        <v>0</v>
      </c>
      <c r="CE1117" s="63">
        <v>0</v>
      </c>
      <c r="CF1117" s="63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>
        <v>0</v>
      </c>
      <c r="CQ1117">
        <v>0</v>
      </c>
    </row>
    <row r="1118" spans="1:95" ht="13" hidden="1" customHeight="1" outlineLevel="1">
      <c r="A1118" t="s">
        <v>1826</v>
      </c>
      <c r="B1118" t="s">
        <v>1009</v>
      </c>
      <c r="C1118" s="1">
        <f t="shared" si="464"/>
        <v>8111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4</v>
      </c>
      <c r="G1118" s="132">
        <f t="shared" si="462"/>
        <v>2443</v>
      </c>
      <c r="H1118" s="137">
        <f t="shared" si="463"/>
        <v>0.30119590679324376</v>
      </c>
      <c r="I1118" s="2"/>
      <c r="J1118" s="2">
        <f t="shared" si="465"/>
        <v>0.33029219578350388</v>
      </c>
      <c r="K1118" s="2">
        <f t="shared" si="466"/>
        <v>0.63148810257674759</v>
      </c>
      <c r="L1118" s="2">
        <f t="shared" si="467"/>
        <v>7.2740722475650348E-3</v>
      </c>
      <c r="M1118" s="2">
        <f t="shared" si="468"/>
        <v>3.0945629392183493E-2</v>
      </c>
      <c r="N1118" s="63">
        <v>2679</v>
      </c>
      <c r="O1118" s="63">
        <v>5122</v>
      </c>
      <c r="P1118" s="63">
        <v>59</v>
      </c>
      <c r="Q1118" s="63">
        <v>215</v>
      </c>
      <c r="R1118" s="63">
        <v>33</v>
      </c>
      <c r="S1118" s="63">
        <v>0</v>
      </c>
      <c r="T1118" s="63">
        <v>1</v>
      </c>
      <c r="U1118" s="63"/>
      <c r="V1118" s="63"/>
      <c r="W1118" s="63">
        <f>IF(Copyright!B$11=1,IF(CA1118&gt;0,CA1118-SUM(S1118)-SUM(X1118:AI1118)-SUM(AJ1118:AT1118),SUM(CD1118:CQ1118)),SUM(CD1118:CQ1118))</f>
        <v>0</v>
      </c>
      <c r="X1118" s="63"/>
      <c r="Y1118" s="63">
        <v>0</v>
      </c>
      <c r="Z1118" s="63">
        <v>0</v>
      </c>
      <c r="AA1118" s="63"/>
      <c r="AB1118" s="63"/>
      <c r="AC1118" s="63"/>
      <c r="AD1118" s="63"/>
      <c r="AE1118" s="63">
        <v>0</v>
      </c>
      <c r="AF1118" s="63">
        <v>0</v>
      </c>
      <c r="AG1118" s="63">
        <v>0</v>
      </c>
      <c r="AH1118" s="63"/>
      <c r="AI1118" s="63"/>
      <c r="AJ1118" s="63"/>
      <c r="AK1118" s="63"/>
      <c r="AL1118" s="63"/>
      <c r="AM1118" s="63">
        <v>0</v>
      </c>
      <c r="AN1118" s="63">
        <v>2</v>
      </c>
      <c r="AO1118" s="63"/>
      <c r="AP1118" s="63"/>
      <c r="AQ1118" s="63">
        <v>0</v>
      </c>
      <c r="AR1118" s="63"/>
      <c r="AS1118" s="63"/>
      <c r="AT1118" s="63"/>
      <c r="AU1118" s="63"/>
      <c r="AW1118" s="5">
        <f>IF(Q1118&gt;0,RANK(Q1118,(N1118:P1118,Q1118:AE1118)),0)</f>
        <v>3</v>
      </c>
      <c r="AX1118" s="5">
        <f>IF(R1118&gt;0,RANK(R1118,(N1118:P1118,Q1118:AE1118)),0)</f>
        <v>5</v>
      </c>
      <c r="AY1118" s="5">
        <f>IF(T1118&gt;0,RANK(T1118,(N1118:P1118,Q1118:AE1118)),0)</f>
        <v>6</v>
      </c>
      <c r="AZ1118" s="5">
        <f>IF(S1118&gt;0,RANK(S1118,(N1118:P1118,Q1118:AE1118)),0)</f>
        <v>0</v>
      </c>
      <c r="BA1118" s="2">
        <f t="shared" si="469"/>
        <v>2.6507212427567501E-2</v>
      </c>
      <c r="BB1118" s="2">
        <f t="shared" si="470"/>
        <v>4.0685488842312906E-3</v>
      </c>
      <c r="BC1118" s="2">
        <f t="shared" si="471"/>
        <v>1.2328936012822092E-4</v>
      </c>
      <c r="BD1118" s="2">
        <f t="shared" si="472"/>
        <v>0</v>
      </c>
      <c r="BF1118" t="s">
        <v>1826</v>
      </c>
      <c r="BG1118" t="s">
        <v>1009</v>
      </c>
      <c r="BH1118">
        <v>1</v>
      </c>
      <c r="BJ1118" s="114">
        <v>21</v>
      </c>
      <c r="BK1118" s="116">
        <v>155</v>
      </c>
      <c r="BL1118" s="120">
        <f t="shared" si="452"/>
        <v>21155</v>
      </c>
      <c r="BN1118" s="5" t="s">
        <v>3154</v>
      </c>
      <c r="BZ1118" s="63">
        <f t="shared" si="473"/>
        <v>8111</v>
      </c>
      <c r="CD1118" s="63">
        <v>0</v>
      </c>
      <c r="CE1118" s="63">
        <v>0</v>
      </c>
      <c r="CF1118" s="63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>
        <v>0</v>
      </c>
      <c r="CQ1118">
        <v>0</v>
      </c>
    </row>
    <row r="1119" spans="1:95" ht="13" hidden="1" customHeight="1" outlineLevel="1">
      <c r="A1119" t="s">
        <v>1847</v>
      </c>
      <c r="B1119" t="s">
        <v>1009</v>
      </c>
      <c r="C1119" s="1">
        <f t="shared" si="464"/>
        <v>16698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4</v>
      </c>
      <c r="G1119" s="132">
        <f t="shared" si="462"/>
        <v>8650</v>
      </c>
      <c r="H1119" s="137">
        <f t="shared" si="463"/>
        <v>0.51802611091148643</v>
      </c>
      <c r="I1119" s="2"/>
      <c r="J1119" s="2">
        <f t="shared" si="465"/>
        <v>0.21990657563780094</v>
      </c>
      <c r="K1119" s="2">
        <f t="shared" si="466"/>
        <v>0.73793268654928734</v>
      </c>
      <c r="L1119" s="2">
        <f t="shared" si="467"/>
        <v>1.0420409629895796E-2</v>
      </c>
      <c r="M1119" s="2">
        <f t="shared" si="468"/>
        <v>3.1740328183015948E-2</v>
      </c>
      <c r="N1119" s="63">
        <v>3672</v>
      </c>
      <c r="O1119" s="63">
        <v>12322</v>
      </c>
      <c r="P1119" s="63">
        <v>174</v>
      </c>
      <c r="Q1119" s="63">
        <v>426</v>
      </c>
      <c r="R1119" s="63">
        <v>84</v>
      </c>
      <c r="S1119" s="63">
        <v>9</v>
      </c>
      <c r="T1119" s="63">
        <v>10</v>
      </c>
      <c r="U1119" s="63"/>
      <c r="V1119" s="63"/>
      <c r="W1119" s="63">
        <f>IF(Copyright!B$11=1,IF(CA1119&gt;0,CA1119-SUM(S1119)-SUM(X1119:AI1119)-SUM(AJ1119:AT1119),SUM(CD1119:CQ1119)),SUM(CD1119:CQ1119))</f>
        <v>1</v>
      </c>
      <c r="X1119" s="63"/>
      <c r="Y1119" s="63">
        <v>0</v>
      </c>
      <c r="Z1119" s="63">
        <v>0</v>
      </c>
      <c r="AA1119" s="63"/>
      <c r="AB1119" s="63"/>
      <c r="AC1119" s="63"/>
      <c r="AD1119" s="63"/>
      <c r="AE1119" s="63">
        <v>0</v>
      </c>
      <c r="AF1119" s="63">
        <v>0</v>
      </c>
      <c r="AG1119" s="63">
        <v>0</v>
      </c>
      <c r="AH1119" s="63"/>
      <c r="AI1119" s="63"/>
      <c r="AJ1119" s="63"/>
      <c r="AK1119" s="63"/>
      <c r="AL1119" s="63"/>
      <c r="AM1119" s="63">
        <v>0</v>
      </c>
      <c r="AN1119" s="63">
        <v>0</v>
      </c>
      <c r="AO1119" s="63"/>
      <c r="AP1119" s="63"/>
      <c r="AQ1119" s="63">
        <v>0</v>
      </c>
      <c r="AR1119" s="63"/>
      <c r="AS1119" s="63"/>
      <c r="AT1119" s="63"/>
      <c r="AU1119" s="63"/>
      <c r="AW1119" s="5">
        <f>IF(Q1119&gt;0,RANK(Q1119,(N1119:P1119,Q1119:AE1119)),0)</f>
        <v>3</v>
      </c>
      <c r="AX1119" s="5">
        <f>IF(R1119&gt;0,RANK(R1119,(N1119:P1119,Q1119:AE1119)),0)</f>
        <v>5</v>
      </c>
      <c r="AY1119" s="5">
        <f>IF(T1119&gt;0,RANK(T1119,(N1119:P1119,Q1119:AE1119)),0)</f>
        <v>6</v>
      </c>
      <c r="AZ1119" s="5">
        <f>IF(S1119&gt;0,RANK(S1119,(N1119:P1119,Q1119:AE1119)),0)</f>
        <v>7</v>
      </c>
      <c r="BA1119" s="2">
        <f t="shared" si="469"/>
        <v>2.5512037369744878E-2</v>
      </c>
      <c r="BB1119" s="2">
        <f t="shared" si="470"/>
        <v>5.0305425799496949E-3</v>
      </c>
      <c r="BC1119" s="2">
        <f t="shared" si="471"/>
        <v>5.9887411666067797E-4</v>
      </c>
      <c r="BD1119" s="2">
        <f t="shared" si="472"/>
        <v>5.3898670499461009E-4</v>
      </c>
      <c r="BF1119" t="s">
        <v>1847</v>
      </c>
      <c r="BG1119" t="s">
        <v>1009</v>
      </c>
      <c r="BH1119">
        <v>1</v>
      </c>
      <c r="BJ1119" s="114">
        <v>21</v>
      </c>
      <c r="BK1119" s="116">
        <v>157</v>
      </c>
      <c r="BL1119" s="120">
        <f t="shared" si="452"/>
        <v>21157</v>
      </c>
      <c r="BN1119" s="5" t="s">
        <v>3154</v>
      </c>
      <c r="BZ1119" s="63">
        <f t="shared" si="473"/>
        <v>16698</v>
      </c>
      <c r="CD1119" s="63">
        <v>0</v>
      </c>
      <c r="CE1119" s="63">
        <v>0</v>
      </c>
      <c r="CF1119" s="63">
        <v>0</v>
      </c>
      <c r="CG1119" s="8">
        <v>0</v>
      </c>
      <c r="CH1119" s="8">
        <v>0</v>
      </c>
      <c r="CI1119" s="8">
        <v>0</v>
      </c>
      <c r="CJ1119" s="8">
        <v>1</v>
      </c>
      <c r="CK1119" s="8">
        <v>0</v>
      </c>
      <c r="CL1119" s="8">
        <v>0</v>
      </c>
      <c r="CM1119" s="8">
        <v>0</v>
      </c>
      <c r="CN1119" s="8">
        <v>0</v>
      </c>
      <c r="CO1119" s="8">
        <v>0</v>
      </c>
      <c r="CP1119">
        <v>0</v>
      </c>
      <c r="CQ1119">
        <v>0</v>
      </c>
    </row>
    <row r="1120" spans="1:95" ht="13" hidden="1" customHeight="1" outlineLevel="1">
      <c r="A1120" t="s">
        <v>1</v>
      </c>
      <c r="B1120" t="s">
        <v>1009</v>
      </c>
      <c r="C1120" s="1">
        <f t="shared" si="464"/>
        <v>3953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4</v>
      </c>
      <c r="G1120" s="132">
        <f t="shared" si="462"/>
        <v>3140</v>
      </c>
      <c r="H1120" s="137">
        <f t="shared" si="463"/>
        <v>0.79433341765747534</v>
      </c>
      <c r="I1120" s="2"/>
      <c r="J1120" s="2">
        <f t="shared" si="465"/>
        <v>9.1828990640020244E-2</v>
      </c>
      <c r="K1120" s="2">
        <f t="shared" si="466"/>
        <v>0.8861624082974956</v>
      </c>
      <c r="L1120" s="2">
        <f t="shared" si="467"/>
        <v>5.0594485201113076E-3</v>
      </c>
      <c r="M1120" s="2">
        <f t="shared" si="468"/>
        <v>1.6949152542372836E-2</v>
      </c>
      <c r="N1120" s="63">
        <v>363</v>
      </c>
      <c r="O1120" s="63">
        <v>3503</v>
      </c>
      <c r="P1120" s="63">
        <v>20</v>
      </c>
      <c r="Q1120" s="63">
        <v>52</v>
      </c>
      <c r="R1120" s="63">
        <v>13</v>
      </c>
      <c r="S1120" s="63">
        <v>0</v>
      </c>
      <c r="T1120" s="63">
        <v>2</v>
      </c>
      <c r="U1120" s="63"/>
      <c r="V1120" s="63"/>
      <c r="W1120" s="63">
        <f>IF(Copyright!B$11=1,IF(CA1120&gt;0,CA1120-SUM(S1120)-SUM(X1120:AI1120)-SUM(AJ1120:AT1120),SUM(CD1120:CQ1120)),SUM(CD1120:CQ1120))</f>
        <v>0</v>
      </c>
      <c r="X1120" s="63"/>
      <c r="Y1120" s="63">
        <v>0</v>
      </c>
      <c r="Z1120" s="63">
        <v>0</v>
      </c>
      <c r="AA1120" s="63"/>
      <c r="AB1120" s="63"/>
      <c r="AC1120" s="63"/>
      <c r="AD1120" s="63"/>
      <c r="AE1120" s="63">
        <v>0</v>
      </c>
      <c r="AF1120" s="63">
        <v>0</v>
      </c>
      <c r="AG1120" s="63">
        <v>0</v>
      </c>
      <c r="AH1120" s="63"/>
      <c r="AI1120" s="63"/>
      <c r="AJ1120" s="63"/>
      <c r="AK1120" s="63"/>
      <c r="AL1120" s="63"/>
      <c r="AM1120" s="63">
        <v>0</v>
      </c>
      <c r="AN1120" s="63">
        <v>0</v>
      </c>
      <c r="AO1120" s="63"/>
      <c r="AP1120" s="63"/>
      <c r="AQ1120" s="63">
        <v>0</v>
      </c>
      <c r="AR1120" s="63"/>
      <c r="AS1120" s="63"/>
      <c r="AT1120" s="63"/>
      <c r="AU1120" s="63"/>
      <c r="AW1120" s="5">
        <f>IF(Q1120&gt;0,RANK(Q1120,(N1120:P1120,Q1120:AE1120)),0)</f>
        <v>3</v>
      </c>
      <c r="AX1120" s="5">
        <f>IF(R1120&gt;0,RANK(R1120,(N1120:P1120,Q1120:AE1120)),0)</f>
        <v>5</v>
      </c>
      <c r="AY1120" s="5">
        <f>IF(T1120&gt;0,RANK(T1120,(N1120:P1120,Q1120:AE1120)),0)</f>
        <v>6</v>
      </c>
      <c r="AZ1120" s="5">
        <f>IF(S1120&gt;0,RANK(S1120,(N1120:P1120,Q1120:AE1120)),0)</f>
        <v>0</v>
      </c>
      <c r="BA1120" s="2">
        <f t="shared" si="469"/>
        <v>1.3154566152289401E-2</v>
      </c>
      <c r="BB1120" s="2">
        <f t="shared" si="470"/>
        <v>3.2886415380723503E-3</v>
      </c>
      <c r="BC1120" s="2">
        <f t="shared" si="471"/>
        <v>5.0594485201113073E-4</v>
      </c>
      <c r="BD1120" s="2">
        <f t="shared" si="472"/>
        <v>0</v>
      </c>
      <c r="BF1120" t="s">
        <v>1</v>
      </c>
      <c r="BG1120" t="s">
        <v>1009</v>
      </c>
      <c r="BH1120">
        <v>5</v>
      </c>
      <c r="BJ1120" s="114">
        <v>21</v>
      </c>
      <c r="BK1120" s="116">
        <v>159</v>
      </c>
      <c r="BL1120" s="120">
        <f t="shared" si="452"/>
        <v>21159</v>
      </c>
      <c r="BN1120" s="5" t="s">
        <v>3154</v>
      </c>
      <c r="BZ1120" s="63">
        <f t="shared" si="473"/>
        <v>3953</v>
      </c>
      <c r="CD1120" s="63">
        <v>0</v>
      </c>
      <c r="CE1120" s="63">
        <v>0</v>
      </c>
      <c r="CF1120" s="63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0</v>
      </c>
      <c r="CN1120" s="8">
        <v>0</v>
      </c>
      <c r="CO1120" s="8">
        <v>0</v>
      </c>
      <c r="CP1120">
        <v>0</v>
      </c>
      <c r="CQ1120">
        <v>0</v>
      </c>
    </row>
    <row r="1121" spans="1:95" ht="13" hidden="1" customHeight="1" outlineLevel="1">
      <c r="A1121" t="s">
        <v>1942</v>
      </c>
      <c r="B1121" t="s">
        <v>1009</v>
      </c>
      <c r="C1121" s="1">
        <f t="shared" si="464"/>
        <v>7219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4</v>
      </c>
      <c r="G1121" s="132">
        <f t="shared" si="462"/>
        <v>2974</v>
      </c>
      <c r="H1121" s="137">
        <f t="shared" si="463"/>
        <v>0.41196841667821027</v>
      </c>
      <c r="I1121" s="2"/>
      <c r="J1121" s="2">
        <f t="shared" si="465"/>
        <v>0.27289098213048901</v>
      </c>
      <c r="K1121" s="2">
        <f t="shared" si="466"/>
        <v>0.68485939880869928</v>
      </c>
      <c r="L1121" s="2">
        <f t="shared" si="467"/>
        <v>1.2051530682920072E-2</v>
      </c>
      <c r="M1121" s="2">
        <f t="shared" si="468"/>
        <v>3.0198088377891633E-2</v>
      </c>
      <c r="N1121" s="63">
        <v>1970</v>
      </c>
      <c r="O1121" s="63">
        <v>4944</v>
      </c>
      <c r="P1121" s="63">
        <v>87</v>
      </c>
      <c r="Q1121" s="63">
        <v>173</v>
      </c>
      <c r="R1121" s="63">
        <v>38</v>
      </c>
      <c r="S1121" s="63">
        <v>2</v>
      </c>
      <c r="T1121" s="63">
        <v>4</v>
      </c>
      <c r="U1121" s="63"/>
      <c r="V1121" s="63"/>
      <c r="W1121" s="63">
        <f>IF(Copyright!B$11=1,IF(CA1121&gt;0,CA1121-SUM(S1121)-SUM(X1121:AI1121)-SUM(AJ1121:AT1121),SUM(CD1121:CQ1121)),SUM(CD1121:CQ1121))</f>
        <v>0</v>
      </c>
      <c r="X1121" s="63"/>
      <c r="Y1121" s="63">
        <v>0</v>
      </c>
      <c r="Z1121" s="63">
        <v>0</v>
      </c>
      <c r="AA1121" s="63"/>
      <c r="AB1121" s="63"/>
      <c r="AC1121" s="63"/>
      <c r="AD1121" s="63"/>
      <c r="AE1121" s="63">
        <v>0</v>
      </c>
      <c r="AF1121" s="63">
        <v>0</v>
      </c>
      <c r="AG1121" s="63">
        <v>0</v>
      </c>
      <c r="AH1121" s="63"/>
      <c r="AI1121" s="63"/>
      <c r="AJ1121" s="63"/>
      <c r="AK1121" s="63"/>
      <c r="AL1121" s="63"/>
      <c r="AM1121" s="63">
        <v>0</v>
      </c>
      <c r="AN1121" s="63">
        <v>1</v>
      </c>
      <c r="AO1121" s="63"/>
      <c r="AP1121" s="63"/>
      <c r="AQ1121" s="63">
        <v>0</v>
      </c>
      <c r="AR1121" s="63"/>
      <c r="AS1121" s="63"/>
      <c r="AT1121" s="63"/>
      <c r="AU1121" s="63"/>
      <c r="AW1121" s="5">
        <f>IF(Q1121&gt;0,RANK(Q1121,(N1121:P1121,Q1121:AE1121)),0)</f>
        <v>3</v>
      </c>
      <c r="AX1121" s="5">
        <f>IF(R1121&gt;0,RANK(R1121,(N1121:P1121,Q1121:AE1121)),0)</f>
        <v>5</v>
      </c>
      <c r="AY1121" s="5">
        <f>IF(T1121&gt;0,RANK(T1121,(N1121:P1121,Q1121:AE1121)),0)</f>
        <v>6</v>
      </c>
      <c r="AZ1121" s="5">
        <f>IF(S1121&gt;0,RANK(S1121,(N1121:P1121,Q1121:AE1121)),0)</f>
        <v>7</v>
      </c>
      <c r="BA1121" s="2">
        <f t="shared" si="469"/>
        <v>2.3964538024657155E-2</v>
      </c>
      <c r="BB1121" s="2">
        <f t="shared" si="470"/>
        <v>5.2638869649535951E-3</v>
      </c>
      <c r="BC1121" s="2">
        <f t="shared" si="471"/>
        <v>5.5409336473195739E-4</v>
      </c>
      <c r="BD1121" s="2">
        <f t="shared" si="472"/>
        <v>2.7704668236597869E-4</v>
      </c>
      <c r="BF1121" t="s">
        <v>1942</v>
      </c>
      <c r="BG1121" t="s">
        <v>1009</v>
      </c>
      <c r="BH1121">
        <v>4</v>
      </c>
      <c r="BJ1121" s="114">
        <v>21</v>
      </c>
      <c r="BK1121" s="116">
        <v>161</v>
      </c>
      <c r="BL1121" s="120">
        <f t="shared" si="452"/>
        <v>21161</v>
      </c>
      <c r="BN1121" s="5" t="s">
        <v>3154</v>
      </c>
      <c r="BZ1121" s="63">
        <f t="shared" si="473"/>
        <v>7219</v>
      </c>
      <c r="CD1121" s="63">
        <v>0</v>
      </c>
      <c r="CE1121" s="63">
        <v>0</v>
      </c>
      <c r="CF1121" s="63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0</v>
      </c>
      <c r="CN1121" s="8">
        <v>0</v>
      </c>
      <c r="CO1121" s="8">
        <v>0</v>
      </c>
      <c r="CP1121">
        <v>0</v>
      </c>
      <c r="CQ1121">
        <v>0</v>
      </c>
    </row>
    <row r="1122" spans="1:95" ht="13" hidden="1" customHeight="1" outlineLevel="1">
      <c r="A1122" t="s">
        <v>1788</v>
      </c>
      <c r="B1122" t="s">
        <v>1009</v>
      </c>
      <c r="C1122" s="1">
        <f t="shared" si="464"/>
        <v>12231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4</v>
      </c>
      <c r="G1122" s="132">
        <f t="shared" si="462"/>
        <v>5634</v>
      </c>
      <c r="H1122" s="137">
        <f t="shared" si="463"/>
        <v>0.46063281824871227</v>
      </c>
      <c r="I1122" s="2"/>
      <c r="J1122" s="2">
        <f t="shared" si="465"/>
        <v>0.2474041370288611</v>
      </c>
      <c r="K1122" s="2">
        <f t="shared" si="466"/>
        <v>0.70803695527757338</v>
      </c>
      <c r="L1122" s="2">
        <f t="shared" si="467"/>
        <v>8.7482626113972693E-3</v>
      </c>
      <c r="M1122" s="2">
        <f t="shared" si="468"/>
        <v>3.5810645082168246E-2</v>
      </c>
      <c r="N1122" s="63">
        <v>3026</v>
      </c>
      <c r="O1122" s="63">
        <v>8660</v>
      </c>
      <c r="P1122" s="63">
        <v>107</v>
      </c>
      <c r="Q1122" s="63">
        <v>333</v>
      </c>
      <c r="R1122" s="63">
        <v>97</v>
      </c>
      <c r="S1122" s="63">
        <v>0</v>
      </c>
      <c r="T1122" s="63">
        <v>6</v>
      </c>
      <c r="U1122" s="63"/>
      <c r="V1122" s="63"/>
      <c r="W1122" s="63">
        <f>IF(Copyright!B$11=1,IF(CA1122&gt;0,CA1122-SUM(S1122)-SUM(X1122:AI1122)-SUM(AJ1122:AT1122),SUM(CD1122:CQ1122)),SUM(CD1122:CQ1122))</f>
        <v>0</v>
      </c>
      <c r="X1122" s="63"/>
      <c r="Y1122" s="63">
        <v>0</v>
      </c>
      <c r="Z1122" s="63">
        <v>0</v>
      </c>
      <c r="AA1122" s="63"/>
      <c r="AB1122" s="63"/>
      <c r="AC1122" s="63"/>
      <c r="AD1122" s="63"/>
      <c r="AE1122" s="63">
        <v>0</v>
      </c>
      <c r="AF1122" s="63">
        <v>0</v>
      </c>
      <c r="AG1122" s="63">
        <v>0</v>
      </c>
      <c r="AH1122" s="63"/>
      <c r="AI1122" s="63"/>
      <c r="AJ1122" s="63"/>
      <c r="AK1122" s="63"/>
      <c r="AL1122" s="63"/>
      <c r="AM1122" s="63">
        <v>0</v>
      </c>
      <c r="AN1122" s="63">
        <v>2</v>
      </c>
      <c r="AO1122" s="63"/>
      <c r="AP1122" s="63"/>
      <c r="AQ1122" s="63">
        <v>0</v>
      </c>
      <c r="AR1122" s="63"/>
      <c r="AS1122" s="63"/>
      <c r="AT1122" s="63"/>
      <c r="AU1122" s="63"/>
      <c r="AW1122" s="5">
        <f>IF(Q1122&gt;0,RANK(Q1122,(N1122:P1122,Q1122:AE1122)),0)</f>
        <v>3</v>
      </c>
      <c r="AX1122" s="5">
        <f>IF(R1122&gt;0,RANK(R1122,(N1122:P1122,Q1122:AE1122)),0)</f>
        <v>5</v>
      </c>
      <c r="AY1122" s="5">
        <f>IF(T1122&gt;0,RANK(T1122,(N1122:P1122,Q1122:AE1122)),0)</f>
        <v>6</v>
      </c>
      <c r="AZ1122" s="5">
        <f>IF(S1122&gt;0,RANK(S1122,(N1122:P1122,Q1122:AE1122)),0)</f>
        <v>0</v>
      </c>
      <c r="BA1122" s="2">
        <f t="shared" si="469"/>
        <v>2.7225901398086828E-2</v>
      </c>
      <c r="BB1122" s="2">
        <f t="shared" si="470"/>
        <v>7.9306679748180845E-3</v>
      </c>
      <c r="BC1122" s="2">
        <f t="shared" si="471"/>
        <v>4.9055678194751039E-4</v>
      </c>
      <c r="BD1122" s="2">
        <f t="shared" si="472"/>
        <v>0</v>
      </c>
      <c r="BF1122" t="s">
        <v>1788</v>
      </c>
      <c r="BG1122" t="s">
        <v>1009</v>
      </c>
      <c r="BH1122">
        <v>2</v>
      </c>
      <c r="BJ1122" s="114">
        <v>21</v>
      </c>
      <c r="BK1122" s="116">
        <v>163</v>
      </c>
      <c r="BL1122" s="120">
        <f t="shared" si="452"/>
        <v>21163</v>
      </c>
      <c r="BN1122" s="5" t="s">
        <v>3154</v>
      </c>
      <c r="BZ1122" s="63">
        <f t="shared" si="473"/>
        <v>12231</v>
      </c>
      <c r="CD1122" s="63">
        <v>0</v>
      </c>
      <c r="CE1122" s="63">
        <v>0</v>
      </c>
      <c r="CF1122" s="63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>
        <v>0</v>
      </c>
      <c r="CQ1122">
        <v>0</v>
      </c>
    </row>
    <row r="1123" spans="1:95" ht="13" hidden="1" customHeight="1" outlineLevel="1">
      <c r="A1123" t="s">
        <v>1929</v>
      </c>
      <c r="B1123" t="s">
        <v>1009</v>
      </c>
      <c r="C1123" s="1">
        <f t="shared" si="464"/>
        <v>2779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5</v>
      </c>
      <c r="G1123" s="132">
        <f t="shared" si="462"/>
        <v>1310</v>
      </c>
      <c r="H1123" s="137">
        <f t="shared" si="463"/>
        <v>0.47139258726160488</v>
      </c>
      <c r="I1123" s="2"/>
      <c r="J1123" s="2">
        <f t="shared" si="465"/>
        <v>0.25188916876574308</v>
      </c>
      <c r="K1123" s="2">
        <f t="shared" si="466"/>
        <v>0.72328175602734801</v>
      </c>
      <c r="L1123" s="2">
        <f t="shared" si="467"/>
        <v>3.95825836631882E-3</v>
      </c>
      <c r="M1123" s="2">
        <f t="shared" si="468"/>
        <v>2.0870816840590091E-2</v>
      </c>
      <c r="N1123" s="63">
        <v>700</v>
      </c>
      <c r="O1123" s="63">
        <v>2010</v>
      </c>
      <c r="P1123" s="63">
        <v>11</v>
      </c>
      <c r="Q1123" s="63">
        <v>43</v>
      </c>
      <c r="R1123" s="63">
        <v>14</v>
      </c>
      <c r="S1123" s="63">
        <v>0</v>
      </c>
      <c r="T1123" s="63">
        <v>1</v>
      </c>
      <c r="U1123" s="63"/>
      <c r="V1123" s="63"/>
      <c r="W1123" s="63">
        <f>IF(Copyright!B$11=1,IF(CA1123&gt;0,CA1123-SUM(S1123)-SUM(X1123:AI1123)-SUM(AJ1123:AT1123),SUM(CD1123:CQ1123)),SUM(CD1123:CQ1123))</f>
        <v>0</v>
      </c>
      <c r="X1123" s="63"/>
      <c r="Y1123" s="63">
        <v>0</v>
      </c>
      <c r="Z1123" s="63">
        <v>0</v>
      </c>
      <c r="AA1123" s="63"/>
      <c r="AB1123" s="63"/>
      <c r="AC1123" s="63"/>
      <c r="AD1123" s="63"/>
      <c r="AE1123" s="63">
        <v>0</v>
      </c>
      <c r="AF1123" s="63">
        <v>0</v>
      </c>
      <c r="AG1123" s="63">
        <v>0</v>
      </c>
      <c r="AH1123" s="63"/>
      <c r="AI1123" s="63"/>
      <c r="AJ1123" s="63"/>
      <c r="AK1123" s="63"/>
      <c r="AL1123" s="63"/>
      <c r="AM1123" s="63">
        <v>0</v>
      </c>
      <c r="AN1123" s="63">
        <v>0</v>
      </c>
      <c r="AO1123" s="63"/>
      <c r="AP1123" s="63"/>
      <c r="AQ1123" s="63">
        <v>0</v>
      </c>
      <c r="AR1123" s="63"/>
      <c r="AS1123" s="63"/>
      <c r="AT1123" s="63"/>
      <c r="AU1123" s="63"/>
      <c r="AW1123" s="5">
        <f>IF(Q1123&gt;0,RANK(Q1123,(N1123:P1123,Q1123:AE1123)),0)</f>
        <v>3</v>
      </c>
      <c r="AX1123" s="5">
        <f>IF(R1123&gt;0,RANK(R1123,(N1123:P1123,Q1123:AE1123)),0)</f>
        <v>4</v>
      </c>
      <c r="AY1123" s="5">
        <f>IF(T1123&gt;0,RANK(T1123,(N1123:P1123,Q1123:AE1123)),0)</f>
        <v>6</v>
      </c>
      <c r="AZ1123" s="5">
        <f>IF(S1123&gt;0,RANK(S1123,(N1123:P1123,Q1123:AE1123)),0)</f>
        <v>0</v>
      </c>
      <c r="BA1123" s="2">
        <f t="shared" si="469"/>
        <v>1.5473191795609931E-2</v>
      </c>
      <c r="BB1123" s="2">
        <f t="shared" si="470"/>
        <v>5.0377833753148613E-3</v>
      </c>
      <c r="BC1123" s="2">
        <f t="shared" si="471"/>
        <v>3.5984166966534722E-4</v>
      </c>
      <c r="BD1123" s="2">
        <f t="shared" si="472"/>
        <v>0</v>
      </c>
      <c r="BF1123" t="s">
        <v>1929</v>
      </c>
      <c r="BG1123" t="s">
        <v>1009</v>
      </c>
      <c r="BH1123">
        <v>6</v>
      </c>
      <c r="BJ1123" s="114">
        <v>21</v>
      </c>
      <c r="BK1123" s="116">
        <v>165</v>
      </c>
      <c r="BL1123" s="120">
        <f t="shared" si="452"/>
        <v>21165</v>
      </c>
      <c r="BN1123" s="5" t="s">
        <v>3154</v>
      </c>
      <c r="BZ1123" s="63">
        <f t="shared" si="473"/>
        <v>2779</v>
      </c>
      <c r="CD1123" s="63">
        <v>0</v>
      </c>
      <c r="CE1123" s="63">
        <v>0</v>
      </c>
      <c r="CF1123" s="63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0</v>
      </c>
      <c r="CN1123" s="8">
        <v>0</v>
      </c>
      <c r="CO1123" s="8">
        <v>0</v>
      </c>
      <c r="CP1123">
        <v>0</v>
      </c>
      <c r="CQ1123">
        <v>0</v>
      </c>
    </row>
    <row r="1124" spans="1:95" ht="13" hidden="1" customHeight="1" outlineLevel="1">
      <c r="A1124" t="s">
        <v>449</v>
      </c>
      <c r="B1124" t="s">
        <v>1009</v>
      </c>
      <c r="C1124" s="1">
        <f t="shared" si="464"/>
        <v>10585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4</v>
      </c>
      <c r="G1124" s="132">
        <f t="shared" si="462"/>
        <v>5345</v>
      </c>
      <c r="H1124" s="137">
        <f t="shared" si="463"/>
        <v>0.50495984884270195</v>
      </c>
      <c r="I1124" s="2"/>
      <c r="J1124" s="2">
        <f t="shared" si="465"/>
        <v>0.22626358053849788</v>
      </c>
      <c r="K1124" s="2">
        <f t="shared" si="466"/>
        <v>0.73122342938119977</v>
      </c>
      <c r="L1124" s="2">
        <f t="shared" si="467"/>
        <v>9.5418044402456308E-3</v>
      </c>
      <c r="M1124" s="2">
        <f t="shared" si="468"/>
        <v>3.2971185640056772E-2</v>
      </c>
      <c r="N1124" s="63">
        <v>2395</v>
      </c>
      <c r="O1124" s="63">
        <v>7740</v>
      </c>
      <c r="P1124" s="63">
        <v>101</v>
      </c>
      <c r="Q1124" s="63">
        <v>275</v>
      </c>
      <c r="R1124" s="63">
        <v>68</v>
      </c>
      <c r="S1124" s="63">
        <v>0</v>
      </c>
      <c r="T1124" s="63">
        <v>5</v>
      </c>
      <c r="U1124" s="63"/>
      <c r="V1124" s="63"/>
      <c r="W1124" s="63">
        <f>IF(Copyright!B$11=1,IF(CA1124&gt;0,CA1124-SUM(S1124)-SUM(X1124:AI1124)-SUM(AJ1124:AT1124),SUM(CD1124:CQ1124)),SUM(CD1124:CQ1124))</f>
        <v>0</v>
      </c>
      <c r="X1124" s="63"/>
      <c r="Y1124" s="63">
        <v>0</v>
      </c>
      <c r="Z1124" s="63">
        <v>0</v>
      </c>
      <c r="AA1124" s="63"/>
      <c r="AB1124" s="63"/>
      <c r="AC1124" s="63"/>
      <c r="AD1124" s="63"/>
      <c r="AE1124" s="63">
        <v>0</v>
      </c>
      <c r="AF1124" s="63">
        <v>0</v>
      </c>
      <c r="AG1124" s="63">
        <v>0</v>
      </c>
      <c r="AH1124" s="63"/>
      <c r="AI1124" s="63"/>
      <c r="AJ1124" s="63"/>
      <c r="AK1124" s="63"/>
      <c r="AL1124" s="63"/>
      <c r="AM1124" s="63">
        <v>0</v>
      </c>
      <c r="AN1124" s="63">
        <v>1</v>
      </c>
      <c r="AO1124" s="63"/>
      <c r="AP1124" s="63"/>
      <c r="AQ1124" s="63">
        <v>0</v>
      </c>
      <c r="AR1124" s="63"/>
      <c r="AS1124" s="63"/>
      <c r="AT1124" s="63"/>
      <c r="AU1124" s="63"/>
      <c r="AW1124" s="5">
        <f>IF(Q1124&gt;0,RANK(Q1124,(N1124:P1124,Q1124:AE1124)),0)</f>
        <v>3</v>
      </c>
      <c r="AX1124" s="5">
        <f>IF(R1124&gt;0,RANK(R1124,(N1124:P1124,Q1124:AE1124)),0)</f>
        <v>5</v>
      </c>
      <c r="AY1124" s="5">
        <f>IF(T1124&gt;0,RANK(T1124,(N1124:P1124,Q1124:AE1124)),0)</f>
        <v>6</v>
      </c>
      <c r="AZ1124" s="5">
        <f>IF(S1124&gt;0,RANK(S1124,(N1124:P1124,Q1124:AE1124)),0)</f>
        <v>0</v>
      </c>
      <c r="BA1124" s="2">
        <f t="shared" si="469"/>
        <v>2.5980160604629193E-2</v>
      </c>
      <c r="BB1124" s="2">
        <f t="shared" si="470"/>
        <v>6.4241851676901272E-3</v>
      </c>
      <c r="BC1124" s="2">
        <f t="shared" si="471"/>
        <v>4.7236655644780352E-4</v>
      </c>
      <c r="BD1124" s="2">
        <f t="shared" si="472"/>
        <v>0</v>
      </c>
      <c r="BF1124" t="s">
        <v>449</v>
      </c>
      <c r="BG1124" t="s">
        <v>1009</v>
      </c>
      <c r="BH1124">
        <v>2</v>
      </c>
      <c r="BJ1124" s="114">
        <v>21</v>
      </c>
      <c r="BK1124" s="116">
        <v>167</v>
      </c>
      <c r="BL1124" s="120">
        <f t="shared" si="452"/>
        <v>21167</v>
      </c>
      <c r="BN1124" s="5" t="s">
        <v>3154</v>
      </c>
      <c r="BZ1124" s="63">
        <f t="shared" si="473"/>
        <v>10585</v>
      </c>
      <c r="CD1124" s="63">
        <v>0</v>
      </c>
      <c r="CE1124" s="63">
        <v>0</v>
      </c>
      <c r="CF1124" s="63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0</v>
      </c>
      <c r="CN1124" s="8">
        <v>0</v>
      </c>
      <c r="CO1124" s="8">
        <v>0</v>
      </c>
      <c r="CP1124">
        <v>0</v>
      </c>
      <c r="CQ1124">
        <v>0</v>
      </c>
    </row>
    <row r="1125" spans="1:95" ht="13" hidden="1" customHeight="1" outlineLevel="1">
      <c r="A1125" t="s">
        <v>1991</v>
      </c>
      <c r="B1125" t="s">
        <v>1009</v>
      </c>
      <c r="C1125" s="1">
        <f t="shared" si="464"/>
        <v>4620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4</v>
      </c>
      <c r="G1125" s="132">
        <f t="shared" si="462"/>
        <v>2515</v>
      </c>
      <c r="H1125" s="137">
        <f t="shared" si="463"/>
        <v>0.5443722943722944</v>
      </c>
      <c r="I1125" s="2"/>
      <c r="J1125" s="2">
        <f t="shared" si="465"/>
        <v>0.21125541125541125</v>
      </c>
      <c r="K1125" s="2">
        <f t="shared" si="466"/>
        <v>0.75562770562770565</v>
      </c>
      <c r="L1125" s="2">
        <f t="shared" si="467"/>
        <v>8.8744588744588751E-3</v>
      </c>
      <c r="M1125" s="2">
        <f t="shared" si="468"/>
        <v>2.4242424242424225E-2</v>
      </c>
      <c r="N1125" s="63">
        <v>976</v>
      </c>
      <c r="O1125" s="63">
        <v>3491</v>
      </c>
      <c r="P1125" s="63">
        <v>41</v>
      </c>
      <c r="Q1125" s="63">
        <v>86</v>
      </c>
      <c r="R1125" s="63">
        <v>22</v>
      </c>
      <c r="S1125" s="63">
        <v>1</v>
      </c>
      <c r="T1125" s="63">
        <v>3</v>
      </c>
      <c r="U1125" s="63"/>
      <c r="V1125" s="63"/>
      <c r="W1125" s="63">
        <f>IF(Copyright!B$11=1,IF(CA1125&gt;0,CA1125-SUM(S1125)-SUM(X1125:AI1125)-SUM(AJ1125:AT1125),SUM(CD1125:CQ1125)),SUM(CD1125:CQ1125))</f>
        <v>0</v>
      </c>
      <c r="X1125" s="63"/>
      <c r="Y1125" s="63">
        <v>0</v>
      </c>
      <c r="Z1125" s="63">
        <v>0</v>
      </c>
      <c r="AA1125" s="63"/>
      <c r="AB1125" s="63"/>
      <c r="AC1125" s="63"/>
      <c r="AD1125" s="63"/>
      <c r="AE1125" s="63">
        <v>0</v>
      </c>
      <c r="AF1125" s="63">
        <v>0</v>
      </c>
      <c r="AG1125" s="63">
        <v>0</v>
      </c>
      <c r="AH1125" s="63"/>
      <c r="AI1125" s="63"/>
      <c r="AJ1125" s="63"/>
      <c r="AK1125" s="63"/>
      <c r="AL1125" s="63"/>
      <c r="AM1125" s="63">
        <v>0</v>
      </c>
      <c r="AN1125" s="63">
        <v>0</v>
      </c>
      <c r="AO1125" s="63"/>
      <c r="AP1125" s="63"/>
      <c r="AQ1125" s="63">
        <v>0</v>
      </c>
      <c r="AR1125" s="63"/>
      <c r="AS1125" s="63"/>
      <c r="AT1125" s="63"/>
      <c r="AU1125" s="63"/>
      <c r="AW1125" s="5">
        <f>IF(Q1125&gt;0,RANK(Q1125,(N1125:P1125,Q1125:AE1125)),0)</f>
        <v>3</v>
      </c>
      <c r="AX1125" s="5">
        <f>IF(R1125&gt;0,RANK(R1125,(N1125:P1125,Q1125:AE1125)),0)</f>
        <v>5</v>
      </c>
      <c r="AY1125" s="5">
        <f>IF(T1125&gt;0,RANK(T1125,(N1125:P1125,Q1125:AE1125)),0)</f>
        <v>6</v>
      </c>
      <c r="AZ1125" s="5">
        <f>IF(S1125&gt;0,RANK(S1125,(N1125:P1125,Q1125:AE1125)),0)</f>
        <v>7</v>
      </c>
      <c r="BA1125" s="2">
        <f t="shared" si="469"/>
        <v>1.8614718614718615E-2</v>
      </c>
      <c r="BB1125" s="2">
        <f t="shared" si="470"/>
        <v>4.7619047619047623E-3</v>
      </c>
      <c r="BC1125" s="2">
        <f t="shared" si="471"/>
        <v>6.4935064935064935E-4</v>
      </c>
      <c r="BD1125" s="2">
        <f t="shared" si="472"/>
        <v>2.1645021645021645E-4</v>
      </c>
      <c r="BF1125" t="s">
        <v>1991</v>
      </c>
      <c r="BG1125" t="s">
        <v>1009</v>
      </c>
      <c r="BH1125">
        <v>1</v>
      </c>
      <c r="BJ1125" s="114">
        <v>21</v>
      </c>
      <c r="BK1125" s="116">
        <v>169</v>
      </c>
      <c r="BL1125" s="120">
        <f t="shared" si="452"/>
        <v>21169</v>
      </c>
      <c r="BN1125" s="5" t="s">
        <v>3154</v>
      </c>
      <c r="BZ1125" s="63">
        <f t="shared" si="473"/>
        <v>4620</v>
      </c>
      <c r="CD1125" s="63">
        <v>0</v>
      </c>
      <c r="CE1125" s="63">
        <v>0</v>
      </c>
      <c r="CF1125" s="63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0</v>
      </c>
      <c r="CN1125" s="8">
        <v>0</v>
      </c>
      <c r="CO1125" s="8">
        <v>0</v>
      </c>
      <c r="CP1125">
        <v>0</v>
      </c>
      <c r="CQ1125">
        <v>0</v>
      </c>
    </row>
    <row r="1126" spans="1:95" ht="13" hidden="1" customHeight="1" outlineLevel="1">
      <c r="A1126" t="s">
        <v>644</v>
      </c>
      <c r="B1126" t="s">
        <v>1009</v>
      </c>
      <c r="C1126" s="1">
        <f t="shared" si="464"/>
        <v>4991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4</v>
      </c>
      <c r="G1126" s="132">
        <f t="shared" si="462"/>
        <v>3677</v>
      </c>
      <c r="H1126" s="137">
        <f t="shared" si="463"/>
        <v>0.73672610699258667</v>
      </c>
      <c r="I1126" s="2"/>
      <c r="J1126" s="2">
        <f t="shared" si="465"/>
        <v>0.12041675015027049</v>
      </c>
      <c r="K1126" s="2">
        <f t="shared" si="466"/>
        <v>0.8571428571428571</v>
      </c>
      <c r="L1126" s="2">
        <f t="shared" si="467"/>
        <v>4.608294930875576E-3</v>
      </c>
      <c r="M1126" s="2">
        <f t="shared" si="468"/>
        <v>1.7832097775996793E-2</v>
      </c>
      <c r="N1126" s="63">
        <v>601</v>
      </c>
      <c r="O1126" s="63">
        <v>4278</v>
      </c>
      <c r="P1126" s="63">
        <v>23</v>
      </c>
      <c r="Q1126" s="63">
        <v>76</v>
      </c>
      <c r="R1126" s="63">
        <v>13</v>
      </c>
      <c r="S1126" s="63">
        <v>0</v>
      </c>
      <c r="T1126" s="63">
        <v>0</v>
      </c>
      <c r="U1126" s="63"/>
      <c r="V1126" s="63"/>
      <c r="W1126" s="63">
        <f>IF(Copyright!B$11=1,IF(CA1126&gt;0,CA1126-SUM(S1126)-SUM(X1126:AI1126)-SUM(AJ1126:AT1126),SUM(CD1126:CQ1126)),SUM(CD1126:CQ1126))</f>
        <v>0</v>
      </c>
      <c r="X1126" s="63"/>
      <c r="Y1126" s="63">
        <v>0</v>
      </c>
      <c r="Z1126" s="63">
        <v>0</v>
      </c>
      <c r="AA1126" s="63"/>
      <c r="AB1126" s="63"/>
      <c r="AC1126" s="63"/>
      <c r="AD1126" s="63"/>
      <c r="AE1126" s="63">
        <v>0</v>
      </c>
      <c r="AF1126" s="63">
        <v>0</v>
      </c>
      <c r="AG1126" s="63">
        <v>0</v>
      </c>
      <c r="AH1126" s="63"/>
      <c r="AI1126" s="63"/>
      <c r="AJ1126" s="63"/>
      <c r="AK1126" s="63"/>
      <c r="AL1126" s="63"/>
      <c r="AM1126" s="63">
        <v>0</v>
      </c>
      <c r="AN1126" s="63">
        <v>0</v>
      </c>
      <c r="AO1126" s="63"/>
      <c r="AP1126" s="63"/>
      <c r="AQ1126" s="63">
        <v>0</v>
      </c>
      <c r="AR1126" s="63"/>
      <c r="AS1126" s="63"/>
      <c r="AT1126" s="63"/>
      <c r="AU1126" s="63"/>
      <c r="AW1126" s="5">
        <f>IF(Q1126&gt;0,RANK(Q1126,(N1126:P1126,Q1126:AE1126)),0)</f>
        <v>3</v>
      </c>
      <c r="AX1126" s="5">
        <f>IF(R1126&gt;0,RANK(R1126,(N1126:P1126,Q1126:AE1126)),0)</f>
        <v>5</v>
      </c>
      <c r="AY1126" s="5">
        <f>IF(T1126&gt;0,RANK(T1126,(N1126:P1126,Q1126:AE1126)),0)</f>
        <v>0</v>
      </c>
      <c r="AZ1126" s="5">
        <f>IF(S1126&gt;0,RANK(S1126,(N1126:P1126,Q1126:AE1126)),0)</f>
        <v>0</v>
      </c>
      <c r="BA1126" s="2">
        <f t="shared" si="469"/>
        <v>1.5227409336806252E-2</v>
      </c>
      <c r="BB1126" s="2">
        <f t="shared" si="470"/>
        <v>2.6046884391905428E-3</v>
      </c>
      <c r="BC1126" s="2">
        <f t="shared" si="471"/>
        <v>0</v>
      </c>
      <c r="BD1126" s="2">
        <f t="shared" si="472"/>
        <v>0</v>
      </c>
      <c r="BF1126" t="s">
        <v>644</v>
      </c>
      <c r="BG1126" t="s">
        <v>1009</v>
      </c>
      <c r="BH1126">
        <v>1</v>
      </c>
      <c r="BJ1126" s="114">
        <v>21</v>
      </c>
      <c r="BK1126" s="116">
        <v>171</v>
      </c>
      <c r="BL1126" s="120">
        <f t="shared" si="452"/>
        <v>21171</v>
      </c>
      <c r="BN1126" s="5" t="s">
        <v>3154</v>
      </c>
      <c r="BZ1126" s="63">
        <f t="shared" si="473"/>
        <v>4991</v>
      </c>
      <c r="CD1126" s="63">
        <v>0</v>
      </c>
      <c r="CE1126" s="63">
        <v>0</v>
      </c>
      <c r="CF1126" s="63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>
        <v>0</v>
      </c>
      <c r="CQ1126">
        <v>0</v>
      </c>
    </row>
    <row r="1127" spans="1:95" ht="13" hidden="1" customHeight="1" outlineLevel="1">
      <c r="A1127" t="s">
        <v>1406</v>
      </c>
      <c r="B1127" t="s">
        <v>1009</v>
      </c>
      <c r="C1127" s="1">
        <f t="shared" si="464"/>
        <v>11452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4</v>
      </c>
      <c r="G1127" s="132">
        <f t="shared" si="462"/>
        <v>4698</v>
      </c>
      <c r="H1127" s="137">
        <f t="shared" si="463"/>
        <v>0.41023402025847011</v>
      </c>
      <c r="I1127" s="2"/>
      <c r="J1127" s="2">
        <f t="shared" si="465"/>
        <v>0.2757596926301083</v>
      </c>
      <c r="K1127" s="2">
        <f t="shared" si="466"/>
        <v>0.68599371288857847</v>
      </c>
      <c r="L1127" s="2">
        <f t="shared" si="467"/>
        <v>7.9462102689486554E-3</v>
      </c>
      <c r="M1127" s="2">
        <f t="shared" si="468"/>
        <v>3.0300384212364632E-2</v>
      </c>
      <c r="N1127" s="63">
        <v>3158</v>
      </c>
      <c r="O1127" s="63">
        <v>7856</v>
      </c>
      <c r="P1127" s="63">
        <v>91</v>
      </c>
      <c r="Q1127" s="63">
        <v>264</v>
      </c>
      <c r="R1127" s="63">
        <v>68</v>
      </c>
      <c r="S1127" s="63">
        <v>4</v>
      </c>
      <c r="T1127" s="63">
        <v>7</v>
      </c>
      <c r="U1127" s="63"/>
      <c r="V1127" s="63"/>
      <c r="W1127" s="63">
        <f>IF(Copyright!B$11=1,IF(CA1127&gt;0,CA1127-SUM(S1127)-SUM(X1127:AI1127)-SUM(AJ1127:AT1127),SUM(CD1127:CQ1127)),SUM(CD1127:CQ1127))</f>
        <v>3</v>
      </c>
      <c r="X1127" s="63"/>
      <c r="Y1127" s="63">
        <v>0</v>
      </c>
      <c r="Z1127" s="63">
        <v>0</v>
      </c>
      <c r="AA1127" s="63"/>
      <c r="AB1127" s="63"/>
      <c r="AC1127" s="63"/>
      <c r="AD1127" s="63"/>
      <c r="AE1127" s="63">
        <v>0</v>
      </c>
      <c r="AF1127" s="63">
        <v>0</v>
      </c>
      <c r="AG1127" s="63">
        <v>0</v>
      </c>
      <c r="AH1127" s="63"/>
      <c r="AI1127" s="63"/>
      <c r="AJ1127" s="63"/>
      <c r="AK1127" s="63"/>
      <c r="AL1127" s="63"/>
      <c r="AM1127" s="63">
        <v>0</v>
      </c>
      <c r="AN1127" s="63">
        <v>1</v>
      </c>
      <c r="AO1127" s="63"/>
      <c r="AP1127" s="63"/>
      <c r="AQ1127" s="63">
        <v>0</v>
      </c>
      <c r="AR1127" s="63"/>
      <c r="AS1127" s="63"/>
      <c r="AT1127" s="63"/>
      <c r="AU1127" s="63"/>
      <c r="AW1127" s="5">
        <f>IF(Q1127&gt;0,RANK(Q1127,(N1127:P1127,Q1127:AE1127)),0)</f>
        <v>3</v>
      </c>
      <c r="AX1127" s="5">
        <f>IF(R1127&gt;0,RANK(R1127,(N1127:P1127,Q1127:AE1127)),0)</f>
        <v>5</v>
      </c>
      <c r="AY1127" s="5">
        <f>IF(T1127&gt;0,RANK(T1127,(N1127:P1127,Q1127:AE1127)),0)</f>
        <v>6</v>
      </c>
      <c r="AZ1127" s="5">
        <f>IF(S1127&gt;0,RANK(S1127,(N1127:P1127,Q1127:AE1127)),0)</f>
        <v>7</v>
      </c>
      <c r="BA1127" s="2">
        <f t="shared" si="469"/>
        <v>2.3052741879147746E-2</v>
      </c>
      <c r="BB1127" s="2">
        <f t="shared" si="470"/>
        <v>5.9378274537198739E-3</v>
      </c>
      <c r="BC1127" s="2">
        <f t="shared" si="471"/>
        <v>6.1124694376528117E-4</v>
      </c>
      <c r="BD1127" s="2">
        <f t="shared" si="472"/>
        <v>3.4928396786587494E-4</v>
      </c>
      <c r="BF1127" t="s">
        <v>1406</v>
      </c>
      <c r="BG1127" t="s">
        <v>1009</v>
      </c>
      <c r="BH1127">
        <v>6</v>
      </c>
      <c r="BJ1127" s="114">
        <v>21</v>
      </c>
      <c r="BK1127" s="116">
        <v>173</v>
      </c>
      <c r="BL1127" s="120">
        <f t="shared" si="452"/>
        <v>21173</v>
      </c>
      <c r="BN1127" s="5" t="s">
        <v>3154</v>
      </c>
      <c r="BZ1127" s="63">
        <f t="shared" si="473"/>
        <v>11452</v>
      </c>
      <c r="CD1127" s="63">
        <v>0</v>
      </c>
      <c r="CE1127" s="63">
        <v>0</v>
      </c>
      <c r="CF1127" s="63">
        <v>3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>
        <v>0</v>
      </c>
      <c r="CQ1127">
        <v>0</v>
      </c>
    </row>
    <row r="1128" spans="1:95" ht="13" hidden="1" customHeight="1" outlineLevel="1">
      <c r="A1128" t="s">
        <v>1145</v>
      </c>
      <c r="B1128" t="s">
        <v>1009</v>
      </c>
      <c r="C1128" s="1">
        <f t="shared" si="464"/>
        <v>4775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4</v>
      </c>
      <c r="G1128" s="132">
        <f t="shared" si="462"/>
        <v>2622</v>
      </c>
      <c r="H1128" s="137">
        <f t="shared" si="463"/>
        <v>0.54910994764397902</v>
      </c>
      <c r="I1128" s="2"/>
      <c r="J1128" s="2">
        <f t="shared" si="465"/>
        <v>0.21068062827225131</v>
      </c>
      <c r="K1128" s="2">
        <f t="shared" si="466"/>
        <v>0.75979057591623034</v>
      </c>
      <c r="L1128" s="2">
        <f t="shared" si="467"/>
        <v>9.0052356020942411E-3</v>
      </c>
      <c r="M1128" s="2">
        <f t="shared" si="468"/>
        <v>2.0523560209424106E-2</v>
      </c>
      <c r="N1128" s="63">
        <v>1006</v>
      </c>
      <c r="O1128" s="63">
        <v>3628</v>
      </c>
      <c r="P1128" s="63">
        <v>43</v>
      </c>
      <c r="Q1128" s="63">
        <v>63</v>
      </c>
      <c r="R1128" s="63">
        <v>26</v>
      </c>
      <c r="S1128" s="63">
        <v>2</v>
      </c>
      <c r="T1128" s="63">
        <v>4</v>
      </c>
      <c r="U1128" s="63"/>
      <c r="V1128" s="63"/>
      <c r="W1128" s="63">
        <f>IF(Copyright!B$11=1,IF(CA1128&gt;0,CA1128-SUM(S1128)-SUM(X1128:AI1128)-SUM(AJ1128:AT1128),SUM(CD1128:CQ1128)),SUM(CD1128:CQ1128))</f>
        <v>0</v>
      </c>
      <c r="X1128" s="63"/>
      <c r="Y1128" s="63">
        <v>0</v>
      </c>
      <c r="Z1128" s="63">
        <v>0</v>
      </c>
      <c r="AA1128" s="63"/>
      <c r="AB1128" s="63"/>
      <c r="AC1128" s="63"/>
      <c r="AD1128" s="63"/>
      <c r="AE1128" s="63">
        <v>0</v>
      </c>
      <c r="AF1128" s="63">
        <v>0</v>
      </c>
      <c r="AG1128" s="63">
        <v>0</v>
      </c>
      <c r="AH1128" s="63"/>
      <c r="AI1128" s="63"/>
      <c r="AJ1128" s="63"/>
      <c r="AK1128" s="63"/>
      <c r="AL1128" s="63"/>
      <c r="AM1128" s="63">
        <v>0</v>
      </c>
      <c r="AN1128" s="63">
        <v>3</v>
      </c>
      <c r="AO1128" s="63"/>
      <c r="AP1128" s="63"/>
      <c r="AQ1128" s="63">
        <v>0</v>
      </c>
      <c r="AR1128" s="63"/>
      <c r="AS1128" s="63"/>
      <c r="AT1128" s="63"/>
      <c r="AU1128" s="63"/>
      <c r="AW1128" s="5">
        <f>IF(Q1128&gt;0,RANK(Q1128,(N1128:P1128,Q1128:AE1128)),0)</f>
        <v>3</v>
      </c>
      <c r="AX1128" s="5">
        <f>IF(R1128&gt;0,RANK(R1128,(N1128:P1128,Q1128:AE1128)),0)</f>
        <v>5</v>
      </c>
      <c r="AY1128" s="5">
        <f>IF(T1128&gt;0,RANK(T1128,(N1128:P1128,Q1128:AE1128)),0)</f>
        <v>6</v>
      </c>
      <c r="AZ1128" s="5">
        <f>IF(S1128&gt;0,RANK(S1128,(N1128:P1128,Q1128:AE1128)),0)</f>
        <v>7</v>
      </c>
      <c r="BA1128" s="2">
        <f t="shared" si="469"/>
        <v>1.3193717277486911E-2</v>
      </c>
      <c r="BB1128" s="2">
        <f t="shared" si="470"/>
        <v>5.4450261780104713E-3</v>
      </c>
      <c r="BC1128" s="2">
        <f t="shared" si="471"/>
        <v>8.3769633507853401E-4</v>
      </c>
      <c r="BD1128" s="2">
        <f t="shared" si="472"/>
        <v>4.18848167539267E-4</v>
      </c>
      <c r="BF1128" t="s">
        <v>1145</v>
      </c>
      <c r="BG1128" t="s">
        <v>1009</v>
      </c>
      <c r="BH1128">
        <v>5</v>
      </c>
      <c r="BJ1128" s="114">
        <v>21</v>
      </c>
      <c r="BK1128" s="116">
        <v>175</v>
      </c>
      <c r="BL1128" s="120">
        <f t="shared" ref="BL1128:BL1191" si="474">1000*BJ1128+BK1128</f>
        <v>21175</v>
      </c>
      <c r="BN1128" s="5" t="s">
        <v>3154</v>
      </c>
      <c r="BZ1128" s="63">
        <f t="shared" si="473"/>
        <v>4775</v>
      </c>
      <c r="CD1128" s="63">
        <v>0</v>
      </c>
      <c r="CE1128" s="63">
        <v>0</v>
      </c>
      <c r="CF1128" s="63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>
        <v>0</v>
      </c>
      <c r="CQ1128">
        <v>0</v>
      </c>
    </row>
    <row r="1129" spans="1:95" ht="13" hidden="1" customHeight="1" outlineLevel="1">
      <c r="A1129" t="s">
        <v>1302</v>
      </c>
      <c r="B1129" t="s">
        <v>1009</v>
      </c>
      <c r="C1129" s="1">
        <f t="shared" si="464"/>
        <v>13060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4</v>
      </c>
      <c r="G1129" s="132">
        <f t="shared" si="462"/>
        <v>6121</v>
      </c>
      <c r="H1129" s="137">
        <f t="shared" si="463"/>
        <v>0.46868300153139358</v>
      </c>
      <c r="I1129" s="2"/>
      <c r="J1129" s="2">
        <f t="shared" si="465"/>
        <v>0.25053598774885144</v>
      </c>
      <c r="K1129" s="2">
        <f t="shared" si="466"/>
        <v>0.71921898928024497</v>
      </c>
      <c r="L1129" s="2">
        <f t="shared" si="467"/>
        <v>8.1929555895865237E-3</v>
      </c>
      <c r="M1129" s="2">
        <f t="shared" si="468"/>
        <v>2.2052067381317066E-2</v>
      </c>
      <c r="N1129" s="63">
        <v>3272</v>
      </c>
      <c r="O1129" s="63">
        <v>9393</v>
      </c>
      <c r="P1129" s="63">
        <v>107</v>
      </c>
      <c r="Q1129" s="63">
        <v>230</v>
      </c>
      <c r="R1129" s="63">
        <v>44</v>
      </c>
      <c r="S1129" s="63">
        <v>6</v>
      </c>
      <c r="T1129" s="63">
        <v>8</v>
      </c>
      <c r="U1129" s="63"/>
      <c r="V1129" s="63"/>
      <c r="W1129" s="63">
        <f>IF(Copyright!B$11=1,IF(CA1129&gt;0,CA1129-SUM(S1129)-SUM(X1129:AI1129)-SUM(AJ1129:AT1129),SUM(CD1129:CQ1129)),SUM(CD1129:CQ1129))</f>
        <v>0</v>
      </c>
      <c r="X1129" s="63"/>
      <c r="Y1129" s="63">
        <v>0</v>
      </c>
      <c r="Z1129" s="63">
        <v>0</v>
      </c>
      <c r="AA1129" s="63"/>
      <c r="AB1129" s="63"/>
      <c r="AC1129" s="63"/>
      <c r="AD1129" s="63"/>
      <c r="AE1129" s="63">
        <v>0</v>
      </c>
      <c r="AF1129" s="63">
        <v>0</v>
      </c>
      <c r="AG1129" s="63">
        <v>0</v>
      </c>
      <c r="AH1129" s="63"/>
      <c r="AI1129" s="63"/>
      <c r="AJ1129" s="63"/>
      <c r="AK1129" s="63"/>
      <c r="AL1129" s="63"/>
      <c r="AM1129" s="63">
        <v>0</v>
      </c>
      <c r="AN1129" s="63">
        <v>0</v>
      </c>
      <c r="AO1129" s="63"/>
      <c r="AP1129" s="63"/>
      <c r="AQ1129" s="63">
        <v>0</v>
      </c>
      <c r="AR1129" s="63"/>
      <c r="AS1129" s="63"/>
      <c r="AT1129" s="63"/>
      <c r="AU1129" s="63"/>
      <c r="AW1129" s="5">
        <f>IF(Q1129&gt;0,RANK(Q1129,(N1129:P1129,Q1129:AE1129)),0)</f>
        <v>3</v>
      </c>
      <c r="AX1129" s="5">
        <f>IF(R1129&gt;0,RANK(R1129,(N1129:P1129,Q1129:AE1129)),0)</f>
        <v>5</v>
      </c>
      <c r="AY1129" s="5">
        <f>IF(T1129&gt;0,RANK(T1129,(N1129:P1129,Q1129:AE1129)),0)</f>
        <v>6</v>
      </c>
      <c r="AZ1129" s="5">
        <f>IF(S1129&gt;0,RANK(S1129,(N1129:P1129,Q1129:AE1129)),0)</f>
        <v>7</v>
      </c>
      <c r="BA1129" s="2">
        <f t="shared" si="469"/>
        <v>1.761102603369066E-2</v>
      </c>
      <c r="BB1129" s="2">
        <f t="shared" si="470"/>
        <v>3.3690658499234303E-3</v>
      </c>
      <c r="BC1129" s="2">
        <f t="shared" si="471"/>
        <v>6.1255742725880549E-4</v>
      </c>
      <c r="BD1129" s="2">
        <f t="shared" si="472"/>
        <v>4.5941807044410412E-4</v>
      </c>
      <c r="BF1129" t="s">
        <v>1302</v>
      </c>
      <c r="BG1129" t="s">
        <v>1009</v>
      </c>
      <c r="BH1129">
        <v>1</v>
      </c>
      <c r="BJ1129" s="114">
        <v>21</v>
      </c>
      <c r="BK1129" s="116">
        <v>177</v>
      </c>
      <c r="BL1129" s="120">
        <f t="shared" si="474"/>
        <v>21177</v>
      </c>
      <c r="BN1129" s="5" t="s">
        <v>3154</v>
      </c>
      <c r="BZ1129" s="63">
        <f t="shared" si="473"/>
        <v>13060</v>
      </c>
      <c r="CD1129" s="63">
        <v>0</v>
      </c>
      <c r="CE1129" s="63">
        <v>0</v>
      </c>
      <c r="CF1129" s="63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0</v>
      </c>
      <c r="CN1129" s="8">
        <v>0</v>
      </c>
      <c r="CO1129" s="8">
        <v>0</v>
      </c>
      <c r="CP1129">
        <v>0</v>
      </c>
      <c r="CQ1129">
        <v>0</v>
      </c>
    </row>
    <row r="1130" spans="1:95" ht="13" hidden="1" customHeight="1" outlineLevel="1">
      <c r="A1130" t="s">
        <v>424</v>
      </c>
      <c r="B1130" t="s">
        <v>1009</v>
      </c>
      <c r="C1130" s="1">
        <f t="shared" si="464"/>
        <v>20802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4</v>
      </c>
      <c r="G1130" s="132">
        <f t="shared" si="462"/>
        <v>6997</v>
      </c>
      <c r="H1130" s="137">
        <f t="shared" si="463"/>
        <v>0.3363618882799731</v>
      </c>
      <c r="I1130" s="2"/>
      <c r="J1130" s="2">
        <f t="shared" si="465"/>
        <v>0.3092971829631766</v>
      </c>
      <c r="K1130" s="2">
        <f t="shared" si="466"/>
        <v>0.6456590712431497</v>
      </c>
      <c r="L1130" s="2">
        <f t="shared" si="467"/>
        <v>9.6625324488029997E-3</v>
      </c>
      <c r="M1130" s="2">
        <f t="shared" si="468"/>
        <v>3.5381213344870766E-2</v>
      </c>
      <c r="N1130" s="63">
        <v>6434</v>
      </c>
      <c r="O1130" s="63">
        <v>13431</v>
      </c>
      <c r="P1130" s="63">
        <v>201</v>
      </c>
      <c r="Q1130" s="63">
        <v>565</v>
      </c>
      <c r="R1130" s="63">
        <v>131</v>
      </c>
      <c r="S1130" s="63">
        <v>17</v>
      </c>
      <c r="T1130" s="63">
        <v>11</v>
      </c>
      <c r="U1130" s="63"/>
      <c r="V1130" s="63"/>
      <c r="W1130" s="63">
        <f>IF(Copyright!B$11=1,IF(CA1130&gt;0,CA1130-SUM(S1130)-SUM(X1130:AI1130)-SUM(AJ1130:AT1130),SUM(CD1130:CQ1130)),SUM(CD1130:CQ1130))</f>
        <v>1</v>
      </c>
      <c r="X1130" s="63"/>
      <c r="Y1130" s="63">
        <v>0</v>
      </c>
      <c r="Z1130" s="63">
        <v>0</v>
      </c>
      <c r="AA1130" s="63"/>
      <c r="AB1130" s="63"/>
      <c r="AC1130" s="63"/>
      <c r="AD1130" s="63"/>
      <c r="AE1130" s="63">
        <v>0</v>
      </c>
      <c r="AF1130" s="63">
        <v>0</v>
      </c>
      <c r="AG1130" s="63">
        <v>0</v>
      </c>
      <c r="AH1130" s="63"/>
      <c r="AI1130" s="63"/>
      <c r="AJ1130" s="63"/>
      <c r="AK1130" s="63"/>
      <c r="AL1130" s="63"/>
      <c r="AM1130" s="63">
        <v>0</v>
      </c>
      <c r="AN1130" s="63">
        <v>11</v>
      </c>
      <c r="AO1130" s="63"/>
      <c r="AP1130" s="63"/>
      <c r="AQ1130" s="63">
        <v>0</v>
      </c>
      <c r="AR1130" s="63"/>
      <c r="AS1130" s="63"/>
      <c r="AT1130" s="63"/>
      <c r="AU1130" s="63"/>
      <c r="AW1130" s="5">
        <f>IF(Q1130&gt;0,RANK(Q1130,(N1130:P1130,Q1130:AE1130)),0)</f>
        <v>3</v>
      </c>
      <c r="AX1130" s="5">
        <f>IF(R1130&gt;0,RANK(R1130,(N1130:P1130,Q1130:AE1130)),0)</f>
        <v>5</v>
      </c>
      <c r="AY1130" s="5">
        <f>IF(T1130&gt;0,RANK(T1130,(N1130:P1130,Q1130:AE1130)),0)</f>
        <v>7</v>
      </c>
      <c r="AZ1130" s="5">
        <f>IF(S1130&gt;0,RANK(S1130,(N1130:P1130,Q1130:AE1130)),0)</f>
        <v>6</v>
      </c>
      <c r="BA1130" s="2">
        <f t="shared" si="469"/>
        <v>2.7160849918277087E-2</v>
      </c>
      <c r="BB1130" s="2">
        <f t="shared" si="470"/>
        <v>6.2974713969810598E-3</v>
      </c>
      <c r="BC1130" s="2">
        <f t="shared" si="471"/>
        <v>5.287953081434477E-4</v>
      </c>
      <c r="BD1130" s="2">
        <f t="shared" si="472"/>
        <v>8.1722911258532837E-4</v>
      </c>
      <c r="BF1130" t="s">
        <v>424</v>
      </c>
      <c r="BG1130" t="s">
        <v>1009</v>
      </c>
      <c r="BH1130">
        <v>2</v>
      </c>
      <c r="BJ1130" s="114">
        <v>21</v>
      </c>
      <c r="BK1130" s="116">
        <v>179</v>
      </c>
      <c r="BL1130" s="120">
        <f t="shared" si="474"/>
        <v>21179</v>
      </c>
      <c r="BN1130" s="5" t="s">
        <v>3154</v>
      </c>
      <c r="BZ1130" s="63">
        <f t="shared" si="473"/>
        <v>20802</v>
      </c>
      <c r="CD1130" s="63">
        <v>1</v>
      </c>
      <c r="CE1130" s="63">
        <v>0</v>
      </c>
      <c r="CF1130" s="63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0</v>
      </c>
      <c r="CN1130" s="8">
        <v>0</v>
      </c>
      <c r="CO1130" s="8">
        <v>0</v>
      </c>
      <c r="CP1130">
        <v>0</v>
      </c>
      <c r="CQ1130">
        <v>0</v>
      </c>
    </row>
    <row r="1131" spans="1:95" ht="13" hidden="1" customHeight="1" outlineLevel="1">
      <c r="A1131" t="s">
        <v>2119</v>
      </c>
      <c r="B1131" t="s">
        <v>1009</v>
      </c>
      <c r="C1131" s="1">
        <f t="shared" si="464"/>
        <v>2841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4</v>
      </c>
      <c r="G1131" s="132">
        <f t="shared" si="462"/>
        <v>1170</v>
      </c>
      <c r="H1131" s="137">
        <f t="shared" si="463"/>
        <v>0.41182682154171069</v>
      </c>
      <c r="I1131" s="2"/>
      <c r="J1131" s="2">
        <f t="shared" si="465"/>
        <v>0.27701513551566348</v>
      </c>
      <c r="K1131" s="2">
        <f t="shared" si="466"/>
        <v>0.68884195705737417</v>
      </c>
      <c r="L1131" s="2">
        <f t="shared" si="467"/>
        <v>6.6877859908482931E-3</v>
      </c>
      <c r="M1131" s="2">
        <f t="shared" si="468"/>
        <v>2.7455121436114061E-2</v>
      </c>
      <c r="N1131" s="63">
        <v>787</v>
      </c>
      <c r="O1131" s="63">
        <v>1957</v>
      </c>
      <c r="P1131" s="63">
        <v>19</v>
      </c>
      <c r="Q1131" s="63">
        <v>65</v>
      </c>
      <c r="R1131" s="63">
        <v>9</v>
      </c>
      <c r="S1131" s="63">
        <v>1</v>
      </c>
      <c r="T1131" s="63">
        <v>3</v>
      </c>
      <c r="U1131" s="63"/>
      <c r="V1131" s="63"/>
      <c r="W1131" s="63">
        <f>IF(Copyright!B$11=1,IF(CA1131&gt;0,CA1131-SUM(S1131)-SUM(X1131:AI1131)-SUM(AJ1131:AT1131),SUM(CD1131:CQ1131)),SUM(CD1131:CQ1131))</f>
        <v>0</v>
      </c>
      <c r="X1131" s="63"/>
      <c r="Y1131" s="63">
        <v>0</v>
      </c>
      <c r="Z1131" s="63">
        <v>0</v>
      </c>
      <c r="AA1131" s="63"/>
      <c r="AB1131" s="63"/>
      <c r="AC1131" s="63"/>
      <c r="AD1131" s="63"/>
      <c r="AE1131" s="63">
        <v>0</v>
      </c>
      <c r="AF1131" s="63">
        <v>0</v>
      </c>
      <c r="AG1131" s="63">
        <v>0</v>
      </c>
      <c r="AH1131" s="63"/>
      <c r="AI1131" s="63"/>
      <c r="AJ1131" s="63"/>
      <c r="AK1131" s="63"/>
      <c r="AL1131" s="63"/>
      <c r="AM1131" s="63">
        <v>0</v>
      </c>
      <c r="AN1131" s="63">
        <v>0</v>
      </c>
      <c r="AO1131" s="63"/>
      <c r="AP1131" s="63"/>
      <c r="AQ1131" s="63">
        <v>0</v>
      </c>
      <c r="AR1131" s="63"/>
      <c r="AS1131" s="63"/>
      <c r="AT1131" s="63"/>
      <c r="AU1131" s="63"/>
      <c r="AW1131" s="5">
        <f>IF(Q1131&gt;0,RANK(Q1131,(N1131:P1131,Q1131:AE1131)),0)</f>
        <v>3</v>
      </c>
      <c r="AX1131" s="5">
        <f>IF(R1131&gt;0,RANK(R1131,(N1131:P1131,Q1131:AE1131)),0)</f>
        <v>5</v>
      </c>
      <c r="AY1131" s="5">
        <f>IF(T1131&gt;0,RANK(T1131,(N1131:P1131,Q1131:AE1131)),0)</f>
        <v>6</v>
      </c>
      <c r="AZ1131" s="5">
        <f>IF(S1131&gt;0,RANK(S1131,(N1131:P1131,Q1131:AE1131)),0)</f>
        <v>7</v>
      </c>
      <c r="BA1131" s="2">
        <f t="shared" si="469"/>
        <v>2.2879267863428369E-2</v>
      </c>
      <c r="BB1131" s="2">
        <f t="shared" si="470"/>
        <v>3.1678986272439284E-3</v>
      </c>
      <c r="BC1131" s="2">
        <f t="shared" si="471"/>
        <v>1.0559662090813093E-3</v>
      </c>
      <c r="BD1131" s="2">
        <f t="shared" si="472"/>
        <v>3.5198873636043646E-4</v>
      </c>
      <c r="BF1131" t="s">
        <v>2119</v>
      </c>
      <c r="BG1131" t="s">
        <v>1009</v>
      </c>
      <c r="BH1131">
        <v>6</v>
      </c>
      <c r="BJ1131" s="114">
        <v>21</v>
      </c>
      <c r="BK1131" s="116">
        <v>181</v>
      </c>
      <c r="BL1131" s="120">
        <f t="shared" si="474"/>
        <v>21181</v>
      </c>
      <c r="BN1131" s="5" t="s">
        <v>3154</v>
      </c>
      <c r="BZ1131" s="63">
        <f t="shared" si="473"/>
        <v>2841</v>
      </c>
      <c r="CD1131" s="63">
        <v>0</v>
      </c>
      <c r="CE1131" s="63">
        <v>0</v>
      </c>
      <c r="CF1131" s="63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0</v>
      </c>
      <c r="CN1131" s="8">
        <v>0</v>
      </c>
      <c r="CO1131" s="8">
        <v>0</v>
      </c>
      <c r="CP1131">
        <v>0</v>
      </c>
      <c r="CQ1131">
        <v>0</v>
      </c>
    </row>
    <row r="1132" spans="1:95" ht="13" hidden="1" customHeight="1" outlineLevel="1">
      <c r="A1132" t="s">
        <v>736</v>
      </c>
      <c r="B1132" t="s">
        <v>1009</v>
      </c>
      <c r="C1132" s="1">
        <f t="shared" si="464"/>
        <v>10398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4</v>
      </c>
      <c r="G1132" s="132">
        <f t="shared" si="462"/>
        <v>5862</v>
      </c>
      <c r="H1132" s="137">
        <f t="shared" si="463"/>
        <v>0.56376226197345647</v>
      </c>
      <c r="I1132" s="2"/>
      <c r="J1132" s="2">
        <f t="shared" si="465"/>
        <v>0.20003846893633392</v>
      </c>
      <c r="K1132" s="2">
        <f t="shared" si="466"/>
        <v>0.76380073090979039</v>
      </c>
      <c r="L1132" s="2">
        <f t="shared" si="467"/>
        <v>1.0098095787651471E-2</v>
      </c>
      <c r="M1132" s="2">
        <f t="shared" si="468"/>
        <v>2.606270436622421E-2</v>
      </c>
      <c r="N1132" s="63">
        <v>2080</v>
      </c>
      <c r="O1132" s="63">
        <v>7942</v>
      </c>
      <c r="P1132" s="63">
        <v>105</v>
      </c>
      <c r="Q1132" s="63">
        <v>207</v>
      </c>
      <c r="R1132" s="63">
        <v>64</v>
      </c>
      <c r="S1132" s="63">
        <v>0</v>
      </c>
      <c r="T1132" s="63">
        <v>0</v>
      </c>
      <c r="U1132" s="63"/>
      <c r="V1132" s="63"/>
      <c r="W1132" s="63">
        <f>IF(Copyright!B$11=1,IF(CA1132&gt;0,CA1132-SUM(S1132)-SUM(X1132:AI1132)-SUM(AJ1132:AT1132),SUM(CD1132:CQ1132)),SUM(CD1132:CQ1132))</f>
        <v>0</v>
      </c>
      <c r="X1132" s="63"/>
      <c r="Y1132" s="63">
        <v>0</v>
      </c>
      <c r="Z1132" s="63">
        <v>0</v>
      </c>
      <c r="AA1132" s="63"/>
      <c r="AB1132" s="63"/>
      <c r="AC1132" s="63"/>
      <c r="AD1132" s="63"/>
      <c r="AE1132" s="63">
        <v>0</v>
      </c>
      <c r="AF1132" s="63">
        <v>0</v>
      </c>
      <c r="AG1132" s="63">
        <v>0</v>
      </c>
      <c r="AH1132" s="63"/>
      <c r="AI1132" s="63"/>
      <c r="AJ1132" s="63"/>
      <c r="AK1132" s="63"/>
      <c r="AL1132" s="63"/>
      <c r="AM1132" s="63">
        <v>0</v>
      </c>
      <c r="AN1132" s="63">
        <v>0</v>
      </c>
      <c r="AO1132" s="63"/>
      <c r="AP1132" s="63"/>
      <c r="AQ1132" s="63">
        <v>0</v>
      </c>
      <c r="AR1132" s="63"/>
      <c r="AS1132" s="63"/>
      <c r="AT1132" s="63"/>
      <c r="AU1132" s="63"/>
      <c r="AW1132" s="5">
        <f>IF(Q1132&gt;0,RANK(Q1132,(N1132:P1132,Q1132:AE1132)),0)</f>
        <v>3</v>
      </c>
      <c r="AX1132" s="5">
        <f>IF(R1132&gt;0,RANK(R1132,(N1132:P1132,Q1132:AE1132)),0)</f>
        <v>5</v>
      </c>
      <c r="AY1132" s="5">
        <f>IF(T1132&gt;0,RANK(T1132,(N1132:P1132,Q1132:AE1132)),0)</f>
        <v>0</v>
      </c>
      <c r="AZ1132" s="5">
        <f>IF(S1132&gt;0,RANK(S1132,(N1132:P1132,Q1132:AE1132)),0)</f>
        <v>0</v>
      </c>
      <c r="BA1132" s="2">
        <f t="shared" si="469"/>
        <v>1.9907674552798616E-2</v>
      </c>
      <c r="BB1132" s="2">
        <f t="shared" si="470"/>
        <v>6.1550298134256587E-3</v>
      </c>
      <c r="BC1132" s="2">
        <f t="shared" si="471"/>
        <v>0</v>
      </c>
      <c r="BD1132" s="2">
        <f t="shared" si="472"/>
        <v>0</v>
      </c>
      <c r="BF1132" t="s">
        <v>736</v>
      </c>
      <c r="BG1132" t="s">
        <v>1009</v>
      </c>
      <c r="BH1132">
        <v>1</v>
      </c>
      <c r="BJ1132" s="114">
        <v>21</v>
      </c>
      <c r="BK1132" s="116">
        <v>183</v>
      </c>
      <c r="BL1132" s="120">
        <f t="shared" si="474"/>
        <v>21183</v>
      </c>
      <c r="BN1132" s="5" t="s">
        <v>3154</v>
      </c>
      <c r="BZ1132" s="63">
        <f t="shared" si="473"/>
        <v>10398</v>
      </c>
      <c r="CD1132" s="63">
        <v>0</v>
      </c>
      <c r="CE1132" s="63">
        <v>0</v>
      </c>
      <c r="CF1132" s="63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>
        <v>0</v>
      </c>
      <c r="CQ1132">
        <v>0</v>
      </c>
    </row>
    <row r="1133" spans="1:95" ht="13" hidden="1" customHeight="1" outlineLevel="1">
      <c r="A1133" t="s">
        <v>1444</v>
      </c>
      <c r="B1133" t="s">
        <v>1009</v>
      </c>
      <c r="C1133" s="1">
        <f t="shared" si="464"/>
        <v>32853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4</v>
      </c>
      <c r="G1133" s="132">
        <f t="shared" si="462"/>
        <v>10201</v>
      </c>
      <c r="H1133" s="137">
        <f t="shared" si="463"/>
        <v>0.31050436794204489</v>
      </c>
      <c r="I1133" s="2"/>
      <c r="J1133" s="2">
        <f t="shared" si="465"/>
        <v>0.31254375551699998</v>
      </c>
      <c r="K1133" s="2">
        <f t="shared" si="466"/>
        <v>0.62304812345904481</v>
      </c>
      <c r="L1133" s="2">
        <f t="shared" si="467"/>
        <v>1.7958786107813592E-2</v>
      </c>
      <c r="M1133" s="2">
        <f t="shared" si="468"/>
        <v>4.6449334916141616E-2</v>
      </c>
      <c r="N1133" s="63">
        <v>10268</v>
      </c>
      <c r="O1133" s="63">
        <v>20469</v>
      </c>
      <c r="P1133" s="63">
        <v>590</v>
      </c>
      <c r="Q1133" s="63">
        <v>1229</v>
      </c>
      <c r="R1133" s="63">
        <v>282</v>
      </c>
      <c r="S1133" s="63">
        <v>0</v>
      </c>
      <c r="T1133" s="63">
        <v>15</v>
      </c>
      <c r="U1133" s="63"/>
      <c r="V1133" s="63"/>
      <c r="W1133" s="63">
        <f>IF(Copyright!B$11=1,IF(CA1133&gt;0,CA1133-SUM(S1133)-SUM(X1133:AI1133)-SUM(AJ1133:AT1133),SUM(CD1133:CQ1133)),SUM(CD1133:CQ1133))</f>
        <v>0</v>
      </c>
      <c r="X1133" s="63"/>
      <c r="Y1133" s="63">
        <v>0</v>
      </c>
      <c r="Z1133" s="63">
        <v>0</v>
      </c>
      <c r="AA1133" s="63"/>
      <c r="AB1133" s="63"/>
      <c r="AC1133" s="63"/>
      <c r="AD1133" s="63"/>
      <c r="AE1133" s="63">
        <v>0</v>
      </c>
      <c r="AF1133" s="63">
        <v>0</v>
      </c>
      <c r="AG1133" s="63">
        <v>0</v>
      </c>
      <c r="AH1133" s="63"/>
      <c r="AI1133" s="63"/>
      <c r="AJ1133" s="63"/>
      <c r="AK1133" s="63"/>
      <c r="AL1133" s="63"/>
      <c r="AM1133" s="63">
        <v>0</v>
      </c>
      <c r="AN1133" s="63">
        <v>0</v>
      </c>
      <c r="AO1133" s="63"/>
      <c r="AP1133" s="63"/>
      <c r="AQ1133" s="63">
        <v>0</v>
      </c>
      <c r="AR1133" s="63"/>
      <c r="AS1133" s="63"/>
      <c r="AT1133" s="63"/>
      <c r="AU1133" s="63"/>
      <c r="AW1133" s="5">
        <f>IF(Q1133&gt;0,RANK(Q1133,(N1133:P1133,Q1133:AE1133)),0)</f>
        <v>3</v>
      </c>
      <c r="AX1133" s="5">
        <f>IF(R1133&gt;0,RANK(R1133,(N1133:P1133,Q1133:AE1133)),0)</f>
        <v>5</v>
      </c>
      <c r="AY1133" s="5">
        <f>IF(T1133&gt;0,RANK(T1133,(N1133:P1133,Q1133:AE1133)),0)</f>
        <v>6</v>
      </c>
      <c r="AZ1133" s="5">
        <f>IF(S1133&gt;0,RANK(S1133,(N1133:P1133,Q1133:AE1133)),0)</f>
        <v>0</v>
      </c>
      <c r="BA1133" s="2">
        <f t="shared" si="469"/>
        <v>3.7409064621191368E-2</v>
      </c>
      <c r="BB1133" s="2">
        <f t="shared" si="470"/>
        <v>8.5836909871244635E-3</v>
      </c>
      <c r="BC1133" s="2">
        <f t="shared" si="471"/>
        <v>4.5657930782576936E-4</v>
      </c>
      <c r="BD1133" s="2">
        <f t="shared" si="472"/>
        <v>0</v>
      </c>
      <c r="BF1133" t="s">
        <v>1444</v>
      </c>
      <c r="BG1133" t="s">
        <v>1009</v>
      </c>
      <c r="BH1133">
        <v>4</v>
      </c>
      <c r="BJ1133" s="114">
        <v>21</v>
      </c>
      <c r="BK1133" s="116">
        <v>185</v>
      </c>
      <c r="BL1133" s="120">
        <f t="shared" si="474"/>
        <v>21185</v>
      </c>
      <c r="BN1133" s="5" t="s">
        <v>3154</v>
      </c>
      <c r="BZ1133" s="63">
        <f t="shared" si="473"/>
        <v>32853</v>
      </c>
      <c r="CD1133" s="63">
        <v>0</v>
      </c>
      <c r="CE1133" s="63">
        <v>0</v>
      </c>
      <c r="CF1133" s="63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>
        <v>0</v>
      </c>
      <c r="CQ1133">
        <v>0</v>
      </c>
    </row>
    <row r="1134" spans="1:95" ht="13" hidden="1" customHeight="1" outlineLevel="1">
      <c r="A1134" t="s">
        <v>2774</v>
      </c>
      <c r="B1134" t="s">
        <v>1009</v>
      </c>
      <c r="C1134" s="1">
        <f t="shared" si="464"/>
        <v>5001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4</v>
      </c>
      <c r="G1134" s="132">
        <f t="shared" si="462"/>
        <v>2683</v>
      </c>
      <c r="H1134" s="137">
        <f t="shared" si="463"/>
        <v>0.53649270145970807</v>
      </c>
      <c r="I1134" s="2"/>
      <c r="J1134" s="2">
        <f t="shared" si="465"/>
        <v>0.21235752849430115</v>
      </c>
      <c r="K1134" s="2">
        <f t="shared" si="466"/>
        <v>0.74885022995400918</v>
      </c>
      <c r="L1134" s="2">
        <f t="shared" si="467"/>
        <v>8.5982803439312132E-3</v>
      </c>
      <c r="M1134" s="2">
        <f t="shared" si="468"/>
        <v>3.0193961207758486E-2</v>
      </c>
      <c r="N1134" s="63">
        <v>1062</v>
      </c>
      <c r="O1134" s="63">
        <v>3745</v>
      </c>
      <c r="P1134" s="63">
        <v>43</v>
      </c>
      <c r="Q1134" s="63">
        <v>122</v>
      </c>
      <c r="R1134" s="63">
        <v>25</v>
      </c>
      <c r="S1134" s="63">
        <v>1</v>
      </c>
      <c r="T1134" s="63">
        <v>2</v>
      </c>
      <c r="U1134" s="63"/>
      <c r="V1134" s="63"/>
      <c r="W1134" s="63">
        <f>IF(Copyright!B$11=1,IF(CA1134&gt;0,CA1134-SUM(S1134)-SUM(X1134:AI1134)-SUM(AJ1134:AT1134),SUM(CD1134:CQ1134)),SUM(CD1134:CQ1134))</f>
        <v>1</v>
      </c>
      <c r="X1134" s="63"/>
      <c r="Y1134" s="63">
        <v>0</v>
      </c>
      <c r="Z1134" s="63">
        <v>0</v>
      </c>
      <c r="AA1134" s="63"/>
      <c r="AB1134" s="63"/>
      <c r="AC1134" s="63"/>
      <c r="AD1134" s="63"/>
      <c r="AE1134" s="63">
        <v>0</v>
      </c>
      <c r="AF1134" s="63">
        <v>0</v>
      </c>
      <c r="AG1134" s="63">
        <v>0</v>
      </c>
      <c r="AH1134" s="63"/>
      <c r="AI1134" s="63"/>
      <c r="AJ1134" s="63"/>
      <c r="AK1134" s="63"/>
      <c r="AL1134" s="63"/>
      <c r="AM1134" s="63">
        <v>0</v>
      </c>
      <c r="AN1134" s="63">
        <v>0</v>
      </c>
      <c r="AO1134" s="63"/>
      <c r="AP1134" s="63"/>
      <c r="AQ1134" s="63">
        <v>0</v>
      </c>
      <c r="AR1134" s="63"/>
      <c r="AS1134" s="63"/>
      <c r="AT1134" s="63"/>
      <c r="AU1134" s="63"/>
      <c r="AW1134" s="5">
        <f>IF(Q1134&gt;0,RANK(Q1134,(N1134:P1134,Q1134:AE1134)),0)</f>
        <v>3</v>
      </c>
      <c r="AX1134" s="5">
        <f>IF(R1134&gt;0,RANK(R1134,(N1134:P1134,Q1134:AE1134)),0)</f>
        <v>5</v>
      </c>
      <c r="AY1134" s="5">
        <f>IF(T1134&gt;0,RANK(T1134,(N1134:P1134,Q1134:AE1134)),0)</f>
        <v>6</v>
      </c>
      <c r="AZ1134" s="5">
        <f>IF(S1134&gt;0,RANK(S1134,(N1134:P1134,Q1134:AE1134)),0)</f>
        <v>7</v>
      </c>
      <c r="BA1134" s="2">
        <f t="shared" si="469"/>
        <v>2.4395120975804839E-2</v>
      </c>
      <c r="BB1134" s="2">
        <f t="shared" si="470"/>
        <v>4.9990001999600077E-3</v>
      </c>
      <c r="BC1134" s="2">
        <f t="shared" si="471"/>
        <v>3.9992001599680062E-4</v>
      </c>
      <c r="BD1134" s="2">
        <f t="shared" si="472"/>
        <v>1.9996000799840031E-4</v>
      </c>
      <c r="BF1134" t="s">
        <v>2774</v>
      </c>
      <c r="BG1134" t="s">
        <v>1009</v>
      </c>
      <c r="BH1134">
        <v>4</v>
      </c>
      <c r="BJ1134" s="114">
        <v>21</v>
      </c>
      <c r="BK1134" s="116">
        <v>187</v>
      </c>
      <c r="BL1134" s="120">
        <f t="shared" si="474"/>
        <v>21187</v>
      </c>
      <c r="BN1134" s="5" t="s">
        <v>3154</v>
      </c>
      <c r="BZ1134" s="63">
        <f t="shared" si="473"/>
        <v>5001</v>
      </c>
      <c r="CD1134" s="63">
        <v>0</v>
      </c>
      <c r="CE1134" s="63">
        <v>0</v>
      </c>
      <c r="CF1134" s="63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1</v>
      </c>
      <c r="CM1134" s="8">
        <v>0</v>
      </c>
      <c r="CN1134" s="8">
        <v>0</v>
      </c>
      <c r="CO1134" s="8">
        <v>0</v>
      </c>
      <c r="CP1134">
        <v>0</v>
      </c>
      <c r="CQ1134">
        <v>0</v>
      </c>
    </row>
    <row r="1135" spans="1:95" ht="13" hidden="1" customHeight="1" outlineLevel="1">
      <c r="A1135" t="s">
        <v>372</v>
      </c>
      <c r="B1135" t="s">
        <v>1009</v>
      </c>
      <c r="C1135" s="1">
        <f t="shared" si="464"/>
        <v>1759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4</v>
      </c>
      <c r="G1135" s="132">
        <f t="shared" si="462"/>
        <v>1218</v>
      </c>
      <c r="H1135" s="137">
        <f t="shared" si="463"/>
        <v>0.6924388857305287</v>
      </c>
      <c r="I1135" s="2"/>
      <c r="J1135" s="2">
        <f t="shared" si="465"/>
        <v>0.14553723706651506</v>
      </c>
      <c r="K1135" s="2">
        <f t="shared" si="466"/>
        <v>0.83797612279704381</v>
      </c>
      <c r="L1135" s="2">
        <f t="shared" si="467"/>
        <v>1.7055144968732233E-3</v>
      </c>
      <c r="M1135" s="2">
        <f t="shared" si="468"/>
        <v>1.4781125639567854E-2</v>
      </c>
      <c r="N1135" s="63">
        <v>256</v>
      </c>
      <c r="O1135" s="63">
        <v>1474</v>
      </c>
      <c r="P1135" s="63">
        <v>3</v>
      </c>
      <c r="Q1135" s="63">
        <v>24</v>
      </c>
      <c r="R1135" s="63">
        <v>0</v>
      </c>
      <c r="S1135" s="63">
        <v>0</v>
      </c>
      <c r="T1135" s="63">
        <v>2</v>
      </c>
      <c r="U1135" s="63"/>
      <c r="V1135" s="63"/>
      <c r="W1135" s="63">
        <f>IF(Copyright!B$11=1,IF(CA1135&gt;0,CA1135-SUM(S1135)-SUM(X1135:AI1135)-SUM(AJ1135:AT1135),SUM(CD1135:CQ1135)),SUM(CD1135:CQ1135))</f>
        <v>0</v>
      </c>
      <c r="X1135" s="63"/>
      <c r="Y1135" s="63">
        <v>0</v>
      </c>
      <c r="Z1135" s="63">
        <v>0</v>
      </c>
      <c r="AA1135" s="63"/>
      <c r="AB1135" s="63"/>
      <c r="AC1135" s="63"/>
      <c r="AD1135" s="63"/>
      <c r="AE1135" s="63">
        <v>0</v>
      </c>
      <c r="AF1135" s="63">
        <v>0</v>
      </c>
      <c r="AG1135" s="63">
        <v>0</v>
      </c>
      <c r="AH1135" s="63"/>
      <c r="AI1135" s="63"/>
      <c r="AJ1135" s="63"/>
      <c r="AK1135" s="63"/>
      <c r="AL1135" s="63"/>
      <c r="AM1135" s="63">
        <v>0</v>
      </c>
      <c r="AN1135" s="63">
        <v>0</v>
      </c>
      <c r="AO1135" s="63"/>
      <c r="AP1135" s="63"/>
      <c r="AQ1135" s="63">
        <v>0</v>
      </c>
      <c r="AR1135" s="63"/>
      <c r="AS1135" s="63"/>
      <c r="AT1135" s="63"/>
      <c r="AU1135" s="63"/>
      <c r="AW1135" s="5">
        <f>IF(Q1135&gt;0,RANK(Q1135,(N1135:P1135,Q1135:AE1135)),0)</f>
        <v>3</v>
      </c>
      <c r="AX1135" s="5">
        <f>IF(R1135&gt;0,RANK(R1135,(N1135:P1135,Q1135:AE1135)),0)</f>
        <v>0</v>
      </c>
      <c r="AY1135" s="5">
        <f>IF(T1135&gt;0,RANK(T1135,(N1135:P1135,Q1135:AE1135)),0)</f>
        <v>5</v>
      </c>
      <c r="AZ1135" s="5">
        <f>IF(S1135&gt;0,RANK(S1135,(N1135:P1135,Q1135:AE1135)),0)</f>
        <v>0</v>
      </c>
      <c r="BA1135" s="2">
        <f t="shared" si="469"/>
        <v>1.3644115974985787E-2</v>
      </c>
      <c r="BB1135" s="2">
        <f t="shared" si="470"/>
        <v>0</v>
      </c>
      <c r="BC1135" s="2">
        <f t="shared" si="471"/>
        <v>1.1370096645821489E-3</v>
      </c>
      <c r="BD1135" s="2">
        <f t="shared" si="472"/>
        <v>0</v>
      </c>
      <c r="BF1135" t="s">
        <v>372</v>
      </c>
      <c r="BG1135" t="s">
        <v>1009</v>
      </c>
      <c r="BH1135">
        <v>5</v>
      </c>
      <c r="BJ1135" s="114">
        <v>21</v>
      </c>
      <c r="BK1135" s="116">
        <v>189</v>
      </c>
      <c r="BL1135" s="120">
        <f t="shared" si="474"/>
        <v>21189</v>
      </c>
      <c r="BN1135" s="5" t="s">
        <v>3154</v>
      </c>
      <c r="BZ1135" s="63">
        <f t="shared" si="473"/>
        <v>1759</v>
      </c>
      <c r="CD1135" s="63">
        <v>0</v>
      </c>
      <c r="CE1135" s="63">
        <v>0</v>
      </c>
      <c r="CF1135" s="63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>
        <v>0</v>
      </c>
      <c r="CQ1135">
        <v>0</v>
      </c>
    </row>
    <row r="1136" spans="1:95" ht="13" hidden="1" customHeight="1" outlineLevel="1">
      <c r="A1136" t="s">
        <v>333</v>
      </c>
      <c r="B1136" t="s">
        <v>1009</v>
      </c>
      <c r="C1136" s="1">
        <f t="shared" si="464"/>
        <v>6007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4</v>
      </c>
      <c r="G1136" s="132">
        <f t="shared" si="462"/>
        <v>3440</v>
      </c>
      <c r="H1136" s="137">
        <f t="shared" si="463"/>
        <v>0.57266522390544361</v>
      </c>
      <c r="I1136" s="2"/>
      <c r="J1136" s="2">
        <f t="shared" si="465"/>
        <v>0.1937739304145164</v>
      </c>
      <c r="K1136" s="2">
        <f t="shared" si="466"/>
        <v>0.76643915431996001</v>
      </c>
      <c r="L1136" s="2">
        <f t="shared" si="467"/>
        <v>1.0987181621441652E-2</v>
      </c>
      <c r="M1136" s="2">
        <f t="shared" si="468"/>
        <v>2.8799733644081928E-2</v>
      </c>
      <c r="N1136" s="63">
        <v>1164</v>
      </c>
      <c r="O1136" s="63">
        <v>4604</v>
      </c>
      <c r="P1136" s="63">
        <v>66</v>
      </c>
      <c r="Q1136" s="63">
        <v>145</v>
      </c>
      <c r="R1136" s="63">
        <v>27</v>
      </c>
      <c r="S1136" s="63">
        <v>0</v>
      </c>
      <c r="T1136" s="63">
        <v>1</v>
      </c>
      <c r="U1136" s="63"/>
      <c r="V1136" s="63"/>
      <c r="W1136" s="63">
        <f>IF(Copyright!B$11=1,IF(CA1136&gt;0,CA1136-SUM(S1136)-SUM(X1136:AI1136)-SUM(AJ1136:AT1136),SUM(CD1136:CQ1136)),SUM(CD1136:CQ1136))</f>
        <v>0</v>
      </c>
      <c r="X1136" s="63"/>
      <c r="Y1136" s="63">
        <v>0</v>
      </c>
      <c r="Z1136" s="63">
        <v>0</v>
      </c>
      <c r="AA1136" s="63"/>
      <c r="AB1136" s="63"/>
      <c r="AC1136" s="63"/>
      <c r="AD1136" s="63"/>
      <c r="AE1136" s="63">
        <v>0</v>
      </c>
      <c r="AF1136" s="63">
        <v>0</v>
      </c>
      <c r="AG1136" s="63">
        <v>0</v>
      </c>
      <c r="AH1136" s="63"/>
      <c r="AI1136" s="63"/>
      <c r="AJ1136" s="63"/>
      <c r="AK1136" s="63"/>
      <c r="AL1136" s="63"/>
      <c r="AM1136" s="63">
        <v>0</v>
      </c>
      <c r="AN1136" s="63">
        <v>0</v>
      </c>
      <c r="AO1136" s="63"/>
      <c r="AP1136" s="63"/>
      <c r="AQ1136" s="63">
        <v>0</v>
      </c>
      <c r="AR1136" s="63"/>
      <c r="AS1136" s="63"/>
      <c r="AT1136" s="63"/>
      <c r="AU1136" s="63"/>
      <c r="AW1136" s="5">
        <f>IF(Q1136&gt;0,RANK(Q1136,(N1136:P1136,Q1136:AE1136)),0)</f>
        <v>3</v>
      </c>
      <c r="AX1136" s="5">
        <f>IF(R1136&gt;0,RANK(R1136,(N1136:P1136,Q1136:AE1136)),0)</f>
        <v>5</v>
      </c>
      <c r="AY1136" s="5">
        <f>IF(T1136&gt;0,RANK(T1136,(N1136:P1136,Q1136:AE1136)),0)</f>
        <v>6</v>
      </c>
      <c r="AZ1136" s="5">
        <f>IF(S1136&gt;0,RANK(S1136,(N1136:P1136,Q1136:AE1136)),0)</f>
        <v>0</v>
      </c>
      <c r="BA1136" s="2">
        <f t="shared" si="469"/>
        <v>2.4138505077409687E-2</v>
      </c>
      <c r="BB1136" s="2">
        <f t="shared" si="470"/>
        <v>4.494756117862494E-3</v>
      </c>
      <c r="BC1136" s="2">
        <f t="shared" si="471"/>
        <v>1.66472448809722E-4</v>
      </c>
      <c r="BD1136" s="2">
        <f t="shared" si="472"/>
        <v>0</v>
      </c>
      <c r="BF1136" t="s">
        <v>333</v>
      </c>
      <c r="BG1136" t="s">
        <v>1009</v>
      </c>
      <c r="BH1136">
        <v>4</v>
      </c>
      <c r="BJ1136" s="114">
        <v>21</v>
      </c>
      <c r="BK1136" s="116">
        <v>191</v>
      </c>
      <c r="BL1136" s="120">
        <f t="shared" si="474"/>
        <v>21191</v>
      </c>
      <c r="BN1136" s="5" t="s">
        <v>3154</v>
      </c>
      <c r="BZ1136" s="63">
        <f t="shared" si="473"/>
        <v>6007</v>
      </c>
      <c r="CD1136" s="63">
        <v>0</v>
      </c>
      <c r="CE1136" s="63">
        <v>0</v>
      </c>
      <c r="CF1136" s="63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>
        <v>0</v>
      </c>
      <c r="CQ1136">
        <v>0</v>
      </c>
    </row>
    <row r="1137" spans="1:95" ht="13" hidden="1" customHeight="1" outlineLevel="1">
      <c r="A1137" t="s">
        <v>2118</v>
      </c>
      <c r="B1137" t="s">
        <v>1009</v>
      </c>
      <c r="C1137" s="1">
        <f t="shared" ref="C1137:C1161" si="475">SUM(N1137:AU1137)</f>
        <v>10572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4</v>
      </c>
      <c r="G1137" s="132">
        <f t="shared" si="462"/>
        <v>6022</v>
      </c>
      <c r="H1137" s="137">
        <f t="shared" si="463"/>
        <v>0.56961785849413549</v>
      </c>
      <c r="I1137" s="2"/>
      <c r="J1137" s="2">
        <f t="shared" ref="J1137:J1161" si="476">IF($C1137=0,"-",N1137/$C1137)</f>
        <v>0.20204313280363223</v>
      </c>
      <c r="K1137" s="2">
        <f t="shared" ref="K1137:K1161" si="477">IF($C1137=0,"-",O1137/$C1137)</f>
        <v>0.77166099129776766</v>
      </c>
      <c r="L1137" s="2">
        <f t="shared" ref="L1137:L1161" si="478">IF($C1137=0,"-",P1137/$C1137)</f>
        <v>5.3916004540295118E-3</v>
      </c>
      <c r="M1137" s="2">
        <f t="shared" ref="M1137:M1161" si="479">IF(C1137=0,"-",(1-J1137-K1137-L1137))</f>
        <v>2.090427544457054E-2</v>
      </c>
      <c r="N1137" s="63">
        <v>2136</v>
      </c>
      <c r="O1137" s="63">
        <v>8158</v>
      </c>
      <c r="P1137" s="63">
        <v>57</v>
      </c>
      <c r="Q1137" s="63">
        <v>168</v>
      </c>
      <c r="R1137" s="63">
        <v>47</v>
      </c>
      <c r="S1137" s="63">
        <v>0</v>
      </c>
      <c r="T1137" s="63">
        <v>6</v>
      </c>
      <c r="U1137" s="63"/>
      <c r="V1137" s="63"/>
      <c r="W1137" s="63">
        <f>IF(Copyright!B$11=1,IF(CA1137&gt;0,CA1137-SUM(S1137)-SUM(X1137:AI1137)-SUM(AJ1137:AT1137),SUM(CD1137:CQ1137)),SUM(CD1137:CQ1137))</f>
        <v>0</v>
      </c>
      <c r="X1137" s="63"/>
      <c r="Y1137" s="63">
        <v>0</v>
      </c>
      <c r="Z1137" s="63">
        <v>0</v>
      </c>
      <c r="AA1137" s="63"/>
      <c r="AB1137" s="63"/>
      <c r="AC1137" s="63"/>
      <c r="AD1137" s="63"/>
      <c r="AE1137" s="63">
        <v>0</v>
      </c>
      <c r="AF1137" s="63">
        <v>0</v>
      </c>
      <c r="AG1137" s="63">
        <v>0</v>
      </c>
      <c r="AH1137" s="63"/>
      <c r="AI1137" s="63"/>
      <c r="AJ1137" s="63"/>
      <c r="AK1137" s="63"/>
      <c r="AL1137" s="63"/>
      <c r="AM1137" s="63">
        <v>0</v>
      </c>
      <c r="AN1137" s="63">
        <v>0</v>
      </c>
      <c r="AO1137" s="63"/>
      <c r="AP1137" s="63"/>
      <c r="AQ1137" s="63">
        <v>0</v>
      </c>
      <c r="AR1137" s="63"/>
      <c r="AS1137" s="63"/>
      <c r="AT1137" s="63"/>
      <c r="AU1137" s="63"/>
      <c r="AW1137" s="5">
        <f>IF(Q1137&gt;0,RANK(Q1137,(N1137:P1137,Q1137:AE1137)),0)</f>
        <v>3</v>
      </c>
      <c r="AX1137" s="5">
        <f>IF(R1137&gt;0,RANK(R1137,(N1137:P1137,Q1137:AE1137)),0)</f>
        <v>5</v>
      </c>
      <c r="AY1137" s="5">
        <f>IF(T1137&gt;0,RANK(T1137,(N1137:P1137,Q1137:AE1137)),0)</f>
        <v>6</v>
      </c>
      <c r="AZ1137" s="5">
        <f>IF(S1137&gt;0,RANK(S1137,(N1137:P1137,Q1137:AE1137)),0)</f>
        <v>0</v>
      </c>
      <c r="BA1137" s="2">
        <f t="shared" ref="BA1137:BA1161" si="480">IF($C1137=0,"-",Q1137/$C1137)</f>
        <v>1.5891032917139614E-2</v>
      </c>
      <c r="BB1137" s="2">
        <f t="shared" ref="BB1137:BB1161" si="481">IF($C1137=0,"-",R1137/$C1137)</f>
        <v>4.4457056375331065E-3</v>
      </c>
      <c r="BC1137" s="2">
        <f t="shared" ref="BC1137:BC1161" si="482">IF($C1137=0,"-",T1137/$C1137)</f>
        <v>5.6753688989784334E-4</v>
      </c>
      <c r="BD1137" s="2">
        <f t="shared" ref="BD1137:BD1161" si="483">IF($C1137=0,"-",S1137/$C1137)</f>
        <v>0</v>
      </c>
      <c r="BF1137" t="s">
        <v>2118</v>
      </c>
      <c r="BG1137" t="s">
        <v>1009</v>
      </c>
      <c r="BH1137">
        <v>5</v>
      </c>
      <c r="BJ1137" s="114">
        <v>21</v>
      </c>
      <c r="BK1137" s="116">
        <v>193</v>
      </c>
      <c r="BL1137" s="120">
        <f t="shared" si="474"/>
        <v>21193</v>
      </c>
      <c r="BN1137" s="5" t="s">
        <v>3154</v>
      </c>
      <c r="BZ1137" s="63">
        <f t="shared" si="473"/>
        <v>10572</v>
      </c>
      <c r="CD1137" s="63">
        <v>0</v>
      </c>
      <c r="CE1137" s="63">
        <v>0</v>
      </c>
      <c r="CF1137" s="63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>
        <v>0</v>
      </c>
      <c r="CQ1137">
        <v>0</v>
      </c>
    </row>
    <row r="1138" spans="1:95" ht="13" hidden="1" customHeight="1" outlineLevel="1">
      <c r="A1138" t="s">
        <v>2655</v>
      </c>
      <c r="B1138" t="s">
        <v>1009</v>
      </c>
      <c r="C1138" s="1">
        <f t="shared" si="475"/>
        <v>24665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4</v>
      </c>
      <c r="G1138" s="132">
        <f t="shared" si="462"/>
        <v>15467</v>
      </c>
      <c r="H1138" s="137">
        <f t="shared" si="463"/>
        <v>0.62708291100750047</v>
      </c>
      <c r="I1138" s="2"/>
      <c r="J1138" s="2">
        <f t="shared" si="476"/>
        <v>0.17352523819176971</v>
      </c>
      <c r="K1138" s="2">
        <f t="shared" si="477"/>
        <v>0.80060814919927026</v>
      </c>
      <c r="L1138" s="2">
        <f t="shared" si="478"/>
        <v>5.0273667139671598E-3</v>
      </c>
      <c r="M1138" s="2">
        <f t="shared" si="479"/>
        <v>2.0839245894992899E-2</v>
      </c>
      <c r="N1138" s="63">
        <v>4280</v>
      </c>
      <c r="O1138" s="63">
        <v>19747</v>
      </c>
      <c r="P1138" s="63">
        <v>124</v>
      </c>
      <c r="Q1138" s="63">
        <v>413</v>
      </c>
      <c r="R1138" s="63">
        <v>86</v>
      </c>
      <c r="S1138" s="63">
        <v>2</v>
      </c>
      <c r="T1138" s="63">
        <v>13</v>
      </c>
      <c r="U1138" s="63"/>
      <c r="V1138" s="63"/>
      <c r="W1138" s="63">
        <f>IF(Copyright!B$11=1,IF(CA1138&gt;0,CA1138-SUM(S1138)-SUM(X1138:AI1138)-SUM(AJ1138:AT1138),SUM(CD1138:CQ1138)),SUM(CD1138:CQ1138))</f>
        <v>0</v>
      </c>
      <c r="X1138" s="63"/>
      <c r="Y1138" s="63">
        <v>0</v>
      </c>
      <c r="Z1138" s="63">
        <v>0</v>
      </c>
      <c r="AA1138" s="63"/>
      <c r="AB1138" s="63"/>
      <c r="AC1138" s="63"/>
      <c r="AD1138" s="63"/>
      <c r="AE1138" s="63">
        <v>0</v>
      </c>
      <c r="AF1138" s="63">
        <v>0</v>
      </c>
      <c r="AG1138" s="63">
        <v>0</v>
      </c>
      <c r="AH1138" s="63"/>
      <c r="AI1138" s="63"/>
      <c r="AJ1138" s="63"/>
      <c r="AK1138" s="63"/>
      <c r="AL1138" s="63"/>
      <c r="AM1138" s="63">
        <v>0</v>
      </c>
      <c r="AN1138" s="63">
        <v>0</v>
      </c>
      <c r="AO1138" s="63"/>
      <c r="AP1138" s="63"/>
      <c r="AQ1138" s="63">
        <v>0</v>
      </c>
      <c r="AR1138" s="63"/>
      <c r="AS1138" s="63"/>
      <c r="AT1138" s="63"/>
      <c r="AU1138" s="63"/>
      <c r="AW1138" s="5">
        <f>IF(Q1138&gt;0,RANK(Q1138,(N1138:P1138,Q1138:AE1138)),0)</f>
        <v>3</v>
      </c>
      <c r="AX1138" s="5">
        <f>IF(R1138&gt;0,RANK(R1138,(N1138:P1138,Q1138:AE1138)),0)</f>
        <v>5</v>
      </c>
      <c r="AY1138" s="5">
        <f>IF(T1138&gt;0,RANK(T1138,(N1138:P1138,Q1138:AE1138)),0)</f>
        <v>6</v>
      </c>
      <c r="AZ1138" s="5">
        <f>IF(S1138&gt;0,RANK(S1138,(N1138:P1138,Q1138:AE1138)),0)</f>
        <v>7</v>
      </c>
      <c r="BA1138" s="2">
        <f t="shared" si="480"/>
        <v>1.674437461990675E-2</v>
      </c>
      <c r="BB1138" s="2">
        <f t="shared" si="481"/>
        <v>3.4867220758159337E-3</v>
      </c>
      <c r="BC1138" s="2">
        <f t="shared" si="482"/>
        <v>5.2706263936752487E-4</v>
      </c>
      <c r="BD1138" s="2">
        <f t="shared" si="483"/>
        <v>8.1086559902696122E-5</v>
      </c>
      <c r="BF1138" t="s">
        <v>2655</v>
      </c>
      <c r="BG1138" t="s">
        <v>1009</v>
      </c>
      <c r="BH1138">
        <v>5</v>
      </c>
      <c r="BJ1138" s="114">
        <v>21</v>
      </c>
      <c r="BK1138" s="116">
        <v>195</v>
      </c>
      <c r="BL1138" s="120">
        <f t="shared" si="474"/>
        <v>21195</v>
      </c>
      <c r="BN1138" s="5" t="s">
        <v>3154</v>
      </c>
      <c r="BZ1138" s="63">
        <f t="shared" si="473"/>
        <v>24665</v>
      </c>
      <c r="CD1138" s="63">
        <v>0</v>
      </c>
      <c r="CE1138" s="63">
        <v>0</v>
      </c>
      <c r="CF1138" s="63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0</v>
      </c>
      <c r="CN1138" s="8">
        <v>0</v>
      </c>
      <c r="CO1138" s="8">
        <v>0</v>
      </c>
      <c r="CP1138">
        <v>0</v>
      </c>
      <c r="CQ1138">
        <v>0</v>
      </c>
    </row>
    <row r="1139" spans="1:95" ht="13" hidden="1" customHeight="1" outlineLevel="1">
      <c r="A1139" t="s">
        <v>1951</v>
      </c>
      <c r="B1139" t="s">
        <v>1009</v>
      </c>
      <c r="C1139" s="1">
        <f t="shared" si="475"/>
        <v>4957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5</v>
      </c>
      <c r="G1139" s="132">
        <f t="shared" si="462"/>
        <v>2241</v>
      </c>
      <c r="H1139" s="137">
        <f t="shared" si="463"/>
        <v>0.45208795642525723</v>
      </c>
      <c r="I1139" s="2"/>
      <c r="J1139" s="2">
        <f t="shared" si="476"/>
        <v>0.25660681864030666</v>
      </c>
      <c r="K1139" s="2">
        <f t="shared" si="477"/>
        <v>0.70869477506556389</v>
      </c>
      <c r="L1139" s="2">
        <f t="shared" si="478"/>
        <v>4.4381682469235425E-3</v>
      </c>
      <c r="M1139" s="2">
        <f t="shared" si="479"/>
        <v>3.0260238047205915E-2</v>
      </c>
      <c r="N1139" s="63">
        <v>1272</v>
      </c>
      <c r="O1139" s="63">
        <v>3513</v>
      </c>
      <c r="P1139" s="63">
        <v>22</v>
      </c>
      <c r="Q1139" s="63">
        <v>118</v>
      </c>
      <c r="R1139" s="63">
        <v>27</v>
      </c>
      <c r="S1139" s="63">
        <v>0</v>
      </c>
      <c r="T1139" s="63">
        <v>5</v>
      </c>
      <c r="U1139" s="63"/>
      <c r="V1139" s="63"/>
      <c r="W1139" s="63">
        <f>IF(Copyright!B$11=1,IF(CA1139&gt;0,CA1139-SUM(S1139)-SUM(X1139:AI1139)-SUM(AJ1139:AT1139),SUM(CD1139:CQ1139)),SUM(CD1139:CQ1139))</f>
        <v>0</v>
      </c>
      <c r="X1139" s="63"/>
      <c r="Y1139" s="63">
        <v>0</v>
      </c>
      <c r="Z1139" s="63">
        <v>0</v>
      </c>
      <c r="AA1139" s="63"/>
      <c r="AB1139" s="63"/>
      <c r="AC1139" s="63"/>
      <c r="AD1139" s="63"/>
      <c r="AE1139" s="63">
        <v>0</v>
      </c>
      <c r="AF1139" s="63">
        <v>0</v>
      </c>
      <c r="AG1139" s="63">
        <v>0</v>
      </c>
      <c r="AH1139" s="63"/>
      <c r="AI1139" s="63"/>
      <c r="AJ1139" s="63"/>
      <c r="AK1139" s="63"/>
      <c r="AL1139" s="63"/>
      <c r="AM1139" s="63">
        <v>0</v>
      </c>
      <c r="AN1139" s="63">
        <v>0</v>
      </c>
      <c r="AO1139" s="63"/>
      <c r="AP1139" s="63"/>
      <c r="AQ1139" s="63">
        <v>0</v>
      </c>
      <c r="AR1139" s="63"/>
      <c r="AS1139" s="63"/>
      <c r="AT1139" s="63"/>
      <c r="AU1139" s="63"/>
      <c r="AW1139" s="5">
        <f>IF(Q1139&gt;0,RANK(Q1139,(N1139:P1139,Q1139:AE1139)),0)</f>
        <v>3</v>
      </c>
      <c r="AX1139" s="5">
        <f>IF(R1139&gt;0,RANK(R1139,(N1139:P1139,Q1139:AE1139)),0)</f>
        <v>4</v>
      </c>
      <c r="AY1139" s="5">
        <f>IF(T1139&gt;0,RANK(T1139,(N1139:P1139,Q1139:AE1139)),0)</f>
        <v>6</v>
      </c>
      <c r="AZ1139" s="5">
        <f>IF(S1139&gt;0,RANK(S1139,(N1139:P1139,Q1139:AE1139)),0)</f>
        <v>0</v>
      </c>
      <c r="BA1139" s="2">
        <f t="shared" si="480"/>
        <v>2.3804720597135363E-2</v>
      </c>
      <c r="BB1139" s="2">
        <f t="shared" si="481"/>
        <v>5.446842848497075E-3</v>
      </c>
      <c r="BC1139" s="2">
        <f t="shared" si="482"/>
        <v>1.0086746015735323E-3</v>
      </c>
      <c r="BD1139" s="2">
        <f t="shared" si="483"/>
        <v>0</v>
      </c>
      <c r="BF1139" t="s">
        <v>1951</v>
      </c>
      <c r="BG1139" t="s">
        <v>1009</v>
      </c>
      <c r="BH1139">
        <v>6</v>
      </c>
      <c r="BJ1139" s="114">
        <v>21</v>
      </c>
      <c r="BK1139" s="116">
        <v>197</v>
      </c>
      <c r="BL1139" s="120">
        <f t="shared" si="474"/>
        <v>21197</v>
      </c>
      <c r="BN1139" s="5" t="s">
        <v>3154</v>
      </c>
      <c r="BZ1139" s="63">
        <f t="shared" si="473"/>
        <v>4957</v>
      </c>
      <c r="CD1139" s="63">
        <v>0</v>
      </c>
      <c r="CE1139" s="63">
        <v>0</v>
      </c>
      <c r="CF1139" s="63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>
        <v>0</v>
      </c>
      <c r="CQ1139">
        <v>0</v>
      </c>
    </row>
    <row r="1140" spans="1:95" ht="13" hidden="1" customHeight="1" outlineLevel="1">
      <c r="A1140" t="s">
        <v>2087</v>
      </c>
      <c r="B1140" t="s">
        <v>1009</v>
      </c>
      <c r="C1140" s="1">
        <f t="shared" si="475"/>
        <v>28041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4</v>
      </c>
      <c r="G1140" s="132">
        <f t="shared" si="462"/>
        <v>18694</v>
      </c>
      <c r="H1140" s="137">
        <f t="shared" si="463"/>
        <v>0.66666666666666663</v>
      </c>
      <c r="I1140" s="2"/>
      <c r="J1140" s="2">
        <f t="shared" si="476"/>
        <v>0.15006597482258122</v>
      </c>
      <c r="K1140" s="2">
        <f t="shared" si="477"/>
        <v>0.81673264148924785</v>
      </c>
      <c r="L1140" s="2">
        <f t="shared" si="478"/>
        <v>7.7743304447059659E-3</v>
      </c>
      <c r="M1140" s="2">
        <f t="shared" si="479"/>
        <v>2.5427053243464972E-2</v>
      </c>
      <c r="N1140" s="63">
        <v>4208</v>
      </c>
      <c r="O1140" s="63">
        <v>22902</v>
      </c>
      <c r="P1140" s="63">
        <v>218</v>
      </c>
      <c r="Q1140" s="63">
        <v>562</v>
      </c>
      <c r="R1140" s="63">
        <v>127</v>
      </c>
      <c r="S1140" s="63">
        <v>4</v>
      </c>
      <c r="T1140" s="63">
        <v>19</v>
      </c>
      <c r="U1140" s="63"/>
      <c r="V1140" s="63"/>
      <c r="W1140" s="63">
        <f>IF(Copyright!B$11=1,IF(CA1140&gt;0,CA1140-SUM(S1140)-SUM(X1140:AI1140)-SUM(AJ1140:AT1140),SUM(CD1140:CQ1140)),SUM(CD1140:CQ1140))</f>
        <v>1</v>
      </c>
      <c r="X1140" s="63"/>
      <c r="Y1140" s="63">
        <v>0</v>
      </c>
      <c r="Z1140" s="63">
        <v>0</v>
      </c>
      <c r="AA1140" s="63"/>
      <c r="AB1140" s="63"/>
      <c r="AC1140" s="63"/>
      <c r="AD1140" s="63"/>
      <c r="AE1140" s="63">
        <v>0</v>
      </c>
      <c r="AF1140" s="63">
        <v>0</v>
      </c>
      <c r="AG1140" s="63">
        <v>0</v>
      </c>
      <c r="AH1140" s="63"/>
      <c r="AI1140" s="63"/>
      <c r="AJ1140" s="63"/>
      <c r="AK1140" s="63"/>
      <c r="AL1140" s="63"/>
      <c r="AM1140" s="63">
        <v>0</v>
      </c>
      <c r="AN1140" s="63">
        <v>0</v>
      </c>
      <c r="AO1140" s="63"/>
      <c r="AP1140" s="63"/>
      <c r="AQ1140" s="63">
        <v>0</v>
      </c>
      <c r="AR1140" s="63"/>
      <c r="AS1140" s="63"/>
      <c r="AT1140" s="63"/>
      <c r="AU1140" s="63"/>
      <c r="AW1140" s="5">
        <f>IF(Q1140&gt;0,RANK(Q1140,(N1140:P1140,Q1140:AE1140)),0)</f>
        <v>3</v>
      </c>
      <c r="AX1140" s="5">
        <f>IF(R1140&gt;0,RANK(R1140,(N1140:P1140,Q1140:AE1140)),0)</f>
        <v>5</v>
      </c>
      <c r="AY1140" s="5">
        <f>IF(T1140&gt;0,RANK(T1140,(N1140:P1140,Q1140:AE1140)),0)</f>
        <v>6</v>
      </c>
      <c r="AZ1140" s="5">
        <f>IF(S1140&gt;0,RANK(S1140,(N1140:P1140,Q1140:AE1140)),0)</f>
        <v>7</v>
      </c>
      <c r="BA1140" s="2">
        <f t="shared" si="480"/>
        <v>2.0042081238186942E-2</v>
      </c>
      <c r="BB1140" s="2">
        <f t="shared" si="481"/>
        <v>4.5290824150351272E-3</v>
      </c>
      <c r="BC1140" s="2">
        <f t="shared" si="482"/>
        <v>6.7757925894226312E-4</v>
      </c>
      <c r="BD1140" s="2">
        <f t="shared" si="483"/>
        <v>1.4264826504047646E-4</v>
      </c>
      <c r="BF1140" t="s">
        <v>2087</v>
      </c>
      <c r="BG1140" t="s">
        <v>1009</v>
      </c>
      <c r="BH1140">
        <v>5</v>
      </c>
      <c r="BJ1140" s="114">
        <v>21</v>
      </c>
      <c r="BK1140" s="116">
        <v>199</v>
      </c>
      <c r="BL1140" s="120">
        <f t="shared" si="474"/>
        <v>21199</v>
      </c>
      <c r="BN1140" s="5" t="s">
        <v>3154</v>
      </c>
      <c r="BZ1140" s="63">
        <f t="shared" si="473"/>
        <v>28041</v>
      </c>
      <c r="CD1140" s="63">
        <v>0</v>
      </c>
      <c r="CE1140" s="63">
        <v>0</v>
      </c>
      <c r="CF1140" s="63">
        <v>1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0</v>
      </c>
      <c r="CN1140" s="8">
        <v>0</v>
      </c>
      <c r="CO1140" s="8">
        <v>0</v>
      </c>
      <c r="CP1140">
        <v>0</v>
      </c>
      <c r="CQ1140">
        <v>0</v>
      </c>
    </row>
    <row r="1141" spans="1:95" ht="13" hidden="1" customHeight="1" outlineLevel="1">
      <c r="A1141" t="s">
        <v>1682</v>
      </c>
      <c r="B1141" t="s">
        <v>1009</v>
      </c>
      <c r="C1141" s="1">
        <f t="shared" si="475"/>
        <v>1013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4</v>
      </c>
      <c r="G1141" s="132">
        <f t="shared" si="462"/>
        <v>537</v>
      </c>
      <c r="H1141" s="137">
        <f t="shared" si="463"/>
        <v>0.53010858835143138</v>
      </c>
      <c r="I1141" s="2"/>
      <c r="J1141" s="2">
        <f t="shared" si="476"/>
        <v>0.21915103652517276</v>
      </c>
      <c r="K1141" s="2">
        <f t="shared" si="477"/>
        <v>0.74925962487660414</v>
      </c>
      <c r="L1141" s="2">
        <f t="shared" si="478"/>
        <v>7.8973346495557744E-3</v>
      </c>
      <c r="M1141" s="2">
        <f t="shared" si="479"/>
        <v>2.3692003948667328E-2</v>
      </c>
      <c r="N1141" s="63">
        <v>222</v>
      </c>
      <c r="O1141" s="63">
        <v>759</v>
      </c>
      <c r="P1141" s="63">
        <v>8</v>
      </c>
      <c r="Q1141" s="63">
        <v>19</v>
      </c>
      <c r="R1141" s="63">
        <v>5</v>
      </c>
      <c r="S1141" s="63">
        <v>0</v>
      </c>
      <c r="T1141" s="63">
        <v>0</v>
      </c>
      <c r="U1141" s="63"/>
      <c r="V1141" s="63"/>
      <c r="W1141" s="63">
        <f>IF(Copyright!B$11=1,IF(CA1141&gt;0,CA1141-SUM(S1141)-SUM(X1141:AI1141)-SUM(AJ1141:AT1141),SUM(CD1141:CQ1141)),SUM(CD1141:CQ1141))</f>
        <v>0</v>
      </c>
      <c r="X1141" s="63"/>
      <c r="Y1141" s="63">
        <v>0</v>
      </c>
      <c r="Z1141" s="63">
        <v>0</v>
      </c>
      <c r="AA1141" s="63"/>
      <c r="AB1141" s="63"/>
      <c r="AC1141" s="63"/>
      <c r="AD1141" s="63"/>
      <c r="AE1141" s="63">
        <v>0</v>
      </c>
      <c r="AF1141" s="63">
        <v>0</v>
      </c>
      <c r="AG1141" s="63">
        <v>0</v>
      </c>
      <c r="AH1141" s="63"/>
      <c r="AI1141" s="63"/>
      <c r="AJ1141" s="63"/>
      <c r="AK1141" s="63"/>
      <c r="AL1141" s="63"/>
      <c r="AM1141" s="63">
        <v>0</v>
      </c>
      <c r="AN1141" s="63">
        <v>0</v>
      </c>
      <c r="AO1141" s="63"/>
      <c r="AP1141" s="63"/>
      <c r="AQ1141" s="63">
        <v>0</v>
      </c>
      <c r="AR1141" s="63"/>
      <c r="AS1141" s="63"/>
      <c r="AT1141" s="63"/>
      <c r="AU1141" s="63"/>
      <c r="AW1141" s="5">
        <f>IF(Q1141&gt;0,RANK(Q1141,(N1141:P1141,Q1141:AE1141)),0)</f>
        <v>3</v>
      </c>
      <c r="AX1141" s="5">
        <f>IF(R1141&gt;0,RANK(R1141,(N1141:P1141,Q1141:AE1141)),0)</f>
        <v>5</v>
      </c>
      <c r="AY1141" s="5">
        <f>IF(T1141&gt;0,RANK(T1141,(N1141:P1141,Q1141:AE1141)),0)</f>
        <v>0</v>
      </c>
      <c r="AZ1141" s="5">
        <f>IF(S1141&gt;0,RANK(S1141,(N1141:P1141,Q1141:AE1141)),0)</f>
        <v>0</v>
      </c>
      <c r="BA1141" s="2">
        <f t="shared" si="480"/>
        <v>1.8756169792694965E-2</v>
      </c>
      <c r="BB1141" s="2">
        <f t="shared" si="481"/>
        <v>4.9358341559723592E-3</v>
      </c>
      <c r="BC1141" s="2">
        <f t="shared" si="482"/>
        <v>0</v>
      </c>
      <c r="BD1141" s="2">
        <f t="shared" si="483"/>
        <v>0</v>
      </c>
      <c r="BF1141" t="s">
        <v>1682</v>
      </c>
      <c r="BG1141" t="s">
        <v>1009</v>
      </c>
      <c r="BH1141">
        <v>6</v>
      </c>
      <c r="BJ1141" s="114">
        <v>21</v>
      </c>
      <c r="BK1141" s="116">
        <v>201</v>
      </c>
      <c r="BL1141" s="120">
        <f t="shared" si="474"/>
        <v>21201</v>
      </c>
      <c r="BN1141" s="5" t="s">
        <v>3154</v>
      </c>
      <c r="BZ1141" s="63">
        <f t="shared" si="473"/>
        <v>1013</v>
      </c>
      <c r="CD1141" s="63">
        <v>0</v>
      </c>
      <c r="CE1141" s="63">
        <v>0</v>
      </c>
      <c r="CF1141" s="63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>
        <v>0</v>
      </c>
      <c r="CQ1141">
        <v>0</v>
      </c>
    </row>
    <row r="1142" spans="1:95" ht="13" hidden="1" customHeight="1" outlineLevel="1">
      <c r="A1142" t="s">
        <v>1392</v>
      </c>
      <c r="B1142" t="s">
        <v>1009</v>
      </c>
      <c r="C1142" s="1">
        <f t="shared" si="475"/>
        <v>6691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4</v>
      </c>
      <c r="G1142" s="132">
        <f t="shared" si="462"/>
        <v>4694</v>
      </c>
      <c r="H1142" s="137">
        <f t="shared" si="463"/>
        <v>0.70153938125840687</v>
      </c>
      <c r="I1142" s="2"/>
      <c r="J1142" s="2">
        <f t="shared" si="476"/>
        <v>0.13675085936332387</v>
      </c>
      <c r="K1142" s="2">
        <f t="shared" si="477"/>
        <v>0.83829024062173063</v>
      </c>
      <c r="L1142" s="2">
        <f t="shared" si="478"/>
        <v>7.4727245553728892E-3</v>
      </c>
      <c r="M1142" s="2">
        <f t="shared" si="479"/>
        <v>1.7486175459572605E-2</v>
      </c>
      <c r="N1142" s="63">
        <v>915</v>
      </c>
      <c r="O1142" s="63">
        <v>5609</v>
      </c>
      <c r="P1142" s="63">
        <v>50</v>
      </c>
      <c r="Q1142" s="63">
        <v>87</v>
      </c>
      <c r="R1142" s="63">
        <v>25</v>
      </c>
      <c r="S1142" s="63">
        <v>3</v>
      </c>
      <c r="T1142" s="63">
        <v>2</v>
      </c>
      <c r="U1142" s="63"/>
      <c r="V1142" s="63"/>
      <c r="W1142" s="63">
        <f>IF(Copyright!B$11=1,IF(CA1142&gt;0,CA1142-SUM(S1142)-SUM(X1142:AI1142)-SUM(AJ1142:AT1142),SUM(CD1142:CQ1142)),SUM(CD1142:CQ1142))</f>
        <v>0</v>
      </c>
      <c r="X1142" s="63"/>
      <c r="Y1142" s="63">
        <v>0</v>
      </c>
      <c r="Z1142" s="63">
        <v>0</v>
      </c>
      <c r="AA1142" s="63"/>
      <c r="AB1142" s="63"/>
      <c r="AC1142" s="63"/>
      <c r="AD1142" s="63"/>
      <c r="AE1142" s="63">
        <v>0</v>
      </c>
      <c r="AF1142" s="63">
        <v>0</v>
      </c>
      <c r="AG1142" s="63">
        <v>0</v>
      </c>
      <c r="AH1142" s="63"/>
      <c r="AI1142" s="63"/>
      <c r="AJ1142" s="63"/>
      <c r="AK1142" s="63"/>
      <c r="AL1142" s="63"/>
      <c r="AM1142" s="63">
        <v>0</v>
      </c>
      <c r="AN1142" s="63">
        <v>0</v>
      </c>
      <c r="AO1142" s="63"/>
      <c r="AP1142" s="63"/>
      <c r="AQ1142" s="63">
        <v>0</v>
      </c>
      <c r="AR1142" s="63"/>
      <c r="AS1142" s="63"/>
      <c r="AT1142" s="63"/>
      <c r="AU1142" s="63"/>
      <c r="AW1142" s="5">
        <f>IF(Q1142&gt;0,RANK(Q1142,(N1142:P1142,Q1142:AE1142)),0)</f>
        <v>3</v>
      </c>
      <c r="AX1142" s="5">
        <f>IF(R1142&gt;0,RANK(R1142,(N1142:P1142,Q1142:AE1142)),0)</f>
        <v>5</v>
      </c>
      <c r="AY1142" s="5">
        <f>IF(T1142&gt;0,RANK(T1142,(N1142:P1142,Q1142:AE1142)),0)</f>
        <v>7</v>
      </c>
      <c r="AZ1142" s="5">
        <f>IF(S1142&gt;0,RANK(S1142,(N1142:P1142,Q1142:AE1142)),0)</f>
        <v>6</v>
      </c>
      <c r="BA1142" s="2">
        <f t="shared" si="480"/>
        <v>1.3002540726348827E-2</v>
      </c>
      <c r="BB1142" s="2">
        <f t="shared" si="481"/>
        <v>3.7363622776864446E-3</v>
      </c>
      <c r="BC1142" s="2">
        <f t="shared" si="482"/>
        <v>2.9890898221491554E-4</v>
      </c>
      <c r="BD1142" s="2">
        <f t="shared" si="483"/>
        <v>4.4836347332237334E-4</v>
      </c>
      <c r="BF1142" t="s">
        <v>1392</v>
      </c>
      <c r="BG1142" t="s">
        <v>1009</v>
      </c>
      <c r="BH1142">
        <v>5</v>
      </c>
      <c r="BJ1142" s="114">
        <v>21</v>
      </c>
      <c r="BK1142" s="116">
        <v>203</v>
      </c>
      <c r="BL1142" s="120">
        <f t="shared" si="474"/>
        <v>21203</v>
      </c>
      <c r="BN1142" s="5" t="s">
        <v>3154</v>
      </c>
      <c r="BZ1142" s="63">
        <f t="shared" si="473"/>
        <v>6691</v>
      </c>
      <c r="CD1142" s="63">
        <v>0</v>
      </c>
      <c r="CE1142" s="63">
        <v>0</v>
      </c>
      <c r="CF1142" s="63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0</v>
      </c>
      <c r="CN1142" s="8">
        <v>0</v>
      </c>
      <c r="CO1142" s="8">
        <v>0</v>
      </c>
      <c r="CP1142">
        <v>0</v>
      </c>
      <c r="CQ1142">
        <v>0</v>
      </c>
    </row>
    <row r="1143" spans="1:95" ht="13" hidden="1" customHeight="1" outlineLevel="1">
      <c r="A1143" t="s">
        <v>168</v>
      </c>
      <c r="B1143" t="s">
        <v>1009</v>
      </c>
      <c r="C1143" s="1">
        <f t="shared" si="475"/>
        <v>8848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5</v>
      </c>
      <c r="G1143" s="132">
        <f t="shared" si="462"/>
        <v>1879</v>
      </c>
      <c r="H1143" s="137">
        <f t="shared" si="463"/>
        <v>0.21236437613019893</v>
      </c>
      <c r="I1143" s="2"/>
      <c r="J1143" s="2">
        <f t="shared" si="476"/>
        <v>0.37240054249547921</v>
      </c>
      <c r="K1143" s="2">
        <f t="shared" si="477"/>
        <v>0.58476491862567814</v>
      </c>
      <c r="L1143" s="2">
        <f t="shared" si="478"/>
        <v>7.6853526220614825E-3</v>
      </c>
      <c r="M1143" s="2">
        <f t="shared" si="479"/>
        <v>3.5149186256781102E-2</v>
      </c>
      <c r="N1143" s="63">
        <v>3295</v>
      </c>
      <c r="O1143" s="63">
        <v>5174</v>
      </c>
      <c r="P1143" s="63">
        <v>68</v>
      </c>
      <c r="Q1143" s="63">
        <v>207</v>
      </c>
      <c r="R1143" s="63">
        <v>85</v>
      </c>
      <c r="S1143" s="63">
        <v>4</v>
      </c>
      <c r="T1143" s="63">
        <v>13</v>
      </c>
      <c r="U1143" s="63"/>
      <c r="V1143" s="63"/>
      <c r="W1143" s="63">
        <f>IF(Copyright!B$11=1,IF(CA1143&gt;0,CA1143-SUM(S1143)-SUM(X1143:AI1143)-SUM(AJ1143:AT1143),SUM(CD1143:CQ1143)),SUM(CD1143:CQ1143))</f>
        <v>0</v>
      </c>
      <c r="X1143" s="63"/>
      <c r="Y1143" s="63">
        <v>2</v>
      </c>
      <c r="Z1143" s="63">
        <v>0</v>
      </c>
      <c r="AA1143" s="63"/>
      <c r="AB1143" s="63"/>
      <c r="AC1143" s="63"/>
      <c r="AD1143" s="63"/>
      <c r="AE1143" s="63">
        <v>0</v>
      </c>
      <c r="AF1143" s="63">
        <v>0</v>
      </c>
      <c r="AG1143" s="63">
        <v>0</v>
      </c>
      <c r="AH1143" s="63"/>
      <c r="AI1143" s="63"/>
      <c r="AJ1143" s="63"/>
      <c r="AK1143" s="63"/>
      <c r="AL1143" s="63"/>
      <c r="AM1143" s="63">
        <v>0</v>
      </c>
      <c r="AN1143" s="63">
        <v>0</v>
      </c>
      <c r="AO1143" s="63"/>
      <c r="AP1143" s="63"/>
      <c r="AQ1143" s="63">
        <v>0</v>
      </c>
      <c r="AR1143" s="63"/>
      <c r="AS1143" s="63"/>
      <c r="AT1143" s="63"/>
      <c r="AU1143" s="63"/>
      <c r="AW1143" s="5">
        <f>IF(Q1143&gt;0,RANK(Q1143,(N1143:P1143,Q1143:AE1143)),0)</f>
        <v>3</v>
      </c>
      <c r="AX1143" s="5">
        <f>IF(R1143&gt;0,RANK(R1143,(N1143:P1143,Q1143:AE1143)),0)</f>
        <v>4</v>
      </c>
      <c r="AY1143" s="5">
        <f>IF(T1143&gt;0,RANK(T1143,(N1143:P1143,Q1143:AE1143)),0)</f>
        <v>6</v>
      </c>
      <c r="AZ1143" s="5">
        <f>IF(S1143&gt;0,RANK(S1143,(N1143:P1143,Q1143:AE1143)),0)</f>
        <v>7</v>
      </c>
      <c r="BA1143" s="2">
        <f t="shared" si="480"/>
        <v>2.3395117540687162E-2</v>
      </c>
      <c r="BB1143" s="2">
        <f t="shared" si="481"/>
        <v>9.6066907775768529E-3</v>
      </c>
      <c r="BC1143" s="2">
        <f t="shared" si="482"/>
        <v>1.4692585895117541E-3</v>
      </c>
      <c r="BD1143" s="2">
        <f t="shared" si="483"/>
        <v>4.5207956600361662E-4</v>
      </c>
      <c r="BF1143" t="s">
        <v>168</v>
      </c>
      <c r="BG1143" t="s">
        <v>1009</v>
      </c>
      <c r="BH1143">
        <v>5</v>
      </c>
      <c r="BJ1143" s="114">
        <v>21</v>
      </c>
      <c r="BK1143" s="116">
        <v>205</v>
      </c>
      <c r="BL1143" s="120">
        <f t="shared" si="474"/>
        <v>21205</v>
      </c>
      <c r="BN1143" s="5" t="s">
        <v>3154</v>
      </c>
      <c r="BZ1143" s="63">
        <f t="shared" si="473"/>
        <v>8848</v>
      </c>
      <c r="CD1143" s="63">
        <v>0</v>
      </c>
      <c r="CE1143" s="63">
        <v>0</v>
      </c>
      <c r="CF1143" s="63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>
        <v>0</v>
      </c>
      <c r="CQ1143">
        <v>0</v>
      </c>
    </row>
    <row r="1144" spans="1:95" ht="13" hidden="1" customHeight="1" outlineLevel="1">
      <c r="A1144" t="s">
        <v>1820</v>
      </c>
      <c r="B1144" t="s">
        <v>1009</v>
      </c>
      <c r="C1144" s="1">
        <f t="shared" si="475"/>
        <v>8174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4</v>
      </c>
      <c r="G1144" s="132">
        <f t="shared" si="462"/>
        <v>5770</v>
      </c>
      <c r="H1144" s="137">
        <f t="shared" si="463"/>
        <v>0.70589674577930017</v>
      </c>
      <c r="I1144" s="2"/>
      <c r="J1144" s="2">
        <f t="shared" si="476"/>
        <v>0.13371666258869586</v>
      </c>
      <c r="K1144" s="2">
        <f t="shared" si="477"/>
        <v>0.83961340836799614</v>
      </c>
      <c r="L1144" s="2">
        <f t="shared" si="478"/>
        <v>5.8722779544898461E-3</v>
      </c>
      <c r="M1144" s="2">
        <f t="shared" si="479"/>
        <v>2.0797651088818158E-2</v>
      </c>
      <c r="N1144" s="63">
        <v>1093</v>
      </c>
      <c r="O1144" s="63">
        <v>6863</v>
      </c>
      <c r="P1144" s="63">
        <v>48</v>
      </c>
      <c r="Q1144" s="63">
        <v>153</v>
      </c>
      <c r="R1144" s="63">
        <v>14</v>
      </c>
      <c r="S1144" s="63">
        <v>0</v>
      </c>
      <c r="T1144" s="63">
        <v>3</v>
      </c>
      <c r="U1144" s="63"/>
      <c r="V1144" s="63"/>
      <c r="W1144" s="63">
        <f>IF(Copyright!B$11=1,IF(CA1144&gt;0,CA1144-SUM(S1144)-SUM(X1144:AI1144)-SUM(AJ1144:AT1144),SUM(CD1144:CQ1144)),SUM(CD1144:CQ1144))</f>
        <v>0</v>
      </c>
      <c r="X1144" s="63"/>
      <c r="Y1144" s="63">
        <v>0</v>
      </c>
      <c r="Z1144" s="63">
        <v>0</v>
      </c>
      <c r="AA1144" s="63"/>
      <c r="AB1144" s="63"/>
      <c r="AC1144" s="63"/>
      <c r="AD1144" s="63"/>
      <c r="AE1144" s="63">
        <v>0</v>
      </c>
      <c r="AF1144" s="63">
        <v>0</v>
      </c>
      <c r="AG1144" s="63">
        <v>0</v>
      </c>
      <c r="AH1144" s="63"/>
      <c r="AI1144" s="63"/>
      <c r="AJ1144" s="63"/>
      <c r="AK1144" s="63"/>
      <c r="AL1144" s="63"/>
      <c r="AM1144" s="63">
        <v>0</v>
      </c>
      <c r="AN1144" s="63">
        <v>0</v>
      </c>
      <c r="AO1144" s="63"/>
      <c r="AP1144" s="63"/>
      <c r="AQ1144" s="63">
        <v>0</v>
      </c>
      <c r="AR1144" s="63"/>
      <c r="AS1144" s="63"/>
      <c r="AT1144" s="63"/>
      <c r="AU1144" s="63"/>
      <c r="AW1144" s="5">
        <f>IF(Q1144&gt;0,RANK(Q1144,(N1144:P1144,Q1144:AE1144)),0)</f>
        <v>3</v>
      </c>
      <c r="AX1144" s="5">
        <f>IF(R1144&gt;0,RANK(R1144,(N1144:P1144,Q1144:AE1144)),0)</f>
        <v>5</v>
      </c>
      <c r="AY1144" s="5">
        <f>IF(T1144&gt;0,RANK(T1144,(N1144:P1144,Q1144:AE1144)),0)</f>
        <v>6</v>
      </c>
      <c r="AZ1144" s="5">
        <f>IF(S1144&gt;0,RANK(S1144,(N1144:P1144,Q1144:AE1144)),0)</f>
        <v>0</v>
      </c>
      <c r="BA1144" s="2">
        <f t="shared" si="480"/>
        <v>1.8717885979936382E-2</v>
      </c>
      <c r="BB1144" s="2">
        <f t="shared" si="481"/>
        <v>1.7127477367262051E-3</v>
      </c>
      <c r="BC1144" s="2">
        <f t="shared" si="482"/>
        <v>3.6701737215561538E-4</v>
      </c>
      <c r="BD1144" s="2">
        <f t="shared" si="483"/>
        <v>0</v>
      </c>
      <c r="BF1144" t="s">
        <v>1820</v>
      </c>
      <c r="BG1144" t="s">
        <v>1009</v>
      </c>
      <c r="BH1144">
        <v>1</v>
      </c>
      <c r="BJ1144" s="114">
        <v>21</v>
      </c>
      <c r="BK1144" s="116">
        <v>207</v>
      </c>
      <c r="BL1144" s="120">
        <f t="shared" si="474"/>
        <v>21207</v>
      </c>
      <c r="BN1144" s="5" t="s">
        <v>3154</v>
      </c>
      <c r="BZ1144" s="63">
        <f t="shared" si="473"/>
        <v>8174</v>
      </c>
      <c r="CD1144" s="63">
        <v>0</v>
      </c>
      <c r="CE1144" s="63">
        <v>0</v>
      </c>
      <c r="CF1144" s="63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>
        <v>0</v>
      </c>
      <c r="CQ1144">
        <v>0</v>
      </c>
    </row>
    <row r="1145" spans="1:95" ht="13" hidden="1" customHeight="1" outlineLevel="1">
      <c r="A1145" t="s">
        <v>830</v>
      </c>
      <c r="B1145" t="s">
        <v>1009</v>
      </c>
      <c r="C1145" s="1">
        <f t="shared" si="475"/>
        <v>24200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4</v>
      </c>
      <c r="G1145" s="132">
        <f t="shared" si="462"/>
        <v>7337</v>
      </c>
      <c r="H1145" s="137">
        <f t="shared" si="463"/>
        <v>0.30318181818181816</v>
      </c>
      <c r="I1145" s="2"/>
      <c r="J1145" s="2">
        <f t="shared" si="476"/>
        <v>0.31880165289256196</v>
      </c>
      <c r="K1145" s="2">
        <f t="shared" si="477"/>
        <v>0.62198347107438012</v>
      </c>
      <c r="L1145" s="2">
        <f t="shared" si="478"/>
        <v>1.6611570247933884E-2</v>
      </c>
      <c r="M1145" s="2">
        <f t="shared" si="479"/>
        <v>4.2603305785124085E-2</v>
      </c>
      <c r="N1145" s="63">
        <v>7715</v>
      </c>
      <c r="O1145" s="63">
        <v>15052</v>
      </c>
      <c r="P1145" s="63">
        <v>402</v>
      </c>
      <c r="Q1145" s="63">
        <v>853</v>
      </c>
      <c r="R1145" s="63">
        <v>139</v>
      </c>
      <c r="S1145" s="63">
        <v>16</v>
      </c>
      <c r="T1145" s="63">
        <v>19</v>
      </c>
      <c r="U1145" s="63"/>
      <c r="V1145" s="63"/>
      <c r="W1145" s="63">
        <f>IF(Copyright!B$11=1,IF(CA1145&gt;0,CA1145-SUM(S1145)-SUM(X1145:AI1145)-SUM(AJ1145:AT1145),SUM(CD1145:CQ1145)),SUM(CD1145:CQ1145))</f>
        <v>1</v>
      </c>
      <c r="X1145" s="63"/>
      <c r="Y1145" s="63">
        <v>0</v>
      </c>
      <c r="Z1145" s="63">
        <v>2</v>
      </c>
      <c r="AA1145" s="63"/>
      <c r="AB1145" s="63"/>
      <c r="AC1145" s="63"/>
      <c r="AD1145" s="63"/>
      <c r="AE1145" s="63">
        <v>0</v>
      </c>
      <c r="AF1145" s="63">
        <v>0</v>
      </c>
      <c r="AG1145" s="63">
        <v>0</v>
      </c>
      <c r="AH1145" s="63"/>
      <c r="AI1145" s="63"/>
      <c r="AJ1145" s="63"/>
      <c r="AK1145" s="63"/>
      <c r="AL1145" s="63"/>
      <c r="AM1145" s="63">
        <v>0</v>
      </c>
      <c r="AN1145" s="63">
        <v>1</v>
      </c>
      <c r="AO1145" s="63"/>
      <c r="AP1145" s="63"/>
      <c r="AQ1145" s="63">
        <v>0</v>
      </c>
      <c r="AR1145" s="63"/>
      <c r="AS1145" s="63"/>
      <c r="AT1145" s="63"/>
      <c r="AU1145" s="63"/>
      <c r="AW1145" s="5">
        <f>IF(Q1145&gt;0,RANK(Q1145,(N1145:P1145,Q1145:AE1145)),0)</f>
        <v>3</v>
      </c>
      <c r="AX1145" s="5">
        <f>IF(R1145&gt;0,RANK(R1145,(N1145:P1145,Q1145:AE1145)),0)</f>
        <v>5</v>
      </c>
      <c r="AY1145" s="5">
        <f>IF(T1145&gt;0,RANK(T1145,(N1145:P1145,Q1145:AE1145)),0)</f>
        <v>6</v>
      </c>
      <c r="AZ1145" s="5">
        <f>IF(S1145&gt;0,RANK(S1145,(N1145:P1145,Q1145:AE1145)),0)</f>
        <v>7</v>
      </c>
      <c r="BA1145" s="2">
        <f t="shared" si="480"/>
        <v>3.5247933884297519E-2</v>
      </c>
      <c r="BB1145" s="2">
        <f t="shared" si="481"/>
        <v>5.7438016528925618E-3</v>
      </c>
      <c r="BC1145" s="2">
        <f t="shared" si="482"/>
        <v>7.8512396694214873E-4</v>
      </c>
      <c r="BD1145" s="2">
        <f t="shared" si="483"/>
        <v>6.6115702479338848E-4</v>
      </c>
      <c r="BF1145" t="s">
        <v>830</v>
      </c>
      <c r="BG1145" t="s">
        <v>1009</v>
      </c>
      <c r="BH1145">
        <v>6</v>
      </c>
      <c r="BJ1145" s="114">
        <v>21</v>
      </c>
      <c r="BK1145" s="116">
        <v>209</v>
      </c>
      <c r="BL1145" s="120">
        <f t="shared" si="474"/>
        <v>21209</v>
      </c>
      <c r="BN1145" s="5" t="s">
        <v>3154</v>
      </c>
      <c r="BZ1145" s="63">
        <f t="shared" si="473"/>
        <v>24200</v>
      </c>
      <c r="CD1145" s="63">
        <v>0</v>
      </c>
      <c r="CE1145" s="63">
        <v>0</v>
      </c>
      <c r="CF1145" s="63">
        <v>0</v>
      </c>
      <c r="CG1145" s="8">
        <v>0</v>
      </c>
      <c r="CH1145" s="8">
        <v>0</v>
      </c>
      <c r="CI1145" s="8">
        <v>1</v>
      </c>
      <c r="CJ1145" s="8">
        <v>0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>
        <v>0</v>
      </c>
      <c r="CQ1145">
        <v>0</v>
      </c>
    </row>
    <row r="1146" spans="1:95" ht="13" hidden="1" customHeight="1" outlineLevel="1">
      <c r="A1146" t="s">
        <v>23</v>
      </c>
      <c r="B1146" t="s">
        <v>1009</v>
      </c>
      <c r="C1146" s="1">
        <f t="shared" si="475"/>
        <v>20580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4</v>
      </c>
      <c r="G1146" s="132">
        <f t="shared" si="462"/>
        <v>6920</v>
      </c>
      <c r="H1146" s="137">
        <f t="shared" si="463"/>
        <v>0.33624878522837709</v>
      </c>
      <c r="I1146" s="2"/>
      <c r="J1146" s="2">
        <f t="shared" si="476"/>
        <v>0.30495626822157434</v>
      </c>
      <c r="K1146" s="2">
        <f t="shared" si="477"/>
        <v>0.64120505344995138</v>
      </c>
      <c r="L1146" s="2">
        <f t="shared" si="478"/>
        <v>1.574344023323615E-2</v>
      </c>
      <c r="M1146" s="2">
        <f t="shared" si="479"/>
        <v>3.8095238095238182E-2</v>
      </c>
      <c r="N1146" s="63">
        <v>6276</v>
      </c>
      <c r="O1146" s="63">
        <v>13196</v>
      </c>
      <c r="P1146" s="63">
        <v>324</v>
      </c>
      <c r="Q1146" s="63">
        <v>629</v>
      </c>
      <c r="R1146" s="63">
        <v>138</v>
      </c>
      <c r="S1146" s="63">
        <v>3</v>
      </c>
      <c r="T1146" s="63">
        <v>10</v>
      </c>
      <c r="U1146" s="63"/>
      <c r="V1146" s="63"/>
      <c r="W1146" s="63">
        <f>IF(Copyright!B$11=1,IF(CA1146&gt;0,CA1146-SUM(S1146)-SUM(X1146:AI1146)-SUM(AJ1146:AT1146),SUM(CD1146:CQ1146)),SUM(CD1146:CQ1146))</f>
        <v>1</v>
      </c>
      <c r="X1146" s="63"/>
      <c r="Y1146" s="63">
        <v>0</v>
      </c>
      <c r="Z1146" s="63">
        <v>0</v>
      </c>
      <c r="AA1146" s="63"/>
      <c r="AB1146" s="63"/>
      <c r="AC1146" s="63"/>
      <c r="AD1146" s="63"/>
      <c r="AE1146" s="63">
        <v>0</v>
      </c>
      <c r="AF1146" s="63">
        <v>0</v>
      </c>
      <c r="AG1146" s="63">
        <v>0</v>
      </c>
      <c r="AH1146" s="63"/>
      <c r="AI1146" s="63"/>
      <c r="AJ1146" s="63"/>
      <c r="AK1146" s="63"/>
      <c r="AL1146" s="63"/>
      <c r="AM1146" s="63">
        <v>1</v>
      </c>
      <c r="AN1146" s="63">
        <v>1</v>
      </c>
      <c r="AO1146" s="63"/>
      <c r="AP1146" s="63"/>
      <c r="AQ1146" s="63">
        <v>1</v>
      </c>
      <c r="AR1146" s="63"/>
      <c r="AS1146" s="63"/>
      <c r="AT1146" s="63"/>
      <c r="AU1146" s="63"/>
      <c r="AW1146" s="5">
        <f>IF(Q1146&gt;0,RANK(Q1146,(N1146:P1146,Q1146:AE1146)),0)</f>
        <v>3</v>
      </c>
      <c r="AX1146" s="5">
        <f>IF(R1146&gt;0,RANK(R1146,(N1146:P1146,Q1146:AE1146)),0)</f>
        <v>5</v>
      </c>
      <c r="AY1146" s="5">
        <f>IF(T1146&gt;0,RANK(T1146,(N1146:P1146,Q1146:AE1146)),0)</f>
        <v>6</v>
      </c>
      <c r="AZ1146" s="5">
        <f>IF(S1146&gt;0,RANK(S1146,(N1146:P1146,Q1146:AE1146)),0)</f>
        <v>7</v>
      </c>
      <c r="BA1146" s="2">
        <f t="shared" si="480"/>
        <v>3.0563654033041787E-2</v>
      </c>
      <c r="BB1146" s="2">
        <f t="shared" si="481"/>
        <v>6.7055393586005832E-3</v>
      </c>
      <c r="BC1146" s="2">
        <f t="shared" si="482"/>
        <v>4.8590864917395527E-4</v>
      </c>
      <c r="BD1146" s="2">
        <f t="shared" si="483"/>
        <v>1.4577259475218659E-4</v>
      </c>
      <c r="BF1146" t="s">
        <v>23</v>
      </c>
      <c r="BG1146" t="s">
        <v>1009</v>
      </c>
      <c r="BH1146">
        <v>4</v>
      </c>
      <c r="BJ1146" s="114">
        <v>21</v>
      </c>
      <c r="BK1146" s="116">
        <v>211</v>
      </c>
      <c r="BL1146" s="120">
        <f t="shared" si="474"/>
        <v>21211</v>
      </c>
      <c r="BN1146" s="5" t="s">
        <v>3154</v>
      </c>
      <c r="BZ1146" s="63">
        <f t="shared" si="473"/>
        <v>20580</v>
      </c>
      <c r="CD1146" s="63">
        <v>0</v>
      </c>
      <c r="CE1146" s="63">
        <v>0</v>
      </c>
      <c r="CF1146" s="63">
        <v>0</v>
      </c>
      <c r="CG1146" s="8">
        <v>1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>
        <v>0</v>
      </c>
      <c r="CQ1146">
        <v>0</v>
      </c>
    </row>
    <row r="1147" spans="1:95" ht="13" hidden="1" customHeight="1" outlineLevel="1">
      <c r="A1147" t="s">
        <v>169</v>
      </c>
      <c r="B1147" t="s">
        <v>1009</v>
      </c>
      <c r="C1147" s="1">
        <f t="shared" si="475"/>
        <v>7531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4</v>
      </c>
      <c r="G1147" s="132">
        <f t="shared" si="462"/>
        <v>2933</v>
      </c>
      <c r="H1147" s="137">
        <f t="shared" si="463"/>
        <v>0.38945691143274463</v>
      </c>
      <c r="I1147" s="2"/>
      <c r="J1147" s="2">
        <f t="shared" si="476"/>
        <v>0.28468994821404858</v>
      </c>
      <c r="K1147" s="2">
        <f t="shared" si="477"/>
        <v>0.67414685964679322</v>
      </c>
      <c r="L1147" s="2">
        <f t="shared" si="478"/>
        <v>8.6309919001460629E-3</v>
      </c>
      <c r="M1147" s="2">
        <f t="shared" si="479"/>
        <v>3.2532200239012141E-2</v>
      </c>
      <c r="N1147" s="63">
        <v>2144</v>
      </c>
      <c r="O1147" s="63">
        <v>5077</v>
      </c>
      <c r="P1147" s="63">
        <v>65</v>
      </c>
      <c r="Q1147" s="63">
        <v>200</v>
      </c>
      <c r="R1147" s="63">
        <v>38</v>
      </c>
      <c r="S1147" s="63">
        <v>1</v>
      </c>
      <c r="T1147" s="63">
        <v>5</v>
      </c>
      <c r="U1147" s="63"/>
      <c r="V1147" s="63"/>
      <c r="W1147" s="63">
        <f>IF(Copyright!B$11=1,IF(CA1147&gt;0,CA1147-SUM(S1147)-SUM(X1147:AI1147)-SUM(AJ1147:AT1147),SUM(CD1147:CQ1147)),SUM(CD1147:CQ1147))</f>
        <v>0</v>
      </c>
      <c r="X1147" s="63"/>
      <c r="Y1147" s="63">
        <v>0</v>
      </c>
      <c r="Z1147" s="63">
        <v>0</v>
      </c>
      <c r="AA1147" s="63"/>
      <c r="AB1147" s="63"/>
      <c r="AC1147" s="63"/>
      <c r="AD1147" s="63"/>
      <c r="AE1147" s="63">
        <v>0</v>
      </c>
      <c r="AF1147" s="63">
        <v>0</v>
      </c>
      <c r="AG1147" s="63">
        <v>1</v>
      </c>
      <c r="AH1147" s="63"/>
      <c r="AI1147" s="63"/>
      <c r="AJ1147" s="63"/>
      <c r="AK1147" s="63"/>
      <c r="AL1147" s="63"/>
      <c r="AM1147" s="63">
        <v>0</v>
      </c>
      <c r="AN1147" s="63">
        <v>0</v>
      </c>
      <c r="AO1147" s="63"/>
      <c r="AP1147" s="63"/>
      <c r="AQ1147" s="63">
        <v>0</v>
      </c>
      <c r="AR1147" s="63"/>
      <c r="AS1147" s="63"/>
      <c r="AT1147" s="63"/>
      <c r="AU1147" s="63"/>
      <c r="AW1147" s="5">
        <f>IF(Q1147&gt;0,RANK(Q1147,(N1147:P1147,Q1147:AE1147)),0)</f>
        <v>3</v>
      </c>
      <c r="AX1147" s="5">
        <f>IF(R1147&gt;0,RANK(R1147,(N1147:P1147,Q1147:AE1147)),0)</f>
        <v>5</v>
      </c>
      <c r="AY1147" s="5">
        <f>IF(T1147&gt;0,RANK(T1147,(N1147:P1147,Q1147:AE1147)),0)</f>
        <v>6</v>
      </c>
      <c r="AZ1147" s="5">
        <f>IF(S1147&gt;0,RANK(S1147,(N1147:P1147,Q1147:AE1147)),0)</f>
        <v>7</v>
      </c>
      <c r="BA1147" s="2">
        <f t="shared" si="480"/>
        <v>2.6556898154295579E-2</v>
      </c>
      <c r="BB1147" s="2">
        <f t="shared" si="481"/>
        <v>5.0458106493161603E-3</v>
      </c>
      <c r="BC1147" s="2">
        <f t="shared" si="482"/>
        <v>6.6392245385738945E-4</v>
      </c>
      <c r="BD1147" s="2">
        <f t="shared" si="483"/>
        <v>1.3278449077147789E-4</v>
      </c>
      <c r="BF1147" t="s">
        <v>169</v>
      </c>
      <c r="BG1147" t="s">
        <v>1009</v>
      </c>
      <c r="BH1147">
        <v>1</v>
      </c>
      <c r="BJ1147" s="114">
        <v>21</v>
      </c>
      <c r="BK1147" s="116">
        <v>213</v>
      </c>
      <c r="BL1147" s="120">
        <f t="shared" si="474"/>
        <v>21213</v>
      </c>
      <c r="BN1147" s="5" t="s">
        <v>3154</v>
      </c>
      <c r="BZ1147" s="63">
        <f t="shared" si="473"/>
        <v>7531</v>
      </c>
      <c r="CD1147" s="63">
        <v>0</v>
      </c>
      <c r="CE1147" s="63">
        <v>0</v>
      </c>
      <c r="CF1147" s="63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>
        <v>0</v>
      </c>
      <c r="CQ1147">
        <v>0</v>
      </c>
    </row>
    <row r="1148" spans="1:95" ht="13" hidden="1" customHeight="1" outlineLevel="1">
      <c r="A1148" t="s">
        <v>634</v>
      </c>
      <c r="B1148" t="s">
        <v>1009</v>
      </c>
      <c r="C1148" s="1">
        <f t="shared" si="475"/>
        <v>9515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4</v>
      </c>
      <c r="G1148" s="132">
        <f t="shared" si="462"/>
        <v>5275</v>
      </c>
      <c r="H1148" s="137">
        <f t="shared" si="463"/>
        <v>0.55438780872306881</v>
      </c>
      <c r="I1148" s="2"/>
      <c r="J1148" s="2">
        <f t="shared" si="476"/>
        <v>0.20189174986862848</v>
      </c>
      <c r="K1148" s="2">
        <f t="shared" si="477"/>
        <v>0.75627955859169727</v>
      </c>
      <c r="L1148" s="2">
        <f t="shared" si="478"/>
        <v>1.1665790856542301E-2</v>
      </c>
      <c r="M1148" s="2">
        <f t="shared" si="479"/>
        <v>3.0162900683131978E-2</v>
      </c>
      <c r="N1148" s="63">
        <v>1921</v>
      </c>
      <c r="O1148" s="63">
        <v>7196</v>
      </c>
      <c r="P1148" s="63">
        <v>111</v>
      </c>
      <c r="Q1148" s="63">
        <v>237</v>
      </c>
      <c r="R1148" s="63">
        <v>44</v>
      </c>
      <c r="S1148" s="63">
        <v>2</v>
      </c>
      <c r="T1148" s="63">
        <v>4</v>
      </c>
      <c r="U1148" s="63"/>
      <c r="V1148" s="63"/>
      <c r="W1148" s="63">
        <f>IF(Copyright!B$11=1,IF(CA1148&gt;0,CA1148-SUM(S1148)-SUM(X1148:AI1148)-SUM(AJ1148:AT1148),SUM(CD1148:CQ1148)),SUM(CD1148:CQ1148))</f>
        <v>0</v>
      </c>
      <c r="X1148" s="63"/>
      <c r="Y1148" s="63">
        <v>0</v>
      </c>
      <c r="Z1148" s="63">
        <v>0</v>
      </c>
      <c r="AA1148" s="63"/>
      <c r="AB1148" s="63"/>
      <c r="AC1148" s="63"/>
      <c r="AD1148" s="63"/>
      <c r="AE1148" s="63">
        <v>0</v>
      </c>
      <c r="AF1148" s="63">
        <v>0</v>
      </c>
      <c r="AG1148" s="63">
        <v>0</v>
      </c>
      <c r="AH1148" s="63"/>
      <c r="AI1148" s="63"/>
      <c r="AJ1148" s="63"/>
      <c r="AK1148" s="63"/>
      <c r="AL1148" s="63"/>
      <c r="AM1148" s="63">
        <v>0</v>
      </c>
      <c r="AN1148" s="63">
        <v>0</v>
      </c>
      <c r="AO1148" s="63"/>
      <c r="AP1148" s="63"/>
      <c r="AQ1148" s="63">
        <v>0</v>
      </c>
      <c r="AR1148" s="63"/>
      <c r="AS1148" s="63"/>
      <c r="AT1148" s="63"/>
      <c r="AU1148" s="63"/>
      <c r="AW1148" s="5">
        <f>IF(Q1148&gt;0,RANK(Q1148,(N1148:P1148,Q1148:AE1148)),0)</f>
        <v>3</v>
      </c>
      <c r="AX1148" s="5">
        <f>IF(R1148&gt;0,RANK(R1148,(N1148:P1148,Q1148:AE1148)),0)</f>
        <v>5</v>
      </c>
      <c r="AY1148" s="5">
        <f>IF(T1148&gt;0,RANK(T1148,(N1148:P1148,Q1148:AE1148)),0)</f>
        <v>6</v>
      </c>
      <c r="AZ1148" s="5">
        <f>IF(S1148&gt;0,RANK(S1148,(N1148:P1148,Q1148:AE1148)),0)</f>
        <v>7</v>
      </c>
      <c r="BA1148" s="2">
        <f t="shared" si="480"/>
        <v>2.490803993694167E-2</v>
      </c>
      <c r="BB1148" s="2">
        <f t="shared" si="481"/>
        <v>4.6242774566473991E-3</v>
      </c>
      <c r="BC1148" s="2">
        <f t="shared" si="482"/>
        <v>4.2038885969521806E-4</v>
      </c>
      <c r="BD1148" s="2">
        <f t="shared" si="483"/>
        <v>2.1019442984760903E-4</v>
      </c>
      <c r="BF1148" t="s">
        <v>634</v>
      </c>
      <c r="BG1148" t="s">
        <v>1009</v>
      </c>
      <c r="BJ1148" s="114">
        <v>21</v>
      </c>
      <c r="BK1148" s="116">
        <v>215</v>
      </c>
      <c r="BL1148" s="120">
        <f t="shared" si="474"/>
        <v>21215</v>
      </c>
      <c r="BN1148" s="5" t="s">
        <v>3154</v>
      </c>
      <c r="BZ1148" s="63">
        <f t="shared" si="473"/>
        <v>9515</v>
      </c>
      <c r="CD1148" s="63">
        <v>0</v>
      </c>
      <c r="CE1148" s="63">
        <v>0</v>
      </c>
      <c r="CF1148" s="63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>
        <v>0</v>
      </c>
      <c r="CQ1148">
        <v>0</v>
      </c>
    </row>
    <row r="1149" spans="1:95" ht="13" hidden="1" customHeight="1" outlineLevel="1">
      <c r="A1149" t="s">
        <v>1140</v>
      </c>
      <c r="B1149" t="s">
        <v>1009</v>
      </c>
      <c r="C1149" s="1">
        <f t="shared" si="475"/>
        <v>11306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4</v>
      </c>
      <c r="G1149" s="132">
        <f t="shared" si="462"/>
        <v>5767</v>
      </c>
      <c r="H1149" s="137">
        <f t="shared" si="463"/>
        <v>0.51008314169467539</v>
      </c>
      <c r="I1149" s="2"/>
      <c r="J1149" s="2">
        <f t="shared" si="476"/>
        <v>0.22580930479391473</v>
      </c>
      <c r="K1149" s="2">
        <f t="shared" si="477"/>
        <v>0.73589244648859009</v>
      </c>
      <c r="L1149" s="2">
        <f t="shared" si="478"/>
        <v>1.2559702812665842E-2</v>
      </c>
      <c r="M1149" s="2">
        <f t="shared" si="479"/>
        <v>2.5738545904829366E-2</v>
      </c>
      <c r="N1149" s="63">
        <v>2553</v>
      </c>
      <c r="O1149" s="63">
        <v>8320</v>
      </c>
      <c r="P1149" s="63">
        <v>142</v>
      </c>
      <c r="Q1149" s="63">
        <v>233</v>
      </c>
      <c r="R1149" s="63">
        <v>53</v>
      </c>
      <c r="S1149" s="63">
        <v>2</v>
      </c>
      <c r="T1149" s="63">
        <v>3</v>
      </c>
      <c r="U1149" s="63"/>
      <c r="V1149" s="63"/>
      <c r="W1149" s="63">
        <f>IF(Copyright!B$11=1,IF(CA1149&gt;0,CA1149-SUM(S1149)-SUM(X1149:AI1149)-SUM(AJ1149:AT1149),SUM(CD1149:CQ1149)),SUM(CD1149:CQ1149))</f>
        <v>0</v>
      </c>
      <c r="X1149" s="63"/>
      <c r="Y1149" s="63">
        <v>0</v>
      </c>
      <c r="Z1149" s="63">
        <v>0</v>
      </c>
      <c r="AA1149" s="63"/>
      <c r="AB1149" s="63"/>
      <c r="AC1149" s="63"/>
      <c r="AD1149" s="63"/>
      <c r="AE1149" s="63">
        <v>0</v>
      </c>
      <c r="AF1149" s="63">
        <v>0</v>
      </c>
      <c r="AG1149" s="63">
        <v>0</v>
      </c>
      <c r="AH1149" s="63"/>
      <c r="AI1149" s="63"/>
      <c r="AJ1149" s="63"/>
      <c r="AK1149" s="63"/>
      <c r="AL1149" s="63"/>
      <c r="AM1149" s="63">
        <v>0</v>
      </c>
      <c r="AN1149" s="63">
        <v>0</v>
      </c>
      <c r="AO1149" s="63"/>
      <c r="AP1149" s="63"/>
      <c r="AQ1149" s="63">
        <v>0</v>
      </c>
      <c r="AR1149" s="63"/>
      <c r="AS1149" s="63"/>
      <c r="AT1149" s="63"/>
      <c r="AU1149" s="63"/>
      <c r="AW1149" s="5">
        <f>IF(Q1149&gt;0,RANK(Q1149,(N1149:P1149,Q1149:AE1149)),0)</f>
        <v>3</v>
      </c>
      <c r="AX1149" s="5">
        <f>IF(R1149&gt;0,RANK(R1149,(N1149:P1149,Q1149:AE1149)),0)</f>
        <v>5</v>
      </c>
      <c r="AY1149" s="5">
        <f>IF(T1149&gt;0,RANK(T1149,(N1149:P1149,Q1149:AE1149)),0)</f>
        <v>6</v>
      </c>
      <c r="AZ1149" s="5">
        <f>IF(S1149&gt;0,RANK(S1149,(N1149:P1149,Q1149:AE1149)),0)</f>
        <v>7</v>
      </c>
      <c r="BA1149" s="2">
        <f t="shared" si="480"/>
        <v>2.0608526446134794E-2</v>
      </c>
      <c r="BB1149" s="2">
        <f t="shared" si="481"/>
        <v>4.6877764019104904E-3</v>
      </c>
      <c r="BC1149" s="2">
        <f t="shared" si="482"/>
        <v>2.6534583407040508E-4</v>
      </c>
      <c r="BD1149" s="2">
        <f t="shared" si="483"/>
        <v>1.7689722271360339E-4</v>
      </c>
      <c r="BF1149" t="s">
        <v>1140</v>
      </c>
      <c r="BG1149" t="s">
        <v>1009</v>
      </c>
      <c r="BH1149">
        <v>1</v>
      </c>
      <c r="BJ1149" s="114">
        <v>21</v>
      </c>
      <c r="BK1149" s="116">
        <v>217</v>
      </c>
      <c r="BL1149" s="120">
        <f t="shared" si="474"/>
        <v>21217</v>
      </c>
      <c r="BN1149" s="5" t="s">
        <v>3154</v>
      </c>
      <c r="BZ1149" s="63">
        <f t="shared" si="473"/>
        <v>11306</v>
      </c>
      <c r="CD1149" s="63">
        <v>0</v>
      </c>
      <c r="CE1149" s="63">
        <v>0</v>
      </c>
      <c r="CF1149" s="63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>
        <v>0</v>
      </c>
      <c r="CQ1149">
        <v>0</v>
      </c>
    </row>
    <row r="1150" spans="1:95" ht="13" hidden="1" customHeight="1" outlineLevel="1">
      <c r="A1150" t="s">
        <v>2000</v>
      </c>
      <c r="B1150" t="s">
        <v>1009</v>
      </c>
      <c r="C1150" s="1">
        <f t="shared" si="475"/>
        <v>4779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4</v>
      </c>
      <c r="G1150" s="132">
        <f t="shared" si="462"/>
        <v>2570</v>
      </c>
      <c r="H1150" s="137">
        <f t="shared" si="463"/>
        <v>0.53776940782590499</v>
      </c>
      <c r="I1150" s="2"/>
      <c r="J1150" s="2">
        <f t="shared" si="476"/>
        <v>0.21803724628583385</v>
      </c>
      <c r="K1150" s="2">
        <f t="shared" si="477"/>
        <v>0.75580665411173886</v>
      </c>
      <c r="L1150" s="2">
        <f t="shared" si="478"/>
        <v>5.6497175141242938E-3</v>
      </c>
      <c r="M1150" s="2">
        <f t="shared" si="479"/>
        <v>2.0506382088302969E-2</v>
      </c>
      <c r="N1150" s="63">
        <v>1042</v>
      </c>
      <c r="O1150" s="63">
        <v>3612</v>
      </c>
      <c r="P1150" s="63">
        <v>27</v>
      </c>
      <c r="Q1150" s="63">
        <v>64</v>
      </c>
      <c r="R1150" s="63">
        <v>26</v>
      </c>
      <c r="S1150" s="63">
        <v>3</v>
      </c>
      <c r="T1150" s="63">
        <v>3</v>
      </c>
      <c r="U1150" s="63"/>
      <c r="V1150" s="63"/>
      <c r="W1150" s="63">
        <f>IF(Copyright!B$11=1,IF(CA1150&gt;0,CA1150-SUM(S1150)-SUM(X1150:AI1150)-SUM(AJ1150:AT1150),SUM(CD1150:CQ1150)),SUM(CD1150:CQ1150))</f>
        <v>0</v>
      </c>
      <c r="X1150" s="63"/>
      <c r="Y1150" s="63">
        <v>2</v>
      </c>
      <c r="Z1150" s="63">
        <v>0</v>
      </c>
      <c r="AA1150" s="63"/>
      <c r="AB1150" s="63"/>
      <c r="AC1150" s="63"/>
      <c r="AD1150" s="63"/>
      <c r="AE1150" s="63">
        <v>0</v>
      </c>
      <c r="AF1150" s="63">
        <v>0</v>
      </c>
      <c r="AG1150" s="63">
        <v>0</v>
      </c>
      <c r="AH1150" s="63"/>
      <c r="AI1150" s="63"/>
      <c r="AJ1150" s="63"/>
      <c r="AK1150" s="63"/>
      <c r="AL1150" s="63"/>
      <c r="AM1150" s="63">
        <v>0</v>
      </c>
      <c r="AN1150" s="63">
        <v>0</v>
      </c>
      <c r="AO1150" s="63"/>
      <c r="AP1150" s="63"/>
      <c r="AQ1150" s="63">
        <v>0</v>
      </c>
      <c r="AR1150" s="63"/>
      <c r="AS1150" s="63"/>
      <c r="AT1150" s="63"/>
      <c r="AU1150" s="63"/>
      <c r="AW1150" s="5">
        <f>IF(Q1150&gt;0,RANK(Q1150,(N1150:P1150,Q1150:AE1150)),0)</f>
        <v>3</v>
      </c>
      <c r="AX1150" s="5">
        <f>IF(R1150&gt;0,RANK(R1150,(N1150:P1150,Q1150:AE1150)),0)</f>
        <v>5</v>
      </c>
      <c r="AY1150" s="5">
        <f>IF(T1150&gt;0,RANK(T1150,(N1150:P1150,Q1150:AE1150)),0)</f>
        <v>6</v>
      </c>
      <c r="AZ1150" s="5">
        <f>IF(S1150&gt;0,RANK(S1150,(N1150:P1150,Q1150:AE1150)),0)</f>
        <v>6</v>
      </c>
      <c r="BA1150" s="2">
        <f t="shared" si="480"/>
        <v>1.3391922996442771E-2</v>
      </c>
      <c r="BB1150" s="2">
        <f t="shared" si="481"/>
        <v>5.4404687173048756E-3</v>
      </c>
      <c r="BC1150" s="2">
        <f t="shared" si="482"/>
        <v>6.2774639045825491E-4</v>
      </c>
      <c r="BD1150" s="2">
        <f t="shared" si="483"/>
        <v>6.2774639045825491E-4</v>
      </c>
      <c r="BF1150" t="s">
        <v>2000</v>
      </c>
      <c r="BG1150" t="s">
        <v>1009</v>
      </c>
      <c r="BH1150">
        <v>1</v>
      </c>
      <c r="BJ1150" s="114">
        <v>21</v>
      </c>
      <c r="BK1150" s="116">
        <v>219</v>
      </c>
      <c r="BL1150" s="120">
        <f t="shared" si="474"/>
        <v>21219</v>
      </c>
      <c r="BN1150" s="5" t="s">
        <v>3154</v>
      </c>
      <c r="BZ1150" s="63">
        <f t="shared" si="473"/>
        <v>4779</v>
      </c>
      <c r="CD1150" s="63">
        <v>0</v>
      </c>
      <c r="CE1150" s="63">
        <v>0</v>
      </c>
      <c r="CF1150" s="63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0</v>
      </c>
      <c r="CN1150" s="8">
        <v>0</v>
      </c>
      <c r="CO1150" s="8">
        <v>0</v>
      </c>
      <c r="CP1150">
        <v>0</v>
      </c>
      <c r="CQ1150">
        <v>0</v>
      </c>
    </row>
    <row r="1151" spans="1:95" ht="13" hidden="1" customHeight="1" outlineLevel="1">
      <c r="A1151" t="s">
        <v>642</v>
      </c>
      <c r="B1151" t="s">
        <v>1009</v>
      </c>
      <c r="C1151" s="1">
        <f t="shared" si="475"/>
        <v>6751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4</v>
      </c>
      <c r="G1151" s="132">
        <f t="shared" si="462"/>
        <v>3344</v>
      </c>
      <c r="H1151" s="137">
        <f t="shared" si="463"/>
        <v>0.49533402458894976</v>
      </c>
      <c r="I1151" s="2"/>
      <c r="J1151" s="2">
        <f t="shared" si="476"/>
        <v>0.23507628499481559</v>
      </c>
      <c r="K1151" s="2">
        <f t="shared" si="477"/>
        <v>0.7304103095837654</v>
      </c>
      <c r="L1151" s="2">
        <f t="shared" si="478"/>
        <v>8.7394460079988148E-3</v>
      </c>
      <c r="M1151" s="2">
        <f t="shared" si="479"/>
        <v>2.5773959413420193E-2</v>
      </c>
      <c r="N1151" s="63">
        <v>1587</v>
      </c>
      <c r="O1151" s="63">
        <v>4931</v>
      </c>
      <c r="P1151" s="63">
        <v>59</v>
      </c>
      <c r="Q1151" s="63">
        <v>121</v>
      </c>
      <c r="R1151" s="63">
        <v>45</v>
      </c>
      <c r="S1151" s="63">
        <v>1</v>
      </c>
      <c r="T1151" s="63">
        <v>5</v>
      </c>
      <c r="U1151" s="63"/>
      <c r="V1151" s="63"/>
      <c r="W1151" s="63">
        <f>IF(Copyright!B$11=1,IF(CA1151&gt;0,CA1151-SUM(S1151)-SUM(X1151:AI1151)-SUM(AJ1151:AT1151),SUM(CD1151:CQ1151)),SUM(CD1151:CQ1151))</f>
        <v>0</v>
      </c>
      <c r="X1151" s="63"/>
      <c r="Y1151" s="63">
        <v>0</v>
      </c>
      <c r="Z1151" s="63">
        <v>0</v>
      </c>
      <c r="AA1151" s="63"/>
      <c r="AB1151" s="63"/>
      <c r="AC1151" s="63"/>
      <c r="AD1151" s="63"/>
      <c r="AE1151" s="63">
        <v>0</v>
      </c>
      <c r="AF1151" s="63">
        <v>0</v>
      </c>
      <c r="AG1151" s="63">
        <v>0</v>
      </c>
      <c r="AH1151" s="63"/>
      <c r="AI1151" s="63"/>
      <c r="AJ1151" s="63"/>
      <c r="AK1151" s="63"/>
      <c r="AL1151" s="63"/>
      <c r="AM1151" s="63">
        <v>0</v>
      </c>
      <c r="AN1151" s="63">
        <v>0</v>
      </c>
      <c r="AO1151" s="63"/>
      <c r="AP1151" s="63"/>
      <c r="AQ1151" s="63">
        <v>2</v>
      </c>
      <c r="AR1151" s="63"/>
      <c r="AS1151" s="63"/>
      <c r="AT1151" s="63"/>
      <c r="AU1151" s="63"/>
      <c r="AW1151" s="5">
        <f>IF(Q1151&gt;0,RANK(Q1151,(N1151:P1151,Q1151:AE1151)),0)</f>
        <v>3</v>
      </c>
      <c r="AX1151" s="5">
        <f>IF(R1151&gt;0,RANK(R1151,(N1151:P1151,Q1151:AE1151)),0)</f>
        <v>5</v>
      </c>
      <c r="AY1151" s="5">
        <f>IF(T1151&gt;0,RANK(T1151,(N1151:P1151,Q1151:AE1151)),0)</f>
        <v>6</v>
      </c>
      <c r="AZ1151" s="5">
        <f>IF(S1151&gt;0,RANK(S1151,(N1151:P1151,Q1151:AE1151)),0)</f>
        <v>7</v>
      </c>
      <c r="BA1151" s="2">
        <f t="shared" si="480"/>
        <v>1.792327062657384E-2</v>
      </c>
      <c r="BB1151" s="2">
        <f t="shared" si="481"/>
        <v>6.6656791586431636E-3</v>
      </c>
      <c r="BC1151" s="2">
        <f t="shared" si="482"/>
        <v>7.4063101762701818E-4</v>
      </c>
      <c r="BD1151" s="2">
        <f t="shared" si="483"/>
        <v>1.4812620352540364E-4</v>
      </c>
      <c r="BF1151" t="s">
        <v>642</v>
      </c>
      <c r="BG1151" t="s">
        <v>1009</v>
      </c>
      <c r="BH1151">
        <v>1</v>
      </c>
      <c r="BJ1151" s="114">
        <v>21</v>
      </c>
      <c r="BK1151" s="116">
        <v>221</v>
      </c>
      <c r="BL1151" s="120">
        <f t="shared" si="474"/>
        <v>21221</v>
      </c>
      <c r="BN1151" s="5" t="s">
        <v>3154</v>
      </c>
      <c r="BZ1151" s="63">
        <f t="shared" si="473"/>
        <v>6751</v>
      </c>
      <c r="CD1151" s="63">
        <v>0</v>
      </c>
      <c r="CE1151" s="63">
        <v>0</v>
      </c>
      <c r="CF1151" s="63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0</v>
      </c>
      <c r="CN1151" s="8">
        <v>0</v>
      </c>
      <c r="CO1151" s="8">
        <v>0</v>
      </c>
      <c r="CP1151">
        <v>0</v>
      </c>
      <c r="CQ1151">
        <v>0</v>
      </c>
    </row>
    <row r="1152" spans="1:95" ht="13" hidden="1" customHeight="1" outlineLevel="1">
      <c r="A1152" t="s">
        <v>1029</v>
      </c>
      <c r="B1152" t="s">
        <v>1009</v>
      </c>
      <c r="C1152" s="1">
        <f t="shared" si="475"/>
        <v>3798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4</v>
      </c>
      <c r="G1152" s="132">
        <f t="shared" si="462"/>
        <v>1892</v>
      </c>
      <c r="H1152" s="137">
        <f t="shared" si="463"/>
        <v>0.49815692469720907</v>
      </c>
      <c r="I1152" s="2"/>
      <c r="J1152" s="2">
        <f t="shared" si="476"/>
        <v>0.23143759873617695</v>
      </c>
      <c r="K1152" s="2">
        <f t="shared" si="477"/>
        <v>0.72959452343338604</v>
      </c>
      <c r="L1152" s="2">
        <f t="shared" si="478"/>
        <v>7.37230121116377E-3</v>
      </c>
      <c r="M1152" s="2">
        <f t="shared" si="479"/>
        <v>3.1595576619273209E-2</v>
      </c>
      <c r="N1152" s="63">
        <v>879</v>
      </c>
      <c r="O1152" s="63">
        <v>2771</v>
      </c>
      <c r="P1152" s="63">
        <v>28</v>
      </c>
      <c r="Q1152" s="63">
        <v>88</v>
      </c>
      <c r="R1152" s="63">
        <v>20</v>
      </c>
      <c r="S1152" s="63">
        <v>0</v>
      </c>
      <c r="T1152" s="63">
        <v>2</v>
      </c>
      <c r="U1152" s="63"/>
      <c r="V1152" s="63"/>
      <c r="W1152" s="63">
        <f>IF(Copyright!B$11=1,IF(CA1152&gt;0,CA1152-SUM(S1152)-SUM(X1152:AI1152)-SUM(AJ1152:AT1152),SUM(CD1152:CQ1152)),SUM(CD1152:CQ1152))</f>
        <v>10</v>
      </c>
      <c r="X1152" s="63"/>
      <c r="Y1152" s="63">
        <v>0</v>
      </c>
      <c r="Z1152" s="63">
        <v>0</v>
      </c>
      <c r="AA1152" s="63"/>
      <c r="AB1152" s="63"/>
      <c r="AC1152" s="63"/>
      <c r="AD1152" s="63"/>
      <c r="AE1152" s="63">
        <v>0</v>
      </c>
      <c r="AF1152" s="63">
        <v>0</v>
      </c>
      <c r="AG1152" s="63">
        <v>0</v>
      </c>
      <c r="AH1152" s="63"/>
      <c r="AI1152" s="63"/>
      <c r="AJ1152" s="63"/>
      <c r="AK1152" s="63"/>
      <c r="AL1152" s="63"/>
      <c r="AM1152" s="63">
        <v>0</v>
      </c>
      <c r="AN1152" s="63">
        <v>0</v>
      </c>
      <c r="AO1152" s="63"/>
      <c r="AP1152" s="63"/>
      <c r="AQ1152" s="63">
        <v>0</v>
      </c>
      <c r="AR1152" s="63"/>
      <c r="AS1152" s="63"/>
      <c r="AT1152" s="63"/>
      <c r="AU1152" s="63"/>
      <c r="AW1152" s="5">
        <f>IF(Q1152&gt;0,RANK(Q1152,(N1152:P1152,Q1152:AE1152)),0)</f>
        <v>3</v>
      </c>
      <c r="AX1152" s="5">
        <f>IF(R1152&gt;0,RANK(R1152,(N1152:P1152,Q1152:AE1152)),0)</f>
        <v>5</v>
      </c>
      <c r="AY1152" s="5">
        <f>IF(T1152&gt;0,RANK(T1152,(N1152:P1152,Q1152:AE1152)),0)</f>
        <v>7</v>
      </c>
      <c r="AZ1152" s="5">
        <f>IF(S1152&gt;0,RANK(S1152,(N1152:P1152,Q1152:AE1152)),0)</f>
        <v>0</v>
      </c>
      <c r="BA1152" s="2">
        <f t="shared" si="480"/>
        <v>2.3170089520800422E-2</v>
      </c>
      <c r="BB1152" s="2">
        <f t="shared" si="481"/>
        <v>5.2659294365455505E-3</v>
      </c>
      <c r="BC1152" s="2">
        <f t="shared" si="482"/>
        <v>5.2659294365455498E-4</v>
      </c>
      <c r="BD1152" s="2">
        <f t="shared" si="483"/>
        <v>0</v>
      </c>
      <c r="BF1152" t="s">
        <v>1029</v>
      </c>
      <c r="BG1152" t="s">
        <v>1009</v>
      </c>
      <c r="BH1152">
        <v>4</v>
      </c>
      <c r="BJ1152" s="114">
        <v>21</v>
      </c>
      <c r="BK1152" s="116">
        <v>223</v>
      </c>
      <c r="BL1152" s="120">
        <f t="shared" si="474"/>
        <v>21223</v>
      </c>
      <c r="BN1152" s="5" t="s">
        <v>3154</v>
      </c>
      <c r="BZ1152" s="63">
        <f t="shared" si="473"/>
        <v>3798</v>
      </c>
      <c r="CD1152" s="63">
        <v>10</v>
      </c>
      <c r="CE1152" s="63">
        <v>0</v>
      </c>
      <c r="CF1152" s="63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>
        <v>0</v>
      </c>
      <c r="CQ1152">
        <v>0</v>
      </c>
    </row>
    <row r="1153" spans="1:95" ht="13" hidden="1" customHeight="1" outlineLevel="1">
      <c r="A1153" t="s">
        <v>1513</v>
      </c>
      <c r="B1153" t="s">
        <v>1009</v>
      </c>
      <c r="C1153" s="1">
        <f t="shared" si="475"/>
        <v>6211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4</v>
      </c>
      <c r="G1153" s="132">
        <f t="shared" si="462"/>
        <v>3370</v>
      </c>
      <c r="H1153" s="137">
        <f t="shared" si="463"/>
        <v>0.54258573498631457</v>
      </c>
      <c r="I1153" s="2"/>
      <c r="J1153" s="2">
        <f t="shared" si="476"/>
        <v>0.21429721461922396</v>
      </c>
      <c r="K1153" s="2">
        <f t="shared" si="477"/>
        <v>0.75688294960553859</v>
      </c>
      <c r="L1153" s="2">
        <f t="shared" si="478"/>
        <v>5.3131540814683629E-3</v>
      </c>
      <c r="M1153" s="2">
        <f t="shared" si="479"/>
        <v>2.3506681693769137E-2</v>
      </c>
      <c r="N1153" s="63">
        <v>1331</v>
      </c>
      <c r="O1153" s="63">
        <v>4701</v>
      </c>
      <c r="P1153" s="63">
        <v>33</v>
      </c>
      <c r="Q1153" s="63">
        <v>115</v>
      </c>
      <c r="R1153" s="63">
        <v>29</v>
      </c>
      <c r="S1153" s="63">
        <v>0</v>
      </c>
      <c r="T1153" s="63">
        <v>2</v>
      </c>
      <c r="U1153" s="63"/>
      <c r="V1153" s="63"/>
      <c r="W1153" s="63">
        <f>IF(Copyright!B$11=1,IF(CA1153&gt;0,CA1153-SUM(S1153)-SUM(X1153:AI1153)-SUM(AJ1153:AT1153),SUM(CD1153:CQ1153)),SUM(CD1153:CQ1153))</f>
        <v>0</v>
      </c>
      <c r="X1153" s="63"/>
      <c r="Y1153" s="63">
        <v>0</v>
      </c>
      <c r="Z1153" s="63">
        <v>0</v>
      </c>
      <c r="AA1153" s="63"/>
      <c r="AB1153" s="63"/>
      <c r="AC1153" s="63"/>
      <c r="AD1153" s="63"/>
      <c r="AE1153" s="63">
        <v>0</v>
      </c>
      <c r="AF1153" s="63">
        <v>0</v>
      </c>
      <c r="AG1153" s="63">
        <v>0</v>
      </c>
      <c r="AH1153" s="63"/>
      <c r="AI1153" s="63"/>
      <c r="AJ1153" s="63"/>
      <c r="AK1153" s="63"/>
      <c r="AL1153" s="63"/>
      <c r="AM1153" s="63">
        <v>0</v>
      </c>
      <c r="AN1153" s="63">
        <v>0</v>
      </c>
      <c r="AO1153" s="63"/>
      <c r="AP1153" s="63"/>
      <c r="AQ1153" s="63">
        <v>0</v>
      </c>
      <c r="AR1153" s="63"/>
      <c r="AS1153" s="63"/>
      <c r="AT1153" s="63"/>
      <c r="AU1153" s="63"/>
      <c r="AW1153" s="5">
        <f>IF(Q1153&gt;0,RANK(Q1153,(N1153:P1153,Q1153:AE1153)),0)</f>
        <v>3</v>
      </c>
      <c r="AX1153" s="5">
        <f>IF(R1153&gt;0,RANK(R1153,(N1153:P1153,Q1153:AE1153)),0)</f>
        <v>5</v>
      </c>
      <c r="AY1153" s="5">
        <f>IF(T1153&gt;0,RANK(T1153,(N1153:P1153,Q1153:AE1153)),0)</f>
        <v>6</v>
      </c>
      <c r="AZ1153" s="5">
        <f>IF(S1153&gt;0,RANK(S1153,(N1153:P1153,Q1153:AE1153)),0)</f>
        <v>0</v>
      </c>
      <c r="BA1153" s="2">
        <f t="shared" si="480"/>
        <v>1.8515536950571565E-2</v>
      </c>
      <c r="BB1153" s="2">
        <f t="shared" si="481"/>
        <v>4.6691354049267428E-3</v>
      </c>
      <c r="BC1153" s="2">
        <f t="shared" si="482"/>
        <v>3.2200933827080985E-4</v>
      </c>
      <c r="BD1153" s="2">
        <f t="shared" si="483"/>
        <v>0</v>
      </c>
      <c r="BF1153" t="s">
        <v>1513</v>
      </c>
      <c r="BG1153" t="s">
        <v>1009</v>
      </c>
      <c r="BH1153">
        <v>1</v>
      </c>
      <c r="BJ1153" s="114">
        <v>21</v>
      </c>
      <c r="BK1153" s="116">
        <v>225</v>
      </c>
      <c r="BL1153" s="120">
        <f t="shared" si="474"/>
        <v>21225</v>
      </c>
      <c r="BN1153" s="5" t="s">
        <v>3154</v>
      </c>
      <c r="BZ1153" s="63">
        <f t="shared" si="473"/>
        <v>6211</v>
      </c>
      <c r="CD1153" s="63">
        <v>0</v>
      </c>
      <c r="CE1153" s="63">
        <v>0</v>
      </c>
      <c r="CF1153" s="63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0</v>
      </c>
      <c r="CN1153" s="8">
        <v>0</v>
      </c>
      <c r="CO1153" s="8">
        <v>0</v>
      </c>
      <c r="CP1153">
        <v>0</v>
      </c>
      <c r="CQ1153">
        <v>0</v>
      </c>
    </row>
    <row r="1154" spans="1:95" ht="13" hidden="1" customHeight="1" outlineLevel="1">
      <c r="A1154" t="s">
        <v>422</v>
      </c>
      <c r="B1154" t="s">
        <v>1009</v>
      </c>
      <c r="C1154" s="1">
        <f t="shared" si="475"/>
        <v>48454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4</v>
      </c>
      <c r="G1154" s="132">
        <f t="shared" si="462"/>
        <v>11707</v>
      </c>
      <c r="H1154" s="137">
        <f t="shared" si="463"/>
        <v>0.24161059974408716</v>
      </c>
      <c r="I1154" s="2"/>
      <c r="J1154" s="2">
        <f t="shared" si="476"/>
        <v>0.3501465307301771</v>
      </c>
      <c r="K1154" s="2">
        <f t="shared" si="477"/>
        <v>0.59175713047426426</v>
      </c>
      <c r="L1154" s="2">
        <f t="shared" si="478"/>
        <v>1.5623065175217733E-2</v>
      </c>
      <c r="M1154" s="2">
        <f t="shared" si="479"/>
        <v>4.2473273620340909E-2</v>
      </c>
      <c r="N1154" s="63">
        <v>16966</v>
      </c>
      <c r="O1154" s="63">
        <v>28673</v>
      </c>
      <c r="P1154" s="63">
        <v>757</v>
      </c>
      <c r="Q1154" s="63">
        <v>1605</v>
      </c>
      <c r="R1154" s="63">
        <v>415</v>
      </c>
      <c r="S1154" s="63">
        <v>15</v>
      </c>
      <c r="T1154" s="63">
        <v>20</v>
      </c>
      <c r="U1154" s="63"/>
      <c r="V1154" s="63"/>
      <c r="W1154" s="63">
        <f>IF(Copyright!B$11=1,IF(CA1154&gt;0,CA1154-SUM(S1154)-SUM(X1154:AI1154)-SUM(AJ1154:AT1154),SUM(CD1154:CQ1154)),SUM(CD1154:CQ1154))</f>
        <v>0</v>
      </c>
      <c r="X1154" s="63"/>
      <c r="Y1154" s="63">
        <v>1</v>
      </c>
      <c r="Z1154" s="63">
        <v>0</v>
      </c>
      <c r="AA1154" s="63"/>
      <c r="AB1154" s="63"/>
      <c r="AC1154" s="63"/>
      <c r="AD1154" s="63"/>
      <c r="AE1154" s="63">
        <v>0</v>
      </c>
      <c r="AF1154" s="63">
        <v>0</v>
      </c>
      <c r="AG1154" s="63">
        <v>0</v>
      </c>
      <c r="AH1154" s="63"/>
      <c r="AI1154" s="63"/>
      <c r="AJ1154" s="63"/>
      <c r="AK1154" s="63"/>
      <c r="AL1154" s="63"/>
      <c r="AM1154" s="63">
        <v>0</v>
      </c>
      <c r="AN1154" s="63">
        <v>2</v>
      </c>
      <c r="AO1154" s="63"/>
      <c r="AP1154" s="63"/>
      <c r="AQ1154" s="63">
        <v>0</v>
      </c>
      <c r="AR1154" s="63"/>
      <c r="AS1154" s="63"/>
      <c r="AT1154" s="63"/>
      <c r="AU1154" s="63"/>
      <c r="AW1154" s="5">
        <f>IF(Q1154&gt;0,RANK(Q1154,(N1154:P1154,Q1154:AE1154)),0)</f>
        <v>3</v>
      </c>
      <c r="AX1154" s="5">
        <f>IF(R1154&gt;0,RANK(R1154,(N1154:P1154,Q1154:AE1154)),0)</f>
        <v>5</v>
      </c>
      <c r="AY1154" s="5">
        <f>IF(T1154&gt;0,RANK(T1154,(N1154:P1154,Q1154:AE1154)),0)</f>
        <v>6</v>
      </c>
      <c r="AZ1154" s="5">
        <f>IF(S1154&gt;0,RANK(S1154,(N1154:P1154,Q1154:AE1154)),0)</f>
        <v>7</v>
      </c>
      <c r="BA1154" s="2">
        <f t="shared" si="480"/>
        <v>3.3124200272423326E-2</v>
      </c>
      <c r="BB1154" s="2">
        <f t="shared" si="481"/>
        <v>8.5648243695050971E-3</v>
      </c>
      <c r="BC1154" s="2">
        <f t="shared" si="482"/>
        <v>4.1276262021711313E-4</v>
      </c>
      <c r="BD1154" s="2">
        <f t="shared" si="483"/>
        <v>3.0957196516283488E-4</v>
      </c>
      <c r="BF1154" t="s">
        <v>422</v>
      </c>
      <c r="BG1154" t="s">
        <v>1009</v>
      </c>
      <c r="BH1154">
        <v>2</v>
      </c>
      <c r="BJ1154" s="114">
        <v>21</v>
      </c>
      <c r="BK1154" s="116">
        <v>227</v>
      </c>
      <c r="BL1154" s="120">
        <f t="shared" si="474"/>
        <v>21227</v>
      </c>
      <c r="BN1154" s="5" t="s">
        <v>3154</v>
      </c>
      <c r="BZ1154" s="63">
        <f t="shared" si="473"/>
        <v>48454</v>
      </c>
      <c r="CD1154" s="63">
        <v>0</v>
      </c>
      <c r="CE1154" s="63">
        <v>0</v>
      </c>
      <c r="CF1154" s="63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0</v>
      </c>
      <c r="CN1154" s="8">
        <v>0</v>
      </c>
      <c r="CO1154" s="8">
        <v>0</v>
      </c>
      <c r="CP1154">
        <v>0</v>
      </c>
      <c r="CQ1154">
        <v>0</v>
      </c>
    </row>
    <row r="1155" spans="1:95" ht="13" hidden="1" customHeight="1" outlineLevel="1">
      <c r="A1155" t="s">
        <v>692</v>
      </c>
      <c r="B1155" t="s">
        <v>1009</v>
      </c>
      <c r="C1155" s="1">
        <f t="shared" si="475"/>
        <v>5636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4</v>
      </c>
      <c r="G1155" s="132">
        <f t="shared" si="462"/>
        <v>2593</v>
      </c>
      <c r="H1155" s="137">
        <f t="shared" si="463"/>
        <v>0.46007806955287439</v>
      </c>
      <c r="I1155" s="2"/>
      <c r="J1155" s="2">
        <f t="shared" si="476"/>
        <v>0.25195173882185945</v>
      </c>
      <c r="K1155" s="2">
        <f t="shared" si="477"/>
        <v>0.71202980837473384</v>
      </c>
      <c r="L1155" s="2">
        <f t="shared" si="478"/>
        <v>1.0645848119233499E-2</v>
      </c>
      <c r="M1155" s="2">
        <f t="shared" si="479"/>
        <v>2.5372604684173156E-2</v>
      </c>
      <c r="N1155" s="63">
        <v>1420</v>
      </c>
      <c r="O1155" s="63">
        <v>4013</v>
      </c>
      <c r="P1155" s="63">
        <v>60</v>
      </c>
      <c r="Q1155" s="63">
        <v>111</v>
      </c>
      <c r="R1155" s="63">
        <v>17</v>
      </c>
      <c r="S1155" s="63">
        <v>0</v>
      </c>
      <c r="T1155" s="63">
        <v>9</v>
      </c>
      <c r="U1155" s="63"/>
      <c r="V1155" s="63"/>
      <c r="W1155" s="63">
        <f>IF(Copyright!B$11=1,IF(CA1155&gt;0,CA1155-SUM(S1155)-SUM(X1155:AI1155)-SUM(AJ1155:AT1155),SUM(CD1155:CQ1155)),SUM(CD1155:CQ1155))</f>
        <v>2</v>
      </c>
      <c r="X1155" s="63"/>
      <c r="Y1155" s="63">
        <v>0</v>
      </c>
      <c r="Z1155" s="63">
        <v>0</v>
      </c>
      <c r="AA1155" s="63"/>
      <c r="AB1155" s="63"/>
      <c r="AC1155" s="63"/>
      <c r="AD1155" s="63"/>
      <c r="AE1155" s="63">
        <v>0</v>
      </c>
      <c r="AF1155" s="63">
        <v>0</v>
      </c>
      <c r="AG1155" s="63">
        <v>0</v>
      </c>
      <c r="AH1155" s="63"/>
      <c r="AI1155" s="63"/>
      <c r="AJ1155" s="63"/>
      <c r="AK1155" s="63"/>
      <c r="AL1155" s="63"/>
      <c r="AM1155" s="63">
        <v>0</v>
      </c>
      <c r="AN1155" s="63">
        <v>4</v>
      </c>
      <c r="AO1155" s="63"/>
      <c r="AP1155" s="63"/>
      <c r="AQ1155" s="63">
        <v>0</v>
      </c>
      <c r="AR1155" s="63"/>
      <c r="AS1155" s="63"/>
      <c r="AT1155" s="63"/>
      <c r="AU1155" s="63"/>
      <c r="AW1155" s="5">
        <f>IF(Q1155&gt;0,RANK(Q1155,(N1155:P1155,Q1155:AE1155)),0)</f>
        <v>3</v>
      </c>
      <c r="AX1155" s="5">
        <f>IF(R1155&gt;0,RANK(R1155,(N1155:P1155,Q1155:AE1155)),0)</f>
        <v>5</v>
      </c>
      <c r="AY1155" s="5">
        <f>IF(T1155&gt;0,RANK(T1155,(N1155:P1155,Q1155:AE1155)),0)</f>
        <v>6</v>
      </c>
      <c r="AZ1155" s="5">
        <f>IF(S1155&gt;0,RANK(S1155,(N1155:P1155,Q1155:AE1155)),0)</f>
        <v>0</v>
      </c>
      <c r="BA1155" s="2">
        <f t="shared" si="480"/>
        <v>1.9694819020581972E-2</v>
      </c>
      <c r="BB1155" s="2">
        <f t="shared" si="481"/>
        <v>3.0163236337828248E-3</v>
      </c>
      <c r="BC1155" s="2">
        <f t="shared" si="482"/>
        <v>1.5968772178850249E-3</v>
      </c>
      <c r="BD1155" s="2">
        <f t="shared" si="483"/>
        <v>0</v>
      </c>
      <c r="BF1155" t="s">
        <v>692</v>
      </c>
      <c r="BG1155" t="s">
        <v>1009</v>
      </c>
      <c r="BJ1155" s="114">
        <v>21</v>
      </c>
      <c r="BK1155" s="116">
        <v>229</v>
      </c>
      <c r="BL1155" s="120">
        <f t="shared" si="474"/>
        <v>21229</v>
      </c>
      <c r="BN1155" s="5" t="s">
        <v>3154</v>
      </c>
      <c r="BZ1155" s="63">
        <f t="shared" si="473"/>
        <v>5636</v>
      </c>
      <c r="CD1155" s="63">
        <v>1</v>
      </c>
      <c r="CE1155" s="63">
        <v>0</v>
      </c>
      <c r="CF1155" s="63">
        <v>0</v>
      </c>
      <c r="CG1155" s="8">
        <v>0</v>
      </c>
      <c r="CH1155" s="8">
        <v>0</v>
      </c>
      <c r="CI1155" s="8">
        <v>0</v>
      </c>
      <c r="CJ1155" s="8">
        <v>1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>
        <v>0</v>
      </c>
      <c r="CQ1155">
        <v>0</v>
      </c>
    </row>
    <row r="1156" spans="1:95" ht="13" hidden="1" customHeight="1" outlineLevel="1">
      <c r="A1156" t="s">
        <v>423</v>
      </c>
      <c r="B1156" t="s">
        <v>1009</v>
      </c>
      <c r="C1156" s="1">
        <f t="shared" si="475"/>
        <v>7992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4</v>
      </c>
      <c r="G1156" s="132">
        <f t="shared" si="462"/>
        <v>4940</v>
      </c>
      <c r="H1156" s="137">
        <f t="shared" si="463"/>
        <v>0.61811811811811812</v>
      </c>
      <c r="I1156" s="2"/>
      <c r="J1156" s="2">
        <f t="shared" si="476"/>
        <v>0.17905405405405406</v>
      </c>
      <c r="K1156" s="2">
        <f t="shared" si="477"/>
        <v>0.79717217217217218</v>
      </c>
      <c r="L1156" s="2">
        <f t="shared" si="478"/>
        <v>5.1301301301301299E-3</v>
      </c>
      <c r="M1156" s="2">
        <f t="shared" si="479"/>
        <v>1.8643643643643636E-2</v>
      </c>
      <c r="N1156" s="63">
        <v>1431</v>
      </c>
      <c r="O1156" s="63">
        <v>6371</v>
      </c>
      <c r="P1156" s="63">
        <v>41</v>
      </c>
      <c r="Q1156" s="63">
        <v>116</v>
      </c>
      <c r="R1156" s="63">
        <v>30</v>
      </c>
      <c r="S1156" s="63">
        <v>0</v>
      </c>
      <c r="T1156" s="63">
        <v>3</v>
      </c>
      <c r="U1156" s="63"/>
      <c r="V1156" s="63"/>
      <c r="W1156" s="63">
        <f>IF(Copyright!B$11=1,IF(CA1156&gt;0,CA1156-SUM(S1156)-SUM(X1156:AI1156)-SUM(AJ1156:AT1156),SUM(CD1156:CQ1156)),SUM(CD1156:CQ1156))</f>
        <v>0</v>
      </c>
      <c r="X1156" s="63"/>
      <c r="Y1156" s="63">
        <v>0</v>
      </c>
      <c r="Z1156" s="63">
        <v>0</v>
      </c>
      <c r="AA1156" s="63"/>
      <c r="AB1156" s="63"/>
      <c r="AC1156" s="63"/>
      <c r="AD1156" s="63"/>
      <c r="AE1156" s="63">
        <v>0</v>
      </c>
      <c r="AF1156" s="63">
        <v>0</v>
      </c>
      <c r="AG1156" s="63">
        <v>0</v>
      </c>
      <c r="AH1156" s="63"/>
      <c r="AI1156" s="63"/>
      <c r="AJ1156" s="63"/>
      <c r="AK1156" s="63"/>
      <c r="AL1156" s="63"/>
      <c r="AM1156" s="63">
        <v>0</v>
      </c>
      <c r="AN1156" s="63">
        <v>0</v>
      </c>
      <c r="AO1156" s="63"/>
      <c r="AP1156" s="63"/>
      <c r="AQ1156" s="63">
        <v>0</v>
      </c>
      <c r="AR1156" s="63"/>
      <c r="AS1156" s="63"/>
      <c r="AT1156" s="63"/>
      <c r="AU1156" s="63"/>
      <c r="AW1156" s="5">
        <f>IF(Q1156&gt;0,RANK(Q1156,(N1156:P1156,Q1156:AE1156)),0)</f>
        <v>3</v>
      </c>
      <c r="AX1156" s="5">
        <f>IF(R1156&gt;0,RANK(R1156,(N1156:P1156,Q1156:AE1156)),0)</f>
        <v>5</v>
      </c>
      <c r="AY1156" s="5">
        <f>IF(T1156&gt;0,RANK(T1156,(N1156:P1156,Q1156:AE1156)),0)</f>
        <v>6</v>
      </c>
      <c r="AZ1156" s="5">
        <f>IF(S1156&gt;0,RANK(S1156,(N1156:P1156,Q1156:AE1156)),0)</f>
        <v>0</v>
      </c>
      <c r="BA1156" s="2">
        <f t="shared" si="480"/>
        <v>1.4514514514514515E-2</v>
      </c>
      <c r="BB1156" s="2">
        <f t="shared" si="481"/>
        <v>3.7537537537537537E-3</v>
      </c>
      <c r="BC1156" s="2">
        <f t="shared" si="482"/>
        <v>3.7537537537537537E-4</v>
      </c>
      <c r="BD1156" s="2">
        <f t="shared" si="483"/>
        <v>0</v>
      </c>
      <c r="BF1156" t="s">
        <v>423</v>
      </c>
      <c r="BG1156" t="s">
        <v>1009</v>
      </c>
      <c r="BH1156">
        <v>5</v>
      </c>
      <c r="BJ1156" s="114">
        <v>21</v>
      </c>
      <c r="BK1156" s="116">
        <v>231</v>
      </c>
      <c r="BL1156" s="120">
        <f t="shared" si="474"/>
        <v>21231</v>
      </c>
      <c r="BN1156" s="5" t="s">
        <v>3154</v>
      </c>
      <c r="BZ1156" s="63">
        <f t="shared" si="473"/>
        <v>7992</v>
      </c>
      <c r="CD1156" s="63">
        <v>0</v>
      </c>
      <c r="CE1156" s="63">
        <v>0</v>
      </c>
      <c r="CF1156" s="63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>
        <v>0</v>
      </c>
      <c r="CQ1156">
        <v>0</v>
      </c>
    </row>
    <row r="1157" spans="1:95" ht="13" hidden="1" customHeight="1" outlineLevel="1">
      <c r="A1157" t="s">
        <v>697</v>
      </c>
      <c r="B1157" t="s">
        <v>1009</v>
      </c>
      <c r="C1157" s="1">
        <f t="shared" si="475"/>
        <v>5805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4</v>
      </c>
      <c r="G1157" s="132">
        <f t="shared" si="462"/>
        <v>3157</v>
      </c>
      <c r="H1157" s="137">
        <f t="shared" si="463"/>
        <v>0.54384151593453922</v>
      </c>
      <c r="I1157" s="2"/>
      <c r="J1157" s="2">
        <f t="shared" si="476"/>
        <v>0.2136089577950043</v>
      </c>
      <c r="K1157" s="2">
        <f t="shared" si="477"/>
        <v>0.75745047372954355</v>
      </c>
      <c r="L1157" s="2">
        <f t="shared" si="478"/>
        <v>5.8570198105081829E-3</v>
      </c>
      <c r="M1157" s="2">
        <f t="shared" si="479"/>
        <v>2.3083548664943939E-2</v>
      </c>
      <c r="N1157" s="63">
        <v>1240</v>
      </c>
      <c r="O1157" s="63">
        <v>4397</v>
      </c>
      <c r="P1157" s="63">
        <v>34</v>
      </c>
      <c r="Q1157" s="63">
        <v>111</v>
      </c>
      <c r="R1157" s="63">
        <v>22</v>
      </c>
      <c r="S1157" s="63">
        <v>0</v>
      </c>
      <c r="T1157" s="63">
        <v>1</v>
      </c>
      <c r="U1157" s="63"/>
      <c r="V1157" s="63"/>
      <c r="W1157" s="63">
        <f>IF(Copyright!B$11=1,IF(CA1157&gt;0,CA1157-SUM(S1157)-SUM(X1157:AI1157)-SUM(AJ1157:AT1157),SUM(CD1157:CQ1157)),SUM(CD1157:CQ1157))</f>
        <v>0</v>
      </c>
      <c r="X1157" s="63"/>
      <c r="Y1157" s="63">
        <v>0</v>
      </c>
      <c r="Z1157" s="63">
        <v>0</v>
      </c>
      <c r="AA1157" s="63"/>
      <c r="AB1157" s="63"/>
      <c r="AC1157" s="63"/>
      <c r="AD1157" s="63"/>
      <c r="AE1157" s="63">
        <v>0</v>
      </c>
      <c r="AF1157" s="63">
        <v>0</v>
      </c>
      <c r="AG1157" s="63">
        <v>0</v>
      </c>
      <c r="AH1157" s="63"/>
      <c r="AI1157" s="63"/>
      <c r="AJ1157" s="63"/>
      <c r="AK1157" s="63"/>
      <c r="AL1157" s="63"/>
      <c r="AM1157" s="63">
        <v>0</v>
      </c>
      <c r="AN1157" s="63">
        <v>0</v>
      </c>
      <c r="AO1157" s="63"/>
      <c r="AP1157" s="63"/>
      <c r="AQ1157" s="63">
        <v>0</v>
      </c>
      <c r="AR1157" s="63"/>
      <c r="AS1157" s="63"/>
      <c r="AT1157" s="63"/>
      <c r="AU1157" s="63"/>
      <c r="AW1157" s="5">
        <f>IF(Q1157&gt;0,RANK(Q1157,(N1157:P1157,Q1157:AE1157)),0)</f>
        <v>3</v>
      </c>
      <c r="AX1157" s="5">
        <f>IF(R1157&gt;0,RANK(R1157,(N1157:P1157,Q1157:AE1157)),0)</f>
        <v>5</v>
      </c>
      <c r="AY1157" s="5">
        <f>IF(T1157&gt;0,RANK(T1157,(N1157:P1157,Q1157:AE1157)),0)</f>
        <v>6</v>
      </c>
      <c r="AZ1157" s="5">
        <f>IF(S1157&gt;0,RANK(S1157,(N1157:P1157,Q1157:AE1157)),0)</f>
        <v>0</v>
      </c>
      <c r="BA1157" s="2">
        <f t="shared" si="480"/>
        <v>1.9121447028423774E-2</v>
      </c>
      <c r="BB1157" s="2">
        <f t="shared" si="481"/>
        <v>3.7898363479758829E-3</v>
      </c>
      <c r="BC1157" s="2">
        <f t="shared" si="482"/>
        <v>1.7226528854435831E-4</v>
      </c>
      <c r="BD1157" s="2">
        <f t="shared" si="483"/>
        <v>0</v>
      </c>
      <c r="BF1157" t="s">
        <v>697</v>
      </c>
      <c r="BG1157" t="s">
        <v>1009</v>
      </c>
      <c r="BH1157">
        <v>1</v>
      </c>
      <c r="BJ1157" s="114">
        <v>21</v>
      </c>
      <c r="BK1157" s="116">
        <v>233</v>
      </c>
      <c r="BL1157" s="120">
        <f t="shared" si="474"/>
        <v>21233</v>
      </c>
      <c r="BN1157" s="5" t="s">
        <v>3154</v>
      </c>
      <c r="BZ1157" s="63">
        <f t="shared" si="473"/>
        <v>5805</v>
      </c>
      <c r="CD1157" s="63">
        <v>0</v>
      </c>
      <c r="CE1157" s="63">
        <v>0</v>
      </c>
      <c r="CF1157" s="63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0</v>
      </c>
      <c r="CN1157" s="8">
        <v>0</v>
      </c>
      <c r="CO1157" s="8">
        <v>0</v>
      </c>
      <c r="CP1157">
        <v>0</v>
      </c>
      <c r="CQ1157">
        <v>0</v>
      </c>
    </row>
    <row r="1158" spans="1:95" ht="13" hidden="1" customHeight="1" outlineLevel="1">
      <c r="A1158" t="s">
        <v>2108</v>
      </c>
      <c r="B1158" t="s">
        <v>1009</v>
      </c>
      <c r="C1158" s="1">
        <f t="shared" si="475"/>
        <v>13774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4</v>
      </c>
      <c r="G1158" s="132">
        <f t="shared" si="462"/>
        <v>9245</v>
      </c>
      <c r="H1158" s="137">
        <f t="shared" si="463"/>
        <v>0.67119210105996807</v>
      </c>
      <c r="I1158" s="2"/>
      <c r="J1158" s="2">
        <f t="shared" si="476"/>
        <v>0.15006534049658776</v>
      </c>
      <c r="K1158" s="2">
        <f t="shared" si="477"/>
        <v>0.82125744155655578</v>
      </c>
      <c r="L1158" s="2">
        <f t="shared" si="478"/>
        <v>7.4778568317119213E-3</v>
      </c>
      <c r="M1158" s="2">
        <f t="shared" si="479"/>
        <v>2.1199361115144595E-2</v>
      </c>
      <c r="N1158" s="63">
        <v>2067</v>
      </c>
      <c r="O1158" s="63">
        <v>11312</v>
      </c>
      <c r="P1158" s="63">
        <v>103</v>
      </c>
      <c r="Q1158" s="63">
        <v>242</v>
      </c>
      <c r="R1158" s="63">
        <v>41</v>
      </c>
      <c r="S1158" s="63">
        <v>4</v>
      </c>
      <c r="T1158" s="63">
        <v>4</v>
      </c>
      <c r="U1158" s="63"/>
      <c r="V1158" s="63"/>
      <c r="W1158" s="63">
        <f>IF(Copyright!B$11=1,IF(CA1158&gt;0,CA1158-SUM(S1158)-SUM(X1158:AI1158)-SUM(AJ1158:AT1158),SUM(CD1158:CQ1158)),SUM(CD1158:CQ1158))</f>
        <v>0</v>
      </c>
      <c r="X1158" s="63"/>
      <c r="Y1158" s="63">
        <v>0</v>
      </c>
      <c r="Z1158" s="63">
        <v>0</v>
      </c>
      <c r="AA1158" s="63"/>
      <c r="AB1158" s="63"/>
      <c r="AC1158" s="63"/>
      <c r="AD1158" s="63"/>
      <c r="AE1158" s="63">
        <v>0</v>
      </c>
      <c r="AF1158" s="63">
        <v>0</v>
      </c>
      <c r="AG1158" s="63">
        <v>0</v>
      </c>
      <c r="AH1158" s="63"/>
      <c r="AI1158" s="63"/>
      <c r="AJ1158" s="63"/>
      <c r="AK1158" s="63"/>
      <c r="AL1158" s="63"/>
      <c r="AM1158" s="63">
        <v>0</v>
      </c>
      <c r="AN1158" s="63">
        <v>1</v>
      </c>
      <c r="AO1158" s="63"/>
      <c r="AP1158" s="63"/>
      <c r="AQ1158" s="63">
        <v>0</v>
      </c>
      <c r="AR1158" s="63"/>
      <c r="AS1158" s="63"/>
      <c r="AT1158" s="63"/>
      <c r="AU1158" s="63"/>
      <c r="AW1158" s="5">
        <f>IF(Q1158&gt;0,RANK(Q1158,(N1158:P1158,Q1158:AE1158)),0)</f>
        <v>3</v>
      </c>
      <c r="AX1158" s="5">
        <f>IF(R1158&gt;0,RANK(R1158,(N1158:P1158,Q1158:AE1158)),0)</f>
        <v>5</v>
      </c>
      <c r="AY1158" s="5">
        <f>IF(T1158&gt;0,RANK(T1158,(N1158:P1158,Q1158:AE1158)),0)</f>
        <v>6</v>
      </c>
      <c r="AZ1158" s="5">
        <f>IF(S1158&gt;0,RANK(S1158,(N1158:P1158,Q1158:AE1158)),0)</f>
        <v>6</v>
      </c>
      <c r="BA1158" s="2">
        <f t="shared" si="480"/>
        <v>1.7569333526934804E-2</v>
      </c>
      <c r="BB1158" s="2">
        <f t="shared" si="481"/>
        <v>2.9766226223319299E-3</v>
      </c>
      <c r="BC1158" s="2">
        <f t="shared" si="482"/>
        <v>2.9040220705677363E-4</v>
      </c>
      <c r="BD1158" s="2">
        <f t="shared" si="483"/>
        <v>2.9040220705677363E-4</v>
      </c>
      <c r="BF1158" t="s">
        <v>2108</v>
      </c>
      <c r="BG1158" t="s">
        <v>1009</v>
      </c>
      <c r="BH1158">
        <v>5</v>
      </c>
      <c r="BJ1158" s="114">
        <v>21</v>
      </c>
      <c r="BK1158" s="116">
        <v>235</v>
      </c>
      <c r="BL1158" s="120">
        <f t="shared" si="474"/>
        <v>21235</v>
      </c>
      <c r="BN1158" s="5" t="s">
        <v>3154</v>
      </c>
      <c r="BZ1158" s="63">
        <f t="shared" si="473"/>
        <v>13774</v>
      </c>
      <c r="CD1158" s="63">
        <v>0</v>
      </c>
      <c r="CE1158" s="63">
        <v>0</v>
      </c>
      <c r="CF1158" s="63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>
        <v>0</v>
      </c>
      <c r="CQ1158">
        <v>0</v>
      </c>
    </row>
    <row r="1159" spans="1:95" ht="13" hidden="1" customHeight="1" outlineLevel="1">
      <c r="A1159" t="s">
        <v>1030</v>
      </c>
      <c r="B1159" t="s">
        <v>1009</v>
      </c>
      <c r="C1159" s="1">
        <f t="shared" si="475"/>
        <v>2635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4</v>
      </c>
      <c r="G1159" s="132">
        <f t="shared" ref="G1159:G1222" si="484">IF(C1159&gt;0,MAX(N1159:P1159)-LARGE(N1159:P1159,2),0)</f>
        <v>1051</v>
      </c>
      <c r="H1159" s="137">
        <f t="shared" ref="H1159:H1222" si="485">IF(C1159&gt;0,G1159/C1159,0)</f>
        <v>0.39886148007590133</v>
      </c>
      <c r="I1159" s="2"/>
      <c r="J1159" s="2">
        <f t="shared" si="476"/>
        <v>0.2857685009487666</v>
      </c>
      <c r="K1159" s="2">
        <f t="shared" si="477"/>
        <v>0.68462998102466788</v>
      </c>
      <c r="L1159" s="2">
        <f t="shared" si="478"/>
        <v>9.8671726755218212E-3</v>
      </c>
      <c r="M1159" s="2">
        <f t="shared" si="479"/>
        <v>1.9734345351043701E-2</v>
      </c>
      <c r="N1159" s="63">
        <v>753</v>
      </c>
      <c r="O1159" s="63">
        <v>1804</v>
      </c>
      <c r="P1159" s="63">
        <v>26</v>
      </c>
      <c r="Q1159" s="63">
        <v>42</v>
      </c>
      <c r="R1159" s="63">
        <v>9</v>
      </c>
      <c r="S1159" s="63">
        <v>0</v>
      </c>
      <c r="T1159" s="63">
        <v>1</v>
      </c>
      <c r="U1159" s="63"/>
      <c r="V1159" s="63"/>
      <c r="W1159" s="63">
        <f>IF(Copyright!B$11=1,IF(CA1159&gt;0,CA1159-SUM(S1159)-SUM(X1159:AI1159)-SUM(AJ1159:AT1159),SUM(CD1159:CQ1159)),SUM(CD1159:CQ1159))</f>
        <v>0</v>
      </c>
      <c r="X1159" s="63"/>
      <c r="Y1159" s="63">
        <v>0</v>
      </c>
      <c r="Z1159" s="63">
        <v>0</v>
      </c>
      <c r="AA1159" s="63"/>
      <c r="AB1159" s="63"/>
      <c r="AC1159" s="63"/>
      <c r="AD1159" s="63"/>
      <c r="AE1159" s="63">
        <v>0</v>
      </c>
      <c r="AF1159" s="63">
        <v>0</v>
      </c>
      <c r="AG1159" s="63">
        <v>0</v>
      </c>
      <c r="AH1159" s="63"/>
      <c r="AI1159" s="63"/>
      <c r="AJ1159" s="63"/>
      <c r="AK1159" s="63"/>
      <c r="AL1159" s="63"/>
      <c r="AM1159" s="63">
        <v>0</v>
      </c>
      <c r="AN1159" s="63">
        <v>0</v>
      </c>
      <c r="AO1159" s="63"/>
      <c r="AP1159" s="63"/>
      <c r="AQ1159" s="63">
        <v>0</v>
      </c>
      <c r="AR1159" s="63"/>
      <c r="AS1159" s="63"/>
      <c r="AT1159" s="63"/>
      <c r="AU1159" s="63"/>
      <c r="AW1159" s="5">
        <f>IF(Q1159&gt;0,RANK(Q1159,(N1159:P1159,Q1159:AE1159)),0)</f>
        <v>3</v>
      </c>
      <c r="AX1159" s="5">
        <f>IF(R1159&gt;0,RANK(R1159,(N1159:P1159,Q1159:AE1159)),0)</f>
        <v>5</v>
      </c>
      <c r="AY1159" s="5">
        <f>IF(T1159&gt;0,RANK(T1159,(N1159:P1159,Q1159:AE1159)),0)</f>
        <v>6</v>
      </c>
      <c r="AZ1159" s="5">
        <f>IF(S1159&gt;0,RANK(S1159,(N1159:P1159,Q1159:AE1159)),0)</f>
        <v>0</v>
      </c>
      <c r="BA1159" s="2">
        <f t="shared" si="480"/>
        <v>1.5939278937381403E-2</v>
      </c>
      <c r="BB1159" s="2">
        <f t="shared" si="481"/>
        <v>3.4155597722960152E-3</v>
      </c>
      <c r="BC1159" s="2">
        <f t="shared" si="482"/>
        <v>3.7950664136622391E-4</v>
      </c>
      <c r="BD1159" s="2">
        <f t="shared" si="483"/>
        <v>0</v>
      </c>
      <c r="BF1159" t="s">
        <v>1030</v>
      </c>
      <c r="BG1159" t="s">
        <v>1009</v>
      </c>
      <c r="BH1159">
        <v>6</v>
      </c>
      <c r="BJ1159" s="114">
        <v>21</v>
      </c>
      <c r="BK1159" s="116">
        <v>237</v>
      </c>
      <c r="BL1159" s="120">
        <f t="shared" si="474"/>
        <v>21237</v>
      </c>
      <c r="BN1159" s="5" t="s">
        <v>3154</v>
      </c>
      <c r="BZ1159" s="63">
        <f t="shared" si="473"/>
        <v>2635</v>
      </c>
      <c r="CD1159" s="63">
        <v>0</v>
      </c>
      <c r="CE1159" s="63">
        <v>0</v>
      </c>
      <c r="CF1159" s="63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0</v>
      </c>
      <c r="CN1159" s="8">
        <v>0</v>
      </c>
      <c r="CO1159" s="8">
        <v>0</v>
      </c>
      <c r="CP1159">
        <v>0</v>
      </c>
      <c r="CQ1159">
        <v>0</v>
      </c>
    </row>
    <row r="1160" spans="1:95" ht="12" hidden="1" customHeight="1" outlineLevel="1">
      <c r="A1160" t="s">
        <v>2167</v>
      </c>
      <c r="B1160" t="s">
        <v>1009</v>
      </c>
      <c r="C1160" s="1">
        <f t="shared" si="475"/>
        <v>13563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4</v>
      </c>
      <c r="G1160" s="132">
        <f t="shared" si="484"/>
        <v>2739</v>
      </c>
      <c r="H1160" s="137">
        <f t="shared" si="485"/>
        <v>0.20194647201946472</v>
      </c>
      <c r="I1160" s="2"/>
      <c r="J1160" s="2">
        <f t="shared" si="476"/>
        <v>0.36555334365553344</v>
      </c>
      <c r="K1160" s="2">
        <f t="shared" si="477"/>
        <v>0.56749981567499819</v>
      </c>
      <c r="L1160" s="2">
        <f t="shared" si="478"/>
        <v>1.81375801813758E-2</v>
      </c>
      <c r="M1160" s="2">
        <f t="shared" si="479"/>
        <v>4.8809260488092629E-2</v>
      </c>
      <c r="N1160" s="63">
        <v>4958</v>
      </c>
      <c r="O1160" s="63">
        <v>7697</v>
      </c>
      <c r="P1160" s="63">
        <v>246</v>
      </c>
      <c r="Q1160" s="63">
        <v>529</v>
      </c>
      <c r="R1160" s="63">
        <v>117</v>
      </c>
      <c r="S1160" s="63">
        <v>1</v>
      </c>
      <c r="T1160" s="63">
        <v>13</v>
      </c>
      <c r="U1160" s="63"/>
      <c r="V1160" s="63"/>
      <c r="W1160" s="63">
        <f>IF(Copyright!B$11=1,IF(CA1160&gt;0,CA1160-SUM(S1160)-SUM(X1160:AI1160)-SUM(AJ1160:AT1160),SUM(CD1160:CQ1160)),SUM(CD1160:CQ1160))</f>
        <v>0</v>
      </c>
      <c r="X1160" s="63"/>
      <c r="Y1160" s="63">
        <v>0</v>
      </c>
      <c r="Z1160" s="63">
        <v>0</v>
      </c>
      <c r="AA1160" s="63"/>
      <c r="AB1160" s="63"/>
      <c r="AC1160" s="63"/>
      <c r="AD1160" s="63"/>
      <c r="AE1160" s="63">
        <v>0</v>
      </c>
      <c r="AF1160" s="63">
        <v>0</v>
      </c>
      <c r="AG1160" s="63">
        <v>0</v>
      </c>
      <c r="AH1160" s="63"/>
      <c r="AI1160" s="63"/>
      <c r="AJ1160" s="63"/>
      <c r="AK1160" s="63"/>
      <c r="AL1160" s="63"/>
      <c r="AM1160" s="63">
        <v>0</v>
      </c>
      <c r="AN1160" s="63">
        <v>2</v>
      </c>
      <c r="AO1160" s="63"/>
      <c r="AP1160" s="63"/>
      <c r="AQ1160" s="63">
        <v>0</v>
      </c>
      <c r="AR1160" s="63"/>
      <c r="AS1160" s="63"/>
      <c r="AT1160" s="63"/>
      <c r="AU1160" s="63"/>
      <c r="AW1160" s="5">
        <f>IF(Q1160&gt;0,RANK(Q1160,(N1160:P1160,Q1160:AE1160)),0)</f>
        <v>3</v>
      </c>
      <c r="AX1160" s="5">
        <f>IF(R1160&gt;0,RANK(R1160,(N1160:P1160,Q1160:AE1160)),0)</f>
        <v>5</v>
      </c>
      <c r="AY1160" s="5">
        <f>IF(T1160&gt;0,RANK(T1160,(N1160:P1160,Q1160:AE1160)),0)</f>
        <v>6</v>
      </c>
      <c r="AZ1160" s="5">
        <f>IF(S1160&gt;0,RANK(S1160,(N1160:P1160,Q1160:AE1160)),0)</f>
        <v>7</v>
      </c>
      <c r="BA1160" s="2">
        <f t="shared" si="480"/>
        <v>3.9003170390031705E-2</v>
      </c>
      <c r="BB1160" s="2">
        <f t="shared" si="481"/>
        <v>8.6264100862641011E-3</v>
      </c>
      <c r="BC1160" s="2">
        <f t="shared" si="482"/>
        <v>9.5849000958490014E-4</v>
      </c>
      <c r="BD1160" s="2">
        <f t="shared" si="483"/>
        <v>7.3730000737300006E-5</v>
      </c>
      <c r="BF1160" t="s">
        <v>2167</v>
      </c>
      <c r="BG1160" t="s">
        <v>1009</v>
      </c>
      <c r="BH1160">
        <v>6</v>
      </c>
      <c r="BJ1160" s="114">
        <v>21</v>
      </c>
      <c r="BK1160" s="116">
        <v>239</v>
      </c>
      <c r="BL1160" s="120">
        <f t="shared" si="474"/>
        <v>21239</v>
      </c>
      <c r="BN1160" s="5" t="s">
        <v>3154</v>
      </c>
      <c r="BZ1160" s="63">
        <f t="shared" si="473"/>
        <v>13563</v>
      </c>
      <c r="CD1160" s="63">
        <v>0</v>
      </c>
      <c r="CE1160" s="63">
        <v>0</v>
      </c>
      <c r="CF1160" s="63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>
        <v>0</v>
      </c>
      <c r="CQ1160">
        <v>0</v>
      </c>
    </row>
    <row r="1161" spans="1:95" collapsed="1">
      <c r="A1161" t="s">
        <v>2599</v>
      </c>
      <c r="B1161" t="s">
        <v>544</v>
      </c>
      <c r="C1161" s="1">
        <f t="shared" si="475"/>
        <v>1924150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>IF(P1161&gt;0,RANK(P1161,(N1161:P1161,Q1161:AE1161)),0)</f>
        <v>4</v>
      </c>
      <c r="G1161" s="132">
        <f t="shared" si="484"/>
        <v>574117</v>
      </c>
      <c r="H1161" s="137">
        <f t="shared" si="485"/>
        <v>0.29837434711431021</v>
      </c>
      <c r="I1161" s="2"/>
      <c r="J1161" s="2">
        <f t="shared" si="476"/>
        <v>0.32682171348387601</v>
      </c>
      <c r="K1161" s="2">
        <f t="shared" si="477"/>
        <v>0.62519606059818622</v>
      </c>
      <c r="L1161" s="2">
        <f t="shared" si="478"/>
        <v>1.1838993841436479E-2</v>
      </c>
      <c r="M1161" s="2">
        <f t="shared" si="479"/>
        <v>3.6143232076501289E-2</v>
      </c>
      <c r="N1161" s="63">
        <f t="shared" ref="N1161:T1161" si="486">SUM(N1041:N1160)</f>
        <v>628854</v>
      </c>
      <c r="O1161" s="63">
        <f t="shared" si="486"/>
        <v>1202971</v>
      </c>
      <c r="P1161" s="63">
        <f t="shared" si="486"/>
        <v>22780</v>
      </c>
      <c r="Q1161" s="63">
        <f t="shared" si="486"/>
        <v>53752</v>
      </c>
      <c r="R1161" s="63">
        <f t="shared" si="486"/>
        <v>13913</v>
      </c>
      <c r="S1161" s="63">
        <f t="shared" si="486"/>
        <v>438</v>
      </c>
      <c r="T1161" s="63">
        <f t="shared" si="486"/>
        <v>1128</v>
      </c>
      <c r="U1161" s="63"/>
      <c r="V1161" s="63"/>
      <c r="W1161" s="63">
        <f>SUM(W1041:W1160)</f>
        <v>73</v>
      </c>
      <c r="X1161" s="63"/>
      <c r="Y1161" s="63">
        <f>SUM(Y1041:Y1160)</f>
        <v>39</v>
      </c>
      <c r="Z1161" s="63">
        <f>SUM(Z1041:Z1160)</f>
        <v>2</v>
      </c>
      <c r="AA1161" s="63"/>
      <c r="AB1161" s="63"/>
      <c r="AC1161" s="63"/>
      <c r="AD1161" s="63"/>
      <c r="AE1161" s="63">
        <f>SUM(AE1041:AE1160)</f>
        <v>8</v>
      </c>
      <c r="AF1161" s="63">
        <f>SUM(AF1041:AF1160)</f>
        <v>4</v>
      </c>
      <c r="AG1161" s="63">
        <f>SUM(AG1041:AG1160)</f>
        <v>22</v>
      </c>
      <c r="AH1161" s="63"/>
      <c r="AI1161" s="63"/>
      <c r="AJ1161" s="63"/>
      <c r="AK1161" s="63"/>
      <c r="AL1161" s="63"/>
      <c r="AM1161" s="63">
        <f>SUM(AM1041:AM1160)</f>
        <v>2</v>
      </c>
      <c r="AN1161" s="63">
        <f>SUM(AN1041:AN1160)</f>
        <v>155</v>
      </c>
      <c r="AO1161" s="63"/>
      <c r="AP1161" s="63"/>
      <c r="AQ1161" s="63">
        <f>SUM(AQ1041:AQ1160)</f>
        <v>9</v>
      </c>
      <c r="AR1161" s="63"/>
      <c r="AS1161" s="63"/>
      <c r="AT1161" s="63"/>
      <c r="AU1161" s="63"/>
      <c r="AW1161" s="5">
        <f>IF(Q1161&gt;0,RANK(Q1161,(N1161:P1161,Q1161:AE1161)),0)</f>
        <v>3</v>
      </c>
      <c r="AX1161" s="5">
        <f>IF(R1161&gt;0,RANK(R1161,(N1161:P1161,Q1161:AE1161)),0)</f>
        <v>5</v>
      </c>
      <c r="AY1161" s="5">
        <f>IF(T1161&gt;0,RANK(T1161,(N1161:P1161,Q1161:AE1161)),0)</f>
        <v>6</v>
      </c>
      <c r="AZ1161" s="5">
        <f>IF(S1161&gt;0,RANK(S1161,(N1161:P1161,Q1161:AE1161)),0)</f>
        <v>7</v>
      </c>
      <c r="BA1161" s="2">
        <f t="shared" si="480"/>
        <v>2.7935452017774084E-2</v>
      </c>
      <c r="BB1161" s="2">
        <f t="shared" si="481"/>
        <v>7.2307252553075385E-3</v>
      </c>
      <c r="BC1161" s="2">
        <f t="shared" si="482"/>
        <v>5.8623288205181506E-4</v>
      </c>
      <c r="BD1161" s="2">
        <f t="shared" si="483"/>
        <v>2.2763298079671543E-4</v>
      </c>
      <c r="BF1161" t="s">
        <v>2599</v>
      </c>
      <c r="BG1161" t="s">
        <v>544</v>
      </c>
      <c r="BJ1161" s="114">
        <v>21</v>
      </c>
      <c r="BK1161" s="116"/>
      <c r="BL1161" s="114">
        <v>21</v>
      </c>
      <c r="BN1161" s="5" t="s">
        <v>711</v>
      </c>
      <c r="CA1161" s="63">
        <f>SUM(CA1041:CA1160)</f>
        <v>0</v>
      </c>
      <c r="CD1161" s="63">
        <f>SUM(CD1041:CD1160)</f>
        <v>18</v>
      </c>
      <c r="CE1161" s="63">
        <f>SUM(CE1041:CE1160)</f>
        <v>14</v>
      </c>
      <c r="CF1161" s="63">
        <f t="shared" ref="CF1161:CQ1161" si="487">SUM(CF1041:CF1160)</f>
        <v>12</v>
      </c>
      <c r="CG1161" s="63">
        <f t="shared" si="487"/>
        <v>6</v>
      </c>
      <c r="CH1161" s="63">
        <f t="shared" si="487"/>
        <v>6</v>
      </c>
      <c r="CI1161" s="63">
        <f t="shared" si="487"/>
        <v>5</v>
      </c>
      <c r="CJ1161" s="63">
        <f t="shared" si="487"/>
        <v>4</v>
      </c>
      <c r="CK1161" s="63">
        <f t="shared" si="487"/>
        <v>2</v>
      </c>
      <c r="CL1161" s="63">
        <f t="shared" si="487"/>
        <v>2</v>
      </c>
      <c r="CM1161" s="63">
        <f t="shared" si="487"/>
        <v>1</v>
      </c>
      <c r="CN1161" s="63">
        <f t="shared" si="487"/>
        <v>2</v>
      </c>
      <c r="CO1161" s="63">
        <f t="shared" si="487"/>
        <v>1</v>
      </c>
      <c r="CP1161" s="63">
        <f t="shared" si="487"/>
        <v>0</v>
      </c>
      <c r="CQ1161" s="63">
        <f t="shared" si="487"/>
        <v>0</v>
      </c>
    </row>
    <row r="1162" spans="1:95">
      <c r="C1162" s="1"/>
      <c r="E1162" s="5"/>
      <c r="F1162" s="5"/>
      <c r="G1162" s="132"/>
      <c r="H1162" s="137"/>
      <c r="I1162" s="2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W1162" s="5"/>
      <c r="AX1162" s="5"/>
      <c r="AY1162" s="5"/>
      <c r="AZ1162" s="5"/>
      <c r="BJ1162" s="114"/>
      <c r="BK1162" s="116"/>
      <c r="BL1162" s="120"/>
    </row>
    <row r="1163" spans="1:95" hidden="1" outlineLevel="1">
      <c r="A1163" t="s">
        <v>226</v>
      </c>
      <c r="B1163" t="s">
        <v>320</v>
      </c>
      <c r="C1163" s="1">
        <f t="shared" ref="C1163:C1194" si="488">SUM(N1163:AU1163)</f>
        <v>27389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5</v>
      </c>
      <c r="G1163" s="132">
        <f t="shared" si="484"/>
        <v>15524</v>
      </c>
      <c r="H1163" s="137">
        <f t="shared" si="485"/>
        <v>0.56679688926211258</v>
      </c>
      <c r="I1163" s="2"/>
      <c r="J1163" s="2">
        <f t="shared" ref="J1163:J1194" si="489">IF($C1163=0,"-",N1163/$C1163)</f>
        <v>0.20584906349264304</v>
      </c>
      <c r="K1163" s="2">
        <f t="shared" ref="K1163:K1194" si="490">IF($C1163=0,"-",O1163/$C1163)</f>
        <v>0.77264595275475556</v>
      </c>
      <c r="L1163" s="2">
        <f t="shared" ref="L1163:L1194" si="491">IF($C1163=0,"-",P1163/$C1163)</f>
        <v>2.701814597101026E-3</v>
      </c>
      <c r="M1163" s="2">
        <f t="shared" ref="M1163:M1194" si="492">IF(C1163=0,"-",(1-J1163-K1163-L1163))</f>
        <v>1.8803169155500322E-2</v>
      </c>
      <c r="N1163" s="63">
        <v>5638</v>
      </c>
      <c r="O1163" s="63">
        <v>21162</v>
      </c>
      <c r="P1163" s="63">
        <v>74</v>
      </c>
      <c r="Q1163" s="63">
        <v>281</v>
      </c>
      <c r="R1163" s="63">
        <v>106</v>
      </c>
      <c r="S1163" s="63">
        <v>50</v>
      </c>
      <c r="T1163" s="63"/>
      <c r="U1163" s="63"/>
      <c r="V1163" s="63">
        <v>5</v>
      </c>
      <c r="W1163" s="63"/>
      <c r="X1163" s="63">
        <v>8</v>
      </c>
      <c r="Y1163" s="63">
        <v>10</v>
      </c>
      <c r="Z1163" s="63"/>
      <c r="AA1163" s="63"/>
      <c r="AB1163" s="63"/>
      <c r="AC1163" s="63"/>
      <c r="AD1163" s="63"/>
      <c r="AE1163" s="63">
        <v>13</v>
      </c>
      <c r="AF1163" s="63">
        <v>5</v>
      </c>
      <c r="AG1163" s="63">
        <v>28</v>
      </c>
      <c r="AH1163" s="63"/>
      <c r="AI1163" s="63"/>
      <c r="AJ1163" s="63">
        <v>9</v>
      </c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W1163" s="5">
        <f>IF(Q1163&gt;0,RANK(Q1163,(N1163:P1163,Q1163:AE1163)),0)</f>
        <v>3</v>
      </c>
      <c r="AX1163" s="5">
        <f>IF(R1163&gt;0,RANK(R1163,(N1163:P1163,Q1163:AE1163)),0)</f>
        <v>4</v>
      </c>
      <c r="AY1163" s="5">
        <f>IF(T1163&gt;0,RANK(T1163,(N1163:P1163,Q1163:AE1163)),0)</f>
        <v>0</v>
      </c>
      <c r="AZ1163" s="5">
        <f>IF(S1163&gt;0,RANK(S1163,(N1163:P1163,Q1163:AE1163)),0)</f>
        <v>6</v>
      </c>
      <c r="BA1163" s="2">
        <f t="shared" ref="BA1163:BA1194" si="493">IF($C1163=0,"-",Q1163/$C1163)</f>
        <v>1.0259593267370111E-2</v>
      </c>
      <c r="BB1163" s="2">
        <f t="shared" ref="BB1163:BB1194" si="494">IF($C1163=0,"-",R1163/$C1163)</f>
        <v>3.8701668553068752E-3</v>
      </c>
      <c r="BC1163" s="2">
        <f t="shared" ref="BC1163:BC1194" si="495">IF($C1163=0,"-",T1163/$C1163)</f>
        <v>0</v>
      </c>
      <c r="BD1163" s="2">
        <f t="shared" ref="BD1163:BD1194" si="496">IF($C1163=0,"-",S1163/$C1163)</f>
        <v>1.8255504034466392E-3</v>
      </c>
      <c r="BF1163" t="s">
        <v>226</v>
      </c>
      <c r="BG1163" t="s">
        <v>320</v>
      </c>
      <c r="BH1163">
        <v>3</v>
      </c>
      <c r="BJ1163" s="114">
        <v>22</v>
      </c>
      <c r="BK1163" s="116">
        <v>1</v>
      </c>
      <c r="BL1163" s="120">
        <f t="shared" si="474"/>
        <v>22001</v>
      </c>
      <c r="BN1163" s="5" t="s">
        <v>498</v>
      </c>
    </row>
    <row r="1164" spans="1:95" hidden="1" outlineLevel="1">
      <c r="A1164" t="s">
        <v>1717</v>
      </c>
      <c r="B1164" t="s">
        <v>320</v>
      </c>
      <c r="C1164" s="1">
        <f t="shared" si="488"/>
        <v>9245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5</v>
      </c>
      <c r="G1164" s="132">
        <f t="shared" si="484"/>
        <v>4761</v>
      </c>
      <c r="H1164" s="137">
        <f t="shared" si="485"/>
        <v>0.5149810708491076</v>
      </c>
      <c r="I1164" s="2"/>
      <c r="J1164" s="2">
        <f t="shared" si="489"/>
        <v>0.22779881016765818</v>
      </c>
      <c r="K1164" s="2">
        <f t="shared" si="490"/>
        <v>0.74277988101676584</v>
      </c>
      <c r="L1164" s="2">
        <f t="shared" si="491"/>
        <v>4.8674959437533805E-3</v>
      </c>
      <c r="M1164" s="2">
        <f t="shared" si="492"/>
        <v>2.4553812871822539E-2</v>
      </c>
      <c r="N1164" s="63">
        <v>2106</v>
      </c>
      <c r="O1164" s="63">
        <v>6867</v>
      </c>
      <c r="P1164" s="63">
        <v>45</v>
      </c>
      <c r="Q1164" s="63">
        <v>102</v>
      </c>
      <c r="R1164" s="63">
        <v>50</v>
      </c>
      <c r="S1164" s="63">
        <v>26</v>
      </c>
      <c r="T1164" s="63"/>
      <c r="U1164" s="63"/>
      <c r="V1164" s="63">
        <v>3</v>
      </c>
      <c r="W1164" s="63"/>
      <c r="X1164" s="63">
        <v>4</v>
      </c>
      <c r="Y1164" s="63">
        <v>8</v>
      </c>
      <c r="Z1164" s="63"/>
      <c r="AA1164" s="63"/>
      <c r="AB1164" s="63"/>
      <c r="AC1164" s="63"/>
      <c r="AD1164" s="63"/>
      <c r="AE1164" s="63">
        <v>12</v>
      </c>
      <c r="AF1164" s="63">
        <v>1</v>
      </c>
      <c r="AG1164" s="63">
        <v>15</v>
      </c>
      <c r="AH1164" s="63"/>
      <c r="AI1164" s="63"/>
      <c r="AJ1164" s="63">
        <v>6</v>
      </c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W1164" s="5">
        <f>IF(Q1164&gt;0,RANK(Q1164,(N1164:P1164,Q1164:AE1164)),0)</f>
        <v>3</v>
      </c>
      <c r="AX1164" s="5">
        <f>IF(R1164&gt;0,RANK(R1164,(N1164:P1164,Q1164:AE1164)),0)</f>
        <v>4</v>
      </c>
      <c r="AY1164" s="5">
        <f>IF(T1164&gt;0,RANK(T1164,(N1164:P1164,Q1164:AE1164)),0)</f>
        <v>0</v>
      </c>
      <c r="AZ1164" s="5">
        <f>IF(S1164&gt;0,RANK(S1164,(N1164:P1164,Q1164:AE1164)),0)</f>
        <v>6</v>
      </c>
      <c r="BA1164" s="2">
        <f t="shared" si="493"/>
        <v>1.1032990805840996E-2</v>
      </c>
      <c r="BB1164" s="2">
        <f t="shared" si="494"/>
        <v>5.4083288263926449E-3</v>
      </c>
      <c r="BC1164" s="2">
        <f t="shared" si="495"/>
        <v>0</v>
      </c>
      <c r="BD1164" s="2">
        <f t="shared" si="496"/>
        <v>2.812330989724175E-3</v>
      </c>
      <c r="BF1164" t="s">
        <v>1717</v>
      </c>
      <c r="BG1164" t="s">
        <v>320</v>
      </c>
      <c r="BH1164">
        <v>4</v>
      </c>
      <c r="BJ1164" s="114">
        <v>22</v>
      </c>
      <c r="BK1164" s="116">
        <v>3</v>
      </c>
      <c r="BL1164" s="120">
        <f t="shared" si="474"/>
        <v>22003</v>
      </c>
      <c r="BN1164" s="5" t="s">
        <v>498</v>
      </c>
    </row>
    <row r="1165" spans="1:95" hidden="1" outlineLevel="1">
      <c r="A1165" t="s">
        <v>646</v>
      </c>
      <c r="B1165" t="s">
        <v>320</v>
      </c>
      <c r="C1165" s="1">
        <f t="shared" si="488"/>
        <v>54678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5</v>
      </c>
      <c r="G1165" s="132">
        <f t="shared" si="484"/>
        <v>19667</v>
      </c>
      <c r="H1165" s="137">
        <f t="shared" si="485"/>
        <v>0.35968762573612789</v>
      </c>
      <c r="I1165" s="2"/>
      <c r="J1165" s="2">
        <f t="shared" si="489"/>
        <v>0.30132777351036982</v>
      </c>
      <c r="K1165" s="2">
        <f t="shared" si="490"/>
        <v>0.66101539924649766</v>
      </c>
      <c r="L1165" s="2">
        <f t="shared" si="491"/>
        <v>4.8099784191082337E-3</v>
      </c>
      <c r="M1165" s="2">
        <f t="shared" si="492"/>
        <v>3.2846848824024229E-2</v>
      </c>
      <c r="N1165" s="63">
        <v>16476</v>
      </c>
      <c r="O1165" s="63">
        <v>36143</v>
      </c>
      <c r="P1165" s="63">
        <v>263</v>
      </c>
      <c r="Q1165" s="63">
        <v>1184</v>
      </c>
      <c r="R1165" s="63">
        <v>324</v>
      </c>
      <c r="S1165" s="63">
        <v>83</v>
      </c>
      <c r="T1165" s="63"/>
      <c r="U1165" s="63"/>
      <c r="V1165" s="63">
        <v>11</v>
      </c>
      <c r="W1165" s="63"/>
      <c r="X1165" s="63">
        <v>13</v>
      </c>
      <c r="Y1165" s="63">
        <v>56</v>
      </c>
      <c r="Z1165" s="63"/>
      <c r="AA1165" s="63"/>
      <c r="AB1165" s="63"/>
      <c r="AC1165" s="63"/>
      <c r="AD1165" s="63"/>
      <c r="AE1165" s="63">
        <v>31</v>
      </c>
      <c r="AF1165" s="63">
        <v>3</v>
      </c>
      <c r="AG1165" s="63">
        <v>60</v>
      </c>
      <c r="AH1165" s="63"/>
      <c r="AI1165" s="63"/>
      <c r="AJ1165" s="63">
        <v>31</v>
      </c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W1165" s="5">
        <f>IF(Q1165&gt;0,RANK(Q1165,(N1165:P1165,Q1165:AE1165)),0)</f>
        <v>3</v>
      </c>
      <c r="AX1165" s="5">
        <f>IF(R1165&gt;0,RANK(R1165,(N1165:P1165,Q1165:AE1165)),0)</f>
        <v>4</v>
      </c>
      <c r="AY1165" s="5">
        <f>IF(T1165&gt;0,RANK(T1165,(N1165:P1165,Q1165:AE1165)),0)</f>
        <v>0</v>
      </c>
      <c r="AZ1165" s="5">
        <f>IF(S1165&gt;0,RANK(S1165,(N1165:P1165,Q1165:AE1165)),0)</f>
        <v>6</v>
      </c>
      <c r="BA1165" s="2">
        <f t="shared" si="493"/>
        <v>2.1654047331650755E-2</v>
      </c>
      <c r="BB1165" s="2">
        <f t="shared" si="494"/>
        <v>5.9256007900801051E-3</v>
      </c>
      <c r="BC1165" s="2">
        <f t="shared" si="495"/>
        <v>0</v>
      </c>
      <c r="BD1165" s="2">
        <f t="shared" si="496"/>
        <v>1.5179779801748419E-3</v>
      </c>
      <c r="BF1165" t="s">
        <v>646</v>
      </c>
      <c r="BG1165" t="s">
        <v>320</v>
      </c>
      <c r="BJ1165" s="114">
        <v>22</v>
      </c>
      <c r="BK1165" s="116">
        <v>5</v>
      </c>
      <c r="BL1165" s="120">
        <f t="shared" si="474"/>
        <v>22005</v>
      </c>
      <c r="BN1165" s="5" t="s">
        <v>498</v>
      </c>
    </row>
    <row r="1166" spans="1:95" hidden="1" outlineLevel="1">
      <c r="A1166" t="s">
        <v>2728</v>
      </c>
      <c r="B1166" t="s">
        <v>320</v>
      </c>
      <c r="C1166" s="1">
        <f t="shared" si="488"/>
        <v>10904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6</v>
      </c>
      <c r="G1166" s="132">
        <f t="shared" si="484"/>
        <v>2783</v>
      </c>
      <c r="H1166" s="137">
        <f t="shared" si="485"/>
        <v>0.25522743947175347</v>
      </c>
      <c r="I1166" s="2"/>
      <c r="J1166" s="2">
        <f t="shared" si="489"/>
        <v>0.36050990462215698</v>
      </c>
      <c r="K1166" s="2">
        <f t="shared" si="490"/>
        <v>0.61573734409391045</v>
      </c>
      <c r="L1166" s="2">
        <f t="shared" si="491"/>
        <v>2.0176082171680116E-3</v>
      </c>
      <c r="M1166" s="2">
        <f t="shared" si="492"/>
        <v>2.1735143066764606E-2</v>
      </c>
      <c r="N1166" s="63">
        <v>3931</v>
      </c>
      <c r="O1166" s="63">
        <v>6714</v>
      </c>
      <c r="P1166" s="63">
        <v>22</v>
      </c>
      <c r="Q1166" s="63">
        <v>127</v>
      </c>
      <c r="R1166" s="63">
        <v>39</v>
      </c>
      <c r="S1166" s="63">
        <v>23</v>
      </c>
      <c r="T1166" s="63"/>
      <c r="U1166" s="63"/>
      <c r="V1166" s="63">
        <v>5</v>
      </c>
      <c r="W1166" s="63"/>
      <c r="X1166" s="63">
        <v>4</v>
      </c>
      <c r="Y1166" s="63">
        <v>16</v>
      </c>
      <c r="Z1166" s="63"/>
      <c r="AA1166" s="63"/>
      <c r="AB1166" s="63"/>
      <c r="AC1166" s="63"/>
      <c r="AD1166" s="63"/>
      <c r="AE1166" s="63">
        <v>10</v>
      </c>
      <c r="AF1166" s="63">
        <v>4</v>
      </c>
      <c r="AG1166" s="63">
        <v>7</v>
      </c>
      <c r="AH1166" s="63"/>
      <c r="AI1166" s="63"/>
      <c r="AJ1166" s="63">
        <v>2</v>
      </c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W1166" s="5">
        <f>IF(Q1166&gt;0,RANK(Q1166,(N1166:P1166,Q1166:AE1166)),0)</f>
        <v>3</v>
      </c>
      <c r="AX1166" s="5">
        <f>IF(R1166&gt;0,RANK(R1166,(N1166:P1166,Q1166:AE1166)),0)</f>
        <v>4</v>
      </c>
      <c r="AY1166" s="5">
        <f>IF(T1166&gt;0,RANK(T1166,(N1166:P1166,Q1166:AE1166)),0)</f>
        <v>0</v>
      </c>
      <c r="AZ1166" s="5">
        <f>IF(S1166&gt;0,RANK(S1166,(N1166:P1166,Q1166:AE1166)),0)</f>
        <v>5</v>
      </c>
      <c r="BA1166" s="2">
        <f t="shared" si="493"/>
        <v>1.1647101980924432E-2</v>
      </c>
      <c r="BB1166" s="2">
        <f t="shared" si="494"/>
        <v>3.5766691122523842E-3</v>
      </c>
      <c r="BC1166" s="2">
        <f t="shared" si="495"/>
        <v>0</v>
      </c>
      <c r="BD1166" s="2">
        <f t="shared" si="496"/>
        <v>2.1093176815847395E-3</v>
      </c>
      <c r="BF1166" t="s">
        <v>2728</v>
      </c>
      <c r="BG1166" t="s">
        <v>320</v>
      </c>
      <c r="BJ1166" s="114">
        <v>22</v>
      </c>
      <c r="BK1166" s="116">
        <v>7</v>
      </c>
      <c r="BL1166" s="120">
        <f t="shared" si="474"/>
        <v>22007</v>
      </c>
      <c r="BN1166" s="5" t="s">
        <v>498</v>
      </c>
    </row>
    <row r="1167" spans="1:95" hidden="1" outlineLevel="1">
      <c r="A1167" t="s">
        <v>275</v>
      </c>
      <c r="B1167" t="s">
        <v>320</v>
      </c>
      <c r="C1167" s="1">
        <f t="shared" si="488"/>
        <v>16586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5</v>
      </c>
      <c r="G1167" s="132">
        <f t="shared" si="484"/>
        <v>6130</v>
      </c>
      <c r="H1167" s="137">
        <f t="shared" si="485"/>
        <v>0.36958880983962378</v>
      </c>
      <c r="I1167" s="2"/>
      <c r="J1167" s="2">
        <f t="shared" si="489"/>
        <v>0.30356927529241529</v>
      </c>
      <c r="K1167" s="2">
        <f t="shared" si="490"/>
        <v>0.67315808513203912</v>
      </c>
      <c r="L1167" s="2">
        <f t="shared" si="491"/>
        <v>1.6881707464126371E-3</v>
      </c>
      <c r="M1167" s="2">
        <f t="shared" si="492"/>
        <v>2.1584468829132959E-2</v>
      </c>
      <c r="N1167" s="63">
        <v>5035</v>
      </c>
      <c r="O1167" s="63">
        <v>11165</v>
      </c>
      <c r="P1167" s="63">
        <v>28</v>
      </c>
      <c r="Q1167" s="63">
        <v>188</v>
      </c>
      <c r="R1167" s="63">
        <v>69</v>
      </c>
      <c r="S1167" s="63">
        <v>28</v>
      </c>
      <c r="T1167" s="63"/>
      <c r="U1167" s="63"/>
      <c r="V1167" s="63">
        <v>3</v>
      </c>
      <c r="W1167" s="63"/>
      <c r="X1167" s="63">
        <v>7</v>
      </c>
      <c r="Y1167" s="63">
        <v>14</v>
      </c>
      <c r="Z1167" s="63"/>
      <c r="AA1167" s="63"/>
      <c r="AB1167" s="63"/>
      <c r="AC1167" s="63"/>
      <c r="AD1167" s="63"/>
      <c r="AE1167" s="63">
        <v>13</v>
      </c>
      <c r="AF1167" s="63">
        <v>6</v>
      </c>
      <c r="AG1167" s="63">
        <v>25</v>
      </c>
      <c r="AH1167" s="63"/>
      <c r="AI1167" s="63"/>
      <c r="AJ1167" s="63">
        <v>5</v>
      </c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W1167" s="5">
        <f>IF(Q1167&gt;0,RANK(Q1167,(N1167:P1167,Q1167:AE1167)),0)</f>
        <v>3</v>
      </c>
      <c r="AX1167" s="5">
        <f>IF(R1167&gt;0,RANK(R1167,(N1167:P1167,Q1167:AE1167)),0)</f>
        <v>4</v>
      </c>
      <c r="AY1167" s="5">
        <f>IF(T1167&gt;0,RANK(T1167,(N1167:P1167,Q1167:AE1167)),0)</f>
        <v>0</v>
      </c>
      <c r="AZ1167" s="5">
        <f>IF(S1167&gt;0,RANK(S1167,(N1167:P1167,Q1167:AE1167)),0)</f>
        <v>5</v>
      </c>
      <c r="BA1167" s="2">
        <f t="shared" si="493"/>
        <v>1.1334860725913422E-2</v>
      </c>
      <c r="BB1167" s="2">
        <f t="shared" si="494"/>
        <v>4.1601350536597127E-3</v>
      </c>
      <c r="BC1167" s="2">
        <f t="shared" si="495"/>
        <v>0</v>
      </c>
      <c r="BD1167" s="2">
        <f t="shared" si="496"/>
        <v>1.6881707464126371E-3</v>
      </c>
      <c r="BF1167" t="s">
        <v>275</v>
      </c>
      <c r="BG1167" t="s">
        <v>320</v>
      </c>
      <c r="BH1167">
        <v>5</v>
      </c>
      <c r="BJ1167" s="114">
        <v>22</v>
      </c>
      <c r="BK1167" s="116">
        <v>9</v>
      </c>
      <c r="BL1167" s="120">
        <f t="shared" si="474"/>
        <v>22009</v>
      </c>
      <c r="BN1167" s="5" t="s">
        <v>498</v>
      </c>
    </row>
    <row r="1168" spans="1:95" hidden="1" outlineLevel="1">
      <c r="A1168" t="s">
        <v>491</v>
      </c>
      <c r="B1168" t="s">
        <v>320</v>
      </c>
      <c r="C1168" s="1">
        <f t="shared" si="488"/>
        <v>15078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5</v>
      </c>
      <c r="G1168" s="132">
        <f t="shared" si="484"/>
        <v>9845</v>
      </c>
      <c r="H1168" s="137">
        <f t="shared" si="485"/>
        <v>0.65293805544501926</v>
      </c>
      <c r="I1168" s="2"/>
      <c r="J1168" s="2">
        <f t="shared" si="489"/>
        <v>0.15870805146571162</v>
      </c>
      <c r="K1168" s="2">
        <f t="shared" si="490"/>
        <v>0.81164610691073091</v>
      </c>
      <c r="L1168" s="2">
        <f t="shared" si="491"/>
        <v>4.178272980501393E-3</v>
      </c>
      <c r="M1168" s="2">
        <f t="shared" si="492"/>
        <v>2.5467568643056042E-2</v>
      </c>
      <c r="N1168" s="63">
        <v>2393</v>
      </c>
      <c r="O1168" s="63">
        <v>12238</v>
      </c>
      <c r="P1168" s="63">
        <v>63</v>
      </c>
      <c r="Q1168" s="63">
        <v>225</v>
      </c>
      <c r="R1168" s="63">
        <v>64</v>
      </c>
      <c r="S1168" s="63">
        <v>30</v>
      </c>
      <c r="T1168" s="63"/>
      <c r="U1168" s="63"/>
      <c r="V1168" s="63">
        <v>3</v>
      </c>
      <c r="W1168" s="63"/>
      <c r="X1168" s="63">
        <v>6</v>
      </c>
      <c r="Y1168" s="63">
        <v>15</v>
      </c>
      <c r="Z1168" s="63"/>
      <c r="AA1168" s="63"/>
      <c r="AB1168" s="63"/>
      <c r="AC1168" s="63"/>
      <c r="AD1168" s="63"/>
      <c r="AE1168" s="63">
        <v>9</v>
      </c>
      <c r="AF1168" s="63">
        <v>2</v>
      </c>
      <c r="AG1168" s="63">
        <v>22</v>
      </c>
      <c r="AH1168" s="63"/>
      <c r="AI1168" s="63"/>
      <c r="AJ1168" s="63">
        <v>8</v>
      </c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W1168" s="5">
        <f>IF(Q1168&gt;0,RANK(Q1168,(N1168:P1168,Q1168:AE1168)),0)</f>
        <v>3</v>
      </c>
      <c r="AX1168" s="5">
        <f>IF(R1168&gt;0,RANK(R1168,(N1168:P1168,Q1168:AE1168)),0)</f>
        <v>4</v>
      </c>
      <c r="AY1168" s="5">
        <f>IF(T1168&gt;0,RANK(T1168,(N1168:P1168,Q1168:AE1168)),0)</f>
        <v>0</v>
      </c>
      <c r="AZ1168" s="5">
        <f>IF(S1168&gt;0,RANK(S1168,(N1168:P1168,Q1168:AE1168)),0)</f>
        <v>6</v>
      </c>
      <c r="BA1168" s="2">
        <f t="shared" si="493"/>
        <v>1.4922403501790688E-2</v>
      </c>
      <c r="BB1168" s="2">
        <f t="shared" si="494"/>
        <v>4.2445947738426843E-3</v>
      </c>
      <c r="BC1168" s="2">
        <f t="shared" si="495"/>
        <v>0</v>
      </c>
      <c r="BD1168" s="2">
        <f t="shared" si="496"/>
        <v>1.9896538002387586E-3</v>
      </c>
      <c r="BF1168" t="s">
        <v>491</v>
      </c>
      <c r="BG1168" t="s">
        <v>320</v>
      </c>
      <c r="BH1168">
        <v>4</v>
      </c>
      <c r="BJ1168" s="114">
        <v>22</v>
      </c>
      <c r="BK1168" s="116">
        <v>11</v>
      </c>
      <c r="BL1168" s="120">
        <f t="shared" si="474"/>
        <v>22011</v>
      </c>
      <c r="BN1168" s="5" t="s">
        <v>498</v>
      </c>
    </row>
    <row r="1169" spans="1:66" hidden="1" outlineLevel="1">
      <c r="A1169" t="s">
        <v>1018</v>
      </c>
      <c r="B1169" t="s">
        <v>320</v>
      </c>
      <c r="C1169" s="1">
        <f t="shared" si="488"/>
        <v>7005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5</v>
      </c>
      <c r="G1169" s="132">
        <f t="shared" si="484"/>
        <v>627</v>
      </c>
      <c r="H1169" s="137">
        <f t="shared" si="485"/>
        <v>8.9507494646680938E-2</v>
      </c>
      <c r="I1169" s="2"/>
      <c r="J1169" s="2">
        <f t="shared" si="489"/>
        <v>0.44668094218415416</v>
      </c>
      <c r="K1169" s="2">
        <f t="shared" si="490"/>
        <v>0.53618843683083517</v>
      </c>
      <c r="L1169" s="2">
        <f t="shared" si="491"/>
        <v>1.9985724482512492E-3</v>
      </c>
      <c r="M1169" s="2">
        <f t="shared" si="492"/>
        <v>1.5132048536759365E-2</v>
      </c>
      <c r="N1169" s="63">
        <v>3129</v>
      </c>
      <c r="O1169" s="63">
        <v>3756</v>
      </c>
      <c r="P1169" s="63">
        <v>14</v>
      </c>
      <c r="Q1169" s="63">
        <v>54</v>
      </c>
      <c r="R1169" s="63">
        <v>23</v>
      </c>
      <c r="S1169" s="63">
        <v>9</v>
      </c>
      <c r="T1169" s="63"/>
      <c r="U1169" s="63"/>
      <c r="V1169" s="63">
        <v>1</v>
      </c>
      <c r="W1169" s="63"/>
      <c r="X1169" s="63">
        <v>1</v>
      </c>
      <c r="Y1169" s="63">
        <v>5</v>
      </c>
      <c r="Z1169" s="63"/>
      <c r="AA1169" s="63"/>
      <c r="AB1169" s="63"/>
      <c r="AC1169" s="63"/>
      <c r="AD1169" s="63"/>
      <c r="AE1169" s="63">
        <v>5</v>
      </c>
      <c r="AF1169" s="63">
        <v>0</v>
      </c>
      <c r="AG1169" s="63">
        <v>4</v>
      </c>
      <c r="AH1169" s="63"/>
      <c r="AI1169" s="63"/>
      <c r="AJ1169" s="63">
        <v>4</v>
      </c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W1169" s="5">
        <f>IF(Q1169&gt;0,RANK(Q1169,(N1169:P1169,Q1169:AE1169)),0)</f>
        <v>3</v>
      </c>
      <c r="AX1169" s="5">
        <f>IF(R1169&gt;0,RANK(R1169,(N1169:P1169,Q1169:AE1169)),0)</f>
        <v>4</v>
      </c>
      <c r="AY1169" s="5">
        <f>IF(T1169&gt;0,RANK(T1169,(N1169:P1169,Q1169:AE1169)),0)</f>
        <v>0</v>
      </c>
      <c r="AZ1169" s="5">
        <f>IF(S1169&gt;0,RANK(S1169,(N1169:P1169,Q1169:AE1169)),0)</f>
        <v>6</v>
      </c>
      <c r="BA1169" s="2">
        <f t="shared" si="493"/>
        <v>7.7087794432548181E-3</v>
      </c>
      <c r="BB1169" s="2">
        <f t="shared" si="494"/>
        <v>3.2833690221270523E-3</v>
      </c>
      <c r="BC1169" s="2">
        <f t="shared" si="495"/>
        <v>0</v>
      </c>
      <c r="BD1169" s="2">
        <f t="shared" si="496"/>
        <v>1.2847965738758029E-3</v>
      </c>
      <c r="BF1169" t="s">
        <v>1018</v>
      </c>
      <c r="BG1169" t="s">
        <v>320</v>
      </c>
      <c r="BH1169">
        <v>4</v>
      </c>
      <c r="BJ1169" s="114">
        <v>22</v>
      </c>
      <c r="BK1169" s="116">
        <v>13</v>
      </c>
      <c r="BL1169" s="120">
        <f t="shared" si="474"/>
        <v>22013</v>
      </c>
      <c r="BN1169" s="5" t="s">
        <v>498</v>
      </c>
    </row>
    <row r="1170" spans="1:66" hidden="1" outlineLevel="1">
      <c r="A1170" t="s">
        <v>733</v>
      </c>
      <c r="B1170" t="s">
        <v>320</v>
      </c>
      <c r="C1170" s="1">
        <f t="shared" si="488"/>
        <v>49848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>IF(P1170&gt;0,RANK(P1170,(N1170:P1170,Q1170:AE1170)),0)</f>
        <v>5</v>
      </c>
      <c r="G1170" s="132">
        <f t="shared" si="484"/>
        <v>22833</v>
      </c>
      <c r="H1170" s="137">
        <f t="shared" si="485"/>
        <v>0.45805247953779488</v>
      </c>
      <c r="I1170" s="2"/>
      <c r="J1170" s="2">
        <f t="shared" si="489"/>
        <v>0.25359091638581288</v>
      </c>
      <c r="K1170" s="2">
        <f t="shared" si="490"/>
        <v>0.71164339592360781</v>
      </c>
      <c r="L1170" s="2">
        <f t="shared" si="491"/>
        <v>4.7544535387578236E-3</v>
      </c>
      <c r="M1170" s="2">
        <f t="shared" si="492"/>
        <v>3.0011234151821484E-2</v>
      </c>
      <c r="N1170" s="63">
        <v>12641</v>
      </c>
      <c r="O1170" s="63">
        <v>35474</v>
      </c>
      <c r="P1170" s="63">
        <v>237</v>
      </c>
      <c r="Q1170" s="63">
        <v>1024</v>
      </c>
      <c r="R1170" s="63">
        <v>263</v>
      </c>
      <c r="S1170" s="63">
        <v>79</v>
      </c>
      <c r="T1170" s="63"/>
      <c r="U1170" s="63"/>
      <c r="V1170" s="63">
        <v>8</v>
      </c>
      <c r="W1170" s="63"/>
      <c r="X1170" s="63">
        <v>7</v>
      </c>
      <c r="Y1170" s="63">
        <v>35</v>
      </c>
      <c r="Z1170" s="63"/>
      <c r="AA1170" s="63"/>
      <c r="AB1170" s="63"/>
      <c r="AC1170" s="63"/>
      <c r="AD1170" s="63"/>
      <c r="AE1170" s="63">
        <v>18</v>
      </c>
      <c r="AF1170" s="63">
        <v>4</v>
      </c>
      <c r="AG1170" s="63">
        <v>44</v>
      </c>
      <c r="AH1170" s="63"/>
      <c r="AI1170" s="63"/>
      <c r="AJ1170" s="63">
        <v>14</v>
      </c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W1170" s="5">
        <f>IF(Q1170&gt;0,RANK(Q1170,(N1170:P1170,Q1170:AE1170)),0)</f>
        <v>3</v>
      </c>
      <c r="AX1170" s="5">
        <f>IF(R1170&gt;0,RANK(R1170,(N1170:P1170,Q1170:AE1170)),0)</f>
        <v>4</v>
      </c>
      <c r="AY1170" s="5">
        <f>IF(T1170&gt;0,RANK(T1170,(N1170:P1170,Q1170:AE1170)),0)</f>
        <v>0</v>
      </c>
      <c r="AZ1170" s="5">
        <f>IF(S1170&gt;0,RANK(S1170,(N1170:P1170,Q1170:AE1170)),0)</f>
        <v>6</v>
      </c>
      <c r="BA1170" s="2">
        <f t="shared" si="493"/>
        <v>2.0542449045097094E-2</v>
      </c>
      <c r="BB1170" s="2">
        <f t="shared" si="494"/>
        <v>5.2760391590434925E-3</v>
      </c>
      <c r="BC1170" s="2">
        <f t="shared" si="495"/>
        <v>0</v>
      </c>
      <c r="BD1170" s="2">
        <f t="shared" si="496"/>
        <v>1.584817846252608E-3</v>
      </c>
      <c r="BF1170" t="s">
        <v>733</v>
      </c>
      <c r="BG1170" t="s">
        <v>320</v>
      </c>
      <c r="BH1170">
        <v>4</v>
      </c>
      <c r="BJ1170" s="114">
        <v>22</v>
      </c>
      <c r="BK1170" s="116">
        <v>15</v>
      </c>
      <c r="BL1170" s="120">
        <f t="shared" si="474"/>
        <v>22015</v>
      </c>
      <c r="BN1170" s="5" t="s">
        <v>498</v>
      </c>
    </row>
    <row r="1171" spans="1:66" hidden="1" outlineLevel="1">
      <c r="A1171" t="s">
        <v>1950</v>
      </c>
      <c r="B1171" t="s">
        <v>320</v>
      </c>
      <c r="C1171" s="1">
        <f t="shared" si="488"/>
        <v>105804</v>
      </c>
      <c r="D1171" s="5">
        <f>IF(N1171&gt;0, RANK(N1171,(N1171:P1171,Q1171:AE1171)),0)</f>
        <v>1</v>
      </c>
      <c r="E1171" s="5">
        <f>IF(O1171&gt;0,RANK(O1171,(N1171:P1171,Q1171:AE1171)),0)</f>
        <v>2</v>
      </c>
      <c r="F1171" s="5">
        <f>IF(P1171&gt;0,RANK(P1171,(N1171:P1171,Q1171:AE1171)),0)</f>
        <v>5</v>
      </c>
      <c r="G1171" s="132">
        <f t="shared" si="484"/>
        <v>4477</v>
      </c>
      <c r="H1171" s="137">
        <f t="shared" si="485"/>
        <v>4.2314090204529128E-2</v>
      </c>
      <c r="I1171" s="2"/>
      <c r="J1171" s="2">
        <f t="shared" si="489"/>
        <v>0.50549128577369473</v>
      </c>
      <c r="K1171" s="2">
        <f t="shared" si="490"/>
        <v>0.46317719556916565</v>
      </c>
      <c r="L1171" s="2">
        <f t="shared" si="491"/>
        <v>3.7049638955048959E-3</v>
      </c>
      <c r="M1171" s="2">
        <f t="shared" si="492"/>
        <v>2.7626554761634729E-2</v>
      </c>
      <c r="N1171" s="63">
        <v>53483</v>
      </c>
      <c r="O1171" s="63">
        <v>49006</v>
      </c>
      <c r="P1171" s="63">
        <v>392</v>
      </c>
      <c r="Q1171" s="63">
        <v>1861</v>
      </c>
      <c r="R1171" s="63">
        <v>665</v>
      </c>
      <c r="S1171" s="63">
        <v>106</v>
      </c>
      <c r="T1171" s="63"/>
      <c r="U1171" s="63"/>
      <c r="V1171" s="63">
        <v>25</v>
      </c>
      <c r="W1171" s="63"/>
      <c r="X1171" s="63">
        <v>20</v>
      </c>
      <c r="Y1171" s="63">
        <v>64</v>
      </c>
      <c r="Z1171" s="63"/>
      <c r="AA1171" s="63"/>
      <c r="AB1171" s="63"/>
      <c r="AC1171" s="63"/>
      <c r="AD1171" s="63"/>
      <c r="AE1171" s="63">
        <v>59</v>
      </c>
      <c r="AF1171" s="63">
        <v>20</v>
      </c>
      <c r="AG1171" s="63">
        <v>79</v>
      </c>
      <c r="AH1171" s="63"/>
      <c r="AI1171" s="63"/>
      <c r="AJ1171" s="63">
        <v>24</v>
      </c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W1171" s="5">
        <f>IF(Q1171&gt;0,RANK(Q1171,(N1171:P1171,Q1171:AE1171)),0)</f>
        <v>3</v>
      </c>
      <c r="AX1171" s="5">
        <f>IF(R1171&gt;0,RANK(R1171,(N1171:P1171,Q1171:AE1171)),0)</f>
        <v>4</v>
      </c>
      <c r="AY1171" s="5">
        <f>IF(T1171&gt;0,RANK(T1171,(N1171:P1171,Q1171:AE1171)),0)</f>
        <v>0</v>
      </c>
      <c r="AZ1171" s="5">
        <f>IF(S1171&gt;0,RANK(S1171,(N1171:P1171,Q1171:AE1171)),0)</f>
        <v>6</v>
      </c>
      <c r="BA1171" s="2">
        <f t="shared" si="493"/>
        <v>1.7589127065139314E-2</v>
      </c>
      <c r="BB1171" s="2">
        <f t="shared" si="494"/>
        <v>6.2852066084458057E-3</v>
      </c>
      <c r="BC1171" s="2">
        <f t="shared" si="495"/>
        <v>0</v>
      </c>
      <c r="BD1171" s="2">
        <f t="shared" si="496"/>
        <v>1.0018524819477524E-3</v>
      </c>
      <c r="BF1171" t="s">
        <v>1950</v>
      </c>
      <c r="BG1171" t="s">
        <v>320</v>
      </c>
      <c r="BH1171">
        <v>4</v>
      </c>
      <c r="BJ1171" s="114">
        <v>22</v>
      </c>
      <c r="BK1171" s="116">
        <v>17</v>
      </c>
      <c r="BL1171" s="120">
        <f t="shared" si="474"/>
        <v>22017</v>
      </c>
      <c r="BN1171" s="5" t="s">
        <v>498</v>
      </c>
    </row>
    <row r="1172" spans="1:66" hidden="1" outlineLevel="1">
      <c r="A1172" t="s">
        <v>2697</v>
      </c>
      <c r="B1172" t="s">
        <v>320</v>
      </c>
      <c r="C1172" s="1">
        <f t="shared" si="488"/>
        <v>83785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5</v>
      </c>
      <c r="G1172" s="132">
        <f t="shared" si="484"/>
        <v>27895</v>
      </c>
      <c r="H1172" s="137">
        <f t="shared" si="485"/>
        <v>0.33293548964611802</v>
      </c>
      <c r="I1172" s="2"/>
      <c r="J1172" s="2">
        <f t="shared" si="489"/>
        <v>0.31385092797040043</v>
      </c>
      <c r="K1172" s="2">
        <f t="shared" si="490"/>
        <v>0.64678641761651845</v>
      </c>
      <c r="L1172" s="2">
        <f t="shared" si="491"/>
        <v>5.4544369517216685E-3</v>
      </c>
      <c r="M1172" s="2">
        <f t="shared" si="492"/>
        <v>3.39082174613594E-2</v>
      </c>
      <c r="N1172" s="63">
        <v>26296</v>
      </c>
      <c r="O1172" s="63">
        <v>54191</v>
      </c>
      <c r="P1172" s="63">
        <v>457</v>
      </c>
      <c r="Q1172" s="63">
        <v>1786</v>
      </c>
      <c r="R1172" s="63">
        <v>551</v>
      </c>
      <c r="S1172" s="63">
        <v>185</v>
      </c>
      <c r="T1172" s="63"/>
      <c r="U1172" s="63"/>
      <c r="V1172" s="63">
        <v>17</v>
      </c>
      <c r="W1172" s="63"/>
      <c r="X1172" s="63">
        <v>19</v>
      </c>
      <c r="Y1172" s="63">
        <v>70</v>
      </c>
      <c r="Z1172" s="63"/>
      <c r="AA1172" s="63"/>
      <c r="AB1172" s="63"/>
      <c r="AC1172" s="63"/>
      <c r="AD1172" s="63"/>
      <c r="AE1172" s="63">
        <v>45</v>
      </c>
      <c r="AF1172" s="63">
        <v>19</v>
      </c>
      <c r="AG1172" s="63">
        <v>113</v>
      </c>
      <c r="AH1172" s="63"/>
      <c r="AI1172" s="63"/>
      <c r="AJ1172" s="63">
        <v>36</v>
      </c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W1172" s="5">
        <f>IF(Q1172&gt;0,RANK(Q1172,(N1172:P1172,Q1172:AE1172)),0)</f>
        <v>3</v>
      </c>
      <c r="AX1172" s="5">
        <f>IF(R1172&gt;0,RANK(R1172,(N1172:P1172,Q1172:AE1172)),0)</f>
        <v>4</v>
      </c>
      <c r="AY1172" s="5">
        <f>IF(T1172&gt;0,RANK(T1172,(N1172:P1172,Q1172:AE1172)),0)</f>
        <v>0</v>
      </c>
      <c r="AZ1172" s="5">
        <f>IF(S1172&gt;0,RANK(S1172,(N1172:P1172,Q1172:AE1172)),0)</f>
        <v>6</v>
      </c>
      <c r="BA1172" s="2">
        <f t="shared" si="493"/>
        <v>2.1316464760995406E-2</v>
      </c>
      <c r="BB1172" s="2">
        <f t="shared" si="494"/>
        <v>6.5763561496687949E-3</v>
      </c>
      <c r="BC1172" s="2">
        <f t="shared" si="495"/>
        <v>0</v>
      </c>
      <c r="BD1172" s="2">
        <f t="shared" si="496"/>
        <v>2.2080324640448767E-3</v>
      </c>
      <c r="BF1172" t="s">
        <v>2697</v>
      </c>
      <c r="BG1172" t="s">
        <v>320</v>
      </c>
      <c r="BH1172">
        <v>3</v>
      </c>
      <c r="BJ1172" s="114">
        <v>22</v>
      </c>
      <c r="BK1172" s="116">
        <v>19</v>
      </c>
      <c r="BL1172" s="120">
        <f t="shared" si="474"/>
        <v>22019</v>
      </c>
      <c r="BN1172" s="5" t="s">
        <v>498</v>
      </c>
    </row>
    <row r="1173" spans="1:66" hidden="1" outlineLevel="1">
      <c r="A1173" t="s">
        <v>317</v>
      </c>
      <c r="B1173" t="s">
        <v>320</v>
      </c>
      <c r="C1173" s="1">
        <f t="shared" si="488"/>
        <v>4692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4</v>
      </c>
      <c r="G1173" s="132">
        <f t="shared" si="484"/>
        <v>3034</v>
      </c>
      <c r="H1173" s="137">
        <f t="shared" si="485"/>
        <v>0.64663256606990627</v>
      </c>
      <c r="I1173" s="2"/>
      <c r="J1173" s="2">
        <f t="shared" si="489"/>
        <v>0.1679454390451833</v>
      </c>
      <c r="K1173" s="2">
        <f t="shared" si="490"/>
        <v>0.81457800511508949</v>
      </c>
      <c r="L1173" s="2">
        <f t="shared" si="491"/>
        <v>3.8363171355498722E-3</v>
      </c>
      <c r="M1173" s="2">
        <f t="shared" si="492"/>
        <v>1.3640238704177309E-2</v>
      </c>
      <c r="N1173" s="63">
        <v>788</v>
      </c>
      <c r="O1173" s="63">
        <v>3822</v>
      </c>
      <c r="P1173" s="63">
        <v>18</v>
      </c>
      <c r="Q1173" s="63">
        <v>28</v>
      </c>
      <c r="R1173" s="63">
        <v>14</v>
      </c>
      <c r="S1173" s="63">
        <v>9</v>
      </c>
      <c r="T1173" s="63"/>
      <c r="U1173" s="63"/>
      <c r="V1173" s="63">
        <v>0</v>
      </c>
      <c r="W1173" s="63"/>
      <c r="X1173" s="63">
        <v>2</v>
      </c>
      <c r="Y1173" s="63">
        <v>2</v>
      </c>
      <c r="Z1173" s="63"/>
      <c r="AA1173" s="63"/>
      <c r="AB1173" s="63"/>
      <c r="AC1173" s="63"/>
      <c r="AD1173" s="63"/>
      <c r="AE1173" s="63">
        <v>1</v>
      </c>
      <c r="AF1173" s="63">
        <v>0</v>
      </c>
      <c r="AG1173" s="63">
        <v>5</v>
      </c>
      <c r="AH1173" s="63"/>
      <c r="AI1173" s="63"/>
      <c r="AJ1173" s="63">
        <v>3</v>
      </c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W1173" s="5">
        <f>IF(Q1173&gt;0,RANK(Q1173,(N1173:P1173,Q1173:AE1173)),0)</f>
        <v>3</v>
      </c>
      <c r="AX1173" s="5">
        <f>IF(R1173&gt;0,RANK(R1173,(N1173:P1173,Q1173:AE1173)),0)</f>
        <v>5</v>
      </c>
      <c r="AY1173" s="5">
        <f>IF(T1173&gt;0,RANK(T1173,(N1173:P1173,Q1173:AE1173)),0)</f>
        <v>0</v>
      </c>
      <c r="AZ1173" s="5">
        <f>IF(S1173&gt;0,RANK(S1173,(N1173:P1173,Q1173:AE1173)),0)</f>
        <v>6</v>
      </c>
      <c r="BA1173" s="2">
        <f t="shared" si="493"/>
        <v>5.9676044330775786E-3</v>
      </c>
      <c r="BB1173" s="2">
        <f t="shared" si="494"/>
        <v>2.9838022165387893E-3</v>
      </c>
      <c r="BC1173" s="2">
        <f t="shared" si="495"/>
        <v>0</v>
      </c>
      <c r="BD1173" s="2">
        <f t="shared" si="496"/>
        <v>1.9181585677749361E-3</v>
      </c>
      <c r="BF1173" t="s">
        <v>317</v>
      </c>
      <c r="BG1173" t="s">
        <v>320</v>
      </c>
      <c r="BH1173">
        <v>5</v>
      </c>
      <c r="BJ1173" s="114">
        <v>22</v>
      </c>
      <c r="BK1173" s="116">
        <v>21</v>
      </c>
      <c r="BL1173" s="120">
        <f t="shared" si="474"/>
        <v>22021</v>
      </c>
      <c r="BN1173" s="5" t="s">
        <v>498</v>
      </c>
    </row>
    <row r="1174" spans="1:66" hidden="1" outlineLevel="1">
      <c r="A1174" t="s">
        <v>2699</v>
      </c>
      <c r="B1174" t="s">
        <v>320</v>
      </c>
      <c r="C1174" s="1">
        <f t="shared" si="488"/>
        <v>3692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4</v>
      </c>
      <c r="G1174" s="132">
        <f t="shared" si="484"/>
        <v>2933</v>
      </c>
      <c r="H1174" s="137">
        <f t="shared" si="485"/>
        <v>0.79442036836403029</v>
      </c>
      <c r="I1174" s="2"/>
      <c r="J1174" s="2">
        <f t="shared" si="489"/>
        <v>8.7486457204767068E-2</v>
      </c>
      <c r="K1174" s="2">
        <f t="shared" si="490"/>
        <v>0.8819068255687974</v>
      </c>
      <c r="L1174" s="2">
        <f t="shared" si="491"/>
        <v>4.6045503791982663E-3</v>
      </c>
      <c r="M1174" s="2">
        <f t="shared" si="492"/>
        <v>2.6002166847237222E-2</v>
      </c>
      <c r="N1174" s="63">
        <v>323</v>
      </c>
      <c r="O1174" s="63">
        <v>3256</v>
      </c>
      <c r="P1174" s="63">
        <v>17</v>
      </c>
      <c r="Q1174" s="63">
        <v>57</v>
      </c>
      <c r="R1174" s="63">
        <v>16</v>
      </c>
      <c r="S1174" s="63">
        <v>6</v>
      </c>
      <c r="T1174" s="63"/>
      <c r="U1174" s="63"/>
      <c r="V1174" s="63">
        <v>0</v>
      </c>
      <c r="W1174" s="63"/>
      <c r="X1174" s="63">
        <v>3</v>
      </c>
      <c r="Y1174" s="63">
        <v>3</v>
      </c>
      <c r="Z1174" s="63"/>
      <c r="AA1174" s="63"/>
      <c r="AB1174" s="63"/>
      <c r="AC1174" s="63"/>
      <c r="AD1174" s="63"/>
      <c r="AE1174" s="63">
        <v>1</v>
      </c>
      <c r="AF1174" s="63">
        <v>0</v>
      </c>
      <c r="AG1174" s="63">
        <v>9</v>
      </c>
      <c r="AH1174" s="63"/>
      <c r="AI1174" s="63"/>
      <c r="AJ1174" s="63">
        <v>1</v>
      </c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W1174" s="5">
        <f>IF(Q1174&gt;0,RANK(Q1174,(N1174:P1174,Q1174:AE1174)),0)</f>
        <v>3</v>
      </c>
      <c r="AX1174" s="5">
        <f>IF(R1174&gt;0,RANK(R1174,(N1174:P1174,Q1174:AE1174)),0)</f>
        <v>5</v>
      </c>
      <c r="AY1174" s="5">
        <f>IF(T1174&gt;0,RANK(T1174,(N1174:P1174,Q1174:AE1174)),0)</f>
        <v>0</v>
      </c>
      <c r="AZ1174" s="5">
        <f>IF(S1174&gt;0,RANK(S1174,(N1174:P1174,Q1174:AE1174)),0)</f>
        <v>6</v>
      </c>
      <c r="BA1174" s="2">
        <f t="shared" si="493"/>
        <v>1.5438786565547129E-2</v>
      </c>
      <c r="BB1174" s="2">
        <f t="shared" si="494"/>
        <v>4.3336944745395447E-3</v>
      </c>
      <c r="BC1174" s="2">
        <f t="shared" si="495"/>
        <v>0</v>
      </c>
      <c r="BD1174" s="2">
        <f t="shared" si="496"/>
        <v>1.6251354279523294E-3</v>
      </c>
      <c r="BF1174" t="s">
        <v>2699</v>
      </c>
      <c r="BG1174" t="s">
        <v>320</v>
      </c>
      <c r="BH1174">
        <v>3</v>
      </c>
      <c r="BJ1174" s="114">
        <v>22</v>
      </c>
      <c r="BK1174" s="116">
        <v>23</v>
      </c>
      <c r="BL1174" s="120">
        <f t="shared" si="474"/>
        <v>22023</v>
      </c>
      <c r="BN1174" s="5" t="s">
        <v>498</v>
      </c>
    </row>
    <row r="1175" spans="1:66" hidden="1" outlineLevel="1">
      <c r="A1175" t="s">
        <v>41</v>
      </c>
      <c r="B1175" t="s">
        <v>320</v>
      </c>
      <c r="C1175" s="1">
        <f t="shared" si="488"/>
        <v>4856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6</v>
      </c>
      <c r="G1175" s="132">
        <f t="shared" si="484"/>
        <v>2157</v>
      </c>
      <c r="H1175" s="137">
        <f t="shared" si="485"/>
        <v>0.44419275123558483</v>
      </c>
      <c r="I1175" s="2"/>
      <c r="J1175" s="2">
        <f t="shared" si="489"/>
        <v>0.27224052718286657</v>
      </c>
      <c r="K1175" s="2">
        <f t="shared" si="490"/>
        <v>0.71643327841845139</v>
      </c>
      <c r="L1175" s="2">
        <f t="shared" si="491"/>
        <v>1.2355848434925864E-3</v>
      </c>
      <c r="M1175" s="2">
        <f t="shared" si="492"/>
        <v>1.0090609555189513E-2</v>
      </c>
      <c r="N1175" s="63">
        <v>1322</v>
      </c>
      <c r="O1175" s="63">
        <v>3479</v>
      </c>
      <c r="P1175" s="63">
        <v>6</v>
      </c>
      <c r="Q1175" s="63">
        <v>17</v>
      </c>
      <c r="R1175" s="63">
        <v>14</v>
      </c>
      <c r="S1175" s="63">
        <v>7</v>
      </c>
      <c r="T1175" s="63"/>
      <c r="U1175" s="63"/>
      <c r="V1175" s="63">
        <v>0</v>
      </c>
      <c r="W1175" s="63"/>
      <c r="X1175" s="63">
        <v>0</v>
      </c>
      <c r="Y1175" s="63">
        <v>3</v>
      </c>
      <c r="Z1175" s="63"/>
      <c r="AA1175" s="63"/>
      <c r="AB1175" s="63"/>
      <c r="AC1175" s="63"/>
      <c r="AD1175" s="63"/>
      <c r="AE1175" s="63">
        <v>1</v>
      </c>
      <c r="AF1175" s="63">
        <v>2</v>
      </c>
      <c r="AG1175" s="63">
        <v>5</v>
      </c>
      <c r="AH1175" s="63"/>
      <c r="AI1175" s="63"/>
      <c r="AJ1175" s="63">
        <v>0</v>
      </c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W1175" s="5">
        <f>IF(Q1175&gt;0,RANK(Q1175,(N1175:P1175,Q1175:AE1175)),0)</f>
        <v>3</v>
      </c>
      <c r="AX1175" s="5">
        <f>IF(R1175&gt;0,RANK(R1175,(N1175:P1175,Q1175:AE1175)),0)</f>
        <v>4</v>
      </c>
      <c r="AY1175" s="5">
        <f>IF(T1175&gt;0,RANK(T1175,(N1175:P1175,Q1175:AE1175)),0)</f>
        <v>0</v>
      </c>
      <c r="AZ1175" s="5">
        <f>IF(S1175&gt;0,RANK(S1175,(N1175:P1175,Q1175:AE1175)),0)</f>
        <v>5</v>
      </c>
      <c r="BA1175" s="2">
        <f t="shared" si="493"/>
        <v>3.5008237232289951E-3</v>
      </c>
      <c r="BB1175" s="2">
        <f t="shared" si="494"/>
        <v>2.883031301482702E-3</v>
      </c>
      <c r="BC1175" s="2">
        <f t="shared" si="495"/>
        <v>0</v>
      </c>
      <c r="BD1175" s="2">
        <f t="shared" si="496"/>
        <v>1.441515650741351E-3</v>
      </c>
      <c r="BF1175" t="s">
        <v>41</v>
      </c>
      <c r="BG1175" t="s">
        <v>320</v>
      </c>
      <c r="BH1175">
        <v>5</v>
      </c>
      <c r="BJ1175" s="114">
        <v>22</v>
      </c>
      <c r="BK1175" s="116">
        <v>25</v>
      </c>
      <c r="BL1175" s="120">
        <f t="shared" si="474"/>
        <v>22025</v>
      </c>
      <c r="BN1175" s="5" t="s">
        <v>498</v>
      </c>
    </row>
    <row r="1176" spans="1:66" hidden="1" outlineLevel="1">
      <c r="A1176" t="s">
        <v>937</v>
      </c>
      <c r="B1176" t="s">
        <v>320</v>
      </c>
      <c r="C1176" s="1">
        <f t="shared" si="488"/>
        <v>6421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6</v>
      </c>
      <c r="G1176" s="132">
        <f t="shared" si="484"/>
        <v>868</v>
      </c>
      <c r="H1176" s="137">
        <f t="shared" si="485"/>
        <v>0.13518143591340911</v>
      </c>
      <c r="I1176" s="2"/>
      <c r="J1176" s="2">
        <f t="shared" si="489"/>
        <v>0.42314281264600528</v>
      </c>
      <c r="K1176" s="2">
        <f t="shared" si="490"/>
        <v>0.55832424855941443</v>
      </c>
      <c r="L1176" s="2">
        <f t="shared" si="491"/>
        <v>1.2459118517364897E-3</v>
      </c>
      <c r="M1176" s="2">
        <f t="shared" si="492"/>
        <v>1.72870269428438E-2</v>
      </c>
      <c r="N1176" s="63">
        <v>2717</v>
      </c>
      <c r="O1176" s="63">
        <v>3585</v>
      </c>
      <c r="P1176" s="63">
        <v>8</v>
      </c>
      <c r="Q1176" s="63">
        <v>45</v>
      </c>
      <c r="R1176" s="63">
        <v>25</v>
      </c>
      <c r="S1176" s="63">
        <v>10</v>
      </c>
      <c r="T1176" s="63"/>
      <c r="U1176" s="63"/>
      <c r="V1176" s="63">
        <v>1</v>
      </c>
      <c r="W1176" s="63"/>
      <c r="X1176" s="63">
        <v>3</v>
      </c>
      <c r="Y1176" s="63">
        <v>6</v>
      </c>
      <c r="Z1176" s="63"/>
      <c r="AA1176" s="63"/>
      <c r="AB1176" s="63"/>
      <c r="AC1176" s="63"/>
      <c r="AD1176" s="63"/>
      <c r="AE1176" s="63">
        <v>5</v>
      </c>
      <c r="AF1176" s="63">
        <v>3</v>
      </c>
      <c r="AG1176" s="63">
        <v>12</v>
      </c>
      <c r="AH1176" s="63"/>
      <c r="AI1176" s="63"/>
      <c r="AJ1176" s="63">
        <v>1</v>
      </c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W1176" s="5">
        <f>IF(Q1176&gt;0,RANK(Q1176,(N1176:P1176,Q1176:AE1176)),0)</f>
        <v>3</v>
      </c>
      <c r="AX1176" s="5">
        <f>IF(R1176&gt;0,RANK(R1176,(N1176:P1176,Q1176:AE1176)),0)</f>
        <v>4</v>
      </c>
      <c r="AY1176" s="5">
        <f>IF(T1176&gt;0,RANK(T1176,(N1176:P1176,Q1176:AE1176)),0)</f>
        <v>0</v>
      </c>
      <c r="AZ1176" s="5">
        <f>IF(S1176&gt;0,RANK(S1176,(N1176:P1176,Q1176:AE1176)),0)</f>
        <v>5</v>
      </c>
      <c r="BA1176" s="2">
        <f t="shared" si="493"/>
        <v>7.0082541660177545E-3</v>
      </c>
      <c r="BB1176" s="2">
        <f t="shared" si="494"/>
        <v>3.8934745366765301E-3</v>
      </c>
      <c r="BC1176" s="2">
        <f t="shared" si="495"/>
        <v>0</v>
      </c>
      <c r="BD1176" s="2">
        <f t="shared" si="496"/>
        <v>1.557389814670612E-3</v>
      </c>
      <c r="BF1176" t="s">
        <v>937</v>
      </c>
      <c r="BG1176" t="s">
        <v>320</v>
      </c>
      <c r="BH1176">
        <v>4</v>
      </c>
      <c r="BJ1176" s="114">
        <v>22</v>
      </c>
      <c r="BK1176" s="116">
        <v>27</v>
      </c>
      <c r="BL1176" s="120">
        <f t="shared" si="474"/>
        <v>22027</v>
      </c>
      <c r="BN1176" s="5" t="s">
        <v>498</v>
      </c>
    </row>
    <row r="1177" spans="1:66" hidden="1" outlineLevel="1">
      <c r="A1177" t="s">
        <v>1998</v>
      </c>
      <c r="B1177" t="s">
        <v>320</v>
      </c>
      <c r="C1177" s="1">
        <f t="shared" si="488"/>
        <v>8872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6</v>
      </c>
      <c r="G1177" s="132">
        <f t="shared" si="484"/>
        <v>2205</v>
      </c>
      <c r="H1177" s="137">
        <f t="shared" si="485"/>
        <v>0.24853471596032461</v>
      </c>
      <c r="I1177" s="2"/>
      <c r="J1177" s="2">
        <f t="shared" si="489"/>
        <v>0.36880072137060416</v>
      </c>
      <c r="K1177" s="2">
        <f t="shared" si="490"/>
        <v>0.61733543733092877</v>
      </c>
      <c r="L1177" s="2">
        <f t="shared" si="491"/>
        <v>9.0171325518485117E-4</v>
      </c>
      <c r="M1177" s="2">
        <f t="shared" si="492"/>
        <v>1.2962128043282221E-2</v>
      </c>
      <c r="N1177" s="63">
        <v>3272</v>
      </c>
      <c r="O1177" s="63">
        <v>5477</v>
      </c>
      <c r="P1177" s="63">
        <v>8</v>
      </c>
      <c r="Q1177" s="63">
        <v>68</v>
      </c>
      <c r="R1177" s="63">
        <v>14</v>
      </c>
      <c r="S1177" s="63">
        <v>9</v>
      </c>
      <c r="T1177" s="63"/>
      <c r="U1177" s="63"/>
      <c r="V1177" s="63">
        <v>3</v>
      </c>
      <c r="W1177" s="63"/>
      <c r="X1177" s="63">
        <v>4</v>
      </c>
      <c r="Y1177" s="63">
        <v>4</v>
      </c>
      <c r="Z1177" s="63"/>
      <c r="AA1177" s="63"/>
      <c r="AB1177" s="63"/>
      <c r="AC1177" s="63"/>
      <c r="AD1177" s="63"/>
      <c r="AE1177" s="63">
        <v>4</v>
      </c>
      <c r="AF1177" s="63">
        <v>0</v>
      </c>
      <c r="AG1177" s="63">
        <v>6</v>
      </c>
      <c r="AH1177" s="63"/>
      <c r="AI1177" s="63"/>
      <c r="AJ1177" s="63">
        <v>3</v>
      </c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W1177" s="5">
        <f>IF(Q1177&gt;0,RANK(Q1177,(N1177:P1177,Q1177:AE1177)),0)</f>
        <v>3</v>
      </c>
      <c r="AX1177" s="5">
        <f>IF(R1177&gt;0,RANK(R1177,(N1177:P1177,Q1177:AE1177)),0)</f>
        <v>4</v>
      </c>
      <c r="AY1177" s="5">
        <f>IF(T1177&gt;0,RANK(T1177,(N1177:P1177,Q1177:AE1177)),0)</f>
        <v>0</v>
      </c>
      <c r="AZ1177" s="5">
        <f>IF(S1177&gt;0,RANK(S1177,(N1177:P1177,Q1177:AE1177)),0)</f>
        <v>5</v>
      </c>
      <c r="BA1177" s="2">
        <f t="shared" si="493"/>
        <v>7.6645626690712357E-3</v>
      </c>
      <c r="BB1177" s="2">
        <f t="shared" si="494"/>
        <v>1.5779981965734896E-3</v>
      </c>
      <c r="BC1177" s="2">
        <f t="shared" si="495"/>
        <v>0</v>
      </c>
      <c r="BD1177" s="2">
        <f t="shared" si="496"/>
        <v>1.0144274120829576E-3</v>
      </c>
      <c r="BF1177" t="s">
        <v>1998</v>
      </c>
      <c r="BG1177" t="s">
        <v>320</v>
      </c>
      <c r="BH1177">
        <v>5</v>
      </c>
      <c r="BJ1177" s="114">
        <v>22</v>
      </c>
      <c r="BK1177" s="116">
        <v>29</v>
      </c>
      <c r="BL1177" s="120">
        <f t="shared" si="474"/>
        <v>22029</v>
      </c>
      <c r="BN1177" s="5" t="s">
        <v>498</v>
      </c>
    </row>
    <row r="1178" spans="1:66" hidden="1" outlineLevel="1">
      <c r="A1178" t="s">
        <v>499</v>
      </c>
      <c r="B1178" t="s">
        <v>320</v>
      </c>
      <c r="C1178" s="1">
        <f t="shared" si="488"/>
        <v>13500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>IF(P1178&gt;0,RANK(P1178,(N1178:P1178,Q1178:AE1178)),0)</f>
        <v>4</v>
      </c>
      <c r="G1178" s="132">
        <f t="shared" si="484"/>
        <v>2903</v>
      </c>
      <c r="H1178" s="137">
        <f t="shared" si="485"/>
        <v>0.21503703703703703</v>
      </c>
      <c r="I1178" s="2"/>
      <c r="J1178" s="2">
        <f t="shared" si="489"/>
        <v>0.3825925925925926</v>
      </c>
      <c r="K1178" s="2">
        <f t="shared" si="490"/>
        <v>0.59762962962962962</v>
      </c>
      <c r="L1178" s="2">
        <f t="shared" si="491"/>
        <v>3.7777777777777779E-3</v>
      </c>
      <c r="M1178" s="2">
        <f t="shared" si="492"/>
        <v>1.6000000000000004E-2</v>
      </c>
      <c r="N1178" s="63">
        <v>5165</v>
      </c>
      <c r="O1178" s="63">
        <v>8068</v>
      </c>
      <c r="P1178" s="63">
        <v>51</v>
      </c>
      <c r="Q1178" s="63">
        <v>128</v>
      </c>
      <c r="R1178" s="63">
        <v>33</v>
      </c>
      <c r="S1178" s="63">
        <v>16</v>
      </c>
      <c r="T1178" s="63"/>
      <c r="U1178" s="63"/>
      <c r="V1178" s="63">
        <v>0</v>
      </c>
      <c r="W1178" s="63"/>
      <c r="X1178" s="63">
        <v>2</v>
      </c>
      <c r="Y1178" s="63">
        <v>7</v>
      </c>
      <c r="Z1178" s="63"/>
      <c r="AA1178" s="63"/>
      <c r="AB1178" s="63"/>
      <c r="AC1178" s="63"/>
      <c r="AD1178" s="63"/>
      <c r="AE1178" s="63">
        <v>8</v>
      </c>
      <c r="AF1178" s="63">
        <v>3</v>
      </c>
      <c r="AG1178" s="63">
        <v>9</v>
      </c>
      <c r="AH1178" s="63"/>
      <c r="AI1178" s="63"/>
      <c r="AJ1178" s="63">
        <v>10</v>
      </c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W1178" s="5">
        <f>IF(Q1178&gt;0,RANK(Q1178,(N1178:P1178,Q1178:AE1178)),0)</f>
        <v>3</v>
      </c>
      <c r="AX1178" s="5">
        <f>IF(R1178&gt;0,RANK(R1178,(N1178:P1178,Q1178:AE1178)),0)</f>
        <v>5</v>
      </c>
      <c r="AY1178" s="5">
        <f>IF(T1178&gt;0,RANK(T1178,(N1178:P1178,Q1178:AE1178)),0)</f>
        <v>0</v>
      </c>
      <c r="AZ1178" s="5">
        <f>IF(S1178&gt;0,RANK(S1178,(N1178:P1178,Q1178:AE1178)),0)</f>
        <v>6</v>
      </c>
      <c r="BA1178" s="2">
        <f t="shared" si="493"/>
        <v>9.4814814814814814E-3</v>
      </c>
      <c r="BB1178" s="2">
        <f t="shared" si="494"/>
        <v>2.4444444444444444E-3</v>
      </c>
      <c r="BC1178" s="2">
        <f t="shared" si="495"/>
        <v>0</v>
      </c>
      <c r="BD1178" s="2">
        <f t="shared" si="496"/>
        <v>1.1851851851851852E-3</v>
      </c>
      <c r="BF1178" t="s">
        <v>499</v>
      </c>
      <c r="BG1178" t="s">
        <v>320</v>
      </c>
      <c r="BH1178">
        <v>4</v>
      </c>
      <c r="BJ1178" s="114">
        <v>22</v>
      </c>
      <c r="BK1178" s="116">
        <v>31</v>
      </c>
      <c r="BL1178" s="120">
        <f t="shared" si="474"/>
        <v>22031</v>
      </c>
      <c r="BN1178" s="5" t="s">
        <v>498</v>
      </c>
    </row>
    <row r="1179" spans="1:66" hidden="1" outlineLevel="1">
      <c r="A1179" t="s">
        <v>1168</v>
      </c>
      <c r="B1179" t="s">
        <v>320</v>
      </c>
      <c r="C1179" s="1">
        <f t="shared" si="488"/>
        <v>196491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5</v>
      </c>
      <c r="G1179" s="132">
        <f t="shared" si="484"/>
        <v>18168</v>
      </c>
      <c r="H1179" s="137">
        <f t="shared" si="485"/>
        <v>9.2462250179397534E-2</v>
      </c>
      <c r="I1179" s="2"/>
      <c r="J1179" s="2">
        <f t="shared" si="489"/>
        <v>0.52332167885552006</v>
      </c>
      <c r="K1179" s="2">
        <f t="shared" si="490"/>
        <v>0.43085942867612259</v>
      </c>
      <c r="L1179" s="2">
        <f t="shared" si="491"/>
        <v>6.9417937717249139E-3</v>
      </c>
      <c r="M1179" s="2">
        <f t="shared" si="492"/>
        <v>3.8877098696632438E-2</v>
      </c>
      <c r="N1179" s="63">
        <v>102828</v>
      </c>
      <c r="O1179" s="63">
        <v>84660</v>
      </c>
      <c r="P1179" s="63">
        <v>1364</v>
      </c>
      <c r="Q1179" s="63">
        <v>4959</v>
      </c>
      <c r="R1179" s="63">
        <v>1643</v>
      </c>
      <c r="S1179" s="63">
        <v>318</v>
      </c>
      <c r="T1179" s="63"/>
      <c r="U1179" s="63"/>
      <c r="V1179" s="63">
        <v>49</v>
      </c>
      <c r="W1179" s="63"/>
      <c r="X1179" s="63">
        <v>42</v>
      </c>
      <c r="Y1179" s="63">
        <v>199</v>
      </c>
      <c r="Z1179" s="63"/>
      <c r="AA1179" s="63"/>
      <c r="AB1179" s="63"/>
      <c r="AC1179" s="63"/>
      <c r="AD1179" s="63"/>
      <c r="AE1179" s="63">
        <v>115</v>
      </c>
      <c r="AF1179" s="63">
        <v>44</v>
      </c>
      <c r="AG1179" s="63">
        <v>191</v>
      </c>
      <c r="AH1179" s="63"/>
      <c r="AI1179" s="63"/>
      <c r="AJ1179" s="63">
        <v>79</v>
      </c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W1179" s="5">
        <f>IF(Q1179&gt;0,RANK(Q1179,(N1179:P1179,Q1179:AE1179)),0)</f>
        <v>3</v>
      </c>
      <c r="AX1179" s="5">
        <f>IF(R1179&gt;0,RANK(R1179,(N1179:P1179,Q1179:AE1179)),0)</f>
        <v>4</v>
      </c>
      <c r="AY1179" s="5">
        <f>IF(T1179&gt;0,RANK(T1179,(N1179:P1179,Q1179:AE1179)),0)</f>
        <v>0</v>
      </c>
      <c r="AZ1179" s="5">
        <f>IF(S1179&gt;0,RANK(S1179,(N1179:P1179,Q1179:AE1179)),0)</f>
        <v>6</v>
      </c>
      <c r="BA1179" s="2">
        <f t="shared" si="493"/>
        <v>2.5237797151014551E-2</v>
      </c>
      <c r="BB1179" s="2">
        <f t="shared" si="494"/>
        <v>8.3617061341231917E-3</v>
      </c>
      <c r="BC1179" s="2">
        <f t="shared" si="495"/>
        <v>0</v>
      </c>
      <c r="BD1179" s="2">
        <f t="shared" si="496"/>
        <v>1.6183947356367468E-3</v>
      </c>
      <c r="BF1179" t="s">
        <v>1168</v>
      </c>
      <c r="BG1179" t="s">
        <v>320</v>
      </c>
      <c r="BJ1179" s="114">
        <v>22</v>
      </c>
      <c r="BK1179" s="116">
        <v>33</v>
      </c>
      <c r="BL1179" s="120">
        <f t="shared" si="474"/>
        <v>22033</v>
      </c>
      <c r="BN1179" s="5" t="s">
        <v>498</v>
      </c>
    </row>
    <row r="1180" spans="1:66" hidden="1" outlineLevel="1">
      <c r="A1180" t="s">
        <v>1690</v>
      </c>
      <c r="B1180" t="s">
        <v>320</v>
      </c>
      <c r="C1180" s="1">
        <f t="shared" si="488"/>
        <v>2939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>IF(P1180&gt;0,RANK(P1180,(N1180:P1180,Q1180:AE1180)),0)</f>
        <v>7</v>
      </c>
      <c r="G1180" s="132">
        <f t="shared" si="484"/>
        <v>779</v>
      </c>
      <c r="H1180" s="137">
        <f t="shared" si="485"/>
        <v>0.26505614154474311</v>
      </c>
      <c r="I1180" s="2"/>
      <c r="J1180" s="2">
        <f t="shared" si="489"/>
        <v>0.62538278325961216</v>
      </c>
      <c r="K1180" s="2">
        <f t="shared" si="490"/>
        <v>0.360326641714869</v>
      </c>
      <c r="L1180" s="2">
        <f t="shared" si="491"/>
        <v>1.0207553589656345E-3</v>
      </c>
      <c r="M1180" s="2">
        <f t="shared" si="492"/>
        <v>1.3269819666553202E-2</v>
      </c>
      <c r="N1180" s="63">
        <v>1838</v>
      </c>
      <c r="O1180" s="63">
        <v>1059</v>
      </c>
      <c r="P1180" s="63">
        <v>3</v>
      </c>
      <c r="Q1180" s="63">
        <v>16</v>
      </c>
      <c r="R1180" s="63">
        <v>6</v>
      </c>
      <c r="S1180" s="63">
        <v>4</v>
      </c>
      <c r="T1180" s="63"/>
      <c r="U1180" s="63"/>
      <c r="V1180" s="63">
        <v>1</v>
      </c>
      <c r="W1180" s="63"/>
      <c r="X1180" s="63">
        <v>2</v>
      </c>
      <c r="Y1180" s="63">
        <v>4</v>
      </c>
      <c r="Z1180" s="63"/>
      <c r="AA1180" s="63"/>
      <c r="AB1180" s="63"/>
      <c r="AC1180" s="63"/>
      <c r="AD1180" s="63"/>
      <c r="AE1180" s="63">
        <v>3</v>
      </c>
      <c r="AF1180" s="63">
        <v>0</v>
      </c>
      <c r="AG1180" s="63">
        <v>1</v>
      </c>
      <c r="AH1180" s="63"/>
      <c r="AI1180" s="63"/>
      <c r="AJ1180" s="63">
        <v>2</v>
      </c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W1180" s="5">
        <f>IF(Q1180&gt;0,RANK(Q1180,(N1180:P1180,Q1180:AE1180)),0)</f>
        <v>3</v>
      </c>
      <c r="AX1180" s="5">
        <f>IF(R1180&gt;0,RANK(R1180,(N1180:P1180,Q1180:AE1180)),0)</f>
        <v>4</v>
      </c>
      <c r="AY1180" s="5">
        <f>IF(T1180&gt;0,RANK(T1180,(N1180:P1180,Q1180:AE1180)),0)</f>
        <v>0</v>
      </c>
      <c r="AZ1180" s="5">
        <f>IF(S1180&gt;0,RANK(S1180,(N1180:P1180,Q1180:AE1180)),0)</f>
        <v>5</v>
      </c>
      <c r="BA1180" s="2">
        <f t="shared" si="493"/>
        <v>5.4440285811500509E-3</v>
      </c>
      <c r="BB1180" s="2">
        <f t="shared" si="494"/>
        <v>2.041510717931269E-3</v>
      </c>
      <c r="BC1180" s="2">
        <f t="shared" si="495"/>
        <v>0</v>
      </c>
      <c r="BD1180" s="2">
        <f t="shared" si="496"/>
        <v>1.3610071452875127E-3</v>
      </c>
      <c r="BF1180" t="s">
        <v>1690</v>
      </c>
      <c r="BG1180" t="s">
        <v>320</v>
      </c>
      <c r="BH1180">
        <v>5</v>
      </c>
      <c r="BJ1180" s="114">
        <v>22</v>
      </c>
      <c r="BK1180" s="116">
        <v>35</v>
      </c>
      <c r="BL1180" s="120">
        <f t="shared" si="474"/>
        <v>22035</v>
      </c>
      <c r="BN1180" s="5" t="s">
        <v>498</v>
      </c>
    </row>
    <row r="1181" spans="1:66" hidden="1" outlineLevel="1">
      <c r="A1181" t="s">
        <v>1345</v>
      </c>
      <c r="B1181" t="s">
        <v>320</v>
      </c>
      <c r="C1181" s="1">
        <f t="shared" si="488"/>
        <v>10042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4</v>
      </c>
      <c r="G1181" s="132">
        <f t="shared" si="484"/>
        <v>1334</v>
      </c>
      <c r="H1181" s="137">
        <f t="shared" si="485"/>
        <v>0.1328420633339972</v>
      </c>
      <c r="I1181" s="2"/>
      <c r="J1181" s="2">
        <f t="shared" si="489"/>
        <v>0.42172873929496119</v>
      </c>
      <c r="K1181" s="2">
        <f t="shared" si="490"/>
        <v>0.55457080262895841</v>
      </c>
      <c r="L1181" s="2">
        <f t="shared" si="491"/>
        <v>3.9832702648874728E-3</v>
      </c>
      <c r="M1181" s="2">
        <f t="shared" si="492"/>
        <v>1.9717187811192981E-2</v>
      </c>
      <c r="N1181" s="63">
        <v>4235</v>
      </c>
      <c r="O1181" s="63">
        <v>5569</v>
      </c>
      <c r="P1181" s="63">
        <v>40</v>
      </c>
      <c r="Q1181" s="63">
        <v>102</v>
      </c>
      <c r="R1181" s="63">
        <v>38</v>
      </c>
      <c r="S1181" s="63">
        <v>19</v>
      </c>
      <c r="T1181" s="63"/>
      <c r="U1181" s="63"/>
      <c r="V1181" s="63">
        <v>1</v>
      </c>
      <c r="W1181" s="63"/>
      <c r="X1181" s="63">
        <v>1</v>
      </c>
      <c r="Y1181" s="63">
        <v>10</v>
      </c>
      <c r="Z1181" s="63"/>
      <c r="AA1181" s="63"/>
      <c r="AB1181" s="63"/>
      <c r="AC1181" s="63"/>
      <c r="AD1181" s="63"/>
      <c r="AE1181" s="63">
        <v>7</v>
      </c>
      <c r="AF1181" s="63">
        <v>3</v>
      </c>
      <c r="AG1181" s="63">
        <v>12</v>
      </c>
      <c r="AH1181" s="63"/>
      <c r="AI1181" s="63"/>
      <c r="AJ1181" s="63">
        <v>5</v>
      </c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W1181" s="5">
        <f>IF(Q1181&gt;0,RANK(Q1181,(N1181:P1181,Q1181:AE1181)),0)</f>
        <v>3</v>
      </c>
      <c r="AX1181" s="5">
        <f>IF(R1181&gt;0,RANK(R1181,(N1181:P1181,Q1181:AE1181)),0)</f>
        <v>5</v>
      </c>
      <c r="AY1181" s="5">
        <f>IF(T1181&gt;0,RANK(T1181,(N1181:P1181,Q1181:AE1181)),0)</f>
        <v>0</v>
      </c>
      <c r="AZ1181" s="5">
        <f>IF(S1181&gt;0,RANK(S1181,(N1181:P1181,Q1181:AE1181)),0)</f>
        <v>6</v>
      </c>
      <c r="BA1181" s="2">
        <f t="shared" si="493"/>
        <v>1.0157339175463055E-2</v>
      </c>
      <c r="BB1181" s="2">
        <f t="shared" si="494"/>
        <v>3.7841067516430991E-3</v>
      </c>
      <c r="BC1181" s="2">
        <f t="shared" si="495"/>
        <v>0</v>
      </c>
      <c r="BD1181" s="2">
        <f t="shared" si="496"/>
        <v>1.8920533758215495E-3</v>
      </c>
      <c r="BF1181" t="s">
        <v>1345</v>
      </c>
      <c r="BG1181" t="s">
        <v>320</v>
      </c>
      <c r="BJ1181" s="114">
        <v>22</v>
      </c>
      <c r="BK1181" s="116">
        <v>37</v>
      </c>
      <c r="BL1181" s="120">
        <f t="shared" si="474"/>
        <v>22037</v>
      </c>
      <c r="BN1181" s="5" t="s">
        <v>498</v>
      </c>
    </row>
    <row r="1182" spans="1:66" hidden="1" outlineLevel="1">
      <c r="A1182" t="s">
        <v>1898</v>
      </c>
      <c r="B1182" t="s">
        <v>320</v>
      </c>
      <c r="C1182" s="1">
        <f t="shared" si="488"/>
        <v>14882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5</v>
      </c>
      <c r="G1182" s="132">
        <f t="shared" si="484"/>
        <v>6152</v>
      </c>
      <c r="H1182" s="137">
        <f t="shared" si="485"/>
        <v>0.41338529767504367</v>
      </c>
      <c r="I1182" s="2"/>
      <c r="J1182" s="2">
        <f t="shared" si="489"/>
        <v>0.28275769385835237</v>
      </c>
      <c r="K1182" s="2">
        <f t="shared" si="490"/>
        <v>0.69614299153339609</v>
      </c>
      <c r="L1182" s="2">
        <f t="shared" si="491"/>
        <v>2.4862249697621287E-3</v>
      </c>
      <c r="M1182" s="2">
        <f t="shared" si="492"/>
        <v>1.8613089638489413E-2</v>
      </c>
      <c r="N1182" s="63">
        <v>4208</v>
      </c>
      <c r="O1182" s="63">
        <v>10360</v>
      </c>
      <c r="P1182" s="63">
        <v>37</v>
      </c>
      <c r="Q1182" s="63">
        <v>116</v>
      </c>
      <c r="R1182" s="63">
        <v>66</v>
      </c>
      <c r="S1182" s="63">
        <v>34</v>
      </c>
      <c r="T1182" s="63"/>
      <c r="U1182" s="63"/>
      <c r="V1182" s="63">
        <v>2</v>
      </c>
      <c r="W1182" s="63"/>
      <c r="X1182" s="63">
        <v>1</v>
      </c>
      <c r="Y1182" s="63">
        <v>10</v>
      </c>
      <c r="Z1182" s="63"/>
      <c r="AA1182" s="63"/>
      <c r="AB1182" s="63"/>
      <c r="AC1182" s="63"/>
      <c r="AD1182" s="63"/>
      <c r="AE1182" s="63">
        <v>10</v>
      </c>
      <c r="AF1182" s="63">
        <v>4</v>
      </c>
      <c r="AG1182" s="63">
        <v>20</v>
      </c>
      <c r="AH1182" s="63"/>
      <c r="AI1182" s="63"/>
      <c r="AJ1182" s="63">
        <v>14</v>
      </c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W1182" s="5">
        <f>IF(Q1182&gt;0,RANK(Q1182,(N1182:P1182,Q1182:AE1182)),0)</f>
        <v>3</v>
      </c>
      <c r="AX1182" s="5">
        <f>IF(R1182&gt;0,RANK(R1182,(N1182:P1182,Q1182:AE1182)),0)</f>
        <v>4</v>
      </c>
      <c r="AY1182" s="5">
        <f>IF(T1182&gt;0,RANK(T1182,(N1182:P1182,Q1182:AE1182)),0)</f>
        <v>0</v>
      </c>
      <c r="AZ1182" s="5">
        <f>IF(S1182&gt;0,RANK(S1182,(N1182:P1182,Q1182:AE1182)),0)</f>
        <v>6</v>
      </c>
      <c r="BA1182" s="2">
        <f t="shared" si="493"/>
        <v>7.7946512565515384E-3</v>
      </c>
      <c r="BB1182" s="2">
        <f t="shared" si="494"/>
        <v>4.4348877839000137E-3</v>
      </c>
      <c r="BC1182" s="2">
        <f t="shared" si="495"/>
        <v>0</v>
      </c>
      <c r="BD1182" s="2">
        <f t="shared" si="496"/>
        <v>2.2846391614030374E-3</v>
      </c>
      <c r="BF1182" t="s">
        <v>1898</v>
      </c>
      <c r="BG1182" t="s">
        <v>320</v>
      </c>
      <c r="BH1182">
        <v>4</v>
      </c>
      <c r="BJ1182" s="114">
        <v>22</v>
      </c>
      <c r="BK1182" s="116">
        <v>39</v>
      </c>
      <c r="BL1182" s="120">
        <f t="shared" si="474"/>
        <v>22039</v>
      </c>
      <c r="BN1182" s="5" t="s">
        <v>498</v>
      </c>
    </row>
    <row r="1183" spans="1:66" hidden="1" outlineLevel="1">
      <c r="A1183" t="s">
        <v>1138</v>
      </c>
      <c r="B1183" t="s">
        <v>320</v>
      </c>
      <c r="C1183" s="1">
        <f t="shared" si="488"/>
        <v>9162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5</v>
      </c>
      <c r="G1183" s="132">
        <f t="shared" si="484"/>
        <v>4008</v>
      </c>
      <c r="H1183" s="137">
        <f t="shared" si="485"/>
        <v>0.43745907007203666</v>
      </c>
      <c r="I1183" s="2"/>
      <c r="J1183" s="2">
        <f t="shared" si="489"/>
        <v>0.2735210652695918</v>
      </c>
      <c r="K1183" s="2">
        <f t="shared" si="490"/>
        <v>0.71098013534162852</v>
      </c>
      <c r="L1183" s="2">
        <f t="shared" si="491"/>
        <v>1.5280506439641999E-3</v>
      </c>
      <c r="M1183" s="2">
        <f t="shared" si="492"/>
        <v>1.3970748744815428E-2</v>
      </c>
      <c r="N1183" s="63">
        <v>2506</v>
      </c>
      <c r="O1183" s="63">
        <v>6514</v>
      </c>
      <c r="P1183" s="63">
        <v>14</v>
      </c>
      <c r="Q1183" s="63">
        <v>68</v>
      </c>
      <c r="R1183" s="63">
        <v>28</v>
      </c>
      <c r="S1183" s="63">
        <v>9</v>
      </c>
      <c r="T1183" s="63"/>
      <c r="U1183" s="63"/>
      <c r="V1183" s="63">
        <v>1</v>
      </c>
      <c r="W1183" s="63"/>
      <c r="X1183" s="63">
        <v>3</v>
      </c>
      <c r="Y1183" s="63">
        <v>4</v>
      </c>
      <c r="Z1183" s="63"/>
      <c r="AA1183" s="63"/>
      <c r="AB1183" s="63"/>
      <c r="AC1183" s="63"/>
      <c r="AD1183" s="63"/>
      <c r="AE1183" s="63">
        <v>4</v>
      </c>
      <c r="AF1183" s="63">
        <v>1</v>
      </c>
      <c r="AG1183" s="63">
        <v>9</v>
      </c>
      <c r="AH1183" s="63"/>
      <c r="AI1183" s="63"/>
      <c r="AJ1183" s="63">
        <v>1</v>
      </c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W1183" s="5">
        <f>IF(Q1183&gt;0,RANK(Q1183,(N1183:P1183,Q1183:AE1183)),0)</f>
        <v>3</v>
      </c>
      <c r="AX1183" s="5">
        <f>IF(R1183&gt;0,RANK(R1183,(N1183:P1183,Q1183:AE1183)),0)</f>
        <v>4</v>
      </c>
      <c r="AY1183" s="5">
        <f>IF(T1183&gt;0,RANK(T1183,(N1183:P1183,Q1183:AE1183)),0)</f>
        <v>0</v>
      </c>
      <c r="AZ1183" s="5">
        <f>IF(S1183&gt;0,RANK(S1183,(N1183:P1183,Q1183:AE1183)),0)</f>
        <v>6</v>
      </c>
      <c r="BA1183" s="2">
        <f t="shared" si="493"/>
        <v>7.4219602706832571E-3</v>
      </c>
      <c r="BB1183" s="2">
        <f t="shared" si="494"/>
        <v>3.0561012879283997E-3</v>
      </c>
      <c r="BC1183" s="2">
        <f t="shared" si="495"/>
        <v>0</v>
      </c>
      <c r="BD1183" s="2">
        <f t="shared" si="496"/>
        <v>9.8231827111984276E-4</v>
      </c>
      <c r="BF1183" t="s">
        <v>1138</v>
      </c>
      <c r="BG1183" t="s">
        <v>320</v>
      </c>
      <c r="BH1183">
        <v>5</v>
      </c>
      <c r="BJ1183" s="114">
        <v>22</v>
      </c>
      <c r="BK1183" s="116">
        <v>41</v>
      </c>
      <c r="BL1183" s="120">
        <f t="shared" si="474"/>
        <v>22041</v>
      </c>
      <c r="BN1183" s="5" t="s">
        <v>498</v>
      </c>
    </row>
    <row r="1184" spans="1:66" hidden="1" outlineLevel="1">
      <c r="A1184" t="s">
        <v>1417</v>
      </c>
      <c r="B1184" t="s">
        <v>320</v>
      </c>
      <c r="C1184" s="1">
        <f t="shared" si="488"/>
        <v>8821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5</v>
      </c>
      <c r="G1184" s="132">
        <f t="shared" si="484"/>
        <v>6227</v>
      </c>
      <c r="H1184" s="137">
        <f t="shared" si="485"/>
        <v>0.70592903298945697</v>
      </c>
      <c r="I1184" s="2"/>
      <c r="J1184" s="2">
        <f t="shared" si="489"/>
        <v>0.13388504704682008</v>
      </c>
      <c r="K1184" s="2">
        <f t="shared" si="490"/>
        <v>0.83981408003627711</v>
      </c>
      <c r="L1184" s="2">
        <f t="shared" si="491"/>
        <v>3.5143407776896045E-3</v>
      </c>
      <c r="M1184" s="2">
        <f t="shared" si="492"/>
        <v>2.2786532139213257E-2</v>
      </c>
      <c r="N1184" s="63">
        <v>1181</v>
      </c>
      <c r="O1184" s="63">
        <v>7408</v>
      </c>
      <c r="P1184" s="63">
        <v>31</v>
      </c>
      <c r="Q1184" s="63">
        <v>126</v>
      </c>
      <c r="R1184" s="63">
        <v>34</v>
      </c>
      <c r="S1184" s="63">
        <v>16</v>
      </c>
      <c r="T1184" s="63"/>
      <c r="U1184" s="63"/>
      <c r="V1184" s="63">
        <v>1</v>
      </c>
      <c r="W1184" s="63"/>
      <c r="X1184" s="63">
        <v>5</v>
      </c>
      <c r="Y1184" s="63">
        <v>6</v>
      </c>
      <c r="Z1184" s="63"/>
      <c r="AA1184" s="63"/>
      <c r="AB1184" s="63"/>
      <c r="AC1184" s="63"/>
      <c r="AD1184" s="63"/>
      <c r="AE1184" s="63">
        <v>0</v>
      </c>
      <c r="AF1184" s="63">
        <v>0</v>
      </c>
      <c r="AG1184" s="63">
        <v>13</v>
      </c>
      <c r="AH1184" s="63"/>
      <c r="AI1184" s="63"/>
      <c r="AJ1184" s="63">
        <v>0</v>
      </c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W1184" s="5">
        <f>IF(Q1184&gt;0,RANK(Q1184,(N1184:P1184,Q1184:AE1184)),0)</f>
        <v>3</v>
      </c>
      <c r="AX1184" s="5">
        <f>IF(R1184&gt;0,RANK(R1184,(N1184:P1184,Q1184:AE1184)),0)</f>
        <v>4</v>
      </c>
      <c r="AY1184" s="5">
        <f>IF(T1184&gt;0,RANK(T1184,(N1184:P1184,Q1184:AE1184)),0)</f>
        <v>0</v>
      </c>
      <c r="AZ1184" s="5">
        <f>IF(S1184&gt;0,RANK(S1184,(N1184:P1184,Q1184:AE1184)),0)</f>
        <v>6</v>
      </c>
      <c r="BA1184" s="2">
        <f t="shared" si="493"/>
        <v>1.4284094773835167E-2</v>
      </c>
      <c r="BB1184" s="2">
        <f t="shared" si="494"/>
        <v>3.8544382723047273E-3</v>
      </c>
      <c r="BC1184" s="2">
        <f t="shared" si="495"/>
        <v>0</v>
      </c>
      <c r="BD1184" s="2">
        <f t="shared" si="496"/>
        <v>1.8138533046139895E-3</v>
      </c>
      <c r="BF1184" t="s">
        <v>1417</v>
      </c>
      <c r="BG1184" t="s">
        <v>320</v>
      </c>
      <c r="BH1184">
        <v>5</v>
      </c>
      <c r="BJ1184" s="114">
        <v>22</v>
      </c>
      <c r="BK1184" s="116">
        <v>43</v>
      </c>
      <c r="BL1184" s="120">
        <f t="shared" si="474"/>
        <v>22043</v>
      </c>
      <c r="BN1184" s="5" t="s">
        <v>498</v>
      </c>
    </row>
    <row r="1185" spans="1:66" hidden="1" outlineLevel="1">
      <c r="A1185" t="s">
        <v>2126</v>
      </c>
      <c r="B1185" t="s">
        <v>320</v>
      </c>
      <c r="C1185" s="1">
        <f t="shared" si="488"/>
        <v>32454</v>
      </c>
      <c r="D1185" s="5">
        <f>IF(N1185&gt;0, RANK(N1185,(N1185:P1185,Q1185:AE1185)),0)</f>
        <v>2</v>
      </c>
      <c r="E1185" s="5">
        <f>IF(O1185&gt;0,RANK(O1185,(N1185:P1185,Q1185:AE1185)),0)</f>
        <v>1</v>
      </c>
      <c r="F1185" s="5">
        <f>IF(P1185&gt;0,RANK(P1185,(N1185:P1185,Q1185:AE1185)),0)</f>
        <v>5</v>
      </c>
      <c r="G1185" s="132">
        <f t="shared" si="484"/>
        <v>10205</v>
      </c>
      <c r="H1185" s="137">
        <f t="shared" si="485"/>
        <v>0.31444506070130029</v>
      </c>
      <c r="I1185" s="2"/>
      <c r="J1185" s="2">
        <f t="shared" si="489"/>
        <v>0.32963579219818823</v>
      </c>
      <c r="K1185" s="2">
        <f t="shared" si="490"/>
        <v>0.64408085289948847</v>
      </c>
      <c r="L1185" s="2">
        <f t="shared" si="491"/>
        <v>2.2185246810870773E-3</v>
      </c>
      <c r="M1185" s="2">
        <f t="shared" si="492"/>
        <v>2.4064830221236174E-2</v>
      </c>
      <c r="N1185" s="63">
        <v>10698</v>
      </c>
      <c r="O1185" s="63">
        <v>20903</v>
      </c>
      <c r="P1185" s="63">
        <v>72</v>
      </c>
      <c r="Q1185" s="63">
        <v>443</v>
      </c>
      <c r="R1185" s="63">
        <v>170</v>
      </c>
      <c r="S1185" s="63">
        <v>51</v>
      </c>
      <c r="T1185" s="63"/>
      <c r="U1185" s="63"/>
      <c r="V1185" s="63">
        <v>12</v>
      </c>
      <c r="W1185" s="63"/>
      <c r="X1185" s="63">
        <v>8</v>
      </c>
      <c r="Y1185" s="63">
        <v>33</v>
      </c>
      <c r="Z1185" s="63"/>
      <c r="AA1185" s="63"/>
      <c r="AB1185" s="63"/>
      <c r="AC1185" s="63"/>
      <c r="AD1185" s="63"/>
      <c r="AE1185" s="63">
        <v>15</v>
      </c>
      <c r="AF1185" s="63">
        <v>7</v>
      </c>
      <c r="AG1185" s="63">
        <v>32</v>
      </c>
      <c r="AH1185" s="63"/>
      <c r="AI1185" s="63"/>
      <c r="AJ1185" s="63">
        <v>10</v>
      </c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W1185" s="5">
        <f>IF(Q1185&gt;0,RANK(Q1185,(N1185:P1185,Q1185:AE1185)),0)</f>
        <v>3</v>
      </c>
      <c r="AX1185" s="5">
        <f>IF(R1185&gt;0,RANK(R1185,(N1185:P1185,Q1185:AE1185)),0)</f>
        <v>4</v>
      </c>
      <c r="AY1185" s="5">
        <f>IF(T1185&gt;0,RANK(T1185,(N1185:P1185,Q1185:AE1185)),0)</f>
        <v>0</v>
      </c>
      <c r="AZ1185" s="5">
        <f>IF(S1185&gt;0,RANK(S1185,(N1185:P1185,Q1185:AE1185)),0)</f>
        <v>6</v>
      </c>
      <c r="BA1185" s="2">
        <f t="shared" si="493"/>
        <v>1.36500893572441E-2</v>
      </c>
      <c r="BB1185" s="2">
        <f t="shared" si="494"/>
        <v>5.2381832747889316E-3</v>
      </c>
      <c r="BC1185" s="2">
        <f t="shared" si="495"/>
        <v>0</v>
      </c>
      <c r="BD1185" s="2">
        <f t="shared" si="496"/>
        <v>1.5714549824366797E-3</v>
      </c>
      <c r="BF1185" t="s">
        <v>2126</v>
      </c>
      <c r="BG1185" t="s">
        <v>320</v>
      </c>
      <c r="BH1185">
        <v>3</v>
      </c>
      <c r="BJ1185" s="114">
        <v>22</v>
      </c>
      <c r="BK1185" s="116">
        <v>45</v>
      </c>
      <c r="BL1185" s="120">
        <f t="shared" si="474"/>
        <v>22045</v>
      </c>
      <c r="BN1185" s="5" t="s">
        <v>498</v>
      </c>
    </row>
    <row r="1186" spans="1:66" hidden="1" outlineLevel="1">
      <c r="A1186" t="s">
        <v>2389</v>
      </c>
      <c r="B1186" t="s">
        <v>320</v>
      </c>
      <c r="C1186" s="1">
        <f t="shared" si="488"/>
        <v>16043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>IF(P1186&gt;0,RANK(P1186,(N1186:P1186,Q1186:AE1186)),0)</f>
        <v>5</v>
      </c>
      <c r="G1186" s="132">
        <f t="shared" si="484"/>
        <v>1004</v>
      </c>
      <c r="H1186" s="137">
        <f t="shared" si="485"/>
        <v>6.2581811381911115E-2</v>
      </c>
      <c r="I1186" s="2"/>
      <c r="J1186" s="2">
        <f t="shared" si="489"/>
        <v>0.51885557564046625</v>
      </c>
      <c r="K1186" s="2">
        <f t="shared" si="490"/>
        <v>0.45627376425855515</v>
      </c>
      <c r="L1186" s="2">
        <f t="shared" si="491"/>
        <v>2.7426291840678177E-3</v>
      </c>
      <c r="M1186" s="2">
        <f t="shared" si="492"/>
        <v>2.2128030916910787E-2</v>
      </c>
      <c r="N1186" s="63">
        <v>8324</v>
      </c>
      <c r="O1186" s="63">
        <v>7320</v>
      </c>
      <c r="P1186" s="63">
        <v>44</v>
      </c>
      <c r="Q1186" s="63">
        <v>165</v>
      </c>
      <c r="R1186" s="63">
        <v>92</v>
      </c>
      <c r="S1186" s="63">
        <v>28</v>
      </c>
      <c r="T1186" s="63"/>
      <c r="U1186" s="63"/>
      <c r="V1186" s="63">
        <v>4</v>
      </c>
      <c r="W1186" s="63"/>
      <c r="X1186" s="63">
        <v>5</v>
      </c>
      <c r="Y1186" s="63">
        <v>14</v>
      </c>
      <c r="Z1186" s="63"/>
      <c r="AA1186" s="63"/>
      <c r="AB1186" s="63"/>
      <c r="AC1186" s="63"/>
      <c r="AD1186" s="63"/>
      <c r="AE1186" s="63">
        <v>13</v>
      </c>
      <c r="AF1186" s="63">
        <v>4</v>
      </c>
      <c r="AG1186" s="63">
        <v>18</v>
      </c>
      <c r="AH1186" s="63"/>
      <c r="AI1186" s="63"/>
      <c r="AJ1186" s="63">
        <v>12</v>
      </c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W1186" s="5">
        <f>IF(Q1186&gt;0,RANK(Q1186,(N1186:P1186,Q1186:AE1186)),0)</f>
        <v>3</v>
      </c>
      <c r="AX1186" s="5">
        <f>IF(R1186&gt;0,RANK(R1186,(N1186:P1186,Q1186:AE1186)),0)</f>
        <v>4</v>
      </c>
      <c r="AY1186" s="5">
        <f>IF(T1186&gt;0,RANK(T1186,(N1186:P1186,Q1186:AE1186)),0)</f>
        <v>0</v>
      </c>
      <c r="AZ1186" s="5">
        <f>IF(S1186&gt;0,RANK(S1186,(N1186:P1186,Q1186:AE1186)),0)</f>
        <v>6</v>
      </c>
      <c r="BA1186" s="2">
        <f t="shared" si="493"/>
        <v>1.0284859440254316E-2</v>
      </c>
      <c r="BB1186" s="2">
        <f t="shared" si="494"/>
        <v>5.7345882939599828E-3</v>
      </c>
      <c r="BC1186" s="2">
        <f t="shared" si="495"/>
        <v>0</v>
      </c>
      <c r="BD1186" s="2">
        <f t="shared" si="496"/>
        <v>1.7453094807704296E-3</v>
      </c>
      <c r="BF1186" t="s">
        <v>2389</v>
      </c>
      <c r="BG1186" t="s">
        <v>320</v>
      </c>
      <c r="BJ1186" s="114">
        <v>22</v>
      </c>
      <c r="BK1186" s="116">
        <v>47</v>
      </c>
      <c r="BL1186" s="120">
        <f t="shared" si="474"/>
        <v>22047</v>
      </c>
      <c r="BN1186" s="5" t="s">
        <v>498</v>
      </c>
    </row>
    <row r="1187" spans="1:66" hidden="1" outlineLevel="1">
      <c r="A1187" t="s">
        <v>2921</v>
      </c>
      <c r="B1187" t="s">
        <v>320</v>
      </c>
      <c r="C1187" s="1">
        <f t="shared" si="488"/>
        <v>7464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4</v>
      </c>
      <c r="G1187" s="132">
        <f t="shared" si="484"/>
        <v>3030</v>
      </c>
      <c r="H1187" s="137">
        <f t="shared" si="485"/>
        <v>0.40594855305466238</v>
      </c>
      <c r="I1187" s="2"/>
      <c r="J1187" s="2">
        <f t="shared" si="489"/>
        <v>0.28657556270096463</v>
      </c>
      <c r="K1187" s="2">
        <f t="shared" si="490"/>
        <v>0.692524115755627</v>
      </c>
      <c r="L1187" s="2">
        <f t="shared" si="491"/>
        <v>3.2154340836012861E-3</v>
      </c>
      <c r="M1187" s="2">
        <f t="shared" si="492"/>
        <v>1.7684887459807088E-2</v>
      </c>
      <c r="N1187" s="63">
        <v>2139</v>
      </c>
      <c r="O1187" s="63">
        <v>5169</v>
      </c>
      <c r="P1187" s="63">
        <v>24</v>
      </c>
      <c r="Q1187" s="63">
        <v>74</v>
      </c>
      <c r="R1187" s="63">
        <v>20</v>
      </c>
      <c r="S1187" s="63">
        <v>16</v>
      </c>
      <c r="T1187" s="63"/>
      <c r="U1187" s="63"/>
      <c r="V1187" s="63">
        <v>2</v>
      </c>
      <c r="W1187" s="63"/>
      <c r="X1187" s="63">
        <v>2</v>
      </c>
      <c r="Y1187" s="63">
        <v>7</v>
      </c>
      <c r="Z1187" s="63"/>
      <c r="AA1187" s="63"/>
      <c r="AB1187" s="63"/>
      <c r="AC1187" s="63"/>
      <c r="AD1187" s="63"/>
      <c r="AE1187" s="63">
        <v>1</v>
      </c>
      <c r="AF1187" s="63">
        <v>3</v>
      </c>
      <c r="AG1187" s="63">
        <v>7</v>
      </c>
      <c r="AH1187" s="63"/>
      <c r="AI1187" s="63"/>
      <c r="AJ1187" s="63">
        <v>0</v>
      </c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W1187" s="5">
        <f>IF(Q1187&gt;0,RANK(Q1187,(N1187:P1187,Q1187:AE1187)),0)</f>
        <v>3</v>
      </c>
      <c r="AX1187" s="5">
        <f>IF(R1187&gt;0,RANK(R1187,(N1187:P1187,Q1187:AE1187)),0)</f>
        <v>5</v>
      </c>
      <c r="AY1187" s="5">
        <f>IF(T1187&gt;0,RANK(T1187,(N1187:P1187,Q1187:AE1187)),0)</f>
        <v>0</v>
      </c>
      <c r="AZ1187" s="5">
        <f>IF(S1187&gt;0,RANK(S1187,(N1187:P1187,Q1187:AE1187)),0)</f>
        <v>6</v>
      </c>
      <c r="BA1187" s="2">
        <f t="shared" si="493"/>
        <v>9.9142550911039649E-3</v>
      </c>
      <c r="BB1187" s="2">
        <f t="shared" si="494"/>
        <v>2.6795284030010718E-3</v>
      </c>
      <c r="BC1187" s="2">
        <f t="shared" si="495"/>
        <v>0</v>
      </c>
      <c r="BD1187" s="2">
        <f t="shared" si="496"/>
        <v>2.1436227224008574E-3</v>
      </c>
      <c r="BF1187" t="s">
        <v>2921</v>
      </c>
      <c r="BG1187" t="s">
        <v>320</v>
      </c>
      <c r="BH1187">
        <v>5</v>
      </c>
      <c r="BJ1187" s="114">
        <v>22</v>
      </c>
      <c r="BK1187" s="116">
        <v>49</v>
      </c>
      <c r="BL1187" s="120">
        <f t="shared" si="474"/>
        <v>22049</v>
      </c>
      <c r="BN1187" s="5" t="s">
        <v>498</v>
      </c>
    </row>
    <row r="1188" spans="1:66" hidden="1" outlineLevel="1">
      <c r="A1188" t="s">
        <v>1092</v>
      </c>
      <c r="B1188" t="s">
        <v>320</v>
      </c>
      <c r="C1188" s="1">
        <f t="shared" si="488"/>
        <v>181639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5</v>
      </c>
      <c r="G1188" s="132">
        <f t="shared" si="484"/>
        <v>26728</v>
      </c>
      <c r="H1188" s="137">
        <f t="shared" si="485"/>
        <v>0.14714901535463198</v>
      </c>
      <c r="I1188" s="2"/>
      <c r="J1188" s="2">
        <f t="shared" si="489"/>
        <v>0.40558470372552152</v>
      </c>
      <c r="K1188" s="2">
        <f t="shared" si="490"/>
        <v>0.55273371908015345</v>
      </c>
      <c r="L1188" s="2">
        <f t="shared" si="491"/>
        <v>4.7952256949223455E-3</v>
      </c>
      <c r="M1188" s="2">
        <f t="shared" si="492"/>
        <v>3.6886351499402628E-2</v>
      </c>
      <c r="N1188" s="63">
        <v>73670</v>
      </c>
      <c r="O1188" s="63">
        <v>100398</v>
      </c>
      <c r="P1188" s="63">
        <v>871</v>
      </c>
      <c r="Q1188" s="63">
        <v>4306</v>
      </c>
      <c r="R1188" s="63">
        <v>1611</v>
      </c>
      <c r="S1188" s="63">
        <v>235</v>
      </c>
      <c r="T1188" s="63"/>
      <c r="U1188" s="63"/>
      <c r="V1188" s="63">
        <v>32</v>
      </c>
      <c r="W1188" s="63"/>
      <c r="X1188" s="63">
        <v>38</v>
      </c>
      <c r="Y1188" s="63">
        <v>126</v>
      </c>
      <c r="Z1188" s="63"/>
      <c r="AA1188" s="63"/>
      <c r="AB1188" s="63"/>
      <c r="AC1188" s="63"/>
      <c r="AD1188" s="63"/>
      <c r="AE1188" s="63">
        <v>89</v>
      </c>
      <c r="AF1188" s="63">
        <v>31</v>
      </c>
      <c r="AG1188" s="63">
        <v>149</v>
      </c>
      <c r="AH1188" s="63"/>
      <c r="AI1188" s="63"/>
      <c r="AJ1188" s="63">
        <v>83</v>
      </c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W1188" s="5">
        <f>IF(Q1188&gt;0,RANK(Q1188,(N1188:P1188,Q1188:AE1188)),0)</f>
        <v>3</v>
      </c>
      <c r="AX1188" s="5">
        <f>IF(R1188&gt;0,RANK(R1188,(N1188:P1188,Q1188:AE1188)),0)</f>
        <v>4</v>
      </c>
      <c r="AY1188" s="5">
        <f>IF(T1188&gt;0,RANK(T1188,(N1188:P1188,Q1188:AE1188)),0)</f>
        <v>0</v>
      </c>
      <c r="AZ1188" s="5">
        <f>IF(S1188&gt;0,RANK(S1188,(N1188:P1188,Q1188:AE1188)),0)</f>
        <v>6</v>
      </c>
      <c r="BA1188" s="2">
        <f t="shared" si="493"/>
        <v>2.3706362620362367E-2</v>
      </c>
      <c r="BB1188" s="2">
        <f t="shared" si="494"/>
        <v>8.8692406366474158E-3</v>
      </c>
      <c r="BC1188" s="2">
        <f t="shared" si="495"/>
        <v>0</v>
      </c>
      <c r="BD1188" s="2">
        <f t="shared" si="496"/>
        <v>1.293775015277556E-3</v>
      </c>
      <c r="BF1188" t="s">
        <v>1092</v>
      </c>
      <c r="BG1188" t="s">
        <v>320</v>
      </c>
      <c r="BJ1188" s="114">
        <v>22</v>
      </c>
      <c r="BK1188" s="116">
        <v>51</v>
      </c>
      <c r="BL1188" s="120">
        <f t="shared" si="474"/>
        <v>22051</v>
      </c>
      <c r="BN1188" s="5" t="s">
        <v>498</v>
      </c>
    </row>
    <row r="1189" spans="1:66" hidden="1" outlineLevel="1">
      <c r="A1189" t="s">
        <v>2791</v>
      </c>
      <c r="B1189" t="s">
        <v>320</v>
      </c>
      <c r="C1189" s="1">
        <f t="shared" si="488"/>
        <v>14277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5</v>
      </c>
      <c r="G1189" s="132">
        <f t="shared" si="484"/>
        <v>7695</v>
      </c>
      <c r="H1189" s="137">
        <f t="shared" si="485"/>
        <v>0.53897877705400299</v>
      </c>
      <c r="I1189" s="2"/>
      <c r="J1189" s="2">
        <f t="shared" si="489"/>
        <v>0.21573159627372698</v>
      </c>
      <c r="K1189" s="2">
        <f t="shared" si="490"/>
        <v>0.75471037332772994</v>
      </c>
      <c r="L1189" s="2">
        <f t="shared" si="491"/>
        <v>4.0624781116481053E-3</v>
      </c>
      <c r="M1189" s="2">
        <f t="shared" si="492"/>
        <v>2.5495552286894995E-2</v>
      </c>
      <c r="N1189" s="63">
        <v>3080</v>
      </c>
      <c r="O1189" s="63">
        <v>10775</v>
      </c>
      <c r="P1189" s="63">
        <v>58</v>
      </c>
      <c r="Q1189" s="63">
        <v>185</v>
      </c>
      <c r="R1189" s="63">
        <v>71</v>
      </c>
      <c r="S1189" s="63">
        <v>29</v>
      </c>
      <c r="T1189" s="63"/>
      <c r="U1189" s="63"/>
      <c r="V1189" s="63">
        <v>6</v>
      </c>
      <c r="W1189" s="63"/>
      <c r="X1189" s="63">
        <v>4</v>
      </c>
      <c r="Y1189" s="63">
        <v>17</v>
      </c>
      <c r="Z1189" s="63"/>
      <c r="AA1189" s="63"/>
      <c r="AB1189" s="63"/>
      <c r="AC1189" s="63"/>
      <c r="AD1189" s="63"/>
      <c r="AE1189" s="63">
        <v>10</v>
      </c>
      <c r="AF1189" s="63">
        <v>1</v>
      </c>
      <c r="AG1189" s="63">
        <v>34</v>
      </c>
      <c r="AH1189" s="63"/>
      <c r="AI1189" s="63"/>
      <c r="AJ1189" s="63">
        <v>7</v>
      </c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W1189" s="5">
        <f>IF(Q1189&gt;0,RANK(Q1189,(N1189:P1189,Q1189:AE1189)),0)</f>
        <v>3</v>
      </c>
      <c r="AX1189" s="5">
        <f>IF(R1189&gt;0,RANK(R1189,(N1189:P1189,Q1189:AE1189)),0)</f>
        <v>4</v>
      </c>
      <c r="AY1189" s="5">
        <f>IF(T1189&gt;0,RANK(T1189,(N1189:P1189,Q1189:AE1189)),0)</f>
        <v>0</v>
      </c>
      <c r="AZ1189" s="5">
        <f>IF(S1189&gt;0,RANK(S1189,(N1189:P1189,Q1189:AE1189)),0)</f>
        <v>6</v>
      </c>
      <c r="BA1189" s="2">
        <f t="shared" si="493"/>
        <v>1.2957904321636198E-2</v>
      </c>
      <c r="BB1189" s="2">
        <f t="shared" si="494"/>
        <v>4.973033550465784E-3</v>
      </c>
      <c r="BC1189" s="2">
        <f t="shared" si="495"/>
        <v>0</v>
      </c>
      <c r="BD1189" s="2">
        <f t="shared" si="496"/>
        <v>2.0312390558240526E-3</v>
      </c>
      <c r="BF1189" t="s">
        <v>2791</v>
      </c>
      <c r="BG1189" t="s">
        <v>320</v>
      </c>
      <c r="BH1189">
        <v>3</v>
      </c>
      <c r="BJ1189" s="114">
        <v>22</v>
      </c>
      <c r="BK1189" s="116">
        <v>53</v>
      </c>
      <c r="BL1189" s="120">
        <f t="shared" si="474"/>
        <v>22053</v>
      </c>
      <c r="BN1189" s="5" t="s">
        <v>498</v>
      </c>
    </row>
    <row r="1190" spans="1:66" hidden="1" outlineLevel="1">
      <c r="A1190" t="s">
        <v>496</v>
      </c>
      <c r="B1190" t="s">
        <v>320</v>
      </c>
      <c r="C1190" s="1">
        <f t="shared" si="488"/>
        <v>105603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5</v>
      </c>
      <c r="G1190" s="132">
        <f t="shared" si="484"/>
        <v>35469</v>
      </c>
      <c r="H1190" s="137">
        <f t="shared" si="485"/>
        <v>0.33587114002443114</v>
      </c>
      <c r="I1190" s="2"/>
      <c r="J1190" s="2">
        <f t="shared" si="489"/>
        <v>0.30989649915248618</v>
      </c>
      <c r="K1190" s="2">
        <f t="shared" si="490"/>
        <v>0.64576763917691737</v>
      </c>
      <c r="L1190" s="2">
        <f t="shared" si="491"/>
        <v>4.9430413908695776E-3</v>
      </c>
      <c r="M1190" s="2">
        <f t="shared" si="492"/>
        <v>3.9392820279726869E-2</v>
      </c>
      <c r="N1190" s="63">
        <v>32726</v>
      </c>
      <c r="O1190" s="63">
        <v>68195</v>
      </c>
      <c r="P1190" s="63">
        <v>522</v>
      </c>
      <c r="Q1190" s="63">
        <v>2833</v>
      </c>
      <c r="R1190" s="63">
        <v>851</v>
      </c>
      <c r="S1190" s="63">
        <v>167</v>
      </c>
      <c r="T1190" s="63"/>
      <c r="U1190" s="63"/>
      <c r="V1190" s="63">
        <v>24</v>
      </c>
      <c r="W1190" s="63"/>
      <c r="X1190" s="63">
        <v>20</v>
      </c>
      <c r="Y1190" s="63">
        <v>81</v>
      </c>
      <c r="Z1190" s="63"/>
      <c r="AA1190" s="63"/>
      <c r="AB1190" s="63"/>
      <c r="AC1190" s="63"/>
      <c r="AD1190" s="63"/>
      <c r="AE1190" s="63">
        <v>53</v>
      </c>
      <c r="AF1190" s="63">
        <v>17</v>
      </c>
      <c r="AG1190" s="63">
        <v>78</v>
      </c>
      <c r="AH1190" s="63"/>
      <c r="AI1190" s="63"/>
      <c r="AJ1190" s="63">
        <v>36</v>
      </c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W1190" s="5">
        <f>IF(Q1190&gt;0,RANK(Q1190,(N1190:P1190,Q1190:AE1190)),0)</f>
        <v>3</v>
      </c>
      <c r="AX1190" s="5">
        <f>IF(R1190&gt;0,RANK(R1190,(N1190:P1190,Q1190:AE1190)),0)</f>
        <v>4</v>
      </c>
      <c r="AY1190" s="5">
        <f>IF(T1190&gt;0,RANK(T1190,(N1190:P1190,Q1190:AE1190)),0)</f>
        <v>0</v>
      </c>
      <c r="AZ1190" s="5">
        <f>IF(S1190&gt;0,RANK(S1190,(N1190:P1190,Q1190:AE1190)),0)</f>
        <v>6</v>
      </c>
      <c r="BA1190" s="2">
        <f t="shared" si="493"/>
        <v>2.6826889387612095E-2</v>
      </c>
      <c r="BB1190" s="2">
        <f t="shared" si="494"/>
        <v>8.0584831870306722E-3</v>
      </c>
      <c r="BC1190" s="2">
        <f t="shared" si="495"/>
        <v>0</v>
      </c>
      <c r="BD1190" s="2">
        <f t="shared" si="496"/>
        <v>1.5813944679601904E-3</v>
      </c>
      <c r="BF1190" t="s">
        <v>496</v>
      </c>
      <c r="BG1190" t="s">
        <v>320</v>
      </c>
      <c r="BH1190">
        <v>3</v>
      </c>
      <c r="BJ1190" s="114">
        <v>22</v>
      </c>
      <c r="BK1190" s="116">
        <v>55</v>
      </c>
      <c r="BL1190" s="120">
        <f t="shared" si="474"/>
        <v>22055</v>
      </c>
      <c r="BN1190" s="5" t="s">
        <v>498</v>
      </c>
    </row>
    <row r="1191" spans="1:66" hidden="1" outlineLevel="1">
      <c r="A1191" t="s">
        <v>2666</v>
      </c>
      <c r="B1191" t="s">
        <v>320</v>
      </c>
      <c r="C1191" s="1">
        <f t="shared" si="488"/>
        <v>41645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5</v>
      </c>
      <c r="G1191" s="132">
        <f t="shared" si="484"/>
        <v>23536</v>
      </c>
      <c r="H1191" s="137">
        <f t="shared" si="485"/>
        <v>0.56515788209869133</v>
      </c>
      <c r="I1191" s="2"/>
      <c r="J1191" s="2">
        <f t="shared" si="489"/>
        <v>0.20225717373033977</v>
      </c>
      <c r="K1191" s="2">
        <f t="shared" si="490"/>
        <v>0.76741505582903113</v>
      </c>
      <c r="L1191" s="2">
        <f t="shared" si="491"/>
        <v>2.5693360547484694E-3</v>
      </c>
      <c r="M1191" s="2">
        <f t="shared" si="492"/>
        <v>2.7758434385880597E-2</v>
      </c>
      <c r="N1191" s="63">
        <v>8423</v>
      </c>
      <c r="O1191" s="63">
        <v>31959</v>
      </c>
      <c r="P1191" s="63">
        <v>107</v>
      </c>
      <c r="Q1191" s="63">
        <v>734</v>
      </c>
      <c r="R1191" s="63">
        <v>233</v>
      </c>
      <c r="S1191" s="63">
        <v>53</v>
      </c>
      <c r="T1191" s="63"/>
      <c r="U1191" s="63"/>
      <c r="V1191" s="63">
        <v>7</v>
      </c>
      <c r="W1191" s="63"/>
      <c r="X1191" s="63">
        <v>18</v>
      </c>
      <c r="Y1191" s="63">
        <v>30</v>
      </c>
      <c r="Z1191" s="63"/>
      <c r="AA1191" s="63"/>
      <c r="AB1191" s="63"/>
      <c r="AC1191" s="63"/>
      <c r="AD1191" s="63"/>
      <c r="AE1191" s="63">
        <v>15</v>
      </c>
      <c r="AF1191" s="63">
        <v>10</v>
      </c>
      <c r="AG1191" s="63">
        <v>44</v>
      </c>
      <c r="AH1191" s="63"/>
      <c r="AI1191" s="63"/>
      <c r="AJ1191" s="63">
        <v>12</v>
      </c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W1191" s="5">
        <f>IF(Q1191&gt;0,RANK(Q1191,(N1191:P1191,Q1191:AE1191)),0)</f>
        <v>3</v>
      </c>
      <c r="AX1191" s="5">
        <f>IF(R1191&gt;0,RANK(R1191,(N1191:P1191,Q1191:AE1191)),0)</f>
        <v>4</v>
      </c>
      <c r="AY1191" s="5">
        <f>IF(T1191&gt;0,RANK(T1191,(N1191:P1191,Q1191:AE1191)),0)</f>
        <v>0</v>
      </c>
      <c r="AZ1191" s="5">
        <f>IF(S1191&gt;0,RANK(S1191,(N1191:P1191,Q1191:AE1191)),0)</f>
        <v>6</v>
      </c>
      <c r="BA1191" s="2">
        <f t="shared" si="493"/>
        <v>1.7625165085844639E-2</v>
      </c>
      <c r="BB1191" s="2">
        <f t="shared" si="494"/>
        <v>5.5949093528634888E-3</v>
      </c>
      <c r="BC1191" s="2">
        <f t="shared" si="495"/>
        <v>0</v>
      </c>
      <c r="BD1191" s="2">
        <f t="shared" si="496"/>
        <v>1.2726617841277465E-3</v>
      </c>
      <c r="BF1191" t="s">
        <v>2666</v>
      </c>
      <c r="BG1191" t="s">
        <v>320</v>
      </c>
      <c r="BJ1191" s="114">
        <v>22</v>
      </c>
      <c r="BK1191" s="116">
        <v>57</v>
      </c>
      <c r="BL1191" s="120">
        <f t="shared" si="474"/>
        <v>22057</v>
      </c>
      <c r="BN1191" s="5" t="s">
        <v>498</v>
      </c>
    </row>
    <row r="1192" spans="1:66" hidden="1" outlineLevel="1">
      <c r="A1192" t="s">
        <v>387</v>
      </c>
      <c r="B1192" t="s">
        <v>320</v>
      </c>
      <c r="C1192" s="1">
        <f t="shared" si="488"/>
        <v>6569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4</v>
      </c>
      <c r="G1192" s="132">
        <f t="shared" si="484"/>
        <v>5231</v>
      </c>
      <c r="H1192" s="137">
        <f t="shared" si="485"/>
        <v>0.79631602983711369</v>
      </c>
      <c r="I1192" s="2"/>
      <c r="J1192" s="2">
        <f t="shared" si="489"/>
        <v>9.2099254072157105E-2</v>
      </c>
      <c r="K1192" s="2">
        <f t="shared" si="490"/>
        <v>0.88841528390927083</v>
      </c>
      <c r="L1192" s="2">
        <f t="shared" si="491"/>
        <v>3.1968336124219821E-3</v>
      </c>
      <c r="M1192" s="2">
        <f t="shared" si="492"/>
        <v>1.6288628406150061E-2</v>
      </c>
      <c r="N1192" s="63">
        <v>605</v>
      </c>
      <c r="O1192" s="63">
        <v>5836</v>
      </c>
      <c r="P1192" s="63">
        <v>21</v>
      </c>
      <c r="Q1192" s="63">
        <v>53</v>
      </c>
      <c r="R1192" s="63">
        <v>19</v>
      </c>
      <c r="S1192" s="63">
        <v>13</v>
      </c>
      <c r="T1192" s="63"/>
      <c r="U1192" s="63"/>
      <c r="V1192" s="63">
        <v>0</v>
      </c>
      <c r="W1192" s="63"/>
      <c r="X1192" s="63">
        <v>2</v>
      </c>
      <c r="Y1192" s="63">
        <v>4</v>
      </c>
      <c r="Z1192" s="63"/>
      <c r="AA1192" s="63"/>
      <c r="AB1192" s="63"/>
      <c r="AC1192" s="63"/>
      <c r="AD1192" s="63"/>
      <c r="AE1192" s="63">
        <v>3</v>
      </c>
      <c r="AF1192" s="63">
        <v>1</v>
      </c>
      <c r="AG1192" s="63">
        <v>9</v>
      </c>
      <c r="AH1192" s="63"/>
      <c r="AI1192" s="63"/>
      <c r="AJ1192" s="63">
        <v>3</v>
      </c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W1192" s="5">
        <f>IF(Q1192&gt;0,RANK(Q1192,(N1192:P1192,Q1192:AE1192)),0)</f>
        <v>3</v>
      </c>
      <c r="AX1192" s="5">
        <f>IF(R1192&gt;0,RANK(R1192,(N1192:P1192,Q1192:AE1192)),0)</f>
        <v>5</v>
      </c>
      <c r="AY1192" s="5">
        <f>IF(T1192&gt;0,RANK(T1192,(N1192:P1192,Q1192:AE1192)),0)</f>
        <v>0</v>
      </c>
      <c r="AZ1192" s="5">
        <f>IF(S1192&gt;0,RANK(S1192,(N1192:P1192,Q1192:AE1192)),0)</f>
        <v>6</v>
      </c>
      <c r="BA1192" s="2">
        <f t="shared" si="493"/>
        <v>8.0681991170650016E-3</v>
      </c>
      <c r="BB1192" s="2">
        <f t="shared" si="494"/>
        <v>2.8923732683817931E-3</v>
      </c>
      <c r="BC1192" s="2">
        <f t="shared" si="495"/>
        <v>0</v>
      </c>
      <c r="BD1192" s="2">
        <f t="shared" si="496"/>
        <v>1.9789922362612269E-3</v>
      </c>
      <c r="BF1192" t="s">
        <v>387</v>
      </c>
      <c r="BG1192" t="s">
        <v>320</v>
      </c>
      <c r="BH1192">
        <v>5</v>
      </c>
      <c r="BJ1192" s="114">
        <v>22</v>
      </c>
      <c r="BK1192" s="116">
        <v>59</v>
      </c>
      <c r="BL1192" s="120">
        <f t="shared" ref="BL1192:BL1256" si="497">1000*BJ1192+BK1192</f>
        <v>22059</v>
      </c>
      <c r="BN1192" s="5" t="s">
        <v>498</v>
      </c>
    </row>
    <row r="1193" spans="1:66" hidden="1" outlineLevel="1">
      <c r="A1193" t="s">
        <v>1597</v>
      </c>
      <c r="B1193" t="s">
        <v>320</v>
      </c>
      <c r="C1193" s="1">
        <f t="shared" si="488"/>
        <v>18669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4</v>
      </c>
      <c r="G1193" s="132">
        <f t="shared" si="484"/>
        <v>3654</v>
      </c>
      <c r="H1193" s="137">
        <f t="shared" si="485"/>
        <v>0.19572553430821146</v>
      </c>
      <c r="I1193" s="2"/>
      <c r="J1193" s="2">
        <f t="shared" si="489"/>
        <v>0.38068455728748191</v>
      </c>
      <c r="K1193" s="2">
        <f t="shared" si="490"/>
        <v>0.57641009159569334</v>
      </c>
      <c r="L1193" s="2">
        <f t="shared" si="491"/>
        <v>7.8204510150516899E-3</v>
      </c>
      <c r="M1193" s="2">
        <f t="shared" si="492"/>
        <v>3.5084900101773009E-2</v>
      </c>
      <c r="N1193" s="63">
        <v>7107</v>
      </c>
      <c r="O1193" s="63">
        <v>10761</v>
      </c>
      <c r="P1193" s="63">
        <v>146</v>
      </c>
      <c r="Q1193" s="63">
        <v>440</v>
      </c>
      <c r="R1193" s="63">
        <v>120</v>
      </c>
      <c r="S1193" s="63">
        <v>40</v>
      </c>
      <c r="T1193" s="63"/>
      <c r="U1193" s="63"/>
      <c r="V1193" s="63">
        <v>3</v>
      </c>
      <c r="W1193" s="63"/>
      <c r="X1193" s="63">
        <v>4</v>
      </c>
      <c r="Y1193" s="63">
        <v>14</v>
      </c>
      <c r="Z1193" s="63"/>
      <c r="AA1193" s="63"/>
      <c r="AB1193" s="63"/>
      <c r="AC1193" s="63"/>
      <c r="AD1193" s="63"/>
      <c r="AE1193" s="63">
        <v>13</v>
      </c>
      <c r="AF1193" s="63">
        <v>3</v>
      </c>
      <c r="AG1193" s="63">
        <v>11</v>
      </c>
      <c r="AH1193" s="63"/>
      <c r="AI1193" s="63"/>
      <c r="AJ1193" s="63">
        <v>7</v>
      </c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W1193" s="5">
        <f>IF(Q1193&gt;0,RANK(Q1193,(N1193:P1193,Q1193:AE1193)),0)</f>
        <v>3</v>
      </c>
      <c r="AX1193" s="5">
        <f>IF(R1193&gt;0,RANK(R1193,(N1193:P1193,Q1193:AE1193)),0)</f>
        <v>5</v>
      </c>
      <c r="AY1193" s="5">
        <f>IF(T1193&gt;0,RANK(T1193,(N1193:P1193,Q1193:AE1193)),0)</f>
        <v>0</v>
      </c>
      <c r="AZ1193" s="5">
        <f>IF(S1193&gt;0,RANK(S1193,(N1193:P1193,Q1193:AE1193)),0)</f>
        <v>6</v>
      </c>
      <c r="BA1193" s="2">
        <f t="shared" si="493"/>
        <v>2.3568482511114684E-2</v>
      </c>
      <c r="BB1193" s="2">
        <f t="shared" si="494"/>
        <v>6.4277679575767315E-3</v>
      </c>
      <c r="BC1193" s="2">
        <f t="shared" si="495"/>
        <v>0</v>
      </c>
      <c r="BD1193" s="2">
        <f t="shared" si="496"/>
        <v>2.1425893191922437E-3</v>
      </c>
      <c r="BF1193" t="s">
        <v>1597</v>
      </c>
      <c r="BG1193" t="s">
        <v>320</v>
      </c>
      <c r="BH1193">
        <v>5</v>
      </c>
      <c r="BJ1193" s="114">
        <v>22</v>
      </c>
      <c r="BK1193" s="116">
        <v>61</v>
      </c>
      <c r="BL1193" s="120">
        <f t="shared" si="497"/>
        <v>22061</v>
      </c>
      <c r="BN1193" s="5" t="s">
        <v>498</v>
      </c>
    </row>
    <row r="1194" spans="1:66" hidden="1" outlineLevel="1">
      <c r="A1194" t="s">
        <v>616</v>
      </c>
      <c r="B1194" t="s">
        <v>320</v>
      </c>
      <c r="C1194" s="1">
        <f t="shared" si="488"/>
        <v>57730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>IF(P1194&gt;0,RANK(P1194,(N1194:P1194,Q1194:AE1194)),0)</f>
        <v>5</v>
      </c>
      <c r="G1194" s="132">
        <f t="shared" si="484"/>
        <v>41874</v>
      </c>
      <c r="H1194" s="137">
        <f t="shared" si="485"/>
        <v>0.7253421098215832</v>
      </c>
      <c r="I1194" s="2"/>
      <c r="J1194" s="2">
        <f t="shared" si="489"/>
        <v>0.12038801316473237</v>
      </c>
      <c r="K1194" s="2">
        <f t="shared" si="490"/>
        <v>0.84573012298631556</v>
      </c>
      <c r="L1194" s="2">
        <f t="shared" si="491"/>
        <v>3.7069114844967953E-3</v>
      </c>
      <c r="M1194" s="2">
        <f t="shared" si="492"/>
        <v>3.017495236445529E-2</v>
      </c>
      <c r="N1194" s="63">
        <v>6950</v>
      </c>
      <c r="O1194" s="63">
        <v>48824</v>
      </c>
      <c r="P1194" s="63">
        <v>214</v>
      </c>
      <c r="Q1194" s="63">
        <v>1151</v>
      </c>
      <c r="R1194" s="63">
        <v>292</v>
      </c>
      <c r="S1194" s="63">
        <v>135</v>
      </c>
      <c r="T1194" s="63"/>
      <c r="U1194" s="63"/>
      <c r="V1194" s="63">
        <v>6</v>
      </c>
      <c r="W1194" s="63"/>
      <c r="X1194" s="63">
        <v>9</v>
      </c>
      <c r="Y1194" s="63">
        <v>50</v>
      </c>
      <c r="Z1194" s="63"/>
      <c r="AA1194" s="63"/>
      <c r="AB1194" s="63"/>
      <c r="AC1194" s="63"/>
      <c r="AD1194" s="63"/>
      <c r="AE1194" s="63">
        <v>19</v>
      </c>
      <c r="AF1194" s="63">
        <v>6</v>
      </c>
      <c r="AG1194" s="63">
        <v>52</v>
      </c>
      <c r="AH1194" s="63"/>
      <c r="AI1194" s="63"/>
      <c r="AJ1194" s="63">
        <v>22</v>
      </c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W1194" s="5">
        <f>IF(Q1194&gt;0,RANK(Q1194,(N1194:P1194,Q1194:AE1194)),0)</f>
        <v>3</v>
      </c>
      <c r="AX1194" s="5">
        <f>IF(R1194&gt;0,RANK(R1194,(N1194:P1194,Q1194:AE1194)),0)</f>
        <v>4</v>
      </c>
      <c r="AY1194" s="5">
        <f>IF(T1194&gt;0,RANK(T1194,(N1194:P1194,Q1194:AE1194)),0)</f>
        <v>0</v>
      </c>
      <c r="AZ1194" s="5">
        <f>IF(S1194&gt;0,RANK(S1194,(N1194:P1194,Q1194:AE1194)),0)</f>
        <v>6</v>
      </c>
      <c r="BA1194" s="2">
        <f t="shared" si="493"/>
        <v>1.9937640741382295E-2</v>
      </c>
      <c r="BB1194" s="2">
        <f t="shared" si="494"/>
        <v>5.058028754547029E-3</v>
      </c>
      <c r="BC1194" s="2">
        <f t="shared" si="495"/>
        <v>0</v>
      </c>
      <c r="BD1194" s="2">
        <f t="shared" si="496"/>
        <v>2.3384721981638663E-3</v>
      </c>
      <c r="BF1194" t="s">
        <v>616</v>
      </c>
      <c r="BG1194" t="s">
        <v>320</v>
      </c>
      <c r="BH1194">
        <v>6</v>
      </c>
      <c r="BJ1194" s="114">
        <v>22</v>
      </c>
      <c r="BK1194" s="116">
        <v>63</v>
      </c>
      <c r="BL1194" s="120">
        <f t="shared" si="497"/>
        <v>22063</v>
      </c>
      <c r="BN1194" s="5" t="s">
        <v>498</v>
      </c>
    </row>
    <row r="1195" spans="1:66" hidden="1" outlineLevel="1">
      <c r="A1195" t="s">
        <v>1650</v>
      </c>
      <c r="B1195" t="s">
        <v>320</v>
      </c>
      <c r="C1195" s="1">
        <f t="shared" ref="C1195:C1227" si="498">SUM(N1195:AU1195)</f>
        <v>4732</v>
      </c>
      <c r="D1195" s="5">
        <f>IF(N1195&gt;0, RANK(N1195,(N1195:P1195,Q1195:AE1195)),0)</f>
        <v>1</v>
      </c>
      <c r="E1195" s="5">
        <f>IF(O1195&gt;0,RANK(O1195,(N1195:P1195,Q1195:AE1195)),0)</f>
        <v>2</v>
      </c>
      <c r="F1195" s="5">
        <f>IF(P1195&gt;0,RANK(P1195,(N1195:P1195,Q1195:AE1195)),0)</f>
        <v>5</v>
      </c>
      <c r="G1195" s="132">
        <f t="shared" si="484"/>
        <v>817</v>
      </c>
      <c r="H1195" s="137">
        <f t="shared" si="485"/>
        <v>0.17265426880811496</v>
      </c>
      <c r="I1195" s="2"/>
      <c r="J1195" s="2">
        <f t="shared" ref="J1195:J1227" si="499">IF($C1195=0,"-",N1195/$C1195)</f>
        <v>0.57988165680473369</v>
      </c>
      <c r="K1195" s="2">
        <f t="shared" ref="K1195:K1227" si="500">IF($C1195=0,"-",O1195/$C1195)</f>
        <v>0.40722738799661878</v>
      </c>
      <c r="L1195" s="2">
        <f t="shared" ref="L1195:L1227" si="501">IF($C1195=0,"-",P1195/$C1195)</f>
        <v>1.2679628064243449E-3</v>
      </c>
      <c r="M1195" s="2">
        <f t="shared" ref="M1195:M1226" si="502">IF(C1195=0,"-",(1-J1195-K1195-L1195))</f>
        <v>1.162299239222318E-2</v>
      </c>
      <c r="N1195" s="63">
        <v>2744</v>
      </c>
      <c r="O1195" s="63">
        <v>1927</v>
      </c>
      <c r="P1195" s="63">
        <v>6</v>
      </c>
      <c r="Q1195" s="63">
        <v>17</v>
      </c>
      <c r="R1195" s="63">
        <v>15</v>
      </c>
      <c r="S1195" s="63">
        <v>4</v>
      </c>
      <c r="T1195" s="63"/>
      <c r="U1195" s="63"/>
      <c r="V1195" s="63">
        <v>2</v>
      </c>
      <c r="W1195" s="63"/>
      <c r="X1195" s="63">
        <v>0</v>
      </c>
      <c r="Y1195" s="63">
        <v>3</v>
      </c>
      <c r="Z1195" s="63"/>
      <c r="AA1195" s="63"/>
      <c r="AB1195" s="63"/>
      <c r="AC1195" s="63"/>
      <c r="AD1195" s="63"/>
      <c r="AE1195" s="63">
        <v>5</v>
      </c>
      <c r="AF1195" s="63">
        <v>1</v>
      </c>
      <c r="AG1195" s="63">
        <v>5</v>
      </c>
      <c r="AH1195" s="63"/>
      <c r="AI1195" s="63"/>
      <c r="AJ1195" s="63">
        <v>3</v>
      </c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W1195" s="5">
        <f>IF(Q1195&gt;0,RANK(Q1195,(N1195:P1195,Q1195:AE1195)),0)</f>
        <v>3</v>
      </c>
      <c r="AX1195" s="5">
        <f>IF(R1195&gt;0,RANK(R1195,(N1195:P1195,Q1195:AE1195)),0)</f>
        <v>4</v>
      </c>
      <c r="AY1195" s="5">
        <f>IF(T1195&gt;0,RANK(T1195,(N1195:P1195,Q1195:AE1195)),0)</f>
        <v>0</v>
      </c>
      <c r="AZ1195" s="5">
        <f>IF(S1195&gt;0,RANK(S1195,(N1195:P1195,Q1195:AE1195)),0)</f>
        <v>7</v>
      </c>
      <c r="BA1195" s="2">
        <f t="shared" ref="BA1195:BA1227" si="503">IF($C1195=0,"-",Q1195/$C1195)</f>
        <v>3.5925612848689771E-3</v>
      </c>
      <c r="BB1195" s="2">
        <f t="shared" ref="BB1195:BB1227" si="504">IF($C1195=0,"-",R1195/$C1195)</f>
        <v>3.1699070160608623E-3</v>
      </c>
      <c r="BC1195" s="2">
        <f t="shared" ref="BC1195:BC1227" si="505">IF($C1195=0,"-",T1195/$C1195)</f>
        <v>0</v>
      </c>
      <c r="BD1195" s="2">
        <f t="shared" ref="BD1195:BD1227" si="506">IF($C1195=0,"-",S1195/$C1195)</f>
        <v>8.4530853761622987E-4</v>
      </c>
      <c r="BF1195" t="s">
        <v>1650</v>
      </c>
      <c r="BG1195" t="s">
        <v>320</v>
      </c>
      <c r="BH1195">
        <v>5</v>
      </c>
      <c r="BJ1195" s="114">
        <v>22</v>
      </c>
      <c r="BK1195" s="116">
        <v>65</v>
      </c>
      <c r="BL1195" s="120">
        <f t="shared" si="497"/>
        <v>22065</v>
      </c>
      <c r="BN1195" s="5" t="s">
        <v>498</v>
      </c>
    </row>
    <row r="1196" spans="1:66" hidden="1" outlineLevel="1">
      <c r="A1196" t="s">
        <v>2658</v>
      </c>
      <c r="B1196" t="s">
        <v>320</v>
      </c>
      <c r="C1196" s="1">
        <f t="shared" si="498"/>
        <v>11852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5</v>
      </c>
      <c r="G1196" s="132">
        <f t="shared" si="484"/>
        <v>1347</v>
      </c>
      <c r="H1196" s="137">
        <f t="shared" si="485"/>
        <v>0.11365170435369558</v>
      </c>
      <c r="I1196" s="2"/>
      <c r="J1196" s="2">
        <f t="shared" si="499"/>
        <v>0.43494768815389806</v>
      </c>
      <c r="K1196" s="2">
        <f t="shared" si="500"/>
        <v>0.54859939250759371</v>
      </c>
      <c r="L1196" s="2">
        <f t="shared" si="501"/>
        <v>2.1093486331420857E-3</v>
      </c>
      <c r="M1196" s="2">
        <f t="shared" si="502"/>
        <v>1.4343570705366146E-2</v>
      </c>
      <c r="N1196" s="63">
        <v>5155</v>
      </c>
      <c r="O1196" s="63">
        <v>6502</v>
      </c>
      <c r="P1196" s="63">
        <v>25</v>
      </c>
      <c r="Q1196" s="63">
        <v>73</v>
      </c>
      <c r="R1196" s="63">
        <v>46</v>
      </c>
      <c r="S1196" s="63">
        <v>15</v>
      </c>
      <c r="T1196" s="63"/>
      <c r="U1196" s="63"/>
      <c r="V1196" s="63">
        <v>1</v>
      </c>
      <c r="W1196" s="63"/>
      <c r="X1196" s="63">
        <v>1</v>
      </c>
      <c r="Y1196" s="63">
        <v>7</v>
      </c>
      <c r="Z1196" s="63"/>
      <c r="AA1196" s="63"/>
      <c r="AB1196" s="63"/>
      <c r="AC1196" s="63"/>
      <c r="AD1196" s="63"/>
      <c r="AE1196" s="63">
        <v>10</v>
      </c>
      <c r="AF1196" s="63">
        <v>4</v>
      </c>
      <c r="AG1196" s="63">
        <v>6</v>
      </c>
      <c r="AH1196" s="63"/>
      <c r="AI1196" s="63"/>
      <c r="AJ1196" s="63">
        <v>7</v>
      </c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W1196" s="5">
        <f>IF(Q1196&gt;0,RANK(Q1196,(N1196:P1196,Q1196:AE1196)),0)</f>
        <v>3</v>
      </c>
      <c r="AX1196" s="5">
        <f>IF(R1196&gt;0,RANK(R1196,(N1196:P1196,Q1196:AE1196)),0)</f>
        <v>4</v>
      </c>
      <c r="AY1196" s="5">
        <f>IF(T1196&gt;0,RANK(T1196,(N1196:P1196,Q1196:AE1196)),0)</f>
        <v>0</v>
      </c>
      <c r="AZ1196" s="5">
        <f>IF(S1196&gt;0,RANK(S1196,(N1196:P1196,Q1196:AE1196)),0)</f>
        <v>6</v>
      </c>
      <c r="BA1196" s="2">
        <f t="shared" si="503"/>
        <v>6.1592980087748902E-3</v>
      </c>
      <c r="BB1196" s="2">
        <f t="shared" si="504"/>
        <v>3.8812014849814377E-3</v>
      </c>
      <c r="BC1196" s="2">
        <f t="shared" si="505"/>
        <v>0</v>
      </c>
      <c r="BD1196" s="2">
        <f t="shared" si="506"/>
        <v>1.2656091798852514E-3</v>
      </c>
      <c r="BF1196" t="s">
        <v>2658</v>
      </c>
      <c r="BG1196" t="s">
        <v>320</v>
      </c>
      <c r="BH1196">
        <v>5</v>
      </c>
      <c r="BJ1196" s="114">
        <v>22</v>
      </c>
      <c r="BK1196" s="116">
        <v>67</v>
      </c>
      <c r="BL1196" s="120">
        <f t="shared" si="497"/>
        <v>22067</v>
      </c>
      <c r="BN1196" s="5" t="s">
        <v>498</v>
      </c>
    </row>
    <row r="1197" spans="1:66" hidden="1" outlineLevel="1">
      <c r="A1197" t="s">
        <v>1841</v>
      </c>
      <c r="B1197" t="s">
        <v>320</v>
      </c>
      <c r="C1197" s="1">
        <f t="shared" si="498"/>
        <v>16621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>IF(P1197&gt;0,RANK(P1197,(N1197:P1197,Q1197:AE1197)),0)</f>
        <v>5</v>
      </c>
      <c r="G1197" s="132">
        <f t="shared" si="484"/>
        <v>1824</v>
      </c>
      <c r="H1197" s="137">
        <f t="shared" si="485"/>
        <v>0.1097406894892004</v>
      </c>
      <c r="I1197" s="2"/>
      <c r="J1197" s="2">
        <f t="shared" si="499"/>
        <v>0.42981770049936829</v>
      </c>
      <c r="K1197" s="2">
        <f t="shared" si="500"/>
        <v>0.53955838998856864</v>
      </c>
      <c r="L1197" s="2">
        <f t="shared" si="501"/>
        <v>2.9480777329883882E-3</v>
      </c>
      <c r="M1197" s="2">
        <f t="shared" si="502"/>
        <v>2.7675831779074674E-2</v>
      </c>
      <c r="N1197" s="63">
        <v>7144</v>
      </c>
      <c r="O1197" s="63">
        <v>8968</v>
      </c>
      <c r="P1197" s="63">
        <v>49</v>
      </c>
      <c r="Q1197" s="63">
        <v>260</v>
      </c>
      <c r="R1197" s="63">
        <v>91</v>
      </c>
      <c r="S1197" s="63">
        <v>35</v>
      </c>
      <c r="T1197" s="63"/>
      <c r="U1197" s="63"/>
      <c r="V1197" s="63">
        <v>5</v>
      </c>
      <c r="W1197" s="63"/>
      <c r="X1197" s="63">
        <v>5</v>
      </c>
      <c r="Y1197" s="63">
        <v>18</v>
      </c>
      <c r="Z1197" s="63"/>
      <c r="AA1197" s="63"/>
      <c r="AB1197" s="63"/>
      <c r="AC1197" s="63"/>
      <c r="AD1197" s="63"/>
      <c r="AE1197" s="63">
        <v>8</v>
      </c>
      <c r="AF1197" s="63">
        <v>3</v>
      </c>
      <c r="AG1197" s="63">
        <v>27</v>
      </c>
      <c r="AH1197" s="63"/>
      <c r="AI1197" s="63"/>
      <c r="AJ1197" s="63">
        <v>8</v>
      </c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W1197" s="5">
        <f>IF(Q1197&gt;0,RANK(Q1197,(N1197:P1197,Q1197:AE1197)),0)</f>
        <v>3</v>
      </c>
      <c r="AX1197" s="5">
        <f>IF(R1197&gt;0,RANK(R1197,(N1197:P1197,Q1197:AE1197)),0)</f>
        <v>4</v>
      </c>
      <c r="AY1197" s="5">
        <f>IF(T1197&gt;0,RANK(T1197,(N1197:P1197,Q1197:AE1197)),0)</f>
        <v>0</v>
      </c>
      <c r="AZ1197" s="5">
        <f>IF(S1197&gt;0,RANK(S1197,(N1197:P1197,Q1197:AE1197)),0)</f>
        <v>6</v>
      </c>
      <c r="BA1197" s="2">
        <f t="shared" si="503"/>
        <v>1.5642861440346548E-2</v>
      </c>
      <c r="BB1197" s="2">
        <f t="shared" si="504"/>
        <v>5.4750015041212926E-3</v>
      </c>
      <c r="BC1197" s="2">
        <f t="shared" si="505"/>
        <v>0</v>
      </c>
      <c r="BD1197" s="2">
        <f t="shared" si="506"/>
        <v>2.1057698092774202E-3</v>
      </c>
      <c r="BF1197" t="s">
        <v>1841</v>
      </c>
      <c r="BG1197" t="s">
        <v>320</v>
      </c>
      <c r="BH1197">
        <v>4</v>
      </c>
      <c r="BJ1197" s="114">
        <v>22</v>
      </c>
      <c r="BK1197" s="116">
        <v>69</v>
      </c>
      <c r="BL1197" s="120">
        <f t="shared" si="497"/>
        <v>22069</v>
      </c>
      <c r="BN1197" s="5" t="s">
        <v>498</v>
      </c>
    </row>
    <row r="1198" spans="1:66" hidden="1" outlineLevel="1">
      <c r="A1198" t="s">
        <v>405</v>
      </c>
      <c r="B1198" t="s">
        <v>320</v>
      </c>
      <c r="C1198" s="1">
        <f t="shared" si="498"/>
        <v>165812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>IF(P1198&gt;0,RANK(P1198,(N1198:P1198,Q1198:AE1198)),0)</f>
        <v>5</v>
      </c>
      <c r="G1198" s="132">
        <f t="shared" si="484"/>
        <v>109704</v>
      </c>
      <c r="H1198" s="137">
        <f t="shared" si="485"/>
        <v>0.66161677080066583</v>
      </c>
      <c r="I1198" s="2"/>
      <c r="J1198" s="2">
        <f t="shared" si="499"/>
        <v>0.80812003956287848</v>
      </c>
      <c r="K1198" s="2">
        <f t="shared" si="500"/>
        <v>0.14650326876221262</v>
      </c>
      <c r="L1198" s="2">
        <f t="shared" si="501"/>
        <v>4.2095867609099466E-3</v>
      </c>
      <c r="M1198" s="2">
        <f t="shared" si="502"/>
        <v>4.1167104913998956E-2</v>
      </c>
      <c r="N1198" s="63">
        <v>133996</v>
      </c>
      <c r="O1198" s="63">
        <v>24292</v>
      </c>
      <c r="P1198" s="63">
        <v>698</v>
      </c>
      <c r="Q1198" s="63">
        <v>3638</v>
      </c>
      <c r="R1198" s="63">
        <v>2546</v>
      </c>
      <c r="S1198" s="63">
        <v>127</v>
      </c>
      <c r="T1198" s="63"/>
      <c r="U1198" s="63"/>
      <c r="V1198" s="63">
        <v>86</v>
      </c>
      <c r="W1198" s="63"/>
      <c r="X1198" s="63">
        <v>59</v>
      </c>
      <c r="Y1198" s="63">
        <v>86</v>
      </c>
      <c r="Z1198" s="63"/>
      <c r="AA1198" s="63"/>
      <c r="AB1198" s="63"/>
      <c r="AC1198" s="63"/>
      <c r="AD1198" s="63"/>
      <c r="AE1198" s="63">
        <v>92</v>
      </c>
      <c r="AF1198" s="63">
        <v>49</v>
      </c>
      <c r="AG1198" s="63">
        <v>80</v>
      </c>
      <c r="AH1198" s="63"/>
      <c r="AI1198" s="63"/>
      <c r="AJ1198" s="63">
        <v>63</v>
      </c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W1198" s="5">
        <f>IF(Q1198&gt;0,RANK(Q1198,(N1198:P1198,Q1198:AE1198)),0)</f>
        <v>3</v>
      </c>
      <c r="AX1198" s="5">
        <f>IF(R1198&gt;0,RANK(R1198,(N1198:P1198,Q1198:AE1198)),0)</f>
        <v>4</v>
      </c>
      <c r="AY1198" s="5">
        <f>IF(T1198&gt;0,RANK(T1198,(N1198:P1198,Q1198:AE1198)),0)</f>
        <v>0</v>
      </c>
      <c r="AZ1198" s="5">
        <f>IF(S1198&gt;0,RANK(S1198,(N1198:P1198,Q1198:AE1198)),0)</f>
        <v>6</v>
      </c>
      <c r="BA1198" s="2">
        <f t="shared" si="503"/>
        <v>2.1940510940100837E-2</v>
      </c>
      <c r="BB1198" s="2">
        <f t="shared" si="504"/>
        <v>1.5354739102115648E-2</v>
      </c>
      <c r="BC1198" s="2">
        <f t="shared" si="505"/>
        <v>0</v>
      </c>
      <c r="BD1198" s="2">
        <f t="shared" si="506"/>
        <v>7.6592767712831405E-4</v>
      </c>
      <c r="BF1198" t="s">
        <v>405</v>
      </c>
      <c r="BG1198" t="s">
        <v>320</v>
      </c>
      <c r="BJ1198" s="114">
        <v>22</v>
      </c>
      <c r="BK1198" s="116">
        <v>71</v>
      </c>
      <c r="BL1198" s="120">
        <f t="shared" si="497"/>
        <v>22071</v>
      </c>
      <c r="BN1198" s="5" t="s">
        <v>498</v>
      </c>
    </row>
    <row r="1199" spans="1:66" hidden="1" outlineLevel="1">
      <c r="A1199" t="s">
        <v>187</v>
      </c>
      <c r="B1199" t="s">
        <v>320</v>
      </c>
      <c r="C1199" s="1">
        <f t="shared" si="498"/>
        <v>68017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5</v>
      </c>
      <c r="G1199" s="132">
        <f t="shared" si="484"/>
        <v>17306</v>
      </c>
      <c r="H1199" s="137">
        <f t="shared" si="485"/>
        <v>0.25443639090227443</v>
      </c>
      <c r="I1199" s="2"/>
      <c r="J1199" s="2">
        <f t="shared" si="499"/>
        <v>0.35914550774071186</v>
      </c>
      <c r="K1199" s="2">
        <f t="shared" si="500"/>
        <v>0.61358189864298629</v>
      </c>
      <c r="L1199" s="2">
        <f t="shared" si="501"/>
        <v>3.9107870091300706E-3</v>
      </c>
      <c r="M1199" s="2">
        <f t="shared" si="502"/>
        <v>2.3361806607171784E-2</v>
      </c>
      <c r="N1199" s="63">
        <v>24428</v>
      </c>
      <c r="O1199" s="63">
        <v>41734</v>
      </c>
      <c r="P1199" s="63">
        <v>266</v>
      </c>
      <c r="Q1199" s="63">
        <v>980</v>
      </c>
      <c r="R1199" s="63">
        <v>343</v>
      </c>
      <c r="S1199" s="63">
        <v>101</v>
      </c>
      <c r="T1199" s="63"/>
      <c r="U1199" s="63"/>
      <c r="V1199" s="63">
        <v>5</v>
      </c>
      <c r="W1199" s="63"/>
      <c r="X1199" s="63">
        <v>13</v>
      </c>
      <c r="Y1199" s="63">
        <v>50</v>
      </c>
      <c r="Z1199" s="63"/>
      <c r="AA1199" s="63"/>
      <c r="AB1199" s="63"/>
      <c r="AC1199" s="63"/>
      <c r="AD1199" s="63"/>
      <c r="AE1199" s="63">
        <v>17</v>
      </c>
      <c r="AF1199" s="63">
        <v>9</v>
      </c>
      <c r="AG1199" s="63">
        <v>49</v>
      </c>
      <c r="AH1199" s="63"/>
      <c r="AI1199" s="63"/>
      <c r="AJ1199" s="63">
        <v>22</v>
      </c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W1199" s="5">
        <f>IF(Q1199&gt;0,RANK(Q1199,(N1199:P1199,Q1199:AE1199)),0)</f>
        <v>3</v>
      </c>
      <c r="AX1199" s="5">
        <f>IF(R1199&gt;0,RANK(R1199,(N1199:P1199,Q1199:AE1199)),0)</f>
        <v>4</v>
      </c>
      <c r="AY1199" s="5">
        <f>IF(T1199&gt;0,RANK(T1199,(N1199:P1199,Q1199:AE1199)),0)</f>
        <v>0</v>
      </c>
      <c r="AZ1199" s="5">
        <f>IF(S1199&gt;0,RANK(S1199,(N1199:P1199,Q1199:AE1199)),0)</f>
        <v>6</v>
      </c>
      <c r="BA1199" s="2">
        <f t="shared" si="503"/>
        <v>1.4408162665216049E-2</v>
      </c>
      <c r="BB1199" s="2">
        <f t="shared" si="504"/>
        <v>5.0428569328256172E-3</v>
      </c>
      <c r="BC1199" s="2">
        <f t="shared" si="505"/>
        <v>0</v>
      </c>
      <c r="BD1199" s="2">
        <f t="shared" si="506"/>
        <v>1.4849228869253275E-3</v>
      </c>
      <c r="BF1199" t="s">
        <v>187</v>
      </c>
      <c r="BG1199" t="s">
        <v>320</v>
      </c>
      <c r="BH1199">
        <v>5</v>
      </c>
      <c r="BJ1199" s="114">
        <v>22</v>
      </c>
      <c r="BK1199" s="116">
        <v>73</v>
      </c>
      <c r="BL1199" s="120">
        <f t="shared" si="497"/>
        <v>22073</v>
      </c>
      <c r="BN1199" s="5" t="s">
        <v>498</v>
      </c>
    </row>
    <row r="1200" spans="1:66" hidden="1" outlineLevel="1">
      <c r="A1200" t="s">
        <v>43</v>
      </c>
      <c r="B1200" t="s">
        <v>320</v>
      </c>
      <c r="C1200" s="1">
        <f t="shared" si="498"/>
        <v>10573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5</v>
      </c>
      <c r="G1200" s="132">
        <f t="shared" si="484"/>
        <v>3553</v>
      </c>
      <c r="H1200" s="137">
        <f t="shared" si="485"/>
        <v>0.33604464201267381</v>
      </c>
      <c r="I1200" s="2"/>
      <c r="J1200" s="2">
        <f t="shared" si="499"/>
        <v>0.31656105173555282</v>
      </c>
      <c r="K1200" s="2">
        <f t="shared" si="500"/>
        <v>0.65260569374822663</v>
      </c>
      <c r="L1200" s="2">
        <f t="shared" si="501"/>
        <v>1.7970301711907688E-3</v>
      </c>
      <c r="M1200" s="2">
        <f t="shared" si="502"/>
        <v>2.9036224345029775E-2</v>
      </c>
      <c r="N1200" s="63">
        <v>3347</v>
      </c>
      <c r="O1200" s="63">
        <v>6900</v>
      </c>
      <c r="P1200" s="63">
        <v>19</v>
      </c>
      <c r="Q1200" s="63">
        <v>179</v>
      </c>
      <c r="R1200" s="63">
        <v>74</v>
      </c>
      <c r="S1200" s="63">
        <v>14</v>
      </c>
      <c r="T1200" s="63"/>
      <c r="U1200" s="63"/>
      <c r="V1200" s="63">
        <v>3</v>
      </c>
      <c r="W1200" s="63"/>
      <c r="X1200" s="63">
        <v>1</v>
      </c>
      <c r="Y1200" s="63">
        <v>8</v>
      </c>
      <c r="Z1200" s="63"/>
      <c r="AA1200" s="63"/>
      <c r="AB1200" s="63"/>
      <c r="AC1200" s="63"/>
      <c r="AD1200" s="63"/>
      <c r="AE1200" s="63">
        <v>7</v>
      </c>
      <c r="AF1200" s="63">
        <v>3</v>
      </c>
      <c r="AG1200" s="63">
        <v>12</v>
      </c>
      <c r="AH1200" s="63"/>
      <c r="AI1200" s="63"/>
      <c r="AJ1200" s="63">
        <v>6</v>
      </c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W1200" s="5">
        <f>IF(Q1200&gt;0,RANK(Q1200,(N1200:P1200,Q1200:AE1200)),0)</f>
        <v>3</v>
      </c>
      <c r="AX1200" s="5">
        <f>IF(R1200&gt;0,RANK(R1200,(N1200:P1200,Q1200:AE1200)),0)</f>
        <v>4</v>
      </c>
      <c r="AY1200" s="5">
        <f>IF(T1200&gt;0,RANK(T1200,(N1200:P1200,Q1200:AE1200)),0)</f>
        <v>0</v>
      </c>
      <c r="AZ1200" s="5">
        <f>IF(S1200&gt;0,RANK(S1200,(N1200:P1200,Q1200:AE1200)),0)</f>
        <v>6</v>
      </c>
      <c r="BA1200" s="2">
        <f t="shared" si="503"/>
        <v>1.6929915823323559E-2</v>
      </c>
      <c r="BB1200" s="2">
        <f t="shared" si="504"/>
        <v>6.9989596141114161E-3</v>
      </c>
      <c r="BC1200" s="2">
        <f t="shared" si="505"/>
        <v>0</v>
      </c>
      <c r="BD1200" s="2">
        <f t="shared" si="506"/>
        <v>1.3241274945616191E-3</v>
      </c>
      <c r="BF1200" t="s">
        <v>43</v>
      </c>
      <c r="BG1200" t="s">
        <v>320</v>
      </c>
      <c r="BH1200">
        <v>1</v>
      </c>
      <c r="BJ1200" s="114">
        <v>22</v>
      </c>
      <c r="BK1200" s="116">
        <v>75</v>
      </c>
      <c r="BL1200" s="120">
        <f t="shared" si="497"/>
        <v>22075</v>
      </c>
      <c r="BN1200" s="5" t="s">
        <v>498</v>
      </c>
    </row>
    <row r="1201" spans="1:66" hidden="1" outlineLevel="1">
      <c r="A1201" t="s">
        <v>894</v>
      </c>
      <c r="B1201" t="s">
        <v>320</v>
      </c>
      <c r="C1201" s="1">
        <f t="shared" si="498"/>
        <v>11761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5</v>
      </c>
      <c r="G1201" s="132">
        <f t="shared" si="484"/>
        <v>2025</v>
      </c>
      <c r="H1201" s="137">
        <f t="shared" si="485"/>
        <v>0.17217923645948474</v>
      </c>
      <c r="I1201" s="2"/>
      <c r="J1201" s="2">
        <f t="shared" si="499"/>
        <v>0.40506759629283223</v>
      </c>
      <c r="K1201" s="2">
        <f t="shared" si="500"/>
        <v>0.57724683275231703</v>
      </c>
      <c r="L1201" s="2">
        <f t="shared" si="501"/>
        <v>2.8909106368506078E-3</v>
      </c>
      <c r="M1201" s="2">
        <f t="shared" si="502"/>
        <v>1.4794660318000075E-2</v>
      </c>
      <c r="N1201" s="63">
        <v>4764</v>
      </c>
      <c r="O1201" s="63">
        <v>6789</v>
      </c>
      <c r="P1201" s="63">
        <v>34</v>
      </c>
      <c r="Q1201" s="63">
        <v>86</v>
      </c>
      <c r="R1201" s="63">
        <v>35</v>
      </c>
      <c r="S1201" s="63">
        <v>16</v>
      </c>
      <c r="T1201" s="63"/>
      <c r="U1201" s="63"/>
      <c r="V1201" s="63">
        <v>2</v>
      </c>
      <c r="W1201" s="63"/>
      <c r="X1201" s="63">
        <v>2</v>
      </c>
      <c r="Y1201" s="63">
        <v>13</v>
      </c>
      <c r="Z1201" s="63"/>
      <c r="AA1201" s="63"/>
      <c r="AB1201" s="63"/>
      <c r="AC1201" s="63"/>
      <c r="AD1201" s="63"/>
      <c r="AE1201" s="63">
        <v>4</v>
      </c>
      <c r="AF1201" s="63">
        <v>2</v>
      </c>
      <c r="AG1201" s="63">
        <v>13</v>
      </c>
      <c r="AH1201" s="63"/>
      <c r="AI1201" s="63"/>
      <c r="AJ1201" s="63">
        <v>1</v>
      </c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W1201" s="5">
        <f>IF(Q1201&gt;0,RANK(Q1201,(N1201:P1201,Q1201:AE1201)),0)</f>
        <v>3</v>
      </c>
      <c r="AX1201" s="5">
        <f>IF(R1201&gt;0,RANK(R1201,(N1201:P1201,Q1201:AE1201)),0)</f>
        <v>4</v>
      </c>
      <c r="AY1201" s="5">
        <f>IF(T1201&gt;0,RANK(T1201,(N1201:P1201,Q1201:AE1201)),0)</f>
        <v>0</v>
      </c>
      <c r="AZ1201" s="5">
        <f>IF(S1201&gt;0,RANK(S1201,(N1201:P1201,Q1201:AE1201)),0)</f>
        <v>6</v>
      </c>
      <c r="BA1201" s="2">
        <f t="shared" si="503"/>
        <v>7.3123033755633027E-3</v>
      </c>
      <c r="BB1201" s="2">
        <f t="shared" si="504"/>
        <v>2.9759374202873905E-3</v>
      </c>
      <c r="BC1201" s="2">
        <f t="shared" si="505"/>
        <v>0</v>
      </c>
      <c r="BD1201" s="2">
        <f t="shared" si="506"/>
        <v>1.3604285349885215E-3</v>
      </c>
      <c r="BF1201" t="s">
        <v>894</v>
      </c>
      <c r="BG1201" t="s">
        <v>320</v>
      </c>
      <c r="BH1201">
        <v>6</v>
      </c>
      <c r="BJ1201" s="114">
        <v>22</v>
      </c>
      <c r="BK1201" s="116">
        <v>77</v>
      </c>
      <c r="BL1201" s="120">
        <f t="shared" si="497"/>
        <v>22077</v>
      </c>
      <c r="BN1201" s="5" t="s">
        <v>498</v>
      </c>
    </row>
    <row r="1202" spans="1:66" hidden="1" outlineLevel="1">
      <c r="A1202" t="s">
        <v>1512</v>
      </c>
      <c r="B1202" t="s">
        <v>320</v>
      </c>
      <c r="C1202" s="1">
        <f t="shared" si="498"/>
        <v>56844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5</v>
      </c>
      <c r="G1202" s="132">
        <f t="shared" si="484"/>
        <v>18494</v>
      </c>
      <c r="H1202" s="137">
        <f t="shared" si="485"/>
        <v>0.32534656252199001</v>
      </c>
      <c r="I1202" s="2"/>
      <c r="J1202" s="2">
        <f t="shared" si="499"/>
        <v>0.3223207374568996</v>
      </c>
      <c r="K1202" s="2">
        <f t="shared" si="500"/>
        <v>0.64766729997888961</v>
      </c>
      <c r="L1202" s="2">
        <f t="shared" si="501"/>
        <v>4.6618816409823381E-3</v>
      </c>
      <c r="M1202" s="2">
        <f t="shared" si="502"/>
        <v>2.5350080923228456E-2</v>
      </c>
      <c r="N1202" s="63">
        <v>18322</v>
      </c>
      <c r="O1202" s="63">
        <v>36816</v>
      </c>
      <c r="P1202" s="63">
        <v>265</v>
      </c>
      <c r="Q1202" s="63">
        <v>858</v>
      </c>
      <c r="R1202" s="63">
        <v>314</v>
      </c>
      <c r="S1202" s="63">
        <v>100</v>
      </c>
      <c r="T1202" s="63"/>
      <c r="U1202" s="63"/>
      <c r="V1202" s="63">
        <v>10</v>
      </c>
      <c r="W1202" s="63"/>
      <c r="X1202" s="63">
        <v>9</v>
      </c>
      <c r="Y1202" s="63">
        <v>50</v>
      </c>
      <c r="Z1202" s="63"/>
      <c r="AA1202" s="63"/>
      <c r="AB1202" s="63"/>
      <c r="AC1202" s="63"/>
      <c r="AD1202" s="63"/>
      <c r="AE1202" s="63">
        <v>29</v>
      </c>
      <c r="AF1202" s="63">
        <v>6</v>
      </c>
      <c r="AG1202" s="63">
        <v>52</v>
      </c>
      <c r="AH1202" s="63"/>
      <c r="AI1202" s="63"/>
      <c r="AJ1202" s="63">
        <v>13</v>
      </c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W1202" s="5">
        <f>IF(Q1202&gt;0,RANK(Q1202,(N1202:P1202,Q1202:AE1202)),0)</f>
        <v>3</v>
      </c>
      <c r="AX1202" s="5">
        <f>IF(R1202&gt;0,RANK(R1202,(N1202:P1202,Q1202:AE1202)),0)</f>
        <v>4</v>
      </c>
      <c r="AY1202" s="5">
        <f>IF(T1202&gt;0,RANK(T1202,(N1202:P1202,Q1202:AE1202)),0)</f>
        <v>0</v>
      </c>
      <c r="AZ1202" s="5">
        <f>IF(S1202&gt;0,RANK(S1202,(N1202:P1202,Q1202:AE1202)),0)</f>
        <v>6</v>
      </c>
      <c r="BA1202" s="2">
        <f t="shared" si="503"/>
        <v>1.5093941313067342E-2</v>
      </c>
      <c r="BB1202" s="2">
        <f t="shared" si="504"/>
        <v>5.5238899444092606E-3</v>
      </c>
      <c r="BC1202" s="2">
        <f t="shared" si="505"/>
        <v>0</v>
      </c>
      <c r="BD1202" s="2">
        <f t="shared" si="506"/>
        <v>1.7592006192386179E-3</v>
      </c>
      <c r="BF1202" t="s">
        <v>1512</v>
      </c>
      <c r="BG1202" t="s">
        <v>320</v>
      </c>
      <c r="BH1202">
        <v>5</v>
      </c>
      <c r="BJ1202" s="114">
        <v>22</v>
      </c>
      <c r="BK1202" s="116">
        <v>79</v>
      </c>
      <c r="BL1202" s="120">
        <f t="shared" si="497"/>
        <v>22079</v>
      </c>
      <c r="BN1202" s="5" t="s">
        <v>498</v>
      </c>
    </row>
    <row r="1203" spans="1:66" hidden="1" outlineLevel="1">
      <c r="A1203" t="s">
        <v>867</v>
      </c>
      <c r="B1203" t="s">
        <v>320</v>
      </c>
      <c r="C1203" s="1">
        <f t="shared" si="498"/>
        <v>4422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4</v>
      </c>
      <c r="G1203" s="132">
        <f t="shared" si="484"/>
        <v>453</v>
      </c>
      <c r="H1203" s="137">
        <f t="shared" si="485"/>
        <v>0.10244233378561737</v>
      </c>
      <c r="I1203" s="2"/>
      <c r="J1203" s="2">
        <f t="shared" si="499"/>
        <v>0.43826322930800543</v>
      </c>
      <c r="K1203" s="2">
        <f t="shared" si="500"/>
        <v>0.54070556309362283</v>
      </c>
      <c r="L1203" s="2">
        <f t="shared" si="501"/>
        <v>2.7137042062415195E-3</v>
      </c>
      <c r="M1203" s="2">
        <f t="shared" si="502"/>
        <v>1.8317503392130216E-2</v>
      </c>
      <c r="N1203" s="63">
        <v>1938</v>
      </c>
      <c r="O1203" s="63">
        <v>2391</v>
      </c>
      <c r="P1203" s="63">
        <v>12</v>
      </c>
      <c r="Q1203" s="63">
        <v>47</v>
      </c>
      <c r="R1203" s="63">
        <v>11</v>
      </c>
      <c r="S1203" s="63">
        <v>4</v>
      </c>
      <c r="T1203" s="63"/>
      <c r="U1203" s="63"/>
      <c r="V1203" s="63">
        <v>2</v>
      </c>
      <c r="W1203" s="63"/>
      <c r="X1203" s="63">
        <v>3</v>
      </c>
      <c r="Y1203" s="63">
        <v>4</v>
      </c>
      <c r="Z1203" s="63"/>
      <c r="AA1203" s="63"/>
      <c r="AB1203" s="63"/>
      <c r="AC1203" s="63"/>
      <c r="AD1203" s="63"/>
      <c r="AE1203" s="63">
        <v>3</v>
      </c>
      <c r="AF1203" s="63">
        <v>0</v>
      </c>
      <c r="AG1203" s="63">
        <v>5</v>
      </c>
      <c r="AH1203" s="63"/>
      <c r="AI1203" s="63"/>
      <c r="AJ1203" s="63">
        <v>2</v>
      </c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W1203" s="5">
        <f>IF(Q1203&gt;0,RANK(Q1203,(N1203:P1203,Q1203:AE1203)),0)</f>
        <v>3</v>
      </c>
      <c r="AX1203" s="5">
        <f>IF(R1203&gt;0,RANK(R1203,(N1203:P1203,Q1203:AE1203)),0)</f>
        <v>5</v>
      </c>
      <c r="AY1203" s="5">
        <f>IF(T1203&gt;0,RANK(T1203,(N1203:P1203,Q1203:AE1203)),0)</f>
        <v>0</v>
      </c>
      <c r="AZ1203" s="5">
        <f>IF(S1203&gt;0,RANK(S1203,(N1203:P1203,Q1203:AE1203)),0)</f>
        <v>6</v>
      </c>
      <c r="BA1203" s="2">
        <f t="shared" si="503"/>
        <v>1.0628674807779286E-2</v>
      </c>
      <c r="BB1203" s="2">
        <f t="shared" si="504"/>
        <v>2.4875621890547263E-3</v>
      </c>
      <c r="BC1203" s="2">
        <f t="shared" si="505"/>
        <v>0</v>
      </c>
      <c r="BD1203" s="2">
        <f t="shared" si="506"/>
        <v>9.0456806874717323E-4</v>
      </c>
      <c r="BF1203" t="s">
        <v>867</v>
      </c>
      <c r="BG1203" t="s">
        <v>320</v>
      </c>
      <c r="BH1203">
        <v>4</v>
      </c>
      <c r="BJ1203" s="114">
        <v>22</v>
      </c>
      <c r="BK1203" s="116">
        <v>81</v>
      </c>
      <c r="BL1203" s="120">
        <f t="shared" si="497"/>
        <v>22081</v>
      </c>
      <c r="BN1203" s="5" t="s">
        <v>498</v>
      </c>
    </row>
    <row r="1204" spans="1:66" hidden="1" outlineLevel="1">
      <c r="A1204" t="s">
        <v>50</v>
      </c>
      <c r="B1204" t="s">
        <v>320</v>
      </c>
      <c r="C1204" s="1">
        <f t="shared" si="498"/>
        <v>9597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5</v>
      </c>
      <c r="G1204" s="132">
        <f t="shared" si="484"/>
        <v>3130</v>
      </c>
      <c r="H1204" s="137">
        <f t="shared" si="485"/>
        <v>0.32614358653745962</v>
      </c>
      <c r="I1204" s="2"/>
      <c r="J1204" s="2">
        <f t="shared" si="499"/>
        <v>0.32895696571845368</v>
      </c>
      <c r="K1204" s="2">
        <f t="shared" si="500"/>
        <v>0.65510055225591335</v>
      </c>
      <c r="L1204" s="2">
        <f t="shared" si="501"/>
        <v>2.0839845785141191E-3</v>
      </c>
      <c r="M1204" s="2">
        <f t="shared" si="502"/>
        <v>1.3858497447118857E-2</v>
      </c>
      <c r="N1204" s="63">
        <v>3157</v>
      </c>
      <c r="O1204" s="63">
        <v>6287</v>
      </c>
      <c r="P1204" s="63">
        <v>20</v>
      </c>
      <c r="Q1204" s="63">
        <v>67</v>
      </c>
      <c r="R1204" s="63">
        <v>35</v>
      </c>
      <c r="S1204" s="63">
        <v>12</v>
      </c>
      <c r="T1204" s="63"/>
      <c r="U1204" s="63"/>
      <c r="V1204" s="63">
        <v>0</v>
      </c>
      <c r="W1204" s="63"/>
      <c r="X1204" s="63">
        <v>3</v>
      </c>
      <c r="Y1204" s="63">
        <v>4</v>
      </c>
      <c r="Z1204" s="63"/>
      <c r="AA1204" s="63"/>
      <c r="AB1204" s="63"/>
      <c r="AC1204" s="63"/>
      <c r="AD1204" s="63"/>
      <c r="AE1204" s="63">
        <v>5</v>
      </c>
      <c r="AF1204" s="63">
        <v>1</v>
      </c>
      <c r="AG1204" s="63">
        <v>4</v>
      </c>
      <c r="AH1204" s="63"/>
      <c r="AI1204" s="63"/>
      <c r="AJ1204" s="63">
        <v>2</v>
      </c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W1204" s="5">
        <f>IF(Q1204&gt;0,RANK(Q1204,(N1204:P1204,Q1204:AE1204)),0)</f>
        <v>3</v>
      </c>
      <c r="AX1204" s="5">
        <f>IF(R1204&gt;0,RANK(R1204,(N1204:P1204,Q1204:AE1204)),0)</f>
        <v>4</v>
      </c>
      <c r="AY1204" s="5">
        <f>IF(T1204&gt;0,RANK(T1204,(N1204:P1204,Q1204:AE1204)),0)</f>
        <v>0</v>
      </c>
      <c r="AZ1204" s="5">
        <f>IF(S1204&gt;0,RANK(S1204,(N1204:P1204,Q1204:AE1204)),0)</f>
        <v>6</v>
      </c>
      <c r="BA1204" s="2">
        <f t="shared" si="503"/>
        <v>6.9813483380222986E-3</v>
      </c>
      <c r="BB1204" s="2">
        <f t="shared" si="504"/>
        <v>3.6469730123997084E-3</v>
      </c>
      <c r="BC1204" s="2">
        <f t="shared" si="505"/>
        <v>0</v>
      </c>
      <c r="BD1204" s="2">
        <f t="shared" si="506"/>
        <v>1.2503907471084713E-3</v>
      </c>
      <c r="BF1204" t="s">
        <v>50</v>
      </c>
      <c r="BG1204" t="s">
        <v>320</v>
      </c>
      <c r="BH1204">
        <v>5</v>
      </c>
      <c r="BJ1204" s="114">
        <v>22</v>
      </c>
      <c r="BK1204" s="116">
        <v>83</v>
      </c>
      <c r="BL1204" s="120">
        <f t="shared" si="497"/>
        <v>22083</v>
      </c>
      <c r="BN1204" s="5" t="s">
        <v>498</v>
      </c>
    </row>
    <row r="1205" spans="1:66" hidden="1" outlineLevel="1">
      <c r="A1205" t="s">
        <v>818</v>
      </c>
      <c r="B1205" t="s">
        <v>320</v>
      </c>
      <c r="C1205" s="1">
        <f t="shared" si="498"/>
        <v>9787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4</v>
      </c>
      <c r="G1205" s="132">
        <f t="shared" si="484"/>
        <v>6176</v>
      </c>
      <c r="H1205" s="137">
        <f t="shared" si="485"/>
        <v>0.63104117707162566</v>
      </c>
      <c r="I1205" s="2"/>
      <c r="J1205" s="2">
        <f t="shared" si="499"/>
        <v>0.17400633493409626</v>
      </c>
      <c r="K1205" s="2">
        <f t="shared" si="500"/>
        <v>0.80504751200572189</v>
      </c>
      <c r="L1205" s="2">
        <f t="shared" si="501"/>
        <v>2.5544089097782772E-3</v>
      </c>
      <c r="M1205" s="2">
        <f t="shared" si="502"/>
        <v>1.8391744150403604E-2</v>
      </c>
      <c r="N1205" s="63">
        <v>1703</v>
      </c>
      <c r="O1205" s="63">
        <v>7879</v>
      </c>
      <c r="P1205" s="63">
        <v>25</v>
      </c>
      <c r="Q1205" s="63">
        <v>97</v>
      </c>
      <c r="R1205" s="63">
        <v>24</v>
      </c>
      <c r="S1205" s="63">
        <v>18</v>
      </c>
      <c r="T1205" s="63"/>
      <c r="U1205" s="63"/>
      <c r="V1205" s="63">
        <v>2</v>
      </c>
      <c r="W1205" s="63"/>
      <c r="X1205" s="63">
        <v>2</v>
      </c>
      <c r="Y1205" s="63">
        <v>7</v>
      </c>
      <c r="Z1205" s="63"/>
      <c r="AA1205" s="63"/>
      <c r="AB1205" s="63"/>
      <c r="AC1205" s="63"/>
      <c r="AD1205" s="63"/>
      <c r="AE1205" s="63">
        <v>8</v>
      </c>
      <c r="AF1205" s="63">
        <v>1</v>
      </c>
      <c r="AG1205" s="63">
        <v>19</v>
      </c>
      <c r="AH1205" s="63"/>
      <c r="AI1205" s="63"/>
      <c r="AJ1205" s="63">
        <v>2</v>
      </c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W1205" s="5">
        <f>IF(Q1205&gt;0,RANK(Q1205,(N1205:P1205,Q1205:AE1205)),0)</f>
        <v>3</v>
      </c>
      <c r="AX1205" s="5">
        <f>IF(R1205&gt;0,RANK(R1205,(N1205:P1205,Q1205:AE1205)),0)</f>
        <v>5</v>
      </c>
      <c r="AY1205" s="5">
        <f>IF(T1205&gt;0,RANK(T1205,(N1205:P1205,Q1205:AE1205)),0)</f>
        <v>0</v>
      </c>
      <c r="AZ1205" s="5">
        <f>IF(S1205&gt;0,RANK(S1205,(N1205:P1205,Q1205:AE1205)),0)</f>
        <v>6</v>
      </c>
      <c r="BA1205" s="2">
        <f t="shared" si="503"/>
        <v>9.9111065699397163E-3</v>
      </c>
      <c r="BB1205" s="2">
        <f t="shared" si="504"/>
        <v>2.4522325533871464E-3</v>
      </c>
      <c r="BC1205" s="2">
        <f t="shared" si="505"/>
        <v>0</v>
      </c>
      <c r="BD1205" s="2">
        <f t="shared" si="506"/>
        <v>1.8391744150403596E-3</v>
      </c>
      <c r="BF1205" t="s">
        <v>818</v>
      </c>
      <c r="BG1205" t="s">
        <v>320</v>
      </c>
      <c r="BH1205">
        <v>4</v>
      </c>
      <c r="BJ1205" s="114">
        <v>22</v>
      </c>
      <c r="BK1205" s="116">
        <v>85</v>
      </c>
      <c r="BL1205" s="120">
        <f t="shared" si="497"/>
        <v>22085</v>
      </c>
      <c r="BN1205" s="5" t="s">
        <v>498</v>
      </c>
    </row>
    <row r="1206" spans="1:66" hidden="1" outlineLevel="1">
      <c r="A1206" t="s">
        <v>1910</v>
      </c>
      <c r="B1206" t="s">
        <v>320</v>
      </c>
      <c r="C1206" s="1">
        <f t="shared" si="498"/>
        <v>15815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5</v>
      </c>
      <c r="G1206" s="132">
        <f t="shared" si="484"/>
        <v>5277</v>
      </c>
      <c r="H1206" s="137">
        <f t="shared" si="485"/>
        <v>0.33367056591843186</v>
      </c>
      <c r="I1206" s="2"/>
      <c r="J1206" s="2">
        <f t="shared" si="499"/>
        <v>0.31362630414163767</v>
      </c>
      <c r="K1206" s="2">
        <f t="shared" si="500"/>
        <v>0.64729687006006953</v>
      </c>
      <c r="L1206" s="2">
        <f t="shared" si="501"/>
        <v>2.592475497944989E-3</v>
      </c>
      <c r="M1206" s="2">
        <f t="shared" si="502"/>
        <v>3.648435030034787E-2</v>
      </c>
      <c r="N1206" s="63">
        <v>4960</v>
      </c>
      <c r="O1206" s="63">
        <v>10237</v>
      </c>
      <c r="P1206" s="63">
        <v>41</v>
      </c>
      <c r="Q1206" s="63">
        <v>308</v>
      </c>
      <c r="R1206" s="63">
        <v>169</v>
      </c>
      <c r="S1206" s="63">
        <v>31</v>
      </c>
      <c r="T1206" s="63"/>
      <c r="U1206" s="63"/>
      <c r="V1206" s="63">
        <v>3</v>
      </c>
      <c r="W1206" s="63"/>
      <c r="X1206" s="63">
        <v>1</v>
      </c>
      <c r="Y1206" s="63">
        <v>14</v>
      </c>
      <c r="Z1206" s="63"/>
      <c r="AA1206" s="63"/>
      <c r="AB1206" s="63"/>
      <c r="AC1206" s="63"/>
      <c r="AD1206" s="63"/>
      <c r="AE1206" s="63">
        <v>13</v>
      </c>
      <c r="AF1206" s="63">
        <v>3</v>
      </c>
      <c r="AG1206" s="63">
        <v>22</v>
      </c>
      <c r="AH1206" s="63"/>
      <c r="AI1206" s="63"/>
      <c r="AJ1206" s="63">
        <v>13</v>
      </c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W1206" s="5">
        <f>IF(Q1206&gt;0,RANK(Q1206,(N1206:P1206,Q1206:AE1206)),0)</f>
        <v>3</v>
      </c>
      <c r="AX1206" s="5">
        <f>IF(R1206&gt;0,RANK(R1206,(N1206:P1206,Q1206:AE1206)),0)</f>
        <v>4</v>
      </c>
      <c r="AY1206" s="5">
        <f>IF(T1206&gt;0,RANK(T1206,(N1206:P1206,Q1206:AE1206)),0)</f>
        <v>0</v>
      </c>
      <c r="AZ1206" s="5">
        <f>IF(S1206&gt;0,RANK(S1206,(N1206:P1206,Q1206:AE1206)),0)</f>
        <v>6</v>
      </c>
      <c r="BA1206" s="2">
        <f t="shared" si="503"/>
        <v>1.9475181789440403E-2</v>
      </c>
      <c r="BB1206" s="2">
        <f t="shared" si="504"/>
        <v>1.0686057540309832E-2</v>
      </c>
      <c r="BC1206" s="2">
        <f t="shared" si="505"/>
        <v>0</v>
      </c>
      <c r="BD1206" s="2">
        <f t="shared" si="506"/>
        <v>1.9601644008852355E-3</v>
      </c>
      <c r="BF1206" t="s">
        <v>1910</v>
      </c>
      <c r="BG1206" t="s">
        <v>320</v>
      </c>
      <c r="BH1206">
        <v>1</v>
      </c>
      <c r="BJ1206" s="114">
        <v>22</v>
      </c>
      <c r="BK1206" s="116">
        <v>87</v>
      </c>
      <c r="BL1206" s="120">
        <f t="shared" si="497"/>
        <v>22087</v>
      </c>
      <c r="BN1206" s="5" t="s">
        <v>498</v>
      </c>
    </row>
    <row r="1207" spans="1:66" hidden="1" outlineLevel="1">
      <c r="A1207" t="s">
        <v>2131</v>
      </c>
      <c r="B1207" t="s">
        <v>320</v>
      </c>
      <c r="C1207" s="1">
        <f t="shared" si="498"/>
        <v>26192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>IF(P1207&gt;0,RANK(P1207,(N1207:P1207,Q1207:AE1207)),0)</f>
        <v>5</v>
      </c>
      <c r="G1207" s="132">
        <f t="shared" si="484"/>
        <v>8062</v>
      </c>
      <c r="H1207" s="137">
        <f t="shared" si="485"/>
        <v>0.30780390959071474</v>
      </c>
      <c r="I1207" s="2"/>
      <c r="J1207" s="2">
        <f t="shared" si="499"/>
        <v>0.32677916921197314</v>
      </c>
      <c r="K1207" s="2">
        <f t="shared" si="500"/>
        <v>0.63458307880268783</v>
      </c>
      <c r="L1207" s="2">
        <f t="shared" si="501"/>
        <v>4.428833231521075E-3</v>
      </c>
      <c r="M1207" s="2">
        <f t="shared" si="502"/>
        <v>3.4208918753817957E-2</v>
      </c>
      <c r="N1207" s="63">
        <v>8559</v>
      </c>
      <c r="O1207" s="63">
        <v>16621</v>
      </c>
      <c r="P1207" s="63">
        <v>116</v>
      </c>
      <c r="Q1207" s="63">
        <v>592</v>
      </c>
      <c r="R1207" s="63">
        <v>186</v>
      </c>
      <c r="S1207" s="63">
        <v>29</v>
      </c>
      <c r="T1207" s="63"/>
      <c r="U1207" s="63"/>
      <c r="V1207" s="63">
        <v>3</v>
      </c>
      <c r="W1207" s="63"/>
      <c r="X1207" s="63">
        <v>4</v>
      </c>
      <c r="Y1207" s="63">
        <v>29</v>
      </c>
      <c r="Z1207" s="63"/>
      <c r="AA1207" s="63"/>
      <c r="AB1207" s="63"/>
      <c r="AC1207" s="63"/>
      <c r="AD1207" s="63"/>
      <c r="AE1207" s="63">
        <v>9</v>
      </c>
      <c r="AF1207" s="63">
        <v>4</v>
      </c>
      <c r="AG1207" s="63">
        <v>26</v>
      </c>
      <c r="AH1207" s="63"/>
      <c r="AI1207" s="63"/>
      <c r="AJ1207" s="63">
        <v>14</v>
      </c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W1207" s="5">
        <f>IF(Q1207&gt;0,RANK(Q1207,(N1207:P1207,Q1207:AE1207)),0)</f>
        <v>3</v>
      </c>
      <c r="AX1207" s="5">
        <f>IF(R1207&gt;0,RANK(R1207,(N1207:P1207,Q1207:AE1207)),0)</f>
        <v>4</v>
      </c>
      <c r="AY1207" s="5">
        <f>IF(T1207&gt;0,RANK(T1207,(N1207:P1207,Q1207:AE1207)),0)</f>
        <v>0</v>
      </c>
      <c r="AZ1207" s="5">
        <f>IF(S1207&gt;0,RANK(S1207,(N1207:P1207,Q1207:AE1207)),0)</f>
        <v>6</v>
      </c>
      <c r="BA1207" s="2">
        <f t="shared" si="503"/>
        <v>2.2602321319486866E-2</v>
      </c>
      <c r="BB1207" s="2">
        <f t="shared" si="504"/>
        <v>7.1014050091631033E-3</v>
      </c>
      <c r="BC1207" s="2">
        <f t="shared" si="505"/>
        <v>0</v>
      </c>
      <c r="BD1207" s="2">
        <f t="shared" si="506"/>
        <v>1.1072083078802687E-3</v>
      </c>
      <c r="BF1207" t="s">
        <v>2131</v>
      </c>
      <c r="BG1207" t="s">
        <v>320</v>
      </c>
      <c r="BJ1207" s="114">
        <v>22</v>
      </c>
      <c r="BK1207" s="116">
        <v>89</v>
      </c>
      <c r="BL1207" s="120">
        <f t="shared" si="497"/>
        <v>22089</v>
      </c>
      <c r="BN1207" s="5" t="s">
        <v>498</v>
      </c>
    </row>
    <row r="1208" spans="1:66" hidden="1" outlineLevel="1">
      <c r="A1208" t="s">
        <v>237</v>
      </c>
      <c r="B1208" t="s">
        <v>320</v>
      </c>
      <c r="C1208" s="1">
        <f t="shared" si="498"/>
        <v>5964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4</v>
      </c>
      <c r="G1208" s="132">
        <f t="shared" si="484"/>
        <v>856</v>
      </c>
      <c r="H1208" s="137">
        <f t="shared" si="485"/>
        <v>0.14352783366867874</v>
      </c>
      <c r="I1208" s="2"/>
      <c r="J1208" s="2">
        <f t="shared" si="499"/>
        <v>0.56220657276995301</v>
      </c>
      <c r="K1208" s="2">
        <f t="shared" si="500"/>
        <v>0.41867873910127429</v>
      </c>
      <c r="L1208" s="2">
        <f t="shared" si="501"/>
        <v>3.0181086519114686E-3</v>
      </c>
      <c r="M1208" s="2">
        <f t="shared" si="502"/>
        <v>1.6096579476861238E-2</v>
      </c>
      <c r="N1208" s="63">
        <v>3353</v>
      </c>
      <c r="O1208" s="63">
        <v>2497</v>
      </c>
      <c r="P1208" s="63">
        <v>18</v>
      </c>
      <c r="Q1208" s="63">
        <v>43</v>
      </c>
      <c r="R1208" s="63">
        <v>18</v>
      </c>
      <c r="S1208" s="63">
        <v>16</v>
      </c>
      <c r="T1208" s="63"/>
      <c r="U1208" s="63"/>
      <c r="V1208" s="63">
        <v>2</v>
      </c>
      <c r="W1208" s="63"/>
      <c r="X1208" s="63">
        <v>1</v>
      </c>
      <c r="Y1208" s="63">
        <v>6</v>
      </c>
      <c r="Z1208" s="63"/>
      <c r="AA1208" s="63"/>
      <c r="AB1208" s="63"/>
      <c r="AC1208" s="63"/>
      <c r="AD1208" s="63"/>
      <c r="AE1208" s="63">
        <v>3</v>
      </c>
      <c r="AF1208" s="63">
        <v>1</v>
      </c>
      <c r="AG1208" s="63">
        <v>5</v>
      </c>
      <c r="AH1208" s="63"/>
      <c r="AI1208" s="63"/>
      <c r="AJ1208" s="63">
        <v>1</v>
      </c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W1208" s="5">
        <f>IF(Q1208&gt;0,RANK(Q1208,(N1208:P1208,Q1208:AE1208)),0)</f>
        <v>3</v>
      </c>
      <c r="AX1208" s="5">
        <f>IF(R1208&gt;0,RANK(R1208,(N1208:P1208,Q1208:AE1208)),0)</f>
        <v>4</v>
      </c>
      <c r="AY1208" s="5">
        <f>IF(T1208&gt;0,RANK(T1208,(N1208:P1208,Q1208:AE1208)),0)</f>
        <v>0</v>
      </c>
      <c r="AZ1208" s="5">
        <f>IF(S1208&gt;0,RANK(S1208,(N1208:P1208,Q1208:AE1208)),0)</f>
        <v>6</v>
      </c>
      <c r="BA1208" s="2">
        <f t="shared" si="503"/>
        <v>7.2099262240107312E-3</v>
      </c>
      <c r="BB1208" s="2">
        <f t="shared" si="504"/>
        <v>3.0181086519114686E-3</v>
      </c>
      <c r="BC1208" s="2">
        <f t="shared" si="505"/>
        <v>0</v>
      </c>
      <c r="BD1208" s="2">
        <f t="shared" si="506"/>
        <v>2.6827632461435278E-3</v>
      </c>
      <c r="BF1208" t="s">
        <v>237</v>
      </c>
      <c r="BG1208" t="s">
        <v>320</v>
      </c>
      <c r="BJ1208" s="114">
        <v>22</v>
      </c>
      <c r="BK1208" s="116">
        <v>91</v>
      </c>
      <c r="BL1208" s="120">
        <f t="shared" si="497"/>
        <v>22091</v>
      </c>
      <c r="BN1208" s="5" t="s">
        <v>498</v>
      </c>
    </row>
    <row r="1209" spans="1:66" hidden="1" outlineLevel="1">
      <c r="A1209" t="s">
        <v>238</v>
      </c>
      <c r="B1209" t="s">
        <v>320</v>
      </c>
      <c r="C1209" s="1">
        <f t="shared" si="498"/>
        <v>12085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5</v>
      </c>
      <c r="G1209" s="132">
        <f t="shared" si="484"/>
        <v>962</v>
      </c>
      <c r="H1209" s="137">
        <f t="shared" si="485"/>
        <v>7.9602813405047573E-2</v>
      </c>
      <c r="I1209" s="2"/>
      <c r="J1209" s="2">
        <f t="shared" si="499"/>
        <v>0.53107157633429869</v>
      </c>
      <c r="K1209" s="2">
        <f t="shared" si="500"/>
        <v>0.45146876292925114</v>
      </c>
      <c r="L1209" s="2">
        <f t="shared" si="501"/>
        <v>1.8204385601985932E-3</v>
      </c>
      <c r="M1209" s="2">
        <f t="shared" si="502"/>
        <v>1.5639222176251574E-2</v>
      </c>
      <c r="N1209" s="63">
        <v>6418</v>
      </c>
      <c r="O1209" s="63">
        <v>5456</v>
      </c>
      <c r="P1209" s="63">
        <v>22</v>
      </c>
      <c r="Q1209" s="63">
        <v>98</v>
      </c>
      <c r="R1209" s="63">
        <v>44</v>
      </c>
      <c r="S1209" s="63">
        <v>14</v>
      </c>
      <c r="T1209" s="63"/>
      <c r="U1209" s="63"/>
      <c r="V1209" s="63">
        <v>5</v>
      </c>
      <c r="W1209" s="63"/>
      <c r="X1209" s="63">
        <v>5</v>
      </c>
      <c r="Y1209" s="63">
        <v>4</v>
      </c>
      <c r="Z1209" s="63"/>
      <c r="AA1209" s="63"/>
      <c r="AB1209" s="63"/>
      <c r="AC1209" s="63"/>
      <c r="AD1209" s="63"/>
      <c r="AE1209" s="63">
        <v>10</v>
      </c>
      <c r="AF1209" s="63">
        <v>3</v>
      </c>
      <c r="AG1209" s="63">
        <v>6</v>
      </c>
      <c r="AH1209" s="63"/>
      <c r="AI1209" s="63"/>
      <c r="AJ1209" s="63">
        <v>0</v>
      </c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W1209" s="5">
        <f>IF(Q1209&gt;0,RANK(Q1209,(N1209:P1209,Q1209:AE1209)),0)</f>
        <v>3</v>
      </c>
      <c r="AX1209" s="5">
        <f>IF(R1209&gt;0,RANK(R1209,(N1209:P1209,Q1209:AE1209)),0)</f>
        <v>4</v>
      </c>
      <c r="AY1209" s="5">
        <f>IF(T1209&gt;0,RANK(T1209,(N1209:P1209,Q1209:AE1209)),0)</f>
        <v>0</v>
      </c>
      <c r="AZ1209" s="5">
        <f>IF(S1209&gt;0,RANK(S1209,(N1209:P1209,Q1209:AE1209)),0)</f>
        <v>6</v>
      </c>
      <c r="BA1209" s="2">
        <f t="shared" si="503"/>
        <v>8.1092263136119148E-3</v>
      </c>
      <c r="BB1209" s="2">
        <f t="shared" si="504"/>
        <v>3.6408771203971864E-3</v>
      </c>
      <c r="BC1209" s="2">
        <f t="shared" si="505"/>
        <v>0</v>
      </c>
      <c r="BD1209" s="2">
        <f t="shared" si="506"/>
        <v>1.1584609019445594E-3</v>
      </c>
      <c r="BF1209" t="s">
        <v>238</v>
      </c>
      <c r="BG1209" t="s">
        <v>320</v>
      </c>
      <c r="BH1209">
        <v>2</v>
      </c>
      <c r="BJ1209" s="114">
        <v>22</v>
      </c>
      <c r="BK1209" s="116">
        <v>93</v>
      </c>
      <c r="BL1209" s="120">
        <f t="shared" si="497"/>
        <v>22093</v>
      </c>
      <c r="BN1209" s="5" t="s">
        <v>498</v>
      </c>
    </row>
    <row r="1210" spans="1:66" hidden="1" outlineLevel="1">
      <c r="A1210" t="s">
        <v>656</v>
      </c>
      <c r="B1210" t="s">
        <v>320</v>
      </c>
      <c r="C1210" s="1">
        <f t="shared" si="498"/>
        <v>20743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>IF(P1210&gt;0,RANK(P1210,(N1210:P1210,Q1210:AE1210)),0)</f>
        <v>5</v>
      </c>
      <c r="G1210" s="132">
        <f t="shared" si="484"/>
        <v>5092</v>
      </c>
      <c r="H1210" s="137">
        <f t="shared" si="485"/>
        <v>0.24548040302752736</v>
      </c>
      <c r="I1210" s="2"/>
      <c r="J1210" s="2">
        <f t="shared" si="499"/>
        <v>0.61037458419707857</v>
      </c>
      <c r="K1210" s="2">
        <f t="shared" si="500"/>
        <v>0.36489418116955119</v>
      </c>
      <c r="L1210" s="2">
        <f t="shared" si="501"/>
        <v>2.169406546786868E-3</v>
      </c>
      <c r="M1210" s="2">
        <f t="shared" si="502"/>
        <v>2.2561828086583368E-2</v>
      </c>
      <c r="N1210" s="63">
        <v>12661</v>
      </c>
      <c r="O1210" s="63">
        <v>7569</v>
      </c>
      <c r="P1210" s="63">
        <v>45</v>
      </c>
      <c r="Q1210" s="63">
        <v>228</v>
      </c>
      <c r="R1210" s="63">
        <v>122</v>
      </c>
      <c r="S1210" s="63">
        <v>36</v>
      </c>
      <c r="T1210" s="63"/>
      <c r="U1210" s="63"/>
      <c r="V1210" s="63">
        <v>6</v>
      </c>
      <c r="W1210" s="63"/>
      <c r="X1210" s="63">
        <v>7</v>
      </c>
      <c r="Y1210" s="63">
        <v>13</v>
      </c>
      <c r="Z1210" s="63"/>
      <c r="AA1210" s="63"/>
      <c r="AB1210" s="63"/>
      <c r="AC1210" s="63"/>
      <c r="AD1210" s="63"/>
      <c r="AE1210" s="63">
        <v>20</v>
      </c>
      <c r="AF1210" s="63">
        <v>7</v>
      </c>
      <c r="AG1210" s="63">
        <v>17</v>
      </c>
      <c r="AH1210" s="63"/>
      <c r="AI1210" s="63"/>
      <c r="AJ1210" s="63">
        <v>12</v>
      </c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W1210" s="5">
        <f>IF(Q1210&gt;0,RANK(Q1210,(N1210:P1210,Q1210:AE1210)),0)</f>
        <v>3</v>
      </c>
      <c r="AX1210" s="5">
        <f>IF(R1210&gt;0,RANK(R1210,(N1210:P1210,Q1210:AE1210)),0)</f>
        <v>4</v>
      </c>
      <c r="AY1210" s="5">
        <f>IF(T1210&gt;0,RANK(T1210,(N1210:P1210,Q1210:AE1210)),0)</f>
        <v>0</v>
      </c>
      <c r="AZ1210" s="5">
        <f>IF(S1210&gt;0,RANK(S1210,(N1210:P1210,Q1210:AE1210)),0)</f>
        <v>6</v>
      </c>
      <c r="BA1210" s="2">
        <f t="shared" si="503"/>
        <v>1.0991659837053464E-2</v>
      </c>
      <c r="BB1210" s="2">
        <f t="shared" si="504"/>
        <v>5.8815021935110642E-3</v>
      </c>
      <c r="BC1210" s="2">
        <f t="shared" si="505"/>
        <v>0</v>
      </c>
      <c r="BD1210" s="2">
        <f t="shared" si="506"/>
        <v>1.7355252374294944E-3</v>
      </c>
      <c r="BF1210" t="s">
        <v>656</v>
      </c>
      <c r="BG1210" t="s">
        <v>320</v>
      </c>
      <c r="BJ1210" s="114">
        <v>22</v>
      </c>
      <c r="BK1210" s="116">
        <v>95</v>
      </c>
      <c r="BL1210" s="120">
        <f t="shared" si="497"/>
        <v>22095</v>
      </c>
      <c r="BN1210" s="5" t="s">
        <v>498</v>
      </c>
    </row>
    <row r="1211" spans="1:66" hidden="1" outlineLevel="1">
      <c r="A1211" t="s">
        <v>2673</v>
      </c>
      <c r="B1211" t="s">
        <v>320</v>
      </c>
      <c r="C1211" s="1">
        <f t="shared" si="498"/>
        <v>39977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5</v>
      </c>
      <c r="G1211" s="132">
        <f t="shared" si="484"/>
        <v>4762</v>
      </c>
      <c r="H1211" s="137">
        <f t="shared" si="485"/>
        <v>0.11911849313355179</v>
      </c>
      <c r="I1211" s="2"/>
      <c r="J1211" s="2">
        <f t="shared" si="499"/>
        <v>0.43047252169997746</v>
      </c>
      <c r="K1211" s="2">
        <f t="shared" si="500"/>
        <v>0.54959101483352923</v>
      </c>
      <c r="L1211" s="2">
        <f t="shared" si="501"/>
        <v>2.1762513445231007E-3</v>
      </c>
      <c r="M1211" s="2">
        <f t="shared" si="502"/>
        <v>1.7760212121970258E-2</v>
      </c>
      <c r="N1211" s="63">
        <v>17209</v>
      </c>
      <c r="O1211" s="63">
        <v>21971</v>
      </c>
      <c r="P1211" s="63">
        <v>87</v>
      </c>
      <c r="Q1211" s="63">
        <v>350</v>
      </c>
      <c r="R1211" s="63">
        <v>181</v>
      </c>
      <c r="S1211" s="63">
        <v>71</v>
      </c>
      <c r="T1211" s="63"/>
      <c r="U1211" s="63"/>
      <c r="V1211" s="63">
        <v>12</v>
      </c>
      <c r="W1211" s="63"/>
      <c r="X1211" s="63">
        <v>8</v>
      </c>
      <c r="Y1211" s="63">
        <v>25</v>
      </c>
      <c r="Z1211" s="63"/>
      <c r="AA1211" s="63"/>
      <c r="AB1211" s="63"/>
      <c r="AC1211" s="63"/>
      <c r="AD1211" s="63"/>
      <c r="AE1211" s="63">
        <v>13</v>
      </c>
      <c r="AF1211" s="63">
        <v>11</v>
      </c>
      <c r="AG1211" s="63">
        <v>29</v>
      </c>
      <c r="AH1211" s="63"/>
      <c r="AI1211" s="63"/>
      <c r="AJ1211" s="63">
        <v>10</v>
      </c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W1211" s="5">
        <f>IF(Q1211&gt;0,RANK(Q1211,(N1211:P1211,Q1211:AE1211)),0)</f>
        <v>3</v>
      </c>
      <c r="AX1211" s="5">
        <f>IF(R1211&gt;0,RANK(R1211,(N1211:P1211,Q1211:AE1211)),0)</f>
        <v>4</v>
      </c>
      <c r="AY1211" s="5">
        <f>IF(T1211&gt;0,RANK(T1211,(N1211:P1211,Q1211:AE1211)),0)</f>
        <v>0</v>
      </c>
      <c r="AZ1211" s="5">
        <f>IF(S1211&gt;0,RANK(S1211,(N1211:P1211,Q1211:AE1211)),0)</f>
        <v>6</v>
      </c>
      <c r="BA1211" s="2">
        <f t="shared" si="503"/>
        <v>8.7550341446331649E-3</v>
      </c>
      <c r="BB1211" s="2">
        <f t="shared" si="504"/>
        <v>4.527603371938865E-3</v>
      </c>
      <c r="BC1211" s="2">
        <f t="shared" si="505"/>
        <v>0</v>
      </c>
      <c r="BD1211" s="2">
        <f t="shared" si="506"/>
        <v>1.7760212121970132E-3</v>
      </c>
      <c r="BF1211" t="s">
        <v>2673</v>
      </c>
      <c r="BG1211" t="s">
        <v>320</v>
      </c>
      <c r="BJ1211" s="114">
        <v>22</v>
      </c>
      <c r="BK1211" s="116">
        <v>97</v>
      </c>
      <c r="BL1211" s="120">
        <f t="shared" si="497"/>
        <v>22097</v>
      </c>
      <c r="BN1211" s="5" t="s">
        <v>498</v>
      </c>
    </row>
    <row r="1212" spans="1:66" hidden="1" outlineLevel="1">
      <c r="A1212" t="s">
        <v>1354</v>
      </c>
      <c r="B1212" t="s">
        <v>320</v>
      </c>
      <c r="C1212" s="1">
        <f t="shared" si="498"/>
        <v>25750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5</v>
      </c>
      <c r="G1212" s="132">
        <f t="shared" si="484"/>
        <v>8607</v>
      </c>
      <c r="H1212" s="137">
        <f t="shared" si="485"/>
        <v>0.33425242718446602</v>
      </c>
      <c r="I1212" s="2"/>
      <c r="J1212" s="2">
        <f t="shared" si="499"/>
        <v>0.32100970873786405</v>
      </c>
      <c r="K1212" s="2">
        <f t="shared" si="500"/>
        <v>0.65526213592233007</v>
      </c>
      <c r="L1212" s="2">
        <f t="shared" si="501"/>
        <v>2.5631067961165046E-3</v>
      </c>
      <c r="M1212" s="2">
        <f t="shared" si="502"/>
        <v>2.1165048543689374E-2</v>
      </c>
      <c r="N1212" s="63">
        <v>8266</v>
      </c>
      <c r="O1212" s="63">
        <v>16873</v>
      </c>
      <c r="P1212" s="63">
        <v>66</v>
      </c>
      <c r="Q1212" s="63">
        <v>303</v>
      </c>
      <c r="R1212" s="63">
        <v>121</v>
      </c>
      <c r="S1212" s="63">
        <v>42</v>
      </c>
      <c r="T1212" s="63"/>
      <c r="U1212" s="63"/>
      <c r="V1212" s="63">
        <v>6</v>
      </c>
      <c r="W1212" s="63"/>
      <c r="X1212" s="63">
        <v>3</v>
      </c>
      <c r="Y1212" s="63">
        <v>14</v>
      </c>
      <c r="Z1212" s="63"/>
      <c r="AA1212" s="63"/>
      <c r="AB1212" s="63"/>
      <c r="AC1212" s="63"/>
      <c r="AD1212" s="63"/>
      <c r="AE1212" s="63">
        <v>16</v>
      </c>
      <c r="AF1212" s="63">
        <v>4</v>
      </c>
      <c r="AG1212" s="63">
        <v>28</v>
      </c>
      <c r="AH1212" s="63"/>
      <c r="AI1212" s="63"/>
      <c r="AJ1212" s="63">
        <v>8</v>
      </c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W1212" s="5">
        <f>IF(Q1212&gt;0,RANK(Q1212,(N1212:P1212,Q1212:AE1212)),0)</f>
        <v>3</v>
      </c>
      <c r="AX1212" s="5">
        <f>IF(R1212&gt;0,RANK(R1212,(N1212:P1212,Q1212:AE1212)),0)</f>
        <v>4</v>
      </c>
      <c r="AY1212" s="5">
        <f>IF(T1212&gt;0,RANK(T1212,(N1212:P1212,Q1212:AE1212)),0)</f>
        <v>0</v>
      </c>
      <c r="AZ1212" s="5">
        <f>IF(S1212&gt;0,RANK(S1212,(N1212:P1212,Q1212:AE1212)),0)</f>
        <v>6</v>
      </c>
      <c r="BA1212" s="2">
        <f t="shared" si="503"/>
        <v>1.1766990291262136E-2</v>
      </c>
      <c r="BB1212" s="2">
        <f t="shared" si="504"/>
        <v>4.6990291262135921E-3</v>
      </c>
      <c r="BC1212" s="2">
        <f t="shared" si="505"/>
        <v>0</v>
      </c>
      <c r="BD1212" s="2">
        <f t="shared" si="506"/>
        <v>1.6310679611650485E-3</v>
      </c>
      <c r="BF1212" t="s">
        <v>1354</v>
      </c>
      <c r="BG1212" t="s">
        <v>320</v>
      </c>
      <c r="BH1212">
        <v>3</v>
      </c>
      <c r="BJ1212" s="114">
        <v>22</v>
      </c>
      <c r="BK1212" s="116">
        <v>99</v>
      </c>
      <c r="BL1212" s="120">
        <f t="shared" si="497"/>
        <v>22099</v>
      </c>
      <c r="BN1212" s="5" t="s">
        <v>498</v>
      </c>
    </row>
    <row r="1213" spans="1:66" hidden="1" outlineLevel="1">
      <c r="A1213" t="s">
        <v>1352</v>
      </c>
      <c r="B1213" t="s">
        <v>320</v>
      </c>
      <c r="C1213" s="1">
        <f t="shared" si="498"/>
        <v>22877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5</v>
      </c>
      <c r="G1213" s="132">
        <f t="shared" si="484"/>
        <v>6309</v>
      </c>
      <c r="H1213" s="137">
        <f t="shared" si="485"/>
        <v>0.27577916684880011</v>
      </c>
      <c r="I1213" s="2"/>
      <c r="J1213" s="2">
        <f t="shared" si="499"/>
        <v>0.35188180268391833</v>
      </c>
      <c r="K1213" s="2">
        <f t="shared" si="500"/>
        <v>0.62766096953271844</v>
      </c>
      <c r="L1213" s="2">
        <f t="shared" si="501"/>
        <v>2.2293132840844518E-3</v>
      </c>
      <c r="M1213" s="2">
        <f t="shared" si="502"/>
        <v>1.8227914499278779E-2</v>
      </c>
      <c r="N1213" s="63">
        <v>8050</v>
      </c>
      <c r="O1213" s="63">
        <v>14359</v>
      </c>
      <c r="P1213" s="63">
        <v>51</v>
      </c>
      <c r="Q1213" s="63">
        <v>245</v>
      </c>
      <c r="R1213" s="63">
        <v>85</v>
      </c>
      <c r="S1213" s="63">
        <v>27</v>
      </c>
      <c r="T1213" s="63"/>
      <c r="U1213" s="63"/>
      <c r="V1213" s="63">
        <v>2</v>
      </c>
      <c r="W1213" s="63"/>
      <c r="X1213" s="63">
        <v>4</v>
      </c>
      <c r="Y1213" s="63">
        <v>19</v>
      </c>
      <c r="Z1213" s="63"/>
      <c r="AA1213" s="63"/>
      <c r="AB1213" s="63"/>
      <c r="AC1213" s="63"/>
      <c r="AD1213" s="63"/>
      <c r="AE1213" s="63">
        <v>10</v>
      </c>
      <c r="AF1213" s="63">
        <v>4</v>
      </c>
      <c r="AG1213" s="63">
        <v>16</v>
      </c>
      <c r="AH1213" s="63"/>
      <c r="AI1213" s="63"/>
      <c r="AJ1213" s="63">
        <v>5</v>
      </c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W1213" s="5">
        <f>IF(Q1213&gt;0,RANK(Q1213,(N1213:P1213,Q1213:AE1213)),0)</f>
        <v>3</v>
      </c>
      <c r="AX1213" s="5">
        <f>IF(R1213&gt;0,RANK(R1213,(N1213:P1213,Q1213:AE1213)),0)</f>
        <v>4</v>
      </c>
      <c r="AY1213" s="5">
        <f>IF(T1213&gt;0,RANK(T1213,(N1213:P1213,Q1213:AE1213)),0)</f>
        <v>0</v>
      </c>
      <c r="AZ1213" s="5">
        <f>IF(S1213&gt;0,RANK(S1213,(N1213:P1213,Q1213:AE1213)),0)</f>
        <v>6</v>
      </c>
      <c r="BA1213" s="2">
        <f t="shared" si="503"/>
        <v>1.0709446168640993E-2</v>
      </c>
      <c r="BB1213" s="2">
        <f t="shared" si="504"/>
        <v>3.7155221401407529E-3</v>
      </c>
      <c r="BC1213" s="2">
        <f t="shared" si="505"/>
        <v>0</v>
      </c>
      <c r="BD1213" s="2">
        <f t="shared" si="506"/>
        <v>1.1802246798094155E-3</v>
      </c>
      <c r="BF1213" t="s">
        <v>1352</v>
      </c>
      <c r="BG1213" t="s">
        <v>320</v>
      </c>
      <c r="BH1213">
        <v>3</v>
      </c>
      <c r="BJ1213" s="114">
        <v>22</v>
      </c>
      <c r="BK1213" s="116">
        <v>101</v>
      </c>
      <c r="BL1213" s="120">
        <f t="shared" si="497"/>
        <v>22101</v>
      </c>
      <c r="BN1213" s="5" t="s">
        <v>498</v>
      </c>
    </row>
    <row r="1214" spans="1:66" hidden="1" outlineLevel="1">
      <c r="A1214" t="s">
        <v>1945</v>
      </c>
      <c r="B1214" t="s">
        <v>320</v>
      </c>
      <c r="C1214" s="1">
        <f t="shared" si="498"/>
        <v>124392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5</v>
      </c>
      <c r="G1214" s="132">
        <f t="shared" si="484"/>
        <v>63198</v>
      </c>
      <c r="H1214" s="137">
        <f t="shared" si="485"/>
        <v>0.50805518039745323</v>
      </c>
      <c r="I1214" s="2"/>
      <c r="J1214" s="2">
        <f t="shared" si="499"/>
        <v>0.2228197954852402</v>
      </c>
      <c r="K1214" s="2">
        <f t="shared" si="500"/>
        <v>0.73087497588269346</v>
      </c>
      <c r="L1214" s="2">
        <f t="shared" si="501"/>
        <v>6.2463824040131198E-3</v>
      </c>
      <c r="M1214" s="2">
        <f t="shared" si="502"/>
        <v>4.0058846228053197E-2</v>
      </c>
      <c r="N1214" s="63">
        <v>27717</v>
      </c>
      <c r="O1214" s="63">
        <v>90915</v>
      </c>
      <c r="P1214" s="63">
        <v>777</v>
      </c>
      <c r="Q1214" s="63">
        <v>3409</v>
      </c>
      <c r="R1214" s="63">
        <v>1019</v>
      </c>
      <c r="S1214" s="63">
        <v>206</v>
      </c>
      <c r="T1214" s="63"/>
      <c r="U1214" s="63"/>
      <c r="V1214" s="63">
        <v>18</v>
      </c>
      <c r="W1214" s="63"/>
      <c r="X1214" s="63">
        <v>24</v>
      </c>
      <c r="Y1214" s="63">
        <v>96</v>
      </c>
      <c r="Z1214" s="63"/>
      <c r="AA1214" s="63"/>
      <c r="AB1214" s="63"/>
      <c r="AC1214" s="63"/>
      <c r="AD1214" s="63"/>
      <c r="AE1214" s="63">
        <v>54</v>
      </c>
      <c r="AF1214" s="63">
        <v>10</v>
      </c>
      <c r="AG1214" s="63">
        <v>106</v>
      </c>
      <c r="AH1214" s="63"/>
      <c r="AI1214" s="63"/>
      <c r="AJ1214" s="63">
        <v>41</v>
      </c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W1214" s="5">
        <f>IF(Q1214&gt;0,RANK(Q1214,(N1214:P1214,Q1214:AE1214)),0)</f>
        <v>3</v>
      </c>
      <c r="AX1214" s="5">
        <f>IF(R1214&gt;0,RANK(R1214,(N1214:P1214,Q1214:AE1214)),0)</f>
        <v>4</v>
      </c>
      <c r="AY1214" s="5">
        <f>IF(T1214&gt;0,RANK(T1214,(N1214:P1214,Q1214:AE1214)),0)</f>
        <v>0</v>
      </c>
      <c r="AZ1214" s="5">
        <f>IF(S1214&gt;0,RANK(S1214,(N1214:P1214,Q1214:AE1214)),0)</f>
        <v>6</v>
      </c>
      <c r="BA1214" s="2">
        <f t="shared" si="503"/>
        <v>2.7405299376165669E-2</v>
      </c>
      <c r="BB1214" s="2">
        <f t="shared" si="504"/>
        <v>8.1918451347353528E-3</v>
      </c>
      <c r="BC1214" s="2">
        <f t="shared" si="505"/>
        <v>0</v>
      </c>
      <c r="BD1214" s="2">
        <f t="shared" si="506"/>
        <v>1.6560550517718182E-3</v>
      </c>
      <c r="BF1214" t="s">
        <v>1945</v>
      </c>
      <c r="BG1214" t="s">
        <v>320</v>
      </c>
      <c r="BH1214">
        <v>1</v>
      </c>
      <c r="BJ1214" s="114">
        <v>22</v>
      </c>
      <c r="BK1214" s="116">
        <v>103</v>
      </c>
      <c r="BL1214" s="120">
        <f t="shared" si="497"/>
        <v>22103</v>
      </c>
      <c r="BN1214" s="5" t="s">
        <v>498</v>
      </c>
    </row>
    <row r="1215" spans="1:66" hidden="1" outlineLevel="1">
      <c r="A1215" t="s">
        <v>536</v>
      </c>
      <c r="B1215" t="s">
        <v>320</v>
      </c>
      <c r="C1215" s="1">
        <f t="shared" si="498"/>
        <v>52416</v>
      </c>
      <c r="D1215" s="5">
        <f>IF(N1215&gt;0, RANK(N1215,(N1215:P1215,Q1215:AE1215)),0)</f>
        <v>2</v>
      </c>
      <c r="E1215" s="5">
        <f>IF(O1215&gt;0,RANK(O1215,(N1215:P1215,Q1215:AE1215)),0)</f>
        <v>1</v>
      </c>
      <c r="F1215" s="5">
        <f>IF(P1215&gt;0,RANK(P1215,(N1215:P1215,Q1215:AE1215)),0)</f>
        <v>5</v>
      </c>
      <c r="G1215" s="132">
        <f t="shared" si="484"/>
        <v>17081</v>
      </c>
      <c r="H1215" s="137">
        <f t="shared" si="485"/>
        <v>0.32587377899877901</v>
      </c>
      <c r="I1215" s="2"/>
      <c r="J1215" s="2">
        <f t="shared" si="499"/>
        <v>0.32200091575091577</v>
      </c>
      <c r="K1215" s="2">
        <f t="shared" si="500"/>
        <v>0.64787469474969472</v>
      </c>
      <c r="L1215" s="2">
        <f t="shared" si="501"/>
        <v>3.5103785103785105E-3</v>
      </c>
      <c r="M1215" s="2">
        <f t="shared" si="502"/>
        <v>2.6614010989010936E-2</v>
      </c>
      <c r="N1215" s="63">
        <v>16878</v>
      </c>
      <c r="O1215" s="63">
        <v>33959</v>
      </c>
      <c r="P1215" s="63">
        <v>184</v>
      </c>
      <c r="Q1215" s="63">
        <v>843</v>
      </c>
      <c r="R1215" s="63">
        <v>286</v>
      </c>
      <c r="S1215" s="63">
        <v>85</v>
      </c>
      <c r="T1215" s="63"/>
      <c r="U1215" s="63"/>
      <c r="V1215" s="63">
        <v>11</v>
      </c>
      <c r="W1215" s="63"/>
      <c r="X1215" s="63">
        <v>16</v>
      </c>
      <c r="Y1215" s="63">
        <v>48</v>
      </c>
      <c r="Z1215" s="63"/>
      <c r="AA1215" s="63"/>
      <c r="AB1215" s="63"/>
      <c r="AC1215" s="63"/>
      <c r="AD1215" s="63"/>
      <c r="AE1215" s="63">
        <v>33</v>
      </c>
      <c r="AF1215" s="63">
        <v>12</v>
      </c>
      <c r="AG1215" s="63">
        <v>47</v>
      </c>
      <c r="AH1215" s="63"/>
      <c r="AI1215" s="63"/>
      <c r="AJ1215" s="63">
        <v>14</v>
      </c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W1215" s="5">
        <f>IF(Q1215&gt;0,RANK(Q1215,(N1215:P1215,Q1215:AE1215)),0)</f>
        <v>3</v>
      </c>
      <c r="AX1215" s="5">
        <f>IF(R1215&gt;0,RANK(R1215,(N1215:P1215,Q1215:AE1215)),0)</f>
        <v>4</v>
      </c>
      <c r="AY1215" s="5">
        <f>IF(T1215&gt;0,RANK(T1215,(N1215:P1215,Q1215:AE1215)),0)</f>
        <v>0</v>
      </c>
      <c r="AZ1215" s="5">
        <f>IF(S1215&gt;0,RANK(S1215,(N1215:P1215,Q1215:AE1215)),0)</f>
        <v>6</v>
      </c>
      <c r="BA1215" s="2">
        <f t="shared" si="503"/>
        <v>1.6082875457875456E-2</v>
      </c>
      <c r="BB1215" s="2">
        <f t="shared" si="504"/>
        <v>5.456349206349206E-3</v>
      </c>
      <c r="BC1215" s="2">
        <f t="shared" si="505"/>
        <v>0</v>
      </c>
      <c r="BD1215" s="2">
        <f t="shared" si="506"/>
        <v>1.6216422466422467E-3</v>
      </c>
      <c r="BF1215" t="s">
        <v>536</v>
      </c>
      <c r="BG1215" t="s">
        <v>320</v>
      </c>
      <c r="BJ1215" s="114">
        <v>22</v>
      </c>
      <c r="BK1215" s="116">
        <v>105</v>
      </c>
      <c r="BL1215" s="120">
        <f t="shared" si="497"/>
        <v>22105</v>
      </c>
      <c r="BN1215" s="5" t="s">
        <v>498</v>
      </c>
    </row>
    <row r="1216" spans="1:66" hidden="1" outlineLevel="1">
      <c r="A1216" t="s">
        <v>714</v>
      </c>
      <c r="B1216" t="s">
        <v>320</v>
      </c>
      <c r="C1216" s="1">
        <f t="shared" si="498"/>
        <v>2548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>IF(P1216&gt;0,RANK(P1216,(N1216:P1216,Q1216:AE1216)),0)</f>
        <v>7</v>
      </c>
      <c r="G1216" s="132">
        <f t="shared" si="484"/>
        <v>150</v>
      </c>
      <c r="H1216" s="137">
        <f t="shared" si="485"/>
        <v>5.8869701726844581E-2</v>
      </c>
      <c r="I1216" s="2"/>
      <c r="J1216" s="2">
        <f t="shared" si="499"/>
        <v>0.52276295133437989</v>
      </c>
      <c r="K1216" s="2">
        <f t="shared" si="500"/>
        <v>0.46389324960753531</v>
      </c>
      <c r="L1216" s="2">
        <f t="shared" si="501"/>
        <v>3.9246467817896392E-4</v>
      </c>
      <c r="M1216" s="2">
        <f t="shared" si="502"/>
        <v>1.295133437990584E-2</v>
      </c>
      <c r="N1216" s="63">
        <v>1332</v>
      </c>
      <c r="O1216" s="63">
        <v>1182</v>
      </c>
      <c r="P1216" s="63">
        <v>1</v>
      </c>
      <c r="Q1216" s="63">
        <v>13</v>
      </c>
      <c r="R1216" s="63">
        <v>8</v>
      </c>
      <c r="S1216" s="63">
        <v>1</v>
      </c>
      <c r="T1216" s="63"/>
      <c r="U1216" s="63"/>
      <c r="V1216" s="63">
        <v>0</v>
      </c>
      <c r="W1216" s="63"/>
      <c r="X1216" s="63">
        <v>2</v>
      </c>
      <c r="Y1216" s="63">
        <v>2</v>
      </c>
      <c r="Z1216" s="63"/>
      <c r="AA1216" s="63"/>
      <c r="AB1216" s="63"/>
      <c r="AC1216" s="63"/>
      <c r="AD1216" s="63"/>
      <c r="AE1216" s="63">
        <v>1</v>
      </c>
      <c r="AF1216" s="63">
        <v>2</v>
      </c>
      <c r="AG1216" s="63">
        <v>1</v>
      </c>
      <c r="AH1216" s="63"/>
      <c r="AI1216" s="63"/>
      <c r="AJ1216" s="63">
        <v>3</v>
      </c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W1216" s="5">
        <f>IF(Q1216&gt;0,RANK(Q1216,(N1216:P1216,Q1216:AE1216)),0)</f>
        <v>3</v>
      </c>
      <c r="AX1216" s="5">
        <f>IF(R1216&gt;0,RANK(R1216,(N1216:P1216,Q1216:AE1216)),0)</f>
        <v>4</v>
      </c>
      <c r="AY1216" s="5">
        <f>IF(T1216&gt;0,RANK(T1216,(N1216:P1216,Q1216:AE1216)),0)</f>
        <v>0</v>
      </c>
      <c r="AZ1216" s="5">
        <f>IF(S1216&gt;0,RANK(S1216,(N1216:P1216,Q1216:AE1216)),0)</f>
        <v>7</v>
      </c>
      <c r="BA1216" s="2">
        <f t="shared" si="503"/>
        <v>5.1020408163265302E-3</v>
      </c>
      <c r="BB1216" s="2">
        <f t="shared" si="504"/>
        <v>3.1397174254317113E-3</v>
      </c>
      <c r="BC1216" s="2">
        <f t="shared" si="505"/>
        <v>0</v>
      </c>
      <c r="BD1216" s="2">
        <f t="shared" si="506"/>
        <v>3.9246467817896392E-4</v>
      </c>
      <c r="BF1216" t="s">
        <v>714</v>
      </c>
      <c r="BG1216" t="s">
        <v>320</v>
      </c>
      <c r="BH1216">
        <v>5</v>
      </c>
      <c r="BJ1216" s="114">
        <v>22</v>
      </c>
      <c r="BK1216" s="116">
        <v>107</v>
      </c>
      <c r="BL1216" s="120">
        <f t="shared" si="497"/>
        <v>22107</v>
      </c>
      <c r="BN1216" s="5" t="s">
        <v>498</v>
      </c>
    </row>
    <row r="1217" spans="1:82" hidden="1" outlineLevel="1">
      <c r="A1217" t="s">
        <v>1187</v>
      </c>
      <c r="B1217" t="s">
        <v>320</v>
      </c>
      <c r="C1217" s="1">
        <f t="shared" si="498"/>
        <v>43896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5</v>
      </c>
      <c r="G1217" s="132">
        <f t="shared" si="484"/>
        <v>21237</v>
      </c>
      <c r="H1217" s="137">
        <f t="shared" si="485"/>
        <v>0.48380262438490979</v>
      </c>
      <c r="I1217" s="2"/>
      <c r="J1217" s="2">
        <f t="shared" si="499"/>
        <v>0.24296063422635319</v>
      </c>
      <c r="K1217" s="2">
        <f t="shared" si="500"/>
        <v>0.72676325861126301</v>
      </c>
      <c r="L1217" s="2">
        <f t="shared" si="501"/>
        <v>2.7109531620193184E-3</v>
      </c>
      <c r="M1217" s="2">
        <f t="shared" si="502"/>
        <v>2.7565154000364508E-2</v>
      </c>
      <c r="N1217" s="63">
        <v>10665</v>
      </c>
      <c r="O1217" s="63">
        <v>31902</v>
      </c>
      <c r="P1217" s="63">
        <v>119</v>
      </c>
      <c r="Q1217" s="63">
        <v>808</v>
      </c>
      <c r="R1217" s="63">
        <v>215</v>
      </c>
      <c r="S1217" s="63">
        <v>77</v>
      </c>
      <c r="T1217" s="63"/>
      <c r="U1217" s="63"/>
      <c r="V1217" s="63">
        <v>8</v>
      </c>
      <c r="W1217" s="63"/>
      <c r="X1217" s="63">
        <v>8</v>
      </c>
      <c r="Y1217" s="63">
        <v>31</v>
      </c>
      <c r="Z1217" s="63"/>
      <c r="AA1217" s="63"/>
      <c r="AB1217" s="63"/>
      <c r="AC1217" s="63"/>
      <c r="AD1217" s="63"/>
      <c r="AE1217" s="63">
        <v>10</v>
      </c>
      <c r="AF1217" s="63">
        <v>3</v>
      </c>
      <c r="AG1217" s="63">
        <v>41</v>
      </c>
      <c r="AH1217" s="63"/>
      <c r="AI1217" s="63"/>
      <c r="AJ1217" s="63">
        <v>9</v>
      </c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W1217" s="5">
        <f>IF(Q1217&gt;0,RANK(Q1217,(N1217:P1217,Q1217:AE1217)),0)</f>
        <v>3</v>
      </c>
      <c r="AX1217" s="5">
        <f>IF(R1217&gt;0,RANK(R1217,(N1217:P1217,Q1217:AE1217)),0)</f>
        <v>4</v>
      </c>
      <c r="AY1217" s="5">
        <f>IF(T1217&gt;0,RANK(T1217,(N1217:P1217,Q1217:AE1217)),0)</f>
        <v>0</v>
      </c>
      <c r="AZ1217" s="5">
        <f>IF(S1217&gt;0,RANK(S1217,(N1217:P1217,Q1217:AE1217)),0)</f>
        <v>6</v>
      </c>
      <c r="BA1217" s="2">
        <f t="shared" si="503"/>
        <v>1.8407144158921085E-2</v>
      </c>
      <c r="BB1217" s="2">
        <f t="shared" si="504"/>
        <v>4.8979405868416256E-3</v>
      </c>
      <c r="BC1217" s="2">
        <f t="shared" si="505"/>
        <v>0</v>
      </c>
      <c r="BD1217" s="2">
        <f t="shared" si="506"/>
        <v>1.754146163659559E-3</v>
      </c>
      <c r="BF1217" t="s">
        <v>1187</v>
      </c>
      <c r="BG1217" t="s">
        <v>320</v>
      </c>
      <c r="BJ1217" s="114">
        <v>22</v>
      </c>
      <c r="BK1217" s="116">
        <v>109</v>
      </c>
      <c r="BL1217" s="120">
        <f t="shared" si="497"/>
        <v>22109</v>
      </c>
      <c r="BN1217" s="5" t="s">
        <v>498</v>
      </c>
    </row>
    <row r="1218" spans="1:82" hidden="1" outlineLevel="1">
      <c r="A1218" t="s">
        <v>1513</v>
      </c>
      <c r="B1218" t="s">
        <v>320</v>
      </c>
      <c r="C1218" s="1">
        <f t="shared" si="498"/>
        <v>10894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6</v>
      </c>
      <c r="G1218" s="132">
        <f t="shared" si="484"/>
        <v>5281</v>
      </c>
      <c r="H1218" s="137">
        <f t="shared" si="485"/>
        <v>0.48476225445199195</v>
      </c>
      <c r="I1218" s="2"/>
      <c r="J1218" s="2">
        <f t="shared" si="499"/>
        <v>0.24701670644391407</v>
      </c>
      <c r="K1218" s="2">
        <f t="shared" si="500"/>
        <v>0.73177896089590599</v>
      </c>
      <c r="L1218" s="2">
        <f t="shared" si="501"/>
        <v>2.2948411969891682E-3</v>
      </c>
      <c r="M1218" s="2">
        <f t="shared" si="502"/>
        <v>1.8909491463190792E-2</v>
      </c>
      <c r="N1218" s="63">
        <v>2691</v>
      </c>
      <c r="O1218" s="63">
        <v>7972</v>
      </c>
      <c r="P1218" s="63">
        <v>25</v>
      </c>
      <c r="Q1218" s="63">
        <v>108</v>
      </c>
      <c r="R1218" s="63">
        <v>32</v>
      </c>
      <c r="S1218" s="63">
        <v>38</v>
      </c>
      <c r="T1218" s="63"/>
      <c r="U1218" s="63"/>
      <c r="V1218" s="63">
        <v>1</v>
      </c>
      <c r="W1218" s="63"/>
      <c r="X1218" s="63">
        <v>3</v>
      </c>
      <c r="Y1218" s="63">
        <v>4</v>
      </c>
      <c r="Z1218" s="63"/>
      <c r="AA1218" s="63"/>
      <c r="AB1218" s="63"/>
      <c r="AC1218" s="63"/>
      <c r="AD1218" s="63"/>
      <c r="AE1218" s="63">
        <v>6</v>
      </c>
      <c r="AF1218" s="63">
        <v>1</v>
      </c>
      <c r="AG1218" s="63">
        <v>12</v>
      </c>
      <c r="AH1218" s="63"/>
      <c r="AI1218" s="63"/>
      <c r="AJ1218" s="63">
        <v>1</v>
      </c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W1218" s="5">
        <f>IF(Q1218&gt;0,RANK(Q1218,(N1218:P1218,Q1218:AE1218)),0)</f>
        <v>3</v>
      </c>
      <c r="AX1218" s="5">
        <f>IF(R1218&gt;0,RANK(R1218,(N1218:P1218,Q1218:AE1218)),0)</f>
        <v>5</v>
      </c>
      <c r="AY1218" s="5">
        <f>IF(T1218&gt;0,RANK(T1218,(N1218:P1218,Q1218:AE1218)),0)</f>
        <v>0</v>
      </c>
      <c r="AZ1218" s="5">
        <f>IF(S1218&gt;0,RANK(S1218,(N1218:P1218,Q1218:AE1218)),0)</f>
        <v>4</v>
      </c>
      <c r="BA1218" s="2">
        <f t="shared" si="503"/>
        <v>9.9137139709932071E-3</v>
      </c>
      <c r="BB1218" s="2">
        <f t="shared" si="504"/>
        <v>2.9373967321461355E-3</v>
      </c>
      <c r="BC1218" s="2">
        <f t="shared" si="505"/>
        <v>0</v>
      </c>
      <c r="BD1218" s="2">
        <f t="shared" si="506"/>
        <v>3.4881586194235358E-3</v>
      </c>
      <c r="BF1218" t="s">
        <v>1513</v>
      </c>
      <c r="BG1218" t="s">
        <v>320</v>
      </c>
      <c r="BH1218">
        <v>4</v>
      </c>
      <c r="BJ1218" s="114">
        <v>22</v>
      </c>
      <c r="BK1218" s="116">
        <v>111</v>
      </c>
      <c r="BL1218" s="120">
        <f t="shared" si="497"/>
        <v>22111</v>
      </c>
      <c r="BN1218" s="5" t="s">
        <v>498</v>
      </c>
    </row>
    <row r="1219" spans="1:82" hidden="1" outlineLevel="1">
      <c r="A1219" t="s">
        <v>1578</v>
      </c>
      <c r="B1219" t="s">
        <v>320</v>
      </c>
      <c r="C1219" s="1">
        <f t="shared" si="498"/>
        <v>25632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5</v>
      </c>
      <c r="G1219" s="132">
        <f t="shared" si="484"/>
        <v>15206</v>
      </c>
      <c r="H1219" s="137">
        <f t="shared" si="485"/>
        <v>0.59324282147315854</v>
      </c>
      <c r="I1219" s="2"/>
      <c r="J1219" s="2">
        <f t="shared" si="499"/>
        <v>0.18948970037453183</v>
      </c>
      <c r="K1219" s="2">
        <f t="shared" si="500"/>
        <v>0.78273252184769038</v>
      </c>
      <c r="L1219" s="2">
        <f t="shared" si="501"/>
        <v>2.7699750312109861E-3</v>
      </c>
      <c r="M1219" s="2">
        <f t="shared" si="502"/>
        <v>2.5007802746566804E-2</v>
      </c>
      <c r="N1219" s="63">
        <v>4857</v>
      </c>
      <c r="O1219" s="63">
        <v>20063</v>
      </c>
      <c r="P1219" s="63">
        <v>71</v>
      </c>
      <c r="Q1219" s="63">
        <v>396</v>
      </c>
      <c r="R1219" s="63">
        <v>116</v>
      </c>
      <c r="S1219" s="63">
        <v>48</v>
      </c>
      <c r="T1219" s="63"/>
      <c r="U1219" s="63"/>
      <c r="V1219" s="63">
        <v>2</v>
      </c>
      <c r="W1219" s="63"/>
      <c r="X1219" s="63">
        <v>4</v>
      </c>
      <c r="Y1219" s="63">
        <v>23</v>
      </c>
      <c r="Z1219" s="63"/>
      <c r="AA1219" s="63"/>
      <c r="AB1219" s="63"/>
      <c r="AC1219" s="63"/>
      <c r="AD1219" s="63"/>
      <c r="AE1219" s="63">
        <v>10</v>
      </c>
      <c r="AF1219" s="63">
        <v>6</v>
      </c>
      <c r="AG1219" s="63">
        <v>26</v>
      </c>
      <c r="AH1219" s="63"/>
      <c r="AI1219" s="63"/>
      <c r="AJ1219" s="63">
        <v>10</v>
      </c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W1219" s="5">
        <f>IF(Q1219&gt;0,RANK(Q1219,(N1219:P1219,Q1219:AE1219)),0)</f>
        <v>3</v>
      </c>
      <c r="AX1219" s="5">
        <f>IF(R1219&gt;0,RANK(R1219,(N1219:P1219,Q1219:AE1219)),0)</f>
        <v>4</v>
      </c>
      <c r="AY1219" s="5">
        <f>IF(T1219&gt;0,RANK(T1219,(N1219:P1219,Q1219:AE1219)),0)</f>
        <v>0</v>
      </c>
      <c r="AZ1219" s="5">
        <f>IF(S1219&gt;0,RANK(S1219,(N1219:P1219,Q1219:AE1219)),0)</f>
        <v>6</v>
      </c>
      <c r="BA1219" s="2">
        <f t="shared" si="503"/>
        <v>1.5449438202247191E-2</v>
      </c>
      <c r="BB1219" s="2">
        <f t="shared" si="504"/>
        <v>4.5255930087390759E-3</v>
      </c>
      <c r="BC1219" s="2">
        <f t="shared" si="505"/>
        <v>0</v>
      </c>
      <c r="BD1219" s="2">
        <f t="shared" si="506"/>
        <v>1.8726591760299626E-3</v>
      </c>
      <c r="BF1219" t="s">
        <v>1578</v>
      </c>
      <c r="BG1219" t="s">
        <v>320</v>
      </c>
      <c r="BH1219">
        <v>3</v>
      </c>
      <c r="BJ1219" s="114">
        <v>22</v>
      </c>
      <c r="BK1219" s="116">
        <v>113</v>
      </c>
      <c r="BL1219" s="120">
        <f t="shared" si="497"/>
        <v>22113</v>
      </c>
      <c r="BN1219" s="5" t="s">
        <v>498</v>
      </c>
    </row>
    <row r="1220" spans="1:82" hidden="1" outlineLevel="1">
      <c r="A1220" t="s">
        <v>1864</v>
      </c>
      <c r="B1220" t="s">
        <v>320</v>
      </c>
      <c r="C1220" s="1">
        <f t="shared" si="498"/>
        <v>16633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5</v>
      </c>
      <c r="G1220" s="132">
        <f t="shared" si="484"/>
        <v>10806</v>
      </c>
      <c r="H1220" s="137">
        <f t="shared" si="485"/>
        <v>0.64967233812300851</v>
      </c>
      <c r="I1220" s="2"/>
      <c r="J1220" s="2">
        <f t="shared" si="499"/>
        <v>0.1602236517765887</v>
      </c>
      <c r="K1220" s="2">
        <f t="shared" si="500"/>
        <v>0.80989598989959721</v>
      </c>
      <c r="L1220" s="2">
        <f t="shared" si="501"/>
        <v>3.2465580472554561E-3</v>
      </c>
      <c r="M1220" s="2">
        <f t="shared" si="502"/>
        <v>2.6633800276558626E-2</v>
      </c>
      <c r="N1220" s="63">
        <v>2665</v>
      </c>
      <c r="O1220" s="63">
        <v>13471</v>
      </c>
      <c r="P1220" s="63">
        <v>54</v>
      </c>
      <c r="Q1220" s="63">
        <v>265</v>
      </c>
      <c r="R1220" s="63">
        <v>72</v>
      </c>
      <c r="S1220" s="63">
        <v>39</v>
      </c>
      <c r="T1220" s="63"/>
      <c r="U1220" s="63"/>
      <c r="V1220" s="63">
        <v>2</v>
      </c>
      <c r="W1220" s="63"/>
      <c r="X1220" s="63">
        <v>3</v>
      </c>
      <c r="Y1220" s="63">
        <v>13</v>
      </c>
      <c r="Z1220" s="63"/>
      <c r="AA1220" s="63"/>
      <c r="AB1220" s="63"/>
      <c r="AC1220" s="63"/>
      <c r="AD1220" s="63"/>
      <c r="AE1220" s="63">
        <v>8</v>
      </c>
      <c r="AF1220" s="63">
        <v>2</v>
      </c>
      <c r="AG1220" s="63">
        <v>35</v>
      </c>
      <c r="AH1220" s="63"/>
      <c r="AI1220" s="63"/>
      <c r="AJ1220" s="63">
        <v>4</v>
      </c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W1220" s="5">
        <f>IF(Q1220&gt;0,RANK(Q1220,(N1220:P1220,Q1220:AE1220)),0)</f>
        <v>3</v>
      </c>
      <c r="AX1220" s="5">
        <f>IF(R1220&gt;0,RANK(R1220,(N1220:P1220,Q1220:AE1220)),0)</f>
        <v>4</v>
      </c>
      <c r="AY1220" s="5">
        <f>IF(T1220&gt;0,RANK(T1220,(N1220:P1220,Q1220:AE1220)),0)</f>
        <v>0</v>
      </c>
      <c r="AZ1220" s="5">
        <f>IF(S1220&gt;0,RANK(S1220,(N1220:P1220,Q1220:AE1220)),0)</f>
        <v>6</v>
      </c>
      <c r="BA1220" s="2">
        <f t="shared" si="503"/>
        <v>1.5932183009679551E-2</v>
      </c>
      <c r="BB1220" s="2">
        <f t="shared" si="504"/>
        <v>4.3287440630072746E-3</v>
      </c>
      <c r="BC1220" s="2">
        <f t="shared" si="505"/>
        <v>0</v>
      </c>
      <c r="BD1220" s="2">
        <f t="shared" si="506"/>
        <v>2.3447363674622738E-3</v>
      </c>
      <c r="BF1220" t="s">
        <v>1864</v>
      </c>
      <c r="BG1220" t="s">
        <v>320</v>
      </c>
      <c r="BH1220">
        <v>4</v>
      </c>
      <c r="BJ1220" s="114">
        <v>22</v>
      </c>
      <c r="BK1220" s="116">
        <v>115</v>
      </c>
      <c r="BL1220" s="120">
        <f t="shared" si="497"/>
        <v>22115</v>
      </c>
      <c r="BN1220" s="5" t="s">
        <v>498</v>
      </c>
    </row>
    <row r="1221" spans="1:82" hidden="1" outlineLevel="1">
      <c r="A1221" t="s">
        <v>692</v>
      </c>
      <c r="B1221" t="s">
        <v>320</v>
      </c>
      <c r="C1221" s="1">
        <f t="shared" si="498"/>
        <v>18628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5</v>
      </c>
      <c r="G1221" s="132">
        <f t="shared" si="484"/>
        <v>6864</v>
      </c>
      <c r="H1221" s="137">
        <f t="shared" si="485"/>
        <v>0.36847756066137</v>
      </c>
      <c r="I1221" s="2"/>
      <c r="J1221" s="2">
        <f t="shared" si="499"/>
        <v>0.30556152029203348</v>
      </c>
      <c r="K1221" s="2">
        <f t="shared" si="500"/>
        <v>0.67403908095340348</v>
      </c>
      <c r="L1221" s="2">
        <f t="shared" si="501"/>
        <v>1.8788919905518575E-3</v>
      </c>
      <c r="M1221" s="2">
        <f t="shared" si="502"/>
        <v>1.8520506764011235E-2</v>
      </c>
      <c r="N1221" s="63">
        <v>5692</v>
      </c>
      <c r="O1221" s="63">
        <v>12556</v>
      </c>
      <c r="P1221" s="63">
        <v>35</v>
      </c>
      <c r="Q1221" s="63">
        <v>185</v>
      </c>
      <c r="R1221" s="63">
        <v>68</v>
      </c>
      <c r="S1221" s="63">
        <v>29</v>
      </c>
      <c r="T1221" s="63"/>
      <c r="U1221" s="63"/>
      <c r="V1221" s="63">
        <v>4</v>
      </c>
      <c r="W1221" s="63"/>
      <c r="X1221" s="63">
        <v>7</v>
      </c>
      <c r="Y1221" s="63">
        <v>15</v>
      </c>
      <c r="Z1221" s="63"/>
      <c r="AA1221" s="63"/>
      <c r="AB1221" s="63"/>
      <c r="AC1221" s="63"/>
      <c r="AD1221" s="63"/>
      <c r="AE1221" s="63">
        <v>8</v>
      </c>
      <c r="AF1221" s="63">
        <v>2</v>
      </c>
      <c r="AG1221" s="63">
        <v>21</v>
      </c>
      <c r="AH1221" s="63"/>
      <c r="AI1221" s="63"/>
      <c r="AJ1221" s="63">
        <v>6</v>
      </c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W1221" s="5">
        <f>IF(Q1221&gt;0,RANK(Q1221,(N1221:P1221,Q1221:AE1221)),0)</f>
        <v>3</v>
      </c>
      <c r="AX1221" s="5">
        <f>IF(R1221&gt;0,RANK(R1221,(N1221:P1221,Q1221:AE1221)),0)</f>
        <v>4</v>
      </c>
      <c r="AY1221" s="5">
        <f>IF(T1221&gt;0,RANK(T1221,(N1221:P1221,Q1221:AE1221)),0)</f>
        <v>0</v>
      </c>
      <c r="AZ1221" s="5">
        <f>IF(S1221&gt;0,RANK(S1221,(N1221:P1221,Q1221:AE1221)),0)</f>
        <v>6</v>
      </c>
      <c r="BA1221" s="2">
        <f t="shared" si="503"/>
        <v>9.9312862357741043E-3</v>
      </c>
      <c r="BB1221" s="2">
        <f t="shared" si="504"/>
        <v>3.6504187245007514E-3</v>
      </c>
      <c r="BC1221" s="2">
        <f t="shared" si="505"/>
        <v>0</v>
      </c>
      <c r="BD1221" s="2">
        <f t="shared" si="506"/>
        <v>1.5567962207429676E-3</v>
      </c>
      <c r="BF1221" t="s">
        <v>692</v>
      </c>
      <c r="BG1221" t="s">
        <v>320</v>
      </c>
      <c r="BH1221">
        <v>5</v>
      </c>
      <c r="BJ1221" s="114">
        <v>22</v>
      </c>
      <c r="BK1221" s="116">
        <v>117</v>
      </c>
      <c r="BL1221" s="120">
        <f t="shared" si="497"/>
        <v>22117</v>
      </c>
      <c r="BN1221" s="5" t="s">
        <v>498</v>
      </c>
    </row>
    <row r="1222" spans="1:82" hidden="1" outlineLevel="1">
      <c r="A1222" t="s">
        <v>697</v>
      </c>
      <c r="B1222" t="s">
        <v>320</v>
      </c>
      <c r="C1222" s="1">
        <f t="shared" si="498"/>
        <v>18145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5</v>
      </c>
      <c r="G1222" s="132">
        <f t="shared" si="484"/>
        <v>5282</v>
      </c>
      <c r="H1222" s="137">
        <f t="shared" si="485"/>
        <v>0.29109947643979056</v>
      </c>
      <c r="I1222" s="2"/>
      <c r="J1222" s="2">
        <f t="shared" si="499"/>
        <v>0.34499862220997518</v>
      </c>
      <c r="K1222" s="2">
        <f t="shared" si="500"/>
        <v>0.63609809864976574</v>
      </c>
      <c r="L1222" s="2">
        <f t="shared" si="501"/>
        <v>2.2595756406723617E-3</v>
      </c>
      <c r="M1222" s="2">
        <f t="shared" si="502"/>
        <v>1.664370349958666E-2</v>
      </c>
      <c r="N1222" s="63">
        <v>6260</v>
      </c>
      <c r="O1222" s="63">
        <v>11542</v>
      </c>
      <c r="P1222" s="63">
        <v>41</v>
      </c>
      <c r="Q1222" s="63">
        <v>166</v>
      </c>
      <c r="R1222" s="63">
        <v>63</v>
      </c>
      <c r="S1222" s="63">
        <v>14</v>
      </c>
      <c r="T1222" s="63"/>
      <c r="U1222" s="63"/>
      <c r="V1222" s="63">
        <v>4</v>
      </c>
      <c r="W1222" s="63"/>
      <c r="X1222" s="63">
        <v>3</v>
      </c>
      <c r="Y1222" s="63">
        <v>15</v>
      </c>
      <c r="Z1222" s="63"/>
      <c r="AA1222" s="63"/>
      <c r="AB1222" s="63"/>
      <c r="AC1222" s="63"/>
      <c r="AD1222" s="63"/>
      <c r="AE1222" s="63">
        <v>13</v>
      </c>
      <c r="AF1222" s="63">
        <v>3</v>
      </c>
      <c r="AG1222" s="63">
        <v>15</v>
      </c>
      <c r="AH1222" s="63"/>
      <c r="AI1222" s="63"/>
      <c r="AJ1222" s="63">
        <v>6</v>
      </c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W1222" s="5">
        <f>IF(Q1222&gt;0,RANK(Q1222,(N1222:P1222,Q1222:AE1222)),0)</f>
        <v>3</v>
      </c>
      <c r="AX1222" s="5">
        <f>IF(R1222&gt;0,RANK(R1222,(N1222:P1222,Q1222:AE1222)),0)</f>
        <v>4</v>
      </c>
      <c r="AY1222" s="5">
        <f>IF(T1222&gt;0,RANK(T1222,(N1222:P1222,Q1222:AE1222)),0)</f>
        <v>0</v>
      </c>
      <c r="AZ1222" s="5">
        <f>IF(S1222&gt;0,RANK(S1222,(N1222:P1222,Q1222:AE1222)),0)</f>
        <v>7</v>
      </c>
      <c r="BA1222" s="2">
        <f t="shared" si="503"/>
        <v>9.1485257646734645E-3</v>
      </c>
      <c r="BB1222" s="2">
        <f t="shared" si="504"/>
        <v>3.4720308624965556E-3</v>
      </c>
      <c r="BC1222" s="2">
        <f t="shared" si="505"/>
        <v>0</v>
      </c>
      <c r="BD1222" s="2">
        <f t="shared" si="506"/>
        <v>7.7156241388812348E-4</v>
      </c>
      <c r="BF1222" t="s">
        <v>697</v>
      </c>
      <c r="BG1222" t="s">
        <v>320</v>
      </c>
      <c r="BH1222">
        <v>4</v>
      </c>
      <c r="BJ1222" s="114">
        <v>22</v>
      </c>
      <c r="BK1222" s="116">
        <v>119</v>
      </c>
      <c r="BL1222" s="120">
        <f t="shared" si="497"/>
        <v>22119</v>
      </c>
      <c r="BN1222" s="5" t="s">
        <v>498</v>
      </c>
    </row>
    <row r="1223" spans="1:82" hidden="1" outlineLevel="1">
      <c r="A1223" t="s">
        <v>1402</v>
      </c>
      <c r="B1223" t="s">
        <v>320</v>
      </c>
      <c r="C1223" s="1">
        <f t="shared" si="498"/>
        <v>12712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5</v>
      </c>
      <c r="G1223" s="132">
        <f t="shared" ref="G1223:G1287" si="507">IF(C1223&gt;0,MAX(N1223:P1223)-LARGE(N1223:P1223,2),0)</f>
        <v>1544</v>
      </c>
      <c r="H1223" s="137">
        <f t="shared" ref="H1223:H1287" si="508">IF(C1223&gt;0,G1223/C1223,0)</f>
        <v>0.12146003775959723</v>
      </c>
      <c r="I1223" s="2"/>
      <c r="J1223" s="2">
        <f t="shared" si="499"/>
        <v>0.42345814977973567</v>
      </c>
      <c r="K1223" s="2">
        <f t="shared" si="500"/>
        <v>0.54491818753933297</v>
      </c>
      <c r="L1223" s="2">
        <f t="shared" si="501"/>
        <v>4.1692888609188173E-3</v>
      </c>
      <c r="M1223" s="2">
        <f t="shared" si="502"/>
        <v>2.7454373820012604E-2</v>
      </c>
      <c r="N1223" s="63">
        <v>5383</v>
      </c>
      <c r="O1223" s="63">
        <v>6927</v>
      </c>
      <c r="P1223" s="63">
        <v>53</v>
      </c>
      <c r="Q1223" s="63">
        <v>206</v>
      </c>
      <c r="R1223" s="63">
        <v>72</v>
      </c>
      <c r="S1223" s="63">
        <v>13</v>
      </c>
      <c r="T1223" s="63"/>
      <c r="U1223" s="63"/>
      <c r="V1223" s="63">
        <v>2</v>
      </c>
      <c r="W1223" s="63"/>
      <c r="X1223" s="63">
        <v>7</v>
      </c>
      <c r="Y1223" s="63">
        <v>16</v>
      </c>
      <c r="Z1223" s="63"/>
      <c r="AA1223" s="63"/>
      <c r="AB1223" s="63"/>
      <c r="AC1223" s="63"/>
      <c r="AD1223" s="63"/>
      <c r="AE1223" s="63">
        <v>11</v>
      </c>
      <c r="AF1223" s="63">
        <v>4</v>
      </c>
      <c r="AG1223" s="63">
        <v>15</v>
      </c>
      <c r="AH1223" s="63"/>
      <c r="AI1223" s="63"/>
      <c r="AJ1223" s="63">
        <v>3</v>
      </c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W1223" s="5">
        <f>IF(Q1223&gt;0,RANK(Q1223,(N1223:P1223,Q1223:AE1223)),0)</f>
        <v>3</v>
      </c>
      <c r="AX1223" s="5">
        <f>IF(R1223&gt;0,RANK(R1223,(N1223:P1223,Q1223:AE1223)),0)</f>
        <v>4</v>
      </c>
      <c r="AY1223" s="5">
        <f>IF(T1223&gt;0,RANK(T1223,(N1223:P1223,Q1223:AE1223)),0)</f>
        <v>0</v>
      </c>
      <c r="AZ1223" s="5">
        <f>IF(S1223&gt;0,RANK(S1223,(N1223:P1223,Q1223:AE1223)),0)</f>
        <v>7</v>
      </c>
      <c r="BA1223" s="2">
        <f t="shared" si="503"/>
        <v>1.6205160478288232E-2</v>
      </c>
      <c r="BB1223" s="2">
        <f t="shared" si="504"/>
        <v>5.6639395846444307E-3</v>
      </c>
      <c r="BC1223" s="2">
        <f t="shared" si="505"/>
        <v>0</v>
      </c>
      <c r="BD1223" s="2">
        <f t="shared" si="506"/>
        <v>1.0226557583385776E-3</v>
      </c>
      <c r="BF1223" t="s">
        <v>1402</v>
      </c>
      <c r="BG1223" t="s">
        <v>320</v>
      </c>
      <c r="BJ1223" s="114">
        <v>22</v>
      </c>
      <c r="BK1223" s="116">
        <v>121</v>
      </c>
      <c r="BL1223" s="120">
        <f t="shared" si="497"/>
        <v>22121</v>
      </c>
      <c r="BN1223" s="5" t="s">
        <v>498</v>
      </c>
    </row>
    <row r="1224" spans="1:82" hidden="1" outlineLevel="1">
      <c r="A1224" t="s">
        <v>2166</v>
      </c>
      <c r="B1224" t="s">
        <v>320</v>
      </c>
      <c r="C1224" s="1">
        <f t="shared" si="498"/>
        <v>4759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4</v>
      </c>
      <c r="G1224" s="132">
        <f t="shared" si="507"/>
        <v>3255</v>
      </c>
      <c r="H1224" s="137">
        <f t="shared" si="508"/>
        <v>0.68396722000420251</v>
      </c>
      <c r="I1224" s="2"/>
      <c r="J1224" s="2">
        <f t="shared" si="499"/>
        <v>0.15024164740491699</v>
      </c>
      <c r="K1224" s="2">
        <f t="shared" si="500"/>
        <v>0.83420886740911959</v>
      </c>
      <c r="L1224" s="2">
        <f t="shared" si="501"/>
        <v>2.3114099600756461E-3</v>
      </c>
      <c r="M1224" s="2">
        <f t="shared" si="502"/>
        <v>1.3238075225887795E-2</v>
      </c>
      <c r="N1224" s="63">
        <v>715</v>
      </c>
      <c r="O1224" s="63">
        <v>3970</v>
      </c>
      <c r="P1224" s="63">
        <v>11</v>
      </c>
      <c r="Q1224" s="63">
        <v>27</v>
      </c>
      <c r="R1224" s="63">
        <v>10</v>
      </c>
      <c r="S1224" s="63">
        <v>5</v>
      </c>
      <c r="T1224" s="63"/>
      <c r="U1224" s="63"/>
      <c r="V1224" s="63">
        <v>1</v>
      </c>
      <c r="W1224" s="63"/>
      <c r="X1224" s="63">
        <v>2</v>
      </c>
      <c r="Y1224" s="63">
        <v>5</v>
      </c>
      <c r="Z1224" s="63"/>
      <c r="AA1224" s="63"/>
      <c r="AB1224" s="63"/>
      <c r="AC1224" s="63"/>
      <c r="AD1224" s="63"/>
      <c r="AE1224" s="63">
        <v>4</v>
      </c>
      <c r="AF1224" s="63">
        <v>0</v>
      </c>
      <c r="AG1224" s="63">
        <v>5</v>
      </c>
      <c r="AH1224" s="63"/>
      <c r="AI1224" s="63"/>
      <c r="AJ1224" s="63">
        <v>4</v>
      </c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W1224" s="5">
        <f>IF(Q1224&gt;0,RANK(Q1224,(N1224:P1224,Q1224:AE1224)),0)</f>
        <v>3</v>
      </c>
      <c r="AX1224" s="5">
        <f>IF(R1224&gt;0,RANK(R1224,(N1224:P1224,Q1224:AE1224)),0)</f>
        <v>5</v>
      </c>
      <c r="AY1224" s="5">
        <f>IF(T1224&gt;0,RANK(T1224,(N1224:P1224,Q1224:AE1224)),0)</f>
        <v>0</v>
      </c>
      <c r="AZ1224" s="5">
        <f>IF(S1224&gt;0,RANK(S1224,(N1224:P1224,Q1224:AE1224)),0)</f>
        <v>6</v>
      </c>
      <c r="BA1224" s="2">
        <f t="shared" si="503"/>
        <v>5.6734608110947677E-3</v>
      </c>
      <c r="BB1224" s="2">
        <f t="shared" si="504"/>
        <v>2.101281781886951E-3</v>
      </c>
      <c r="BC1224" s="2">
        <f t="shared" si="505"/>
        <v>0</v>
      </c>
      <c r="BD1224" s="2">
        <f t="shared" si="506"/>
        <v>1.0506408909434755E-3</v>
      </c>
      <c r="BF1224" t="s">
        <v>2166</v>
      </c>
      <c r="BG1224" t="s">
        <v>320</v>
      </c>
      <c r="BH1224">
        <v>5</v>
      </c>
      <c r="BJ1224" s="114">
        <v>22</v>
      </c>
      <c r="BK1224" s="116">
        <v>123</v>
      </c>
      <c r="BL1224" s="120">
        <f t="shared" si="497"/>
        <v>22123</v>
      </c>
      <c r="BN1224" s="5" t="s">
        <v>498</v>
      </c>
    </row>
    <row r="1225" spans="1:82" hidden="1" outlineLevel="1">
      <c r="A1225" t="s">
        <v>2255</v>
      </c>
      <c r="B1225" t="s">
        <v>320</v>
      </c>
      <c r="C1225" s="1">
        <f t="shared" si="498"/>
        <v>5799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4</v>
      </c>
      <c r="G1225" s="132">
        <f t="shared" si="507"/>
        <v>1142</v>
      </c>
      <c r="H1225" s="137">
        <f t="shared" si="508"/>
        <v>0.19693050525952752</v>
      </c>
      <c r="I1225" s="2"/>
      <c r="J1225" s="2">
        <f t="shared" si="499"/>
        <v>0.38765304362821174</v>
      </c>
      <c r="K1225" s="2">
        <f t="shared" si="500"/>
        <v>0.58458354888773922</v>
      </c>
      <c r="L1225" s="2">
        <f t="shared" si="501"/>
        <v>4.3110881186411449E-3</v>
      </c>
      <c r="M1225" s="2">
        <f t="shared" si="502"/>
        <v>2.3452319365407898E-2</v>
      </c>
      <c r="N1225" s="63">
        <v>2248</v>
      </c>
      <c r="O1225" s="63">
        <v>3390</v>
      </c>
      <c r="P1225" s="63">
        <v>25</v>
      </c>
      <c r="Q1225" s="63">
        <v>97</v>
      </c>
      <c r="R1225" s="63">
        <v>17</v>
      </c>
      <c r="S1225" s="63">
        <v>6</v>
      </c>
      <c r="T1225" s="63"/>
      <c r="U1225" s="63"/>
      <c r="V1225" s="63">
        <v>0</v>
      </c>
      <c r="W1225" s="63"/>
      <c r="X1225" s="63">
        <v>0</v>
      </c>
      <c r="Y1225" s="63">
        <v>4</v>
      </c>
      <c r="Z1225" s="63"/>
      <c r="AA1225" s="63"/>
      <c r="AB1225" s="63"/>
      <c r="AC1225" s="63"/>
      <c r="AD1225" s="63"/>
      <c r="AE1225" s="63">
        <v>3</v>
      </c>
      <c r="AF1225" s="63">
        <v>2</v>
      </c>
      <c r="AG1225" s="63">
        <v>5</v>
      </c>
      <c r="AH1225" s="63"/>
      <c r="AI1225" s="63"/>
      <c r="AJ1225" s="63">
        <v>2</v>
      </c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W1225" s="5">
        <f>IF(Q1225&gt;0,RANK(Q1225,(N1225:P1225,Q1225:AE1225)),0)</f>
        <v>3</v>
      </c>
      <c r="AX1225" s="5">
        <f>IF(R1225&gt;0,RANK(R1225,(N1225:P1225,Q1225:AE1225)),0)</f>
        <v>5</v>
      </c>
      <c r="AY1225" s="5">
        <f>IF(T1225&gt;0,RANK(T1225,(N1225:P1225,Q1225:AE1225)),0)</f>
        <v>0</v>
      </c>
      <c r="AZ1225" s="5">
        <f>IF(S1225&gt;0,RANK(S1225,(N1225:P1225,Q1225:AE1225)),0)</f>
        <v>6</v>
      </c>
      <c r="BA1225" s="2">
        <f t="shared" si="503"/>
        <v>1.6727021900327644E-2</v>
      </c>
      <c r="BB1225" s="2">
        <f t="shared" si="504"/>
        <v>2.9315399206759785E-3</v>
      </c>
      <c r="BC1225" s="2">
        <f t="shared" si="505"/>
        <v>0</v>
      </c>
      <c r="BD1225" s="2">
        <f t="shared" si="506"/>
        <v>1.0346611484738748E-3</v>
      </c>
      <c r="BF1225" t="s">
        <v>2255</v>
      </c>
      <c r="BG1225" t="s">
        <v>320</v>
      </c>
      <c r="BH1225">
        <v>5</v>
      </c>
      <c r="BJ1225" s="114">
        <v>22</v>
      </c>
      <c r="BK1225" s="116">
        <v>125</v>
      </c>
      <c r="BL1225" s="120">
        <f t="shared" si="497"/>
        <v>22125</v>
      </c>
      <c r="BN1225" s="5" t="s">
        <v>498</v>
      </c>
    </row>
    <row r="1226" spans="1:82" hidden="1" outlineLevel="1">
      <c r="A1226" t="s">
        <v>1442</v>
      </c>
      <c r="B1226" t="s">
        <v>320</v>
      </c>
      <c r="C1226" s="1">
        <f t="shared" si="498"/>
        <v>6372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5</v>
      </c>
      <c r="G1226" s="132">
        <f t="shared" si="507"/>
        <v>2964</v>
      </c>
      <c r="H1226" s="137">
        <f t="shared" si="508"/>
        <v>0.46516007532956688</v>
      </c>
      <c r="I1226" s="2"/>
      <c r="J1226" s="2">
        <f t="shared" si="499"/>
        <v>0.25800376647834272</v>
      </c>
      <c r="K1226" s="2">
        <f t="shared" si="500"/>
        <v>0.7231638418079096</v>
      </c>
      <c r="L1226" s="2">
        <f t="shared" si="501"/>
        <v>2.3540489642184556E-3</v>
      </c>
      <c r="M1226" s="2">
        <f t="shared" si="502"/>
        <v>1.6478342749529164E-2</v>
      </c>
      <c r="N1226" s="63">
        <v>1644</v>
      </c>
      <c r="O1226" s="63">
        <v>4608</v>
      </c>
      <c r="P1226" s="63">
        <v>15</v>
      </c>
      <c r="Q1226" s="63">
        <v>40</v>
      </c>
      <c r="R1226" s="63">
        <v>29</v>
      </c>
      <c r="S1226" s="63">
        <v>13</v>
      </c>
      <c r="T1226" s="63"/>
      <c r="U1226" s="63"/>
      <c r="V1226" s="63">
        <v>0</v>
      </c>
      <c r="W1226" s="63"/>
      <c r="X1226" s="63">
        <v>3</v>
      </c>
      <c r="Y1226" s="63">
        <v>8</v>
      </c>
      <c r="Z1226" s="63"/>
      <c r="AA1226" s="63"/>
      <c r="AB1226" s="63"/>
      <c r="AC1226" s="63"/>
      <c r="AD1226" s="63"/>
      <c r="AE1226" s="63">
        <v>0</v>
      </c>
      <c r="AF1226" s="63">
        <v>0</v>
      </c>
      <c r="AG1226" s="63">
        <v>8</v>
      </c>
      <c r="AH1226" s="63"/>
      <c r="AI1226" s="63"/>
      <c r="AJ1226" s="63">
        <v>4</v>
      </c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W1226" s="5">
        <f>IF(Q1226&gt;0,RANK(Q1226,(N1226:P1226,Q1226:AE1226)),0)</f>
        <v>3</v>
      </c>
      <c r="AX1226" s="5">
        <f>IF(R1226&gt;0,RANK(R1226,(N1226:P1226,Q1226:AE1226)),0)</f>
        <v>4</v>
      </c>
      <c r="AY1226" s="5">
        <f>IF(T1226&gt;0,RANK(T1226,(N1226:P1226,Q1226:AE1226)),0)</f>
        <v>0</v>
      </c>
      <c r="AZ1226" s="5">
        <f>IF(S1226&gt;0,RANK(S1226,(N1226:P1226,Q1226:AE1226)),0)</f>
        <v>6</v>
      </c>
      <c r="BA1226" s="2">
        <f t="shared" si="503"/>
        <v>6.2774639045825482E-3</v>
      </c>
      <c r="BB1226" s="2">
        <f t="shared" si="504"/>
        <v>4.5511613308223476E-3</v>
      </c>
      <c r="BC1226" s="2">
        <f t="shared" si="505"/>
        <v>0</v>
      </c>
      <c r="BD1226" s="2">
        <f t="shared" si="506"/>
        <v>2.0401757689893284E-3</v>
      </c>
      <c r="BF1226" t="s">
        <v>1442</v>
      </c>
      <c r="BG1226" t="s">
        <v>320</v>
      </c>
      <c r="BH1226">
        <v>5</v>
      </c>
      <c r="BJ1226" s="114">
        <v>22</v>
      </c>
      <c r="BK1226" s="116">
        <v>127</v>
      </c>
      <c r="BL1226" s="120">
        <f t="shared" si="497"/>
        <v>22127</v>
      </c>
      <c r="BN1226" s="5" t="s">
        <v>498</v>
      </c>
    </row>
    <row r="1227" spans="1:82" collapsed="1">
      <c r="A1227" t="s">
        <v>2451</v>
      </c>
      <c r="B1227" t="s">
        <v>544</v>
      </c>
      <c r="C1227" s="1">
        <f t="shared" si="498"/>
        <v>2029032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>IF(P1227&gt;0,RANK(P1227,(N1227:P1227,Q1227:AE1227)),0)</f>
        <v>5</v>
      </c>
      <c r="G1227" s="132">
        <f t="shared" si="507"/>
        <v>398484</v>
      </c>
      <c r="H1227" s="137">
        <f t="shared" si="508"/>
        <v>0.19639118555054824</v>
      </c>
      <c r="I1227" s="2"/>
      <c r="J1227" s="2">
        <f t="shared" si="499"/>
        <v>0.38449566098513971</v>
      </c>
      <c r="K1227" s="2">
        <f t="shared" si="500"/>
        <v>0.58088684653568801</v>
      </c>
      <c r="L1227" s="2">
        <f t="shared" si="501"/>
        <v>4.2123534769289003E-3</v>
      </c>
      <c r="M1227" s="2">
        <f>IF(C1227=0,"-",(1-J1227-K1227-L1227))</f>
        <v>3.0405139002243328E-2</v>
      </c>
      <c r="N1227" s="63">
        <f>SUM(N1163:N1226)</f>
        <v>780154</v>
      </c>
      <c r="O1227" s="63">
        <f>SUM(O1163:O1226)</f>
        <v>1178638</v>
      </c>
      <c r="P1227" s="63">
        <f>SUM(P1163:P1226)</f>
        <v>8547</v>
      </c>
      <c r="Q1227" s="63">
        <f t="shared" ref="Q1227:V1227" si="509">SUM(Q1163:Q1226)</f>
        <v>37978</v>
      </c>
      <c r="R1227" s="63">
        <f t="shared" si="509"/>
        <v>14031</v>
      </c>
      <c r="S1227" s="63">
        <f t="shared" si="509"/>
        <v>3129</v>
      </c>
      <c r="T1227" s="63"/>
      <c r="U1227" s="63"/>
      <c r="V1227" s="63">
        <f t="shared" si="509"/>
        <v>446</v>
      </c>
      <c r="W1227" s="63"/>
      <c r="X1227" s="63">
        <f>SUM(X1163:X1226)</f>
        <v>480</v>
      </c>
      <c r="Y1227" s="63">
        <f>SUM(Y1163:Y1226)</f>
        <v>1581</v>
      </c>
      <c r="Z1227" s="63"/>
      <c r="AA1227" s="63"/>
      <c r="AB1227" s="63"/>
      <c r="AC1227" s="63"/>
      <c r="AD1227" s="63"/>
      <c r="AE1227" s="63">
        <f>SUM(AE1163:AE1226)</f>
        <v>1048</v>
      </c>
      <c r="AF1227" s="63">
        <f>SUM(AF1163:AF1226)</f>
        <v>370</v>
      </c>
      <c r="AG1227" s="63">
        <f>SUM(AG1163:AG1226)</f>
        <v>1881</v>
      </c>
      <c r="AH1227" s="63"/>
      <c r="AI1227" s="63"/>
      <c r="AJ1227" s="63">
        <f>SUM(AJ1163:AJ1226)</f>
        <v>749</v>
      </c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W1227" s="5">
        <f>IF(Q1227&gt;0,RANK(Q1227,(N1227:P1227,Q1227:AE1227)),0)</f>
        <v>3</v>
      </c>
      <c r="AX1227" s="5">
        <f>IF(R1227&gt;0,RANK(R1227,(N1227:P1227,Q1227:AE1227)),0)</f>
        <v>4</v>
      </c>
      <c r="AY1227" s="5">
        <f>IF(T1227&gt;0,RANK(T1227,(N1227:P1227,Q1227:AE1227)),0)</f>
        <v>0</v>
      </c>
      <c r="AZ1227" s="5">
        <f>IF(S1227&gt;0,RANK(S1227,(N1227:P1227,Q1227:AE1227)),0)</f>
        <v>6</v>
      </c>
      <c r="BA1227" s="2">
        <f t="shared" si="503"/>
        <v>1.8717299677875953E-2</v>
      </c>
      <c r="BB1227" s="2">
        <f t="shared" si="504"/>
        <v>6.9151201163904757E-3</v>
      </c>
      <c r="BC1227" s="2">
        <f t="shared" si="505"/>
        <v>0</v>
      </c>
      <c r="BD1227" s="2">
        <f t="shared" si="506"/>
        <v>1.5421146635439954E-3</v>
      </c>
      <c r="BF1227" t="s">
        <v>2451</v>
      </c>
      <c r="BG1227" t="s">
        <v>544</v>
      </c>
      <c r="BJ1227" s="114">
        <v>22</v>
      </c>
      <c r="BK1227" s="116"/>
      <c r="BL1227" s="114">
        <v>22</v>
      </c>
      <c r="BN1227" s="5" t="s">
        <v>711</v>
      </c>
    </row>
    <row r="1228" spans="1:82">
      <c r="C1228" s="1"/>
      <c r="E1228" s="5"/>
      <c r="F1228" s="5"/>
      <c r="G1228" s="132"/>
      <c r="H1228" s="137"/>
      <c r="I1228" s="2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W1228" s="5"/>
      <c r="AX1228" s="5"/>
      <c r="AY1228" s="5"/>
      <c r="AZ1228" s="5"/>
      <c r="BJ1228" s="114"/>
      <c r="BK1228" s="116"/>
      <c r="BL1228" s="120"/>
      <c r="BR1228" s="132"/>
      <c r="CC1228" s="132"/>
      <c r="CD1228" s="132" t="s">
        <v>3734</v>
      </c>
    </row>
    <row r="1229" spans="1:82" hidden="1" outlineLevel="1">
      <c r="A1229" t="s">
        <v>1118</v>
      </c>
      <c r="B1229" t="s">
        <v>1697</v>
      </c>
      <c r="C1229" s="1">
        <f t="shared" ref="C1229:C1246" si="510">SUM(N1229:AU1229)</f>
        <v>55601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>IF(P1229&gt;0,RANK(P1229,(N1229:P1229,Q1229:AE1229)),0)</f>
        <v>5</v>
      </c>
      <c r="G1229" s="132">
        <f t="shared" si="507"/>
        <v>5218</v>
      </c>
      <c r="H1229" s="137">
        <f t="shared" si="508"/>
        <v>9.3847232963435903E-2</v>
      </c>
      <c r="I1229" s="2"/>
      <c r="J1229" s="2">
        <f t="shared" ref="J1229:J1246" si="511">IF($C1229=0,"-",N1229/$C1229)</f>
        <v>0.41382349238323052</v>
      </c>
      <c r="K1229" s="2">
        <f t="shared" ref="K1229:K1246" si="512">IF($C1229=0,"-",O1229/$C1229)</f>
        <v>0.50767072534666646</v>
      </c>
      <c r="L1229" s="2">
        <f t="shared" ref="L1229:L1246" si="513">IF($C1229=0,"-",P1229/$C1229)</f>
        <v>3.0395136778115501E-3</v>
      </c>
      <c r="M1229" s="2">
        <f t="shared" ref="M1229:M1246" si="514">IF(C1229=0,"-",(1-J1229-K1229-L1229))</f>
        <v>7.5466268592291524E-2</v>
      </c>
      <c r="N1229" s="63">
        <f>SUMIF(Town!$BB$174:$BB$721,$BL1229,Town!N$174:N$721)</f>
        <v>23009</v>
      </c>
      <c r="O1229" s="63">
        <f>SUMIF(Town!$BB$174:$BB$721,$BL1229,Town!O$174:O$721)</f>
        <v>28227</v>
      </c>
      <c r="P1229" s="63">
        <f>SUMIF(Town!$BB$174:$BB$721,$BL1229,Town!P$174:P$721)</f>
        <v>169</v>
      </c>
      <c r="Q1229" s="63">
        <f>SUMIF(Town!$BB$174:$BB$721,$BL1229,Town!Q$174:Q$721)</f>
        <v>3293</v>
      </c>
      <c r="R1229" s="63">
        <f>SUMIF(Town!$BB$174:$BB$721,$BL1229,Town!R$174:R$721)</f>
        <v>883</v>
      </c>
      <c r="S1229" s="63">
        <f>SUMIF(Town!$BB$174:$BB$721,$BL1229,Town!S$174:S$721)</f>
        <v>19</v>
      </c>
      <c r="T1229" s="63"/>
      <c r="U1229" s="63"/>
      <c r="V1229" s="63"/>
      <c r="W1229" s="63">
        <f>SUMIF(Town!$BB$174:$BB$721,$BL1229,Town!W$174:W$721)</f>
        <v>0</v>
      </c>
      <c r="X1229" s="63"/>
      <c r="Y1229" s="63"/>
      <c r="Z1229" s="63"/>
      <c r="AA1229" s="63"/>
      <c r="AB1229" s="63"/>
      <c r="AC1229" s="63"/>
      <c r="AD1229" s="63"/>
      <c r="AE1229" s="63">
        <f>SUMIF(Town!$BB$174:$BB$721,$BL1229,Town!AE$174:AE$721)</f>
        <v>1</v>
      </c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W1229" s="5">
        <f>IF(Q1229&gt;0,RANK(Q1229,(N1229:P1229,Q1229:AE1229)),0)</f>
        <v>3</v>
      </c>
      <c r="AX1229" s="5">
        <f>IF(R1229&gt;0,RANK(R1229,(N1229:P1229,Q1229:AE1229)),0)</f>
        <v>4</v>
      </c>
      <c r="AY1229" s="5">
        <f>IF(T1229&gt;0,RANK(T1229,(N1229:P1229,Q1229:AE1229)),0)</f>
        <v>0</v>
      </c>
      <c r="AZ1229" s="5">
        <f>IF(S1229&gt;0,RANK(S1229,(N1229:P1229,Q1229:AE1229)),0)</f>
        <v>6</v>
      </c>
      <c r="BA1229" s="2">
        <f t="shared" ref="BA1229:BA1246" si="515">IF($C1229=0,"-",Q1229/$C1229)</f>
        <v>5.9225553497239257E-2</v>
      </c>
      <c r="BB1229" s="2">
        <f t="shared" ref="BB1229:BB1246" si="516">IF($C1229=0,"-",R1229/$C1229)</f>
        <v>1.5881009334364489E-2</v>
      </c>
      <c r="BC1229" s="2">
        <f t="shared" ref="BC1229:BC1246" si="517">IF($C1229=0,"-",T1229/$C1229)</f>
        <v>0</v>
      </c>
      <c r="BD1229" s="2">
        <f t="shared" ref="BD1229:BD1246" si="518">IF($C1229=0,"-",S1229/$C1229)</f>
        <v>3.4172047265336957E-4</v>
      </c>
      <c r="BF1229" t="s">
        <v>1118</v>
      </c>
      <c r="BG1229" t="s">
        <v>1697</v>
      </c>
      <c r="BH1229">
        <v>2</v>
      </c>
      <c r="BJ1229" s="114">
        <v>23</v>
      </c>
      <c r="BK1229" s="116">
        <v>1</v>
      </c>
      <c r="BL1229" s="120">
        <f t="shared" si="497"/>
        <v>23001</v>
      </c>
      <c r="BN1229" s="5" t="s">
        <v>3154</v>
      </c>
      <c r="BO1229" s="63">
        <f>SUMIF(Town!$BB$174:$BB$721,$BL1229,Town!BE$174:BE$721)</f>
        <v>1597</v>
      </c>
      <c r="BR1229" s="63"/>
      <c r="CD1229" s="63">
        <f>SUMIF(Town!$BB$174:$BB$721,$BL1229,Town!BS$174:BS$721)</f>
        <v>0</v>
      </c>
    </row>
    <row r="1230" spans="1:82" hidden="1" outlineLevel="1">
      <c r="A1230" t="s">
        <v>2830</v>
      </c>
      <c r="B1230" t="s">
        <v>1697</v>
      </c>
      <c r="C1230" s="1">
        <f t="shared" si="510"/>
        <v>35097</v>
      </c>
      <c r="D1230" s="5">
        <f>IF(N1230&gt;0, RANK(N1230,(N1230:P1230,Q1230:AE1230)),0)</f>
        <v>2</v>
      </c>
      <c r="E1230" s="5">
        <f>IF(O1230&gt;0,RANK(O1230,(N1230:P1230,Q1230:AE1230)),0)</f>
        <v>1</v>
      </c>
      <c r="F1230" s="5">
        <f>IF(P1230&gt;0,RANK(P1230,(N1230:P1230,Q1230:AE1230)),0)</f>
        <v>5</v>
      </c>
      <c r="G1230" s="132">
        <f t="shared" si="507"/>
        <v>6033</v>
      </c>
      <c r="H1230" s="137">
        <f t="shared" si="508"/>
        <v>0.17189503376356954</v>
      </c>
      <c r="I1230" s="2"/>
      <c r="J1230" s="2">
        <f t="shared" si="511"/>
        <v>0.38140011966834775</v>
      </c>
      <c r="K1230" s="2">
        <f t="shared" si="512"/>
        <v>0.55329515343191726</v>
      </c>
      <c r="L1230" s="2">
        <f t="shared" si="513"/>
        <v>3.1341710117673877E-3</v>
      </c>
      <c r="M1230" s="2">
        <f t="shared" si="514"/>
        <v>6.2170555887967598E-2</v>
      </c>
      <c r="N1230" s="63">
        <f>SUMIF(Town!$BB$174:$BB$721,$BL1230,Town!N$174:N$721)</f>
        <v>13386</v>
      </c>
      <c r="O1230" s="63">
        <f>SUMIF(Town!$BB$174:$BB$721,$BL1230,Town!O$174:O$721)</f>
        <v>19419</v>
      </c>
      <c r="P1230" s="63">
        <f>SUMIF(Town!$BB$174:$BB$721,$BL1230,Town!P$174:P$721)</f>
        <v>110</v>
      </c>
      <c r="Q1230" s="63">
        <f>SUMIF(Town!$BB$174:$BB$721,$BL1230,Town!Q$174:Q$721)</f>
        <v>1652</v>
      </c>
      <c r="R1230" s="63">
        <f>SUMIF(Town!$BB$174:$BB$721,$BL1230,Town!R$174:R$721)</f>
        <v>516</v>
      </c>
      <c r="S1230" s="63">
        <f>SUMIF(Town!$BB$174:$BB$721,$BL1230,Town!S$174:S$721)</f>
        <v>13</v>
      </c>
      <c r="T1230" s="63"/>
      <c r="U1230" s="63"/>
      <c r="V1230" s="63"/>
      <c r="W1230" s="63">
        <f>SUMIF(Town!$BB$174:$BB$721,$BL1230,Town!W$174:W$721)</f>
        <v>0</v>
      </c>
      <c r="X1230" s="63"/>
      <c r="Y1230" s="63"/>
      <c r="Z1230" s="63"/>
      <c r="AA1230" s="63"/>
      <c r="AB1230" s="63"/>
      <c r="AC1230" s="63"/>
      <c r="AD1230" s="63"/>
      <c r="AE1230" s="63">
        <f>SUMIF(Town!$BB$174:$BB$721,$BL1230,Town!AE$174:AE$721)</f>
        <v>1</v>
      </c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W1230" s="5">
        <f>IF(Q1230&gt;0,RANK(Q1230,(N1230:P1230,Q1230:AE1230)),0)</f>
        <v>3</v>
      </c>
      <c r="AX1230" s="5">
        <f>IF(R1230&gt;0,RANK(R1230,(N1230:P1230,Q1230:AE1230)),0)</f>
        <v>4</v>
      </c>
      <c r="AY1230" s="5">
        <f>IF(T1230&gt;0,RANK(T1230,(N1230:P1230,Q1230:AE1230)),0)</f>
        <v>0</v>
      </c>
      <c r="AZ1230" s="5">
        <f>IF(S1230&gt;0,RANK(S1230,(N1230:P1230,Q1230:AE1230)),0)</f>
        <v>6</v>
      </c>
      <c r="BA1230" s="2">
        <f t="shared" si="515"/>
        <v>4.7069550103997493E-2</v>
      </c>
      <c r="BB1230" s="2">
        <f t="shared" si="516"/>
        <v>1.4702111291563381E-2</v>
      </c>
      <c r="BC1230" s="2">
        <f t="shared" si="517"/>
        <v>0</v>
      </c>
      <c r="BD1230" s="2">
        <f t="shared" si="518"/>
        <v>3.7040202866341852E-4</v>
      </c>
      <c r="BF1230" t="s">
        <v>2830</v>
      </c>
      <c r="BG1230" t="s">
        <v>1697</v>
      </c>
      <c r="BH1230">
        <v>2</v>
      </c>
      <c r="BJ1230" s="114">
        <v>23</v>
      </c>
      <c r="BK1230" s="116">
        <v>3</v>
      </c>
      <c r="BL1230" s="120">
        <f t="shared" si="497"/>
        <v>23003</v>
      </c>
      <c r="BN1230" s="5" t="s">
        <v>3154</v>
      </c>
      <c r="BO1230" s="63">
        <f>SUMIF(Town!$BB$174:$BB$721,$BL1230,Town!BE$174:BE$721)</f>
        <v>1160</v>
      </c>
      <c r="BR1230" s="63"/>
      <c r="CD1230" s="63">
        <f>SUMIF(Town!$BB$174:$BB$721,$BL1230,Town!BS$174:BS$721)</f>
        <v>0</v>
      </c>
    </row>
    <row r="1231" spans="1:82" hidden="1" outlineLevel="1">
      <c r="A1231" t="s">
        <v>1531</v>
      </c>
      <c r="B1231" t="s">
        <v>1697</v>
      </c>
      <c r="C1231" s="1">
        <f t="shared" si="510"/>
        <v>171818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>IF(P1231&gt;0,RANK(P1231,(N1231:P1231,Q1231:AE1231)),0)</f>
        <v>5</v>
      </c>
      <c r="G1231" s="132">
        <f t="shared" si="507"/>
        <v>45272</v>
      </c>
      <c r="H1231" s="137">
        <f t="shared" si="508"/>
        <v>0.26348810951122698</v>
      </c>
      <c r="I1231" s="2"/>
      <c r="J1231" s="2">
        <f t="shared" si="511"/>
        <v>0.59936095170471082</v>
      </c>
      <c r="K1231" s="2">
        <f t="shared" si="512"/>
        <v>0.33587284219348379</v>
      </c>
      <c r="L1231" s="2">
        <f t="shared" si="513"/>
        <v>2.0603196405498841E-3</v>
      </c>
      <c r="M1231" s="2">
        <f t="shared" si="514"/>
        <v>6.2705886461255508E-2</v>
      </c>
      <c r="N1231" s="63">
        <f>SUMIF(Town!$BB$174:$BB$721,$BL1231,Town!N$174:N$721)</f>
        <v>102981</v>
      </c>
      <c r="O1231" s="63">
        <f>SUMIF(Town!$BB$174:$BB$721,$BL1231,Town!O$174:O$721)</f>
        <v>57709</v>
      </c>
      <c r="P1231" s="63">
        <f>SUMIF(Town!$BB$174:$BB$721,$BL1231,Town!P$174:P$721)</f>
        <v>354</v>
      </c>
      <c r="Q1231" s="63">
        <f>SUMIF(Town!$BB$174:$BB$721,$BL1231,Town!Q$174:Q$721)</f>
        <v>7407</v>
      </c>
      <c r="R1231" s="63">
        <f>SUMIF(Town!$BB$174:$BB$721,$BL1231,Town!R$174:R$721)</f>
        <v>3263</v>
      </c>
      <c r="S1231" s="63">
        <f>SUMIF(Town!$BB$174:$BB$721,$BL1231,Town!S$174:S$721)</f>
        <v>102</v>
      </c>
      <c r="T1231" s="63"/>
      <c r="U1231" s="63"/>
      <c r="V1231" s="63"/>
      <c r="W1231" s="63">
        <f>SUMIF(Town!$BB$174:$BB$721,$BL1231,Town!W$174:W$721)</f>
        <v>0</v>
      </c>
      <c r="X1231" s="63"/>
      <c r="Y1231" s="63"/>
      <c r="Z1231" s="63"/>
      <c r="AA1231" s="63"/>
      <c r="AB1231" s="63"/>
      <c r="AC1231" s="63"/>
      <c r="AD1231" s="63"/>
      <c r="AE1231" s="63">
        <f>SUMIF(Town!$BB$174:$BB$721,$BL1231,Town!AE$174:AE$721)</f>
        <v>2</v>
      </c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W1231" s="5">
        <f>IF(Q1231&gt;0,RANK(Q1231,(N1231:P1231,Q1231:AE1231)),0)</f>
        <v>3</v>
      </c>
      <c r="AX1231" s="5">
        <f>IF(R1231&gt;0,RANK(R1231,(N1231:P1231,Q1231:AE1231)),0)</f>
        <v>4</v>
      </c>
      <c r="AY1231" s="5">
        <f>IF(T1231&gt;0,RANK(T1231,(N1231:P1231,Q1231:AE1231)),0)</f>
        <v>0</v>
      </c>
      <c r="AZ1231" s="5">
        <f>IF(S1231&gt;0,RANK(S1231,(N1231:P1231,Q1231:AE1231)),0)</f>
        <v>6</v>
      </c>
      <c r="BA1231" s="2">
        <f t="shared" si="515"/>
        <v>4.31095694281158E-2</v>
      </c>
      <c r="BB1231" s="2">
        <f t="shared" si="516"/>
        <v>1.8991025387328452E-2</v>
      </c>
      <c r="BC1231" s="2">
        <f t="shared" si="517"/>
        <v>0</v>
      </c>
      <c r="BD1231" s="2">
        <f t="shared" si="518"/>
        <v>5.9365142185335644E-4</v>
      </c>
      <c r="BF1231" t="s">
        <v>1531</v>
      </c>
      <c r="BG1231" t="s">
        <v>1697</v>
      </c>
      <c r="BH1231">
        <v>1</v>
      </c>
      <c r="BJ1231" s="114">
        <v>23</v>
      </c>
      <c r="BK1231" s="116">
        <v>5</v>
      </c>
      <c r="BL1231" s="120">
        <f t="shared" si="497"/>
        <v>23005</v>
      </c>
      <c r="BN1231" s="5" t="s">
        <v>3154</v>
      </c>
      <c r="BO1231" s="63">
        <f>SUMIF(Town!$BB$174:$BB$721,$BL1231,Town!BE$174:BE$721)</f>
        <v>5117</v>
      </c>
      <c r="BR1231" s="63"/>
      <c r="CD1231" s="63">
        <f>SUMIF(Town!$BB$174:$BB$721,$BL1231,Town!BS$174:BS$721)</f>
        <v>0</v>
      </c>
    </row>
    <row r="1232" spans="1:82" hidden="1" outlineLevel="1">
      <c r="A1232" t="s">
        <v>1138</v>
      </c>
      <c r="B1232" t="s">
        <v>1697</v>
      </c>
      <c r="C1232" s="1">
        <f t="shared" si="510"/>
        <v>16488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>IF(P1232&gt;0,RANK(P1232,(N1232:P1232,Q1232:AE1232)),0)</f>
        <v>5</v>
      </c>
      <c r="G1232" s="132">
        <f t="shared" si="507"/>
        <v>902</v>
      </c>
      <c r="H1232" s="137">
        <f t="shared" si="508"/>
        <v>5.4706453178068902E-2</v>
      </c>
      <c r="I1232" s="2"/>
      <c r="J1232" s="2">
        <f t="shared" si="511"/>
        <v>0.42552159146045609</v>
      </c>
      <c r="K1232" s="2">
        <f t="shared" si="512"/>
        <v>0.48022804463852498</v>
      </c>
      <c r="L1232" s="2">
        <f t="shared" si="513"/>
        <v>4.4881125667151868E-3</v>
      </c>
      <c r="M1232" s="2">
        <f t="shared" si="514"/>
        <v>8.9762251334303739E-2</v>
      </c>
      <c r="N1232" s="63">
        <f>SUMIF(Town!$BB$174:$BB$721,$BL1232,Town!N$174:N$721)</f>
        <v>7016</v>
      </c>
      <c r="O1232" s="63">
        <f>SUMIF(Town!$BB$174:$BB$721,$BL1232,Town!O$174:O$721)</f>
        <v>7918</v>
      </c>
      <c r="P1232" s="63">
        <f>SUMIF(Town!$BB$174:$BB$721,$BL1232,Town!P$174:P$721)</f>
        <v>74</v>
      </c>
      <c r="Q1232" s="63">
        <f>SUMIF(Town!$BB$174:$BB$721,$BL1232,Town!Q$174:Q$721)</f>
        <v>1103</v>
      </c>
      <c r="R1232" s="63">
        <f>SUMIF(Town!$BB$174:$BB$721,$BL1232,Town!R$174:R$721)</f>
        <v>376</v>
      </c>
      <c r="S1232" s="63">
        <f>SUMIF(Town!$BB$174:$BB$721,$BL1232,Town!S$174:S$721)</f>
        <v>0</v>
      </c>
      <c r="T1232" s="63"/>
      <c r="U1232" s="63"/>
      <c r="V1232" s="63"/>
      <c r="W1232" s="63">
        <f>SUMIF(Town!$BB$174:$BB$721,$BL1232,Town!W$174:W$721)</f>
        <v>0</v>
      </c>
      <c r="X1232" s="63"/>
      <c r="Y1232" s="63"/>
      <c r="Z1232" s="63"/>
      <c r="AA1232" s="63"/>
      <c r="AB1232" s="63"/>
      <c r="AC1232" s="63"/>
      <c r="AD1232" s="63"/>
      <c r="AE1232" s="63">
        <f>SUMIF(Town!$BB$174:$BB$721,$BL1232,Town!AE$174:AE$721)</f>
        <v>1</v>
      </c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W1232" s="5">
        <f>IF(Q1232&gt;0,RANK(Q1232,(N1232:P1232,Q1232:AE1232)),0)</f>
        <v>3</v>
      </c>
      <c r="AX1232" s="5">
        <f>IF(R1232&gt;0,RANK(R1232,(N1232:P1232,Q1232:AE1232)),0)</f>
        <v>4</v>
      </c>
      <c r="AY1232" s="5">
        <f>IF(T1232&gt;0,RANK(T1232,(N1232:P1232,Q1232:AE1232)),0)</f>
        <v>0</v>
      </c>
      <c r="AZ1232" s="5">
        <f>IF(S1232&gt;0,RANK(S1232,(N1232:P1232,Q1232:AE1232)),0)</f>
        <v>0</v>
      </c>
      <c r="BA1232" s="2">
        <f t="shared" si="515"/>
        <v>6.6897137311984475E-2</v>
      </c>
      <c r="BB1232" s="2">
        <f t="shared" si="516"/>
        <v>2.2804463852498787E-2</v>
      </c>
      <c r="BC1232" s="2">
        <f t="shared" si="517"/>
        <v>0</v>
      </c>
      <c r="BD1232" s="2">
        <f t="shared" si="518"/>
        <v>0</v>
      </c>
      <c r="BF1232" t="s">
        <v>1138</v>
      </c>
      <c r="BG1232" t="s">
        <v>1697</v>
      </c>
      <c r="BH1232">
        <v>2</v>
      </c>
      <c r="BJ1232" s="114">
        <v>23</v>
      </c>
      <c r="BK1232" s="116">
        <v>7</v>
      </c>
      <c r="BL1232" s="120">
        <f t="shared" si="497"/>
        <v>23007</v>
      </c>
      <c r="BN1232" s="5" t="s">
        <v>3154</v>
      </c>
      <c r="BO1232" s="63">
        <f>SUMIF(Town!$BB$174:$BB$721,$BL1232,Town!BE$174:BE$721)</f>
        <v>597</v>
      </c>
      <c r="BR1232" s="63"/>
      <c r="CD1232" s="63">
        <f>SUMIF(Town!$BB$174:$BB$721,$BL1232,Town!BS$174:BS$721)</f>
        <v>0</v>
      </c>
    </row>
    <row r="1233" spans="1:119" hidden="1" outlineLevel="1">
      <c r="A1233" t="s">
        <v>597</v>
      </c>
      <c r="B1233" t="s">
        <v>1697</v>
      </c>
      <c r="C1233" s="1">
        <f t="shared" si="510"/>
        <v>32130</v>
      </c>
      <c r="D1233" s="5">
        <f>IF(N1233&gt;0, RANK(N1233,(N1233:P1233,Q1233:AE1233)),0)</f>
        <v>1</v>
      </c>
      <c r="E1233" s="5">
        <f>IF(O1233&gt;0,RANK(O1233,(N1233:P1233,Q1233:AE1233)),0)</f>
        <v>2</v>
      </c>
      <c r="F1233" s="5">
        <f>IF(P1233&gt;0,RANK(P1233,(N1233:P1233,Q1233:AE1233)),0)</f>
        <v>5</v>
      </c>
      <c r="G1233" s="132">
        <f t="shared" si="507"/>
        <v>2412</v>
      </c>
      <c r="H1233" s="137">
        <f t="shared" si="508"/>
        <v>7.5070028011204479E-2</v>
      </c>
      <c r="I1233" s="2"/>
      <c r="J1233" s="2">
        <f t="shared" si="511"/>
        <v>0.50161842514783694</v>
      </c>
      <c r="K1233" s="2">
        <f t="shared" si="512"/>
        <v>0.42654839713663245</v>
      </c>
      <c r="L1233" s="2">
        <f t="shared" si="513"/>
        <v>2.8633675692499223E-3</v>
      </c>
      <c r="M1233" s="2">
        <f t="shared" si="514"/>
        <v>6.8969810146280688E-2</v>
      </c>
      <c r="N1233" s="63">
        <f>SUMIF(Town!$BB$174:$BB$721,$BL1233,Town!N$174:N$721)</f>
        <v>16117</v>
      </c>
      <c r="O1233" s="63">
        <f>SUMIF(Town!$BB$174:$BB$721,$BL1233,Town!O$174:O$721)</f>
        <v>13705</v>
      </c>
      <c r="P1233" s="63">
        <f>SUMIF(Town!$BB$174:$BB$721,$BL1233,Town!P$174:P$721)</f>
        <v>92</v>
      </c>
      <c r="Q1233" s="63">
        <f>SUMIF(Town!$BB$174:$BB$721,$BL1233,Town!Q$174:Q$721)</f>
        <v>1560</v>
      </c>
      <c r="R1233" s="63">
        <f>SUMIF(Town!$BB$174:$BB$721,$BL1233,Town!R$174:R$721)</f>
        <v>644</v>
      </c>
      <c r="S1233" s="63">
        <f>SUMIF(Town!$BB$174:$BB$721,$BL1233,Town!S$174:S$721)</f>
        <v>12</v>
      </c>
      <c r="T1233" s="63"/>
      <c r="U1233" s="63"/>
      <c r="V1233" s="63"/>
      <c r="W1233" s="63">
        <f>SUMIF(Town!$BB$174:$BB$721,$BL1233,Town!W$174:W$721)</f>
        <v>0</v>
      </c>
      <c r="X1233" s="63"/>
      <c r="Y1233" s="63"/>
      <c r="Z1233" s="63"/>
      <c r="AA1233" s="63"/>
      <c r="AB1233" s="63"/>
      <c r="AC1233" s="63"/>
      <c r="AD1233" s="63"/>
      <c r="AE1233" s="63">
        <f>SUMIF(Town!$BB$174:$BB$721,$BL1233,Town!AE$174:AE$721)</f>
        <v>0</v>
      </c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W1233" s="5">
        <f>IF(Q1233&gt;0,RANK(Q1233,(N1233:P1233,Q1233:AE1233)),0)</f>
        <v>3</v>
      </c>
      <c r="AX1233" s="5">
        <f>IF(R1233&gt;0,RANK(R1233,(N1233:P1233,Q1233:AE1233)),0)</f>
        <v>4</v>
      </c>
      <c r="AY1233" s="5">
        <f>IF(T1233&gt;0,RANK(T1233,(N1233:P1233,Q1233:AE1233)),0)</f>
        <v>0</v>
      </c>
      <c r="AZ1233" s="5">
        <f>IF(S1233&gt;0,RANK(S1233,(N1233:P1233,Q1233:AE1233)),0)</f>
        <v>6</v>
      </c>
      <c r="BA1233" s="2">
        <f t="shared" si="515"/>
        <v>4.8552754435107377E-2</v>
      </c>
      <c r="BB1233" s="2">
        <f t="shared" si="516"/>
        <v>2.0043572984749455E-2</v>
      </c>
      <c r="BC1233" s="2">
        <f t="shared" si="517"/>
        <v>0</v>
      </c>
      <c r="BD1233" s="2">
        <f t="shared" si="518"/>
        <v>3.7348272642390287E-4</v>
      </c>
      <c r="BF1233" t="s">
        <v>597</v>
      </c>
      <c r="BG1233" t="s">
        <v>1697</v>
      </c>
      <c r="BH1233">
        <v>2</v>
      </c>
      <c r="BJ1233" s="114">
        <v>23</v>
      </c>
      <c r="BK1233" s="116">
        <v>9</v>
      </c>
      <c r="BL1233" s="120">
        <f t="shared" si="497"/>
        <v>23009</v>
      </c>
      <c r="BN1233" s="5" t="s">
        <v>3154</v>
      </c>
      <c r="BO1233" s="63">
        <f>SUMIF(Town!$BB$174:$BB$721,$BL1233,Town!BE$174:BE$721)</f>
        <v>925</v>
      </c>
      <c r="BR1233" s="63"/>
      <c r="CD1233" s="63">
        <f>SUMIF(Town!$BB$174:$BB$721,$BL1233,Town!BS$174:BS$721)</f>
        <v>0</v>
      </c>
    </row>
    <row r="1234" spans="1:119" hidden="1" outlineLevel="1">
      <c r="A1234" t="s">
        <v>3007</v>
      </c>
      <c r="B1234" t="s">
        <v>1697</v>
      </c>
      <c r="C1234" s="1">
        <f t="shared" si="510"/>
        <v>66208</v>
      </c>
      <c r="D1234" s="5">
        <f>IF(N1234&gt;0, RANK(N1234,(N1234:P1234,Q1234:AE1234)),0)</f>
        <v>2</v>
      </c>
      <c r="E1234" s="5">
        <f>IF(O1234&gt;0,RANK(O1234,(N1234:P1234,Q1234:AE1234)),0)</f>
        <v>1</v>
      </c>
      <c r="F1234" s="5">
        <f>IF(P1234&gt;0,RANK(P1234,(N1234:P1234,Q1234:AE1234)),0)</f>
        <v>5</v>
      </c>
      <c r="G1234" s="132">
        <f t="shared" si="507"/>
        <v>2373</v>
      </c>
      <c r="H1234" s="137">
        <f t="shared" si="508"/>
        <v>3.5841590140164331E-2</v>
      </c>
      <c r="I1234" s="2"/>
      <c r="J1234" s="2">
        <f t="shared" si="511"/>
        <v>0.44257491541807636</v>
      </c>
      <c r="K1234" s="2">
        <f t="shared" si="512"/>
        <v>0.47841650555824072</v>
      </c>
      <c r="L1234" s="2">
        <f t="shared" si="513"/>
        <v>2.4015224746254228E-3</v>
      </c>
      <c r="M1234" s="2">
        <f t="shared" si="514"/>
        <v>7.6607056549057487E-2</v>
      </c>
      <c r="N1234" s="63">
        <f>SUMIF(Town!$BB$174:$BB$721,$BL1234,Town!N$174:N$721)</f>
        <v>29302</v>
      </c>
      <c r="O1234" s="63">
        <f>SUMIF(Town!$BB$174:$BB$721,$BL1234,Town!O$174:O$721)</f>
        <v>31675</v>
      </c>
      <c r="P1234" s="63">
        <f>SUMIF(Town!$BB$174:$BB$721,$BL1234,Town!P$174:P$721)</f>
        <v>159</v>
      </c>
      <c r="Q1234" s="63">
        <f>SUMIF(Town!$BB$174:$BB$721,$BL1234,Town!Q$174:Q$721)</f>
        <v>3768</v>
      </c>
      <c r="R1234" s="63">
        <f>SUMIF(Town!$BB$174:$BB$721,$BL1234,Town!R$174:R$721)</f>
        <v>1284</v>
      </c>
      <c r="S1234" s="63">
        <f>SUMIF(Town!$BB$174:$BB$721,$BL1234,Town!S$174:S$721)</f>
        <v>20</v>
      </c>
      <c r="T1234" s="63"/>
      <c r="U1234" s="63"/>
      <c r="V1234" s="63"/>
      <c r="W1234" s="63">
        <f>SUMIF(Town!$BB$174:$BB$721,$BL1234,Town!W$174:W$721)</f>
        <v>0</v>
      </c>
      <c r="X1234" s="63"/>
      <c r="Y1234" s="63"/>
      <c r="Z1234" s="63"/>
      <c r="AA1234" s="63"/>
      <c r="AB1234" s="63"/>
      <c r="AC1234" s="63"/>
      <c r="AD1234" s="63"/>
      <c r="AE1234" s="63">
        <f>SUMIF(Town!$BB$174:$BB$721,$BL1234,Town!AE$174:AE$721)</f>
        <v>0</v>
      </c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W1234" s="5">
        <f>IF(Q1234&gt;0,RANK(Q1234,(N1234:P1234,Q1234:AE1234)),0)</f>
        <v>3</v>
      </c>
      <c r="AX1234" s="5">
        <f>IF(R1234&gt;0,RANK(R1234,(N1234:P1234,Q1234:AE1234)),0)</f>
        <v>4</v>
      </c>
      <c r="AY1234" s="5">
        <f>IF(T1234&gt;0,RANK(T1234,(N1234:P1234,Q1234:AE1234)),0)</f>
        <v>0</v>
      </c>
      <c r="AZ1234" s="5">
        <f>IF(S1234&gt;0,RANK(S1234,(N1234:P1234,Q1234:AE1234)),0)</f>
        <v>6</v>
      </c>
      <c r="BA1234" s="2">
        <f t="shared" si="515"/>
        <v>5.6911551474142098E-2</v>
      </c>
      <c r="BB1234" s="2">
        <f t="shared" si="516"/>
        <v>1.9393426776220395E-2</v>
      </c>
      <c r="BC1234" s="2">
        <f t="shared" si="517"/>
        <v>0</v>
      </c>
      <c r="BD1234" s="2">
        <f t="shared" si="518"/>
        <v>3.0207829869502174E-4</v>
      </c>
      <c r="BF1234" t="s">
        <v>3007</v>
      </c>
      <c r="BG1234" t="s">
        <v>1697</v>
      </c>
      <c r="BJ1234" s="114">
        <v>23</v>
      </c>
      <c r="BK1234" s="116">
        <v>11</v>
      </c>
      <c r="BL1234" s="120">
        <f t="shared" si="497"/>
        <v>23011</v>
      </c>
      <c r="BN1234" s="5" t="s">
        <v>3154</v>
      </c>
      <c r="BO1234" s="63">
        <f>SUMIF(Town!$BB$174:$BB$721,$BL1234,Town!BE$174:BE$721)</f>
        <v>2203</v>
      </c>
      <c r="BR1234" s="63"/>
      <c r="BS1234" s="128"/>
      <c r="CD1234" s="63">
        <f>SUMIF(Town!$BB$174:$BB$721,$BL1234,Town!BS$174:BS$721)</f>
        <v>0</v>
      </c>
    </row>
    <row r="1235" spans="1:119" hidden="1" outlineLevel="1">
      <c r="A1235" t="s">
        <v>1729</v>
      </c>
      <c r="B1235" t="s">
        <v>1697</v>
      </c>
      <c r="C1235" s="1">
        <f t="shared" si="510"/>
        <v>23147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>IF(P1235&gt;0,RANK(P1235,(N1235:P1235,Q1235:AE1235)),0)</f>
        <v>5</v>
      </c>
      <c r="G1235" s="132">
        <f t="shared" si="507"/>
        <v>3295</v>
      </c>
      <c r="H1235" s="137">
        <f t="shared" si="508"/>
        <v>0.14235106061260638</v>
      </c>
      <c r="I1235" s="2"/>
      <c r="J1235" s="2">
        <f t="shared" si="511"/>
        <v>0.53756426318745409</v>
      </c>
      <c r="K1235" s="2">
        <f t="shared" si="512"/>
        <v>0.39521320257484771</v>
      </c>
      <c r="L1235" s="2">
        <f t="shared" si="513"/>
        <v>2.6353307124033351E-3</v>
      </c>
      <c r="M1235" s="2">
        <f t="shared" si="514"/>
        <v>6.4587203525294859E-2</v>
      </c>
      <c r="N1235" s="63">
        <f>SUMIF(Town!$BB$174:$BB$721,$BL1235,Town!N$174:N$721)</f>
        <v>12443</v>
      </c>
      <c r="O1235" s="63">
        <f>SUMIF(Town!$BB$174:$BB$721,$BL1235,Town!O$174:O$721)</f>
        <v>9148</v>
      </c>
      <c r="P1235" s="63">
        <f>SUMIF(Town!$BB$174:$BB$721,$BL1235,Town!P$174:P$721)</f>
        <v>61</v>
      </c>
      <c r="Q1235" s="63">
        <f>SUMIF(Town!$BB$174:$BB$721,$BL1235,Town!Q$174:Q$721)</f>
        <v>948</v>
      </c>
      <c r="R1235" s="63">
        <f>SUMIF(Town!$BB$174:$BB$721,$BL1235,Town!R$174:R$721)</f>
        <v>535</v>
      </c>
      <c r="S1235" s="63">
        <f>SUMIF(Town!$BB$174:$BB$721,$BL1235,Town!S$174:S$721)</f>
        <v>11</v>
      </c>
      <c r="T1235" s="63"/>
      <c r="U1235" s="63"/>
      <c r="V1235" s="63"/>
      <c r="W1235" s="63">
        <f>SUMIF(Town!$BB$174:$BB$721,$BL1235,Town!W$174:W$721)</f>
        <v>0</v>
      </c>
      <c r="X1235" s="63"/>
      <c r="Y1235" s="63"/>
      <c r="Z1235" s="63"/>
      <c r="AA1235" s="63"/>
      <c r="AB1235" s="63"/>
      <c r="AC1235" s="63"/>
      <c r="AD1235" s="63"/>
      <c r="AE1235" s="63">
        <f>SUMIF(Town!$BB$174:$BB$721,$BL1235,Town!AE$174:AE$721)</f>
        <v>1</v>
      </c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W1235" s="5">
        <f>IF(Q1235&gt;0,RANK(Q1235,(N1235:P1235,Q1235:AE1235)),0)</f>
        <v>3</v>
      </c>
      <c r="AX1235" s="5">
        <f>IF(R1235&gt;0,RANK(R1235,(N1235:P1235,Q1235:AE1235)),0)</f>
        <v>4</v>
      </c>
      <c r="AY1235" s="5">
        <f>IF(T1235&gt;0,RANK(T1235,(N1235:P1235,Q1235:AE1235)),0)</f>
        <v>0</v>
      </c>
      <c r="AZ1235" s="5">
        <f>IF(S1235&gt;0,RANK(S1235,(N1235:P1235,Q1235:AE1235)),0)</f>
        <v>6</v>
      </c>
      <c r="BA1235" s="2">
        <f t="shared" si="515"/>
        <v>4.0955631399317405E-2</v>
      </c>
      <c r="BB1235" s="2">
        <f t="shared" si="516"/>
        <v>2.3113146412062038E-2</v>
      </c>
      <c r="BC1235" s="2">
        <f t="shared" si="517"/>
        <v>0</v>
      </c>
      <c r="BD1235" s="2">
        <f t="shared" si="518"/>
        <v>4.7522357108912601E-4</v>
      </c>
      <c r="BF1235" t="s">
        <v>1729</v>
      </c>
      <c r="BG1235" t="s">
        <v>1697</v>
      </c>
      <c r="BH1235">
        <v>1</v>
      </c>
      <c r="BJ1235" s="114">
        <v>23</v>
      </c>
      <c r="BK1235" s="116">
        <v>13</v>
      </c>
      <c r="BL1235" s="120">
        <f t="shared" si="497"/>
        <v>23013</v>
      </c>
      <c r="BN1235" s="5" t="s">
        <v>3154</v>
      </c>
      <c r="BO1235" s="63">
        <f>SUMIF(Town!$BB$174:$BB$721,$BL1235,Town!BE$174:BE$721)</f>
        <v>779</v>
      </c>
      <c r="BR1235" s="63"/>
      <c r="CD1235" s="63">
        <f>SUMIF(Town!$BB$174:$BB$721,$BL1235,Town!BS$174:BS$721)</f>
        <v>0</v>
      </c>
    </row>
    <row r="1236" spans="1:119" hidden="1" outlineLevel="1">
      <c r="A1236" t="s">
        <v>1597</v>
      </c>
      <c r="B1236" t="s">
        <v>1697</v>
      </c>
      <c r="C1236" s="1">
        <f t="shared" si="510"/>
        <v>21503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>IF(P1236&gt;0,RANK(P1236,(N1236:P1236,Q1236:AE1236)),0)</f>
        <v>5</v>
      </c>
      <c r="G1236" s="132">
        <f t="shared" si="507"/>
        <v>514</v>
      </c>
      <c r="H1236" s="137">
        <f t="shared" si="508"/>
        <v>2.3903641352369435E-2</v>
      </c>
      <c r="I1236" s="2"/>
      <c r="J1236" s="2">
        <f t="shared" si="511"/>
        <v>0.47625912663349301</v>
      </c>
      <c r="K1236" s="2">
        <f t="shared" si="512"/>
        <v>0.45235548528112357</v>
      </c>
      <c r="L1236" s="2">
        <f t="shared" si="513"/>
        <v>2.7903083290703621E-3</v>
      </c>
      <c r="M1236" s="2">
        <f t="shared" si="514"/>
        <v>6.8595079756313057E-2</v>
      </c>
      <c r="N1236" s="63">
        <f>SUMIF(Town!$BB$174:$BB$721,$BL1236,Town!N$174:N$721)</f>
        <v>10241</v>
      </c>
      <c r="O1236" s="63">
        <f>SUMIF(Town!$BB$174:$BB$721,$BL1236,Town!O$174:O$721)</f>
        <v>9727</v>
      </c>
      <c r="P1236" s="63">
        <f>SUMIF(Town!$BB$174:$BB$721,$BL1236,Town!P$174:P$721)</f>
        <v>60</v>
      </c>
      <c r="Q1236" s="63">
        <f>SUMIF(Town!$BB$174:$BB$721,$BL1236,Town!Q$174:Q$721)</f>
        <v>1039</v>
      </c>
      <c r="R1236" s="63">
        <f>SUMIF(Town!$BB$174:$BB$721,$BL1236,Town!R$174:R$721)</f>
        <v>425</v>
      </c>
      <c r="S1236" s="63">
        <f>SUMIF(Town!$BB$174:$BB$721,$BL1236,Town!S$174:S$721)</f>
        <v>11</v>
      </c>
      <c r="T1236" s="63"/>
      <c r="U1236" s="63"/>
      <c r="V1236" s="63"/>
      <c r="W1236" s="63">
        <f>SUMIF(Town!$BB$174:$BB$721,$BL1236,Town!W$174:W$721)</f>
        <v>0</v>
      </c>
      <c r="X1236" s="63"/>
      <c r="Y1236" s="63"/>
      <c r="Z1236" s="63"/>
      <c r="AA1236" s="63"/>
      <c r="AB1236" s="63"/>
      <c r="AC1236" s="63"/>
      <c r="AD1236" s="63"/>
      <c r="AE1236" s="63">
        <f>SUMIF(Town!$BB$174:$BB$721,$BL1236,Town!AE$174:AE$721)</f>
        <v>0</v>
      </c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W1236" s="5">
        <f>IF(Q1236&gt;0,RANK(Q1236,(N1236:P1236,Q1236:AE1236)),0)</f>
        <v>3</v>
      </c>
      <c r="AX1236" s="5">
        <f>IF(R1236&gt;0,RANK(R1236,(N1236:P1236,Q1236:AE1236)),0)</f>
        <v>4</v>
      </c>
      <c r="AY1236" s="5">
        <f>IF(T1236&gt;0,RANK(T1236,(N1236:P1236,Q1236:AE1236)),0)</f>
        <v>0</v>
      </c>
      <c r="AZ1236" s="5">
        <f>IF(S1236&gt;0,RANK(S1236,(N1236:P1236,Q1236:AE1236)),0)</f>
        <v>6</v>
      </c>
      <c r="BA1236" s="2">
        <f t="shared" si="515"/>
        <v>4.8318839231735106E-2</v>
      </c>
      <c r="BB1236" s="2">
        <f t="shared" si="516"/>
        <v>1.9764683997581734E-2</v>
      </c>
      <c r="BC1236" s="2">
        <f t="shared" si="517"/>
        <v>0</v>
      </c>
      <c r="BD1236" s="2">
        <f t="shared" si="518"/>
        <v>5.1155652699623304E-4</v>
      </c>
      <c r="BF1236" t="s">
        <v>1597</v>
      </c>
      <c r="BG1236" t="s">
        <v>1697</v>
      </c>
      <c r="BH1236">
        <v>1</v>
      </c>
      <c r="BJ1236" s="114">
        <v>23</v>
      </c>
      <c r="BK1236" s="116">
        <v>15</v>
      </c>
      <c r="BL1236" s="120">
        <f t="shared" si="497"/>
        <v>23015</v>
      </c>
      <c r="BN1236" s="5" t="s">
        <v>3154</v>
      </c>
      <c r="BO1236" s="63">
        <f>SUMIF(Town!$BB$174:$BB$721,$BL1236,Town!BE$174:BE$721)</f>
        <v>734</v>
      </c>
      <c r="BR1236" s="63"/>
      <c r="CD1236" s="63">
        <f>SUMIF(Town!$BB$174:$BB$721,$BL1236,Town!BS$174:BS$721)</f>
        <v>0</v>
      </c>
    </row>
    <row r="1237" spans="1:119" hidden="1" outlineLevel="1">
      <c r="A1237" t="s">
        <v>2383</v>
      </c>
      <c r="B1237" t="s">
        <v>1697</v>
      </c>
      <c r="C1237" s="1">
        <f t="shared" si="510"/>
        <v>31201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>IF(P1237&gt;0,RANK(P1237,(N1237:P1237,Q1237:AE1237)),0)</f>
        <v>5</v>
      </c>
      <c r="G1237" s="132">
        <f t="shared" si="507"/>
        <v>4038</v>
      </c>
      <c r="H1237" s="137">
        <f t="shared" si="508"/>
        <v>0.12941892888048459</v>
      </c>
      <c r="I1237" s="2"/>
      <c r="J1237" s="2">
        <f t="shared" si="511"/>
        <v>0.39011570141982627</v>
      </c>
      <c r="K1237" s="2">
        <f t="shared" si="512"/>
        <v>0.51953463030031088</v>
      </c>
      <c r="L1237" s="2">
        <f t="shared" si="513"/>
        <v>2.9486234415563605E-3</v>
      </c>
      <c r="M1237" s="2">
        <f t="shared" si="514"/>
        <v>8.7401044838306546E-2</v>
      </c>
      <c r="N1237" s="63">
        <f>SUMIF(Town!$BB$174:$BB$721,$BL1237,Town!N$174:N$721)</f>
        <v>12172</v>
      </c>
      <c r="O1237" s="63">
        <f>SUMIF(Town!$BB$174:$BB$721,$BL1237,Town!O$174:O$721)</f>
        <v>16210</v>
      </c>
      <c r="P1237" s="63">
        <f>SUMIF(Town!$BB$174:$BB$721,$BL1237,Town!P$174:P$721)</f>
        <v>92</v>
      </c>
      <c r="Q1237" s="63">
        <f>SUMIF(Town!$BB$174:$BB$721,$BL1237,Town!Q$174:Q$721)</f>
        <v>2045</v>
      </c>
      <c r="R1237" s="63">
        <f>SUMIF(Town!$BB$174:$BB$721,$BL1237,Town!R$174:R$721)</f>
        <v>661</v>
      </c>
      <c r="S1237" s="63">
        <f>SUMIF(Town!$BB$174:$BB$721,$BL1237,Town!S$174:S$721)</f>
        <v>20</v>
      </c>
      <c r="T1237" s="63"/>
      <c r="U1237" s="63"/>
      <c r="V1237" s="63"/>
      <c r="W1237" s="63">
        <f>SUMIF(Town!$BB$174:$BB$721,$BL1237,Town!W$174:W$721)</f>
        <v>0</v>
      </c>
      <c r="X1237" s="63"/>
      <c r="Y1237" s="63"/>
      <c r="Z1237" s="63"/>
      <c r="AA1237" s="63"/>
      <c r="AB1237" s="63"/>
      <c r="AC1237" s="63"/>
      <c r="AD1237" s="63"/>
      <c r="AE1237" s="63">
        <f>SUMIF(Town!$BB$174:$BB$721,$BL1237,Town!AE$174:AE$721)</f>
        <v>1</v>
      </c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W1237" s="5">
        <f>IF(Q1237&gt;0,RANK(Q1237,(N1237:P1237,Q1237:AE1237)),0)</f>
        <v>3</v>
      </c>
      <c r="AX1237" s="5">
        <f>IF(R1237&gt;0,RANK(R1237,(N1237:P1237,Q1237:AE1237)),0)</f>
        <v>4</v>
      </c>
      <c r="AY1237" s="5">
        <f>IF(T1237&gt;0,RANK(T1237,(N1237:P1237,Q1237:AE1237)),0)</f>
        <v>0</v>
      </c>
      <c r="AZ1237" s="5">
        <f>IF(S1237&gt;0,RANK(S1237,(N1237:P1237,Q1237:AE1237)),0)</f>
        <v>6</v>
      </c>
      <c r="BA1237" s="2">
        <f t="shared" si="515"/>
        <v>6.5542771065029967E-2</v>
      </c>
      <c r="BB1237" s="2">
        <f t="shared" si="516"/>
        <v>2.1185218422486458E-2</v>
      </c>
      <c r="BC1237" s="2">
        <f t="shared" si="517"/>
        <v>0</v>
      </c>
      <c r="BD1237" s="2">
        <f t="shared" si="518"/>
        <v>6.4100509599051311E-4</v>
      </c>
      <c r="BF1237" t="s">
        <v>2383</v>
      </c>
      <c r="BG1237" t="s">
        <v>1697</v>
      </c>
      <c r="BH1237">
        <v>2</v>
      </c>
      <c r="BJ1237" s="114">
        <v>23</v>
      </c>
      <c r="BK1237" s="116">
        <v>17</v>
      </c>
      <c r="BL1237" s="120">
        <f t="shared" si="497"/>
        <v>23017</v>
      </c>
      <c r="BN1237" s="5" t="s">
        <v>3154</v>
      </c>
      <c r="BO1237" s="63">
        <f>SUMIF(Town!$BB$174:$BB$721,$BL1237,Town!BE$174:BE$721)</f>
        <v>1204</v>
      </c>
      <c r="BR1237" s="63"/>
      <c r="CD1237" s="63">
        <f>SUMIF(Town!$BB$174:$BB$721,$BL1237,Town!BS$174:BS$721)</f>
        <v>0</v>
      </c>
    </row>
    <row r="1238" spans="1:119" hidden="1" outlineLevel="1">
      <c r="A1238" t="s">
        <v>2481</v>
      </c>
      <c r="B1238" t="s">
        <v>1697</v>
      </c>
      <c r="C1238" s="1">
        <f t="shared" si="510"/>
        <v>80540</v>
      </c>
      <c r="D1238" s="5">
        <f>IF(N1238&gt;0, RANK(N1238,(N1238:P1238,Q1238:AE1238)),0)</f>
        <v>2</v>
      </c>
      <c r="E1238" s="5">
        <f>IF(O1238&gt;0,RANK(O1238,(N1238:P1238,Q1238:AE1238)),0)</f>
        <v>1</v>
      </c>
      <c r="F1238" s="5">
        <f>IF(P1238&gt;0,RANK(P1238,(N1238:P1238,Q1238:AE1238)),0)</f>
        <v>5</v>
      </c>
      <c r="G1238" s="132">
        <f t="shared" si="507"/>
        <v>8784</v>
      </c>
      <c r="H1238" s="137">
        <f t="shared" si="508"/>
        <v>0.10906381922026322</v>
      </c>
      <c r="I1238" s="2"/>
      <c r="J1238" s="2">
        <f t="shared" si="511"/>
        <v>0.40772287062329277</v>
      </c>
      <c r="K1238" s="2">
        <f t="shared" si="512"/>
        <v>0.51678668984355602</v>
      </c>
      <c r="L1238" s="2">
        <f t="shared" si="513"/>
        <v>3.1040476781723368E-3</v>
      </c>
      <c r="M1238" s="2">
        <f t="shared" si="514"/>
        <v>7.2386391854978929E-2</v>
      </c>
      <c r="N1238" s="63">
        <f>SUMIF(Town!$BB$174:$BB$721,$BL1238,Town!N$174:N$721)</f>
        <v>32838</v>
      </c>
      <c r="O1238" s="63">
        <f>SUMIF(Town!$BB$174:$BB$721,$BL1238,Town!O$174:O$721)</f>
        <v>41622</v>
      </c>
      <c r="P1238" s="63">
        <f>SUMIF(Town!$BB$174:$BB$721,$BL1238,Town!P$174:P$721)</f>
        <v>250</v>
      </c>
      <c r="Q1238" s="63">
        <f>SUMIF(Town!$BB$174:$BB$721,$BL1238,Town!Q$174:Q$721)</f>
        <v>4377</v>
      </c>
      <c r="R1238" s="63">
        <f>SUMIF(Town!$BB$174:$BB$721,$BL1238,Town!R$174:R$721)</f>
        <v>1417</v>
      </c>
      <c r="S1238" s="63">
        <f>SUMIF(Town!$BB$174:$BB$721,$BL1238,Town!S$174:S$721)</f>
        <v>27</v>
      </c>
      <c r="T1238" s="63"/>
      <c r="U1238" s="63"/>
      <c r="V1238" s="63"/>
      <c r="W1238" s="63">
        <f>SUMIF(Town!$BB$174:$BB$721,$BL1238,Town!W$174:W$721)</f>
        <v>6</v>
      </c>
      <c r="X1238" s="63"/>
      <c r="Y1238" s="63"/>
      <c r="Z1238" s="63"/>
      <c r="AA1238" s="63"/>
      <c r="AB1238" s="63"/>
      <c r="AC1238" s="63"/>
      <c r="AD1238" s="63"/>
      <c r="AE1238" s="63">
        <f>SUMIF(Town!$BB$174:$BB$721,$BL1238,Town!AE$174:AE$721)</f>
        <v>3</v>
      </c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W1238" s="5">
        <f>IF(Q1238&gt;0,RANK(Q1238,(N1238:P1238,Q1238:AE1238)),0)</f>
        <v>3</v>
      </c>
      <c r="AX1238" s="5">
        <f>IF(R1238&gt;0,RANK(R1238,(N1238:P1238,Q1238:AE1238)),0)</f>
        <v>4</v>
      </c>
      <c r="AY1238" s="5">
        <f>IF(T1238&gt;0,RANK(T1238,(N1238:P1238,Q1238:AE1238)),0)</f>
        <v>0</v>
      </c>
      <c r="AZ1238" s="5">
        <f>IF(S1238&gt;0,RANK(S1238,(N1238:P1238,Q1238:AE1238)),0)</f>
        <v>6</v>
      </c>
      <c r="BA1238" s="2">
        <f t="shared" si="515"/>
        <v>5.4345666749441274E-2</v>
      </c>
      <c r="BB1238" s="2">
        <f t="shared" si="516"/>
        <v>1.7593742239880805E-2</v>
      </c>
      <c r="BC1238" s="2">
        <f t="shared" si="517"/>
        <v>0</v>
      </c>
      <c r="BD1238" s="2">
        <f t="shared" si="518"/>
        <v>3.3523714924261236E-4</v>
      </c>
      <c r="BF1238" t="s">
        <v>2481</v>
      </c>
      <c r="BG1238" t="s">
        <v>1697</v>
      </c>
      <c r="BH1238">
        <v>2</v>
      </c>
      <c r="BJ1238" s="114">
        <v>23</v>
      </c>
      <c r="BK1238" s="116">
        <v>19</v>
      </c>
      <c r="BL1238" s="120">
        <f t="shared" si="497"/>
        <v>23019</v>
      </c>
      <c r="BN1238" s="5" t="s">
        <v>3154</v>
      </c>
      <c r="BO1238" s="63">
        <f>SUMIF(Town!$BB$174:$BB$721,$BL1238,Town!BE$174:BE$721)</f>
        <v>2475</v>
      </c>
      <c r="BR1238" s="63"/>
      <c r="CD1238" s="63">
        <f>SUMIF(Town!$BB$174:$BB$721,$BL1238,Town!BS$174:BS$721)</f>
        <v>6</v>
      </c>
    </row>
    <row r="1239" spans="1:119" hidden="1" outlineLevel="1">
      <c r="A1239" t="s">
        <v>1957</v>
      </c>
      <c r="B1239" t="s">
        <v>1697</v>
      </c>
      <c r="C1239" s="1">
        <f t="shared" si="510"/>
        <v>9182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>IF(P1239&gt;0,RANK(P1239,(N1239:P1239,Q1239:AE1239)),0)</f>
        <v>5</v>
      </c>
      <c r="G1239" s="132">
        <f t="shared" si="507"/>
        <v>2308</v>
      </c>
      <c r="H1239" s="137">
        <f t="shared" si="508"/>
        <v>0.25136135918100633</v>
      </c>
      <c r="I1239" s="2"/>
      <c r="J1239" s="2">
        <f t="shared" si="511"/>
        <v>0.33739925942060556</v>
      </c>
      <c r="K1239" s="2">
        <f t="shared" si="512"/>
        <v>0.58876061860161188</v>
      </c>
      <c r="L1239" s="2">
        <f t="shared" si="513"/>
        <v>3.3761707688956654E-3</v>
      </c>
      <c r="M1239" s="2">
        <f t="shared" si="514"/>
        <v>7.0463951208886891E-2</v>
      </c>
      <c r="N1239" s="63">
        <f>SUMIF(Town!$BB$174:$BB$721,$BL1239,Town!N$174:N$721)</f>
        <v>3098</v>
      </c>
      <c r="O1239" s="63">
        <f>SUMIF(Town!$BB$174:$BB$721,$BL1239,Town!O$174:O$721)</f>
        <v>5406</v>
      </c>
      <c r="P1239" s="63">
        <f>SUMIF(Town!$BB$174:$BB$721,$BL1239,Town!P$174:P$721)</f>
        <v>31</v>
      </c>
      <c r="Q1239" s="63">
        <f>SUMIF(Town!$BB$174:$BB$721,$BL1239,Town!Q$174:Q$721)</f>
        <v>464</v>
      </c>
      <c r="R1239" s="63">
        <f>SUMIF(Town!$BB$174:$BB$721,$BL1239,Town!R$174:R$721)</f>
        <v>179</v>
      </c>
      <c r="S1239" s="63">
        <f>SUMIF(Town!$BB$174:$BB$721,$BL1239,Town!S$174:S$721)</f>
        <v>4</v>
      </c>
      <c r="T1239" s="63"/>
      <c r="U1239" s="63"/>
      <c r="V1239" s="63"/>
      <c r="W1239" s="63">
        <f>SUMIF(Town!$BB$174:$BB$721,$BL1239,Town!W$174:W$721)</f>
        <v>0</v>
      </c>
      <c r="X1239" s="63"/>
      <c r="Y1239" s="63"/>
      <c r="Z1239" s="63"/>
      <c r="AA1239" s="63"/>
      <c r="AB1239" s="63"/>
      <c r="AC1239" s="63"/>
      <c r="AD1239" s="63"/>
      <c r="AE1239" s="63">
        <f>SUMIF(Town!$BB$174:$BB$721,$BL1239,Town!AE$174:AE$721)</f>
        <v>0</v>
      </c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W1239" s="5">
        <f>IF(Q1239&gt;0,RANK(Q1239,(N1239:P1239,Q1239:AE1239)),0)</f>
        <v>3</v>
      </c>
      <c r="AX1239" s="5">
        <f>IF(R1239&gt;0,RANK(R1239,(N1239:P1239,Q1239:AE1239)),0)</f>
        <v>4</v>
      </c>
      <c r="AY1239" s="5">
        <f>IF(T1239&gt;0,RANK(T1239,(N1239:P1239,Q1239:AE1239)),0)</f>
        <v>0</v>
      </c>
      <c r="AZ1239" s="5">
        <f>IF(S1239&gt;0,RANK(S1239,(N1239:P1239,Q1239:AE1239)),0)</f>
        <v>6</v>
      </c>
      <c r="BA1239" s="2">
        <f t="shared" si="515"/>
        <v>5.0533652798954477E-2</v>
      </c>
      <c r="BB1239" s="2">
        <f t="shared" si="516"/>
        <v>1.9494663472010454E-2</v>
      </c>
      <c r="BC1239" s="2">
        <f t="shared" si="517"/>
        <v>0</v>
      </c>
      <c r="BD1239" s="2">
        <f t="shared" si="518"/>
        <v>4.3563493792202136E-4</v>
      </c>
      <c r="BF1239" t="s">
        <v>1957</v>
      </c>
      <c r="BG1239" t="s">
        <v>1697</v>
      </c>
      <c r="BH1239">
        <v>2</v>
      </c>
      <c r="BJ1239" s="114">
        <v>23</v>
      </c>
      <c r="BK1239" s="116">
        <v>21</v>
      </c>
      <c r="BL1239" s="120">
        <f t="shared" si="497"/>
        <v>23021</v>
      </c>
      <c r="BN1239" s="5" t="s">
        <v>3154</v>
      </c>
      <c r="BO1239" s="63">
        <f>SUMIF(Town!$BB$174:$BB$721,$BL1239,Town!BE$174:BE$721)</f>
        <v>336</v>
      </c>
      <c r="BR1239" s="63"/>
      <c r="BS1239" s="128"/>
      <c r="CD1239" s="63">
        <f>SUMIF(Town!$BB$174:$BB$721,$BL1239,Town!BS$174:BS$721)</f>
        <v>0</v>
      </c>
    </row>
    <row r="1240" spans="1:119" hidden="1" outlineLevel="1">
      <c r="A1240" t="s">
        <v>1283</v>
      </c>
      <c r="B1240" t="s">
        <v>1697</v>
      </c>
      <c r="C1240" s="1">
        <f t="shared" si="510"/>
        <v>21616</v>
      </c>
      <c r="D1240" s="5">
        <f>IF(N1240&gt;0, RANK(N1240,(N1240:P1240,Q1240:AE1240)),0)</f>
        <v>1</v>
      </c>
      <c r="E1240" s="5">
        <f>IF(O1240&gt;0,RANK(O1240,(N1240:P1240,Q1240:AE1240)),0)</f>
        <v>2</v>
      </c>
      <c r="F1240" s="5">
        <f>IF(P1240&gt;0,RANK(P1240,(N1240:P1240,Q1240:AE1240)),0)</f>
        <v>5</v>
      </c>
      <c r="G1240" s="132">
        <f t="shared" si="507"/>
        <v>1360</v>
      </c>
      <c r="H1240" s="137">
        <f t="shared" si="508"/>
        <v>6.2916358253145815E-2</v>
      </c>
      <c r="I1240" s="2"/>
      <c r="J1240" s="2">
        <f t="shared" si="511"/>
        <v>0.4933382679496669</v>
      </c>
      <c r="K1240" s="2">
        <f t="shared" si="512"/>
        <v>0.43042190969652111</v>
      </c>
      <c r="L1240" s="2">
        <f t="shared" si="513"/>
        <v>1.2028127313101406E-3</v>
      </c>
      <c r="M1240" s="2">
        <f t="shared" si="514"/>
        <v>7.5037009622501802E-2</v>
      </c>
      <c r="N1240" s="63">
        <f>SUMIF(Town!$BB$174:$BB$721,$BL1240,Town!N$174:N$721)</f>
        <v>10664</v>
      </c>
      <c r="O1240" s="63">
        <f>SUMIF(Town!$BB$174:$BB$721,$BL1240,Town!O$174:O$721)</f>
        <v>9304</v>
      </c>
      <c r="P1240" s="63">
        <f>SUMIF(Town!$BB$174:$BB$721,$BL1240,Town!P$174:P$721)</f>
        <v>26</v>
      </c>
      <c r="Q1240" s="63">
        <f>SUMIF(Town!$BB$174:$BB$721,$BL1240,Town!Q$174:Q$721)</f>
        <v>1178</v>
      </c>
      <c r="R1240" s="63">
        <f>SUMIF(Town!$BB$174:$BB$721,$BL1240,Town!R$174:R$721)</f>
        <v>436</v>
      </c>
      <c r="S1240" s="63">
        <f>SUMIF(Town!$BB$174:$BB$721,$BL1240,Town!S$174:S$721)</f>
        <v>7</v>
      </c>
      <c r="T1240" s="63"/>
      <c r="U1240" s="63"/>
      <c r="V1240" s="63"/>
      <c r="W1240" s="63">
        <f>SUMIF(Town!$BB$174:$BB$721,$BL1240,Town!W$174:W$721)</f>
        <v>0</v>
      </c>
      <c r="X1240" s="63"/>
      <c r="Y1240" s="63"/>
      <c r="Z1240" s="63"/>
      <c r="AA1240" s="63"/>
      <c r="AB1240" s="63"/>
      <c r="AC1240" s="63"/>
      <c r="AD1240" s="63"/>
      <c r="AE1240" s="63">
        <f>SUMIF(Town!$BB$174:$BB$721,$BL1240,Town!AE$174:AE$721)</f>
        <v>1</v>
      </c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W1240" s="5">
        <f>IF(Q1240&gt;0,RANK(Q1240,(N1240:P1240,Q1240:AE1240)),0)</f>
        <v>3</v>
      </c>
      <c r="AX1240" s="5">
        <f>IF(R1240&gt;0,RANK(R1240,(N1240:P1240,Q1240:AE1240)),0)</f>
        <v>4</v>
      </c>
      <c r="AY1240" s="5">
        <f>IF(T1240&gt;0,RANK(T1240,(N1240:P1240,Q1240:AE1240)),0)</f>
        <v>0</v>
      </c>
      <c r="AZ1240" s="5">
        <f>IF(S1240&gt;0,RANK(S1240,(N1240:P1240,Q1240:AE1240)),0)</f>
        <v>6</v>
      </c>
      <c r="BA1240" s="2">
        <f t="shared" si="515"/>
        <v>5.4496669133974836E-2</v>
      </c>
      <c r="BB1240" s="2">
        <f t="shared" si="516"/>
        <v>2.0170244263508511E-2</v>
      </c>
      <c r="BC1240" s="2">
        <f t="shared" si="517"/>
        <v>0</v>
      </c>
      <c r="BD1240" s="2">
        <f t="shared" si="518"/>
        <v>3.2383419689119172E-4</v>
      </c>
      <c r="BF1240" t="s">
        <v>1283</v>
      </c>
      <c r="BG1240" t="s">
        <v>1697</v>
      </c>
      <c r="BH1240">
        <v>1</v>
      </c>
      <c r="BJ1240" s="114">
        <v>23</v>
      </c>
      <c r="BK1240" s="116">
        <v>23</v>
      </c>
      <c r="BL1240" s="120">
        <f t="shared" si="497"/>
        <v>23023</v>
      </c>
      <c r="BN1240" s="5" t="s">
        <v>3154</v>
      </c>
      <c r="BO1240" s="63">
        <f>SUMIF(Town!$BB$174:$BB$721,$BL1240,Town!BE$174:BE$721)</f>
        <v>740</v>
      </c>
      <c r="BR1240" s="63"/>
      <c r="CD1240" s="63">
        <f>SUMIF(Town!$BB$174:$BB$721,$BL1240,Town!BS$174:BS$721)</f>
        <v>0</v>
      </c>
    </row>
    <row r="1241" spans="1:119" hidden="1" outlineLevel="1">
      <c r="A1241" t="s">
        <v>1787</v>
      </c>
      <c r="B1241" t="s">
        <v>1697</v>
      </c>
      <c r="C1241" s="1">
        <f t="shared" si="510"/>
        <v>26064</v>
      </c>
      <c r="D1241" s="5">
        <f>IF(N1241&gt;0, RANK(N1241,(N1241:P1241,Q1241:AE1241)),0)</f>
        <v>2</v>
      </c>
      <c r="E1241" s="5">
        <f>IF(O1241&gt;0,RANK(O1241,(N1241:P1241,Q1241:AE1241)),0)</f>
        <v>1</v>
      </c>
      <c r="F1241" s="5">
        <f>IF(P1241&gt;0,RANK(P1241,(N1241:P1241,Q1241:AE1241)),0)</f>
        <v>5</v>
      </c>
      <c r="G1241" s="132">
        <f t="shared" si="507"/>
        <v>5909</v>
      </c>
      <c r="H1241" s="137">
        <f t="shared" si="508"/>
        <v>0.22671117249846531</v>
      </c>
      <c r="I1241" s="2"/>
      <c r="J1241" s="2">
        <f t="shared" si="511"/>
        <v>0.34883364027010438</v>
      </c>
      <c r="K1241" s="2">
        <f t="shared" si="512"/>
        <v>0.57554481276856972</v>
      </c>
      <c r="L1241" s="2">
        <f t="shared" si="513"/>
        <v>3.1844689993861266E-3</v>
      </c>
      <c r="M1241" s="2">
        <f t="shared" si="514"/>
        <v>7.2437077961939711E-2</v>
      </c>
      <c r="N1241" s="63">
        <f>SUMIF(Town!$BB$174:$BB$721,$BL1241,Town!N$174:N$721)</f>
        <v>9092</v>
      </c>
      <c r="O1241" s="63">
        <f>SUMIF(Town!$BB$174:$BB$721,$BL1241,Town!O$174:O$721)</f>
        <v>15001</v>
      </c>
      <c r="P1241" s="63">
        <f>SUMIF(Town!$BB$174:$BB$721,$BL1241,Town!P$174:P$721)</f>
        <v>83</v>
      </c>
      <c r="Q1241" s="63">
        <f>SUMIF(Town!$BB$174:$BB$721,$BL1241,Town!Q$174:Q$721)</f>
        <v>1362</v>
      </c>
      <c r="R1241" s="63">
        <f>SUMIF(Town!$BB$174:$BB$721,$BL1241,Town!R$174:R$721)</f>
        <v>516</v>
      </c>
      <c r="S1241" s="63">
        <f>SUMIF(Town!$BB$174:$BB$721,$BL1241,Town!S$174:S$721)</f>
        <v>10</v>
      </c>
      <c r="T1241" s="63"/>
      <c r="U1241" s="63"/>
      <c r="V1241" s="63"/>
      <c r="W1241" s="63">
        <f>SUMIF(Town!$BB$174:$BB$721,$BL1241,Town!W$174:W$721)</f>
        <v>0</v>
      </c>
      <c r="X1241" s="63"/>
      <c r="Y1241" s="63"/>
      <c r="Z1241" s="63"/>
      <c r="AA1241" s="63"/>
      <c r="AB1241" s="63"/>
      <c r="AC1241" s="63"/>
      <c r="AD1241" s="63"/>
      <c r="AE1241" s="63">
        <f>SUMIF(Town!$BB$174:$BB$721,$BL1241,Town!AE$174:AE$721)</f>
        <v>0</v>
      </c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W1241" s="5">
        <f>IF(Q1241&gt;0,RANK(Q1241,(N1241:P1241,Q1241:AE1241)),0)</f>
        <v>3</v>
      </c>
      <c r="AX1241" s="5">
        <f>IF(R1241&gt;0,RANK(R1241,(N1241:P1241,Q1241:AE1241)),0)</f>
        <v>4</v>
      </c>
      <c r="AY1241" s="5">
        <f>IF(T1241&gt;0,RANK(T1241,(N1241:P1241,Q1241:AE1241)),0)</f>
        <v>0</v>
      </c>
      <c r="AZ1241" s="5">
        <f>IF(S1241&gt;0,RANK(S1241,(N1241:P1241,Q1241:AE1241)),0)</f>
        <v>6</v>
      </c>
      <c r="BA1241" s="2">
        <f t="shared" si="515"/>
        <v>5.2255985267034989E-2</v>
      </c>
      <c r="BB1241" s="2">
        <f t="shared" si="516"/>
        <v>1.979742173112339E-2</v>
      </c>
      <c r="BC1241" s="2">
        <f t="shared" si="517"/>
        <v>0</v>
      </c>
      <c r="BD1241" s="2">
        <f t="shared" si="518"/>
        <v>3.8367096378146102E-4</v>
      </c>
      <c r="BF1241" t="s">
        <v>1787</v>
      </c>
      <c r="BG1241" t="s">
        <v>1697</v>
      </c>
      <c r="BH1241">
        <v>2</v>
      </c>
      <c r="BJ1241" s="114">
        <v>23</v>
      </c>
      <c r="BK1241" s="116">
        <v>25</v>
      </c>
      <c r="BL1241" s="120">
        <f t="shared" si="497"/>
        <v>23025</v>
      </c>
      <c r="BN1241" s="5" t="s">
        <v>3154</v>
      </c>
      <c r="BO1241" s="63">
        <f>SUMIF(Town!$BB$174:$BB$721,$BL1241,Town!BE$174:BE$721)</f>
        <v>843</v>
      </c>
      <c r="BR1241" s="63"/>
      <c r="BS1241" s="128"/>
      <c r="CD1241" s="63">
        <f>SUMIF(Town!$BB$174:$BB$721,$BL1241,Town!BS$174:BS$721)</f>
        <v>0</v>
      </c>
    </row>
    <row r="1242" spans="1:119" hidden="1" outlineLevel="1">
      <c r="A1242" t="s">
        <v>217</v>
      </c>
      <c r="B1242" t="s">
        <v>1697</v>
      </c>
      <c r="C1242" s="1">
        <f t="shared" si="510"/>
        <v>22707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>IF(P1242&gt;0,RANK(P1242,(N1242:P1242,Q1242:AE1242)),0)</f>
        <v>5</v>
      </c>
      <c r="G1242" s="132">
        <f t="shared" si="507"/>
        <v>62</v>
      </c>
      <c r="H1242" s="137">
        <f t="shared" si="508"/>
        <v>2.7304355485092704E-3</v>
      </c>
      <c r="I1242" s="2"/>
      <c r="J1242" s="2">
        <f t="shared" si="511"/>
        <v>0.45977011494252873</v>
      </c>
      <c r="K1242" s="2">
        <f t="shared" si="512"/>
        <v>0.45703967939401946</v>
      </c>
      <c r="L1242" s="2">
        <f t="shared" si="513"/>
        <v>2.9946712467521031E-3</v>
      </c>
      <c r="M1242" s="2">
        <f t="shared" si="514"/>
        <v>8.0195534416699701E-2</v>
      </c>
      <c r="N1242" s="63">
        <f>SUMIF(Town!$BB$174:$BB$721,$BL1242,Town!N$174:N$721)</f>
        <v>10440</v>
      </c>
      <c r="O1242" s="63">
        <f>SUMIF(Town!$BB$174:$BB$721,$BL1242,Town!O$174:O$721)</f>
        <v>10378</v>
      </c>
      <c r="P1242" s="63">
        <f>SUMIF(Town!$BB$174:$BB$721,$BL1242,Town!P$174:P$721)</f>
        <v>68</v>
      </c>
      <c r="Q1242" s="63">
        <f>SUMIF(Town!$BB$174:$BB$721,$BL1242,Town!Q$174:Q$721)</f>
        <v>1220</v>
      </c>
      <c r="R1242" s="63">
        <f>SUMIF(Town!$BB$174:$BB$721,$BL1242,Town!R$174:R$721)</f>
        <v>590</v>
      </c>
      <c r="S1242" s="63">
        <f>SUMIF(Town!$BB$174:$BB$721,$BL1242,Town!S$174:S$721)</f>
        <v>8</v>
      </c>
      <c r="T1242" s="63"/>
      <c r="U1242" s="63"/>
      <c r="V1242" s="63"/>
      <c r="W1242" s="63">
        <f>SUMIF(Town!$BB$174:$BB$721,$BL1242,Town!W$174:W$721)</f>
        <v>0</v>
      </c>
      <c r="X1242" s="63"/>
      <c r="Y1242" s="63"/>
      <c r="Z1242" s="63"/>
      <c r="AA1242" s="63"/>
      <c r="AB1242" s="63"/>
      <c r="AC1242" s="63"/>
      <c r="AD1242" s="63"/>
      <c r="AE1242" s="63">
        <f>SUMIF(Town!$BB$174:$BB$721,$BL1242,Town!AE$174:AE$721)</f>
        <v>3</v>
      </c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W1242" s="5">
        <f>IF(Q1242&gt;0,RANK(Q1242,(N1242:P1242,Q1242:AE1242)),0)</f>
        <v>3</v>
      </c>
      <c r="AX1242" s="5">
        <f>IF(R1242&gt;0,RANK(R1242,(N1242:P1242,Q1242:AE1242)),0)</f>
        <v>4</v>
      </c>
      <c r="AY1242" s="5">
        <f>IF(T1242&gt;0,RANK(T1242,(N1242:P1242,Q1242:AE1242)),0)</f>
        <v>0</v>
      </c>
      <c r="AZ1242" s="5">
        <f>IF(S1242&gt;0,RANK(S1242,(N1242:P1242,Q1242:AE1242)),0)</f>
        <v>6</v>
      </c>
      <c r="BA1242" s="2">
        <f t="shared" si="515"/>
        <v>5.3727925309375965E-2</v>
      </c>
      <c r="BB1242" s="2">
        <f t="shared" si="516"/>
        <v>2.5983176993878539E-2</v>
      </c>
      <c r="BC1242" s="2">
        <f t="shared" si="517"/>
        <v>0</v>
      </c>
      <c r="BD1242" s="2">
        <f t="shared" si="518"/>
        <v>3.5231426432377679E-4</v>
      </c>
      <c r="BF1242" t="s">
        <v>217</v>
      </c>
      <c r="BG1242" t="s">
        <v>1697</v>
      </c>
      <c r="BH1242">
        <v>2</v>
      </c>
      <c r="BJ1242" s="114">
        <v>23</v>
      </c>
      <c r="BK1242" s="116">
        <v>27</v>
      </c>
      <c r="BL1242" s="120">
        <f t="shared" si="497"/>
        <v>23027</v>
      </c>
      <c r="BN1242" s="5" t="s">
        <v>3154</v>
      </c>
      <c r="BO1242" s="63">
        <f>SUMIF(Town!$BB$174:$BB$721,$BL1242,Town!BE$174:BE$721)</f>
        <v>764</v>
      </c>
      <c r="BR1242" s="63"/>
      <c r="CD1242" s="63">
        <f>SUMIF(Town!$BB$174:$BB$721,$BL1242,Town!BS$174:BS$721)</f>
        <v>0</v>
      </c>
    </row>
    <row r="1243" spans="1:119" hidden="1" outlineLevel="1">
      <c r="A1243" t="s">
        <v>692</v>
      </c>
      <c r="B1243" t="s">
        <v>1697</v>
      </c>
      <c r="C1243" s="1">
        <f t="shared" si="510"/>
        <v>16365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>IF(P1243&gt;0,RANK(P1243,(N1243:P1243,Q1243:AE1243)),0)</f>
        <v>5</v>
      </c>
      <c r="G1243" s="132">
        <f t="shared" si="507"/>
        <v>3018</v>
      </c>
      <c r="H1243" s="137">
        <f t="shared" si="508"/>
        <v>0.18441796516956921</v>
      </c>
      <c r="I1243" s="2"/>
      <c r="J1243" s="2">
        <f t="shared" si="511"/>
        <v>0.37121906507791019</v>
      </c>
      <c r="K1243" s="2">
        <f t="shared" si="512"/>
        <v>0.55563703024747935</v>
      </c>
      <c r="L1243" s="2">
        <f t="shared" si="513"/>
        <v>1.8331805682859762E-3</v>
      </c>
      <c r="M1243" s="2">
        <f t="shared" si="514"/>
        <v>7.1310724106324538E-2</v>
      </c>
      <c r="N1243" s="63">
        <f>SUMIF(Town!$BB$174:$BB$721,$BL1243,Town!N$174:N$721)</f>
        <v>6075</v>
      </c>
      <c r="O1243" s="63">
        <f>SUMIF(Town!$BB$174:$BB$721,$BL1243,Town!O$174:O$721)</f>
        <v>9093</v>
      </c>
      <c r="P1243" s="63">
        <f>SUMIF(Town!$BB$174:$BB$721,$BL1243,Town!P$174:P$721)</f>
        <v>30</v>
      </c>
      <c r="Q1243" s="63">
        <f>SUMIF(Town!$BB$174:$BB$721,$BL1243,Town!Q$174:Q$721)</f>
        <v>791</v>
      </c>
      <c r="R1243" s="63">
        <f>SUMIF(Town!$BB$174:$BB$721,$BL1243,Town!R$174:R$721)</f>
        <v>370</v>
      </c>
      <c r="S1243" s="63">
        <f>SUMIF(Town!$BB$174:$BB$721,$BL1243,Town!S$174:S$721)</f>
        <v>6</v>
      </c>
      <c r="T1243" s="63"/>
      <c r="U1243" s="63"/>
      <c r="V1243" s="63"/>
      <c r="W1243" s="63">
        <f>SUMIF(Town!$BB$174:$BB$721,$BL1243,Town!W$174:W$721)</f>
        <v>0</v>
      </c>
      <c r="X1243" s="63"/>
      <c r="Y1243" s="63"/>
      <c r="Z1243" s="63"/>
      <c r="AA1243" s="63"/>
      <c r="AB1243" s="63"/>
      <c r="AC1243" s="63"/>
      <c r="AD1243" s="63"/>
      <c r="AE1243" s="63">
        <f>SUMIF(Town!$BB$174:$BB$721,$BL1243,Town!AE$174:AE$721)</f>
        <v>0</v>
      </c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W1243" s="5">
        <f>IF(Q1243&gt;0,RANK(Q1243,(N1243:P1243,Q1243:AE1243)),0)</f>
        <v>3</v>
      </c>
      <c r="AX1243" s="5">
        <f>IF(R1243&gt;0,RANK(R1243,(N1243:P1243,Q1243:AE1243)),0)</f>
        <v>4</v>
      </c>
      <c r="AY1243" s="5">
        <f>IF(T1243&gt;0,RANK(T1243,(N1243:P1243,Q1243:AE1243)),0)</f>
        <v>0</v>
      </c>
      <c r="AZ1243" s="5">
        <f>IF(S1243&gt;0,RANK(S1243,(N1243:P1243,Q1243:AE1243)),0)</f>
        <v>6</v>
      </c>
      <c r="BA1243" s="2">
        <f t="shared" si="515"/>
        <v>4.8334860983806904E-2</v>
      </c>
      <c r="BB1243" s="2">
        <f t="shared" si="516"/>
        <v>2.2609227008860373E-2</v>
      </c>
      <c r="BC1243" s="2">
        <f t="shared" si="517"/>
        <v>0</v>
      </c>
      <c r="BD1243" s="2">
        <f t="shared" si="518"/>
        <v>3.6663611365719525E-4</v>
      </c>
      <c r="BF1243" t="s">
        <v>692</v>
      </c>
      <c r="BG1243" t="s">
        <v>1697</v>
      </c>
      <c r="BH1243">
        <v>2</v>
      </c>
      <c r="BJ1243" s="114">
        <v>23</v>
      </c>
      <c r="BK1243" s="116">
        <v>29</v>
      </c>
      <c r="BL1243" s="120">
        <f t="shared" si="497"/>
        <v>23029</v>
      </c>
      <c r="BN1243" s="5" t="s">
        <v>3154</v>
      </c>
      <c r="BO1243" s="63">
        <f>SUMIF(Town!$BB$174:$BB$721,$BL1243,Town!BE$174:BE$721)</f>
        <v>657</v>
      </c>
      <c r="BR1243" s="63"/>
      <c r="BS1243" s="128"/>
      <c r="CD1243" s="63">
        <f>SUMIF(Town!$BB$174:$BB$721,$BL1243,Town!BS$174:BS$721)</f>
        <v>0</v>
      </c>
    </row>
    <row r="1244" spans="1:119" hidden="1" outlineLevel="1">
      <c r="A1244" t="s">
        <v>925</v>
      </c>
      <c r="B1244" t="s">
        <v>1697</v>
      </c>
      <c r="C1244" s="1">
        <f t="shared" si="510"/>
        <v>114274</v>
      </c>
      <c r="D1244" s="5">
        <f>IF(N1244&gt;0, RANK(N1244,(N1244:P1244,Q1244:AE1244)),0)</f>
        <v>1</v>
      </c>
      <c r="E1244" s="5">
        <f>IF(O1244&gt;0,RANK(O1244,(N1244:P1244,Q1244:AE1244)),0)</f>
        <v>2</v>
      </c>
      <c r="F1244" s="5">
        <f>IF(P1244&gt;0,RANK(P1244,(N1244:P1244,Q1244:AE1244)),0)</f>
        <v>5</v>
      </c>
      <c r="G1244" s="132">
        <f>IF(C1244&gt;0,MAX(N1244:P1244)-LARGE(N1244:P1244,2),0)</f>
        <v>5441</v>
      </c>
      <c r="H1244" s="137">
        <f>IF(C1244&gt;0,G1244/C1244,0)</f>
        <v>4.7613630397115705E-2</v>
      </c>
      <c r="I1244" s="2"/>
      <c r="J1244" s="2">
        <f>IF($C1244=0,"-",N1244/$C1244)</f>
        <v>0.48868509022174772</v>
      </c>
      <c r="K1244" s="2">
        <f>IF($C1244=0,"-",O1244/$C1244)</f>
        <v>0.44107145982463203</v>
      </c>
      <c r="L1244" s="2">
        <f>IF($C1244=0,"-",P1244/$C1244)</f>
        <v>1.8726919509249697E-3</v>
      </c>
      <c r="M1244" s="2">
        <f>IF(C1244=0,"-",(1-J1244-K1244-L1244))</f>
        <v>6.8370758002695334E-2</v>
      </c>
      <c r="N1244" s="63">
        <f>SUMIF(Town!$BB$174:$BB$721,$BL1244,Town!N$174:N$721)</f>
        <v>55844</v>
      </c>
      <c r="O1244" s="63">
        <f>SUMIF(Town!$BB$174:$BB$721,$BL1244,Town!O$174:O$721)</f>
        <v>50403</v>
      </c>
      <c r="P1244" s="63">
        <f>SUMIF(Town!$BB$174:$BB$721,$BL1244,Town!P$174:P$721)</f>
        <v>214</v>
      </c>
      <c r="Q1244" s="63">
        <f>SUMIF(Town!$BB$174:$BB$721,$BL1244,Town!Q$174:Q$721)</f>
        <v>5695</v>
      </c>
      <c r="R1244" s="63">
        <f>SUMIF(Town!$BB$174:$BB$721,$BL1244,Town!R$174:R$721)</f>
        <v>2055</v>
      </c>
      <c r="S1244" s="63">
        <f>SUMIF(Town!$BB$174:$BB$721,$BL1244,Town!S$174:S$721)</f>
        <v>61</v>
      </c>
      <c r="T1244" s="63"/>
      <c r="U1244" s="63"/>
      <c r="V1244" s="63"/>
      <c r="W1244" s="63">
        <f>SUMIF(Town!$BB$174:$BB$721,$BL1244,Town!W$174:W$721)</f>
        <v>0</v>
      </c>
      <c r="X1244" s="63"/>
      <c r="Y1244" s="63"/>
      <c r="Z1244" s="63"/>
      <c r="AA1244" s="63"/>
      <c r="AB1244" s="63"/>
      <c r="AC1244" s="63"/>
      <c r="AD1244" s="63"/>
      <c r="AE1244" s="63">
        <f>SUMIF(Town!$BB$174:$BB$721,$BL1244,Town!AE$174:AE$721)</f>
        <v>2</v>
      </c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W1244" s="5">
        <f>IF(Q1244&gt;0,RANK(Q1244,(N1244:P1244,Q1244:AE1244)),0)</f>
        <v>3</v>
      </c>
      <c r="AX1244" s="5">
        <f>IF(R1244&gt;0,RANK(R1244,(N1244:P1244,Q1244:AE1244)),0)</f>
        <v>4</v>
      </c>
      <c r="AY1244" s="5">
        <f>IF(T1244&gt;0,RANK(T1244,(N1244:P1244,Q1244:AE1244)),0)</f>
        <v>0</v>
      </c>
      <c r="AZ1244" s="5">
        <f>IF(S1244&gt;0,RANK(S1244,(N1244:P1244,Q1244:AE1244)),0)</f>
        <v>6</v>
      </c>
      <c r="BA1244" s="2">
        <f>IF($C1244=0,"-",Q1244/$C1244)</f>
        <v>4.9836358226718239E-2</v>
      </c>
      <c r="BB1244" s="2">
        <f>IF($C1244=0,"-",R1244/$C1244)</f>
        <v>1.7983093267059873E-2</v>
      </c>
      <c r="BC1244" s="2">
        <f>IF($C1244=0,"-",T1244/$C1244)</f>
        <v>0</v>
      </c>
      <c r="BD1244" s="2">
        <f>IF($C1244=0,"-",S1244/$C1244)</f>
        <v>5.3380471498328582E-4</v>
      </c>
      <c r="BF1244" t="s">
        <v>925</v>
      </c>
      <c r="BG1244" t="s">
        <v>1697</v>
      </c>
      <c r="BH1244">
        <v>1</v>
      </c>
      <c r="BJ1244" s="114">
        <v>23</v>
      </c>
      <c r="BK1244" s="116">
        <v>31</v>
      </c>
      <c r="BL1244" s="120">
        <f>1000*BJ1244+BK1244</f>
        <v>23031</v>
      </c>
      <c r="BN1244" s="5" t="s">
        <v>3154</v>
      </c>
      <c r="BO1244" s="63">
        <f>SUMIF(Town!$BB$174:$BB$721,$BL1244,Town!BE$174:BE$721)</f>
        <v>3771</v>
      </c>
      <c r="BR1244" s="63"/>
      <c r="CD1244" s="63">
        <f>SUMIF(Town!$BB$174:$BB$721,$BL1244,Town!BS$174:BS$721)</f>
        <v>0</v>
      </c>
    </row>
    <row r="1245" spans="1:119" hidden="1" outlineLevel="1">
      <c r="A1245" t="s">
        <v>2703</v>
      </c>
      <c r="B1245" t="s">
        <v>1697</v>
      </c>
      <c r="C1245" s="1">
        <f t="shared" si="510"/>
        <v>3986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>IF(P1245&gt;0,RANK(P1245,(N1245:P1245,Q1245:AE1245)),0)</f>
        <v>5</v>
      </c>
      <c r="G1245" s="132">
        <f t="shared" si="507"/>
        <v>2369</v>
      </c>
      <c r="H1245" s="137">
        <f t="shared" si="508"/>
        <v>0.59433015554440538</v>
      </c>
      <c r="I1245" s="2"/>
      <c r="J1245" s="2">
        <f t="shared" si="511"/>
        <v>0.75689914701455097</v>
      </c>
      <c r="K1245" s="2">
        <f t="shared" si="512"/>
        <v>0.1625689914701455</v>
      </c>
      <c r="L1245" s="2">
        <f t="shared" si="513"/>
        <v>3.5122930255895636E-3</v>
      </c>
      <c r="M1245" s="2">
        <f t="shared" si="514"/>
        <v>7.7019568489713974E-2</v>
      </c>
      <c r="N1245" s="63">
        <f>SUMIF(Town!$BB$174:$BB$721,$BL1245,Town!N$174:N$721)</f>
        <v>3017</v>
      </c>
      <c r="O1245" s="63">
        <f>SUMIF(Town!$BB$174:$BB$721,$BL1245,Town!O$174:O$721)</f>
        <v>648</v>
      </c>
      <c r="P1245" s="63">
        <f>SUMIF(Town!$BB$174:$BB$721,$BL1245,Town!P$174:P$721)</f>
        <v>14</v>
      </c>
      <c r="Q1245" s="63">
        <f>SUMIF(Town!$BB$174:$BB$721,$BL1245,Town!Q$174:Q$721)</f>
        <v>203</v>
      </c>
      <c r="R1245" s="63">
        <f>SUMIF(Town!$BB$174:$BB$721,$BL1245,Town!R$174:R$721)</f>
        <v>101</v>
      </c>
      <c r="S1245" s="63">
        <f>SUMIF(Town!$BB$174:$BB$721,$BL1245,Town!S$174:S$721)</f>
        <v>2</v>
      </c>
      <c r="T1245" s="63"/>
      <c r="U1245" s="63"/>
      <c r="V1245" s="63"/>
      <c r="W1245" s="63">
        <f>SUMIF(Town!$BB$174:$BB$721,$BL1245,Town!W$174:W$721)</f>
        <v>1</v>
      </c>
      <c r="X1245" s="63"/>
      <c r="Y1245" s="63"/>
      <c r="Z1245" s="63"/>
      <c r="AA1245" s="63"/>
      <c r="AB1245" s="63"/>
      <c r="AC1245" s="63"/>
      <c r="AD1245" s="63"/>
      <c r="AE1245" s="63">
        <f>SUMIF(Town!$BB$174:$BB$721,$BL1245,Town!AE$174:AE$721)</f>
        <v>0</v>
      </c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W1245" s="5">
        <f>IF(Q1245&gt;0,RANK(Q1245,(N1245:P1245,Q1245:AE1245)),0)</f>
        <v>3</v>
      </c>
      <c r="AX1245" s="5">
        <f>IF(R1245&gt;0,RANK(R1245,(N1245:P1245,Q1245:AE1245)),0)</f>
        <v>4</v>
      </c>
      <c r="AY1245" s="5">
        <f>IF(T1245&gt;0,RANK(T1245,(N1245:P1245,Q1245:AE1245)),0)</f>
        <v>0</v>
      </c>
      <c r="AZ1245" s="5">
        <f>IF(S1245&gt;0,RANK(S1245,(N1245:P1245,Q1245:AE1245)),0)</f>
        <v>6</v>
      </c>
      <c r="BA1245" s="2">
        <f t="shared" si="515"/>
        <v>5.0928248871048673E-2</v>
      </c>
      <c r="BB1245" s="2">
        <f t="shared" si="516"/>
        <v>2.5338685398896138E-2</v>
      </c>
      <c r="BC1245" s="2">
        <f t="shared" si="517"/>
        <v>0</v>
      </c>
      <c r="BD1245" s="2">
        <f t="shared" si="518"/>
        <v>5.0175614651279475E-4</v>
      </c>
      <c r="BF1245" t="s">
        <v>2703</v>
      </c>
      <c r="BG1245" t="s">
        <v>1697</v>
      </c>
      <c r="BJ1245" s="114">
        <v>23</v>
      </c>
      <c r="BK1245" s="116">
        <v>99</v>
      </c>
      <c r="BL1245" s="120">
        <f t="shared" si="497"/>
        <v>23099</v>
      </c>
      <c r="BN1245" s="5" t="s">
        <v>2703</v>
      </c>
      <c r="BO1245" s="63">
        <f>SUMIF(Town!$BB$174:$BB$721,$BL1245,Town!BE$174:BE$721)</f>
        <v>63</v>
      </c>
      <c r="BR1245" s="63"/>
      <c r="CD1245" s="63">
        <f>SUMIF(Town!$BB$174:$BB$721,$BL1245,Town!BS$174:BS$721)</f>
        <v>1</v>
      </c>
    </row>
    <row r="1246" spans="1:119" collapsed="1">
      <c r="A1246" t="s">
        <v>3172</v>
      </c>
      <c r="B1246" t="s">
        <v>544</v>
      </c>
      <c r="C1246" s="1">
        <f t="shared" si="510"/>
        <v>747927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>IF(P1246&gt;0,RANK(P1246,(N1246:P1246,Q1246:AE1246)),0)</f>
        <v>5</v>
      </c>
      <c r="G1246" s="132">
        <f t="shared" si="507"/>
        <v>22142</v>
      </c>
      <c r="H1246" s="137">
        <f t="shared" si="508"/>
        <v>2.9604493486663806E-2</v>
      </c>
      <c r="I1246" s="2"/>
      <c r="J1246" s="2">
        <f t="shared" si="511"/>
        <v>0.47830202680208095</v>
      </c>
      <c r="K1246" s="2">
        <f t="shared" si="512"/>
        <v>0.44869753331541712</v>
      </c>
      <c r="L1246" s="2">
        <f t="shared" si="513"/>
        <v>2.5229734987505465E-3</v>
      </c>
      <c r="M1246" s="2">
        <f t="shared" si="514"/>
        <v>7.0477466383751325E-2</v>
      </c>
      <c r="N1246" s="63">
        <f t="shared" ref="N1246:S1246" si="519">SUM(N1229:N1245)</f>
        <v>357735</v>
      </c>
      <c r="O1246" s="63">
        <f t="shared" si="519"/>
        <v>335593</v>
      </c>
      <c r="P1246" s="63">
        <f t="shared" si="519"/>
        <v>1887</v>
      </c>
      <c r="Q1246" s="63">
        <f t="shared" si="519"/>
        <v>38105</v>
      </c>
      <c r="R1246" s="63">
        <f t="shared" si="519"/>
        <v>14251</v>
      </c>
      <c r="S1246" s="63">
        <f t="shared" si="519"/>
        <v>333</v>
      </c>
      <c r="T1246" s="63"/>
      <c r="U1246" s="63"/>
      <c r="V1246" s="63"/>
      <c r="W1246" s="63">
        <f>SUM(W1229:W1245)</f>
        <v>7</v>
      </c>
      <c r="X1246" s="63"/>
      <c r="Y1246" s="63"/>
      <c r="Z1246" s="63"/>
      <c r="AA1246" s="63"/>
      <c r="AB1246" s="63"/>
      <c r="AC1246" s="63"/>
      <c r="AD1246" s="63"/>
      <c r="AE1246" s="63">
        <f>SUM(AE1229:AE1245)</f>
        <v>16</v>
      </c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W1246" s="5">
        <f>IF(Q1246&gt;0,RANK(Q1246,(N1246:P1246,Q1246:AE1246)),0)</f>
        <v>3</v>
      </c>
      <c r="AX1246" s="5">
        <f>IF(R1246&gt;0,RANK(R1246,(N1246:P1246,Q1246:AE1246)),0)</f>
        <v>4</v>
      </c>
      <c r="AY1246" s="5">
        <f>IF(T1246&gt;0,RANK(T1246,(N1246:P1246,Q1246:AE1246)),0)</f>
        <v>0</v>
      </c>
      <c r="AZ1246" s="5">
        <f>IF(S1246&gt;0,RANK(S1246,(N1246:P1246,Q1246:AE1246)),0)</f>
        <v>6</v>
      </c>
      <c r="BA1246" s="2">
        <f t="shared" si="515"/>
        <v>5.0947485516634645E-2</v>
      </c>
      <c r="BB1246" s="2">
        <f t="shared" si="516"/>
        <v>1.9053998585423445E-2</v>
      </c>
      <c r="BC1246" s="2">
        <f t="shared" si="517"/>
        <v>0</v>
      </c>
      <c r="BD1246" s="2">
        <f t="shared" si="518"/>
        <v>4.4523061742656703E-4</v>
      </c>
      <c r="BF1246" t="s">
        <v>3172</v>
      </c>
      <c r="BG1246" t="s">
        <v>544</v>
      </c>
      <c r="BJ1246" s="114">
        <v>23</v>
      </c>
      <c r="BK1246" s="116"/>
      <c r="BL1246" s="114">
        <v>23</v>
      </c>
      <c r="BN1246" s="5" t="s">
        <v>711</v>
      </c>
      <c r="BO1246" s="63">
        <f>SUM(BO1229:BO1245)</f>
        <v>23965</v>
      </c>
      <c r="BR1246" s="63"/>
      <c r="CD1246" s="63">
        <f>SUM(CD1229:CD1245)</f>
        <v>7</v>
      </c>
    </row>
    <row r="1247" spans="1:119">
      <c r="C1247" s="1"/>
      <c r="E1247" s="5"/>
      <c r="F1247" s="5"/>
      <c r="G1247" s="132"/>
      <c r="H1247" s="137"/>
      <c r="I1247" s="2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W1247" s="5"/>
      <c r="AX1247" s="5"/>
      <c r="AY1247" s="5"/>
      <c r="AZ1247" s="5"/>
      <c r="BJ1247" s="114"/>
      <c r="BK1247" s="116"/>
      <c r="BL1247" s="120"/>
      <c r="CB1247" s="1"/>
      <c r="CD1247" s="63" t="s">
        <v>3672</v>
      </c>
      <c r="CE1247" s="63" t="s">
        <v>3673</v>
      </c>
      <c r="CF1247" s="63" t="s">
        <v>3674</v>
      </c>
      <c r="CG1247" s="63" t="s">
        <v>3675</v>
      </c>
      <c r="CH1247" s="63" t="s">
        <v>3676</v>
      </c>
      <c r="CI1247" s="63" t="s">
        <v>3677</v>
      </c>
      <c r="CJ1247" s="63" t="s">
        <v>3678</v>
      </c>
      <c r="CK1247" s="63" t="s">
        <v>3679</v>
      </c>
      <c r="CL1247" s="63" t="s">
        <v>3680</v>
      </c>
      <c r="CM1247" s="63" t="s">
        <v>3681</v>
      </c>
      <c r="CN1247" s="63" t="s">
        <v>3682</v>
      </c>
      <c r="CO1247" s="63" t="s">
        <v>3683</v>
      </c>
      <c r="CP1247" s="63" t="s">
        <v>3684</v>
      </c>
      <c r="CQ1247" s="1" t="s">
        <v>3685</v>
      </c>
      <c r="CR1247" s="1" t="s">
        <v>3686</v>
      </c>
      <c r="CS1247" s="1" t="s">
        <v>3687</v>
      </c>
      <c r="CT1247" s="1" t="s">
        <v>3688</v>
      </c>
      <c r="CU1247" s="1" t="s">
        <v>3689</v>
      </c>
      <c r="CV1247" s="1" t="s">
        <v>3690</v>
      </c>
      <c r="CW1247" s="1" t="s">
        <v>3605</v>
      </c>
      <c r="CX1247" s="1" t="s">
        <v>3691</v>
      </c>
      <c r="CY1247" s="1" t="s">
        <v>3692</v>
      </c>
      <c r="CZ1247" s="1" t="s">
        <v>3693</v>
      </c>
      <c r="DA1247" s="1" t="s">
        <v>3694</v>
      </c>
      <c r="DB1247" s="1" t="s">
        <v>3695</v>
      </c>
      <c r="DC1247" s="1" t="s">
        <v>3696</v>
      </c>
      <c r="DD1247" s="1" t="s">
        <v>3697</v>
      </c>
      <c r="DE1247" s="1" t="s">
        <v>3698</v>
      </c>
      <c r="DF1247" s="1" t="s">
        <v>3699</v>
      </c>
      <c r="DG1247" s="1" t="s">
        <v>3700</v>
      </c>
      <c r="DH1247" s="1" t="s">
        <v>3701</v>
      </c>
      <c r="DI1247" s="1" t="s">
        <v>3702</v>
      </c>
      <c r="DJ1247" s="1" t="s">
        <v>3703</v>
      </c>
      <c r="DK1247" s="1" t="s">
        <v>3704</v>
      </c>
      <c r="DL1247" s="1" t="s">
        <v>3705</v>
      </c>
      <c r="DM1247" s="1" t="s">
        <v>3706</v>
      </c>
      <c r="DN1247" s="1" t="s">
        <v>3707</v>
      </c>
      <c r="DO1247" s="1" t="s">
        <v>3708</v>
      </c>
    </row>
    <row r="1248" spans="1:119" hidden="1" outlineLevel="1">
      <c r="A1248" t="s">
        <v>2501</v>
      </c>
      <c r="B1248" t="s">
        <v>3107</v>
      </c>
      <c r="C1248" s="1">
        <f t="shared" ref="C1248:C1272" si="520">SUM(N1248:AU1248)</f>
        <v>30654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>IF(P1248&gt;0,RANK(P1248,(N1248:P1248,Q1248:AE1248)),0)</f>
        <v>6</v>
      </c>
      <c r="G1248" s="132">
        <f t="shared" si="507"/>
        <v>13395</v>
      </c>
      <c r="H1248" s="137">
        <f t="shared" si="508"/>
        <v>0.43697396750831863</v>
      </c>
      <c r="I1248" s="2"/>
      <c r="J1248" s="2">
        <f t="shared" ref="J1248:J1272" si="521">IF($C1248=0,"-",N1248/$C1248)</f>
        <v>0.25689958896065768</v>
      </c>
      <c r="K1248" s="2">
        <f t="shared" ref="K1248:K1272" si="522">IF($C1248=0,"-",O1248/$C1248)</f>
        <v>0.6938735564689763</v>
      </c>
      <c r="L1248" s="2">
        <f t="shared" ref="L1248:L1272" si="523">IF($C1248=0,"-",P1248/$C1248)</f>
        <v>1.435375481177008E-3</v>
      </c>
      <c r="M1248" s="2">
        <f t="shared" ref="M1248:M1272" si="524">IF(C1248=0,"-",(1-J1248-K1248-L1248))</f>
        <v>4.7791479089189008E-2</v>
      </c>
      <c r="N1248" s="63">
        <v>7875</v>
      </c>
      <c r="O1248" s="63">
        <v>21270</v>
      </c>
      <c r="P1248" s="63">
        <v>44</v>
      </c>
      <c r="Q1248" s="63">
        <v>858</v>
      </c>
      <c r="R1248" s="63">
        <v>365</v>
      </c>
      <c r="S1248" s="63">
        <v>6</v>
      </c>
      <c r="T1248" s="63">
        <v>0</v>
      </c>
      <c r="U1248" s="63">
        <v>0</v>
      </c>
      <c r="V1248" s="63">
        <v>1</v>
      </c>
      <c r="W1248" s="63">
        <f>SUM(CB1248:DO1248)</f>
        <v>232</v>
      </c>
      <c r="X1248" s="63"/>
      <c r="Y1248" s="63">
        <v>0</v>
      </c>
      <c r="Z1248" s="63">
        <v>1</v>
      </c>
      <c r="AA1248" s="63"/>
      <c r="AB1248" s="63"/>
      <c r="AC1248" s="63"/>
      <c r="AD1248" s="63">
        <v>0</v>
      </c>
      <c r="AE1248" s="63">
        <v>1</v>
      </c>
      <c r="AF1248" s="63">
        <v>0</v>
      </c>
      <c r="AG1248" s="63"/>
      <c r="AH1248" s="63"/>
      <c r="AI1248" s="63"/>
      <c r="AJ1248" s="63"/>
      <c r="AK1248" s="63"/>
      <c r="AL1248" s="63">
        <v>0</v>
      </c>
      <c r="AM1248" s="63">
        <v>0</v>
      </c>
      <c r="AN1248" s="63">
        <v>1</v>
      </c>
      <c r="AO1248" s="63"/>
      <c r="AP1248" s="63"/>
      <c r="AQ1248" s="63">
        <v>0</v>
      </c>
      <c r="AR1248" s="63"/>
      <c r="AS1248" s="63"/>
      <c r="AT1248" s="63"/>
      <c r="AU1248" s="63"/>
      <c r="AW1248" s="5">
        <f>IF(Q1248&gt;0,RANK(Q1248,(N1248:P1248,Q1248:AE1248)),0)</f>
        <v>3</v>
      </c>
      <c r="AX1248" s="5">
        <f>IF(R1248&gt;0,RANK(R1248,(N1248:P1248,Q1248:AE1248)),0)</f>
        <v>4</v>
      </c>
      <c r="AY1248" s="5">
        <f>IF(T1248&gt;0,RANK(T1248,(N1248:P1248,Q1248:AE1248)),0)</f>
        <v>0</v>
      </c>
      <c r="AZ1248" s="5">
        <f>IF(S1248&gt;0,RANK(S1248,(N1248:P1248,Q1248:AE1248)),0)</f>
        <v>7</v>
      </c>
      <c r="BA1248" s="2">
        <f t="shared" ref="BA1248:BA1272" si="525">IF($C1248=0,"-",Q1248/$C1248)</f>
        <v>2.7989821882951654E-2</v>
      </c>
      <c r="BB1248" s="2">
        <f t="shared" ref="BB1248:BB1272" si="526">IF($C1248=0,"-",R1248/$C1248)</f>
        <v>1.1907092059763815E-2</v>
      </c>
      <c r="BC1248" s="2">
        <f t="shared" ref="BC1248:BC1272" si="527">IF($C1248=0,"-",T1248/$C1248)</f>
        <v>0</v>
      </c>
      <c r="BD1248" s="2">
        <f t="shared" ref="BD1248:BD1272" si="528">IF($C1248=0,"-",S1248/$C1248)</f>
        <v>1.9573302016050108E-4</v>
      </c>
      <c r="BE1248" s="109"/>
      <c r="BF1248" t="s">
        <v>2501</v>
      </c>
      <c r="BG1248" t="s">
        <v>3107</v>
      </c>
      <c r="BH1248">
        <v>6</v>
      </c>
      <c r="BJ1248" s="114">
        <v>24</v>
      </c>
      <c r="BK1248" s="116">
        <v>1</v>
      </c>
      <c r="BL1248" s="120">
        <f t="shared" si="497"/>
        <v>24001</v>
      </c>
      <c r="BN1248" s="5" t="s">
        <v>3154</v>
      </c>
      <c r="CA1248" s="63">
        <f t="shared" ref="CA1248:CA1270" si="529">SUM(CB1248:CY1248)+SUM(S1248:V1248)+SUM(X1248:AT1248)+P1248</f>
        <v>284</v>
      </c>
      <c r="CB1248" s="1">
        <v>226</v>
      </c>
      <c r="CD1248" s="63">
        <v>1</v>
      </c>
      <c r="CE1248" s="63">
        <v>0</v>
      </c>
      <c r="CF1248" s="63">
        <v>1</v>
      </c>
      <c r="CG1248" s="63">
        <v>1</v>
      </c>
      <c r="CH1248" s="63">
        <v>0</v>
      </c>
      <c r="CI1248" s="63">
        <v>0</v>
      </c>
      <c r="CJ1248" s="63">
        <v>0</v>
      </c>
      <c r="CK1248" s="63">
        <v>0</v>
      </c>
      <c r="CL1248" s="63">
        <v>1</v>
      </c>
      <c r="CM1248" s="63">
        <v>0</v>
      </c>
      <c r="CN1248" s="63">
        <v>0</v>
      </c>
      <c r="CO1248" s="63">
        <v>0</v>
      </c>
      <c r="CP1248" s="63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1</v>
      </c>
      <c r="DH1248" s="1">
        <v>0</v>
      </c>
      <c r="DI1248" s="1">
        <v>0</v>
      </c>
      <c r="DJ1248" s="1">
        <v>1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</row>
    <row r="1249" spans="1:119" hidden="1" outlineLevel="1">
      <c r="A1249" t="s">
        <v>2492</v>
      </c>
      <c r="B1249" t="s">
        <v>3107</v>
      </c>
      <c r="C1249" s="1">
        <f t="shared" si="520"/>
        <v>270081</v>
      </c>
      <c r="D1249" s="5">
        <f>IF(N1249&gt;0, RANK(N1249,(N1249:P1249,Q1249:AE1249)),0)</f>
        <v>1</v>
      </c>
      <c r="E1249" s="5">
        <f>IF(O1249&gt;0,RANK(O1249,(N1249:P1249,Q1249:AE1249)),0)</f>
        <v>2</v>
      </c>
      <c r="F1249" s="5">
        <f>IF(P1249&gt;0,RANK(P1249,(N1249:P1249,Q1249:AE1249)),0)</f>
        <v>6</v>
      </c>
      <c r="G1249" s="132">
        <f t="shared" si="507"/>
        <v>6016</v>
      </c>
      <c r="H1249" s="137">
        <f t="shared" si="508"/>
        <v>2.2274799041768951E-2</v>
      </c>
      <c r="I1249" s="2"/>
      <c r="J1249" s="2">
        <f t="shared" si="521"/>
        <v>0.47548328094164344</v>
      </c>
      <c r="K1249" s="2">
        <f t="shared" si="522"/>
        <v>0.4532084818998745</v>
      </c>
      <c r="L1249" s="2">
        <f t="shared" si="523"/>
        <v>5.2169534324887721E-3</v>
      </c>
      <c r="M1249" s="2">
        <f t="shared" si="524"/>
        <v>6.6091283725993336E-2</v>
      </c>
      <c r="N1249" s="63">
        <v>128419</v>
      </c>
      <c r="O1249" s="63">
        <v>122403</v>
      </c>
      <c r="P1249" s="63">
        <v>1409</v>
      </c>
      <c r="Q1249" s="63">
        <v>10408</v>
      </c>
      <c r="R1249" s="63">
        <v>3316</v>
      </c>
      <c r="S1249" s="63">
        <v>64</v>
      </c>
      <c r="T1249" s="63">
        <v>0</v>
      </c>
      <c r="U1249" s="63">
        <v>1</v>
      </c>
      <c r="V1249" s="63">
        <v>8</v>
      </c>
      <c r="W1249" s="63">
        <f t="shared" ref="W1249:W1271" si="530">SUM(CB1249:DO1249)</f>
        <v>3975</v>
      </c>
      <c r="X1249" s="63"/>
      <c r="Y1249" s="63">
        <v>16</v>
      </c>
      <c r="Z1249" s="63">
        <v>1</v>
      </c>
      <c r="AA1249" s="63"/>
      <c r="AB1249" s="63"/>
      <c r="AC1249" s="63"/>
      <c r="AD1249" s="63">
        <v>0</v>
      </c>
      <c r="AE1249" s="63">
        <v>14</v>
      </c>
      <c r="AF1249" s="63">
        <v>1</v>
      </c>
      <c r="AG1249" s="63"/>
      <c r="AH1249" s="63"/>
      <c r="AI1249" s="63"/>
      <c r="AJ1249" s="63"/>
      <c r="AK1249" s="63"/>
      <c r="AL1249" s="63">
        <v>1</v>
      </c>
      <c r="AM1249" s="63">
        <v>1</v>
      </c>
      <c r="AN1249" s="63">
        <v>44</v>
      </c>
      <c r="AO1249" s="63"/>
      <c r="AP1249" s="63"/>
      <c r="AQ1249" s="63">
        <v>0</v>
      </c>
      <c r="AR1249" s="63"/>
      <c r="AS1249" s="63"/>
      <c r="AT1249" s="63"/>
      <c r="AU1249" s="63"/>
      <c r="AW1249" s="5">
        <f>IF(Q1249&gt;0,RANK(Q1249,(N1249:P1249,Q1249:AE1249)),0)</f>
        <v>3</v>
      </c>
      <c r="AX1249" s="5">
        <f>IF(R1249&gt;0,RANK(R1249,(N1249:P1249,Q1249:AE1249)),0)</f>
        <v>5</v>
      </c>
      <c r="AY1249" s="5">
        <f>IF(T1249&gt;0,RANK(T1249,(N1249:P1249,Q1249:AE1249)),0)</f>
        <v>0</v>
      </c>
      <c r="AZ1249" s="5">
        <f>IF(S1249&gt;0,RANK(S1249,(N1249:P1249,Q1249:AE1249)),0)</f>
        <v>7</v>
      </c>
      <c r="BA1249" s="2">
        <f t="shared" si="525"/>
        <v>3.8536587171996546E-2</v>
      </c>
      <c r="BB1249" s="2">
        <f t="shared" si="526"/>
        <v>1.227779814203887E-2</v>
      </c>
      <c r="BC1249" s="2">
        <f t="shared" si="527"/>
        <v>0</v>
      </c>
      <c r="BD1249" s="2">
        <f t="shared" si="528"/>
        <v>2.3696594725286117E-4</v>
      </c>
      <c r="BE1249" s="109"/>
      <c r="BF1249" t="s">
        <v>2492</v>
      </c>
      <c r="BG1249" t="s">
        <v>3107</v>
      </c>
      <c r="BJ1249" s="114">
        <v>24</v>
      </c>
      <c r="BK1249" s="116">
        <v>3</v>
      </c>
      <c r="BL1249" s="120">
        <f t="shared" si="497"/>
        <v>24003</v>
      </c>
      <c r="BN1249" s="5" t="s">
        <v>3154</v>
      </c>
      <c r="CA1249" s="63">
        <f t="shared" si="529"/>
        <v>5510</v>
      </c>
      <c r="CB1249" s="1">
        <v>3883</v>
      </c>
      <c r="CD1249" s="63">
        <v>15</v>
      </c>
      <c r="CE1249" s="63">
        <v>4</v>
      </c>
      <c r="CF1249" s="63">
        <v>1</v>
      </c>
      <c r="CG1249" s="63">
        <v>13</v>
      </c>
      <c r="CH1249" s="63">
        <v>13</v>
      </c>
      <c r="CI1249" s="63">
        <v>6</v>
      </c>
      <c r="CJ1249" s="63">
        <v>3</v>
      </c>
      <c r="CK1249" s="63">
        <v>0</v>
      </c>
      <c r="CL1249" s="63">
        <v>1</v>
      </c>
      <c r="CM1249" s="63">
        <v>2</v>
      </c>
      <c r="CN1249" s="63">
        <v>0</v>
      </c>
      <c r="CO1249" s="63">
        <v>0</v>
      </c>
      <c r="CP1249" s="63">
        <v>0</v>
      </c>
      <c r="CQ1249" s="1">
        <v>0</v>
      </c>
      <c r="CR1249" s="1">
        <v>0</v>
      </c>
      <c r="CS1249" s="1">
        <v>3</v>
      </c>
      <c r="CT1249" s="1">
        <v>0</v>
      </c>
      <c r="CU1249" s="1">
        <v>0</v>
      </c>
      <c r="CV1249" s="1">
        <v>0</v>
      </c>
      <c r="CW1249" s="1">
        <v>1</v>
      </c>
      <c r="CX1249" s="1">
        <v>3</v>
      </c>
      <c r="CY1249" s="1">
        <v>2</v>
      </c>
      <c r="CZ1249" s="1">
        <v>1</v>
      </c>
      <c r="DA1249" s="1">
        <v>0</v>
      </c>
      <c r="DB1249" s="1">
        <v>0</v>
      </c>
      <c r="DC1249" s="1">
        <v>0</v>
      </c>
      <c r="DD1249" s="1">
        <v>1</v>
      </c>
      <c r="DE1249" s="1">
        <v>1</v>
      </c>
      <c r="DF1249" s="1">
        <v>6</v>
      </c>
      <c r="DG1249" s="1">
        <v>8</v>
      </c>
      <c r="DH1249" s="1">
        <v>1</v>
      </c>
      <c r="DI1249" s="1">
        <v>0</v>
      </c>
      <c r="DJ1249" s="1">
        <v>5</v>
      </c>
      <c r="DK1249" s="1">
        <v>0</v>
      </c>
      <c r="DL1249" s="1">
        <v>0</v>
      </c>
      <c r="DM1249" s="1">
        <v>0</v>
      </c>
      <c r="DN1249" s="1">
        <v>1</v>
      </c>
      <c r="DO1249" s="1">
        <v>1</v>
      </c>
    </row>
    <row r="1250" spans="1:119" hidden="1" outlineLevel="1">
      <c r="A1250" t="s">
        <v>1939</v>
      </c>
      <c r="B1250" t="s">
        <v>3107</v>
      </c>
      <c r="C1250" s="1">
        <f t="shared" si="520"/>
        <v>239402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>IF(P1250&gt;0,RANK(P1250,(N1250:P1250,Q1250:AE1250)),0)</f>
        <v>6</v>
      </c>
      <c r="G1250" s="132">
        <f t="shared" si="507"/>
        <v>177468</v>
      </c>
      <c r="H1250" s="137">
        <f t="shared" si="508"/>
        <v>0.74129706518742533</v>
      </c>
      <c r="I1250" s="2"/>
      <c r="J1250" s="2">
        <f t="shared" si="521"/>
        <v>0.84658022907076802</v>
      </c>
      <c r="K1250" s="2">
        <f t="shared" si="522"/>
        <v>0.10528316388334266</v>
      </c>
      <c r="L1250" s="2">
        <f t="shared" si="523"/>
        <v>1.6750068921729977E-3</v>
      </c>
      <c r="M1250" s="2">
        <f t="shared" si="524"/>
        <v>4.6461600153716323E-2</v>
      </c>
      <c r="N1250" s="63">
        <v>202673</v>
      </c>
      <c r="O1250" s="63">
        <v>25205</v>
      </c>
      <c r="P1250" s="63">
        <v>401</v>
      </c>
      <c r="Q1250" s="63">
        <v>4568</v>
      </c>
      <c r="R1250" s="63">
        <v>4087</v>
      </c>
      <c r="S1250" s="63">
        <v>18</v>
      </c>
      <c r="T1250" s="63">
        <v>2</v>
      </c>
      <c r="U1250" s="63">
        <v>1</v>
      </c>
      <c r="V1250" s="63">
        <v>12</v>
      </c>
      <c r="W1250" s="63">
        <f t="shared" si="530"/>
        <v>2404</v>
      </c>
      <c r="X1250" s="63"/>
      <c r="Y1250" s="63">
        <v>3</v>
      </c>
      <c r="Z1250" s="63">
        <v>1</v>
      </c>
      <c r="AA1250" s="63"/>
      <c r="AB1250" s="63"/>
      <c r="AC1250" s="63"/>
      <c r="AD1250" s="63">
        <v>0</v>
      </c>
      <c r="AE1250" s="63">
        <v>7</v>
      </c>
      <c r="AF1250" s="63">
        <v>1</v>
      </c>
      <c r="AG1250" s="63"/>
      <c r="AH1250" s="63"/>
      <c r="AI1250" s="63"/>
      <c r="AJ1250" s="63"/>
      <c r="AK1250" s="63"/>
      <c r="AL1250" s="63">
        <v>1</v>
      </c>
      <c r="AM1250" s="63">
        <v>2</v>
      </c>
      <c r="AN1250" s="63">
        <v>16</v>
      </c>
      <c r="AO1250" s="63"/>
      <c r="AP1250" s="63"/>
      <c r="AQ1250" s="63">
        <v>0</v>
      </c>
      <c r="AR1250" s="63"/>
      <c r="AS1250" s="63"/>
      <c r="AT1250" s="63"/>
      <c r="AU1250" s="63"/>
      <c r="AW1250" s="5">
        <f>IF(Q1250&gt;0,RANK(Q1250,(N1250:P1250,Q1250:AE1250)),0)</f>
        <v>3</v>
      </c>
      <c r="AX1250" s="5">
        <f>IF(R1250&gt;0,RANK(R1250,(N1250:P1250,Q1250:AE1250)),0)</f>
        <v>4</v>
      </c>
      <c r="AY1250" s="5">
        <f>IF(T1250&gt;0,RANK(T1250,(N1250:P1250,Q1250:AE1250)),0)</f>
        <v>11</v>
      </c>
      <c r="AZ1250" s="5">
        <f>IF(S1250&gt;0,RANK(S1250,(N1250:P1250,Q1250:AE1250)),0)</f>
        <v>7</v>
      </c>
      <c r="BA1250" s="2">
        <f t="shared" si="525"/>
        <v>1.9080876517322327E-2</v>
      </c>
      <c r="BB1250" s="2">
        <f t="shared" si="526"/>
        <v>1.7071703661623545E-2</v>
      </c>
      <c r="BC1250" s="2">
        <f t="shared" si="527"/>
        <v>8.3541490881446279E-6</v>
      </c>
      <c r="BD1250" s="2">
        <f t="shared" si="528"/>
        <v>7.5187341793301639E-5</v>
      </c>
      <c r="BE1250" s="109"/>
      <c r="BF1250" t="s">
        <v>2317</v>
      </c>
      <c r="BG1250" t="s">
        <v>3107</v>
      </c>
      <c r="BJ1250" s="114">
        <v>24</v>
      </c>
      <c r="BK1250" s="116">
        <v>510</v>
      </c>
      <c r="BL1250" s="120">
        <f t="shared" si="497"/>
        <v>24510</v>
      </c>
      <c r="BN1250" s="5" t="s">
        <v>1249</v>
      </c>
      <c r="CA1250" s="63">
        <f t="shared" si="529"/>
        <v>2859</v>
      </c>
      <c r="CB1250" s="1">
        <v>2370</v>
      </c>
      <c r="CD1250" s="63">
        <v>1</v>
      </c>
      <c r="CE1250" s="63">
        <v>0</v>
      </c>
      <c r="CF1250" s="63">
        <v>0</v>
      </c>
      <c r="CG1250" s="63">
        <v>4</v>
      </c>
      <c r="CH1250" s="63">
        <v>1</v>
      </c>
      <c r="CI1250" s="63">
        <v>11</v>
      </c>
      <c r="CJ1250" s="63">
        <v>0</v>
      </c>
      <c r="CK1250" s="63">
        <v>0</v>
      </c>
      <c r="CL1250" s="63">
        <v>1</v>
      </c>
      <c r="CM1250" s="63">
        <v>2</v>
      </c>
      <c r="CN1250" s="63">
        <v>1</v>
      </c>
      <c r="CO1250" s="63">
        <v>0</v>
      </c>
      <c r="CP1250" s="63">
        <v>0</v>
      </c>
      <c r="CQ1250" s="1">
        <v>0</v>
      </c>
      <c r="CR1250" s="1">
        <v>0</v>
      </c>
      <c r="CS1250" s="1">
        <v>2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1</v>
      </c>
      <c r="CZ1250" s="1">
        <v>0</v>
      </c>
      <c r="DA1250" s="1">
        <v>1</v>
      </c>
      <c r="DB1250" s="1">
        <v>0</v>
      </c>
      <c r="DC1250" s="1">
        <v>0</v>
      </c>
      <c r="DD1250" s="1">
        <v>1</v>
      </c>
      <c r="DE1250" s="1">
        <v>1</v>
      </c>
      <c r="DF1250" s="1">
        <v>1</v>
      </c>
      <c r="DG1250" s="1">
        <v>3</v>
      </c>
      <c r="DH1250" s="1">
        <v>1</v>
      </c>
      <c r="DI1250" s="1">
        <v>1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1</v>
      </c>
    </row>
    <row r="1251" spans="1:119" hidden="1" outlineLevel="1">
      <c r="A1251" t="s">
        <v>1939</v>
      </c>
      <c r="B1251" t="s">
        <v>3107</v>
      </c>
      <c r="C1251" s="1">
        <f t="shared" si="520"/>
        <v>390682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>IF(P1251&gt;0,RANK(P1251,(N1251:P1251,Q1251:AE1251)),0)</f>
        <v>6</v>
      </c>
      <c r="G1251" s="132">
        <f t="shared" si="507"/>
        <v>68935</v>
      </c>
      <c r="H1251" s="137">
        <f t="shared" si="508"/>
        <v>0.17644785272932972</v>
      </c>
      <c r="I1251" s="2"/>
      <c r="J1251" s="2">
        <f t="shared" si="521"/>
        <v>0.55905314296537845</v>
      </c>
      <c r="K1251" s="2">
        <f t="shared" si="522"/>
        <v>0.38260529023604878</v>
      </c>
      <c r="L1251" s="2">
        <f t="shared" si="523"/>
        <v>2.779754378241127E-3</v>
      </c>
      <c r="M1251" s="2">
        <f t="shared" si="524"/>
        <v>5.5561812420331647E-2</v>
      </c>
      <c r="N1251" s="63">
        <v>218412</v>
      </c>
      <c r="O1251" s="63">
        <v>149477</v>
      </c>
      <c r="P1251" s="63">
        <v>1086</v>
      </c>
      <c r="Q1251" s="63">
        <v>11748</v>
      </c>
      <c r="R1251" s="63">
        <v>5338</v>
      </c>
      <c r="S1251" s="63">
        <v>64</v>
      </c>
      <c r="T1251" s="63">
        <v>2</v>
      </c>
      <c r="U1251" s="63">
        <v>0</v>
      </c>
      <c r="V1251" s="63">
        <v>5</v>
      </c>
      <c r="W1251" s="63">
        <f t="shared" si="530"/>
        <v>4475</v>
      </c>
      <c r="X1251" s="63"/>
      <c r="Y1251" s="63">
        <v>4</v>
      </c>
      <c r="Z1251" s="63">
        <v>3</v>
      </c>
      <c r="AA1251" s="63"/>
      <c r="AB1251" s="63"/>
      <c r="AC1251" s="63"/>
      <c r="AD1251" s="63">
        <v>0</v>
      </c>
      <c r="AE1251" s="63">
        <v>8</v>
      </c>
      <c r="AF1251" s="63">
        <v>4</v>
      </c>
      <c r="AG1251" s="63"/>
      <c r="AH1251" s="63"/>
      <c r="AI1251" s="63"/>
      <c r="AJ1251" s="63"/>
      <c r="AK1251" s="63"/>
      <c r="AL1251" s="63">
        <v>5</v>
      </c>
      <c r="AM1251" s="63">
        <v>1</v>
      </c>
      <c r="AN1251" s="63">
        <v>48</v>
      </c>
      <c r="AO1251" s="63"/>
      <c r="AP1251" s="63"/>
      <c r="AQ1251" s="63">
        <v>2</v>
      </c>
      <c r="AR1251" s="63"/>
      <c r="AS1251" s="63"/>
      <c r="AT1251" s="63"/>
      <c r="AU1251" s="63"/>
      <c r="AW1251" s="5">
        <f>IF(Q1251&gt;0,RANK(Q1251,(N1251:P1251,Q1251:AE1251)),0)</f>
        <v>3</v>
      </c>
      <c r="AX1251" s="5">
        <f>IF(R1251&gt;0,RANK(R1251,(N1251:P1251,Q1251:AE1251)),0)</f>
        <v>4</v>
      </c>
      <c r="AY1251" s="5">
        <f>IF(T1251&gt;0,RANK(T1251,(N1251:P1251,Q1251:AE1251)),0)</f>
        <v>12</v>
      </c>
      <c r="AZ1251" s="5">
        <f>IF(S1251&gt;0,RANK(S1251,(N1251:P1251,Q1251:AE1251)),0)</f>
        <v>7</v>
      </c>
      <c r="BA1251" s="2">
        <f t="shared" si="525"/>
        <v>3.0070492113790755E-2</v>
      </c>
      <c r="BB1251" s="2">
        <f t="shared" si="526"/>
        <v>1.3663286253269923E-2</v>
      </c>
      <c r="BC1251" s="2">
        <f t="shared" si="527"/>
        <v>5.1192529986024439E-6</v>
      </c>
      <c r="BD1251" s="2">
        <f t="shared" si="528"/>
        <v>1.6381609595527821E-4</v>
      </c>
      <c r="BE1251" s="109"/>
      <c r="BF1251" t="s">
        <v>1939</v>
      </c>
      <c r="BG1251" t="s">
        <v>3107</v>
      </c>
      <c r="BJ1251" s="114">
        <v>24</v>
      </c>
      <c r="BK1251" s="116">
        <v>5</v>
      </c>
      <c r="BL1251" s="120">
        <f t="shared" si="497"/>
        <v>24005</v>
      </c>
      <c r="BN1251" s="5" t="s">
        <v>3154</v>
      </c>
      <c r="CA1251" s="63">
        <f t="shared" si="529"/>
        <v>5680</v>
      </c>
      <c r="CB1251" s="1">
        <v>4398</v>
      </c>
      <c r="CD1251" s="63">
        <v>6</v>
      </c>
      <c r="CE1251" s="63">
        <v>0</v>
      </c>
      <c r="CF1251" s="63">
        <v>6</v>
      </c>
      <c r="CG1251" s="63">
        <v>14</v>
      </c>
      <c r="CH1251" s="63">
        <v>8</v>
      </c>
      <c r="CI1251" s="63">
        <v>11</v>
      </c>
      <c r="CJ1251" s="63">
        <v>1</v>
      </c>
      <c r="CK1251" s="63">
        <v>0</v>
      </c>
      <c r="CL1251" s="63">
        <v>0</v>
      </c>
      <c r="CM1251" s="63">
        <v>0</v>
      </c>
      <c r="CN1251" s="63">
        <v>0</v>
      </c>
      <c r="CO1251" s="63">
        <v>0</v>
      </c>
      <c r="CP1251" s="63">
        <v>1</v>
      </c>
      <c r="CQ1251" s="1">
        <v>0</v>
      </c>
      <c r="CR1251" s="1">
        <v>0</v>
      </c>
      <c r="CS1251" s="1">
        <v>1</v>
      </c>
      <c r="CT1251" s="1">
        <v>0</v>
      </c>
      <c r="CU1251" s="1">
        <v>0</v>
      </c>
      <c r="CV1251" s="1">
        <v>0</v>
      </c>
      <c r="CW1251" s="1">
        <v>0</v>
      </c>
      <c r="CX1251" s="1">
        <v>1</v>
      </c>
      <c r="CY1251" s="1">
        <v>1</v>
      </c>
      <c r="CZ1251" s="1">
        <v>0</v>
      </c>
      <c r="DA1251" s="1">
        <v>0</v>
      </c>
      <c r="DB1251" s="1">
        <v>0</v>
      </c>
      <c r="DC1251" s="1">
        <v>2</v>
      </c>
      <c r="DD1251" s="1">
        <v>0</v>
      </c>
      <c r="DE1251" s="1">
        <v>6</v>
      </c>
      <c r="DF1251" s="1">
        <v>3</v>
      </c>
      <c r="DG1251" s="1">
        <v>7</v>
      </c>
      <c r="DH1251" s="1">
        <v>0</v>
      </c>
      <c r="DI1251" s="1">
        <v>3</v>
      </c>
      <c r="DJ1251" s="1">
        <v>2</v>
      </c>
      <c r="DK1251" s="1">
        <v>1</v>
      </c>
      <c r="DL1251" s="1">
        <v>0</v>
      </c>
      <c r="DM1251" s="1">
        <v>0</v>
      </c>
      <c r="DN1251" s="1">
        <v>0</v>
      </c>
      <c r="DO1251" s="1">
        <v>3</v>
      </c>
    </row>
    <row r="1252" spans="1:119" hidden="1" outlineLevel="1">
      <c r="A1252" t="s">
        <v>2422</v>
      </c>
      <c r="B1252" t="s">
        <v>3107</v>
      </c>
      <c r="C1252" s="1">
        <f t="shared" si="520"/>
        <v>47408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6</v>
      </c>
      <c r="G1252" s="132">
        <f t="shared" si="507"/>
        <v>7951</v>
      </c>
      <c r="H1252" s="137">
        <f t="shared" si="508"/>
        <v>0.16771430982112723</v>
      </c>
      <c r="I1252" s="2"/>
      <c r="J1252" s="2">
        <f t="shared" si="521"/>
        <v>0.3844287883901451</v>
      </c>
      <c r="K1252" s="2">
        <f t="shared" si="522"/>
        <v>0.55214309821127239</v>
      </c>
      <c r="L1252" s="2">
        <f t="shared" si="523"/>
        <v>3.4593317583530205E-3</v>
      </c>
      <c r="M1252" s="2">
        <f t="shared" si="524"/>
        <v>5.9968781640229431E-2</v>
      </c>
      <c r="N1252" s="63">
        <v>18225</v>
      </c>
      <c r="O1252" s="63">
        <v>26176</v>
      </c>
      <c r="P1252" s="63">
        <v>164</v>
      </c>
      <c r="Q1252" s="63">
        <v>1815</v>
      </c>
      <c r="R1252" s="63">
        <v>498</v>
      </c>
      <c r="S1252" s="63">
        <v>13</v>
      </c>
      <c r="T1252" s="63">
        <v>1</v>
      </c>
      <c r="U1252" s="63">
        <v>0</v>
      </c>
      <c r="V1252" s="63">
        <v>0</v>
      </c>
      <c r="W1252" s="63">
        <f t="shared" si="530"/>
        <v>509</v>
      </c>
      <c r="X1252" s="63"/>
      <c r="Y1252" s="63">
        <v>0</v>
      </c>
      <c r="Z1252" s="63">
        <v>0</v>
      </c>
      <c r="AA1252" s="63"/>
      <c r="AB1252" s="63"/>
      <c r="AC1252" s="63"/>
      <c r="AD1252" s="63">
        <v>0</v>
      </c>
      <c r="AE1252" s="63">
        <v>2</v>
      </c>
      <c r="AF1252" s="63">
        <v>0</v>
      </c>
      <c r="AG1252" s="63"/>
      <c r="AH1252" s="63"/>
      <c r="AI1252" s="63"/>
      <c r="AJ1252" s="63"/>
      <c r="AK1252" s="63"/>
      <c r="AL1252" s="63">
        <v>0</v>
      </c>
      <c r="AM1252" s="63">
        <v>0</v>
      </c>
      <c r="AN1252" s="63">
        <v>5</v>
      </c>
      <c r="AO1252" s="63"/>
      <c r="AP1252" s="63"/>
      <c r="AQ1252" s="63">
        <v>0</v>
      </c>
      <c r="AR1252" s="63"/>
      <c r="AS1252" s="63"/>
      <c r="AT1252" s="63"/>
      <c r="AU1252" s="63"/>
      <c r="AW1252" s="5">
        <f>IF(Q1252&gt;0,RANK(Q1252,(N1252:P1252,Q1252:AE1252)),0)</f>
        <v>3</v>
      </c>
      <c r="AX1252" s="5">
        <f>IF(R1252&gt;0,RANK(R1252,(N1252:P1252,Q1252:AE1252)),0)</f>
        <v>5</v>
      </c>
      <c r="AY1252" s="5">
        <f>IF(T1252&gt;0,RANK(T1252,(N1252:P1252,Q1252:AE1252)),0)</f>
        <v>9</v>
      </c>
      <c r="AZ1252" s="5">
        <f>IF(S1252&gt;0,RANK(S1252,(N1252:P1252,Q1252:AE1252)),0)</f>
        <v>7</v>
      </c>
      <c r="BA1252" s="2">
        <f t="shared" si="525"/>
        <v>3.8284677691528858E-2</v>
      </c>
      <c r="BB1252" s="2">
        <f t="shared" si="526"/>
        <v>1.0504556193047587E-2</v>
      </c>
      <c r="BC1252" s="2">
        <f t="shared" si="527"/>
        <v>2.1093486331420857E-5</v>
      </c>
      <c r="BD1252" s="2">
        <f t="shared" si="528"/>
        <v>2.7421532230847116E-4</v>
      </c>
      <c r="BE1252" s="109"/>
      <c r="BF1252" t="s">
        <v>2422</v>
      </c>
      <c r="BG1252" t="s">
        <v>3107</v>
      </c>
      <c r="BH1252">
        <v>5</v>
      </c>
      <c r="BJ1252" s="114">
        <v>24</v>
      </c>
      <c r="BK1252" s="116">
        <v>9</v>
      </c>
      <c r="BL1252" s="120">
        <f t="shared" si="497"/>
        <v>24009</v>
      </c>
      <c r="BN1252" s="5" t="s">
        <v>3154</v>
      </c>
      <c r="CA1252" s="63">
        <f t="shared" si="529"/>
        <v>685</v>
      </c>
      <c r="CB1252" s="1">
        <v>494</v>
      </c>
      <c r="CD1252" s="63">
        <v>0</v>
      </c>
      <c r="CE1252" s="63">
        <v>0</v>
      </c>
      <c r="CF1252" s="63">
        <v>0</v>
      </c>
      <c r="CG1252" s="63">
        <v>2</v>
      </c>
      <c r="CH1252" s="63">
        <v>2</v>
      </c>
      <c r="CI1252" s="63">
        <v>1</v>
      </c>
      <c r="CJ1252" s="63">
        <v>1</v>
      </c>
      <c r="CK1252" s="63">
        <v>0</v>
      </c>
      <c r="CL1252" s="63">
        <v>0</v>
      </c>
      <c r="CM1252" s="63">
        <v>0</v>
      </c>
      <c r="CN1252" s="63">
        <v>0</v>
      </c>
      <c r="CO1252" s="63">
        <v>0</v>
      </c>
      <c r="CP1252" s="63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1</v>
      </c>
      <c r="DL1252" s="1">
        <v>0</v>
      </c>
      <c r="DM1252" s="1">
        <v>8</v>
      </c>
      <c r="DN1252" s="1">
        <v>0</v>
      </c>
      <c r="DO1252" s="1">
        <v>0</v>
      </c>
    </row>
    <row r="1253" spans="1:119" hidden="1" outlineLevel="1">
      <c r="A1253" t="s">
        <v>15</v>
      </c>
      <c r="B1253" t="s">
        <v>3107</v>
      </c>
      <c r="C1253" s="1">
        <f t="shared" si="520"/>
        <v>14113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6</v>
      </c>
      <c r="G1253" s="132">
        <f t="shared" si="507"/>
        <v>5359</v>
      </c>
      <c r="H1253" s="137">
        <f t="shared" si="508"/>
        <v>0.37972082477148728</v>
      </c>
      <c r="I1253" s="2"/>
      <c r="J1253" s="2">
        <f t="shared" si="521"/>
        <v>0.28406433784454049</v>
      </c>
      <c r="K1253" s="2">
        <f t="shared" si="522"/>
        <v>0.66378516261602782</v>
      </c>
      <c r="L1253" s="2">
        <f t="shared" si="523"/>
        <v>2.4799829944023243E-3</v>
      </c>
      <c r="M1253" s="2">
        <f t="shared" si="524"/>
        <v>4.9670516545029415E-2</v>
      </c>
      <c r="N1253" s="63">
        <v>4009</v>
      </c>
      <c r="O1253" s="63">
        <v>9368</v>
      </c>
      <c r="P1253" s="63">
        <v>35</v>
      </c>
      <c r="Q1253" s="63">
        <v>445</v>
      </c>
      <c r="R1253" s="63">
        <v>129</v>
      </c>
      <c r="S1253" s="63">
        <v>4</v>
      </c>
      <c r="T1253" s="63">
        <v>0</v>
      </c>
      <c r="U1253" s="63">
        <v>0</v>
      </c>
      <c r="V1253" s="63">
        <v>0</v>
      </c>
      <c r="W1253" s="63">
        <f t="shared" si="530"/>
        <v>123</v>
      </c>
      <c r="X1253" s="63"/>
      <c r="Y1253" s="63">
        <v>0</v>
      </c>
      <c r="Z1253" s="63">
        <v>0</v>
      </c>
      <c r="AA1253" s="63"/>
      <c r="AB1253" s="63"/>
      <c r="AC1253" s="63"/>
      <c r="AD1253" s="63">
        <v>0</v>
      </c>
      <c r="AE1253" s="63">
        <v>0</v>
      </c>
      <c r="AF1253" s="63">
        <v>0</v>
      </c>
      <c r="AG1253" s="63"/>
      <c r="AH1253" s="63"/>
      <c r="AI1253" s="63"/>
      <c r="AJ1253" s="63"/>
      <c r="AK1253" s="63"/>
      <c r="AL1253" s="63">
        <v>0</v>
      </c>
      <c r="AM1253" s="63">
        <v>0</v>
      </c>
      <c r="AN1253" s="63">
        <v>0</v>
      </c>
      <c r="AO1253" s="63"/>
      <c r="AP1253" s="63"/>
      <c r="AQ1253" s="63">
        <v>0</v>
      </c>
      <c r="AR1253" s="63"/>
      <c r="AS1253" s="63"/>
      <c r="AT1253" s="63"/>
      <c r="AU1253" s="63"/>
      <c r="AW1253" s="5">
        <f>IF(Q1253&gt;0,RANK(Q1253,(N1253:P1253,Q1253:AE1253)),0)</f>
        <v>3</v>
      </c>
      <c r="AX1253" s="5">
        <f>IF(R1253&gt;0,RANK(R1253,(N1253:P1253,Q1253:AE1253)),0)</f>
        <v>4</v>
      </c>
      <c r="AY1253" s="5">
        <f>IF(T1253&gt;0,RANK(T1253,(N1253:P1253,Q1253:AE1253)),0)</f>
        <v>0</v>
      </c>
      <c r="AZ1253" s="5">
        <f>IF(S1253&gt;0,RANK(S1253,(N1253:P1253,Q1253:AE1253)),0)</f>
        <v>7</v>
      </c>
      <c r="BA1253" s="2">
        <f t="shared" si="525"/>
        <v>3.153121235740098E-2</v>
      </c>
      <c r="BB1253" s="2">
        <f t="shared" si="526"/>
        <v>9.1405087507971366E-3</v>
      </c>
      <c r="BC1253" s="2">
        <f t="shared" si="527"/>
        <v>0</v>
      </c>
      <c r="BD1253" s="2">
        <f t="shared" si="528"/>
        <v>2.834266279316942E-4</v>
      </c>
      <c r="BE1253" s="109"/>
      <c r="BF1253" t="s">
        <v>15</v>
      </c>
      <c r="BG1253" t="s">
        <v>3107</v>
      </c>
      <c r="BH1253">
        <v>1</v>
      </c>
      <c r="BJ1253" s="114">
        <v>24</v>
      </c>
      <c r="BK1253" s="116">
        <v>11</v>
      </c>
      <c r="BL1253" s="120">
        <f t="shared" si="497"/>
        <v>24011</v>
      </c>
      <c r="BN1253" s="5" t="s">
        <v>3154</v>
      </c>
      <c r="CA1253" s="63">
        <f t="shared" si="529"/>
        <v>162</v>
      </c>
      <c r="CB1253" s="1">
        <v>121</v>
      </c>
      <c r="CD1253" s="63">
        <v>0</v>
      </c>
      <c r="CE1253" s="63">
        <v>0</v>
      </c>
      <c r="CF1253" s="63">
        <v>1</v>
      </c>
      <c r="CG1253" s="63">
        <v>0</v>
      </c>
      <c r="CH1253" s="63">
        <v>0</v>
      </c>
      <c r="CI1253" s="63">
        <v>1</v>
      </c>
      <c r="CJ1253" s="63">
        <v>0</v>
      </c>
      <c r="CK1253" s="63">
        <v>0</v>
      </c>
      <c r="CL1253" s="63">
        <v>0</v>
      </c>
      <c r="CM1253" s="63">
        <v>0</v>
      </c>
      <c r="CN1253" s="63">
        <v>0</v>
      </c>
      <c r="CO1253" s="63">
        <v>0</v>
      </c>
      <c r="CP1253" s="63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</row>
    <row r="1254" spans="1:119" hidden="1" outlineLevel="1">
      <c r="A1254" t="s">
        <v>1675</v>
      </c>
      <c r="B1254" t="s">
        <v>3107</v>
      </c>
      <c r="C1254" s="1">
        <f t="shared" si="520"/>
        <v>91848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>IF(P1254&gt;0,RANK(P1254,(N1254:P1254,Q1254:AE1254)),0)</f>
        <v>6</v>
      </c>
      <c r="G1254" s="132">
        <f t="shared" si="507"/>
        <v>31648</v>
      </c>
      <c r="H1254" s="137">
        <f t="shared" si="508"/>
        <v>0.34456928838951312</v>
      </c>
      <c r="I1254" s="2"/>
      <c r="J1254" s="2">
        <f t="shared" si="521"/>
        <v>0.28924962982318614</v>
      </c>
      <c r="K1254" s="2">
        <f t="shared" si="522"/>
        <v>0.6338189182126992</v>
      </c>
      <c r="L1254" s="2">
        <f t="shared" si="523"/>
        <v>4.3332462329065411E-3</v>
      </c>
      <c r="M1254" s="2">
        <f t="shared" si="524"/>
        <v>7.2598205731208121E-2</v>
      </c>
      <c r="N1254" s="63">
        <v>26567</v>
      </c>
      <c r="O1254" s="63">
        <v>58215</v>
      </c>
      <c r="P1254" s="63">
        <v>398</v>
      </c>
      <c r="Q1254" s="63">
        <v>4286</v>
      </c>
      <c r="R1254" s="63">
        <v>1060</v>
      </c>
      <c r="S1254" s="63">
        <v>31</v>
      </c>
      <c r="T1254" s="63">
        <v>0</v>
      </c>
      <c r="U1254" s="63">
        <v>0</v>
      </c>
      <c r="V1254" s="63">
        <v>2</v>
      </c>
      <c r="W1254" s="63">
        <f t="shared" si="530"/>
        <v>1265</v>
      </c>
      <c r="X1254" s="63"/>
      <c r="Y1254" s="63">
        <v>0</v>
      </c>
      <c r="Z1254" s="63">
        <v>2</v>
      </c>
      <c r="AA1254" s="63"/>
      <c r="AB1254" s="63"/>
      <c r="AC1254" s="63"/>
      <c r="AD1254" s="63">
        <v>0</v>
      </c>
      <c r="AE1254" s="63">
        <v>3</v>
      </c>
      <c r="AF1254" s="63">
        <v>0</v>
      </c>
      <c r="AG1254" s="63"/>
      <c r="AH1254" s="63"/>
      <c r="AI1254" s="63"/>
      <c r="AJ1254" s="63"/>
      <c r="AK1254" s="63"/>
      <c r="AL1254" s="63">
        <v>1</v>
      </c>
      <c r="AM1254" s="63">
        <v>0</v>
      </c>
      <c r="AN1254" s="63">
        <v>17</v>
      </c>
      <c r="AO1254" s="63"/>
      <c r="AP1254" s="63"/>
      <c r="AQ1254" s="63">
        <v>1</v>
      </c>
      <c r="AR1254" s="63"/>
      <c r="AS1254" s="63"/>
      <c r="AT1254" s="63"/>
      <c r="AU1254" s="63"/>
      <c r="AW1254" s="5">
        <f>IF(Q1254&gt;0,RANK(Q1254,(N1254:P1254,Q1254:AE1254)),0)</f>
        <v>3</v>
      </c>
      <c r="AX1254" s="5">
        <f>IF(R1254&gt;0,RANK(R1254,(N1254:P1254,Q1254:AE1254)),0)</f>
        <v>5</v>
      </c>
      <c r="AY1254" s="5">
        <f>IF(T1254&gt;0,RANK(T1254,(N1254:P1254,Q1254:AE1254)),0)</f>
        <v>0</v>
      </c>
      <c r="AZ1254" s="5">
        <f>IF(S1254&gt;0,RANK(S1254,(N1254:P1254,Q1254:AE1254)),0)</f>
        <v>7</v>
      </c>
      <c r="BA1254" s="2">
        <f t="shared" si="525"/>
        <v>4.6664053653862905E-2</v>
      </c>
      <c r="BB1254" s="2">
        <f t="shared" si="526"/>
        <v>1.1540806549952095E-2</v>
      </c>
      <c r="BC1254" s="2">
        <f t="shared" si="527"/>
        <v>0</v>
      </c>
      <c r="BD1254" s="2">
        <f t="shared" si="528"/>
        <v>3.3751415381935371E-4</v>
      </c>
      <c r="BE1254" s="109"/>
      <c r="BF1254" t="s">
        <v>1675</v>
      </c>
      <c r="BG1254" t="s">
        <v>3107</v>
      </c>
      <c r="BJ1254" s="114">
        <v>24</v>
      </c>
      <c r="BK1254" s="116">
        <v>13</v>
      </c>
      <c r="BL1254" s="120">
        <f t="shared" si="497"/>
        <v>24013</v>
      </c>
      <c r="BN1254" s="5" t="s">
        <v>3154</v>
      </c>
      <c r="CA1254" s="63">
        <f t="shared" si="529"/>
        <v>1712</v>
      </c>
      <c r="CB1254" s="1">
        <v>1249</v>
      </c>
      <c r="CD1254" s="63">
        <v>0</v>
      </c>
      <c r="CE1254" s="63">
        <v>1</v>
      </c>
      <c r="CF1254" s="63">
        <v>4</v>
      </c>
      <c r="CG1254" s="63">
        <v>0</v>
      </c>
      <c r="CH1254" s="63">
        <v>0</v>
      </c>
      <c r="CI1254" s="63">
        <v>1</v>
      </c>
      <c r="CJ1254" s="63">
        <v>0</v>
      </c>
      <c r="CK1254" s="63">
        <v>0</v>
      </c>
      <c r="CL1254" s="63">
        <v>0</v>
      </c>
      <c r="CM1254" s="63">
        <v>0</v>
      </c>
      <c r="CN1254" s="63">
        <v>0</v>
      </c>
      <c r="CO1254" s="63">
        <v>0</v>
      </c>
      <c r="CP1254" s="63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1</v>
      </c>
      <c r="CW1254" s="1">
        <v>1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1</v>
      </c>
      <c r="DD1254" s="1">
        <v>0</v>
      </c>
      <c r="DE1254" s="1">
        <v>0</v>
      </c>
      <c r="DF1254" s="1">
        <v>2</v>
      </c>
      <c r="DG1254" s="1">
        <v>3</v>
      </c>
      <c r="DH1254" s="1">
        <v>0</v>
      </c>
      <c r="DI1254" s="1">
        <v>0</v>
      </c>
      <c r="DJ1254" s="1">
        <v>0</v>
      </c>
      <c r="DK1254" s="1">
        <v>0</v>
      </c>
      <c r="DL1254" s="1">
        <v>2</v>
      </c>
      <c r="DM1254" s="1">
        <v>0</v>
      </c>
      <c r="DN1254" s="1">
        <v>0</v>
      </c>
      <c r="DO1254" s="1">
        <v>0</v>
      </c>
    </row>
    <row r="1255" spans="1:119" hidden="1" outlineLevel="1">
      <c r="A1255" t="s">
        <v>512</v>
      </c>
      <c r="B1255" t="s">
        <v>3107</v>
      </c>
      <c r="C1255" s="1">
        <f t="shared" si="520"/>
        <v>45269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>IF(P1255&gt;0,RANK(P1255,(N1255:P1255,Q1255:AE1255)),0)</f>
        <v>6</v>
      </c>
      <c r="G1255" s="132">
        <f t="shared" si="507"/>
        <v>15218</v>
      </c>
      <c r="H1255" s="137">
        <f t="shared" si="508"/>
        <v>0.33616823875057988</v>
      </c>
      <c r="I1255" s="2"/>
      <c r="J1255" s="2">
        <f t="shared" si="521"/>
        <v>0.30153084892531312</v>
      </c>
      <c r="K1255" s="2">
        <f t="shared" si="522"/>
        <v>0.63769908767589301</v>
      </c>
      <c r="L1255" s="2">
        <f t="shared" si="523"/>
        <v>3.4681570169431621E-3</v>
      </c>
      <c r="M1255" s="2">
        <f t="shared" si="524"/>
        <v>5.730190638185071E-2</v>
      </c>
      <c r="N1255" s="63">
        <v>13650</v>
      </c>
      <c r="O1255" s="63">
        <v>28868</v>
      </c>
      <c r="P1255" s="63">
        <v>157</v>
      </c>
      <c r="Q1255" s="63">
        <v>1665</v>
      </c>
      <c r="R1255" s="63">
        <v>568</v>
      </c>
      <c r="S1255" s="63">
        <v>17</v>
      </c>
      <c r="T1255" s="63">
        <v>0</v>
      </c>
      <c r="U1255" s="63">
        <v>0</v>
      </c>
      <c r="V1255" s="63">
        <v>0</v>
      </c>
      <c r="W1255" s="63">
        <f t="shared" si="530"/>
        <v>335</v>
      </c>
      <c r="X1255" s="63"/>
      <c r="Y1255" s="63">
        <v>0</v>
      </c>
      <c r="Z1255" s="63">
        <v>0</v>
      </c>
      <c r="AA1255" s="63"/>
      <c r="AB1255" s="63"/>
      <c r="AC1255" s="63"/>
      <c r="AD1255" s="63">
        <v>0</v>
      </c>
      <c r="AE1255" s="63">
        <v>1</v>
      </c>
      <c r="AF1255" s="63">
        <v>0</v>
      </c>
      <c r="AG1255" s="63"/>
      <c r="AH1255" s="63"/>
      <c r="AI1255" s="63"/>
      <c r="AJ1255" s="63"/>
      <c r="AK1255" s="63"/>
      <c r="AL1255" s="63">
        <v>0</v>
      </c>
      <c r="AM1255" s="63">
        <v>0</v>
      </c>
      <c r="AN1255" s="63">
        <v>7</v>
      </c>
      <c r="AO1255" s="63"/>
      <c r="AP1255" s="63"/>
      <c r="AQ1255" s="63">
        <v>1</v>
      </c>
      <c r="AR1255" s="63"/>
      <c r="AS1255" s="63"/>
      <c r="AT1255" s="63"/>
      <c r="AU1255" s="63"/>
      <c r="AW1255" s="5">
        <f>IF(Q1255&gt;0,RANK(Q1255,(N1255:P1255,Q1255:AE1255)),0)</f>
        <v>3</v>
      </c>
      <c r="AX1255" s="5">
        <f>IF(R1255&gt;0,RANK(R1255,(N1255:P1255,Q1255:AE1255)),0)</f>
        <v>4</v>
      </c>
      <c r="AY1255" s="5">
        <f>IF(T1255&gt;0,RANK(T1255,(N1255:P1255,Q1255:AE1255)),0)</f>
        <v>0</v>
      </c>
      <c r="AZ1255" s="5">
        <f>IF(S1255&gt;0,RANK(S1255,(N1255:P1255,Q1255:AE1255)),0)</f>
        <v>7</v>
      </c>
      <c r="BA1255" s="2">
        <f t="shared" si="525"/>
        <v>3.6780136517263466E-2</v>
      </c>
      <c r="BB1255" s="2">
        <f t="shared" si="526"/>
        <v>1.2547217742826217E-2</v>
      </c>
      <c r="BC1255" s="2">
        <f t="shared" si="527"/>
        <v>0</v>
      </c>
      <c r="BD1255" s="2">
        <f t="shared" si="528"/>
        <v>3.7553292540148887E-4</v>
      </c>
      <c r="BE1255" s="109"/>
      <c r="BF1255" t="s">
        <v>512</v>
      </c>
      <c r="BG1255" t="s">
        <v>3107</v>
      </c>
      <c r="BH1255">
        <v>1</v>
      </c>
      <c r="BJ1255" s="114">
        <v>24</v>
      </c>
      <c r="BK1255" s="116">
        <v>15</v>
      </c>
      <c r="BL1255" s="120">
        <f t="shared" si="497"/>
        <v>24015</v>
      </c>
      <c r="BN1255" s="5" t="s">
        <v>3154</v>
      </c>
      <c r="CA1255" s="63">
        <f t="shared" si="529"/>
        <v>513</v>
      </c>
      <c r="CB1255" s="1">
        <v>325</v>
      </c>
      <c r="CD1255" s="63">
        <v>1</v>
      </c>
      <c r="CE1255" s="63">
        <v>0</v>
      </c>
      <c r="CF1255" s="63">
        <v>1</v>
      </c>
      <c r="CG1255" s="63">
        <v>1</v>
      </c>
      <c r="CH1255" s="63">
        <v>1</v>
      </c>
      <c r="CI1255" s="63">
        <v>0</v>
      </c>
      <c r="CJ1255" s="63">
        <v>0</v>
      </c>
      <c r="CK1255" s="63">
        <v>0</v>
      </c>
      <c r="CL1255" s="63">
        <v>0</v>
      </c>
      <c r="CM1255" s="63">
        <v>0</v>
      </c>
      <c r="CN1255" s="63">
        <v>0</v>
      </c>
      <c r="CO1255" s="63">
        <v>0</v>
      </c>
      <c r="CP1255" s="63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1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2</v>
      </c>
      <c r="DG1255" s="1">
        <v>0</v>
      </c>
      <c r="DH1255" s="1">
        <v>0</v>
      </c>
      <c r="DI1255" s="1">
        <v>0</v>
      </c>
      <c r="DJ1255" s="1">
        <v>2</v>
      </c>
      <c r="DK1255" s="1">
        <v>0</v>
      </c>
      <c r="DL1255" s="1">
        <v>0</v>
      </c>
      <c r="DM1255" s="1">
        <v>0</v>
      </c>
      <c r="DN1255" s="1">
        <v>0</v>
      </c>
      <c r="DO1255" s="1">
        <v>1</v>
      </c>
    </row>
    <row r="1256" spans="1:119" hidden="1" outlineLevel="1">
      <c r="A1256" t="s">
        <v>1661</v>
      </c>
      <c r="B1256" t="s">
        <v>3107</v>
      </c>
      <c r="C1256" s="1">
        <f t="shared" si="520"/>
        <v>78303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>IF(P1256&gt;0,RANK(P1256,(N1256:P1256,Q1256:AE1256)),0)</f>
        <v>6</v>
      </c>
      <c r="G1256" s="132">
        <f t="shared" si="507"/>
        <v>23727</v>
      </c>
      <c r="H1256" s="137">
        <f t="shared" si="508"/>
        <v>0.30301521014520516</v>
      </c>
      <c r="I1256" s="2"/>
      <c r="J1256" s="2">
        <f t="shared" si="521"/>
        <v>0.63012911382705639</v>
      </c>
      <c r="K1256" s="2">
        <f t="shared" si="522"/>
        <v>0.32711390368185128</v>
      </c>
      <c r="L1256" s="2">
        <f t="shared" si="523"/>
        <v>2.1965952773201538E-3</v>
      </c>
      <c r="M1256" s="2">
        <f t="shared" si="524"/>
        <v>4.0560387213772177E-2</v>
      </c>
      <c r="N1256" s="63">
        <v>49341</v>
      </c>
      <c r="O1256" s="63">
        <v>25614</v>
      </c>
      <c r="P1256" s="63">
        <v>172</v>
      </c>
      <c r="Q1256" s="63">
        <v>1696</v>
      </c>
      <c r="R1256" s="63">
        <v>769</v>
      </c>
      <c r="S1256" s="63">
        <v>26</v>
      </c>
      <c r="T1256" s="63">
        <v>1</v>
      </c>
      <c r="U1256" s="63">
        <v>0</v>
      </c>
      <c r="V1256" s="63">
        <v>0</v>
      </c>
      <c r="W1256" s="63">
        <f t="shared" si="530"/>
        <v>678</v>
      </c>
      <c r="X1256" s="63"/>
      <c r="Y1256" s="63">
        <v>1</v>
      </c>
      <c r="Z1256" s="63">
        <v>0</v>
      </c>
      <c r="AA1256" s="63"/>
      <c r="AB1256" s="63"/>
      <c r="AC1256" s="63"/>
      <c r="AD1256" s="63">
        <v>1</v>
      </c>
      <c r="AE1256" s="63">
        <v>1</v>
      </c>
      <c r="AF1256" s="63">
        <v>0</v>
      </c>
      <c r="AG1256" s="63"/>
      <c r="AH1256" s="63"/>
      <c r="AI1256" s="63"/>
      <c r="AJ1256" s="63"/>
      <c r="AK1256" s="63"/>
      <c r="AL1256" s="63">
        <v>0</v>
      </c>
      <c r="AM1256" s="63">
        <v>2</v>
      </c>
      <c r="AN1256" s="63">
        <v>1</v>
      </c>
      <c r="AO1256" s="63"/>
      <c r="AP1256" s="63"/>
      <c r="AQ1256" s="63">
        <v>0</v>
      </c>
      <c r="AR1256" s="63"/>
      <c r="AS1256" s="63"/>
      <c r="AT1256" s="63"/>
      <c r="AU1256" s="63"/>
      <c r="AW1256" s="5">
        <f>IF(Q1256&gt;0,RANK(Q1256,(N1256:P1256,Q1256:AE1256)),0)</f>
        <v>3</v>
      </c>
      <c r="AX1256" s="5">
        <f>IF(R1256&gt;0,RANK(R1256,(N1256:P1256,Q1256:AE1256)),0)</f>
        <v>4</v>
      </c>
      <c r="AY1256" s="5">
        <f>IF(T1256&gt;0,RANK(T1256,(N1256:P1256,Q1256:AE1256)),0)</f>
        <v>8</v>
      </c>
      <c r="AZ1256" s="5">
        <f>IF(S1256&gt;0,RANK(S1256,(N1256:P1256,Q1256:AE1256)),0)</f>
        <v>7</v>
      </c>
      <c r="BA1256" s="2">
        <f t="shared" si="525"/>
        <v>2.1659451106598726E-2</v>
      </c>
      <c r="BB1256" s="2">
        <f t="shared" si="526"/>
        <v>9.8208242340651064E-3</v>
      </c>
      <c r="BC1256" s="2">
        <f t="shared" si="527"/>
        <v>1.2770902775117174E-5</v>
      </c>
      <c r="BD1256" s="2">
        <f t="shared" si="528"/>
        <v>3.320434721530465E-4</v>
      </c>
      <c r="BE1256" s="109"/>
      <c r="BF1256" t="s">
        <v>1661</v>
      </c>
      <c r="BG1256" t="s">
        <v>3107</v>
      </c>
      <c r="BH1256">
        <v>5</v>
      </c>
      <c r="BJ1256" s="114">
        <v>24</v>
      </c>
      <c r="BK1256" s="116">
        <v>17</v>
      </c>
      <c r="BL1256" s="120">
        <f t="shared" si="497"/>
        <v>24017</v>
      </c>
      <c r="BN1256" s="5" t="s">
        <v>3154</v>
      </c>
      <c r="CA1256" s="63">
        <f t="shared" si="529"/>
        <v>880</v>
      </c>
      <c r="CB1256" s="1">
        <v>669</v>
      </c>
      <c r="CD1256" s="63">
        <v>0</v>
      </c>
      <c r="CE1256" s="63">
        <v>0</v>
      </c>
      <c r="CF1256" s="63">
        <v>3</v>
      </c>
      <c r="CG1256" s="63">
        <v>2</v>
      </c>
      <c r="CH1256" s="63">
        <v>0</v>
      </c>
      <c r="CI1256" s="63">
        <v>0</v>
      </c>
      <c r="CJ1256" s="63">
        <v>0</v>
      </c>
      <c r="CK1256" s="63">
        <v>0</v>
      </c>
      <c r="CL1256" s="63">
        <v>0</v>
      </c>
      <c r="CM1256" s="63">
        <v>0</v>
      </c>
      <c r="CN1256" s="63">
        <v>1</v>
      </c>
      <c r="CO1256" s="63">
        <v>0</v>
      </c>
      <c r="CP1256" s="63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1</v>
      </c>
      <c r="DE1256" s="1">
        <v>0</v>
      </c>
      <c r="DF1256" s="1">
        <v>0</v>
      </c>
      <c r="DG1256" s="1">
        <v>1</v>
      </c>
      <c r="DH1256" s="1">
        <v>0</v>
      </c>
      <c r="DI1256" s="1">
        <v>0</v>
      </c>
      <c r="DJ1256" s="1">
        <v>1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</row>
    <row r="1257" spans="1:119" hidden="1" outlineLevel="1">
      <c r="A1257" t="s">
        <v>793</v>
      </c>
      <c r="B1257" t="s">
        <v>3107</v>
      </c>
      <c r="C1257" s="1">
        <f t="shared" si="520"/>
        <v>15225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>IF(P1257&gt;0,RANK(P1257,(N1257:P1257,Q1257:AE1257)),0)</f>
        <v>6</v>
      </c>
      <c r="G1257" s="132">
        <f t="shared" si="507"/>
        <v>2168</v>
      </c>
      <c r="H1257" s="137">
        <f t="shared" si="508"/>
        <v>0.14239737274220032</v>
      </c>
      <c r="I1257" s="2"/>
      <c r="J1257" s="2">
        <f t="shared" si="521"/>
        <v>0.4101806239737274</v>
      </c>
      <c r="K1257" s="2">
        <f t="shared" si="522"/>
        <v>0.55257799671592778</v>
      </c>
      <c r="L1257" s="2">
        <f t="shared" si="523"/>
        <v>1.2479474548440065E-3</v>
      </c>
      <c r="M1257" s="2">
        <f t="shared" si="524"/>
        <v>3.5993431855500871E-2</v>
      </c>
      <c r="N1257" s="63">
        <v>6245</v>
      </c>
      <c r="O1257" s="63">
        <v>8413</v>
      </c>
      <c r="P1257" s="63">
        <v>19</v>
      </c>
      <c r="Q1257" s="63">
        <v>337</v>
      </c>
      <c r="R1257" s="63">
        <v>109</v>
      </c>
      <c r="S1257" s="63">
        <v>4</v>
      </c>
      <c r="T1257" s="63">
        <v>0</v>
      </c>
      <c r="U1257" s="63">
        <v>0</v>
      </c>
      <c r="V1257" s="63">
        <v>0</v>
      </c>
      <c r="W1257" s="63">
        <f t="shared" si="530"/>
        <v>93</v>
      </c>
      <c r="X1257" s="63"/>
      <c r="Y1257" s="63">
        <v>0</v>
      </c>
      <c r="Z1257" s="63">
        <v>0</v>
      </c>
      <c r="AA1257" s="63"/>
      <c r="AB1257" s="63"/>
      <c r="AC1257" s="63"/>
      <c r="AD1257" s="63">
        <v>0</v>
      </c>
      <c r="AE1257" s="63">
        <v>0</v>
      </c>
      <c r="AF1257" s="63">
        <v>0</v>
      </c>
      <c r="AG1257" s="63"/>
      <c r="AH1257" s="63"/>
      <c r="AI1257" s="63"/>
      <c r="AJ1257" s="63"/>
      <c r="AK1257" s="63"/>
      <c r="AL1257" s="63">
        <v>0</v>
      </c>
      <c r="AM1257" s="63">
        <v>0</v>
      </c>
      <c r="AN1257" s="63">
        <v>2</v>
      </c>
      <c r="AO1257" s="63"/>
      <c r="AP1257" s="63"/>
      <c r="AQ1257" s="63">
        <v>3</v>
      </c>
      <c r="AR1257" s="63"/>
      <c r="AS1257" s="63"/>
      <c r="AT1257" s="63"/>
      <c r="AU1257" s="63"/>
      <c r="AW1257" s="5">
        <f>IF(Q1257&gt;0,RANK(Q1257,(N1257:P1257,Q1257:AE1257)),0)</f>
        <v>3</v>
      </c>
      <c r="AX1257" s="5">
        <f>IF(R1257&gt;0,RANK(R1257,(N1257:P1257,Q1257:AE1257)),0)</f>
        <v>4</v>
      </c>
      <c r="AY1257" s="5">
        <f>IF(T1257&gt;0,RANK(T1257,(N1257:P1257,Q1257:AE1257)),0)</f>
        <v>0</v>
      </c>
      <c r="AZ1257" s="5">
        <f>IF(S1257&gt;0,RANK(S1257,(N1257:P1257,Q1257:AE1257)),0)</f>
        <v>7</v>
      </c>
      <c r="BA1257" s="2">
        <f t="shared" si="525"/>
        <v>2.2134646962233169E-2</v>
      </c>
      <c r="BB1257" s="2">
        <f t="shared" si="526"/>
        <v>7.1592775041050905E-3</v>
      </c>
      <c r="BC1257" s="2">
        <f t="shared" si="527"/>
        <v>0</v>
      </c>
      <c r="BD1257" s="2">
        <f t="shared" si="528"/>
        <v>2.6272577996715928E-4</v>
      </c>
      <c r="BE1257" s="109"/>
      <c r="BF1257" t="s">
        <v>793</v>
      </c>
      <c r="BG1257" t="s">
        <v>3107</v>
      </c>
      <c r="BH1257">
        <v>1</v>
      </c>
      <c r="BJ1257" s="114">
        <v>24</v>
      </c>
      <c r="BK1257" s="116">
        <v>19</v>
      </c>
      <c r="BL1257" s="120">
        <f t="shared" ref="BL1257:BL1320" si="531">1000*BJ1257+BK1257</f>
        <v>24019</v>
      </c>
      <c r="BN1257" s="5" t="s">
        <v>3154</v>
      </c>
      <c r="CA1257" s="63">
        <f t="shared" si="529"/>
        <v>121</v>
      </c>
      <c r="CB1257" s="1">
        <v>91</v>
      </c>
      <c r="CD1257" s="63">
        <v>0</v>
      </c>
      <c r="CE1257" s="63">
        <v>0</v>
      </c>
      <c r="CF1257" s="63">
        <v>0</v>
      </c>
      <c r="CG1257" s="63">
        <v>0</v>
      </c>
      <c r="CH1257" s="63">
        <v>1</v>
      </c>
      <c r="CI1257" s="63">
        <v>1</v>
      </c>
      <c r="CJ1257" s="63">
        <v>0</v>
      </c>
      <c r="CK1257" s="63">
        <v>0</v>
      </c>
      <c r="CL1257" s="63">
        <v>0</v>
      </c>
      <c r="CM1257" s="63">
        <v>0</v>
      </c>
      <c r="CN1257" s="63">
        <v>0</v>
      </c>
      <c r="CO1257" s="63">
        <v>0</v>
      </c>
      <c r="CP1257" s="63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</row>
    <row r="1258" spans="1:119" hidden="1" outlineLevel="1">
      <c r="A1258" t="s">
        <v>2967</v>
      </c>
      <c r="B1258" t="s">
        <v>3107</v>
      </c>
      <c r="C1258" s="1">
        <f t="shared" si="520"/>
        <v>125677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6</v>
      </c>
      <c r="G1258" s="132">
        <f t="shared" si="507"/>
        <v>3000</v>
      </c>
      <c r="H1258" s="137">
        <f t="shared" si="508"/>
        <v>2.3870716201055086E-2</v>
      </c>
      <c r="I1258" s="2"/>
      <c r="J1258" s="2">
        <f t="shared" si="521"/>
        <v>0.44974020703867851</v>
      </c>
      <c r="K1258" s="2">
        <f t="shared" si="522"/>
        <v>0.47361092323973358</v>
      </c>
      <c r="L1258" s="2">
        <f t="shared" si="523"/>
        <v>5.3868249560380978E-3</v>
      </c>
      <c r="M1258" s="2">
        <f t="shared" si="524"/>
        <v>7.126204476554987E-2</v>
      </c>
      <c r="N1258" s="63">
        <v>56522</v>
      </c>
      <c r="O1258" s="63">
        <v>59522</v>
      </c>
      <c r="P1258" s="63">
        <v>677</v>
      </c>
      <c r="Q1258" s="63">
        <v>5427</v>
      </c>
      <c r="R1258" s="63">
        <v>1745</v>
      </c>
      <c r="S1258" s="63">
        <v>48</v>
      </c>
      <c r="T1258" s="63">
        <v>3</v>
      </c>
      <c r="U1258" s="63">
        <v>1</v>
      </c>
      <c r="V1258" s="63">
        <v>0</v>
      </c>
      <c r="W1258" s="63">
        <f t="shared" si="530"/>
        <v>1695</v>
      </c>
      <c r="X1258" s="63"/>
      <c r="Y1258" s="63">
        <v>0</v>
      </c>
      <c r="Z1258" s="63">
        <v>3</v>
      </c>
      <c r="AA1258" s="63"/>
      <c r="AB1258" s="63"/>
      <c r="AC1258" s="63"/>
      <c r="AD1258" s="63">
        <v>1</v>
      </c>
      <c r="AE1258" s="63">
        <v>3</v>
      </c>
      <c r="AF1258" s="63">
        <v>1</v>
      </c>
      <c r="AG1258" s="63"/>
      <c r="AH1258" s="63"/>
      <c r="AI1258" s="63"/>
      <c r="AJ1258" s="63"/>
      <c r="AK1258" s="63"/>
      <c r="AL1258" s="63">
        <v>1</v>
      </c>
      <c r="AM1258" s="63">
        <v>1</v>
      </c>
      <c r="AN1258" s="63">
        <v>27</v>
      </c>
      <c r="AO1258" s="63"/>
      <c r="AP1258" s="63"/>
      <c r="AQ1258" s="63">
        <v>0</v>
      </c>
      <c r="AR1258" s="63"/>
      <c r="AS1258" s="63"/>
      <c r="AT1258" s="63"/>
      <c r="AU1258" s="63"/>
      <c r="AW1258" s="5">
        <f>IF(Q1258&gt;0,RANK(Q1258,(N1258:P1258,Q1258:AE1258)),0)</f>
        <v>3</v>
      </c>
      <c r="AX1258" s="5">
        <f>IF(R1258&gt;0,RANK(R1258,(N1258:P1258,Q1258:AE1258)),0)</f>
        <v>4</v>
      </c>
      <c r="AY1258" s="5">
        <f>IF(T1258&gt;0,RANK(T1258,(N1258:P1258,Q1258:AE1258)),0)</f>
        <v>8</v>
      </c>
      <c r="AZ1258" s="5">
        <f>IF(S1258&gt;0,RANK(S1258,(N1258:P1258,Q1258:AE1258)),0)</f>
        <v>7</v>
      </c>
      <c r="BA1258" s="2">
        <f t="shared" si="525"/>
        <v>4.3182125607708649E-2</v>
      </c>
      <c r="BB1258" s="2">
        <f t="shared" si="526"/>
        <v>1.3884799923613708E-2</v>
      </c>
      <c r="BC1258" s="2">
        <f t="shared" si="527"/>
        <v>2.3870716201055087E-5</v>
      </c>
      <c r="BD1258" s="2">
        <f t="shared" si="528"/>
        <v>3.8193145921688139E-4</v>
      </c>
      <c r="BE1258" s="109"/>
      <c r="BF1258" t="s">
        <v>2967</v>
      </c>
      <c r="BG1258" t="s">
        <v>3107</v>
      </c>
      <c r="BJ1258" s="114">
        <v>24</v>
      </c>
      <c r="BK1258" s="116">
        <v>21</v>
      </c>
      <c r="BL1258" s="120">
        <f t="shared" si="531"/>
        <v>24021</v>
      </c>
      <c r="BN1258" s="5" t="s">
        <v>3154</v>
      </c>
      <c r="CA1258" s="63">
        <f t="shared" si="529"/>
        <v>2441</v>
      </c>
      <c r="CB1258" s="1">
        <v>1657</v>
      </c>
      <c r="CD1258" s="63">
        <v>6</v>
      </c>
      <c r="CE1258" s="63">
        <v>0</v>
      </c>
      <c r="CF1258" s="63">
        <v>0</v>
      </c>
      <c r="CG1258" s="63">
        <v>4</v>
      </c>
      <c r="CH1258" s="63">
        <v>3</v>
      </c>
      <c r="CI1258" s="63">
        <v>0</v>
      </c>
      <c r="CJ1258" s="63">
        <v>1</v>
      </c>
      <c r="CK1258" s="63">
        <v>1</v>
      </c>
      <c r="CL1258" s="63">
        <v>2</v>
      </c>
      <c r="CM1258" s="63">
        <v>0</v>
      </c>
      <c r="CN1258" s="63">
        <v>0</v>
      </c>
      <c r="CO1258" s="63">
        <v>0</v>
      </c>
      <c r="CP1258" s="63">
        <v>1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1</v>
      </c>
      <c r="DA1258" s="1">
        <v>0</v>
      </c>
      <c r="DB1258" s="1">
        <v>1</v>
      </c>
      <c r="DC1258" s="1">
        <v>0</v>
      </c>
      <c r="DD1258" s="1">
        <v>0</v>
      </c>
      <c r="DE1258" s="1">
        <v>3</v>
      </c>
      <c r="DF1258" s="1">
        <v>3</v>
      </c>
      <c r="DG1258" s="1">
        <v>7</v>
      </c>
      <c r="DH1258" s="1">
        <v>0</v>
      </c>
      <c r="DI1258" s="1">
        <v>0</v>
      </c>
      <c r="DJ1258" s="1">
        <v>3</v>
      </c>
      <c r="DK1258" s="1">
        <v>0</v>
      </c>
      <c r="DL1258" s="1">
        <v>1</v>
      </c>
      <c r="DM1258" s="1">
        <v>0</v>
      </c>
      <c r="DN1258" s="1">
        <v>0</v>
      </c>
      <c r="DO1258" s="1">
        <v>1</v>
      </c>
    </row>
    <row r="1259" spans="1:119" hidden="1" outlineLevel="1">
      <c r="A1259" t="s">
        <v>2436</v>
      </c>
      <c r="B1259" t="s">
        <v>3107</v>
      </c>
      <c r="C1259" s="1">
        <f t="shared" si="520"/>
        <v>14011</v>
      </c>
      <c r="D1259" s="5">
        <f>IF(N1259&gt;0, RANK(N1259,(N1259:P1259,Q1259:AE1259)),0)</f>
        <v>2</v>
      </c>
      <c r="E1259" s="5">
        <f>IF(O1259&gt;0,RANK(O1259,(N1259:P1259,Q1259:AE1259)),0)</f>
        <v>1</v>
      </c>
      <c r="F1259" s="5">
        <f>IF(P1259&gt;0,RANK(P1259,(N1259:P1259,Q1259:AE1259)),0)</f>
        <v>6</v>
      </c>
      <c r="G1259" s="132">
        <f t="shared" si="507"/>
        <v>8209</v>
      </c>
      <c r="H1259" s="137">
        <f t="shared" si="508"/>
        <v>0.58589679537506245</v>
      </c>
      <c r="I1259" s="2"/>
      <c r="J1259" s="2">
        <f t="shared" si="521"/>
        <v>0.18321318963671401</v>
      </c>
      <c r="K1259" s="2">
        <f t="shared" si="522"/>
        <v>0.76910998501177641</v>
      </c>
      <c r="L1259" s="2">
        <f t="shared" si="523"/>
        <v>3.3545071729355505E-3</v>
      </c>
      <c r="M1259" s="2">
        <f t="shared" si="524"/>
        <v>4.4322318178574086E-2</v>
      </c>
      <c r="N1259" s="63">
        <v>2567</v>
      </c>
      <c r="O1259" s="63">
        <v>10776</v>
      </c>
      <c r="P1259" s="63">
        <v>47</v>
      </c>
      <c r="Q1259" s="63">
        <v>400</v>
      </c>
      <c r="R1259" s="63">
        <v>107</v>
      </c>
      <c r="S1259" s="63">
        <v>3</v>
      </c>
      <c r="T1259" s="63">
        <v>0</v>
      </c>
      <c r="U1259" s="63">
        <v>0</v>
      </c>
      <c r="V1259" s="63">
        <v>0</v>
      </c>
      <c r="W1259" s="63">
        <f t="shared" si="530"/>
        <v>107</v>
      </c>
      <c r="X1259" s="63"/>
      <c r="Y1259" s="63">
        <v>1</v>
      </c>
      <c r="Z1259" s="63">
        <v>0</v>
      </c>
      <c r="AA1259" s="63"/>
      <c r="AB1259" s="63"/>
      <c r="AC1259" s="63"/>
      <c r="AD1259" s="63">
        <v>0</v>
      </c>
      <c r="AE1259" s="63">
        <v>0</v>
      </c>
      <c r="AF1259" s="63">
        <v>1</v>
      </c>
      <c r="AG1259" s="63"/>
      <c r="AH1259" s="63"/>
      <c r="AI1259" s="63"/>
      <c r="AJ1259" s="63"/>
      <c r="AK1259" s="63"/>
      <c r="AL1259" s="63">
        <v>0</v>
      </c>
      <c r="AM1259" s="63">
        <v>0</v>
      </c>
      <c r="AN1259" s="63">
        <v>2</v>
      </c>
      <c r="AO1259" s="63"/>
      <c r="AP1259" s="63"/>
      <c r="AQ1259" s="63">
        <v>0</v>
      </c>
      <c r="AR1259" s="63"/>
      <c r="AS1259" s="63"/>
      <c r="AT1259" s="63"/>
      <c r="AU1259" s="63"/>
      <c r="AW1259" s="5">
        <f>IF(Q1259&gt;0,RANK(Q1259,(N1259:P1259,Q1259:AE1259)),0)</f>
        <v>3</v>
      </c>
      <c r="AX1259" s="5">
        <f>IF(R1259&gt;0,RANK(R1259,(N1259:P1259,Q1259:AE1259)),0)</f>
        <v>4</v>
      </c>
      <c r="AY1259" s="5">
        <f>IF(T1259&gt;0,RANK(T1259,(N1259:P1259,Q1259:AE1259)),0)</f>
        <v>0</v>
      </c>
      <c r="AZ1259" s="5">
        <f>IF(S1259&gt;0,RANK(S1259,(N1259:P1259,Q1259:AE1259)),0)</f>
        <v>7</v>
      </c>
      <c r="BA1259" s="2">
        <f t="shared" si="525"/>
        <v>2.854899721647277E-2</v>
      </c>
      <c r="BB1259" s="2">
        <f t="shared" si="526"/>
        <v>7.6368567554064666E-3</v>
      </c>
      <c r="BC1259" s="2">
        <f t="shared" si="527"/>
        <v>0</v>
      </c>
      <c r="BD1259" s="2">
        <f t="shared" si="528"/>
        <v>2.1411747912354579E-4</v>
      </c>
      <c r="BE1259" s="109"/>
      <c r="BF1259" t="s">
        <v>2436</v>
      </c>
      <c r="BG1259" t="s">
        <v>3107</v>
      </c>
      <c r="BH1259">
        <v>6</v>
      </c>
      <c r="BJ1259" s="114">
        <v>24</v>
      </c>
      <c r="BK1259" s="116">
        <v>23</v>
      </c>
      <c r="BL1259" s="120">
        <f t="shared" si="531"/>
        <v>24023</v>
      </c>
      <c r="BN1259" s="5" t="s">
        <v>3154</v>
      </c>
      <c r="CA1259" s="63">
        <f t="shared" si="529"/>
        <v>160</v>
      </c>
      <c r="CB1259" s="1">
        <v>105</v>
      </c>
      <c r="CD1259" s="63">
        <v>0</v>
      </c>
      <c r="CE1259" s="63">
        <v>0</v>
      </c>
      <c r="CF1259" s="63">
        <v>0</v>
      </c>
      <c r="CG1259" s="63">
        <v>0</v>
      </c>
      <c r="CH1259" s="63">
        <v>0</v>
      </c>
      <c r="CI1259" s="63">
        <v>1</v>
      </c>
      <c r="CJ1259" s="63">
        <v>0</v>
      </c>
      <c r="CK1259" s="63">
        <v>0</v>
      </c>
      <c r="CL1259" s="63">
        <v>0</v>
      </c>
      <c r="CM1259" s="63">
        <v>0</v>
      </c>
      <c r="CN1259" s="63">
        <v>0</v>
      </c>
      <c r="CO1259" s="63">
        <v>0</v>
      </c>
      <c r="CP1259" s="63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1</v>
      </c>
    </row>
    <row r="1260" spans="1:119" hidden="1" outlineLevel="1">
      <c r="A1260" t="s">
        <v>2952</v>
      </c>
      <c r="B1260" t="s">
        <v>3107</v>
      </c>
      <c r="C1260" s="1">
        <f t="shared" si="520"/>
        <v>133672</v>
      </c>
      <c r="D1260" s="5">
        <f>IF(N1260&gt;0, RANK(N1260,(N1260:P1260,Q1260:AE1260)),0)</f>
        <v>2</v>
      </c>
      <c r="E1260" s="5">
        <f>IF(O1260&gt;0,RANK(O1260,(N1260:P1260,Q1260:AE1260)),0)</f>
        <v>1</v>
      </c>
      <c r="F1260" s="5">
        <f>IF(P1260&gt;0,RANK(P1260,(N1260:P1260,Q1260:AE1260)),0)</f>
        <v>6</v>
      </c>
      <c r="G1260" s="132">
        <f t="shared" si="507"/>
        <v>30783</v>
      </c>
      <c r="H1260" s="137">
        <f t="shared" si="508"/>
        <v>0.23028756957328386</v>
      </c>
      <c r="I1260" s="2"/>
      <c r="J1260" s="2">
        <f t="shared" si="521"/>
        <v>0.35218295529355437</v>
      </c>
      <c r="K1260" s="2">
        <f t="shared" si="522"/>
        <v>0.58247052486683826</v>
      </c>
      <c r="L1260" s="2">
        <f t="shared" si="523"/>
        <v>3.4412592016278653E-3</v>
      </c>
      <c r="M1260" s="2">
        <f t="shared" si="524"/>
        <v>6.1905260637979513E-2</v>
      </c>
      <c r="N1260" s="63">
        <v>47077</v>
      </c>
      <c r="O1260" s="63">
        <v>77860</v>
      </c>
      <c r="P1260" s="63">
        <v>460</v>
      </c>
      <c r="Q1260" s="63">
        <v>5060</v>
      </c>
      <c r="R1260" s="63">
        <v>1596</v>
      </c>
      <c r="S1260" s="63">
        <v>41</v>
      </c>
      <c r="T1260" s="63">
        <v>0</v>
      </c>
      <c r="U1260" s="63">
        <v>0</v>
      </c>
      <c r="V1260" s="63">
        <v>0</v>
      </c>
      <c r="W1260" s="63">
        <f t="shared" si="530"/>
        <v>1565</v>
      </c>
      <c r="X1260" s="63"/>
      <c r="Y1260" s="63">
        <v>2</v>
      </c>
      <c r="Z1260" s="63">
        <v>2</v>
      </c>
      <c r="AA1260" s="63"/>
      <c r="AB1260" s="63"/>
      <c r="AC1260" s="63"/>
      <c r="AD1260" s="63">
        <v>0</v>
      </c>
      <c r="AE1260" s="63">
        <v>1</v>
      </c>
      <c r="AF1260" s="63">
        <v>0</v>
      </c>
      <c r="AG1260" s="63"/>
      <c r="AH1260" s="63"/>
      <c r="AI1260" s="63"/>
      <c r="AJ1260" s="63"/>
      <c r="AK1260" s="63"/>
      <c r="AL1260" s="63">
        <v>0</v>
      </c>
      <c r="AM1260" s="63">
        <v>0</v>
      </c>
      <c r="AN1260" s="63">
        <v>8</v>
      </c>
      <c r="AO1260" s="63"/>
      <c r="AP1260" s="63"/>
      <c r="AQ1260" s="63">
        <v>0</v>
      </c>
      <c r="AR1260" s="63"/>
      <c r="AS1260" s="63"/>
      <c r="AT1260" s="63"/>
      <c r="AU1260" s="63"/>
      <c r="AW1260" s="5">
        <f>IF(Q1260&gt;0,RANK(Q1260,(N1260:P1260,Q1260:AE1260)),0)</f>
        <v>3</v>
      </c>
      <c r="AX1260" s="5">
        <f>IF(R1260&gt;0,RANK(R1260,(N1260:P1260,Q1260:AE1260)),0)</f>
        <v>4</v>
      </c>
      <c r="AY1260" s="5">
        <f>IF(T1260&gt;0,RANK(T1260,(N1260:P1260,Q1260:AE1260)),0)</f>
        <v>0</v>
      </c>
      <c r="AZ1260" s="5">
        <f>IF(S1260&gt;0,RANK(S1260,(N1260:P1260,Q1260:AE1260)),0)</f>
        <v>7</v>
      </c>
      <c r="BA1260" s="2">
        <f t="shared" si="525"/>
        <v>3.785385121790652E-2</v>
      </c>
      <c r="BB1260" s="2">
        <f t="shared" si="526"/>
        <v>1.193967322999581E-2</v>
      </c>
      <c r="BC1260" s="2">
        <f t="shared" si="527"/>
        <v>0</v>
      </c>
      <c r="BD1260" s="2">
        <f t="shared" si="528"/>
        <v>3.0672092884074452E-4</v>
      </c>
      <c r="BE1260" s="109"/>
      <c r="BF1260" t="s">
        <v>2952</v>
      </c>
      <c r="BG1260" t="s">
        <v>3107</v>
      </c>
      <c r="BJ1260" s="114">
        <v>24</v>
      </c>
      <c r="BK1260" s="116">
        <v>25</v>
      </c>
      <c r="BL1260" s="120">
        <f t="shared" si="531"/>
        <v>24025</v>
      </c>
      <c r="BN1260" s="5" t="s">
        <v>3154</v>
      </c>
      <c r="CA1260" s="63">
        <f t="shared" si="529"/>
        <v>2064</v>
      </c>
      <c r="CB1260" s="1">
        <v>1533</v>
      </c>
      <c r="CD1260" s="63">
        <v>2</v>
      </c>
      <c r="CE1260" s="63">
        <v>1</v>
      </c>
      <c r="CF1260" s="63">
        <v>4</v>
      </c>
      <c r="CG1260" s="63">
        <v>5</v>
      </c>
      <c r="CH1260" s="63">
        <v>2</v>
      </c>
      <c r="CI1260" s="63">
        <v>1</v>
      </c>
      <c r="CJ1260" s="63">
        <v>0</v>
      </c>
      <c r="CK1260" s="63">
        <v>0</v>
      </c>
      <c r="CL1260" s="63">
        <v>0</v>
      </c>
      <c r="CM1260" s="63">
        <v>0</v>
      </c>
      <c r="CN1260" s="63">
        <v>0</v>
      </c>
      <c r="CO1260" s="63">
        <v>0</v>
      </c>
      <c r="CP1260" s="63">
        <v>0</v>
      </c>
      <c r="CQ1260" s="1">
        <v>0</v>
      </c>
      <c r="CR1260" s="1">
        <v>0</v>
      </c>
      <c r="CS1260" s="1">
        <v>1</v>
      </c>
      <c r="CT1260" s="1">
        <v>0</v>
      </c>
      <c r="CU1260" s="1">
        <v>0</v>
      </c>
      <c r="CV1260" s="1">
        <v>0</v>
      </c>
      <c r="CW1260" s="1">
        <v>1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2</v>
      </c>
      <c r="DD1260" s="1">
        <v>0</v>
      </c>
      <c r="DE1260" s="1">
        <v>2</v>
      </c>
      <c r="DF1260" s="1">
        <v>3</v>
      </c>
      <c r="DG1260" s="1">
        <v>5</v>
      </c>
      <c r="DH1260" s="1">
        <v>0</v>
      </c>
      <c r="DI1260" s="1">
        <v>2</v>
      </c>
      <c r="DJ1260" s="1">
        <v>1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</row>
    <row r="1261" spans="1:119" hidden="1" outlineLevel="1">
      <c r="A1261" t="s">
        <v>1049</v>
      </c>
      <c r="B1261" t="s">
        <v>3107</v>
      </c>
      <c r="C1261" s="1">
        <f t="shared" si="520"/>
        <v>162193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6</v>
      </c>
      <c r="G1261" s="132">
        <f t="shared" si="507"/>
        <v>55113</v>
      </c>
      <c r="H1261" s="137">
        <f t="shared" si="508"/>
        <v>0.33979888157935301</v>
      </c>
      <c r="I1261" s="2"/>
      <c r="J1261" s="2">
        <f t="shared" si="521"/>
        <v>0.63256120794362269</v>
      </c>
      <c r="K1261" s="2">
        <f t="shared" si="522"/>
        <v>0.29276232636426974</v>
      </c>
      <c r="L1261" s="2">
        <f t="shared" si="523"/>
        <v>5.1728496297620734E-3</v>
      </c>
      <c r="M1261" s="2">
        <f t="shared" si="524"/>
        <v>6.9503616062345494E-2</v>
      </c>
      <c r="N1261" s="63">
        <v>102597</v>
      </c>
      <c r="O1261" s="63">
        <v>47484</v>
      </c>
      <c r="P1261" s="63">
        <v>839</v>
      </c>
      <c r="Q1261" s="63">
        <v>6282</v>
      </c>
      <c r="R1261" s="63">
        <v>2294</v>
      </c>
      <c r="S1261" s="63">
        <v>20</v>
      </c>
      <c r="T1261" s="63">
        <v>0</v>
      </c>
      <c r="U1261" s="63">
        <v>0</v>
      </c>
      <c r="V1261" s="63">
        <v>4</v>
      </c>
      <c r="W1261" s="63">
        <f t="shared" si="530"/>
        <v>2604</v>
      </c>
      <c r="X1261" s="63"/>
      <c r="Y1261" s="63">
        <v>1</v>
      </c>
      <c r="Z1261" s="63">
        <v>1</v>
      </c>
      <c r="AA1261" s="63"/>
      <c r="AB1261" s="63"/>
      <c r="AC1261" s="63"/>
      <c r="AD1261" s="63">
        <v>0</v>
      </c>
      <c r="AE1261" s="63">
        <v>14</v>
      </c>
      <c r="AF1261" s="63">
        <v>2</v>
      </c>
      <c r="AG1261" s="63"/>
      <c r="AH1261" s="63"/>
      <c r="AI1261" s="63"/>
      <c r="AJ1261" s="63"/>
      <c r="AK1261" s="63"/>
      <c r="AL1261" s="63">
        <v>3</v>
      </c>
      <c r="AM1261" s="63">
        <v>2</v>
      </c>
      <c r="AN1261" s="63">
        <v>45</v>
      </c>
      <c r="AO1261" s="63"/>
      <c r="AP1261" s="63"/>
      <c r="AQ1261" s="63">
        <v>1</v>
      </c>
      <c r="AR1261" s="63"/>
      <c r="AS1261" s="63"/>
      <c r="AT1261" s="63"/>
      <c r="AU1261" s="63"/>
      <c r="AW1261" s="5">
        <f>IF(Q1261&gt;0,RANK(Q1261,(N1261:P1261,Q1261:AE1261)),0)</f>
        <v>3</v>
      </c>
      <c r="AX1261" s="5">
        <f>IF(R1261&gt;0,RANK(R1261,(N1261:P1261,Q1261:AE1261)),0)</f>
        <v>5</v>
      </c>
      <c r="AY1261" s="5">
        <f>IF(T1261&gt;0,RANK(T1261,(N1261:P1261,Q1261:AE1261)),0)</f>
        <v>0</v>
      </c>
      <c r="AZ1261" s="5">
        <f>IF(S1261&gt;0,RANK(S1261,(N1261:P1261,Q1261:AE1261)),0)</f>
        <v>7</v>
      </c>
      <c r="BA1261" s="2">
        <f t="shared" si="525"/>
        <v>3.8731634534166087E-2</v>
      </c>
      <c r="BB1261" s="2">
        <f t="shared" si="526"/>
        <v>1.4143643683759472E-2</v>
      </c>
      <c r="BC1261" s="2">
        <f t="shared" si="527"/>
        <v>0</v>
      </c>
      <c r="BD1261" s="2">
        <f t="shared" si="528"/>
        <v>1.233098839037443E-4</v>
      </c>
      <c r="BE1261" s="109"/>
      <c r="BF1261" t="s">
        <v>1049</v>
      </c>
      <c r="BG1261" t="s">
        <v>3107</v>
      </c>
      <c r="BJ1261" s="114">
        <v>24</v>
      </c>
      <c r="BK1261" s="116">
        <v>27</v>
      </c>
      <c r="BL1261" s="120">
        <f t="shared" si="531"/>
        <v>24027</v>
      </c>
      <c r="BN1261" s="5" t="s">
        <v>3154</v>
      </c>
      <c r="CA1261" s="63">
        <f t="shared" si="529"/>
        <v>3513</v>
      </c>
      <c r="CB1261" s="1">
        <v>2503</v>
      </c>
      <c r="CD1261" s="63">
        <v>4</v>
      </c>
      <c r="CE1261" s="63">
        <v>12</v>
      </c>
      <c r="CF1261" s="63">
        <v>1</v>
      </c>
      <c r="CG1261" s="63">
        <v>26</v>
      </c>
      <c r="CH1261" s="63">
        <v>17</v>
      </c>
      <c r="CI1261" s="63">
        <v>4</v>
      </c>
      <c r="CJ1261" s="63">
        <v>2</v>
      </c>
      <c r="CK1261" s="63">
        <v>0</v>
      </c>
      <c r="CL1261" s="63">
        <v>8</v>
      </c>
      <c r="CM1261" s="63">
        <v>0</v>
      </c>
      <c r="CN1261" s="63">
        <v>0</v>
      </c>
      <c r="CO1261" s="63">
        <v>0</v>
      </c>
      <c r="CP1261" s="63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</v>
      </c>
      <c r="CY1261" s="1">
        <v>3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1</v>
      </c>
      <c r="DF1261" s="1">
        <v>2</v>
      </c>
      <c r="DG1261" s="1">
        <v>11</v>
      </c>
      <c r="DH1261" s="1">
        <v>4</v>
      </c>
      <c r="DI1261" s="1">
        <v>2</v>
      </c>
      <c r="DJ1261" s="1">
        <v>1</v>
      </c>
      <c r="DK1261" s="1">
        <v>1</v>
      </c>
      <c r="DL1261" s="1">
        <v>1</v>
      </c>
      <c r="DM1261" s="1">
        <v>0</v>
      </c>
      <c r="DN1261" s="1">
        <v>0</v>
      </c>
      <c r="DO1261" s="1">
        <v>0</v>
      </c>
    </row>
    <row r="1262" spans="1:119" hidden="1" outlineLevel="1">
      <c r="A1262" t="s">
        <v>725</v>
      </c>
      <c r="B1262" t="s">
        <v>3107</v>
      </c>
      <c r="C1262" s="1">
        <f t="shared" si="520"/>
        <v>10021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>IF(P1262&gt;0,RANK(P1262,(N1262:P1262,Q1262:AE1262)),0)</f>
        <v>6</v>
      </c>
      <c r="G1262" s="132">
        <f t="shared" si="507"/>
        <v>301</v>
      </c>
      <c r="H1262" s="137">
        <f t="shared" si="508"/>
        <v>3.0036922462828061E-2</v>
      </c>
      <c r="I1262" s="2"/>
      <c r="J1262" s="2">
        <f t="shared" si="521"/>
        <v>0.45654126334697137</v>
      </c>
      <c r="K1262" s="2">
        <f t="shared" si="522"/>
        <v>0.48657818580979945</v>
      </c>
      <c r="L1262" s="2">
        <f t="shared" si="523"/>
        <v>1.3970661610617702E-3</v>
      </c>
      <c r="M1262" s="2">
        <f t="shared" si="524"/>
        <v>5.5483484682167357E-2</v>
      </c>
      <c r="N1262" s="63">
        <v>4575</v>
      </c>
      <c r="O1262" s="63">
        <v>4876</v>
      </c>
      <c r="P1262" s="63">
        <v>14</v>
      </c>
      <c r="Q1262" s="63">
        <v>312</v>
      </c>
      <c r="R1262" s="63">
        <v>116</v>
      </c>
      <c r="S1262" s="63">
        <v>1</v>
      </c>
      <c r="T1262" s="63">
        <v>0</v>
      </c>
      <c r="U1262" s="63">
        <v>0</v>
      </c>
      <c r="V1262" s="63">
        <v>0</v>
      </c>
      <c r="W1262" s="63">
        <f t="shared" si="530"/>
        <v>127</v>
      </c>
      <c r="X1262" s="63"/>
      <c r="Y1262" s="63">
        <v>0</v>
      </c>
      <c r="Z1262" s="63">
        <v>0</v>
      </c>
      <c r="AA1262" s="63"/>
      <c r="AB1262" s="63"/>
      <c r="AC1262" s="63"/>
      <c r="AD1262" s="63">
        <v>0</v>
      </c>
      <c r="AE1262" s="63">
        <v>0</v>
      </c>
      <c r="AF1262" s="63">
        <v>0</v>
      </c>
      <c r="AG1262" s="63"/>
      <c r="AH1262" s="63"/>
      <c r="AI1262" s="63"/>
      <c r="AJ1262" s="63"/>
      <c r="AK1262" s="63"/>
      <c r="AL1262" s="63">
        <v>0</v>
      </c>
      <c r="AM1262" s="63">
        <v>0</v>
      </c>
      <c r="AN1262" s="63">
        <v>0</v>
      </c>
      <c r="AO1262" s="63"/>
      <c r="AP1262" s="63"/>
      <c r="AQ1262" s="63">
        <v>0</v>
      </c>
      <c r="AR1262" s="63"/>
      <c r="AS1262" s="63"/>
      <c r="AT1262" s="63"/>
      <c r="AU1262" s="63"/>
      <c r="AW1262" s="5">
        <f>IF(Q1262&gt;0,RANK(Q1262,(N1262:P1262,Q1262:AE1262)),0)</f>
        <v>3</v>
      </c>
      <c r="AX1262" s="5">
        <f>IF(R1262&gt;0,RANK(R1262,(N1262:P1262,Q1262:AE1262)),0)</f>
        <v>5</v>
      </c>
      <c r="AY1262" s="5">
        <f>IF(T1262&gt;0,RANK(T1262,(N1262:P1262,Q1262:AE1262)),0)</f>
        <v>0</v>
      </c>
      <c r="AZ1262" s="5">
        <f>IF(S1262&gt;0,RANK(S1262,(N1262:P1262,Q1262:AE1262)),0)</f>
        <v>7</v>
      </c>
      <c r="BA1262" s="2">
        <f t="shared" si="525"/>
        <v>3.113461730366231E-2</v>
      </c>
      <c r="BB1262" s="2">
        <f t="shared" si="526"/>
        <v>1.1575691048797526E-2</v>
      </c>
      <c r="BC1262" s="2">
        <f t="shared" si="527"/>
        <v>0</v>
      </c>
      <c r="BD1262" s="2">
        <f t="shared" si="528"/>
        <v>9.9790440075840737E-5</v>
      </c>
      <c r="BE1262" s="109"/>
      <c r="BF1262" t="s">
        <v>725</v>
      </c>
      <c r="BG1262" t="s">
        <v>3107</v>
      </c>
      <c r="BH1262">
        <v>1</v>
      </c>
      <c r="BJ1262" s="114">
        <v>24</v>
      </c>
      <c r="BK1262" s="116">
        <v>29</v>
      </c>
      <c r="BL1262" s="120">
        <f t="shared" si="531"/>
        <v>24029</v>
      </c>
      <c r="BN1262" s="5" t="s">
        <v>3154</v>
      </c>
      <c r="CA1262" s="63">
        <f t="shared" si="529"/>
        <v>142</v>
      </c>
      <c r="CB1262" s="1">
        <v>121</v>
      </c>
      <c r="CD1262" s="63">
        <v>1</v>
      </c>
      <c r="CE1262" s="63">
        <v>0</v>
      </c>
      <c r="CF1262" s="63">
        <v>0</v>
      </c>
      <c r="CG1262" s="63">
        <v>3</v>
      </c>
      <c r="CH1262" s="63">
        <v>0</v>
      </c>
      <c r="CI1262" s="63">
        <v>1</v>
      </c>
      <c r="CJ1262" s="63">
        <v>0</v>
      </c>
      <c r="CK1262" s="63">
        <v>0</v>
      </c>
      <c r="CL1262" s="63">
        <v>0</v>
      </c>
      <c r="CM1262" s="63">
        <v>0</v>
      </c>
      <c r="CN1262" s="63">
        <v>0</v>
      </c>
      <c r="CO1262" s="63">
        <v>0</v>
      </c>
      <c r="CP1262" s="63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1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</row>
    <row r="1263" spans="1:119" hidden="1" outlineLevel="1">
      <c r="A1263" t="s">
        <v>1406</v>
      </c>
      <c r="B1263" t="s">
        <v>3107</v>
      </c>
      <c r="C1263" s="1">
        <f t="shared" si="520"/>
        <v>478873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>IF(P1263&gt;0,RANK(P1263,(N1263:P1263,Q1263:AE1263)),0)</f>
        <v>6</v>
      </c>
      <c r="G1263" s="132">
        <f t="shared" si="507"/>
        <v>265133</v>
      </c>
      <c r="H1263" s="137">
        <f t="shared" si="508"/>
        <v>0.55366036506547667</v>
      </c>
      <c r="I1263" s="2"/>
      <c r="J1263" s="2">
        <f t="shared" si="521"/>
        <v>0.74724822656528977</v>
      </c>
      <c r="K1263" s="2">
        <f t="shared" si="522"/>
        <v>0.19358786149981311</v>
      </c>
      <c r="L1263" s="2">
        <f t="shared" si="523"/>
        <v>4.6296199618688048E-3</v>
      </c>
      <c r="M1263" s="2">
        <f t="shared" si="524"/>
        <v>5.4534291973028309E-2</v>
      </c>
      <c r="N1263" s="63">
        <v>357837</v>
      </c>
      <c r="O1263" s="63">
        <v>92704</v>
      </c>
      <c r="P1263" s="63">
        <v>2217</v>
      </c>
      <c r="Q1263" s="63">
        <v>11513</v>
      </c>
      <c r="R1263" s="63">
        <v>6620</v>
      </c>
      <c r="S1263" s="63">
        <v>70</v>
      </c>
      <c r="T1263" s="63">
        <v>4</v>
      </c>
      <c r="U1263" s="63">
        <v>1</v>
      </c>
      <c r="V1263" s="63">
        <v>11</v>
      </c>
      <c r="W1263" s="63">
        <f t="shared" si="530"/>
        <v>7726</v>
      </c>
      <c r="X1263" s="63"/>
      <c r="Y1263" s="63">
        <v>0</v>
      </c>
      <c r="Z1263" s="63">
        <v>3</v>
      </c>
      <c r="AA1263" s="63"/>
      <c r="AB1263" s="63"/>
      <c r="AC1263" s="63"/>
      <c r="AD1263" s="63">
        <v>0</v>
      </c>
      <c r="AE1263" s="63">
        <v>12</v>
      </c>
      <c r="AF1263" s="63">
        <v>0</v>
      </c>
      <c r="AG1263" s="63"/>
      <c r="AH1263" s="63"/>
      <c r="AI1263" s="63"/>
      <c r="AJ1263" s="63"/>
      <c r="AK1263" s="63"/>
      <c r="AL1263" s="63">
        <v>5</v>
      </c>
      <c r="AM1263" s="63">
        <v>0</v>
      </c>
      <c r="AN1263" s="63">
        <v>149</v>
      </c>
      <c r="AO1263" s="63"/>
      <c r="AP1263" s="63"/>
      <c r="AQ1263" s="63">
        <v>1</v>
      </c>
      <c r="AR1263" s="63"/>
      <c r="AS1263" s="63"/>
      <c r="AT1263" s="63"/>
      <c r="AU1263" s="63"/>
      <c r="AW1263" s="5">
        <f>IF(Q1263&gt;0,RANK(Q1263,(N1263:P1263,Q1263:AE1263)),0)</f>
        <v>3</v>
      </c>
      <c r="AX1263" s="5">
        <f>IF(R1263&gt;0,RANK(R1263,(N1263:P1263,Q1263:AE1263)),0)</f>
        <v>5</v>
      </c>
      <c r="AY1263" s="5">
        <f>IF(T1263&gt;0,RANK(T1263,(N1263:P1263,Q1263:AE1263)),0)</f>
        <v>10</v>
      </c>
      <c r="AZ1263" s="5">
        <f>IF(S1263&gt;0,RANK(S1263,(N1263:P1263,Q1263:AE1263)),0)</f>
        <v>7</v>
      </c>
      <c r="BA1263" s="2">
        <f t="shared" si="525"/>
        <v>2.4041864962108951E-2</v>
      </c>
      <c r="BB1263" s="2">
        <f t="shared" si="526"/>
        <v>1.3824124559121104E-2</v>
      </c>
      <c r="BC1263" s="2">
        <f t="shared" si="527"/>
        <v>8.3529453529432647E-6</v>
      </c>
      <c r="BD1263" s="2">
        <f t="shared" si="528"/>
        <v>1.4617654367650714E-4</v>
      </c>
      <c r="BE1263" s="109"/>
      <c r="BF1263" t="s">
        <v>1406</v>
      </c>
      <c r="BG1263" t="s">
        <v>3107</v>
      </c>
      <c r="BJ1263" s="114">
        <v>24</v>
      </c>
      <c r="BK1263" s="116">
        <v>31</v>
      </c>
      <c r="BL1263" s="120">
        <f t="shared" si="531"/>
        <v>24031</v>
      </c>
      <c r="BN1263" s="5" t="s">
        <v>3154</v>
      </c>
      <c r="CA1263" s="63">
        <f t="shared" si="529"/>
        <v>10194</v>
      </c>
      <c r="CB1263" s="1">
        <v>7690</v>
      </c>
      <c r="CD1263" s="63">
        <v>5</v>
      </c>
      <c r="CE1263" s="63">
        <v>1</v>
      </c>
      <c r="CF1263" s="63">
        <v>1</v>
      </c>
      <c r="CG1263" s="63">
        <v>10</v>
      </c>
      <c r="CH1263" s="63">
        <v>2</v>
      </c>
      <c r="CI1263" s="63">
        <v>2</v>
      </c>
      <c r="CJ1263" s="63">
        <v>1</v>
      </c>
      <c r="CK1263" s="63">
        <v>0</v>
      </c>
      <c r="CL1263" s="63">
        <v>1</v>
      </c>
      <c r="CM1263" s="63">
        <v>0</v>
      </c>
      <c r="CN1263" s="63">
        <v>0</v>
      </c>
      <c r="CO1263" s="63">
        <v>0</v>
      </c>
      <c r="CP1263" s="63">
        <v>0</v>
      </c>
      <c r="CQ1263" s="1">
        <v>0</v>
      </c>
      <c r="CR1263" s="1">
        <v>0</v>
      </c>
      <c r="CS1263" s="1">
        <v>1</v>
      </c>
      <c r="CT1263" s="1">
        <v>0</v>
      </c>
      <c r="CU1263" s="1">
        <v>0</v>
      </c>
      <c r="CV1263" s="1">
        <v>0</v>
      </c>
      <c r="CW1263" s="1">
        <v>4</v>
      </c>
      <c r="CX1263" s="1">
        <v>3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1</v>
      </c>
      <c r="DH1263" s="1">
        <v>0</v>
      </c>
      <c r="DI1263" s="1">
        <v>0</v>
      </c>
      <c r="DJ1263" s="1">
        <v>2</v>
      </c>
      <c r="DK1263" s="1">
        <v>0</v>
      </c>
      <c r="DL1263" s="1">
        <v>2</v>
      </c>
      <c r="DM1263" s="1">
        <v>0</v>
      </c>
      <c r="DN1263" s="1">
        <v>0</v>
      </c>
      <c r="DO1263" s="1">
        <v>0</v>
      </c>
    </row>
    <row r="1264" spans="1:119" hidden="1" outlineLevel="1">
      <c r="A1264" t="s">
        <v>891</v>
      </c>
      <c r="B1264" t="s">
        <v>3107</v>
      </c>
      <c r="C1264" s="1">
        <f t="shared" si="520"/>
        <v>390385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>IF(P1264&gt;0,RANK(P1264,(N1264:P1264,Q1264:AE1264)),0)</f>
        <v>6</v>
      </c>
      <c r="G1264" s="132">
        <f t="shared" si="507"/>
        <v>311238</v>
      </c>
      <c r="H1264" s="137">
        <f t="shared" si="508"/>
        <v>0.79725911600087096</v>
      </c>
      <c r="I1264" s="2"/>
      <c r="J1264" s="2">
        <f t="shared" si="521"/>
        <v>0.88130691496855673</v>
      </c>
      <c r="K1264" s="2">
        <f t="shared" si="522"/>
        <v>8.4047798967685744E-2</v>
      </c>
      <c r="L1264" s="2">
        <f t="shared" si="523"/>
        <v>1.7674859433636026E-3</v>
      </c>
      <c r="M1264" s="2">
        <f t="shared" si="524"/>
        <v>3.2877800120393923E-2</v>
      </c>
      <c r="N1264" s="63">
        <v>344049</v>
      </c>
      <c r="O1264" s="63">
        <v>32811</v>
      </c>
      <c r="P1264" s="63">
        <v>690</v>
      </c>
      <c r="Q1264" s="63">
        <v>4557</v>
      </c>
      <c r="R1264" s="63">
        <v>4723</v>
      </c>
      <c r="S1264" s="63">
        <v>52</v>
      </c>
      <c r="T1264" s="63">
        <v>0</v>
      </c>
      <c r="U1264" s="63">
        <v>2</v>
      </c>
      <c r="V1264" s="63">
        <v>3</v>
      </c>
      <c r="W1264" s="63">
        <f t="shared" si="530"/>
        <v>3396</v>
      </c>
      <c r="X1264" s="63"/>
      <c r="Y1264" s="63">
        <v>9</v>
      </c>
      <c r="Z1264" s="63">
        <v>0</v>
      </c>
      <c r="AA1264" s="63"/>
      <c r="AB1264" s="63"/>
      <c r="AC1264" s="63"/>
      <c r="AD1264" s="63">
        <v>0</v>
      </c>
      <c r="AE1264" s="63">
        <v>3</v>
      </c>
      <c r="AF1264" s="63">
        <v>0</v>
      </c>
      <c r="AG1264" s="63"/>
      <c r="AH1264" s="63"/>
      <c r="AI1264" s="63"/>
      <c r="AJ1264" s="63"/>
      <c r="AK1264" s="63"/>
      <c r="AL1264" s="63">
        <v>1</v>
      </c>
      <c r="AM1264" s="63">
        <v>2</v>
      </c>
      <c r="AN1264" s="63">
        <v>85</v>
      </c>
      <c r="AO1264" s="63"/>
      <c r="AP1264" s="63"/>
      <c r="AQ1264" s="63">
        <v>2</v>
      </c>
      <c r="AR1264" s="63"/>
      <c r="AS1264" s="63"/>
      <c r="AT1264" s="63"/>
      <c r="AU1264" s="63"/>
      <c r="AW1264" s="5">
        <f>IF(Q1264&gt;0,RANK(Q1264,(N1264:P1264,Q1264:AE1264)),0)</f>
        <v>4</v>
      </c>
      <c r="AX1264" s="5">
        <f>IF(R1264&gt;0,RANK(R1264,(N1264:P1264,Q1264:AE1264)),0)</f>
        <v>3</v>
      </c>
      <c r="AY1264" s="5">
        <f>IF(T1264&gt;0,RANK(T1264,(N1264:P1264,Q1264:AE1264)),0)</f>
        <v>0</v>
      </c>
      <c r="AZ1264" s="5">
        <f>IF(S1264&gt;0,RANK(S1264,(N1264:P1264,Q1264:AE1264)),0)</f>
        <v>7</v>
      </c>
      <c r="BA1264" s="2">
        <f t="shared" si="525"/>
        <v>1.1673091947692662E-2</v>
      </c>
      <c r="BB1264" s="2">
        <f t="shared" si="526"/>
        <v>1.2098313203632312E-2</v>
      </c>
      <c r="BC1264" s="2">
        <f t="shared" si="527"/>
        <v>0</v>
      </c>
      <c r="BD1264" s="2">
        <f t="shared" si="528"/>
        <v>1.3320183921001062E-4</v>
      </c>
      <c r="BE1264" s="109"/>
      <c r="BF1264" t="s">
        <v>891</v>
      </c>
      <c r="BG1264" t="s">
        <v>3107</v>
      </c>
      <c r="BJ1264" s="114">
        <v>24</v>
      </c>
      <c r="BK1264" s="116">
        <v>33</v>
      </c>
      <c r="BL1264" s="120">
        <f t="shared" si="531"/>
        <v>24033</v>
      </c>
      <c r="BN1264" s="5" t="s">
        <v>3154</v>
      </c>
      <c r="CA1264" s="63">
        <f t="shared" si="529"/>
        <v>4230</v>
      </c>
      <c r="CB1264" s="1">
        <v>3338</v>
      </c>
      <c r="CD1264" s="63">
        <v>9</v>
      </c>
      <c r="CE1264" s="63">
        <v>0</v>
      </c>
      <c r="CF1264" s="63">
        <v>7</v>
      </c>
      <c r="CG1264" s="63">
        <v>5</v>
      </c>
      <c r="CH1264" s="63">
        <v>1</v>
      </c>
      <c r="CI1264" s="63">
        <v>1</v>
      </c>
      <c r="CJ1264" s="63">
        <v>7</v>
      </c>
      <c r="CK1264" s="63">
        <v>0</v>
      </c>
      <c r="CL1264" s="63">
        <v>2</v>
      </c>
      <c r="CM1264" s="63">
        <v>3</v>
      </c>
      <c r="CN1264" s="63">
        <v>1</v>
      </c>
      <c r="CO1264" s="63">
        <v>0</v>
      </c>
      <c r="CP1264" s="63">
        <v>0</v>
      </c>
      <c r="CQ1264" s="1">
        <v>0</v>
      </c>
      <c r="CR1264" s="1">
        <v>0</v>
      </c>
      <c r="CS1264" s="1">
        <v>2</v>
      </c>
      <c r="CT1264" s="1">
        <v>0</v>
      </c>
      <c r="CU1264" s="1">
        <v>0</v>
      </c>
      <c r="CV1264" s="1">
        <v>1</v>
      </c>
      <c r="CW1264" s="1">
        <v>1</v>
      </c>
      <c r="CX1264" s="1">
        <v>0</v>
      </c>
      <c r="CY1264" s="1">
        <v>3</v>
      </c>
      <c r="CZ1264" s="1">
        <v>0</v>
      </c>
      <c r="DA1264" s="1">
        <v>0</v>
      </c>
      <c r="DB1264" s="1">
        <v>0</v>
      </c>
      <c r="DC1264" s="1">
        <v>0</v>
      </c>
      <c r="DD1264" s="1">
        <v>2</v>
      </c>
      <c r="DE1264" s="1">
        <v>1</v>
      </c>
      <c r="DF1264" s="1">
        <v>0</v>
      </c>
      <c r="DG1264" s="1">
        <v>4</v>
      </c>
      <c r="DH1264" s="1">
        <v>0</v>
      </c>
      <c r="DI1264" s="1">
        <v>1</v>
      </c>
      <c r="DJ1264" s="1">
        <v>2</v>
      </c>
      <c r="DK1264" s="1">
        <v>0</v>
      </c>
      <c r="DL1264" s="1">
        <v>1</v>
      </c>
      <c r="DM1264" s="1">
        <v>2</v>
      </c>
      <c r="DN1264" s="1">
        <v>0</v>
      </c>
      <c r="DO1264" s="1">
        <v>2</v>
      </c>
    </row>
    <row r="1265" spans="1:120" hidden="1" outlineLevel="1">
      <c r="A1265" t="s">
        <v>1759</v>
      </c>
      <c r="B1265" t="s">
        <v>3107</v>
      </c>
      <c r="C1265" s="1">
        <f t="shared" si="520"/>
        <v>26523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6</v>
      </c>
      <c r="G1265" s="132">
        <f t="shared" si="507"/>
        <v>9020</v>
      </c>
      <c r="H1265" s="137">
        <f t="shared" si="508"/>
        <v>0.34008219281378427</v>
      </c>
      <c r="I1265" s="2"/>
      <c r="J1265" s="2">
        <f t="shared" si="521"/>
        <v>0.30060702032198472</v>
      </c>
      <c r="K1265" s="2">
        <f t="shared" si="522"/>
        <v>0.64068921313576899</v>
      </c>
      <c r="L1265" s="2">
        <f t="shared" si="523"/>
        <v>2.6769219168269048E-3</v>
      </c>
      <c r="M1265" s="2">
        <f t="shared" si="524"/>
        <v>5.6026844625419389E-2</v>
      </c>
      <c r="N1265" s="63">
        <v>7973</v>
      </c>
      <c r="O1265" s="63">
        <v>16993</v>
      </c>
      <c r="P1265" s="63">
        <v>71</v>
      </c>
      <c r="Q1265" s="63">
        <v>940</v>
      </c>
      <c r="R1265" s="63">
        <v>272</v>
      </c>
      <c r="S1265" s="63">
        <v>3</v>
      </c>
      <c r="T1265" s="63">
        <v>0</v>
      </c>
      <c r="U1265" s="63">
        <v>0</v>
      </c>
      <c r="V1265" s="63">
        <v>0</v>
      </c>
      <c r="W1265" s="63">
        <f t="shared" si="530"/>
        <v>270</v>
      </c>
      <c r="X1265" s="63"/>
      <c r="Y1265" s="63">
        <v>0</v>
      </c>
      <c r="Z1265" s="63">
        <v>0</v>
      </c>
      <c r="AA1265" s="63"/>
      <c r="AB1265" s="63"/>
      <c r="AC1265" s="63"/>
      <c r="AD1265" s="63">
        <v>0</v>
      </c>
      <c r="AE1265" s="63">
        <v>0</v>
      </c>
      <c r="AF1265" s="63">
        <v>0</v>
      </c>
      <c r="AG1265" s="63"/>
      <c r="AH1265" s="63"/>
      <c r="AI1265" s="63"/>
      <c r="AJ1265" s="63"/>
      <c r="AK1265" s="63"/>
      <c r="AL1265" s="63">
        <v>0</v>
      </c>
      <c r="AM1265" s="63">
        <v>0</v>
      </c>
      <c r="AN1265" s="63">
        <v>1</v>
      </c>
      <c r="AO1265" s="63"/>
      <c r="AP1265" s="63"/>
      <c r="AQ1265" s="63">
        <v>0</v>
      </c>
      <c r="AR1265" s="63"/>
      <c r="AS1265" s="63"/>
      <c r="AT1265" s="63"/>
      <c r="AU1265" s="63"/>
      <c r="AW1265" s="5">
        <f>IF(Q1265&gt;0,RANK(Q1265,(N1265:P1265,Q1265:AE1265)),0)</f>
        <v>3</v>
      </c>
      <c r="AX1265" s="5">
        <f>IF(R1265&gt;0,RANK(R1265,(N1265:P1265,Q1265:AE1265)),0)</f>
        <v>4</v>
      </c>
      <c r="AY1265" s="5">
        <f>IF(T1265&gt;0,RANK(T1265,(N1265:P1265,Q1265:AE1265)),0)</f>
        <v>0</v>
      </c>
      <c r="AZ1265" s="5">
        <f>IF(S1265&gt;0,RANK(S1265,(N1265:P1265,Q1265:AE1265)),0)</f>
        <v>7</v>
      </c>
      <c r="BA1265" s="2">
        <f t="shared" si="525"/>
        <v>3.5440938053764658E-2</v>
      </c>
      <c r="BB1265" s="2">
        <f t="shared" si="526"/>
        <v>1.0255250160238283E-2</v>
      </c>
      <c r="BC1265" s="2">
        <f t="shared" si="527"/>
        <v>0</v>
      </c>
      <c r="BD1265" s="2">
        <f t="shared" si="528"/>
        <v>1.1310937676733401E-4</v>
      </c>
      <c r="BE1265" s="109"/>
      <c r="BF1265" t="s">
        <v>1759</v>
      </c>
      <c r="BG1265" t="s">
        <v>3107</v>
      </c>
      <c r="BH1265">
        <v>1</v>
      </c>
      <c r="BJ1265" s="114">
        <v>24</v>
      </c>
      <c r="BK1265" s="116">
        <v>35</v>
      </c>
      <c r="BL1265" s="120">
        <f t="shared" si="531"/>
        <v>24035</v>
      </c>
      <c r="BN1265" s="5" t="s">
        <v>3154</v>
      </c>
      <c r="CA1265" s="63">
        <f t="shared" si="529"/>
        <v>342</v>
      </c>
      <c r="CB1265" s="1">
        <v>264</v>
      </c>
      <c r="CD1265" s="63">
        <v>0</v>
      </c>
      <c r="CE1265" s="63">
        <v>0</v>
      </c>
      <c r="CF1265" s="63">
        <v>0</v>
      </c>
      <c r="CG1265" s="63">
        <v>1</v>
      </c>
      <c r="CH1265" s="63">
        <v>0</v>
      </c>
      <c r="CI1265" s="63">
        <v>1</v>
      </c>
      <c r="CJ1265" s="63">
        <v>0</v>
      </c>
      <c r="CK1265" s="63">
        <v>0</v>
      </c>
      <c r="CL1265" s="63">
        <v>0</v>
      </c>
      <c r="CM1265" s="63">
        <v>0</v>
      </c>
      <c r="CN1265" s="63">
        <v>0</v>
      </c>
      <c r="CO1265" s="63">
        <v>0</v>
      </c>
      <c r="CP1265" s="63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1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1</v>
      </c>
      <c r="DG1265" s="1">
        <v>0</v>
      </c>
      <c r="DH1265" s="1">
        <v>0</v>
      </c>
      <c r="DI1265" s="1">
        <v>0</v>
      </c>
      <c r="DJ1265" s="1">
        <v>1</v>
      </c>
      <c r="DK1265" s="1">
        <v>0</v>
      </c>
      <c r="DL1265" s="1">
        <v>0</v>
      </c>
      <c r="DM1265" s="1">
        <v>0</v>
      </c>
      <c r="DN1265" s="1">
        <v>0</v>
      </c>
      <c r="DO1265" s="1">
        <v>1</v>
      </c>
    </row>
    <row r="1266" spans="1:120" hidden="1" outlineLevel="1">
      <c r="A1266" t="s">
        <v>1911</v>
      </c>
      <c r="B1266" t="s">
        <v>3107</v>
      </c>
      <c r="C1266" s="1">
        <f t="shared" si="520"/>
        <v>49842</v>
      </c>
      <c r="D1266" s="5">
        <f>IF(N1266&gt;0, RANK(N1266,(N1266:P1266,Q1266:AE1266)),0)</f>
        <v>2</v>
      </c>
      <c r="E1266" s="5">
        <f>IF(O1266&gt;0,RANK(O1266,(N1266:P1266,Q1266:AE1266)),0)</f>
        <v>1</v>
      </c>
      <c r="F1266" s="5">
        <f>IF(P1266&gt;0,RANK(P1266,(N1266:P1266,Q1266:AE1266)),0)</f>
        <v>6</v>
      </c>
      <c r="G1266" s="132">
        <f t="shared" si="507"/>
        <v>11129</v>
      </c>
      <c r="H1266" s="137">
        <f t="shared" si="508"/>
        <v>0.22328558244051203</v>
      </c>
      <c r="I1266" s="2"/>
      <c r="J1266" s="2">
        <f t="shared" si="521"/>
        <v>0.3517916616508166</v>
      </c>
      <c r="K1266" s="2">
        <f t="shared" si="522"/>
        <v>0.57507724409132854</v>
      </c>
      <c r="L1266" s="2">
        <f t="shared" si="523"/>
        <v>4.7148990810962641E-3</v>
      </c>
      <c r="M1266" s="2">
        <f t="shared" si="524"/>
        <v>6.8416195176758648E-2</v>
      </c>
      <c r="N1266" s="63">
        <v>17534</v>
      </c>
      <c r="O1266" s="63">
        <v>28663</v>
      </c>
      <c r="P1266" s="63">
        <v>235</v>
      </c>
      <c r="Q1266" s="63">
        <v>2270</v>
      </c>
      <c r="R1266" s="63">
        <v>507</v>
      </c>
      <c r="S1266" s="63">
        <v>30</v>
      </c>
      <c r="T1266" s="63">
        <v>1</v>
      </c>
      <c r="U1266" s="63">
        <v>0</v>
      </c>
      <c r="V1266" s="63">
        <v>0</v>
      </c>
      <c r="W1266" s="63">
        <f t="shared" si="530"/>
        <v>574</v>
      </c>
      <c r="X1266" s="63"/>
      <c r="Y1266" s="63">
        <v>0</v>
      </c>
      <c r="Z1266" s="63">
        <v>0</v>
      </c>
      <c r="AA1266" s="63"/>
      <c r="AB1266" s="63"/>
      <c r="AC1266" s="63"/>
      <c r="AD1266" s="63">
        <v>1</v>
      </c>
      <c r="AE1266" s="63">
        <v>1</v>
      </c>
      <c r="AF1266" s="63">
        <v>0</v>
      </c>
      <c r="AG1266" s="63"/>
      <c r="AH1266" s="63"/>
      <c r="AI1266" s="63"/>
      <c r="AJ1266" s="63"/>
      <c r="AK1266" s="63"/>
      <c r="AL1266" s="63">
        <v>0</v>
      </c>
      <c r="AM1266" s="63">
        <v>0</v>
      </c>
      <c r="AN1266" s="63">
        <v>24</v>
      </c>
      <c r="AO1266" s="63"/>
      <c r="AP1266" s="63"/>
      <c r="AQ1266" s="63">
        <v>2</v>
      </c>
      <c r="AR1266" s="63"/>
      <c r="AS1266" s="63"/>
      <c r="AT1266" s="63"/>
      <c r="AU1266" s="63"/>
      <c r="AW1266" s="5">
        <f>IF(Q1266&gt;0,RANK(Q1266,(N1266:P1266,Q1266:AE1266)),0)</f>
        <v>3</v>
      </c>
      <c r="AX1266" s="5">
        <f>IF(R1266&gt;0,RANK(R1266,(N1266:P1266,Q1266:AE1266)),0)</f>
        <v>5</v>
      </c>
      <c r="AY1266" s="5">
        <f>IF(T1266&gt;0,RANK(T1266,(N1266:P1266,Q1266:AE1266)),0)</f>
        <v>8</v>
      </c>
      <c r="AZ1266" s="5">
        <f>IF(S1266&gt;0,RANK(S1266,(N1266:P1266,Q1266:AE1266)),0)</f>
        <v>7</v>
      </c>
      <c r="BA1266" s="2">
        <f t="shared" si="525"/>
        <v>4.5543918783355404E-2</v>
      </c>
      <c r="BB1266" s="2">
        <f t="shared" si="526"/>
        <v>1.0172143974960876E-2</v>
      </c>
      <c r="BC1266" s="2">
        <f t="shared" si="527"/>
        <v>2.0063400345090488E-5</v>
      </c>
      <c r="BD1266" s="2">
        <f t="shared" si="528"/>
        <v>6.0190201035271453E-4</v>
      </c>
      <c r="BE1266" s="109"/>
      <c r="BF1266" t="s">
        <v>1911</v>
      </c>
      <c r="BG1266" t="s">
        <v>3107</v>
      </c>
      <c r="BH1266">
        <v>5</v>
      </c>
      <c r="BJ1266" s="114">
        <v>24</v>
      </c>
      <c r="BK1266" s="116">
        <v>37</v>
      </c>
      <c r="BL1266" s="120">
        <f t="shared" si="531"/>
        <v>24037</v>
      </c>
      <c r="BN1266" s="5" t="s">
        <v>3154</v>
      </c>
      <c r="CA1266" s="63">
        <f t="shared" si="529"/>
        <v>866</v>
      </c>
      <c r="CB1266" s="1">
        <v>565</v>
      </c>
      <c r="CD1266" s="63">
        <v>0</v>
      </c>
      <c r="CE1266" s="63">
        <v>1</v>
      </c>
      <c r="CF1266" s="63">
        <v>1</v>
      </c>
      <c r="CG1266" s="63">
        <v>4</v>
      </c>
      <c r="CH1266" s="63">
        <v>1</v>
      </c>
      <c r="CI1266" s="63">
        <v>0</v>
      </c>
      <c r="CJ1266" s="63">
        <v>0</v>
      </c>
      <c r="CK1266" s="63">
        <v>0</v>
      </c>
      <c r="CL1266" s="63">
        <v>0</v>
      </c>
      <c r="CM1266" s="63">
        <v>0</v>
      </c>
      <c r="CN1266" s="63">
        <v>0</v>
      </c>
      <c r="CO1266" s="63">
        <v>0</v>
      </c>
      <c r="CP1266" s="63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1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1</v>
      </c>
      <c r="DL1266" s="1">
        <v>0</v>
      </c>
      <c r="DM1266" s="1">
        <v>0</v>
      </c>
      <c r="DN1266" s="1">
        <v>0</v>
      </c>
      <c r="DO1266" s="1">
        <v>0</v>
      </c>
    </row>
    <row r="1267" spans="1:120" hidden="1" outlineLevel="1">
      <c r="A1267" t="s">
        <v>1787</v>
      </c>
      <c r="B1267" t="s">
        <v>3107</v>
      </c>
      <c r="C1267" s="1">
        <f t="shared" si="520"/>
        <v>9900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>IF(P1267&gt;0,RANK(P1267,(N1267:P1267,Q1267:AE1267)),0)</f>
        <v>6</v>
      </c>
      <c r="G1267" s="132">
        <f t="shared" si="507"/>
        <v>1145</v>
      </c>
      <c r="H1267" s="137">
        <f t="shared" si="508"/>
        <v>0.11565656565656565</v>
      </c>
      <c r="I1267" s="2"/>
      <c r="J1267" s="2">
        <f t="shared" si="521"/>
        <v>0.42383838383838385</v>
      </c>
      <c r="K1267" s="2">
        <f t="shared" si="522"/>
        <v>0.53949494949494947</v>
      </c>
      <c r="L1267" s="2">
        <f t="shared" si="523"/>
        <v>2.2222222222222222E-3</v>
      </c>
      <c r="M1267" s="2">
        <f t="shared" si="524"/>
        <v>3.4444444444444403E-2</v>
      </c>
      <c r="N1267" s="63">
        <v>4196</v>
      </c>
      <c r="O1267" s="63">
        <v>5341</v>
      </c>
      <c r="P1267" s="63">
        <v>22</v>
      </c>
      <c r="Q1267" s="63">
        <v>190</v>
      </c>
      <c r="R1267" s="63">
        <v>64</v>
      </c>
      <c r="S1267" s="63">
        <v>6</v>
      </c>
      <c r="T1267" s="63">
        <v>0</v>
      </c>
      <c r="U1267" s="63">
        <v>0</v>
      </c>
      <c r="V1267" s="63">
        <v>0</v>
      </c>
      <c r="W1267" s="63">
        <f t="shared" si="530"/>
        <v>81</v>
      </c>
      <c r="X1267" s="63"/>
      <c r="Y1267" s="63">
        <v>0</v>
      </c>
      <c r="Z1267" s="63">
        <v>0</v>
      </c>
      <c r="AA1267" s="63"/>
      <c r="AB1267" s="63"/>
      <c r="AC1267" s="63"/>
      <c r="AD1267" s="63">
        <v>0</v>
      </c>
      <c r="AE1267" s="63">
        <v>0</v>
      </c>
      <c r="AF1267" s="63">
        <v>0</v>
      </c>
      <c r="AG1267" s="63"/>
      <c r="AH1267" s="63"/>
      <c r="AI1267" s="63"/>
      <c r="AJ1267" s="63"/>
      <c r="AK1267" s="63"/>
      <c r="AL1267" s="63">
        <v>0</v>
      </c>
      <c r="AM1267" s="63">
        <v>0</v>
      </c>
      <c r="AN1267" s="63">
        <v>0</v>
      </c>
      <c r="AO1267" s="63"/>
      <c r="AP1267" s="63"/>
      <c r="AQ1267" s="63">
        <v>0</v>
      </c>
      <c r="AR1267" s="63"/>
      <c r="AS1267" s="63"/>
      <c r="AT1267" s="63"/>
      <c r="AU1267" s="63"/>
      <c r="AW1267" s="5">
        <f>IF(Q1267&gt;0,RANK(Q1267,(N1267:P1267,Q1267:AE1267)),0)</f>
        <v>3</v>
      </c>
      <c r="AX1267" s="5">
        <f>IF(R1267&gt;0,RANK(R1267,(N1267:P1267,Q1267:AE1267)),0)</f>
        <v>5</v>
      </c>
      <c r="AY1267" s="5">
        <f>IF(T1267&gt;0,RANK(T1267,(N1267:P1267,Q1267:AE1267)),0)</f>
        <v>0</v>
      </c>
      <c r="AZ1267" s="5">
        <f>IF(S1267&gt;0,RANK(S1267,(N1267:P1267,Q1267:AE1267)),0)</f>
        <v>7</v>
      </c>
      <c r="BA1267" s="2">
        <f t="shared" si="525"/>
        <v>1.9191919191919191E-2</v>
      </c>
      <c r="BB1267" s="2">
        <f t="shared" si="526"/>
        <v>6.4646464646464646E-3</v>
      </c>
      <c r="BC1267" s="2">
        <f t="shared" si="527"/>
        <v>0</v>
      </c>
      <c r="BD1267" s="2">
        <f t="shared" si="528"/>
        <v>6.0606060606060606E-4</v>
      </c>
      <c r="BE1267" s="109"/>
      <c r="BF1267" t="s">
        <v>1787</v>
      </c>
      <c r="BG1267" t="s">
        <v>3107</v>
      </c>
      <c r="BH1267">
        <v>1</v>
      </c>
      <c r="BJ1267" s="114">
        <v>24</v>
      </c>
      <c r="BK1267" s="116">
        <v>39</v>
      </c>
      <c r="BL1267" s="120">
        <f t="shared" si="531"/>
        <v>24039</v>
      </c>
      <c r="BN1267" s="5" t="s">
        <v>3154</v>
      </c>
      <c r="CA1267" s="63">
        <f t="shared" si="529"/>
        <v>109</v>
      </c>
      <c r="CB1267" s="1">
        <v>79</v>
      </c>
      <c r="CD1267" s="63">
        <v>0</v>
      </c>
      <c r="CE1267" s="63">
        <v>0</v>
      </c>
      <c r="CF1267" s="63">
        <v>0</v>
      </c>
      <c r="CG1267" s="63">
        <v>0</v>
      </c>
      <c r="CH1267" s="63">
        <v>0</v>
      </c>
      <c r="CI1267" s="63">
        <v>0</v>
      </c>
      <c r="CJ1267" s="63">
        <v>0</v>
      </c>
      <c r="CK1267" s="63">
        <v>0</v>
      </c>
      <c r="CL1267" s="63">
        <v>0</v>
      </c>
      <c r="CM1267" s="63">
        <v>0</v>
      </c>
      <c r="CN1267" s="63">
        <v>0</v>
      </c>
      <c r="CO1267" s="63">
        <v>0</v>
      </c>
      <c r="CP1267" s="63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2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</row>
    <row r="1268" spans="1:120" hidden="1" outlineLevel="1">
      <c r="A1268" t="s">
        <v>2015</v>
      </c>
      <c r="B1268" t="s">
        <v>3107</v>
      </c>
      <c r="C1268" s="1">
        <f t="shared" si="520"/>
        <v>20553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6</v>
      </c>
      <c r="G1268" s="132">
        <f t="shared" si="507"/>
        <v>2071</v>
      </c>
      <c r="H1268" s="137">
        <f t="shared" si="508"/>
        <v>0.10076387875249355</v>
      </c>
      <c r="I1268" s="2"/>
      <c r="J1268" s="2">
        <f t="shared" si="521"/>
        <v>0.42100909842845324</v>
      </c>
      <c r="K1268" s="2">
        <f t="shared" si="522"/>
        <v>0.52177297718094684</v>
      </c>
      <c r="L1268" s="2">
        <f t="shared" si="523"/>
        <v>2.8706271590522065E-3</v>
      </c>
      <c r="M1268" s="2">
        <f t="shared" si="524"/>
        <v>5.4347297231547707E-2</v>
      </c>
      <c r="N1268" s="63">
        <v>8653</v>
      </c>
      <c r="O1268" s="63">
        <v>10724</v>
      </c>
      <c r="P1268" s="63">
        <v>59</v>
      </c>
      <c r="Q1268" s="63">
        <v>632</v>
      </c>
      <c r="R1268" s="63">
        <v>203</v>
      </c>
      <c r="S1268" s="63">
        <v>2</v>
      </c>
      <c r="T1268" s="63">
        <v>0</v>
      </c>
      <c r="U1268" s="63">
        <v>0</v>
      </c>
      <c r="V1268" s="63">
        <v>0</v>
      </c>
      <c r="W1268" s="63">
        <f t="shared" si="530"/>
        <v>277</v>
      </c>
      <c r="X1268" s="63"/>
      <c r="Y1268" s="63">
        <v>0</v>
      </c>
      <c r="Z1268" s="63">
        <v>0</v>
      </c>
      <c r="AA1268" s="63"/>
      <c r="AB1268" s="63"/>
      <c r="AC1268" s="63"/>
      <c r="AD1268" s="63">
        <v>0</v>
      </c>
      <c r="AE1268" s="63">
        <v>1</v>
      </c>
      <c r="AF1268" s="63">
        <v>0</v>
      </c>
      <c r="AG1268" s="63"/>
      <c r="AH1268" s="63"/>
      <c r="AI1268" s="63"/>
      <c r="AJ1268" s="63"/>
      <c r="AK1268" s="63"/>
      <c r="AL1268" s="63">
        <v>0</v>
      </c>
      <c r="AM1268" s="63">
        <v>0</v>
      </c>
      <c r="AN1268" s="63">
        <v>2</v>
      </c>
      <c r="AO1268" s="63"/>
      <c r="AP1268" s="63"/>
      <c r="AQ1268" s="63">
        <v>0</v>
      </c>
      <c r="AR1268" s="63"/>
      <c r="AS1268" s="63"/>
      <c r="AT1268" s="63"/>
      <c r="AU1268" s="63"/>
      <c r="AW1268" s="5">
        <f>IF(Q1268&gt;0,RANK(Q1268,(N1268:P1268,Q1268:AE1268)),0)</f>
        <v>3</v>
      </c>
      <c r="AX1268" s="5">
        <f>IF(R1268&gt;0,RANK(R1268,(N1268:P1268,Q1268:AE1268)),0)</f>
        <v>5</v>
      </c>
      <c r="AY1268" s="5">
        <f>IF(T1268&gt;0,RANK(T1268,(N1268:P1268,Q1268:AE1268)),0)</f>
        <v>0</v>
      </c>
      <c r="AZ1268" s="5">
        <f>IF(S1268&gt;0,RANK(S1268,(N1268:P1268,Q1268:AE1268)),0)</f>
        <v>7</v>
      </c>
      <c r="BA1268" s="2">
        <f t="shared" si="525"/>
        <v>3.0749768890186348E-2</v>
      </c>
      <c r="BB1268" s="2">
        <f t="shared" si="526"/>
        <v>9.8769036150440324E-3</v>
      </c>
      <c r="BC1268" s="2">
        <f t="shared" si="527"/>
        <v>0</v>
      </c>
      <c r="BD1268" s="2">
        <f t="shared" si="528"/>
        <v>9.7309395222108688E-5</v>
      </c>
      <c r="BE1268" s="109"/>
      <c r="BF1268" t="s">
        <v>2015</v>
      </c>
      <c r="BG1268" t="s">
        <v>3107</v>
      </c>
      <c r="BH1268">
        <v>1</v>
      </c>
      <c r="BJ1268" s="114">
        <v>24</v>
      </c>
      <c r="BK1268" s="116">
        <v>41</v>
      </c>
      <c r="BL1268" s="120">
        <f t="shared" si="531"/>
        <v>24041</v>
      </c>
      <c r="BN1268" s="5" t="s">
        <v>3154</v>
      </c>
      <c r="CA1268" s="63">
        <f t="shared" si="529"/>
        <v>340</v>
      </c>
      <c r="CB1268" s="1">
        <v>273</v>
      </c>
      <c r="CD1268" s="63">
        <v>0</v>
      </c>
      <c r="CE1268" s="63">
        <v>0</v>
      </c>
      <c r="CF1268" s="63">
        <v>1</v>
      </c>
      <c r="CG1268" s="63">
        <v>1</v>
      </c>
      <c r="CH1268" s="63">
        <v>0</v>
      </c>
      <c r="CI1268" s="63">
        <v>0</v>
      </c>
      <c r="CJ1268" s="63">
        <v>0</v>
      </c>
      <c r="CK1268" s="63">
        <v>0</v>
      </c>
      <c r="CL1268" s="63">
        <v>0</v>
      </c>
      <c r="CM1268" s="63">
        <v>0</v>
      </c>
      <c r="CN1268" s="63">
        <v>0</v>
      </c>
      <c r="CO1268" s="63">
        <v>0</v>
      </c>
      <c r="CP1268" s="63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1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1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</row>
    <row r="1269" spans="1:120" hidden="1" outlineLevel="1">
      <c r="A1269" t="s">
        <v>692</v>
      </c>
      <c r="B1269" t="s">
        <v>3107</v>
      </c>
      <c r="C1269" s="1">
        <f t="shared" si="520"/>
        <v>65991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6</v>
      </c>
      <c r="G1269" s="132">
        <f t="shared" si="507"/>
        <v>19869</v>
      </c>
      <c r="H1269" s="137">
        <f t="shared" si="508"/>
        <v>0.30108651179706325</v>
      </c>
      <c r="I1269" s="2"/>
      <c r="J1269" s="2">
        <f t="shared" si="521"/>
        <v>0.32018002454880212</v>
      </c>
      <c r="K1269" s="2">
        <f t="shared" si="522"/>
        <v>0.62126653634586537</v>
      </c>
      <c r="L1269" s="2">
        <f t="shared" si="523"/>
        <v>3.455016593171796E-3</v>
      </c>
      <c r="M1269" s="2">
        <f t="shared" si="524"/>
        <v>5.5098422512160711E-2</v>
      </c>
      <c r="N1269" s="63">
        <v>21129</v>
      </c>
      <c r="O1269" s="63">
        <v>40998</v>
      </c>
      <c r="P1269" s="63">
        <v>228</v>
      </c>
      <c r="Q1269" s="63">
        <v>2164</v>
      </c>
      <c r="R1269" s="63">
        <v>778</v>
      </c>
      <c r="S1269" s="63">
        <v>29</v>
      </c>
      <c r="T1269" s="63">
        <v>0</v>
      </c>
      <c r="U1269" s="63">
        <v>0</v>
      </c>
      <c r="V1269" s="63">
        <v>0</v>
      </c>
      <c r="W1269" s="63">
        <f t="shared" si="530"/>
        <v>640</v>
      </c>
      <c r="X1269" s="63"/>
      <c r="Y1269" s="63">
        <v>2</v>
      </c>
      <c r="Z1269" s="63">
        <v>0</v>
      </c>
      <c r="AA1269" s="63"/>
      <c r="AB1269" s="63"/>
      <c r="AC1269" s="63"/>
      <c r="AD1269" s="63">
        <v>2</v>
      </c>
      <c r="AE1269" s="63">
        <v>1</v>
      </c>
      <c r="AF1269" s="63">
        <v>1</v>
      </c>
      <c r="AG1269" s="63"/>
      <c r="AH1269" s="63"/>
      <c r="AI1269" s="63"/>
      <c r="AJ1269" s="63"/>
      <c r="AK1269" s="63"/>
      <c r="AL1269" s="63">
        <v>0</v>
      </c>
      <c r="AM1269" s="63">
        <v>0</v>
      </c>
      <c r="AN1269" s="63">
        <v>19</v>
      </c>
      <c r="AO1269" s="63"/>
      <c r="AP1269" s="63"/>
      <c r="AQ1269" s="63">
        <v>0</v>
      </c>
      <c r="AR1269" s="63"/>
      <c r="AS1269" s="63"/>
      <c r="AT1269" s="63"/>
      <c r="AU1269" s="63"/>
      <c r="AW1269" s="5">
        <f>IF(Q1269&gt;0,RANK(Q1269,(N1269:P1269,Q1269:AE1269)),0)</f>
        <v>3</v>
      </c>
      <c r="AX1269" s="5">
        <f>IF(R1269&gt;0,RANK(R1269,(N1269:P1269,Q1269:AE1269)),0)</f>
        <v>4</v>
      </c>
      <c r="AY1269" s="5">
        <f>IF(T1269&gt;0,RANK(T1269,(N1269:P1269,Q1269:AE1269)),0)</f>
        <v>0</v>
      </c>
      <c r="AZ1269" s="5">
        <f>IF(S1269&gt;0,RANK(S1269,(N1269:P1269,Q1269:AE1269)),0)</f>
        <v>7</v>
      </c>
      <c r="BA1269" s="2">
        <f t="shared" si="525"/>
        <v>3.2792350472034063E-2</v>
      </c>
      <c r="BB1269" s="2">
        <f t="shared" si="526"/>
        <v>1.1789486445121304E-2</v>
      </c>
      <c r="BC1269" s="2">
        <f t="shared" si="527"/>
        <v>0</v>
      </c>
      <c r="BD1269" s="2">
        <f t="shared" si="528"/>
        <v>4.3945386492097406E-4</v>
      </c>
      <c r="BE1269" s="109"/>
      <c r="BF1269" t="s">
        <v>692</v>
      </c>
      <c r="BG1269" t="s">
        <v>3107</v>
      </c>
      <c r="BH1269">
        <v>6</v>
      </c>
      <c r="BJ1269" s="114">
        <v>24</v>
      </c>
      <c r="BK1269" s="116">
        <v>43</v>
      </c>
      <c r="BL1269" s="120">
        <f t="shared" si="531"/>
        <v>24043</v>
      </c>
      <c r="BN1269" s="5" t="s">
        <v>3154</v>
      </c>
      <c r="CA1269" s="63">
        <f t="shared" si="529"/>
        <v>920</v>
      </c>
      <c r="CB1269" s="1">
        <v>634</v>
      </c>
      <c r="CD1269" s="63">
        <v>2</v>
      </c>
      <c r="CE1269" s="63">
        <v>0</v>
      </c>
      <c r="CF1269" s="63">
        <v>0</v>
      </c>
      <c r="CG1269" s="63">
        <v>0</v>
      </c>
      <c r="CH1269" s="63">
        <v>0</v>
      </c>
      <c r="CI1269" s="63">
        <v>0</v>
      </c>
      <c r="CJ1269" s="63">
        <v>1</v>
      </c>
      <c r="CK1269" s="63">
        <v>0</v>
      </c>
      <c r="CL1269" s="63">
        <v>0</v>
      </c>
      <c r="CM1269" s="63">
        <v>0</v>
      </c>
      <c r="CN1269" s="63">
        <v>0</v>
      </c>
      <c r="CO1269" s="63">
        <v>0</v>
      </c>
      <c r="CP1269" s="63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1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2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</row>
    <row r="1270" spans="1:120" hidden="1" outlineLevel="1">
      <c r="A1270" t="s">
        <v>2745</v>
      </c>
      <c r="B1270" t="s">
        <v>3107</v>
      </c>
      <c r="C1270" s="1">
        <f t="shared" si="520"/>
        <v>42547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>IF(P1270&gt;0,RANK(P1270,(N1270:P1270,Q1270:AE1270)),0)</f>
        <v>6</v>
      </c>
      <c r="G1270" s="132">
        <f t="shared" si="507"/>
        <v>4148</v>
      </c>
      <c r="H1270" s="137">
        <f t="shared" si="508"/>
        <v>9.7492185112933935E-2</v>
      </c>
      <c r="I1270" s="2"/>
      <c r="J1270" s="2">
        <f t="shared" si="521"/>
        <v>0.42423672644369753</v>
      </c>
      <c r="K1270" s="2">
        <f t="shared" si="522"/>
        <v>0.52172891155663148</v>
      </c>
      <c r="L1270" s="2">
        <f t="shared" si="523"/>
        <v>3.0789479869320988E-3</v>
      </c>
      <c r="M1270" s="2">
        <f t="shared" si="524"/>
        <v>5.0955414012738946E-2</v>
      </c>
      <c r="N1270" s="63">
        <v>18050</v>
      </c>
      <c r="O1270" s="63">
        <v>22198</v>
      </c>
      <c r="P1270" s="63">
        <v>131</v>
      </c>
      <c r="Q1270" s="63">
        <v>1297</v>
      </c>
      <c r="R1270" s="63">
        <v>432</v>
      </c>
      <c r="S1270" s="63">
        <v>8</v>
      </c>
      <c r="T1270" s="63">
        <v>0</v>
      </c>
      <c r="U1270" s="63">
        <v>0</v>
      </c>
      <c r="V1270" s="63">
        <v>2</v>
      </c>
      <c r="W1270" s="63">
        <f t="shared" si="530"/>
        <v>426</v>
      </c>
      <c r="X1270" s="63"/>
      <c r="Y1270" s="63">
        <v>3</v>
      </c>
      <c r="Z1270" s="63">
        <v>0</v>
      </c>
      <c r="AA1270" s="63"/>
      <c r="AB1270" s="63"/>
      <c r="AC1270" s="63"/>
      <c r="AD1270" s="63">
        <v>0</v>
      </c>
      <c r="AE1270" s="63">
        <v>0</v>
      </c>
      <c r="AF1270" s="63">
        <v>0</v>
      </c>
      <c r="AG1270" s="63"/>
      <c r="AH1270" s="63"/>
      <c r="AI1270" s="63"/>
      <c r="AJ1270" s="63"/>
      <c r="AK1270" s="63"/>
      <c r="AL1270" s="63">
        <v>0</v>
      </c>
      <c r="AM1270" s="63">
        <v>0</v>
      </c>
      <c r="AN1270" s="63">
        <v>0</v>
      </c>
      <c r="AO1270" s="63"/>
      <c r="AP1270" s="63"/>
      <c r="AQ1270" s="63">
        <v>0</v>
      </c>
      <c r="AR1270" s="63"/>
      <c r="AS1270" s="63"/>
      <c r="AT1270" s="63"/>
      <c r="AU1270" s="63"/>
      <c r="AW1270" s="5">
        <f>IF(Q1270&gt;0,RANK(Q1270,(N1270:P1270,Q1270:AE1270)),0)</f>
        <v>3</v>
      </c>
      <c r="AX1270" s="5">
        <f>IF(R1270&gt;0,RANK(R1270,(N1270:P1270,Q1270:AE1270)),0)</f>
        <v>4</v>
      </c>
      <c r="AY1270" s="5">
        <f>IF(T1270&gt;0,RANK(T1270,(N1270:P1270,Q1270:AE1270)),0)</f>
        <v>0</v>
      </c>
      <c r="AZ1270" s="5">
        <f>IF(S1270&gt;0,RANK(S1270,(N1270:P1270,Q1270:AE1270)),0)</f>
        <v>7</v>
      </c>
      <c r="BA1270" s="2">
        <f t="shared" si="525"/>
        <v>3.0483935412602532E-2</v>
      </c>
      <c r="BB1270" s="2">
        <f t="shared" si="526"/>
        <v>1.0153477330951654E-2</v>
      </c>
      <c r="BC1270" s="2">
        <f t="shared" si="527"/>
        <v>0</v>
      </c>
      <c r="BD1270" s="2">
        <f t="shared" si="528"/>
        <v>1.8802735798058618E-4</v>
      </c>
      <c r="BE1270" s="109"/>
      <c r="BF1270" t="s">
        <v>2745</v>
      </c>
      <c r="BG1270" t="s">
        <v>3107</v>
      </c>
      <c r="BH1270">
        <v>1</v>
      </c>
      <c r="BJ1270" s="114">
        <v>24</v>
      </c>
      <c r="BK1270" s="116">
        <v>45</v>
      </c>
      <c r="BL1270" s="120">
        <f t="shared" si="531"/>
        <v>24045</v>
      </c>
      <c r="BN1270" s="5" t="s">
        <v>3154</v>
      </c>
      <c r="CA1270" s="63">
        <f t="shared" si="529"/>
        <v>570</v>
      </c>
      <c r="CB1270" s="1">
        <v>424</v>
      </c>
      <c r="CD1270" s="63">
        <v>0</v>
      </c>
      <c r="CE1270" s="63">
        <v>0</v>
      </c>
      <c r="CF1270" s="63">
        <v>0</v>
      </c>
      <c r="CG1270" s="63">
        <v>0</v>
      </c>
      <c r="CH1270" s="63">
        <v>1</v>
      </c>
      <c r="CI1270" s="63">
        <v>0</v>
      </c>
      <c r="CJ1270" s="63">
        <v>0</v>
      </c>
      <c r="CK1270" s="63">
        <v>0</v>
      </c>
      <c r="CL1270" s="63">
        <v>0</v>
      </c>
      <c r="CM1270" s="63">
        <v>0</v>
      </c>
      <c r="CN1270" s="63">
        <v>0</v>
      </c>
      <c r="CO1270" s="63">
        <v>0</v>
      </c>
      <c r="CP1270" s="63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</row>
    <row r="1271" spans="1:120" hidden="1" outlineLevel="1">
      <c r="A1271" t="s">
        <v>1774</v>
      </c>
      <c r="B1271" t="s">
        <v>3107</v>
      </c>
      <c r="C1271" s="1">
        <f t="shared" si="520"/>
        <v>28273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>IF(P1271&gt;0,RANK(P1271,(N1271:P1271,Q1271:AE1271)),0)</f>
        <v>6</v>
      </c>
      <c r="G1271" s="132">
        <f t="shared" si="507"/>
        <v>7457</v>
      </c>
      <c r="H1271" s="137">
        <f t="shared" si="508"/>
        <v>0.26374986736462347</v>
      </c>
      <c r="I1271" s="2"/>
      <c r="J1271" s="2">
        <f t="shared" si="521"/>
        <v>0.34495808722102361</v>
      </c>
      <c r="K1271" s="2">
        <f t="shared" si="522"/>
        <v>0.60870795458564708</v>
      </c>
      <c r="L1271" s="2">
        <f t="shared" si="523"/>
        <v>1.9453188554451244E-3</v>
      </c>
      <c r="M1271" s="2">
        <f t="shared" si="524"/>
        <v>4.438863933788418E-2</v>
      </c>
      <c r="N1271" s="63">
        <v>9753</v>
      </c>
      <c r="O1271" s="63">
        <v>17210</v>
      </c>
      <c r="P1271" s="63">
        <v>55</v>
      </c>
      <c r="Q1271" s="63">
        <v>735</v>
      </c>
      <c r="R1271" s="63">
        <v>249</v>
      </c>
      <c r="S1271" s="63">
        <v>6</v>
      </c>
      <c r="T1271" s="63">
        <v>0</v>
      </c>
      <c r="U1271" s="63">
        <v>0</v>
      </c>
      <c r="V1271" s="63">
        <v>0</v>
      </c>
      <c r="W1271" s="63">
        <f t="shared" si="530"/>
        <v>262</v>
      </c>
      <c r="X1271" s="63"/>
      <c r="Y1271" s="63">
        <v>0</v>
      </c>
      <c r="Z1271" s="63">
        <v>1</v>
      </c>
      <c r="AA1271" s="63"/>
      <c r="AB1271" s="63"/>
      <c r="AC1271" s="63"/>
      <c r="AD1271" s="63">
        <v>0</v>
      </c>
      <c r="AE1271" s="63">
        <v>0</v>
      </c>
      <c r="AF1271" s="63">
        <v>0</v>
      </c>
      <c r="AG1271" s="63"/>
      <c r="AH1271" s="63"/>
      <c r="AI1271" s="63"/>
      <c r="AJ1271" s="63"/>
      <c r="AK1271" s="63"/>
      <c r="AL1271" s="63">
        <v>0</v>
      </c>
      <c r="AM1271" s="63">
        <v>1</v>
      </c>
      <c r="AN1271" s="63">
        <v>1</v>
      </c>
      <c r="AO1271" s="63"/>
      <c r="AP1271" s="63"/>
      <c r="AQ1271" s="63">
        <v>0</v>
      </c>
      <c r="AR1271" s="63"/>
      <c r="AS1271" s="63"/>
      <c r="AT1271" s="63"/>
      <c r="AU1271" s="63"/>
      <c r="AW1271" s="5">
        <f>IF(Q1271&gt;0,RANK(Q1271,(N1271:P1271,Q1271:AE1271)),0)</f>
        <v>3</v>
      </c>
      <c r="AX1271" s="5">
        <f>IF(R1271&gt;0,RANK(R1271,(N1271:P1271,Q1271:AE1271)),0)</f>
        <v>5</v>
      </c>
      <c r="AY1271" s="5">
        <f>IF(T1271&gt;0,RANK(T1271,(N1271:P1271,Q1271:AE1271)),0)</f>
        <v>0</v>
      </c>
      <c r="AZ1271" s="5">
        <f>IF(S1271&gt;0,RANK(S1271,(N1271:P1271,Q1271:AE1271)),0)</f>
        <v>7</v>
      </c>
      <c r="BA1271" s="2">
        <f t="shared" si="525"/>
        <v>2.5996533795493933E-2</v>
      </c>
      <c r="BB1271" s="2">
        <f t="shared" si="526"/>
        <v>8.806989000106109E-3</v>
      </c>
      <c r="BC1271" s="2">
        <f t="shared" si="527"/>
        <v>0</v>
      </c>
      <c r="BD1271" s="2">
        <f t="shared" si="528"/>
        <v>2.1221660241219539E-4</v>
      </c>
      <c r="BE1271" s="109"/>
      <c r="BF1271" t="s">
        <v>1774</v>
      </c>
      <c r="BG1271" t="s">
        <v>3107</v>
      </c>
      <c r="BH1271">
        <v>1</v>
      </c>
      <c r="BJ1271" s="114">
        <v>24</v>
      </c>
      <c r="BK1271" s="116">
        <v>47</v>
      </c>
      <c r="BL1271" s="120">
        <f t="shared" si="531"/>
        <v>24047</v>
      </c>
      <c r="BN1271" s="5" t="s">
        <v>3154</v>
      </c>
      <c r="CA1271" s="63">
        <f>SUM(CB1271:CY1271)+SUM(S1271:V1271)+SUM(X1271:AT1271)+P1271</f>
        <v>323</v>
      </c>
      <c r="CB1271" s="1">
        <v>251</v>
      </c>
      <c r="CD1271" s="63">
        <v>0</v>
      </c>
      <c r="CE1271" s="63">
        <v>0</v>
      </c>
      <c r="CF1271" s="63">
        <v>4</v>
      </c>
      <c r="CG1271" s="63">
        <v>1</v>
      </c>
      <c r="CH1271" s="63">
        <v>0</v>
      </c>
      <c r="CI1271" s="63">
        <v>1</v>
      </c>
      <c r="CJ1271" s="63">
        <v>0</v>
      </c>
      <c r="CK1271" s="63">
        <v>0</v>
      </c>
      <c r="CL1271" s="63">
        <v>0</v>
      </c>
      <c r="CM1271" s="63">
        <v>0</v>
      </c>
      <c r="CN1271" s="63">
        <v>1</v>
      </c>
      <c r="CO1271" s="63">
        <v>1</v>
      </c>
      <c r="CP1271" s="63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1</v>
      </c>
      <c r="DD1271" s="1">
        <v>0</v>
      </c>
      <c r="DE1271" s="1">
        <v>0</v>
      </c>
      <c r="DF1271" s="1">
        <v>2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</row>
    <row r="1272" spans="1:120" collapsed="1">
      <c r="A1272" t="s">
        <v>2540</v>
      </c>
      <c r="B1272" t="s">
        <v>544</v>
      </c>
      <c r="C1272" s="1">
        <f t="shared" si="520"/>
        <v>2781446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>IF(P1272&gt;0,RANK(P1272,(N1272:P1272,Q1272:AE1272)),0)</f>
        <v>6</v>
      </c>
      <c r="G1272" s="132">
        <f t="shared" si="507"/>
        <v>734759</v>
      </c>
      <c r="H1272" s="137">
        <f t="shared" si="508"/>
        <v>0.26416439506645106</v>
      </c>
      <c r="I1272" s="2"/>
      <c r="J1272" s="2">
        <f t="shared" si="521"/>
        <v>0.60325744235192769</v>
      </c>
      <c r="K1272" s="2">
        <f t="shared" si="522"/>
        <v>0.33909304728547668</v>
      </c>
      <c r="L1272" s="2">
        <f t="shared" si="523"/>
        <v>3.4622279202975717E-3</v>
      </c>
      <c r="M1272" s="2">
        <f t="shared" si="524"/>
        <v>5.4187282442298063E-2</v>
      </c>
      <c r="N1272" s="63">
        <f t="shared" ref="N1272:V1272" si="532">SUM(N1248:N1271)</f>
        <v>1677928</v>
      </c>
      <c r="O1272" s="63">
        <f t="shared" si="532"/>
        <v>943169</v>
      </c>
      <c r="P1272" s="63">
        <f t="shared" si="532"/>
        <v>9630</v>
      </c>
      <c r="Q1272" s="63">
        <f t="shared" si="532"/>
        <v>79605</v>
      </c>
      <c r="R1272" s="63">
        <f t="shared" si="532"/>
        <v>35945</v>
      </c>
      <c r="S1272" s="63">
        <f t="shared" si="532"/>
        <v>566</v>
      </c>
      <c r="T1272" s="63">
        <f t="shared" si="532"/>
        <v>14</v>
      </c>
      <c r="U1272" s="63">
        <f t="shared" si="532"/>
        <v>6</v>
      </c>
      <c r="V1272" s="63">
        <f t="shared" si="532"/>
        <v>48</v>
      </c>
      <c r="W1272" s="63">
        <f>SUM(W1248:W1271)</f>
        <v>33839</v>
      </c>
      <c r="X1272" s="63"/>
      <c r="Y1272" s="63">
        <f>SUM(Y1248:Y1271)</f>
        <v>42</v>
      </c>
      <c r="Z1272" s="63">
        <f>SUM(Z1248:Z1271)</f>
        <v>18</v>
      </c>
      <c r="AA1272" s="63"/>
      <c r="AB1272" s="63"/>
      <c r="AC1272" s="63"/>
      <c r="AD1272" s="63">
        <f>SUM(AD1248:AD1271)</f>
        <v>5</v>
      </c>
      <c r="AE1272" s="63">
        <f>SUM(AE1248:AE1271)</f>
        <v>73</v>
      </c>
      <c r="AF1272" s="63">
        <f>SUM(AF1248:AF1271)</f>
        <v>11</v>
      </c>
      <c r="AG1272" s="63"/>
      <c r="AH1272" s="63"/>
      <c r="AI1272" s="63"/>
      <c r="AJ1272" s="63"/>
      <c r="AK1272" s="63"/>
      <c r="AL1272" s="63">
        <f>SUM(AL1248:AL1271)</f>
        <v>18</v>
      </c>
      <c r="AM1272" s="63">
        <f>SUM(AM1248:AM1271)</f>
        <v>12</v>
      </c>
      <c r="AN1272" s="63">
        <f>SUM(AN1248:AN1271)</f>
        <v>504</v>
      </c>
      <c r="AO1272" s="63"/>
      <c r="AP1272" s="63"/>
      <c r="AQ1272" s="63">
        <f>SUM(AQ1248:AQ1271)</f>
        <v>13</v>
      </c>
      <c r="AR1272" s="63"/>
      <c r="AS1272" s="63"/>
      <c r="AT1272" s="63"/>
      <c r="AU1272" s="63"/>
      <c r="AW1272" s="5">
        <f>IF(Q1272&gt;0,RANK(Q1272,(N1272:P1272,Q1272:AE1272)),0)</f>
        <v>3</v>
      </c>
      <c r="AX1272" s="5">
        <f>IF(R1272&gt;0,RANK(R1272,(N1272:P1272,Q1272:AE1272)),0)</f>
        <v>4</v>
      </c>
      <c r="AY1272" s="5">
        <f>IF(T1272&gt;0,RANK(T1272,(N1272:P1272,Q1272:AE1272)),0)</f>
        <v>12</v>
      </c>
      <c r="AZ1272" s="5">
        <f>IF(S1272&gt;0,RANK(S1272,(N1272:P1272,Q1272:AE1272)),0)</f>
        <v>7</v>
      </c>
      <c r="BA1272" s="2">
        <f t="shared" si="525"/>
        <v>2.8620005565450489E-2</v>
      </c>
      <c r="BB1272" s="2">
        <f t="shared" si="526"/>
        <v>1.2923134225866689E-2</v>
      </c>
      <c r="BC1272" s="2">
        <f t="shared" si="527"/>
        <v>5.0333531551574257E-6</v>
      </c>
      <c r="BD1272" s="2">
        <f t="shared" si="528"/>
        <v>2.0349127755850733E-4</v>
      </c>
      <c r="BE1272" s="109"/>
      <c r="BF1272" t="s">
        <v>2540</v>
      </c>
      <c r="BG1272" t="s">
        <v>544</v>
      </c>
      <c r="BJ1272" s="114">
        <v>24</v>
      </c>
      <c r="BK1272" s="116"/>
      <c r="BL1272" s="114">
        <v>24</v>
      </c>
      <c r="BN1272" s="5" t="s">
        <v>711</v>
      </c>
      <c r="CA1272" s="63">
        <f>SUM(CA1248:CA1271)</f>
        <v>44620</v>
      </c>
      <c r="CB1272" s="63">
        <f>SUM(CB1248:CB1271)</f>
        <v>33263</v>
      </c>
      <c r="CD1272" s="63">
        <f t="shared" ref="CD1272:DO1272" si="533">SUM(CD1248:CD1271)</f>
        <v>53</v>
      </c>
      <c r="CE1272" s="63">
        <f t="shared" si="533"/>
        <v>20</v>
      </c>
      <c r="CF1272" s="63">
        <f t="shared" si="533"/>
        <v>36</v>
      </c>
      <c r="CG1272" s="63">
        <f t="shared" si="533"/>
        <v>97</v>
      </c>
      <c r="CH1272" s="63">
        <f t="shared" si="533"/>
        <v>53</v>
      </c>
      <c r="CI1272" s="63">
        <f t="shared" si="533"/>
        <v>44</v>
      </c>
      <c r="CJ1272" s="63">
        <f t="shared" si="533"/>
        <v>17</v>
      </c>
      <c r="CK1272" s="63">
        <f t="shared" si="533"/>
        <v>1</v>
      </c>
      <c r="CL1272" s="63">
        <f t="shared" si="533"/>
        <v>16</v>
      </c>
      <c r="CM1272" s="63">
        <f t="shared" si="533"/>
        <v>7</v>
      </c>
      <c r="CN1272" s="63">
        <f t="shared" si="533"/>
        <v>4</v>
      </c>
      <c r="CO1272" s="63">
        <f t="shared" si="533"/>
        <v>1</v>
      </c>
      <c r="CP1272" s="63">
        <f t="shared" si="533"/>
        <v>2</v>
      </c>
      <c r="CQ1272" s="63">
        <f t="shared" si="533"/>
        <v>0</v>
      </c>
      <c r="CR1272" s="63">
        <f t="shared" si="533"/>
        <v>0</v>
      </c>
      <c r="CS1272" s="63">
        <f t="shared" si="533"/>
        <v>10</v>
      </c>
      <c r="CT1272" s="63">
        <f t="shared" si="533"/>
        <v>0</v>
      </c>
      <c r="CU1272" s="63">
        <f t="shared" si="533"/>
        <v>0</v>
      </c>
      <c r="CV1272" s="63">
        <f t="shared" si="533"/>
        <v>3</v>
      </c>
      <c r="CW1272" s="63">
        <f t="shared" si="533"/>
        <v>9</v>
      </c>
      <c r="CX1272" s="63">
        <f t="shared" si="533"/>
        <v>11</v>
      </c>
      <c r="CY1272" s="63">
        <f t="shared" si="533"/>
        <v>13</v>
      </c>
      <c r="CZ1272" s="63">
        <f t="shared" si="533"/>
        <v>2</v>
      </c>
      <c r="DA1272" s="63">
        <f t="shared" si="533"/>
        <v>1</v>
      </c>
      <c r="DB1272" s="63">
        <f t="shared" si="533"/>
        <v>1</v>
      </c>
      <c r="DC1272" s="63">
        <f t="shared" si="533"/>
        <v>7</v>
      </c>
      <c r="DD1272" s="63">
        <f t="shared" si="533"/>
        <v>5</v>
      </c>
      <c r="DE1272" s="63">
        <f t="shared" si="533"/>
        <v>15</v>
      </c>
      <c r="DF1272" s="63">
        <f t="shared" si="533"/>
        <v>25</v>
      </c>
      <c r="DG1272" s="63">
        <f t="shared" si="533"/>
        <v>51</v>
      </c>
      <c r="DH1272" s="63">
        <f t="shared" si="533"/>
        <v>6</v>
      </c>
      <c r="DI1272" s="63">
        <f t="shared" si="533"/>
        <v>9</v>
      </c>
      <c r="DJ1272" s="63">
        <f t="shared" si="533"/>
        <v>24</v>
      </c>
      <c r="DK1272" s="63">
        <f t="shared" si="533"/>
        <v>4</v>
      </c>
      <c r="DL1272" s="63">
        <f t="shared" si="533"/>
        <v>7</v>
      </c>
      <c r="DM1272" s="63">
        <f t="shared" si="533"/>
        <v>10</v>
      </c>
      <c r="DN1272" s="63">
        <f t="shared" si="533"/>
        <v>1</v>
      </c>
      <c r="DO1272" s="63">
        <f t="shared" si="533"/>
        <v>11</v>
      </c>
      <c r="DP1272" s="8"/>
    </row>
    <row r="1273" spans="1:120">
      <c r="C1273" s="1"/>
      <c r="E1273" s="5"/>
      <c r="F1273" s="5"/>
      <c r="G1273" s="132"/>
      <c r="H1273" s="137"/>
      <c r="I1273" s="2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W1273" s="5"/>
      <c r="AX1273" s="5"/>
      <c r="AY1273" s="5"/>
      <c r="AZ1273" s="5"/>
      <c r="BJ1273" s="114"/>
      <c r="BK1273" s="116"/>
      <c r="BL1273" s="120"/>
    </row>
    <row r="1274" spans="1:120" hidden="1" outlineLevel="1">
      <c r="A1274" t="s">
        <v>2411</v>
      </c>
      <c r="B1274" t="s">
        <v>1320</v>
      </c>
      <c r="C1274" s="1">
        <f t="shared" ref="C1274:C1288" si="534">SUM(N1274:AU1274)</f>
        <v>135781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>IF(P1274&gt;0,RANK(P1274,(N1274:P1274,Q1274:AE1274)),0)</f>
        <v>6</v>
      </c>
      <c r="G1274" s="132">
        <f t="shared" si="507"/>
        <v>18331</v>
      </c>
      <c r="H1274" s="137">
        <f t="shared" si="508"/>
        <v>0.13500416111237951</v>
      </c>
      <c r="I1274" s="2"/>
      <c r="J1274" s="2">
        <f t="shared" ref="J1274:J1288" si="535">IF($C1274=0,"-",N1274/$C1274)</f>
        <v>0.53343251264904512</v>
      </c>
      <c r="K1274" s="2">
        <f t="shared" ref="K1274:K1288" si="536">IF($C1274=0,"-",O1274/$C1274)</f>
        <v>0.39842835153666567</v>
      </c>
      <c r="L1274" s="2">
        <f t="shared" ref="L1274:L1288" si="537">IF($C1274=0,"-",P1274/$C1274)</f>
        <v>5.6708965171857625E-4</v>
      </c>
      <c r="M1274" s="2">
        <f t="shared" ref="M1274:M1288" si="538">IF(C1274=0,"-",(1-J1274-K1274-L1274))</f>
        <v>6.7572046162570634E-2</v>
      </c>
      <c r="N1274" s="63">
        <f>SUMIF(Town!$BB$724:$BB$1074,$BL1274,Town!N$724:N$1074)</f>
        <v>72430</v>
      </c>
      <c r="O1274" s="63">
        <f>SUMIF(Town!$BB$724:$BB$1074,$BL1274,Town!O$724:O$1074)</f>
        <v>54099</v>
      </c>
      <c r="P1274" s="63">
        <f>SUMIF(Town!$BB$724:$BB$1074,$BL1274,Town!P$724:P$1074)</f>
        <v>77</v>
      </c>
      <c r="Q1274" s="63">
        <f>SUMIF(Town!$BB$724:$BB$1074,$BL1274,Town!Q$724:Q$1074)</f>
        <v>5337</v>
      </c>
      <c r="R1274" s="63">
        <f>SUMIF(Town!$BB$724:$BB$1074,$BL1274,Town!R$724:R$1074)</f>
        <v>1919</v>
      </c>
      <c r="S1274" s="63"/>
      <c r="T1274" s="63"/>
      <c r="U1274" s="63"/>
      <c r="V1274" s="63"/>
      <c r="W1274" s="63">
        <f>SUMIF(Town!$BB$724:$BB$1074,$BL1274,Town!W$724:W$1074)</f>
        <v>1919</v>
      </c>
      <c r="X1274" s="63"/>
      <c r="Y1274" s="63"/>
      <c r="Z1274" s="63"/>
      <c r="AA1274" s="63">
        <f>SUMIF(Town!$BB$724:$BB$1074,$BL1274,Town!AA$724:AA$1074)</f>
        <v>0</v>
      </c>
      <c r="AB1274" s="63"/>
      <c r="AC1274" s="63"/>
      <c r="AD1274" s="63"/>
      <c r="AE1274" s="63">
        <f>SUMIF(Town!$BB$724:$BB$1074,$BL1274,Town!AE$724:AE$1074)</f>
        <v>0</v>
      </c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W1274" s="5">
        <f>IF(Q1274&gt;0,RANK(Q1274,(N1274:P1274,Q1274:AE1274)),0)</f>
        <v>3</v>
      </c>
      <c r="AX1274" s="5">
        <f>IF(R1274&gt;0,RANK(R1274,(N1274:P1274,Q1274:AE1274)),0)</f>
        <v>4</v>
      </c>
      <c r="AY1274" s="5">
        <f>IF(T1274&gt;0,RANK(T1274,(N1274:P1274,Q1274:AE1274)),0)</f>
        <v>0</v>
      </c>
      <c r="AZ1274" s="5">
        <f>IF(S1274&gt;0,RANK(S1274,(N1274:P1274,Q1274:AE1274)),0)</f>
        <v>0</v>
      </c>
      <c r="BA1274" s="2">
        <f t="shared" ref="BA1274:BA1288" si="539">IF($C1274=0,"-",Q1274/$C1274)</f>
        <v>3.9305941184701834E-2</v>
      </c>
      <c r="BB1274" s="2">
        <f t="shared" ref="BB1274:BB1288" si="540">IF($C1274=0,"-",R1274/$C1274)</f>
        <v>1.4133052488934386E-2</v>
      </c>
      <c r="BC1274" s="2">
        <f t="shared" ref="BC1274:BC1288" si="541">IF($C1274=0,"-",T1274/$C1274)</f>
        <v>0</v>
      </c>
      <c r="BD1274" s="2">
        <f t="shared" ref="BD1274:BD1288" si="542">IF($C1274=0,"-",S1274/$C1274)</f>
        <v>0</v>
      </c>
      <c r="BF1274" t="s">
        <v>2411</v>
      </c>
      <c r="BG1274" t="s">
        <v>1320</v>
      </c>
      <c r="BH1274">
        <v>9</v>
      </c>
      <c r="BJ1274" s="114">
        <v>25</v>
      </c>
      <c r="BK1274" s="116">
        <v>1</v>
      </c>
      <c r="BL1274" s="120">
        <f t="shared" si="531"/>
        <v>25001</v>
      </c>
      <c r="BN1274" s="5" t="s">
        <v>3154</v>
      </c>
      <c r="BO1274" s="63">
        <f>SUMIF(Town!$BB$724:$BB$1074,$BL1274,Town!BE$724:BE$1074)</f>
        <v>2131</v>
      </c>
      <c r="BR1274" s="63"/>
    </row>
    <row r="1275" spans="1:120" hidden="1" outlineLevel="1">
      <c r="A1275" t="s">
        <v>2313</v>
      </c>
      <c r="B1275" t="s">
        <v>1320</v>
      </c>
      <c r="C1275" s="1">
        <f t="shared" si="534"/>
        <v>65617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>IF(P1275&gt;0,RANK(P1275,(N1275:P1275,Q1275:AE1275)),0)</f>
        <v>6</v>
      </c>
      <c r="G1275" s="132">
        <f t="shared" si="507"/>
        <v>26875</v>
      </c>
      <c r="H1275" s="137">
        <f t="shared" si="508"/>
        <v>0.40957373851288537</v>
      </c>
      <c r="I1275" s="2"/>
      <c r="J1275" s="2">
        <f t="shared" si="535"/>
        <v>0.66619930810613104</v>
      </c>
      <c r="K1275" s="2">
        <f t="shared" si="536"/>
        <v>0.25662556959324567</v>
      </c>
      <c r="L1275" s="2">
        <f t="shared" si="537"/>
        <v>1.036316808144231E-3</v>
      </c>
      <c r="M1275" s="2">
        <f t="shared" si="538"/>
        <v>7.6138805492479061E-2</v>
      </c>
      <c r="N1275" s="63">
        <f>SUMIF(Town!$BB$724:$BB$1074,$BL1275,Town!N$724:N$1074)</f>
        <v>43714</v>
      </c>
      <c r="O1275" s="63">
        <f>SUMIF(Town!$BB$724:$BB$1074,$BL1275,Town!O$724:O$1074)</f>
        <v>16839</v>
      </c>
      <c r="P1275" s="63">
        <f>SUMIF(Town!$BB$724:$BB$1074,$BL1275,Town!P$724:P$1074)</f>
        <v>68</v>
      </c>
      <c r="Q1275" s="63">
        <f>SUMIF(Town!$BB$724:$BB$1074,$BL1275,Town!Q$724:Q$1074)</f>
        <v>2555</v>
      </c>
      <c r="R1275" s="63">
        <f>SUMIF(Town!$BB$724:$BB$1074,$BL1275,Town!R$724:R$1074)</f>
        <v>1627</v>
      </c>
      <c r="S1275" s="63"/>
      <c r="T1275" s="63"/>
      <c r="U1275" s="63"/>
      <c r="V1275" s="63"/>
      <c r="W1275" s="63">
        <f>SUMIF(Town!$BB$724:$BB$1074,$BL1275,Town!W$724:W$1074)</f>
        <v>814</v>
      </c>
      <c r="X1275" s="63"/>
      <c r="Y1275" s="63"/>
      <c r="Z1275" s="63"/>
      <c r="AA1275" s="63">
        <f>SUMIF(Town!$BB$724:$BB$1074,$BL1275,Town!AA$724:AA$1074)</f>
        <v>0</v>
      </c>
      <c r="AB1275" s="63"/>
      <c r="AC1275" s="63"/>
      <c r="AD1275" s="63"/>
      <c r="AE1275" s="63">
        <f>SUMIF(Town!$BB$724:$BB$1074,$BL1275,Town!AE$724:AE$1074)</f>
        <v>0</v>
      </c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W1275" s="5">
        <f>IF(Q1275&gt;0,RANK(Q1275,(N1275:P1275,Q1275:AE1275)),0)</f>
        <v>3</v>
      </c>
      <c r="AX1275" s="5">
        <f>IF(R1275&gt;0,RANK(R1275,(N1275:P1275,Q1275:AE1275)),0)</f>
        <v>4</v>
      </c>
      <c r="AY1275" s="5">
        <f>IF(T1275&gt;0,RANK(T1275,(N1275:P1275,Q1275:AE1275)),0)</f>
        <v>0</v>
      </c>
      <c r="AZ1275" s="5">
        <f>IF(S1275&gt;0,RANK(S1275,(N1275:P1275,Q1275:AE1275)),0)</f>
        <v>0</v>
      </c>
      <c r="BA1275" s="2">
        <f t="shared" si="539"/>
        <v>3.893808007071338E-2</v>
      </c>
      <c r="BB1275" s="2">
        <f t="shared" si="540"/>
        <v>2.479540363015682E-2</v>
      </c>
      <c r="BC1275" s="2">
        <f t="shared" si="541"/>
        <v>0</v>
      </c>
      <c r="BD1275" s="2">
        <f t="shared" si="542"/>
        <v>0</v>
      </c>
      <c r="BF1275" t="s">
        <v>2313</v>
      </c>
      <c r="BG1275" t="s">
        <v>1320</v>
      </c>
      <c r="BH1275">
        <v>1</v>
      </c>
      <c r="BJ1275" s="114">
        <v>25</v>
      </c>
      <c r="BK1275" s="116">
        <v>3</v>
      </c>
      <c r="BL1275" s="120">
        <f t="shared" si="531"/>
        <v>25003</v>
      </c>
      <c r="BN1275" s="5" t="s">
        <v>3154</v>
      </c>
      <c r="BO1275" s="63">
        <f>SUMIF(Town!$BB$724:$BB$1074,$BL1275,Town!BE$724:BE$1074)</f>
        <v>891</v>
      </c>
      <c r="BR1275" s="63"/>
    </row>
    <row r="1276" spans="1:120" hidden="1" outlineLevel="1">
      <c r="A1276" t="s">
        <v>2215</v>
      </c>
      <c r="B1276" t="s">
        <v>1320</v>
      </c>
      <c r="C1276" s="1">
        <f t="shared" si="534"/>
        <v>252140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>IF(P1276&gt;0,RANK(P1276,(N1276:P1276,Q1276:AE1276)),0)</f>
        <v>6</v>
      </c>
      <c r="G1276" s="132">
        <f t="shared" si="507"/>
        <v>24097</v>
      </c>
      <c r="H1276" s="137">
        <f t="shared" si="508"/>
        <v>9.5569921472197991E-2</v>
      </c>
      <c r="I1276" s="2"/>
      <c r="J1276" s="2">
        <f t="shared" si="535"/>
        <v>0.51376219560561598</v>
      </c>
      <c r="K1276" s="2">
        <f t="shared" si="536"/>
        <v>0.41819227413341792</v>
      </c>
      <c r="L1276" s="2">
        <f t="shared" si="537"/>
        <v>4.2436741492821449E-4</v>
      </c>
      <c r="M1276" s="2">
        <f t="shared" si="538"/>
        <v>6.7621162846037891E-2</v>
      </c>
      <c r="N1276" s="63">
        <f>SUMIF(Town!$BB$724:$BB$1074,$BL1276,Town!N$724:N$1074)</f>
        <v>129540</v>
      </c>
      <c r="O1276" s="63">
        <f>SUMIF(Town!$BB$724:$BB$1074,$BL1276,Town!O$724:O$1074)</f>
        <v>105443</v>
      </c>
      <c r="P1276" s="63">
        <f>SUMIF(Town!$BB$724:$BB$1074,$BL1276,Town!P$724:P$1074)</f>
        <v>107</v>
      </c>
      <c r="Q1276" s="63">
        <f>SUMIF(Town!$BB$724:$BB$1074,$BL1276,Town!Q$724:Q$1074)</f>
        <v>10180</v>
      </c>
      <c r="R1276" s="63">
        <f>SUMIF(Town!$BB$724:$BB$1074,$BL1276,Town!R$724:R$1074)</f>
        <v>3689</v>
      </c>
      <c r="S1276" s="63"/>
      <c r="T1276" s="63"/>
      <c r="U1276" s="63"/>
      <c r="V1276" s="63"/>
      <c r="W1276" s="63">
        <f>SUMIF(Town!$BB$724:$BB$1074,$BL1276,Town!W$724:W$1074)</f>
        <v>3181</v>
      </c>
      <c r="X1276" s="63"/>
      <c r="Y1276" s="63"/>
      <c r="Z1276" s="63"/>
      <c r="AA1276" s="63">
        <f>SUMIF(Town!$BB$724:$BB$1074,$BL1276,Town!AA$724:AA$1074)</f>
        <v>0</v>
      </c>
      <c r="AB1276" s="63"/>
      <c r="AC1276" s="63"/>
      <c r="AD1276" s="63"/>
      <c r="AE1276" s="63">
        <f>SUMIF(Town!$BB$724:$BB$1074,$BL1276,Town!AE$724:AE$1074)</f>
        <v>0</v>
      </c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W1276" s="5">
        <f>IF(Q1276&gt;0,RANK(Q1276,(N1276:P1276,Q1276:AE1276)),0)</f>
        <v>3</v>
      </c>
      <c r="AX1276" s="5">
        <f>IF(R1276&gt;0,RANK(R1276,(N1276:P1276,Q1276:AE1276)),0)</f>
        <v>4</v>
      </c>
      <c r="AY1276" s="5">
        <f>IF(T1276&gt;0,RANK(T1276,(N1276:P1276,Q1276:AE1276)),0)</f>
        <v>0</v>
      </c>
      <c r="AZ1276" s="5">
        <f>IF(S1276&gt;0,RANK(S1276,(N1276:P1276,Q1276:AE1276)),0)</f>
        <v>0</v>
      </c>
      <c r="BA1276" s="2">
        <f t="shared" si="539"/>
        <v>4.037439517728246E-2</v>
      </c>
      <c r="BB1276" s="2">
        <f t="shared" si="540"/>
        <v>1.4630760688506385E-2</v>
      </c>
      <c r="BC1276" s="2">
        <f t="shared" si="541"/>
        <v>0</v>
      </c>
      <c r="BD1276" s="2">
        <f t="shared" si="542"/>
        <v>0</v>
      </c>
      <c r="BF1276" t="s">
        <v>2215</v>
      </c>
      <c r="BG1276" t="s">
        <v>1320</v>
      </c>
      <c r="BJ1276" s="114">
        <v>25</v>
      </c>
      <c r="BK1276" s="116">
        <v>5</v>
      </c>
      <c r="BL1276" s="120">
        <f t="shared" si="531"/>
        <v>25005</v>
      </c>
      <c r="BN1276" s="5" t="s">
        <v>3154</v>
      </c>
      <c r="BO1276" s="63">
        <f>SUMIF(Town!$BB$724:$BB$1074,$BL1276,Town!BE$724:BE$1074)</f>
        <v>4546</v>
      </c>
      <c r="BR1276" s="63"/>
    </row>
    <row r="1277" spans="1:120" hidden="1" outlineLevel="1">
      <c r="A1277" t="s">
        <v>3032</v>
      </c>
      <c r="B1277" t="s">
        <v>1320</v>
      </c>
      <c r="C1277" s="1">
        <f t="shared" si="534"/>
        <v>11674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>IF(P1277&gt;0,RANK(P1277,(N1277:P1277,Q1277:AE1277)),0)</f>
        <v>0</v>
      </c>
      <c r="G1277" s="132">
        <f t="shared" si="507"/>
        <v>5923</v>
      </c>
      <c r="H1277" s="137">
        <f t="shared" si="508"/>
        <v>0.5073667980126777</v>
      </c>
      <c r="I1277" s="2"/>
      <c r="J1277" s="2">
        <f t="shared" si="535"/>
        <v>0.71954771286619834</v>
      </c>
      <c r="K1277" s="2">
        <f t="shared" si="536"/>
        <v>0.21218091485352064</v>
      </c>
      <c r="L1277" s="2">
        <f t="shared" si="537"/>
        <v>0</v>
      </c>
      <c r="M1277" s="2">
        <f t="shared" si="538"/>
        <v>6.8271372280281017E-2</v>
      </c>
      <c r="N1277" s="63">
        <f>SUMIF(Town!$BB$724:$BB$1074,$BL1277,Town!N$724:N$1074)</f>
        <v>8400</v>
      </c>
      <c r="O1277" s="63">
        <f>SUMIF(Town!$BB$724:$BB$1074,$BL1277,Town!O$724:O$1074)</f>
        <v>2477</v>
      </c>
      <c r="P1277" s="63">
        <f>SUMIF(Town!$BB$724:$BB$1074,$BL1277,Town!P$724:P$1074)</f>
        <v>0</v>
      </c>
      <c r="Q1277" s="63">
        <f>SUMIF(Town!$BB$724:$BB$1074,$BL1277,Town!Q$724:Q$1074)</f>
        <v>366</v>
      </c>
      <c r="R1277" s="63">
        <f>SUMIF(Town!$BB$724:$BB$1074,$BL1277,Town!R$724:R$1074)</f>
        <v>259</v>
      </c>
      <c r="S1277" s="63"/>
      <c r="T1277" s="63"/>
      <c r="U1277" s="63"/>
      <c r="V1277" s="63"/>
      <c r="W1277" s="63">
        <f>SUMIF(Town!$BB$724:$BB$1074,$BL1277,Town!W$724:W$1074)</f>
        <v>172</v>
      </c>
      <c r="X1277" s="63"/>
      <c r="Y1277" s="63"/>
      <c r="Z1277" s="63"/>
      <c r="AA1277" s="63">
        <f>SUMIF(Town!$BB$724:$BB$1074,$BL1277,Town!AA$724:AA$1074)</f>
        <v>0</v>
      </c>
      <c r="AB1277" s="63"/>
      <c r="AC1277" s="63"/>
      <c r="AD1277" s="63"/>
      <c r="AE1277" s="63">
        <f>SUMIF(Town!$BB$724:$BB$1074,$BL1277,Town!AE$724:AE$1074)</f>
        <v>0</v>
      </c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W1277" s="5">
        <f>IF(Q1277&gt;0,RANK(Q1277,(N1277:P1277,Q1277:AE1277)),0)</f>
        <v>3</v>
      </c>
      <c r="AX1277" s="5">
        <f>IF(R1277&gt;0,RANK(R1277,(N1277:P1277,Q1277:AE1277)),0)</f>
        <v>4</v>
      </c>
      <c r="AY1277" s="5">
        <f>IF(T1277&gt;0,RANK(T1277,(N1277:P1277,Q1277:AE1277)),0)</f>
        <v>0</v>
      </c>
      <c r="AZ1277" s="5">
        <f>IF(S1277&gt;0,RANK(S1277,(N1277:P1277,Q1277:AE1277)),0)</f>
        <v>0</v>
      </c>
      <c r="BA1277" s="2">
        <f t="shared" si="539"/>
        <v>3.1351721774884357E-2</v>
      </c>
      <c r="BB1277" s="2">
        <f t="shared" si="540"/>
        <v>2.2186054480041118E-2</v>
      </c>
      <c r="BC1277" s="2">
        <f t="shared" si="541"/>
        <v>0</v>
      </c>
      <c r="BD1277" s="2">
        <f t="shared" si="542"/>
        <v>0</v>
      </c>
      <c r="BF1277" t="s">
        <v>3032</v>
      </c>
      <c r="BG1277" t="s">
        <v>1320</v>
      </c>
      <c r="BH1277">
        <v>9</v>
      </c>
      <c r="BJ1277" s="114">
        <v>25</v>
      </c>
      <c r="BK1277" s="116">
        <v>7</v>
      </c>
      <c r="BL1277" s="120">
        <f t="shared" si="531"/>
        <v>25007</v>
      </c>
      <c r="BN1277" s="5" t="s">
        <v>3154</v>
      </c>
      <c r="BO1277" s="63">
        <f>SUMIF(Town!$BB$724:$BB$1074,$BL1277,Town!BE$724:BE$1074)</f>
        <v>177</v>
      </c>
      <c r="BR1277" s="63"/>
    </row>
    <row r="1278" spans="1:120" hidden="1" outlineLevel="1">
      <c r="A1278" t="s">
        <v>842</v>
      </c>
      <c r="B1278" t="s">
        <v>1320</v>
      </c>
      <c r="C1278" s="1">
        <f t="shared" si="534"/>
        <v>385370</v>
      </c>
      <c r="D1278" s="5">
        <f>IF(N1278&gt;0, RANK(N1278,(N1278:P1278,Q1278:AE1278)),0)</f>
        <v>1</v>
      </c>
      <c r="E1278" s="5">
        <f>IF(O1278&gt;0,RANK(O1278,(N1278:P1278,Q1278:AE1278)),0)</f>
        <v>2</v>
      </c>
      <c r="F1278" s="5">
        <f>IF(P1278&gt;0,RANK(P1278,(N1278:P1278,Q1278:AE1278)),0)</f>
        <v>6</v>
      </c>
      <c r="G1278" s="132">
        <f t="shared" si="507"/>
        <v>85994</v>
      </c>
      <c r="H1278" s="137">
        <f t="shared" si="508"/>
        <v>0.22314658639748813</v>
      </c>
      <c r="I1278" s="2"/>
      <c r="J1278" s="2">
        <f t="shared" si="535"/>
        <v>0.5768741728728235</v>
      </c>
      <c r="K1278" s="2">
        <f t="shared" si="536"/>
        <v>0.35372758647533536</v>
      </c>
      <c r="L1278" s="2">
        <f t="shared" si="537"/>
        <v>9.0302825855671169E-4</v>
      </c>
      <c r="M1278" s="2">
        <f t="shared" si="538"/>
        <v>6.8495212393284419E-2</v>
      </c>
      <c r="N1278" s="63">
        <f>SUMIF(Town!$BB$724:$BB$1074,$BL1278,Town!N$724:N$1074)</f>
        <v>222310</v>
      </c>
      <c r="O1278" s="63">
        <f>SUMIF(Town!$BB$724:$BB$1074,$BL1278,Town!O$724:O$1074)</f>
        <v>136316</v>
      </c>
      <c r="P1278" s="63">
        <f>SUMIF(Town!$BB$724:$BB$1074,$BL1278,Town!P$724:P$1074)</f>
        <v>348</v>
      </c>
      <c r="Q1278" s="63">
        <f>SUMIF(Town!$BB$724:$BB$1074,$BL1278,Town!Q$724:Q$1074)</f>
        <v>16215</v>
      </c>
      <c r="R1278" s="63">
        <f>SUMIF(Town!$BB$724:$BB$1074,$BL1278,Town!R$724:R$1074)</f>
        <v>4679</v>
      </c>
      <c r="S1278" s="63"/>
      <c r="T1278" s="63"/>
      <c r="U1278" s="63"/>
      <c r="V1278" s="63"/>
      <c r="W1278" s="63">
        <f>SUMIF(Town!$BB$724:$BB$1074,$BL1278,Town!W$724:W$1074)</f>
        <v>5499</v>
      </c>
      <c r="X1278" s="63"/>
      <c r="Y1278" s="63"/>
      <c r="Z1278" s="63"/>
      <c r="AA1278" s="63">
        <f>SUMIF(Town!$BB$724:$BB$1074,$BL1278,Town!AA$724:AA$1074)</f>
        <v>0</v>
      </c>
      <c r="AB1278" s="63"/>
      <c r="AC1278" s="63"/>
      <c r="AD1278" s="63"/>
      <c r="AE1278" s="63">
        <f>SUMIF(Town!$BB$724:$BB$1074,$BL1278,Town!AE$724:AE$1074)</f>
        <v>3</v>
      </c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W1278" s="5">
        <f>IF(Q1278&gt;0,RANK(Q1278,(N1278:P1278,Q1278:AE1278)),0)</f>
        <v>3</v>
      </c>
      <c r="AX1278" s="5">
        <f>IF(R1278&gt;0,RANK(R1278,(N1278:P1278,Q1278:AE1278)),0)</f>
        <v>5</v>
      </c>
      <c r="AY1278" s="5">
        <f>IF(T1278&gt;0,RANK(T1278,(N1278:P1278,Q1278:AE1278)),0)</f>
        <v>0</v>
      </c>
      <c r="AZ1278" s="5">
        <f>IF(S1278&gt;0,RANK(S1278,(N1278:P1278,Q1278:AE1278)),0)</f>
        <v>0</v>
      </c>
      <c r="BA1278" s="2">
        <f t="shared" si="539"/>
        <v>4.2076446012922646E-2</v>
      </c>
      <c r="BB1278" s="2">
        <f t="shared" si="540"/>
        <v>1.2141578223525443E-2</v>
      </c>
      <c r="BC1278" s="2">
        <f t="shared" si="541"/>
        <v>0</v>
      </c>
      <c r="BD1278" s="2">
        <f t="shared" si="542"/>
        <v>0</v>
      </c>
      <c r="BF1278" t="s">
        <v>842</v>
      </c>
      <c r="BG1278" t="s">
        <v>1320</v>
      </c>
      <c r="BJ1278" s="114">
        <v>25</v>
      </c>
      <c r="BK1278" s="116">
        <v>9</v>
      </c>
      <c r="BL1278" s="120">
        <f t="shared" si="531"/>
        <v>25009</v>
      </c>
      <c r="BN1278" s="5" t="s">
        <v>3154</v>
      </c>
      <c r="BO1278" s="63">
        <f>SUMIF(Town!$BB$724:$BB$1074,$BL1278,Town!BE$724:BE$1074)</f>
        <v>7419</v>
      </c>
      <c r="BR1278" s="63"/>
    </row>
    <row r="1279" spans="1:120" hidden="1" outlineLevel="1">
      <c r="A1279" t="s">
        <v>1138</v>
      </c>
      <c r="B1279" t="s">
        <v>1320</v>
      </c>
      <c r="C1279" s="1">
        <f t="shared" si="534"/>
        <v>38821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>IF(P1279&gt;0,RANK(P1279,(N1279:P1279,Q1279:AE1279)),0)</f>
        <v>7</v>
      </c>
      <c r="G1279" s="132">
        <f t="shared" si="507"/>
        <v>14114</v>
      </c>
      <c r="H1279" s="137">
        <f t="shared" si="508"/>
        <v>0.36356611112542181</v>
      </c>
      <c r="I1279" s="2"/>
      <c r="J1279" s="2">
        <f t="shared" si="535"/>
        <v>0.63053501970582937</v>
      </c>
      <c r="K1279" s="2">
        <f t="shared" si="536"/>
        <v>0.2669689085804075</v>
      </c>
      <c r="L1279" s="2">
        <f t="shared" si="537"/>
        <v>2.3183328610803432E-4</v>
      </c>
      <c r="M1279" s="2">
        <f t="shared" si="538"/>
        <v>0.10226423842765509</v>
      </c>
      <c r="N1279" s="63">
        <f>SUMIF(Town!$BB$724:$BB$1074,$BL1279,Town!N$724:N$1074)</f>
        <v>24478</v>
      </c>
      <c r="O1279" s="63">
        <f>SUMIF(Town!$BB$724:$BB$1074,$BL1279,Town!O$724:O$1074)</f>
        <v>10364</v>
      </c>
      <c r="P1279" s="63">
        <f>SUMIF(Town!$BB$724:$BB$1074,$BL1279,Town!P$724:P$1074)</f>
        <v>9</v>
      </c>
      <c r="Q1279" s="63">
        <f>SUMIF(Town!$BB$724:$BB$1074,$BL1279,Town!Q$724:Q$1074)</f>
        <v>1902</v>
      </c>
      <c r="R1279" s="63">
        <f>SUMIF(Town!$BB$724:$BB$1074,$BL1279,Town!R$724:R$1074)</f>
        <v>1412</v>
      </c>
      <c r="S1279" s="63"/>
      <c r="T1279" s="63"/>
      <c r="U1279" s="63"/>
      <c r="V1279" s="63"/>
      <c r="W1279" s="63">
        <f>SUMIF(Town!$BB$724:$BB$1074,$BL1279,Town!W$724:W$1074)</f>
        <v>644</v>
      </c>
      <c r="X1279" s="63"/>
      <c r="Y1279" s="63"/>
      <c r="Z1279" s="63"/>
      <c r="AA1279" s="63">
        <f>SUMIF(Town!$BB$724:$BB$1074,$BL1279,Town!AA$724:AA$1074)</f>
        <v>12</v>
      </c>
      <c r="AB1279" s="63"/>
      <c r="AC1279" s="63"/>
      <c r="AD1279" s="63"/>
      <c r="AE1279" s="63">
        <f>SUMIF(Town!$BB$724:$BB$1074,$BL1279,Town!AE$724:AE$1074)</f>
        <v>0</v>
      </c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W1279" s="5">
        <f>IF(Q1279&gt;0,RANK(Q1279,(N1279:P1279,Q1279:AE1279)),0)</f>
        <v>3</v>
      </c>
      <c r="AX1279" s="5">
        <f>IF(R1279&gt;0,RANK(R1279,(N1279:P1279,Q1279:AE1279)),0)</f>
        <v>4</v>
      </c>
      <c r="AY1279" s="5">
        <f>IF(T1279&gt;0,RANK(T1279,(N1279:P1279,Q1279:AE1279)),0)</f>
        <v>0</v>
      </c>
      <c r="AZ1279" s="5">
        <f>IF(S1279&gt;0,RANK(S1279,(N1279:P1279,Q1279:AE1279)),0)</f>
        <v>0</v>
      </c>
      <c r="BA1279" s="2">
        <f t="shared" si="539"/>
        <v>4.8994101130831254E-2</v>
      </c>
      <c r="BB1279" s="2">
        <f t="shared" si="540"/>
        <v>3.6372066664949382E-2</v>
      </c>
      <c r="BC1279" s="2">
        <f t="shared" si="541"/>
        <v>0</v>
      </c>
      <c r="BD1279" s="2">
        <f t="shared" si="542"/>
        <v>0</v>
      </c>
      <c r="BF1279" t="s">
        <v>1138</v>
      </c>
      <c r="BG1279" t="s">
        <v>1320</v>
      </c>
      <c r="BJ1279" s="114">
        <v>25</v>
      </c>
      <c r="BK1279" s="116">
        <v>11</v>
      </c>
      <c r="BL1279" s="120">
        <f t="shared" si="531"/>
        <v>25011</v>
      </c>
      <c r="BN1279" s="5" t="s">
        <v>3154</v>
      </c>
      <c r="BO1279" s="63">
        <f>SUMIF(Town!$BB$724:$BB$1074,$BL1279,Town!BE$724:BE$1074)</f>
        <v>710</v>
      </c>
      <c r="BR1279" s="63"/>
    </row>
    <row r="1280" spans="1:120" hidden="1" outlineLevel="1">
      <c r="A1280" t="s">
        <v>2852</v>
      </c>
      <c r="B1280" t="s">
        <v>1320</v>
      </c>
      <c r="C1280" s="1">
        <f t="shared" si="534"/>
        <v>206101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>IF(P1280&gt;0,RANK(P1280,(N1280:P1280,Q1280:AE1280)),0)</f>
        <v>6</v>
      </c>
      <c r="G1280" s="132">
        <f t="shared" si="507"/>
        <v>33905</v>
      </c>
      <c r="H1280" s="137">
        <f t="shared" si="508"/>
        <v>0.16450672243220557</v>
      </c>
      <c r="I1280" s="2"/>
      <c r="J1280" s="2">
        <f t="shared" si="535"/>
        <v>0.54628555902203291</v>
      </c>
      <c r="K1280" s="2">
        <f t="shared" si="536"/>
        <v>0.38177883658982731</v>
      </c>
      <c r="L1280" s="2">
        <f t="shared" si="537"/>
        <v>3.1052736279785155E-4</v>
      </c>
      <c r="M1280" s="2">
        <f t="shared" si="538"/>
        <v>7.1625077025341932E-2</v>
      </c>
      <c r="N1280" s="63">
        <f>SUMIF(Town!$BB$724:$BB$1074,$BL1280,Town!N$724:N$1074)</f>
        <v>112590</v>
      </c>
      <c r="O1280" s="63">
        <f>SUMIF(Town!$BB$724:$BB$1074,$BL1280,Town!O$724:O$1074)</f>
        <v>78685</v>
      </c>
      <c r="P1280" s="63">
        <f>SUMIF(Town!$BB$724:$BB$1074,$BL1280,Town!P$724:P$1074)</f>
        <v>64</v>
      </c>
      <c r="Q1280" s="63">
        <f>SUMIF(Town!$BB$724:$BB$1074,$BL1280,Town!Q$724:Q$1074)</f>
        <v>8322</v>
      </c>
      <c r="R1280" s="63">
        <f>SUMIF(Town!$BB$724:$BB$1074,$BL1280,Town!R$724:R$1074)</f>
        <v>3456</v>
      </c>
      <c r="S1280" s="63"/>
      <c r="T1280" s="63"/>
      <c r="U1280" s="63"/>
      <c r="V1280" s="63"/>
      <c r="W1280" s="63">
        <f>SUMIF(Town!$BB$724:$BB$1074,$BL1280,Town!W$724:W$1074)</f>
        <v>2984</v>
      </c>
      <c r="X1280" s="63"/>
      <c r="Y1280" s="63"/>
      <c r="Z1280" s="63"/>
      <c r="AA1280" s="63">
        <f>SUMIF(Town!$BB$724:$BB$1074,$BL1280,Town!AA$724:AA$1074)</f>
        <v>0</v>
      </c>
      <c r="AB1280" s="63"/>
      <c r="AC1280" s="63"/>
      <c r="AD1280" s="63"/>
      <c r="AE1280" s="63">
        <f>SUMIF(Town!$BB$724:$BB$1074,$BL1280,Town!AE$724:AE$1074)</f>
        <v>0</v>
      </c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W1280" s="5">
        <f>IF(Q1280&gt;0,RANK(Q1280,(N1280:P1280,Q1280:AE1280)),0)</f>
        <v>3</v>
      </c>
      <c r="AX1280" s="5">
        <f>IF(R1280&gt;0,RANK(R1280,(N1280:P1280,Q1280:AE1280)),0)</f>
        <v>4</v>
      </c>
      <c r="AY1280" s="5">
        <f>IF(T1280&gt;0,RANK(T1280,(N1280:P1280,Q1280:AE1280)),0)</f>
        <v>0</v>
      </c>
      <c r="AZ1280" s="5">
        <f>IF(S1280&gt;0,RANK(S1280,(N1280:P1280,Q1280:AE1280)),0)</f>
        <v>0</v>
      </c>
      <c r="BA1280" s="2">
        <f t="shared" si="539"/>
        <v>4.0378261143808131E-2</v>
      </c>
      <c r="BB1280" s="2">
        <f t="shared" si="540"/>
        <v>1.6768477591083984E-2</v>
      </c>
      <c r="BC1280" s="2">
        <f t="shared" si="541"/>
        <v>0</v>
      </c>
      <c r="BD1280" s="2">
        <f t="shared" si="542"/>
        <v>0</v>
      </c>
      <c r="BF1280" t="s">
        <v>2852</v>
      </c>
      <c r="BG1280" t="s">
        <v>1320</v>
      </c>
      <c r="BJ1280" s="114">
        <v>25</v>
      </c>
      <c r="BK1280" s="116">
        <v>13</v>
      </c>
      <c r="BL1280" s="120">
        <f t="shared" si="531"/>
        <v>25013</v>
      </c>
      <c r="BN1280" s="5" t="s">
        <v>3154</v>
      </c>
      <c r="BO1280" s="63">
        <f>SUMIF(Town!$BB$724:$BB$1074,$BL1280,Town!BE$724:BE$1074)</f>
        <v>3235</v>
      </c>
      <c r="BR1280" s="63"/>
    </row>
    <row r="1281" spans="1:83" hidden="1" outlineLevel="1">
      <c r="A1281" t="s">
        <v>2176</v>
      </c>
      <c r="B1281" t="s">
        <v>1320</v>
      </c>
      <c r="C1281" s="1">
        <f t="shared" si="534"/>
        <v>84193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>IF(P1281&gt;0,RANK(P1281,(N1281:P1281,Q1281:AE1281)),0)</f>
        <v>6</v>
      </c>
      <c r="G1281" s="132">
        <f t="shared" si="507"/>
        <v>33577</v>
      </c>
      <c r="H1281" s="137">
        <f t="shared" si="508"/>
        <v>0.39880987730571427</v>
      </c>
      <c r="I1281" s="2"/>
      <c r="J1281" s="2">
        <f t="shared" si="535"/>
        <v>0.65761999216086853</v>
      </c>
      <c r="K1281" s="2">
        <f t="shared" si="536"/>
        <v>0.25881011485515421</v>
      </c>
      <c r="L1281" s="2">
        <f t="shared" si="537"/>
        <v>5.4636371194754911E-4</v>
      </c>
      <c r="M1281" s="2">
        <f t="shared" si="538"/>
        <v>8.3023529272029717E-2</v>
      </c>
      <c r="N1281" s="63">
        <f>SUMIF(Town!$BB$724:$BB$1074,$BL1281,Town!N$724:N$1074)</f>
        <v>55367</v>
      </c>
      <c r="O1281" s="63">
        <f>SUMIF(Town!$BB$724:$BB$1074,$BL1281,Town!O$724:O$1074)</f>
        <v>21790</v>
      </c>
      <c r="P1281" s="63">
        <f>SUMIF(Town!$BB$724:$BB$1074,$BL1281,Town!P$724:P$1074)</f>
        <v>46</v>
      </c>
      <c r="Q1281" s="63">
        <f>SUMIF(Town!$BB$724:$BB$1074,$BL1281,Town!Q$724:Q$1074)</f>
        <v>3098</v>
      </c>
      <c r="R1281" s="63">
        <f>SUMIF(Town!$BB$724:$BB$1074,$BL1281,Town!R$724:R$1074)</f>
        <v>2624</v>
      </c>
      <c r="S1281" s="63"/>
      <c r="T1281" s="63"/>
      <c r="U1281" s="63"/>
      <c r="V1281" s="63"/>
      <c r="W1281" s="63">
        <f>SUMIF(Town!$BB$724:$BB$1074,$BL1281,Town!W$724:W$1074)</f>
        <v>1259</v>
      </c>
      <c r="X1281" s="63"/>
      <c r="Y1281" s="63"/>
      <c r="Z1281" s="63"/>
      <c r="AA1281" s="63">
        <f>SUMIF(Town!$BB$724:$BB$1074,$BL1281,Town!AA$724:AA$1074)</f>
        <v>1</v>
      </c>
      <c r="AB1281" s="63"/>
      <c r="AC1281" s="63"/>
      <c r="AD1281" s="63"/>
      <c r="AE1281" s="63">
        <f>SUMIF(Town!$BB$724:$BB$1074,$BL1281,Town!AE$724:AE$1074)</f>
        <v>8</v>
      </c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W1281" s="5">
        <f>IF(Q1281&gt;0,RANK(Q1281,(N1281:P1281,Q1281:AE1281)),0)</f>
        <v>3</v>
      </c>
      <c r="AX1281" s="5">
        <f>IF(R1281&gt;0,RANK(R1281,(N1281:P1281,Q1281:AE1281)),0)</f>
        <v>4</v>
      </c>
      <c r="AY1281" s="5">
        <f>IF(T1281&gt;0,RANK(T1281,(N1281:P1281,Q1281:AE1281)),0)</f>
        <v>0</v>
      </c>
      <c r="AZ1281" s="5">
        <f>IF(S1281&gt;0,RANK(S1281,(N1281:P1281,Q1281:AE1281)),0)</f>
        <v>0</v>
      </c>
      <c r="BA1281" s="2">
        <f t="shared" si="539"/>
        <v>3.6796408252467543E-2</v>
      </c>
      <c r="BB1281" s="2">
        <f t="shared" si="540"/>
        <v>3.1166486525008016E-2</v>
      </c>
      <c r="BC1281" s="2">
        <f t="shared" si="541"/>
        <v>0</v>
      </c>
      <c r="BD1281" s="2">
        <f t="shared" si="542"/>
        <v>0</v>
      </c>
      <c r="BF1281" t="s">
        <v>2176</v>
      </c>
      <c r="BG1281" t="s">
        <v>1320</v>
      </c>
      <c r="BJ1281" s="114">
        <v>25</v>
      </c>
      <c r="BK1281" s="116">
        <v>15</v>
      </c>
      <c r="BL1281" s="120">
        <f t="shared" si="531"/>
        <v>25015</v>
      </c>
      <c r="BN1281" s="5" t="s">
        <v>3154</v>
      </c>
      <c r="BO1281" s="63">
        <f>SUMIF(Town!$BB$724:$BB$1074,$BL1281,Town!BE$724:BE$1074)</f>
        <v>1431</v>
      </c>
      <c r="BR1281" s="63"/>
    </row>
    <row r="1282" spans="1:83" hidden="1" outlineLevel="1">
      <c r="A1282" t="s">
        <v>503</v>
      </c>
      <c r="B1282" t="s">
        <v>1320</v>
      </c>
      <c r="C1282" s="1">
        <f t="shared" si="534"/>
        <v>796735</v>
      </c>
      <c r="D1282" s="5">
        <f>IF(N1282&gt;0, RANK(N1282,(N1282:P1282,Q1282:AE1282)),0)</f>
        <v>1</v>
      </c>
      <c r="E1282" s="5">
        <f>IF(O1282&gt;0,RANK(O1282,(N1282:P1282,Q1282:AE1282)),0)</f>
        <v>2</v>
      </c>
      <c r="F1282" s="5">
        <f>IF(P1282&gt;0,RANK(P1282,(N1282:P1282,Q1282:AE1282)),0)</f>
        <v>6</v>
      </c>
      <c r="G1282" s="132">
        <f t="shared" si="507"/>
        <v>300567</v>
      </c>
      <c r="H1282" s="137">
        <f t="shared" si="508"/>
        <v>0.3772483950121433</v>
      </c>
      <c r="I1282" s="2"/>
      <c r="J1282" s="2">
        <f t="shared" si="535"/>
        <v>0.65311552774761994</v>
      </c>
      <c r="K1282" s="2">
        <f t="shared" si="536"/>
        <v>0.27586713273547664</v>
      </c>
      <c r="L1282" s="2">
        <f t="shared" si="537"/>
        <v>1.139651201465983E-3</v>
      </c>
      <c r="M1282" s="2">
        <f t="shared" si="538"/>
        <v>6.9877688315437433E-2</v>
      </c>
      <c r="N1282" s="63">
        <f>SUMIF(Town!$BB$724:$BB$1074,$BL1282,Town!N$724:N$1074)</f>
        <v>520360</v>
      </c>
      <c r="O1282" s="63">
        <f>SUMIF(Town!$BB$724:$BB$1074,$BL1282,Town!O$724:O$1074)</f>
        <v>219793</v>
      </c>
      <c r="P1282" s="63">
        <f>SUMIF(Town!$BB$724:$BB$1074,$BL1282,Town!P$724:P$1074)</f>
        <v>908</v>
      </c>
      <c r="Q1282" s="63">
        <f>SUMIF(Town!$BB$724:$BB$1074,$BL1282,Town!Q$724:Q$1074)</f>
        <v>32441</v>
      </c>
      <c r="R1282" s="63">
        <f>SUMIF(Town!$BB$724:$BB$1074,$BL1282,Town!R$724:R$1074)</f>
        <v>10511</v>
      </c>
      <c r="S1282" s="63"/>
      <c r="T1282" s="63"/>
      <c r="U1282" s="63"/>
      <c r="V1282" s="63"/>
      <c r="W1282" s="63">
        <f>SUMIF(Town!$BB$724:$BB$1074,$BL1282,Town!W$724:W$1074)</f>
        <v>12707</v>
      </c>
      <c r="X1282" s="63"/>
      <c r="Y1282" s="63"/>
      <c r="Z1282" s="63"/>
      <c r="AA1282" s="63">
        <f>SUMIF(Town!$BB$724:$BB$1074,$BL1282,Town!AA$724:AA$1074)</f>
        <v>0</v>
      </c>
      <c r="AB1282" s="63"/>
      <c r="AC1282" s="63"/>
      <c r="AD1282" s="63"/>
      <c r="AE1282" s="63">
        <f>SUMIF(Town!$BB$724:$BB$1074,$BL1282,Town!AE$724:AE$1074)</f>
        <v>15</v>
      </c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W1282" s="5">
        <f>IF(Q1282&gt;0,RANK(Q1282,(N1282:P1282,Q1282:AE1282)),0)</f>
        <v>3</v>
      </c>
      <c r="AX1282" s="5">
        <f>IF(R1282&gt;0,RANK(R1282,(N1282:P1282,Q1282:AE1282)),0)</f>
        <v>5</v>
      </c>
      <c r="AY1282" s="5">
        <f>IF(T1282&gt;0,RANK(T1282,(N1282:P1282,Q1282:AE1282)),0)</f>
        <v>0</v>
      </c>
      <c r="AZ1282" s="5">
        <f>IF(S1282&gt;0,RANK(S1282,(N1282:P1282,Q1282:AE1282)),0)</f>
        <v>0</v>
      </c>
      <c r="BA1282" s="2">
        <f t="shared" si="539"/>
        <v>4.0717428003037397E-2</v>
      </c>
      <c r="BB1282" s="2">
        <f t="shared" si="540"/>
        <v>1.3192592267190471E-2</v>
      </c>
      <c r="BC1282" s="2">
        <f t="shared" si="541"/>
        <v>0</v>
      </c>
      <c r="BD1282" s="2">
        <f t="shared" si="542"/>
        <v>0</v>
      </c>
      <c r="BF1282" t="s">
        <v>503</v>
      </c>
      <c r="BG1282" t="s">
        <v>1320</v>
      </c>
      <c r="BJ1282" s="114">
        <v>25</v>
      </c>
      <c r="BK1282" s="116">
        <v>17</v>
      </c>
      <c r="BL1282" s="120">
        <f t="shared" si="531"/>
        <v>25017</v>
      </c>
      <c r="BN1282" s="5" t="s">
        <v>3154</v>
      </c>
      <c r="BO1282" s="63">
        <f>SUMIF(Town!$BB$724:$BB$1074,$BL1282,Town!BE$724:BE$1074)</f>
        <v>11895</v>
      </c>
      <c r="BR1282" s="63"/>
    </row>
    <row r="1283" spans="1:83" hidden="1" outlineLevel="1">
      <c r="A1283" t="s">
        <v>3141</v>
      </c>
      <c r="B1283" t="s">
        <v>1320</v>
      </c>
      <c r="C1283" s="1">
        <f t="shared" si="534"/>
        <v>6508</v>
      </c>
      <c r="D1283" s="5">
        <f>IF(N1283&gt;0, RANK(N1283,(N1283:P1283,Q1283:AE1283)),0)</f>
        <v>1</v>
      </c>
      <c r="E1283" s="5">
        <f>IF(O1283&gt;0,RANK(O1283,(N1283:P1283,Q1283:AE1283)),0)</f>
        <v>2</v>
      </c>
      <c r="F1283" s="5">
        <f>IF(P1283&gt;0,RANK(P1283,(N1283:P1283,Q1283:AE1283)),0)</f>
        <v>0</v>
      </c>
      <c r="G1283" s="132">
        <f t="shared" si="507"/>
        <v>2254</v>
      </c>
      <c r="H1283" s="137">
        <f t="shared" si="508"/>
        <v>0.34634296250768287</v>
      </c>
      <c r="I1283" s="2"/>
      <c r="J1283" s="2">
        <f t="shared" si="535"/>
        <v>0.63706207744314691</v>
      </c>
      <c r="K1283" s="2">
        <f t="shared" si="536"/>
        <v>0.29071911493546404</v>
      </c>
      <c r="L1283" s="2">
        <f t="shared" si="537"/>
        <v>0</v>
      </c>
      <c r="M1283" s="2">
        <f t="shared" si="538"/>
        <v>7.2218807621389047E-2</v>
      </c>
      <c r="N1283" s="63">
        <f>SUMIF(Town!$BB$724:$BB$1074,$BL1283,Town!N$724:N$1074)</f>
        <v>4146</v>
      </c>
      <c r="O1283" s="63">
        <f>SUMIF(Town!$BB$724:$BB$1074,$BL1283,Town!O$724:O$1074)</f>
        <v>1892</v>
      </c>
      <c r="P1283" s="63">
        <f>SUMIF(Town!$BB$724:$BB$1074,$BL1283,Town!P$724:P$1074)</f>
        <v>0</v>
      </c>
      <c r="Q1283" s="63">
        <f>SUMIF(Town!$BB$724:$BB$1074,$BL1283,Town!Q$724:Q$1074)</f>
        <v>260</v>
      </c>
      <c r="R1283" s="63">
        <f>SUMIF(Town!$BB$724:$BB$1074,$BL1283,Town!R$724:R$1074)</f>
        <v>108</v>
      </c>
      <c r="S1283" s="63"/>
      <c r="T1283" s="63"/>
      <c r="U1283" s="63"/>
      <c r="V1283" s="63"/>
      <c r="W1283" s="63">
        <f>SUMIF(Town!$BB$724:$BB$1074,$BL1283,Town!W$724:W$1074)</f>
        <v>102</v>
      </c>
      <c r="X1283" s="63"/>
      <c r="Y1283" s="63"/>
      <c r="Z1283" s="63"/>
      <c r="AA1283" s="63">
        <f>SUMIF(Town!$BB$724:$BB$1074,$BL1283,Town!AA$724:AA$1074)</f>
        <v>0</v>
      </c>
      <c r="AB1283" s="63"/>
      <c r="AC1283" s="63"/>
      <c r="AD1283" s="63"/>
      <c r="AE1283" s="63">
        <f>SUMIF(Town!$BB$724:$BB$1074,$BL1283,Town!AE$724:AE$1074)</f>
        <v>0</v>
      </c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W1283" s="5">
        <f>IF(Q1283&gt;0,RANK(Q1283,(N1283:P1283,Q1283:AE1283)),0)</f>
        <v>3</v>
      </c>
      <c r="AX1283" s="5">
        <f>IF(R1283&gt;0,RANK(R1283,(N1283:P1283,Q1283:AE1283)),0)</f>
        <v>4</v>
      </c>
      <c r="AY1283" s="5">
        <f>IF(T1283&gt;0,RANK(T1283,(N1283:P1283,Q1283:AE1283)),0)</f>
        <v>0</v>
      </c>
      <c r="AZ1283" s="5">
        <f>IF(S1283&gt;0,RANK(S1283,(N1283:P1283,Q1283:AE1283)),0)</f>
        <v>0</v>
      </c>
      <c r="BA1283" s="2">
        <f t="shared" si="539"/>
        <v>3.9950829748002459E-2</v>
      </c>
      <c r="BB1283" s="2">
        <f t="shared" si="540"/>
        <v>1.6594960049170254E-2</v>
      </c>
      <c r="BC1283" s="2">
        <f t="shared" si="541"/>
        <v>0</v>
      </c>
      <c r="BD1283" s="2">
        <f t="shared" si="542"/>
        <v>0</v>
      </c>
      <c r="BF1283" t="s">
        <v>3141</v>
      </c>
      <c r="BG1283" t="s">
        <v>1320</v>
      </c>
      <c r="BH1283">
        <v>9</v>
      </c>
      <c r="BJ1283" s="114">
        <v>25</v>
      </c>
      <c r="BK1283" s="116">
        <v>19</v>
      </c>
      <c r="BL1283" s="120">
        <f t="shared" si="531"/>
        <v>25019</v>
      </c>
      <c r="BN1283" s="5" t="s">
        <v>3154</v>
      </c>
      <c r="BO1283" s="63">
        <f>SUMIF(Town!$BB$724:$BB$1074,$BL1283,Town!BE$724:BE$1074)</f>
        <v>75</v>
      </c>
      <c r="BR1283" s="63"/>
    </row>
    <row r="1284" spans="1:83" hidden="1" outlineLevel="1">
      <c r="A1284" t="s">
        <v>753</v>
      </c>
      <c r="B1284" t="s">
        <v>1320</v>
      </c>
      <c r="C1284" s="1">
        <f t="shared" si="534"/>
        <v>367695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>IF(P1284&gt;0,RANK(P1284,(N1284:P1284,Q1284:AE1284)),0)</f>
        <v>6</v>
      </c>
      <c r="G1284" s="132">
        <f t="shared" si="507"/>
        <v>102096</v>
      </c>
      <c r="H1284" s="137">
        <f t="shared" si="508"/>
        <v>0.27766491249541059</v>
      </c>
      <c r="I1284" s="2"/>
      <c r="J1284" s="2">
        <f t="shared" si="535"/>
        <v>0.60326901372061081</v>
      </c>
      <c r="K1284" s="2">
        <f t="shared" si="536"/>
        <v>0.32560410122520023</v>
      </c>
      <c r="L1284" s="2">
        <f t="shared" si="537"/>
        <v>9.8723126504303839E-4</v>
      </c>
      <c r="M1284" s="2">
        <f t="shared" si="538"/>
        <v>7.0139653789145925E-2</v>
      </c>
      <c r="N1284" s="63">
        <f>SUMIF(Town!$BB$724:$BB$1074,$BL1284,Town!N$724:N$1074)</f>
        <v>221819</v>
      </c>
      <c r="O1284" s="63">
        <f>SUMIF(Town!$BB$724:$BB$1074,$BL1284,Town!O$724:O$1074)</f>
        <v>119723</v>
      </c>
      <c r="P1284" s="63">
        <f>SUMIF(Town!$BB$724:$BB$1074,$BL1284,Town!P$724:P$1074)</f>
        <v>363</v>
      </c>
      <c r="Q1284" s="63">
        <f>SUMIF(Town!$BB$724:$BB$1074,$BL1284,Town!Q$724:Q$1074)</f>
        <v>15606</v>
      </c>
      <c r="R1284" s="63">
        <f>SUMIF(Town!$BB$724:$BB$1074,$BL1284,Town!R$724:R$1074)</f>
        <v>4051</v>
      </c>
      <c r="S1284" s="63"/>
      <c r="T1284" s="63"/>
      <c r="U1284" s="63"/>
      <c r="V1284" s="63"/>
      <c r="W1284" s="63">
        <f>SUMIF(Town!$BB$724:$BB$1074,$BL1284,Town!W$724:W$1074)</f>
        <v>6133</v>
      </c>
      <c r="X1284" s="63"/>
      <c r="Y1284" s="63"/>
      <c r="Z1284" s="63"/>
      <c r="AA1284" s="63">
        <f>SUMIF(Town!$BB$724:$BB$1074,$BL1284,Town!AA$724:AA$1074)</f>
        <v>0</v>
      </c>
      <c r="AB1284" s="63"/>
      <c r="AC1284" s="63"/>
      <c r="AD1284" s="63"/>
      <c r="AE1284" s="63">
        <f>SUMIF(Town!$BB$724:$BB$1074,$BL1284,Town!AE$724:AE$1074)</f>
        <v>0</v>
      </c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W1284" s="5">
        <f>IF(Q1284&gt;0,RANK(Q1284,(N1284:P1284,Q1284:AE1284)),0)</f>
        <v>3</v>
      </c>
      <c r="AX1284" s="5">
        <f>IF(R1284&gt;0,RANK(R1284,(N1284:P1284,Q1284:AE1284)),0)</f>
        <v>5</v>
      </c>
      <c r="AY1284" s="5">
        <f>IF(T1284&gt;0,RANK(T1284,(N1284:P1284,Q1284:AE1284)),0)</f>
        <v>0</v>
      </c>
      <c r="AZ1284" s="5">
        <f>IF(S1284&gt;0,RANK(S1284,(N1284:P1284,Q1284:AE1284)),0)</f>
        <v>0</v>
      </c>
      <c r="BA1284" s="2">
        <f t="shared" si="539"/>
        <v>4.2442785460775914E-2</v>
      </c>
      <c r="BB1284" s="2">
        <f t="shared" si="540"/>
        <v>1.1017283346251648E-2</v>
      </c>
      <c r="BC1284" s="2">
        <f t="shared" si="541"/>
        <v>0</v>
      </c>
      <c r="BD1284" s="2">
        <f t="shared" si="542"/>
        <v>0</v>
      </c>
      <c r="BF1284" t="s">
        <v>753</v>
      </c>
      <c r="BG1284" t="s">
        <v>1320</v>
      </c>
      <c r="BJ1284" s="114">
        <v>25</v>
      </c>
      <c r="BK1284" s="116">
        <v>21</v>
      </c>
      <c r="BL1284" s="120">
        <f t="shared" si="531"/>
        <v>25021</v>
      </c>
      <c r="BN1284" s="5" t="s">
        <v>3154</v>
      </c>
      <c r="BO1284" s="63">
        <f>SUMIF(Town!$BB$724:$BB$1074,$BL1284,Town!BE$724:BE$1074)</f>
        <v>6847</v>
      </c>
      <c r="BR1284" s="63"/>
    </row>
    <row r="1285" spans="1:83" hidden="1" outlineLevel="1">
      <c r="A1285" t="s">
        <v>231</v>
      </c>
      <c r="B1285" t="s">
        <v>1320</v>
      </c>
      <c r="C1285" s="1">
        <f t="shared" si="534"/>
        <v>271177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>IF(P1285&gt;0,RANK(P1285,(N1285:P1285,Q1285:AE1285)),0)</f>
        <v>6</v>
      </c>
      <c r="G1285" s="132">
        <f t="shared" si="507"/>
        <v>20144</v>
      </c>
      <c r="H1285" s="137">
        <f t="shared" si="508"/>
        <v>7.4283585997337531E-2</v>
      </c>
      <c r="I1285" s="2"/>
      <c r="J1285" s="2">
        <f t="shared" si="535"/>
        <v>0.499721584057645</v>
      </c>
      <c r="K1285" s="2">
        <f t="shared" si="536"/>
        <v>0.42543799806030747</v>
      </c>
      <c r="L1285" s="2">
        <f t="shared" si="537"/>
        <v>8.6659266825726367E-4</v>
      </c>
      <c r="M1285" s="2">
        <f t="shared" si="538"/>
        <v>7.397382521379027E-2</v>
      </c>
      <c r="N1285" s="63">
        <f>SUMIF(Town!$BB$724:$BB$1074,$BL1285,Town!N$724:N$1074)</f>
        <v>135513</v>
      </c>
      <c r="O1285" s="63">
        <f>SUMIF(Town!$BB$724:$BB$1074,$BL1285,Town!O$724:O$1074)</f>
        <v>115369</v>
      </c>
      <c r="P1285" s="63">
        <f>SUMIF(Town!$BB$724:$BB$1074,$BL1285,Town!P$724:P$1074)</f>
        <v>235</v>
      </c>
      <c r="Q1285" s="63">
        <f>SUMIF(Town!$BB$724:$BB$1074,$BL1285,Town!Q$724:Q$1074)</f>
        <v>12542</v>
      </c>
      <c r="R1285" s="63">
        <f>SUMIF(Town!$BB$724:$BB$1074,$BL1285,Town!R$724:R$1074)</f>
        <v>3203</v>
      </c>
      <c r="S1285" s="63"/>
      <c r="T1285" s="63"/>
      <c r="U1285" s="63"/>
      <c r="V1285" s="63"/>
      <c r="W1285" s="63">
        <f>SUMIF(Town!$BB$724:$BB$1074,$BL1285,Town!W$724:W$1074)</f>
        <v>4314</v>
      </c>
      <c r="X1285" s="63"/>
      <c r="Y1285" s="63"/>
      <c r="Z1285" s="63"/>
      <c r="AA1285" s="63">
        <f>SUMIF(Town!$BB$724:$BB$1074,$BL1285,Town!AA$724:AA$1074)</f>
        <v>0</v>
      </c>
      <c r="AB1285" s="63"/>
      <c r="AC1285" s="63"/>
      <c r="AD1285" s="63"/>
      <c r="AE1285" s="63">
        <f>SUMIF(Town!$BB$724:$BB$1074,$BL1285,Town!AE$724:AE$1074)</f>
        <v>1</v>
      </c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W1285" s="5">
        <f>IF(Q1285&gt;0,RANK(Q1285,(N1285:P1285,Q1285:AE1285)),0)</f>
        <v>3</v>
      </c>
      <c r="AX1285" s="5">
        <f>IF(R1285&gt;0,RANK(R1285,(N1285:P1285,Q1285:AE1285)),0)</f>
        <v>5</v>
      </c>
      <c r="AY1285" s="5">
        <f>IF(T1285&gt;0,RANK(T1285,(N1285:P1285,Q1285:AE1285)),0)</f>
        <v>0</v>
      </c>
      <c r="AZ1285" s="5">
        <f>IF(S1285&gt;0,RANK(S1285,(N1285:P1285,Q1285:AE1285)),0)</f>
        <v>0</v>
      </c>
      <c r="BA1285" s="2">
        <f t="shared" si="539"/>
        <v>4.625023508630894E-2</v>
      </c>
      <c r="BB1285" s="2">
        <f t="shared" si="540"/>
        <v>1.1811473686927726E-2</v>
      </c>
      <c r="BC1285" s="2">
        <f t="shared" si="541"/>
        <v>0</v>
      </c>
      <c r="BD1285" s="2">
        <f t="shared" si="542"/>
        <v>0</v>
      </c>
      <c r="BF1285" t="s">
        <v>231</v>
      </c>
      <c r="BG1285" t="s">
        <v>1320</v>
      </c>
      <c r="BJ1285" s="114">
        <v>25</v>
      </c>
      <c r="BK1285" s="116">
        <v>23</v>
      </c>
      <c r="BL1285" s="120">
        <f t="shared" si="531"/>
        <v>25023</v>
      </c>
      <c r="BN1285" s="5" t="s">
        <v>3154</v>
      </c>
      <c r="BO1285" s="63">
        <f>SUMIF(Town!$BB$724:$BB$1074,$BL1285,Town!BE$724:BE$1074)</f>
        <v>4329</v>
      </c>
      <c r="BR1285" s="63"/>
    </row>
    <row r="1286" spans="1:83" hidden="1" outlineLevel="1">
      <c r="A1286" t="s">
        <v>1468</v>
      </c>
      <c r="B1286" t="s">
        <v>1320</v>
      </c>
      <c r="C1286" s="1">
        <f t="shared" si="534"/>
        <v>313283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>IF(P1286&gt;0,RANK(P1286,(N1286:P1286,Q1286:AE1286)),0)</f>
        <v>6</v>
      </c>
      <c r="G1286" s="132">
        <f t="shared" si="507"/>
        <v>195330</v>
      </c>
      <c r="H1286" s="137">
        <f t="shared" si="508"/>
        <v>0.62349377399986594</v>
      </c>
      <c r="I1286" s="2"/>
      <c r="J1286" s="2">
        <f t="shared" si="535"/>
        <v>0.78443771286664132</v>
      </c>
      <c r="K1286" s="2">
        <f t="shared" si="536"/>
        <v>0.16094393886677541</v>
      </c>
      <c r="L1286" s="2">
        <f t="shared" si="537"/>
        <v>3.383522246658772E-4</v>
      </c>
      <c r="M1286" s="2">
        <f t="shared" si="538"/>
        <v>5.427999604191739E-2</v>
      </c>
      <c r="N1286" s="63">
        <f>SUMIF(Town!$BB$724:$BB$1074,$BL1286,Town!N$724:N$1074)</f>
        <v>245751</v>
      </c>
      <c r="O1286" s="63">
        <f>SUMIF(Town!$BB$724:$BB$1074,$BL1286,Town!O$724:O$1074)</f>
        <v>50421</v>
      </c>
      <c r="P1286" s="63">
        <f>SUMIF(Town!$BB$724:$BB$1074,$BL1286,Town!P$724:P$1074)</f>
        <v>106</v>
      </c>
      <c r="Q1286" s="63">
        <f>SUMIF(Town!$BB$724:$BB$1074,$BL1286,Town!Q$724:Q$1074)</f>
        <v>7996</v>
      </c>
      <c r="R1286" s="63">
        <f>SUMIF(Town!$BB$724:$BB$1074,$BL1286,Town!R$724:R$1074)</f>
        <v>4465</v>
      </c>
      <c r="S1286" s="63"/>
      <c r="T1286" s="63"/>
      <c r="U1286" s="63"/>
      <c r="V1286" s="63"/>
      <c r="W1286" s="63">
        <f>SUMIF(Town!$BB$724:$BB$1074,$BL1286,Town!W$724:W$1074)</f>
        <v>4542</v>
      </c>
      <c r="X1286" s="63"/>
      <c r="Y1286" s="63"/>
      <c r="Z1286" s="63"/>
      <c r="AA1286" s="63">
        <f>SUMIF(Town!$BB$724:$BB$1074,$BL1286,Town!AA$724:AA$1074)</f>
        <v>2</v>
      </c>
      <c r="AB1286" s="63"/>
      <c r="AC1286" s="63"/>
      <c r="AD1286" s="63"/>
      <c r="AE1286" s="63">
        <f>SUMIF(Town!$BB$724:$BB$1074,$BL1286,Town!AE$724:AE$1074)</f>
        <v>0</v>
      </c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W1286" s="5">
        <f>IF(Q1286&gt;0,RANK(Q1286,(N1286:P1286,Q1286:AE1286)),0)</f>
        <v>3</v>
      </c>
      <c r="AX1286" s="5">
        <f>IF(R1286&gt;0,RANK(R1286,(N1286:P1286,Q1286:AE1286)),0)</f>
        <v>5</v>
      </c>
      <c r="AY1286" s="5">
        <f>IF(T1286&gt;0,RANK(T1286,(N1286:P1286,Q1286:AE1286)),0)</f>
        <v>0</v>
      </c>
      <c r="AZ1286" s="5">
        <f>IF(S1286&gt;0,RANK(S1286,(N1286:P1286,Q1286:AE1286)),0)</f>
        <v>0</v>
      </c>
      <c r="BA1286" s="2">
        <f t="shared" si="539"/>
        <v>2.5523248947437301E-2</v>
      </c>
      <c r="BB1286" s="2">
        <f t="shared" si="540"/>
        <v>1.4252289463520204E-2</v>
      </c>
      <c r="BC1286" s="2">
        <f t="shared" si="541"/>
        <v>0</v>
      </c>
      <c r="BD1286" s="2">
        <f t="shared" si="542"/>
        <v>0</v>
      </c>
      <c r="BF1286" t="s">
        <v>1468</v>
      </c>
      <c r="BG1286" t="s">
        <v>1320</v>
      </c>
      <c r="BJ1286" s="114">
        <v>25</v>
      </c>
      <c r="BK1286" s="116">
        <v>25</v>
      </c>
      <c r="BL1286" s="120">
        <f t="shared" si="531"/>
        <v>25025</v>
      </c>
      <c r="BN1286" s="5" t="s">
        <v>3154</v>
      </c>
      <c r="BO1286" s="63">
        <f>SUMIF(Town!$BB$724:$BB$1074,$BL1286,Town!BE$724:BE$1074)</f>
        <v>3924</v>
      </c>
      <c r="BR1286" s="63"/>
    </row>
    <row r="1287" spans="1:83" hidden="1" outlineLevel="1">
      <c r="A1287" t="s">
        <v>1774</v>
      </c>
      <c r="B1287" t="s">
        <v>1320</v>
      </c>
      <c r="C1287" s="1">
        <f t="shared" si="534"/>
        <v>389951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>IF(P1287&gt;0,RANK(P1287,(N1287:P1287,Q1287:AE1287)),0)</f>
        <v>6</v>
      </c>
      <c r="G1287" s="132">
        <f t="shared" si="507"/>
        <v>41096</v>
      </c>
      <c r="H1287" s="137">
        <f t="shared" si="508"/>
        <v>0.10538759998051037</v>
      </c>
      <c r="I1287" s="2"/>
      <c r="J1287" s="2">
        <f t="shared" si="535"/>
        <v>0.50975122515392957</v>
      </c>
      <c r="K1287" s="2">
        <f t="shared" si="536"/>
        <v>0.40436362517341923</v>
      </c>
      <c r="L1287" s="2">
        <f t="shared" si="537"/>
        <v>9.9499680729117244E-4</v>
      </c>
      <c r="M1287" s="2">
        <f t="shared" si="538"/>
        <v>8.489015286536003E-2</v>
      </c>
      <c r="N1287" s="63">
        <f>SUMIF(Town!$BB$724:$BB$1074,$BL1287,Town!N$724:N$1074)</f>
        <v>198778</v>
      </c>
      <c r="O1287" s="63">
        <f>SUMIF(Town!$BB$724:$BB$1074,$BL1287,Town!O$724:O$1074)</f>
        <v>157682</v>
      </c>
      <c r="P1287" s="63">
        <f>SUMIF(Town!$BB$724:$BB$1074,$BL1287,Town!P$724:P$1074)</f>
        <v>388</v>
      </c>
      <c r="Q1287" s="63">
        <f>SUMIF(Town!$BB$724:$BB$1074,$BL1287,Town!Q$724:Q$1074)</f>
        <v>21198</v>
      </c>
      <c r="R1287" s="63">
        <f>SUMIF(Town!$BB$724:$BB$1074,$BL1287,Town!R$724:R$1074)</f>
        <v>5658</v>
      </c>
      <c r="S1287" s="63"/>
      <c r="T1287" s="63"/>
      <c r="U1287" s="63"/>
      <c r="V1287" s="63"/>
      <c r="W1287" s="63">
        <f>SUMIF(Town!$BB$724:$BB$1074,$BL1287,Town!W$724:W$1074)</f>
        <v>6246</v>
      </c>
      <c r="X1287" s="63"/>
      <c r="Y1287" s="63"/>
      <c r="Z1287" s="63"/>
      <c r="AA1287" s="63">
        <f>SUMIF(Town!$BB$724:$BB$1074,$BL1287,Town!AA$724:AA$1074)</f>
        <v>0</v>
      </c>
      <c r="AB1287" s="63"/>
      <c r="AC1287" s="63"/>
      <c r="AD1287" s="63"/>
      <c r="AE1287" s="63">
        <f>SUMIF(Town!$BB$724:$BB$1074,$BL1287,Town!AE$724:AE$1074)</f>
        <v>1</v>
      </c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W1287" s="5">
        <f>IF(Q1287&gt;0,RANK(Q1287,(N1287:P1287,Q1287:AE1287)),0)</f>
        <v>3</v>
      </c>
      <c r="AX1287" s="5">
        <f>IF(R1287&gt;0,RANK(R1287,(N1287:P1287,Q1287:AE1287)),0)</f>
        <v>5</v>
      </c>
      <c r="AY1287" s="5">
        <f>IF(T1287&gt;0,RANK(T1287,(N1287:P1287,Q1287:AE1287)),0)</f>
        <v>0</v>
      </c>
      <c r="AZ1287" s="5">
        <f>IF(S1287&gt;0,RANK(S1287,(N1287:P1287,Q1287:AE1287)),0)</f>
        <v>0</v>
      </c>
      <c r="BA1287" s="2">
        <f t="shared" si="539"/>
        <v>5.4360676084944007E-2</v>
      </c>
      <c r="BB1287" s="2">
        <f t="shared" si="540"/>
        <v>1.4509515298075912E-2</v>
      </c>
      <c r="BC1287" s="2">
        <f t="shared" si="541"/>
        <v>0</v>
      </c>
      <c r="BD1287" s="2">
        <f t="shared" si="542"/>
        <v>0</v>
      </c>
      <c r="BF1287" t="s">
        <v>1774</v>
      </c>
      <c r="BG1287" t="s">
        <v>1320</v>
      </c>
      <c r="BJ1287" s="114">
        <v>25</v>
      </c>
      <c r="BK1287" s="116">
        <v>27</v>
      </c>
      <c r="BL1287" s="120">
        <f t="shared" si="531"/>
        <v>25027</v>
      </c>
      <c r="BN1287" s="5" t="s">
        <v>3154</v>
      </c>
      <c r="BO1287" s="63">
        <f>SUMIF(Town!$BB$724:$BB$1074,$BL1287,Town!BE$724:BE$1074)</f>
        <v>6145</v>
      </c>
      <c r="BR1287" s="63"/>
    </row>
    <row r="1288" spans="1:83" collapsed="1">
      <c r="A1288" t="s">
        <v>2478</v>
      </c>
      <c r="B1288" t="s">
        <v>544</v>
      </c>
      <c r="C1288" s="1">
        <f t="shared" si="534"/>
        <v>3325046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>IF(P1288&gt;0,RANK(P1288,(N1288:P1288,Q1288:AE1288)),0)</f>
        <v>6</v>
      </c>
      <c r="G1288" s="132">
        <f t="shared" ref="G1288:G1351" si="543">IF(C1288&gt;0,MAX(N1288:P1288)-LARGE(N1288:P1288,2),0)</f>
        <v>904303</v>
      </c>
      <c r="H1288" s="137">
        <f t="shared" ref="H1288:H1351" si="544">IF(C1288&gt;0,G1288/C1288,0)</f>
        <v>0.27196706451579916</v>
      </c>
      <c r="I1288" s="2"/>
      <c r="J1288" s="2">
        <f t="shared" si="535"/>
        <v>0.60005064591587609</v>
      </c>
      <c r="K1288" s="2">
        <f t="shared" si="536"/>
        <v>0.32808358140007687</v>
      </c>
      <c r="L1288" s="2">
        <f t="shared" si="537"/>
        <v>8.1773304790369822E-4</v>
      </c>
      <c r="M1288" s="2">
        <f t="shared" si="538"/>
        <v>7.104803963614334E-2</v>
      </c>
      <c r="N1288" s="63">
        <f>SUM(N1274:N1287)</f>
        <v>1995196</v>
      </c>
      <c r="O1288" s="63">
        <f>SUM(O1274:O1287)</f>
        <v>1090893</v>
      </c>
      <c r="P1288" s="63">
        <f>SUM(P1274:P1287)</f>
        <v>2719</v>
      </c>
      <c r="Q1288" s="63">
        <f>SUM(Q1274:Q1287)</f>
        <v>138018</v>
      </c>
      <c r="R1288" s="63">
        <f>SUM(R1274:R1287)</f>
        <v>47661</v>
      </c>
      <c r="S1288" s="63"/>
      <c r="T1288" s="63"/>
      <c r="U1288" s="63"/>
      <c r="V1288" s="63"/>
      <c r="W1288" s="63">
        <f>SUM(W1274:W1287)</f>
        <v>50516</v>
      </c>
      <c r="X1288" s="63"/>
      <c r="Y1288" s="63"/>
      <c r="Z1288" s="63"/>
      <c r="AA1288" s="63">
        <f>SUM(AA1274:AA1287)</f>
        <v>15</v>
      </c>
      <c r="AB1288" s="63"/>
      <c r="AC1288" s="63"/>
      <c r="AD1288" s="63"/>
      <c r="AE1288" s="63">
        <f>SUM(AE1274:AE1287)</f>
        <v>28</v>
      </c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W1288" s="5">
        <f>IF(Q1288&gt;0,RANK(Q1288,(N1288:P1288,Q1288:AE1288)),0)</f>
        <v>3</v>
      </c>
      <c r="AX1288" s="5">
        <f>IF(R1288&gt;0,RANK(R1288,(N1288:P1288,Q1288:AE1288)),0)</f>
        <v>5</v>
      </c>
      <c r="AY1288" s="5">
        <f>IF(T1288&gt;0,RANK(T1288,(N1288:P1288,Q1288:AE1288)),0)</f>
        <v>0</v>
      </c>
      <c r="AZ1288" s="5">
        <f>IF(S1288&gt;0,RANK(S1288,(N1288:P1288,Q1288:AE1288)),0)</f>
        <v>0</v>
      </c>
      <c r="BA1288" s="2">
        <f t="shared" si="539"/>
        <v>4.1508598678033325E-2</v>
      </c>
      <c r="BB1288" s="2">
        <f t="shared" si="540"/>
        <v>1.4333937034254564E-2</v>
      </c>
      <c r="BC1288" s="2">
        <f t="shared" si="541"/>
        <v>0</v>
      </c>
      <c r="BD1288" s="2">
        <f t="shared" si="542"/>
        <v>0</v>
      </c>
      <c r="BF1288" t="s">
        <v>2478</v>
      </c>
      <c r="BG1288" t="s">
        <v>544</v>
      </c>
      <c r="BJ1288" s="114">
        <v>25</v>
      </c>
      <c r="BK1288" s="116"/>
      <c r="BL1288" s="114">
        <v>25</v>
      </c>
      <c r="BN1288" s="5" t="s">
        <v>711</v>
      </c>
      <c r="BO1288" s="63">
        <f>SUM(BO1274:BO1287)</f>
        <v>53755</v>
      </c>
      <c r="BR1288" s="63"/>
    </row>
    <row r="1289" spans="1:83">
      <c r="C1289" s="1"/>
      <c r="E1289" s="5"/>
      <c r="F1289" s="5"/>
      <c r="G1289" s="132"/>
      <c r="H1289" s="137"/>
      <c r="I1289" s="2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132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W1289" s="5"/>
      <c r="AX1289" s="5"/>
      <c r="AY1289" s="5"/>
      <c r="AZ1289" s="5"/>
      <c r="BJ1289" s="114"/>
      <c r="BK1289" s="116"/>
      <c r="BL1289" s="120"/>
      <c r="CA1289" s="132"/>
      <c r="CB1289" s="132"/>
      <c r="CC1289" s="132"/>
      <c r="CD1289" s="132" t="s">
        <v>3515</v>
      </c>
      <c r="CE1289" s="132" t="s">
        <v>3510</v>
      </c>
    </row>
    <row r="1290" spans="1:83" ht="13" hidden="1" customHeight="1" outlineLevel="1">
      <c r="A1290" t="s">
        <v>300</v>
      </c>
      <c r="B1290" t="s">
        <v>3114</v>
      </c>
      <c r="C1290" s="1">
        <f t="shared" ref="C1290:C1321" si="545">SUM(N1290:AU1290)</f>
        <v>6198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6</v>
      </c>
      <c r="G1290" s="132">
        <f t="shared" si="543"/>
        <v>2469</v>
      </c>
      <c r="H1290" s="137">
        <f t="shared" si="544"/>
        <v>0.3983543078412391</v>
      </c>
      <c r="I1290" s="2"/>
      <c r="J1290" s="2">
        <f t="shared" ref="J1290:J1321" si="546">IF($C1290=0,"-",N1290/$C1290)</f>
        <v>0.27944498225233949</v>
      </c>
      <c r="K1290" s="2">
        <f t="shared" ref="K1290:K1321" si="547">IF($C1290=0,"-",O1290/$C1290)</f>
        <v>0.67779929009357853</v>
      </c>
      <c r="L1290" s="2">
        <f t="shared" ref="L1290:L1321" si="548">IF($C1290=0,"-",P1290/$C1290)</f>
        <v>4.8402710551790902E-4</v>
      </c>
      <c r="M1290" s="2">
        <f t="shared" ref="M1290:M1321" si="549">IF(C1290=0,"-",(1-J1290-K1290-L1290))</f>
        <v>4.2271700548564065E-2</v>
      </c>
      <c r="N1290" s="63">
        <v>1732</v>
      </c>
      <c r="O1290" s="63">
        <v>4201</v>
      </c>
      <c r="P1290" s="63">
        <v>3</v>
      </c>
      <c r="Q1290" s="63">
        <v>164</v>
      </c>
      <c r="R1290" s="63">
        <v>54</v>
      </c>
      <c r="S1290" s="63">
        <v>28</v>
      </c>
      <c r="T1290" s="63"/>
      <c r="U1290" s="63">
        <v>0</v>
      </c>
      <c r="V1290" s="63"/>
      <c r="W1290" s="63">
        <f>IF(Copyright!B$11=1,IF(CA1290&gt;0,CA1290-P1290-SUM(V1290)-SUM(Y1290:AG1290)-SUM(AH1290:AQ1290),SUM(CC1290:CJ1290)),SUM(CC1290:CJ1290))</f>
        <v>0</v>
      </c>
      <c r="X1290" s="63"/>
      <c r="Y1290" s="63">
        <v>0</v>
      </c>
      <c r="Z1290" s="63"/>
      <c r="AA1290" s="63">
        <v>0</v>
      </c>
      <c r="AB1290" s="63"/>
      <c r="AC1290" s="63"/>
      <c r="AD1290" s="63"/>
      <c r="AE1290" s="63">
        <v>0</v>
      </c>
      <c r="AF1290" s="63"/>
      <c r="AG1290" s="63"/>
      <c r="AH1290" s="63"/>
      <c r="AI1290" s="63"/>
      <c r="AJ1290" s="63"/>
      <c r="AK1290" s="63"/>
      <c r="AL1290" s="63"/>
      <c r="AM1290" s="63"/>
      <c r="AN1290" s="63">
        <v>16</v>
      </c>
      <c r="AO1290" s="63"/>
      <c r="AP1290" s="63"/>
      <c r="AQ1290" s="63"/>
      <c r="AR1290" s="63"/>
      <c r="AS1290" s="63"/>
      <c r="AT1290" s="63"/>
      <c r="AU1290" s="63"/>
      <c r="AW1290" s="5">
        <f>IF(Q1290&gt;0,RANK(Q1290,(N1290:P1290,Q1290:AE1290)),0)</f>
        <v>3</v>
      </c>
      <c r="AX1290" s="5">
        <f>IF(R1290&gt;0,RANK(R1290,(N1290:P1290,Q1290:AE1290)),0)</f>
        <v>4</v>
      </c>
      <c r="AY1290" s="5">
        <f>IF(T1290&gt;0,RANK(T1290,(N1290:P1290,Q1290:AE1290)),0)</f>
        <v>0</v>
      </c>
      <c r="AZ1290" s="5">
        <f>IF(S1290&gt;0,RANK(S1290,(N1290:P1290,Q1290:AE1290)),0)</f>
        <v>5</v>
      </c>
      <c r="BA1290" s="2">
        <f t="shared" ref="BA1290:BA1321" si="550">IF($C1290=0,"-",Q1290/$C1290)</f>
        <v>2.6460148434979024E-2</v>
      </c>
      <c r="BB1290" s="2">
        <f t="shared" ref="BB1290:BB1321" si="551">IF($C1290=0,"-",R1290/$C1290)</f>
        <v>8.7124878993223628E-3</v>
      </c>
      <c r="BC1290" s="2">
        <f t="shared" ref="BC1290:BC1321" si="552">IF($C1290=0,"-",T1290/$C1290)</f>
        <v>0</v>
      </c>
      <c r="BD1290" s="2">
        <f t="shared" ref="BD1290:BD1321" si="553">IF($C1290=0,"-",S1290/$C1290)</f>
        <v>4.5175863181671503E-3</v>
      </c>
      <c r="BF1290" t="s">
        <v>300</v>
      </c>
      <c r="BG1290" t="s">
        <v>3114</v>
      </c>
      <c r="BH1290" s="8">
        <v>1</v>
      </c>
      <c r="BJ1290" s="114">
        <v>26</v>
      </c>
      <c r="BK1290" s="116">
        <v>1</v>
      </c>
      <c r="BL1290" s="120">
        <f t="shared" si="531"/>
        <v>26001</v>
      </c>
      <c r="BN1290" s="5" t="s">
        <v>3154</v>
      </c>
      <c r="BY1290" s="63">
        <f>C1290-BZ1290</f>
        <v>6198</v>
      </c>
      <c r="CB1290" s="132"/>
      <c r="CD1290" s="63">
        <v>0</v>
      </c>
      <c r="CE1290" s="63">
        <v>0</v>
      </c>
    </row>
    <row r="1291" spans="1:83" ht="13" hidden="1" customHeight="1" outlineLevel="1">
      <c r="A1291" t="s">
        <v>2023</v>
      </c>
      <c r="B1291" t="s">
        <v>3114</v>
      </c>
      <c r="C1291" s="1">
        <f t="shared" si="545"/>
        <v>4518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6</v>
      </c>
      <c r="G1291" s="132">
        <f t="shared" si="543"/>
        <v>922</v>
      </c>
      <c r="H1291" s="137">
        <f t="shared" si="544"/>
        <v>0.20407259849490925</v>
      </c>
      <c r="I1291" s="2"/>
      <c r="J1291" s="2">
        <f t="shared" si="546"/>
        <v>0.36808322266489596</v>
      </c>
      <c r="K1291" s="2">
        <f t="shared" si="547"/>
        <v>0.57215582115980523</v>
      </c>
      <c r="L1291" s="2">
        <f t="shared" si="548"/>
        <v>1.1066843736166445E-3</v>
      </c>
      <c r="M1291" s="2">
        <f t="shared" si="549"/>
        <v>5.865427180168211E-2</v>
      </c>
      <c r="N1291" s="63">
        <v>1663</v>
      </c>
      <c r="O1291" s="63">
        <v>2585</v>
      </c>
      <c r="P1291" s="63">
        <v>5</v>
      </c>
      <c r="Q1291" s="63">
        <v>177</v>
      </c>
      <c r="R1291" s="63">
        <v>67</v>
      </c>
      <c r="S1291" s="63">
        <v>19</v>
      </c>
      <c r="T1291" s="63"/>
      <c r="U1291" s="63">
        <v>2</v>
      </c>
      <c r="V1291" s="63"/>
      <c r="W1291" s="63">
        <f>IF(Copyright!B$11=1,IF(CA1291&gt;0,CA1291-P1291-SUM(V1291)-SUM(Y1291:AG1291)-SUM(AH1291:AQ1291),SUM(CC1291:CJ1291)),SUM(CC1291:CJ1291))</f>
        <v>0</v>
      </c>
      <c r="X1291" s="63"/>
      <c r="Y1291" s="63">
        <v>0</v>
      </c>
      <c r="Z1291" s="63"/>
      <c r="AA1291" s="63">
        <v>0</v>
      </c>
      <c r="AB1291" s="63"/>
      <c r="AC1291" s="63"/>
      <c r="AD1291" s="63"/>
      <c r="AE1291" s="63">
        <v>0</v>
      </c>
      <c r="AF1291" s="63"/>
      <c r="AG1291" s="63"/>
      <c r="AH1291" s="63"/>
      <c r="AI1291" s="63"/>
      <c r="AJ1291" s="63"/>
      <c r="AK1291" s="63"/>
      <c r="AL1291" s="63"/>
      <c r="AM1291" s="63"/>
      <c r="AN1291" s="63">
        <v>0</v>
      </c>
      <c r="AO1291" s="63"/>
      <c r="AP1291" s="63"/>
      <c r="AQ1291" s="63"/>
      <c r="AR1291" s="63"/>
      <c r="AS1291" s="63"/>
      <c r="AT1291" s="63"/>
      <c r="AU1291" s="63"/>
      <c r="AW1291" s="5">
        <f>IF(Q1291&gt;0,RANK(Q1291,(N1291:P1291,Q1291:AE1291)),0)</f>
        <v>3</v>
      </c>
      <c r="AX1291" s="5">
        <f>IF(R1291&gt;0,RANK(R1291,(N1291:P1291,Q1291:AE1291)),0)</f>
        <v>4</v>
      </c>
      <c r="AY1291" s="5">
        <f>IF(T1291&gt;0,RANK(T1291,(N1291:P1291,Q1291:AE1291)),0)</f>
        <v>0</v>
      </c>
      <c r="AZ1291" s="5">
        <f>IF(S1291&gt;0,RANK(S1291,(N1291:P1291,Q1291:AE1291)),0)</f>
        <v>5</v>
      </c>
      <c r="BA1291" s="2">
        <f t="shared" si="550"/>
        <v>3.9176626826029216E-2</v>
      </c>
      <c r="BB1291" s="2">
        <f t="shared" si="551"/>
        <v>1.4829570606463036E-2</v>
      </c>
      <c r="BC1291" s="2">
        <f t="shared" si="552"/>
        <v>0</v>
      </c>
      <c r="BD1291" s="2">
        <f t="shared" si="553"/>
        <v>4.2054006197432495E-3</v>
      </c>
      <c r="BF1291" t="s">
        <v>2023</v>
      </c>
      <c r="BG1291" t="s">
        <v>3114</v>
      </c>
      <c r="BH1291" s="8">
        <v>1</v>
      </c>
      <c r="BJ1291" s="114">
        <v>26</v>
      </c>
      <c r="BK1291" s="116">
        <v>3</v>
      </c>
      <c r="BL1291" s="120">
        <f t="shared" si="531"/>
        <v>26003</v>
      </c>
      <c r="BN1291" s="5" t="s">
        <v>3154</v>
      </c>
      <c r="BY1291" s="63">
        <f t="shared" ref="BY1291:BY1354" si="554">C1291-BZ1291</f>
        <v>0</v>
      </c>
      <c r="BZ1291" s="63">
        <v>4518</v>
      </c>
      <c r="CA1291" s="63">
        <v>5</v>
      </c>
      <c r="CB1291" s="132"/>
      <c r="CD1291" s="63">
        <v>0</v>
      </c>
      <c r="CE1291" s="63">
        <v>0</v>
      </c>
    </row>
    <row r="1292" spans="1:83" ht="13" hidden="1" customHeight="1" outlineLevel="1">
      <c r="A1292" t="s">
        <v>1129</v>
      </c>
      <c r="B1292" t="s">
        <v>3114</v>
      </c>
      <c r="C1292" s="1">
        <f t="shared" si="545"/>
        <v>56120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7</v>
      </c>
      <c r="G1292" s="132">
        <f t="shared" si="543"/>
        <v>16133</v>
      </c>
      <c r="H1292" s="137">
        <f t="shared" si="544"/>
        <v>0.28747327156094082</v>
      </c>
      <c r="I1292" s="2"/>
      <c r="J1292" s="2">
        <f t="shared" si="546"/>
        <v>0.32163221667854597</v>
      </c>
      <c r="K1292" s="2">
        <f t="shared" si="547"/>
        <v>0.60910548823948685</v>
      </c>
      <c r="L1292" s="2">
        <f t="shared" si="548"/>
        <v>2.2273699215965789E-3</v>
      </c>
      <c r="M1292" s="2">
        <f t="shared" si="549"/>
        <v>6.7034925160370656E-2</v>
      </c>
      <c r="N1292" s="63">
        <v>18050</v>
      </c>
      <c r="O1292" s="63">
        <v>34183</v>
      </c>
      <c r="P1292" s="63">
        <v>125</v>
      </c>
      <c r="Q1292" s="63">
        <v>2513</v>
      </c>
      <c r="R1292" s="63">
        <v>596</v>
      </c>
      <c r="S1292" s="63">
        <v>289</v>
      </c>
      <c r="T1292" s="63"/>
      <c r="U1292" s="63">
        <v>27</v>
      </c>
      <c r="V1292" s="63"/>
      <c r="W1292" s="63">
        <f>IF(Copyright!B$11=1,IF(CA1292&gt;0,CA1292-P1292-SUM(V1292)-SUM(Y1292:AG1292)-SUM(AH1292:AQ1292),SUM(CC1292:CJ1292)),SUM(CC1292:CJ1292))</f>
        <v>334</v>
      </c>
      <c r="X1292" s="63"/>
      <c r="Y1292" s="63">
        <v>0</v>
      </c>
      <c r="Z1292" s="63"/>
      <c r="AA1292" s="63">
        <v>0</v>
      </c>
      <c r="AB1292" s="63"/>
      <c r="AC1292" s="63"/>
      <c r="AD1292" s="63"/>
      <c r="AE1292" s="63">
        <v>2</v>
      </c>
      <c r="AF1292" s="63"/>
      <c r="AG1292" s="63"/>
      <c r="AH1292" s="63"/>
      <c r="AI1292" s="63"/>
      <c r="AJ1292" s="63"/>
      <c r="AK1292" s="63"/>
      <c r="AL1292" s="63"/>
      <c r="AM1292" s="63"/>
      <c r="AN1292" s="63">
        <v>1</v>
      </c>
      <c r="AO1292" s="63"/>
      <c r="AP1292" s="63"/>
      <c r="AQ1292" s="63"/>
      <c r="AR1292" s="63"/>
      <c r="AS1292" s="63"/>
      <c r="AT1292" s="63"/>
      <c r="AU1292" s="63"/>
      <c r="AW1292" s="5">
        <f>IF(Q1292&gt;0,RANK(Q1292,(N1292:P1292,Q1292:AE1292)),0)</f>
        <v>3</v>
      </c>
      <c r="AX1292" s="5">
        <f>IF(R1292&gt;0,RANK(R1292,(N1292:P1292,Q1292:AE1292)),0)</f>
        <v>4</v>
      </c>
      <c r="AY1292" s="5">
        <f>IF(T1292&gt;0,RANK(T1292,(N1292:P1292,Q1292:AE1292)),0)</f>
        <v>0</v>
      </c>
      <c r="AZ1292" s="5">
        <f>IF(S1292&gt;0,RANK(S1292,(N1292:P1292,Q1292:AE1292)),0)</f>
        <v>6</v>
      </c>
      <c r="BA1292" s="2">
        <f t="shared" si="550"/>
        <v>4.4779044903777619E-2</v>
      </c>
      <c r="BB1292" s="2">
        <f t="shared" si="551"/>
        <v>1.0620099786172487E-2</v>
      </c>
      <c r="BC1292" s="2">
        <f t="shared" si="552"/>
        <v>0</v>
      </c>
      <c r="BD1292" s="2">
        <f t="shared" si="553"/>
        <v>5.1496792587312898E-3</v>
      </c>
      <c r="BF1292" t="s">
        <v>1129</v>
      </c>
      <c r="BG1292" t="s">
        <v>3114</v>
      </c>
      <c r="BH1292" s="8"/>
      <c r="BJ1292" s="114">
        <v>26</v>
      </c>
      <c r="BK1292" s="116">
        <v>5</v>
      </c>
      <c r="BL1292" s="120">
        <f t="shared" si="531"/>
        <v>26005</v>
      </c>
      <c r="BN1292" s="5" t="s">
        <v>3154</v>
      </c>
      <c r="BY1292" s="63">
        <f t="shared" si="554"/>
        <v>0</v>
      </c>
      <c r="BZ1292" s="132">
        <v>56120</v>
      </c>
      <c r="CA1292" s="132">
        <v>462</v>
      </c>
      <c r="CB1292" s="132"/>
      <c r="CD1292" s="63">
        <v>0</v>
      </c>
      <c r="CE1292" s="63">
        <v>0</v>
      </c>
    </row>
    <row r="1293" spans="1:83" ht="13" hidden="1" customHeight="1" outlineLevel="1">
      <c r="A1293" t="s">
        <v>363</v>
      </c>
      <c r="B1293" t="s">
        <v>3114</v>
      </c>
      <c r="C1293" s="1">
        <f t="shared" si="545"/>
        <v>14768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8</v>
      </c>
      <c r="G1293" s="132">
        <f t="shared" si="543"/>
        <v>4213</v>
      </c>
      <c r="H1293" s="137">
        <f t="shared" si="544"/>
        <v>0.28527898158179849</v>
      </c>
      <c r="I1293" s="2"/>
      <c r="J1293" s="2">
        <f t="shared" si="546"/>
        <v>0.33024106175514628</v>
      </c>
      <c r="K1293" s="2">
        <f t="shared" si="547"/>
        <v>0.61552004333694477</v>
      </c>
      <c r="L1293" s="2">
        <f t="shared" si="548"/>
        <v>3.3856988082340195E-4</v>
      </c>
      <c r="M1293" s="2">
        <f t="shared" si="549"/>
        <v>5.3900325027085493E-2</v>
      </c>
      <c r="N1293" s="63">
        <v>4877</v>
      </c>
      <c r="O1293" s="63">
        <v>9090</v>
      </c>
      <c r="P1293" s="63">
        <v>5</v>
      </c>
      <c r="Q1293" s="63">
        <v>498</v>
      </c>
      <c r="R1293" s="63">
        <v>160</v>
      </c>
      <c r="S1293" s="63">
        <v>53</v>
      </c>
      <c r="T1293" s="63"/>
      <c r="U1293" s="63">
        <v>10</v>
      </c>
      <c r="V1293" s="63"/>
      <c r="W1293" s="63">
        <f>IF(Copyright!B$11=1,IF(CA1293&gt;0,CA1293-P1293-SUM(V1293)-SUM(Y1293:AG1293)-SUM(AH1293:AQ1293),SUM(CC1293:CJ1293)),SUM(CC1293:CJ1293))</f>
        <v>70</v>
      </c>
      <c r="X1293" s="63"/>
      <c r="Y1293" s="63">
        <v>0</v>
      </c>
      <c r="Z1293" s="63"/>
      <c r="AA1293" s="63">
        <v>0</v>
      </c>
      <c r="AB1293" s="63"/>
      <c r="AC1293" s="63"/>
      <c r="AD1293" s="63"/>
      <c r="AE1293" s="63">
        <v>0</v>
      </c>
      <c r="AF1293" s="63"/>
      <c r="AG1293" s="63"/>
      <c r="AH1293" s="63"/>
      <c r="AI1293" s="63"/>
      <c r="AJ1293" s="63"/>
      <c r="AK1293" s="63"/>
      <c r="AL1293" s="63"/>
      <c r="AM1293" s="63"/>
      <c r="AN1293" s="63">
        <v>5</v>
      </c>
      <c r="AO1293" s="63"/>
      <c r="AP1293" s="63"/>
      <c r="AQ1293" s="63"/>
      <c r="AR1293" s="63"/>
      <c r="AS1293" s="63"/>
      <c r="AT1293" s="63"/>
      <c r="AU1293" s="63"/>
      <c r="AW1293" s="5">
        <f>IF(Q1293&gt;0,RANK(Q1293,(N1293:P1293,Q1293:AE1293)),0)</f>
        <v>3</v>
      </c>
      <c r="AX1293" s="5">
        <f>IF(R1293&gt;0,RANK(R1293,(N1293:P1293,Q1293:AE1293)),0)</f>
        <v>4</v>
      </c>
      <c r="AY1293" s="5">
        <f>IF(T1293&gt;0,RANK(T1293,(N1293:P1293,Q1293:AE1293)),0)</f>
        <v>0</v>
      </c>
      <c r="AZ1293" s="5">
        <f>IF(S1293&gt;0,RANK(S1293,(N1293:P1293,Q1293:AE1293)),0)</f>
        <v>6</v>
      </c>
      <c r="BA1293" s="2">
        <f t="shared" si="550"/>
        <v>3.3721560130010833E-2</v>
      </c>
      <c r="BB1293" s="2">
        <f t="shared" si="551"/>
        <v>1.0834236186348862E-2</v>
      </c>
      <c r="BC1293" s="2">
        <f t="shared" si="552"/>
        <v>0</v>
      </c>
      <c r="BD1293" s="2">
        <f t="shared" si="553"/>
        <v>3.5888407367280608E-3</v>
      </c>
      <c r="BF1293" t="s">
        <v>363</v>
      </c>
      <c r="BG1293" t="s">
        <v>3114</v>
      </c>
      <c r="BH1293" s="8">
        <v>1</v>
      </c>
      <c r="BJ1293" s="114">
        <v>26</v>
      </c>
      <c r="BK1293" s="116">
        <v>7</v>
      </c>
      <c r="BL1293" s="120">
        <f t="shared" si="531"/>
        <v>26007</v>
      </c>
      <c r="BN1293" s="5" t="s">
        <v>3154</v>
      </c>
      <c r="BY1293" s="63">
        <f t="shared" si="554"/>
        <v>0</v>
      </c>
      <c r="BZ1293" s="132">
        <v>14768</v>
      </c>
      <c r="CA1293" s="63">
        <v>80</v>
      </c>
      <c r="CB1293" s="132"/>
      <c r="CD1293" s="63">
        <v>0</v>
      </c>
      <c r="CE1293" s="63">
        <v>0</v>
      </c>
    </row>
    <row r="1294" spans="1:83" ht="13" hidden="1" customHeight="1" outlineLevel="1">
      <c r="A1294" t="s">
        <v>730</v>
      </c>
      <c r="B1294" t="s">
        <v>3114</v>
      </c>
      <c r="C1294" s="1">
        <f t="shared" si="545"/>
        <v>13667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7</v>
      </c>
      <c r="G1294" s="132">
        <f t="shared" si="543"/>
        <v>4021</v>
      </c>
      <c r="H1294" s="137">
        <f t="shared" si="544"/>
        <v>0.29421233628448085</v>
      </c>
      <c r="I1294" s="2"/>
      <c r="J1294" s="2">
        <f t="shared" si="546"/>
        <v>0.32545547669569036</v>
      </c>
      <c r="K1294" s="2">
        <f t="shared" si="547"/>
        <v>0.61966781298017126</v>
      </c>
      <c r="L1294" s="2">
        <f t="shared" si="548"/>
        <v>7.3168947098851251E-4</v>
      </c>
      <c r="M1294" s="2">
        <f t="shared" si="549"/>
        <v>5.4145020853149921E-2</v>
      </c>
      <c r="N1294" s="63">
        <v>4448</v>
      </c>
      <c r="O1294" s="63">
        <v>8469</v>
      </c>
      <c r="P1294" s="63">
        <v>10</v>
      </c>
      <c r="Q1294" s="63">
        <v>459</v>
      </c>
      <c r="R1294" s="63">
        <v>146</v>
      </c>
      <c r="S1294" s="63">
        <v>47</v>
      </c>
      <c r="T1294" s="63"/>
      <c r="U1294" s="63">
        <v>3</v>
      </c>
      <c r="V1294" s="63"/>
      <c r="W1294" s="63">
        <f>IF(Copyright!B$11=1,IF(CA1294&gt;0,CA1294-P1294-SUM(V1294)-SUM(Y1294:AG1294)-SUM(AH1294:AQ1294),SUM(CC1294:CJ1294)),SUM(CC1294:CJ1294))</f>
        <v>85</v>
      </c>
      <c r="X1294" s="63"/>
      <c r="Y1294" s="63">
        <v>0</v>
      </c>
      <c r="Z1294" s="63"/>
      <c r="AA1294" s="63">
        <v>0</v>
      </c>
      <c r="AB1294" s="63"/>
      <c r="AC1294" s="63"/>
      <c r="AD1294" s="63"/>
      <c r="AE1294" s="63">
        <v>0</v>
      </c>
      <c r="AF1294" s="63"/>
      <c r="AG1294" s="63"/>
      <c r="AH1294" s="63"/>
      <c r="AI1294" s="63"/>
      <c r="AJ1294" s="63"/>
      <c r="AK1294" s="63"/>
      <c r="AL1294" s="63"/>
      <c r="AM1294" s="63"/>
      <c r="AN1294" s="63">
        <v>0</v>
      </c>
      <c r="AO1294" s="63"/>
      <c r="AP1294" s="63"/>
      <c r="AQ1294" s="63"/>
      <c r="AR1294" s="63"/>
      <c r="AS1294" s="63"/>
      <c r="AT1294" s="63"/>
      <c r="AU1294" s="63"/>
      <c r="AW1294" s="5">
        <f>IF(Q1294&gt;0,RANK(Q1294,(N1294:P1294,Q1294:AE1294)),0)</f>
        <v>3</v>
      </c>
      <c r="AX1294" s="5">
        <f>IF(R1294&gt;0,RANK(R1294,(N1294:P1294,Q1294:AE1294)),0)</f>
        <v>4</v>
      </c>
      <c r="AY1294" s="5">
        <f>IF(T1294&gt;0,RANK(T1294,(N1294:P1294,Q1294:AE1294)),0)</f>
        <v>0</v>
      </c>
      <c r="AZ1294" s="5">
        <f>IF(S1294&gt;0,RANK(S1294,(N1294:P1294,Q1294:AE1294)),0)</f>
        <v>6</v>
      </c>
      <c r="BA1294" s="2">
        <f t="shared" si="550"/>
        <v>3.3584546718372722E-2</v>
      </c>
      <c r="BB1294" s="2">
        <f t="shared" si="551"/>
        <v>1.0682666276432282E-2</v>
      </c>
      <c r="BC1294" s="2">
        <f t="shared" si="552"/>
        <v>0</v>
      </c>
      <c r="BD1294" s="2">
        <f t="shared" si="553"/>
        <v>3.4389405136460087E-3</v>
      </c>
      <c r="BF1294" t="s">
        <v>730</v>
      </c>
      <c r="BG1294" t="s">
        <v>3114</v>
      </c>
      <c r="BH1294" s="8">
        <v>1</v>
      </c>
      <c r="BJ1294" s="114">
        <v>26</v>
      </c>
      <c r="BK1294" s="116">
        <v>9</v>
      </c>
      <c r="BL1294" s="120">
        <f t="shared" si="531"/>
        <v>26009</v>
      </c>
      <c r="BN1294" s="5" t="s">
        <v>3154</v>
      </c>
      <c r="BY1294" s="63">
        <f t="shared" si="554"/>
        <v>0</v>
      </c>
      <c r="BZ1294" s="132">
        <v>13667</v>
      </c>
      <c r="CA1294" s="63">
        <v>95</v>
      </c>
      <c r="CB1294" s="132"/>
      <c r="CD1294" s="63">
        <v>0</v>
      </c>
      <c r="CE1294" s="63">
        <v>0</v>
      </c>
    </row>
    <row r="1295" spans="1:83" ht="13" hidden="1" customHeight="1" outlineLevel="1">
      <c r="A1295" t="s">
        <v>1150</v>
      </c>
      <c r="B1295" t="s">
        <v>3114</v>
      </c>
      <c r="C1295" s="1">
        <f t="shared" si="545"/>
        <v>7729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7</v>
      </c>
      <c r="G1295" s="132">
        <f t="shared" si="543"/>
        <v>2566</v>
      </c>
      <c r="H1295" s="137">
        <f t="shared" si="544"/>
        <v>0.33199637728037262</v>
      </c>
      <c r="I1295" s="2"/>
      <c r="J1295" s="2">
        <f t="shared" si="546"/>
        <v>0.30844869970241945</v>
      </c>
      <c r="K1295" s="2">
        <f t="shared" si="547"/>
        <v>0.64044507698279207</v>
      </c>
      <c r="L1295" s="2">
        <f t="shared" si="548"/>
        <v>3.8814853150472245E-4</v>
      </c>
      <c r="M1295" s="2">
        <f t="shared" si="549"/>
        <v>5.0718074783283815E-2</v>
      </c>
      <c r="N1295" s="63">
        <v>2384</v>
      </c>
      <c r="O1295" s="63">
        <v>4950</v>
      </c>
      <c r="P1295" s="63">
        <v>3</v>
      </c>
      <c r="Q1295" s="63">
        <v>270</v>
      </c>
      <c r="R1295" s="63">
        <v>60</v>
      </c>
      <c r="S1295" s="63">
        <v>26</v>
      </c>
      <c r="T1295" s="63"/>
      <c r="U1295" s="63">
        <v>3</v>
      </c>
      <c r="V1295" s="63"/>
      <c r="W1295" s="63">
        <f>IF(Copyright!B$11=1,IF(CA1295&gt;0,CA1295-P1295-SUM(V1295)-SUM(Y1295:AG1295)-SUM(AH1295:AQ1295),SUM(CC1295:CJ1295)),SUM(CC1295:CJ1295))</f>
        <v>33</v>
      </c>
      <c r="X1295" s="63"/>
      <c r="Y1295" s="63">
        <v>0</v>
      </c>
      <c r="Z1295" s="63"/>
      <c r="AA1295" s="63">
        <v>0</v>
      </c>
      <c r="AB1295" s="63"/>
      <c r="AC1295" s="63"/>
      <c r="AD1295" s="63"/>
      <c r="AE1295" s="63">
        <v>0</v>
      </c>
      <c r="AF1295" s="63"/>
      <c r="AG1295" s="63"/>
      <c r="AH1295" s="63"/>
      <c r="AI1295" s="63"/>
      <c r="AJ1295" s="63"/>
      <c r="AK1295" s="63"/>
      <c r="AL1295" s="63"/>
      <c r="AM1295" s="63"/>
      <c r="AN1295" s="63">
        <v>0</v>
      </c>
      <c r="AO1295" s="63"/>
      <c r="AP1295" s="63"/>
      <c r="AQ1295" s="63"/>
      <c r="AR1295" s="63"/>
      <c r="AS1295" s="63"/>
      <c r="AT1295" s="63"/>
      <c r="AU1295" s="63"/>
      <c r="AW1295" s="5">
        <f>IF(Q1295&gt;0,RANK(Q1295,(N1295:P1295,Q1295:AE1295)),0)</f>
        <v>3</v>
      </c>
      <c r="AX1295" s="5">
        <f>IF(R1295&gt;0,RANK(R1295,(N1295:P1295,Q1295:AE1295)),0)</f>
        <v>4</v>
      </c>
      <c r="AY1295" s="5">
        <f>IF(T1295&gt;0,RANK(T1295,(N1295:P1295,Q1295:AE1295)),0)</f>
        <v>0</v>
      </c>
      <c r="AZ1295" s="5">
        <f>IF(S1295&gt;0,RANK(S1295,(N1295:P1295,Q1295:AE1295)),0)</f>
        <v>6</v>
      </c>
      <c r="BA1295" s="2">
        <f t="shared" si="550"/>
        <v>3.4933367835425021E-2</v>
      </c>
      <c r="BB1295" s="2">
        <f t="shared" si="551"/>
        <v>7.7629706300944498E-3</v>
      </c>
      <c r="BC1295" s="2">
        <f t="shared" si="552"/>
        <v>0</v>
      </c>
      <c r="BD1295" s="2">
        <f t="shared" si="553"/>
        <v>3.363953939707595E-3</v>
      </c>
      <c r="BF1295" t="s">
        <v>1150</v>
      </c>
      <c r="BG1295" t="s">
        <v>3114</v>
      </c>
      <c r="BH1295" s="8">
        <v>5</v>
      </c>
      <c r="BJ1295" s="114">
        <v>26</v>
      </c>
      <c r="BK1295" s="116">
        <v>11</v>
      </c>
      <c r="BL1295" s="120">
        <f t="shared" si="531"/>
        <v>26011</v>
      </c>
      <c r="BN1295" s="5" t="s">
        <v>3154</v>
      </c>
      <c r="BY1295" s="63">
        <f t="shared" si="554"/>
        <v>3</v>
      </c>
      <c r="BZ1295" s="63">
        <v>7726</v>
      </c>
      <c r="CA1295" s="63">
        <v>36</v>
      </c>
      <c r="CB1295" s="132"/>
      <c r="CD1295" s="63">
        <v>0</v>
      </c>
      <c r="CE1295" s="63">
        <v>0</v>
      </c>
    </row>
    <row r="1296" spans="1:83" ht="13" hidden="1" customHeight="1" outlineLevel="1">
      <c r="A1296" t="s">
        <v>889</v>
      </c>
      <c r="B1296" t="s">
        <v>3114</v>
      </c>
      <c r="C1296" s="1">
        <f t="shared" si="545"/>
        <v>3518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7</v>
      </c>
      <c r="G1296" s="132">
        <f t="shared" si="543"/>
        <v>1002</v>
      </c>
      <c r="H1296" s="137">
        <f t="shared" si="544"/>
        <v>0.2848209209778283</v>
      </c>
      <c r="I1296" s="2"/>
      <c r="J1296" s="2">
        <f t="shared" si="546"/>
        <v>0.32859579306424103</v>
      </c>
      <c r="K1296" s="2">
        <f t="shared" si="547"/>
        <v>0.61341671404206932</v>
      </c>
      <c r="L1296" s="2">
        <f t="shared" si="548"/>
        <v>5.6850483229107444E-4</v>
      </c>
      <c r="M1296" s="2">
        <f t="shared" si="549"/>
        <v>5.7418988061398578E-2</v>
      </c>
      <c r="N1296" s="63">
        <v>1156</v>
      </c>
      <c r="O1296" s="63">
        <v>2158</v>
      </c>
      <c r="P1296" s="63">
        <v>2</v>
      </c>
      <c r="Q1296" s="63">
        <v>106</v>
      </c>
      <c r="R1296" s="63">
        <v>49</v>
      </c>
      <c r="S1296" s="63">
        <v>15</v>
      </c>
      <c r="T1296" s="63"/>
      <c r="U1296" s="63">
        <v>2</v>
      </c>
      <c r="V1296" s="63"/>
      <c r="W1296" s="63">
        <f>IF(Copyright!B$11=1,IF(CA1296&gt;0,CA1296-P1296-SUM(V1296)-SUM(Y1296:AG1296)-SUM(AH1296:AQ1296),SUM(CC1296:CJ1296)),SUM(CC1296:CJ1296))</f>
        <v>28</v>
      </c>
      <c r="X1296" s="63"/>
      <c r="Y1296" s="63">
        <v>1</v>
      </c>
      <c r="Z1296" s="63"/>
      <c r="AA1296" s="63">
        <v>0</v>
      </c>
      <c r="AB1296" s="63"/>
      <c r="AC1296" s="63"/>
      <c r="AD1296" s="63"/>
      <c r="AE1296" s="63">
        <v>0</v>
      </c>
      <c r="AF1296" s="63"/>
      <c r="AG1296" s="63"/>
      <c r="AH1296" s="63"/>
      <c r="AI1296" s="63"/>
      <c r="AJ1296" s="63"/>
      <c r="AK1296" s="63"/>
      <c r="AL1296" s="63"/>
      <c r="AM1296" s="63"/>
      <c r="AN1296" s="63">
        <v>1</v>
      </c>
      <c r="AO1296" s="63"/>
      <c r="AP1296" s="63"/>
      <c r="AQ1296" s="63"/>
      <c r="AR1296" s="63"/>
      <c r="AS1296" s="63"/>
      <c r="AT1296" s="63"/>
      <c r="AU1296" s="63"/>
      <c r="AW1296" s="5">
        <f>IF(Q1296&gt;0,RANK(Q1296,(N1296:P1296,Q1296:AE1296)),0)</f>
        <v>3</v>
      </c>
      <c r="AX1296" s="5">
        <f>IF(R1296&gt;0,RANK(R1296,(N1296:P1296,Q1296:AE1296)),0)</f>
        <v>4</v>
      </c>
      <c r="AY1296" s="5">
        <f>IF(T1296&gt;0,RANK(T1296,(N1296:P1296,Q1296:AE1296)),0)</f>
        <v>0</v>
      </c>
      <c r="AZ1296" s="5">
        <f>IF(S1296&gt;0,RANK(S1296,(N1296:P1296,Q1296:AE1296)),0)</f>
        <v>6</v>
      </c>
      <c r="BA1296" s="2">
        <f t="shared" si="550"/>
        <v>3.0130756111426946E-2</v>
      </c>
      <c r="BB1296" s="2">
        <f t="shared" si="551"/>
        <v>1.3928368391131325E-2</v>
      </c>
      <c r="BC1296" s="2">
        <f t="shared" si="552"/>
        <v>0</v>
      </c>
      <c r="BD1296" s="2">
        <f t="shared" si="553"/>
        <v>4.2637862421830586E-3</v>
      </c>
      <c r="BF1296" t="s">
        <v>889</v>
      </c>
      <c r="BG1296" t="s">
        <v>3114</v>
      </c>
      <c r="BH1296" s="8">
        <v>1</v>
      </c>
      <c r="BJ1296" s="114">
        <v>26</v>
      </c>
      <c r="BK1296" s="116">
        <v>13</v>
      </c>
      <c r="BL1296" s="120">
        <f t="shared" si="531"/>
        <v>26013</v>
      </c>
      <c r="BN1296" s="5" t="s">
        <v>3154</v>
      </c>
      <c r="BY1296" s="63">
        <f t="shared" si="554"/>
        <v>0</v>
      </c>
      <c r="BZ1296" s="132">
        <v>3518</v>
      </c>
      <c r="CA1296" s="63">
        <v>32</v>
      </c>
      <c r="CB1296" s="132"/>
      <c r="CD1296" s="63">
        <v>0</v>
      </c>
      <c r="CE1296" s="63">
        <v>0</v>
      </c>
    </row>
    <row r="1297" spans="1:83" ht="13" hidden="1" customHeight="1" outlineLevel="1">
      <c r="A1297" t="s">
        <v>1333</v>
      </c>
      <c r="B1297" t="s">
        <v>3114</v>
      </c>
      <c r="C1297" s="1">
        <f t="shared" si="545"/>
        <v>30517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7</v>
      </c>
      <c r="G1297" s="132">
        <f t="shared" si="543"/>
        <v>10088</v>
      </c>
      <c r="H1297" s="137">
        <f t="shared" si="544"/>
        <v>0.33056984631516861</v>
      </c>
      <c r="I1297" s="2"/>
      <c r="J1297" s="2">
        <f t="shared" si="546"/>
        <v>0.2986532096864043</v>
      </c>
      <c r="K1297" s="2">
        <f t="shared" si="547"/>
        <v>0.62922305600157291</v>
      </c>
      <c r="L1297" s="2">
        <f t="shared" si="548"/>
        <v>1.6384310384375922E-3</v>
      </c>
      <c r="M1297" s="2">
        <f t="shared" si="549"/>
        <v>7.0485303273585195E-2</v>
      </c>
      <c r="N1297" s="63">
        <v>9114</v>
      </c>
      <c r="O1297" s="63">
        <v>19202</v>
      </c>
      <c r="P1297" s="63">
        <v>50</v>
      </c>
      <c r="Q1297" s="63">
        <v>1424</v>
      </c>
      <c r="R1297" s="63">
        <v>346</v>
      </c>
      <c r="S1297" s="63">
        <v>181</v>
      </c>
      <c r="T1297" s="63"/>
      <c r="U1297" s="63">
        <v>10</v>
      </c>
      <c r="V1297" s="63"/>
      <c r="W1297" s="63">
        <f>IF(Copyright!B$11=1,IF(CA1297&gt;0,CA1297-P1297-SUM(V1297)-SUM(Y1297:AG1297)-SUM(AH1297:AQ1297),SUM(CC1297:CJ1297)),SUM(CC1297:CJ1297))</f>
        <v>188</v>
      </c>
      <c r="X1297" s="63"/>
      <c r="Y1297" s="63">
        <v>2</v>
      </c>
      <c r="Z1297" s="63"/>
      <c r="AA1297" s="63">
        <v>0</v>
      </c>
      <c r="AB1297" s="63"/>
      <c r="AC1297" s="63"/>
      <c r="AD1297" s="63"/>
      <c r="AE1297" s="63">
        <v>0</v>
      </c>
      <c r="AF1297" s="63"/>
      <c r="AG1297" s="63"/>
      <c r="AH1297" s="63"/>
      <c r="AI1297" s="63"/>
      <c r="AJ1297" s="63"/>
      <c r="AK1297" s="63"/>
      <c r="AL1297" s="63"/>
      <c r="AM1297" s="63"/>
      <c r="AN1297" s="63">
        <v>0</v>
      </c>
      <c r="AO1297" s="63"/>
      <c r="AP1297" s="63"/>
      <c r="AQ1297" s="63"/>
      <c r="AR1297" s="63"/>
      <c r="AS1297" s="63"/>
      <c r="AT1297" s="63"/>
      <c r="AU1297" s="63"/>
      <c r="AW1297" s="5">
        <f>IF(Q1297&gt;0,RANK(Q1297,(N1297:P1297,Q1297:AE1297)),0)</f>
        <v>3</v>
      </c>
      <c r="AX1297" s="5">
        <f>IF(R1297&gt;0,RANK(R1297,(N1297:P1297,Q1297:AE1297)),0)</f>
        <v>4</v>
      </c>
      <c r="AY1297" s="5">
        <f>IF(T1297&gt;0,RANK(T1297,(N1297:P1297,Q1297:AE1297)),0)</f>
        <v>0</v>
      </c>
      <c r="AZ1297" s="5">
        <f>IF(S1297&gt;0,RANK(S1297,(N1297:P1297,Q1297:AE1297)),0)</f>
        <v>6</v>
      </c>
      <c r="BA1297" s="2">
        <f t="shared" si="550"/>
        <v>4.6662515974702626E-2</v>
      </c>
      <c r="BB1297" s="2">
        <f t="shared" si="551"/>
        <v>1.1337942785988138E-2</v>
      </c>
      <c r="BC1297" s="2">
        <f t="shared" si="552"/>
        <v>0</v>
      </c>
      <c r="BD1297" s="2">
        <f t="shared" si="553"/>
        <v>5.9311203591440841E-3</v>
      </c>
      <c r="BF1297" t="s">
        <v>1333</v>
      </c>
      <c r="BG1297" t="s">
        <v>3114</v>
      </c>
      <c r="BH1297" s="8">
        <v>3</v>
      </c>
      <c r="BJ1297" s="114">
        <v>26</v>
      </c>
      <c r="BK1297" s="116">
        <v>15</v>
      </c>
      <c r="BL1297" s="120">
        <f t="shared" si="531"/>
        <v>26015</v>
      </c>
      <c r="BN1297" s="5" t="s">
        <v>3154</v>
      </c>
      <c r="BY1297" s="63">
        <f t="shared" si="554"/>
        <v>0</v>
      </c>
      <c r="BZ1297" s="132">
        <v>30517</v>
      </c>
      <c r="CA1297" s="63">
        <f>188+2+50</f>
        <v>240</v>
      </c>
      <c r="CB1297" s="132"/>
      <c r="CD1297" s="63">
        <v>0</v>
      </c>
      <c r="CE1297" s="63">
        <v>0</v>
      </c>
    </row>
    <row r="1298" spans="1:83" ht="13" hidden="1" customHeight="1" outlineLevel="1">
      <c r="A1298" t="s">
        <v>3099</v>
      </c>
      <c r="B1298" t="s">
        <v>3114</v>
      </c>
      <c r="C1298" s="1">
        <f t="shared" si="545"/>
        <v>53274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>IF(P1298&gt;0,RANK(P1298,(N1298:P1298,Q1298:AE1298)),0)</f>
        <v>7</v>
      </c>
      <c r="G1298" s="132">
        <f t="shared" si="543"/>
        <v>6686</v>
      </c>
      <c r="H1298" s="137">
        <f t="shared" si="544"/>
        <v>0.12550212110973458</v>
      </c>
      <c r="I1298" s="2"/>
      <c r="J1298" s="2">
        <f t="shared" si="546"/>
        <v>0.40623944137853363</v>
      </c>
      <c r="K1298" s="2">
        <f t="shared" si="547"/>
        <v>0.5317415624882682</v>
      </c>
      <c r="L1298" s="2">
        <f t="shared" si="548"/>
        <v>7.508353042760071E-4</v>
      </c>
      <c r="M1298" s="2">
        <f t="shared" si="549"/>
        <v>6.1268160828922162E-2</v>
      </c>
      <c r="N1298" s="63">
        <v>21642</v>
      </c>
      <c r="O1298" s="63">
        <v>28328</v>
      </c>
      <c r="P1298" s="63">
        <v>40</v>
      </c>
      <c r="Q1298" s="63">
        <v>2189</v>
      </c>
      <c r="R1298" s="63">
        <v>544</v>
      </c>
      <c r="S1298" s="63">
        <v>208</v>
      </c>
      <c r="T1298" s="63"/>
      <c r="U1298" s="63">
        <v>23</v>
      </c>
      <c r="V1298" s="63"/>
      <c r="W1298" s="63">
        <f>IF(Copyright!B$11=1,IF(CA1298&gt;0,CA1298-P1298-SUM(V1298)-SUM(Y1298:AG1298)-SUM(AH1298:AQ1298),SUM(CC1298:CJ1298)),SUM(CC1298:CJ1298))</f>
        <v>297</v>
      </c>
      <c r="X1298" s="63"/>
      <c r="Y1298" s="63">
        <v>1</v>
      </c>
      <c r="Z1298" s="63"/>
      <c r="AA1298" s="63">
        <v>0</v>
      </c>
      <c r="AB1298" s="63"/>
      <c r="AC1298" s="63"/>
      <c r="AD1298" s="63"/>
      <c r="AE1298" s="63">
        <v>0</v>
      </c>
      <c r="AF1298" s="63"/>
      <c r="AG1298" s="63"/>
      <c r="AH1298" s="63"/>
      <c r="AI1298" s="63"/>
      <c r="AJ1298" s="63"/>
      <c r="AK1298" s="63"/>
      <c r="AL1298" s="63"/>
      <c r="AM1298" s="63"/>
      <c r="AN1298" s="63">
        <v>2</v>
      </c>
      <c r="AO1298" s="63"/>
      <c r="AP1298" s="63"/>
      <c r="AQ1298" s="63"/>
      <c r="AR1298" s="63"/>
      <c r="AS1298" s="63"/>
      <c r="AT1298" s="63"/>
      <c r="AU1298" s="63"/>
      <c r="AW1298" s="5">
        <f>IF(Q1298&gt;0,RANK(Q1298,(N1298:P1298,Q1298:AE1298)),0)</f>
        <v>3</v>
      </c>
      <c r="AX1298" s="5">
        <f>IF(R1298&gt;0,RANK(R1298,(N1298:P1298,Q1298:AE1298)),0)</f>
        <v>4</v>
      </c>
      <c r="AY1298" s="5">
        <f>IF(T1298&gt;0,RANK(T1298,(N1298:P1298,Q1298:AE1298)),0)</f>
        <v>0</v>
      </c>
      <c r="AZ1298" s="5">
        <f>IF(S1298&gt;0,RANK(S1298,(N1298:P1298,Q1298:AE1298)),0)</f>
        <v>6</v>
      </c>
      <c r="BA1298" s="2">
        <f t="shared" si="550"/>
        <v>4.1089462026504486E-2</v>
      </c>
      <c r="BB1298" s="2">
        <f t="shared" si="551"/>
        <v>1.0211360138153696E-2</v>
      </c>
      <c r="BC1298" s="2">
        <f t="shared" si="552"/>
        <v>0</v>
      </c>
      <c r="BD1298" s="2">
        <f t="shared" si="553"/>
        <v>3.9043435822352368E-3</v>
      </c>
      <c r="BF1298" t="s">
        <v>3099</v>
      </c>
      <c r="BG1298" t="s">
        <v>3114</v>
      </c>
      <c r="BH1298" s="8">
        <v>5</v>
      </c>
      <c r="BJ1298" s="114">
        <v>26</v>
      </c>
      <c r="BK1298" s="116">
        <v>17</v>
      </c>
      <c r="BL1298" s="120">
        <f t="shared" si="531"/>
        <v>26017</v>
      </c>
      <c r="BN1298" s="5" t="s">
        <v>3154</v>
      </c>
      <c r="BY1298" s="63">
        <f t="shared" si="554"/>
        <v>0</v>
      </c>
      <c r="BZ1298" s="63">
        <v>53274</v>
      </c>
      <c r="CA1298" s="63">
        <f>340</f>
        <v>340</v>
      </c>
      <c r="CB1298" s="132"/>
      <c r="CD1298" s="63">
        <v>0</v>
      </c>
      <c r="CE1298" s="63">
        <v>0</v>
      </c>
    </row>
    <row r="1299" spans="1:83" ht="13" hidden="1" customHeight="1" outlineLevel="1">
      <c r="A1299" t="s">
        <v>1130</v>
      </c>
      <c r="B1299" t="s">
        <v>3114</v>
      </c>
      <c r="C1299" s="1">
        <f t="shared" si="545"/>
        <v>10228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6</v>
      </c>
      <c r="G1299" s="132">
        <f t="shared" si="543"/>
        <v>1431</v>
      </c>
      <c r="H1299" s="137">
        <f t="shared" si="544"/>
        <v>0.13991005084082911</v>
      </c>
      <c r="I1299" s="2"/>
      <c r="J1299" s="2">
        <f t="shared" si="546"/>
        <v>0.40164254986312087</v>
      </c>
      <c r="K1299" s="2">
        <f t="shared" si="547"/>
        <v>0.54155260070394995</v>
      </c>
      <c r="L1299" s="2">
        <f t="shared" si="548"/>
        <v>6.8439577630035199E-4</v>
      </c>
      <c r="M1299" s="2">
        <f t="shared" si="549"/>
        <v>5.6120453656628828E-2</v>
      </c>
      <c r="N1299" s="63">
        <v>4108</v>
      </c>
      <c r="O1299" s="63">
        <v>5539</v>
      </c>
      <c r="P1299" s="63">
        <v>7</v>
      </c>
      <c r="Q1299" s="63">
        <v>382</v>
      </c>
      <c r="R1299" s="63">
        <v>149</v>
      </c>
      <c r="S1299" s="63">
        <v>36</v>
      </c>
      <c r="T1299" s="63"/>
      <c r="U1299" s="63">
        <v>7</v>
      </c>
      <c r="V1299" s="63"/>
      <c r="W1299" s="63">
        <f>IF(Copyright!B$11=1,IF(CA1299&gt;0,CA1299-P1299-SUM(V1299)-SUM(Y1299:AG1299)-SUM(AH1299:AQ1299),SUM(CC1299:CJ1299)),SUM(CC1299:CJ1299))</f>
        <v>0</v>
      </c>
      <c r="X1299" s="63"/>
      <c r="Y1299" s="63">
        <v>0</v>
      </c>
      <c r="Z1299" s="63"/>
      <c r="AA1299" s="63">
        <v>0</v>
      </c>
      <c r="AB1299" s="63"/>
      <c r="AC1299" s="63"/>
      <c r="AD1299" s="63"/>
      <c r="AE1299" s="63">
        <v>0</v>
      </c>
      <c r="AF1299" s="63"/>
      <c r="AG1299" s="63"/>
      <c r="AH1299" s="63"/>
      <c r="AI1299" s="63"/>
      <c r="AJ1299" s="63"/>
      <c r="AK1299" s="63"/>
      <c r="AL1299" s="63"/>
      <c r="AM1299" s="63"/>
      <c r="AN1299" s="63">
        <v>0</v>
      </c>
      <c r="AO1299" s="63"/>
      <c r="AP1299" s="63"/>
      <c r="AQ1299" s="63"/>
      <c r="AR1299" s="63"/>
      <c r="AS1299" s="63"/>
      <c r="AT1299" s="63"/>
      <c r="AU1299" s="63"/>
      <c r="AW1299" s="5">
        <f>IF(Q1299&gt;0,RANK(Q1299,(N1299:P1299,Q1299:AE1299)),0)</f>
        <v>3</v>
      </c>
      <c r="AX1299" s="5">
        <f>IF(R1299&gt;0,RANK(R1299,(N1299:P1299,Q1299:AE1299)),0)</f>
        <v>4</v>
      </c>
      <c r="AY1299" s="5">
        <f>IF(T1299&gt;0,RANK(T1299,(N1299:P1299,Q1299:AE1299)),0)</f>
        <v>0</v>
      </c>
      <c r="AZ1299" s="5">
        <f>IF(S1299&gt;0,RANK(S1299,(N1299:P1299,Q1299:AE1299)),0)</f>
        <v>5</v>
      </c>
      <c r="BA1299" s="2">
        <f t="shared" si="550"/>
        <v>3.7348455220962064E-2</v>
      </c>
      <c r="BB1299" s="2">
        <f t="shared" si="551"/>
        <v>1.4567852952678921E-2</v>
      </c>
      <c r="BC1299" s="2">
        <f t="shared" si="552"/>
        <v>0</v>
      </c>
      <c r="BD1299" s="2">
        <f t="shared" si="553"/>
        <v>3.5197497066875244E-3</v>
      </c>
      <c r="BF1299" t="s">
        <v>1130</v>
      </c>
      <c r="BG1299" t="s">
        <v>3114</v>
      </c>
      <c r="BH1299" s="8">
        <v>1</v>
      </c>
      <c r="BJ1299" s="114">
        <v>26</v>
      </c>
      <c r="BK1299" s="116">
        <v>19</v>
      </c>
      <c r="BL1299" s="120">
        <f t="shared" si="531"/>
        <v>26019</v>
      </c>
      <c r="BN1299" s="5" t="s">
        <v>3154</v>
      </c>
      <c r="BY1299" s="63">
        <f t="shared" si="554"/>
        <v>10228</v>
      </c>
      <c r="CB1299" s="132"/>
      <c r="CD1299" s="63">
        <v>0</v>
      </c>
      <c r="CE1299" s="63">
        <v>0</v>
      </c>
    </row>
    <row r="1300" spans="1:83" ht="13" hidden="1" customHeight="1" outlineLevel="1">
      <c r="A1300" t="s">
        <v>2427</v>
      </c>
      <c r="B1300" t="s">
        <v>3114</v>
      </c>
      <c r="C1300" s="1">
        <f t="shared" si="545"/>
        <v>72031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6</v>
      </c>
      <c r="G1300" s="132">
        <f t="shared" si="543"/>
        <v>9152</v>
      </c>
      <c r="H1300" s="137">
        <f t="shared" si="544"/>
        <v>0.12705640626952283</v>
      </c>
      <c r="I1300" s="2"/>
      <c r="J1300" s="2">
        <f t="shared" si="546"/>
        <v>0.40947647540642224</v>
      </c>
      <c r="K1300" s="2">
        <f t="shared" si="547"/>
        <v>0.53653288167594504</v>
      </c>
      <c r="L1300" s="2">
        <f t="shared" si="548"/>
        <v>1.9158417903402702E-3</v>
      </c>
      <c r="M1300" s="2">
        <f t="shared" si="549"/>
        <v>5.2074801127292514E-2</v>
      </c>
      <c r="N1300" s="63">
        <v>29495</v>
      </c>
      <c r="O1300" s="63">
        <v>38647</v>
      </c>
      <c r="P1300" s="63">
        <v>138</v>
      </c>
      <c r="Q1300" s="63">
        <v>2760</v>
      </c>
      <c r="R1300" s="63">
        <v>662</v>
      </c>
      <c r="S1300" s="63">
        <v>290</v>
      </c>
      <c r="T1300" s="63"/>
      <c r="U1300" s="63">
        <v>28</v>
      </c>
      <c r="V1300" s="63"/>
      <c r="W1300" s="63">
        <f>IF(Copyright!B$11=1,IF(CA1300&gt;0,CA1300-P1300-SUM(V1300)-SUM(Y1300:AG1300)-SUM(AH1300:AQ1300),SUM(CC1300:CJ1300)),SUM(CC1300:CJ1300))</f>
        <v>1</v>
      </c>
      <c r="X1300" s="63"/>
      <c r="Y1300" s="63">
        <v>2</v>
      </c>
      <c r="Z1300" s="63"/>
      <c r="AA1300" s="63">
        <v>2</v>
      </c>
      <c r="AB1300" s="63"/>
      <c r="AC1300" s="63"/>
      <c r="AD1300" s="63"/>
      <c r="AE1300" s="63">
        <v>0</v>
      </c>
      <c r="AF1300" s="63"/>
      <c r="AG1300" s="63"/>
      <c r="AH1300" s="63"/>
      <c r="AI1300" s="63"/>
      <c r="AJ1300" s="63"/>
      <c r="AK1300" s="63"/>
      <c r="AL1300" s="63"/>
      <c r="AM1300" s="63"/>
      <c r="AN1300" s="63">
        <v>6</v>
      </c>
      <c r="AO1300" s="63"/>
      <c r="AP1300" s="63"/>
      <c r="AQ1300" s="63"/>
      <c r="AR1300" s="63"/>
      <c r="AS1300" s="63"/>
      <c r="AT1300" s="63"/>
      <c r="AU1300" s="63"/>
      <c r="AW1300" s="5">
        <f>IF(Q1300&gt;0,RANK(Q1300,(N1300:P1300,Q1300:AE1300)),0)</f>
        <v>3</v>
      </c>
      <c r="AX1300" s="5">
        <f>IF(R1300&gt;0,RANK(R1300,(N1300:P1300,Q1300:AE1300)),0)</f>
        <v>4</v>
      </c>
      <c r="AY1300" s="5">
        <f>IF(T1300&gt;0,RANK(T1300,(N1300:P1300,Q1300:AE1300)),0)</f>
        <v>0</v>
      </c>
      <c r="AZ1300" s="5">
        <f>IF(S1300&gt;0,RANK(S1300,(N1300:P1300,Q1300:AE1300)),0)</f>
        <v>5</v>
      </c>
      <c r="BA1300" s="2">
        <f t="shared" si="550"/>
        <v>3.8316835806805401E-2</v>
      </c>
      <c r="BB1300" s="2">
        <f t="shared" si="551"/>
        <v>9.1904874290236142E-3</v>
      </c>
      <c r="BC1300" s="2">
        <f t="shared" si="552"/>
        <v>0</v>
      </c>
      <c r="BD1300" s="2">
        <f t="shared" si="553"/>
        <v>4.0260443420194079E-3</v>
      </c>
      <c r="BF1300" t="s">
        <v>2427</v>
      </c>
      <c r="BG1300" t="s">
        <v>3114</v>
      </c>
      <c r="BH1300" s="8">
        <v>6</v>
      </c>
      <c r="BJ1300" s="114">
        <v>26</v>
      </c>
      <c r="BK1300" s="116">
        <v>21</v>
      </c>
      <c r="BL1300" s="120">
        <f t="shared" si="531"/>
        <v>26021</v>
      </c>
      <c r="BN1300" s="5" t="s">
        <v>3154</v>
      </c>
      <c r="BY1300" s="63">
        <f t="shared" si="554"/>
        <v>72031</v>
      </c>
      <c r="BZ1300" s="132"/>
      <c r="CB1300" s="132"/>
      <c r="CD1300" s="63">
        <v>0</v>
      </c>
      <c r="CE1300" s="63">
        <v>1</v>
      </c>
    </row>
    <row r="1301" spans="1:83" ht="13" hidden="1" customHeight="1" outlineLevel="1">
      <c r="A1301" t="s">
        <v>2423</v>
      </c>
      <c r="B1301" t="s">
        <v>3114</v>
      </c>
      <c r="C1301" s="1">
        <f t="shared" si="545"/>
        <v>17663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6</v>
      </c>
      <c r="G1301" s="132">
        <f t="shared" si="543"/>
        <v>6725</v>
      </c>
      <c r="H1301" s="137">
        <f t="shared" si="544"/>
        <v>0.38073939874313539</v>
      </c>
      <c r="I1301" s="2"/>
      <c r="J1301" s="2">
        <f t="shared" si="546"/>
        <v>0.28653116684594915</v>
      </c>
      <c r="K1301" s="2">
        <f t="shared" si="547"/>
        <v>0.66727056558908449</v>
      </c>
      <c r="L1301" s="2">
        <f t="shared" si="548"/>
        <v>8.4923285965011607E-4</v>
      </c>
      <c r="M1301" s="2">
        <f t="shared" si="549"/>
        <v>4.5349034705316253E-2</v>
      </c>
      <c r="N1301" s="63">
        <v>5061</v>
      </c>
      <c r="O1301" s="63">
        <v>11786</v>
      </c>
      <c r="P1301" s="63">
        <v>15</v>
      </c>
      <c r="Q1301" s="63">
        <v>582</v>
      </c>
      <c r="R1301" s="63">
        <v>151</v>
      </c>
      <c r="S1301" s="63">
        <v>57</v>
      </c>
      <c r="T1301" s="63"/>
      <c r="U1301" s="63">
        <v>4</v>
      </c>
      <c r="V1301" s="63"/>
      <c r="W1301" s="63">
        <f>IF(Copyright!B$11=1,IF(CA1301&gt;0,CA1301-P1301-SUM(V1301)-SUM(Y1301:AG1301)-SUM(AH1301:AQ1301),SUM(CC1301:CJ1301)),SUM(CC1301:CJ1301))</f>
        <v>0</v>
      </c>
      <c r="X1301" s="63"/>
      <c r="Y1301" s="63">
        <v>7</v>
      </c>
      <c r="Z1301" s="63"/>
      <c r="AA1301" s="63">
        <v>0</v>
      </c>
      <c r="AB1301" s="63"/>
      <c r="AC1301" s="63"/>
      <c r="AD1301" s="63"/>
      <c r="AE1301" s="63">
        <v>0</v>
      </c>
      <c r="AF1301" s="63"/>
      <c r="AG1301" s="63"/>
      <c r="AH1301" s="63"/>
      <c r="AI1301" s="63"/>
      <c r="AJ1301" s="63"/>
      <c r="AK1301" s="63"/>
      <c r="AL1301" s="63"/>
      <c r="AM1301" s="63"/>
      <c r="AN1301" s="63">
        <v>0</v>
      </c>
      <c r="AO1301" s="63"/>
      <c r="AP1301" s="63"/>
      <c r="AQ1301" s="63"/>
      <c r="AR1301" s="63"/>
      <c r="AS1301" s="63"/>
      <c r="AT1301" s="63"/>
      <c r="AU1301" s="63"/>
      <c r="AW1301" s="5">
        <f>IF(Q1301&gt;0,RANK(Q1301,(N1301:P1301,Q1301:AE1301)),0)</f>
        <v>3</v>
      </c>
      <c r="AX1301" s="5">
        <f>IF(R1301&gt;0,RANK(R1301,(N1301:P1301,Q1301:AE1301)),0)</f>
        <v>4</v>
      </c>
      <c r="AY1301" s="5">
        <f>IF(T1301&gt;0,RANK(T1301,(N1301:P1301,Q1301:AE1301)),0)</f>
        <v>0</v>
      </c>
      <c r="AZ1301" s="5">
        <f>IF(S1301&gt;0,RANK(S1301,(N1301:P1301,Q1301:AE1301)),0)</f>
        <v>5</v>
      </c>
      <c r="BA1301" s="2">
        <f t="shared" si="550"/>
        <v>3.2950234954424507E-2</v>
      </c>
      <c r="BB1301" s="2">
        <f t="shared" si="551"/>
        <v>8.5489441204778353E-3</v>
      </c>
      <c r="BC1301" s="2">
        <f t="shared" si="552"/>
        <v>0</v>
      </c>
      <c r="BD1301" s="2">
        <f t="shared" si="553"/>
        <v>3.227084866670441E-3</v>
      </c>
      <c r="BF1301" t="s">
        <v>2423</v>
      </c>
      <c r="BG1301" t="s">
        <v>3114</v>
      </c>
      <c r="BH1301" s="8">
        <v>7</v>
      </c>
      <c r="BJ1301" s="114">
        <v>26</v>
      </c>
      <c r="BK1301" s="116">
        <v>23</v>
      </c>
      <c r="BL1301" s="120">
        <f t="shared" si="531"/>
        <v>26023</v>
      </c>
      <c r="BN1301" s="5" t="s">
        <v>3154</v>
      </c>
      <c r="BY1301" s="63">
        <f t="shared" si="554"/>
        <v>17663</v>
      </c>
      <c r="BZ1301" s="132"/>
      <c r="CB1301" s="132"/>
      <c r="CD1301" s="63">
        <v>0</v>
      </c>
      <c r="CE1301" s="63">
        <v>0</v>
      </c>
    </row>
    <row r="1302" spans="1:83" ht="13" hidden="1" customHeight="1" outlineLevel="1">
      <c r="A1302" t="s">
        <v>1197</v>
      </c>
      <c r="B1302" t="s">
        <v>3114</v>
      </c>
      <c r="C1302" s="1">
        <f t="shared" si="545"/>
        <v>58902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>IF(P1302&gt;0,RANK(P1302,(N1302:P1302,Q1302:AE1302)),0)</f>
        <v>6</v>
      </c>
      <c r="G1302" s="132">
        <f t="shared" si="543"/>
        <v>7337</v>
      </c>
      <c r="H1302" s="137">
        <f t="shared" si="544"/>
        <v>0.12456283318053717</v>
      </c>
      <c r="I1302" s="2"/>
      <c r="J1302" s="2">
        <f t="shared" si="546"/>
        <v>0.41012189738888322</v>
      </c>
      <c r="K1302" s="2">
        <f t="shared" si="547"/>
        <v>0.53468473056942034</v>
      </c>
      <c r="L1302" s="2">
        <f t="shared" si="548"/>
        <v>1.6128484601541544E-3</v>
      </c>
      <c r="M1302" s="2">
        <f t="shared" si="549"/>
        <v>5.3580523581542347E-2</v>
      </c>
      <c r="N1302" s="63">
        <v>24157</v>
      </c>
      <c r="O1302" s="63">
        <v>31494</v>
      </c>
      <c r="P1302" s="63">
        <v>95</v>
      </c>
      <c r="Q1302" s="63">
        <v>2284</v>
      </c>
      <c r="R1302" s="63">
        <v>635</v>
      </c>
      <c r="S1302" s="63">
        <v>202</v>
      </c>
      <c r="T1302" s="63"/>
      <c r="U1302" s="63">
        <v>29</v>
      </c>
      <c r="V1302" s="63"/>
      <c r="W1302" s="63">
        <f>IF(Copyright!B$11=1,IF(CA1302&gt;0,CA1302-P1302-SUM(V1302)-SUM(Y1302:AG1302)-SUM(AH1302:AQ1302),SUM(CC1302:CJ1302)),SUM(CC1302:CJ1302))</f>
        <v>0</v>
      </c>
      <c r="X1302" s="63"/>
      <c r="Y1302" s="63">
        <v>2</v>
      </c>
      <c r="Z1302" s="63"/>
      <c r="AA1302" s="63">
        <v>0</v>
      </c>
      <c r="AB1302" s="63"/>
      <c r="AC1302" s="63"/>
      <c r="AD1302" s="63"/>
      <c r="AE1302" s="63">
        <v>0</v>
      </c>
      <c r="AF1302" s="63"/>
      <c r="AG1302" s="63"/>
      <c r="AH1302" s="63"/>
      <c r="AI1302" s="63"/>
      <c r="AJ1302" s="63"/>
      <c r="AK1302" s="63"/>
      <c r="AL1302" s="63"/>
      <c r="AM1302" s="63"/>
      <c r="AN1302" s="63">
        <v>4</v>
      </c>
      <c r="AO1302" s="63"/>
      <c r="AP1302" s="63"/>
      <c r="AQ1302" s="63"/>
      <c r="AR1302" s="63"/>
      <c r="AS1302" s="63"/>
      <c r="AT1302" s="63"/>
      <c r="AU1302" s="63"/>
      <c r="AW1302" s="5">
        <f>IF(Q1302&gt;0,RANK(Q1302,(N1302:P1302,Q1302:AE1302)),0)</f>
        <v>3</v>
      </c>
      <c r="AX1302" s="5">
        <f>IF(R1302&gt;0,RANK(R1302,(N1302:P1302,Q1302:AE1302)),0)</f>
        <v>4</v>
      </c>
      <c r="AY1302" s="5">
        <f>IF(T1302&gt;0,RANK(T1302,(N1302:P1302,Q1302:AE1302)),0)</f>
        <v>0</v>
      </c>
      <c r="AZ1302" s="5">
        <f>IF(S1302&gt;0,RANK(S1302,(N1302:P1302,Q1302:AE1302)),0)</f>
        <v>5</v>
      </c>
      <c r="BA1302" s="2">
        <f t="shared" si="550"/>
        <v>3.8776272452548298E-2</v>
      </c>
      <c r="BB1302" s="2">
        <f t="shared" si="551"/>
        <v>1.0780618654714611E-2</v>
      </c>
      <c r="BC1302" s="2">
        <f t="shared" si="552"/>
        <v>0</v>
      </c>
      <c r="BD1302" s="2">
        <f t="shared" si="553"/>
        <v>3.4294251468540964E-3</v>
      </c>
      <c r="BF1302" t="s">
        <v>1197</v>
      </c>
      <c r="BG1302" t="s">
        <v>3114</v>
      </c>
      <c r="BH1302" s="8">
        <v>3</v>
      </c>
      <c r="BJ1302" s="114">
        <v>26</v>
      </c>
      <c r="BK1302" s="116">
        <v>25</v>
      </c>
      <c r="BL1302" s="120">
        <f t="shared" si="531"/>
        <v>26025</v>
      </c>
      <c r="BN1302" s="5" t="s">
        <v>3154</v>
      </c>
      <c r="BY1302" s="63">
        <f t="shared" si="554"/>
        <v>58902</v>
      </c>
      <c r="BZ1302" s="132"/>
      <c r="CB1302" s="132"/>
      <c r="CD1302" s="63">
        <v>0</v>
      </c>
      <c r="CE1302" s="63">
        <v>0</v>
      </c>
    </row>
    <row r="1303" spans="1:83" ht="13" hidden="1" customHeight="1" outlineLevel="1">
      <c r="A1303" t="s">
        <v>339</v>
      </c>
      <c r="B1303" t="s">
        <v>3114</v>
      </c>
      <c r="C1303" s="1">
        <f t="shared" si="545"/>
        <v>22595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6</v>
      </c>
      <c r="G1303" s="132">
        <f t="shared" si="543"/>
        <v>6973</v>
      </c>
      <c r="H1303" s="137">
        <f t="shared" si="544"/>
        <v>0.30860809913697723</v>
      </c>
      <c r="I1303" s="2"/>
      <c r="J1303" s="2">
        <f t="shared" si="546"/>
        <v>0.32175260013277274</v>
      </c>
      <c r="K1303" s="2">
        <f t="shared" si="547"/>
        <v>0.63036069926974991</v>
      </c>
      <c r="L1303" s="2">
        <f t="shared" si="548"/>
        <v>7.5237884487718519E-4</v>
      </c>
      <c r="M1303" s="2">
        <f t="shared" si="549"/>
        <v>4.7134321752600163E-2</v>
      </c>
      <c r="N1303" s="63">
        <v>7270</v>
      </c>
      <c r="O1303" s="63">
        <v>14243</v>
      </c>
      <c r="P1303" s="63">
        <v>17</v>
      </c>
      <c r="Q1303" s="63">
        <v>753</v>
      </c>
      <c r="R1303" s="63">
        <v>199</v>
      </c>
      <c r="S1303" s="63">
        <v>100</v>
      </c>
      <c r="T1303" s="63"/>
      <c r="U1303" s="63">
        <v>9</v>
      </c>
      <c r="V1303" s="63"/>
      <c r="W1303" s="63">
        <f>IF(Copyright!B$11=1,IF(CA1303&gt;0,CA1303-P1303-SUM(V1303)-SUM(Y1303:AG1303)-SUM(AH1303:AQ1303),SUM(CC1303:CJ1303)),SUM(CC1303:CJ1303))</f>
        <v>2</v>
      </c>
      <c r="X1303" s="63"/>
      <c r="Y1303" s="63">
        <v>0</v>
      </c>
      <c r="Z1303" s="63"/>
      <c r="AA1303" s="63">
        <v>0</v>
      </c>
      <c r="AB1303" s="63"/>
      <c r="AC1303" s="63"/>
      <c r="AD1303" s="63"/>
      <c r="AE1303" s="63">
        <v>0</v>
      </c>
      <c r="AF1303" s="63"/>
      <c r="AG1303" s="63"/>
      <c r="AH1303" s="63"/>
      <c r="AI1303" s="63"/>
      <c r="AJ1303" s="63"/>
      <c r="AK1303" s="63"/>
      <c r="AL1303" s="63"/>
      <c r="AM1303" s="63"/>
      <c r="AN1303" s="63">
        <v>2</v>
      </c>
      <c r="AO1303" s="63"/>
      <c r="AP1303" s="63"/>
      <c r="AQ1303" s="63"/>
      <c r="AR1303" s="63"/>
      <c r="AS1303" s="63"/>
      <c r="AT1303" s="63"/>
      <c r="AU1303" s="63"/>
      <c r="AW1303" s="5">
        <f>IF(Q1303&gt;0,RANK(Q1303,(N1303:P1303,Q1303:AE1303)),0)</f>
        <v>3</v>
      </c>
      <c r="AX1303" s="5">
        <f>IF(R1303&gt;0,RANK(R1303,(N1303:P1303,Q1303:AE1303)),0)</f>
        <v>4</v>
      </c>
      <c r="AY1303" s="5">
        <f>IF(T1303&gt;0,RANK(T1303,(N1303:P1303,Q1303:AE1303)),0)</f>
        <v>0</v>
      </c>
      <c r="AZ1303" s="5">
        <f>IF(S1303&gt;0,RANK(S1303,(N1303:P1303,Q1303:AE1303)),0)</f>
        <v>5</v>
      </c>
      <c r="BA1303" s="2">
        <f t="shared" si="550"/>
        <v>3.3325957070148265E-2</v>
      </c>
      <c r="BB1303" s="2">
        <f t="shared" si="551"/>
        <v>8.8072582429741097E-3</v>
      </c>
      <c r="BC1303" s="2">
        <f t="shared" si="552"/>
        <v>0</v>
      </c>
      <c r="BD1303" s="2">
        <f t="shared" si="553"/>
        <v>4.4257579110422657E-3</v>
      </c>
      <c r="BF1303" t="s">
        <v>339</v>
      </c>
      <c r="BG1303" t="s">
        <v>3114</v>
      </c>
      <c r="BH1303" s="8">
        <v>6</v>
      </c>
      <c r="BJ1303" s="114">
        <v>26</v>
      </c>
      <c r="BK1303" s="116">
        <v>27</v>
      </c>
      <c r="BL1303" s="120">
        <f t="shared" si="531"/>
        <v>26027</v>
      </c>
      <c r="BN1303" s="5" t="s">
        <v>3154</v>
      </c>
      <c r="BY1303" s="63">
        <f t="shared" si="554"/>
        <v>22595</v>
      </c>
      <c r="BZ1303" s="132"/>
      <c r="CB1303" s="132"/>
      <c r="CD1303" s="63">
        <v>2</v>
      </c>
      <c r="CE1303" s="63">
        <v>0</v>
      </c>
    </row>
    <row r="1304" spans="1:83" ht="13" hidden="1" customHeight="1" outlineLevel="1">
      <c r="A1304" t="s">
        <v>2604</v>
      </c>
      <c r="B1304" t="s">
        <v>3114</v>
      </c>
      <c r="C1304" s="1">
        <f t="shared" si="545"/>
        <v>14654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7</v>
      </c>
      <c r="G1304" s="132">
        <f t="shared" si="543"/>
        <v>3537</v>
      </c>
      <c r="H1304" s="137">
        <f t="shared" si="544"/>
        <v>0.24136754469769348</v>
      </c>
      <c r="I1304" s="2"/>
      <c r="J1304" s="2">
        <f t="shared" si="546"/>
        <v>0.35055275010236114</v>
      </c>
      <c r="K1304" s="2">
        <f t="shared" si="547"/>
        <v>0.59192029480005459</v>
      </c>
      <c r="L1304" s="2">
        <f t="shared" si="548"/>
        <v>1.5012965743141805E-3</v>
      </c>
      <c r="M1304" s="2">
        <f t="shared" si="549"/>
        <v>5.6025658523270142E-2</v>
      </c>
      <c r="N1304" s="63">
        <v>5137</v>
      </c>
      <c r="O1304" s="63">
        <v>8674</v>
      </c>
      <c r="P1304" s="63">
        <v>22</v>
      </c>
      <c r="Q1304" s="63">
        <v>532</v>
      </c>
      <c r="R1304" s="63">
        <v>178</v>
      </c>
      <c r="S1304" s="63">
        <v>34</v>
      </c>
      <c r="T1304" s="63"/>
      <c r="U1304" s="63">
        <v>12</v>
      </c>
      <c r="V1304" s="63"/>
      <c r="W1304" s="63">
        <f>IF(Copyright!B$11=1,IF(CA1304&gt;0,CA1304-P1304-SUM(V1304)-SUM(Y1304:AG1304)-SUM(AH1304:AQ1304),SUM(CC1304:CJ1304)),SUM(CC1304:CJ1304))</f>
        <v>65</v>
      </c>
      <c r="X1304" s="63"/>
      <c r="Y1304" s="63">
        <v>0</v>
      </c>
      <c r="Z1304" s="63"/>
      <c r="AA1304" s="63">
        <v>0</v>
      </c>
      <c r="AB1304" s="63"/>
      <c r="AC1304" s="63"/>
      <c r="AD1304" s="63"/>
      <c r="AE1304" s="63">
        <v>0</v>
      </c>
      <c r="AF1304" s="63"/>
      <c r="AG1304" s="63"/>
      <c r="AH1304" s="63"/>
      <c r="AI1304" s="63"/>
      <c r="AJ1304" s="63"/>
      <c r="AK1304" s="63"/>
      <c r="AL1304" s="63"/>
      <c r="AM1304" s="63"/>
      <c r="AN1304" s="63">
        <v>0</v>
      </c>
      <c r="AO1304" s="63"/>
      <c r="AP1304" s="63"/>
      <c r="AQ1304" s="63"/>
      <c r="AR1304" s="63"/>
      <c r="AS1304" s="63"/>
      <c r="AT1304" s="63"/>
      <c r="AU1304" s="63"/>
      <c r="AW1304" s="5">
        <f>IF(Q1304&gt;0,RANK(Q1304,(N1304:P1304,Q1304:AE1304)),0)</f>
        <v>3</v>
      </c>
      <c r="AX1304" s="5">
        <f>IF(R1304&gt;0,RANK(R1304,(N1304:P1304,Q1304:AE1304)),0)</f>
        <v>4</v>
      </c>
      <c r="AY1304" s="5">
        <f>IF(T1304&gt;0,RANK(T1304,(N1304:P1304,Q1304:AE1304)),0)</f>
        <v>0</v>
      </c>
      <c r="AZ1304" s="5">
        <f>IF(S1304&gt;0,RANK(S1304,(N1304:P1304,Q1304:AE1304)),0)</f>
        <v>6</v>
      </c>
      <c r="BA1304" s="2">
        <f t="shared" si="550"/>
        <v>3.6304080797051996E-2</v>
      </c>
      <c r="BB1304" s="2">
        <f t="shared" si="551"/>
        <v>1.2146854101269278E-2</v>
      </c>
      <c r="BC1304" s="2">
        <f t="shared" si="552"/>
        <v>0</v>
      </c>
      <c r="BD1304" s="2">
        <f t="shared" si="553"/>
        <v>2.3201856148491878E-3</v>
      </c>
      <c r="BF1304" t="s">
        <v>2604</v>
      </c>
      <c r="BG1304" t="s">
        <v>3114</v>
      </c>
      <c r="BH1304" s="8">
        <v>1</v>
      </c>
      <c r="BJ1304" s="114">
        <v>26</v>
      </c>
      <c r="BK1304" s="116">
        <v>29</v>
      </c>
      <c r="BL1304" s="120">
        <f t="shared" si="531"/>
        <v>26029</v>
      </c>
      <c r="BN1304" s="5" t="s">
        <v>3154</v>
      </c>
      <c r="BY1304" s="63">
        <f t="shared" si="554"/>
        <v>0</v>
      </c>
      <c r="BZ1304" s="132">
        <v>14654</v>
      </c>
      <c r="CA1304" s="63">
        <f>65+22</f>
        <v>87</v>
      </c>
      <c r="CB1304" s="132"/>
      <c r="CD1304" s="63">
        <v>0</v>
      </c>
      <c r="CE1304" s="63">
        <v>0</v>
      </c>
    </row>
    <row r="1305" spans="1:83" ht="13" hidden="1" customHeight="1" outlineLevel="1">
      <c r="A1305" t="s">
        <v>2859</v>
      </c>
      <c r="B1305" t="s">
        <v>3114</v>
      </c>
      <c r="C1305" s="1">
        <f t="shared" si="545"/>
        <v>13672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6</v>
      </c>
      <c r="G1305" s="132">
        <f t="shared" si="543"/>
        <v>4381</v>
      </c>
      <c r="H1305" s="137">
        <f t="shared" si="544"/>
        <v>0.32043592744294908</v>
      </c>
      <c r="I1305" s="2"/>
      <c r="J1305" s="2">
        <f t="shared" si="546"/>
        <v>0.31465769455822118</v>
      </c>
      <c r="K1305" s="2">
        <f t="shared" si="547"/>
        <v>0.63509362200117025</v>
      </c>
      <c r="L1305" s="2">
        <f t="shared" si="548"/>
        <v>1.4628437682855471E-3</v>
      </c>
      <c r="M1305" s="2">
        <f t="shared" si="549"/>
        <v>4.8785839672323077E-2</v>
      </c>
      <c r="N1305" s="63">
        <v>4302</v>
      </c>
      <c r="O1305" s="63">
        <v>8683</v>
      </c>
      <c r="P1305" s="63">
        <v>20</v>
      </c>
      <c r="Q1305" s="63">
        <v>463</v>
      </c>
      <c r="R1305" s="63">
        <v>140</v>
      </c>
      <c r="S1305" s="63">
        <v>58</v>
      </c>
      <c r="T1305" s="63"/>
      <c r="U1305" s="63">
        <v>4</v>
      </c>
      <c r="V1305" s="63"/>
      <c r="W1305" s="63">
        <f>IF(Copyright!B$11=1,IF(CA1305&gt;0,CA1305-P1305-SUM(V1305)-SUM(Y1305:AG1305)-SUM(AH1305:AQ1305),SUM(CC1305:CJ1305)),SUM(CC1305:CJ1305))</f>
        <v>0</v>
      </c>
      <c r="X1305" s="63"/>
      <c r="Y1305" s="63">
        <v>0</v>
      </c>
      <c r="Z1305" s="63"/>
      <c r="AA1305" s="63">
        <v>0</v>
      </c>
      <c r="AB1305" s="63"/>
      <c r="AC1305" s="63"/>
      <c r="AD1305" s="63"/>
      <c r="AE1305" s="63">
        <v>0</v>
      </c>
      <c r="AF1305" s="63"/>
      <c r="AG1305" s="63"/>
      <c r="AH1305" s="63"/>
      <c r="AI1305" s="63"/>
      <c r="AJ1305" s="63"/>
      <c r="AK1305" s="63"/>
      <c r="AL1305" s="63"/>
      <c r="AM1305" s="63"/>
      <c r="AN1305" s="63">
        <v>2</v>
      </c>
      <c r="AO1305" s="63"/>
      <c r="AP1305" s="63"/>
      <c r="AQ1305" s="63"/>
      <c r="AR1305" s="63"/>
      <c r="AS1305" s="63"/>
      <c r="AT1305" s="63"/>
      <c r="AU1305" s="63"/>
      <c r="AW1305" s="5">
        <f>IF(Q1305&gt;0,RANK(Q1305,(N1305:P1305,Q1305:AE1305)),0)</f>
        <v>3</v>
      </c>
      <c r="AX1305" s="5">
        <f>IF(R1305&gt;0,RANK(R1305,(N1305:P1305,Q1305:AE1305)),0)</f>
        <v>4</v>
      </c>
      <c r="AY1305" s="5">
        <f>IF(T1305&gt;0,RANK(T1305,(N1305:P1305,Q1305:AE1305)),0)</f>
        <v>0</v>
      </c>
      <c r="AZ1305" s="5">
        <f>IF(S1305&gt;0,RANK(S1305,(N1305:P1305,Q1305:AE1305)),0)</f>
        <v>5</v>
      </c>
      <c r="BA1305" s="2">
        <f t="shared" si="550"/>
        <v>3.3864833235810417E-2</v>
      </c>
      <c r="BB1305" s="2">
        <f t="shared" si="551"/>
        <v>1.023990637799883E-2</v>
      </c>
      <c r="BC1305" s="2">
        <f t="shared" si="552"/>
        <v>0</v>
      </c>
      <c r="BD1305" s="2">
        <f t="shared" si="553"/>
        <v>4.2422469280280865E-3</v>
      </c>
      <c r="BF1305" t="s">
        <v>2859</v>
      </c>
      <c r="BG1305" t="s">
        <v>3114</v>
      </c>
      <c r="BH1305" s="8">
        <v>1</v>
      </c>
      <c r="BJ1305" s="114">
        <v>26</v>
      </c>
      <c r="BK1305" s="116">
        <v>31</v>
      </c>
      <c r="BL1305" s="120">
        <f t="shared" si="531"/>
        <v>26031</v>
      </c>
      <c r="BN1305" s="5" t="s">
        <v>3154</v>
      </c>
      <c r="BY1305" s="63">
        <f t="shared" si="554"/>
        <v>13672</v>
      </c>
      <c r="BZ1305" s="132"/>
      <c r="CB1305" s="132"/>
      <c r="CD1305" s="63">
        <v>0</v>
      </c>
      <c r="CE1305" s="63">
        <v>0</v>
      </c>
    </row>
    <row r="1306" spans="1:83" ht="13" hidden="1" customHeight="1" outlineLevel="1">
      <c r="A1306" t="s">
        <v>1625</v>
      </c>
      <c r="B1306" t="s">
        <v>3114</v>
      </c>
      <c r="C1306" s="1">
        <f t="shared" si="545"/>
        <v>15552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7</v>
      </c>
      <c r="G1306" s="132">
        <f t="shared" si="543"/>
        <v>3743</v>
      </c>
      <c r="H1306" s="137">
        <f t="shared" si="544"/>
        <v>0.24067644032921812</v>
      </c>
      <c r="I1306" s="2"/>
      <c r="J1306" s="2">
        <f t="shared" si="546"/>
        <v>0.34587191358024694</v>
      </c>
      <c r="K1306" s="2">
        <f t="shared" si="547"/>
        <v>0.58654835390946503</v>
      </c>
      <c r="L1306" s="2">
        <f t="shared" si="548"/>
        <v>1.1574074074074073E-3</v>
      </c>
      <c r="M1306" s="2">
        <f t="shared" si="549"/>
        <v>6.6422325102880625E-2</v>
      </c>
      <c r="N1306" s="63">
        <v>5379</v>
      </c>
      <c r="O1306" s="63">
        <v>9122</v>
      </c>
      <c r="P1306" s="63">
        <v>18</v>
      </c>
      <c r="Q1306" s="63">
        <v>583</v>
      </c>
      <c r="R1306" s="63">
        <v>243</v>
      </c>
      <c r="S1306" s="63">
        <v>105</v>
      </c>
      <c r="T1306" s="63"/>
      <c r="U1306" s="63">
        <v>5</v>
      </c>
      <c r="V1306" s="63"/>
      <c r="W1306" s="63">
        <f>IF(Copyright!B$11=1,IF(CA1306&gt;0,CA1306-P1306-SUM(V1306)-SUM(Y1306:AG1306)-SUM(AH1306:AQ1306),SUM(CC1306:CJ1306)),SUM(CC1306:CJ1306))</f>
        <v>96</v>
      </c>
      <c r="X1306" s="63"/>
      <c r="Y1306" s="63">
        <v>0</v>
      </c>
      <c r="Z1306" s="63"/>
      <c r="AA1306" s="63">
        <v>0</v>
      </c>
      <c r="AB1306" s="63"/>
      <c r="AC1306" s="63"/>
      <c r="AD1306" s="63"/>
      <c r="AE1306" s="63">
        <v>0</v>
      </c>
      <c r="AF1306" s="63"/>
      <c r="AG1306" s="63"/>
      <c r="AH1306" s="63"/>
      <c r="AI1306" s="63"/>
      <c r="AJ1306" s="63"/>
      <c r="AK1306" s="63"/>
      <c r="AL1306" s="63"/>
      <c r="AM1306" s="63"/>
      <c r="AN1306" s="63">
        <v>1</v>
      </c>
      <c r="AO1306" s="63"/>
      <c r="AP1306" s="63"/>
      <c r="AQ1306" s="63"/>
      <c r="AR1306" s="63"/>
      <c r="AS1306" s="63"/>
      <c r="AT1306" s="63"/>
      <c r="AU1306" s="63"/>
      <c r="AW1306" s="5">
        <f>IF(Q1306&gt;0,RANK(Q1306,(N1306:P1306,Q1306:AE1306)),0)</f>
        <v>3</v>
      </c>
      <c r="AX1306" s="5">
        <f>IF(R1306&gt;0,RANK(R1306,(N1306:P1306,Q1306:AE1306)),0)</f>
        <v>4</v>
      </c>
      <c r="AY1306" s="5">
        <f>IF(T1306&gt;0,RANK(T1306,(N1306:P1306,Q1306:AE1306)),0)</f>
        <v>0</v>
      </c>
      <c r="AZ1306" s="5">
        <f>IF(S1306&gt;0,RANK(S1306,(N1306:P1306,Q1306:AE1306)),0)</f>
        <v>5</v>
      </c>
      <c r="BA1306" s="2">
        <f t="shared" si="550"/>
        <v>3.7487139917695471E-2</v>
      </c>
      <c r="BB1306" s="2">
        <f t="shared" si="551"/>
        <v>1.5625E-2</v>
      </c>
      <c r="BC1306" s="2">
        <f t="shared" si="552"/>
        <v>0</v>
      </c>
      <c r="BD1306" s="2">
        <f t="shared" si="553"/>
        <v>6.7515432098765428E-3</v>
      </c>
      <c r="BF1306" t="s">
        <v>1625</v>
      </c>
      <c r="BG1306" t="s">
        <v>3114</v>
      </c>
      <c r="BH1306" s="8">
        <v>1</v>
      </c>
      <c r="BJ1306" s="114">
        <v>26</v>
      </c>
      <c r="BK1306" s="116">
        <v>33</v>
      </c>
      <c r="BL1306" s="120">
        <f t="shared" si="531"/>
        <v>26033</v>
      </c>
      <c r="BN1306" s="5" t="s">
        <v>3154</v>
      </c>
      <c r="BY1306" s="63">
        <f t="shared" si="554"/>
        <v>0</v>
      </c>
      <c r="BZ1306" s="132">
        <v>15552</v>
      </c>
      <c r="CA1306" s="132">
        <v>115</v>
      </c>
      <c r="CB1306" s="132"/>
      <c r="CD1306" s="63">
        <v>0</v>
      </c>
      <c r="CE1306" s="63">
        <v>0</v>
      </c>
    </row>
    <row r="1307" spans="1:83" ht="13" hidden="1" customHeight="1" outlineLevel="1">
      <c r="A1307" t="s">
        <v>1250</v>
      </c>
      <c r="B1307" t="s">
        <v>3114</v>
      </c>
      <c r="C1307" s="1">
        <f t="shared" si="545"/>
        <v>13449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7</v>
      </c>
      <c r="G1307" s="132">
        <f t="shared" si="543"/>
        <v>4256</v>
      </c>
      <c r="H1307" s="137">
        <f t="shared" si="544"/>
        <v>0.31645475500037179</v>
      </c>
      <c r="I1307" s="2"/>
      <c r="J1307" s="2">
        <f t="shared" si="546"/>
        <v>0.31593427020596326</v>
      </c>
      <c r="K1307" s="2">
        <f t="shared" si="547"/>
        <v>0.632389025206335</v>
      </c>
      <c r="L1307" s="2">
        <f t="shared" si="548"/>
        <v>4.4612982377871963E-4</v>
      </c>
      <c r="M1307" s="2">
        <f t="shared" si="549"/>
        <v>5.1230574763922961E-2</v>
      </c>
      <c r="N1307" s="63">
        <v>4249</v>
      </c>
      <c r="O1307" s="63">
        <v>8505</v>
      </c>
      <c r="P1307" s="63">
        <v>6</v>
      </c>
      <c r="Q1307" s="63">
        <v>435</v>
      </c>
      <c r="R1307" s="63">
        <v>120</v>
      </c>
      <c r="S1307" s="63">
        <v>67</v>
      </c>
      <c r="T1307" s="63"/>
      <c r="U1307" s="63">
        <v>6</v>
      </c>
      <c r="V1307" s="63"/>
      <c r="W1307" s="63">
        <f>IF(Copyright!B$11=1,IF(CA1307&gt;0,CA1307-P1307-SUM(V1307)-SUM(Y1307:AG1307)-SUM(AH1307:AQ1307),SUM(CC1307:CJ1307)),SUM(CC1307:CJ1307))</f>
        <v>60</v>
      </c>
      <c r="X1307" s="63"/>
      <c r="Y1307" s="63">
        <v>0</v>
      </c>
      <c r="Z1307" s="63"/>
      <c r="AA1307" s="63">
        <v>0</v>
      </c>
      <c r="AB1307" s="63"/>
      <c r="AC1307" s="63"/>
      <c r="AD1307" s="63"/>
      <c r="AE1307" s="63">
        <v>0</v>
      </c>
      <c r="AF1307" s="63"/>
      <c r="AG1307" s="63"/>
      <c r="AH1307" s="63"/>
      <c r="AI1307" s="63"/>
      <c r="AJ1307" s="63"/>
      <c r="AK1307" s="63"/>
      <c r="AL1307" s="63"/>
      <c r="AM1307" s="63"/>
      <c r="AN1307" s="63">
        <v>1</v>
      </c>
      <c r="AO1307" s="63"/>
      <c r="AP1307" s="63"/>
      <c r="AQ1307" s="63"/>
      <c r="AR1307" s="63"/>
      <c r="AS1307" s="63"/>
      <c r="AT1307" s="63"/>
      <c r="AU1307" s="63"/>
      <c r="AW1307" s="5">
        <f>IF(Q1307&gt;0,RANK(Q1307,(N1307:P1307,Q1307:AE1307)),0)</f>
        <v>3</v>
      </c>
      <c r="AX1307" s="5">
        <f>IF(R1307&gt;0,RANK(R1307,(N1307:P1307,Q1307:AE1307)),0)</f>
        <v>4</v>
      </c>
      <c r="AY1307" s="5">
        <f>IF(T1307&gt;0,RANK(T1307,(N1307:P1307,Q1307:AE1307)),0)</f>
        <v>0</v>
      </c>
      <c r="AZ1307" s="5">
        <f>IF(S1307&gt;0,RANK(S1307,(N1307:P1307,Q1307:AE1307)),0)</f>
        <v>5</v>
      </c>
      <c r="BA1307" s="2">
        <f t="shared" si="550"/>
        <v>3.2344412223957168E-2</v>
      </c>
      <c r="BB1307" s="2">
        <f t="shared" si="551"/>
        <v>8.922596475574392E-3</v>
      </c>
      <c r="BC1307" s="2">
        <f t="shared" si="552"/>
        <v>0</v>
      </c>
      <c r="BD1307" s="2">
        <f t="shared" si="553"/>
        <v>4.9817830321957019E-3</v>
      </c>
      <c r="BF1307" t="s">
        <v>1250</v>
      </c>
      <c r="BG1307" t="s">
        <v>3114</v>
      </c>
      <c r="BH1307" s="8">
        <v>4</v>
      </c>
      <c r="BJ1307" s="114">
        <v>26</v>
      </c>
      <c r="BK1307" s="116">
        <v>35</v>
      </c>
      <c r="BL1307" s="120">
        <f t="shared" si="531"/>
        <v>26035</v>
      </c>
      <c r="BN1307" s="5" t="s">
        <v>3154</v>
      </c>
      <c r="BY1307" s="63">
        <f t="shared" si="554"/>
        <v>0</v>
      </c>
      <c r="BZ1307" s="132">
        <f>13452-3</f>
        <v>13449</v>
      </c>
      <c r="CA1307" s="132">
        <v>67</v>
      </c>
      <c r="CB1307" s="132"/>
      <c r="CD1307" s="63">
        <v>0</v>
      </c>
      <c r="CE1307" s="63">
        <v>0</v>
      </c>
    </row>
    <row r="1308" spans="1:83" ht="13" hidden="1" customHeight="1" outlineLevel="1">
      <c r="A1308" t="s">
        <v>1285</v>
      </c>
      <c r="B1308" t="s">
        <v>3114</v>
      </c>
      <c r="C1308" s="1">
        <f t="shared" si="545"/>
        <v>40937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7</v>
      </c>
      <c r="G1308" s="132">
        <f t="shared" si="543"/>
        <v>5144</v>
      </c>
      <c r="H1308" s="137">
        <f t="shared" si="544"/>
        <v>0.12565649656789701</v>
      </c>
      <c r="I1308" s="2"/>
      <c r="J1308" s="2">
        <f t="shared" si="546"/>
        <v>0.40286293573051274</v>
      </c>
      <c r="K1308" s="2">
        <f t="shared" si="547"/>
        <v>0.5285194322984097</v>
      </c>
      <c r="L1308" s="2">
        <f t="shared" si="548"/>
        <v>1.5145223147763637E-3</v>
      </c>
      <c r="M1308" s="2">
        <f t="shared" si="549"/>
        <v>6.7103109656301257E-2</v>
      </c>
      <c r="N1308" s="63">
        <v>16492</v>
      </c>
      <c r="O1308" s="63">
        <v>21636</v>
      </c>
      <c r="P1308" s="63">
        <v>62</v>
      </c>
      <c r="Q1308" s="63">
        <v>1886</v>
      </c>
      <c r="R1308" s="63">
        <v>379</v>
      </c>
      <c r="S1308" s="63">
        <v>157</v>
      </c>
      <c r="T1308" s="63"/>
      <c r="U1308" s="63">
        <v>18</v>
      </c>
      <c r="V1308" s="63"/>
      <c r="W1308" s="63">
        <f>IF(Copyright!B$11=1,IF(CA1308&gt;0,CA1308-P1308-SUM(V1308)-SUM(Y1308:AG1308)-SUM(AH1308:AQ1308),SUM(CC1308:CJ1308)),SUM(CC1308:CJ1308))</f>
        <v>286</v>
      </c>
      <c r="X1308" s="63"/>
      <c r="Y1308" s="63">
        <v>3</v>
      </c>
      <c r="Z1308" s="63"/>
      <c r="AA1308" s="63">
        <v>0</v>
      </c>
      <c r="AB1308" s="63"/>
      <c r="AC1308" s="63"/>
      <c r="AD1308" s="63"/>
      <c r="AE1308" s="63">
        <v>0</v>
      </c>
      <c r="AF1308" s="63"/>
      <c r="AG1308" s="63"/>
      <c r="AH1308" s="63"/>
      <c r="AI1308" s="63"/>
      <c r="AJ1308" s="63"/>
      <c r="AK1308" s="63"/>
      <c r="AL1308" s="63"/>
      <c r="AM1308" s="63"/>
      <c r="AN1308" s="63">
        <v>18</v>
      </c>
      <c r="AO1308" s="63"/>
      <c r="AP1308" s="63"/>
      <c r="AQ1308" s="63"/>
      <c r="AR1308" s="63"/>
      <c r="AS1308" s="63"/>
      <c r="AT1308" s="63"/>
      <c r="AU1308" s="63"/>
      <c r="AW1308" s="5">
        <f>IF(Q1308&gt;0,RANK(Q1308,(N1308:P1308,Q1308:AE1308)),0)</f>
        <v>3</v>
      </c>
      <c r="AX1308" s="5">
        <f>IF(R1308&gt;0,RANK(R1308,(N1308:P1308,Q1308:AE1308)),0)</f>
        <v>4</v>
      </c>
      <c r="AY1308" s="5">
        <f>IF(T1308&gt;0,RANK(T1308,(N1308:P1308,Q1308:AE1308)),0)</f>
        <v>0</v>
      </c>
      <c r="AZ1308" s="5">
        <f>IF(S1308&gt;0,RANK(S1308,(N1308:P1308,Q1308:AE1308)),0)</f>
        <v>6</v>
      </c>
      <c r="BA1308" s="2">
        <f t="shared" si="550"/>
        <v>4.607079170432616E-2</v>
      </c>
      <c r="BB1308" s="2">
        <f t="shared" si="551"/>
        <v>9.2581283435522882E-3</v>
      </c>
      <c r="BC1308" s="2">
        <f t="shared" si="552"/>
        <v>0</v>
      </c>
      <c r="BD1308" s="2">
        <f t="shared" si="553"/>
        <v>3.8351613454820823E-3</v>
      </c>
      <c r="BF1308" t="s">
        <v>1285</v>
      </c>
      <c r="BG1308" t="s">
        <v>3114</v>
      </c>
      <c r="BH1308" s="8">
        <v>4</v>
      </c>
      <c r="BJ1308" s="114">
        <v>26</v>
      </c>
      <c r="BK1308" s="116">
        <v>37</v>
      </c>
      <c r="BL1308" s="120">
        <f t="shared" si="531"/>
        <v>26037</v>
      </c>
      <c r="BN1308" s="5" t="s">
        <v>3154</v>
      </c>
      <c r="BY1308" s="63">
        <f t="shared" si="554"/>
        <v>0</v>
      </c>
      <c r="BZ1308" s="63">
        <v>40937</v>
      </c>
      <c r="CA1308" s="63">
        <v>369</v>
      </c>
      <c r="CB1308" s="132"/>
      <c r="CD1308" s="63">
        <v>0</v>
      </c>
      <c r="CE1308" s="63">
        <v>4</v>
      </c>
    </row>
    <row r="1309" spans="1:83" ht="13" hidden="1" customHeight="1" outlineLevel="1">
      <c r="A1309" t="s">
        <v>1875</v>
      </c>
      <c r="B1309" t="s">
        <v>3114</v>
      </c>
      <c r="C1309" s="1">
        <f t="shared" si="545"/>
        <v>6844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6</v>
      </c>
      <c r="G1309" s="132">
        <f t="shared" si="543"/>
        <v>2244</v>
      </c>
      <c r="H1309" s="137">
        <f t="shared" si="544"/>
        <v>0.32787843366452368</v>
      </c>
      <c r="I1309" s="2"/>
      <c r="J1309" s="2">
        <f t="shared" si="546"/>
        <v>0.30829924021040328</v>
      </c>
      <c r="K1309" s="2">
        <f t="shared" si="547"/>
        <v>0.63617767387492696</v>
      </c>
      <c r="L1309" s="2">
        <f t="shared" si="548"/>
        <v>1.4611338398597311E-3</v>
      </c>
      <c r="M1309" s="2">
        <f t="shared" si="549"/>
        <v>5.4061952074810078E-2</v>
      </c>
      <c r="N1309" s="63">
        <v>2110</v>
      </c>
      <c r="O1309" s="63">
        <v>4354</v>
      </c>
      <c r="P1309" s="63">
        <v>10</v>
      </c>
      <c r="Q1309" s="63">
        <v>267</v>
      </c>
      <c r="R1309" s="63">
        <v>66</v>
      </c>
      <c r="S1309" s="63">
        <v>34</v>
      </c>
      <c r="T1309" s="63"/>
      <c r="U1309" s="63">
        <v>2</v>
      </c>
      <c r="V1309" s="63"/>
      <c r="W1309" s="63">
        <f>IF(Copyright!B$11=1,IF(CA1309&gt;0,CA1309-P1309-SUM(V1309)-SUM(Y1309:AG1309)-SUM(AH1309:AQ1309),SUM(CC1309:CJ1309)),SUM(CC1309:CJ1309))</f>
        <v>0</v>
      </c>
      <c r="X1309" s="63"/>
      <c r="Y1309" s="63">
        <v>0</v>
      </c>
      <c r="Z1309" s="63"/>
      <c r="AA1309" s="63">
        <v>0</v>
      </c>
      <c r="AB1309" s="63"/>
      <c r="AC1309" s="63"/>
      <c r="AD1309" s="63"/>
      <c r="AE1309" s="63">
        <v>0</v>
      </c>
      <c r="AF1309" s="63"/>
      <c r="AG1309" s="63"/>
      <c r="AH1309" s="63"/>
      <c r="AI1309" s="63"/>
      <c r="AJ1309" s="63"/>
      <c r="AK1309" s="63"/>
      <c r="AL1309" s="63"/>
      <c r="AM1309" s="63"/>
      <c r="AN1309" s="63">
        <v>1</v>
      </c>
      <c r="AO1309" s="63"/>
      <c r="AP1309" s="63"/>
      <c r="AQ1309" s="63"/>
      <c r="AR1309" s="63"/>
      <c r="AS1309" s="63"/>
      <c r="AT1309" s="63"/>
      <c r="AU1309" s="63"/>
      <c r="AW1309" s="5">
        <f>IF(Q1309&gt;0,RANK(Q1309,(N1309:P1309,Q1309:AE1309)),0)</f>
        <v>3</v>
      </c>
      <c r="AX1309" s="5">
        <f>IF(R1309&gt;0,RANK(R1309,(N1309:P1309,Q1309:AE1309)),0)</f>
        <v>4</v>
      </c>
      <c r="AY1309" s="5">
        <f>IF(T1309&gt;0,RANK(T1309,(N1309:P1309,Q1309:AE1309)),0)</f>
        <v>0</v>
      </c>
      <c r="AZ1309" s="5">
        <f>IF(S1309&gt;0,RANK(S1309,(N1309:P1309,Q1309:AE1309)),0)</f>
        <v>5</v>
      </c>
      <c r="BA1309" s="2">
        <f t="shared" si="550"/>
        <v>3.901227352425482E-2</v>
      </c>
      <c r="BB1309" s="2">
        <f t="shared" si="551"/>
        <v>9.6434833430742248E-3</v>
      </c>
      <c r="BC1309" s="2">
        <f t="shared" si="552"/>
        <v>0</v>
      </c>
      <c r="BD1309" s="2">
        <f t="shared" si="553"/>
        <v>4.9678550555230863E-3</v>
      </c>
      <c r="BF1309" t="s">
        <v>1875</v>
      </c>
      <c r="BG1309" t="s">
        <v>3114</v>
      </c>
      <c r="BH1309" s="8">
        <v>1</v>
      </c>
      <c r="BJ1309" s="114">
        <v>26</v>
      </c>
      <c r="BK1309" s="116">
        <v>39</v>
      </c>
      <c r="BL1309" s="120">
        <f t="shared" si="531"/>
        <v>26039</v>
      </c>
      <c r="BN1309" s="5" t="s">
        <v>3154</v>
      </c>
      <c r="BY1309" s="63">
        <f t="shared" si="554"/>
        <v>6844</v>
      </c>
      <c r="CB1309" s="132"/>
      <c r="CD1309" s="63">
        <v>0</v>
      </c>
      <c r="CE1309" s="63">
        <v>0</v>
      </c>
    </row>
    <row r="1310" spans="1:83" ht="13" hidden="1" customHeight="1" outlineLevel="1">
      <c r="A1310" t="s">
        <v>2632</v>
      </c>
      <c r="B1310" t="s">
        <v>3114</v>
      </c>
      <c r="C1310" s="1">
        <f t="shared" si="545"/>
        <v>18594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8</v>
      </c>
      <c r="G1310" s="132">
        <f t="shared" si="543"/>
        <v>4685</v>
      </c>
      <c r="H1310" s="137">
        <f t="shared" si="544"/>
        <v>0.25196299881682266</v>
      </c>
      <c r="I1310" s="2"/>
      <c r="J1310" s="2">
        <f t="shared" si="546"/>
        <v>0.34613316123480692</v>
      </c>
      <c r="K1310" s="2">
        <f t="shared" si="547"/>
        <v>0.59809616005162958</v>
      </c>
      <c r="L1310" s="2">
        <f t="shared" si="548"/>
        <v>5.9158868452188881E-4</v>
      </c>
      <c r="M1310" s="2">
        <f t="shared" si="549"/>
        <v>5.5179090029041672E-2</v>
      </c>
      <c r="N1310" s="63">
        <v>6436</v>
      </c>
      <c r="O1310" s="63">
        <v>11121</v>
      </c>
      <c r="P1310" s="63">
        <v>11</v>
      </c>
      <c r="Q1310" s="63">
        <v>660</v>
      </c>
      <c r="R1310" s="63">
        <v>182</v>
      </c>
      <c r="S1310" s="63">
        <v>68</v>
      </c>
      <c r="T1310" s="63"/>
      <c r="U1310" s="63">
        <v>14</v>
      </c>
      <c r="V1310" s="63"/>
      <c r="W1310" s="63">
        <f>IF(Copyright!B$11=1,IF(CA1310&gt;0,CA1310-P1310-SUM(V1310)-SUM(Y1310:AG1310)-SUM(AH1310:AQ1310),SUM(CC1310:CJ1310)),SUM(CC1310:CJ1310))</f>
        <v>102</v>
      </c>
      <c r="X1310" s="63"/>
      <c r="Y1310" s="63">
        <v>0</v>
      </c>
      <c r="Z1310" s="63"/>
      <c r="AA1310" s="63">
        <v>0</v>
      </c>
      <c r="AB1310" s="63"/>
      <c r="AC1310" s="63"/>
      <c r="AD1310" s="63"/>
      <c r="AE1310" s="63">
        <v>0</v>
      </c>
      <c r="AF1310" s="63"/>
      <c r="AG1310" s="63"/>
      <c r="AH1310" s="63"/>
      <c r="AI1310" s="63"/>
      <c r="AJ1310" s="63"/>
      <c r="AK1310" s="63"/>
      <c r="AL1310" s="63"/>
      <c r="AM1310" s="63"/>
      <c r="AN1310" s="63">
        <v>0</v>
      </c>
      <c r="AO1310" s="63"/>
      <c r="AP1310" s="63"/>
      <c r="AQ1310" s="63"/>
      <c r="AR1310" s="63"/>
      <c r="AS1310" s="63"/>
      <c r="AT1310" s="63"/>
      <c r="AU1310" s="63"/>
      <c r="AW1310" s="5">
        <f>IF(Q1310&gt;0,RANK(Q1310,(N1310:P1310,Q1310:AE1310)),0)</f>
        <v>3</v>
      </c>
      <c r="AX1310" s="5">
        <f>IF(R1310&gt;0,RANK(R1310,(N1310:P1310,Q1310:AE1310)),0)</f>
        <v>4</v>
      </c>
      <c r="AY1310" s="5">
        <f>IF(T1310&gt;0,RANK(T1310,(N1310:P1310,Q1310:AE1310)),0)</f>
        <v>0</v>
      </c>
      <c r="AZ1310" s="5">
        <f>IF(S1310&gt;0,RANK(S1310,(N1310:P1310,Q1310:AE1310)),0)</f>
        <v>6</v>
      </c>
      <c r="BA1310" s="2">
        <f t="shared" si="550"/>
        <v>3.5495321071313327E-2</v>
      </c>
      <c r="BB1310" s="2">
        <f t="shared" si="551"/>
        <v>9.7881036893621605E-3</v>
      </c>
      <c r="BC1310" s="2">
        <f t="shared" si="552"/>
        <v>0</v>
      </c>
      <c r="BD1310" s="2">
        <f t="shared" si="553"/>
        <v>3.6570936861353123E-3</v>
      </c>
      <c r="BF1310" t="s">
        <v>2632</v>
      </c>
      <c r="BG1310" t="s">
        <v>3114</v>
      </c>
      <c r="BH1310" s="8">
        <v>1</v>
      </c>
      <c r="BJ1310" s="114">
        <v>26</v>
      </c>
      <c r="BK1310" s="116">
        <v>41</v>
      </c>
      <c r="BL1310" s="120">
        <f t="shared" si="531"/>
        <v>26041</v>
      </c>
      <c r="BN1310" s="5" t="s">
        <v>3154</v>
      </c>
      <c r="BY1310" s="63">
        <f t="shared" si="554"/>
        <v>0</v>
      </c>
      <c r="BZ1310" s="63">
        <v>18594</v>
      </c>
      <c r="CA1310" s="63">
        <f>102+11</f>
        <v>113</v>
      </c>
      <c r="CB1310" s="132"/>
      <c r="CD1310" s="63">
        <v>0</v>
      </c>
      <c r="CE1310" s="63">
        <v>0</v>
      </c>
    </row>
    <row r="1311" spans="1:83" ht="13" hidden="1" customHeight="1" outlineLevel="1">
      <c r="A1311" t="s">
        <v>1047</v>
      </c>
      <c r="B1311" t="s">
        <v>3114</v>
      </c>
      <c r="C1311" s="1">
        <f t="shared" si="545"/>
        <v>13232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7</v>
      </c>
      <c r="G1311" s="132">
        <f t="shared" si="543"/>
        <v>4657</v>
      </c>
      <c r="H1311" s="137">
        <f t="shared" si="544"/>
        <v>0.35194981862152358</v>
      </c>
      <c r="I1311" s="2"/>
      <c r="J1311" s="2">
        <f t="shared" si="546"/>
        <v>0.29647823458282951</v>
      </c>
      <c r="K1311" s="2">
        <f t="shared" si="547"/>
        <v>0.64842805320435304</v>
      </c>
      <c r="L1311" s="2">
        <f t="shared" si="548"/>
        <v>1.8893591293833133E-3</v>
      </c>
      <c r="M1311" s="2">
        <f t="shared" si="549"/>
        <v>5.3204353083434131E-2</v>
      </c>
      <c r="N1311" s="63">
        <v>3923</v>
      </c>
      <c r="O1311" s="63">
        <v>8580</v>
      </c>
      <c r="P1311" s="63">
        <v>25</v>
      </c>
      <c r="Q1311" s="63">
        <v>450</v>
      </c>
      <c r="R1311" s="63">
        <v>123</v>
      </c>
      <c r="S1311" s="63">
        <v>56</v>
      </c>
      <c r="T1311" s="63"/>
      <c r="U1311" s="63">
        <v>8</v>
      </c>
      <c r="V1311" s="63"/>
      <c r="W1311" s="63">
        <f>IF(Copyright!B$11=1,IF(CA1311&gt;0,CA1311-P1311-SUM(V1311)-SUM(Y1311:AG1311)-SUM(AH1311:AQ1311),SUM(CC1311:CJ1311)),SUM(CC1311:CJ1311))</f>
        <v>67</v>
      </c>
      <c r="X1311" s="63"/>
      <c r="Y1311" s="63">
        <v>0</v>
      </c>
      <c r="Z1311" s="63"/>
      <c r="AA1311" s="63">
        <v>0</v>
      </c>
      <c r="AB1311" s="63"/>
      <c r="AC1311" s="63"/>
      <c r="AD1311" s="63"/>
      <c r="AE1311" s="63">
        <v>0</v>
      </c>
      <c r="AF1311" s="63"/>
      <c r="AG1311" s="63"/>
      <c r="AH1311" s="63"/>
      <c r="AI1311" s="63"/>
      <c r="AJ1311" s="63"/>
      <c r="AK1311" s="63"/>
      <c r="AL1311" s="63"/>
      <c r="AM1311" s="63"/>
      <c r="AN1311" s="63">
        <v>0</v>
      </c>
      <c r="AO1311" s="63"/>
      <c r="AP1311" s="63"/>
      <c r="AQ1311" s="63"/>
      <c r="AR1311" s="63"/>
      <c r="AS1311" s="63"/>
      <c r="AT1311" s="63"/>
      <c r="AU1311" s="63"/>
      <c r="AW1311" s="5">
        <f>IF(Q1311&gt;0,RANK(Q1311,(N1311:P1311,Q1311:AE1311)),0)</f>
        <v>3</v>
      </c>
      <c r="AX1311" s="5">
        <f>IF(R1311&gt;0,RANK(R1311,(N1311:P1311,Q1311:AE1311)),0)</f>
        <v>4</v>
      </c>
      <c r="AY1311" s="5">
        <f>IF(T1311&gt;0,RANK(T1311,(N1311:P1311,Q1311:AE1311)),0)</f>
        <v>0</v>
      </c>
      <c r="AZ1311" s="5">
        <f>IF(S1311&gt;0,RANK(S1311,(N1311:P1311,Q1311:AE1311)),0)</f>
        <v>6</v>
      </c>
      <c r="BA1311" s="2">
        <f t="shared" si="550"/>
        <v>3.4008464328899639E-2</v>
      </c>
      <c r="BB1311" s="2">
        <f t="shared" si="551"/>
        <v>9.2956469165659007E-3</v>
      </c>
      <c r="BC1311" s="2">
        <f t="shared" si="552"/>
        <v>0</v>
      </c>
      <c r="BD1311" s="2">
        <f t="shared" si="553"/>
        <v>4.2321644498186217E-3</v>
      </c>
      <c r="BF1311" t="s">
        <v>1047</v>
      </c>
      <c r="BG1311" t="s">
        <v>3114</v>
      </c>
      <c r="BH1311" s="8">
        <v>1</v>
      </c>
      <c r="BJ1311" s="114">
        <v>26</v>
      </c>
      <c r="BK1311" s="116">
        <v>43</v>
      </c>
      <c r="BL1311" s="120">
        <f t="shared" si="531"/>
        <v>26043</v>
      </c>
      <c r="BN1311" s="5" t="s">
        <v>3154</v>
      </c>
      <c r="BY1311" s="63">
        <f t="shared" si="554"/>
        <v>0</v>
      </c>
      <c r="BZ1311" s="63">
        <v>13232</v>
      </c>
      <c r="CA1311" s="63">
        <v>92</v>
      </c>
      <c r="CB1311" s="132"/>
      <c r="CD1311" s="63">
        <v>0</v>
      </c>
      <c r="CE1311" s="63">
        <v>0</v>
      </c>
    </row>
    <row r="1312" spans="1:83" ht="13" hidden="1" customHeight="1" outlineLevel="1">
      <c r="A1312" t="s">
        <v>518</v>
      </c>
      <c r="B1312" t="s">
        <v>3114</v>
      </c>
      <c r="C1312" s="1">
        <f t="shared" si="545"/>
        <v>56575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>IF(P1312&gt;0,RANK(P1312,(N1312:P1312,Q1312:AE1312)),0)</f>
        <v>7</v>
      </c>
      <c r="G1312" s="132">
        <f t="shared" si="543"/>
        <v>2671</v>
      </c>
      <c r="H1312" s="137">
        <f t="shared" si="544"/>
        <v>4.7211665930181175E-2</v>
      </c>
      <c r="I1312" s="2"/>
      <c r="J1312" s="2">
        <f t="shared" si="546"/>
        <v>0.44079540433053471</v>
      </c>
      <c r="K1312" s="2">
        <f t="shared" si="547"/>
        <v>0.48800707026071588</v>
      </c>
      <c r="L1312" s="2">
        <f t="shared" si="548"/>
        <v>2.0680512593901899E-3</v>
      </c>
      <c r="M1312" s="2">
        <f t="shared" si="549"/>
        <v>6.9129474149359271E-2</v>
      </c>
      <c r="N1312" s="63">
        <v>24938</v>
      </c>
      <c r="O1312" s="63">
        <v>27609</v>
      </c>
      <c r="P1312" s="63">
        <v>117</v>
      </c>
      <c r="Q1312" s="63">
        <v>2618</v>
      </c>
      <c r="R1312" s="63">
        <v>602</v>
      </c>
      <c r="S1312" s="63">
        <v>302</v>
      </c>
      <c r="T1312" s="63"/>
      <c r="U1312" s="63">
        <v>23</v>
      </c>
      <c r="V1312" s="63"/>
      <c r="W1312" s="63">
        <f>IF(Copyright!B$11=1,IF(CA1312&gt;0,CA1312-P1312-SUM(V1312)-SUM(Y1312:AG1312)-SUM(AH1312:AQ1312),SUM(CC1312:CJ1312)),SUM(CC1312:CJ1312))</f>
        <v>356</v>
      </c>
      <c r="X1312" s="63"/>
      <c r="Y1312" s="63">
        <v>7</v>
      </c>
      <c r="Z1312" s="63"/>
      <c r="AA1312" s="63">
        <v>0</v>
      </c>
      <c r="AB1312" s="63"/>
      <c r="AC1312" s="63"/>
      <c r="AD1312" s="63"/>
      <c r="AE1312" s="63">
        <v>1</v>
      </c>
      <c r="AF1312" s="63"/>
      <c r="AG1312" s="63"/>
      <c r="AH1312" s="63"/>
      <c r="AI1312" s="63"/>
      <c r="AJ1312" s="63"/>
      <c r="AK1312" s="63"/>
      <c r="AL1312" s="63"/>
      <c r="AM1312" s="63"/>
      <c r="AN1312" s="63">
        <v>2</v>
      </c>
      <c r="AO1312" s="63"/>
      <c r="AP1312" s="63"/>
      <c r="AQ1312" s="63"/>
      <c r="AR1312" s="63"/>
      <c r="AS1312" s="63"/>
      <c r="AT1312" s="63"/>
      <c r="AU1312" s="63"/>
      <c r="AW1312" s="5">
        <f>IF(Q1312&gt;0,RANK(Q1312,(N1312:P1312,Q1312:AE1312)),0)</f>
        <v>3</v>
      </c>
      <c r="AX1312" s="5">
        <f>IF(R1312&gt;0,RANK(R1312,(N1312:P1312,Q1312:AE1312)),0)</f>
        <v>4</v>
      </c>
      <c r="AY1312" s="5">
        <f>IF(T1312&gt;0,RANK(T1312,(N1312:P1312,Q1312:AE1312)),0)</f>
        <v>0</v>
      </c>
      <c r="AZ1312" s="5">
        <f>IF(S1312&gt;0,RANK(S1312,(N1312:P1312,Q1312:AE1312)),0)</f>
        <v>6</v>
      </c>
      <c r="BA1312" s="2">
        <f t="shared" si="550"/>
        <v>4.6274856385329209E-2</v>
      </c>
      <c r="BB1312" s="2">
        <f t="shared" si="551"/>
        <v>1.0640742377375166E-2</v>
      </c>
      <c r="BC1312" s="2">
        <f t="shared" si="552"/>
        <v>0</v>
      </c>
      <c r="BD1312" s="2">
        <f t="shared" si="553"/>
        <v>5.3380468404772424E-3</v>
      </c>
      <c r="BF1312" t="s">
        <v>518</v>
      </c>
      <c r="BG1312" t="s">
        <v>3114</v>
      </c>
      <c r="BH1312" s="8">
        <v>7</v>
      </c>
      <c r="BJ1312" s="114">
        <v>26</v>
      </c>
      <c r="BK1312" s="116">
        <v>45</v>
      </c>
      <c r="BL1312" s="120">
        <f t="shared" si="531"/>
        <v>26045</v>
      </c>
      <c r="BN1312" s="5" t="s">
        <v>3154</v>
      </c>
      <c r="BY1312" s="63">
        <f t="shared" si="554"/>
        <v>0</v>
      </c>
      <c r="BZ1312" s="132">
        <f>483+23+602+302+2618+24938+27609</f>
        <v>56575</v>
      </c>
      <c r="CA1312" s="63">
        <v>483</v>
      </c>
      <c r="CB1312" s="132"/>
      <c r="CD1312" s="63">
        <v>0</v>
      </c>
      <c r="CE1312" s="63">
        <v>2</v>
      </c>
    </row>
    <row r="1313" spans="1:83" ht="13" hidden="1" customHeight="1" outlineLevel="1">
      <c r="A1313" t="s">
        <v>822</v>
      </c>
      <c r="B1313" t="s">
        <v>3114</v>
      </c>
      <c r="C1313" s="1">
        <f t="shared" si="545"/>
        <v>18994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>IF(P1313&gt;0,RANK(P1313,(N1313:P1313,Q1313:AE1313)),0)</f>
        <v>7</v>
      </c>
      <c r="G1313" s="132">
        <f t="shared" si="543"/>
        <v>3644</v>
      </c>
      <c r="H1313" s="137">
        <f t="shared" si="544"/>
        <v>0.19185005791302517</v>
      </c>
      <c r="I1313" s="2"/>
      <c r="J1313" s="2">
        <f t="shared" si="546"/>
        <v>0.36706328314204484</v>
      </c>
      <c r="K1313" s="2">
        <f t="shared" si="547"/>
        <v>0.55891334105507007</v>
      </c>
      <c r="L1313" s="2">
        <f t="shared" si="548"/>
        <v>1.4215015267979361E-3</v>
      </c>
      <c r="M1313" s="2">
        <f t="shared" si="549"/>
        <v>7.2601874276087164E-2</v>
      </c>
      <c r="N1313" s="63">
        <v>6972</v>
      </c>
      <c r="O1313" s="63">
        <v>10616</v>
      </c>
      <c r="P1313" s="63">
        <v>27</v>
      </c>
      <c r="Q1313" s="63">
        <v>806</v>
      </c>
      <c r="R1313" s="63">
        <v>279</v>
      </c>
      <c r="S1313" s="63">
        <v>92</v>
      </c>
      <c r="T1313" s="63"/>
      <c r="U1313" s="63">
        <v>9</v>
      </c>
      <c r="V1313" s="63"/>
      <c r="W1313" s="63">
        <f>IF(Copyright!B$11=1,IF(CA1313&gt;0,CA1313-P1313-SUM(V1313)-SUM(Y1313:AG1313)-SUM(AH1313:AQ1313),SUM(CC1313:CJ1313)),SUM(CC1313:CJ1313))</f>
        <v>192</v>
      </c>
      <c r="X1313" s="63"/>
      <c r="Y1313" s="63">
        <v>0</v>
      </c>
      <c r="Z1313" s="63"/>
      <c r="AA1313" s="63">
        <v>0</v>
      </c>
      <c r="AB1313" s="63"/>
      <c r="AC1313" s="63"/>
      <c r="AD1313" s="63"/>
      <c r="AE1313" s="63">
        <v>0</v>
      </c>
      <c r="AF1313" s="63"/>
      <c r="AG1313" s="63"/>
      <c r="AH1313" s="63"/>
      <c r="AI1313" s="63"/>
      <c r="AJ1313" s="63"/>
      <c r="AK1313" s="63"/>
      <c r="AL1313" s="63"/>
      <c r="AM1313" s="63"/>
      <c r="AN1313" s="63">
        <v>1</v>
      </c>
      <c r="AO1313" s="63"/>
      <c r="AP1313" s="63"/>
      <c r="AQ1313" s="63"/>
      <c r="AR1313" s="63"/>
      <c r="AS1313" s="63"/>
      <c r="AT1313" s="63"/>
      <c r="AU1313" s="63"/>
      <c r="AW1313" s="5">
        <f>IF(Q1313&gt;0,RANK(Q1313,(N1313:P1313,Q1313:AE1313)),0)</f>
        <v>3</v>
      </c>
      <c r="AX1313" s="5">
        <f>IF(R1313&gt;0,RANK(R1313,(N1313:P1313,Q1313:AE1313)),0)</f>
        <v>4</v>
      </c>
      <c r="AY1313" s="5">
        <f>IF(T1313&gt;0,RANK(T1313,(N1313:P1313,Q1313:AE1313)),0)</f>
        <v>0</v>
      </c>
      <c r="AZ1313" s="5">
        <f>IF(S1313&gt;0,RANK(S1313,(N1313:P1313,Q1313:AE1313)),0)</f>
        <v>6</v>
      </c>
      <c r="BA1313" s="2">
        <f t="shared" si="550"/>
        <v>4.2434452985153207E-2</v>
      </c>
      <c r="BB1313" s="2">
        <f t="shared" si="551"/>
        <v>1.4688849110245341E-2</v>
      </c>
      <c r="BC1313" s="2">
        <f t="shared" si="552"/>
        <v>0</v>
      </c>
      <c r="BD1313" s="2">
        <f t="shared" si="553"/>
        <v>4.8436348320522269E-3</v>
      </c>
      <c r="BF1313" t="s">
        <v>822</v>
      </c>
      <c r="BG1313" t="s">
        <v>3114</v>
      </c>
      <c r="BH1313" s="8">
        <v>1</v>
      </c>
      <c r="BJ1313" s="114">
        <v>26</v>
      </c>
      <c r="BK1313" s="116">
        <v>47</v>
      </c>
      <c r="BL1313" s="120">
        <f t="shared" si="531"/>
        <v>26047</v>
      </c>
      <c r="BN1313" s="5" t="s">
        <v>3154</v>
      </c>
      <c r="BY1313" s="63">
        <f t="shared" si="554"/>
        <v>0</v>
      </c>
      <c r="BZ1313" s="132">
        <f>220+9+279+92+806+6972+10616</f>
        <v>18994</v>
      </c>
      <c r="CA1313" s="63">
        <v>220</v>
      </c>
      <c r="CB1313" s="132"/>
      <c r="CD1313" s="63">
        <v>0</v>
      </c>
      <c r="CE1313" s="63">
        <v>0</v>
      </c>
    </row>
    <row r="1314" spans="1:83" ht="13" hidden="1" customHeight="1" outlineLevel="1">
      <c r="A1314" t="s">
        <v>500</v>
      </c>
      <c r="B1314" t="s">
        <v>3114</v>
      </c>
      <c r="C1314" s="1">
        <f t="shared" si="545"/>
        <v>197641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>IF(P1314&gt;0,RANK(P1314,(N1314:P1314,Q1314:AE1314)),0)</f>
        <v>7</v>
      </c>
      <c r="G1314" s="132">
        <f t="shared" si="543"/>
        <v>18576</v>
      </c>
      <c r="H1314" s="137">
        <f t="shared" si="544"/>
        <v>9.3988595483730605E-2</v>
      </c>
      <c r="I1314" s="2"/>
      <c r="J1314" s="2">
        <f t="shared" si="546"/>
        <v>0.51988706796666684</v>
      </c>
      <c r="K1314" s="2">
        <f t="shared" si="547"/>
        <v>0.42589847248293622</v>
      </c>
      <c r="L1314" s="2">
        <f t="shared" si="548"/>
        <v>6.8305665322478636E-4</v>
      </c>
      <c r="M1314" s="2">
        <f t="shared" si="549"/>
        <v>5.3531402897172155E-2</v>
      </c>
      <c r="N1314" s="63">
        <v>102751</v>
      </c>
      <c r="O1314" s="63">
        <v>84175</v>
      </c>
      <c r="P1314" s="63">
        <v>135</v>
      </c>
      <c r="Q1314" s="63">
        <v>6221</v>
      </c>
      <c r="R1314" s="63">
        <v>2193</v>
      </c>
      <c r="S1314" s="63">
        <v>703</v>
      </c>
      <c r="T1314" s="63"/>
      <c r="U1314" s="63">
        <v>100</v>
      </c>
      <c r="V1314" s="63"/>
      <c r="W1314" s="63">
        <f>IF(Copyright!B$11=1,IF(CA1314&gt;0,CA1314-P1314-SUM(V1314)-SUM(Y1314:AG1314)-SUM(AH1314:AQ1314),SUM(CC1314:CJ1314)),SUM(CC1314:CJ1314))</f>
        <v>1346</v>
      </c>
      <c r="X1314" s="63"/>
      <c r="Y1314" s="63">
        <v>0</v>
      </c>
      <c r="Z1314" s="63"/>
      <c r="AA1314" s="63">
        <v>0</v>
      </c>
      <c r="AB1314" s="63"/>
      <c r="AC1314" s="63"/>
      <c r="AD1314" s="63"/>
      <c r="AE1314" s="63">
        <v>2</v>
      </c>
      <c r="AF1314" s="63"/>
      <c r="AG1314" s="63"/>
      <c r="AH1314" s="63"/>
      <c r="AI1314" s="63"/>
      <c r="AJ1314" s="63"/>
      <c r="AK1314" s="63"/>
      <c r="AL1314" s="63"/>
      <c r="AM1314" s="63"/>
      <c r="AN1314" s="63">
        <v>15</v>
      </c>
      <c r="AO1314" s="63"/>
      <c r="AP1314" s="63"/>
      <c r="AQ1314" s="63"/>
      <c r="AR1314" s="63"/>
      <c r="AS1314" s="63"/>
      <c r="AT1314" s="63"/>
      <c r="AU1314" s="63"/>
      <c r="AW1314" s="5">
        <f>IF(Q1314&gt;0,RANK(Q1314,(N1314:P1314,Q1314:AE1314)),0)</f>
        <v>3</v>
      </c>
      <c r="AX1314" s="5">
        <f>IF(R1314&gt;0,RANK(R1314,(N1314:P1314,Q1314:AE1314)),0)</f>
        <v>4</v>
      </c>
      <c r="AY1314" s="5">
        <f>IF(T1314&gt;0,RANK(T1314,(N1314:P1314,Q1314:AE1314)),0)</f>
        <v>0</v>
      </c>
      <c r="AZ1314" s="5">
        <f>IF(S1314&gt;0,RANK(S1314,(N1314:P1314,Q1314:AE1314)),0)</f>
        <v>6</v>
      </c>
      <c r="BA1314" s="2">
        <f t="shared" si="550"/>
        <v>3.1476262516380714E-2</v>
      </c>
      <c r="BB1314" s="2">
        <f t="shared" si="551"/>
        <v>1.1095875855718196E-2</v>
      </c>
      <c r="BC1314" s="2">
        <f t="shared" si="552"/>
        <v>0</v>
      </c>
      <c r="BD1314" s="2">
        <f t="shared" si="553"/>
        <v>3.5569542756816652E-3</v>
      </c>
      <c r="BF1314" t="s">
        <v>500</v>
      </c>
      <c r="BG1314" t="s">
        <v>3114</v>
      </c>
      <c r="BH1314" s="8">
        <v>5</v>
      </c>
      <c r="BJ1314" s="114">
        <v>26</v>
      </c>
      <c r="BK1314" s="116">
        <v>49</v>
      </c>
      <c r="BL1314" s="120">
        <f t="shared" si="531"/>
        <v>26049</v>
      </c>
      <c r="BN1314" s="5" t="s">
        <v>3154</v>
      </c>
      <c r="BO1314" s="63">
        <v>1020</v>
      </c>
      <c r="BP1314" s="63">
        <v>193</v>
      </c>
      <c r="BR1314" s="63"/>
      <c r="BY1314" s="63">
        <f t="shared" si="554"/>
        <v>0</v>
      </c>
      <c r="BZ1314" s="63">
        <v>197641</v>
      </c>
      <c r="CA1314" s="63">
        <v>1498</v>
      </c>
      <c r="CB1314" s="132"/>
      <c r="CD1314" s="63">
        <v>0</v>
      </c>
      <c r="CE1314" s="63">
        <v>1</v>
      </c>
    </row>
    <row r="1315" spans="1:83" ht="13" hidden="1" customHeight="1" outlineLevel="1">
      <c r="A1315" t="s">
        <v>1089</v>
      </c>
      <c r="B1315" t="s">
        <v>3114</v>
      </c>
      <c r="C1315" s="1">
        <f t="shared" si="545"/>
        <v>12542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32">
        <f t="shared" si="543"/>
        <v>4330</v>
      </c>
      <c r="H1315" s="137">
        <f t="shared" si="544"/>
        <v>0.34523999362143198</v>
      </c>
      <c r="I1315" s="2"/>
      <c r="J1315" s="2">
        <f t="shared" si="546"/>
        <v>0.30250358794450644</v>
      </c>
      <c r="K1315" s="2">
        <f t="shared" si="547"/>
        <v>0.64774358156593848</v>
      </c>
      <c r="L1315" s="2">
        <f t="shared" si="548"/>
        <v>0</v>
      </c>
      <c r="M1315" s="2">
        <f t="shared" si="549"/>
        <v>4.9752830489555144E-2</v>
      </c>
      <c r="N1315" s="63">
        <v>3794</v>
      </c>
      <c r="O1315" s="63">
        <v>8124</v>
      </c>
      <c r="P1315" s="63">
        <v>0</v>
      </c>
      <c r="Q1315" s="63">
        <v>393</v>
      </c>
      <c r="R1315" s="63">
        <v>87</v>
      </c>
      <c r="S1315" s="63">
        <v>65</v>
      </c>
      <c r="T1315" s="63"/>
      <c r="U1315" s="63">
        <v>9</v>
      </c>
      <c r="V1315" s="63"/>
      <c r="W1315" s="63">
        <f>IF(Copyright!B$11=1,IF(CA1315&gt;0,CA1315-P1315-SUM(V1315)-SUM(Y1315:AG1315)-SUM(AH1315:AQ1315),SUM(CC1315:CJ1315)),SUM(CC1315:CJ1315))</f>
        <v>70</v>
      </c>
      <c r="X1315" s="63"/>
      <c r="Y1315" s="63">
        <v>0</v>
      </c>
      <c r="Z1315" s="63"/>
      <c r="AA1315" s="63">
        <v>0</v>
      </c>
      <c r="AB1315" s="63"/>
      <c r="AC1315" s="63"/>
      <c r="AD1315" s="63"/>
      <c r="AE1315" s="63">
        <v>0</v>
      </c>
      <c r="AF1315" s="63"/>
      <c r="AG1315" s="63"/>
      <c r="AH1315" s="63"/>
      <c r="AI1315" s="63"/>
      <c r="AJ1315" s="63"/>
      <c r="AK1315" s="63"/>
      <c r="AL1315" s="63"/>
      <c r="AM1315" s="63"/>
      <c r="AN1315" s="63">
        <v>0</v>
      </c>
      <c r="AO1315" s="63"/>
      <c r="AP1315" s="63"/>
      <c r="AQ1315" s="63"/>
      <c r="AR1315" s="63"/>
      <c r="AS1315" s="63"/>
      <c r="AT1315" s="63"/>
      <c r="AU1315" s="63"/>
      <c r="AW1315" s="5">
        <f>IF(Q1315&gt;0,RANK(Q1315,(N1315:P1315,Q1315:AE1315)),0)</f>
        <v>3</v>
      </c>
      <c r="AX1315" s="5">
        <f>IF(R1315&gt;0,RANK(R1315,(N1315:P1315,Q1315:AE1315)),0)</f>
        <v>4</v>
      </c>
      <c r="AY1315" s="5">
        <f>IF(T1315&gt;0,RANK(T1315,(N1315:P1315,Q1315:AE1315)),0)</f>
        <v>0</v>
      </c>
      <c r="AZ1315" s="5">
        <f>IF(S1315&gt;0,RANK(S1315,(N1315:P1315,Q1315:AE1315)),0)</f>
        <v>6</v>
      </c>
      <c r="BA1315" s="2">
        <f t="shared" si="550"/>
        <v>3.133471535640249E-2</v>
      </c>
      <c r="BB1315" s="2">
        <f t="shared" si="551"/>
        <v>6.9366927124860471E-3</v>
      </c>
      <c r="BC1315" s="2">
        <f t="shared" si="552"/>
        <v>0</v>
      </c>
      <c r="BD1315" s="2">
        <f t="shared" si="553"/>
        <v>5.182586509328656E-3</v>
      </c>
      <c r="BF1315" t="s">
        <v>1089</v>
      </c>
      <c r="BG1315" t="s">
        <v>3114</v>
      </c>
      <c r="BH1315" s="8">
        <v>4</v>
      </c>
      <c r="BJ1315" s="114">
        <v>26</v>
      </c>
      <c r="BK1315" s="116">
        <v>51</v>
      </c>
      <c r="BL1315" s="120">
        <f t="shared" si="531"/>
        <v>26051</v>
      </c>
      <c r="BN1315" s="5" t="s">
        <v>3154</v>
      </c>
      <c r="BY1315" s="63">
        <f t="shared" si="554"/>
        <v>0</v>
      </c>
      <c r="BZ1315" s="132">
        <v>12542</v>
      </c>
      <c r="CA1315" s="63">
        <v>70</v>
      </c>
      <c r="CB1315" s="132"/>
      <c r="CD1315" s="63">
        <v>0</v>
      </c>
      <c r="CE1315" s="63">
        <v>0</v>
      </c>
    </row>
    <row r="1316" spans="1:83" ht="13" hidden="1" customHeight="1" outlineLevel="1">
      <c r="A1316" t="s">
        <v>1836</v>
      </c>
      <c r="B1316" t="s">
        <v>3114</v>
      </c>
      <c r="C1316" s="1">
        <f t="shared" si="545"/>
        <v>7383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>IF(P1316&gt;0,RANK(P1316,(N1316:P1316,Q1316:AE1316)),0)</f>
        <v>7</v>
      </c>
      <c r="G1316" s="132">
        <f t="shared" si="543"/>
        <v>1093</v>
      </c>
      <c r="H1316" s="137">
        <f t="shared" si="544"/>
        <v>0.14804280102939185</v>
      </c>
      <c r="I1316" s="2"/>
      <c r="J1316" s="2">
        <f t="shared" si="546"/>
        <v>0.39618041446566438</v>
      </c>
      <c r="K1316" s="2">
        <f t="shared" si="547"/>
        <v>0.54422321549505626</v>
      </c>
      <c r="L1316" s="2">
        <f t="shared" si="548"/>
        <v>2.1671407287010701E-3</v>
      </c>
      <c r="M1316" s="2">
        <f t="shared" si="549"/>
        <v>5.7429229310578242E-2</v>
      </c>
      <c r="N1316" s="63">
        <v>2925</v>
      </c>
      <c r="O1316" s="63">
        <v>4018</v>
      </c>
      <c r="P1316" s="63">
        <v>16</v>
      </c>
      <c r="Q1316" s="63">
        <v>213</v>
      </c>
      <c r="R1316" s="63">
        <v>118</v>
      </c>
      <c r="S1316" s="63">
        <v>30</v>
      </c>
      <c r="T1316" s="63"/>
      <c r="U1316" s="63">
        <v>8</v>
      </c>
      <c r="V1316" s="63"/>
      <c r="W1316" s="63">
        <f>IF(Copyright!B$11=1,IF(CA1316&gt;0,CA1316-P1316-SUM(V1316)-SUM(Y1316:AG1316)-SUM(AH1316:AQ1316),SUM(CC1316:CJ1316)),SUM(CC1316:CJ1316))</f>
        <v>55</v>
      </c>
      <c r="X1316" s="63"/>
      <c r="Y1316" s="63">
        <v>0</v>
      </c>
      <c r="Z1316" s="63"/>
      <c r="AA1316" s="63">
        <v>0</v>
      </c>
      <c r="AB1316" s="63"/>
      <c r="AC1316" s="63"/>
      <c r="AD1316" s="63"/>
      <c r="AE1316" s="63">
        <v>0</v>
      </c>
      <c r="AF1316" s="63"/>
      <c r="AG1316" s="63"/>
      <c r="AH1316" s="63"/>
      <c r="AI1316" s="63"/>
      <c r="AJ1316" s="63"/>
      <c r="AK1316" s="63"/>
      <c r="AL1316" s="63"/>
      <c r="AM1316" s="63"/>
      <c r="AN1316" s="63">
        <v>0</v>
      </c>
      <c r="AO1316" s="63"/>
      <c r="AP1316" s="63"/>
      <c r="AQ1316" s="63"/>
      <c r="AR1316" s="63"/>
      <c r="AS1316" s="63"/>
      <c r="AT1316" s="63"/>
      <c r="AU1316" s="63"/>
      <c r="AW1316" s="5">
        <f>IF(Q1316&gt;0,RANK(Q1316,(N1316:P1316,Q1316:AE1316)),0)</f>
        <v>3</v>
      </c>
      <c r="AX1316" s="5">
        <f>IF(R1316&gt;0,RANK(R1316,(N1316:P1316,Q1316:AE1316)),0)</f>
        <v>4</v>
      </c>
      <c r="AY1316" s="5">
        <f>IF(T1316&gt;0,RANK(T1316,(N1316:P1316,Q1316:AE1316)),0)</f>
        <v>0</v>
      </c>
      <c r="AZ1316" s="5">
        <f>IF(S1316&gt;0,RANK(S1316,(N1316:P1316,Q1316:AE1316)),0)</f>
        <v>6</v>
      </c>
      <c r="BA1316" s="2">
        <f t="shared" si="550"/>
        <v>2.8850060950832996E-2</v>
      </c>
      <c r="BB1316" s="2">
        <f t="shared" si="551"/>
        <v>1.598266287417039E-2</v>
      </c>
      <c r="BC1316" s="2">
        <f t="shared" si="552"/>
        <v>0</v>
      </c>
      <c r="BD1316" s="2">
        <f t="shared" si="553"/>
        <v>4.0633888663145065E-3</v>
      </c>
      <c r="BF1316" t="s">
        <v>1836</v>
      </c>
      <c r="BG1316" t="s">
        <v>3114</v>
      </c>
      <c r="BH1316" s="8">
        <v>1</v>
      </c>
      <c r="BJ1316" s="114">
        <v>26</v>
      </c>
      <c r="BK1316" s="116">
        <v>53</v>
      </c>
      <c r="BL1316" s="120">
        <f t="shared" si="531"/>
        <v>26053</v>
      </c>
      <c r="BN1316" s="5" t="s">
        <v>3154</v>
      </c>
      <c r="BY1316" s="63">
        <f t="shared" si="554"/>
        <v>0</v>
      </c>
      <c r="BZ1316" s="132">
        <v>7383</v>
      </c>
      <c r="CA1316" s="132">
        <f>54+16+1</f>
        <v>71</v>
      </c>
      <c r="CB1316" s="132"/>
      <c r="CD1316" s="63">
        <v>0</v>
      </c>
      <c r="CE1316" s="63">
        <v>1</v>
      </c>
    </row>
    <row r="1317" spans="1:83" ht="13" hidden="1" customHeight="1" outlineLevel="1">
      <c r="A1317" t="s">
        <v>252</v>
      </c>
      <c r="B1317" t="s">
        <v>3114</v>
      </c>
      <c r="C1317" s="1">
        <f t="shared" si="545"/>
        <v>51985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7</v>
      </c>
      <c r="G1317" s="132">
        <f t="shared" si="543"/>
        <v>6448</v>
      </c>
      <c r="H1317" s="137">
        <f t="shared" si="544"/>
        <v>0.12403577955179379</v>
      </c>
      <c r="I1317" s="2"/>
      <c r="J1317" s="2">
        <f t="shared" si="546"/>
        <v>0.40328941040684813</v>
      </c>
      <c r="K1317" s="2">
        <f t="shared" si="547"/>
        <v>0.52732518995864197</v>
      </c>
      <c r="L1317" s="2">
        <f t="shared" si="548"/>
        <v>2.2314129075694912E-3</v>
      </c>
      <c r="M1317" s="2">
        <f t="shared" si="549"/>
        <v>6.7153986726940465E-2</v>
      </c>
      <c r="N1317" s="63">
        <v>20965</v>
      </c>
      <c r="O1317" s="63">
        <v>27413</v>
      </c>
      <c r="P1317" s="63">
        <v>116</v>
      </c>
      <c r="Q1317" s="63">
        <v>2149</v>
      </c>
      <c r="R1317" s="63">
        <v>756</v>
      </c>
      <c r="S1317" s="63">
        <v>153</v>
      </c>
      <c r="T1317" s="63"/>
      <c r="U1317" s="63">
        <v>26</v>
      </c>
      <c r="V1317" s="63"/>
      <c r="W1317" s="63">
        <f>IF(Copyright!B$11=1,IF(CA1317&gt;0,CA1317-P1317-SUM(V1317)-SUM(Y1317:AG1317)-SUM(AH1317:AQ1317),SUM(CC1317:CJ1317)),SUM(CC1317:CJ1317))</f>
        <v>396</v>
      </c>
      <c r="X1317" s="63"/>
      <c r="Y1317" s="63">
        <v>0</v>
      </c>
      <c r="Z1317" s="63"/>
      <c r="AA1317" s="63">
        <v>0</v>
      </c>
      <c r="AB1317" s="63"/>
      <c r="AC1317" s="63"/>
      <c r="AD1317" s="63"/>
      <c r="AE1317" s="63">
        <v>4</v>
      </c>
      <c r="AF1317" s="63"/>
      <c r="AG1317" s="63"/>
      <c r="AH1317" s="63"/>
      <c r="AI1317" s="63"/>
      <c r="AJ1317" s="63"/>
      <c r="AK1317" s="63"/>
      <c r="AL1317" s="63"/>
      <c r="AM1317" s="63"/>
      <c r="AN1317" s="63">
        <v>7</v>
      </c>
      <c r="AO1317" s="63"/>
      <c r="AP1317" s="63"/>
      <c r="AQ1317" s="63"/>
      <c r="AR1317" s="63"/>
      <c r="AS1317" s="63"/>
      <c r="AT1317" s="63"/>
      <c r="AU1317" s="63"/>
      <c r="AW1317" s="5">
        <f>IF(Q1317&gt;0,RANK(Q1317,(N1317:P1317,Q1317:AE1317)),0)</f>
        <v>3</v>
      </c>
      <c r="AX1317" s="5">
        <f>IF(R1317&gt;0,RANK(R1317,(N1317:P1317,Q1317:AE1317)),0)</f>
        <v>4</v>
      </c>
      <c r="AY1317" s="5">
        <f>IF(T1317&gt;0,RANK(T1317,(N1317:P1317,Q1317:AE1317)),0)</f>
        <v>0</v>
      </c>
      <c r="AZ1317" s="5">
        <f>IF(S1317&gt;0,RANK(S1317,(N1317:P1317,Q1317:AE1317)),0)</f>
        <v>6</v>
      </c>
      <c r="BA1317" s="2">
        <f t="shared" si="550"/>
        <v>4.1338847744541697E-2</v>
      </c>
      <c r="BB1317" s="2">
        <f t="shared" si="551"/>
        <v>1.4542656535539098E-2</v>
      </c>
      <c r="BC1317" s="2">
        <f t="shared" si="552"/>
        <v>0</v>
      </c>
      <c r="BD1317" s="2">
        <f t="shared" si="553"/>
        <v>2.9431566798114842E-3</v>
      </c>
      <c r="BF1317" t="s">
        <v>252</v>
      </c>
      <c r="BG1317" t="s">
        <v>3114</v>
      </c>
      <c r="BH1317" s="8">
        <v>1</v>
      </c>
      <c r="BJ1317" s="114">
        <v>26</v>
      </c>
      <c r="BK1317" s="116">
        <v>55</v>
      </c>
      <c r="BL1317" s="120">
        <f t="shared" si="531"/>
        <v>26055</v>
      </c>
      <c r="BN1317" s="5" t="s">
        <v>3154</v>
      </c>
      <c r="BY1317" s="63">
        <f t="shared" si="554"/>
        <v>0</v>
      </c>
      <c r="BZ1317" s="132">
        <v>51985</v>
      </c>
      <c r="CA1317" s="63">
        <f>4+116+7+396</f>
        <v>523</v>
      </c>
      <c r="CB1317" s="132"/>
      <c r="CD1317" s="63">
        <v>0</v>
      </c>
      <c r="CE1317" s="63">
        <v>0</v>
      </c>
    </row>
    <row r="1318" spans="1:83" ht="13" hidden="1" customHeight="1" outlineLevel="1">
      <c r="A1318" t="s">
        <v>1045</v>
      </c>
      <c r="B1318" t="s">
        <v>3114</v>
      </c>
      <c r="C1318" s="1">
        <f t="shared" si="545"/>
        <v>16465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6</v>
      </c>
      <c r="G1318" s="132">
        <f t="shared" si="543"/>
        <v>4214</v>
      </c>
      <c r="H1318" s="137">
        <f t="shared" si="544"/>
        <v>0.25593683571211662</v>
      </c>
      <c r="I1318" s="2"/>
      <c r="J1318" s="2">
        <f t="shared" si="546"/>
        <v>0.34412389918007896</v>
      </c>
      <c r="K1318" s="2">
        <f t="shared" si="547"/>
        <v>0.60006073489219558</v>
      </c>
      <c r="L1318" s="2">
        <f t="shared" si="548"/>
        <v>1.1539629517157608E-3</v>
      </c>
      <c r="M1318" s="2">
        <f t="shared" si="549"/>
        <v>5.4661402976009639E-2</v>
      </c>
      <c r="N1318" s="63">
        <v>5666</v>
      </c>
      <c r="O1318" s="63">
        <v>9880</v>
      </c>
      <c r="P1318" s="63">
        <v>19</v>
      </c>
      <c r="Q1318" s="63">
        <v>687</v>
      </c>
      <c r="R1318" s="63">
        <v>140</v>
      </c>
      <c r="S1318" s="63">
        <v>63</v>
      </c>
      <c r="T1318" s="63"/>
      <c r="U1318" s="63">
        <v>9</v>
      </c>
      <c r="V1318" s="63"/>
      <c r="W1318" s="63">
        <f>IF(Copyright!B$11=1,IF(CA1318&gt;0,CA1318-P1318-SUM(V1318)-SUM(Y1318:AG1318)-SUM(AH1318:AQ1318),SUM(CC1318:CJ1318)),SUM(CC1318:CJ1318))</f>
        <v>0</v>
      </c>
      <c r="X1318" s="63"/>
      <c r="Y1318" s="63">
        <v>0</v>
      </c>
      <c r="Z1318" s="63"/>
      <c r="AA1318" s="63">
        <v>0</v>
      </c>
      <c r="AB1318" s="63"/>
      <c r="AC1318" s="63"/>
      <c r="AD1318" s="63"/>
      <c r="AE1318" s="63">
        <v>0</v>
      </c>
      <c r="AF1318" s="63"/>
      <c r="AG1318" s="63"/>
      <c r="AH1318" s="63"/>
      <c r="AI1318" s="63"/>
      <c r="AJ1318" s="63"/>
      <c r="AK1318" s="63"/>
      <c r="AL1318" s="63"/>
      <c r="AM1318" s="63"/>
      <c r="AN1318" s="63">
        <v>1</v>
      </c>
      <c r="AO1318" s="63"/>
      <c r="AP1318" s="63"/>
      <c r="AQ1318" s="63"/>
      <c r="AR1318" s="63"/>
      <c r="AS1318" s="63"/>
      <c r="AT1318" s="63"/>
      <c r="AU1318" s="63"/>
      <c r="AW1318" s="5">
        <f>IF(Q1318&gt;0,RANK(Q1318,(N1318:P1318,Q1318:AE1318)),0)</f>
        <v>3</v>
      </c>
      <c r="AX1318" s="5">
        <f>IF(R1318&gt;0,RANK(R1318,(N1318:P1318,Q1318:AE1318)),0)</f>
        <v>4</v>
      </c>
      <c r="AY1318" s="5">
        <f>IF(T1318&gt;0,RANK(T1318,(N1318:P1318,Q1318:AE1318)),0)</f>
        <v>0</v>
      </c>
      <c r="AZ1318" s="5">
        <f>IF(S1318&gt;0,RANK(S1318,(N1318:P1318,Q1318:AE1318)),0)</f>
        <v>5</v>
      </c>
      <c r="BA1318" s="2">
        <f t="shared" si="550"/>
        <v>4.1724870938354086E-2</v>
      </c>
      <c r="BB1318" s="2">
        <f t="shared" si="551"/>
        <v>8.5028849073792902E-3</v>
      </c>
      <c r="BC1318" s="2">
        <f t="shared" si="552"/>
        <v>0</v>
      </c>
      <c r="BD1318" s="2">
        <f t="shared" si="553"/>
        <v>3.8262982083206803E-3</v>
      </c>
      <c r="BF1318" t="s">
        <v>1045</v>
      </c>
      <c r="BG1318" t="s">
        <v>3114</v>
      </c>
      <c r="BH1318" s="8">
        <v>4</v>
      </c>
      <c r="BJ1318" s="114">
        <v>26</v>
      </c>
      <c r="BK1318" s="116">
        <v>57</v>
      </c>
      <c r="BL1318" s="120">
        <f t="shared" si="531"/>
        <v>26057</v>
      </c>
      <c r="BN1318" s="5" t="s">
        <v>3154</v>
      </c>
      <c r="BY1318" s="63">
        <f t="shared" si="554"/>
        <v>16465</v>
      </c>
      <c r="BZ1318" s="132"/>
      <c r="CB1318" s="132"/>
      <c r="CD1318" s="63">
        <v>0</v>
      </c>
      <c r="CE1318" s="63">
        <v>0</v>
      </c>
    </row>
    <row r="1319" spans="1:83" ht="13" hidden="1" customHeight="1" outlineLevel="1">
      <c r="A1319" t="s">
        <v>728</v>
      </c>
      <c r="B1319" t="s">
        <v>3114</v>
      </c>
      <c r="C1319" s="1">
        <f t="shared" si="545"/>
        <v>19940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6</v>
      </c>
      <c r="G1319" s="132">
        <f t="shared" si="543"/>
        <v>9296</v>
      </c>
      <c r="H1319" s="137">
        <f t="shared" si="544"/>
        <v>0.46619859578736211</v>
      </c>
      <c r="I1319" s="2"/>
      <c r="J1319" s="2">
        <f t="shared" si="546"/>
        <v>0.24067201604814442</v>
      </c>
      <c r="K1319" s="2">
        <f t="shared" si="547"/>
        <v>0.70687061183550648</v>
      </c>
      <c r="L1319" s="2">
        <f t="shared" si="548"/>
        <v>2.8084252758274826E-3</v>
      </c>
      <c r="M1319" s="2">
        <f t="shared" si="549"/>
        <v>4.9648946840521672E-2</v>
      </c>
      <c r="N1319" s="63">
        <v>4799</v>
      </c>
      <c r="O1319" s="63">
        <v>14095</v>
      </c>
      <c r="P1319" s="63">
        <v>56</v>
      </c>
      <c r="Q1319" s="63">
        <v>700</v>
      </c>
      <c r="R1319" s="63">
        <v>184</v>
      </c>
      <c r="S1319" s="63">
        <v>98</v>
      </c>
      <c r="T1319" s="63"/>
      <c r="U1319" s="63">
        <v>5</v>
      </c>
      <c r="V1319" s="63"/>
      <c r="W1319" s="63">
        <f>IF(Copyright!B$11=1,IF(CA1319&gt;0,CA1319-P1319-SUM(V1319)-SUM(Y1319:AG1319)-SUM(AH1319:AQ1319),SUM(CC1319:CJ1319)),SUM(CC1319:CJ1319))</f>
        <v>0</v>
      </c>
      <c r="X1319" s="63"/>
      <c r="Y1319" s="63">
        <v>0</v>
      </c>
      <c r="Z1319" s="63"/>
      <c r="AA1319" s="63">
        <v>0</v>
      </c>
      <c r="AB1319" s="63"/>
      <c r="AC1319" s="63"/>
      <c r="AD1319" s="63"/>
      <c r="AE1319" s="63">
        <v>2</v>
      </c>
      <c r="AF1319" s="63"/>
      <c r="AG1319" s="63"/>
      <c r="AH1319" s="63"/>
      <c r="AI1319" s="63"/>
      <c r="AJ1319" s="63"/>
      <c r="AK1319" s="63"/>
      <c r="AL1319" s="63"/>
      <c r="AM1319" s="63"/>
      <c r="AN1319" s="63">
        <v>1</v>
      </c>
      <c r="AO1319" s="63"/>
      <c r="AP1319" s="63"/>
      <c r="AQ1319" s="63"/>
      <c r="AR1319" s="63"/>
      <c r="AS1319" s="63"/>
      <c r="AT1319" s="63"/>
      <c r="AU1319" s="63"/>
      <c r="AW1319" s="5">
        <f>IF(Q1319&gt;0,RANK(Q1319,(N1319:P1319,Q1319:AE1319)),0)</f>
        <v>3</v>
      </c>
      <c r="AX1319" s="5">
        <f>IF(R1319&gt;0,RANK(R1319,(N1319:P1319,Q1319:AE1319)),0)</f>
        <v>4</v>
      </c>
      <c r="AY1319" s="5">
        <f>IF(T1319&gt;0,RANK(T1319,(N1319:P1319,Q1319:AE1319)),0)</f>
        <v>0</v>
      </c>
      <c r="AZ1319" s="5">
        <f>IF(S1319&gt;0,RANK(S1319,(N1319:P1319,Q1319:AE1319)),0)</f>
        <v>5</v>
      </c>
      <c r="BA1319" s="2">
        <f t="shared" si="550"/>
        <v>3.5105315947843531E-2</v>
      </c>
      <c r="BB1319" s="2">
        <f t="shared" si="551"/>
        <v>9.2276830491474417E-3</v>
      </c>
      <c r="BC1319" s="2">
        <f t="shared" si="552"/>
        <v>0</v>
      </c>
      <c r="BD1319" s="2">
        <f t="shared" si="553"/>
        <v>4.9147442326980947E-3</v>
      </c>
      <c r="BF1319" t="s">
        <v>728</v>
      </c>
      <c r="BG1319" t="s">
        <v>3114</v>
      </c>
      <c r="BH1319" s="8">
        <v>7</v>
      </c>
      <c r="BJ1319" s="114">
        <v>26</v>
      </c>
      <c r="BK1319" s="116">
        <v>59</v>
      </c>
      <c r="BL1319" s="120">
        <f t="shared" si="531"/>
        <v>26059</v>
      </c>
      <c r="BN1319" s="5" t="s">
        <v>3154</v>
      </c>
      <c r="BY1319" s="63">
        <f t="shared" si="554"/>
        <v>19940</v>
      </c>
      <c r="BZ1319" s="132"/>
      <c r="CB1319" s="132"/>
      <c r="CD1319" s="63">
        <v>0</v>
      </c>
      <c r="CE1319" s="63">
        <v>0</v>
      </c>
    </row>
    <row r="1320" spans="1:83" ht="13" hidden="1" customHeight="1" outlineLevel="1">
      <c r="A1320" t="s">
        <v>278</v>
      </c>
      <c r="B1320" t="s">
        <v>3114</v>
      </c>
      <c r="C1320" s="1">
        <f t="shared" si="545"/>
        <v>15761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8</v>
      </c>
      <c r="G1320" s="132">
        <f t="shared" si="543"/>
        <v>2457</v>
      </c>
      <c r="H1320" s="137">
        <f t="shared" si="544"/>
        <v>0.15589112365966626</v>
      </c>
      <c r="I1320" s="2"/>
      <c r="J1320" s="2">
        <f t="shared" si="546"/>
        <v>0.38182856417739991</v>
      </c>
      <c r="K1320" s="2">
        <f t="shared" si="547"/>
        <v>0.53771968783706614</v>
      </c>
      <c r="L1320" s="2">
        <f t="shared" si="548"/>
        <v>6.3447750777234941E-5</v>
      </c>
      <c r="M1320" s="2">
        <f t="shared" si="549"/>
        <v>8.0388300234756654E-2</v>
      </c>
      <c r="N1320" s="63">
        <v>6018</v>
      </c>
      <c r="O1320" s="63">
        <v>8475</v>
      </c>
      <c r="P1320" s="63">
        <v>1</v>
      </c>
      <c r="Q1320" s="63">
        <v>837</v>
      </c>
      <c r="R1320" s="63">
        <v>216</v>
      </c>
      <c r="S1320" s="63">
        <v>72</v>
      </c>
      <c r="T1320" s="63"/>
      <c r="U1320" s="63">
        <v>5</v>
      </c>
      <c r="V1320" s="63"/>
      <c r="W1320" s="63">
        <f>IF(Copyright!B$11=1,IF(CA1320&gt;0,CA1320-P1320-SUM(V1320)-SUM(Y1320:AG1320)-SUM(AH1320:AQ1320),SUM(CC1320:CJ1320)),SUM(CC1320:CJ1320))</f>
        <v>137</v>
      </c>
      <c r="X1320" s="63"/>
      <c r="Y1320" s="63">
        <v>0</v>
      </c>
      <c r="Z1320" s="63"/>
      <c r="AA1320" s="63">
        <v>0</v>
      </c>
      <c r="AB1320" s="63"/>
      <c r="AC1320" s="63"/>
      <c r="AD1320" s="63"/>
      <c r="AE1320" s="63">
        <v>0</v>
      </c>
      <c r="AF1320" s="63"/>
      <c r="AG1320" s="63"/>
      <c r="AH1320" s="63"/>
      <c r="AI1320" s="63"/>
      <c r="AJ1320" s="63"/>
      <c r="AK1320" s="63"/>
      <c r="AL1320" s="63"/>
      <c r="AM1320" s="63"/>
      <c r="AN1320" s="63">
        <v>0</v>
      </c>
      <c r="AO1320" s="63"/>
      <c r="AP1320" s="63"/>
      <c r="AQ1320" s="63"/>
      <c r="AR1320" s="63"/>
      <c r="AS1320" s="63"/>
      <c r="AT1320" s="63"/>
      <c r="AU1320" s="63"/>
      <c r="AW1320" s="5">
        <f>IF(Q1320&gt;0,RANK(Q1320,(N1320:P1320,Q1320:AE1320)),0)</f>
        <v>3</v>
      </c>
      <c r="AX1320" s="5">
        <f>IF(R1320&gt;0,RANK(R1320,(N1320:P1320,Q1320:AE1320)),0)</f>
        <v>4</v>
      </c>
      <c r="AY1320" s="5">
        <f>IF(T1320&gt;0,RANK(T1320,(N1320:P1320,Q1320:AE1320)),0)</f>
        <v>0</v>
      </c>
      <c r="AZ1320" s="5">
        <f>IF(S1320&gt;0,RANK(S1320,(N1320:P1320,Q1320:AE1320)),0)</f>
        <v>6</v>
      </c>
      <c r="BA1320" s="2">
        <f t="shared" si="550"/>
        <v>5.310576740054565E-2</v>
      </c>
      <c r="BB1320" s="2">
        <f t="shared" si="551"/>
        <v>1.3704714167882749E-2</v>
      </c>
      <c r="BC1320" s="2">
        <f t="shared" si="552"/>
        <v>0</v>
      </c>
      <c r="BD1320" s="2">
        <f t="shared" si="553"/>
        <v>4.5682380559609161E-3</v>
      </c>
      <c r="BF1320" t="s">
        <v>278</v>
      </c>
      <c r="BG1320" t="s">
        <v>3114</v>
      </c>
      <c r="BH1320" s="8">
        <v>1</v>
      </c>
      <c r="BJ1320" s="114">
        <v>26</v>
      </c>
      <c r="BK1320" s="116">
        <v>61</v>
      </c>
      <c r="BL1320" s="120">
        <f t="shared" si="531"/>
        <v>26061</v>
      </c>
      <c r="BN1320" s="5" t="s">
        <v>3154</v>
      </c>
      <c r="BY1320" s="63">
        <f t="shared" si="554"/>
        <v>0</v>
      </c>
      <c r="BZ1320" s="132">
        <v>15761</v>
      </c>
      <c r="CA1320" s="63">
        <v>138</v>
      </c>
      <c r="CB1320" s="132"/>
      <c r="CD1320" s="63">
        <v>0</v>
      </c>
      <c r="CE1320" s="63">
        <v>0</v>
      </c>
    </row>
    <row r="1321" spans="1:83" ht="13" hidden="1" customHeight="1" outlineLevel="1">
      <c r="A1321" t="s">
        <v>1925</v>
      </c>
      <c r="B1321" t="s">
        <v>3114</v>
      </c>
      <c r="C1321" s="1">
        <f t="shared" si="545"/>
        <v>15944</v>
      </c>
      <c r="D1321" s="5">
        <f>IF(N1321&gt;0, RANK(N1321,(N1321:P1321,Q1321:AE1321)),0)</f>
        <v>2</v>
      </c>
      <c r="E1321" s="5">
        <f>IF(O1321&gt;0,RANK(O1321,(N1321:P1321,Q1321:AE1321)),0)</f>
        <v>1</v>
      </c>
      <c r="F1321" s="5">
        <f>IF(P1321&gt;0,RANK(P1321,(N1321:P1321,Q1321:AE1321)),0)</f>
        <v>7</v>
      </c>
      <c r="G1321" s="132">
        <f t="shared" si="543"/>
        <v>6113</v>
      </c>
      <c r="H1321" s="137">
        <f t="shared" si="544"/>
        <v>0.38340441545408932</v>
      </c>
      <c r="I1321" s="2"/>
      <c r="J1321" s="2">
        <f t="shared" si="546"/>
        <v>0.28719267436026091</v>
      </c>
      <c r="K1321" s="2">
        <f t="shared" si="547"/>
        <v>0.67059708981435018</v>
      </c>
      <c r="L1321" s="2">
        <f t="shared" si="548"/>
        <v>3.7631710988459609E-4</v>
      </c>
      <c r="M1321" s="2">
        <f t="shared" si="549"/>
        <v>4.1833918715504369E-2</v>
      </c>
      <c r="N1321" s="63">
        <v>4579</v>
      </c>
      <c r="O1321" s="63">
        <v>10692</v>
      </c>
      <c r="P1321" s="63">
        <v>6</v>
      </c>
      <c r="Q1321" s="63">
        <v>477</v>
      </c>
      <c r="R1321" s="63">
        <v>104</v>
      </c>
      <c r="S1321" s="63">
        <v>56</v>
      </c>
      <c r="T1321" s="63"/>
      <c r="U1321" s="63">
        <v>3</v>
      </c>
      <c r="V1321" s="63"/>
      <c r="W1321" s="63">
        <f>IF(Copyright!B$11=1,IF(CA1321&gt;0,CA1321-P1321-SUM(V1321)-SUM(Y1321:AG1321)-SUM(AH1321:AQ1321),SUM(CC1321:CJ1321)),SUM(CC1321:CJ1321))</f>
        <v>27</v>
      </c>
      <c r="X1321" s="63"/>
      <c r="Y1321" s="63">
        <v>0</v>
      </c>
      <c r="Z1321" s="63"/>
      <c r="AA1321" s="63">
        <v>0</v>
      </c>
      <c r="AB1321" s="63"/>
      <c r="AC1321" s="63"/>
      <c r="AD1321" s="63"/>
      <c r="AE1321" s="63">
        <v>0</v>
      </c>
      <c r="AF1321" s="63"/>
      <c r="AG1321" s="63"/>
      <c r="AH1321" s="63"/>
      <c r="AI1321" s="63"/>
      <c r="AJ1321" s="63"/>
      <c r="AK1321" s="63"/>
      <c r="AL1321" s="63"/>
      <c r="AM1321" s="63"/>
      <c r="AN1321" s="63">
        <v>0</v>
      </c>
      <c r="AO1321" s="63"/>
      <c r="AP1321" s="63"/>
      <c r="AQ1321" s="63"/>
      <c r="AR1321" s="63"/>
      <c r="AS1321" s="63"/>
      <c r="AT1321" s="63"/>
      <c r="AU1321" s="63"/>
      <c r="AW1321" s="5">
        <f>IF(Q1321&gt;0,RANK(Q1321,(N1321:P1321,Q1321:AE1321)),0)</f>
        <v>3</v>
      </c>
      <c r="AX1321" s="5">
        <f>IF(R1321&gt;0,RANK(R1321,(N1321:P1321,Q1321:AE1321)),0)</f>
        <v>4</v>
      </c>
      <c r="AY1321" s="5">
        <f>IF(T1321&gt;0,RANK(T1321,(N1321:P1321,Q1321:AE1321)),0)</f>
        <v>0</v>
      </c>
      <c r="AZ1321" s="5">
        <f>IF(S1321&gt;0,RANK(S1321,(N1321:P1321,Q1321:AE1321)),0)</f>
        <v>5</v>
      </c>
      <c r="BA1321" s="2">
        <f t="shared" si="550"/>
        <v>2.991721023582539E-2</v>
      </c>
      <c r="BB1321" s="2">
        <f t="shared" si="551"/>
        <v>6.5228299046663323E-3</v>
      </c>
      <c r="BC1321" s="2">
        <f t="shared" si="552"/>
        <v>0</v>
      </c>
      <c r="BD1321" s="2">
        <f t="shared" si="553"/>
        <v>3.5122930255895636E-3</v>
      </c>
      <c r="BF1321" t="s">
        <v>1925</v>
      </c>
      <c r="BG1321" t="s">
        <v>3114</v>
      </c>
      <c r="BH1321" s="8">
        <v>10</v>
      </c>
      <c r="BJ1321" s="114">
        <v>26</v>
      </c>
      <c r="BK1321" s="116">
        <v>63</v>
      </c>
      <c r="BL1321" s="120">
        <f t="shared" ref="BL1321:BL1384" si="555">1000*BJ1321+BK1321</f>
        <v>26063</v>
      </c>
      <c r="BN1321" s="5" t="s">
        <v>3154</v>
      </c>
      <c r="BY1321" s="63">
        <f t="shared" si="554"/>
        <v>0</v>
      </c>
      <c r="BZ1321" s="63">
        <v>15944</v>
      </c>
      <c r="CA1321" s="63">
        <v>33</v>
      </c>
      <c r="CB1321" s="132"/>
      <c r="CD1321" s="63">
        <v>0</v>
      </c>
      <c r="CE1321" s="63">
        <v>0</v>
      </c>
    </row>
    <row r="1322" spans="1:83" ht="13" hidden="1" customHeight="1" outlineLevel="1">
      <c r="A1322" t="s">
        <v>1230</v>
      </c>
      <c r="B1322" t="s">
        <v>3114</v>
      </c>
      <c r="C1322" s="1">
        <f t="shared" ref="C1322:C1353" si="556">SUM(N1322:AU1322)</f>
        <v>132135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>IF(P1322&gt;0,RANK(P1322,(N1322:P1322,Q1322:AE1322)),0)</f>
        <v>7</v>
      </c>
      <c r="G1322" s="132">
        <f t="shared" si="543"/>
        <v>35242</v>
      </c>
      <c r="H1322" s="137">
        <f t="shared" si="544"/>
        <v>0.26671207477201347</v>
      </c>
      <c r="I1322" s="2"/>
      <c r="J1322" s="2">
        <f t="shared" ref="J1322:J1353" si="557">IF($C1322=0,"-",N1322/$C1322)</f>
        <v>0.59870586899761602</v>
      </c>
      <c r="K1322" s="2">
        <f t="shared" ref="K1322:K1353" si="558">IF($C1322=0,"-",O1322/$C1322)</f>
        <v>0.3319937942256026</v>
      </c>
      <c r="L1322" s="2">
        <f t="shared" ref="L1322:L1353" si="559">IF($C1322=0,"-",P1322/$C1322)</f>
        <v>2.875846671964279E-3</v>
      </c>
      <c r="M1322" s="2">
        <f t="shared" ref="M1322:M1353" si="560">IF(C1322=0,"-",(1-J1322-K1322-L1322))</f>
        <v>6.6424490104817102E-2</v>
      </c>
      <c r="N1322" s="63">
        <v>79110</v>
      </c>
      <c r="O1322" s="63">
        <v>43868</v>
      </c>
      <c r="P1322" s="63">
        <v>380</v>
      </c>
      <c r="Q1322" s="63">
        <v>5305</v>
      </c>
      <c r="R1322" s="63">
        <v>1846</v>
      </c>
      <c r="S1322" s="63">
        <v>516</v>
      </c>
      <c r="T1322" s="63"/>
      <c r="U1322" s="63">
        <v>90</v>
      </c>
      <c r="V1322" s="63"/>
      <c r="W1322" s="63">
        <f>IF(Copyright!B$11=1,IF(CA1322&gt;0,CA1322-P1322-SUM(V1322)-SUM(Y1322:AG1322)-SUM(AH1322:AQ1322),SUM(CC1322:CJ1322)),SUM(CC1322:CJ1322))</f>
        <v>998</v>
      </c>
      <c r="X1322" s="63"/>
      <c r="Y1322" s="63">
        <v>1</v>
      </c>
      <c r="Z1322" s="63"/>
      <c r="AA1322" s="63">
        <v>1</v>
      </c>
      <c r="AB1322" s="63"/>
      <c r="AC1322" s="63"/>
      <c r="AD1322" s="63"/>
      <c r="AE1322" s="63">
        <v>2</v>
      </c>
      <c r="AF1322" s="63"/>
      <c r="AG1322" s="63"/>
      <c r="AH1322" s="63"/>
      <c r="AI1322" s="63"/>
      <c r="AJ1322" s="63"/>
      <c r="AK1322" s="63"/>
      <c r="AL1322" s="63"/>
      <c r="AM1322" s="63"/>
      <c r="AN1322" s="63">
        <v>18</v>
      </c>
      <c r="AO1322" s="63"/>
      <c r="AP1322" s="63"/>
      <c r="AQ1322" s="63"/>
      <c r="AR1322" s="63"/>
      <c r="AS1322" s="63"/>
      <c r="AT1322" s="63"/>
      <c r="AU1322" s="63"/>
      <c r="AW1322" s="5">
        <f>IF(Q1322&gt;0,RANK(Q1322,(N1322:P1322,Q1322:AE1322)),0)</f>
        <v>3</v>
      </c>
      <c r="AX1322" s="5">
        <f>IF(R1322&gt;0,RANK(R1322,(N1322:P1322,Q1322:AE1322)),0)</f>
        <v>4</v>
      </c>
      <c r="AY1322" s="5">
        <f>IF(T1322&gt;0,RANK(T1322,(N1322:P1322,Q1322:AE1322)),0)</f>
        <v>0</v>
      </c>
      <c r="AZ1322" s="5">
        <f>IF(S1322&gt;0,RANK(S1322,(N1322:P1322,Q1322:AE1322)),0)</f>
        <v>6</v>
      </c>
      <c r="BA1322" s="2">
        <f t="shared" ref="BA1322:BA1353" si="561">IF($C1322=0,"-",Q1322/$C1322)</f>
        <v>4.0148333144132894E-2</v>
      </c>
      <c r="BB1322" s="2">
        <f t="shared" ref="BB1322:BB1353" si="562">IF($C1322=0,"-",R1322/$C1322)</f>
        <v>1.3970560411700155E-2</v>
      </c>
      <c r="BC1322" s="2">
        <f t="shared" ref="BC1322:BC1353" si="563">IF($C1322=0,"-",T1322/$C1322)</f>
        <v>0</v>
      </c>
      <c r="BD1322" s="2">
        <f t="shared" ref="BD1322:BD1353" si="564">IF($C1322=0,"-",S1322/$C1322)</f>
        <v>3.9050970598251788E-3</v>
      </c>
      <c r="BF1322" t="s">
        <v>1230</v>
      </c>
      <c r="BG1322" t="s">
        <v>3114</v>
      </c>
      <c r="BH1322" s="8">
        <v>8</v>
      </c>
      <c r="BJ1322" s="114">
        <v>26</v>
      </c>
      <c r="BK1322" s="116">
        <v>65</v>
      </c>
      <c r="BL1322" s="120">
        <f t="shared" si="555"/>
        <v>26065</v>
      </c>
      <c r="BN1322" s="5" t="s">
        <v>3154</v>
      </c>
      <c r="BY1322" s="63">
        <f t="shared" si="554"/>
        <v>0</v>
      </c>
      <c r="BZ1322" s="63">
        <f>134916-2781</f>
        <v>132135</v>
      </c>
      <c r="CA1322" s="63">
        <f>1423-23</f>
        <v>1400</v>
      </c>
      <c r="CB1322" s="132"/>
      <c r="CD1322" s="63">
        <v>0</v>
      </c>
      <c r="CE1322" s="63">
        <v>1</v>
      </c>
    </row>
    <row r="1323" spans="1:83" ht="13" hidden="1" customHeight="1" outlineLevel="1">
      <c r="A1323" t="s">
        <v>367</v>
      </c>
      <c r="B1323" t="s">
        <v>3114</v>
      </c>
      <c r="C1323" s="1">
        <f t="shared" si="556"/>
        <v>27039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7</v>
      </c>
      <c r="G1323" s="132">
        <f t="shared" si="543"/>
        <v>8283</v>
      </c>
      <c r="H1323" s="137">
        <f t="shared" si="544"/>
        <v>0.306335293464995</v>
      </c>
      <c r="I1323" s="2"/>
      <c r="J1323" s="2">
        <f t="shared" si="557"/>
        <v>0.30888716298679686</v>
      </c>
      <c r="K1323" s="2">
        <f t="shared" si="558"/>
        <v>0.61522245645179185</v>
      </c>
      <c r="L1323" s="2">
        <f t="shared" si="559"/>
        <v>1.6272791153518992E-3</v>
      </c>
      <c r="M1323" s="2">
        <f t="shared" si="560"/>
        <v>7.4263101446059382E-2</v>
      </c>
      <c r="N1323" s="63">
        <v>8352</v>
      </c>
      <c r="O1323" s="63">
        <v>16635</v>
      </c>
      <c r="P1323" s="63">
        <v>44</v>
      </c>
      <c r="Q1323" s="63">
        <v>1355</v>
      </c>
      <c r="R1323" s="63">
        <v>286</v>
      </c>
      <c r="S1323" s="63">
        <v>146</v>
      </c>
      <c r="T1323" s="63"/>
      <c r="U1323" s="63">
        <v>17</v>
      </c>
      <c r="V1323" s="63"/>
      <c r="W1323" s="63">
        <f>IF(Copyright!B$11=1,IF(CA1323&gt;0,CA1323-P1323-SUM(V1323)-SUM(Y1323:AG1323)-SUM(AH1323:AQ1323),SUM(CC1323:CJ1323)),SUM(CC1323:CJ1323))</f>
        <v>185</v>
      </c>
      <c r="X1323" s="63"/>
      <c r="Y1323" s="63">
        <v>1</v>
      </c>
      <c r="Z1323" s="63"/>
      <c r="AA1323" s="63">
        <v>0</v>
      </c>
      <c r="AB1323" s="63"/>
      <c r="AC1323" s="63"/>
      <c r="AD1323" s="63"/>
      <c r="AE1323" s="63">
        <v>3</v>
      </c>
      <c r="AF1323" s="63"/>
      <c r="AG1323" s="63"/>
      <c r="AH1323" s="63"/>
      <c r="AI1323" s="63"/>
      <c r="AJ1323" s="63"/>
      <c r="AK1323" s="63"/>
      <c r="AL1323" s="63"/>
      <c r="AM1323" s="63"/>
      <c r="AN1323" s="63">
        <v>15</v>
      </c>
      <c r="AO1323" s="63"/>
      <c r="AP1323" s="63"/>
      <c r="AQ1323" s="63"/>
      <c r="AR1323" s="63"/>
      <c r="AS1323" s="63"/>
      <c r="AT1323" s="63"/>
      <c r="AU1323" s="63"/>
      <c r="AW1323" s="5">
        <f>IF(Q1323&gt;0,RANK(Q1323,(N1323:P1323,Q1323:AE1323)),0)</f>
        <v>3</v>
      </c>
      <c r="AX1323" s="5">
        <f>IF(R1323&gt;0,RANK(R1323,(N1323:P1323,Q1323:AE1323)),0)</f>
        <v>4</v>
      </c>
      <c r="AY1323" s="5">
        <f>IF(T1323&gt;0,RANK(T1323,(N1323:P1323,Q1323:AE1323)),0)</f>
        <v>0</v>
      </c>
      <c r="AZ1323" s="5">
        <f>IF(S1323&gt;0,RANK(S1323,(N1323:P1323,Q1323:AE1323)),0)</f>
        <v>6</v>
      </c>
      <c r="BA1323" s="2">
        <f t="shared" si="561"/>
        <v>5.0112800029586894E-2</v>
      </c>
      <c r="BB1323" s="2">
        <f t="shared" si="562"/>
        <v>1.0577314249787344E-2</v>
      </c>
      <c r="BC1323" s="2">
        <f t="shared" si="563"/>
        <v>0</v>
      </c>
      <c r="BD1323" s="2">
        <f t="shared" si="564"/>
        <v>5.3996079736676654E-3</v>
      </c>
      <c r="BF1323" t="s">
        <v>367</v>
      </c>
      <c r="BG1323" t="s">
        <v>3114</v>
      </c>
      <c r="BH1323" s="8">
        <v>3</v>
      </c>
      <c r="BJ1323" s="114">
        <v>26</v>
      </c>
      <c r="BK1323" s="116">
        <v>67</v>
      </c>
      <c r="BL1323" s="120">
        <f t="shared" si="555"/>
        <v>26067</v>
      </c>
      <c r="BN1323" s="5" t="s">
        <v>3154</v>
      </c>
      <c r="BY1323" s="63">
        <f t="shared" si="554"/>
        <v>0</v>
      </c>
      <c r="BZ1323" s="132">
        <f>248+17+286+146+1355+8352+16635</f>
        <v>27039</v>
      </c>
      <c r="CA1323" s="63">
        <v>248</v>
      </c>
      <c r="CB1323" s="132"/>
      <c r="CD1323" s="63">
        <v>0</v>
      </c>
      <c r="CE1323" s="63">
        <v>0</v>
      </c>
    </row>
    <row r="1324" spans="1:83" ht="13" hidden="1" customHeight="1" outlineLevel="1">
      <c r="A1324" t="s">
        <v>530</v>
      </c>
      <c r="B1324" t="s">
        <v>3114</v>
      </c>
      <c r="C1324" s="1">
        <f t="shared" si="556"/>
        <v>13429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7</v>
      </c>
      <c r="G1324" s="132">
        <f t="shared" si="543"/>
        <v>4000</v>
      </c>
      <c r="H1324" s="137">
        <f t="shared" si="544"/>
        <v>0.29786283416486709</v>
      </c>
      <c r="I1324" s="2"/>
      <c r="J1324" s="2">
        <f t="shared" si="557"/>
        <v>0.32355350361158686</v>
      </c>
      <c r="K1324" s="2">
        <f t="shared" si="558"/>
        <v>0.621416337776454</v>
      </c>
      <c r="L1324" s="2">
        <f t="shared" si="559"/>
        <v>7.446570854121677E-4</v>
      </c>
      <c r="M1324" s="2">
        <f t="shared" si="560"/>
        <v>5.428550152654698E-2</v>
      </c>
      <c r="N1324" s="63">
        <v>4345</v>
      </c>
      <c r="O1324" s="63">
        <v>8345</v>
      </c>
      <c r="P1324" s="63">
        <v>10</v>
      </c>
      <c r="Q1324" s="63">
        <v>459</v>
      </c>
      <c r="R1324" s="63">
        <v>146</v>
      </c>
      <c r="S1324" s="63">
        <v>47</v>
      </c>
      <c r="T1324" s="63"/>
      <c r="U1324" s="63">
        <v>9</v>
      </c>
      <c r="V1324" s="63"/>
      <c r="W1324" s="63">
        <f>IF(Copyright!B$11=1,IF(CA1324&gt;0,CA1324-P1324-SUM(V1324)-SUM(Y1324:AG1324)-SUM(AH1324:AQ1324),SUM(CC1324:CJ1324)),SUM(CC1324:CJ1324))</f>
        <v>68</v>
      </c>
      <c r="X1324" s="63"/>
      <c r="Y1324" s="63">
        <v>0</v>
      </c>
      <c r="Z1324" s="63"/>
      <c r="AA1324" s="63">
        <v>0</v>
      </c>
      <c r="AB1324" s="63"/>
      <c r="AC1324" s="63"/>
      <c r="AD1324" s="63"/>
      <c r="AE1324" s="63">
        <v>0</v>
      </c>
      <c r="AF1324" s="63"/>
      <c r="AG1324" s="63"/>
      <c r="AH1324" s="63"/>
      <c r="AI1324" s="63"/>
      <c r="AJ1324" s="63"/>
      <c r="AK1324" s="63"/>
      <c r="AL1324" s="63"/>
      <c r="AM1324" s="63"/>
      <c r="AN1324" s="63">
        <v>0</v>
      </c>
      <c r="AO1324" s="63"/>
      <c r="AP1324" s="63"/>
      <c r="AQ1324" s="63"/>
      <c r="AR1324" s="63"/>
      <c r="AS1324" s="63"/>
      <c r="AT1324" s="63"/>
      <c r="AU1324" s="63"/>
      <c r="AW1324" s="5">
        <f>IF(Q1324&gt;0,RANK(Q1324,(N1324:P1324,Q1324:AE1324)),0)</f>
        <v>3</v>
      </c>
      <c r="AX1324" s="5">
        <f>IF(R1324&gt;0,RANK(R1324,(N1324:P1324,Q1324:AE1324)),0)</f>
        <v>4</v>
      </c>
      <c r="AY1324" s="5">
        <f>IF(T1324&gt;0,RANK(T1324,(N1324:P1324,Q1324:AE1324)),0)</f>
        <v>0</v>
      </c>
      <c r="AZ1324" s="5">
        <f>IF(S1324&gt;0,RANK(S1324,(N1324:P1324,Q1324:AE1324)),0)</f>
        <v>6</v>
      </c>
      <c r="BA1324" s="2">
        <f t="shared" si="561"/>
        <v>3.4179760220418499E-2</v>
      </c>
      <c r="BB1324" s="2">
        <f t="shared" si="562"/>
        <v>1.0871993447017649E-2</v>
      </c>
      <c r="BC1324" s="2">
        <f t="shared" si="563"/>
        <v>0</v>
      </c>
      <c r="BD1324" s="2">
        <f t="shared" si="564"/>
        <v>3.4998883014371882E-3</v>
      </c>
      <c r="BF1324" t="s">
        <v>530</v>
      </c>
      <c r="BG1324" t="s">
        <v>3114</v>
      </c>
      <c r="BH1324" s="8">
        <v>5</v>
      </c>
      <c r="BJ1324" s="114">
        <v>26</v>
      </c>
      <c r="BK1324" s="116">
        <v>69</v>
      </c>
      <c r="BL1324" s="120">
        <f t="shared" si="555"/>
        <v>26069</v>
      </c>
      <c r="BN1324" s="5" t="s">
        <v>3154</v>
      </c>
      <c r="BY1324" s="63">
        <f t="shared" si="554"/>
        <v>1</v>
      </c>
      <c r="BZ1324" s="63">
        <f>78+9+146+47+459+4345+8344</f>
        <v>13428</v>
      </c>
      <c r="CA1324" s="63">
        <v>78</v>
      </c>
      <c r="CB1324" s="132"/>
      <c r="CD1324" s="63">
        <v>0</v>
      </c>
      <c r="CE1324" s="63">
        <v>0</v>
      </c>
    </row>
    <row r="1325" spans="1:83" ht="13" hidden="1" customHeight="1" outlineLevel="1">
      <c r="A1325" t="s">
        <v>2833</v>
      </c>
      <c r="B1325" t="s">
        <v>3114</v>
      </c>
      <c r="C1325" s="1">
        <f t="shared" si="556"/>
        <v>5960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32">
        <f t="shared" si="543"/>
        <v>1671</v>
      </c>
      <c r="H1325" s="137">
        <f t="shared" si="544"/>
        <v>0.2803691275167785</v>
      </c>
      <c r="I1325" s="2"/>
      <c r="J1325" s="2">
        <f t="shared" si="557"/>
        <v>0.33624161073825504</v>
      </c>
      <c r="K1325" s="2">
        <f t="shared" si="558"/>
        <v>0.61661073825503354</v>
      </c>
      <c r="L1325" s="2">
        <f t="shared" si="559"/>
        <v>0</v>
      </c>
      <c r="M1325" s="2">
        <f t="shared" si="560"/>
        <v>4.7147651006711366E-2</v>
      </c>
      <c r="N1325" s="63">
        <v>2004</v>
      </c>
      <c r="O1325" s="63">
        <v>3675</v>
      </c>
      <c r="P1325" s="63">
        <v>0</v>
      </c>
      <c r="Q1325" s="63">
        <v>175</v>
      </c>
      <c r="R1325" s="63">
        <v>36</v>
      </c>
      <c r="S1325" s="63">
        <v>18</v>
      </c>
      <c r="T1325" s="63"/>
      <c r="U1325" s="63">
        <v>2</v>
      </c>
      <c r="V1325" s="63"/>
      <c r="W1325" s="63">
        <f>IF(Copyright!B$11=1,IF(CA1325&gt;0,CA1325-P1325-SUM(V1325)-SUM(Y1325:AG1325)-SUM(AH1325:AQ1325),SUM(CC1325:CJ1325)),SUM(CC1325:CJ1325))</f>
        <v>50</v>
      </c>
      <c r="X1325" s="63"/>
      <c r="Y1325" s="63">
        <v>0</v>
      </c>
      <c r="Z1325" s="63"/>
      <c r="AA1325" s="63">
        <v>0</v>
      </c>
      <c r="AB1325" s="63"/>
      <c r="AC1325" s="63"/>
      <c r="AD1325" s="63"/>
      <c r="AE1325" s="63">
        <v>0</v>
      </c>
      <c r="AF1325" s="63"/>
      <c r="AG1325" s="63"/>
      <c r="AH1325" s="63"/>
      <c r="AI1325" s="63"/>
      <c r="AJ1325" s="63"/>
      <c r="AK1325" s="63"/>
      <c r="AL1325" s="63"/>
      <c r="AM1325" s="63"/>
      <c r="AN1325" s="63">
        <v>0</v>
      </c>
      <c r="AO1325" s="63"/>
      <c r="AP1325" s="63"/>
      <c r="AQ1325" s="63"/>
      <c r="AR1325" s="63"/>
      <c r="AS1325" s="63"/>
      <c r="AT1325" s="63"/>
      <c r="AU1325" s="63"/>
      <c r="AW1325" s="5">
        <f>IF(Q1325&gt;0,RANK(Q1325,(N1325:P1325,Q1325:AE1325)),0)</f>
        <v>3</v>
      </c>
      <c r="AX1325" s="5">
        <f>IF(R1325&gt;0,RANK(R1325,(N1325:P1325,Q1325:AE1325)),0)</f>
        <v>5</v>
      </c>
      <c r="AY1325" s="5">
        <f>IF(T1325&gt;0,RANK(T1325,(N1325:P1325,Q1325:AE1325)),0)</f>
        <v>0</v>
      </c>
      <c r="AZ1325" s="5">
        <f>IF(S1325&gt;0,RANK(S1325,(N1325:P1325,Q1325:AE1325)),0)</f>
        <v>6</v>
      </c>
      <c r="BA1325" s="2">
        <f t="shared" si="561"/>
        <v>2.936241610738255E-2</v>
      </c>
      <c r="BB1325" s="2">
        <f t="shared" si="562"/>
        <v>6.0402684563758387E-3</v>
      </c>
      <c r="BC1325" s="2">
        <f t="shared" si="563"/>
        <v>0</v>
      </c>
      <c r="BD1325" s="2">
        <f t="shared" si="564"/>
        <v>3.0201342281879194E-3</v>
      </c>
      <c r="BF1325" t="s">
        <v>2833</v>
      </c>
      <c r="BG1325" t="s">
        <v>3114</v>
      </c>
      <c r="BH1325" s="8">
        <v>1</v>
      </c>
      <c r="BJ1325" s="114">
        <v>26</v>
      </c>
      <c r="BK1325" s="116">
        <v>71</v>
      </c>
      <c r="BL1325" s="120">
        <f t="shared" si="555"/>
        <v>26071</v>
      </c>
      <c r="BN1325" s="5" t="s">
        <v>3154</v>
      </c>
      <c r="BY1325" s="63">
        <f t="shared" si="554"/>
        <v>0</v>
      </c>
      <c r="BZ1325" s="63">
        <v>5960</v>
      </c>
      <c r="CA1325" s="63">
        <v>50</v>
      </c>
      <c r="CB1325" s="132"/>
      <c r="CD1325" s="63">
        <v>0</v>
      </c>
      <c r="CE1325" s="63">
        <v>0</v>
      </c>
    </row>
    <row r="1326" spans="1:83" ht="13" hidden="1" customHeight="1" outlineLevel="1">
      <c r="A1326" t="s">
        <v>1225</v>
      </c>
      <c r="B1326" t="s">
        <v>3114</v>
      </c>
      <c r="C1326" s="1">
        <f t="shared" si="556"/>
        <v>25540</v>
      </c>
      <c r="D1326" s="5">
        <f>IF(N1326&gt;0, RANK(N1326,(N1326:P1326,Q1326:AE1326)),0)</f>
        <v>2</v>
      </c>
      <c r="E1326" s="5">
        <f>IF(O1326&gt;0,RANK(O1326,(N1326:P1326,Q1326:AE1326)),0)</f>
        <v>1</v>
      </c>
      <c r="F1326" s="5">
        <f>IF(P1326&gt;0,RANK(P1326,(N1326:P1326,Q1326:AE1326)),0)</f>
        <v>7</v>
      </c>
      <c r="G1326" s="132">
        <f t="shared" si="543"/>
        <v>934</v>
      </c>
      <c r="H1326" s="137">
        <f t="shared" si="544"/>
        <v>3.6570086139389196E-2</v>
      </c>
      <c r="I1326" s="2"/>
      <c r="J1326" s="2">
        <f t="shared" si="557"/>
        <v>0.44651527016444792</v>
      </c>
      <c r="K1326" s="2">
        <f t="shared" si="558"/>
        <v>0.48308535630383714</v>
      </c>
      <c r="L1326" s="2">
        <f t="shared" si="559"/>
        <v>1.6836335160532497E-3</v>
      </c>
      <c r="M1326" s="2">
        <f t="shared" si="560"/>
        <v>6.8715740015661692E-2</v>
      </c>
      <c r="N1326" s="63">
        <v>11404</v>
      </c>
      <c r="O1326" s="63">
        <v>12338</v>
      </c>
      <c r="P1326" s="63">
        <v>43</v>
      </c>
      <c r="Q1326" s="63">
        <v>1093</v>
      </c>
      <c r="R1326" s="63">
        <v>396</v>
      </c>
      <c r="S1326" s="63">
        <v>101</v>
      </c>
      <c r="T1326" s="63"/>
      <c r="U1326" s="63">
        <v>12</v>
      </c>
      <c r="V1326" s="63"/>
      <c r="W1326" s="63">
        <f>IF(Copyright!B$11=1,IF(CA1326&gt;0,CA1326-P1326-SUM(V1326)-SUM(Y1326:AG1326)-SUM(AH1326:AQ1326),SUM(CC1326:CJ1326)),SUM(CC1326:CJ1326))</f>
        <v>148</v>
      </c>
      <c r="X1326" s="63"/>
      <c r="Y1326" s="63">
        <v>0</v>
      </c>
      <c r="Z1326" s="63"/>
      <c r="AA1326" s="63">
        <v>0</v>
      </c>
      <c r="AB1326" s="63"/>
      <c r="AC1326" s="63"/>
      <c r="AD1326" s="63"/>
      <c r="AE1326" s="63">
        <v>0</v>
      </c>
      <c r="AF1326" s="63"/>
      <c r="AG1326" s="63"/>
      <c r="AH1326" s="63"/>
      <c r="AI1326" s="63"/>
      <c r="AJ1326" s="63"/>
      <c r="AK1326" s="63"/>
      <c r="AL1326" s="63"/>
      <c r="AM1326" s="63"/>
      <c r="AN1326" s="63">
        <v>5</v>
      </c>
      <c r="AO1326" s="63"/>
      <c r="AP1326" s="63"/>
      <c r="AQ1326" s="63"/>
      <c r="AR1326" s="63"/>
      <c r="AS1326" s="63"/>
      <c r="AT1326" s="63"/>
      <c r="AU1326" s="63"/>
      <c r="AW1326" s="5">
        <f>IF(Q1326&gt;0,RANK(Q1326,(N1326:P1326,Q1326:AE1326)),0)</f>
        <v>3</v>
      </c>
      <c r="AX1326" s="5">
        <f>IF(R1326&gt;0,RANK(R1326,(N1326:P1326,Q1326:AE1326)),0)</f>
        <v>4</v>
      </c>
      <c r="AY1326" s="5">
        <f>IF(T1326&gt;0,RANK(T1326,(N1326:P1326,Q1326:AE1326)),0)</f>
        <v>0</v>
      </c>
      <c r="AZ1326" s="5">
        <f>IF(S1326&gt;0,RANK(S1326,(N1326:P1326,Q1326:AE1326)),0)</f>
        <v>6</v>
      </c>
      <c r="BA1326" s="2">
        <f t="shared" si="561"/>
        <v>4.2795614722004702E-2</v>
      </c>
      <c r="BB1326" s="2">
        <f t="shared" si="562"/>
        <v>1.5505090054815976E-2</v>
      </c>
      <c r="BC1326" s="2">
        <f t="shared" si="563"/>
        <v>0</v>
      </c>
      <c r="BD1326" s="2">
        <f t="shared" si="564"/>
        <v>3.9545810493343773E-3</v>
      </c>
      <c r="BF1326" t="s">
        <v>1225</v>
      </c>
      <c r="BG1326" t="s">
        <v>3114</v>
      </c>
      <c r="BH1326" s="8">
        <v>4</v>
      </c>
      <c r="BJ1326" s="114">
        <v>26</v>
      </c>
      <c r="BK1326" s="116">
        <v>73</v>
      </c>
      <c r="BL1326" s="120">
        <f t="shared" si="555"/>
        <v>26073</v>
      </c>
      <c r="BN1326" s="5" t="s">
        <v>3154</v>
      </c>
      <c r="BO1326" s="63">
        <v>225</v>
      </c>
      <c r="BP1326" s="63">
        <v>11</v>
      </c>
      <c r="BR1326" s="63"/>
      <c r="BY1326" s="63">
        <f t="shared" si="554"/>
        <v>0</v>
      </c>
      <c r="BZ1326" s="63">
        <v>25540</v>
      </c>
      <c r="CA1326" s="63">
        <v>196</v>
      </c>
      <c r="CB1326" s="132"/>
      <c r="CD1326" s="63">
        <v>0</v>
      </c>
      <c r="CE1326" s="63">
        <v>0</v>
      </c>
    </row>
    <row r="1327" spans="1:83" ht="13" hidden="1" customHeight="1" outlineLevel="1">
      <c r="A1327" t="s">
        <v>2921</v>
      </c>
      <c r="B1327" t="s">
        <v>3114</v>
      </c>
      <c r="C1327" s="1">
        <f t="shared" si="556"/>
        <v>70125</v>
      </c>
      <c r="D1327" s="5">
        <f>IF(N1327&gt;0, RANK(N1327,(N1327:P1327,Q1327:AE1327)),0)</f>
        <v>2</v>
      </c>
      <c r="E1327" s="5">
        <f>IF(O1327&gt;0,RANK(O1327,(N1327:P1327,Q1327:AE1327)),0)</f>
        <v>1</v>
      </c>
      <c r="F1327" s="5">
        <f>IF(P1327&gt;0,RANK(P1327,(N1327:P1327,Q1327:AE1327)),0)</f>
        <v>7</v>
      </c>
      <c r="G1327" s="132">
        <f t="shared" si="543"/>
        <v>13998</v>
      </c>
      <c r="H1327" s="137">
        <f t="shared" si="544"/>
        <v>0.19961497326203209</v>
      </c>
      <c r="I1327" s="2"/>
      <c r="J1327" s="2">
        <f t="shared" si="557"/>
        <v>0.36784313725490198</v>
      </c>
      <c r="K1327" s="2">
        <f t="shared" si="558"/>
        <v>0.56745811051693407</v>
      </c>
      <c r="L1327" s="2">
        <f t="shared" si="559"/>
        <v>1.4973262032085561E-3</v>
      </c>
      <c r="M1327" s="2">
        <f t="shared" si="560"/>
        <v>6.3201426024955348E-2</v>
      </c>
      <c r="N1327" s="63">
        <v>25795</v>
      </c>
      <c r="O1327" s="63">
        <v>39793</v>
      </c>
      <c r="P1327" s="63">
        <v>105</v>
      </c>
      <c r="Q1327" s="63">
        <v>2901</v>
      </c>
      <c r="R1327" s="63">
        <v>713</v>
      </c>
      <c r="S1327" s="63">
        <v>325</v>
      </c>
      <c r="T1327" s="63"/>
      <c r="U1327" s="63">
        <v>40</v>
      </c>
      <c r="V1327" s="63"/>
      <c r="W1327" s="63">
        <f>IF(Copyright!B$11=1,IF(CA1327&gt;0,CA1327-P1327-SUM(V1327)-SUM(Y1327:AG1327)-SUM(AH1327:AQ1327),SUM(CC1327:CJ1327)),SUM(CC1327:CJ1327))</f>
        <v>448</v>
      </c>
      <c r="X1327" s="63"/>
      <c r="Y1327" s="63">
        <v>5</v>
      </c>
      <c r="Z1327" s="63"/>
      <c r="AA1327" s="63">
        <v>0</v>
      </c>
      <c r="AB1327" s="63"/>
      <c r="AC1327" s="63"/>
      <c r="AD1327" s="63"/>
      <c r="AE1327" s="63">
        <v>0</v>
      </c>
      <c r="AF1327" s="63"/>
      <c r="AG1327" s="63"/>
      <c r="AH1327" s="63"/>
      <c r="AI1327" s="63"/>
      <c r="AJ1327" s="63"/>
      <c r="AK1327" s="63"/>
      <c r="AL1327" s="63"/>
      <c r="AM1327" s="63"/>
      <c r="AN1327" s="63">
        <v>0</v>
      </c>
      <c r="AO1327" s="63"/>
      <c r="AP1327" s="63"/>
      <c r="AQ1327" s="63"/>
      <c r="AR1327" s="63"/>
      <c r="AS1327" s="63"/>
      <c r="AT1327" s="63"/>
      <c r="AU1327" s="63"/>
      <c r="AW1327" s="5">
        <f>IF(Q1327&gt;0,RANK(Q1327,(N1327:P1327,Q1327:AE1327)),0)</f>
        <v>3</v>
      </c>
      <c r="AX1327" s="5">
        <f>IF(R1327&gt;0,RANK(R1327,(N1327:P1327,Q1327:AE1327)),0)</f>
        <v>4</v>
      </c>
      <c r="AY1327" s="5">
        <f>IF(T1327&gt;0,RANK(T1327,(N1327:P1327,Q1327:AE1327)),0)</f>
        <v>0</v>
      </c>
      <c r="AZ1327" s="5">
        <f>IF(S1327&gt;0,RANK(S1327,(N1327:P1327,Q1327:AE1327)),0)</f>
        <v>6</v>
      </c>
      <c r="BA1327" s="2">
        <f t="shared" si="561"/>
        <v>4.1368983957219253E-2</v>
      </c>
      <c r="BB1327" s="2">
        <f t="shared" si="562"/>
        <v>1.0167557932263815E-2</v>
      </c>
      <c r="BC1327" s="2">
        <f t="shared" si="563"/>
        <v>0</v>
      </c>
      <c r="BD1327" s="2">
        <f t="shared" si="564"/>
        <v>4.6345811051693407E-3</v>
      </c>
      <c r="BF1327" t="s">
        <v>2921</v>
      </c>
      <c r="BG1327" t="s">
        <v>3114</v>
      </c>
      <c r="BH1327" s="8">
        <v>7</v>
      </c>
      <c r="BJ1327" s="114">
        <v>26</v>
      </c>
      <c r="BK1327" s="116">
        <v>75</v>
      </c>
      <c r="BL1327" s="120">
        <f t="shared" si="555"/>
        <v>26075</v>
      </c>
      <c r="BN1327" s="5" t="s">
        <v>3154</v>
      </c>
      <c r="BY1327" s="63">
        <f t="shared" si="554"/>
        <v>0</v>
      </c>
      <c r="BZ1327" s="132">
        <v>70125</v>
      </c>
      <c r="CA1327" s="63">
        <f>448+105+5</f>
        <v>558</v>
      </c>
      <c r="CB1327" s="132"/>
      <c r="CD1327" s="63">
        <v>0</v>
      </c>
      <c r="CE1327" s="63">
        <v>0</v>
      </c>
    </row>
    <row r="1328" spans="1:83" ht="13" hidden="1" customHeight="1" outlineLevel="1">
      <c r="A1328" t="s">
        <v>330</v>
      </c>
      <c r="B1328" t="s">
        <v>3114</v>
      </c>
      <c r="C1328" s="1">
        <f t="shared" si="556"/>
        <v>126299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>IF(P1328&gt;0,RANK(P1328,(N1328:P1328,Q1328:AE1328)),0)</f>
        <v>6</v>
      </c>
      <c r="G1328" s="132">
        <f t="shared" si="543"/>
        <v>16114</v>
      </c>
      <c r="H1328" s="137">
        <f t="shared" si="544"/>
        <v>0.12758612498911315</v>
      </c>
      <c r="I1328" s="2"/>
      <c r="J1328" s="2">
        <f t="shared" si="557"/>
        <v>0.53165899967537356</v>
      </c>
      <c r="K1328" s="2">
        <f t="shared" si="558"/>
        <v>0.40407287468626041</v>
      </c>
      <c r="L1328" s="2">
        <f t="shared" si="559"/>
        <v>2.3436448427936879E-3</v>
      </c>
      <c r="M1328" s="2">
        <f t="shared" si="560"/>
        <v>6.1924480795572348E-2</v>
      </c>
      <c r="N1328" s="63">
        <v>67148</v>
      </c>
      <c r="O1328" s="63">
        <v>51034</v>
      </c>
      <c r="P1328" s="63">
        <v>296</v>
      </c>
      <c r="Q1328" s="63">
        <v>5644</v>
      </c>
      <c r="R1328" s="63">
        <v>1634</v>
      </c>
      <c r="S1328" s="63">
        <v>446</v>
      </c>
      <c r="T1328" s="63"/>
      <c r="U1328" s="63">
        <v>70</v>
      </c>
      <c r="V1328" s="63"/>
      <c r="W1328" s="63">
        <f>IF(Copyright!B$11=1,IF(CA1328&gt;0,CA1328-P1328-SUM(V1328)-SUM(Y1328:AG1328)-SUM(AH1328:AQ1328),SUM(CC1328:CJ1328)),SUM(CC1328:CJ1328))</f>
        <v>1</v>
      </c>
      <c r="X1328" s="63"/>
      <c r="Y1328" s="63">
        <v>2</v>
      </c>
      <c r="Z1328" s="63"/>
      <c r="AA1328" s="63">
        <v>0</v>
      </c>
      <c r="AB1328" s="63"/>
      <c r="AC1328" s="63"/>
      <c r="AD1328" s="63"/>
      <c r="AE1328" s="63">
        <v>2</v>
      </c>
      <c r="AF1328" s="63"/>
      <c r="AG1328" s="63"/>
      <c r="AH1328" s="63"/>
      <c r="AI1328" s="63"/>
      <c r="AJ1328" s="63"/>
      <c r="AK1328" s="63"/>
      <c r="AL1328" s="63"/>
      <c r="AM1328" s="63"/>
      <c r="AN1328" s="63">
        <v>22</v>
      </c>
      <c r="AO1328" s="63"/>
      <c r="AP1328" s="63"/>
      <c r="AQ1328" s="63"/>
      <c r="AR1328" s="63"/>
      <c r="AS1328" s="63"/>
      <c r="AT1328" s="63"/>
      <c r="AU1328" s="63"/>
      <c r="AW1328" s="5">
        <f>IF(Q1328&gt;0,RANK(Q1328,(N1328:P1328,Q1328:AE1328)),0)</f>
        <v>3</v>
      </c>
      <c r="AX1328" s="5">
        <f>IF(R1328&gt;0,RANK(R1328,(N1328:P1328,Q1328:AE1328)),0)</f>
        <v>4</v>
      </c>
      <c r="AY1328" s="5">
        <f>IF(T1328&gt;0,RANK(T1328,(N1328:P1328,Q1328:AE1328)),0)</f>
        <v>0</v>
      </c>
      <c r="AZ1328" s="5">
        <f>IF(S1328&gt;0,RANK(S1328,(N1328:P1328,Q1328:AE1328)),0)</f>
        <v>5</v>
      </c>
      <c r="BA1328" s="2">
        <f t="shared" si="561"/>
        <v>4.4687606394349919E-2</v>
      </c>
      <c r="BB1328" s="2">
        <f t="shared" si="562"/>
        <v>1.2937552949746236E-2</v>
      </c>
      <c r="BC1328" s="2">
        <f t="shared" si="563"/>
        <v>0</v>
      </c>
      <c r="BD1328" s="2">
        <f t="shared" si="564"/>
        <v>3.5313027023175163E-3</v>
      </c>
      <c r="BF1328" t="s">
        <v>330</v>
      </c>
      <c r="BG1328" t="s">
        <v>3114</v>
      </c>
      <c r="BH1328" s="8">
        <v>6</v>
      </c>
      <c r="BJ1328" s="114">
        <v>26</v>
      </c>
      <c r="BK1328" s="116">
        <v>77</v>
      </c>
      <c r="BL1328" s="120">
        <f t="shared" si="555"/>
        <v>26077</v>
      </c>
      <c r="BN1328" s="5" t="s">
        <v>3154</v>
      </c>
      <c r="BY1328" s="63">
        <f t="shared" si="554"/>
        <v>126299</v>
      </c>
      <c r="BZ1328" s="132"/>
      <c r="CB1328" s="132"/>
      <c r="CD1328" s="63">
        <v>0</v>
      </c>
      <c r="CE1328" s="63">
        <v>1</v>
      </c>
    </row>
    <row r="1329" spans="1:83" ht="13" hidden="1" customHeight="1" outlineLevel="1">
      <c r="A1329" t="s">
        <v>985</v>
      </c>
      <c r="B1329" t="s">
        <v>3114</v>
      </c>
      <c r="C1329" s="1">
        <f t="shared" si="556"/>
        <v>8833</v>
      </c>
      <c r="D1329" s="5">
        <f>IF(N1329&gt;0, RANK(N1329,(N1329:P1329,Q1329:AE1329)),0)</f>
        <v>2</v>
      </c>
      <c r="E1329" s="5">
        <f>IF(O1329&gt;0,RANK(O1329,(N1329:P1329,Q1329:AE1329)),0)</f>
        <v>1</v>
      </c>
      <c r="F1329" s="5">
        <f>IF(P1329&gt;0,RANK(P1329,(N1329:P1329,Q1329:AE1329)),0)</f>
        <v>6</v>
      </c>
      <c r="G1329" s="132">
        <f t="shared" si="543"/>
        <v>3836</v>
      </c>
      <c r="H1329" s="137">
        <f t="shared" si="544"/>
        <v>0.43428053888825996</v>
      </c>
      <c r="I1329" s="2"/>
      <c r="J1329" s="2">
        <f t="shared" si="557"/>
        <v>0.25812294803577496</v>
      </c>
      <c r="K1329" s="2">
        <f t="shared" si="558"/>
        <v>0.69240348692403486</v>
      </c>
      <c r="L1329" s="2">
        <f t="shared" si="559"/>
        <v>1.0189063738254274E-3</v>
      </c>
      <c r="M1329" s="2">
        <f t="shared" si="560"/>
        <v>4.8454658666364753E-2</v>
      </c>
      <c r="N1329" s="63">
        <v>2280</v>
      </c>
      <c r="O1329" s="63">
        <v>6116</v>
      </c>
      <c r="P1329" s="63">
        <v>9</v>
      </c>
      <c r="Q1329" s="63">
        <v>283</v>
      </c>
      <c r="R1329" s="63">
        <v>118</v>
      </c>
      <c r="S1329" s="63">
        <v>24</v>
      </c>
      <c r="T1329" s="63"/>
      <c r="U1329" s="63">
        <v>3</v>
      </c>
      <c r="V1329" s="63"/>
      <c r="W1329" s="63">
        <f>IF(Copyright!B$11=1,IF(CA1329&gt;0,CA1329-P1329-SUM(V1329)-SUM(Y1329:AG1329)-SUM(AH1329:AQ1329),SUM(CC1329:CJ1329)),SUM(CC1329:CJ1329))</f>
        <v>0</v>
      </c>
      <c r="X1329" s="63"/>
      <c r="Y1329" s="63">
        <v>0</v>
      </c>
      <c r="Z1329" s="63"/>
      <c r="AA1329" s="63">
        <v>0</v>
      </c>
      <c r="AB1329" s="63"/>
      <c r="AC1329" s="63"/>
      <c r="AD1329" s="63"/>
      <c r="AE1329" s="63">
        <v>0</v>
      </c>
      <c r="AF1329" s="63"/>
      <c r="AG1329" s="63"/>
      <c r="AH1329" s="63"/>
      <c r="AI1329" s="63"/>
      <c r="AJ1329" s="63"/>
      <c r="AK1329" s="63"/>
      <c r="AL1329" s="63"/>
      <c r="AM1329" s="63"/>
      <c r="AN1329" s="63">
        <v>0</v>
      </c>
      <c r="AO1329" s="63"/>
      <c r="AP1329" s="63"/>
      <c r="AQ1329" s="63"/>
      <c r="AR1329" s="63"/>
      <c r="AS1329" s="63"/>
      <c r="AT1329" s="63"/>
      <c r="AU1329" s="63"/>
      <c r="AW1329" s="5">
        <f>IF(Q1329&gt;0,RANK(Q1329,(N1329:P1329,Q1329:AE1329)),0)</f>
        <v>3</v>
      </c>
      <c r="AX1329" s="5">
        <f>IF(R1329&gt;0,RANK(R1329,(N1329:P1329,Q1329:AE1329)),0)</f>
        <v>4</v>
      </c>
      <c r="AY1329" s="5">
        <f>IF(T1329&gt;0,RANK(T1329,(N1329:P1329,Q1329:AE1329)),0)</f>
        <v>0</v>
      </c>
      <c r="AZ1329" s="5">
        <f>IF(S1329&gt;0,RANK(S1329,(N1329:P1329,Q1329:AE1329)),0)</f>
        <v>5</v>
      </c>
      <c r="BA1329" s="2">
        <f t="shared" si="561"/>
        <v>3.2038944865843993E-2</v>
      </c>
      <c r="BB1329" s="2">
        <f t="shared" si="562"/>
        <v>1.3358994679044492E-2</v>
      </c>
      <c r="BC1329" s="2">
        <f t="shared" si="563"/>
        <v>0</v>
      </c>
      <c r="BD1329" s="2">
        <f t="shared" si="564"/>
        <v>2.7170836635344729E-3</v>
      </c>
      <c r="BF1329" t="s">
        <v>985</v>
      </c>
      <c r="BG1329" t="s">
        <v>3114</v>
      </c>
      <c r="BH1329" s="8">
        <v>1</v>
      </c>
      <c r="BJ1329" s="114">
        <v>26</v>
      </c>
      <c r="BK1329" s="116">
        <v>79</v>
      </c>
      <c r="BL1329" s="120">
        <f t="shared" si="555"/>
        <v>26079</v>
      </c>
      <c r="BN1329" s="5" t="s">
        <v>3154</v>
      </c>
      <c r="BY1329" s="63">
        <f t="shared" si="554"/>
        <v>8833</v>
      </c>
      <c r="CB1329" s="132"/>
      <c r="CD1329" s="63">
        <v>0</v>
      </c>
      <c r="CE1329" s="63">
        <v>0</v>
      </c>
    </row>
    <row r="1330" spans="1:83" ht="13" hidden="1" customHeight="1" outlineLevel="1">
      <c r="A1330" t="s">
        <v>725</v>
      </c>
      <c r="B1330" t="s">
        <v>3114</v>
      </c>
      <c r="C1330" s="1">
        <f t="shared" si="556"/>
        <v>310894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>IF(P1330&gt;0,RANK(P1330,(N1330:P1330,Q1330:AE1330)),0)</f>
        <v>6</v>
      </c>
      <c r="G1330" s="132">
        <f t="shared" si="543"/>
        <v>9497</v>
      </c>
      <c r="H1330" s="137">
        <f t="shared" si="544"/>
        <v>3.0547389142280005E-2</v>
      </c>
      <c r="I1330" s="2"/>
      <c r="J1330" s="2">
        <f t="shared" si="557"/>
        <v>0.44607808449182035</v>
      </c>
      <c r="K1330" s="2">
        <f t="shared" si="558"/>
        <v>0.47662547363410035</v>
      </c>
      <c r="L1330" s="2">
        <f t="shared" si="559"/>
        <v>4.573906218839862E-3</v>
      </c>
      <c r="M1330" s="2">
        <f t="shared" si="560"/>
        <v>7.2722535655239381E-2</v>
      </c>
      <c r="N1330" s="63">
        <v>138683</v>
      </c>
      <c r="O1330" s="63">
        <v>148180</v>
      </c>
      <c r="P1330" s="63">
        <v>1422</v>
      </c>
      <c r="Q1330" s="63">
        <v>14246</v>
      </c>
      <c r="R1330" s="63">
        <v>3996</v>
      </c>
      <c r="S1330" s="63">
        <v>1375</v>
      </c>
      <c r="T1330" s="63"/>
      <c r="U1330" s="63">
        <v>141</v>
      </c>
      <c r="V1330" s="63"/>
      <c r="W1330" s="63">
        <f>IF(Copyright!B$11=1,IF(CA1330&gt;0,CA1330-P1330-SUM(V1330)-SUM(Y1330:AG1330)-SUM(AH1330:AQ1330),SUM(CC1330:CJ1330)),SUM(CC1330:CJ1330))</f>
        <v>2718</v>
      </c>
      <c r="X1330" s="63"/>
      <c r="Y1330" s="63">
        <v>9</v>
      </c>
      <c r="Z1330" s="63"/>
      <c r="AA1330" s="63">
        <v>9</v>
      </c>
      <c r="AB1330" s="63"/>
      <c r="AC1330" s="63"/>
      <c r="AD1330" s="63"/>
      <c r="AE1330" s="63">
        <v>14</v>
      </c>
      <c r="AF1330" s="63"/>
      <c r="AG1330" s="63"/>
      <c r="AH1330" s="63"/>
      <c r="AI1330" s="63"/>
      <c r="AJ1330" s="63"/>
      <c r="AK1330" s="63"/>
      <c r="AL1330" s="63"/>
      <c r="AM1330" s="63"/>
      <c r="AN1330" s="63">
        <v>101</v>
      </c>
      <c r="AO1330" s="63"/>
      <c r="AP1330" s="63"/>
      <c r="AQ1330" s="63"/>
      <c r="AR1330" s="63"/>
      <c r="AS1330" s="63"/>
      <c r="AT1330" s="63"/>
      <c r="AU1330" s="63"/>
      <c r="AW1330" s="5">
        <f>IF(Q1330&gt;0,RANK(Q1330,(N1330:P1330,Q1330:AE1330)),0)</f>
        <v>3</v>
      </c>
      <c r="AX1330" s="5">
        <f>IF(R1330&gt;0,RANK(R1330,(N1330:P1330,Q1330:AE1330)),0)</f>
        <v>4</v>
      </c>
      <c r="AY1330" s="5">
        <f>IF(T1330&gt;0,RANK(T1330,(N1330:P1330,Q1330:AE1330)),0)</f>
        <v>0</v>
      </c>
      <c r="AZ1330" s="5">
        <f>IF(S1330&gt;0,RANK(S1330,(N1330:P1330,Q1330:AE1330)),0)</f>
        <v>7</v>
      </c>
      <c r="BA1330" s="2">
        <f t="shared" si="561"/>
        <v>4.5822691978616506E-2</v>
      </c>
      <c r="BB1330" s="2">
        <f t="shared" si="562"/>
        <v>1.2853255450410751E-2</v>
      </c>
      <c r="BC1330" s="2">
        <f t="shared" si="563"/>
        <v>0</v>
      </c>
      <c r="BD1330" s="2">
        <f t="shared" si="564"/>
        <v>4.422729290369065E-3</v>
      </c>
      <c r="BF1330" t="s">
        <v>725</v>
      </c>
      <c r="BG1330" t="s">
        <v>3114</v>
      </c>
      <c r="BH1330" s="8"/>
      <c r="BJ1330" s="114">
        <v>26</v>
      </c>
      <c r="BK1330" s="116">
        <v>81</v>
      </c>
      <c r="BL1330" s="120">
        <f t="shared" si="555"/>
        <v>26081</v>
      </c>
      <c r="BN1330" s="5" t="s">
        <v>3154</v>
      </c>
      <c r="BR1330" s="63"/>
      <c r="BY1330" s="63">
        <f t="shared" si="554"/>
        <v>0</v>
      </c>
      <c r="BZ1330" s="132">
        <f>148180+138683+14246+1375+3996+141+4273</f>
        <v>310894</v>
      </c>
      <c r="CA1330" s="63">
        <v>4273</v>
      </c>
      <c r="CB1330" s="132"/>
      <c r="CD1330" s="63">
        <v>2</v>
      </c>
      <c r="CE1330" s="63">
        <v>6</v>
      </c>
    </row>
    <row r="1331" spans="1:83" ht="13" hidden="1" customHeight="1" outlineLevel="1">
      <c r="A1331" t="s">
        <v>1152</v>
      </c>
      <c r="B1331" t="s">
        <v>3114</v>
      </c>
      <c r="C1331" s="1">
        <f t="shared" si="556"/>
        <v>1434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5</v>
      </c>
      <c r="G1331" s="132">
        <f t="shared" si="543"/>
        <v>287</v>
      </c>
      <c r="H1331" s="137">
        <f t="shared" si="544"/>
        <v>0.200139470013947</v>
      </c>
      <c r="I1331" s="2"/>
      <c r="J1331" s="2">
        <f t="shared" si="557"/>
        <v>0.36750348675034866</v>
      </c>
      <c r="K1331" s="2">
        <f t="shared" si="558"/>
        <v>0.56764295676429566</v>
      </c>
      <c r="L1331" s="2">
        <f t="shared" si="559"/>
        <v>3.4867503486750349E-3</v>
      </c>
      <c r="M1331" s="2">
        <f t="shared" si="560"/>
        <v>6.1366806136680697E-2</v>
      </c>
      <c r="N1331" s="63">
        <v>527</v>
      </c>
      <c r="O1331" s="63">
        <v>814</v>
      </c>
      <c r="P1331" s="63">
        <v>5</v>
      </c>
      <c r="Q1331" s="63">
        <v>62</v>
      </c>
      <c r="R1331" s="63">
        <v>20</v>
      </c>
      <c r="S1331" s="63">
        <v>5</v>
      </c>
      <c r="T1331" s="63"/>
      <c r="U1331" s="63">
        <v>1</v>
      </c>
      <c r="V1331" s="63"/>
      <c r="W1331" s="63">
        <f>IF(Copyright!B$11=1,IF(CA1331&gt;0,CA1331-P1331-SUM(V1331)-SUM(Y1331:AG1331)-SUM(AH1331:AQ1331),SUM(CC1331:CJ1331)),SUM(CC1331:CJ1331))</f>
        <v>0</v>
      </c>
      <c r="X1331" s="63"/>
      <c r="Y1331" s="63">
        <v>0</v>
      </c>
      <c r="Z1331" s="63"/>
      <c r="AA1331" s="63">
        <v>0</v>
      </c>
      <c r="AB1331" s="63"/>
      <c r="AC1331" s="63"/>
      <c r="AD1331" s="63"/>
      <c r="AE1331" s="63">
        <v>0</v>
      </c>
      <c r="AF1331" s="63"/>
      <c r="AG1331" s="63"/>
      <c r="AH1331" s="63"/>
      <c r="AI1331" s="63"/>
      <c r="AJ1331" s="63"/>
      <c r="AK1331" s="63"/>
      <c r="AL1331" s="63"/>
      <c r="AM1331" s="63"/>
      <c r="AN1331" s="63">
        <v>0</v>
      </c>
      <c r="AO1331" s="63"/>
      <c r="AP1331" s="63"/>
      <c r="AQ1331" s="63"/>
      <c r="AR1331" s="63"/>
      <c r="AS1331" s="63"/>
      <c r="AT1331" s="63"/>
      <c r="AU1331" s="63"/>
      <c r="AW1331" s="5">
        <f>IF(Q1331&gt;0,RANK(Q1331,(N1331:P1331,Q1331:AE1331)),0)</f>
        <v>3</v>
      </c>
      <c r="AX1331" s="5">
        <f>IF(R1331&gt;0,RANK(R1331,(N1331:P1331,Q1331:AE1331)),0)</f>
        <v>4</v>
      </c>
      <c r="AY1331" s="5">
        <f>IF(T1331&gt;0,RANK(T1331,(N1331:P1331,Q1331:AE1331)),0)</f>
        <v>0</v>
      </c>
      <c r="AZ1331" s="5">
        <f>IF(S1331&gt;0,RANK(S1331,(N1331:P1331,Q1331:AE1331)),0)</f>
        <v>5</v>
      </c>
      <c r="BA1331" s="2">
        <f t="shared" si="561"/>
        <v>4.3235704323570434E-2</v>
      </c>
      <c r="BB1331" s="2">
        <f t="shared" si="562"/>
        <v>1.3947001394700139E-2</v>
      </c>
      <c r="BC1331" s="2">
        <f t="shared" si="563"/>
        <v>0</v>
      </c>
      <c r="BD1331" s="2">
        <f t="shared" si="564"/>
        <v>3.4867503486750349E-3</v>
      </c>
      <c r="BF1331" t="s">
        <v>1152</v>
      </c>
      <c r="BG1331" t="s">
        <v>3114</v>
      </c>
      <c r="BH1331" s="8">
        <v>1</v>
      </c>
      <c r="BJ1331" s="114">
        <v>26</v>
      </c>
      <c r="BK1331" s="116">
        <v>83</v>
      </c>
      <c r="BL1331" s="120">
        <f t="shared" si="555"/>
        <v>26083</v>
      </c>
      <c r="BN1331" s="5" t="s">
        <v>3154</v>
      </c>
      <c r="BY1331" s="63">
        <f t="shared" si="554"/>
        <v>1434</v>
      </c>
      <c r="CB1331" s="132"/>
      <c r="CD1331" s="63">
        <v>0</v>
      </c>
      <c r="CE1331" s="63">
        <v>0</v>
      </c>
    </row>
    <row r="1332" spans="1:83" ht="13" hidden="1" customHeight="1" outlineLevel="1">
      <c r="A1332" t="s">
        <v>820</v>
      </c>
      <c r="B1332" t="s">
        <v>3114</v>
      </c>
      <c r="C1332" s="1">
        <f t="shared" si="556"/>
        <v>5358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>IF(P1332&gt;0,RANK(P1332,(N1332:P1332,Q1332:AE1332)),0)</f>
        <v>0</v>
      </c>
      <c r="G1332" s="132">
        <f t="shared" si="543"/>
        <v>1220</v>
      </c>
      <c r="H1332" s="137">
        <f t="shared" si="544"/>
        <v>0.22769690182904068</v>
      </c>
      <c r="I1332" s="2"/>
      <c r="J1332" s="2">
        <f t="shared" si="557"/>
        <v>0.36188876446435236</v>
      </c>
      <c r="K1332" s="2">
        <f t="shared" si="558"/>
        <v>0.58958566629339304</v>
      </c>
      <c r="L1332" s="2">
        <f t="shared" si="559"/>
        <v>0</v>
      </c>
      <c r="M1332" s="2">
        <f t="shared" si="560"/>
        <v>4.8525569242254596E-2</v>
      </c>
      <c r="N1332" s="63">
        <v>1939</v>
      </c>
      <c r="O1332" s="63">
        <v>3159</v>
      </c>
      <c r="P1332" s="63">
        <v>0</v>
      </c>
      <c r="Q1332" s="63">
        <v>152</v>
      </c>
      <c r="R1332" s="63">
        <v>48</v>
      </c>
      <c r="S1332" s="63">
        <v>26</v>
      </c>
      <c r="T1332" s="63"/>
      <c r="U1332" s="63">
        <v>4</v>
      </c>
      <c r="V1332" s="63"/>
      <c r="W1332" s="63">
        <f>IF(Copyright!B$11=1,IF(CA1332&gt;0,CA1332-P1332-SUM(V1332)-SUM(Y1332:AG1332)-SUM(AH1332:AQ1332),SUM(CC1332:CJ1332)),SUM(CC1332:CJ1332))</f>
        <v>30</v>
      </c>
      <c r="X1332" s="63"/>
      <c r="Y1332" s="63">
        <v>0</v>
      </c>
      <c r="Z1332" s="63"/>
      <c r="AA1332" s="63">
        <v>0</v>
      </c>
      <c r="AB1332" s="63"/>
      <c r="AC1332" s="63"/>
      <c r="AD1332" s="63"/>
      <c r="AE1332" s="63">
        <v>0</v>
      </c>
      <c r="AF1332" s="63"/>
      <c r="AG1332" s="63"/>
      <c r="AH1332" s="63"/>
      <c r="AI1332" s="63"/>
      <c r="AJ1332" s="63"/>
      <c r="AK1332" s="63"/>
      <c r="AL1332" s="63"/>
      <c r="AM1332" s="63"/>
      <c r="AN1332" s="63">
        <v>0</v>
      </c>
      <c r="AO1332" s="63"/>
      <c r="AP1332" s="63"/>
      <c r="AQ1332" s="63"/>
      <c r="AR1332" s="63"/>
      <c r="AS1332" s="63"/>
      <c r="AT1332" s="63"/>
      <c r="AU1332" s="63"/>
      <c r="AW1332" s="5">
        <f>IF(Q1332&gt;0,RANK(Q1332,(N1332:P1332,Q1332:AE1332)),0)</f>
        <v>3</v>
      </c>
      <c r="AX1332" s="5">
        <f>IF(R1332&gt;0,RANK(R1332,(N1332:P1332,Q1332:AE1332)),0)</f>
        <v>4</v>
      </c>
      <c r="AY1332" s="5">
        <f>IF(T1332&gt;0,RANK(T1332,(N1332:P1332,Q1332:AE1332)),0)</f>
        <v>0</v>
      </c>
      <c r="AZ1332" s="5">
        <f>IF(S1332&gt;0,RANK(S1332,(N1332:P1332,Q1332:AE1332)),0)</f>
        <v>6</v>
      </c>
      <c r="BA1332" s="2">
        <f t="shared" si="561"/>
        <v>2.8368794326241134E-2</v>
      </c>
      <c r="BB1332" s="2">
        <f t="shared" si="562"/>
        <v>8.9585666293393058E-3</v>
      </c>
      <c r="BC1332" s="2">
        <f t="shared" si="563"/>
        <v>0</v>
      </c>
      <c r="BD1332" s="2">
        <f t="shared" si="564"/>
        <v>4.8525569242254575E-3</v>
      </c>
      <c r="BF1332" t="s">
        <v>820</v>
      </c>
      <c r="BG1332" t="s">
        <v>3114</v>
      </c>
      <c r="BH1332" s="8">
        <v>2</v>
      </c>
      <c r="BJ1332" s="114">
        <v>26</v>
      </c>
      <c r="BK1332" s="116">
        <v>85</v>
      </c>
      <c r="BL1332" s="120">
        <f t="shared" si="555"/>
        <v>26085</v>
      </c>
      <c r="BN1332" s="5" t="s">
        <v>3154</v>
      </c>
      <c r="BY1332" s="63">
        <f t="shared" si="554"/>
        <v>0</v>
      </c>
      <c r="BZ1332" s="63">
        <v>5358</v>
      </c>
      <c r="CA1332" s="63">
        <v>30</v>
      </c>
      <c r="CB1332" s="132"/>
      <c r="CD1332" s="63">
        <v>0</v>
      </c>
      <c r="CE1332" s="63">
        <v>0</v>
      </c>
    </row>
    <row r="1333" spans="1:83" ht="13" hidden="1" customHeight="1" outlineLevel="1">
      <c r="A1333" t="s">
        <v>149</v>
      </c>
      <c r="B1333" t="s">
        <v>3114</v>
      </c>
      <c r="C1333" s="1">
        <f t="shared" si="556"/>
        <v>45183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>IF(P1333&gt;0,RANK(P1333,(N1333:P1333,Q1333:AE1333)),0)</f>
        <v>6</v>
      </c>
      <c r="G1333" s="132">
        <f t="shared" si="543"/>
        <v>17303</v>
      </c>
      <c r="H1333" s="137">
        <f t="shared" si="544"/>
        <v>0.38295376579687052</v>
      </c>
      <c r="I1333" s="2"/>
      <c r="J1333" s="2">
        <f t="shared" si="557"/>
        <v>0.28183166235088419</v>
      </c>
      <c r="K1333" s="2">
        <f t="shared" si="558"/>
        <v>0.66478542814775465</v>
      </c>
      <c r="L1333" s="2">
        <f t="shared" si="559"/>
        <v>1.1287431113471882E-3</v>
      </c>
      <c r="M1333" s="2">
        <f t="shared" si="560"/>
        <v>5.2254166390013963E-2</v>
      </c>
      <c r="N1333" s="63">
        <v>12734</v>
      </c>
      <c r="O1333" s="63">
        <v>30037</v>
      </c>
      <c r="P1333" s="63">
        <v>51</v>
      </c>
      <c r="Q1333" s="63">
        <v>1730</v>
      </c>
      <c r="R1333" s="63">
        <v>426</v>
      </c>
      <c r="S1333" s="63">
        <v>176</v>
      </c>
      <c r="T1333" s="63"/>
      <c r="U1333" s="63">
        <v>23</v>
      </c>
      <c r="V1333" s="63"/>
      <c r="W1333" s="63">
        <f>IF(Copyright!B$11=1,IF(CA1333&gt;0,CA1333-P1333-SUM(V1333)-SUM(Y1333:AG1333)-SUM(AH1333:AQ1333),SUM(CC1333:CJ1333)),SUM(CC1333:CJ1333))</f>
        <v>1</v>
      </c>
      <c r="X1333" s="63"/>
      <c r="Y1333" s="63">
        <v>0</v>
      </c>
      <c r="Z1333" s="63"/>
      <c r="AA1333" s="63">
        <v>0</v>
      </c>
      <c r="AB1333" s="63"/>
      <c r="AC1333" s="63"/>
      <c r="AD1333" s="63"/>
      <c r="AE1333" s="63">
        <v>0</v>
      </c>
      <c r="AF1333" s="63"/>
      <c r="AG1333" s="63"/>
      <c r="AH1333" s="63"/>
      <c r="AI1333" s="63"/>
      <c r="AJ1333" s="63"/>
      <c r="AK1333" s="63"/>
      <c r="AL1333" s="63"/>
      <c r="AM1333" s="63"/>
      <c r="AN1333" s="63">
        <v>5</v>
      </c>
      <c r="AO1333" s="63"/>
      <c r="AP1333" s="63"/>
      <c r="AQ1333" s="63"/>
      <c r="AR1333" s="63"/>
      <c r="AS1333" s="63"/>
      <c r="AT1333" s="63"/>
      <c r="AU1333" s="63"/>
      <c r="AW1333" s="5">
        <f>IF(Q1333&gt;0,RANK(Q1333,(N1333:P1333,Q1333:AE1333)),0)</f>
        <v>3</v>
      </c>
      <c r="AX1333" s="5">
        <f>IF(R1333&gt;0,RANK(R1333,(N1333:P1333,Q1333:AE1333)),0)</f>
        <v>4</v>
      </c>
      <c r="AY1333" s="5">
        <f>IF(T1333&gt;0,RANK(T1333,(N1333:P1333,Q1333:AE1333)),0)</f>
        <v>0</v>
      </c>
      <c r="AZ1333" s="5">
        <f>IF(S1333&gt;0,RANK(S1333,(N1333:P1333,Q1333:AE1333)),0)</f>
        <v>5</v>
      </c>
      <c r="BA1333" s="2">
        <f t="shared" si="561"/>
        <v>3.8288736914326188E-2</v>
      </c>
      <c r="BB1333" s="2">
        <f t="shared" si="562"/>
        <v>9.4283248124294537E-3</v>
      </c>
      <c r="BC1333" s="2">
        <f t="shared" si="563"/>
        <v>0</v>
      </c>
      <c r="BD1333" s="2">
        <f t="shared" si="564"/>
        <v>3.8952703450412765E-3</v>
      </c>
      <c r="BF1333" t="s">
        <v>149</v>
      </c>
      <c r="BG1333" t="s">
        <v>3114</v>
      </c>
      <c r="BH1333" s="8">
        <v>10</v>
      </c>
      <c r="BJ1333" s="114">
        <v>26</v>
      </c>
      <c r="BK1333" s="116">
        <v>87</v>
      </c>
      <c r="BL1333" s="120">
        <f t="shared" si="555"/>
        <v>26087</v>
      </c>
      <c r="BN1333" s="5" t="s">
        <v>3154</v>
      </c>
      <c r="BY1333" s="63">
        <f t="shared" si="554"/>
        <v>45183</v>
      </c>
      <c r="BZ1333" s="132"/>
      <c r="CB1333" s="132"/>
      <c r="CD1333" s="63">
        <v>0</v>
      </c>
      <c r="CE1333" s="63">
        <v>1</v>
      </c>
    </row>
    <row r="1334" spans="1:83" ht="13" hidden="1" customHeight="1" outlineLevel="1">
      <c r="A1334" t="s">
        <v>1724</v>
      </c>
      <c r="B1334" t="s">
        <v>3114</v>
      </c>
      <c r="C1334" s="1">
        <f t="shared" si="556"/>
        <v>14892</v>
      </c>
      <c r="D1334" s="5">
        <f>IF(N1334&gt;0, RANK(N1334,(N1334:P1334,Q1334:AE1334)),0)</f>
        <v>2</v>
      </c>
      <c r="E1334" s="5">
        <f>IF(O1334&gt;0,RANK(O1334,(N1334:P1334,Q1334:AE1334)),0)</f>
        <v>1</v>
      </c>
      <c r="F1334" s="5">
        <f>IF(P1334&gt;0,RANK(P1334,(N1334:P1334,Q1334:AE1334)),0)</f>
        <v>0</v>
      </c>
      <c r="G1334" s="132">
        <f t="shared" si="543"/>
        <v>465</v>
      </c>
      <c r="H1334" s="137">
        <f t="shared" si="544"/>
        <v>3.1224818694601128E-2</v>
      </c>
      <c r="I1334" s="2"/>
      <c r="J1334" s="2">
        <f t="shared" si="557"/>
        <v>0.45487510072522158</v>
      </c>
      <c r="K1334" s="2">
        <f t="shared" si="558"/>
        <v>0.48609991941982272</v>
      </c>
      <c r="L1334" s="2">
        <f t="shared" si="559"/>
        <v>0</v>
      </c>
      <c r="M1334" s="2">
        <f t="shared" si="560"/>
        <v>5.9024979854955639E-2</v>
      </c>
      <c r="N1334" s="63">
        <v>6774</v>
      </c>
      <c r="O1334" s="63">
        <v>7239</v>
      </c>
      <c r="P1334" s="63">
        <v>0</v>
      </c>
      <c r="Q1334" s="63">
        <v>510</v>
      </c>
      <c r="R1334" s="63">
        <v>197</v>
      </c>
      <c r="S1334" s="63">
        <v>33</v>
      </c>
      <c r="T1334" s="63"/>
      <c r="U1334" s="63">
        <v>4</v>
      </c>
      <c r="V1334" s="63"/>
      <c r="W1334" s="63">
        <f>IF(Copyright!B$11=1,IF(CA1334&gt;0,CA1334-P1334-SUM(V1334)-SUM(Y1334:AG1334)-SUM(AH1334:AQ1334),SUM(CC1334:CJ1334)),SUM(CC1334:CJ1334))</f>
        <v>135</v>
      </c>
      <c r="X1334" s="63"/>
      <c r="Y1334" s="63">
        <v>0</v>
      </c>
      <c r="Z1334" s="63"/>
      <c r="AA1334" s="63">
        <v>0</v>
      </c>
      <c r="AB1334" s="63"/>
      <c r="AC1334" s="63"/>
      <c r="AD1334" s="63"/>
      <c r="AE1334" s="63">
        <v>0</v>
      </c>
      <c r="AF1334" s="63"/>
      <c r="AG1334" s="63"/>
      <c r="AH1334" s="63"/>
      <c r="AI1334" s="63"/>
      <c r="AJ1334" s="63"/>
      <c r="AK1334" s="63"/>
      <c r="AL1334" s="63"/>
      <c r="AM1334" s="63"/>
      <c r="AN1334" s="63">
        <v>0</v>
      </c>
      <c r="AO1334" s="63"/>
      <c r="AP1334" s="63"/>
      <c r="AQ1334" s="63"/>
      <c r="AR1334" s="63"/>
      <c r="AS1334" s="63"/>
      <c r="AT1334" s="63"/>
      <c r="AU1334" s="63"/>
      <c r="AW1334" s="5">
        <f>IF(Q1334&gt;0,RANK(Q1334,(N1334:P1334,Q1334:AE1334)),0)</f>
        <v>3</v>
      </c>
      <c r="AX1334" s="5">
        <f>IF(R1334&gt;0,RANK(R1334,(N1334:P1334,Q1334:AE1334)),0)</f>
        <v>4</v>
      </c>
      <c r="AY1334" s="5">
        <f>IF(T1334&gt;0,RANK(T1334,(N1334:P1334,Q1334:AE1334)),0)</f>
        <v>0</v>
      </c>
      <c r="AZ1334" s="5">
        <f>IF(S1334&gt;0,RANK(S1334,(N1334:P1334,Q1334:AE1334)),0)</f>
        <v>6</v>
      </c>
      <c r="BA1334" s="2">
        <f t="shared" si="561"/>
        <v>3.4246575342465752E-2</v>
      </c>
      <c r="BB1334" s="2">
        <f t="shared" si="562"/>
        <v>1.3228579102874026E-2</v>
      </c>
      <c r="BC1334" s="2">
        <f t="shared" si="563"/>
        <v>0</v>
      </c>
      <c r="BD1334" s="2">
        <f t="shared" si="564"/>
        <v>2.2159548751007254E-3</v>
      </c>
      <c r="BF1334" t="s">
        <v>1724</v>
      </c>
      <c r="BG1334" t="s">
        <v>3114</v>
      </c>
      <c r="BH1334" s="8">
        <v>1</v>
      </c>
      <c r="BJ1334" s="114">
        <v>26</v>
      </c>
      <c r="BK1334" s="116">
        <v>89</v>
      </c>
      <c r="BL1334" s="120">
        <f t="shared" si="555"/>
        <v>26089</v>
      </c>
      <c r="BN1334" s="5" t="s">
        <v>3154</v>
      </c>
      <c r="BY1334" s="63">
        <f t="shared" si="554"/>
        <v>0</v>
      </c>
      <c r="BZ1334" s="132">
        <v>14892</v>
      </c>
      <c r="CA1334" s="63">
        <v>135</v>
      </c>
      <c r="CB1334" s="132"/>
      <c r="CD1334" s="63">
        <v>0</v>
      </c>
      <c r="CE1334" s="63">
        <v>0</v>
      </c>
    </row>
    <row r="1335" spans="1:83" ht="13" hidden="1" customHeight="1" outlineLevel="1">
      <c r="A1335" t="s">
        <v>8</v>
      </c>
      <c r="B1335" t="s">
        <v>3114</v>
      </c>
      <c r="C1335" s="1">
        <f t="shared" si="556"/>
        <v>46298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7</v>
      </c>
      <c r="G1335" s="132">
        <f t="shared" si="543"/>
        <v>9680</v>
      </c>
      <c r="H1335" s="137">
        <f t="shared" si="544"/>
        <v>0.20908030584474491</v>
      </c>
      <c r="I1335" s="2"/>
      <c r="J1335" s="2">
        <f t="shared" si="557"/>
        <v>0.36178668624994598</v>
      </c>
      <c r="K1335" s="2">
        <f t="shared" si="558"/>
        <v>0.57086699209469094</v>
      </c>
      <c r="L1335" s="2">
        <f t="shared" si="559"/>
        <v>8.6396820597002034E-4</v>
      </c>
      <c r="M1335" s="2">
        <f t="shared" si="560"/>
        <v>6.6482353449393114E-2</v>
      </c>
      <c r="N1335" s="63">
        <v>16750</v>
      </c>
      <c r="O1335" s="63">
        <v>26430</v>
      </c>
      <c r="P1335" s="63">
        <v>40</v>
      </c>
      <c r="Q1335" s="63">
        <v>2044</v>
      </c>
      <c r="R1335" s="63">
        <v>449</v>
      </c>
      <c r="S1335" s="63">
        <v>201</v>
      </c>
      <c r="T1335" s="63"/>
      <c r="U1335" s="63">
        <v>23</v>
      </c>
      <c r="V1335" s="63"/>
      <c r="W1335" s="63">
        <f>IF(Copyright!B$11=1,IF(CA1335&gt;0,CA1335-P1335-SUM(V1335)-SUM(Y1335:AG1335)-SUM(AH1335:AQ1335),SUM(CC1335:CJ1335)),SUM(CC1335:CJ1335))</f>
        <v>360</v>
      </c>
      <c r="X1335" s="63"/>
      <c r="Y1335" s="63">
        <v>0</v>
      </c>
      <c r="Z1335" s="63"/>
      <c r="AA1335" s="63">
        <v>0</v>
      </c>
      <c r="AB1335" s="63"/>
      <c r="AC1335" s="63"/>
      <c r="AD1335" s="63"/>
      <c r="AE1335" s="63">
        <v>0</v>
      </c>
      <c r="AF1335" s="63"/>
      <c r="AG1335" s="63"/>
      <c r="AH1335" s="63"/>
      <c r="AI1335" s="63"/>
      <c r="AJ1335" s="63"/>
      <c r="AK1335" s="63"/>
      <c r="AL1335" s="63"/>
      <c r="AM1335" s="63"/>
      <c r="AN1335" s="63">
        <v>1</v>
      </c>
      <c r="AO1335" s="63"/>
      <c r="AP1335" s="63"/>
      <c r="AQ1335" s="63"/>
      <c r="AR1335" s="63"/>
      <c r="AS1335" s="63"/>
      <c r="AT1335" s="63"/>
      <c r="AU1335" s="63"/>
      <c r="AW1335" s="5">
        <f>IF(Q1335&gt;0,RANK(Q1335,(N1335:P1335,Q1335:AE1335)),0)</f>
        <v>3</v>
      </c>
      <c r="AX1335" s="5">
        <f>IF(R1335&gt;0,RANK(R1335,(N1335:P1335,Q1335:AE1335)),0)</f>
        <v>4</v>
      </c>
      <c r="AY1335" s="5">
        <f>IF(T1335&gt;0,RANK(T1335,(N1335:P1335,Q1335:AE1335)),0)</f>
        <v>0</v>
      </c>
      <c r="AZ1335" s="5">
        <f>IF(S1335&gt;0,RANK(S1335,(N1335:P1335,Q1335:AE1335)),0)</f>
        <v>6</v>
      </c>
      <c r="BA1335" s="2">
        <f t="shared" si="561"/>
        <v>4.4148775325068036E-2</v>
      </c>
      <c r="BB1335" s="2">
        <f t="shared" si="562"/>
        <v>9.6980431120134783E-3</v>
      </c>
      <c r="BC1335" s="2">
        <f t="shared" si="563"/>
        <v>0</v>
      </c>
      <c r="BD1335" s="2">
        <f t="shared" si="564"/>
        <v>4.3414402349993518E-3</v>
      </c>
      <c r="BF1335" t="s">
        <v>8</v>
      </c>
      <c r="BG1335" t="s">
        <v>3114</v>
      </c>
      <c r="BH1335" s="8">
        <v>7</v>
      </c>
      <c r="BJ1335" s="114">
        <v>26</v>
      </c>
      <c r="BK1335" s="116">
        <v>91</v>
      </c>
      <c r="BL1335" s="120">
        <f t="shared" si="555"/>
        <v>26091</v>
      </c>
      <c r="BN1335" s="5" t="s">
        <v>3154</v>
      </c>
      <c r="BY1335" s="63">
        <f t="shared" si="554"/>
        <v>0</v>
      </c>
      <c r="BZ1335" s="132">
        <v>46298</v>
      </c>
      <c r="CA1335" s="63">
        <v>401</v>
      </c>
      <c r="CB1335" s="132"/>
      <c r="CD1335" s="63">
        <v>0</v>
      </c>
      <c r="CE1335" s="63">
        <v>1</v>
      </c>
    </row>
    <row r="1336" spans="1:83" ht="13" hidden="1" customHeight="1" outlineLevel="1">
      <c r="A1336" t="s">
        <v>616</v>
      </c>
      <c r="B1336" t="s">
        <v>3114</v>
      </c>
      <c r="C1336" s="1">
        <f t="shared" si="556"/>
        <v>106489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7</v>
      </c>
      <c r="G1336" s="132">
        <f t="shared" si="543"/>
        <v>31296</v>
      </c>
      <c r="H1336" s="137">
        <f t="shared" si="544"/>
        <v>0.29388950971461841</v>
      </c>
      <c r="I1336" s="2"/>
      <c r="J1336" s="2">
        <f t="shared" si="557"/>
        <v>0.32288781000854549</v>
      </c>
      <c r="K1336" s="2">
        <f t="shared" si="558"/>
        <v>0.61677731972316385</v>
      </c>
      <c r="L1336" s="2">
        <f t="shared" si="559"/>
        <v>2.3382696804364772E-3</v>
      </c>
      <c r="M1336" s="2">
        <f t="shared" si="560"/>
        <v>5.7996600587854177E-2</v>
      </c>
      <c r="N1336" s="63">
        <v>34384</v>
      </c>
      <c r="O1336" s="63">
        <v>65680</v>
      </c>
      <c r="P1336" s="63">
        <v>249</v>
      </c>
      <c r="Q1336" s="63">
        <v>4266</v>
      </c>
      <c r="R1336" s="63">
        <v>911</v>
      </c>
      <c r="S1336" s="63">
        <v>329</v>
      </c>
      <c r="T1336" s="63"/>
      <c r="U1336" s="63">
        <v>34</v>
      </c>
      <c r="V1336" s="63"/>
      <c r="W1336" s="63">
        <f>IF(Copyright!B$11=1,IF(CA1336&gt;0,CA1336-P1336-SUM(V1336)-SUM(Y1336:AG1336)-SUM(AH1336:AQ1336),SUM(CC1336:CJ1336)),SUM(CC1336:CJ1336))</f>
        <v>624</v>
      </c>
      <c r="X1336" s="63"/>
      <c r="Y1336" s="63">
        <v>0</v>
      </c>
      <c r="Z1336" s="63"/>
      <c r="AA1336" s="63">
        <v>0</v>
      </c>
      <c r="AB1336" s="63"/>
      <c r="AC1336" s="63"/>
      <c r="AD1336" s="63"/>
      <c r="AE1336" s="63">
        <v>1</v>
      </c>
      <c r="AF1336" s="63"/>
      <c r="AG1336" s="63"/>
      <c r="AH1336" s="63"/>
      <c r="AI1336" s="63"/>
      <c r="AJ1336" s="63"/>
      <c r="AK1336" s="63"/>
      <c r="AL1336" s="63"/>
      <c r="AM1336" s="63"/>
      <c r="AN1336" s="63">
        <v>11</v>
      </c>
      <c r="AO1336" s="63"/>
      <c r="AP1336" s="63"/>
      <c r="AQ1336" s="63"/>
      <c r="AR1336" s="63"/>
      <c r="AS1336" s="63"/>
      <c r="AT1336" s="63"/>
      <c r="AU1336" s="63"/>
      <c r="AW1336" s="5">
        <f>IF(Q1336&gt;0,RANK(Q1336,(N1336:P1336,Q1336:AE1336)),0)</f>
        <v>3</v>
      </c>
      <c r="AX1336" s="5">
        <f>IF(R1336&gt;0,RANK(R1336,(N1336:P1336,Q1336:AE1336)),0)</f>
        <v>4</v>
      </c>
      <c r="AY1336" s="5">
        <f>IF(T1336&gt;0,RANK(T1336,(N1336:P1336,Q1336:AE1336)),0)</f>
        <v>0</v>
      </c>
      <c r="AZ1336" s="5">
        <f>IF(S1336&gt;0,RANK(S1336,(N1336:P1336,Q1336:AE1336)),0)</f>
        <v>6</v>
      </c>
      <c r="BA1336" s="2">
        <f t="shared" si="561"/>
        <v>4.0060475729887593E-2</v>
      </c>
      <c r="BB1336" s="2">
        <f t="shared" si="562"/>
        <v>8.5548742123599617E-3</v>
      </c>
      <c r="BC1336" s="2">
        <f t="shared" si="563"/>
        <v>0</v>
      </c>
      <c r="BD1336" s="2">
        <f t="shared" si="564"/>
        <v>3.0895209833879554E-3</v>
      </c>
      <c r="BF1336" t="s">
        <v>616</v>
      </c>
      <c r="BG1336" t="s">
        <v>3114</v>
      </c>
      <c r="BH1336" s="8">
        <v>8</v>
      </c>
      <c r="BJ1336" s="114">
        <v>26</v>
      </c>
      <c r="BK1336" s="116">
        <v>93</v>
      </c>
      <c r="BL1336" s="120">
        <f t="shared" si="555"/>
        <v>26093</v>
      </c>
      <c r="BN1336" s="5" t="s">
        <v>3154</v>
      </c>
      <c r="BY1336" s="63">
        <f t="shared" si="554"/>
        <v>0</v>
      </c>
      <c r="BZ1336" s="132">
        <v>106489</v>
      </c>
      <c r="CA1336" s="63">
        <f>623+11+249+2</f>
        <v>885</v>
      </c>
      <c r="CB1336" s="132"/>
      <c r="CD1336" s="63">
        <v>0</v>
      </c>
      <c r="CE1336" s="63">
        <v>1</v>
      </c>
    </row>
    <row r="1337" spans="1:83" ht="13" hidden="1" customHeight="1" outlineLevel="1">
      <c r="A1337" t="s">
        <v>2218</v>
      </c>
      <c r="B1337" t="s">
        <v>3114</v>
      </c>
      <c r="C1337" s="1">
        <f t="shared" si="556"/>
        <v>2591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7</v>
      </c>
      <c r="G1337" s="132">
        <f t="shared" si="543"/>
        <v>1075</v>
      </c>
      <c r="H1337" s="137">
        <f t="shared" si="544"/>
        <v>0.41489772288691623</v>
      </c>
      <c r="I1337" s="2"/>
      <c r="J1337" s="2">
        <f t="shared" si="557"/>
        <v>0.26283288305673486</v>
      </c>
      <c r="K1337" s="2">
        <f t="shared" si="558"/>
        <v>0.67773060594365109</v>
      </c>
      <c r="L1337" s="2">
        <f t="shared" si="559"/>
        <v>1.1578541103820917E-3</v>
      </c>
      <c r="M1337" s="2">
        <f t="shared" si="560"/>
        <v>5.8278656889232019E-2</v>
      </c>
      <c r="N1337" s="63">
        <v>681</v>
      </c>
      <c r="O1337" s="63">
        <v>1756</v>
      </c>
      <c r="P1337" s="63">
        <v>3</v>
      </c>
      <c r="Q1337" s="63">
        <v>103</v>
      </c>
      <c r="R1337" s="63">
        <v>29</v>
      </c>
      <c r="S1337" s="63">
        <v>6</v>
      </c>
      <c r="T1337" s="63"/>
      <c r="U1337" s="63">
        <v>1</v>
      </c>
      <c r="V1337" s="63"/>
      <c r="W1337" s="63">
        <f>IF(Copyright!B$11=1,IF(CA1337&gt;0,CA1337-P1337-SUM(V1337)-SUM(Y1337:AG1337)-SUM(AH1337:AQ1337),SUM(CC1337:CJ1337)),SUM(CC1337:CJ1337))</f>
        <v>12</v>
      </c>
      <c r="X1337" s="63"/>
      <c r="Y1337" s="63">
        <v>0</v>
      </c>
      <c r="Z1337" s="63"/>
      <c r="AA1337" s="63">
        <v>0</v>
      </c>
      <c r="AB1337" s="63"/>
      <c r="AC1337" s="63"/>
      <c r="AD1337" s="63"/>
      <c r="AE1337" s="63">
        <v>0</v>
      </c>
      <c r="AF1337" s="63"/>
      <c r="AG1337" s="63"/>
      <c r="AH1337" s="63"/>
      <c r="AI1337" s="63"/>
      <c r="AJ1337" s="63"/>
      <c r="AK1337" s="63"/>
      <c r="AL1337" s="63"/>
      <c r="AM1337" s="63"/>
      <c r="AN1337" s="63">
        <v>0</v>
      </c>
      <c r="AO1337" s="63"/>
      <c r="AP1337" s="63"/>
      <c r="AQ1337" s="63"/>
      <c r="AR1337" s="63"/>
      <c r="AS1337" s="63"/>
      <c r="AT1337" s="63"/>
      <c r="AU1337" s="63"/>
      <c r="AW1337" s="5">
        <f>IF(Q1337&gt;0,RANK(Q1337,(N1337:P1337,Q1337:AE1337)),0)</f>
        <v>3</v>
      </c>
      <c r="AX1337" s="5">
        <f>IF(R1337&gt;0,RANK(R1337,(N1337:P1337,Q1337:AE1337)),0)</f>
        <v>4</v>
      </c>
      <c r="AY1337" s="5">
        <f>IF(T1337&gt;0,RANK(T1337,(N1337:P1337,Q1337:AE1337)),0)</f>
        <v>0</v>
      </c>
      <c r="AZ1337" s="5">
        <f>IF(S1337&gt;0,RANK(S1337,(N1337:P1337,Q1337:AE1337)),0)</f>
        <v>6</v>
      </c>
      <c r="BA1337" s="2">
        <f t="shared" si="561"/>
        <v>3.9752991123118489E-2</v>
      </c>
      <c r="BB1337" s="2">
        <f t="shared" si="562"/>
        <v>1.1192589733693555E-2</v>
      </c>
      <c r="BC1337" s="2">
        <f t="shared" si="563"/>
        <v>0</v>
      </c>
      <c r="BD1337" s="2">
        <f t="shared" si="564"/>
        <v>2.3157082207641835E-3</v>
      </c>
      <c r="BF1337" t="s">
        <v>2218</v>
      </c>
      <c r="BG1337" t="s">
        <v>3114</v>
      </c>
      <c r="BH1337" s="8">
        <v>1</v>
      </c>
      <c r="BJ1337" s="114">
        <v>26</v>
      </c>
      <c r="BK1337" s="116">
        <v>95</v>
      </c>
      <c r="BL1337" s="120">
        <f t="shared" si="555"/>
        <v>26095</v>
      </c>
      <c r="BN1337" s="5" t="s">
        <v>3154</v>
      </c>
      <c r="BY1337" s="63">
        <f t="shared" si="554"/>
        <v>0</v>
      </c>
      <c r="BZ1337" s="132">
        <v>2591</v>
      </c>
      <c r="CA1337" s="63">
        <f>15</f>
        <v>15</v>
      </c>
      <c r="CB1337" s="132"/>
      <c r="CD1337" s="63">
        <v>0</v>
      </c>
      <c r="CE1337" s="63">
        <v>0</v>
      </c>
    </row>
    <row r="1338" spans="1:83" ht="13" hidden="1" customHeight="1" outlineLevel="1">
      <c r="A1338" t="s">
        <v>2169</v>
      </c>
      <c r="B1338" t="s">
        <v>3114</v>
      </c>
      <c r="C1338" s="1">
        <f t="shared" si="556"/>
        <v>6144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7</v>
      </c>
      <c r="G1338" s="132">
        <f t="shared" si="543"/>
        <v>1659</v>
      </c>
      <c r="H1338" s="137">
        <f t="shared" si="544"/>
        <v>0.27001953125</v>
      </c>
      <c r="I1338" s="2"/>
      <c r="J1338" s="2">
        <f t="shared" si="557"/>
        <v>0.33935546875</v>
      </c>
      <c r="K1338" s="2">
        <f t="shared" si="558"/>
        <v>0.609375</v>
      </c>
      <c r="L1338" s="2">
        <f t="shared" si="559"/>
        <v>8.1380208333333337E-4</v>
      </c>
      <c r="M1338" s="2">
        <f t="shared" si="560"/>
        <v>5.0455729166666664E-2</v>
      </c>
      <c r="N1338" s="63">
        <v>2085</v>
      </c>
      <c r="O1338" s="63">
        <v>3744</v>
      </c>
      <c r="P1338" s="63">
        <v>5</v>
      </c>
      <c r="Q1338" s="63">
        <v>180</v>
      </c>
      <c r="R1338" s="63">
        <v>67</v>
      </c>
      <c r="S1338" s="63">
        <v>13</v>
      </c>
      <c r="T1338" s="63"/>
      <c r="U1338" s="63">
        <v>3</v>
      </c>
      <c r="V1338" s="63"/>
      <c r="W1338" s="63">
        <f>IF(Copyright!B$11=1,IF(CA1338&gt;0,CA1338-P1338-SUM(V1338)-SUM(Y1338:AG1338)-SUM(AH1338:AQ1338),SUM(CC1338:CJ1338)),SUM(CC1338:CJ1338))</f>
        <v>47</v>
      </c>
      <c r="X1338" s="63"/>
      <c r="Y1338" s="63">
        <v>0</v>
      </c>
      <c r="Z1338" s="63"/>
      <c r="AA1338" s="63">
        <v>0</v>
      </c>
      <c r="AB1338" s="63"/>
      <c r="AC1338" s="63"/>
      <c r="AD1338" s="63"/>
      <c r="AE1338" s="63">
        <v>0</v>
      </c>
      <c r="AF1338" s="63"/>
      <c r="AG1338" s="63"/>
      <c r="AH1338" s="63"/>
      <c r="AI1338" s="63"/>
      <c r="AJ1338" s="63"/>
      <c r="AK1338" s="63"/>
      <c r="AL1338" s="63"/>
      <c r="AM1338" s="63"/>
      <c r="AN1338" s="63">
        <v>0</v>
      </c>
      <c r="AO1338" s="63"/>
      <c r="AP1338" s="63"/>
      <c r="AQ1338" s="63"/>
      <c r="AR1338" s="63"/>
      <c r="AS1338" s="63"/>
      <c r="AT1338" s="63"/>
      <c r="AU1338" s="63"/>
      <c r="AW1338" s="5">
        <f>IF(Q1338&gt;0,RANK(Q1338,(N1338:P1338,Q1338:AE1338)),0)</f>
        <v>3</v>
      </c>
      <c r="AX1338" s="5">
        <f>IF(R1338&gt;0,RANK(R1338,(N1338:P1338,Q1338:AE1338)),0)</f>
        <v>4</v>
      </c>
      <c r="AY1338" s="5">
        <f>IF(T1338&gt;0,RANK(T1338,(N1338:P1338,Q1338:AE1338)),0)</f>
        <v>0</v>
      </c>
      <c r="AZ1338" s="5">
        <f>IF(S1338&gt;0,RANK(S1338,(N1338:P1338,Q1338:AE1338)),0)</f>
        <v>6</v>
      </c>
      <c r="BA1338" s="2">
        <f t="shared" si="561"/>
        <v>2.9296875E-2</v>
      </c>
      <c r="BB1338" s="2">
        <f t="shared" si="562"/>
        <v>1.0904947916666666E-2</v>
      </c>
      <c r="BC1338" s="2">
        <f t="shared" si="563"/>
        <v>0</v>
      </c>
      <c r="BD1338" s="2">
        <f t="shared" si="564"/>
        <v>2.1158854166666665E-3</v>
      </c>
      <c r="BF1338" t="s">
        <v>2169</v>
      </c>
      <c r="BG1338" t="s">
        <v>3114</v>
      </c>
      <c r="BH1338" s="8">
        <v>1</v>
      </c>
      <c r="BJ1338" s="114">
        <v>26</v>
      </c>
      <c r="BK1338" s="116">
        <v>97</v>
      </c>
      <c r="BL1338" s="120">
        <f t="shared" si="555"/>
        <v>26097</v>
      </c>
      <c r="BN1338" s="5" t="s">
        <v>3154</v>
      </c>
      <c r="BY1338" s="63">
        <f t="shared" si="554"/>
        <v>0</v>
      </c>
      <c r="BZ1338" s="132">
        <v>6144</v>
      </c>
      <c r="CA1338" s="63">
        <v>52</v>
      </c>
      <c r="CB1338" s="132"/>
      <c r="CD1338" s="63">
        <v>0</v>
      </c>
      <c r="CE1338" s="63">
        <v>0</v>
      </c>
    </row>
    <row r="1339" spans="1:83" ht="13" hidden="1" customHeight="1" outlineLevel="1">
      <c r="A1339" t="s">
        <v>1401</v>
      </c>
      <c r="B1339" t="s">
        <v>3114</v>
      </c>
      <c r="C1339" s="1">
        <f t="shared" si="556"/>
        <v>419312</v>
      </c>
      <c r="D1339" s="5">
        <f>IF(N1339&gt;0, RANK(N1339,(N1339:P1339,Q1339:AE1339)),0)</f>
        <v>2</v>
      </c>
      <c r="E1339" s="5">
        <f>IF(O1339&gt;0,RANK(O1339,(N1339:P1339,Q1339:AE1339)),0)</f>
        <v>1</v>
      </c>
      <c r="F1339" s="5">
        <f>IF(P1339&gt;0,RANK(P1339,(N1339:P1339,Q1339:AE1339)),0)</f>
        <v>6</v>
      </c>
      <c r="G1339" s="132">
        <f t="shared" si="543"/>
        <v>48348</v>
      </c>
      <c r="H1339" s="137">
        <f t="shared" si="544"/>
        <v>0.11530316327698706</v>
      </c>
      <c r="I1339" s="2"/>
      <c r="J1339" s="2">
        <f t="shared" si="557"/>
        <v>0.42049118556110965</v>
      </c>
      <c r="K1339" s="2">
        <f t="shared" si="558"/>
        <v>0.53579434883809673</v>
      </c>
      <c r="L1339" s="2">
        <f t="shared" si="559"/>
        <v>8.2993093448315339E-4</v>
      </c>
      <c r="M1339" s="2">
        <f t="shared" si="560"/>
        <v>4.2884534666310467E-2</v>
      </c>
      <c r="N1339" s="63">
        <v>176317</v>
      </c>
      <c r="O1339" s="63">
        <v>224665</v>
      </c>
      <c r="P1339" s="63">
        <v>348</v>
      </c>
      <c r="Q1339" s="63">
        <v>12862</v>
      </c>
      <c r="R1339" s="63">
        <v>3886</v>
      </c>
      <c r="S1339" s="63">
        <v>1046</v>
      </c>
      <c r="T1339" s="63"/>
      <c r="U1339" s="63">
        <v>155</v>
      </c>
      <c r="V1339" s="63"/>
      <c r="W1339" s="63">
        <f>IF(Copyright!B$11=1,IF(CA1339&gt;0,CA1339-P1339-SUM(V1339)-SUM(Y1339:AG1339)-SUM(AH1339:AQ1339),SUM(CC1339:CJ1339)),SUM(CC1339:CJ1339))</f>
        <v>2</v>
      </c>
      <c r="X1339" s="63"/>
      <c r="Y1339" s="63">
        <v>3</v>
      </c>
      <c r="Z1339" s="63"/>
      <c r="AA1339" s="63">
        <v>1</v>
      </c>
      <c r="AB1339" s="63"/>
      <c r="AC1339" s="63"/>
      <c r="AD1339" s="63"/>
      <c r="AE1339" s="63">
        <v>2</v>
      </c>
      <c r="AF1339" s="63"/>
      <c r="AG1339" s="63"/>
      <c r="AH1339" s="63"/>
      <c r="AI1339" s="63"/>
      <c r="AJ1339" s="63"/>
      <c r="AK1339" s="63"/>
      <c r="AL1339" s="63"/>
      <c r="AM1339" s="63"/>
      <c r="AN1339" s="63">
        <v>25</v>
      </c>
      <c r="AO1339" s="63"/>
      <c r="AP1339" s="63"/>
      <c r="AQ1339" s="63"/>
      <c r="AR1339" s="63"/>
      <c r="AS1339" s="63"/>
      <c r="AT1339" s="63"/>
      <c r="AU1339" s="63"/>
      <c r="AW1339" s="5">
        <f>IF(Q1339&gt;0,RANK(Q1339,(N1339:P1339,Q1339:AE1339)),0)</f>
        <v>3</v>
      </c>
      <c r="AX1339" s="5">
        <f>IF(R1339&gt;0,RANK(R1339,(N1339:P1339,Q1339:AE1339)),0)</f>
        <v>4</v>
      </c>
      <c r="AY1339" s="5">
        <f>IF(T1339&gt;0,RANK(T1339,(N1339:P1339,Q1339:AE1339)),0)</f>
        <v>0</v>
      </c>
      <c r="AZ1339" s="5">
        <f>IF(S1339&gt;0,RANK(S1339,(N1339:P1339,Q1339:AE1339)),0)</f>
        <v>5</v>
      </c>
      <c r="BA1339" s="2">
        <f t="shared" si="561"/>
        <v>3.0674056549776778E-2</v>
      </c>
      <c r="BB1339" s="2">
        <f t="shared" si="562"/>
        <v>9.2675621017285457E-3</v>
      </c>
      <c r="BC1339" s="2">
        <f t="shared" si="563"/>
        <v>0</v>
      </c>
      <c r="BD1339" s="2">
        <f t="shared" si="564"/>
        <v>2.4945625214637312E-3</v>
      </c>
      <c r="BF1339" t="s">
        <v>1401</v>
      </c>
      <c r="BG1339" t="s">
        <v>3114</v>
      </c>
      <c r="BH1339" s="8"/>
      <c r="BJ1339" s="114">
        <v>26</v>
      </c>
      <c r="BK1339" s="116">
        <v>99</v>
      </c>
      <c r="BL1339" s="120">
        <f t="shared" si="555"/>
        <v>26099</v>
      </c>
      <c r="BN1339" s="5" t="s">
        <v>3154</v>
      </c>
      <c r="BY1339" s="63">
        <f t="shared" si="554"/>
        <v>419312</v>
      </c>
      <c r="CB1339" s="132"/>
      <c r="CD1339" s="63">
        <v>1</v>
      </c>
      <c r="CE1339" s="63">
        <v>1</v>
      </c>
    </row>
    <row r="1340" spans="1:83" ht="13" hidden="1" customHeight="1" outlineLevel="1">
      <c r="A1340" t="s">
        <v>1000</v>
      </c>
      <c r="B1340" t="s">
        <v>3114</v>
      </c>
      <c r="C1340" s="1">
        <f t="shared" si="556"/>
        <v>12660</v>
      </c>
      <c r="D1340" s="5">
        <f>IF(N1340&gt;0, RANK(N1340,(N1340:P1340,Q1340:AE1340)),0)</f>
        <v>2</v>
      </c>
      <c r="E1340" s="5">
        <f>IF(O1340&gt;0,RANK(O1340,(N1340:P1340,Q1340:AE1340)),0)</f>
        <v>1</v>
      </c>
      <c r="F1340" s="5">
        <f>IF(P1340&gt;0,RANK(P1340,(N1340:P1340,Q1340:AE1340)),0)</f>
        <v>8</v>
      </c>
      <c r="G1340" s="132">
        <f t="shared" si="543"/>
        <v>1936</v>
      </c>
      <c r="H1340" s="137">
        <f t="shared" si="544"/>
        <v>0.15292259083728277</v>
      </c>
      <c r="I1340" s="2"/>
      <c r="J1340" s="2">
        <f t="shared" si="557"/>
        <v>0.39328593996840444</v>
      </c>
      <c r="K1340" s="2">
        <f t="shared" si="558"/>
        <v>0.54620853080568721</v>
      </c>
      <c r="L1340" s="2">
        <f t="shared" si="559"/>
        <v>7.8988941548183248E-5</v>
      </c>
      <c r="M1340" s="2">
        <f t="shared" si="560"/>
        <v>6.0426540284360168E-2</v>
      </c>
      <c r="N1340" s="63">
        <v>4979</v>
      </c>
      <c r="O1340" s="63">
        <v>6915</v>
      </c>
      <c r="P1340" s="63">
        <v>1</v>
      </c>
      <c r="Q1340" s="63">
        <v>456</v>
      </c>
      <c r="R1340" s="63">
        <v>200</v>
      </c>
      <c r="S1340" s="63">
        <v>43</v>
      </c>
      <c r="T1340" s="63"/>
      <c r="U1340" s="63">
        <v>5</v>
      </c>
      <c r="V1340" s="63"/>
      <c r="W1340" s="63">
        <f>IF(Copyright!B$11=1,IF(CA1340&gt;0,CA1340-P1340-SUM(V1340)-SUM(Y1340:AG1340)-SUM(AH1340:AQ1340),SUM(CC1340:CJ1340)),SUM(CC1340:CJ1340))</f>
        <v>61</v>
      </c>
      <c r="X1340" s="63"/>
      <c r="Y1340" s="63">
        <v>0</v>
      </c>
      <c r="Z1340" s="63"/>
      <c r="AA1340" s="63">
        <v>0</v>
      </c>
      <c r="AB1340" s="63"/>
      <c r="AC1340" s="63"/>
      <c r="AD1340" s="63"/>
      <c r="AE1340" s="63">
        <v>0</v>
      </c>
      <c r="AF1340" s="63"/>
      <c r="AG1340" s="63"/>
      <c r="AH1340" s="63"/>
      <c r="AI1340" s="63"/>
      <c r="AJ1340" s="63"/>
      <c r="AK1340" s="63"/>
      <c r="AL1340" s="63"/>
      <c r="AM1340" s="63"/>
      <c r="AN1340" s="63">
        <v>0</v>
      </c>
      <c r="AO1340" s="63"/>
      <c r="AP1340" s="63"/>
      <c r="AQ1340" s="63"/>
      <c r="AR1340" s="63"/>
      <c r="AS1340" s="63"/>
      <c r="AT1340" s="63"/>
      <c r="AU1340" s="63"/>
      <c r="AW1340" s="5">
        <f>IF(Q1340&gt;0,RANK(Q1340,(N1340:P1340,Q1340:AE1340)),0)</f>
        <v>3</v>
      </c>
      <c r="AX1340" s="5">
        <f>IF(R1340&gt;0,RANK(R1340,(N1340:P1340,Q1340:AE1340)),0)</f>
        <v>4</v>
      </c>
      <c r="AY1340" s="5">
        <f>IF(T1340&gt;0,RANK(T1340,(N1340:P1340,Q1340:AE1340)),0)</f>
        <v>0</v>
      </c>
      <c r="AZ1340" s="5">
        <f>IF(S1340&gt;0,RANK(S1340,(N1340:P1340,Q1340:AE1340)),0)</f>
        <v>6</v>
      </c>
      <c r="BA1340" s="2">
        <f t="shared" si="561"/>
        <v>3.6018957345971561E-2</v>
      </c>
      <c r="BB1340" s="2">
        <f t="shared" si="562"/>
        <v>1.579778830963665E-2</v>
      </c>
      <c r="BC1340" s="2">
        <f t="shared" si="563"/>
        <v>0</v>
      </c>
      <c r="BD1340" s="2">
        <f t="shared" si="564"/>
        <v>3.3965244865718797E-3</v>
      </c>
      <c r="BF1340" t="s">
        <v>1000</v>
      </c>
      <c r="BG1340" t="s">
        <v>3114</v>
      </c>
      <c r="BH1340" s="8">
        <v>1</v>
      </c>
      <c r="BJ1340" s="114">
        <v>26</v>
      </c>
      <c r="BK1340" s="116">
        <v>101</v>
      </c>
      <c r="BL1340" s="120">
        <f t="shared" si="555"/>
        <v>26101</v>
      </c>
      <c r="BN1340" s="5" t="s">
        <v>3154</v>
      </c>
      <c r="BY1340" s="63">
        <f t="shared" si="554"/>
        <v>0</v>
      </c>
      <c r="BZ1340" s="132">
        <v>12660</v>
      </c>
      <c r="CA1340" s="63">
        <v>62</v>
      </c>
      <c r="CB1340" s="132"/>
      <c r="CD1340" s="63">
        <v>0</v>
      </c>
      <c r="CE1340" s="63">
        <v>0</v>
      </c>
    </row>
    <row r="1341" spans="1:83" ht="13" hidden="1" customHeight="1" outlineLevel="1">
      <c r="A1341" t="s">
        <v>514</v>
      </c>
      <c r="B1341" t="s">
        <v>3114</v>
      </c>
      <c r="C1341" s="1">
        <f t="shared" si="556"/>
        <v>33218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>IF(P1341&gt;0,RANK(P1341,(N1341:P1341,Q1341:AE1341)),0)</f>
        <v>7</v>
      </c>
      <c r="G1341" s="132">
        <f t="shared" si="543"/>
        <v>1396</v>
      </c>
      <c r="H1341" s="137">
        <f t="shared" si="544"/>
        <v>4.2025407911373353E-2</v>
      </c>
      <c r="I1341" s="2"/>
      <c r="J1341" s="2">
        <f t="shared" si="557"/>
        <v>0.48293094105605394</v>
      </c>
      <c r="K1341" s="2">
        <f t="shared" si="558"/>
        <v>0.44090553314468062</v>
      </c>
      <c r="L1341" s="2">
        <f t="shared" si="559"/>
        <v>2.2277078692275274E-3</v>
      </c>
      <c r="M1341" s="2">
        <f t="shared" si="560"/>
        <v>7.3935817930037909E-2</v>
      </c>
      <c r="N1341" s="63">
        <v>16042</v>
      </c>
      <c r="O1341" s="63">
        <v>14646</v>
      </c>
      <c r="P1341" s="63">
        <v>74</v>
      </c>
      <c r="Q1341" s="63">
        <v>1458</v>
      </c>
      <c r="R1341" s="63">
        <v>583</v>
      </c>
      <c r="S1341" s="63">
        <v>152</v>
      </c>
      <c r="T1341" s="63"/>
      <c r="U1341" s="63">
        <v>16</v>
      </c>
      <c r="V1341" s="63"/>
      <c r="W1341" s="63">
        <f>IF(Copyright!B$11=1,IF(CA1341&gt;0,CA1341-P1341-SUM(V1341)-SUM(Y1341:AG1341)-SUM(AH1341:AQ1341),SUM(CC1341:CJ1341)),SUM(CC1341:CJ1341))</f>
        <v>242</v>
      </c>
      <c r="X1341" s="63"/>
      <c r="Y1341" s="63">
        <v>0</v>
      </c>
      <c r="Z1341" s="63"/>
      <c r="AA1341" s="63">
        <v>0</v>
      </c>
      <c r="AB1341" s="63"/>
      <c r="AC1341" s="63"/>
      <c r="AD1341" s="63"/>
      <c r="AE1341" s="63">
        <v>1</v>
      </c>
      <c r="AF1341" s="63"/>
      <c r="AG1341" s="63"/>
      <c r="AH1341" s="63"/>
      <c r="AI1341" s="63"/>
      <c r="AJ1341" s="63"/>
      <c r="AK1341" s="63"/>
      <c r="AL1341" s="63"/>
      <c r="AM1341" s="63"/>
      <c r="AN1341" s="63">
        <v>4</v>
      </c>
      <c r="AO1341" s="63"/>
      <c r="AP1341" s="63"/>
      <c r="AQ1341" s="63"/>
      <c r="AR1341" s="63"/>
      <c r="AS1341" s="63"/>
      <c r="AT1341" s="63"/>
      <c r="AU1341" s="63"/>
      <c r="AW1341" s="5">
        <f>IF(Q1341&gt;0,RANK(Q1341,(N1341:P1341,Q1341:AE1341)),0)</f>
        <v>3</v>
      </c>
      <c r="AX1341" s="5">
        <f>IF(R1341&gt;0,RANK(R1341,(N1341:P1341,Q1341:AE1341)),0)</f>
        <v>4</v>
      </c>
      <c r="AY1341" s="5">
        <f>IF(T1341&gt;0,RANK(T1341,(N1341:P1341,Q1341:AE1341)),0)</f>
        <v>0</v>
      </c>
      <c r="AZ1341" s="5">
        <f>IF(S1341&gt;0,RANK(S1341,(N1341:P1341,Q1341:AE1341)),0)</f>
        <v>6</v>
      </c>
      <c r="BA1341" s="2">
        <f t="shared" si="561"/>
        <v>4.389186585586128E-2</v>
      </c>
      <c r="BB1341" s="2">
        <f t="shared" si="562"/>
        <v>1.7550725510265517E-2</v>
      </c>
      <c r="BC1341" s="2">
        <f t="shared" si="563"/>
        <v>0</v>
      </c>
      <c r="BD1341" s="2">
        <f t="shared" si="564"/>
        <v>4.5758323800349212E-3</v>
      </c>
      <c r="BF1341" t="s">
        <v>514</v>
      </c>
      <c r="BG1341" t="s">
        <v>3114</v>
      </c>
      <c r="BH1341" s="8">
        <v>1</v>
      </c>
      <c r="BJ1341" s="114">
        <v>26</v>
      </c>
      <c r="BK1341" s="116">
        <v>103</v>
      </c>
      <c r="BL1341" s="120">
        <f t="shared" si="555"/>
        <v>26103</v>
      </c>
      <c r="BN1341" s="5" t="s">
        <v>3154</v>
      </c>
      <c r="BY1341" s="63">
        <f t="shared" si="554"/>
        <v>0</v>
      </c>
      <c r="BZ1341" s="132">
        <v>33218</v>
      </c>
      <c r="CA1341" s="63">
        <f>242+4+75</f>
        <v>321</v>
      </c>
      <c r="CB1341" s="132"/>
      <c r="CD1341" s="63">
        <v>0</v>
      </c>
      <c r="CE1341" s="63">
        <v>0</v>
      </c>
    </row>
    <row r="1342" spans="1:83" ht="13" hidden="1" customHeight="1" outlineLevel="1">
      <c r="A1342" t="s">
        <v>1942</v>
      </c>
      <c r="B1342" t="s">
        <v>3114</v>
      </c>
      <c r="C1342" s="1">
        <f t="shared" si="556"/>
        <v>14792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7</v>
      </c>
      <c r="G1342" s="132">
        <f t="shared" si="543"/>
        <v>3224</v>
      </c>
      <c r="H1342" s="137">
        <f t="shared" si="544"/>
        <v>0.21795565170362358</v>
      </c>
      <c r="I1342" s="2"/>
      <c r="J1342" s="2">
        <f t="shared" si="557"/>
        <v>0.35701730665224446</v>
      </c>
      <c r="K1342" s="2">
        <f t="shared" si="558"/>
        <v>0.57497295835586804</v>
      </c>
      <c r="L1342" s="2">
        <f t="shared" si="559"/>
        <v>1.8253109789075177E-3</v>
      </c>
      <c r="M1342" s="2">
        <f t="shared" si="560"/>
        <v>6.6184424012980039E-2</v>
      </c>
      <c r="N1342" s="63">
        <v>5281</v>
      </c>
      <c r="O1342" s="63">
        <v>8505</v>
      </c>
      <c r="P1342" s="63">
        <v>27</v>
      </c>
      <c r="Q1342" s="63">
        <v>601</v>
      </c>
      <c r="R1342" s="63">
        <v>189</v>
      </c>
      <c r="S1342" s="63">
        <v>76</v>
      </c>
      <c r="T1342" s="63"/>
      <c r="U1342" s="63">
        <v>6</v>
      </c>
      <c r="V1342" s="63"/>
      <c r="W1342" s="63">
        <f>IF(Copyright!B$11=1,IF(CA1342&gt;0,CA1342-P1342-SUM(V1342)-SUM(Y1342:AG1342)-SUM(AH1342:AQ1342),SUM(CC1342:CJ1342)),SUM(CC1342:CJ1342))</f>
        <v>107</v>
      </c>
      <c r="X1342" s="63"/>
      <c r="Y1342" s="63">
        <v>0</v>
      </c>
      <c r="Z1342" s="63"/>
      <c r="AA1342" s="63">
        <v>0</v>
      </c>
      <c r="AB1342" s="63"/>
      <c r="AC1342" s="63"/>
      <c r="AD1342" s="63"/>
      <c r="AE1342" s="63">
        <v>0</v>
      </c>
      <c r="AF1342" s="63"/>
      <c r="AG1342" s="63"/>
      <c r="AH1342" s="63"/>
      <c r="AI1342" s="63"/>
      <c r="AJ1342" s="63"/>
      <c r="AK1342" s="63"/>
      <c r="AL1342" s="63"/>
      <c r="AM1342" s="63"/>
      <c r="AN1342" s="63">
        <v>0</v>
      </c>
      <c r="AO1342" s="63"/>
      <c r="AP1342" s="63"/>
      <c r="AQ1342" s="63"/>
      <c r="AR1342" s="63"/>
      <c r="AS1342" s="63"/>
      <c r="AT1342" s="63"/>
      <c r="AU1342" s="63"/>
      <c r="AW1342" s="5">
        <f>IF(Q1342&gt;0,RANK(Q1342,(N1342:P1342,Q1342:AE1342)),0)</f>
        <v>3</v>
      </c>
      <c r="AX1342" s="5">
        <f>IF(R1342&gt;0,RANK(R1342,(N1342:P1342,Q1342:AE1342)),0)</f>
        <v>4</v>
      </c>
      <c r="AY1342" s="5">
        <f>IF(T1342&gt;0,RANK(T1342,(N1342:P1342,Q1342:AE1342)),0)</f>
        <v>0</v>
      </c>
      <c r="AZ1342" s="5">
        <f>IF(S1342&gt;0,RANK(S1342,(N1342:P1342,Q1342:AE1342)),0)</f>
        <v>6</v>
      </c>
      <c r="BA1342" s="2">
        <f t="shared" si="561"/>
        <v>4.0630070308274743E-2</v>
      </c>
      <c r="BB1342" s="2">
        <f t="shared" si="562"/>
        <v>1.2777176852352624E-2</v>
      </c>
      <c r="BC1342" s="2">
        <f t="shared" si="563"/>
        <v>0</v>
      </c>
      <c r="BD1342" s="2">
        <f t="shared" si="564"/>
        <v>5.1379123850730122E-3</v>
      </c>
      <c r="BF1342" t="s">
        <v>1942</v>
      </c>
      <c r="BG1342" t="s">
        <v>3114</v>
      </c>
      <c r="BH1342" s="8"/>
      <c r="BJ1342" s="114">
        <v>26</v>
      </c>
      <c r="BK1342" s="116">
        <v>105</v>
      </c>
      <c r="BL1342" s="120">
        <f t="shared" si="555"/>
        <v>26105</v>
      </c>
      <c r="BN1342" s="5" t="s">
        <v>3154</v>
      </c>
      <c r="BY1342" s="63">
        <f t="shared" si="554"/>
        <v>0</v>
      </c>
      <c r="BZ1342" s="132">
        <f>8505+5281+601+76+189+6+134</f>
        <v>14792</v>
      </c>
      <c r="CA1342" s="63">
        <v>134</v>
      </c>
      <c r="CB1342" s="132"/>
      <c r="CD1342" s="63">
        <v>0</v>
      </c>
      <c r="CE1342" s="63">
        <v>0</v>
      </c>
    </row>
    <row r="1343" spans="1:83" ht="13" hidden="1" customHeight="1" outlineLevel="1">
      <c r="A1343" t="s">
        <v>1581</v>
      </c>
      <c r="B1343" t="s">
        <v>3114</v>
      </c>
      <c r="C1343" s="1">
        <f t="shared" si="556"/>
        <v>17259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7</v>
      </c>
      <c r="G1343" s="132">
        <f t="shared" si="543"/>
        <v>4478</v>
      </c>
      <c r="H1343" s="137">
        <f t="shared" si="544"/>
        <v>0.25945883307259981</v>
      </c>
      <c r="I1343" s="2"/>
      <c r="J1343" s="2">
        <f t="shared" si="557"/>
        <v>0.33762095138768178</v>
      </c>
      <c r="K1343" s="2">
        <f t="shared" si="558"/>
        <v>0.59707978446028154</v>
      </c>
      <c r="L1343" s="2">
        <f t="shared" si="559"/>
        <v>1.0429341213280027E-3</v>
      </c>
      <c r="M1343" s="2">
        <f t="shared" si="560"/>
        <v>6.4256330030708686E-2</v>
      </c>
      <c r="N1343" s="63">
        <v>5827</v>
      </c>
      <c r="O1343" s="63">
        <v>10305</v>
      </c>
      <c r="P1343" s="63">
        <v>18</v>
      </c>
      <c r="Q1343" s="63">
        <v>697</v>
      </c>
      <c r="R1343" s="63">
        <v>229</v>
      </c>
      <c r="S1343" s="63">
        <v>85</v>
      </c>
      <c r="T1343" s="63"/>
      <c r="U1343" s="63">
        <v>6</v>
      </c>
      <c r="V1343" s="63"/>
      <c r="W1343" s="63">
        <f>IF(Copyright!B$11=1,IF(CA1343&gt;0,CA1343-P1343-SUM(V1343)-SUM(Y1343:AG1343)-SUM(AH1343:AQ1343),SUM(CC1343:CJ1343)),SUM(CC1343:CJ1343))</f>
        <v>91</v>
      </c>
      <c r="X1343" s="63"/>
      <c r="Y1343" s="63">
        <v>0</v>
      </c>
      <c r="Z1343" s="63"/>
      <c r="AA1343" s="63">
        <v>0</v>
      </c>
      <c r="AB1343" s="63"/>
      <c r="AC1343" s="63"/>
      <c r="AD1343" s="63"/>
      <c r="AE1343" s="63">
        <v>0</v>
      </c>
      <c r="AF1343" s="63"/>
      <c r="AG1343" s="63"/>
      <c r="AH1343" s="63"/>
      <c r="AI1343" s="63"/>
      <c r="AJ1343" s="63"/>
      <c r="AK1343" s="63"/>
      <c r="AL1343" s="63"/>
      <c r="AM1343" s="63"/>
      <c r="AN1343" s="63">
        <v>1</v>
      </c>
      <c r="AO1343" s="63"/>
      <c r="AP1343" s="63"/>
      <c r="AQ1343" s="63"/>
      <c r="AR1343" s="63"/>
      <c r="AS1343" s="63"/>
      <c r="AT1343" s="63"/>
      <c r="AU1343" s="63"/>
      <c r="AW1343" s="5">
        <f>IF(Q1343&gt;0,RANK(Q1343,(N1343:P1343,Q1343:AE1343)),0)</f>
        <v>3</v>
      </c>
      <c r="AX1343" s="5">
        <f>IF(R1343&gt;0,RANK(R1343,(N1343:P1343,Q1343:AE1343)),0)</f>
        <v>4</v>
      </c>
      <c r="AY1343" s="5">
        <f>IF(T1343&gt;0,RANK(T1343,(N1343:P1343,Q1343:AE1343)),0)</f>
        <v>0</v>
      </c>
      <c r="AZ1343" s="5">
        <f>IF(S1343&gt;0,RANK(S1343,(N1343:P1343,Q1343:AE1343)),0)</f>
        <v>6</v>
      </c>
      <c r="BA1343" s="2">
        <f t="shared" si="561"/>
        <v>4.0384726809200994E-2</v>
      </c>
      <c r="BB1343" s="2">
        <f t="shared" si="562"/>
        <v>1.3268439654672923E-2</v>
      </c>
      <c r="BC1343" s="2">
        <f t="shared" si="563"/>
        <v>0</v>
      </c>
      <c r="BD1343" s="2">
        <f t="shared" si="564"/>
        <v>4.924966684048902E-3</v>
      </c>
      <c r="BF1343" t="s">
        <v>1581</v>
      </c>
      <c r="BG1343" t="s">
        <v>3114</v>
      </c>
      <c r="BH1343" s="8">
        <v>4</v>
      </c>
      <c r="BJ1343" s="114">
        <v>26</v>
      </c>
      <c r="BK1343" s="116">
        <v>107</v>
      </c>
      <c r="BL1343" s="120">
        <f t="shared" si="555"/>
        <v>26107</v>
      </c>
      <c r="BN1343" s="5" t="s">
        <v>3154</v>
      </c>
      <c r="BY1343" s="63">
        <f t="shared" si="554"/>
        <v>0</v>
      </c>
      <c r="BZ1343" s="63">
        <f>110+6+229+85+697+5827+10305</f>
        <v>17259</v>
      </c>
      <c r="CA1343" s="63">
        <v>110</v>
      </c>
      <c r="CB1343" s="132"/>
      <c r="CD1343" s="63">
        <v>0</v>
      </c>
      <c r="CE1343" s="63">
        <v>0</v>
      </c>
    </row>
    <row r="1344" spans="1:83" ht="13" hidden="1" customHeight="1" outlineLevel="1">
      <c r="A1344" t="s">
        <v>2384</v>
      </c>
      <c r="B1344" t="s">
        <v>3114</v>
      </c>
      <c r="C1344" s="1">
        <f t="shared" si="556"/>
        <v>10824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8</v>
      </c>
      <c r="G1344" s="132">
        <f t="shared" si="543"/>
        <v>3163</v>
      </c>
      <c r="H1344" s="137">
        <f t="shared" si="544"/>
        <v>0.29222099039172211</v>
      </c>
      <c r="I1344" s="2"/>
      <c r="J1344" s="2">
        <f t="shared" si="557"/>
        <v>0.32695861049519587</v>
      </c>
      <c r="K1344" s="2">
        <f t="shared" si="558"/>
        <v>0.61917960088691792</v>
      </c>
      <c r="L1344" s="2">
        <f t="shared" si="559"/>
        <v>4.6193643754619364E-4</v>
      </c>
      <c r="M1344" s="2">
        <f t="shared" si="560"/>
        <v>5.3399852180340067E-2</v>
      </c>
      <c r="N1344" s="63">
        <v>3539</v>
      </c>
      <c r="O1344" s="63">
        <v>6702</v>
      </c>
      <c r="P1344" s="63">
        <v>5</v>
      </c>
      <c r="Q1344" s="63">
        <v>351</v>
      </c>
      <c r="R1344" s="63">
        <v>118</v>
      </c>
      <c r="S1344" s="63">
        <v>46</v>
      </c>
      <c r="T1344" s="63"/>
      <c r="U1344" s="63">
        <v>7</v>
      </c>
      <c r="V1344" s="63"/>
      <c r="W1344" s="63">
        <f>IF(Copyright!B$11=1,IF(CA1344&gt;0,CA1344-P1344-SUM(V1344)-SUM(Y1344:AG1344)-SUM(AH1344:AQ1344),SUM(CC1344:CJ1344)),SUM(CC1344:CJ1344))</f>
        <v>56</v>
      </c>
      <c r="X1344" s="63"/>
      <c r="Y1344" s="63">
        <v>0</v>
      </c>
      <c r="Z1344" s="63"/>
      <c r="AA1344" s="63">
        <v>0</v>
      </c>
      <c r="AB1344" s="63"/>
      <c r="AC1344" s="63"/>
      <c r="AD1344" s="63"/>
      <c r="AE1344" s="63">
        <v>0</v>
      </c>
      <c r="AF1344" s="63"/>
      <c r="AG1344" s="63"/>
      <c r="AH1344" s="63"/>
      <c r="AI1344" s="63"/>
      <c r="AJ1344" s="63"/>
      <c r="AK1344" s="63"/>
      <c r="AL1344" s="63"/>
      <c r="AM1344" s="63"/>
      <c r="AN1344" s="63">
        <v>0</v>
      </c>
      <c r="AO1344" s="63"/>
      <c r="AP1344" s="63"/>
      <c r="AQ1344" s="63"/>
      <c r="AR1344" s="63"/>
      <c r="AS1344" s="63"/>
      <c r="AT1344" s="63"/>
      <c r="AU1344" s="63"/>
      <c r="AW1344" s="5">
        <f>IF(Q1344&gt;0,RANK(Q1344,(N1344:P1344,Q1344:AE1344)),0)</f>
        <v>3</v>
      </c>
      <c r="AX1344" s="5">
        <f>IF(R1344&gt;0,RANK(R1344,(N1344:P1344,Q1344:AE1344)),0)</f>
        <v>4</v>
      </c>
      <c r="AY1344" s="5">
        <f>IF(T1344&gt;0,RANK(T1344,(N1344:P1344,Q1344:AE1344)),0)</f>
        <v>0</v>
      </c>
      <c r="AZ1344" s="5">
        <f>IF(S1344&gt;0,RANK(S1344,(N1344:P1344,Q1344:AE1344)),0)</f>
        <v>6</v>
      </c>
      <c r="BA1344" s="2">
        <f t="shared" si="561"/>
        <v>3.2427937915742791E-2</v>
      </c>
      <c r="BB1344" s="2">
        <f t="shared" si="562"/>
        <v>1.0901699926090171E-2</v>
      </c>
      <c r="BC1344" s="2">
        <f t="shared" si="563"/>
        <v>0</v>
      </c>
      <c r="BD1344" s="2">
        <f t="shared" si="564"/>
        <v>4.2498152254249813E-3</v>
      </c>
      <c r="BF1344" t="s">
        <v>2384</v>
      </c>
      <c r="BG1344" t="s">
        <v>3114</v>
      </c>
      <c r="BH1344" s="8">
        <v>1</v>
      </c>
      <c r="BJ1344" s="114">
        <v>26</v>
      </c>
      <c r="BK1344" s="116">
        <v>109</v>
      </c>
      <c r="BL1344" s="120">
        <f t="shared" si="555"/>
        <v>26109</v>
      </c>
      <c r="BN1344" s="5" t="s">
        <v>3154</v>
      </c>
      <c r="BO1344" s="63">
        <v>79</v>
      </c>
      <c r="BP1344" s="63">
        <v>11</v>
      </c>
      <c r="BR1344" s="63"/>
      <c r="BY1344" s="63">
        <f t="shared" si="554"/>
        <v>0</v>
      </c>
      <c r="BZ1344" s="132">
        <v>10824</v>
      </c>
      <c r="CA1344" s="132">
        <v>61</v>
      </c>
      <c r="CB1344" s="132"/>
      <c r="CD1344" s="63">
        <v>0</v>
      </c>
      <c r="CE1344" s="63">
        <v>0</v>
      </c>
    </row>
    <row r="1345" spans="1:83" ht="13" hidden="1" customHeight="1" outlineLevel="1">
      <c r="A1345" t="s">
        <v>2528</v>
      </c>
      <c r="B1345" t="s">
        <v>3114</v>
      </c>
      <c r="C1345" s="1">
        <f t="shared" si="556"/>
        <v>42776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7</v>
      </c>
      <c r="G1345" s="132">
        <f t="shared" si="543"/>
        <v>8211</v>
      </c>
      <c r="H1345" s="137">
        <f t="shared" si="544"/>
        <v>0.19195343183093325</v>
      </c>
      <c r="I1345" s="2"/>
      <c r="J1345" s="2">
        <f t="shared" si="557"/>
        <v>0.36550869646530765</v>
      </c>
      <c r="K1345" s="2">
        <f t="shared" si="558"/>
        <v>0.55746212829624087</v>
      </c>
      <c r="L1345" s="2">
        <f t="shared" si="559"/>
        <v>4.1378342996072565E-3</v>
      </c>
      <c r="M1345" s="2">
        <f t="shared" si="560"/>
        <v>7.2891340938844279E-2</v>
      </c>
      <c r="N1345" s="63">
        <v>15635</v>
      </c>
      <c r="O1345" s="63">
        <v>23846</v>
      </c>
      <c r="P1345" s="63">
        <v>177</v>
      </c>
      <c r="Q1345" s="63">
        <v>2216</v>
      </c>
      <c r="R1345" s="63">
        <v>407</v>
      </c>
      <c r="S1345" s="63">
        <v>190</v>
      </c>
      <c r="T1345" s="63"/>
      <c r="U1345" s="63">
        <v>25</v>
      </c>
      <c r="V1345" s="63"/>
      <c r="W1345" s="63">
        <f>IF(Copyright!B$11=1,IF(CA1345&gt;0,CA1345-P1345-SUM(V1345)-SUM(Y1345:AG1345)-SUM(AH1345:AQ1345),SUM(CC1345:CJ1345)),SUM(CC1345:CJ1345))</f>
        <v>270</v>
      </c>
      <c r="X1345" s="63"/>
      <c r="Y1345" s="63">
        <v>8</v>
      </c>
      <c r="Z1345" s="63"/>
      <c r="AA1345" s="63">
        <v>0</v>
      </c>
      <c r="AB1345" s="63"/>
      <c r="AC1345" s="63"/>
      <c r="AD1345" s="63"/>
      <c r="AE1345" s="63">
        <v>0</v>
      </c>
      <c r="AF1345" s="63"/>
      <c r="AG1345" s="63"/>
      <c r="AH1345" s="63"/>
      <c r="AI1345" s="63"/>
      <c r="AJ1345" s="63"/>
      <c r="AK1345" s="63"/>
      <c r="AL1345" s="63"/>
      <c r="AM1345" s="63"/>
      <c r="AN1345" s="63">
        <v>2</v>
      </c>
      <c r="AO1345" s="63"/>
      <c r="AP1345" s="63"/>
      <c r="AQ1345" s="63"/>
      <c r="AR1345" s="63"/>
      <c r="AS1345" s="63"/>
      <c r="AT1345" s="63"/>
      <c r="AU1345" s="63"/>
      <c r="AW1345" s="5">
        <f>IF(Q1345&gt;0,RANK(Q1345,(N1345:P1345,Q1345:AE1345)),0)</f>
        <v>3</v>
      </c>
      <c r="AX1345" s="5">
        <f>IF(R1345&gt;0,RANK(R1345,(N1345:P1345,Q1345:AE1345)),0)</f>
        <v>4</v>
      </c>
      <c r="AY1345" s="5">
        <f>IF(T1345&gt;0,RANK(T1345,(N1345:P1345,Q1345:AE1345)),0)</f>
        <v>0</v>
      </c>
      <c r="AZ1345" s="5">
        <f>IF(S1345&gt;0,RANK(S1345,(N1345:P1345,Q1345:AE1345)),0)</f>
        <v>6</v>
      </c>
      <c r="BA1345" s="2">
        <f t="shared" si="561"/>
        <v>5.1804750327286327E-2</v>
      </c>
      <c r="BB1345" s="2">
        <f t="shared" si="562"/>
        <v>9.514681129605386E-3</v>
      </c>
      <c r="BC1345" s="2">
        <f t="shared" si="563"/>
        <v>0</v>
      </c>
      <c r="BD1345" s="2">
        <f t="shared" si="564"/>
        <v>4.4417430334767159E-3</v>
      </c>
      <c r="BF1345" t="s">
        <v>2528</v>
      </c>
      <c r="BG1345" t="s">
        <v>3114</v>
      </c>
      <c r="BH1345" s="8">
        <v>4</v>
      </c>
      <c r="BJ1345" s="114">
        <v>26</v>
      </c>
      <c r="BK1345" s="116">
        <v>111</v>
      </c>
      <c r="BL1345" s="120">
        <f t="shared" si="555"/>
        <v>26111</v>
      </c>
      <c r="BN1345" s="5" t="s">
        <v>3154</v>
      </c>
      <c r="BY1345" s="63">
        <f>C1345-BZ1345</f>
        <v>-60</v>
      </c>
      <c r="BZ1345" s="132">
        <v>42836</v>
      </c>
      <c r="CA1345" s="132">
        <v>457</v>
      </c>
      <c r="CB1345" s="132"/>
      <c r="CD1345" s="63">
        <v>0</v>
      </c>
      <c r="CE1345" s="63">
        <v>0</v>
      </c>
    </row>
    <row r="1346" spans="1:83" ht="13" hidden="1" customHeight="1" outlineLevel="1">
      <c r="A1346" t="s">
        <v>3006</v>
      </c>
      <c r="B1346" t="s">
        <v>3114</v>
      </c>
      <c r="C1346" s="1">
        <f t="shared" si="556"/>
        <v>7317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6</v>
      </c>
      <c r="G1346" s="132">
        <f t="shared" si="543"/>
        <v>3821</v>
      </c>
      <c r="H1346" s="137">
        <f t="shared" si="544"/>
        <v>0.52220855541888755</v>
      </c>
      <c r="I1346" s="2"/>
      <c r="J1346" s="2">
        <f t="shared" si="557"/>
        <v>0.2138854721880552</v>
      </c>
      <c r="K1346" s="2">
        <f t="shared" si="558"/>
        <v>0.73609402760694276</v>
      </c>
      <c r="L1346" s="2">
        <f t="shared" si="559"/>
        <v>2.1866885335520021E-3</v>
      </c>
      <c r="M1346" s="2">
        <f t="shared" si="560"/>
        <v>4.7833811671450038E-2</v>
      </c>
      <c r="N1346" s="63">
        <v>1565</v>
      </c>
      <c r="O1346" s="63">
        <v>5386</v>
      </c>
      <c r="P1346" s="63">
        <v>16</v>
      </c>
      <c r="Q1346" s="63">
        <v>241</v>
      </c>
      <c r="R1346" s="63">
        <v>74</v>
      </c>
      <c r="S1346" s="63">
        <v>31</v>
      </c>
      <c r="T1346" s="63"/>
      <c r="U1346" s="63">
        <v>4</v>
      </c>
      <c r="V1346" s="63"/>
      <c r="W1346" s="63">
        <f>IF(Copyright!B$11=1,IF(CA1346&gt;0,CA1346-P1346-SUM(V1346)-SUM(Y1346:AG1346)-SUM(AH1346:AQ1346),SUM(CC1346:CJ1346)),SUM(CC1346:CJ1346))</f>
        <v>0</v>
      </c>
      <c r="X1346" s="63"/>
      <c r="Y1346" s="63">
        <v>0</v>
      </c>
      <c r="Z1346" s="63"/>
      <c r="AA1346" s="63">
        <v>0</v>
      </c>
      <c r="AB1346" s="63"/>
      <c r="AC1346" s="63"/>
      <c r="AD1346" s="63"/>
      <c r="AE1346" s="63">
        <v>0</v>
      </c>
      <c r="AF1346" s="63"/>
      <c r="AG1346" s="63"/>
      <c r="AH1346" s="63"/>
      <c r="AI1346" s="63"/>
      <c r="AJ1346" s="63"/>
      <c r="AK1346" s="63"/>
      <c r="AL1346" s="63"/>
      <c r="AM1346" s="63"/>
      <c r="AN1346" s="63">
        <v>0</v>
      </c>
      <c r="AO1346" s="63"/>
      <c r="AP1346" s="63"/>
      <c r="AQ1346" s="63"/>
      <c r="AR1346" s="63"/>
      <c r="AS1346" s="63"/>
      <c r="AT1346" s="63"/>
      <c r="AU1346" s="63"/>
      <c r="AW1346" s="5">
        <f>IF(Q1346&gt;0,RANK(Q1346,(N1346:P1346,Q1346:AE1346)),0)</f>
        <v>3</v>
      </c>
      <c r="AX1346" s="5">
        <f>IF(R1346&gt;0,RANK(R1346,(N1346:P1346,Q1346:AE1346)),0)</f>
        <v>4</v>
      </c>
      <c r="AY1346" s="5">
        <f>IF(T1346&gt;0,RANK(T1346,(N1346:P1346,Q1346:AE1346)),0)</f>
        <v>0</v>
      </c>
      <c r="AZ1346" s="5">
        <f>IF(S1346&gt;0,RANK(S1346,(N1346:P1346,Q1346:AE1346)),0)</f>
        <v>5</v>
      </c>
      <c r="BA1346" s="2">
        <f t="shared" si="561"/>
        <v>3.2936996036627031E-2</v>
      </c>
      <c r="BB1346" s="2">
        <f t="shared" si="562"/>
        <v>1.011343446767801E-2</v>
      </c>
      <c r="BC1346" s="2">
        <f t="shared" si="563"/>
        <v>0</v>
      </c>
      <c r="BD1346" s="2">
        <f t="shared" si="564"/>
        <v>4.2367090337570041E-3</v>
      </c>
      <c r="BF1346" t="s">
        <v>3006</v>
      </c>
      <c r="BG1346" t="s">
        <v>3114</v>
      </c>
      <c r="BH1346" s="8">
        <v>4</v>
      </c>
      <c r="BJ1346" s="114">
        <v>26</v>
      </c>
      <c r="BK1346" s="116">
        <v>113</v>
      </c>
      <c r="BL1346" s="120">
        <f t="shared" si="555"/>
        <v>26113</v>
      </c>
      <c r="BN1346" s="5" t="s">
        <v>3154</v>
      </c>
      <c r="BY1346" s="63">
        <f t="shared" si="554"/>
        <v>7317</v>
      </c>
      <c r="CB1346" s="132"/>
      <c r="CD1346" s="63">
        <v>0</v>
      </c>
      <c r="CE1346" s="63">
        <v>0</v>
      </c>
    </row>
    <row r="1347" spans="1:83" ht="13" hidden="1" customHeight="1" outlineLevel="1">
      <c r="A1347" t="s">
        <v>644</v>
      </c>
      <c r="B1347" t="s">
        <v>3114</v>
      </c>
      <c r="C1347" s="1">
        <f t="shared" si="556"/>
        <v>74655</v>
      </c>
      <c r="D1347" s="5">
        <f>IF(N1347&gt;0, RANK(N1347,(N1347:P1347,Q1347:AE1347)),0)</f>
        <v>2</v>
      </c>
      <c r="E1347" s="5">
        <f>IF(O1347&gt;0,RANK(O1347,(N1347:P1347,Q1347:AE1347)),0)</f>
        <v>1</v>
      </c>
      <c r="F1347" s="5">
        <f>IF(P1347&gt;0,RANK(P1347,(N1347:P1347,Q1347:AE1347)),0)</f>
        <v>7</v>
      </c>
      <c r="G1347" s="132">
        <f t="shared" si="543"/>
        <v>16398</v>
      </c>
      <c r="H1347" s="137">
        <f t="shared" si="544"/>
        <v>0.21965039180229054</v>
      </c>
      <c r="I1347" s="2"/>
      <c r="J1347" s="2">
        <f t="shared" si="557"/>
        <v>0.3598285446386712</v>
      </c>
      <c r="K1347" s="2">
        <f t="shared" si="558"/>
        <v>0.57947893644096171</v>
      </c>
      <c r="L1347" s="2">
        <f t="shared" si="559"/>
        <v>7.6351215591721918E-4</v>
      </c>
      <c r="M1347" s="2">
        <f t="shared" si="560"/>
        <v>5.9929006764449871E-2</v>
      </c>
      <c r="N1347" s="63">
        <v>26863</v>
      </c>
      <c r="O1347" s="63">
        <v>43261</v>
      </c>
      <c r="P1347" s="63">
        <v>57</v>
      </c>
      <c r="Q1347" s="63">
        <v>2985</v>
      </c>
      <c r="R1347" s="63">
        <v>707</v>
      </c>
      <c r="S1347" s="63">
        <v>273</v>
      </c>
      <c r="T1347" s="63"/>
      <c r="U1347" s="63">
        <v>22</v>
      </c>
      <c r="V1347" s="63"/>
      <c r="W1347" s="63">
        <f>IF(Copyright!B$11=1,IF(CA1347&gt;0,CA1347-P1347-SUM(V1347)-SUM(Y1347:AG1347)-SUM(AH1347:AQ1347),SUM(CC1347:CJ1347)),SUM(CC1347:CJ1347))</f>
        <v>438</v>
      </c>
      <c r="X1347" s="63"/>
      <c r="Y1347" s="63">
        <v>1</v>
      </c>
      <c r="Z1347" s="63"/>
      <c r="AA1347" s="63">
        <v>1</v>
      </c>
      <c r="AB1347" s="63"/>
      <c r="AC1347" s="63"/>
      <c r="AD1347" s="63"/>
      <c r="AE1347" s="63">
        <v>3</v>
      </c>
      <c r="AF1347" s="63"/>
      <c r="AG1347" s="63"/>
      <c r="AH1347" s="63"/>
      <c r="AI1347" s="63"/>
      <c r="AJ1347" s="63"/>
      <c r="AK1347" s="63"/>
      <c r="AL1347" s="63"/>
      <c r="AM1347" s="63"/>
      <c r="AN1347" s="63">
        <v>44</v>
      </c>
      <c r="AO1347" s="63"/>
      <c r="AP1347" s="63"/>
      <c r="AQ1347" s="63"/>
      <c r="AR1347" s="63"/>
      <c r="AS1347" s="63"/>
      <c r="AT1347" s="63"/>
      <c r="AU1347" s="63"/>
      <c r="AW1347" s="5">
        <f>IF(Q1347&gt;0,RANK(Q1347,(N1347:P1347,Q1347:AE1347)),0)</f>
        <v>3</v>
      </c>
      <c r="AX1347" s="5">
        <f>IF(R1347&gt;0,RANK(R1347,(N1347:P1347,Q1347:AE1347)),0)</f>
        <v>4</v>
      </c>
      <c r="AY1347" s="5">
        <f>IF(T1347&gt;0,RANK(T1347,(N1347:P1347,Q1347:AE1347)),0)</f>
        <v>0</v>
      </c>
      <c r="AZ1347" s="5">
        <f>IF(S1347&gt;0,RANK(S1347,(N1347:P1347,Q1347:AE1347)),0)</f>
        <v>6</v>
      </c>
      <c r="BA1347" s="2">
        <f t="shared" si="561"/>
        <v>3.9983926059875427E-2</v>
      </c>
      <c r="BB1347" s="2">
        <f t="shared" si="562"/>
        <v>9.4702297233942804E-3</v>
      </c>
      <c r="BC1347" s="2">
        <f t="shared" si="563"/>
        <v>0</v>
      </c>
      <c r="BD1347" s="2">
        <f t="shared" si="564"/>
        <v>3.6568213783403658E-3</v>
      </c>
      <c r="BF1347" t="s">
        <v>644</v>
      </c>
      <c r="BG1347" t="s">
        <v>3114</v>
      </c>
      <c r="BH1347" s="8">
        <v>7</v>
      </c>
      <c r="BJ1347" s="114">
        <v>26</v>
      </c>
      <c r="BK1347" s="116">
        <v>115</v>
      </c>
      <c r="BL1347" s="120">
        <f t="shared" si="555"/>
        <v>26115</v>
      </c>
      <c r="BN1347" s="5" t="s">
        <v>3154</v>
      </c>
      <c r="BY1347" s="63">
        <f t="shared" si="554"/>
        <v>0</v>
      </c>
      <c r="BZ1347" s="132">
        <v>74655</v>
      </c>
      <c r="CA1347" s="132">
        <v>544</v>
      </c>
      <c r="CB1347" s="132"/>
      <c r="CD1347" s="63">
        <v>0</v>
      </c>
      <c r="CE1347" s="63">
        <v>1</v>
      </c>
    </row>
    <row r="1348" spans="1:83" ht="13" hidden="1" customHeight="1" outlineLevel="1">
      <c r="A1348" t="s">
        <v>2869</v>
      </c>
      <c r="B1348" t="s">
        <v>3114</v>
      </c>
      <c r="C1348" s="1">
        <f t="shared" si="556"/>
        <v>26760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7</v>
      </c>
      <c r="G1348" s="132">
        <f t="shared" si="543"/>
        <v>9033</v>
      </c>
      <c r="H1348" s="137">
        <f t="shared" si="544"/>
        <v>0.33755605381165921</v>
      </c>
      <c r="I1348" s="2"/>
      <c r="J1348" s="2">
        <f t="shared" si="557"/>
        <v>0.29424514200298951</v>
      </c>
      <c r="K1348" s="2">
        <f t="shared" si="558"/>
        <v>0.63180119581464877</v>
      </c>
      <c r="L1348" s="2">
        <f t="shared" si="559"/>
        <v>2.0553064275037371E-3</v>
      </c>
      <c r="M1348" s="2">
        <f t="shared" si="560"/>
        <v>7.1898355754858034E-2</v>
      </c>
      <c r="N1348" s="63">
        <v>7874</v>
      </c>
      <c r="O1348" s="63">
        <v>16907</v>
      </c>
      <c r="P1348" s="63">
        <v>55</v>
      </c>
      <c r="Q1348" s="63">
        <v>1316</v>
      </c>
      <c r="R1348" s="63">
        <v>292</v>
      </c>
      <c r="S1348" s="63">
        <v>154</v>
      </c>
      <c r="T1348" s="63"/>
      <c r="U1348" s="63">
        <v>13</v>
      </c>
      <c r="V1348" s="63"/>
      <c r="W1348" s="63">
        <f>IF(Copyright!B$11=1,IF(CA1348&gt;0,CA1348-P1348-SUM(V1348)-SUM(Y1348:AG1348)-SUM(AH1348:AQ1348),SUM(CC1348:CJ1348)),SUM(CC1348:CJ1348))</f>
        <v>145</v>
      </c>
      <c r="X1348" s="63"/>
      <c r="Y1348" s="63">
        <v>3</v>
      </c>
      <c r="Z1348" s="63"/>
      <c r="AA1348" s="63">
        <v>0</v>
      </c>
      <c r="AB1348" s="63"/>
      <c r="AC1348" s="63"/>
      <c r="AD1348" s="63"/>
      <c r="AE1348" s="63">
        <v>0</v>
      </c>
      <c r="AF1348" s="63"/>
      <c r="AG1348" s="63"/>
      <c r="AH1348" s="63"/>
      <c r="AI1348" s="63"/>
      <c r="AJ1348" s="63"/>
      <c r="AK1348" s="63"/>
      <c r="AL1348" s="63"/>
      <c r="AM1348" s="63"/>
      <c r="AN1348" s="63">
        <v>1</v>
      </c>
      <c r="AO1348" s="63"/>
      <c r="AP1348" s="63"/>
      <c r="AQ1348" s="63"/>
      <c r="AR1348" s="63"/>
      <c r="AS1348" s="63"/>
      <c r="AT1348" s="63"/>
      <c r="AU1348" s="63"/>
      <c r="AW1348" s="5">
        <f>IF(Q1348&gt;0,RANK(Q1348,(N1348:P1348,Q1348:AE1348)),0)</f>
        <v>3</v>
      </c>
      <c r="AX1348" s="5">
        <f>IF(R1348&gt;0,RANK(R1348,(N1348:P1348,Q1348:AE1348)),0)</f>
        <v>4</v>
      </c>
      <c r="AY1348" s="5">
        <f>IF(T1348&gt;0,RANK(T1348,(N1348:P1348,Q1348:AE1348)),0)</f>
        <v>0</v>
      </c>
      <c r="AZ1348" s="5">
        <f>IF(S1348&gt;0,RANK(S1348,(N1348:P1348,Q1348:AE1348)),0)</f>
        <v>5</v>
      </c>
      <c r="BA1348" s="2">
        <f t="shared" si="561"/>
        <v>4.9177877428998505E-2</v>
      </c>
      <c r="BB1348" s="2">
        <f t="shared" si="562"/>
        <v>1.0911808669656204E-2</v>
      </c>
      <c r="BC1348" s="2">
        <f t="shared" si="563"/>
        <v>0</v>
      </c>
      <c r="BD1348" s="2">
        <f t="shared" si="564"/>
        <v>5.7548579970104633E-3</v>
      </c>
      <c r="BF1348" t="s">
        <v>2869</v>
      </c>
      <c r="BG1348" t="s">
        <v>3114</v>
      </c>
      <c r="BH1348" s="8"/>
      <c r="BJ1348" s="114">
        <v>26</v>
      </c>
      <c r="BK1348" s="116">
        <v>117</v>
      </c>
      <c r="BL1348" s="120">
        <f t="shared" si="555"/>
        <v>26117</v>
      </c>
      <c r="BN1348" s="5" t="s">
        <v>3154</v>
      </c>
      <c r="BY1348" s="63">
        <f t="shared" si="554"/>
        <v>0</v>
      </c>
      <c r="BZ1348" s="132">
        <f>204+13+292+154+1316+7874+16907</f>
        <v>26760</v>
      </c>
      <c r="CA1348" s="132">
        <v>204</v>
      </c>
      <c r="CB1348" s="132"/>
      <c r="CD1348" s="63">
        <v>0</v>
      </c>
      <c r="CE1348" s="63">
        <v>0</v>
      </c>
    </row>
    <row r="1349" spans="1:83" ht="13" hidden="1" customHeight="1" outlineLevel="1">
      <c r="A1349" t="s">
        <v>1312</v>
      </c>
      <c r="B1349" t="s">
        <v>3114</v>
      </c>
      <c r="C1349" s="1">
        <f t="shared" si="556"/>
        <v>5032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>IF(P1349&gt;0,RANK(P1349,(N1349:P1349,Q1349:AE1349)),0)</f>
        <v>0</v>
      </c>
      <c r="G1349" s="132">
        <f t="shared" si="543"/>
        <v>2211</v>
      </c>
      <c r="H1349" s="137">
        <f t="shared" si="544"/>
        <v>0.43938791732909382</v>
      </c>
      <c r="I1349" s="2"/>
      <c r="J1349" s="2">
        <f t="shared" si="557"/>
        <v>0.25576311605723373</v>
      </c>
      <c r="K1349" s="2">
        <f t="shared" si="558"/>
        <v>0.69515103338632755</v>
      </c>
      <c r="L1349" s="2">
        <f t="shared" si="559"/>
        <v>0</v>
      </c>
      <c r="M1349" s="2">
        <f t="shared" si="560"/>
        <v>4.9085850556438659E-2</v>
      </c>
      <c r="N1349" s="63">
        <v>1287</v>
      </c>
      <c r="O1349" s="63">
        <v>3498</v>
      </c>
      <c r="P1349" s="63">
        <v>0</v>
      </c>
      <c r="Q1349" s="63">
        <v>159</v>
      </c>
      <c r="R1349" s="63">
        <v>44</v>
      </c>
      <c r="S1349" s="63">
        <v>18</v>
      </c>
      <c r="T1349" s="63"/>
      <c r="U1349" s="63">
        <v>3</v>
      </c>
      <c r="V1349" s="63"/>
      <c r="W1349" s="63">
        <f>IF(Copyright!B$11=1,IF(CA1349&gt;0,CA1349-P1349-SUM(V1349)-SUM(Y1349:AG1349)-SUM(AH1349:AQ1349),SUM(CC1349:CJ1349)),SUM(CC1349:CJ1349))</f>
        <v>23</v>
      </c>
      <c r="X1349" s="63"/>
      <c r="Y1349" s="63">
        <v>0</v>
      </c>
      <c r="Z1349" s="63"/>
      <c r="AA1349" s="63">
        <v>0</v>
      </c>
      <c r="AB1349" s="63"/>
      <c r="AC1349" s="63"/>
      <c r="AD1349" s="63"/>
      <c r="AE1349" s="63">
        <v>0</v>
      </c>
      <c r="AF1349" s="63"/>
      <c r="AG1349" s="63"/>
      <c r="AH1349" s="63"/>
      <c r="AI1349" s="63"/>
      <c r="AJ1349" s="63"/>
      <c r="AK1349" s="63"/>
      <c r="AL1349" s="63"/>
      <c r="AM1349" s="63"/>
      <c r="AN1349" s="63">
        <v>0</v>
      </c>
      <c r="AO1349" s="63"/>
      <c r="AP1349" s="63"/>
      <c r="AQ1349" s="63"/>
      <c r="AR1349" s="63"/>
      <c r="AS1349" s="63"/>
      <c r="AT1349" s="63"/>
      <c r="AU1349" s="63"/>
      <c r="AW1349" s="5">
        <f>IF(Q1349&gt;0,RANK(Q1349,(N1349:P1349,Q1349:AE1349)),0)</f>
        <v>3</v>
      </c>
      <c r="AX1349" s="5">
        <f>IF(R1349&gt;0,RANK(R1349,(N1349:P1349,Q1349:AE1349)),0)</f>
        <v>4</v>
      </c>
      <c r="AY1349" s="5">
        <f>IF(T1349&gt;0,RANK(T1349,(N1349:P1349,Q1349:AE1349)),0)</f>
        <v>0</v>
      </c>
      <c r="AZ1349" s="5">
        <f>IF(S1349&gt;0,RANK(S1349,(N1349:P1349,Q1349:AE1349)),0)</f>
        <v>6</v>
      </c>
      <c r="BA1349" s="2">
        <f t="shared" si="561"/>
        <v>3.1597774244833066E-2</v>
      </c>
      <c r="BB1349" s="2">
        <f t="shared" si="562"/>
        <v>8.744038155802861E-3</v>
      </c>
      <c r="BC1349" s="2">
        <f t="shared" si="563"/>
        <v>0</v>
      </c>
      <c r="BD1349" s="2">
        <f t="shared" si="564"/>
        <v>3.577106518282989E-3</v>
      </c>
      <c r="BF1349" t="s">
        <v>1312</v>
      </c>
      <c r="BG1349" t="s">
        <v>3114</v>
      </c>
      <c r="BH1349" s="8">
        <v>1</v>
      </c>
      <c r="BJ1349" s="114">
        <v>26</v>
      </c>
      <c r="BK1349" s="116">
        <v>119</v>
      </c>
      <c r="BL1349" s="120">
        <f t="shared" si="555"/>
        <v>26119</v>
      </c>
      <c r="BN1349" s="5" t="s">
        <v>3154</v>
      </c>
      <c r="BY1349" s="63">
        <f t="shared" si="554"/>
        <v>0</v>
      </c>
      <c r="BZ1349" s="63">
        <v>5032</v>
      </c>
      <c r="CA1349" s="63">
        <v>23</v>
      </c>
      <c r="CB1349" s="132"/>
      <c r="CD1349" s="63">
        <v>0</v>
      </c>
      <c r="CE1349" s="63">
        <v>0</v>
      </c>
    </row>
    <row r="1350" spans="1:83" ht="13" hidden="1" customHeight="1" outlineLevel="1">
      <c r="A1350" t="s">
        <v>2</v>
      </c>
      <c r="B1350" t="s">
        <v>3114</v>
      </c>
      <c r="C1350" s="1">
        <f t="shared" si="556"/>
        <v>78723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>IF(P1350&gt;0,RANK(P1350,(N1350:P1350,Q1350:AE1350)),0)</f>
        <v>7</v>
      </c>
      <c r="G1350" s="132">
        <f t="shared" si="543"/>
        <v>1177</v>
      </c>
      <c r="H1350" s="137">
        <f t="shared" si="544"/>
        <v>1.4951157857297104E-2</v>
      </c>
      <c r="I1350" s="2"/>
      <c r="J1350" s="2">
        <f t="shared" si="557"/>
        <v>0.47386405497757961</v>
      </c>
      <c r="K1350" s="2">
        <f t="shared" si="558"/>
        <v>0.45891289712028249</v>
      </c>
      <c r="L1350" s="2">
        <f t="shared" si="559"/>
        <v>1.5116293840427828E-3</v>
      </c>
      <c r="M1350" s="2">
        <f t="shared" si="560"/>
        <v>6.5711418518095061E-2</v>
      </c>
      <c r="N1350" s="63">
        <v>37304</v>
      </c>
      <c r="O1350" s="63">
        <v>36127</v>
      </c>
      <c r="P1350" s="63">
        <v>119</v>
      </c>
      <c r="Q1350" s="63">
        <v>3182</v>
      </c>
      <c r="R1350" s="63">
        <v>964</v>
      </c>
      <c r="S1350" s="63">
        <v>346</v>
      </c>
      <c r="T1350" s="63"/>
      <c r="U1350" s="63">
        <v>39</v>
      </c>
      <c r="V1350" s="63"/>
      <c r="W1350" s="63">
        <f>IF(Copyright!B$11=1,IF(CA1350&gt;0,CA1350-P1350-SUM(V1350)-SUM(Y1350:AG1350)-SUM(AH1350:AQ1350),SUM(CC1350:CJ1350)),SUM(CC1350:CJ1350))</f>
        <v>635</v>
      </c>
      <c r="X1350" s="63"/>
      <c r="Y1350" s="63">
        <v>0</v>
      </c>
      <c r="Z1350" s="63"/>
      <c r="AA1350" s="63">
        <v>1</v>
      </c>
      <c r="AB1350" s="63"/>
      <c r="AC1350" s="63"/>
      <c r="AD1350" s="63"/>
      <c r="AE1350" s="63">
        <v>0</v>
      </c>
      <c r="AF1350" s="63"/>
      <c r="AG1350" s="63"/>
      <c r="AH1350" s="63"/>
      <c r="AI1350" s="63"/>
      <c r="AJ1350" s="63"/>
      <c r="AK1350" s="63"/>
      <c r="AL1350" s="63"/>
      <c r="AM1350" s="63"/>
      <c r="AN1350" s="63">
        <v>6</v>
      </c>
      <c r="AO1350" s="63"/>
      <c r="AP1350" s="63"/>
      <c r="AQ1350" s="63"/>
      <c r="AR1350" s="63"/>
      <c r="AS1350" s="63"/>
      <c r="AT1350" s="63"/>
      <c r="AU1350" s="63"/>
      <c r="AW1350" s="5">
        <f>IF(Q1350&gt;0,RANK(Q1350,(N1350:P1350,Q1350:AE1350)),0)</f>
        <v>3</v>
      </c>
      <c r="AX1350" s="5">
        <f>IF(R1350&gt;0,RANK(R1350,(N1350:P1350,Q1350:AE1350)),0)</f>
        <v>4</v>
      </c>
      <c r="AY1350" s="5">
        <f>IF(T1350&gt;0,RANK(T1350,(N1350:P1350,Q1350:AE1350)),0)</f>
        <v>0</v>
      </c>
      <c r="AZ1350" s="5">
        <f>IF(S1350&gt;0,RANK(S1350,(N1350:P1350,Q1350:AE1350)),0)</f>
        <v>6</v>
      </c>
      <c r="BA1350" s="2">
        <f t="shared" si="561"/>
        <v>4.0420207563228026E-2</v>
      </c>
      <c r="BB1350" s="2">
        <f t="shared" si="562"/>
        <v>1.2245468287539855E-2</v>
      </c>
      <c r="BC1350" s="2">
        <f t="shared" si="563"/>
        <v>0</v>
      </c>
      <c r="BD1350" s="2">
        <f t="shared" si="564"/>
        <v>4.3951577048638897E-3</v>
      </c>
      <c r="BF1350" t="s">
        <v>2</v>
      </c>
      <c r="BG1350" t="s">
        <v>3114</v>
      </c>
      <c r="BH1350" s="8">
        <v>2</v>
      </c>
      <c r="BJ1350" s="114">
        <v>26</v>
      </c>
      <c r="BK1350" s="116">
        <v>121</v>
      </c>
      <c r="BL1350" s="120">
        <f t="shared" si="555"/>
        <v>26121</v>
      </c>
      <c r="BN1350" s="5" t="s">
        <v>3154</v>
      </c>
      <c r="BY1350" s="63">
        <f t="shared" si="554"/>
        <v>0</v>
      </c>
      <c r="BZ1350" s="63">
        <f>36127+37304+3182+346+964+39+635+119+6+1</f>
        <v>78723</v>
      </c>
      <c r="CA1350" s="63">
        <f>635+119+6+1</f>
        <v>761</v>
      </c>
      <c r="CB1350" s="132"/>
      <c r="CD1350" s="63">
        <v>0</v>
      </c>
      <c r="CE1350" s="63">
        <v>0</v>
      </c>
    </row>
    <row r="1351" spans="1:83" ht="13" hidden="1" customHeight="1" outlineLevel="1">
      <c r="A1351" t="s">
        <v>3</v>
      </c>
      <c r="B1351" t="s">
        <v>3114</v>
      </c>
      <c r="C1351" s="1">
        <f t="shared" si="556"/>
        <v>22782</v>
      </c>
      <c r="D1351" s="5">
        <f>IF(N1351&gt;0, RANK(N1351,(N1351:P1351,Q1351:AE1351)),0)</f>
        <v>2</v>
      </c>
      <c r="E1351" s="5">
        <f>IF(O1351&gt;0,RANK(O1351,(N1351:P1351,Q1351:AE1351)),0)</f>
        <v>1</v>
      </c>
      <c r="F1351" s="5">
        <f>IF(P1351&gt;0,RANK(P1351,(N1351:P1351,Q1351:AE1351)),0)</f>
        <v>7</v>
      </c>
      <c r="G1351" s="132">
        <f t="shared" si="543"/>
        <v>8961</v>
      </c>
      <c r="H1351" s="137">
        <f t="shared" si="544"/>
        <v>0.3933368448775349</v>
      </c>
      <c r="I1351" s="2"/>
      <c r="J1351" s="2">
        <f t="shared" si="557"/>
        <v>0.27267140725133876</v>
      </c>
      <c r="K1351" s="2">
        <f t="shared" si="558"/>
        <v>0.66600825212887371</v>
      </c>
      <c r="L1351" s="2">
        <f t="shared" si="559"/>
        <v>1.2290404705469231E-3</v>
      </c>
      <c r="M1351" s="2">
        <f t="shared" si="560"/>
        <v>6.0091300149240606E-2</v>
      </c>
      <c r="N1351" s="63">
        <v>6212</v>
      </c>
      <c r="O1351" s="63">
        <v>15173</v>
      </c>
      <c r="P1351" s="63">
        <v>28</v>
      </c>
      <c r="Q1351" s="63">
        <v>878</v>
      </c>
      <c r="R1351" s="63">
        <v>197</v>
      </c>
      <c r="S1351" s="63">
        <v>129</v>
      </c>
      <c r="T1351" s="63"/>
      <c r="U1351" s="63">
        <v>15</v>
      </c>
      <c r="V1351" s="63"/>
      <c r="W1351" s="63">
        <f>IF(Copyright!B$11=1,IF(CA1351&gt;0,CA1351-P1351-SUM(V1351)-SUM(Y1351:AG1351)-SUM(AH1351:AQ1351),SUM(CC1351:CJ1351)),SUM(CC1351:CJ1351))</f>
        <v>142</v>
      </c>
      <c r="X1351" s="63"/>
      <c r="Y1351" s="63">
        <v>4</v>
      </c>
      <c r="Z1351" s="63"/>
      <c r="AA1351" s="63">
        <v>0</v>
      </c>
      <c r="AB1351" s="63"/>
      <c r="AC1351" s="63"/>
      <c r="AD1351" s="63"/>
      <c r="AE1351" s="63">
        <v>0</v>
      </c>
      <c r="AF1351" s="63"/>
      <c r="AG1351" s="63"/>
      <c r="AH1351" s="63"/>
      <c r="AI1351" s="63"/>
      <c r="AJ1351" s="63"/>
      <c r="AK1351" s="63"/>
      <c r="AL1351" s="63"/>
      <c r="AM1351" s="63"/>
      <c r="AN1351" s="63">
        <v>4</v>
      </c>
      <c r="AO1351" s="63"/>
      <c r="AP1351" s="63"/>
      <c r="AQ1351" s="63"/>
      <c r="AR1351" s="63"/>
      <c r="AS1351" s="63"/>
      <c r="AT1351" s="63"/>
      <c r="AU1351" s="63"/>
      <c r="AW1351" s="5">
        <f>IF(Q1351&gt;0,RANK(Q1351,(N1351:P1351,Q1351:AE1351)),0)</f>
        <v>3</v>
      </c>
      <c r="AX1351" s="5">
        <f>IF(R1351&gt;0,RANK(R1351,(N1351:P1351,Q1351:AE1351)),0)</f>
        <v>4</v>
      </c>
      <c r="AY1351" s="5">
        <f>IF(T1351&gt;0,RANK(T1351,(N1351:P1351,Q1351:AE1351)),0)</f>
        <v>0</v>
      </c>
      <c r="AZ1351" s="5">
        <f>IF(S1351&gt;0,RANK(S1351,(N1351:P1351,Q1351:AE1351)),0)</f>
        <v>6</v>
      </c>
      <c r="BA1351" s="2">
        <f t="shared" si="561"/>
        <v>3.8539197612149946E-2</v>
      </c>
      <c r="BB1351" s="2">
        <f t="shared" si="562"/>
        <v>8.6471775963479942E-3</v>
      </c>
      <c r="BC1351" s="2">
        <f t="shared" si="563"/>
        <v>0</v>
      </c>
      <c r="BD1351" s="2">
        <f t="shared" si="564"/>
        <v>5.6623650250197527E-3</v>
      </c>
      <c r="BF1351" t="s">
        <v>3</v>
      </c>
      <c r="BG1351" t="s">
        <v>3114</v>
      </c>
      <c r="BH1351" s="8">
        <v>2</v>
      </c>
      <c r="BJ1351" s="114">
        <v>26</v>
      </c>
      <c r="BK1351" s="116">
        <v>123</v>
      </c>
      <c r="BL1351" s="120">
        <f t="shared" si="555"/>
        <v>26123</v>
      </c>
      <c r="BN1351" s="5" t="s">
        <v>3154</v>
      </c>
      <c r="BY1351" s="63">
        <f t="shared" si="554"/>
        <v>-1</v>
      </c>
      <c r="BZ1351" s="132">
        <v>22783</v>
      </c>
      <c r="CA1351" s="63">
        <v>178</v>
      </c>
      <c r="CB1351" s="132"/>
      <c r="CD1351" s="63">
        <v>0</v>
      </c>
      <c r="CE1351" s="63">
        <v>0</v>
      </c>
    </row>
    <row r="1352" spans="1:83" ht="13" hidden="1" customHeight="1" outlineLevel="1">
      <c r="A1352" t="s">
        <v>2857</v>
      </c>
      <c r="B1352" t="s">
        <v>3114</v>
      </c>
      <c r="C1352" s="1">
        <f t="shared" si="556"/>
        <v>668925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>IF(P1352&gt;0,RANK(P1352,(N1352:P1352,Q1352:AE1352)),0)</f>
        <v>7</v>
      </c>
      <c r="G1352" s="132">
        <f t="shared" ref="G1352:G1415" si="565">IF(C1352&gt;0,MAX(N1352:P1352)-LARGE(N1352:P1352,2),0)</f>
        <v>53867</v>
      </c>
      <c r="H1352" s="137">
        <f t="shared" ref="H1352:H1415" si="566">IF(C1352&gt;0,G1352/C1352,0)</f>
        <v>8.0527712374331956E-2</v>
      </c>
      <c r="I1352" s="2"/>
      <c r="J1352" s="2">
        <f t="shared" si="557"/>
        <v>0.51286766079904322</v>
      </c>
      <c r="K1352" s="2">
        <f t="shared" si="558"/>
        <v>0.4323399484247113</v>
      </c>
      <c r="L1352" s="2">
        <f t="shared" si="559"/>
        <v>1.6324700078484136E-3</v>
      </c>
      <c r="M1352" s="2">
        <f t="shared" si="560"/>
        <v>5.3159920768397068E-2</v>
      </c>
      <c r="N1352" s="63">
        <v>343070</v>
      </c>
      <c r="O1352" s="63">
        <v>289203</v>
      </c>
      <c r="P1352" s="63">
        <v>1092</v>
      </c>
      <c r="Q1352" s="63">
        <v>23154</v>
      </c>
      <c r="R1352" s="63">
        <v>6396</v>
      </c>
      <c r="S1352" s="63">
        <v>1400</v>
      </c>
      <c r="T1352" s="63"/>
      <c r="U1352" s="63">
        <v>212</v>
      </c>
      <c r="V1352" s="63"/>
      <c r="W1352" s="63">
        <f>IF(Copyright!B$11=1,IF(CA1352&gt;0,CA1352-P1352-SUM(V1352)-SUM(Y1352:AG1352)-SUM(AH1352:AQ1352),SUM(CC1352:CJ1352)),SUM(CC1352:CJ1352))</f>
        <v>4320</v>
      </c>
      <c r="X1352" s="63"/>
      <c r="Y1352" s="63">
        <v>5</v>
      </c>
      <c r="Z1352" s="63"/>
      <c r="AA1352" s="63">
        <v>4</v>
      </c>
      <c r="AB1352" s="63"/>
      <c r="AC1352" s="63"/>
      <c r="AD1352" s="63"/>
      <c r="AE1352" s="63">
        <v>20</v>
      </c>
      <c r="AF1352" s="63"/>
      <c r="AG1352" s="63"/>
      <c r="AH1352" s="63"/>
      <c r="AI1352" s="63"/>
      <c r="AJ1352" s="63"/>
      <c r="AK1352" s="63"/>
      <c r="AL1352" s="63"/>
      <c r="AM1352" s="63"/>
      <c r="AN1352" s="63">
        <v>49</v>
      </c>
      <c r="AO1352" s="63"/>
      <c r="AP1352" s="63"/>
      <c r="AQ1352" s="63"/>
      <c r="AR1352" s="63"/>
      <c r="AS1352" s="63"/>
      <c r="AT1352" s="63"/>
      <c r="AU1352" s="63"/>
      <c r="AW1352" s="5">
        <f>IF(Q1352&gt;0,RANK(Q1352,(N1352:P1352,Q1352:AE1352)),0)</f>
        <v>3</v>
      </c>
      <c r="AX1352" s="5">
        <f>IF(R1352&gt;0,RANK(R1352,(N1352:P1352,Q1352:AE1352)),0)</f>
        <v>4</v>
      </c>
      <c r="AY1352" s="5">
        <f>IF(T1352&gt;0,RANK(T1352,(N1352:P1352,Q1352:AE1352)),0)</f>
        <v>0</v>
      </c>
      <c r="AZ1352" s="5">
        <f>IF(S1352&gt;0,RANK(S1352,(N1352:P1352,Q1352:AE1352)),0)</f>
        <v>6</v>
      </c>
      <c r="BA1352" s="2">
        <f t="shared" si="561"/>
        <v>3.4613745935643009E-2</v>
      </c>
      <c r="BB1352" s="2">
        <f t="shared" si="562"/>
        <v>9.5616100459692786E-3</v>
      </c>
      <c r="BC1352" s="2">
        <f t="shared" si="563"/>
        <v>0</v>
      </c>
      <c r="BD1352" s="2">
        <f t="shared" si="564"/>
        <v>2.092910266472325E-3</v>
      </c>
      <c r="BF1352" t="s">
        <v>2857</v>
      </c>
      <c r="BG1352" t="s">
        <v>3114</v>
      </c>
      <c r="BH1352" s="8"/>
      <c r="BJ1352" s="114">
        <v>26</v>
      </c>
      <c r="BK1352" s="116">
        <v>125</v>
      </c>
      <c r="BL1352" s="120">
        <f t="shared" si="555"/>
        <v>26125</v>
      </c>
      <c r="BN1352" s="5" t="s">
        <v>3154</v>
      </c>
      <c r="BY1352" s="63">
        <f t="shared" si="554"/>
        <v>0</v>
      </c>
      <c r="BZ1352" s="132">
        <v>668925</v>
      </c>
      <c r="CA1352" s="63">
        <v>5490</v>
      </c>
      <c r="CB1352" s="132"/>
      <c r="CD1352" s="63">
        <v>1</v>
      </c>
      <c r="CE1352" s="63">
        <v>8</v>
      </c>
    </row>
    <row r="1353" spans="1:83" ht="13" hidden="1" customHeight="1" outlineLevel="1">
      <c r="A1353" t="s">
        <v>2455</v>
      </c>
      <c r="B1353" t="s">
        <v>3114</v>
      </c>
      <c r="C1353" s="1">
        <f t="shared" si="556"/>
        <v>11930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6</v>
      </c>
      <c r="G1353" s="132">
        <f t="shared" si="565"/>
        <v>3255</v>
      </c>
      <c r="H1353" s="137">
        <f t="shared" si="566"/>
        <v>0.27284157585917856</v>
      </c>
      <c r="I1353" s="2"/>
      <c r="J1353" s="2">
        <f t="shared" si="557"/>
        <v>0.33302598491198659</v>
      </c>
      <c r="K1353" s="2">
        <f t="shared" si="558"/>
        <v>0.6058675607711651</v>
      </c>
      <c r="L1353" s="2">
        <f t="shared" si="559"/>
        <v>1.8440905280804694E-3</v>
      </c>
      <c r="M1353" s="2">
        <f t="shared" si="560"/>
        <v>5.926236378876789E-2</v>
      </c>
      <c r="N1353" s="63">
        <v>3973</v>
      </c>
      <c r="O1353" s="63">
        <v>7228</v>
      </c>
      <c r="P1353" s="63">
        <v>22</v>
      </c>
      <c r="Q1353" s="63">
        <v>492</v>
      </c>
      <c r="R1353" s="63">
        <v>116</v>
      </c>
      <c r="S1353" s="63">
        <v>86</v>
      </c>
      <c r="T1353" s="63"/>
      <c r="U1353" s="63">
        <v>8</v>
      </c>
      <c r="V1353" s="63"/>
      <c r="W1353" s="63">
        <f>IF(Copyright!B$11=1,IF(CA1353&gt;0,CA1353-P1353-SUM(V1353)-SUM(Y1353:AG1353)-SUM(AH1353:AQ1353),SUM(CC1353:CJ1353)),SUM(CC1353:CJ1353))</f>
        <v>0</v>
      </c>
      <c r="X1353" s="63"/>
      <c r="Y1353" s="63">
        <v>3</v>
      </c>
      <c r="Z1353" s="63"/>
      <c r="AA1353" s="63">
        <v>0</v>
      </c>
      <c r="AB1353" s="63"/>
      <c r="AC1353" s="63"/>
      <c r="AD1353" s="63"/>
      <c r="AE1353" s="63">
        <v>0</v>
      </c>
      <c r="AF1353" s="63"/>
      <c r="AG1353" s="63"/>
      <c r="AH1353" s="63"/>
      <c r="AI1353" s="63"/>
      <c r="AJ1353" s="63"/>
      <c r="AK1353" s="63"/>
      <c r="AL1353" s="63"/>
      <c r="AM1353" s="63"/>
      <c r="AN1353" s="63">
        <v>2</v>
      </c>
      <c r="AO1353" s="63"/>
      <c r="AP1353" s="63"/>
      <c r="AQ1353" s="63"/>
      <c r="AR1353" s="63"/>
      <c r="AS1353" s="63"/>
      <c r="AT1353" s="63"/>
      <c r="AU1353" s="63"/>
      <c r="AW1353" s="5">
        <f>IF(Q1353&gt;0,RANK(Q1353,(N1353:P1353,Q1353:AE1353)),0)</f>
        <v>3</v>
      </c>
      <c r="AX1353" s="5">
        <f>IF(R1353&gt;0,RANK(R1353,(N1353:P1353,Q1353:AE1353)),0)</f>
        <v>4</v>
      </c>
      <c r="AY1353" s="5">
        <f>IF(T1353&gt;0,RANK(T1353,(N1353:P1353,Q1353:AE1353)),0)</f>
        <v>0</v>
      </c>
      <c r="AZ1353" s="5">
        <f>IF(S1353&gt;0,RANK(S1353,(N1353:P1353,Q1353:AE1353)),0)</f>
        <v>5</v>
      </c>
      <c r="BA1353" s="2">
        <f t="shared" si="561"/>
        <v>4.1240569991617772E-2</v>
      </c>
      <c r="BB1353" s="2">
        <f t="shared" si="562"/>
        <v>9.7233864207879293E-3</v>
      </c>
      <c r="BC1353" s="2">
        <f t="shared" si="563"/>
        <v>0</v>
      </c>
      <c r="BD1353" s="2">
        <f t="shared" si="564"/>
        <v>7.2087175188600165E-3</v>
      </c>
      <c r="BF1353" t="s">
        <v>2455</v>
      </c>
      <c r="BG1353" t="s">
        <v>3114</v>
      </c>
      <c r="BH1353" s="8">
        <v>2</v>
      </c>
      <c r="BJ1353" s="114">
        <v>26</v>
      </c>
      <c r="BK1353" s="116">
        <v>127</v>
      </c>
      <c r="BL1353" s="120">
        <f t="shared" si="555"/>
        <v>26127</v>
      </c>
      <c r="BN1353" s="5" t="s">
        <v>3154</v>
      </c>
      <c r="BY1353" s="63">
        <f t="shared" si="554"/>
        <v>11930</v>
      </c>
      <c r="CB1353" s="132"/>
      <c r="CD1353" s="63">
        <v>0</v>
      </c>
      <c r="CE1353" s="63">
        <v>0</v>
      </c>
    </row>
    <row r="1354" spans="1:83" ht="13" hidden="1" customHeight="1" outlineLevel="1">
      <c r="A1354" t="s">
        <v>272</v>
      </c>
      <c r="B1354" t="s">
        <v>3114</v>
      </c>
      <c r="C1354" s="1">
        <f t="shared" ref="C1354:C1373" si="567">SUM(N1354:AU1354)</f>
        <v>10440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8</v>
      </c>
      <c r="G1354" s="132">
        <f t="shared" si="565"/>
        <v>3797</v>
      </c>
      <c r="H1354" s="137">
        <f t="shared" si="566"/>
        <v>0.36369731800766286</v>
      </c>
      <c r="I1354" s="2"/>
      <c r="J1354" s="2">
        <f t="shared" ref="J1354:J1373" si="568">IF($C1354=0,"-",N1354/$C1354)</f>
        <v>0.29022988505747127</v>
      </c>
      <c r="K1354" s="2">
        <f t="shared" ref="K1354:K1373" si="569">IF($C1354=0,"-",O1354/$C1354)</f>
        <v>0.65392720306513408</v>
      </c>
      <c r="L1354" s="2">
        <f t="shared" ref="L1354:L1373" si="570">IF($C1354=0,"-",P1354/$C1354)</f>
        <v>9.5785440613026823E-5</v>
      </c>
      <c r="M1354" s="2">
        <f t="shared" ref="M1354:M1373" si="571">IF(C1354=0,"-",(1-J1354-K1354-L1354))</f>
        <v>5.5747126436781626E-2</v>
      </c>
      <c r="N1354" s="63">
        <v>3030</v>
      </c>
      <c r="O1354" s="63">
        <v>6827</v>
      </c>
      <c r="P1354" s="63">
        <v>1</v>
      </c>
      <c r="Q1354" s="63">
        <v>353</v>
      </c>
      <c r="R1354" s="63">
        <v>118</v>
      </c>
      <c r="S1354" s="63">
        <v>50</v>
      </c>
      <c r="T1354" s="63"/>
      <c r="U1354" s="63">
        <v>8</v>
      </c>
      <c r="V1354" s="63"/>
      <c r="W1354" s="63">
        <f>IF(Copyright!B$11=1,IF(CA1354&gt;0,CA1354-P1354-SUM(V1354)-SUM(Y1354:AG1354)-SUM(AH1354:AQ1354),SUM(CC1354:CJ1354)),SUM(CC1354:CJ1354))</f>
        <v>53</v>
      </c>
      <c r="X1354" s="63"/>
      <c r="Y1354" s="63">
        <v>0</v>
      </c>
      <c r="Z1354" s="63"/>
      <c r="AA1354" s="63">
        <v>0</v>
      </c>
      <c r="AB1354" s="63"/>
      <c r="AC1354" s="63"/>
      <c r="AD1354" s="63"/>
      <c r="AE1354" s="63">
        <v>0</v>
      </c>
      <c r="AF1354" s="63"/>
      <c r="AG1354" s="63"/>
      <c r="AH1354" s="63"/>
      <c r="AI1354" s="63"/>
      <c r="AJ1354" s="63"/>
      <c r="AK1354" s="63"/>
      <c r="AL1354" s="63"/>
      <c r="AM1354" s="63"/>
      <c r="AN1354" s="63">
        <v>0</v>
      </c>
      <c r="AO1354" s="63"/>
      <c r="AP1354" s="63"/>
      <c r="AQ1354" s="63"/>
      <c r="AR1354" s="63"/>
      <c r="AS1354" s="63"/>
      <c r="AT1354" s="63"/>
      <c r="AU1354" s="63"/>
      <c r="AW1354" s="5">
        <f>IF(Q1354&gt;0,RANK(Q1354,(N1354:P1354,Q1354:AE1354)),0)</f>
        <v>3</v>
      </c>
      <c r="AX1354" s="5">
        <f>IF(R1354&gt;0,RANK(R1354,(N1354:P1354,Q1354:AE1354)),0)</f>
        <v>4</v>
      </c>
      <c r="AY1354" s="5">
        <f>IF(T1354&gt;0,RANK(T1354,(N1354:P1354,Q1354:AE1354)),0)</f>
        <v>0</v>
      </c>
      <c r="AZ1354" s="5">
        <f>IF(S1354&gt;0,RANK(S1354,(N1354:P1354,Q1354:AE1354)),0)</f>
        <v>6</v>
      </c>
      <c r="BA1354" s="2">
        <f t="shared" ref="BA1354:BA1373" si="572">IF($C1354=0,"-",Q1354/$C1354)</f>
        <v>3.3812260536398464E-2</v>
      </c>
      <c r="BB1354" s="2">
        <f t="shared" ref="BB1354:BB1373" si="573">IF($C1354=0,"-",R1354/$C1354)</f>
        <v>1.1302681992337164E-2</v>
      </c>
      <c r="BC1354" s="2">
        <f t="shared" ref="BC1354:BC1373" si="574">IF($C1354=0,"-",T1354/$C1354)</f>
        <v>0</v>
      </c>
      <c r="BD1354" s="2">
        <f t="shared" ref="BD1354:BD1373" si="575">IF($C1354=0,"-",S1354/$C1354)</f>
        <v>4.7892720306513406E-3</v>
      </c>
      <c r="BF1354" t="s">
        <v>272</v>
      </c>
      <c r="BG1354" t="s">
        <v>3114</v>
      </c>
      <c r="BH1354" s="8">
        <v>4</v>
      </c>
      <c r="BJ1354" s="114">
        <v>26</v>
      </c>
      <c r="BK1354" s="116">
        <v>129</v>
      </c>
      <c r="BL1354" s="120">
        <f t="shared" si="555"/>
        <v>26129</v>
      </c>
      <c r="BN1354" s="5" t="s">
        <v>3154</v>
      </c>
      <c r="BO1354" s="63">
        <v>142</v>
      </c>
      <c r="BP1354" s="63">
        <v>6</v>
      </c>
      <c r="BR1354" s="63"/>
      <c r="BY1354" s="63">
        <f t="shared" si="554"/>
        <v>0</v>
      </c>
      <c r="BZ1354" s="132">
        <f>8+50+54+118+353+3030+6827</f>
        <v>10440</v>
      </c>
      <c r="CA1354" s="63">
        <v>54</v>
      </c>
      <c r="CB1354" s="132"/>
      <c r="CD1354" s="63">
        <v>0</v>
      </c>
      <c r="CE1354" s="63">
        <v>0</v>
      </c>
    </row>
    <row r="1355" spans="1:83" ht="13" hidden="1" customHeight="1" outlineLevel="1">
      <c r="A1355" t="s">
        <v>2704</v>
      </c>
      <c r="B1355" t="s">
        <v>3114</v>
      </c>
      <c r="C1355" s="1">
        <f t="shared" si="567"/>
        <v>3433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6</v>
      </c>
      <c r="G1355" s="132">
        <f t="shared" si="565"/>
        <v>890</v>
      </c>
      <c r="H1355" s="137">
        <f t="shared" si="566"/>
        <v>0.25924847072531315</v>
      </c>
      <c r="I1355" s="2"/>
      <c r="J1355" s="2">
        <f t="shared" si="568"/>
        <v>0.34255752985726767</v>
      </c>
      <c r="K1355" s="2">
        <f t="shared" si="569"/>
        <v>0.60180600058258082</v>
      </c>
      <c r="L1355" s="2">
        <f t="shared" si="570"/>
        <v>2.3303233323623651E-3</v>
      </c>
      <c r="M1355" s="2">
        <f t="shared" si="571"/>
        <v>5.3306146227789196E-2</v>
      </c>
      <c r="N1355" s="63">
        <v>1176</v>
      </c>
      <c r="O1355" s="63">
        <v>2066</v>
      </c>
      <c r="P1355" s="63">
        <v>8</v>
      </c>
      <c r="Q1355" s="63">
        <v>128</v>
      </c>
      <c r="R1355" s="63">
        <v>29</v>
      </c>
      <c r="S1355" s="63">
        <v>17</v>
      </c>
      <c r="T1355" s="63"/>
      <c r="U1355" s="63">
        <v>2</v>
      </c>
      <c r="V1355" s="63"/>
      <c r="W1355" s="63">
        <f>IF(Copyright!B$11=1,IF(CA1355&gt;0,CA1355-P1355-SUM(V1355)-SUM(Y1355:AG1355)-SUM(AH1355:AQ1355),SUM(CC1355:CJ1355)),SUM(CC1355:CJ1355))</f>
        <v>7</v>
      </c>
      <c r="X1355" s="63"/>
      <c r="Y1355" s="63">
        <v>0</v>
      </c>
      <c r="Z1355" s="63"/>
      <c r="AA1355" s="63">
        <v>0</v>
      </c>
      <c r="AB1355" s="63"/>
      <c r="AC1355" s="63"/>
      <c r="AD1355" s="63"/>
      <c r="AE1355" s="63">
        <v>0</v>
      </c>
      <c r="AF1355" s="63"/>
      <c r="AG1355" s="63"/>
      <c r="AH1355" s="63"/>
      <c r="AI1355" s="63"/>
      <c r="AJ1355" s="63"/>
      <c r="AK1355" s="63"/>
      <c r="AL1355" s="63"/>
      <c r="AM1355" s="63"/>
      <c r="AN1355" s="63">
        <v>0</v>
      </c>
      <c r="AO1355" s="63"/>
      <c r="AP1355" s="63"/>
      <c r="AQ1355" s="63"/>
      <c r="AR1355" s="63"/>
      <c r="AS1355" s="63"/>
      <c r="AT1355" s="63"/>
      <c r="AU1355" s="63"/>
      <c r="AW1355" s="5">
        <f>IF(Q1355&gt;0,RANK(Q1355,(N1355:P1355,Q1355:AE1355)),0)</f>
        <v>3</v>
      </c>
      <c r="AX1355" s="5">
        <f>IF(R1355&gt;0,RANK(R1355,(N1355:P1355,Q1355:AE1355)),0)</f>
        <v>4</v>
      </c>
      <c r="AY1355" s="5">
        <f>IF(T1355&gt;0,RANK(T1355,(N1355:P1355,Q1355:AE1355)),0)</f>
        <v>0</v>
      </c>
      <c r="AZ1355" s="5">
        <f>IF(S1355&gt;0,RANK(S1355,(N1355:P1355,Q1355:AE1355)),0)</f>
        <v>5</v>
      </c>
      <c r="BA1355" s="2">
        <f t="shared" si="572"/>
        <v>3.7285173317797841E-2</v>
      </c>
      <c r="BB1355" s="2">
        <f t="shared" si="573"/>
        <v>8.4474220798135737E-3</v>
      </c>
      <c r="BC1355" s="2">
        <f t="shared" si="574"/>
        <v>0</v>
      </c>
      <c r="BD1355" s="2">
        <f t="shared" si="575"/>
        <v>4.9519370812700263E-3</v>
      </c>
      <c r="BF1355" t="s">
        <v>2704</v>
      </c>
      <c r="BG1355" t="s">
        <v>3114</v>
      </c>
      <c r="BH1355" s="8">
        <v>1</v>
      </c>
      <c r="BJ1355" s="114">
        <v>26</v>
      </c>
      <c r="BK1355" s="116">
        <v>131</v>
      </c>
      <c r="BL1355" s="120">
        <f t="shared" si="555"/>
        <v>26131</v>
      </c>
      <c r="BN1355" s="5" t="s">
        <v>3154</v>
      </c>
      <c r="BY1355" s="63">
        <f t="shared" ref="BY1355:BY1373" si="576">C1355-BZ1355</f>
        <v>-7</v>
      </c>
      <c r="BZ1355" s="63">
        <v>3440</v>
      </c>
      <c r="CA1355" s="63">
        <v>15</v>
      </c>
      <c r="CB1355" s="132"/>
      <c r="CD1355" s="63">
        <v>0</v>
      </c>
      <c r="CE1355" s="63">
        <v>0</v>
      </c>
    </row>
    <row r="1356" spans="1:83" ht="13" hidden="1" customHeight="1" outlineLevel="1">
      <c r="A1356" t="s">
        <v>848</v>
      </c>
      <c r="B1356" t="s">
        <v>3114</v>
      </c>
      <c r="C1356" s="1">
        <f t="shared" si="567"/>
        <v>10609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6</v>
      </c>
      <c r="G1356" s="132">
        <f t="shared" si="565"/>
        <v>4631</v>
      </c>
      <c r="H1356" s="137">
        <f t="shared" si="566"/>
        <v>0.43651616551984163</v>
      </c>
      <c r="I1356" s="2"/>
      <c r="J1356" s="2">
        <f t="shared" si="568"/>
        <v>0.25497219342068056</v>
      </c>
      <c r="K1356" s="2">
        <f t="shared" si="569"/>
        <v>0.69148835894052219</v>
      </c>
      <c r="L1356" s="2">
        <f t="shared" si="570"/>
        <v>1.1311150909605052E-3</v>
      </c>
      <c r="M1356" s="2">
        <f t="shared" si="571"/>
        <v>5.240833254783675E-2</v>
      </c>
      <c r="N1356" s="63">
        <v>2705</v>
      </c>
      <c r="O1356" s="63">
        <v>7336</v>
      </c>
      <c r="P1356" s="63">
        <v>12</v>
      </c>
      <c r="Q1356" s="63">
        <v>401</v>
      </c>
      <c r="R1356" s="63">
        <v>96</v>
      </c>
      <c r="S1356" s="63">
        <v>52</v>
      </c>
      <c r="T1356" s="63"/>
      <c r="U1356" s="63">
        <v>7</v>
      </c>
      <c r="V1356" s="63"/>
      <c r="W1356" s="63">
        <f>IF(Copyright!B$11=1,IF(CA1356&gt;0,CA1356-P1356-SUM(V1356)-SUM(Y1356:AG1356)-SUM(AH1356:AQ1356),SUM(CC1356:CJ1356)),SUM(CC1356:CJ1356))</f>
        <v>0</v>
      </c>
      <c r="X1356" s="63"/>
      <c r="Y1356" s="63">
        <v>0</v>
      </c>
      <c r="Z1356" s="63"/>
      <c r="AA1356" s="63">
        <v>0</v>
      </c>
      <c r="AB1356" s="63"/>
      <c r="AC1356" s="63"/>
      <c r="AD1356" s="63"/>
      <c r="AE1356" s="63">
        <v>0</v>
      </c>
      <c r="AF1356" s="63"/>
      <c r="AG1356" s="63"/>
      <c r="AH1356" s="63"/>
      <c r="AI1356" s="63"/>
      <c r="AJ1356" s="63"/>
      <c r="AK1356" s="63"/>
      <c r="AL1356" s="63"/>
      <c r="AM1356" s="63"/>
      <c r="AN1356" s="63">
        <v>0</v>
      </c>
      <c r="AO1356" s="63"/>
      <c r="AP1356" s="63"/>
      <c r="AQ1356" s="63"/>
      <c r="AR1356" s="63"/>
      <c r="AS1356" s="63"/>
      <c r="AT1356" s="63"/>
      <c r="AU1356" s="63"/>
      <c r="AW1356" s="5">
        <f>IF(Q1356&gt;0,RANK(Q1356,(N1356:P1356,Q1356:AE1356)),0)</f>
        <v>3</v>
      </c>
      <c r="AX1356" s="5">
        <f>IF(R1356&gt;0,RANK(R1356,(N1356:P1356,Q1356:AE1356)),0)</f>
        <v>4</v>
      </c>
      <c r="AY1356" s="5">
        <f>IF(T1356&gt;0,RANK(T1356,(N1356:P1356,Q1356:AE1356)),0)</f>
        <v>0</v>
      </c>
      <c r="AZ1356" s="5">
        <f>IF(S1356&gt;0,RANK(S1356,(N1356:P1356,Q1356:AE1356)),0)</f>
        <v>5</v>
      </c>
      <c r="BA1356" s="2">
        <f t="shared" si="572"/>
        <v>3.7798095956263551E-2</v>
      </c>
      <c r="BB1356" s="2">
        <f t="shared" si="573"/>
        <v>9.0489207276840417E-3</v>
      </c>
      <c r="BC1356" s="2">
        <f t="shared" si="574"/>
        <v>0</v>
      </c>
      <c r="BD1356" s="2">
        <f t="shared" si="575"/>
        <v>4.9014987274955228E-3</v>
      </c>
      <c r="BF1356" t="s">
        <v>848</v>
      </c>
      <c r="BG1356" t="s">
        <v>3114</v>
      </c>
      <c r="BH1356" s="8">
        <v>4</v>
      </c>
      <c r="BJ1356" s="114">
        <v>26</v>
      </c>
      <c r="BK1356" s="116">
        <v>133</v>
      </c>
      <c r="BL1356" s="120">
        <f t="shared" si="555"/>
        <v>26133</v>
      </c>
      <c r="BN1356" s="5" t="s">
        <v>3154</v>
      </c>
      <c r="BY1356" s="63">
        <f t="shared" si="576"/>
        <v>10609</v>
      </c>
      <c r="CB1356" s="132"/>
      <c r="CD1356" s="63">
        <v>0</v>
      </c>
      <c r="CE1356" s="63">
        <v>0</v>
      </c>
    </row>
    <row r="1357" spans="1:83" ht="13" hidden="1" customHeight="1" outlineLevel="1">
      <c r="A1357" t="s">
        <v>2622</v>
      </c>
      <c r="B1357" t="s">
        <v>3114</v>
      </c>
      <c r="C1357" s="1">
        <f t="shared" si="567"/>
        <v>4092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7</v>
      </c>
      <c r="G1357" s="132">
        <f t="shared" si="565"/>
        <v>1799</v>
      </c>
      <c r="H1357" s="137">
        <f t="shared" si="566"/>
        <v>0.43963831867057673</v>
      </c>
      <c r="I1357" s="2"/>
      <c r="J1357" s="2">
        <f t="shared" si="568"/>
        <v>0.25513196480938416</v>
      </c>
      <c r="K1357" s="2">
        <f t="shared" si="569"/>
        <v>0.69477028347996095</v>
      </c>
      <c r="L1357" s="2">
        <f t="shared" si="570"/>
        <v>2.6881720430107529E-3</v>
      </c>
      <c r="M1357" s="2">
        <f t="shared" si="571"/>
        <v>4.7409579667644142E-2</v>
      </c>
      <c r="N1357" s="63">
        <v>1044</v>
      </c>
      <c r="O1357" s="63">
        <v>2843</v>
      </c>
      <c r="P1357" s="63">
        <v>11</v>
      </c>
      <c r="Q1357" s="63">
        <v>140</v>
      </c>
      <c r="R1357" s="63">
        <v>18</v>
      </c>
      <c r="S1357" s="63">
        <v>17</v>
      </c>
      <c r="T1357" s="63"/>
      <c r="U1357" s="63">
        <v>0</v>
      </c>
      <c r="V1357" s="63"/>
      <c r="W1357" s="63">
        <f>IF(Copyright!B$11=1,IF(CA1357&gt;0,CA1357-P1357-SUM(V1357)-SUM(Y1357:AG1357)-SUM(AH1357:AQ1357),SUM(CC1357:CJ1357)),SUM(CC1357:CJ1357))</f>
        <v>19</v>
      </c>
      <c r="X1357" s="63"/>
      <c r="Y1357" s="63">
        <v>0</v>
      </c>
      <c r="Z1357" s="63"/>
      <c r="AA1357" s="63">
        <v>0</v>
      </c>
      <c r="AB1357" s="63"/>
      <c r="AC1357" s="63"/>
      <c r="AD1357" s="63"/>
      <c r="AE1357" s="63">
        <v>0</v>
      </c>
      <c r="AF1357" s="63"/>
      <c r="AG1357" s="63"/>
      <c r="AH1357" s="63"/>
      <c r="AI1357" s="63"/>
      <c r="AJ1357" s="63"/>
      <c r="AK1357" s="63"/>
      <c r="AL1357" s="63"/>
      <c r="AM1357" s="63"/>
      <c r="AN1357" s="63">
        <v>0</v>
      </c>
      <c r="AO1357" s="63"/>
      <c r="AP1357" s="63"/>
      <c r="AQ1357" s="63"/>
      <c r="AR1357" s="63"/>
      <c r="AS1357" s="63"/>
      <c r="AT1357" s="63"/>
      <c r="AU1357" s="63"/>
      <c r="AW1357" s="5">
        <f>IF(Q1357&gt;0,RANK(Q1357,(N1357:P1357,Q1357:AE1357)),0)</f>
        <v>3</v>
      </c>
      <c r="AX1357" s="5">
        <f>IF(R1357&gt;0,RANK(R1357,(N1357:P1357,Q1357:AE1357)),0)</f>
        <v>5</v>
      </c>
      <c r="AY1357" s="5">
        <f>IF(T1357&gt;0,RANK(T1357,(N1357:P1357,Q1357:AE1357)),0)</f>
        <v>0</v>
      </c>
      <c r="AZ1357" s="5">
        <f>IF(S1357&gt;0,RANK(S1357,(N1357:P1357,Q1357:AE1357)),0)</f>
        <v>6</v>
      </c>
      <c r="BA1357" s="2">
        <f t="shared" si="572"/>
        <v>3.4213098729227759E-2</v>
      </c>
      <c r="BB1357" s="2">
        <f t="shared" si="573"/>
        <v>4.3988269794721412E-3</v>
      </c>
      <c r="BC1357" s="2">
        <f t="shared" si="574"/>
        <v>0</v>
      </c>
      <c r="BD1357" s="2">
        <f t="shared" si="575"/>
        <v>4.1544477028347994E-3</v>
      </c>
      <c r="BF1357" t="s">
        <v>2622</v>
      </c>
      <c r="BG1357" t="s">
        <v>3114</v>
      </c>
      <c r="BH1357" s="8">
        <v>1</v>
      </c>
      <c r="BJ1357" s="114">
        <v>26</v>
      </c>
      <c r="BK1357" s="116">
        <v>135</v>
      </c>
      <c r="BL1357" s="120">
        <f t="shared" si="555"/>
        <v>26135</v>
      </c>
      <c r="BN1357" s="5" t="s">
        <v>3154</v>
      </c>
      <c r="BY1357" s="63">
        <f t="shared" si="576"/>
        <v>0</v>
      </c>
      <c r="BZ1357" s="63">
        <v>4092</v>
      </c>
      <c r="CA1357" s="63">
        <v>30</v>
      </c>
      <c r="CB1357" s="132"/>
      <c r="CD1357" s="63">
        <v>0</v>
      </c>
      <c r="CE1357" s="63">
        <v>0</v>
      </c>
    </row>
    <row r="1358" spans="1:83" ht="13" hidden="1" customHeight="1" outlineLevel="1">
      <c r="A1358" t="s">
        <v>2983</v>
      </c>
      <c r="B1358" t="s">
        <v>3114</v>
      </c>
      <c r="C1358" s="1">
        <f t="shared" si="567"/>
        <v>12610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7</v>
      </c>
      <c r="G1358" s="132">
        <f t="shared" si="565"/>
        <v>4710</v>
      </c>
      <c r="H1358" s="137">
        <f t="shared" si="566"/>
        <v>0.37351308485329104</v>
      </c>
      <c r="I1358" s="2"/>
      <c r="J1358" s="2">
        <f t="shared" si="568"/>
        <v>0.28199841395717684</v>
      </c>
      <c r="K1358" s="2">
        <f t="shared" si="569"/>
        <v>0.65551149881046789</v>
      </c>
      <c r="L1358" s="2">
        <f t="shared" si="570"/>
        <v>5.5511498810467881E-4</v>
      </c>
      <c r="M1358" s="2">
        <f t="shared" si="571"/>
        <v>6.1934972244250597E-2</v>
      </c>
      <c r="N1358" s="63">
        <v>3556</v>
      </c>
      <c r="O1358" s="63">
        <v>8266</v>
      </c>
      <c r="P1358" s="63">
        <v>7</v>
      </c>
      <c r="Q1358" s="132">
        <v>482</v>
      </c>
      <c r="R1358" s="63">
        <v>163</v>
      </c>
      <c r="S1358" s="63">
        <v>56</v>
      </c>
      <c r="T1358" s="63"/>
      <c r="U1358" s="63">
        <v>6</v>
      </c>
      <c r="V1358" s="63"/>
      <c r="W1358" s="63">
        <f>IF(Copyright!B$11=1,IF(CA1358&gt;0,CA1358-P1358-SUM(V1358)-SUM(Y1358:AG1358)-SUM(AH1358:AQ1358),SUM(CC1358:CJ1358)),SUM(CC1358:CJ1358))</f>
        <v>72</v>
      </c>
      <c r="X1358" s="63"/>
      <c r="Y1358" s="63">
        <v>2</v>
      </c>
      <c r="Z1358" s="63"/>
      <c r="AA1358" s="63">
        <v>0</v>
      </c>
      <c r="AB1358" s="63"/>
      <c r="AC1358" s="63"/>
      <c r="AD1358" s="63"/>
      <c r="AE1358" s="63">
        <v>0</v>
      </c>
      <c r="AF1358" s="63"/>
      <c r="AG1358" s="63"/>
      <c r="AH1358" s="63"/>
      <c r="AI1358" s="63"/>
      <c r="AJ1358" s="63"/>
      <c r="AK1358" s="63"/>
      <c r="AL1358" s="63"/>
      <c r="AM1358" s="63"/>
      <c r="AN1358" s="63">
        <v>0</v>
      </c>
      <c r="AO1358" s="63"/>
      <c r="AP1358" s="63"/>
      <c r="AQ1358" s="63"/>
      <c r="AR1358" s="63"/>
      <c r="AS1358" s="63"/>
      <c r="AT1358" s="63"/>
      <c r="AU1358" s="63"/>
      <c r="AW1358" s="5">
        <f>IF(Q1358&gt;0,RANK(Q1358,(N1358:P1358,Q1358:AE1358)),0)</f>
        <v>3</v>
      </c>
      <c r="AX1358" s="5">
        <f>IF(R1358&gt;0,RANK(R1358,(N1358:P1358,Q1358:AE1358)),0)</f>
        <v>4</v>
      </c>
      <c r="AY1358" s="5">
        <f>IF(T1358&gt;0,RANK(T1358,(N1358:P1358,Q1358:AE1358)),0)</f>
        <v>0</v>
      </c>
      <c r="AZ1358" s="5">
        <f>IF(S1358&gt;0,RANK(S1358,(N1358:P1358,Q1358:AE1358)),0)</f>
        <v>6</v>
      </c>
      <c r="BA1358" s="2">
        <f t="shared" si="572"/>
        <v>3.8223632038065031E-2</v>
      </c>
      <c r="BB1358" s="2">
        <f t="shared" si="573"/>
        <v>1.2926249008723235E-2</v>
      </c>
      <c r="BC1358" s="2">
        <f t="shared" si="574"/>
        <v>0</v>
      </c>
      <c r="BD1358" s="2">
        <f t="shared" si="575"/>
        <v>4.4409199048374304E-3</v>
      </c>
      <c r="BF1358" t="s">
        <v>2983</v>
      </c>
      <c r="BG1358" t="s">
        <v>3114</v>
      </c>
      <c r="BH1358" s="8">
        <v>1</v>
      </c>
      <c r="BJ1358" s="114">
        <v>26</v>
      </c>
      <c r="BK1358" s="116">
        <v>137</v>
      </c>
      <c r="BL1358" s="120">
        <f t="shared" si="555"/>
        <v>26137</v>
      </c>
      <c r="BN1358" s="5" t="s">
        <v>3154</v>
      </c>
      <c r="BY1358" s="63">
        <f t="shared" si="576"/>
        <v>0</v>
      </c>
      <c r="BZ1358" s="132">
        <v>12610</v>
      </c>
      <c r="CA1358" s="63">
        <f>72+2+7</f>
        <v>81</v>
      </c>
      <c r="CB1358" s="132"/>
      <c r="CD1358" s="63">
        <v>0</v>
      </c>
      <c r="CE1358" s="63">
        <v>0</v>
      </c>
    </row>
    <row r="1359" spans="1:83" ht="13" hidden="1" customHeight="1" outlineLevel="1">
      <c r="A1359" t="s">
        <v>37</v>
      </c>
      <c r="B1359" t="s">
        <v>3114</v>
      </c>
      <c r="C1359" s="1">
        <f t="shared" si="567"/>
        <v>143848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6</v>
      </c>
      <c r="G1359" s="132">
        <f t="shared" si="565"/>
        <v>43494</v>
      </c>
      <c r="H1359" s="137">
        <f t="shared" si="566"/>
        <v>0.30236082531561093</v>
      </c>
      <c r="I1359" s="2"/>
      <c r="J1359" s="2">
        <f t="shared" si="568"/>
        <v>0.31264251153995887</v>
      </c>
      <c r="K1359" s="2">
        <f t="shared" si="569"/>
        <v>0.61500333685556974</v>
      </c>
      <c r="L1359" s="2">
        <f t="shared" si="570"/>
        <v>5.443245648184194E-3</v>
      </c>
      <c r="M1359" s="2">
        <f t="shared" si="571"/>
        <v>6.6910905956287139E-2</v>
      </c>
      <c r="N1359" s="63">
        <v>44973</v>
      </c>
      <c r="O1359" s="63">
        <v>88467</v>
      </c>
      <c r="P1359" s="63">
        <v>783</v>
      </c>
      <c r="Q1359" s="63">
        <v>6324</v>
      </c>
      <c r="R1359" s="63">
        <v>1418</v>
      </c>
      <c r="S1359" s="63">
        <v>676</v>
      </c>
      <c r="T1359" s="63"/>
      <c r="U1359" s="63">
        <v>47</v>
      </c>
      <c r="V1359" s="63"/>
      <c r="W1359" s="63">
        <f>IF(Copyright!B$11=1,IF(CA1359&gt;0,CA1359-P1359-SUM(V1359)-SUM(Y1359:AG1359)-SUM(AH1359:AQ1359),SUM(CC1359:CJ1359)),SUM(CC1359:CJ1359))</f>
        <v>1115</v>
      </c>
      <c r="X1359" s="63"/>
      <c r="Y1359" s="63">
        <v>8</v>
      </c>
      <c r="Z1359" s="63"/>
      <c r="AA1359" s="63">
        <v>0</v>
      </c>
      <c r="AB1359" s="63"/>
      <c r="AC1359" s="63"/>
      <c r="AD1359" s="63"/>
      <c r="AE1359" s="63">
        <v>16</v>
      </c>
      <c r="AF1359" s="63"/>
      <c r="AG1359" s="63"/>
      <c r="AH1359" s="63"/>
      <c r="AI1359" s="63"/>
      <c r="AJ1359" s="63"/>
      <c r="AK1359" s="63"/>
      <c r="AL1359" s="63"/>
      <c r="AM1359" s="63"/>
      <c r="AN1359" s="63">
        <v>21</v>
      </c>
      <c r="AO1359" s="63"/>
      <c r="AP1359" s="63"/>
      <c r="AQ1359" s="63"/>
      <c r="AR1359" s="63"/>
      <c r="AS1359" s="63"/>
      <c r="AT1359" s="63"/>
      <c r="AU1359" s="63"/>
      <c r="AW1359" s="5">
        <f>IF(Q1359&gt;0,RANK(Q1359,(N1359:P1359,Q1359:AE1359)),0)</f>
        <v>3</v>
      </c>
      <c r="AX1359" s="5">
        <f>IF(R1359&gt;0,RANK(R1359,(N1359:P1359,Q1359:AE1359)),0)</f>
        <v>4</v>
      </c>
      <c r="AY1359" s="5">
        <f>IF(T1359&gt;0,RANK(T1359,(N1359:P1359,Q1359:AE1359)),0)</f>
        <v>0</v>
      </c>
      <c r="AZ1359" s="5">
        <f>IF(S1359&gt;0,RANK(S1359,(N1359:P1359,Q1359:AE1359)),0)</f>
        <v>7</v>
      </c>
      <c r="BA1359" s="2">
        <f t="shared" si="572"/>
        <v>4.3963072131694564E-2</v>
      </c>
      <c r="BB1359" s="2">
        <f t="shared" si="573"/>
        <v>9.8576274956898944E-3</v>
      </c>
      <c r="BC1359" s="2">
        <f t="shared" si="574"/>
        <v>0</v>
      </c>
      <c r="BD1359" s="2">
        <f t="shared" si="575"/>
        <v>4.6994049274233915E-3</v>
      </c>
      <c r="BF1359" t="s">
        <v>37</v>
      </c>
      <c r="BG1359" t="s">
        <v>3114</v>
      </c>
      <c r="BH1359" s="128">
        <v>2</v>
      </c>
      <c r="BJ1359" s="114">
        <v>26</v>
      </c>
      <c r="BK1359" s="116">
        <v>139</v>
      </c>
      <c r="BL1359" s="120">
        <f t="shared" si="555"/>
        <v>26139</v>
      </c>
      <c r="BN1359" s="5" t="s">
        <v>3154</v>
      </c>
      <c r="BY1359" s="63">
        <f t="shared" si="576"/>
        <v>0</v>
      </c>
      <c r="BZ1359" s="63">
        <f>88467+44973+6324+676+1418+47+1943</f>
        <v>143848</v>
      </c>
      <c r="CA1359" s="63">
        <v>1943</v>
      </c>
      <c r="CB1359" s="132"/>
      <c r="CD1359" s="63">
        <v>0</v>
      </c>
      <c r="CE1359" s="63">
        <v>1</v>
      </c>
    </row>
    <row r="1360" spans="1:83" ht="13" hidden="1" customHeight="1" outlineLevel="1">
      <c r="A1360" t="s">
        <v>234</v>
      </c>
      <c r="B1360" t="s">
        <v>3114</v>
      </c>
      <c r="C1360" s="1">
        <f t="shared" si="567"/>
        <v>7257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8</v>
      </c>
      <c r="G1360" s="132">
        <f t="shared" si="565"/>
        <v>2088</v>
      </c>
      <c r="H1360" s="137">
        <f t="shared" si="566"/>
        <v>0.28772219925589088</v>
      </c>
      <c r="I1360" s="2"/>
      <c r="J1360" s="2">
        <f t="shared" si="568"/>
        <v>0.33071517155849522</v>
      </c>
      <c r="K1360" s="2">
        <f t="shared" si="569"/>
        <v>0.6184373708143861</v>
      </c>
      <c r="L1360" s="2">
        <f t="shared" si="570"/>
        <v>1.3779798814937303E-4</v>
      </c>
      <c r="M1360" s="2">
        <f t="shared" si="571"/>
        <v>5.070965963896925E-2</v>
      </c>
      <c r="N1360" s="63">
        <v>2400</v>
      </c>
      <c r="O1360" s="63">
        <v>4488</v>
      </c>
      <c r="P1360" s="63">
        <v>1</v>
      </c>
      <c r="Q1360" s="63">
        <v>237</v>
      </c>
      <c r="R1360" s="63">
        <v>50</v>
      </c>
      <c r="S1360" s="63">
        <v>39</v>
      </c>
      <c r="T1360" s="63"/>
      <c r="U1360" s="63">
        <v>3</v>
      </c>
      <c r="V1360" s="63"/>
      <c r="W1360" s="63">
        <f>IF(Copyright!B$11=1,IF(CA1360&gt;0,CA1360-P1360-SUM(V1360)-SUM(Y1360:AG1360)-SUM(AH1360:AQ1360),SUM(CC1360:CJ1360)),SUM(CC1360:CJ1360))</f>
        <v>39</v>
      </c>
      <c r="X1360" s="63"/>
      <c r="Y1360" s="63">
        <v>0</v>
      </c>
      <c r="Z1360" s="63"/>
      <c r="AA1360" s="63">
        <v>0</v>
      </c>
      <c r="AB1360" s="63"/>
      <c r="AC1360" s="63"/>
      <c r="AD1360" s="63"/>
      <c r="AE1360" s="63">
        <v>0</v>
      </c>
      <c r="AF1360" s="63"/>
      <c r="AG1360" s="63"/>
      <c r="AH1360" s="63"/>
      <c r="AI1360" s="63"/>
      <c r="AJ1360" s="63"/>
      <c r="AK1360" s="63"/>
      <c r="AL1360" s="63"/>
      <c r="AM1360" s="63"/>
      <c r="AN1360" s="63">
        <v>0</v>
      </c>
      <c r="AO1360" s="63"/>
      <c r="AP1360" s="63"/>
      <c r="AQ1360" s="63"/>
      <c r="AR1360" s="63"/>
      <c r="AS1360" s="63"/>
      <c r="AT1360" s="63"/>
      <c r="AU1360" s="63"/>
      <c r="AW1360" s="5">
        <f>IF(Q1360&gt;0,RANK(Q1360,(N1360:P1360,Q1360:AE1360)),0)</f>
        <v>3</v>
      </c>
      <c r="AX1360" s="5">
        <f>IF(R1360&gt;0,RANK(R1360,(N1360:P1360,Q1360:AE1360)),0)</f>
        <v>4</v>
      </c>
      <c r="AY1360" s="5">
        <f>IF(T1360&gt;0,RANK(T1360,(N1360:P1360,Q1360:AE1360)),0)</f>
        <v>0</v>
      </c>
      <c r="AZ1360" s="5">
        <f>IF(S1360&gt;0,RANK(S1360,(N1360:P1360,Q1360:AE1360)),0)</f>
        <v>5</v>
      </c>
      <c r="BA1360" s="2">
        <f t="shared" si="572"/>
        <v>3.2658123191401406E-2</v>
      </c>
      <c r="BB1360" s="2">
        <f t="shared" si="573"/>
        <v>6.8898994074686514E-3</v>
      </c>
      <c r="BC1360" s="2">
        <f t="shared" si="574"/>
        <v>0</v>
      </c>
      <c r="BD1360" s="2">
        <f t="shared" si="575"/>
        <v>5.3741215378255479E-3</v>
      </c>
      <c r="BF1360" t="s">
        <v>234</v>
      </c>
      <c r="BG1360" t="s">
        <v>3114</v>
      </c>
      <c r="BH1360" s="8">
        <v>1</v>
      </c>
      <c r="BJ1360" s="114">
        <v>26</v>
      </c>
      <c r="BK1360" s="116">
        <v>141</v>
      </c>
      <c r="BL1360" s="120">
        <f t="shared" si="555"/>
        <v>26141</v>
      </c>
      <c r="BN1360" s="5" t="s">
        <v>3154</v>
      </c>
      <c r="BY1360" s="63">
        <f t="shared" si="576"/>
        <v>0</v>
      </c>
      <c r="BZ1360" s="132">
        <v>7257</v>
      </c>
      <c r="CA1360" s="132">
        <f>7257-4488-2400-237-39-50-3</f>
        <v>40</v>
      </c>
      <c r="CB1360" s="132"/>
      <c r="CD1360" s="63">
        <v>0</v>
      </c>
      <c r="CE1360" s="63">
        <v>0</v>
      </c>
    </row>
    <row r="1361" spans="1:83" ht="13" hidden="1" customHeight="1" outlineLevel="1">
      <c r="A1361" t="s">
        <v>2141</v>
      </c>
      <c r="B1361" t="s">
        <v>3114</v>
      </c>
      <c r="C1361" s="1">
        <f t="shared" si="567"/>
        <v>13096</v>
      </c>
      <c r="D1361" s="5">
        <f>IF(N1361&gt;0, RANK(N1361,(N1361:P1361,Q1361:AE1361)),0)</f>
        <v>2</v>
      </c>
      <c r="E1361" s="5">
        <f>IF(O1361&gt;0,RANK(O1361,(N1361:P1361,Q1361:AE1361)),0)</f>
        <v>1</v>
      </c>
      <c r="F1361" s="5">
        <f>IF(P1361&gt;0,RANK(P1361,(N1361:P1361,Q1361:AE1361)),0)</f>
        <v>7</v>
      </c>
      <c r="G1361" s="132">
        <f t="shared" si="565"/>
        <v>3854</v>
      </c>
      <c r="H1361" s="137">
        <f t="shared" si="566"/>
        <v>0.29428833231521073</v>
      </c>
      <c r="I1361" s="2"/>
      <c r="J1361" s="2">
        <f t="shared" si="568"/>
        <v>0.32735186316432496</v>
      </c>
      <c r="K1361" s="2">
        <f t="shared" si="569"/>
        <v>0.62164019547953575</v>
      </c>
      <c r="L1361" s="2">
        <f t="shared" si="570"/>
        <v>3.0543677458766036E-4</v>
      </c>
      <c r="M1361" s="2">
        <f t="shared" si="571"/>
        <v>5.0702504581551629E-2</v>
      </c>
      <c r="N1361" s="63">
        <v>4287</v>
      </c>
      <c r="O1361" s="63">
        <v>8141</v>
      </c>
      <c r="P1361" s="63">
        <v>4</v>
      </c>
      <c r="Q1361" s="63">
        <v>413</v>
      </c>
      <c r="R1361" s="63">
        <v>142</v>
      </c>
      <c r="S1361" s="63">
        <v>50</v>
      </c>
      <c r="T1361" s="63"/>
      <c r="U1361" s="63">
        <v>3</v>
      </c>
      <c r="V1361" s="63"/>
      <c r="W1361" s="63">
        <f>IF(Copyright!B$11=1,IF(CA1361&gt;0,CA1361-P1361-SUM(V1361)-SUM(Y1361:AG1361)-SUM(AH1361:AQ1361),SUM(CC1361:CJ1361)),SUM(CC1361:CJ1361))</f>
        <v>55</v>
      </c>
      <c r="X1361" s="63"/>
      <c r="Y1361" s="63">
        <v>0</v>
      </c>
      <c r="Z1361" s="63"/>
      <c r="AA1361" s="63">
        <v>1</v>
      </c>
      <c r="AB1361" s="63"/>
      <c r="AC1361" s="63"/>
      <c r="AD1361" s="63"/>
      <c r="AE1361" s="63">
        <v>0</v>
      </c>
      <c r="AF1361" s="63"/>
      <c r="AG1361" s="63"/>
      <c r="AH1361" s="63"/>
      <c r="AI1361" s="63"/>
      <c r="AJ1361" s="63"/>
      <c r="AK1361" s="63"/>
      <c r="AL1361" s="63"/>
      <c r="AM1361" s="63"/>
      <c r="AN1361" s="63">
        <v>0</v>
      </c>
      <c r="AO1361" s="63"/>
      <c r="AP1361" s="63"/>
      <c r="AQ1361" s="63"/>
      <c r="AR1361" s="63"/>
      <c r="AS1361" s="63"/>
      <c r="AT1361" s="63"/>
      <c r="AU1361" s="63"/>
      <c r="AW1361" s="5">
        <f>IF(Q1361&gt;0,RANK(Q1361,(N1361:P1361,Q1361:AE1361)),0)</f>
        <v>3</v>
      </c>
      <c r="AX1361" s="5">
        <f>IF(R1361&gt;0,RANK(R1361,(N1361:P1361,Q1361:AE1361)),0)</f>
        <v>4</v>
      </c>
      <c r="AY1361" s="5">
        <f>IF(T1361&gt;0,RANK(T1361,(N1361:P1361,Q1361:AE1361)),0)</f>
        <v>0</v>
      </c>
      <c r="AZ1361" s="5">
        <f>IF(S1361&gt;0,RANK(S1361,(N1361:P1361,Q1361:AE1361)),0)</f>
        <v>6</v>
      </c>
      <c r="BA1361" s="2">
        <f t="shared" si="572"/>
        <v>3.1536346976175932E-2</v>
      </c>
      <c r="BB1361" s="2">
        <f t="shared" si="573"/>
        <v>1.0843005497861942E-2</v>
      </c>
      <c r="BC1361" s="2">
        <f t="shared" si="574"/>
        <v>0</v>
      </c>
      <c r="BD1361" s="2">
        <f t="shared" si="575"/>
        <v>3.8179596823457542E-3</v>
      </c>
      <c r="BF1361" t="s">
        <v>2141</v>
      </c>
      <c r="BG1361" t="s">
        <v>3114</v>
      </c>
      <c r="BH1361" s="8">
        <v>4</v>
      </c>
      <c r="BJ1361" s="114">
        <v>26</v>
      </c>
      <c r="BK1361" s="116">
        <v>143</v>
      </c>
      <c r="BL1361" s="120">
        <f t="shared" si="555"/>
        <v>26143</v>
      </c>
      <c r="BN1361" s="5" t="s">
        <v>3154</v>
      </c>
      <c r="BY1361" s="63">
        <f t="shared" si="576"/>
        <v>0</v>
      </c>
      <c r="BZ1361" s="63">
        <v>13096</v>
      </c>
      <c r="CA1361" s="63">
        <v>60</v>
      </c>
      <c r="CB1361" s="132"/>
      <c r="CD1361" s="63">
        <v>0</v>
      </c>
      <c r="CE1361" s="63">
        <v>0</v>
      </c>
    </row>
    <row r="1362" spans="1:83" ht="13" hidden="1" customHeight="1" outlineLevel="1">
      <c r="A1362" t="s">
        <v>2142</v>
      </c>
      <c r="B1362" t="s">
        <v>3114</v>
      </c>
      <c r="C1362" s="1">
        <f t="shared" si="567"/>
        <v>94780</v>
      </c>
      <c r="D1362" s="5">
        <f>IF(N1362&gt;0, RANK(N1362,(N1362:P1362,Q1362:AE1362)),0)</f>
        <v>2</v>
      </c>
      <c r="E1362" s="5">
        <f>IF(O1362&gt;0,RANK(O1362,(N1362:P1362,Q1362:AE1362)),0)</f>
        <v>1</v>
      </c>
      <c r="F1362" s="5">
        <f>IF(P1362&gt;0,RANK(P1362,(N1362:P1362,Q1362:AE1362)),0)</f>
        <v>7</v>
      </c>
      <c r="G1362" s="132">
        <f t="shared" si="565"/>
        <v>1073</v>
      </c>
      <c r="H1362" s="137">
        <f t="shared" si="566"/>
        <v>1.1320953787718928E-2</v>
      </c>
      <c r="I1362" s="2"/>
      <c r="J1362" s="2">
        <f t="shared" si="568"/>
        <v>0.46841105718506015</v>
      </c>
      <c r="K1362" s="2">
        <f t="shared" si="569"/>
        <v>0.47973201097277907</v>
      </c>
      <c r="L1362" s="2">
        <f t="shared" si="570"/>
        <v>1.2344376450728002E-3</v>
      </c>
      <c r="M1362" s="2">
        <f t="shared" si="571"/>
        <v>5.0622494197087982E-2</v>
      </c>
      <c r="N1362" s="63">
        <v>44396</v>
      </c>
      <c r="O1362" s="63">
        <v>45469</v>
      </c>
      <c r="P1362" s="63">
        <v>117</v>
      </c>
      <c r="Q1362" s="63">
        <v>3199</v>
      </c>
      <c r="R1362" s="63">
        <v>780</v>
      </c>
      <c r="S1362" s="63">
        <v>324</v>
      </c>
      <c r="T1362" s="63"/>
      <c r="U1362" s="63">
        <v>31</v>
      </c>
      <c r="V1362" s="63"/>
      <c r="W1362" s="63">
        <f>IF(Copyright!B$11=1,IF(CA1362&gt;0,CA1362-P1362-SUM(V1362)-SUM(Y1362:AG1362)-SUM(AH1362:AQ1362),SUM(CC1362:CJ1362)),SUM(CC1362:CJ1362))</f>
        <v>460</v>
      </c>
      <c r="X1362" s="63"/>
      <c r="Y1362" s="63">
        <v>1</v>
      </c>
      <c r="Z1362" s="63"/>
      <c r="AA1362" s="63">
        <v>0</v>
      </c>
      <c r="AB1362" s="63"/>
      <c r="AC1362" s="63"/>
      <c r="AD1362" s="63"/>
      <c r="AE1362" s="63">
        <v>0</v>
      </c>
      <c r="AF1362" s="63"/>
      <c r="AG1362" s="63"/>
      <c r="AH1362" s="63"/>
      <c r="AI1362" s="63"/>
      <c r="AJ1362" s="63"/>
      <c r="AK1362" s="63"/>
      <c r="AL1362" s="63"/>
      <c r="AM1362" s="63"/>
      <c r="AN1362" s="63">
        <v>3</v>
      </c>
      <c r="AO1362" s="63"/>
      <c r="AP1362" s="63"/>
      <c r="AQ1362" s="63"/>
      <c r="AR1362" s="63"/>
      <c r="AS1362" s="63"/>
      <c r="AT1362" s="63"/>
      <c r="AU1362" s="63"/>
      <c r="AW1362" s="5">
        <f>IF(Q1362&gt;0,RANK(Q1362,(N1362:P1362,Q1362:AE1362)),0)</f>
        <v>3</v>
      </c>
      <c r="AX1362" s="5">
        <f>IF(R1362&gt;0,RANK(R1362,(N1362:P1362,Q1362:AE1362)),0)</f>
        <v>4</v>
      </c>
      <c r="AY1362" s="5">
        <f>IF(T1362&gt;0,RANK(T1362,(N1362:P1362,Q1362:AE1362)),0)</f>
        <v>0</v>
      </c>
      <c r="AZ1362" s="5">
        <f>IF(S1362&gt;0,RANK(S1362,(N1362:P1362,Q1362:AE1362)),0)</f>
        <v>6</v>
      </c>
      <c r="BA1362" s="2">
        <f t="shared" si="572"/>
        <v>3.3751846381093055E-2</v>
      </c>
      <c r="BB1362" s="2">
        <f t="shared" si="573"/>
        <v>8.2295843004853344E-3</v>
      </c>
      <c r="BC1362" s="2">
        <f t="shared" si="574"/>
        <v>0</v>
      </c>
      <c r="BD1362" s="2">
        <f t="shared" si="575"/>
        <v>3.4184427094323699E-3</v>
      </c>
      <c r="BF1362" t="s">
        <v>2142</v>
      </c>
      <c r="BG1362" t="s">
        <v>3114</v>
      </c>
      <c r="BH1362" s="8"/>
      <c r="BJ1362" s="114">
        <v>26</v>
      </c>
      <c r="BK1362" s="116">
        <v>145</v>
      </c>
      <c r="BL1362" s="120">
        <f t="shared" si="555"/>
        <v>26145</v>
      </c>
      <c r="BN1362" s="5" t="s">
        <v>3154</v>
      </c>
      <c r="BY1362" s="63">
        <f t="shared" si="576"/>
        <v>1</v>
      </c>
      <c r="BZ1362" s="63">
        <v>94779</v>
      </c>
      <c r="CA1362" s="63">
        <v>581</v>
      </c>
      <c r="CB1362" s="132"/>
      <c r="CD1362" s="63">
        <v>0</v>
      </c>
      <c r="CE1362" s="63">
        <v>0</v>
      </c>
    </row>
    <row r="1363" spans="1:83" ht="13" hidden="1" customHeight="1" outlineLevel="1">
      <c r="A1363" t="s">
        <v>934</v>
      </c>
      <c r="B1363" t="s">
        <v>3114</v>
      </c>
      <c r="C1363" s="1">
        <f t="shared" si="567"/>
        <v>78003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6</v>
      </c>
      <c r="G1363" s="132">
        <f t="shared" si="565"/>
        <v>24498</v>
      </c>
      <c r="H1363" s="137">
        <f t="shared" si="566"/>
        <v>0.31406484365985926</v>
      </c>
      <c r="I1363" s="2"/>
      <c r="J1363" s="2">
        <f t="shared" si="568"/>
        <v>0.3147699447457149</v>
      </c>
      <c r="K1363" s="2">
        <f t="shared" si="569"/>
        <v>0.62883478840557416</v>
      </c>
      <c r="L1363" s="2">
        <f t="shared" si="570"/>
        <v>6.7946104637001137E-4</v>
      </c>
      <c r="M1363" s="2">
        <f t="shared" si="571"/>
        <v>5.5715805802340979E-2</v>
      </c>
      <c r="N1363" s="63">
        <v>24553</v>
      </c>
      <c r="O1363" s="63">
        <v>49051</v>
      </c>
      <c r="P1363" s="63">
        <v>53</v>
      </c>
      <c r="Q1363" s="63">
        <v>2972</v>
      </c>
      <c r="R1363" s="63">
        <v>1062</v>
      </c>
      <c r="S1363" s="63">
        <v>271</v>
      </c>
      <c r="T1363" s="63"/>
      <c r="U1363" s="63">
        <v>38</v>
      </c>
      <c r="V1363" s="63"/>
      <c r="W1363" s="63">
        <f>IF(Copyright!B$11=1,IF(CA1363&gt;0,CA1363-P1363-SUM(V1363)-SUM(Y1363:AG1363)-SUM(AH1363:AQ1363),SUM(CC1363:CJ1363)),SUM(CC1363:CJ1363))</f>
        <v>0</v>
      </c>
      <c r="X1363" s="63"/>
      <c r="Y1363" s="63">
        <v>0</v>
      </c>
      <c r="Z1363" s="63"/>
      <c r="AA1363" s="63">
        <v>0</v>
      </c>
      <c r="AB1363" s="63"/>
      <c r="AC1363" s="63"/>
      <c r="AD1363" s="63"/>
      <c r="AE1363" s="63">
        <v>0</v>
      </c>
      <c r="AF1363" s="63"/>
      <c r="AG1363" s="63"/>
      <c r="AH1363" s="63"/>
      <c r="AI1363" s="63"/>
      <c r="AJ1363" s="63"/>
      <c r="AK1363" s="63"/>
      <c r="AL1363" s="63"/>
      <c r="AM1363" s="63"/>
      <c r="AN1363" s="63">
        <v>3</v>
      </c>
      <c r="AO1363" s="63"/>
      <c r="AP1363" s="63"/>
      <c r="AQ1363" s="63"/>
      <c r="AR1363" s="63"/>
      <c r="AS1363" s="63"/>
      <c r="AT1363" s="63"/>
      <c r="AU1363" s="63"/>
      <c r="AW1363" s="5">
        <f>IF(Q1363&gt;0,RANK(Q1363,(N1363:P1363,Q1363:AE1363)),0)</f>
        <v>3</v>
      </c>
      <c r="AX1363" s="5">
        <f>IF(R1363&gt;0,RANK(R1363,(N1363:P1363,Q1363:AE1363)),0)</f>
        <v>4</v>
      </c>
      <c r="AY1363" s="5">
        <f>IF(T1363&gt;0,RANK(T1363,(N1363:P1363,Q1363:AE1363)),0)</f>
        <v>0</v>
      </c>
      <c r="AZ1363" s="5">
        <f>IF(S1363&gt;0,RANK(S1363,(N1363:P1363,Q1363:AE1363)),0)</f>
        <v>5</v>
      </c>
      <c r="BA1363" s="2">
        <f t="shared" si="572"/>
        <v>3.8101098675691961E-2</v>
      </c>
      <c r="BB1363" s="2">
        <f t="shared" si="573"/>
        <v>1.3614860966885889E-2</v>
      </c>
      <c r="BC1363" s="2">
        <f t="shared" si="574"/>
        <v>0</v>
      </c>
      <c r="BD1363" s="2">
        <f t="shared" si="575"/>
        <v>3.4742253503070395E-3</v>
      </c>
      <c r="BF1363" t="s">
        <v>934</v>
      </c>
      <c r="BG1363" t="s">
        <v>3114</v>
      </c>
      <c r="BH1363" s="8">
        <v>10</v>
      </c>
      <c r="BJ1363" s="114">
        <v>26</v>
      </c>
      <c r="BK1363" s="116">
        <v>147</v>
      </c>
      <c r="BL1363" s="120">
        <f t="shared" si="555"/>
        <v>26147</v>
      </c>
      <c r="BN1363" s="5" t="s">
        <v>3154</v>
      </c>
      <c r="BY1363" s="63">
        <f t="shared" si="576"/>
        <v>78003</v>
      </c>
      <c r="CB1363" s="132"/>
      <c r="CD1363" s="63">
        <v>0</v>
      </c>
      <c r="CE1363" s="63">
        <v>0</v>
      </c>
    </row>
    <row r="1364" spans="1:83" ht="13" hidden="1" customHeight="1" outlineLevel="1">
      <c r="A1364" t="s">
        <v>1699</v>
      </c>
      <c r="B1364" t="s">
        <v>3114</v>
      </c>
      <c r="C1364" s="1">
        <f t="shared" si="567"/>
        <v>23967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32">
        <f t="shared" si="565"/>
        <v>7358</v>
      </c>
      <c r="H1364" s="137">
        <f t="shared" si="566"/>
        <v>0.30700546584887556</v>
      </c>
      <c r="I1364" s="2"/>
      <c r="J1364" s="2">
        <f t="shared" si="568"/>
        <v>0.31401510410147287</v>
      </c>
      <c r="K1364" s="2">
        <f t="shared" si="569"/>
        <v>0.62102056995034838</v>
      </c>
      <c r="L1364" s="2">
        <f t="shared" si="570"/>
        <v>0</v>
      </c>
      <c r="M1364" s="2">
        <f t="shared" si="571"/>
        <v>6.4964325948178692E-2</v>
      </c>
      <c r="N1364" s="63">
        <v>7526</v>
      </c>
      <c r="O1364" s="63">
        <v>14884</v>
      </c>
      <c r="P1364" s="63">
        <v>0</v>
      </c>
      <c r="Q1364" s="63">
        <v>934</v>
      </c>
      <c r="R1364" s="63">
        <v>290</v>
      </c>
      <c r="S1364" s="63">
        <v>111</v>
      </c>
      <c r="T1364" s="63"/>
      <c r="U1364" s="63">
        <v>12</v>
      </c>
      <c r="V1364" s="63"/>
      <c r="W1364" s="63">
        <f>IF(Copyright!B$11=1,IF(CA1364&gt;0,CA1364-P1364-SUM(V1364)-SUM(Y1364:AG1364)-SUM(AH1364:AQ1364),SUM(CC1364:CJ1364)),SUM(CC1364:CJ1364))</f>
        <v>210</v>
      </c>
      <c r="X1364" s="63"/>
      <c r="Y1364" s="63">
        <v>0</v>
      </c>
      <c r="Z1364" s="63"/>
      <c r="AA1364" s="63">
        <v>0</v>
      </c>
      <c r="AB1364" s="63"/>
      <c r="AC1364" s="63"/>
      <c r="AD1364" s="63"/>
      <c r="AE1364" s="63">
        <v>0</v>
      </c>
      <c r="AF1364" s="63"/>
      <c r="AG1364" s="63"/>
      <c r="AH1364" s="63"/>
      <c r="AI1364" s="63"/>
      <c r="AJ1364" s="63"/>
      <c r="AK1364" s="63"/>
      <c r="AL1364" s="63"/>
      <c r="AM1364" s="63"/>
      <c r="AN1364" s="63">
        <v>0</v>
      </c>
      <c r="AO1364" s="63"/>
      <c r="AP1364" s="63"/>
      <c r="AQ1364" s="63"/>
      <c r="AR1364" s="63"/>
      <c r="AS1364" s="63"/>
      <c r="AT1364" s="63"/>
      <c r="AU1364" s="63"/>
      <c r="AW1364" s="5">
        <f>IF(Q1364&gt;0,RANK(Q1364,(N1364:P1364,Q1364:AE1364)),0)</f>
        <v>3</v>
      </c>
      <c r="AX1364" s="5">
        <f>IF(R1364&gt;0,RANK(R1364,(N1364:P1364,Q1364:AE1364)),0)</f>
        <v>4</v>
      </c>
      <c r="AY1364" s="5">
        <f>IF(T1364&gt;0,RANK(T1364,(N1364:P1364,Q1364:AE1364)),0)</f>
        <v>0</v>
      </c>
      <c r="AZ1364" s="5">
        <f>IF(S1364&gt;0,RANK(S1364,(N1364:P1364,Q1364:AE1364)),0)</f>
        <v>6</v>
      </c>
      <c r="BA1364" s="2">
        <f t="shared" si="572"/>
        <v>3.8970250761463682E-2</v>
      </c>
      <c r="BB1364" s="2">
        <f t="shared" si="573"/>
        <v>1.2099970793173948E-2</v>
      </c>
      <c r="BC1364" s="2">
        <f t="shared" si="574"/>
        <v>0</v>
      </c>
      <c r="BD1364" s="2">
        <f t="shared" si="575"/>
        <v>4.6313681311803733E-3</v>
      </c>
      <c r="BF1364" t="s">
        <v>1699</v>
      </c>
      <c r="BG1364" t="s">
        <v>3114</v>
      </c>
      <c r="BH1364" s="8">
        <v>6</v>
      </c>
      <c r="BJ1364" s="114">
        <v>26</v>
      </c>
      <c r="BK1364" s="116">
        <v>149</v>
      </c>
      <c r="BL1364" s="120">
        <f t="shared" si="555"/>
        <v>26149</v>
      </c>
      <c r="BN1364" s="5" t="s">
        <v>3154</v>
      </c>
      <c r="BY1364" s="63">
        <f t="shared" si="576"/>
        <v>0</v>
      </c>
      <c r="BZ1364" s="132">
        <v>23967</v>
      </c>
      <c r="CA1364" s="132">
        <f>23967-14884-7526-934-111-290-12</f>
        <v>210</v>
      </c>
      <c r="CB1364" s="132"/>
      <c r="CD1364" s="63">
        <v>0</v>
      </c>
      <c r="CE1364" s="63">
        <v>0</v>
      </c>
    </row>
    <row r="1365" spans="1:83" ht="13" hidden="1" customHeight="1" outlineLevel="1">
      <c r="A1365" t="s">
        <v>2835</v>
      </c>
      <c r="B1365" t="s">
        <v>3114</v>
      </c>
      <c r="C1365" s="1">
        <f t="shared" si="567"/>
        <v>19249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7</v>
      </c>
      <c r="G1365" s="132">
        <f t="shared" si="565"/>
        <v>8573</v>
      </c>
      <c r="H1365" s="137">
        <f t="shared" si="566"/>
        <v>0.44537378565120267</v>
      </c>
      <c r="I1365" s="2"/>
      <c r="J1365" s="2">
        <f t="shared" si="568"/>
        <v>0.2531560081043171</v>
      </c>
      <c r="K1365" s="2">
        <f t="shared" si="569"/>
        <v>0.69852979375551971</v>
      </c>
      <c r="L1365" s="2">
        <f t="shared" si="570"/>
        <v>1.0390150137669489E-4</v>
      </c>
      <c r="M1365" s="2">
        <f t="shared" si="571"/>
        <v>4.821029663878644E-2</v>
      </c>
      <c r="N1365" s="63">
        <v>4873</v>
      </c>
      <c r="O1365" s="63">
        <v>13446</v>
      </c>
      <c r="P1365" s="63">
        <v>2</v>
      </c>
      <c r="Q1365" s="63">
        <v>662</v>
      </c>
      <c r="R1365" s="63">
        <v>170</v>
      </c>
      <c r="S1365" s="63">
        <v>77</v>
      </c>
      <c r="T1365" s="63"/>
      <c r="U1365" s="63">
        <v>15</v>
      </c>
      <c r="V1365" s="63"/>
      <c r="W1365" s="63">
        <f>IF(Copyright!B$11=1,IF(CA1365&gt;0,CA1365-P1365-SUM(V1365)-SUM(Y1365:AG1365)-SUM(AH1365:AQ1365),SUM(CC1365:CJ1365)),SUM(CC1365:CJ1365))</f>
        <v>0</v>
      </c>
      <c r="X1365" s="63"/>
      <c r="Y1365" s="63">
        <v>0</v>
      </c>
      <c r="Z1365" s="63"/>
      <c r="AA1365" s="63">
        <v>0</v>
      </c>
      <c r="AB1365" s="63"/>
      <c r="AC1365" s="63"/>
      <c r="AD1365" s="63"/>
      <c r="AE1365" s="63">
        <v>0</v>
      </c>
      <c r="AF1365" s="63"/>
      <c r="AG1365" s="63"/>
      <c r="AH1365" s="63"/>
      <c r="AI1365" s="63"/>
      <c r="AJ1365" s="63"/>
      <c r="AK1365" s="63"/>
      <c r="AL1365" s="63"/>
      <c r="AM1365" s="63"/>
      <c r="AN1365" s="63">
        <v>4</v>
      </c>
      <c r="AO1365" s="63"/>
      <c r="AP1365" s="63"/>
      <c r="AQ1365" s="63"/>
      <c r="AR1365" s="63"/>
      <c r="AS1365" s="63"/>
      <c r="AT1365" s="63"/>
      <c r="AU1365" s="63"/>
      <c r="AW1365" s="5">
        <f>IF(Q1365&gt;0,RANK(Q1365,(N1365:P1365,Q1365:AE1365)),0)</f>
        <v>3</v>
      </c>
      <c r="AX1365" s="5">
        <f>IF(R1365&gt;0,RANK(R1365,(N1365:P1365,Q1365:AE1365)),0)</f>
        <v>4</v>
      </c>
      <c r="AY1365" s="5">
        <f>IF(T1365&gt;0,RANK(T1365,(N1365:P1365,Q1365:AE1365)),0)</f>
        <v>0</v>
      </c>
      <c r="AZ1365" s="5">
        <f>IF(S1365&gt;0,RANK(S1365,(N1365:P1365,Q1365:AE1365)),0)</f>
        <v>5</v>
      </c>
      <c r="BA1365" s="2">
        <f t="shared" si="572"/>
        <v>3.4391396955686007E-2</v>
      </c>
      <c r="BB1365" s="2">
        <f t="shared" si="573"/>
        <v>8.8316276170190659E-3</v>
      </c>
      <c r="BC1365" s="2">
        <f t="shared" si="574"/>
        <v>0</v>
      </c>
      <c r="BD1365" s="2">
        <f t="shared" si="575"/>
        <v>4.0002078030027532E-3</v>
      </c>
      <c r="BF1365" t="s">
        <v>2835</v>
      </c>
      <c r="BG1365" t="s">
        <v>3114</v>
      </c>
      <c r="BH1365" s="8">
        <v>10</v>
      </c>
      <c r="BJ1365" s="114">
        <v>26</v>
      </c>
      <c r="BK1365" s="116">
        <v>151</v>
      </c>
      <c r="BL1365" s="120">
        <f t="shared" si="555"/>
        <v>26151</v>
      </c>
      <c r="BN1365" s="5" t="s">
        <v>3154</v>
      </c>
      <c r="BY1365" s="63">
        <f t="shared" si="576"/>
        <v>19249</v>
      </c>
      <c r="CA1365" s="133"/>
      <c r="CB1365" s="132"/>
      <c r="CD1365" s="63">
        <v>0</v>
      </c>
      <c r="CE1365" s="63">
        <v>0</v>
      </c>
    </row>
    <row r="1366" spans="1:83" ht="13" hidden="1" customHeight="1" outlineLevel="1">
      <c r="A1366" t="s">
        <v>2686</v>
      </c>
      <c r="B1366" t="s">
        <v>3114</v>
      </c>
      <c r="C1366" s="1">
        <f t="shared" si="567"/>
        <v>4177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7</v>
      </c>
      <c r="G1366" s="132">
        <f t="shared" si="565"/>
        <v>1187</v>
      </c>
      <c r="H1366" s="137">
        <f t="shared" si="566"/>
        <v>0.28417524539142924</v>
      </c>
      <c r="I1366" s="2"/>
      <c r="J1366" s="2">
        <f t="shared" si="568"/>
        <v>0.32774718697629879</v>
      </c>
      <c r="K1366" s="2">
        <f t="shared" si="569"/>
        <v>0.61192243236772803</v>
      </c>
      <c r="L1366" s="2">
        <f t="shared" si="570"/>
        <v>7.1821881733301416E-4</v>
      </c>
      <c r="M1366" s="2">
        <f t="shared" si="571"/>
        <v>5.9612161838640168E-2</v>
      </c>
      <c r="N1366" s="63">
        <v>1369</v>
      </c>
      <c r="O1366" s="63">
        <v>2556</v>
      </c>
      <c r="P1366" s="63">
        <v>3</v>
      </c>
      <c r="Q1366" s="63">
        <v>165</v>
      </c>
      <c r="R1366" s="63">
        <v>31</v>
      </c>
      <c r="S1366" s="63">
        <v>29</v>
      </c>
      <c r="T1366" s="63"/>
      <c r="U1366" s="63">
        <v>1</v>
      </c>
      <c r="V1366" s="63"/>
      <c r="W1366" s="63">
        <f>IF(Copyright!B$11=1,IF(CA1366&gt;0,CA1366-P1366-SUM(V1366)-SUM(Y1366:AG1366)-SUM(AH1366:AQ1366),SUM(CC1366:CJ1366)),SUM(CC1366:CJ1366))</f>
        <v>23</v>
      </c>
      <c r="X1366" s="63"/>
      <c r="Y1366" s="63">
        <v>0</v>
      </c>
      <c r="Z1366" s="63"/>
      <c r="AA1366" s="63">
        <v>0</v>
      </c>
      <c r="AB1366" s="63"/>
      <c r="AC1366" s="63"/>
      <c r="AD1366" s="63"/>
      <c r="AE1366" s="63">
        <v>0</v>
      </c>
      <c r="AF1366" s="63"/>
      <c r="AG1366" s="63"/>
      <c r="AH1366" s="63"/>
      <c r="AI1366" s="63"/>
      <c r="AJ1366" s="63"/>
      <c r="AK1366" s="63"/>
      <c r="AL1366" s="63"/>
      <c r="AM1366" s="63"/>
      <c r="AN1366" s="63">
        <v>0</v>
      </c>
      <c r="AO1366" s="63"/>
      <c r="AP1366" s="63"/>
      <c r="AQ1366" s="63"/>
      <c r="AR1366" s="63"/>
      <c r="AS1366" s="63"/>
      <c r="AT1366" s="63"/>
      <c r="AU1366" s="63"/>
      <c r="AW1366" s="5">
        <f>IF(Q1366&gt;0,RANK(Q1366,(N1366:P1366,Q1366:AE1366)),0)</f>
        <v>3</v>
      </c>
      <c r="AX1366" s="5">
        <f>IF(R1366&gt;0,RANK(R1366,(N1366:P1366,Q1366:AE1366)),0)</f>
        <v>4</v>
      </c>
      <c r="AY1366" s="5">
        <f>IF(T1366&gt;0,RANK(T1366,(N1366:P1366,Q1366:AE1366)),0)</f>
        <v>0</v>
      </c>
      <c r="AZ1366" s="5">
        <f>IF(S1366&gt;0,RANK(S1366,(N1366:P1366,Q1366:AE1366)),0)</f>
        <v>5</v>
      </c>
      <c r="BA1366" s="2">
        <f t="shared" si="572"/>
        <v>3.9502034953315779E-2</v>
      </c>
      <c r="BB1366" s="2">
        <f t="shared" si="573"/>
        <v>7.4215944457744791E-3</v>
      </c>
      <c r="BC1366" s="2">
        <f t="shared" si="574"/>
        <v>0</v>
      </c>
      <c r="BD1366" s="2">
        <f t="shared" si="575"/>
        <v>6.9427819008858029E-3</v>
      </c>
      <c r="BF1366" t="s">
        <v>2686</v>
      </c>
      <c r="BG1366" t="s">
        <v>3114</v>
      </c>
      <c r="BH1366" s="8">
        <v>1</v>
      </c>
      <c r="BJ1366" s="114">
        <v>26</v>
      </c>
      <c r="BK1366" s="116">
        <v>153</v>
      </c>
      <c r="BL1366" s="120">
        <f t="shared" si="555"/>
        <v>26153</v>
      </c>
      <c r="BN1366" s="5" t="s">
        <v>3154</v>
      </c>
      <c r="BY1366" s="63">
        <f t="shared" si="576"/>
        <v>0</v>
      </c>
      <c r="BZ1366" s="132">
        <v>4177</v>
      </c>
      <c r="CA1366" s="132">
        <v>26</v>
      </c>
      <c r="CB1366" s="132"/>
      <c r="CD1366" s="63">
        <v>0</v>
      </c>
      <c r="CE1366" s="63">
        <v>0</v>
      </c>
    </row>
    <row r="1367" spans="1:83" ht="13" hidden="1" customHeight="1" outlineLevel="1">
      <c r="A1367" t="s">
        <v>2781</v>
      </c>
      <c r="B1367" t="s">
        <v>3114</v>
      </c>
      <c r="C1367" s="1">
        <f t="shared" si="567"/>
        <v>34111</v>
      </c>
      <c r="D1367" s="5">
        <f>IF(N1367&gt;0, RANK(N1367,(N1367:P1367,Q1367:AE1367)),0)</f>
        <v>2</v>
      </c>
      <c r="E1367" s="5">
        <f>IF(O1367&gt;0,RANK(O1367,(N1367:P1367,Q1367:AE1367)),0)</f>
        <v>1</v>
      </c>
      <c r="F1367" s="5">
        <f>IF(P1367&gt;0,RANK(P1367,(N1367:P1367,Q1367:AE1367)),0)</f>
        <v>6</v>
      </c>
      <c r="G1367" s="132">
        <f t="shared" si="565"/>
        <v>6684</v>
      </c>
      <c r="H1367" s="137">
        <f t="shared" si="566"/>
        <v>0.19594852100495441</v>
      </c>
      <c r="I1367" s="2"/>
      <c r="J1367" s="2">
        <f t="shared" si="568"/>
        <v>0.36779924364574479</v>
      </c>
      <c r="K1367" s="2">
        <f t="shared" si="569"/>
        <v>0.5637477646506992</v>
      </c>
      <c r="L1367" s="2">
        <f t="shared" si="570"/>
        <v>1.9934918354782916E-3</v>
      </c>
      <c r="M1367" s="2">
        <f t="shared" si="571"/>
        <v>6.6459499868077712E-2</v>
      </c>
      <c r="N1367" s="63">
        <v>12546</v>
      </c>
      <c r="O1367" s="63">
        <v>19230</v>
      </c>
      <c r="P1367" s="63">
        <v>68</v>
      </c>
      <c r="Q1367" s="63">
        <v>1660</v>
      </c>
      <c r="R1367" s="63">
        <v>362</v>
      </c>
      <c r="S1367" s="63">
        <v>221</v>
      </c>
      <c r="T1367" s="63"/>
      <c r="U1367" s="63">
        <v>22</v>
      </c>
      <c r="V1367" s="63"/>
      <c r="W1367" s="63">
        <f>IF(Copyright!B$11=1,IF(CA1367&gt;0,CA1367-P1367-SUM(V1367)-SUM(Y1367:AG1367)-SUM(AH1367:AQ1367),SUM(CC1367:CJ1367)),SUM(CC1367:CJ1367))</f>
        <v>0</v>
      </c>
      <c r="X1367" s="63"/>
      <c r="Y1367" s="63">
        <v>2</v>
      </c>
      <c r="Z1367" s="63"/>
      <c r="AA1367" s="63">
        <v>0</v>
      </c>
      <c r="AB1367" s="63"/>
      <c r="AC1367" s="63"/>
      <c r="AD1367" s="63"/>
      <c r="AE1367" s="63">
        <v>0</v>
      </c>
      <c r="AF1367" s="63"/>
      <c r="AG1367" s="63"/>
      <c r="AH1367" s="63"/>
      <c r="AI1367" s="63"/>
      <c r="AJ1367" s="63"/>
      <c r="AK1367" s="63"/>
      <c r="AL1367" s="63"/>
      <c r="AM1367" s="63"/>
      <c r="AN1367" s="63">
        <v>0</v>
      </c>
      <c r="AO1367" s="63"/>
      <c r="AP1367" s="63"/>
      <c r="AQ1367" s="63"/>
      <c r="AR1367" s="63"/>
      <c r="AS1367" s="63"/>
      <c r="AT1367" s="63"/>
      <c r="AU1367" s="63"/>
      <c r="AW1367" s="5">
        <f>IF(Q1367&gt;0,RANK(Q1367,(N1367:P1367,Q1367:AE1367)),0)</f>
        <v>3</v>
      </c>
      <c r="AX1367" s="5">
        <f>IF(R1367&gt;0,RANK(R1367,(N1367:P1367,Q1367:AE1367)),0)</f>
        <v>4</v>
      </c>
      <c r="AY1367" s="5">
        <f>IF(T1367&gt;0,RANK(T1367,(N1367:P1367,Q1367:AE1367)),0)</f>
        <v>0</v>
      </c>
      <c r="AZ1367" s="5">
        <f>IF(S1367&gt;0,RANK(S1367,(N1367:P1367,Q1367:AE1367)),0)</f>
        <v>5</v>
      </c>
      <c r="BA1367" s="2">
        <f t="shared" si="572"/>
        <v>4.8664653630793586E-2</v>
      </c>
      <c r="BB1367" s="2">
        <f t="shared" si="573"/>
        <v>1.0612412418281493E-2</v>
      </c>
      <c r="BC1367" s="2">
        <f t="shared" si="574"/>
        <v>0</v>
      </c>
      <c r="BD1367" s="2">
        <f t="shared" si="575"/>
        <v>6.4788484653044475E-3</v>
      </c>
      <c r="BF1367" t="s">
        <v>2781</v>
      </c>
      <c r="BG1367" t="s">
        <v>3114</v>
      </c>
      <c r="BH1367" s="8">
        <v>4</v>
      </c>
      <c r="BJ1367" s="114">
        <v>26</v>
      </c>
      <c r="BK1367" s="116">
        <v>155</v>
      </c>
      <c r="BL1367" s="120">
        <f t="shared" si="555"/>
        <v>26155</v>
      </c>
      <c r="BN1367" s="5" t="s">
        <v>3154</v>
      </c>
      <c r="BY1367" s="63">
        <f t="shared" si="576"/>
        <v>0</v>
      </c>
      <c r="BZ1367" s="132">
        <f>70+22+362+221+1660+12546+19230</f>
        <v>34111</v>
      </c>
      <c r="CA1367" s="63">
        <v>70</v>
      </c>
      <c r="CB1367" s="132"/>
      <c r="CD1367" s="63">
        <v>0</v>
      </c>
      <c r="CE1367" s="63">
        <v>0</v>
      </c>
    </row>
    <row r="1368" spans="1:83" ht="13" hidden="1" customHeight="1" outlineLevel="1">
      <c r="A1368" t="s">
        <v>3127</v>
      </c>
      <c r="B1368" t="s">
        <v>3114</v>
      </c>
      <c r="C1368" s="1">
        <f t="shared" si="567"/>
        <v>25928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7</v>
      </c>
      <c r="G1368" s="132">
        <f t="shared" si="565"/>
        <v>9673</v>
      </c>
      <c r="H1368" s="137">
        <f t="shared" si="566"/>
        <v>0.37307158284480096</v>
      </c>
      <c r="I1368" s="2"/>
      <c r="J1368" s="2">
        <f t="shared" si="568"/>
        <v>0.28652422091946927</v>
      </c>
      <c r="K1368" s="2">
        <f t="shared" si="569"/>
        <v>0.65959580376427029</v>
      </c>
      <c r="L1368" s="2">
        <f t="shared" si="570"/>
        <v>1.1956186362233878E-3</v>
      </c>
      <c r="M1368" s="2">
        <f t="shared" si="571"/>
        <v>5.2684356680037042E-2</v>
      </c>
      <c r="N1368" s="63">
        <v>7429</v>
      </c>
      <c r="O1368" s="63">
        <v>17102</v>
      </c>
      <c r="P1368" s="63">
        <v>31</v>
      </c>
      <c r="Q1368" s="63">
        <v>872</v>
      </c>
      <c r="R1368" s="63">
        <v>221</v>
      </c>
      <c r="S1368" s="63">
        <v>122</v>
      </c>
      <c r="T1368" s="63"/>
      <c r="U1368" s="63">
        <v>16</v>
      </c>
      <c r="V1368" s="63"/>
      <c r="W1368" s="63">
        <f>IF(Copyright!B$11=1,IF(CA1368&gt;0,CA1368-P1368-SUM(V1368)-SUM(Y1368:AG1368)-SUM(AH1368:AQ1368),SUM(CC1368:CJ1368)),SUM(CC1368:CJ1368))</f>
        <v>132</v>
      </c>
      <c r="X1368" s="63"/>
      <c r="Y1368" s="63">
        <v>2</v>
      </c>
      <c r="Z1368" s="63"/>
      <c r="AA1368" s="63">
        <v>0</v>
      </c>
      <c r="AB1368" s="63"/>
      <c r="AC1368" s="63"/>
      <c r="AD1368" s="63"/>
      <c r="AE1368" s="63">
        <v>0</v>
      </c>
      <c r="AF1368" s="63"/>
      <c r="AG1368" s="63"/>
      <c r="AH1368" s="63"/>
      <c r="AI1368" s="63"/>
      <c r="AJ1368" s="63"/>
      <c r="AK1368" s="63"/>
      <c r="AL1368" s="63"/>
      <c r="AM1368" s="63"/>
      <c r="AN1368" s="63">
        <v>1</v>
      </c>
      <c r="AO1368" s="63"/>
      <c r="AP1368" s="63"/>
      <c r="AQ1368" s="63"/>
      <c r="AR1368" s="63"/>
      <c r="AS1368" s="63"/>
      <c r="AT1368" s="63"/>
      <c r="AU1368" s="63"/>
      <c r="AW1368" s="5">
        <f>IF(Q1368&gt;0,RANK(Q1368,(N1368:P1368,Q1368:AE1368)),0)</f>
        <v>3</v>
      </c>
      <c r="AX1368" s="5">
        <f>IF(R1368&gt;0,RANK(R1368,(N1368:P1368,Q1368:AE1368)),0)</f>
        <v>4</v>
      </c>
      <c r="AY1368" s="5">
        <f>IF(T1368&gt;0,RANK(T1368,(N1368:P1368,Q1368:AE1368)),0)</f>
        <v>0</v>
      </c>
      <c r="AZ1368" s="5">
        <f>IF(S1368&gt;0,RANK(S1368,(N1368:P1368,Q1368:AE1368)),0)</f>
        <v>6</v>
      </c>
      <c r="BA1368" s="2">
        <f t="shared" si="572"/>
        <v>3.3631595186670783E-2</v>
      </c>
      <c r="BB1368" s="2">
        <f t="shared" si="573"/>
        <v>8.5236038259796365E-3</v>
      </c>
      <c r="BC1368" s="2">
        <f t="shared" si="574"/>
        <v>0</v>
      </c>
      <c r="BD1368" s="2">
        <f t="shared" si="575"/>
        <v>4.7053378586855909E-3</v>
      </c>
      <c r="BF1368" t="s">
        <v>3127</v>
      </c>
      <c r="BG1368" t="s">
        <v>3114</v>
      </c>
      <c r="BH1368" s="8"/>
      <c r="BJ1368" s="114">
        <v>26</v>
      </c>
      <c r="BK1368" s="116">
        <v>157</v>
      </c>
      <c r="BL1368" s="120">
        <f t="shared" si="555"/>
        <v>26157</v>
      </c>
      <c r="BN1368" s="5" t="s">
        <v>3154</v>
      </c>
      <c r="BY1368" s="63">
        <f t="shared" si="576"/>
        <v>0</v>
      </c>
      <c r="BZ1368" s="132">
        <v>25928</v>
      </c>
      <c r="CA1368" s="63">
        <v>166</v>
      </c>
      <c r="CB1368" s="132"/>
      <c r="CD1368" s="63">
        <v>0</v>
      </c>
      <c r="CE1368" s="63">
        <v>0</v>
      </c>
    </row>
    <row r="1369" spans="1:83" ht="13" hidden="1" customHeight="1" outlineLevel="1">
      <c r="A1369" t="s">
        <v>1598</v>
      </c>
      <c r="B1369" t="s">
        <v>3114</v>
      </c>
      <c r="C1369" s="1">
        <f t="shared" si="567"/>
        <v>33274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>IF(P1369&gt;0,RANK(P1369,(N1369:P1369,Q1369:AE1369)),0)</f>
        <v>6</v>
      </c>
      <c r="G1369" s="132">
        <f t="shared" si="565"/>
        <v>4632</v>
      </c>
      <c r="H1369" s="137">
        <f t="shared" si="566"/>
        <v>0.13920778986596141</v>
      </c>
      <c r="I1369" s="2"/>
      <c r="J1369" s="2">
        <f t="shared" si="568"/>
        <v>0.39844923964657092</v>
      </c>
      <c r="K1369" s="2">
        <f t="shared" si="569"/>
        <v>0.53765702951253236</v>
      </c>
      <c r="L1369" s="2">
        <f t="shared" si="570"/>
        <v>1.7731562180681613E-3</v>
      </c>
      <c r="M1369" s="2">
        <f t="shared" si="571"/>
        <v>6.212057462282862E-2</v>
      </c>
      <c r="N1369" s="63">
        <v>13258</v>
      </c>
      <c r="O1369" s="63">
        <v>17890</v>
      </c>
      <c r="P1369" s="63">
        <v>59</v>
      </c>
      <c r="Q1369" s="63">
        <v>1480</v>
      </c>
      <c r="R1369" s="63">
        <v>417</v>
      </c>
      <c r="S1369" s="63">
        <v>148</v>
      </c>
      <c r="T1369" s="63"/>
      <c r="U1369" s="63">
        <v>20</v>
      </c>
      <c r="V1369" s="63"/>
      <c r="W1369" s="63">
        <f>IF(Copyright!B$11=1,IF(CA1369&gt;0,CA1369-P1369-SUM(V1369)-SUM(Y1369:AG1369)-SUM(AH1369:AQ1369),SUM(CC1369:CJ1369)),SUM(CC1369:CJ1369))</f>
        <v>0</v>
      </c>
      <c r="X1369" s="63"/>
      <c r="Y1369" s="63">
        <v>0</v>
      </c>
      <c r="Z1369" s="63"/>
      <c r="AA1369" s="63">
        <v>0</v>
      </c>
      <c r="AB1369" s="63"/>
      <c r="AC1369" s="63"/>
      <c r="AD1369" s="63"/>
      <c r="AE1369" s="63">
        <v>0</v>
      </c>
      <c r="AF1369" s="63"/>
      <c r="AG1369" s="63"/>
      <c r="AH1369" s="63"/>
      <c r="AI1369" s="63"/>
      <c r="AJ1369" s="63"/>
      <c r="AK1369" s="63"/>
      <c r="AL1369" s="63"/>
      <c r="AM1369" s="63"/>
      <c r="AN1369" s="63">
        <v>2</v>
      </c>
      <c r="AO1369" s="63"/>
      <c r="AP1369" s="63"/>
      <c r="AQ1369" s="63"/>
      <c r="AR1369" s="63"/>
      <c r="AS1369" s="63"/>
      <c r="AT1369" s="63"/>
      <c r="AU1369" s="63"/>
      <c r="AW1369" s="5">
        <f>IF(Q1369&gt;0,RANK(Q1369,(N1369:P1369,Q1369:AE1369)),0)</f>
        <v>3</v>
      </c>
      <c r="AX1369" s="5">
        <f>IF(R1369&gt;0,RANK(R1369,(N1369:P1369,Q1369:AE1369)),0)</f>
        <v>4</v>
      </c>
      <c r="AY1369" s="5">
        <f>IF(T1369&gt;0,RANK(T1369,(N1369:P1369,Q1369:AE1369)),0)</f>
        <v>0</v>
      </c>
      <c r="AZ1369" s="5">
        <f>IF(S1369&gt;0,RANK(S1369,(N1369:P1369,Q1369:AE1369)),0)</f>
        <v>5</v>
      </c>
      <c r="BA1369" s="2">
        <f t="shared" si="572"/>
        <v>4.4479172927811506E-2</v>
      </c>
      <c r="BB1369" s="2">
        <f t="shared" si="573"/>
        <v>1.2532307507363106E-2</v>
      </c>
      <c r="BC1369" s="2">
        <f t="shared" si="574"/>
        <v>0</v>
      </c>
      <c r="BD1369" s="2">
        <f t="shared" si="575"/>
        <v>4.44791729278115E-3</v>
      </c>
      <c r="BF1369" t="s">
        <v>1598</v>
      </c>
      <c r="BG1369" t="s">
        <v>3114</v>
      </c>
      <c r="BH1369" s="8">
        <v>6</v>
      </c>
      <c r="BJ1369" s="114">
        <v>26</v>
      </c>
      <c r="BK1369" s="116">
        <v>159</v>
      </c>
      <c r="BL1369" s="120">
        <f t="shared" si="555"/>
        <v>26159</v>
      </c>
      <c r="BN1369" s="5" t="s">
        <v>3154</v>
      </c>
      <c r="BY1369" s="63">
        <f t="shared" si="576"/>
        <v>33274</v>
      </c>
      <c r="BZ1369" s="132"/>
      <c r="CB1369" s="132"/>
      <c r="CD1369" s="63">
        <v>0</v>
      </c>
      <c r="CE1369" s="63">
        <v>0</v>
      </c>
    </row>
    <row r="1370" spans="1:83" ht="13" hidden="1" customHeight="1" outlineLevel="1">
      <c r="A1370" t="s">
        <v>556</v>
      </c>
      <c r="B1370" t="s">
        <v>3114</v>
      </c>
      <c r="C1370" s="1">
        <f t="shared" si="567"/>
        <v>190079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6</v>
      </c>
      <c r="G1370" s="132">
        <f t="shared" si="565"/>
        <v>77852</v>
      </c>
      <c r="H1370" s="137">
        <f t="shared" si="566"/>
        <v>0.40957707058644038</v>
      </c>
      <c r="I1370" s="2"/>
      <c r="J1370" s="2">
        <f t="shared" si="568"/>
        <v>0.67594526486355677</v>
      </c>
      <c r="K1370" s="2">
        <f t="shared" si="569"/>
        <v>0.26636819427711633</v>
      </c>
      <c r="L1370" s="2">
        <f t="shared" si="570"/>
        <v>2.8146191846548014E-3</v>
      </c>
      <c r="M1370" s="2">
        <f t="shared" si="571"/>
        <v>5.4871921674672093E-2</v>
      </c>
      <c r="N1370" s="63">
        <v>128483</v>
      </c>
      <c r="O1370" s="63">
        <v>50631</v>
      </c>
      <c r="P1370" s="63">
        <v>535</v>
      </c>
      <c r="Q1370" s="63">
        <v>5840</v>
      </c>
      <c r="R1370" s="63">
        <v>2472</v>
      </c>
      <c r="S1370" s="63">
        <v>473</v>
      </c>
      <c r="T1370" s="63"/>
      <c r="U1370" s="63">
        <v>95</v>
      </c>
      <c r="V1370" s="63"/>
      <c r="W1370" s="63">
        <f>IF(Copyright!B$11=1,IF(CA1370&gt;0,CA1370-P1370-SUM(V1370)-SUM(Y1370:AG1370)-SUM(AH1370:AQ1370),SUM(CC1370:CJ1370)),SUM(CC1370:CJ1370))</f>
        <v>1501</v>
      </c>
      <c r="X1370" s="63"/>
      <c r="Y1370" s="63">
        <v>2</v>
      </c>
      <c r="Z1370" s="63"/>
      <c r="AA1370" s="63">
        <v>2</v>
      </c>
      <c r="AB1370" s="63"/>
      <c r="AC1370" s="63"/>
      <c r="AD1370" s="63"/>
      <c r="AE1370" s="63">
        <v>3</v>
      </c>
      <c r="AF1370" s="63"/>
      <c r="AG1370" s="63"/>
      <c r="AH1370" s="63"/>
      <c r="AI1370" s="63"/>
      <c r="AJ1370" s="63"/>
      <c r="AK1370" s="63"/>
      <c r="AL1370" s="63"/>
      <c r="AM1370" s="63"/>
      <c r="AN1370" s="63">
        <v>42</v>
      </c>
      <c r="AO1370" s="63"/>
      <c r="AP1370" s="63"/>
      <c r="AQ1370" s="63"/>
      <c r="AR1370" s="63"/>
      <c r="AS1370" s="63"/>
      <c r="AT1370" s="63"/>
      <c r="AU1370" s="63"/>
      <c r="AW1370" s="5">
        <f>IF(Q1370&gt;0,RANK(Q1370,(N1370:P1370,Q1370:AE1370)),0)</f>
        <v>3</v>
      </c>
      <c r="AX1370" s="5">
        <f>IF(R1370&gt;0,RANK(R1370,(N1370:P1370,Q1370:AE1370)),0)</f>
        <v>4</v>
      </c>
      <c r="AY1370" s="5">
        <f>IF(T1370&gt;0,RANK(T1370,(N1370:P1370,Q1370:AE1370)),0)</f>
        <v>0</v>
      </c>
      <c r="AZ1370" s="5">
        <f>IF(S1370&gt;0,RANK(S1370,(N1370:P1370,Q1370:AE1370)),0)</f>
        <v>7</v>
      </c>
      <c r="BA1370" s="2">
        <f t="shared" si="572"/>
        <v>3.0724067361465497E-2</v>
      </c>
      <c r="BB1370" s="2">
        <f t="shared" si="573"/>
        <v>1.3005118924236765E-2</v>
      </c>
      <c r="BC1370" s="2">
        <f t="shared" si="574"/>
        <v>0</v>
      </c>
      <c r="BD1370" s="2">
        <f t="shared" si="575"/>
        <v>2.4884390174611608E-3</v>
      </c>
      <c r="BF1370" t="s">
        <v>556</v>
      </c>
      <c r="BG1370" t="s">
        <v>3114</v>
      </c>
      <c r="BH1370" s="8"/>
      <c r="BJ1370" s="114">
        <v>26</v>
      </c>
      <c r="BK1370" s="116">
        <v>161</v>
      </c>
      <c r="BL1370" s="120">
        <f t="shared" si="555"/>
        <v>26161</v>
      </c>
      <c r="BN1370" s="5" t="s">
        <v>3154</v>
      </c>
      <c r="BY1370" s="63">
        <f t="shared" si="576"/>
        <v>0</v>
      </c>
      <c r="BZ1370" s="132">
        <f>50631+128483+5840+473+2472+95+2085</f>
        <v>190079</v>
      </c>
      <c r="CA1370" s="63">
        <v>2085</v>
      </c>
      <c r="CB1370" s="132"/>
      <c r="CD1370" s="63">
        <v>0</v>
      </c>
      <c r="CE1370" s="63">
        <v>0</v>
      </c>
    </row>
    <row r="1371" spans="1:83" ht="13" hidden="1" customHeight="1" outlineLevel="1">
      <c r="A1371" t="s">
        <v>423</v>
      </c>
      <c r="B1371" t="s">
        <v>3114</v>
      </c>
      <c r="C1371" s="1">
        <f t="shared" si="567"/>
        <v>782719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>IF(P1371&gt;0,RANK(P1371,(N1371:P1371,Q1371:AE1371)),0)</f>
        <v>7</v>
      </c>
      <c r="G1371" s="132">
        <f t="shared" si="565"/>
        <v>290451</v>
      </c>
      <c r="H1371" s="137">
        <f t="shared" si="566"/>
        <v>0.37107953173488828</v>
      </c>
      <c r="I1371" s="2"/>
      <c r="J1371" s="2">
        <f t="shared" si="568"/>
        <v>0.66364046356355222</v>
      </c>
      <c r="K1371" s="2">
        <f t="shared" si="569"/>
        <v>0.29256093182866394</v>
      </c>
      <c r="L1371" s="2">
        <f t="shared" si="570"/>
        <v>7.5122745199746011E-4</v>
      </c>
      <c r="M1371" s="2">
        <f t="shared" si="571"/>
        <v>4.3047377155786382E-2</v>
      </c>
      <c r="N1371" s="63">
        <v>519444</v>
      </c>
      <c r="O1371" s="63">
        <v>228993</v>
      </c>
      <c r="P1371" s="63">
        <v>588</v>
      </c>
      <c r="Q1371" s="63">
        <v>18801</v>
      </c>
      <c r="R1371" s="63">
        <v>7784</v>
      </c>
      <c r="S1371" s="63">
        <v>1718</v>
      </c>
      <c r="T1371" s="63"/>
      <c r="U1371" s="63">
        <v>437</v>
      </c>
      <c r="V1371" s="63"/>
      <c r="W1371" s="63">
        <f>IF(Copyright!B$11=1,IF(CA1371&gt;0,CA1371-P1371-SUM(V1371)-SUM(Y1371:AG1371)-SUM(AH1371:AQ1371),SUM(CC1371:CJ1371)),SUM(CC1371:CJ1371))</f>
        <v>4893</v>
      </c>
      <c r="X1371" s="63"/>
      <c r="Y1371" s="63">
        <v>6</v>
      </c>
      <c r="Z1371" s="63"/>
      <c r="AA1371" s="63">
        <v>8</v>
      </c>
      <c r="AB1371" s="63"/>
      <c r="AC1371" s="63"/>
      <c r="AD1371" s="63"/>
      <c r="AE1371" s="63">
        <v>9</v>
      </c>
      <c r="AF1371" s="63"/>
      <c r="AG1371" s="63"/>
      <c r="AH1371" s="63"/>
      <c r="AI1371" s="63"/>
      <c r="AJ1371" s="63"/>
      <c r="AK1371" s="63"/>
      <c r="AL1371" s="63"/>
      <c r="AM1371" s="63"/>
      <c r="AN1371" s="63">
        <v>38</v>
      </c>
      <c r="AO1371" s="63"/>
      <c r="AP1371" s="63"/>
      <c r="AQ1371" s="63"/>
      <c r="AR1371" s="63"/>
      <c r="AS1371" s="63"/>
      <c r="AT1371" s="63"/>
      <c r="AU1371" s="63"/>
      <c r="AW1371" s="5">
        <f>IF(Q1371&gt;0,RANK(Q1371,(N1371:P1371,Q1371:AE1371)),0)</f>
        <v>3</v>
      </c>
      <c r="AX1371" s="5">
        <f>IF(R1371&gt;0,RANK(R1371,(N1371:P1371,Q1371:AE1371)),0)</f>
        <v>4</v>
      </c>
      <c r="AY1371" s="5">
        <f>IF(T1371&gt;0,RANK(T1371,(N1371:P1371,Q1371:AE1371)),0)</f>
        <v>0</v>
      </c>
      <c r="AZ1371" s="5">
        <f>IF(S1371&gt;0,RANK(S1371,(N1371:P1371,Q1371:AE1371)),0)</f>
        <v>6</v>
      </c>
      <c r="BA1371" s="2">
        <f t="shared" si="572"/>
        <v>2.4020114498306544E-2</v>
      </c>
      <c r="BB1371" s="2">
        <f t="shared" si="573"/>
        <v>9.9448205550139966E-3</v>
      </c>
      <c r="BC1371" s="2">
        <f t="shared" si="574"/>
        <v>0</v>
      </c>
      <c r="BD1371" s="2">
        <f t="shared" si="575"/>
        <v>2.1949128614483612E-3</v>
      </c>
      <c r="BF1371" t="s">
        <v>423</v>
      </c>
      <c r="BG1371" t="s">
        <v>3114</v>
      </c>
      <c r="BH1371" s="8"/>
      <c r="BJ1371" s="114">
        <v>26</v>
      </c>
      <c r="BK1371" s="116">
        <v>163</v>
      </c>
      <c r="BL1371" s="120">
        <f t="shared" si="555"/>
        <v>26163</v>
      </c>
      <c r="BN1371" s="5" t="s">
        <v>3154</v>
      </c>
      <c r="BY1371" s="63">
        <f t="shared" si="576"/>
        <v>0</v>
      </c>
      <c r="BZ1371" s="132">
        <f>5542+437+7784+1718+18801+519444+228993</f>
        <v>782719</v>
      </c>
      <c r="CA1371" s="63">
        <v>5542</v>
      </c>
      <c r="CB1371" s="132"/>
      <c r="CD1371" s="63">
        <v>4</v>
      </c>
      <c r="CE1371" s="63">
        <v>8</v>
      </c>
    </row>
    <row r="1372" spans="1:83" ht="13" hidden="1" customHeight="1" outlineLevel="1">
      <c r="A1372" t="s">
        <v>360</v>
      </c>
      <c r="B1372" t="s">
        <v>3114</v>
      </c>
      <c r="C1372" s="1">
        <f t="shared" si="567"/>
        <v>15370</v>
      </c>
      <c r="D1372" s="5">
        <f>IF(N1372&gt;0, RANK(N1372,(N1372:P1372,Q1372:AE1372)),0)</f>
        <v>2</v>
      </c>
      <c r="E1372" s="5">
        <f>IF(O1372&gt;0,RANK(O1372,(N1372:P1372,Q1372:AE1372)),0)</f>
        <v>1</v>
      </c>
      <c r="F1372" s="5">
        <f>IF(P1372&gt;0,RANK(P1372,(N1372:P1372,Q1372:AE1372)),0)</f>
        <v>7</v>
      </c>
      <c r="G1372" s="132">
        <f t="shared" si="565"/>
        <v>5564</v>
      </c>
      <c r="H1372" s="137">
        <f t="shared" si="566"/>
        <v>0.36200390370852309</v>
      </c>
      <c r="I1372" s="2"/>
      <c r="J1372" s="2">
        <f t="shared" si="568"/>
        <v>0.28861418347430057</v>
      </c>
      <c r="K1372" s="2">
        <f t="shared" si="569"/>
        <v>0.65061808718282366</v>
      </c>
      <c r="L1372" s="2">
        <f t="shared" si="570"/>
        <v>1.1060507482108003E-3</v>
      </c>
      <c r="M1372" s="2">
        <f t="shared" si="571"/>
        <v>5.9661678594664973E-2</v>
      </c>
      <c r="N1372" s="63">
        <v>4436</v>
      </c>
      <c r="O1372" s="63">
        <v>10000</v>
      </c>
      <c r="P1372" s="63">
        <v>17</v>
      </c>
      <c r="Q1372" s="63">
        <v>579</v>
      </c>
      <c r="R1372" s="63">
        <v>192</v>
      </c>
      <c r="S1372" s="63">
        <v>62</v>
      </c>
      <c r="T1372" s="63"/>
      <c r="U1372" s="63">
        <v>10</v>
      </c>
      <c r="V1372" s="63"/>
      <c r="W1372" s="63">
        <f>IF(Copyright!B$11=1,IF(CA1372&gt;0,CA1372-P1372-SUM(V1372)-SUM(Y1372:AG1372)-SUM(AH1372:AQ1372),SUM(CC1372:CJ1372)),SUM(CC1372:CJ1372))</f>
        <v>72</v>
      </c>
      <c r="X1372" s="63"/>
      <c r="Y1372" s="63">
        <v>2</v>
      </c>
      <c r="Z1372" s="63"/>
      <c r="AA1372" s="63">
        <v>0</v>
      </c>
      <c r="AB1372" s="63"/>
      <c r="AC1372" s="63"/>
      <c r="AD1372" s="63"/>
      <c r="AE1372" s="63">
        <v>0</v>
      </c>
      <c r="AF1372" s="63"/>
      <c r="AG1372" s="63"/>
      <c r="AH1372" s="63"/>
      <c r="AI1372" s="63"/>
      <c r="AJ1372" s="63"/>
      <c r="AK1372" s="63"/>
      <c r="AL1372" s="63"/>
      <c r="AM1372" s="63"/>
      <c r="AN1372" s="63">
        <v>0</v>
      </c>
      <c r="AO1372" s="63"/>
      <c r="AP1372" s="63"/>
      <c r="AQ1372" s="63"/>
      <c r="AR1372" s="63"/>
      <c r="AS1372" s="63"/>
      <c r="AT1372" s="63"/>
      <c r="AU1372" s="63"/>
      <c r="AW1372" s="5">
        <f>IF(Q1372&gt;0,RANK(Q1372,(N1372:P1372,Q1372:AE1372)),0)</f>
        <v>3</v>
      </c>
      <c r="AX1372" s="5">
        <f>IF(R1372&gt;0,RANK(R1372,(N1372:P1372,Q1372:AE1372)),0)</f>
        <v>4</v>
      </c>
      <c r="AY1372" s="5">
        <f>IF(T1372&gt;0,RANK(T1372,(N1372:P1372,Q1372:AE1372)),0)</f>
        <v>0</v>
      </c>
      <c r="AZ1372" s="5">
        <f>IF(S1372&gt;0,RANK(S1372,(N1372:P1372,Q1372:AE1372)),0)</f>
        <v>6</v>
      </c>
      <c r="BA1372" s="2">
        <f t="shared" si="572"/>
        <v>3.7670787247885494E-2</v>
      </c>
      <c r="BB1372" s="2">
        <f t="shared" si="573"/>
        <v>1.2491867273910214E-2</v>
      </c>
      <c r="BC1372" s="2">
        <f t="shared" si="574"/>
        <v>0</v>
      </c>
      <c r="BD1372" s="2">
        <f t="shared" si="575"/>
        <v>4.0338321405335069E-3</v>
      </c>
      <c r="BF1372" t="s">
        <v>360</v>
      </c>
      <c r="BG1372" t="s">
        <v>3114</v>
      </c>
      <c r="BH1372" s="8">
        <v>4</v>
      </c>
      <c r="BJ1372" s="114">
        <v>26</v>
      </c>
      <c r="BK1372" s="116">
        <v>165</v>
      </c>
      <c r="BL1372" s="120">
        <f t="shared" si="555"/>
        <v>26165</v>
      </c>
      <c r="BN1372" s="5" t="s">
        <v>3154</v>
      </c>
      <c r="BY1372" s="63">
        <f t="shared" si="576"/>
        <v>0</v>
      </c>
      <c r="BZ1372" s="132">
        <v>15370</v>
      </c>
      <c r="CA1372" s="63">
        <v>91</v>
      </c>
      <c r="CB1372" s="132"/>
      <c r="CD1372" s="63">
        <v>0</v>
      </c>
      <c r="CE1372" s="63">
        <v>0</v>
      </c>
    </row>
    <row r="1373" spans="1:83" collapsed="1">
      <c r="A1373" t="s">
        <v>1100</v>
      </c>
      <c r="B1373" t="s">
        <v>544</v>
      </c>
      <c r="C1373" s="1">
        <f t="shared" si="567"/>
        <v>4824542</v>
      </c>
      <c r="D1373" s="5">
        <f>IF(N1373&gt;0, RANK(N1373,(N1373:P1373,Q1373:AE1373)),0)</f>
        <v>2</v>
      </c>
      <c r="E1373" s="5">
        <f>IF(O1373&gt;0,RANK(O1373,(N1373:P1373,Q1373:AE1373)),0)</f>
        <v>1</v>
      </c>
      <c r="F1373" s="5">
        <f>IF(P1373&gt;0,RANK(P1373,(N1373:P1373,Q1373:AE1373)),0)</f>
        <v>7</v>
      </c>
      <c r="G1373" s="132">
        <f t="shared" si="565"/>
        <v>10704</v>
      </c>
      <c r="H1373" s="137">
        <f t="shared" si="566"/>
        <v>2.2186561957591002E-3</v>
      </c>
      <c r="I1373" s="2"/>
      <c r="J1373" s="2">
        <f t="shared" si="568"/>
        <v>0.4702703386145255</v>
      </c>
      <c r="K1373" s="2">
        <f t="shared" si="569"/>
        <v>0.47248899481028456</v>
      </c>
      <c r="L1373" s="2">
        <f t="shared" si="570"/>
        <v>1.6961195487571669E-3</v>
      </c>
      <c r="M1373" s="2">
        <f t="shared" si="571"/>
        <v>5.5544547026432779E-2</v>
      </c>
      <c r="N1373" s="63">
        <f t="shared" ref="N1373:S1373" si="577">SUM(N1290:N1372)</f>
        <v>2268839</v>
      </c>
      <c r="O1373" s="63">
        <f t="shared" si="577"/>
        <v>2279543</v>
      </c>
      <c r="P1373" s="63">
        <f t="shared" si="577"/>
        <v>8183</v>
      </c>
      <c r="Q1373" s="63">
        <f t="shared" si="577"/>
        <v>172136</v>
      </c>
      <c r="R1373" s="63">
        <f t="shared" si="577"/>
        <v>51463</v>
      </c>
      <c r="S1373" s="63">
        <f t="shared" si="577"/>
        <v>16139</v>
      </c>
      <c r="T1373" s="63"/>
      <c r="U1373" s="63">
        <f>SUM(U1290:U1372)</f>
        <v>2209</v>
      </c>
      <c r="V1373" s="63"/>
      <c r="W1373" s="63">
        <f>SUM(W1290:W1372)</f>
        <v>25301</v>
      </c>
      <c r="X1373" s="63"/>
      <c r="Y1373" s="63">
        <f>SUM(Y1290:Y1372)</f>
        <v>95</v>
      </c>
      <c r="Z1373" s="63"/>
      <c r="AA1373" s="63">
        <f>SUM(AA1290:AA1372)</f>
        <v>30</v>
      </c>
      <c r="AB1373" s="63"/>
      <c r="AC1373" s="63"/>
      <c r="AD1373" s="63"/>
      <c r="AE1373" s="63">
        <f>SUM(AE1290:AE1372)</f>
        <v>87</v>
      </c>
      <c r="AF1373" s="63"/>
      <c r="AG1373" s="63"/>
      <c r="AH1373" s="63"/>
      <c r="AI1373" s="63"/>
      <c r="AJ1373" s="63"/>
      <c r="AK1373" s="63"/>
      <c r="AL1373" s="63"/>
      <c r="AM1373" s="63"/>
      <c r="AN1373" s="63">
        <f>SUM(AN1290:AN1372)</f>
        <v>517</v>
      </c>
      <c r="AO1373" s="63"/>
      <c r="AP1373" s="63"/>
      <c r="AQ1373" s="63"/>
      <c r="AR1373" s="63"/>
      <c r="AS1373" s="63"/>
      <c r="AT1373" s="63"/>
      <c r="AU1373" s="63"/>
      <c r="AW1373" s="5">
        <f>IF(Q1373&gt;0,RANK(Q1373,(N1373:P1373,Q1373:AE1373)),0)</f>
        <v>3</v>
      </c>
      <c r="AX1373" s="5">
        <f>IF(R1373&gt;0,RANK(R1373,(N1373:P1373,Q1373:AE1373)),0)</f>
        <v>4</v>
      </c>
      <c r="AY1373" s="5">
        <f>IF(T1373&gt;0,RANK(T1373,(N1373:P1373,Q1373:AE1373)),0)</f>
        <v>0</v>
      </c>
      <c r="AZ1373" s="5">
        <f>IF(S1373&gt;0,RANK(S1373,(N1373:P1373,Q1373:AE1373)),0)</f>
        <v>6</v>
      </c>
      <c r="BA1373" s="2">
        <f t="shared" si="572"/>
        <v>3.5679241677241076E-2</v>
      </c>
      <c r="BB1373" s="2">
        <f t="shared" si="573"/>
        <v>1.0666919264046204E-2</v>
      </c>
      <c r="BC1373" s="2">
        <f t="shared" si="574"/>
        <v>0</v>
      </c>
      <c r="BD1373" s="2">
        <f t="shared" si="575"/>
        <v>3.3451879991924622E-3</v>
      </c>
      <c r="BF1373" t="s">
        <v>1100</v>
      </c>
      <c r="BG1373" t="s">
        <v>544</v>
      </c>
      <c r="BJ1373" s="114">
        <v>26</v>
      </c>
      <c r="BK1373" s="116"/>
      <c r="BL1373" s="114">
        <v>26</v>
      </c>
      <c r="BN1373" s="5" t="s">
        <v>711</v>
      </c>
      <c r="BY1373" s="63">
        <f t="shared" si="576"/>
        <v>1005918</v>
      </c>
      <c r="BZ1373" s="63">
        <f>SUM(BZ1290:BZ1372)</f>
        <v>3818624</v>
      </c>
      <c r="CA1373" s="63">
        <f>SUM(CA1290:CA1372)</f>
        <v>32829</v>
      </c>
      <c r="CB1373" s="132"/>
      <c r="CD1373" s="63">
        <f>SUM(CD1290:CD1372)</f>
        <v>10</v>
      </c>
      <c r="CE1373" s="63">
        <f>SUM(CE1290:CE1372)</f>
        <v>39</v>
      </c>
    </row>
    <row r="1374" spans="1:83">
      <c r="C1374" s="1"/>
      <c r="E1374" s="5"/>
      <c r="F1374" s="5"/>
      <c r="G1374" s="132"/>
      <c r="H1374" s="137"/>
      <c r="I1374" s="2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W1374" s="5"/>
      <c r="AX1374" s="5"/>
      <c r="AY1374" s="5"/>
      <c r="AZ1374" s="5"/>
      <c r="BJ1374" s="114"/>
      <c r="BK1374" s="116"/>
      <c r="BL1374" s="120"/>
      <c r="CB1374" s="132"/>
      <c r="CC1374" s="132"/>
      <c r="CD1374" s="132"/>
    </row>
    <row r="1375" spans="1:83" hidden="1" outlineLevel="1">
      <c r="A1375" t="s">
        <v>1147</v>
      </c>
      <c r="B1375" t="s">
        <v>2725</v>
      </c>
      <c r="C1375" s="1">
        <f t="shared" ref="C1375:C1406" si="578">SUM(N1375:AU1375)</f>
        <v>9231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4</v>
      </c>
      <c r="G1375" s="132">
        <f t="shared" si="565"/>
        <v>2382</v>
      </c>
      <c r="H1375" s="137">
        <f t="shared" si="566"/>
        <v>0.25804354891127723</v>
      </c>
      <c r="I1375" s="2"/>
      <c r="J1375" s="2">
        <f t="shared" ref="J1375:J1406" si="579">IF($C1375=0,"-",N1375/$C1375)</f>
        <v>0.3395081789621926</v>
      </c>
      <c r="K1375" s="2">
        <f t="shared" ref="K1375:K1406" si="580">IF($C1375=0,"-",O1375/$C1375)</f>
        <v>0.59755172787346988</v>
      </c>
      <c r="L1375" s="2">
        <f t="shared" ref="L1375:L1406" si="581">IF($C1375=0,"-",P1375/$C1375)</f>
        <v>1.3432997508395623E-2</v>
      </c>
      <c r="M1375" s="2">
        <f t="shared" ref="M1375:M1406" si="582">IF(C1375=0,"-",(1-J1375-K1375-L1375))</f>
        <v>4.9507095655941954E-2</v>
      </c>
      <c r="N1375" s="63">
        <v>3134</v>
      </c>
      <c r="O1375" s="63">
        <v>5516</v>
      </c>
      <c r="P1375" s="63">
        <v>124</v>
      </c>
      <c r="Q1375" s="63">
        <v>263</v>
      </c>
      <c r="R1375" s="63">
        <v>67</v>
      </c>
      <c r="S1375" s="63">
        <v>22</v>
      </c>
      <c r="T1375" s="63">
        <v>3</v>
      </c>
      <c r="U1375" s="63">
        <v>0</v>
      </c>
      <c r="V1375" s="63">
        <v>0</v>
      </c>
      <c r="W1375" s="63">
        <f>CA1375-SUM(U1375:V1375)-SUM(Y1375:AB1375)-SUM(AD1375:AQ1375)</f>
        <v>46</v>
      </c>
      <c r="X1375" s="63">
        <v>6</v>
      </c>
      <c r="Y1375" s="63">
        <v>0</v>
      </c>
      <c r="Z1375" s="63">
        <v>0</v>
      </c>
      <c r="AA1375" s="63"/>
      <c r="AB1375" s="63"/>
      <c r="AC1375" s="63">
        <v>50</v>
      </c>
      <c r="AD1375" s="63"/>
      <c r="AE1375" s="63">
        <v>0</v>
      </c>
      <c r="AF1375" s="63">
        <v>0</v>
      </c>
      <c r="AG1375" s="63">
        <v>0</v>
      </c>
      <c r="AH1375" s="63"/>
      <c r="AI1375" s="63"/>
      <c r="AJ1375" s="63"/>
      <c r="AK1375" s="63"/>
      <c r="AL1375" s="63"/>
      <c r="AM1375" s="63"/>
      <c r="AN1375" s="63">
        <v>0</v>
      </c>
      <c r="AO1375" s="63"/>
      <c r="AP1375" s="63"/>
      <c r="AQ1375" s="63">
        <v>0</v>
      </c>
      <c r="AR1375" s="63"/>
      <c r="AS1375" s="63"/>
      <c r="AT1375" s="63"/>
      <c r="AU1375" s="63"/>
      <c r="AW1375" s="5">
        <f>IF(Q1375&gt;0,RANK(Q1375,(N1375:P1375,Q1375:AE1375)),0)</f>
        <v>3</v>
      </c>
      <c r="AX1375" s="5">
        <f>IF(R1375&gt;0,RANK(R1375,(N1375:P1375,Q1375:AE1375)),0)</f>
        <v>5</v>
      </c>
      <c r="AY1375" s="5">
        <f>IF(T1375&gt;0,RANK(T1375,(N1375:P1375,Q1375:AE1375)),0)</f>
        <v>10</v>
      </c>
      <c r="AZ1375" s="5">
        <f>IF(S1375&gt;0,RANK(S1375,(N1375:P1375,Q1375:AE1375)),0)</f>
        <v>8</v>
      </c>
      <c r="BA1375" s="2">
        <f t="shared" ref="BA1375:BA1406" si="583">IF($C1375=0,"-",Q1375/$C1375)</f>
        <v>2.8490954392806845E-2</v>
      </c>
      <c r="BB1375" s="2">
        <f t="shared" ref="BB1375:BB1406" si="584">IF($C1375=0,"-",R1375/$C1375)</f>
        <v>7.2581518795363448E-3</v>
      </c>
      <c r="BC1375" s="2">
        <f t="shared" ref="BC1375:BC1406" si="585">IF($C1375=0,"-",T1375/$C1375)</f>
        <v>3.2499187520311994E-4</v>
      </c>
      <c r="BD1375" s="2">
        <f t="shared" ref="BD1375:BD1406" si="586">IF($C1375=0,"-",S1375/$C1375)</f>
        <v>2.3832737514895459E-3</v>
      </c>
      <c r="BF1375" t="s">
        <v>1147</v>
      </c>
      <c r="BG1375" t="s">
        <v>2725</v>
      </c>
      <c r="BH1375" s="8">
        <v>8</v>
      </c>
      <c r="BJ1375" s="114">
        <v>27</v>
      </c>
      <c r="BK1375" s="116">
        <v>1</v>
      </c>
      <c r="BL1375" s="120">
        <f t="shared" si="555"/>
        <v>27001</v>
      </c>
      <c r="BN1375" s="5" t="s">
        <v>3154</v>
      </c>
      <c r="CA1375" s="63">
        <v>46</v>
      </c>
    </row>
    <row r="1376" spans="1:83" hidden="1" outlineLevel="1">
      <c r="A1376" t="s">
        <v>214</v>
      </c>
      <c r="B1376" t="s">
        <v>2725</v>
      </c>
      <c r="C1376" s="1">
        <f t="shared" si="578"/>
        <v>185758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4</v>
      </c>
      <c r="G1376" s="132">
        <f t="shared" si="565"/>
        <v>17839</v>
      </c>
      <c r="H1376" s="137">
        <f t="shared" si="566"/>
        <v>9.6033549026152312E-2</v>
      </c>
      <c r="I1376" s="2"/>
      <c r="J1376" s="2">
        <f t="shared" si="579"/>
        <v>0.40644279115838888</v>
      </c>
      <c r="K1376" s="2">
        <f t="shared" si="580"/>
        <v>0.50247634018454113</v>
      </c>
      <c r="L1376" s="2">
        <f t="shared" si="581"/>
        <v>1.9837638217465734E-2</v>
      </c>
      <c r="M1376" s="2">
        <f t="shared" si="582"/>
        <v>7.124323043960426E-2</v>
      </c>
      <c r="N1376" s="63">
        <v>75500</v>
      </c>
      <c r="O1376" s="63">
        <v>93339</v>
      </c>
      <c r="P1376" s="63">
        <v>3685</v>
      </c>
      <c r="Q1376" s="63">
        <v>7726</v>
      </c>
      <c r="R1376" s="63">
        <v>2123</v>
      </c>
      <c r="S1376" s="63">
        <v>661</v>
      </c>
      <c r="T1376" s="63">
        <v>96</v>
      </c>
      <c r="U1376" s="63">
        <v>1</v>
      </c>
      <c r="V1376" s="63">
        <v>2</v>
      </c>
      <c r="W1376" s="63">
        <f t="shared" ref="W1376:W1439" si="587">CA1376-SUM(U1376:V1376)-SUM(Y1376:AB1376)-SUM(AD1376:AQ1376)</f>
        <v>1652</v>
      </c>
      <c r="X1376" s="63">
        <v>89</v>
      </c>
      <c r="Y1376" s="63">
        <v>2</v>
      </c>
      <c r="Z1376" s="63">
        <v>0</v>
      </c>
      <c r="AA1376" s="63"/>
      <c r="AB1376" s="63"/>
      <c r="AC1376" s="63">
        <v>864</v>
      </c>
      <c r="AD1376" s="63"/>
      <c r="AE1376" s="63">
        <v>0</v>
      </c>
      <c r="AF1376" s="63">
        <v>0</v>
      </c>
      <c r="AG1376" s="63">
        <v>3</v>
      </c>
      <c r="AH1376" s="63"/>
      <c r="AI1376" s="63"/>
      <c r="AJ1376" s="63"/>
      <c r="AK1376" s="63"/>
      <c r="AL1376" s="63"/>
      <c r="AM1376" s="63"/>
      <c r="AN1376" s="63">
        <v>15</v>
      </c>
      <c r="AO1376" s="63"/>
      <c r="AP1376" s="63"/>
      <c r="AQ1376" s="63">
        <v>0</v>
      </c>
      <c r="AR1376" s="63"/>
      <c r="AS1376" s="63"/>
      <c r="AT1376" s="63"/>
      <c r="AU1376" s="63"/>
      <c r="AW1376" s="5">
        <f>IF(Q1376&gt;0,RANK(Q1376,(N1376:P1376,Q1376:AE1376)),0)</f>
        <v>3</v>
      </c>
      <c r="AX1376" s="5">
        <f>IF(R1376&gt;0,RANK(R1376,(N1376:P1376,Q1376:AE1376)),0)</f>
        <v>5</v>
      </c>
      <c r="AY1376" s="5">
        <f>IF(T1376&gt;0,RANK(T1376,(N1376:P1376,Q1376:AE1376)),0)</f>
        <v>9</v>
      </c>
      <c r="AZ1376" s="5">
        <f>IF(S1376&gt;0,RANK(S1376,(N1376:P1376,Q1376:AE1376)),0)</f>
        <v>8</v>
      </c>
      <c r="BA1376" s="2">
        <f t="shared" si="583"/>
        <v>4.1591748403837253E-2</v>
      </c>
      <c r="BB1376" s="2">
        <f t="shared" si="584"/>
        <v>1.142884828648026E-2</v>
      </c>
      <c r="BC1376" s="2">
        <f t="shared" si="585"/>
        <v>5.1680142981728918E-4</v>
      </c>
      <c r="BD1376" s="2">
        <f t="shared" si="586"/>
        <v>3.5583931782211262E-3</v>
      </c>
      <c r="BF1376" t="s">
        <v>214</v>
      </c>
      <c r="BG1376" t="s">
        <v>2725</v>
      </c>
      <c r="BH1376" s="8"/>
      <c r="BJ1376" s="114">
        <v>27</v>
      </c>
      <c r="BK1376" s="116">
        <v>3</v>
      </c>
      <c r="BL1376" s="120">
        <f t="shared" si="555"/>
        <v>27003</v>
      </c>
      <c r="BN1376" s="5" t="s">
        <v>3154</v>
      </c>
      <c r="CA1376" s="63">
        <v>1675</v>
      </c>
    </row>
    <row r="1377" spans="1:79" hidden="1" outlineLevel="1">
      <c r="A1377" t="s">
        <v>249</v>
      </c>
      <c r="B1377" t="s">
        <v>2725</v>
      </c>
      <c r="C1377" s="1">
        <f t="shared" si="578"/>
        <v>17222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4</v>
      </c>
      <c r="G1377" s="132">
        <f t="shared" si="565"/>
        <v>5672</v>
      </c>
      <c r="H1377" s="137">
        <f t="shared" si="566"/>
        <v>0.32934618511206598</v>
      </c>
      <c r="I1377" s="2"/>
      <c r="J1377" s="2">
        <f t="shared" si="579"/>
        <v>0.30240390198583206</v>
      </c>
      <c r="K1377" s="2">
        <f t="shared" si="580"/>
        <v>0.63175008709789804</v>
      </c>
      <c r="L1377" s="2">
        <f t="shared" si="581"/>
        <v>9.9291603762629195E-3</v>
      </c>
      <c r="M1377" s="2">
        <f t="shared" si="582"/>
        <v>5.5916850540007043E-2</v>
      </c>
      <c r="N1377" s="63">
        <v>5208</v>
      </c>
      <c r="O1377" s="63">
        <v>10880</v>
      </c>
      <c r="P1377" s="63">
        <v>171</v>
      </c>
      <c r="Q1377" s="63">
        <v>580</v>
      </c>
      <c r="R1377" s="63">
        <v>130</v>
      </c>
      <c r="S1377" s="63">
        <v>56</v>
      </c>
      <c r="T1377" s="63">
        <v>5</v>
      </c>
      <c r="U1377" s="63">
        <v>0</v>
      </c>
      <c r="V1377" s="63">
        <v>0</v>
      </c>
      <c r="W1377" s="63">
        <f t="shared" si="587"/>
        <v>131</v>
      </c>
      <c r="X1377" s="63">
        <v>13</v>
      </c>
      <c r="Y1377" s="63">
        <v>0</v>
      </c>
      <c r="Z1377" s="63">
        <v>0</v>
      </c>
      <c r="AA1377" s="63"/>
      <c r="AB1377" s="63"/>
      <c r="AC1377" s="63">
        <v>48</v>
      </c>
      <c r="AD1377" s="63"/>
      <c r="AE1377" s="63">
        <v>0</v>
      </c>
      <c r="AF1377" s="63">
        <v>0</v>
      </c>
      <c r="AG1377" s="63">
        <v>0</v>
      </c>
      <c r="AH1377" s="63"/>
      <c r="AI1377" s="63"/>
      <c r="AJ1377" s="63"/>
      <c r="AK1377" s="63"/>
      <c r="AL1377" s="63"/>
      <c r="AM1377" s="63"/>
      <c r="AN1377" s="63">
        <v>0</v>
      </c>
      <c r="AO1377" s="63"/>
      <c r="AP1377" s="63"/>
      <c r="AQ1377" s="63">
        <v>0</v>
      </c>
      <c r="AR1377" s="63"/>
      <c r="AS1377" s="63"/>
      <c r="AT1377" s="63"/>
      <c r="AU1377" s="63"/>
      <c r="AW1377" s="5">
        <f>IF(Q1377&gt;0,RANK(Q1377,(N1377:P1377,Q1377:AE1377)),0)</f>
        <v>3</v>
      </c>
      <c r="AX1377" s="5">
        <f>IF(R1377&gt;0,RANK(R1377,(N1377:P1377,Q1377:AE1377)),0)</f>
        <v>6</v>
      </c>
      <c r="AY1377" s="5">
        <f>IF(T1377&gt;0,RANK(T1377,(N1377:P1377,Q1377:AE1377)),0)</f>
        <v>10</v>
      </c>
      <c r="AZ1377" s="5">
        <f>IF(S1377&gt;0,RANK(S1377,(N1377:P1377,Q1377:AE1377)),0)</f>
        <v>7</v>
      </c>
      <c r="BA1377" s="2">
        <f t="shared" si="583"/>
        <v>3.3677853907792356E-2</v>
      </c>
      <c r="BB1377" s="2">
        <f t="shared" si="584"/>
        <v>7.5484844965741493E-3</v>
      </c>
      <c r="BC1377" s="2">
        <f t="shared" si="585"/>
        <v>2.9032632679131345E-4</v>
      </c>
      <c r="BD1377" s="2">
        <f t="shared" si="586"/>
        <v>3.2516548600627104E-3</v>
      </c>
      <c r="BF1377" t="s">
        <v>249</v>
      </c>
      <c r="BG1377" t="s">
        <v>2725</v>
      </c>
      <c r="BH1377" s="8">
        <v>7</v>
      </c>
      <c r="BJ1377" s="114">
        <v>27</v>
      </c>
      <c r="BK1377" s="116">
        <v>5</v>
      </c>
      <c r="BL1377" s="120">
        <f t="shared" si="555"/>
        <v>27005</v>
      </c>
      <c r="BN1377" s="5" t="s">
        <v>3154</v>
      </c>
      <c r="CA1377" s="63">
        <v>131</v>
      </c>
    </row>
    <row r="1378" spans="1:79" hidden="1" outlineLevel="1">
      <c r="A1378" t="s">
        <v>1721</v>
      </c>
      <c r="B1378" t="s">
        <v>2725</v>
      </c>
      <c r="C1378" s="1">
        <f t="shared" si="578"/>
        <v>21564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>IF(P1378&gt;0,RANK(P1378,(N1378:P1378,Q1378:AE1378)),0)</f>
        <v>4</v>
      </c>
      <c r="G1378" s="132">
        <f t="shared" si="565"/>
        <v>2095</v>
      </c>
      <c r="H1378" s="137">
        <f t="shared" si="566"/>
        <v>9.715266184381377E-2</v>
      </c>
      <c r="I1378" s="2"/>
      <c r="J1378" s="2">
        <f t="shared" si="579"/>
        <v>0.40289371174179189</v>
      </c>
      <c r="K1378" s="2">
        <f t="shared" si="580"/>
        <v>0.50004637358560566</v>
      </c>
      <c r="L1378" s="2">
        <f t="shared" si="581"/>
        <v>2.0589872008903727E-2</v>
      </c>
      <c r="M1378" s="2">
        <f t="shared" si="582"/>
        <v>7.6470042663698723E-2</v>
      </c>
      <c r="N1378" s="63">
        <v>8688</v>
      </c>
      <c r="O1378" s="63">
        <v>10783</v>
      </c>
      <c r="P1378" s="63">
        <v>444</v>
      </c>
      <c r="Q1378" s="63">
        <v>780</v>
      </c>
      <c r="R1378" s="63">
        <v>420</v>
      </c>
      <c r="S1378" s="63">
        <v>67</v>
      </c>
      <c r="T1378" s="63">
        <v>14</v>
      </c>
      <c r="U1378" s="63">
        <v>0</v>
      </c>
      <c r="V1378" s="63">
        <v>0</v>
      </c>
      <c r="W1378" s="63">
        <f t="shared" si="587"/>
        <v>248</v>
      </c>
      <c r="X1378" s="63">
        <v>14</v>
      </c>
      <c r="Y1378" s="63">
        <v>0</v>
      </c>
      <c r="Z1378" s="63">
        <v>0</v>
      </c>
      <c r="AA1378" s="63"/>
      <c r="AB1378" s="63"/>
      <c r="AC1378" s="63">
        <v>106</v>
      </c>
      <c r="AD1378" s="63"/>
      <c r="AE1378" s="63">
        <v>0</v>
      </c>
      <c r="AF1378" s="63">
        <v>0</v>
      </c>
      <c r="AG1378" s="63">
        <v>0</v>
      </c>
      <c r="AH1378" s="63"/>
      <c r="AI1378" s="63"/>
      <c r="AJ1378" s="63"/>
      <c r="AK1378" s="63"/>
      <c r="AL1378" s="63"/>
      <c r="AM1378" s="63"/>
      <c r="AN1378" s="63">
        <v>0</v>
      </c>
      <c r="AO1378" s="63"/>
      <c r="AP1378" s="63"/>
      <c r="AQ1378" s="63">
        <v>0</v>
      </c>
      <c r="AR1378" s="63"/>
      <c r="AS1378" s="63"/>
      <c r="AT1378" s="63"/>
      <c r="AU1378" s="63"/>
      <c r="AW1378" s="5">
        <f>IF(Q1378&gt;0,RANK(Q1378,(N1378:P1378,Q1378:AE1378)),0)</f>
        <v>3</v>
      </c>
      <c r="AX1378" s="5">
        <f>IF(R1378&gt;0,RANK(R1378,(N1378:P1378,Q1378:AE1378)),0)</f>
        <v>5</v>
      </c>
      <c r="AY1378" s="5">
        <f>IF(T1378&gt;0,RANK(T1378,(N1378:P1378,Q1378:AE1378)),0)</f>
        <v>9</v>
      </c>
      <c r="AZ1378" s="5">
        <f>IF(S1378&gt;0,RANK(S1378,(N1378:P1378,Q1378:AE1378)),0)</f>
        <v>8</v>
      </c>
      <c r="BA1378" s="2">
        <f t="shared" si="583"/>
        <v>3.6171396772398445E-2</v>
      </c>
      <c r="BB1378" s="2">
        <f t="shared" si="584"/>
        <v>1.9476905954368393E-2</v>
      </c>
      <c r="BC1378" s="2">
        <f t="shared" si="585"/>
        <v>6.4923019847894638E-4</v>
      </c>
      <c r="BD1378" s="2">
        <f t="shared" si="586"/>
        <v>3.1070302355778148E-3</v>
      </c>
      <c r="BF1378" t="s">
        <v>1721</v>
      </c>
      <c r="BG1378" t="s">
        <v>2725</v>
      </c>
      <c r="BH1378" s="8"/>
      <c r="BJ1378" s="114">
        <v>27</v>
      </c>
      <c r="BK1378" s="116">
        <v>7</v>
      </c>
      <c r="BL1378" s="120">
        <f t="shared" si="555"/>
        <v>27007</v>
      </c>
      <c r="BN1378" s="5" t="s">
        <v>3154</v>
      </c>
      <c r="CA1378" s="63">
        <v>248</v>
      </c>
    </row>
    <row r="1379" spans="1:79" hidden="1" outlineLevel="1">
      <c r="A1379" t="s">
        <v>1098</v>
      </c>
      <c r="B1379" t="s">
        <v>2725</v>
      </c>
      <c r="C1379" s="1">
        <f t="shared" si="578"/>
        <v>20058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4</v>
      </c>
      <c r="G1379" s="132">
        <f t="shared" si="565"/>
        <v>7232</v>
      </c>
      <c r="H1379" s="137">
        <f t="shared" si="566"/>
        <v>0.36055439226243891</v>
      </c>
      <c r="I1379" s="2"/>
      <c r="J1379" s="2">
        <f t="shared" si="579"/>
        <v>0.28118456476218967</v>
      </c>
      <c r="K1379" s="2">
        <f t="shared" si="580"/>
        <v>0.64173895702462858</v>
      </c>
      <c r="L1379" s="2">
        <f t="shared" si="581"/>
        <v>1.6203011267324759E-2</v>
      </c>
      <c r="M1379" s="2">
        <f t="shared" si="582"/>
        <v>6.0873466945856991E-2</v>
      </c>
      <c r="N1379" s="63">
        <v>5640</v>
      </c>
      <c r="O1379" s="63">
        <v>12872</v>
      </c>
      <c r="P1379" s="63">
        <v>325</v>
      </c>
      <c r="Q1379" s="63">
        <v>683</v>
      </c>
      <c r="R1379" s="63">
        <v>245</v>
      </c>
      <c r="S1379" s="63">
        <v>57</v>
      </c>
      <c r="T1379" s="63">
        <v>11</v>
      </c>
      <c r="U1379" s="63">
        <v>0</v>
      </c>
      <c r="V1379" s="63">
        <v>0</v>
      </c>
      <c r="W1379" s="63">
        <f t="shared" si="587"/>
        <v>145</v>
      </c>
      <c r="X1379" s="63">
        <v>15</v>
      </c>
      <c r="Y1379" s="63">
        <v>0</v>
      </c>
      <c r="Z1379" s="63">
        <v>0</v>
      </c>
      <c r="AA1379" s="63"/>
      <c r="AB1379" s="63"/>
      <c r="AC1379" s="63">
        <v>63</v>
      </c>
      <c r="AD1379" s="63"/>
      <c r="AE1379" s="63">
        <v>0</v>
      </c>
      <c r="AF1379" s="63">
        <v>0</v>
      </c>
      <c r="AG1379" s="63">
        <v>0</v>
      </c>
      <c r="AH1379" s="63"/>
      <c r="AI1379" s="63"/>
      <c r="AJ1379" s="63"/>
      <c r="AK1379" s="63"/>
      <c r="AL1379" s="63"/>
      <c r="AM1379" s="63"/>
      <c r="AN1379" s="63">
        <v>2</v>
      </c>
      <c r="AO1379" s="63"/>
      <c r="AP1379" s="63"/>
      <c r="AQ1379" s="63">
        <v>0</v>
      </c>
      <c r="AR1379" s="63"/>
      <c r="AS1379" s="63"/>
      <c r="AT1379" s="63"/>
      <c r="AU1379" s="63"/>
      <c r="AW1379" s="5">
        <f>IF(Q1379&gt;0,RANK(Q1379,(N1379:P1379,Q1379:AE1379)),0)</f>
        <v>3</v>
      </c>
      <c r="AX1379" s="5">
        <f>IF(R1379&gt;0,RANK(R1379,(N1379:P1379,Q1379:AE1379)),0)</f>
        <v>5</v>
      </c>
      <c r="AY1379" s="5">
        <f>IF(T1379&gt;0,RANK(T1379,(N1379:P1379,Q1379:AE1379)),0)</f>
        <v>10</v>
      </c>
      <c r="AZ1379" s="5">
        <f>IF(S1379&gt;0,RANK(S1379,(N1379:P1379,Q1379:AE1379)),0)</f>
        <v>8</v>
      </c>
      <c r="BA1379" s="2">
        <f t="shared" si="583"/>
        <v>3.4051251371024029E-2</v>
      </c>
      <c r="BB1379" s="2">
        <f t="shared" si="584"/>
        <v>1.2214577724598663E-2</v>
      </c>
      <c r="BC1379" s="2">
        <f t="shared" si="585"/>
        <v>5.4840961212483793E-4</v>
      </c>
      <c r="BD1379" s="2">
        <f t="shared" si="586"/>
        <v>2.8417588991923423E-3</v>
      </c>
      <c r="BF1379" t="s">
        <v>1098</v>
      </c>
      <c r="BG1379" t="s">
        <v>2725</v>
      </c>
      <c r="BH1379" s="8">
        <v>6</v>
      </c>
      <c r="BJ1379" s="114">
        <v>27</v>
      </c>
      <c r="BK1379" s="116">
        <v>9</v>
      </c>
      <c r="BL1379" s="120">
        <f t="shared" si="555"/>
        <v>27009</v>
      </c>
      <c r="BN1379" s="5" t="s">
        <v>3154</v>
      </c>
      <c r="CA1379" s="63">
        <v>147</v>
      </c>
    </row>
    <row r="1380" spans="1:79" hidden="1" outlineLevel="1">
      <c r="A1380" t="s">
        <v>1601</v>
      </c>
      <c r="B1380" t="s">
        <v>2725</v>
      </c>
      <c r="C1380" s="1">
        <f t="shared" si="578"/>
        <v>2755</v>
      </c>
      <c r="D1380" s="5">
        <f>IF(N1380&gt;0, RANK(N1380,(N1380:P1380,Q1380:AE1380)),0)</f>
        <v>2</v>
      </c>
      <c r="E1380" s="5">
        <f>IF(O1380&gt;0,RANK(O1380,(N1380:P1380,Q1380:AE1380)),0)</f>
        <v>1</v>
      </c>
      <c r="F1380" s="5">
        <f>IF(P1380&gt;0,RANK(P1380,(N1380:P1380,Q1380:AE1380)),0)</f>
        <v>4</v>
      </c>
      <c r="G1380" s="132">
        <f t="shared" si="565"/>
        <v>687</v>
      </c>
      <c r="H1380" s="137">
        <f t="shared" si="566"/>
        <v>0.24936479128856626</v>
      </c>
      <c r="I1380" s="2"/>
      <c r="J1380" s="2">
        <f t="shared" si="579"/>
        <v>0.33430127041742286</v>
      </c>
      <c r="K1380" s="2">
        <f t="shared" si="580"/>
        <v>0.58366606170598911</v>
      </c>
      <c r="L1380" s="2">
        <f t="shared" si="581"/>
        <v>2.1415607985480943E-2</v>
      </c>
      <c r="M1380" s="2">
        <f t="shared" si="582"/>
        <v>6.0617059891107085E-2</v>
      </c>
      <c r="N1380" s="63">
        <v>921</v>
      </c>
      <c r="O1380" s="63">
        <v>1608</v>
      </c>
      <c r="P1380" s="63">
        <v>59</v>
      </c>
      <c r="Q1380" s="63">
        <v>94</v>
      </c>
      <c r="R1380" s="63">
        <v>20</v>
      </c>
      <c r="S1380" s="63">
        <v>14</v>
      </c>
      <c r="T1380" s="63">
        <v>1</v>
      </c>
      <c r="U1380" s="63">
        <v>0</v>
      </c>
      <c r="V1380" s="63">
        <v>0</v>
      </c>
      <c r="W1380" s="63">
        <f t="shared" si="587"/>
        <v>23</v>
      </c>
      <c r="X1380" s="63">
        <v>1</v>
      </c>
      <c r="Y1380" s="63">
        <v>0</v>
      </c>
      <c r="Z1380" s="63">
        <v>0</v>
      </c>
      <c r="AA1380" s="63"/>
      <c r="AB1380" s="63"/>
      <c r="AC1380" s="63">
        <v>12</v>
      </c>
      <c r="AD1380" s="63"/>
      <c r="AE1380" s="63">
        <v>0</v>
      </c>
      <c r="AF1380" s="63">
        <v>0</v>
      </c>
      <c r="AG1380" s="63">
        <v>0</v>
      </c>
      <c r="AH1380" s="63"/>
      <c r="AI1380" s="63"/>
      <c r="AJ1380" s="63"/>
      <c r="AK1380" s="63"/>
      <c r="AL1380" s="63"/>
      <c r="AM1380" s="63"/>
      <c r="AN1380" s="63">
        <v>2</v>
      </c>
      <c r="AO1380" s="63"/>
      <c r="AP1380" s="63"/>
      <c r="AQ1380" s="63">
        <v>0</v>
      </c>
      <c r="AR1380" s="63"/>
      <c r="AS1380" s="63"/>
      <c r="AT1380" s="63"/>
      <c r="AU1380" s="63"/>
      <c r="AW1380" s="5">
        <f>IF(Q1380&gt;0,RANK(Q1380,(N1380:P1380,Q1380:AE1380)),0)</f>
        <v>3</v>
      </c>
      <c r="AX1380" s="5">
        <f>IF(R1380&gt;0,RANK(R1380,(N1380:P1380,Q1380:AE1380)),0)</f>
        <v>6</v>
      </c>
      <c r="AY1380" s="5">
        <f>IF(T1380&gt;0,RANK(T1380,(N1380:P1380,Q1380:AE1380)),0)</f>
        <v>9</v>
      </c>
      <c r="AZ1380" s="5">
        <f>IF(S1380&gt;0,RANK(S1380,(N1380:P1380,Q1380:AE1380)),0)</f>
        <v>7</v>
      </c>
      <c r="BA1380" s="2">
        <f t="shared" si="583"/>
        <v>3.4119782214156083E-2</v>
      </c>
      <c r="BB1380" s="2">
        <f t="shared" si="584"/>
        <v>7.2595281306715061E-3</v>
      </c>
      <c r="BC1380" s="2">
        <f t="shared" si="585"/>
        <v>3.6297640653357529E-4</v>
      </c>
      <c r="BD1380" s="2">
        <f t="shared" si="586"/>
        <v>5.0816696914700544E-3</v>
      </c>
      <c r="BF1380" t="s">
        <v>1601</v>
      </c>
      <c r="BG1380" t="s">
        <v>2725</v>
      </c>
      <c r="BH1380" s="8">
        <v>7</v>
      </c>
      <c r="BJ1380" s="114">
        <v>27</v>
      </c>
      <c r="BK1380" s="116">
        <v>11</v>
      </c>
      <c r="BL1380" s="120">
        <f t="shared" si="555"/>
        <v>27011</v>
      </c>
      <c r="BN1380" s="5" t="s">
        <v>3154</v>
      </c>
      <c r="CA1380" s="63">
        <v>25</v>
      </c>
    </row>
    <row r="1381" spans="1:79" hidden="1" outlineLevel="1">
      <c r="A1381" t="s">
        <v>3140</v>
      </c>
      <c r="B1381" t="s">
        <v>2725</v>
      </c>
      <c r="C1381" s="1">
        <f t="shared" si="578"/>
        <v>33593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>IF(P1381&gt;0,RANK(P1381,(N1381:P1381,Q1381:AE1381)),0)</f>
        <v>4</v>
      </c>
      <c r="G1381" s="132">
        <f t="shared" si="565"/>
        <v>1239</v>
      </c>
      <c r="H1381" s="137">
        <f t="shared" si="566"/>
        <v>3.6882683892477598E-2</v>
      </c>
      <c r="I1381" s="2"/>
      <c r="J1381" s="2">
        <f t="shared" si="579"/>
        <v>0.42949423987140178</v>
      </c>
      <c r="K1381" s="2">
        <f t="shared" si="580"/>
        <v>0.4663769237638794</v>
      </c>
      <c r="L1381" s="2">
        <f t="shared" si="581"/>
        <v>1.8009704402702945E-2</v>
      </c>
      <c r="M1381" s="2">
        <f t="shared" si="582"/>
        <v>8.6119131962015871E-2</v>
      </c>
      <c r="N1381" s="63">
        <v>14428</v>
      </c>
      <c r="O1381" s="63">
        <v>15667</v>
      </c>
      <c r="P1381" s="63">
        <v>605</v>
      </c>
      <c r="Q1381" s="63">
        <v>1604</v>
      </c>
      <c r="R1381" s="63">
        <v>587</v>
      </c>
      <c r="S1381" s="63">
        <v>156</v>
      </c>
      <c r="T1381" s="63">
        <v>24</v>
      </c>
      <c r="U1381" s="63">
        <v>0</v>
      </c>
      <c r="V1381" s="63">
        <v>0</v>
      </c>
      <c r="W1381" s="63">
        <f t="shared" si="587"/>
        <v>336</v>
      </c>
      <c r="X1381" s="63">
        <v>33</v>
      </c>
      <c r="Y1381" s="63">
        <v>0</v>
      </c>
      <c r="Z1381" s="63">
        <v>0</v>
      </c>
      <c r="AA1381" s="63"/>
      <c r="AB1381" s="63"/>
      <c r="AC1381" s="63">
        <v>152</v>
      </c>
      <c r="AD1381" s="63"/>
      <c r="AE1381" s="63">
        <v>1</v>
      </c>
      <c r="AF1381" s="63">
        <v>0</v>
      </c>
      <c r="AG1381" s="63">
        <v>0</v>
      </c>
      <c r="AH1381" s="63"/>
      <c r="AI1381" s="63"/>
      <c r="AJ1381" s="63"/>
      <c r="AK1381" s="63"/>
      <c r="AL1381" s="63"/>
      <c r="AM1381" s="63"/>
      <c r="AN1381" s="63">
        <v>0</v>
      </c>
      <c r="AO1381" s="63"/>
      <c r="AP1381" s="63"/>
      <c r="AQ1381" s="63">
        <v>0</v>
      </c>
      <c r="AR1381" s="63"/>
      <c r="AS1381" s="63"/>
      <c r="AT1381" s="63"/>
      <c r="AU1381" s="63"/>
      <c r="AW1381" s="5">
        <f>IF(Q1381&gt;0,RANK(Q1381,(N1381:P1381,Q1381:AE1381)),0)</f>
        <v>3</v>
      </c>
      <c r="AX1381" s="5">
        <f>IF(R1381&gt;0,RANK(R1381,(N1381:P1381,Q1381:AE1381)),0)</f>
        <v>5</v>
      </c>
      <c r="AY1381" s="5">
        <f>IF(T1381&gt;0,RANK(T1381,(N1381:P1381,Q1381:AE1381)),0)</f>
        <v>10</v>
      </c>
      <c r="AZ1381" s="5">
        <f>IF(S1381&gt;0,RANK(S1381,(N1381:P1381,Q1381:AE1381)),0)</f>
        <v>7</v>
      </c>
      <c r="BA1381" s="2">
        <f t="shared" si="583"/>
        <v>4.7748042747000861E-2</v>
      </c>
      <c r="BB1381" s="2">
        <f t="shared" si="584"/>
        <v>1.7473878486589468E-2</v>
      </c>
      <c r="BC1381" s="2">
        <f t="shared" si="585"/>
        <v>7.1443455481796805E-4</v>
      </c>
      <c r="BD1381" s="2">
        <f t="shared" si="586"/>
        <v>4.6438246063167923E-3</v>
      </c>
      <c r="BF1381" t="s">
        <v>3140</v>
      </c>
      <c r="BG1381" t="s">
        <v>2725</v>
      </c>
      <c r="BH1381" s="8">
        <v>1</v>
      </c>
      <c r="BJ1381" s="114">
        <v>27</v>
      </c>
      <c r="BK1381" s="116">
        <v>13</v>
      </c>
      <c r="BL1381" s="120">
        <f t="shared" si="555"/>
        <v>27013</v>
      </c>
      <c r="BN1381" s="5" t="s">
        <v>3154</v>
      </c>
      <c r="CA1381" s="63">
        <v>337</v>
      </c>
    </row>
    <row r="1382" spans="1:79" hidden="1" outlineLevel="1">
      <c r="A1382" t="s">
        <v>578</v>
      </c>
      <c r="B1382" t="s">
        <v>2725</v>
      </c>
      <c r="C1382" s="1">
        <f t="shared" si="578"/>
        <v>13779</v>
      </c>
      <c r="D1382" s="5">
        <f>IF(N1382&gt;0, RANK(N1382,(N1382:P1382,Q1382:AE1382)),0)</f>
        <v>2</v>
      </c>
      <c r="E1382" s="5">
        <f>IF(O1382&gt;0,RANK(O1382,(N1382:P1382,Q1382:AE1382)),0)</f>
        <v>1</v>
      </c>
      <c r="F1382" s="5">
        <f>IF(P1382&gt;0,RANK(P1382,(N1382:P1382,Q1382:AE1382)),0)</f>
        <v>4</v>
      </c>
      <c r="G1382" s="132">
        <f t="shared" si="565"/>
        <v>4945</v>
      </c>
      <c r="H1382" s="137">
        <f t="shared" si="566"/>
        <v>0.35887945424196238</v>
      </c>
      <c r="I1382" s="2"/>
      <c r="J1382" s="2">
        <f t="shared" si="579"/>
        <v>0.27309674141810003</v>
      </c>
      <c r="K1382" s="2">
        <f t="shared" si="580"/>
        <v>0.63197619566006247</v>
      </c>
      <c r="L1382" s="2">
        <f t="shared" si="581"/>
        <v>3.0553741200377387E-2</v>
      </c>
      <c r="M1382" s="2">
        <f t="shared" si="582"/>
        <v>6.4373321721460111E-2</v>
      </c>
      <c r="N1382" s="63">
        <v>3763</v>
      </c>
      <c r="O1382" s="63">
        <v>8708</v>
      </c>
      <c r="P1382" s="63">
        <v>421</v>
      </c>
      <c r="Q1382" s="63">
        <v>503</v>
      </c>
      <c r="R1382" s="63">
        <v>136</v>
      </c>
      <c r="S1382" s="63">
        <v>72</v>
      </c>
      <c r="T1382" s="63">
        <v>5</v>
      </c>
      <c r="U1382" s="63">
        <v>0</v>
      </c>
      <c r="V1382" s="63">
        <v>0</v>
      </c>
      <c r="W1382" s="63">
        <f t="shared" si="587"/>
        <v>115</v>
      </c>
      <c r="X1382" s="63">
        <v>9</v>
      </c>
      <c r="Y1382" s="63">
        <v>0</v>
      </c>
      <c r="Z1382" s="63">
        <v>0</v>
      </c>
      <c r="AA1382" s="63"/>
      <c r="AB1382" s="63"/>
      <c r="AC1382" s="63">
        <v>46</v>
      </c>
      <c r="AD1382" s="63"/>
      <c r="AE1382" s="63">
        <v>0</v>
      </c>
      <c r="AF1382" s="63">
        <v>0</v>
      </c>
      <c r="AG1382" s="63">
        <v>1</v>
      </c>
      <c r="AH1382" s="63"/>
      <c r="AI1382" s="63"/>
      <c r="AJ1382" s="63"/>
      <c r="AK1382" s="63"/>
      <c r="AL1382" s="63"/>
      <c r="AM1382" s="63"/>
      <c r="AN1382" s="63">
        <v>0</v>
      </c>
      <c r="AO1382" s="63"/>
      <c r="AP1382" s="63"/>
      <c r="AQ1382" s="63">
        <v>0</v>
      </c>
      <c r="AR1382" s="63"/>
      <c r="AS1382" s="63"/>
      <c r="AT1382" s="63"/>
      <c r="AU1382" s="63"/>
      <c r="AW1382" s="5">
        <f>IF(Q1382&gt;0,RANK(Q1382,(N1382:P1382,Q1382:AE1382)),0)</f>
        <v>3</v>
      </c>
      <c r="AX1382" s="5">
        <f>IF(R1382&gt;0,RANK(R1382,(N1382:P1382,Q1382:AE1382)),0)</f>
        <v>5</v>
      </c>
      <c r="AY1382" s="5">
        <f>IF(T1382&gt;0,RANK(T1382,(N1382:P1382,Q1382:AE1382)),0)</f>
        <v>10</v>
      </c>
      <c r="AZ1382" s="5">
        <f>IF(S1382&gt;0,RANK(S1382,(N1382:P1382,Q1382:AE1382)),0)</f>
        <v>7</v>
      </c>
      <c r="BA1382" s="2">
        <f t="shared" si="583"/>
        <v>3.6504826184773929E-2</v>
      </c>
      <c r="BB1382" s="2">
        <f t="shared" si="584"/>
        <v>9.8700921692430506E-3</v>
      </c>
      <c r="BC1382" s="2">
        <f t="shared" si="585"/>
        <v>3.6287103563393571E-4</v>
      </c>
      <c r="BD1382" s="2">
        <f t="shared" si="586"/>
        <v>5.2253429131286742E-3</v>
      </c>
      <c r="BF1382" t="s">
        <v>578</v>
      </c>
      <c r="BG1382" t="s">
        <v>2725</v>
      </c>
      <c r="BH1382" s="8">
        <v>1</v>
      </c>
      <c r="BJ1382" s="114">
        <v>27</v>
      </c>
      <c r="BK1382" s="116">
        <v>15</v>
      </c>
      <c r="BL1382" s="120">
        <f t="shared" si="555"/>
        <v>27015</v>
      </c>
      <c r="BN1382" s="5" t="s">
        <v>3154</v>
      </c>
      <c r="CA1382" s="63">
        <v>116</v>
      </c>
    </row>
    <row r="1383" spans="1:79" hidden="1" outlineLevel="1">
      <c r="A1383" t="s">
        <v>190</v>
      </c>
      <c r="B1383" t="s">
        <v>2725</v>
      </c>
      <c r="C1383" s="1">
        <f t="shared" si="578"/>
        <v>18211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>IF(P1383&gt;0,RANK(P1383,(N1383:P1383,Q1383:AE1383)),0)</f>
        <v>4</v>
      </c>
      <c r="G1383" s="132">
        <f t="shared" si="565"/>
        <v>300</v>
      </c>
      <c r="H1383" s="137">
        <f t="shared" si="566"/>
        <v>1.6473559936302236E-2</v>
      </c>
      <c r="I1383" s="2"/>
      <c r="J1383" s="2">
        <f t="shared" si="579"/>
        <v>0.46455439020372302</v>
      </c>
      <c r="K1383" s="2">
        <f t="shared" si="580"/>
        <v>0.44808083026742079</v>
      </c>
      <c r="L1383" s="2">
        <f t="shared" si="581"/>
        <v>1.691285486793696E-2</v>
      </c>
      <c r="M1383" s="2">
        <f t="shared" si="582"/>
        <v>7.0451924660919221E-2</v>
      </c>
      <c r="N1383" s="63">
        <v>8460</v>
      </c>
      <c r="O1383" s="63">
        <v>8160</v>
      </c>
      <c r="P1383" s="63">
        <v>308</v>
      </c>
      <c r="Q1383" s="63">
        <v>703</v>
      </c>
      <c r="R1383" s="63">
        <v>233</v>
      </c>
      <c r="S1383" s="63">
        <v>85</v>
      </c>
      <c r="T1383" s="63">
        <v>8</v>
      </c>
      <c r="U1383" s="63">
        <v>0</v>
      </c>
      <c r="V1383" s="63">
        <v>0</v>
      </c>
      <c r="W1383" s="63">
        <f t="shared" si="587"/>
        <v>152</v>
      </c>
      <c r="X1383" s="63">
        <v>10</v>
      </c>
      <c r="Y1383" s="63">
        <v>0</v>
      </c>
      <c r="Z1383" s="63">
        <v>0</v>
      </c>
      <c r="AA1383" s="63"/>
      <c r="AB1383" s="63"/>
      <c r="AC1383" s="63">
        <v>92</v>
      </c>
      <c r="AD1383" s="63"/>
      <c r="AE1383" s="63">
        <v>0</v>
      </c>
      <c r="AF1383" s="63">
        <v>0</v>
      </c>
      <c r="AG1383" s="63">
        <v>0</v>
      </c>
      <c r="AH1383" s="63"/>
      <c r="AI1383" s="63"/>
      <c r="AJ1383" s="63"/>
      <c r="AK1383" s="63"/>
      <c r="AL1383" s="63"/>
      <c r="AM1383" s="63"/>
      <c r="AN1383" s="63">
        <v>0</v>
      </c>
      <c r="AO1383" s="63"/>
      <c r="AP1383" s="63"/>
      <c r="AQ1383" s="63">
        <v>0</v>
      </c>
      <c r="AR1383" s="63"/>
      <c r="AS1383" s="63"/>
      <c r="AT1383" s="63"/>
      <c r="AU1383" s="63"/>
      <c r="AW1383" s="5">
        <f>IF(Q1383&gt;0,RANK(Q1383,(N1383:P1383,Q1383:AE1383)),0)</f>
        <v>3</v>
      </c>
      <c r="AX1383" s="5">
        <f>IF(R1383&gt;0,RANK(R1383,(N1383:P1383,Q1383:AE1383)),0)</f>
        <v>5</v>
      </c>
      <c r="AY1383" s="5">
        <f>IF(T1383&gt;0,RANK(T1383,(N1383:P1383,Q1383:AE1383)),0)</f>
        <v>10</v>
      </c>
      <c r="AZ1383" s="5">
        <f>IF(S1383&gt;0,RANK(S1383,(N1383:P1383,Q1383:AE1383)),0)</f>
        <v>8</v>
      </c>
      <c r="BA1383" s="2">
        <f t="shared" si="583"/>
        <v>3.8603042117401572E-2</v>
      </c>
      <c r="BB1383" s="2">
        <f t="shared" si="584"/>
        <v>1.2794464883861403E-2</v>
      </c>
      <c r="BC1383" s="2">
        <f t="shared" si="585"/>
        <v>4.3929493163472625E-4</v>
      </c>
      <c r="BD1383" s="2">
        <f t="shared" si="586"/>
        <v>4.6675086486189666E-3</v>
      </c>
      <c r="BF1383" t="s">
        <v>190</v>
      </c>
      <c r="BG1383" t="s">
        <v>2725</v>
      </c>
      <c r="BH1383" s="8">
        <v>8</v>
      </c>
      <c r="BJ1383" s="114">
        <v>27</v>
      </c>
      <c r="BK1383" s="116">
        <v>17</v>
      </c>
      <c r="BL1383" s="120">
        <f t="shared" si="555"/>
        <v>27017</v>
      </c>
      <c r="BN1383" s="5" t="s">
        <v>3154</v>
      </c>
      <c r="CA1383" s="63">
        <v>152</v>
      </c>
    </row>
    <row r="1384" spans="1:79" hidden="1" outlineLevel="1">
      <c r="A1384" t="s">
        <v>79</v>
      </c>
      <c r="B1384" t="s">
        <v>2725</v>
      </c>
      <c r="C1384" s="1">
        <f t="shared" si="578"/>
        <v>55696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4</v>
      </c>
      <c r="G1384" s="132">
        <f t="shared" si="565"/>
        <v>7548</v>
      </c>
      <c r="H1384" s="137">
        <f t="shared" si="566"/>
        <v>0.13552140189600689</v>
      </c>
      <c r="I1384" s="2"/>
      <c r="J1384" s="2">
        <f t="shared" si="579"/>
        <v>0.38616776788279228</v>
      </c>
      <c r="K1384" s="2">
        <f t="shared" si="580"/>
        <v>0.5216891697787992</v>
      </c>
      <c r="L1384" s="2">
        <f t="shared" si="581"/>
        <v>2.1725079000287275E-2</v>
      </c>
      <c r="M1384" s="2">
        <f t="shared" si="582"/>
        <v>7.0417983338121243E-2</v>
      </c>
      <c r="N1384" s="63">
        <v>21508</v>
      </c>
      <c r="O1384" s="63">
        <v>29056</v>
      </c>
      <c r="P1384" s="63">
        <v>1210</v>
      </c>
      <c r="Q1384" s="63">
        <v>2461</v>
      </c>
      <c r="R1384" s="63">
        <v>488</v>
      </c>
      <c r="S1384" s="63">
        <v>161</v>
      </c>
      <c r="T1384" s="63">
        <v>29</v>
      </c>
      <c r="U1384" s="63">
        <v>0</v>
      </c>
      <c r="V1384" s="63">
        <v>0</v>
      </c>
      <c r="W1384" s="63">
        <f t="shared" si="587"/>
        <v>591</v>
      </c>
      <c r="X1384" s="63">
        <v>20</v>
      </c>
      <c r="Y1384" s="63">
        <v>0</v>
      </c>
      <c r="Z1384" s="63">
        <v>0</v>
      </c>
      <c r="AA1384" s="63"/>
      <c r="AB1384" s="63"/>
      <c r="AC1384" s="63">
        <v>168</v>
      </c>
      <c r="AD1384" s="63"/>
      <c r="AE1384" s="63">
        <v>0</v>
      </c>
      <c r="AF1384" s="63">
        <v>0</v>
      </c>
      <c r="AG1384" s="63">
        <v>2</v>
      </c>
      <c r="AH1384" s="63"/>
      <c r="AI1384" s="63"/>
      <c r="AJ1384" s="63"/>
      <c r="AK1384" s="63"/>
      <c r="AL1384" s="63"/>
      <c r="AM1384" s="63"/>
      <c r="AN1384" s="63">
        <v>2</v>
      </c>
      <c r="AO1384" s="63"/>
      <c r="AP1384" s="63"/>
      <c r="AQ1384" s="63">
        <v>0</v>
      </c>
      <c r="AR1384" s="63"/>
      <c r="AS1384" s="63"/>
      <c r="AT1384" s="63"/>
      <c r="AU1384" s="63"/>
      <c r="AW1384" s="5">
        <f>IF(Q1384&gt;0,RANK(Q1384,(N1384:P1384,Q1384:AE1384)),0)</f>
        <v>3</v>
      </c>
      <c r="AX1384" s="5">
        <f>IF(R1384&gt;0,RANK(R1384,(N1384:P1384,Q1384:AE1384)),0)</f>
        <v>6</v>
      </c>
      <c r="AY1384" s="5">
        <f>IF(T1384&gt;0,RANK(T1384,(N1384:P1384,Q1384:AE1384)),0)</f>
        <v>9</v>
      </c>
      <c r="AZ1384" s="5">
        <f>IF(S1384&gt;0,RANK(S1384,(N1384:P1384,Q1384:AE1384)),0)</f>
        <v>8</v>
      </c>
      <c r="BA1384" s="2">
        <f t="shared" si="583"/>
        <v>4.4186297041080153E-2</v>
      </c>
      <c r="BB1384" s="2">
        <f t="shared" si="584"/>
        <v>8.7618500430910653E-3</v>
      </c>
      <c r="BC1384" s="2">
        <f t="shared" si="585"/>
        <v>5.2068371157713302E-4</v>
      </c>
      <c r="BD1384" s="2">
        <f t="shared" si="586"/>
        <v>2.89069232979029E-3</v>
      </c>
      <c r="BF1384" t="s">
        <v>79</v>
      </c>
      <c r="BG1384" t="s">
        <v>2725</v>
      </c>
      <c r="BH1384" s="8"/>
      <c r="BJ1384" s="114">
        <v>27</v>
      </c>
      <c r="BK1384" s="116">
        <v>19</v>
      </c>
      <c r="BL1384" s="120">
        <f t="shared" si="555"/>
        <v>27019</v>
      </c>
      <c r="BN1384" s="5" t="s">
        <v>3154</v>
      </c>
      <c r="CA1384" s="63">
        <v>595</v>
      </c>
    </row>
    <row r="1385" spans="1:79" hidden="1" outlineLevel="1">
      <c r="A1385" t="s">
        <v>339</v>
      </c>
      <c r="B1385" t="s">
        <v>2725</v>
      </c>
      <c r="C1385" s="1">
        <f t="shared" si="578"/>
        <v>15999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5</v>
      </c>
      <c r="G1385" s="132">
        <f t="shared" si="565"/>
        <v>5033</v>
      </c>
      <c r="H1385" s="137">
        <f t="shared" si="566"/>
        <v>0.31458216138508655</v>
      </c>
      <c r="I1385" s="2"/>
      <c r="J1385" s="2">
        <f t="shared" si="579"/>
        <v>0.30933183323957747</v>
      </c>
      <c r="K1385" s="2">
        <f t="shared" si="580"/>
        <v>0.62391399462466401</v>
      </c>
      <c r="L1385" s="2">
        <f t="shared" si="581"/>
        <v>1.2250765672854554E-2</v>
      </c>
      <c r="M1385" s="2">
        <f t="shared" si="582"/>
        <v>5.4503406462903962E-2</v>
      </c>
      <c r="N1385" s="63">
        <v>4949</v>
      </c>
      <c r="O1385" s="63">
        <v>9982</v>
      </c>
      <c r="P1385" s="63">
        <v>196</v>
      </c>
      <c r="Q1385" s="63">
        <v>414</v>
      </c>
      <c r="R1385" s="63">
        <v>212</v>
      </c>
      <c r="S1385" s="63">
        <v>54</v>
      </c>
      <c r="T1385" s="63">
        <v>6</v>
      </c>
      <c r="U1385" s="63">
        <v>0</v>
      </c>
      <c r="V1385" s="63">
        <v>0</v>
      </c>
      <c r="W1385" s="63">
        <f t="shared" si="587"/>
        <v>114</v>
      </c>
      <c r="X1385" s="63">
        <v>10</v>
      </c>
      <c r="Y1385" s="63">
        <v>0</v>
      </c>
      <c r="Z1385" s="63">
        <v>0</v>
      </c>
      <c r="AA1385" s="63"/>
      <c r="AB1385" s="63"/>
      <c r="AC1385" s="63">
        <v>62</v>
      </c>
      <c r="AD1385" s="63"/>
      <c r="AE1385" s="63">
        <v>0</v>
      </c>
      <c r="AF1385" s="63">
        <v>0</v>
      </c>
      <c r="AG1385" s="63">
        <v>0</v>
      </c>
      <c r="AH1385" s="63"/>
      <c r="AI1385" s="63"/>
      <c r="AJ1385" s="63"/>
      <c r="AK1385" s="63"/>
      <c r="AL1385" s="63"/>
      <c r="AM1385" s="63"/>
      <c r="AN1385" s="63">
        <v>0</v>
      </c>
      <c r="AO1385" s="63"/>
      <c r="AP1385" s="63"/>
      <c r="AQ1385" s="63">
        <v>0</v>
      </c>
      <c r="AR1385" s="63"/>
      <c r="AS1385" s="63"/>
      <c r="AT1385" s="63"/>
      <c r="AU1385" s="63"/>
      <c r="AW1385" s="5">
        <f>IF(Q1385&gt;0,RANK(Q1385,(N1385:P1385,Q1385:AE1385)),0)</f>
        <v>3</v>
      </c>
      <c r="AX1385" s="5">
        <f>IF(R1385&gt;0,RANK(R1385,(N1385:P1385,Q1385:AE1385)),0)</f>
        <v>4</v>
      </c>
      <c r="AY1385" s="5">
        <f>IF(T1385&gt;0,RANK(T1385,(N1385:P1385,Q1385:AE1385)),0)</f>
        <v>10</v>
      </c>
      <c r="AZ1385" s="5">
        <f>IF(S1385&gt;0,RANK(S1385,(N1385:P1385,Q1385:AE1385)),0)</f>
        <v>8</v>
      </c>
      <c r="BA1385" s="2">
        <f t="shared" si="583"/>
        <v>2.5876617288580536E-2</v>
      </c>
      <c r="BB1385" s="2">
        <f t="shared" si="584"/>
        <v>1.3250828176761048E-2</v>
      </c>
      <c r="BC1385" s="2">
        <f t="shared" si="585"/>
        <v>3.750234389649353E-4</v>
      </c>
      <c r="BD1385" s="2">
        <f t="shared" si="586"/>
        <v>3.3752109506844179E-3</v>
      </c>
      <c r="BF1385" t="s">
        <v>339</v>
      </c>
      <c r="BG1385" t="s">
        <v>2725</v>
      </c>
      <c r="BH1385" s="8">
        <v>8</v>
      </c>
      <c r="BJ1385" s="114">
        <v>27</v>
      </c>
      <c r="BK1385" s="116">
        <v>21</v>
      </c>
      <c r="BL1385" s="120">
        <f t="shared" ref="BL1385:BL1448" si="588">1000*BJ1385+BK1385</f>
        <v>27021</v>
      </c>
      <c r="BN1385" s="5" t="s">
        <v>3154</v>
      </c>
      <c r="CA1385" s="63">
        <v>114</v>
      </c>
    </row>
    <row r="1386" spans="1:79" hidden="1" outlineLevel="1">
      <c r="A1386" t="s">
        <v>1625</v>
      </c>
      <c r="B1386" t="s">
        <v>2725</v>
      </c>
      <c r="C1386" s="1">
        <f t="shared" si="578"/>
        <v>6222</v>
      </c>
      <c r="D1386" s="5">
        <f>IF(N1386&gt;0, RANK(N1386,(N1386:P1386,Q1386:AE1386)),0)</f>
        <v>2</v>
      </c>
      <c r="E1386" s="5">
        <f>IF(O1386&gt;0,RANK(O1386,(N1386:P1386,Q1386:AE1386)),0)</f>
        <v>1</v>
      </c>
      <c r="F1386" s="5">
        <f>IF(P1386&gt;0,RANK(P1386,(N1386:P1386,Q1386:AE1386)),0)</f>
        <v>4</v>
      </c>
      <c r="G1386" s="132">
        <f t="shared" si="565"/>
        <v>1786</v>
      </c>
      <c r="H1386" s="137">
        <f t="shared" si="566"/>
        <v>0.28704596592735454</v>
      </c>
      <c r="I1386" s="2"/>
      <c r="J1386" s="2">
        <f t="shared" si="579"/>
        <v>0.31790421086467374</v>
      </c>
      <c r="K1386" s="2">
        <f t="shared" si="580"/>
        <v>0.60495017679202834</v>
      </c>
      <c r="L1386" s="2">
        <f t="shared" si="581"/>
        <v>1.6714882674381228E-2</v>
      </c>
      <c r="M1386" s="2">
        <f t="shared" si="582"/>
        <v>6.0430729668916744E-2</v>
      </c>
      <c r="N1386" s="63">
        <v>1978</v>
      </c>
      <c r="O1386" s="63">
        <v>3764</v>
      </c>
      <c r="P1386" s="63">
        <v>104</v>
      </c>
      <c r="Q1386" s="63">
        <v>209</v>
      </c>
      <c r="R1386" s="63">
        <v>70</v>
      </c>
      <c r="S1386" s="63">
        <v>28</v>
      </c>
      <c r="T1386" s="63">
        <v>1</v>
      </c>
      <c r="U1386" s="63">
        <v>0</v>
      </c>
      <c r="V1386" s="63">
        <v>0</v>
      </c>
      <c r="W1386" s="63">
        <f t="shared" si="587"/>
        <v>40</v>
      </c>
      <c r="X1386" s="63">
        <v>7</v>
      </c>
      <c r="Y1386" s="63">
        <v>0</v>
      </c>
      <c r="Z1386" s="63">
        <v>0</v>
      </c>
      <c r="AA1386" s="63"/>
      <c r="AB1386" s="63"/>
      <c r="AC1386" s="63">
        <v>21</v>
      </c>
      <c r="AD1386" s="63"/>
      <c r="AE1386" s="63">
        <v>0</v>
      </c>
      <c r="AF1386" s="63">
        <v>0</v>
      </c>
      <c r="AG1386" s="63">
        <v>0</v>
      </c>
      <c r="AH1386" s="63"/>
      <c r="AI1386" s="63"/>
      <c r="AJ1386" s="63"/>
      <c r="AK1386" s="63"/>
      <c r="AL1386" s="63"/>
      <c r="AM1386" s="63"/>
      <c r="AN1386" s="63">
        <v>0</v>
      </c>
      <c r="AO1386" s="63"/>
      <c r="AP1386" s="63"/>
      <c r="AQ1386" s="63">
        <v>0</v>
      </c>
      <c r="AR1386" s="63"/>
      <c r="AS1386" s="63"/>
      <c r="AT1386" s="63"/>
      <c r="AU1386" s="63"/>
      <c r="AW1386" s="5">
        <f>IF(Q1386&gt;0,RANK(Q1386,(N1386:P1386,Q1386:AE1386)),0)</f>
        <v>3</v>
      </c>
      <c r="AX1386" s="5">
        <f>IF(R1386&gt;0,RANK(R1386,(N1386:P1386,Q1386:AE1386)),0)</f>
        <v>5</v>
      </c>
      <c r="AY1386" s="5">
        <f>IF(T1386&gt;0,RANK(T1386,(N1386:P1386,Q1386:AE1386)),0)</f>
        <v>10</v>
      </c>
      <c r="AZ1386" s="5">
        <f>IF(S1386&gt;0,RANK(S1386,(N1386:P1386,Q1386:AE1386)),0)</f>
        <v>7</v>
      </c>
      <c r="BA1386" s="2">
        <f t="shared" si="583"/>
        <v>3.359048537447766E-2</v>
      </c>
      <c r="BB1386" s="2">
        <f t="shared" si="584"/>
        <v>1.1250401800064288E-2</v>
      </c>
      <c r="BC1386" s="2">
        <f t="shared" si="585"/>
        <v>1.607200257152041E-4</v>
      </c>
      <c r="BD1386" s="2">
        <f t="shared" si="586"/>
        <v>4.5001607200257148E-3</v>
      </c>
      <c r="BF1386" t="s">
        <v>1625</v>
      </c>
      <c r="BG1386" t="s">
        <v>2725</v>
      </c>
      <c r="BH1386" s="8">
        <v>7</v>
      </c>
      <c r="BJ1386" s="114">
        <v>27</v>
      </c>
      <c r="BK1386" s="116">
        <v>23</v>
      </c>
      <c r="BL1386" s="120">
        <f t="shared" si="588"/>
        <v>27023</v>
      </c>
      <c r="BN1386" s="5" t="s">
        <v>3154</v>
      </c>
      <c r="CA1386" s="63">
        <v>40</v>
      </c>
    </row>
    <row r="1387" spans="1:79" hidden="1" outlineLevel="1">
      <c r="A1387" t="s">
        <v>1665</v>
      </c>
      <c r="B1387" t="s">
        <v>2725</v>
      </c>
      <c r="C1387" s="1">
        <f t="shared" si="578"/>
        <v>30228</v>
      </c>
      <c r="D1387" s="5">
        <f>IF(N1387&gt;0, RANK(N1387,(N1387:P1387,Q1387:AE1387)),0)</f>
        <v>2</v>
      </c>
      <c r="E1387" s="5">
        <f>IF(O1387&gt;0,RANK(O1387,(N1387:P1387,Q1387:AE1387)),0)</f>
        <v>1</v>
      </c>
      <c r="F1387" s="5">
        <f>IF(P1387&gt;0,RANK(P1387,(N1387:P1387,Q1387:AE1387)),0)</f>
        <v>4</v>
      </c>
      <c r="G1387" s="132">
        <f t="shared" si="565"/>
        <v>9163</v>
      </c>
      <c r="H1387" s="137">
        <f t="shared" si="566"/>
        <v>0.30312954876273651</v>
      </c>
      <c r="I1387" s="2"/>
      <c r="J1387" s="2">
        <f t="shared" si="579"/>
        <v>0.30693396850602089</v>
      </c>
      <c r="K1387" s="2">
        <f t="shared" si="580"/>
        <v>0.6100635172687574</v>
      </c>
      <c r="L1387" s="2">
        <f t="shared" si="581"/>
        <v>1.6408627762339551E-2</v>
      </c>
      <c r="M1387" s="2">
        <f t="shared" si="582"/>
        <v>6.659388646288221E-2</v>
      </c>
      <c r="N1387" s="63">
        <v>9278</v>
      </c>
      <c r="O1387" s="63">
        <v>18441</v>
      </c>
      <c r="P1387" s="63">
        <v>496</v>
      </c>
      <c r="Q1387" s="63">
        <v>1213</v>
      </c>
      <c r="R1387" s="63">
        <v>317</v>
      </c>
      <c r="S1387" s="63">
        <v>101</v>
      </c>
      <c r="T1387" s="63">
        <v>13</v>
      </c>
      <c r="U1387" s="63">
        <v>0</v>
      </c>
      <c r="V1387" s="63">
        <v>0</v>
      </c>
      <c r="W1387" s="63">
        <f t="shared" si="587"/>
        <v>215</v>
      </c>
      <c r="X1387" s="63">
        <v>14</v>
      </c>
      <c r="Y1387" s="63">
        <v>0</v>
      </c>
      <c r="Z1387" s="63">
        <v>0</v>
      </c>
      <c r="AA1387" s="63"/>
      <c r="AB1387" s="63"/>
      <c r="AC1387" s="63">
        <v>135</v>
      </c>
      <c r="AD1387" s="63"/>
      <c r="AE1387" s="63">
        <v>0</v>
      </c>
      <c r="AF1387" s="63">
        <v>0</v>
      </c>
      <c r="AG1387" s="63">
        <v>0</v>
      </c>
      <c r="AH1387" s="63"/>
      <c r="AI1387" s="63"/>
      <c r="AJ1387" s="63"/>
      <c r="AK1387" s="63"/>
      <c r="AL1387" s="63"/>
      <c r="AM1387" s="63"/>
      <c r="AN1387" s="63">
        <v>5</v>
      </c>
      <c r="AO1387" s="63"/>
      <c r="AP1387" s="63"/>
      <c r="AQ1387" s="63">
        <v>0</v>
      </c>
      <c r="AR1387" s="63"/>
      <c r="AS1387" s="63"/>
      <c r="AT1387" s="63"/>
      <c r="AU1387" s="63"/>
      <c r="AW1387" s="5">
        <f>IF(Q1387&gt;0,RANK(Q1387,(N1387:P1387,Q1387:AE1387)),0)</f>
        <v>3</v>
      </c>
      <c r="AX1387" s="5">
        <f>IF(R1387&gt;0,RANK(R1387,(N1387:P1387,Q1387:AE1387)),0)</f>
        <v>5</v>
      </c>
      <c r="AY1387" s="5">
        <f>IF(T1387&gt;0,RANK(T1387,(N1387:P1387,Q1387:AE1387)),0)</f>
        <v>10</v>
      </c>
      <c r="AZ1387" s="5">
        <f>IF(S1387&gt;0,RANK(S1387,(N1387:P1387,Q1387:AE1387)),0)</f>
        <v>8</v>
      </c>
      <c r="BA1387" s="2">
        <f t="shared" si="583"/>
        <v>4.0128357813947337E-2</v>
      </c>
      <c r="BB1387" s="2">
        <f t="shared" si="584"/>
        <v>1.0486965727140399E-2</v>
      </c>
      <c r="BC1387" s="2">
        <f t="shared" si="585"/>
        <v>4.300648405451899E-4</v>
      </c>
      <c r="BD1387" s="2">
        <f t="shared" si="586"/>
        <v>3.3412729919280139E-3</v>
      </c>
      <c r="BF1387" t="s">
        <v>1665</v>
      </c>
      <c r="BG1387" t="s">
        <v>2725</v>
      </c>
      <c r="BH1387" s="8">
        <v>8</v>
      </c>
      <c r="BJ1387" s="114">
        <v>27</v>
      </c>
      <c r="BK1387" s="116">
        <v>25</v>
      </c>
      <c r="BL1387" s="120">
        <f t="shared" si="588"/>
        <v>27025</v>
      </c>
      <c r="BN1387" s="5" t="s">
        <v>3154</v>
      </c>
      <c r="CA1387" s="63">
        <v>220</v>
      </c>
    </row>
    <row r="1388" spans="1:79" hidden="1" outlineLevel="1">
      <c r="A1388" t="s">
        <v>3093</v>
      </c>
      <c r="B1388" t="s">
        <v>2725</v>
      </c>
      <c r="C1388" s="1">
        <f t="shared" si="578"/>
        <v>29398</v>
      </c>
      <c r="D1388" s="5">
        <f>IF(N1388&gt;0, RANK(N1388,(N1388:P1388,Q1388:AE1388)),0)</f>
        <v>2</v>
      </c>
      <c r="E1388" s="5">
        <f>IF(O1388&gt;0,RANK(O1388,(N1388:P1388,Q1388:AE1388)),0)</f>
        <v>1</v>
      </c>
      <c r="F1388" s="5">
        <f>IF(P1388&gt;0,RANK(P1388,(N1388:P1388,Q1388:AE1388)),0)</f>
        <v>4</v>
      </c>
      <c r="G1388" s="132">
        <f t="shared" si="565"/>
        <v>572</v>
      </c>
      <c r="H1388" s="137">
        <f t="shared" si="566"/>
        <v>1.9457105925573169E-2</v>
      </c>
      <c r="I1388" s="2"/>
      <c r="J1388" s="2">
        <f t="shared" si="579"/>
        <v>0.44122049118987688</v>
      </c>
      <c r="K1388" s="2">
        <f t="shared" si="580"/>
        <v>0.46067759711545003</v>
      </c>
      <c r="L1388" s="2">
        <f t="shared" si="581"/>
        <v>1.4422749846928363E-2</v>
      </c>
      <c r="M1388" s="2">
        <f t="shared" si="582"/>
        <v>8.3679161847744668E-2</v>
      </c>
      <c r="N1388" s="63">
        <v>12971</v>
      </c>
      <c r="O1388" s="63">
        <v>13543</v>
      </c>
      <c r="P1388" s="63">
        <v>424</v>
      </c>
      <c r="Q1388" s="63">
        <v>1486</v>
      </c>
      <c r="R1388" s="63">
        <v>416</v>
      </c>
      <c r="S1388" s="63">
        <v>105</v>
      </c>
      <c r="T1388" s="63">
        <v>23</v>
      </c>
      <c r="U1388" s="63">
        <v>0</v>
      </c>
      <c r="V1388" s="63">
        <v>0</v>
      </c>
      <c r="W1388" s="63">
        <f t="shared" si="587"/>
        <v>295</v>
      </c>
      <c r="X1388" s="63">
        <v>13</v>
      </c>
      <c r="Y1388" s="63">
        <v>2</v>
      </c>
      <c r="Z1388" s="63">
        <v>0</v>
      </c>
      <c r="AA1388" s="63"/>
      <c r="AB1388" s="63"/>
      <c r="AC1388" s="63">
        <v>118</v>
      </c>
      <c r="AD1388" s="63"/>
      <c r="AE1388" s="63">
        <v>0</v>
      </c>
      <c r="AF1388" s="63">
        <v>0</v>
      </c>
      <c r="AG1388" s="63">
        <v>0</v>
      </c>
      <c r="AH1388" s="63"/>
      <c r="AI1388" s="63"/>
      <c r="AJ1388" s="63"/>
      <c r="AK1388" s="63"/>
      <c r="AL1388" s="63"/>
      <c r="AM1388" s="63"/>
      <c r="AN1388" s="63">
        <v>2</v>
      </c>
      <c r="AO1388" s="63"/>
      <c r="AP1388" s="63"/>
      <c r="AQ1388" s="63">
        <v>0</v>
      </c>
      <c r="AR1388" s="63"/>
      <c r="AS1388" s="63"/>
      <c r="AT1388" s="63"/>
      <c r="AU1388" s="63"/>
      <c r="AW1388" s="5">
        <f>IF(Q1388&gt;0,RANK(Q1388,(N1388:P1388,Q1388:AE1388)),0)</f>
        <v>3</v>
      </c>
      <c r="AX1388" s="5">
        <f>IF(R1388&gt;0,RANK(R1388,(N1388:P1388,Q1388:AE1388)),0)</f>
        <v>5</v>
      </c>
      <c r="AY1388" s="5">
        <f>IF(T1388&gt;0,RANK(T1388,(N1388:P1388,Q1388:AE1388)),0)</f>
        <v>9</v>
      </c>
      <c r="AZ1388" s="5">
        <f>IF(S1388&gt;0,RANK(S1388,(N1388:P1388,Q1388:AE1388)),0)</f>
        <v>8</v>
      </c>
      <c r="BA1388" s="2">
        <f t="shared" si="583"/>
        <v>5.0547656303149877E-2</v>
      </c>
      <c r="BB1388" s="2">
        <f t="shared" si="584"/>
        <v>1.415062249132594E-2</v>
      </c>
      <c r="BC1388" s="2">
        <f t="shared" si="585"/>
        <v>7.8236614735696305E-4</v>
      </c>
      <c r="BD1388" s="2">
        <f t="shared" si="586"/>
        <v>3.5716715422817878E-3</v>
      </c>
      <c r="BF1388" t="s">
        <v>3093</v>
      </c>
      <c r="BG1388" t="s">
        <v>2725</v>
      </c>
      <c r="BH1388" s="8">
        <v>7</v>
      </c>
      <c r="BJ1388" s="114">
        <v>27</v>
      </c>
      <c r="BK1388" s="116">
        <v>27</v>
      </c>
      <c r="BL1388" s="120">
        <f t="shared" si="588"/>
        <v>27027</v>
      </c>
      <c r="BN1388" s="5" t="s">
        <v>3154</v>
      </c>
      <c r="CA1388" s="63">
        <v>299</v>
      </c>
    </row>
    <row r="1389" spans="1:79" hidden="1" outlineLevel="1">
      <c r="A1389" t="s">
        <v>583</v>
      </c>
      <c r="B1389" t="s">
        <v>2725</v>
      </c>
      <c r="C1389" s="1">
        <f t="shared" si="578"/>
        <v>4245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>IF(P1389&gt;0,RANK(P1389,(N1389:P1389,Q1389:AE1389)),0)</f>
        <v>4</v>
      </c>
      <c r="G1389" s="132">
        <f t="shared" si="565"/>
        <v>1825</v>
      </c>
      <c r="H1389" s="137">
        <f t="shared" si="566"/>
        <v>0.42991755005889282</v>
      </c>
      <c r="I1389" s="2"/>
      <c r="J1389" s="2">
        <f t="shared" si="579"/>
        <v>0.25912838633686691</v>
      </c>
      <c r="K1389" s="2">
        <f t="shared" si="580"/>
        <v>0.68904593639575973</v>
      </c>
      <c r="L1389" s="2">
        <f t="shared" si="581"/>
        <v>8.4805653710247342E-3</v>
      </c>
      <c r="M1389" s="2">
        <f t="shared" si="582"/>
        <v>4.334511189634857E-2</v>
      </c>
      <c r="N1389" s="63">
        <v>1100</v>
      </c>
      <c r="O1389" s="63">
        <v>2925</v>
      </c>
      <c r="P1389" s="63">
        <v>36</v>
      </c>
      <c r="Q1389" s="63">
        <v>94</v>
      </c>
      <c r="R1389" s="63">
        <v>33</v>
      </c>
      <c r="S1389" s="63">
        <v>16</v>
      </c>
      <c r="T1389" s="63">
        <v>0</v>
      </c>
      <c r="U1389" s="63">
        <v>0</v>
      </c>
      <c r="V1389" s="63">
        <v>0</v>
      </c>
      <c r="W1389" s="63">
        <f t="shared" si="587"/>
        <v>20</v>
      </c>
      <c r="X1389" s="63">
        <v>2</v>
      </c>
      <c r="Y1389" s="63">
        <v>0</v>
      </c>
      <c r="Z1389" s="63">
        <v>0</v>
      </c>
      <c r="AA1389" s="63"/>
      <c r="AB1389" s="63"/>
      <c r="AC1389" s="63">
        <v>19</v>
      </c>
      <c r="AD1389" s="63"/>
      <c r="AE1389" s="63">
        <v>0</v>
      </c>
      <c r="AF1389" s="63">
        <v>0</v>
      </c>
      <c r="AG1389" s="63">
        <v>0</v>
      </c>
      <c r="AH1389" s="63"/>
      <c r="AI1389" s="63"/>
      <c r="AJ1389" s="63"/>
      <c r="AK1389" s="63"/>
      <c r="AL1389" s="63"/>
      <c r="AM1389" s="63"/>
      <c r="AN1389" s="63">
        <v>0</v>
      </c>
      <c r="AO1389" s="63"/>
      <c r="AP1389" s="63"/>
      <c r="AQ1389" s="63">
        <v>0</v>
      </c>
      <c r="AR1389" s="63"/>
      <c r="AS1389" s="63"/>
      <c r="AT1389" s="63"/>
      <c r="AU1389" s="63"/>
      <c r="AW1389" s="5">
        <f>IF(Q1389&gt;0,RANK(Q1389,(N1389:P1389,Q1389:AE1389)),0)</f>
        <v>3</v>
      </c>
      <c r="AX1389" s="5">
        <f>IF(R1389&gt;0,RANK(R1389,(N1389:P1389,Q1389:AE1389)),0)</f>
        <v>5</v>
      </c>
      <c r="AY1389" s="5">
        <f>IF(T1389&gt;0,RANK(T1389,(N1389:P1389,Q1389:AE1389)),0)</f>
        <v>0</v>
      </c>
      <c r="AZ1389" s="5">
        <f>IF(S1389&gt;0,RANK(S1389,(N1389:P1389,Q1389:AE1389)),0)</f>
        <v>8</v>
      </c>
      <c r="BA1389" s="2">
        <f t="shared" si="583"/>
        <v>2.2143698468786808E-2</v>
      </c>
      <c r="BB1389" s="2">
        <f t="shared" si="584"/>
        <v>7.7738515901060075E-3</v>
      </c>
      <c r="BC1389" s="2">
        <f t="shared" si="585"/>
        <v>0</v>
      </c>
      <c r="BD1389" s="2">
        <f t="shared" si="586"/>
        <v>3.7691401648998822E-3</v>
      </c>
      <c r="BF1389" t="s">
        <v>583</v>
      </c>
      <c r="BG1389" t="s">
        <v>2725</v>
      </c>
      <c r="BH1389" s="8">
        <v>7</v>
      </c>
      <c r="BJ1389" s="114">
        <v>27</v>
      </c>
      <c r="BK1389" s="116">
        <v>29</v>
      </c>
      <c r="BL1389" s="120">
        <f t="shared" si="588"/>
        <v>27029</v>
      </c>
      <c r="BN1389" s="5" t="s">
        <v>3154</v>
      </c>
      <c r="CA1389" s="63">
        <v>20</v>
      </c>
    </row>
    <row r="1390" spans="1:79" hidden="1" outlineLevel="1">
      <c r="A1390" t="s">
        <v>1121</v>
      </c>
      <c r="B1390" t="s">
        <v>2725</v>
      </c>
      <c r="C1390" s="1">
        <f t="shared" si="578"/>
        <v>3395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>IF(P1390&gt;0,RANK(P1390,(N1390:P1390,Q1390:AE1390)),0)</f>
        <v>5</v>
      </c>
      <c r="G1390" s="132">
        <f t="shared" si="565"/>
        <v>756</v>
      </c>
      <c r="H1390" s="137">
        <f t="shared" si="566"/>
        <v>0.22268041237113403</v>
      </c>
      <c r="I1390" s="2"/>
      <c r="J1390" s="2">
        <f t="shared" si="579"/>
        <v>0.56318114874815906</v>
      </c>
      <c r="K1390" s="2">
        <f t="shared" si="580"/>
        <v>0.34050073637702505</v>
      </c>
      <c r="L1390" s="2">
        <f t="shared" si="581"/>
        <v>1.8556701030927835E-2</v>
      </c>
      <c r="M1390" s="2">
        <f t="shared" si="582"/>
        <v>7.7761413843888058E-2</v>
      </c>
      <c r="N1390" s="63">
        <v>1912</v>
      </c>
      <c r="O1390" s="63">
        <v>1156</v>
      </c>
      <c r="P1390" s="63">
        <v>63</v>
      </c>
      <c r="Q1390" s="63">
        <v>105</v>
      </c>
      <c r="R1390" s="63">
        <v>77</v>
      </c>
      <c r="S1390" s="63">
        <v>19</v>
      </c>
      <c r="T1390" s="63">
        <v>3</v>
      </c>
      <c r="U1390" s="63">
        <v>0</v>
      </c>
      <c r="V1390" s="63">
        <v>0</v>
      </c>
      <c r="W1390" s="63">
        <f t="shared" si="587"/>
        <v>35</v>
      </c>
      <c r="X1390" s="63">
        <v>2</v>
      </c>
      <c r="Y1390" s="63">
        <v>0</v>
      </c>
      <c r="Z1390" s="63">
        <v>0</v>
      </c>
      <c r="AA1390" s="63"/>
      <c r="AB1390" s="63"/>
      <c r="AC1390" s="63">
        <v>23</v>
      </c>
      <c r="AD1390" s="63"/>
      <c r="AE1390" s="63">
        <v>0</v>
      </c>
      <c r="AF1390" s="63">
        <v>0</v>
      </c>
      <c r="AG1390" s="63">
        <v>0</v>
      </c>
      <c r="AH1390" s="63"/>
      <c r="AI1390" s="63"/>
      <c r="AJ1390" s="63"/>
      <c r="AK1390" s="63"/>
      <c r="AL1390" s="63"/>
      <c r="AM1390" s="63"/>
      <c r="AN1390" s="63">
        <v>0</v>
      </c>
      <c r="AO1390" s="63"/>
      <c r="AP1390" s="63"/>
      <c r="AQ1390" s="63">
        <v>0</v>
      </c>
      <c r="AR1390" s="63"/>
      <c r="AS1390" s="63"/>
      <c r="AT1390" s="63"/>
      <c r="AU1390" s="63"/>
      <c r="AW1390" s="5">
        <f>IF(Q1390&gt;0,RANK(Q1390,(N1390:P1390,Q1390:AE1390)),0)</f>
        <v>3</v>
      </c>
      <c r="AX1390" s="5">
        <f>IF(R1390&gt;0,RANK(R1390,(N1390:P1390,Q1390:AE1390)),0)</f>
        <v>4</v>
      </c>
      <c r="AY1390" s="5">
        <f>IF(T1390&gt;0,RANK(T1390,(N1390:P1390,Q1390:AE1390)),0)</f>
        <v>9</v>
      </c>
      <c r="AZ1390" s="5">
        <f>IF(S1390&gt;0,RANK(S1390,(N1390:P1390,Q1390:AE1390)),0)</f>
        <v>8</v>
      </c>
      <c r="BA1390" s="2">
        <f t="shared" si="583"/>
        <v>3.0927835051546393E-2</v>
      </c>
      <c r="BB1390" s="2">
        <f t="shared" si="584"/>
        <v>2.268041237113402E-2</v>
      </c>
      <c r="BC1390" s="2">
        <f t="shared" si="585"/>
        <v>8.8365243004418263E-4</v>
      </c>
      <c r="BD1390" s="2">
        <f t="shared" si="586"/>
        <v>5.5964653902798233E-3</v>
      </c>
      <c r="BF1390" t="s">
        <v>1121</v>
      </c>
      <c r="BG1390" t="s">
        <v>2725</v>
      </c>
      <c r="BH1390" s="8">
        <v>8</v>
      </c>
      <c r="BJ1390" s="114">
        <v>27</v>
      </c>
      <c r="BK1390" s="116">
        <v>31</v>
      </c>
      <c r="BL1390" s="120">
        <f t="shared" si="588"/>
        <v>27031</v>
      </c>
      <c r="BN1390" s="5" t="s">
        <v>3154</v>
      </c>
      <c r="CA1390" s="63">
        <v>35</v>
      </c>
    </row>
    <row r="1391" spans="1:79" hidden="1" outlineLevel="1">
      <c r="A1391" t="s">
        <v>376</v>
      </c>
      <c r="B1391" t="s">
        <v>2725</v>
      </c>
      <c r="C1391" s="1">
        <f t="shared" si="578"/>
        <v>5721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4</v>
      </c>
      <c r="G1391" s="132">
        <f t="shared" si="565"/>
        <v>2001</v>
      </c>
      <c r="H1391" s="137">
        <f t="shared" si="566"/>
        <v>0.34976402726796013</v>
      </c>
      <c r="I1391" s="2"/>
      <c r="J1391" s="2">
        <f t="shared" si="579"/>
        <v>0.2933053661947212</v>
      </c>
      <c r="K1391" s="2">
        <f t="shared" si="580"/>
        <v>0.64306939346268133</v>
      </c>
      <c r="L1391" s="2">
        <f t="shared" si="581"/>
        <v>1.5032337004020277E-2</v>
      </c>
      <c r="M1391" s="2">
        <f t="shared" si="582"/>
        <v>4.8592903338577256E-2</v>
      </c>
      <c r="N1391" s="63">
        <v>1678</v>
      </c>
      <c r="O1391" s="63">
        <v>3679</v>
      </c>
      <c r="P1391" s="63">
        <v>86</v>
      </c>
      <c r="Q1391" s="63">
        <v>150</v>
      </c>
      <c r="R1391" s="63">
        <v>41</v>
      </c>
      <c r="S1391" s="63">
        <v>41</v>
      </c>
      <c r="T1391" s="63">
        <v>3</v>
      </c>
      <c r="U1391" s="63">
        <v>0</v>
      </c>
      <c r="V1391" s="63">
        <v>0</v>
      </c>
      <c r="W1391" s="63">
        <f t="shared" si="587"/>
        <v>24</v>
      </c>
      <c r="X1391" s="63">
        <v>4</v>
      </c>
      <c r="Y1391" s="63">
        <v>0</v>
      </c>
      <c r="Z1391" s="63">
        <v>0</v>
      </c>
      <c r="AA1391" s="63"/>
      <c r="AB1391" s="63"/>
      <c r="AC1391" s="63">
        <v>15</v>
      </c>
      <c r="AD1391" s="63"/>
      <c r="AE1391" s="63">
        <v>0</v>
      </c>
      <c r="AF1391" s="63">
        <v>0</v>
      </c>
      <c r="AG1391" s="63">
        <v>0</v>
      </c>
      <c r="AH1391" s="63"/>
      <c r="AI1391" s="63"/>
      <c r="AJ1391" s="63"/>
      <c r="AK1391" s="63"/>
      <c r="AL1391" s="63"/>
      <c r="AM1391" s="63"/>
      <c r="AN1391" s="63">
        <v>0</v>
      </c>
      <c r="AO1391" s="63"/>
      <c r="AP1391" s="63"/>
      <c r="AQ1391" s="63">
        <v>0</v>
      </c>
      <c r="AR1391" s="63"/>
      <c r="AS1391" s="63"/>
      <c r="AT1391" s="63"/>
      <c r="AU1391" s="63"/>
      <c r="AW1391" s="5">
        <f>IF(Q1391&gt;0,RANK(Q1391,(N1391:P1391,Q1391:AE1391)),0)</f>
        <v>3</v>
      </c>
      <c r="AX1391" s="5">
        <f>IF(R1391&gt;0,RANK(R1391,(N1391:P1391,Q1391:AE1391)),0)</f>
        <v>5</v>
      </c>
      <c r="AY1391" s="5">
        <f>IF(T1391&gt;0,RANK(T1391,(N1391:P1391,Q1391:AE1391)),0)</f>
        <v>10</v>
      </c>
      <c r="AZ1391" s="5">
        <f>IF(S1391&gt;0,RANK(S1391,(N1391:P1391,Q1391:AE1391)),0)</f>
        <v>5</v>
      </c>
      <c r="BA1391" s="2">
        <f t="shared" si="583"/>
        <v>2.6219192448872573E-2</v>
      </c>
      <c r="BB1391" s="2">
        <f t="shared" si="584"/>
        <v>7.1665792693585036E-3</v>
      </c>
      <c r="BC1391" s="2">
        <f t="shared" si="585"/>
        <v>5.243838489774515E-4</v>
      </c>
      <c r="BD1391" s="2">
        <f t="shared" si="586"/>
        <v>7.1665792693585036E-3</v>
      </c>
      <c r="BF1391" t="s">
        <v>376</v>
      </c>
      <c r="BG1391" t="s">
        <v>2725</v>
      </c>
      <c r="BH1391" s="8"/>
      <c r="BJ1391" s="114">
        <v>27</v>
      </c>
      <c r="BK1391" s="116">
        <v>33</v>
      </c>
      <c r="BL1391" s="120">
        <f t="shared" si="588"/>
        <v>27033</v>
      </c>
      <c r="BN1391" s="5" t="s">
        <v>3154</v>
      </c>
      <c r="CA1391" s="63">
        <v>24</v>
      </c>
    </row>
    <row r="1392" spans="1:79" hidden="1" outlineLevel="1">
      <c r="A1392" t="s">
        <v>347</v>
      </c>
      <c r="B1392" t="s">
        <v>2725</v>
      </c>
      <c r="C1392" s="1">
        <f t="shared" si="578"/>
        <v>35842</v>
      </c>
      <c r="D1392" s="5">
        <f>IF(N1392&gt;0, RANK(N1392,(N1392:P1392,Q1392:AE1392)),0)</f>
        <v>2</v>
      </c>
      <c r="E1392" s="5">
        <f>IF(O1392&gt;0,RANK(O1392,(N1392:P1392,Q1392:AE1392)),0)</f>
        <v>1</v>
      </c>
      <c r="F1392" s="5">
        <f>IF(P1392&gt;0,RANK(P1392,(N1392:P1392,Q1392:AE1392)),0)</f>
        <v>4</v>
      </c>
      <c r="G1392" s="132">
        <f t="shared" si="565"/>
        <v>11305</v>
      </c>
      <c r="H1392" s="137">
        <f t="shared" si="566"/>
        <v>0.31541208637910834</v>
      </c>
      <c r="I1392" s="2"/>
      <c r="J1392" s="2">
        <f t="shared" si="579"/>
        <v>0.30640031248256233</v>
      </c>
      <c r="K1392" s="2">
        <f t="shared" si="580"/>
        <v>0.62181239886167061</v>
      </c>
      <c r="L1392" s="2">
        <f t="shared" si="581"/>
        <v>1.3894313933374253E-2</v>
      </c>
      <c r="M1392" s="2">
        <f t="shared" si="582"/>
        <v>5.7892974722392861E-2</v>
      </c>
      <c r="N1392" s="63">
        <v>10982</v>
      </c>
      <c r="O1392" s="63">
        <v>22287</v>
      </c>
      <c r="P1392" s="63">
        <v>498</v>
      </c>
      <c r="Q1392" s="63">
        <v>1174</v>
      </c>
      <c r="R1392" s="63">
        <v>311</v>
      </c>
      <c r="S1392" s="63">
        <v>145</v>
      </c>
      <c r="T1392" s="63">
        <v>19</v>
      </c>
      <c r="U1392" s="63">
        <v>0</v>
      </c>
      <c r="V1392" s="63">
        <v>0</v>
      </c>
      <c r="W1392" s="63">
        <f t="shared" si="587"/>
        <v>272</v>
      </c>
      <c r="X1392" s="63">
        <v>13</v>
      </c>
      <c r="Y1392" s="63">
        <v>0</v>
      </c>
      <c r="Z1392" s="63">
        <v>0</v>
      </c>
      <c r="AA1392" s="63"/>
      <c r="AB1392" s="63"/>
      <c r="AC1392" s="63">
        <v>139</v>
      </c>
      <c r="AD1392" s="63"/>
      <c r="AE1392" s="63">
        <v>0</v>
      </c>
      <c r="AF1392" s="63">
        <v>0</v>
      </c>
      <c r="AG1392" s="63">
        <v>1</v>
      </c>
      <c r="AH1392" s="63"/>
      <c r="AI1392" s="63"/>
      <c r="AJ1392" s="63"/>
      <c r="AK1392" s="63"/>
      <c r="AL1392" s="63"/>
      <c r="AM1392" s="63"/>
      <c r="AN1392" s="63">
        <v>1</v>
      </c>
      <c r="AO1392" s="63"/>
      <c r="AP1392" s="63"/>
      <c r="AQ1392" s="63">
        <v>0</v>
      </c>
      <c r="AR1392" s="63"/>
      <c r="AS1392" s="63"/>
      <c r="AT1392" s="63"/>
      <c r="AU1392" s="63"/>
      <c r="AW1392" s="5">
        <f>IF(Q1392&gt;0,RANK(Q1392,(N1392:P1392,Q1392:AE1392)),0)</f>
        <v>3</v>
      </c>
      <c r="AX1392" s="5">
        <f>IF(R1392&gt;0,RANK(R1392,(N1392:P1392,Q1392:AE1392)),0)</f>
        <v>5</v>
      </c>
      <c r="AY1392" s="5">
        <f>IF(T1392&gt;0,RANK(T1392,(N1392:P1392,Q1392:AE1392)),0)</f>
        <v>9</v>
      </c>
      <c r="AZ1392" s="5">
        <f>IF(S1392&gt;0,RANK(S1392,(N1392:P1392,Q1392:AE1392)),0)</f>
        <v>7</v>
      </c>
      <c r="BA1392" s="2">
        <f t="shared" si="583"/>
        <v>3.2754868589922437E-2</v>
      </c>
      <c r="BB1392" s="2">
        <f t="shared" si="584"/>
        <v>8.6769711511634397E-3</v>
      </c>
      <c r="BC1392" s="2">
        <f t="shared" si="585"/>
        <v>5.3010434685564424E-4</v>
      </c>
      <c r="BD1392" s="2">
        <f t="shared" si="586"/>
        <v>4.0455331733720221E-3</v>
      </c>
      <c r="BF1392" t="s">
        <v>347</v>
      </c>
      <c r="BG1392" t="s">
        <v>2725</v>
      </c>
      <c r="BH1392" s="8">
        <v>8</v>
      </c>
      <c r="BJ1392" s="114">
        <v>27</v>
      </c>
      <c r="BK1392" s="116">
        <v>35</v>
      </c>
      <c r="BL1392" s="120">
        <f t="shared" si="588"/>
        <v>27035</v>
      </c>
      <c r="BN1392" s="5" t="s">
        <v>3154</v>
      </c>
      <c r="CA1392" s="63">
        <v>274</v>
      </c>
    </row>
    <row r="1393" spans="1:79" hidden="1" outlineLevel="1">
      <c r="A1393" t="s">
        <v>2285</v>
      </c>
      <c r="B1393" t="s">
        <v>2725</v>
      </c>
      <c r="C1393" s="1">
        <f t="shared" si="578"/>
        <v>231860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>IF(P1393&gt;0,RANK(P1393,(N1393:P1393,Q1393:AE1393)),0)</f>
        <v>4</v>
      </c>
      <c r="G1393" s="132">
        <f t="shared" si="565"/>
        <v>10728</v>
      </c>
      <c r="H1393" s="137">
        <f t="shared" si="566"/>
        <v>4.6269300439920641E-2</v>
      </c>
      <c r="I1393" s="2"/>
      <c r="J1393" s="2">
        <f t="shared" si="579"/>
        <v>0.4769774864142155</v>
      </c>
      <c r="K1393" s="2">
        <f t="shared" si="580"/>
        <v>0.43070818597429483</v>
      </c>
      <c r="L1393" s="2">
        <f t="shared" si="581"/>
        <v>1.9442767187095662E-2</v>
      </c>
      <c r="M1393" s="2">
        <f t="shared" si="582"/>
        <v>7.2871560424393952E-2</v>
      </c>
      <c r="N1393" s="63">
        <v>110592</v>
      </c>
      <c r="O1393" s="63">
        <v>99864</v>
      </c>
      <c r="P1393" s="63">
        <v>4508</v>
      </c>
      <c r="Q1393" s="63">
        <v>9891</v>
      </c>
      <c r="R1393" s="63">
        <v>2684</v>
      </c>
      <c r="S1393" s="63">
        <v>650</v>
      </c>
      <c r="T1393" s="63">
        <v>119</v>
      </c>
      <c r="U1393" s="63">
        <v>0</v>
      </c>
      <c r="V1393" s="63">
        <v>0</v>
      </c>
      <c r="W1393" s="63">
        <f t="shared" si="587"/>
        <v>2555</v>
      </c>
      <c r="X1393" s="63">
        <v>102</v>
      </c>
      <c r="Y1393" s="63">
        <v>2</v>
      </c>
      <c r="Z1393" s="63">
        <v>0</v>
      </c>
      <c r="AA1393" s="63"/>
      <c r="AB1393" s="63"/>
      <c r="AC1393" s="63">
        <v>873</v>
      </c>
      <c r="AD1393" s="63"/>
      <c r="AE1393" s="63">
        <v>1</v>
      </c>
      <c r="AF1393" s="63">
        <v>0</v>
      </c>
      <c r="AG1393" s="63">
        <v>1</v>
      </c>
      <c r="AH1393" s="63"/>
      <c r="AI1393" s="63"/>
      <c r="AJ1393" s="63"/>
      <c r="AK1393" s="63"/>
      <c r="AL1393" s="63"/>
      <c r="AM1393" s="63"/>
      <c r="AN1393" s="63">
        <v>18</v>
      </c>
      <c r="AO1393" s="63"/>
      <c r="AP1393" s="63"/>
      <c r="AQ1393" s="63">
        <v>0</v>
      </c>
      <c r="AR1393" s="63"/>
      <c r="AS1393" s="63"/>
      <c r="AT1393" s="63"/>
      <c r="AU1393" s="63"/>
      <c r="AW1393" s="5">
        <f>IF(Q1393&gt;0,RANK(Q1393,(N1393:P1393,Q1393:AE1393)),0)</f>
        <v>3</v>
      </c>
      <c r="AX1393" s="5">
        <f>IF(R1393&gt;0,RANK(R1393,(N1393:P1393,Q1393:AE1393)),0)</f>
        <v>5</v>
      </c>
      <c r="AY1393" s="5">
        <f>IF(T1393&gt;0,RANK(T1393,(N1393:P1393,Q1393:AE1393)),0)</f>
        <v>9</v>
      </c>
      <c r="AZ1393" s="5">
        <f>IF(S1393&gt;0,RANK(S1393,(N1393:P1393,Q1393:AE1393)),0)</f>
        <v>8</v>
      </c>
      <c r="BA1393" s="2">
        <f t="shared" si="583"/>
        <v>4.2659363408953682E-2</v>
      </c>
      <c r="BB1393" s="2">
        <f t="shared" si="584"/>
        <v>1.1575951004916761E-2</v>
      </c>
      <c r="BC1393" s="2">
        <f t="shared" si="585"/>
        <v>5.1324074872768053E-4</v>
      </c>
      <c r="BD1393" s="2">
        <f t="shared" si="586"/>
        <v>2.8034158543948934E-3</v>
      </c>
      <c r="BF1393" t="s">
        <v>2285</v>
      </c>
      <c r="BG1393" t="s">
        <v>2725</v>
      </c>
      <c r="BH1393" s="8">
        <v>2</v>
      </c>
      <c r="BJ1393" s="114">
        <v>27</v>
      </c>
      <c r="BK1393" s="116">
        <v>37</v>
      </c>
      <c r="BL1393" s="120">
        <f t="shared" si="588"/>
        <v>27037</v>
      </c>
      <c r="BN1393" s="5" t="s">
        <v>3154</v>
      </c>
      <c r="CA1393" s="63">
        <v>2577</v>
      </c>
    </row>
    <row r="1394" spans="1:79" hidden="1" outlineLevel="1">
      <c r="A1394" t="s">
        <v>3139</v>
      </c>
      <c r="B1394" t="s">
        <v>2725</v>
      </c>
      <c r="C1394" s="1">
        <f t="shared" si="578"/>
        <v>10654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4</v>
      </c>
      <c r="G1394" s="132">
        <f t="shared" si="565"/>
        <v>3425</v>
      </c>
      <c r="H1394" s="137">
        <f t="shared" si="566"/>
        <v>0.3214755021588136</v>
      </c>
      <c r="I1394" s="2"/>
      <c r="J1394" s="2">
        <f t="shared" si="579"/>
        <v>0.29115825042237659</v>
      </c>
      <c r="K1394" s="2">
        <f t="shared" si="580"/>
        <v>0.61263375258119013</v>
      </c>
      <c r="L1394" s="2">
        <f t="shared" si="581"/>
        <v>2.4967148488830485E-2</v>
      </c>
      <c r="M1394" s="2">
        <f t="shared" si="582"/>
        <v>7.1240848507602747E-2</v>
      </c>
      <c r="N1394" s="63">
        <v>3102</v>
      </c>
      <c r="O1394" s="63">
        <v>6527</v>
      </c>
      <c r="P1394" s="63">
        <v>266</v>
      </c>
      <c r="Q1394" s="63">
        <v>454</v>
      </c>
      <c r="R1394" s="63">
        <v>98</v>
      </c>
      <c r="S1394" s="63">
        <v>61</v>
      </c>
      <c r="T1394" s="63">
        <v>5</v>
      </c>
      <c r="U1394" s="63">
        <v>0</v>
      </c>
      <c r="V1394" s="63">
        <v>0</v>
      </c>
      <c r="W1394" s="63">
        <f t="shared" si="587"/>
        <v>90</v>
      </c>
      <c r="X1394" s="63">
        <v>5</v>
      </c>
      <c r="Y1394" s="63">
        <v>0</v>
      </c>
      <c r="Z1394" s="63">
        <v>0</v>
      </c>
      <c r="AA1394" s="63"/>
      <c r="AB1394" s="63"/>
      <c r="AC1394" s="63">
        <v>46</v>
      </c>
      <c r="AD1394" s="63"/>
      <c r="AE1394" s="63">
        <v>0</v>
      </c>
      <c r="AF1394" s="63">
        <v>0</v>
      </c>
      <c r="AG1394" s="63">
        <v>0</v>
      </c>
      <c r="AH1394" s="63"/>
      <c r="AI1394" s="63"/>
      <c r="AJ1394" s="63"/>
      <c r="AK1394" s="63"/>
      <c r="AL1394" s="63"/>
      <c r="AM1394" s="63"/>
      <c r="AN1394" s="63">
        <v>0</v>
      </c>
      <c r="AO1394" s="63"/>
      <c r="AP1394" s="63"/>
      <c r="AQ1394" s="63">
        <v>0</v>
      </c>
      <c r="AR1394" s="63"/>
      <c r="AS1394" s="63"/>
      <c r="AT1394" s="63"/>
      <c r="AU1394" s="63"/>
      <c r="AW1394" s="5">
        <f>IF(Q1394&gt;0,RANK(Q1394,(N1394:P1394,Q1394:AE1394)),0)</f>
        <v>3</v>
      </c>
      <c r="AX1394" s="5">
        <f>IF(R1394&gt;0,RANK(R1394,(N1394:P1394,Q1394:AE1394)),0)</f>
        <v>5</v>
      </c>
      <c r="AY1394" s="5">
        <f>IF(T1394&gt;0,RANK(T1394,(N1394:P1394,Q1394:AE1394)),0)</f>
        <v>9</v>
      </c>
      <c r="AZ1394" s="5">
        <f>IF(S1394&gt;0,RANK(S1394,(N1394:P1394,Q1394:AE1394)),0)</f>
        <v>7</v>
      </c>
      <c r="BA1394" s="2">
        <f t="shared" si="583"/>
        <v>4.2613103059883611E-2</v>
      </c>
      <c r="BB1394" s="2">
        <f t="shared" si="584"/>
        <v>9.1984231274638631E-3</v>
      </c>
      <c r="BC1394" s="2">
        <f t="shared" si="585"/>
        <v>4.6930730242162569E-4</v>
      </c>
      <c r="BD1394" s="2">
        <f t="shared" si="586"/>
        <v>5.7255490895438332E-3</v>
      </c>
      <c r="BF1394" t="s">
        <v>3139</v>
      </c>
      <c r="BG1394" t="s">
        <v>2725</v>
      </c>
      <c r="BH1394" s="8">
        <v>1</v>
      </c>
      <c r="BJ1394" s="114">
        <v>27</v>
      </c>
      <c r="BK1394" s="116">
        <v>39</v>
      </c>
      <c r="BL1394" s="120">
        <f t="shared" si="588"/>
        <v>27039</v>
      </c>
      <c r="BN1394" s="5" t="s">
        <v>3154</v>
      </c>
      <c r="CA1394" s="63">
        <v>90</v>
      </c>
    </row>
    <row r="1395" spans="1:79" hidden="1" outlineLevel="1">
      <c r="A1395" t="s">
        <v>1148</v>
      </c>
      <c r="B1395" t="s">
        <v>2725</v>
      </c>
      <c r="C1395" s="1">
        <f t="shared" si="578"/>
        <v>21785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4</v>
      </c>
      <c r="G1395" s="132">
        <f t="shared" si="565"/>
        <v>7739</v>
      </c>
      <c r="H1395" s="137">
        <f t="shared" si="566"/>
        <v>0.35524443424374569</v>
      </c>
      <c r="I1395" s="2"/>
      <c r="J1395" s="2">
        <f t="shared" si="579"/>
        <v>0.2858388799632775</v>
      </c>
      <c r="K1395" s="2">
        <f t="shared" si="580"/>
        <v>0.64108331420702314</v>
      </c>
      <c r="L1395" s="2">
        <f t="shared" si="581"/>
        <v>1.4872618774386046E-2</v>
      </c>
      <c r="M1395" s="2">
        <f t="shared" si="582"/>
        <v>5.8205187055313315E-2</v>
      </c>
      <c r="N1395" s="63">
        <v>6227</v>
      </c>
      <c r="O1395" s="63">
        <v>13966</v>
      </c>
      <c r="P1395" s="63">
        <v>324</v>
      </c>
      <c r="Q1395" s="63">
        <v>781</v>
      </c>
      <c r="R1395" s="63">
        <v>167</v>
      </c>
      <c r="S1395" s="63">
        <v>87</v>
      </c>
      <c r="T1395" s="63">
        <v>9</v>
      </c>
      <c r="U1395" s="63">
        <v>0</v>
      </c>
      <c r="V1395" s="63">
        <v>0</v>
      </c>
      <c r="W1395" s="63">
        <f t="shared" si="587"/>
        <v>161</v>
      </c>
      <c r="X1395" s="63">
        <v>6</v>
      </c>
      <c r="Y1395" s="63">
        <v>0</v>
      </c>
      <c r="Z1395" s="63">
        <v>0</v>
      </c>
      <c r="AA1395" s="63"/>
      <c r="AB1395" s="63"/>
      <c r="AC1395" s="63">
        <v>56</v>
      </c>
      <c r="AD1395" s="63"/>
      <c r="AE1395" s="63">
        <v>0</v>
      </c>
      <c r="AF1395" s="63">
        <v>0</v>
      </c>
      <c r="AG1395" s="63">
        <v>0</v>
      </c>
      <c r="AH1395" s="63"/>
      <c r="AI1395" s="63"/>
      <c r="AJ1395" s="63"/>
      <c r="AK1395" s="63"/>
      <c r="AL1395" s="63"/>
      <c r="AM1395" s="63"/>
      <c r="AN1395" s="63">
        <v>1</v>
      </c>
      <c r="AO1395" s="63"/>
      <c r="AP1395" s="63"/>
      <c r="AQ1395" s="63">
        <v>0</v>
      </c>
      <c r="AR1395" s="63"/>
      <c r="AS1395" s="63"/>
      <c r="AT1395" s="63"/>
      <c r="AU1395" s="63"/>
      <c r="AW1395" s="5">
        <f>IF(Q1395&gt;0,RANK(Q1395,(N1395:P1395,Q1395:AE1395)),0)</f>
        <v>3</v>
      </c>
      <c r="AX1395" s="5">
        <f>IF(R1395&gt;0,RANK(R1395,(N1395:P1395,Q1395:AE1395)),0)</f>
        <v>5</v>
      </c>
      <c r="AY1395" s="5">
        <f>IF(T1395&gt;0,RANK(T1395,(N1395:P1395,Q1395:AE1395)),0)</f>
        <v>9</v>
      </c>
      <c r="AZ1395" s="5">
        <f>IF(S1395&gt;0,RANK(S1395,(N1395:P1395,Q1395:AE1395)),0)</f>
        <v>7</v>
      </c>
      <c r="BA1395" s="2">
        <f t="shared" si="583"/>
        <v>3.5850355749368831E-2</v>
      </c>
      <c r="BB1395" s="2">
        <f t="shared" si="584"/>
        <v>7.6658251090199678E-3</v>
      </c>
      <c r="BC1395" s="2">
        <f t="shared" si="585"/>
        <v>4.1312829928850128E-4</v>
      </c>
      <c r="BD1395" s="2">
        <f t="shared" si="586"/>
        <v>3.9935735597888457E-3</v>
      </c>
      <c r="BF1395" t="s">
        <v>1148</v>
      </c>
      <c r="BG1395" t="s">
        <v>2725</v>
      </c>
      <c r="BH1395" s="8">
        <v>7</v>
      </c>
      <c r="BJ1395" s="114">
        <v>27</v>
      </c>
      <c r="BK1395" s="116">
        <v>41</v>
      </c>
      <c r="BL1395" s="120">
        <f t="shared" si="588"/>
        <v>27041</v>
      </c>
      <c r="BN1395" s="5" t="s">
        <v>3154</v>
      </c>
      <c r="CA1395" s="63">
        <v>162</v>
      </c>
    </row>
    <row r="1396" spans="1:79" hidden="1" outlineLevel="1">
      <c r="A1396" t="s">
        <v>322</v>
      </c>
      <c r="B1396" t="s">
        <v>2725</v>
      </c>
      <c r="C1396" s="1">
        <f t="shared" si="578"/>
        <v>7412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4</v>
      </c>
      <c r="G1396" s="132">
        <f t="shared" si="565"/>
        <v>2506</v>
      </c>
      <c r="H1396" s="137">
        <f t="shared" si="566"/>
        <v>0.33810037776578522</v>
      </c>
      <c r="I1396" s="2"/>
      <c r="J1396" s="2">
        <f t="shared" si="579"/>
        <v>0.29047490555855371</v>
      </c>
      <c r="K1396" s="2">
        <f t="shared" si="580"/>
        <v>0.62857528332433887</v>
      </c>
      <c r="L1396" s="2">
        <f t="shared" si="581"/>
        <v>1.7808958445763627E-2</v>
      </c>
      <c r="M1396" s="2">
        <f t="shared" si="582"/>
        <v>6.3140852671343783E-2</v>
      </c>
      <c r="N1396" s="63">
        <v>2153</v>
      </c>
      <c r="O1396" s="63">
        <v>4659</v>
      </c>
      <c r="P1396" s="63">
        <v>132</v>
      </c>
      <c r="Q1396" s="63">
        <v>271</v>
      </c>
      <c r="R1396" s="63">
        <v>63</v>
      </c>
      <c r="S1396" s="63">
        <v>31</v>
      </c>
      <c r="T1396" s="63">
        <v>3</v>
      </c>
      <c r="U1396" s="63">
        <v>0</v>
      </c>
      <c r="V1396" s="63">
        <v>0</v>
      </c>
      <c r="W1396" s="63">
        <f t="shared" si="587"/>
        <v>57</v>
      </c>
      <c r="X1396" s="63">
        <v>6</v>
      </c>
      <c r="Y1396" s="63">
        <v>0</v>
      </c>
      <c r="Z1396" s="63">
        <v>0</v>
      </c>
      <c r="AA1396" s="63"/>
      <c r="AB1396" s="63"/>
      <c r="AC1396" s="63">
        <v>37</v>
      </c>
      <c r="AD1396" s="63"/>
      <c r="AE1396" s="63">
        <v>0</v>
      </c>
      <c r="AF1396" s="63">
        <v>0</v>
      </c>
      <c r="AG1396" s="63">
        <v>0</v>
      </c>
      <c r="AH1396" s="63"/>
      <c r="AI1396" s="63"/>
      <c r="AJ1396" s="63"/>
      <c r="AK1396" s="63"/>
      <c r="AL1396" s="63"/>
      <c r="AM1396" s="63"/>
      <c r="AN1396" s="63">
        <v>0</v>
      </c>
      <c r="AO1396" s="63"/>
      <c r="AP1396" s="63"/>
      <c r="AQ1396" s="63">
        <v>0</v>
      </c>
      <c r="AR1396" s="63"/>
      <c r="AS1396" s="63"/>
      <c r="AT1396" s="63"/>
      <c r="AU1396" s="63"/>
      <c r="AW1396" s="5">
        <f>IF(Q1396&gt;0,RANK(Q1396,(N1396:P1396,Q1396:AE1396)),0)</f>
        <v>3</v>
      </c>
      <c r="AX1396" s="5">
        <f>IF(R1396&gt;0,RANK(R1396,(N1396:P1396,Q1396:AE1396)),0)</f>
        <v>5</v>
      </c>
      <c r="AY1396" s="5">
        <f>IF(T1396&gt;0,RANK(T1396,(N1396:P1396,Q1396:AE1396)),0)</f>
        <v>10</v>
      </c>
      <c r="AZ1396" s="5">
        <f>IF(S1396&gt;0,RANK(S1396,(N1396:P1396,Q1396:AE1396)),0)</f>
        <v>8</v>
      </c>
      <c r="BA1396" s="2">
        <f t="shared" si="583"/>
        <v>3.6562331354560169E-2</v>
      </c>
      <c r="BB1396" s="2">
        <f t="shared" si="584"/>
        <v>8.4997301672962763E-3</v>
      </c>
      <c r="BC1396" s="2">
        <f t="shared" si="585"/>
        <v>4.0474905558553697E-4</v>
      </c>
      <c r="BD1396" s="2">
        <f t="shared" si="586"/>
        <v>4.1824069077172153E-3</v>
      </c>
      <c r="BF1396" t="s">
        <v>322</v>
      </c>
      <c r="BG1396" t="s">
        <v>2725</v>
      </c>
      <c r="BH1396" s="8">
        <v>1</v>
      </c>
      <c r="BJ1396" s="114">
        <v>27</v>
      </c>
      <c r="BK1396" s="116">
        <v>43</v>
      </c>
      <c r="BL1396" s="120">
        <f t="shared" si="588"/>
        <v>27043</v>
      </c>
      <c r="BN1396" s="5" t="s">
        <v>3154</v>
      </c>
      <c r="CA1396" s="63">
        <v>57</v>
      </c>
    </row>
    <row r="1397" spans="1:79" hidden="1" outlineLevel="1">
      <c r="A1397" t="s">
        <v>2002</v>
      </c>
      <c r="B1397" t="s">
        <v>2725</v>
      </c>
      <c r="C1397" s="1">
        <f t="shared" si="578"/>
        <v>11055</v>
      </c>
      <c r="D1397" s="5">
        <f>IF(N1397&gt;0, RANK(N1397,(N1397:P1397,Q1397:AE1397)),0)</f>
        <v>2</v>
      </c>
      <c r="E1397" s="5">
        <f>IF(O1397&gt;0,RANK(O1397,(N1397:P1397,Q1397:AE1397)),0)</f>
        <v>1</v>
      </c>
      <c r="F1397" s="5">
        <f>IF(P1397&gt;0,RANK(P1397,(N1397:P1397,Q1397:AE1397)),0)</f>
        <v>4</v>
      </c>
      <c r="G1397" s="132">
        <f t="shared" si="565"/>
        <v>2399</v>
      </c>
      <c r="H1397" s="137">
        <f t="shared" si="566"/>
        <v>0.21700587969244686</v>
      </c>
      <c r="I1397" s="2"/>
      <c r="J1397" s="2">
        <f t="shared" si="579"/>
        <v>0.3502487562189055</v>
      </c>
      <c r="K1397" s="2">
        <f t="shared" si="580"/>
        <v>0.56725463591135228</v>
      </c>
      <c r="L1397" s="2">
        <f t="shared" si="581"/>
        <v>1.9538670284938942E-2</v>
      </c>
      <c r="M1397" s="2">
        <f t="shared" si="582"/>
        <v>6.2957937584803281E-2</v>
      </c>
      <c r="N1397" s="63">
        <v>3872</v>
      </c>
      <c r="O1397" s="63">
        <v>6271</v>
      </c>
      <c r="P1397" s="63">
        <v>216</v>
      </c>
      <c r="Q1397" s="63">
        <v>409</v>
      </c>
      <c r="R1397" s="63">
        <v>103</v>
      </c>
      <c r="S1397" s="63">
        <v>54</v>
      </c>
      <c r="T1397" s="63">
        <v>5</v>
      </c>
      <c r="U1397" s="63">
        <v>0</v>
      </c>
      <c r="V1397" s="63">
        <v>0</v>
      </c>
      <c r="W1397" s="63">
        <f t="shared" si="587"/>
        <v>78</v>
      </c>
      <c r="X1397" s="63">
        <v>6</v>
      </c>
      <c r="Y1397" s="63">
        <v>0</v>
      </c>
      <c r="Z1397" s="63">
        <v>0</v>
      </c>
      <c r="AA1397" s="63"/>
      <c r="AB1397" s="63"/>
      <c r="AC1397" s="63">
        <v>41</v>
      </c>
      <c r="AD1397" s="63"/>
      <c r="AE1397" s="63">
        <v>0</v>
      </c>
      <c r="AF1397" s="63">
        <v>0</v>
      </c>
      <c r="AG1397" s="63">
        <v>0</v>
      </c>
      <c r="AH1397" s="63"/>
      <c r="AI1397" s="63"/>
      <c r="AJ1397" s="63"/>
      <c r="AK1397" s="63"/>
      <c r="AL1397" s="63"/>
      <c r="AM1397" s="63"/>
      <c r="AN1397" s="63">
        <v>0</v>
      </c>
      <c r="AO1397" s="63"/>
      <c r="AP1397" s="63"/>
      <c r="AQ1397" s="63">
        <v>0</v>
      </c>
      <c r="AR1397" s="63"/>
      <c r="AS1397" s="63"/>
      <c r="AT1397" s="63"/>
      <c r="AU1397" s="63"/>
      <c r="AW1397" s="5">
        <f>IF(Q1397&gt;0,RANK(Q1397,(N1397:P1397,Q1397:AE1397)),0)</f>
        <v>3</v>
      </c>
      <c r="AX1397" s="5">
        <f>IF(R1397&gt;0,RANK(R1397,(N1397:P1397,Q1397:AE1397)),0)</f>
        <v>5</v>
      </c>
      <c r="AY1397" s="5">
        <f>IF(T1397&gt;0,RANK(T1397,(N1397:P1397,Q1397:AE1397)),0)</f>
        <v>10</v>
      </c>
      <c r="AZ1397" s="5">
        <f>IF(S1397&gt;0,RANK(S1397,(N1397:P1397,Q1397:AE1397)),0)</f>
        <v>7</v>
      </c>
      <c r="BA1397" s="2">
        <f t="shared" si="583"/>
        <v>3.6996834011759384E-2</v>
      </c>
      <c r="BB1397" s="2">
        <f t="shared" si="584"/>
        <v>9.3170511080958845E-3</v>
      </c>
      <c r="BC1397" s="2">
        <f t="shared" si="585"/>
        <v>4.5228403437358661E-4</v>
      </c>
      <c r="BD1397" s="2">
        <f t="shared" si="586"/>
        <v>4.8846675712347354E-3</v>
      </c>
      <c r="BF1397" t="s">
        <v>2002</v>
      </c>
      <c r="BG1397" t="s">
        <v>2725</v>
      </c>
      <c r="BH1397" s="8">
        <v>1</v>
      </c>
      <c r="BJ1397" s="114">
        <v>27</v>
      </c>
      <c r="BK1397" s="116">
        <v>45</v>
      </c>
      <c r="BL1397" s="120">
        <f t="shared" si="588"/>
        <v>27045</v>
      </c>
      <c r="BN1397" s="5" t="s">
        <v>3154</v>
      </c>
      <c r="CA1397" s="63">
        <v>78</v>
      </c>
    </row>
    <row r="1398" spans="1:79" hidden="1" outlineLevel="1">
      <c r="A1398" t="s">
        <v>1233</v>
      </c>
      <c r="B1398" t="s">
        <v>2725</v>
      </c>
      <c r="C1398" s="1">
        <f t="shared" si="578"/>
        <v>16051</v>
      </c>
      <c r="D1398" s="5">
        <f>IF(N1398&gt;0, RANK(N1398,(N1398:P1398,Q1398:AE1398)),0)</f>
        <v>2</v>
      </c>
      <c r="E1398" s="5">
        <f>IF(O1398&gt;0,RANK(O1398,(N1398:P1398,Q1398:AE1398)),0)</f>
        <v>1</v>
      </c>
      <c r="F1398" s="5">
        <f>IF(P1398&gt;0,RANK(P1398,(N1398:P1398,Q1398:AE1398)),0)</f>
        <v>4</v>
      </c>
      <c r="G1398" s="132">
        <f t="shared" si="565"/>
        <v>2767</v>
      </c>
      <c r="H1398" s="137">
        <f t="shared" si="566"/>
        <v>0.17238801320789982</v>
      </c>
      <c r="I1398" s="2"/>
      <c r="J1398" s="2">
        <f t="shared" si="579"/>
        <v>0.37636284343654602</v>
      </c>
      <c r="K1398" s="2">
        <f t="shared" si="580"/>
        <v>0.54875085664444578</v>
      </c>
      <c r="L1398" s="2">
        <f t="shared" si="581"/>
        <v>1.6073764874462649E-2</v>
      </c>
      <c r="M1398" s="2">
        <f t="shared" si="582"/>
        <v>5.8812535044545547E-2</v>
      </c>
      <c r="N1398" s="63">
        <v>6041</v>
      </c>
      <c r="O1398" s="63">
        <v>8808</v>
      </c>
      <c r="P1398" s="63">
        <v>258</v>
      </c>
      <c r="Q1398" s="63">
        <v>511</v>
      </c>
      <c r="R1398" s="63">
        <v>169</v>
      </c>
      <c r="S1398" s="63">
        <v>48</v>
      </c>
      <c r="T1398" s="63">
        <v>9</v>
      </c>
      <c r="U1398" s="63">
        <v>0</v>
      </c>
      <c r="V1398" s="63">
        <v>0</v>
      </c>
      <c r="W1398" s="63">
        <f t="shared" si="587"/>
        <v>120</v>
      </c>
      <c r="X1398" s="63">
        <v>14</v>
      </c>
      <c r="Y1398" s="63">
        <v>0</v>
      </c>
      <c r="Z1398" s="63">
        <v>0</v>
      </c>
      <c r="AA1398" s="63"/>
      <c r="AB1398" s="63"/>
      <c r="AC1398" s="63">
        <v>71</v>
      </c>
      <c r="AD1398" s="63"/>
      <c r="AE1398" s="63">
        <v>0</v>
      </c>
      <c r="AF1398" s="63">
        <v>0</v>
      </c>
      <c r="AG1398" s="63">
        <v>0</v>
      </c>
      <c r="AH1398" s="63"/>
      <c r="AI1398" s="63"/>
      <c r="AJ1398" s="63"/>
      <c r="AK1398" s="63"/>
      <c r="AL1398" s="63"/>
      <c r="AM1398" s="63"/>
      <c r="AN1398" s="63">
        <v>2</v>
      </c>
      <c r="AO1398" s="63"/>
      <c r="AP1398" s="63"/>
      <c r="AQ1398" s="63">
        <v>0</v>
      </c>
      <c r="AR1398" s="63"/>
      <c r="AS1398" s="63"/>
      <c r="AT1398" s="63"/>
      <c r="AU1398" s="63"/>
      <c r="AW1398" s="5">
        <f>IF(Q1398&gt;0,RANK(Q1398,(N1398:P1398,Q1398:AE1398)),0)</f>
        <v>3</v>
      </c>
      <c r="AX1398" s="5">
        <f>IF(R1398&gt;0,RANK(R1398,(N1398:P1398,Q1398:AE1398)),0)</f>
        <v>5</v>
      </c>
      <c r="AY1398" s="5">
        <f>IF(T1398&gt;0,RANK(T1398,(N1398:P1398,Q1398:AE1398)),0)</f>
        <v>10</v>
      </c>
      <c r="AZ1398" s="5">
        <f>IF(S1398&gt;0,RANK(S1398,(N1398:P1398,Q1398:AE1398)),0)</f>
        <v>8</v>
      </c>
      <c r="BA1398" s="2">
        <f t="shared" si="583"/>
        <v>3.1836022677714786E-2</v>
      </c>
      <c r="BB1398" s="2">
        <f t="shared" si="584"/>
        <v>1.0528939006915457E-2</v>
      </c>
      <c r="BC1398" s="2">
        <f t="shared" si="585"/>
        <v>5.6071272817892969E-4</v>
      </c>
      <c r="BD1398" s="2">
        <f t="shared" si="586"/>
        <v>2.9904678836209582E-3</v>
      </c>
      <c r="BF1398" t="s">
        <v>1233</v>
      </c>
      <c r="BG1398" t="s">
        <v>2725</v>
      </c>
      <c r="BH1398" s="8">
        <v>1</v>
      </c>
      <c r="BJ1398" s="114">
        <v>27</v>
      </c>
      <c r="BK1398" s="116">
        <v>47</v>
      </c>
      <c r="BL1398" s="120">
        <f t="shared" si="588"/>
        <v>27047</v>
      </c>
      <c r="BN1398" s="5" t="s">
        <v>3154</v>
      </c>
      <c r="CA1398" s="63">
        <v>122</v>
      </c>
    </row>
    <row r="1399" spans="1:79" hidden="1" outlineLevel="1">
      <c r="A1399" t="s">
        <v>920</v>
      </c>
      <c r="B1399" t="s">
        <v>2725</v>
      </c>
      <c r="C1399" s="1">
        <f t="shared" si="578"/>
        <v>25717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4</v>
      </c>
      <c r="G1399" s="132">
        <f t="shared" si="565"/>
        <v>4595</v>
      </c>
      <c r="H1399" s="137">
        <f t="shared" si="566"/>
        <v>0.17867558424388535</v>
      </c>
      <c r="I1399" s="2"/>
      <c r="J1399" s="2">
        <f t="shared" si="579"/>
        <v>0.3673056732900416</v>
      </c>
      <c r="K1399" s="2">
        <f t="shared" si="580"/>
        <v>0.54598125753392701</v>
      </c>
      <c r="L1399" s="2">
        <f t="shared" si="581"/>
        <v>1.6331609441225647E-2</v>
      </c>
      <c r="M1399" s="2">
        <f t="shared" si="582"/>
        <v>7.0381459734805737E-2</v>
      </c>
      <c r="N1399" s="63">
        <v>9446</v>
      </c>
      <c r="O1399" s="63">
        <v>14041</v>
      </c>
      <c r="P1399" s="63">
        <v>420</v>
      </c>
      <c r="Q1399" s="63">
        <v>1130</v>
      </c>
      <c r="R1399" s="63">
        <v>262</v>
      </c>
      <c r="S1399" s="63">
        <v>98</v>
      </c>
      <c r="T1399" s="63">
        <v>21</v>
      </c>
      <c r="U1399" s="63">
        <v>0</v>
      </c>
      <c r="V1399" s="63">
        <v>0</v>
      </c>
      <c r="W1399" s="63">
        <f t="shared" si="587"/>
        <v>177</v>
      </c>
      <c r="X1399" s="63">
        <v>11</v>
      </c>
      <c r="Y1399" s="63">
        <v>2</v>
      </c>
      <c r="Z1399" s="63">
        <v>0</v>
      </c>
      <c r="AA1399" s="63"/>
      <c r="AB1399" s="63"/>
      <c r="AC1399" s="63">
        <v>109</v>
      </c>
      <c r="AD1399" s="63"/>
      <c r="AE1399" s="63">
        <v>0</v>
      </c>
      <c r="AF1399" s="63">
        <v>0</v>
      </c>
      <c r="AG1399" s="63">
        <v>0</v>
      </c>
      <c r="AH1399" s="63"/>
      <c r="AI1399" s="63"/>
      <c r="AJ1399" s="63"/>
      <c r="AK1399" s="63"/>
      <c r="AL1399" s="63"/>
      <c r="AM1399" s="63"/>
      <c r="AN1399" s="63">
        <v>0</v>
      </c>
      <c r="AO1399" s="63"/>
      <c r="AP1399" s="63"/>
      <c r="AQ1399" s="63">
        <v>0</v>
      </c>
      <c r="AR1399" s="63"/>
      <c r="AS1399" s="63"/>
      <c r="AT1399" s="63"/>
      <c r="AU1399" s="63"/>
      <c r="AW1399" s="5">
        <f>IF(Q1399&gt;0,RANK(Q1399,(N1399:P1399,Q1399:AE1399)),0)</f>
        <v>3</v>
      </c>
      <c r="AX1399" s="5">
        <f>IF(R1399&gt;0,RANK(R1399,(N1399:P1399,Q1399:AE1399)),0)</f>
        <v>5</v>
      </c>
      <c r="AY1399" s="5">
        <f>IF(T1399&gt;0,RANK(T1399,(N1399:P1399,Q1399:AE1399)),0)</f>
        <v>9</v>
      </c>
      <c r="AZ1399" s="5">
        <f>IF(S1399&gt;0,RANK(S1399,(N1399:P1399,Q1399:AE1399)),0)</f>
        <v>8</v>
      </c>
      <c r="BA1399" s="2">
        <f t="shared" si="583"/>
        <v>4.3939806353773765E-2</v>
      </c>
      <c r="BB1399" s="2">
        <f t="shared" si="584"/>
        <v>1.0187813508574095E-2</v>
      </c>
      <c r="BC1399" s="2">
        <f t="shared" si="585"/>
        <v>8.1658047206128244E-4</v>
      </c>
      <c r="BD1399" s="2">
        <f t="shared" si="586"/>
        <v>3.8107088696193179E-3</v>
      </c>
      <c r="BF1399" t="s">
        <v>920</v>
      </c>
      <c r="BG1399" t="s">
        <v>2725</v>
      </c>
      <c r="BH1399" s="8">
        <v>2</v>
      </c>
      <c r="BJ1399" s="114">
        <v>27</v>
      </c>
      <c r="BK1399" s="116">
        <v>49</v>
      </c>
      <c r="BL1399" s="120">
        <f t="shared" si="588"/>
        <v>27049</v>
      </c>
      <c r="BN1399" s="5" t="s">
        <v>3154</v>
      </c>
      <c r="CA1399" s="63">
        <v>179</v>
      </c>
    </row>
    <row r="1400" spans="1:79" hidden="1" outlineLevel="1">
      <c r="A1400" t="s">
        <v>1417</v>
      </c>
      <c r="B1400" t="s">
        <v>2725</v>
      </c>
      <c r="C1400" s="1">
        <f t="shared" si="578"/>
        <v>3473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>IF(P1400&gt;0,RANK(P1400,(N1400:P1400,Q1400:AE1400)),0)</f>
        <v>4</v>
      </c>
      <c r="G1400" s="132">
        <f t="shared" si="565"/>
        <v>958</v>
      </c>
      <c r="H1400" s="137">
        <f t="shared" si="566"/>
        <v>0.27584221134465881</v>
      </c>
      <c r="I1400" s="2"/>
      <c r="J1400" s="2">
        <f t="shared" si="579"/>
        <v>0.3181687302044342</v>
      </c>
      <c r="K1400" s="2">
        <f t="shared" si="580"/>
        <v>0.59401094154909295</v>
      </c>
      <c r="L1400" s="2">
        <f t="shared" si="581"/>
        <v>1.9867549668874173E-2</v>
      </c>
      <c r="M1400" s="2">
        <f t="shared" si="582"/>
        <v>6.7952778577598613E-2</v>
      </c>
      <c r="N1400" s="63">
        <v>1105</v>
      </c>
      <c r="O1400" s="63">
        <v>2063</v>
      </c>
      <c r="P1400" s="63">
        <v>69</v>
      </c>
      <c r="Q1400" s="63">
        <v>159</v>
      </c>
      <c r="R1400" s="63">
        <v>27</v>
      </c>
      <c r="S1400" s="63">
        <v>11</v>
      </c>
      <c r="T1400" s="63">
        <v>4</v>
      </c>
      <c r="U1400" s="63">
        <v>0</v>
      </c>
      <c r="V1400" s="63">
        <v>0</v>
      </c>
      <c r="W1400" s="63">
        <f t="shared" si="587"/>
        <v>19</v>
      </c>
      <c r="X1400" s="63">
        <v>1</v>
      </c>
      <c r="Y1400" s="63">
        <v>0</v>
      </c>
      <c r="Z1400" s="63">
        <v>0</v>
      </c>
      <c r="AA1400" s="63"/>
      <c r="AB1400" s="63"/>
      <c r="AC1400" s="63">
        <v>15</v>
      </c>
      <c r="AD1400" s="63"/>
      <c r="AE1400" s="63">
        <v>0</v>
      </c>
      <c r="AF1400" s="63">
        <v>0</v>
      </c>
      <c r="AG1400" s="63">
        <v>0</v>
      </c>
      <c r="AH1400" s="63"/>
      <c r="AI1400" s="63"/>
      <c r="AJ1400" s="63"/>
      <c r="AK1400" s="63"/>
      <c r="AL1400" s="63"/>
      <c r="AM1400" s="63"/>
      <c r="AN1400" s="63">
        <v>0</v>
      </c>
      <c r="AO1400" s="63"/>
      <c r="AP1400" s="63"/>
      <c r="AQ1400" s="63">
        <v>0</v>
      </c>
      <c r="AR1400" s="63"/>
      <c r="AS1400" s="63"/>
      <c r="AT1400" s="63"/>
      <c r="AU1400" s="63"/>
      <c r="AW1400" s="5">
        <f>IF(Q1400&gt;0,RANK(Q1400,(N1400:P1400,Q1400:AE1400)),0)</f>
        <v>3</v>
      </c>
      <c r="AX1400" s="5">
        <f>IF(R1400&gt;0,RANK(R1400,(N1400:P1400,Q1400:AE1400)),0)</f>
        <v>5</v>
      </c>
      <c r="AY1400" s="5">
        <f>IF(T1400&gt;0,RANK(T1400,(N1400:P1400,Q1400:AE1400)),0)</f>
        <v>9</v>
      </c>
      <c r="AZ1400" s="5">
        <f>IF(S1400&gt;0,RANK(S1400,(N1400:P1400,Q1400:AE1400)),0)</f>
        <v>8</v>
      </c>
      <c r="BA1400" s="2">
        <f t="shared" si="583"/>
        <v>4.5781744889144833E-2</v>
      </c>
      <c r="BB1400" s="2">
        <f t="shared" si="584"/>
        <v>7.7742585660811976E-3</v>
      </c>
      <c r="BC1400" s="2">
        <f t="shared" si="585"/>
        <v>1.1517420097898071E-3</v>
      </c>
      <c r="BD1400" s="2">
        <f t="shared" si="586"/>
        <v>3.1672905269219693E-3</v>
      </c>
      <c r="BF1400" t="s">
        <v>1417</v>
      </c>
      <c r="BG1400" t="s">
        <v>2725</v>
      </c>
      <c r="BH1400" s="8">
        <v>7</v>
      </c>
      <c r="BJ1400" s="114">
        <v>27</v>
      </c>
      <c r="BK1400" s="116">
        <v>51</v>
      </c>
      <c r="BL1400" s="120">
        <f t="shared" si="588"/>
        <v>27051</v>
      </c>
      <c r="BN1400" s="5" t="s">
        <v>3154</v>
      </c>
      <c r="CA1400" s="63">
        <v>19</v>
      </c>
    </row>
    <row r="1401" spans="1:79" hidden="1" outlineLevel="1">
      <c r="A1401" t="s">
        <v>2233</v>
      </c>
      <c r="B1401" t="s">
        <v>2725</v>
      </c>
      <c r="C1401" s="1">
        <f t="shared" si="578"/>
        <v>679977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>IF(P1401&gt;0,RANK(P1401,(N1401:P1401,Q1401:AE1401)),0)</f>
        <v>4</v>
      </c>
      <c r="G1401" s="132">
        <f t="shared" si="565"/>
        <v>237518</v>
      </c>
      <c r="H1401" s="137">
        <f t="shared" si="566"/>
        <v>0.34930299113058239</v>
      </c>
      <c r="I1401" s="2"/>
      <c r="J1401" s="2">
        <f t="shared" si="579"/>
        <v>0.63132723606827879</v>
      </c>
      <c r="K1401" s="2">
        <f t="shared" si="580"/>
        <v>0.2820242449376964</v>
      </c>
      <c r="L1401" s="2">
        <f t="shared" si="581"/>
        <v>1.8044727983446498E-2</v>
      </c>
      <c r="M1401" s="2">
        <f t="shared" si="582"/>
        <v>6.8603791010578313E-2</v>
      </c>
      <c r="N1401" s="63">
        <v>429288</v>
      </c>
      <c r="O1401" s="63">
        <v>191770</v>
      </c>
      <c r="P1401" s="63">
        <v>12270</v>
      </c>
      <c r="Q1401" s="63">
        <v>24400</v>
      </c>
      <c r="R1401" s="63">
        <v>10310</v>
      </c>
      <c r="S1401" s="63">
        <v>1501</v>
      </c>
      <c r="T1401" s="63">
        <v>288</v>
      </c>
      <c r="U1401" s="63">
        <v>12</v>
      </c>
      <c r="V1401" s="63">
        <v>6</v>
      </c>
      <c r="W1401" s="63">
        <f t="shared" si="587"/>
        <v>7199</v>
      </c>
      <c r="X1401" s="63">
        <v>434</v>
      </c>
      <c r="Y1401" s="63">
        <v>8</v>
      </c>
      <c r="Z1401" s="63">
        <v>0</v>
      </c>
      <c r="AA1401" s="63"/>
      <c r="AB1401" s="63"/>
      <c r="AC1401" s="63">
        <v>2391</v>
      </c>
      <c r="AD1401" s="63"/>
      <c r="AE1401" s="63">
        <v>8</v>
      </c>
      <c r="AF1401" s="63">
        <v>7</v>
      </c>
      <c r="AG1401" s="63">
        <v>11</v>
      </c>
      <c r="AH1401" s="63"/>
      <c r="AI1401" s="63"/>
      <c r="AJ1401" s="63"/>
      <c r="AK1401" s="63"/>
      <c r="AL1401" s="63"/>
      <c r="AM1401" s="63"/>
      <c r="AN1401" s="63">
        <v>72</v>
      </c>
      <c r="AO1401" s="63"/>
      <c r="AP1401" s="63"/>
      <c r="AQ1401" s="63">
        <v>2</v>
      </c>
      <c r="AR1401" s="63"/>
      <c r="AS1401" s="63"/>
      <c r="AT1401" s="63"/>
      <c r="AU1401" s="63"/>
      <c r="AW1401" s="5">
        <f>IF(Q1401&gt;0,RANK(Q1401,(N1401:P1401,Q1401:AE1401)),0)</f>
        <v>3</v>
      </c>
      <c r="AX1401" s="5">
        <f>IF(R1401&gt;0,RANK(R1401,(N1401:P1401,Q1401:AE1401)),0)</f>
        <v>5</v>
      </c>
      <c r="AY1401" s="5">
        <f>IF(T1401&gt;0,RANK(T1401,(N1401:P1401,Q1401:AE1401)),0)</f>
        <v>10</v>
      </c>
      <c r="AZ1401" s="5">
        <f>IF(S1401&gt;0,RANK(S1401,(N1401:P1401,Q1401:AE1401)),0)</f>
        <v>8</v>
      </c>
      <c r="BA1401" s="2">
        <f t="shared" si="583"/>
        <v>3.5883566650048458E-2</v>
      </c>
      <c r="BB1401" s="2">
        <f t="shared" si="584"/>
        <v>1.5162277547622935E-2</v>
      </c>
      <c r="BC1401" s="2">
        <f t="shared" si="585"/>
        <v>4.235437375087687E-4</v>
      </c>
      <c r="BD1401" s="2">
        <f t="shared" si="586"/>
        <v>2.2074276041689645E-3</v>
      </c>
      <c r="BF1401" t="s">
        <v>2233</v>
      </c>
      <c r="BG1401" t="s">
        <v>2725</v>
      </c>
      <c r="BH1401" s="8"/>
      <c r="BJ1401" s="114">
        <v>27</v>
      </c>
      <c r="BK1401" s="116">
        <v>53</v>
      </c>
      <c r="BL1401" s="120">
        <f t="shared" si="588"/>
        <v>27053</v>
      </c>
      <c r="BN1401" s="5" t="s">
        <v>3154</v>
      </c>
      <c r="CA1401" s="63">
        <v>7325</v>
      </c>
    </row>
    <row r="1402" spans="1:79" hidden="1" outlineLevel="1">
      <c r="A1402" t="s">
        <v>1007</v>
      </c>
      <c r="B1402" t="s">
        <v>2725</v>
      </c>
      <c r="C1402" s="1">
        <f t="shared" si="578"/>
        <v>10604</v>
      </c>
      <c r="D1402" s="5">
        <f>IF(N1402&gt;0, RANK(N1402,(N1402:P1402,Q1402:AE1402)),0)</f>
        <v>2</v>
      </c>
      <c r="E1402" s="5">
        <f>IF(O1402&gt;0,RANK(O1402,(N1402:P1402,Q1402:AE1402)),0)</f>
        <v>1</v>
      </c>
      <c r="F1402" s="5">
        <f>IF(P1402&gt;0,RANK(P1402,(N1402:P1402,Q1402:AE1402)),0)</f>
        <v>4</v>
      </c>
      <c r="G1402" s="132">
        <f t="shared" si="565"/>
        <v>1471</v>
      </c>
      <c r="H1402" s="137">
        <f t="shared" si="566"/>
        <v>0.13872123726895511</v>
      </c>
      <c r="I1402" s="2"/>
      <c r="J1402" s="2">
        <f t="shared" si="579"/>
        <v>0.39089023010184837</v>
      </c>
      <c r="K1402" s="2">
        <f t="shared" si="580"/>
        <v>0.52961146737080345</v>
      </c>
      <c r="L1402" s="2">
        <f t="shared" si="581"/>
        <v>1.3013956997359487E-2</v>
      </c>
      <c r="M1402" s="2">
        <f t="shared" si="582"/>
        <v>6.6484345529988637E-2</v>
      </c>
      <c r="N1402" s="63">
        <v>4145</v>
      </c>
      <c r="O1402" s="63">
        <v>5616</v>
      </c>
      <c r="P1402" s="63">
        <v>138</v>
      </c>
      <c r="Q1402" s="63">
        <v>394</v>
      </c>
      <c r="R1402" s="63">
        <v>135</v>
      </c>
      <c r="S1402" s="63">
        <v>29</v>
      </c>
      <c r="T1402" s="63">
        <v>2</v>
      </c>
      <c r="U1402" s="63">
        <v>0</v>
      </c>
      <c r="V1402" s="63">
        <v>0</v>
      </c>
      <c r="W1402" s="63">
        <f t="shared" si="587"/>
        <v>89</v>
      </c>
      <c r="X1402" s="63">
        <v>4</v>
      </c>
      <c r="Y1402" s="63">
        <v>0</v>
      </c>
      <c r="Z1402" s="63">
        <v>0</v>
      </c>
      <c r="AA1402" s="63"/>
      <c r="AB1402" s="63"/>
      <c r="AC1402" s="63">
        <v>52</v>
      </c>
      <c r="AD1402" s="63"/>
      <c r="AE1402" s="63">
        <v>0</v>
      </c>
      <c r="AF1402" s="63">
        <v>0</v>
      </c>
      <c r="AG1402" s="63">
        <v>0</v>
      </c>
      <c r="AH1402" s="63"/>
      <c r="AI1402" s="63"/>
      <c r="AJ1402" s="63"/>
      <c r="AK1402" s="63"/>
      <c r="AL1402" s="63"/>
      <c r="AM1402" s="63"/>
      <c r="AN1402" s="63">
        <v>0</v>
      </c>
      <c r="AO1402" s="63"/>
      <c r="AP1402" s="63"/>
      <c r="AQ1402" s="63">
        <v>0</v>
      </c>
      <c r="AR1402" s="63"/>
      <c r="AS1402" s="63"/>
      <c r="AT1402" s="63"/>
      <c r="AU1402" s="63"/>
      <c r="AW1402" s="5">
        <f>IF(Q1402&gt;0,RANK(Q1402,(N1402:P1402,Q1402:AE1402)),0)</f>
        <v>3</v>
      </c>
      <c r="AX1402" s="5">
        <f>IF(R1402&gt;0,RANK(R1402,(N1402:P1402,Q1402:AE1402)),0)</f>
        <v>5</v>
      </c>
      <c r="AY1402" s="5">
        <f>IF(T1402&gt;0,RANK(T1402,(N1402:P1402,Q1402:AE1402)),0)</f>
        <v>10</v>
      </c>
      <c r="AZ1402" s="5">
        <f>IF(S1402&gt;0,RANK(S1402,(N1402:P1402,Q1402:AE1402)),0)</f>
        <v>8</v>
      </c>
      <c r="BA1402" s="2">
        <f t="shared" si="583"/>
        <v>3.7155790267823466E-2</v>
      </c>
      <c r="BB1402" s="2">
        <f t="shared" si="584"/>
        <v>1.2731044888721238E-2</v>
      </c>
      <c r="BC1402" s="2">
        <f t="shared" si="585"/>
        <v>1.8860807242549981E-4</v>
      </c>
      <c r="BD1402" s="2">
        <f t="shared" si="586"/>
        <v>2.7348170501697473E-3</v>
      </c>
      <c r="BF1402" t="s">
        <v>1007</v>
      </c>
      <c r="BG1402" t="s">
        <v>2725</v>
      </c>
      <c r="BH1402" s="8">
        <v>1</v>
      </c>
      <c r="BJ1402" s="114">
        <v>27</v>
      </c>
      <c r="BK1402" s="116">
        <v>55</v>
      </c>
      <c r="BL1402" s="120">
        <f t="shared" si="588"/>
        <v>27055</v>
      </c>
      <c r="BN1402" s="5" t="s">
        <v>3154</v>
      </c>
      <c r="CA1402" s="63">
        <v>89</v>
      </c>
    </row>
    <row r="1403" spans="1:79" hidden="1" outlineLevel="1">
      <c r="A1403" t="s">
        <v>1824</v>
      </c>
      <c r="B1403" t="s">
        <v>2725</v>
      </c>
      <c r="C1403" s="1">
        <f t="shared" si="578"/>
        <v>11505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4</v>
      </c>
      <c r="G1403" s="132">
        <f t="shared" si="565"/>
        <v>3838</v>
      </c>
      <c r="H1403" s="137">
        <f t="shared" si="566"/>
        <v>0.33359408952629294</v>
      </c>
      <c r="I1403" s="2"/>
      <c r="J1403" s="2">
        <f t="shared" si="579"/>
        <v>0.29752281616688397</v>
      </c>
      <c r="K1403" s="2">
        <f t="shared" si="580"/>
        <v>0.63111690569317691</v>
      </c>
      <c r="L1403" s="2">
        <f t="shared" si="581"/>
        <v>1.338548457192525E-2</v>
      </c>
      <c r="M1403" s="2">
        <f t="shared" si="582"/>
        <v>5.7974793568013924E-2</v>
      </c>
      <c r="N1403" s="63">
        <v>3423</v>
      </c>
      <c r="O1403" s="63">
        <v>7261</v>
      </c>
      <c r="P1403" s="63">
        <v>154</v>
      </c>
      <c r="Q1403" s="63">
        <v>342</v>
      </c>
      <c r="R1403" s="63">
        <v>132</v>
      </c>
      <c r="S1403" s="63">
        <v>48</v>
      </c>
      <c r="T1403" s="63">
        <v>5</v>
      </c>
      <c r="U1403" s="63">
        <v>0</v>
      </c>
      <c r="V1403" s="63">
        <v>0</v>
      </c>
      <c r="W1403" s="63">
        <f t="shared" si="587"/>
        <v>100</v>
      </c>
      <c r="X1403" s="63">
        <v>8</v>
      </c>
      <c r="Y1403" s="63">
        <v>0</v>
      </c>
      <c r="Z1403" s="63">
        <v>0</v>
      </c>
      <c r="AA1403" s="63"/>
      <c r="AB1403" s="63"/>
      <c r="AC1403" s="63">
        <v>32</v>
      </c>
      <c r="AD1403" s="63"/>
      <c r="AE1403" s="63">
        <v>0</v>
      </c>
      <c r="AF1403" s="63">
        <v>0</v>
      </c>
      <c r="AG1403" s="63">
        <v>0</v>
      </c>
      <c r="AH1403" s="63"/>
      <c r="AI1403" s="63"/>
      <c r="AJ1403" s="63"/>
      <c r="AK1403" s="63"/>
      <c r="AL1403" s="63"/>
      <c r="AM1403" s="63"/>
      <c r="AN1403" s="63">
        <v>0</v>
      </c>
      <c r="AO1403" s="63"/>
      <c r="AP1403" s="63"/>
      <c r="AQ1403" s="63">
        <v>0</v>
      </c>
      <c r="AR1403" s="63"/>
      <c r="AS1403" s="63"/>
      <c r="AT1403" s="63"/>
      <c r="AU1403" s="63"/>
      <c r="AW1403" s="5">
        <f>IF(Q1403&gt;0,RANK(Q1403,(N1403:P1403,Q1403:AE1403)),0)</f>
        <v>3</v>
      </c>
      <c r="AX1403" s="5">
        <f>IF(R1403&gt;0,RANK(R1403,(N1403:P1403,Q1403:AE1403)),0)</f>
        <v>5</v>
      </c>
      <c r="AY1403" s="5">
        <f>IF(T1403&gt;0,RANK(T1403,(N1403:P1403,Q1403:AE1403)),0)</f>
        <v>10</v>
      </c>
      <c r="AZ1403" s="5">
        <f>IF(S1403&gt;0,RANK(S1403,(N1403:P1403,Q1403:AE1403)),0)</f>
        <v>7</v>
      </c>
      <c r="BA1403" s="2">
        <f t="shared" si="583"/>
        <v>2.9726205997392438E-2</v>
      </c>
      <c r="BB1403" s="2">
        <f t="shared" si="584"/>
        <v>1.1473272490221642E-2</v>
      </c>
      <c r="BC1403" s="2">
        <f t="shared" si="585"/>
        <v>4.3459365493263801E-4</v>
      </c>
      <c r="BD1403" s="2">
        <f t="shared" si="586"/>
        <v>4.1720990873533245E-3</v>
      </c>
      <c r="BF1403" t="s">
        <v>1824</v>
      </c>
      <c r="BG1403" t="s">
        <v>2725</v>
      </c>
      <c r="BH1403" s="8">
        <v>8</v>
      </c>
      <c r="BJ1403" s="114">
        <v>27</v>
      </c>
      <c r="BK1403" s="116">
        <v>57</v>
      </c>
      <c r="BL1403" s="120">
        <f t="shared" si="588"/>
        <v>27057</v>
      </c>
      <c r="BN1403" s="5" t="s">
        <v>3154</v>
      </c>
      <c r="CA1403" s="63">
        <v>100</v>
      </c>
    </row>
    <row r="1404" spans="1:79" hidden="1" outlineLevel="1">
      <c r="A1404" t="s">
        <v>1756</v>
      </c>
      <c r="B1404" t="s">
        <v>2725</v>
      </c>
      <c r="C1404" s="1">
        <f t="shared" si="578"/>
        <v>21016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4</v>
      </c>
      <c r="G1404" s="132">
        <f t="shared" si="565"/>
        <v>7978</v>
      </c>
      <c r="H1404" s="137">
        <f t="shared" si="566"/>
        <v>0.37961553102398171</v>
      </c>
      <c r="I1404" s="2"/>
      <c r="J1404" s="2">
        <f t="shared" si="579"/>
        <v>0.26917586600685195</v>
      </c>
      <c r="K1404" s="2">
        <f t="shared" si="580"/>
        <v>0.64879139703083366</v>
      </c>
      <c r="L1404" s="2">
        <f t="shared" si="581"/>
        <v>1.9889607917776931E-2</v>
      </c>
      <c r="M1404" s="2">
        <f t="shared" si="582"/>
        <v>6.2143129044537462E-2</v>
      </c>
      <c r="N1404" s="63">
        <v>5657</v>
      </c>
      <c r="O1404" s="63">
        <v>13635</v>
      </c>
      <c r="P1404" s="63">
        <v>418</v>
      </c>
      <c r="Q1404" s="63">
        <v>765</v>
      </c>
      <c r="R1404" s="63">
        <v>219</v>
      </c>
      <c r="S1404" s="63">
        <v>84</v>
      </c>
      <c r="T1404" s="63">
        <v>5</v>
      </c>
      <c r="U1404" s="63">
        <v>0</v>
      </c>
      <c r="V1404" s="63">
        <v>0</v>
      </c>
      <c r="W1404" s="63">
        <f t="shared" si="587"/>
        <v>138</v>
      </c>
      <c r="X1404" s="63">
        <v>8</v>
      </c>
      <c r="Y1404" s="63">
        <v>0</v>
      </c>
      <c r="Z1404" s="63">
        <v>0</v>
      </c>
      <c r="AA1404" s="63"/>
      <c r="AB1404" s="63"/>
      <c r="AC1404" s="63">
        <v>85</v>
      </c>
      <c r="AD1404" s="63"/>
      <c r="AE1404" s="63">
        <v>0</v>
      </c>
      <c r="AF1404" s="63">
        <v>0</v>
      </c>
      <c r="AG1404" s="63">
        <v>0</v>
      </c>
      <c r="AH1404" s="63"/>
      <c r="AI1404" s="63"/>
      <c r="AJ1404" s="63"/>
      <c r="AK1404" s="63"/>
      <c r="AL1404" s="63"/>
      <c r="AM1404" s="63"/>
      <c r="AN1404" s="63">
        <v>2</v>
      </c>
      <c r="AO1404" s="63"/>
      <c r="AP1404" s="63"/>
      <c r="AQ1404" s="63">
        <v>0</v>
      </c>
      <c r="AR1404" s="63"/>
      <c r="AS1404" s="63"/>
      <c r="AT1404" s="63"/>
      <c r="AU1404" s="63"/>
      <c r="AW1404" s="5">
        <f>IF(Q1404&gt;0,RANK(Q1404,(N1404:P1404,Q1404:AE1404)),0)</f>
        <v>3</v>
      </c>
      <c r="AX1404" s="5">
        <f>IF(R1404&gt;0,RANK(R1404,(N1404:P1404,Q1404:AE1404)),0)</f>
        <v>5</v>
      </c>
      <c r="AY1404" s="5">
        <f>IF(T1404&gt;0,RANK(T1404,(N1404:P1404,Q1404:AE1404)),0)</f>
        <v>10</v>
      </c>
      <c r="AZ1404" s="5">
        <f>IF(S1404&gt;0,RANK(S1404,(N1404:P1404,Q1404:AE1404)),0)</f>
        <v>8</v>
      </c>
      <c r="BA1404" s="2">
        <f t="shared" si="583"/>
        <v>3.6400837457175483E-2</v>
      </c>
      <c r="BB1404" s="2">
        <f t="shared" si="584"/>
        <v>1.0420631899505138E-2</v>
      </c>
      <c r="BC1404" s="2">
        <f t="shared" si="585"/>
        <v>2.379139703083365E-4</v>
      </c>
      <c r="BD1404" s="2">
        <f t="shared" si="586"/>
        <v>3.9969547011800529E-3</v>
      </c>
      <c r="BF1404" t="s">
        <v>1756</v>
      </c>
      <c r="BG1404" t="s">
        <v>2725</v>
      </c>
      <c r="BH1404" s="8">
        <v>8</v>
      </c>
      <c r="BJ1404" s="114">
        <v>27</v>
      </c>
      <c r="BK1404" s="116">
        <v>59</v>
      </c>
      <c r="BL1404" s="120">
        <f t="shared" si="588"/>
        <v>27059</v>
      </c>
      <c r="BN1404" s="5" t="s">
        <v>3154</v>
      </c>
      <c r="CA1404" s="63">
        <v>140</v>
      </c>
    </row>
    <row r="1405" spans="1:79" hidden="1" outlineLevel="1">
      <c r="A1405" t="s">
        <v>7</v>
      </c>
      <c r="B1405" t="s">
        <v>2725</v>
      </c>
      <c r="C1405" s="1">
        <f t="shared" si="578"/>
        <v>23880</v>
      </c>
      <c r="D1405" s="5">
        <f>IF(N1405&gt;0, RANK(N1405,(N1405:P1405,Q1405:AE1405)),0)</f>
        <v>2</v>
      </c>
      <c r="E1405" s="5">
        <f>IF(O1405&gt;0,RANK(O1405,(N1405:P1405,Q1405:AE1405)),0)</f>
        <v>1</v>
      </c>
      <c r="F1405" s="5">
        <f>IF(P1405&gt;0,RANK(P1405,(N1405:P1405,Q1405:AE1405)),0)</f>
        <v>4</v>
      </c>
      <c r="G1405" s="132">
        <f t="shared" si="565"/>
        <v>3905</v>
      </c>
      <c r="H1405" s="137">
        <f t="shared" si="566"/>
        <v>0.16352596314907872</v>
      </c>
      <c r="I1405" s="2"/>
      <c r="J1405" s="2">
        <f t="shared" si="579"/>
        <v>0.37751256281407036</v>
      </c>
      <c r="K1405" s="2">
        <f t="shared" si="580"/>
        <v>0.54103852596314905</v>
      </c>
      <c r="L1405" s="2">
        <f t="shared" si="581"/>
        <v>1.4865996649916249E-2</v>
      </c>
      <c r="M1405" s="2">
        <f t="shared" si="582"/>
        <v>6.6582914572864388E-2</v>
      </c>
      <c r="N1405" s="63">
        <v>9015</v>
      </c>
      <c r="O1405" s="63">
        <v>12920</v>
      </c>
      <c r="P1405" s="63">
        <v>355</v>
      </c>
      <c r="Q1405" s="63">
        <v>792</v>
      </c>
      <c r="R1405" s="63">
        <v>274</v>
      </c>
      <c r="S1405" s="63">
        <v>126</v>
      </c>
      <c r="T1405" s="63">
        <v>10</v>
      </c>
      <c r="U1405" s="63">
        <v>0</v>
      </c>
      <c r="V1405" s="63">
        <v>0</v>
      </c>
      <c r="W1405" s="63">
        <f t="shared" si="587"/>
        <v>230</v>
      </c>
      <c r="X1405" s="63">
        <v>8</v>
      </c>
      <c r="Y1405" s="63">
        <v>0</v>
      </c>
      <c r="Z1405" s="63">
        <v>0</v>
      </c>
      <c r="AA1405" s="63"/>
      <c r="AB1405" s="63"/>
      <c r="AC1405" s="63">
        <v>150</v>
      </c>
      <c r="AD1405" s="63"/>
      <c r="AE1405" s="63">
        <v>0</v>
      </c>
      <c r="AF1405" s="63">
        <v>0</v>
      </c>
      <c r="AG1405" s="63">
        <v>0</v>
      </c>
      <c r="AH1405" s="63"/>
      <c r="AI1405" s="63"/>
      <c r="AJ1405" s="63"/>
      <c r="AK1405" s="63"/>
      <c r="AL1405" s="63"/>
      <c r="AM1405" s="63"/>
      <c r="AN1405" s="63">
        <v>0</v>
      </c>
      <c r="AO1405" s="63"/>
      <c r="AP1405" s="63"/>
      <c r="AQ1405" s="63">
        <v>0</v>
      </c>
      <c r="AR1405" s="63"/>
      <c r="AS1405" s="63"/>
      <c r="AT1405" s="63"/>
      <c r="AU1405" s="63"/>
      <c r="AW1405" s="5">
        <f>IF(Q1405&gt;0,RANK(Q1405,(N1405:P1405,Q1405:AE1405)),0)</f>
        <v>3</v>
      </c>
      <c r="AX1405" s="5">
        <f>IF(R1405&gt;0,RANK(R1405,(N1405:P1405,Q1405:AE1405)),0)</f>
        <v>5</v>
      </c>
      <c r="AY1405" s="5">
        <f>IF(T1405&gt;0,RANK(T1405,(N1405:P1405,Q1405:AE1405)),0)</f>
        <v>9</v>
      </c>
      <c r="AZ1405" s="5">
        <f>IF(S1405&gt;0,RANK(S1405,(N1405:P1405,Q1405:AE1405)),0)</f>
        <v>8</v>
      </c>
      <c r="BA1405" s="2">
        <f t="shared" si="583"/>
        <v>3.3165829145728645E-2</v>
      </c>
      <c r="BB1405" s="2">
        <f t="shared" si="584"/>
        <v>1.1474036850921273E-2</v>
      </c>
      <c r="BC1405" s="2">
        <f t="shared" si="585"/>
        <v>4.187604690117253E-4</v>
      </c>
      <c r="BD1405" s="2">
        <f t="shared" si="586"/>
        <v>5.2763819095477385E-3</v>
      </c>
      <c r="BF1405" t="s">
        <v>7</v>
      </c>
      <c r="BG1405" t="s">
        <v>2725</v>
      </c>
      <c r="BH1405" s="8">
        <v>8</v>
      </c>
      <c r="BJ1405" s="114">
        <v>27</v>
      </c>
      <c r="BK1405" s="116">
        <v>61</v>
      </c>
      <c r="BL1405" s="120">
        <f t="shared" si="588"/>
        <v>27061</v>
      </c>
      <c r="BN1405" s="5" t="s">
        <v>3154</v>
      </c>
      <c r="CA1405" s="63">
        <v>230</v>
      </c>
    </row>
    <row r="1406" spans="1:79" hidden="1" outlineLevel="1">
      <c r="A1406" t="s">
        <v>2921</v>
      </c>
      <c r="B1406" t="s">
        <v>2725</v>
      </c>
      <c r="C1406" s="1">
        <f t="shared" si="578"/>
        <v>5484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4</v>
      </c>
      <c r="G1406" s="132">
        <f t="shared" si="565"/>
        <v>2117</v>
      </c>
      <c r="H1406" s="137">
        <f t="shared" si="566"/>
        <v>0.3860320933625091</v>
      </c>
      <c r="I1406" s="2"/>
      <c r="J1406" s="2">
        <f t="shared" si="579"/>
        <v>0.27206418672501825</v>
      </c>
      <c r="K1406" s="2">
        <f t="shared" si="580"/>
        <v>0.65809628008752741</v>
      </c>
      <c r="L1406" s="2">
        <f t="shared" si="581"/>
        <v>1.4770240700218819E-2</v>
      </c>
      <c r="M1406" s="2">
        <f t="shared" si="582"/>
        <v>5.5069292487235577E-2</v>
      </c>
      <c r="N1406" s="63">
        <v>1492</v>
      </c>
      <c r="O1406" s="63">
        <v>3609</v>
      </c>
      <c r="P1406" s="63">
        <v>81</v>
      </c>
      <c r="Q1406" s="63">
        <v>181</v>
      </c>
      <c r="R1406" s="63">
        <v>49</v>
      </c>
      <c r="S1406" s="63">
        <v>22</v>
      </c>
      <c r="T1406" s="63">
        <v>1</v>
      </c>
      <c r="U1406" s="63">
        <v>0</v>
      </c>
      <c r="V1406" s="63">
        <v>0</v>
      </c>
      <c r="W1406" s="63">
        <f t="shared" si="587"/>
        <v>31</v>
      </c>
      <c r="X1406" s="63">
        <v>1</v>
      </c>
      <c r="Y1406" s="63">
        <v>0</v>
      </c>
      <c r="Z1406" s="63">
        <v>0</v>
      </c>
      <c r="AA1406" s="63"/>
      <c r="AB1406" s="63"/>
      <c r="AC1406" s="63">
        <v>17</v>
      </c>
      <c r="AD1406" s="63"/>
      <c r="AE1406" s="63">
        <v>0</v>
      </c>
      <c r="AF1406" s="63">
        <v>0</v>
      </c>
      <c r="AG1406" s="63">
        <v>0</v>
      </c>
      <c r="AH1406" s="63"/>
      <c r="AI1406" s="63"/>
      <c r="AJ1406" s="63"/>
      <c r="AK1406" s="63"/>
      <c r="AL1406" s="63"/>
      <c r="AM1406" s="63"/>
      <c r="AN1406" s="63">
        <v>0</v>
      </c>
      <c r="AO1406" s="63"/>
      <c r="AP1406" s="63"/>
      <c r="AQ1406" s="63">
        <v>0</v>
      </c>
      <c r="AR1406" s="63"/>
      <c r="AS1406" s="63"/>
      <c r="AT1406" s="63"/>
      <c r="AU1406" s="63"/>
      <c r="AW1406" s="5">
        <f>IF(Q1406&gt;0,RANK(Q1406,(N1406:P1406,Q1406:AE1406)),0)</f>
        <v>3</v>
      </c>
      <c r="AX1406" s="5">
        <f>IF(R1406&gt;0,RANK(R1406,(N1406:P1406,Q1406:AE1406)),0)</f>
        <v>5</v>
      </c>
      <c r="AY1406" s="5">
        <f>IF(T1406&gt;0,RANK(T1406,(N1406:P1406,Q1406:AE1406)),0)</f>
        <v>9</v>
      </c>
      <c r="AZ1406" s="5">
        <f>IF(S1406&gt;0,RANK(S1406,(N1406:P1406,Q1406:AE1406)),0)</f>
        <v>7</v>
      </c>
      <c r="BA1406" s="2">
        <f t="shared" si="583"/>
        <v>3.3005105762217359E-2</v>
      </c>
      <c r="BB1406" s="2">
        <f t="shared" si="584"/>
        <v>8.935083880379285E-3</v>
      </c>
      <c r="BC1406" s="2">
        <f t="shared" si="585"/>
        <v>1.8234865061998541E-4</v>
      </c>
      <c r="BD1406" s="2">
        <f t="shared" si="586"/>
        <v>4.0116703136396795E-3</v>
      </c>
      <c r="BF1406" t="s">
        <v>2921</v>
      </c>
      <c r="BG1406" t="s">
        <v>2725</v>
      </c>
      <c r="BH1406" s="8">
        <v>1</v>
      </c>
      <c r="BJ1406" s="114">
        <v>27</v>
      </c>
      <c r="BK1406" s="116">
        <v>63</v>
      </c>
      <c r="BL1406" s="120">
        <f t="shared" si="588"/>
        <v>27063</v>
      </c>
      <c r="BN1406" s="5" t="s">
        <v>3154</v>
      </c>
      <c r="CA1406" s="63">
        <v>31</v>
      </c>
    </row>
    <row r="1407" spans="1:79" hidden="1" outlineLevel="1">
      <c r="A1407" t="s">
        <v>2163</v>
      </c>
      <c r="B1407" t="s">
        <v>2725</v>
      </c>
      <c r="C1407" s="1">
        <f t="shared" ref="C1407:C1438" si="589">SUM(N1407:AU1407)</f>
        <v>8177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4</v>
      </c>
      <c r="G1407" s="132">
        <f t="shared" si="565"/>
        <v>2903</v>
      </c>
      <c r="H1407" s="137">
        <f t="shared" si="566"/>
        <v>0.35502017854959034</v>
      </c>
      <c r="I1407" s="2"/>
      <c r="J1407" s="2">
        <f t="shared" ref="J1407:J1438" si="590">IF($C1407=0,"-",N1407/$C1407)</f>
        <v>0.28457869634340222</v>
      </c>
      <c r="K1407" s="2">
        <f t="shared" ref="K1407:K1438" si="591">IF($C1407=0,"-",O1407/$C1407)</f>
        <v>0.6395988748929925</v>
      </c>
      <c r="L1407" s="2">
        <f t="shared" ref="L1407:L1438" si="592">IF($C1407=0,"-",P1407/$C1407)</f>
        <v>1.4063837593249359E-2</v>
      </c>
      <c r="M1407" s="2">
        <f t="shared" ref="M1407:M1438" si="593">IF(C1407=0,"-",(1-J1407-K1407-L1407))</f>
        <v>6.175859117035587E-2</v>
      </c>
      <c r="N1407" s="63">
        <v>2327</v>
      </c>
      <c r="O1407" s="63">
        <v>5230</v>
      </c>
      <c r="P1407" s="63">
        <v>115</v>
      </c>
      <c r="Q1407" s="63">
        <v>298</v>
      </c>
      <c r="R1407" s="63">
        <v>81</v>
      </c>
      <c r="S1407" s="63">
        <v>32</v>
      </c>
      <c r="T1407" s="63">
        <v>5</v>
      </c>
      <c r="U1407" s="63">
        <v>0</v>
      </c>
      <c r="V1407" s="63">
        <v>0</v>
      </c>
      <c r="W1407" s="63">
        <f t="shared" si="587"/>
        <v>52</v>
      </c>
      <c r="X1407" s="63">
        <v>5</v>
      </c>
      <c r="Y1407" s="63">
        <v>0</v>
      </c>
      <c r="Z1407" s="63">
        <v>0</v>
      </c>
      <c r="AA1407" s="63"/>
      <c r="AB1407" s="63"/>
      <c r="AC1407" s="63">
        <v>32</v>
      </c>
      <c r="AD1407" s="63"/>
      <c r="AE1407" s="63">
        <v>0</v>
      </c>
      <c r="AF1407" s="63">
        <v>0</v>
      </c>
      <c r="AG1407" s="63">
        <v>0</v>
      </c>
      <c r="AH1407" s="63"/>
      <c r="AI1407" s="63"/>
      <c r="AJ1407" s="63"/>
      <c r="AK1407" s="63"/>
      <c r="AL1407" s="63"/>
      <c r="AM1407" s="63"/>
      <c r="AN1407" s="63">
        <v>0</v>
      </c>
      <c r="AO1407" s="63"/>
      <c r="AP1407" s="63"/>
      <c r="AQ1407" s="63">
        <v>0</v>
      </c>
      <c r="AR1407" s="63"/>
      <c r="AS1407" s="63"/>
      <c r="AT1407" s="63"/>
      <c r="AU1407" s="63"/>
      <c r="AW1407" s="5">
        <f>IF(Q1407&gt;0,RANK(Q1407,(N1407:P1407,Q1407:AE1407)),0)</f>
        <v>3</v>
      </c>
      <c r="AX1407" s="5">
        <f>IF(R1407&gt;0,RANK(R1407,(N1407:P1407,Q1407:AE1407)),0)</f>
        <v>5</v>
      </c>
      <c r="AY1407" s="5">
        <f>IF(T1407&gt;0,RANK(T1407,(N1407:P1407,Q1407:AE1407)),0)</f>
        <v>9</v>
      </c>
      <c r="AZ1407" s="5">
        <f>IF(S1407&gt;0,RANK(S1407,(N1407:P1407,Q1407:AE1407)),0)</f>
        <v>7</v>
      </c>
      <c r="BA1407" s="2">
        <f t="shared" ref="BA1407:BA1438" si="594">IF($C1407=0,"-",Q1407/$C1407)</f>
        <v>3.6443683502507034E-2</v>
      </c>
      <c r="BB1407" s="2">
        <f t="shared" ref="BB1407:BB1438" si="595">IF($C1407=0,"-",R1407/$C1407)</f>
        <v>9.9058334352452003E-3</v>
      </c>
      <c r="BC1407" s="2">
        <f t="shared" ref="BC1407:BC1438" si="596">IF($C1407=0,"-",T1407/$C1407)</f>
        <v>6.1147119970649379E-4</v>
      </c>
      <c r="BD1407" s="2">
        <f t="shared" ref="BD1407:BD1438" si="597">IF($C1407=0,"-",S1407/$C1407)</f>
        <v>3.9134156781215606E-3</v>
      </c>
      <c r="BF1407" t="s">
        <v>2163</v>
      </c>
      <c r="BG1407" t="s">
        <v>2725</v>
      </c>
      <c r="BH1407" s="8">
        <v>8</v>
      </c>
      <c r="BJ1407" s="114">
        <v>27</v>
      </c>
      <c r="BK1407" s="116">
        <v>65</v>
      </c>
      <c r="BL1407" s="120">
        <f t="shared" si="588"/>
        <v>27065</v>
      </c>
      <c r="BN1407" s="5" t="s">
        <v>3154</v>
      </c>
      <c r="CA1407" s="63">
        <v>52</v>
      </c>
    </row>
    <row r="1408" spans="1:79" hidden="1" outlineLevel="1">
      <c r="A1408" t="s">
        <v>828</v>
      </c>
      <c r="B1408" t="s">
        <v>2725</v>
      </c>
      <c r="C1408" s="1">
        <f t="shared" si="589"/>
        <v>21772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4</v>
      </c>
      <c r="G1408" s="132">
        <f t="shared" si="565"/>
        <v>5519</v>
      </c>
      <c r="H1408" s="137">
        <f t="shared" si="566"/>
        <v>0.2534907220282932</v>
      </c>
      <c r="I1408" s="2"/>
      <c r="J1408" s="2">
        <f t="shared" si="590"/>
        <v>0.33373139812603342</v>
      </c>
      <c r="K1408" s="2">
        <f t="shared" si="591"/>
        <v>0.58722212015432662</v>
      </c>
      <c r="L1408" s="2">
        <f t="shared" si="592"/>
        <v>1.5937901892338784E-2</v>
      </c>
      <c r="M1408" s="2">
        <f t="shared" si="593"/>
        <v>6.3108579827301114E-2</v>
      </c>
      <c r="N1408" s="63">
        <v>7266</v>
      </c>
      <c r="O1408" s="63">
        <v>12785</v>
      </c>
      <c r="P1408" s="63">
        <v>347</v>
      </c>
      <c r="Q1408" s="63">
        <v>927</v>
      </c>
      <c r="R1408" s="63">
        <v>164</v>
      </c>
      <c r="S1408" s="63">
        <v>83</v>
      </c>
      <c r="T1408" s="63">
        <v>14</v>
      </c>
      <c r="U1408" s="63">
        <v>0</v>
      </c>
      <c r="V1408" s="63">
        <v>0</v>
      </c>
      <c r="W1408" s="63">
        <f t="shared" si="587"/>
        <v>124</v>
      </c>
      <c r="X1408" s="63">
        <v>11</v>
      </c>
      <c r="Y1408" s="63">
        <v>0</v>
      </c>
      <c r="Z1408" s="63">
        <v>0</v>
      </c>
      <c r="AA1408" s="63"/>
      <c r="AB1408" s="63"/>
      <c r="AC1408" s="63">
        <v>51</v>
      </c>
      <c r="AD1408" s="63"/>
      <c r="AE1408" s="63">
        <v>0</v>
      </c>
      <c r="AF1408" s="63">
        <v>0</v>
      </c>
      <c r="AG1408" s="63">
        <v>0</v>
      </c>
      <c r="AH1408" s="63"/>
      <c r="AI1408" s="63"/>
      <c r="AJ1408" s="63"/>
      <c r="AK1408" s="63"/>
      <c r="AL1408" s="63"/>
      <c r="AM1408" s="63"/>
      <c r="AN1408" s="63">
        <v>0</v>
      </c>
      <c r="AO1408" s="63"/>
      <c r="AP1408" s="63"/>
      <c r="AQ1408" s="63">
        <v>0</v>
      </c>
      <c r="AR1408" s="63"/>
      <c r="AS1408" s="63"/>
      <c r="AT1408" s="63"/>
      <c r="AU1408" s="63"/>
      <c r="AW1408" s="5">
        <f>IF(Q1408&gt;0,RANK(Q1408,(N1408:P1408,Q1408:AE1408)),0)</f>
        <v>3</v>
      </c>
      <c r="AX1408" s="5">
        <f>IF(R1408&gt;0,RANK(R1408,(N1408:P1408,Q1408:AE1408)),0)</f>
        <v>5</v>
      </c>
      <c r="AY1408" s="5">
        <f>IF(T1408&gt;0,RANK(T1408,(N1408:P1408,Q1408:AE1408)),0)</f>
        <v>9</v>
      </c>
      <c r="AZ1408" s="5">
        <f>IF(S1408&gt;0,RANK(S1408,(N1408:P1408,Q1408:AE1408)),0)</f>
        <v>7</v>
      </c>
      <c r="BA1408" s="2">
        <f t="shared" si="594"/>
        <v>4.2577622634576519E-2</v>
      </c>
      <c r="BB1408" s="2">
        <f t="shared" si="595"/>
        <v>7.5326106926327397E-3</v>
      </c>
      <c r="BC1408" s="2">
        <f t="shared" si="596"/>
        <v>6.4302774205401438E-4</v>
      </c>
      <c r="BD1408" s="2">
        <f t="shared" si="597"/>
        <v>3.8122358993202279E-3</v>
      </c>
      <c r="BF1408" t="s">
        <v>828</v>
      </c>
      <c r="BG1408" t="s">
        <v>2725</v>
      </c>
      <c r="BH1408" s="8">
        <v>7</v>
      </c>
      <c r="BJ1408" s="114">
        <v>27</v>
      </c>
      <c r="BK1408" s="116">
        <v>67</v>
      </c>
      <c r="BL1408" s="120">
        <f t="shared" si="588"/>
        <v>27067</v>
      </c>
      <c r="BN1408" s="5" t="s">
        <v>3154</v>
      </c>
      <c r="CA1408" s="63">
        <v>124</v>
      </c>
    </row>
    <row r="1409" spans="1:79" hidden="1" outlineLevel="1">
      <c r="A1409" t="s">
        <v>1763</v>
      </c>
      <c r="B1409" t="s">
        <v>2725</v>
      </c>
      <c r="C1409" s="1">
        <f t="shared" si="589"/>
        <v>2385</v>
      </c>
      <c r="D1409" s="5">
        <f>IF(N1409&gt;0, RANK(N1409,(N1409:P1409,Q1409:AE1409)),0)</f>
        <v>2</v>
      </c>
      <c r="E1409" s="5">
        <f>IF(O1409&gt;0,RANK(O1409,(N1409:P1409,Q1409:AE1409)),0)</f>
        <v>1</v>
      </c>
      <c r="F1409" s="5">
        <f>IF(P1409&gt;0,RANK(P1409,(N1409:P1409,Q1409:AE1409)),0)</f>
        <v>4</v>
      </c>
      <c r="G1409" s="132">
        <f t="shared" si="565"/>
        <v>526</v>
      </c>
      <c r="H1409" s="137">
        <f t="shared" si="566"/>
        <v>0.22054507337526205</v>
      </c>
      <c r="I1409" s="2"/>
      <c r="J1409" s="2">
        <f t="shared" si="590"/>
        <v>0.3450733752620545</v>
      </c>
      <c r="K1409" s="2">
        <f t="shared" si="591"/>
        <v>0.56561844863731658</v>
      </c>
      <c r="L1409" s="2">
        <f t="shared" si="592"/>
        <v>1.1740041928721174E-2</v>
      </c>
      <c r="M1409" s="2">
        <f t="shared" si="593"/>
        <v>7.7568134171907735E-2</v>
      </c>
      <c r="N1409" s="63">
        <v>823</v>
      </c>
      <c r="O1409" s="63">
        <v>1349</v>
      </c>
      <c r="P1409" s="63">
        <v>28</v>
      </c>
      <c r="Q1409" s="63">
        <v>121</v>
      </c>
      <c r="R1409" s="63">
        <v>15</v>
      </c>
      <c r="S1409" s="63">
        <v>13</v>
      </c>
      <c r="T1409" s="63">
        <v>1</v>
      </c>
      <c r="U1409" s="63">
        <v>0</v>
      </c>
      <c r="V1409" s="63">
        <v>0</v>
      </c>
      <c r="W1409" s="63">
        <f t="shared" si="587"/>
        <v>22</v>
      </c>
      <c r="X1409" s="63">
        <v>4</v>
      </c>
      <c r="Y1409" s="63">
        <v>0</v>
      </c>
      <c r="Z1409" s="63">
        <v>0</v>
      </c>
      <c r="AA1409" s="63"/>
      <c r="AB1409" s="63"/>
      <c r="AC1409" s="63">
        <v>9</v>
      </c>
      <c r="AD1409" s="63"/>
      <c r="AE1409" s="63">
        <v>0</v>
      </c>
      <c r="AF1409" s="63">
        <v>0</v>
      </c>
      <c r="AG1409" s="63">
        <v>0</v>
      </c>
      <c r="AH1409" s="63"/>
      <c r="AI1409" s="63"/>
      <c r="AJ1409" s="63"/>
      <c r="AK1409" s="63"/>
      <c r="AL1409" s="63"/>
      <c r="AM1409" s="63"/>
      <c r="AN1409" s="63">
        <v>0</v>
      </c>
      <c r="AO1409" s="63"/>
      <c r="AP1409" s="63"/>
      <c r="AQ1409" s="63">
        <v>0</v>
      </c>
      <c r="AR1409" s="63"/>
      <c r="AS1409" s="63"/>
      <c r="AT1409" s="63"/>
      <c r="AU1409" s="63"/>
      <c r="AW1409" s="5">
        <f>IF(Q1409&gt;0,RANK(Q1409,(N1409:P1409,Q1409:AE1409)),0)</f>
        <v>3</v>
      </c>
      <c r="AX1409" s="5">
        <f>IF(R1409&gt;0,RANK(R1409,(N1409:P1409,Q1409:AE1409)),0)</f>
        <v>6</v>
      </c>
      <c r="AY1409" s="5">
        <f>IF(T1409&gt;0,RANK(T1409,(N1409:P1409,Q1409:AE1409)),0)</f>
        <v>10</v>
      </c>
      <c r="AZ1409" s="5">
        <f>IF(S1409&gt;0,RANK(S1409,(N1409:P1409,Q1409:AE1409)),0)</f>
        <v>7</v>
      </c>
      <c r="BA1409" s="2">
        <f t="shared" si="594"/>
        <v>5.0733752620545074E-2</v>
      </c>
      <c r="BB1409" s="2">
        <f t="shared" si="595"/>
        <v>6.2893081761006293E-3</v>
      </c>
      <c r="BC1409" s="2">
        <f t="shared" si="596"/>
        <v>4.1928721174004191E-4</v>
      </c>
      <c r="BD1409" s="2">
        <f t="shared" si="597"/>
        <v>5.450733752620545E-3</v>
      </c>
      <c r="BF1409" t="s">
        <v>1763</v>
      </c>
      <c r="BG1409" t="s">
        <v>2725</v>
      </c>
      <c r="BH1409" s="8">
        <v>7</v>
      </c>
      <c r="BJ1409" s="114">
        <v>27</v>
      </c>
      <c r="BK1409" s="116">
        <v>69</v>
      </c>
      <c r="BL1409" s="120">
        <f t="shared" si="588"/>
        <v>27069</v>
      </c>
      <c r="BN1409" s="5" t="s">
        <v>3154</v>
      </c>
      <c r="CA1409" s="63">
        <v>22</v>
      </c>
    </row>
    <row r="1410" spans="1:79" hidden="1" outlineLevel="1">
      <c r="A1410" t="s">
        <v>814</v>
      </c>
      <c r="B1410" t="s">
        <v>2725</v>
      </c>
      <c r="C1410" s="1">
        <f t="shared" si="589"/>
        <v>6363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>IF(P1410&gt;0,RANK(P1410,(N1410:P1410,Q1410:AE1410)),0)</f>
        <v>4</v>
      </c>
      <c r="G1410" s="132">
        <f t="shared" si="565"/>
        <v>1263</v>
      </c>
      <c r="H1410" s="137">
        <f t="shared" si="566"/>
        <v>0.1984912776991985</v>
      </c>
      <c r="I1410" s="2"/>
      <c r="J1410" s="2">
        <f t="shared" si="590"/>
        <v>0.36240766933836238</v>
      </c>
      <c r="K1410" s="2">
        <f t="shared" si="591"/>
        <v>0.56089894703756094</v>
      </c>
      <c r="L1410" s="2">
        <f t="shared" si="592"/>
        <v>1.3672795851013672E-2</v>
      </c>
      <c r="M1410" s="2">
        <f t="shared" si="593"/>
        <v>6.302058777306295E-2</v>
      </c>
      <c r="N1410" s="63">
        <v>2306</v>
      </c>
      <c r="O1410" s="63">
        <v>3569</v>
      </c>
      <c r="P1410" s="63">
        <v>87</v>
      </c>
      <c r="Q1410" s="63">
        <v>207</v>
      </c>
      <c r="R1410" s="63">
        <v>69</v>
      </c>
      <c r="S1410" s="63">
        <v>37</v>
      </c>
      <c r="T1410" s="63">
        <v>1</v>
      </c>
      <c r="U1410" s="63">
        <v>0</v>
      </c>
      <c r="V1410" s="63">
        <v>0</v>
      </c>
      <c r="W1410" s="63">
        <f t="shared" si="587"/>
        <v>50</v>
      </c>
      <c r="X1410" s="63">
        <v>3</v>
      </c>
      <c r="Y1410" s="63">
        <v>0</v>
      </c>
      <c r="Z1410" s="63">
        <v>0</v>
      </c>
      <c r="AA1410" s="63"/>
      <c r="AB1410" s="63"/>
      <c r="AC1410" s="63">
        <v>34</v>
      </c>
      <c r="AD1410" s="63"/>
      <c r="AE1410" s="63">
        <v>0</v>
      </c>
      <c r="AF1410" s="63">
        <v>0</v>
      </c>
      <c r="AG1410" s="63">
        <v>0</v>
      </c>
      <c r="AH1410" s="63"/>
      <c r="AI1410" s="63"/>
      <c r="AJ1410" s="63"/>
      <c r="AK1410" s="63"/>
      <c r="AL1410" s="63"/>
      <c r="AM1410" s="63"/>
      <c r="AN1410" s="63">
        <v>0</v>
      </c>
      <c r="AO1410" s="63"/>
      <c r="AP1410" s="63"/>
      <c r="AQ1410" s="63">
        <v>0</v>
      </c>
      <c r="AR1410" s="63"/>
      <c r="AS1410" s="63"/>
      <c r="AT1410" s="63"/>
      <c r="AU1410" s="63"/>
      <c r="AW1410" s="5">
        <f>IF(Q1410&gt;0,RANK(Q1410,(N1410:P1410,Q1410:AE1410)),0)</f>
        <v>3</v>
      </c>
      <c r="AX1410" s="5">
        <f>IF(R1410&gt;0,RANK(R1410,(N1410:P1410,Q1410:AE1410)),0)</f>
        <v>5</v>
      </c>
      <c r="AY1410" s="5">
        <f>IF(T1410&gt;0,RANK(T1410,(N1410:P1410,Q1410:AE1410)),0)</f>
        <v>10</v>
      </c>
      <c r="AZ1410" s="5">
        <f>IF(S1410&gt;0,RANK(S1410,(N1410:P1410,Q1410:AE1410)),0)</f>
        <v>7</v>
      </c>
      <c r="BA1410" s="2">
        <f t="shared" si="594"/>
        <v>3.2531824611032531E-2</v>
      </c>
      <c r="BB1410" s="2">
        <f t="shared" si="595"/>
        <v>1.0843941537010843E-2</v>
      </c>
      <c r="BC1410" s="2">
        <f t="shared" si="596"/>
        <v>1.5715857300015716E-4</v>
      </c>
      <c r="BD1410" s="2">
        <f t="shared" si="597"/>
        <v>5.8148672010058149E-3</v>
      </c>
      <c r="BF1410" t="s">
        <v>814</v>
      </c>
      <c r="BG1410" t="s">
        <v>2725</v>
      </c>
      <c r="BH1410" s="8">
        <v>8</v>
      </c>
      <c r="BJ1410" s="114">
        <v>27</v>
      </c>
      <c r="BK1410" s="116">
        <v>71</v>
      </c>
      <c r="BL1410" s="120">
        <f t="shared" si="588"/>
        <v>27071</v>
      </c>
      <c r="BN1410" s="5" t="s">
        <v>3154</v>
      </c>
      <c r="CA1410" s="63">
        <v>50</v>
      </c>
    </row>
    <row r="1411" spans="1:79" hidden="1" outlineLevel="1">
      <c r="A1411" t="s">
        <v>2568</v>
      </c>
      <c r="B1411" t="s">
        <v>2725</v>
      </c>
      <c r="C1411" s="1">
        <f t="shared" si="589"/>
        <v>3860</v>
      </c>
      <c r="D1411" s="5">
        <f>IF(N1411&gt;0, RANK(N1411,(N1411:P1411,Q1411:AE1411)),0)</f>
        <v>2</v>
      </c>
      <c r="E1411" s="5">
        <f>IF(O1411&gt;0,RANK(O1411,(N1411:P1411,Q1411:AE1411)),0)</f>
        <v>1</v>
      </c>
      <c r="F1411" s="5">
        <f>IF(P1411&gt;0,RANK(P1411,(N1411:P1411,Q1411:AE1411)),0)</f>
        <v>4</v>
      </c>
      <c r="G1411" s="132">
        <f t="shared" si="565"/>
        <v>988</v>
      </c>
      <c r="H1411" s="137">
        <f t="shared" si="566"/>
        <v>0.25595854922279793</v>
      </c>
      <c r="I1411" s="2"/>
      <c r="J1411" s="2">
        <f t="shared" si="590"/>
        <v>0.33808290155440412</v>
      </c>
      <c r="K1411" s="2">
        <f t="shared" si="591"/>
        <v>0.59404145077720205</v>
      </c>
      <c r="L1411" s="2">
        <f t="shared" si="592"/>
        <v>1.5803108808290157E-2</v>
      </c>
      <c r="M1411" s="2">
        <f t="shared" si="593"/>
        <v>5.207253886010367E-2</v>
      </c>
      <c r="N1411" s="63">
        <v>1305</v>
      </c>
      <c r="O1411" s="63">
        <v>2293</v>
      </c>
      <c r="P1411" s="63">
        <v>61</v>
      </c>
      <c r="Q1411" s="63">
        <v>106</v>
      </c>
      <c r="R1411" s="63">
        <v>33</v>
      </c>
      <c r="S1411" s="63">
        <v>32</v>
      </c>
      <c r="T1411" s="63">
        <v>0</v>
      </c>
      <c r="U1411" s="63">
        <v>0</v>
      </c>
      <c r="V1411" s="63">
        <v>0</v>
      </c>
      <c r="W1411" s="63">
        <f t="shared" si="587"/>
        <v>21</v>
      </c>
      <c r="X1411" s="63">
        <v>0</v>
      </c>
      <c r="Y1411" s="63">
        <v>0</v>
      </c>
      <c r="Z1411" s="63">
        <v>0</v>
      </c>
      <c r="AA1411" s="63"/>
      <c r="AB1411" s="63"/>
      <c r="AC1411" s="63">
        <v>9</v>
      </c>
      <c r="AD1411" s="63"/>
      <c r="AE1411" s="63">
        <v>0</v>
      </c>
      <c r="AF1411" s="63">
        <v>0</v>
      </c>
      <c r="AG1411" s="63">
        <v>0</v>
      </c>
      <c r="AH1411" s="63"/>
      <c r="AI1411" s="63"/>
      <c r="AJ1411" s="63"/>
      <c r="AK1411" s="63"/>
      <c r="AL1411" s="63"/>
      <c r="AM1411" s="63"/>
      <c r="AN1411" s="63">
        <v>0</v>
      </c>
      <c r="AO1411" s="63"/>
      <c r="AP1411" s="63"/>
      <c r="AQ1411" s="63">
        <v>0</v>
      </c>
      <c r="AR1411" s="63"/>
      <c r="AS1411" s="63"/>
      <c r="AT1411" s="63"/>
      <c r="AU1411" s="63"/>
      <c r="AW1411" s="5">
        <f>IF(Q1411&gt;0,RANK(Q1411,(N1411:P1411,Q1411:AE1411)),0)</f>
        <v>3</v>
      </c>
      <c r="AX1411" s="5">
        <f>IF(R1411&gt;0,RANK(R1411,(N1411:P1411,Q1411:AE1411)),0)</f>
        <v>5</v>
      </c>
      <c r="AY1411" s="5">
        <f>IF(T1411&gt;0,RANK(T1411,(N1411:P1411,Q1411:AE1411)),0)</f>
        <v>0</v>
      </c>
      <c r="AZ1411" s="5">
        <f>IF(S1411&gt;0,RANK(S1411,(N1411:P1411,Q1411:AE1411)),0)</f>
        <v>6</v>
      </c>
      <c r="BA1411" s="2">
        <f t="shared" si="594"/>
        <v>2.7461139896373058E-2</v>
      </c>
      <c r="BB1411" s="2">
        <f t="shared" si="595"/>
        <v>8.5492227979274606E-3</v>
      </c>
      <c r="BC1411" s="2">
        <f t="shared" si="596"/>
        <v>0</v>
      </c>
      <c r="BD1411" s="2">
        <f t="shared" si="597"/>
        <v>8.2901554404145074E-3</v>
      </c>
      <c r="BF1411" t="s">
        <v>2568</v>
      </c>
      <c r="BG1411" t="s">
        <v>2725</v>
      </c>
      <c r="BH1411" s="8">
        <v>7</v>
      </c>
      <c r="BJ1411" s="114">
        <v>27</v>
      </c>
      <c r="BK1411" s="116">
        <v>73</v>
      </c>
      <c r="BL1411" s="120">
        <f t="shared" si="588"/>
        <v>27073</v>
      </c>
      <c r="BN1411" s="5" t="s">
        <v>3154</v>
      </c>
      <c r="CA1411" s="63">
        <v>21</v>
      </c>
    </row>
    <row r="1412" spans="1:79" hidden="1" outlineLevel="1">
      <c r="A1412" t="s">
        <v>820</v>
      </c>
      <c r="B1412" t="s">
        <v>2725</v>
      </c>
      <c r="C1412" s="1">
        <f t="shared" si="589"/>
        <v>6521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>IF(P1412&gt;0,RANK(P1412,(N1412:P1412,Q1412:AE1412)),0)</f>
        <v>4</v>
      </c>
      <c r="G1412" s="132">
        <f t="shared" si="565"/>
        <v>145</v>
      </c>
      <c r="H1412" s="137">
        <f t="shared" si="566"/>
        <v>2.2235853396718294E-2</v>
      </c>
      <c r="I1412" s="2"/>
      <c r="J1412" s="2">
        <f t="shared" si="590"/>
        <v>0.47186014414967031</v>
      </c>
      <c r="K1412" s="2">
        <f t="shared" si="591"/>
        <v>0.44962429075295202</v>
      </c>
      <c r="L1412" s="2">
        <f t="shared" si="592"/>
        <v>1.4261616316515872E-2</v>
      </c>
      <c r="M1412" s="2">
        <f t="shared" si="593"/>
        <v>6.4253948780861742E-2</v>
      </c>
      <c r="N1412" s="63">
        <v>3077</v>
      </c>
      <c r="O1412" s="63">
        <v>2932</v>
      </c>
      <c r="P1412" s="63">
        <v>93</v>
      </c>
      <c r="Q1412" s="63">
        <v>215</v>
      </c>
      <c r="R1412" s="63">
        <v>93</v>
      </c>
      <c r="S1412" s="63">
        <v>27</v>
      </c>
      <c r="T1412" s="63">
        <v>2</v>
      </c>
      <c r="U1412" s="63">
        <v>0</v>
      </c>
      <c r="V1412" s="63">
        <v>0</v>
      </c>
      <c r="W1412" s="63">
        <f t="shared" si="587"/>
        <v>49</v>
      </c>
      <c r="X1412" s="63">
        <v>5</v>
      </c>
      <c r="Y1412" s="63">
        <v>0</v>
      </c>
      <c r="Z1412" s="63">
        <v>0</v>
      </c>
      <c r="AA1412" s="63"/>
      <c r="AB1412" s="63"/>
      <c r="AC1412" s="63">
        <v>28</v>
      </c>
      <c r="AD1412" s="63"/>
      <c r="AE1412" s="63">
        <v>0</v>
      </c>
      <c r="AF1412" s="63">
        <v>0</v>
      </c>
      <c r="AG1412" s="63">
        <v>0</v>
      </c>
      <c r="AH1412" s="63"/>
      <c r="AI1412" s="63"/>
      <c r="AJ1412" s="63"/>
      <c r="AK1412" s="63"/>
      <c r="AL1412" s="63"/>
      <c r="AM1412" s="63"/>
      <c r="AN1412" s="63">
        <v>0</v>
      </c>
      <c r="AO1412" s="63"/>
      <c r="AP1412" s="63"/>
      <c r="AQ1412" s="63">
        <v>0</v>
      </c>
      <c r="AR1412" s="63"/>
      <c r="AS1412" s="63"/>
      <c r="AT1412" s="63"/>
      <c r="AU1412" s="63"/>
      <c r="AW1412" s="5">
        <f>IF(Q1412&gt;0,RANK(Q1412,(N1412:P1412,Q1412:AE1412)),0)</f>
        <v>3</v>
      </c>
      <c r="AX1412" s="5">
        <f>IF(R1412&gt;0,RANK(R1412,(N1412:P1412,Q1412:AE1412)),0)</f>
        <v>4</v>
      </c>
      <c r="AY1412" s="5">
        <f>IF(T1412&gt;0,RANK(T1412,(N1412:P1412,Q1412:AE1412)),0)</f>
        <v>10</v>
      </c>
      <c r="AZ1412" s="5">
        <f>IF(S1412&gt;0,RANK(S1412,(N1412:P1412,Q1412:AE1412)),0)</f>
        <v>8</v>
      </c>
      <c r="BA1412" s="2">
        <f t="shared" si="594"/>
        <v>3.2970403312375406E-2</v>
      </c>
      <c r="BB1412" s="2">
        <f t="shared" si="595"/>
        <v>1.4261616316515872E-2</v>
      </c>
      <c r="BC1412" s="2">
        <f t="shared" si="596"/>
        <v>3.0670142616163164E-4</v>
      </c>
      <c r="BD1412" s="2">
        <f t="shared" si="597"/>
        <v>4.1404692531820273E-3</v>
      </c>
      <c r="BF1412" t="s">
        <v>820</v>
      </c>
      <c r="BG1412" t="s">
        <v>2725</v>
      </c>
      <c r="BH1412" s="8">
        <v>8</v>
      </c>
      <c r="BJ1412" s="114">
        <v>27</v>
      </c>
      <c r="BK1412" s="116">
        <v>75</v>
      </c>
      <c r="BL1412" s="120">
        <f t="shared" si="588"/>
        <v>27075</v>
      </c>
      <c r="BN1412" s="5" t="s">
        <v>3154</v>
      </c>
      <c r="CA1412" s="63">
        <v>49</v>
      </c>
    </row>
    <row r="1413" spans="1:79" hidden="1" outlineLevel="1">
      <c r="A1413" t="s">
        <v>627</v>
      </c>
      <c r="B1413" t="s">
        <v>2725</v>
      </c>
      <c r="C1413" s="1">
        <f t="shared" si="589"/>
        <v>2242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4</v>
      </c>
      <c r="G1413" s="132">
        <f t="shared" si="565"/>
        <v>987</v>
      </c>
      <c r="H1413" s="137">
        <f t="shared" si="566"/>
        <v>0.44023193577163244</v>
      </c>
      <c r="I1413" s="2"/>
      <c r="J1413" s="2">
        <f t="shared" si="590"/>
        <v>0.24665477252453166</v>
      </c>
      <c r="K1413" s="2">
        <f t="shared" si="591"/>
        <v>0.68688670829616416</v>
      </c>
      <c r="L1413" s="2">
        <f t="shared" si="592"/>
        <v>1.2934879571810883E-2</v>
      </c>
      <c r="M1413" s="2">
        <f t="shared" si="593"/>
        <v>5.3523639607493345E-2</v>
      </c>
      <c r="N1413" s="63">
        <v>553</v>
      </c>
      <c r="O1413" s="63">
        <v>1540</v>
      </c>
      <c r="P1413" s="63">
        <v>29</v>
      </c>
      <c r="Q1413" s="63">
        <v>67</v>
      </c>
      <c r="R1413" s="63">
        <v>16</v>
      </c>
      <c r="S1413" s="63">
        <v>10</v>
      </c>
      <c r="T1413" s="63">
        <v>2</v>
      </c>
      <c r="U1413" s="63">
        <v>0</v>
      </c>
      <c r="V1413" s="63">
        <v>0</v>
      </c>
      <c r="W1413" s="63">
        <f t="shared" si="587"/>
        <v>12</v>
      </c>
      <c r="X1413" s="63">
        <v>2</v>
      </c>
      <c r="Y1413" s="63">
        <v>0</v>
      </c>
      <c r="Z1413" s="63">
        <v>0</v>
      </c>
      <c r="AA1413" s="63"/>
      <c r="AB1413" s="63"/>
      <c r="AC1413" s="63">
        <v>11</v>
      </c>
      <c r="AD1413" s="63"/>
      <c r="AE1413" s="63">
        <v>0</v>
      </c>
      <c r="AF1413" s="63">
        <v>0</v>
      </c>
      <c r="AG1413" s="63">
        <v>0</v>
      </c>
      <c r="AH1413" s="63"/>
      <c r="AI1413" s="63"/>
      <c r="AJ1413" s="63"/>
      <c r="AK1413" s="63"/>
      <c r="AL1413" s="63"/>
      <c r="AM1413" s="63"/>
      <c r="AN1413" s="63">
        <v>0</v>
      </c>
      <c r="AO1413" s="63"/>
      <c r="AP1413" s="63"/>
      <c r="AQ1413" s="63">
        <v>0</v>
      </c>
      <c r="AR1413" s="63"/>
      <c r="AS1413" s="63"/>
      <c r="AT1413" s="63"/>
      <c r="AU1413" s="63"/>
      <c r="AW1413" s="5">
        <f>IF(Q1413&gt;0,RANK(Q1413,(N1413:P1413,Q1413:AE1413)),0)</f>
        <v>3</v>
      </c>
      <c r="AX1413" s="5">
        <f>IF(R1413&gt;0,RANK(R1413,(N1413:P1413,Q1413:AE1413)),0)</f>
        <v>5</v>
      </c>
      <c r="AY1413" s="5">
        <f>IF(T1413&gt;0,RANK(T1413,(N1413:P1413,Q1413:AE1413)),0)</f>
        <v>9</v>
      </c>
      <c r="AZ1413" s="5">
        <f>IF(S1413&gt;0,RANK(S1413,(N1413:P1413,Q1413:AE1413)),0)</f>
        <v>8</v>
      </c>
      <c r="BA1413" s="2">
        <f t="shared" si="594"/>
        <v>2.9884032114183764E-2</v>
      </c>
      <c r="BB1413" s="2">
        <f t="shared" si="595"/>
        <v>7.1364852809991082E-3</v>
      </c>
      <c r="BC1413" s="2">
        <f t="shared" si="596"/>
        <v>8.9206066012488853E-4</v>
      </c>
      <c r="BD1413" s="2">
        <f t="shared" si="597"/>
        <v>4.4603033006244425E-3</v>
      </c>
      <c r="BF1413" t="s">
        <v>627</v>
      </c>
      <c r="BG1413" t="s">
        <v>2725</v>
      </c>
      <c r="BH1413" s="8">
        <v>7</v>
      </c>
      <c r="BJ1413" s="114">
        <v>27</v>
      </c>
      <c r="BK1413" s="116">
        <v>77</v>
      </c>
      <c r="BL1413" s="120">
        <f t="shared" si="588"/>
        <v>27077</v>
      </c>
      <c r="BN1413" s="5" t="s">
        <v>3154</v>
      </c>
      <c r="CA1413" s="63">
        <v>12</v>
      </c>
    </row>
    <row r="1414" spans="1:79" hidden="1" outlineLevel="1">
      <c r="A1414" t="s">
        <v>286</v>
      </c>
      <c r="B1414" t="s">
        <v>2725</v>
      </c>
      <c r="C1414" s="1">
        <f t="shared" si="589"/>
        <v>14971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4</v>
      </c>
      <c r="G1414" s="132">
        <f t="shared" si="565"/>
        <v>4559</v>
      </c>
      <c r="H1414" s="137">
        <f t="shared" si="566"/>
        <v>0.30452207601362635</v>
      </c>
      <c r="I1414" s="2"/>
      <c r="J1414" s="2">
        <f t="shared" si="590"/>
        <v>0.30879700754792599</v>
      </c>
      <c r="K1414" s="2">
        <f t="shared" si="591"/>
        <v>0.61331908356155229</v>
      </c>
      <c r="L1414" s="2">
        <f t="shared" si="592"/>
        <v>1.7700888384209471E-2</v>
      </c>
      <c r="M1414" s="2">
        <f t="shared" si="593"/>
        <v>6.018302050631219E-2</v>
      </c>
      <c r="N1414" s="63">
        <v>4623</v>
      </c>
      <c r="O1414" s="63">
        <v>9182</v>
      </c>
      <c r="P1414" s="63">
        <v>265</v>
      </c>
      <c r="Q1414" s="63">
        <v>514</v>
      </c>
      <c r="R1414" s="63">
        <v>146</v>
      </c>
      <c r="S1414" s="63">
        <v>65</v>
      </c>
      <c r="T1414" s="63">
        <v>4</v>
      </c>
      <c r="U1414" s="63">
        <v>0</v>
      </c>
      <c r="V1414" s="63">
        <v>0</v>
      </c>
      <c r="W1414" s="63">
        <f t="shared" si="587"/>
        <v>104</v>
      </c>
      <c r="X1414" s="63">
        <v>9</v>
      </c>
      <c r="Y1414" s="63">
        <v>0</v>
      </c>
      <c r="Z1414" s="63">
        <v>0</v>
      </c>
      <c r="AA1414" s="63"/>
      <c r="AB1414" s="63"/>
      <c r="AC1414" s="63">
        <v>59</v>
      </c>
      <c r="AD1414" s="63"/>
      <c r="AE1414" s="63">
        <v>0</v>
      </c>
      <c r="AF1414" s="63">
        <v>0</v>
      </c>
      <c r="AG1414" s="63">
        <v>0</v>
      </c>
      <c r="AH1414" s="63"/>
      <c r="AI1414" s="63"/>
      <c r="AJ1414" s="63"/>
      <c r="AK1414" s="63"/>
      <c r="AL1414" s="63"/>
      <c r="AM1414" s="63"/>
      <c r="AN1414" s="63">
        <v>0</v>
      </c>
      <c r="AO1414" s="63"/>
      <c r="AP1414" s="63"/>
      <c r="AQ1414" s="63">
        <v>0</v>
      </c>
      <c r="AR1414" s="63"/>
      <c r="AS1414" s="63"/>
      <c r="AT1414" s="63"/>
      <c r="AU1414" s="63"/>
      <c r="AW1414" s="5">
        <f>IF(Q1414&gt;0,RANK(Q1414,(N1414:P1414,Q1414:AE1414)),0)</f>
        <v>3</v>
      </c>
      <c r="AX1414" s="5">
        <f>IF(R1414&gt;0,RANK(R1414,(N1414:P1414,Q1414:AE1414)),0)</f>
        <v>5</v>
      </c>
      <c r="AY1414" s="5">
        <f>IF(T1414&gt;0,RANK(T1414,(N1414:P1414,Q1414:AE1414)),0)</f>
        <v>10</v>
      </c>
      <c r="AZ1414" s="5">
        <f>IF(S1414&gt;0,RANK(S1414,(N1414:P1414,Q1414:AE1414)),0)</f>
        <v>7</v>
      </c>
      <c r="BA1414" s="2">
        <f t="shared" si="594"/>
        <v>3.4333043884844032E-2</v>
      </c>
      <c r="BB1414" s="2">
        <f t="shared" si="595"/>
        <v>9.7521875626210668E-3</v>
      </c>
      <c r="BC1414" s="2">
        <f t="shared" si="596"/>
        <v>2.6718322089372789E-4</v>
      </c>
      <c r="BD1414" s="2">
        <f t="shared" si="597"/>
        <v>4.3417273395230781E-3</v>
      </c>
      <c r="BF1414" t="s">
        <v>286</v>
      </c>
      <c r="BG1414" t="s">
        <v>2725</v>
      </c>
      <c r="BH1414" s="8">
        <v>1</v>
      </c>
      <c r="BJ1414" s="114">
        <v>27</v>
      </c>
      <c r="BK1414" s="116">
        <v>79</v>
      </c>
      <c r="BL1414" s="120">
        <f t="shared" si="588"/>
        <v>27079</v>
      </c>
      <c r="BN1414" s="5" t="s">
        <v>3154</v>
      </c>
      <c r="CA1414" s="63">
        <v>104</v>
      </c>
    </row>
    <row r="1415" spans="1:79" hidden="1" outlineLevel="1">
      <c r="A1415" t="s">
        <v>1597</v>
      </c>
      <c r="B1415" t="s">
        <v>2725</v>
      </c>
      <c r="C1415" s="1">
        <f t="shared" si="589"/>
        <v>3019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4</v>
      </c>
      <c r="G1415" s="132">
        <f t="shared" si="565"/>
        <v>1071</v>
      </c>
      <c r="H1415" s="137">
        <f t="shared" si="566"/>
        <v>0.35475322954620736</v>
      </c>
      <c r="I1415" s="2"/>
      <c r="J1415" s="2">
        <f t="shared" si="590"/>
        <v>0.28486253726399469</v>
      </c>
      <c r="K1415" s="2">
        <f t="shared" si="591"/>
        <v>0.63961576681020205</v>
      </c>
      <c r="L1415" s="2">
        <f t="shared" si="592"/>
        <v>1.9542894998343822E-2</v>
      </c>
      <c r="M1415" s="2">
        <f t="shared" si="593"/>
        <v>5.5978800927459445E-2</v>
      </c>
      <c r="N1415" s="63">
        <v>860</v>
      </c>
      <c r="O1415" s="63">
        <v>1931</v>
      </c>
      <c r="P1415" s="63">
        <v>59</v>
      </c>
      <c r="Q1415" s="63">
        <v>112</v>
      </c>
      <c r="R1415" s="63">
        <v>18</v>
      </c>
      <c r="S1415" s="63">
        <v>17</v>
      </c>
      <c r="T1415" s="63">
        <v>0</v>
      </c>
      <c r="U1415" s="63">
        <v>0</v>
      </c>
      <c r="V1415" s="63">
        <v>0</v>
      </c>
      <c r="W1415" s="63">
        <f t="shared" si="587"/>
        <v>16</v>
      </c>
      <c r="X1415" s="63">
        <v>2</v>
      </c>
      <c r="Y1415" s="63">
        <v>0</v>
      </c>
      <c r="Z1415" s="63">
        <v>0</v>
      </c>
      <c r="AA1415" s="63"/>
      <c r="AB1415" s="63"/>
      <c r="AC1415" s="63">
        <v>4</v>
      </c>
      <c r="AD1415" s="63"/>
      <c r="AE1415" s="63">
        <v>0</v>
      </c>
      <c r="AF1415" s="63">
        <v>0</v>
      </c>
      <c r="AG1415" s="63">
        <v>0</v>
      </c>
      <c r="AH1415" s="63"/>
      <c r="AI1415" s="63"/>
      <c r="AJ1415" s="63"/>
      <c r="AK1415" s="63"/>
      <c r="AL1415" s="63"/>
      <c r="AM1415" s="63"/>
      <c r="AN1415" s="63">
        <v>0</v>
      </c>
      <c r="AO1415" s="63"/>
      <c r="AP1415" s="63"/>
      <c r="AQ1415" s="63">
        <v>0</v>
      </c>
      <c r="AR1415" s="63"/>
      <c r="AS1415" s="63"/>
      <c r="AT1415" s="63"/>
      <c r="AU1415" s="63"/>
      <c r="AW1415" s="5">
        <f>IF(Q1415&gt;0,RANK(Q1415,(N1415:P1415,Q1415:AE1415)),0)</f>
        <v>3</v>
      </c>
      <c r="AX1415" s="5">
        <f>IF(R1415&gt;0,RANK(R1415,(N1415:P1415,Q1415:AE1415)),0)</f>
        <v>5</v>
      </c>
      <c r="AY1415" s="5">
        <f>IF(T1415&gt;0,RANK(T1415,(N1415:P1415,Q1415:AE1415)),0)</f>
        <v>0</v>
      </c>
      <c r="AZ1415" s="5">
        <f>IF(S1415&gt;0,RANK(S1415,(N1415:P1415,Q1415:AE1415)),0)</f>
        <v>6</v>
      </c>
      <c r="BA1415" s="2">
        <f t="shared" si="594"/>
        <v>3.7098376946008614E-2</v>
      </c>
      <c r="BB1415" s="2">
        <f t="shared" si="595"/>
        <v>5.9622391520370984E-3</v>
      </c>
      <c r="BC1415" s="2">
        <f t="shared" si="596"/>
        <v>0</v>
      </c>
      <c r="BD1415" s="2">
        <f t="shared" si="597"/>
        <v>5.631003643590593E-3</v>
      </c>
      <c r="BF1415" t="s">
        <v>1597</v>
      </c>
      <c r="BG1415" t="s">
        <v>2725</v>
      </c>
      <c r="BH1415" s="8">
        <v>7</v>
      </c>
      <c r="BJ1415" s="114">
        <v>27</v>
      </c>
      <c r="BK1415" s="116">
        <v>81</v>
      </c>
      <c r="BL1415" s="120">
        <f t="shared" si="588"/>
        <v>27081</v>
      </c>
      <c r="BN1415" s="5" t="s">
        <v>3154</v>
      </c>
      <c r="CA1415" s="63">
        <v>16</v>
      </c>
    </row>
    <row r="1416" spans="1:79" hidden="1" outlineLevel="1">
      <c r="A1416" t="s">
        <v>316</v>
      </c>
      <c r="B1416" t="s">
        <v>2725</v>
      </c>
      <c r="C1416" s="1">
        <f t="shared" si="589"/>
        <v>12215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4</v>
      </c>
      <c r="G1416" s="132">
        <f t="shared" ref="G1416:G1479" si="598">IF(C1416&gt;0,MAX(N1416:P1416)-LARGE(N1416:P1416,2),0)</f>
        <v>3431</v>
      </c>
      <c r="H1416" s="137">
        <f t="shared" ref="H1416:H1479" si="599">IF(C1416&gt;0,G1416/C1416,0)</f>
        <v>0.28088415882112155</v>
      </c>
      <c r="I1416" s="2"/>
      <c r="J1416" s="2">
        <f t="shared" si="590"/>
        <v>0.31313958248055668</v>
      </c>
      <c r="K1416" s="2">
        <f t="shared" si="591"/>
        <v>0.59402374130167823</v>
      </c>
      <c r="L1416" s="2">
        <f t="shared" si="592"/>
        <v>2.3413835448219403E-2</v>
      </c>
      <c r="M1416" s="2">
        <f t="shared" si="593"/>
        <v>6.9422840769545635E-2</v>
      </c>
      <c r="N1416" s="63">
        <v>3825</v>
      </c>
      <c r="O1416" s="63">
        <v>7256</v>
      </c>
      <c r="P1416" s="63">
        <v>286</v>
      </c>
      <c r="Q1416" s="63">
        <v>523</v>
      </c>
      <c r="R1416" s="63">
        <v>115</v>
      </c>
      <c r="S1416" s="63">
        <v>65</v>
      </c>
      <c r="T1416" s="63">
        <v>12</v>
      </c>
      <c r="U1416" s="63">
        <v>0</v>
      </c>
      <c r="V1416" s="63">
        <v>0</v>
      </c>
      <c r="W1416" s="63">
        <f t="shared" si="587"/>
        <v>84</v>
      </c>
      <c r="X1416" s="63">
        <v>11</v>
      </c>
      <c r="Y1416" s="63">
        <v>0</v>
      </c>
      <c r="Z1416" s="63">
        <v>0</v>
      </c>
      <c r="AA1416" s="63"/>
      <c r="AB1416" s="63"/>
      <c r="AC1416" s="63">
        <v>36</v>
      </c>
      <c r="AD1416" s="63"/>
      <c r="AE1416" s="63">
        <v>0</v>
      </c>
      <c r="AF1416" s="63">
        <v>0</v>
      </c>
      <c r="AG1416" s="63">
        <v>0</v>
      </c>
      <c r="AH1416" s="63"/>
      <c r="AI1416" s="63"/>
      <c r="AJ1416" s="63"/>
      <c r="AK1416" s="63"/>
      <c r="AL1416" s="63"/>
      <c r="AM1416" s="63"/>
      <c r="AN1416" s="63">
        <v>2</v>
      </c>
      <c r="AO1416" s="63"/>
      <c r="AP1416" s="63"/>
      <c r="AQ1416" s="63">
        <v>0</v>
      </c>
      <c r="AR1416" s="63"/>
      <c r="AS1416" s="63"/>
      <c r="AT1416" s="63"/>
      <c r="AU1416" s="63"/>
      <c r="AW1416" s="5">
        <f>IF(Q1416&gt;0,RANK(Q1416,(N1416:P1416,Q1416:AE1416)),0)</f>
        <v>3</v>
      </c>
      <c r="AX1416" s="5">
        <f>IF(R1416&gt;0,RANK(R1416,(N1416:P1416,Q1416:AE1416)),0)</f>
        <v>5</v>
      </c>
      <c r="AY1416" s="5">
        <f>IF(T1416&gt;0,RANK(T1416,(N1416:P1416,Q1416:AE1416)),0)</f>
        <v>9</v>
      </c>
      <c r="AZ1416" s="5">
        <f>IF(S1416&gt;0,RANK(S1416,(N1416:P1416,Q1416:AE1416)),0)</f>
        <v>7</v>
      </c>
      <c r="BA1416" s="2">
        <f t="shared" si="594"/>
        <v>4.2816209578387228E-2</v>
      </c>
      <c r="BB1416" s="2">
        <f t="shared" si="595"/>
        <v>9.4146541137945152E-3</v>
      </c>
      <c r="BC1416" s="2">
        <f t="shared" si="596"/>
        <v>9.8239869013507972E-4</v>
      </c>
      <c r="BD1416" s="2">
        <f t="shared" si="597"/>
        <v>5.3213262382316821E-3</v>
      </c>
      <c r="BF1416" t="s">
        <v>316</v>
      </c>
      <c r="BG1416" t="s">
        <v>2725</v>
      </c>
      <c r="BH1416" s="8">
        <v>7</v>
      </c>
      <c r="BJ1416" s="114">
        <v>27</v>
      </c>
      <c r="BK1416" s="116">
        <v>83</v>
      </c>
      <c r="BL1416" s="120">
        <f t="shared" si="588"/>
        <v>27083</v>
      </c>
      <c r="BN1416" s="5" t="s">
        <v>3154</v>
      </c>
      <c r="CA1416" s="63">
        <v>86</v>
      </c>
    </row>
    <row r="1417" spans="1:79" hidden="1" outlineLevel="1">
      <c r="A1417" t="s">
        <v>258</v>
      </c>
      <c r="B1417" t="s">
        <v>2725</v>
      </c>
      <c r="C1417" s="1">
        <f t="shared" si="589"/>
        <v>18807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4</v>
      </c>
      <c r="G1417" s="132">
        <f t="shared" si="598"/>
        <v>7177</v>
      </c>
      <c r="H1417" s="137">
        <f t="shared" si="599"/>
        <v>0.38161322911681822</v>
      </c>
      <c r="I1417" s="2"/>
      <c r="J1417" s="2">
        <f t="shared" si="590"/>
        <v>0.26468867974690274</v>
      </c>
      <c r="K1417" s="2">
        <f t="shared" si="591"/>
        <v>0.64630190886372096</v>
      </c>
      <c r="L1417" s="2">
        <f t="shared" si="592"/>
        <v>1.9779869197639178E-2</v>
      </c>
      <c r="M1417" s="2">
        <f t="shared" si="593"/>
        <v>6.9229542191737062E-2</v>
      </c>
      <c r="N1417" s="63">
        <v>4978</v>
      </c>
      <c r="O1417" s="63">
        <v>12155</v>
      </c>
      <c r="P1417" s="63">
        <v>372</v>
      </c>
      <c r="Q1417" s="63">
        <v>857</v>
      </c>
      <c r="R1417" s="63">
        <v>135</v>
      </c>
      <c r="S1417" s="63">
        <v>83</v>
      </c>
      <c r="T1417" s="63">
        <v>8</v>
      </c>
      <c r="U1417" s="63">
        <v>0</v>
      </c>
      <c r="V1417" s="63">
        <v>0</v>
      </c>
      <c r="W1417" s="63">
        <f t="shared" si="587"/>
        <v>120</v>
      </c>
      <c r="X1417" s="63">
        <v>9</v>
      </c>
      <c r="Y1417" s="63">
        <v>0</v>
      </c>
      <c r="Z1417" s="63">
        <v>0</v>
      </c>
      <c r="AA1417" s="63"/>
      <c r="AB1417" s="63"/>
      <c r="AC1417" s="63">
        <v>87</v>
      </c>
      <c r="AD1417" s="63"/>
      <c r="AE1417" s="63">
        <v>0</v>
      </c>
      <c r="AF1417" s="63">
        <v>0</v>
      </c>
      <c r="AG1417" s="63">
        <v>3</v>
      </c>
      <c r="AH1417" s="63"/>
      <c r="AI1417" s="63"/>
      <c r="AJ1417" s="63"/>
      <c r="AK1417" s="63"/>
      <c r="AL1417" s="63"/>
      <c r="AM1417" s="63"/>
      <c r="AN1417" s="63">
        <v>0</v>
      </c>
      <c r="AO1417" s="63"/>
      <c r="AP1417" s="63"/>
      <c r="AQ1417" s="63">
        <v>0</v>
      </c>
      <c r="AR1417" s="63"/>
      <c r="AS1417" s="63"/>
      <c r="AT1417" s="63"/>
      <c r="AU1417" s="63"/>
      <c r="AW1417" s="5">
        <f>IF(Q1417&gt;0,RANK(Q1417,(N1417:P1417,Q1417:AE1417)),0)</f>
        <v>3</v>
      </c>
      <c r="AX1417" s="5">
        <f>IF(R1417&gt;0,RANK(R1417,(N1417:P1417,Q1417:AE1417)),0)</f>
        <v>5</v>
      </c>
      <c r="AY1417" s="5">
        <f>IF(T1417&gt;0,RANK(T1417,(N1417:P1417,Q1417:AE1417)),0)</f>
        <v>10</v>
      </c>
      <c r="AZ1417" s="5">
        <f>IF(S1417&gt;0,RANK(S1417,(N1417:P1417,Q1417:AE1417)),0)</f>
        <v>8</v>
      </c>
      <c r="BA1417" s="2">
        <f t="shared" si="594"/>
        <v>4.556813952251821E-2</v>
      </c>
      <c r="BB1417" s="2">
        <f t="shared" si="595"/>
        <v>7.1781783378529274E-3</v>
      </c>
      <c r="BC1417" s="2">
        <f t="shared" si="596"/>
        <v>4.2537353113202529E-4</v>
      </c>
      <c r="BD1417" s="2">
        <f t="shared" si="597"/>
        <v>4.4132503854947625E-3</v>
      </c>
      <c r="BF1417" t="s">
        <v>258</v>
      </c>
      <c r="BG1417" t="s">
        <v>2725</v>
      </c>
      <c r="BH1417" s="8">
        <v>7</v>
      </c>
      <c r="BJ1417" s="114">
        <v>27</v>
      </c>
      <c r="BK1417" s="116">
        <v>85</v>
      </c>
      <c r="BL1417" s="120">
        <f t="shared" si="588"/>
        <v>27085</v>
      </c>
      <c r="BN1417" s="5" t="s">
        <v>3154</v>
      </c>
      <c r="CA1417" s="63">
        <v>123</v>
      </c>
    </row>
    <row r="1418" spans="1:79" hidden="1" outlineLevel="1">
      <c r="A1418" t="s">
        <v>413</v>
      </c>
      <c r="B1418" t="s">
        <v>2725</v>
      </c>
      <c r="C1418" s="1">
        <f t="shared" si="589"/>
        <v>2088</v>
      </c>
      <c r="D1418" s="5">
        <f>IF(N1418&gt;0, RANK(N1418,(N1418:P1418,Q1418:AE1418)),0)</f>
        <v>2</v>
      </c>
      <c r="E1418" s="5">
        <f>IF(O1418&gt;0,RANK(O1418,(N1418:P1418,Q1418:AE1418)),0)</f>
        <v>1</v>
      </c>
      <c r="F1418" s="5">
        <f>IF(P1418&gt;0,RANK(P1418,(N1418:P1418,Q1418:AE1418)),0)</f>
        <v>5</v>
      </c>
      <c r="G1418" s="132">
        <f t="shared" si="598"/>
        <v>61</v>
      </c>
      <c r="H1418" s="137">
        <f t="shared" si="599"/>
        <v>2.921455938697318E-2</v>
      </c>
      <c r="I1418" s="2"/>
      <c r="J1418" s="2">
        <f t="shared" si="590"/>
        <v>0.4454022988505747</v>
      </c>
      <c r="K1418" s="2">
        <f t="shared" si="591"/>
        <v>0.4746168582375479</v>
      </c>
      <c r="L1418" s="2">
        <f t="shared" si="592"/>
        <v>1.4367816091954023E-2</v>
      </c>
      <c r="M1418" s="2">
        <f t="shared" si="593"/>
        <v>6.5613026819923384E-2</v>
      </c>
      <c r="N1418" s="63">
        <v>930</v>
      </c>
      <c r="O1418" s="63">
        <v>991</v>
      </c>
      <c r="P1418" s="63">
        <v>30</v>
      </c>
      <c r="Q1418" s="63">
        <v>54</v>
      </c>
      <c r="R1418" s="63">
        <v>34</v>
      </c>
      <c r="S1418" s="63">
        <v>16</v>
      </c>
      <c r="T1418" s="63">
        <v>0</v>
      </c>
      <c r="U1418" s="63">
        <v>0</v>
      </c>
      <c r="V1418" s="63">
        <v>0</v>
      </c>
      <c r="W1418" s="63">
        <f t="shared" si="587"/>
        <v>14</v>
      </c>
      <c r="X1418" s="63">
        <v>3</v>
      </c>
      <c r="Y1418" s="63">
        <v>0</v>
      </c>
      <c r="Z1418" s="63">
        <v>0</v>
      </c>
      <c r="AA1418" s="63"/>
      <c r="AB1418" s="63"/>
      <c r="AC1418" s="63">
        <v>16</v>
      </c>
      <c r="AD1418" s="63"/>
      <c r="AE1418" s="63">
        <v>0</v>
      </c>
      <c r="AF1418" s="63">
        <v>0</v>
      </c>
      <c r="AG1418" s="63">
        <v>0</v>
      </c>
      <c r="AH1418" s="63"/>
      <c r="AI1418" s="63"/>
      <c r="AJ1418" s="63"/>
      <c r="AK1418" s="63"/>
      <c r="AL1418" s="63"/>
      <c r="AM1418" s="63"/>
      <c r="AN1418" s="63">
        <v>0</v>
      </c>
      <c r="AO1418" s="63"/>
      <c r="AP1418" s="63"/>
      <c r="AQ1418" s="63">
        <v>0</v>
      </c>
      <c r="AR1418" s="63"/>
      <c r="AS1418" s="63"/>
      <c r="AT1418" s="63"/>
      <c r="AU1418" s="63"/>
      <c r="AW1418" s="5">
        <f>IF(Q1418&gt;0,RANK(Q1418,(N1418:P1418,Q1418:AE1418)),0)</f>
        <v>3</v>
      </c>
      <c r="AX1418" s="5">
        <f>IF(R1418&gt;0,RANK(R1418,(N1418:P1418,Q1418:AE1418)),0)</f>
        <v>4</v>
      </c>
      <c r="AY1418" s="5">
        <f>IF(T1418&gt;0,RANK(T1418,(N1418:P1418,Q1418:AE1418)),0)</f>
        <v>0</v>
      </c>
      <c r="AZ1418" s="5">
        <f>IF(S1418&gt;0,RANK(S1418,(N1418:P1418,Q1418:AE1418)),0)</f>
        <v>6</v>
      </c>
      <c r="BA1418" s="2">
        <f t="shared" si="594"/>
        <v>2.5862068965517241E-2</v>
      </c>
      <c r="BB1418" s="2">
        <f t="shared" si="595"/>
        <v>1.6283524904214558E-2</v>
      </c>
      <c r="BC1418" s="2">
        <f t="shared" si="596"/>
        <v>0</v>
      </c>
      <c r="BD1418" s="2">
        <f t="shared" si="597"/>
        <v>7.6628352490421452E-3</v>
      </c>
      <c r="BF1418" t="s">
        <v>413</v>
      </c>
      <c r="BG1418" t="s">
        <v>2725</v>
      </c>
      <c r="BH1418" s="8">
        <v>7</v>
      </c>
      <c r="BJ1418" s="114">
        <v>27</v>
      </c>
      <c r="BK1418" s="116">
        <v>87</v>
      </c>
      <c r="BL1418" s="120">
        <f t="shared" si="588"/>
        <v>27087</v>
      </c>
      <c r="BN1418" s="5" t="s">
        <v>3154</v>
      </c>
      <c r="CA1418" s="63">
        <v>14</v>
      </c>
    </row>
    <row r="1419" spans="1:79" hidden="1" outlineLevel="1">
      <c r="A1419" t="s">
        <v>1847</v>
      </c>
      <c r="B1419" t="s">
        <v>2725</v>
      </c>
      <c r="C1419" s="1">
        <f t="shared" si="589"/>
        <v>4817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4</v>
      </c>
      <c r="G1419" s="132">
        <f t="shared" si="598"/>
        <v>1983</v>
      </c>
      <c r="H1419" s="137">
        <f t="shared" si="599"/>
        <v>0.41166701266348349</v>
      </c>
      <c r="I1419" s="2"/>
      <c r="J1419" s="2">
        <f t="shared" si="590"/>
        <v>0.25430766036952462</v>
      </c>
      <c r="K1419" s="2">
        <f t="shared" si="591"/>
        <v>0.66597467303300806</v>
      </c>
      <c r="L1419" s="2">
        <f t="shared" si="592"/>
        <v>1.7645837658293542E-2</v>
      </c>
      <c r="M1419" s="2">
        <f t="shared" si="593"/>
        <v>6.207182893917372E-2</v>
      </c>
      <c r="N1419" s="63">
        <v>1225</v>
      </c>
      <c r="O1419" s="63">
        <v>3208</v>
      </c>
      <c r="P1419" s="63">
        <v>85</v>
      </c>
      <c r="Q1419" s="63">
        <v>204</v>
      </c>
      <c r="R1419" s="63">
        <v>30</v>
      </c>
      <c r="S1419" s="63">
        <v>23</v>
      </c>
      <c r="T1419" s="63">
        <v>2</v>
      </c>
      <c r="U1419" s="63">
        <v>0</v>
      </c>
      <c r="V1419" s="63">
        <v>0</v>
      </c>
      <c r="W1419" s="63">
        <f t="shared" si="587"/>
        <v>22</v>
      </c>
      <c r="X1419" s="63">
        <v>3</v>
      </c>
      <c r="Y1419" s="63">
        <v>0</v>
      </c>
      <c r="Z1419" s="63">
        <v>0</v>
      </c>
      <c r="AA1419" s="63"/>
      <c r="AB1419" s="63"/>
      <c r="AC1419" s="63">
        <v>14</v>
      </c>
      <c r="AD1419" s="63"/>
      <c r="AE1419" s="63">
        <v>0</v>
      </c>
      <c r="AF1419" s="63">
        <v>0</v>
      </c>
      <c r="AG1419" s="63">
        <v>0</v>
      </c>
      <c r="AH1419" s="63"/>
      <c r="AI1419" s="63"/>
      <c r="AJ1419" s="63"/>
      <c r="AK1419" s="63"/>
      <c r="AL1419" s="63"/>
      <c r="AM1419" s="63"/>
      <c r="AN1419" s="63">
        <v>1</v>
      </c>
      <c r="AO1419" s="63"/>
      <c r="AP1419" s="63"/>
      <c r="AQ1419" s="63">
        <v>0</v>
      </c>
      <c r="AR1419" s="63"/>
      <c r="AS1419" s="63"/>
      <c r="AT1419" s="63"/>
      <c r="AU1419" s="63"/>
      <c r="AW1419" s="5">
        <f>IF(Q1419&gt;0,RANK(Q1419,(N1419:P1419,Q1419:AE1419)),0)</f>
        <v>3</v>
      </c>
      <c r="AX1419" s="5">
        <f>IF(R1419&gt;0,RANK(R1419,(N1419:P1419,Q1419:AE1419)),0)</f>
        <v>5</v>
      </c>
      <c r="AY1419" s="5">
        <f>IF(T1419&gt;0,RANK(T1419,(N1419:P1419,Q1419:AE1419)),0)</f>
        <v>10</v>
      </c>
      <c r="AZ1419" s="5">
        <f>IF(S1419&gt;0,RANK(S1419,(N1419:P1419,Q1419:AE1419)),0)</f>
        <v>6</v>
      </c>
      <c r="BA1419" s="2">
        <f t="shared" si="594"/>
        <v>4.2350010379904504E-2</v>
      </c>
      <c r="BB1419" s="2">
        <f t="shared" si="595"/>
        <v>6.2279427029271334E-3</v>
      </c>
      <c r="BC1419" s="2">
        <f t="shared" si="596"/>
        <v>4.1519618019514223E-4</v>
      </c>
      <c r="BD1419" s="2">
        <f t="shared" si="597"/>
        <v>4.7747560722441349E-3</v>
      </c>
      <c r="BF1419" t="s">
        <v>1847</v>
      </c>
      <c r="BG1419" t="s">
        <v>2725</v>
      </c>
      <c r="BH1419" s="8">
        <v>7</v>
      </c>
      <c r="BJ1419" s="114">
        <v>27</v>
      </c>
      <c r="BK1419" s="116">
        <v>89</v>
      </c>
      <c r="BL1419" s="120">
        <f t="shared" si="588"/>
        <v>27089</v>
      </c>
      <c r="BN1419" s="5" t="s">
        <v>3154</v>
      </c>
      <c r="CA1419" s="63">
        <v>23</v>
      </c>
    </row>
    <row r="1420" spans="1:79" hidden="1" outlineLevel="1">
      <c r="A1420" t="s">
        <v>1</v>
      </c>
      <c r="B1420" t="s">
        <v>2725</v>
      </c>
      <c r="C1420" s="1">
        <f t="shared" si="589"/>
        <v>10531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4</v>
      </c>
      <c r="G1420" s="132">
        <f t="shared" si="598"/>
        <v>4329</v>
      </c>
      <c r="H1420" s="137">
        <f t="shared" si="599"/>
        <v>0.41107207292754722</v>
      </c>
      <c r="I1420" s="2"/>
      <c r="J1420" s="2">
        <f t="shared" si="590"/>
        <v>0.25951951381635174</v>
      </c>
      <c r="K1420" s="2">
        <f t="shared" si="591"/>
        <v>0.67059158674389896</v>
      </c>
      <c r="L1420" s="2">
        <f t="shared" si="592"/>
        <v>1.604785870287722E-2</v>
      </c>
      <c r="M1420" s="2">
        <f t="shared" si="593"/>
        <v>5.3841040736872077E-2</v>
      </c>
      <c r="N1420" s="63">
        <v>2733</v>
      </c>
      <c r="O1420" s="63">
        <v>7062</v>
      </c>
      <c r="P1420" s="63">
        <v>169</v>
      </c>
      <c r="Q1420" s="63">
        <v>343</v>
      </c>
      <c r="R1420" s="63">
        <v>79</v>
      </c>
      <c r="S1420" s="63">
        <v>43</v>
      </c>
      <c r="T1420" s="63">
        <v>5</v>
      </c>
      <c r="U1420" s="63">
        <v>0</v>
      </c>
      <c r="V1420" s="63">
        <v>0</v>
      </c>
      <c r="W1420" s="63">
        <f t="shared" si="587"/>
        <v>62</v>
      </c>
      <c r="X1420" s="63">
        <v>2</v>
      </c>
      <c r="Y1420" s="63">
        <v>0</v>
      </c>
      <c r="Z1420" s="63">
        <v>0</v>
      </c>
      <c r="AA1420" s="63"/>
      <c r="AB1420" s="63"/>
      <c r="AC1420" s="63">
        <v>33</v>
      </c>
      <c r="AD1420" s="63"/>
      <c r="AE1420" s="63">
        <v>0</v>
      </c>
      <c r="AF1420" s="63">
        <v>0</v>
      </c>
      <c r="AG1420" s="63">
        <v>0</v>
      </c>
      <c r="AH1420" s="63"/>
      <c r="AI1420" s="63"/>
      <c r="AJ1420" s="63"/>
      <c r="AK1420" s="63"/>
      <c r="AL1420" s="63"/>
      <c r="AM1420" s="63"/>
      <c r="AN1420" s="63">
        <v>0</v>
      </c>
      <c r="AO1420" s="63"/>
      <c r="AP1420" s="63"/>
      <c r="AQ1420" s="63">
        <v>0</v>
      </c>
      <c r="AR1420" s="63"/>
      <c r="AS1420" s="63"/>
      <c r="AT1420" s="63"/>
      <c r="AU1420" s="63"/>
      <c r="AW1420" s="5">
        <f>IF(Q1420&gt;0,RANK(Q1420,(N1420:P1420,Q1420:AE1420)),0)</f>
        <v>3</v>
      </c>
      <c r="AX1420" s="5">
        <f>IF(R1420&gt;0,RANK(R1420,(N1420:P1420,Q1420:AE1420)),0)</f>
        <v>5</v>
      </c>
      <c r="AY1420" s="5">
        <f>IF(T1420&gt;0,RANK(T1420,(N1420:P1420,Q1420:AE1420)),0)</f>
        <v>9</v>
      </c>
      <c r="AZ1420" s="5">
        <f>IF(S1420&gt;0,RANK(S1420,(N1420:P1420,Q1420:AE1420)),0)</f>
        <v>7</v>
      </c>
      <c r="BA1420" s="2">
        <f t="shared" si="594"/>
        <v>3.2570506124774475E-2</v>
      </c>
      <c r="BB1420" s="2">
        <f t="shared" si="595"/>
        <v>7.5016617605165705E-3</v>
      </c>
      <c r="BC1420" s="2">
        <f t="shared" si="596"/>
        <v>4.7478871902003608E-4</v>
      </c>
      <c r="BD1420" s="2">
        <f t="shared" si="597"/>
        <v>4.0831829835723107E-3</v>
      </c>
      <c r="BF1420" t="s">
        <v>1</v>
      </c>
      <c r="BG1420" t="s">
        <v>2725</v>
      </c>
      <c r="BH1420" s="8">
        <v>1</v>
      </c>
      <c r="BJ1420" s="114">
        <v>27</v>
      </c>
      <c r="BK1420" s="116">
        <v>91</v>
      </c>
      <c r="BL1420" s="120">
        <f t="shared" si="588"/>
        <v>27091</v>
      </c>
      <c r="BN1420" s="5" t="s">
        <v>3154</v>
      </c>
      <c r="CA1420" s="63">
        <v>62</v>
      </c>
    </row>
    <row r="1421" spans="1:79" hidden="1" outlineLevel="1">
      <c r="A1421" t="s">
        <v>267</v>
      </c>
      <c r="B1421" t="s">
        <v>2725</v>
      </c>
      <c r="C1421" s="1">
        <f t="shared" si="589"/>
        <v>12282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4</v>
      </c>
      <c r="G1421" s="132">
        <f t="shared" si="598"/>
        <v>4913</v>
      </c>
      <c r="H1421" s="137">
        <f t="shared" si="599"/>
        <v>0.40001628399283506</v>
      </c>
      <c r="I1421" s="2"/>
      <c r="J1421" s="2">
        <f t="shared" si="590"/>
        <v>0.2598111056831135</v>
      </c>
      <c r="K1421" s="2">
        <f t="shared" si="591"/>
        <v>0.65982738967594856</v>
      </c>
      <c r="L1421" s="2">
        <f t="shared" si="592"/>
        <v>1.9866471258752644E-2</v>
      </c>
      <c r="M1421" s="2">
        <f t="shared" si="593"/>
        <v>6.0495033382185301E-2</v>
      </c>
      <c r="N1421" s="63">
        <v>3191</v>
      </c>
      <c r="O1421" s="63">
        <v>8104</v>
      </c>
      <c r="P1421" s="63">
        <v>244</v>
      </c>
      <c r="Q1421" s="63">
        <v>448</v>
      </c>
      <c r="R1421" s="63">
        <v>94</v>
      </c>
      <c r="S1421" s="63">
        <v>53</v>
      </c>
      <c r="T1421" s="63">
        <v>2</v>
      </c>
      <c r="U1421" s="63">
        <v>0</v>
      </c>
      <c r="V1421" s="63">
        <v>0</v>
      </c>
      <c r="W1421" s="63">
        <f t="shared" si="587"/>
        <v>85</v>
      </c>
      <c r="X1421" s="63">
        <v>10</v>
      </c>
      <c r="Y1421" s="63">
        <v>0</v>
      </c>
      <c r="Z1421" s="63">
        <v>0</v>
      </c>
      <c r="AA1421" s="63"/>
      <c r="AB1421" s="63"/>
      <c r="AC1421" s="63">
        <v>51</v>
      </c>
      <c r="AD1421" s="63"/>
      <c r="AE1421" s="63">
        <v>0</v>
      </c>
      <c r="AF1421" s="63">
        <v>0</v>
      </c>
      <c r="AG1421" s="63">
        <v>0</v>
      </c>
      <c r="AH1421" s="63"/>
      <c r="AI1421" s="63"/>
      <c r="AJ1421" s="63"/>
      <c r="AK1421" s="63"/>
      <c r="AL1421" s="63"/>
      <c r="AM1421" s="63"/>
      <c r="AN1421" s="63">
        <v>0</v>
      </c>
      <c r="AO1421" s="63"/>
      <c r="AP1421" s="63"/>
      <c r="AQ1421" s="63">
        <v>0</v>
      </c>
      <c r="AR1421" s="63"/>
      <c r="AS1421" s="63"/>
      <c r="AT1421" s="63"/>
      <c r="AU1421" s="63"/>
      <c r="AW1421" s="5">
        <f>IF(Q1421&gt;0,RANK(Q1421,(N1421:P1421,Q1421:AE1421)),0)</f>
        <v>3</v>
      </c>
      <c r="AX1421" s="5">
        <f>IF(R1421&gt;0,RANK(R1421,(N1421:P1421,Q1421:AE1421)),0)</f>
        <v>5</v>
      </c>
      <c r="AY1421" s="5">
        <f>IF(T1421&gt;0,RANK(T1421,(N1421:P1421,Q1421:AE1421)),0)</f>
        <v>10</v>
      </c>
      <c r="AZ1421" s="5">
        <f>IF(S1421&gt;0,RANK(S1421,(N1421:P1421,Q1421:AE1421)),0)</f>
        <v>7</v>
      </c>
      <c r="BA1421" s="2">
        <f t="shared" si="594"/>
        <v>3.6476143950496663E-2</v>
      </c>
      <c r="BB1421" s="2">
        <f t="shared" si="595"/>
        <v>7.6534766324702821E-3</v>
      </c>
      <c r="BC1421" s="2">
        <f t="shared" si="596"/>
        <v>1.6283992835043154E-4</v>
      </c>
      <c r="BD1421" s="2">
        <f t="shared" si="597"/>
        <v>4.3152581012864356E-3</v>
      </c>
      <c r="BF1421" t="s">
        <v>267</v>
      </c>
      <c r="BG1421" t="s">
        <v>2725</v>
      </c>
      <c r="BH1421" s="8">
        <v>7</v>
      </c>
      <c r="BJ1421" s="114">
        <v>27</v>
      </c>
      <c r="BK1421" s="116">
        <v>93</v>
      </c>
      <c r="BL1421" s="120">
        <f t="shared" si="588"/>
        <v>27093</v>
      </c>
      <c r="BN1421" s="5" t="s">
        <v>3154</v>
      </c>
      <c r="CA1421" s="63">
        <v>85</v>
      </c>
    </row>
    <row r="1422" spans="1:79" hidden="1" outlineLevel="1">
      <c r="A1422" t="s">
        <v>1740</v>
      </c>
      <c r="B1422" t="s">
        <v>2725</v>
      </c>
      <c r="C1422" s="1">
        <f t="shared" si="589"/>
        <v>13017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4</v>
      </c>
      <c r="G1422" s="132">
        <f t="shared" si="598"/>
        <v>4630</v>
      </c>
      <c r="H1422" s="137">
        <f t="shared" si="599"/>
        <v>0.35568871475762465</v>
      </c>
      <c r="I1422" s="2"/>
      <c r="J1422" s="2">
        <f t="shared" si="590"/>
        <v>0.28501190750556965</v>
      </c>
      <c r="K1422" s="2">
        <f t="shared" si="591"/>
        <v>0.64070062226319424</v>
      </c>
      <c r="L1422" s="2">
        <f t="shared" si="592"/>
        <v>1.5287700699085811E-2</v>
      </c>
      <c r="M1422" s="2">
        <f t="shared" si="593"/>
        <v>5.8999769532150241E-2</v>
      </c>
      <c r="N1422" s="63">
        <v>3710</v>
      </c>
      <c r="O1422" s="63">
        <v>8340</v>
      </c>
      <c r="P1422" s="63">
        <v>199</v>
      </c>
      <c r="Q1422" s="63">
        <v>451</v>
      </c>
      <c r="R1422" s="63">
        <v>128</v>
      </c>
      <c r="S1422" s="63">
        <v>57</v>
      </c>
      <c r="T1422" s="63">
        <v>4</v>
      </c>
      <c r="U1422" s="63">
        <v>0</v>
      </c>
      <c r="V1422" s="63">
        <v>0</v>
      </c>
      <c r="W1422" s="63">
        <f t="shared" si="587"/>
        <v>67</v>
      </c>
      <c r="X1422" s="63">
        <v>3</v>
      </c>
      <c r="Y1422" s="63">
        <v>1</v>
      </c>
      <c r="Z1422" s="63">
        <v>0</v>
      </c>
      <c r="AA1422" s="63"/>
      <c r="AB1422" s="63"/>
      <c r="AC1422" s="63">
        <v>57</v>
      </c>
      <c r="AD1422" s="63"/>
      <c r="AE1422" s="63">
        <v>0</v>
      </c>
      <c r="AF1422" s="63">
        <v>0</v>
      </c>
      <c r="AG1422" s="63">
        <v>0</v>
      </c>
      <c r="AH1422" s="63"/>
      <c r="AI1422" s="63"/>
      <c r="AJ1422" s="63"/>
      <c r="AK1422" s="63"/>
      <c r="AL1422" s="63"/>
      <c r="AM1422" s="63"/>
      <c r="AN1422" s="63">
        <v>0</v>
      </c>
      <c r="AO1422" s="63"/>
      <c r="AP1422" s="63"/>
      <c r="AQ1422" s="63">
        <v>0</v>
      </c>
      <c r="AR1422" s="63"/>
      <c r="AS1422" s="63"/>
      <c r="AT1422" s="63"/>
      <c r="AU1422" s="63"/>
      <c r="AW1422" s="5">
        <f>IF(Q1422&gt;0,RANK(Q1422,(N1422:P1422,Q1422:AE1422)),0)</f>
        <v>3</v>
      </c>
      <c r="AX1422" s="5">
        <f>IF(R1422&gt;0,RANK(R1422,(N1422:P1422,Q1422:AE1422)),0)</f>
        <v>5</v>
      </c>
      <c r="AY1422" s="5">
        <f>IF(T1422&gt;0,RANK(T1422,(N1422:P1422,Q1422:AE1422)),0)</f>
        <v>9</v>
      </c>
      <c r="AZ1422" s="5">
        <f>IF(S1422&gt;0,RANK(S1422,(N1422:P1422,Q1422:AE1422)),0)</f>
        <v>7</v>
      </c>
      <c r="BA1422" s="2">
        <f t="shared" si="594"/>
        <v>3.4647000076822615E-2</v>
      </c>
      <c r="BB1422" s="2">
        <f t="shared" si="595"/>
        <v>9.8332949220250442E-3</v>
      </c>
      <c r="BC1422" s="2">
        <f t="shared" si="596"/>
        <v>3.0729046631328263E-4</v>
      </c>
      <c r="BD1422" s="2">
        <f t="shared" si="597"/>
        <v>4.3788891449642771E-3</v>
      </c>
      <c r="BF1422" t="s">
        <v>1740</v>
      </c>
      <c r="BG1422" t="s">
        <v>2725</v>
      </c>
      <c r="BH1422" s="8">
        <v>8</v>
      </c>
      <c r="BJ1422" s="114">
        <v>27</v>
      </c>
      <c r="BK1422" s="116">
        <v>95</v>
      </c>
      <c r="BL1422" s="120">
        <f t="shared" si="588"/>
        <v>27095</v>
      </c>
      <c r="BN1422" s="5" t="s">
        <v>3154</v>
      </c>
      <c r="CA1422" s="63">
        <v>68</v>
      </c>
    </row>
    <row r="1423" spans="1:79" hidden="1" outlineLevel="1">
      <c r="A1423" t="s">
        <v>800</v>
      </c>
      <c r="B1423" t="s">
        <v>2725</v>
      </c>
      <c r="C1423" s="1">
        <f t="shared" si="589"/>
        <v>17614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4</v>
      </c>
      <c r="G1423" s="132">
        <f t="shared" si="598"/>
        <v>9288</v>
      </c>
      <c r="H1423" s="137">
        <f t="shared" si="599"/>
        <v>0.52730782332235726</v>
      </c>
      <c r="I1423" s="2"/>
      <c r="J1423" s="2">
        <f t="shared" si="590"/>
        <v>0.20648347905075509</v>
      </c>
      <c r="K1423" s="2">
        <f t="shared" si="591"/>
        <v>0.7337913023731123</v>
      </c>
      <c r="L1423" s="2">
        <f t="shared" si="592"/>
        <v>1.396616327920972E-2</v>
      </c>
      <c r="M1423" s="2">
        <f t="shared" si="593"/>
        <v>4.5759055296922944E-2</v>
      </c>
      <c r="N1423" s="63">
        <v>3637</v>
      </c>
      <c r="O1423" s="63">
        <v>12925</v>
      </c>
      <c r="P1423" s="63">
        <v>246</v>
      </c>
      <c r="Q1423" s="63">
        <v>442</v>
      </c>
      <c r="R1423" s="63">
        <v>146</v>
      </c>
      <c r="S1423" s="63">
        <v>56</v>
      </c>
      <c r="T1423" s="63">
        <v>6</v>
      </c>
      <c r="U1423" s="63">
        <v>0</v>
      </c>
      <c r="V1423" s="63">
        <v>0</v>
      </c>
      <c r="W1423" s="63">
        <f t="shared" si="587"/>
        <v>80</v>
      </c>
      <c r="X1423" s="63">
        <v>16</v>
      </c>
      <c r="Y1423" s="63">
        <v>0</v>
      </c>
      <c r="Z1423" s="63">
        <v>0</v>
      </c>
      <c r="AA1423" s="63"/>
      <c r="AB1423" s="63"/>
      <c r="AC1423" s="63">
        <v>60</v>
      </c>
      <c r="AD1423" s="63"/>
      <c r="AE1423" s="63">
        <v>0</v>
      </c>
      <c r="AF1423" s="63">
        <v>0</v>
      </c>
      <c r="AG1423" s="63">
        <v>0</v>
      </c>
      <c r="AH1423" s="63"/>
      <c r="AI1423" s="63"/>
      <c r="AJ1423" s="63"/>
      <c r="AK1423" s="63"/>
      <c r="AL1423" s="63"/>
      <c r="AM1423" s="63"/>
      <c r="AN1423" s="63">
        <v>0</v>
      </c>
      <c r="AO1423" s="63"/>
      <c r="AP1423" s="63"/>
      <c r="AQ1423" s="63">
        <v>0</v>
      </c>
      <c r="AR1423" s="63"/>
      <c r="AS1423" s="63"/>
      <c r="AT1423" s="63"/>
      <c r="AU1423" s="63"/>
      <c r="AW1423" s="5">
        <f>IF(Q1423&gt;0,RANK(Q1423,(N1423:P1423,Q1423:AE1423)),0)</f>
        <v>3</v>
      </c>
      <c r="AX1423" s="5">
        <f>IF(R1423&gt;0,RANK(R1423,(N1423:P1423,Q1423:AE1423)),0)</f>
        <v>5</v>
      </c>
      <c r="AY1423" s="5">
        <f>IF(T1423&gt;0,RANK(T1423,(N1423:P1423,Q1423:AE1423)),0)</f>
        <v>10</v>
      </c>
      <c r="AZ1423" s="5">
        <f>IF(S1423&gt;0,RANK(S1423,(N1423:P1423,Q1423:AE1423)),0)</f>
        <v>8</v>
      </c>
      <c r="BA1423" s="2">
        <f t="shared" si="594"/>
        <v>2.5093675485409334E-2</v>
      </c>
      <c r="BB1423" s="2">
        <f t="shared" si="595"/>
        <v>8.2888611331895078E-3</v>
      </c>
      <c r="BC1423" s="2">
        <f t="shared" si="596"/>
        <v>3.4063812876121267E-4</v>
      </c>
      <c r="BD1423" s="2">
        <f t="shared" si="597"/>
        <v>3.1792892017713185E-3</v>
      </c>
      <c r="BF1423" t="s">
        <v>800</v>
      </c>
      <c r="BG1423" t="s">
        <v>2725</v>
      </c>
      <c r="BH1423" s="8">
        <v>8</v>
      </c>
      <c r="BJ1423" s="114">
        <v>27</v>
      </c>
      <c r="BK1423" s="116">
        <v>97</v>
      </c>
      <c r="BL1423" s="120">
        <f t="shared" si="588"/>
        <v>27097</v>
      </c>
      <c r="BN1423" s="5" t="s">
        <v>3154</v>
      </c>
      <c r="CA1423" s="63">
        <v>80</v>
      </c>
    </row>
    <row r="1424" spans="1:79" hidden="1" outlineLevel="1">
      <c r="A1424" t="s">
        <v>660</v>
      </c>
      <c r="B1424" t="s">
        <v>2725</v>
      </c>
      <c r="C1424" s="1">
        <f t="shared" si="589"/>
        <v>17715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>IF(P1424&gt;0,RANK(P1424,(N1424:P1424,Q1424:AE1424)),0)</f>
        <v>4</v>
      </c>
      <c r="G1424" s="132">
        <f t="shared" si="598"/>
        <v>1386</v>
      </c>
      <c r="H1424" s="137">
        <f t="shared" si="599"/>
        <v>7.823878069432684E-2</v>
      </c>
      <c r="I1424" s="2"/>
      <c r="J1424" s="2">
        <f t="shared" si="590"/>
        <v>0.41981371718882304</v>
      </c>
      <c r="K1424" s="2">
        <f t="shared" si="591"/>
        <v>0.49805249788314987</v>
      </c>
      <c r="L1424" s="2">
        <f t="shared" si="592"/>
        <v>1.7837990403612759E-2</v>
      </c>
      <c r="M1424" s="2">
        <f t="shared" si="593"/>
        <v>6.429579452441439E-2</v>
      </c>
      <c r="N1424" s="63">
        <v>7437</v>
      </c>
      <c r="O1424" s="63">
        <v>8823</v>
      </c>
      <c r="P1424" s="63">
        <v>316</v>
      </c>
      <c r="Q1424" s="63">
        <v>620</v>
      </c>
      <c r="R1424" s="63">
        <v>191</v>
      </c>
      <c r="S1424" s="63">
        <v>83</v>
      </c>
      <c r="T1424" s="63">
        <v>7</v>
      </c>
      <c r="U1424" s="63">
        <v>0</v>
      </c>
      <c r="V1424" s="63">
        <v>0</v>
      </c>
      <c r="W1424" s="63">
        <f t="shared" si="587"/>
        <v>139</v>
      </c>
      <c r="X1424" s="63">
        <v>17</v>
      </c>
      <c r="Y1424" s="63">
        <v>0</v>
      </c>
      <c r="Z1424" s="63">
        <v>0</v>
      </c>
      <c r="AA1424" s="63"/>
      <c r="AB1424" s="63"/>
      <c r="AC1424" s="63">
        <v>82</v>
      </c>
      <c r="AD1424" s="63"/>
      <c r="AE1424" s="63">
        <v>0</v>
      </c>
      <c r="AF1424" s="63">
        <v>0</v>
      </c>
      <c r="AG1424" s="63">
        <v>0</v>
      </c>
      <c r="AH1424" s="63"/>
      <c r="AI1424" s="63"/>
      <c r="AJ1424" s="63"/>
      <c r="AK1424" s="63"/>
      <c r="AL1424" s="63"/>
      <c r="AM1424" s="63"/>
      <c r="AN1424" s="63">
        <v>0</v>
      </c>
      <c r="AO1424" s="63"/>
      <c r="AP1424" s="63"/>
      <c r="AQ1424" s="63">
        <v>0</v>
      </c>
      <c r="AR1424" s="63"/>
      <c r="AS1424" s="63"/>
      <c r="AT1424" s="63"/>
      <c r="AU1424" s="63"/>
      <c r="AW1424" s="5">
        <f>IF(Q1424&gt;0,RANK(Q1424,(N1424:P1424,Q1424:AE1424)),0)</f>
        <v>3</v>
      </c>
      <c r="AX1424" s="5">
        <f>IF(R1424&gt;0,RANK(R1424,(N1424:P1424,Q1424:AE1424)),0)</f>
        <v>5</v>
      </c>
      <c r="AY1424" s="5">
        <f>IF(T1424&gt;0,RANK(T1424,(N1424:P1424,Q1424:AE1424)),0)</f>
        <v>10</v>
      </c>
      <c r="AZ1424" s="5">
        <f>IF(S1424&gt;0,RANK(S1424,(N1424:P1424,Q1424:AE1424)),0)</f>
        <v>7</v>
      </c>
      <c r="BA1424" s="2">
        <f t="shared" si="594"/>
        <v>3.4998588766581989E-2</v>
      </c>
      <c r="BB1424" s="2">
        <f t="shared" si="595"/>
        <v>1.0781823313576066E-2</v>
      </c>
      <c r="BC1424" s="2">
        <f t="shared" si="596"/>
        <v>3.9514535704205473E-4</v>
      </c>
      <c r="BD1424" s="2">
        <f t="shared" si="597"/>
        <v>4.6852949477843636E-3</v>
      </c>
      <c r="BF1424" t="s">
        <v>660</v>
      </c>
      <c r="BG1424" t="s">
        <v>2725</v>
      </c>
      <c r="BH1424" s="8">
        <v>1</v>
      </c>
      <c r="BJ1424" s="114">
        <v>27</v>
      </c>
      <c r="BK1424" s="116">
        <v>99</v>
      </c>
      <c r="BL1424" s="120">
        <f t="shared" si="588"/>
        <v>27099</v>
      </c>
      <c r="BN1424" s="5" t="s">
        <v>3154</v>
      </c>
      <c r="CA1424" s="63">
        <v>139</v>
      </c>
    </row>
    <row r="1425" spans="1:79" hidden="1" outlineLevel="1">
      <c r="A1425" t="s">
        <v>1868</v>
      </c>
      <c r="B1425" t="s">
        <v>2725</v>
      </c>
      <c r="C1425" s="1">
        <f t="shared" si="589"/>
        <v>4668</v>
      </c>
      <c r="D1425" s="5">
        <f>IF(N1425&gt;0, RANK(N1425,(N1425:P1425,Q1425:AE1425)),0)</f>
        <v>2</v>
      </c>
      <c r="E1425" s="5">
        <f>IF(O1425&gt;0,RANK(O1425,(N1425:P1425,Q1425:AE1425)),0)</f>
        <v>1</v>
      </c>
      <c r="F1425" s="5">
        <f>IF(P1425&gt;0,RANK(P1425,(N1425:P1425,Q1425:AE1425)),0)</f>
        <v>4</v>
      </c>
      <c r="G1425" s="132">
        <f t="shared" si="598"/>
        <v>1679</v>
      </c>
      <c r="H1425" s="137">
        <f t="shared" si="599"/>
        <v>0.35968294772922021</v>
      </c>
      <c r="I1425" s="2"/>
      <c r="J1425" s="2">
        <f t="shared" si="590"/>
        <v>0.27742073693230507</v>
      </c>
      <c r="K1425" s="2">
        <f t="shared" si="591"/>
        <v>0.63710368466152523</v>
      </c>
      <c r="L1425" s="2">
        <f t="shared" si="592"/>
        <v>2.2707797772065125E-2</v>
      </c>
      <c r="M1425" s="2">
        <f t="shared" si="593"/>
        <v>6.2767780634104584E-2</v>
      </c>
      <c r="N1425" s="63">
        <v>1295</v>
      </c>
      <c r="O1425" s="63">
        <v>2974</v>
      </c>
      <c r="P1425" s="63">
        <v>106</v>
      </c>
      <c r="Q1425" s="63">
        <v>203</v>
      </c>
      <c r="R1425" s="63">
        <v>22</v>
      </c>
      <c r="S1425" s="63">
        <v>20</v>
      </c>
      <c r="T1425" s="63">
        <v>1</v>
      </c>
      <c r="U1425" s="63">
        <v>0</v>
      </c>
      <c r="V1425" s="63">
        <v>0</v>
      </c>
      <c r="W1425" s="63">
        <f t="shared" si="587"/>
        <v>24</v>
      </c>
      <c r="X1425" s="63">
        <v>1</v>
      </c>
      <c r="Y1425" s="63">
        <v>0</v>
      </c>
      <c r="Z1425" s="63">
        <v>0</v>
      </c>
      <c r="AA1425" s="63"/>
      <c r="AB1425" s="63"/>
      <c r="AC1425" s="63">
        <v>20</v>
      </c>
      <c r="AD1425" s="63"/>
      <c r="AE1425" s="63">
        <v>0</v>
      </c>
      <c r="AF1425" s="63">
        <v>0</v>
      </c>
      <c r="AG1425" s="63">
        <v>0</v>
      </c>
      <c r="AH1425" s="63"/>
      <c r="AI1425" s="63"/>
      <c r="AJ1425" s="63"/>
      <c r="AK1425" s="63"/>
      <c r="AL1425" s="63"/>
      <c r="AM1425" s="63"/>
      <c r="AN1425" s="63">
        <v>2</v>
      </c>
      <c r="AO1425" s="63"/>
      <c r="AP1425" s="63"/>
      <c r="AQ1425" s="63">
        <v>0</v>
      </c>
      <c r="AR1425" s="63"/>
      <c r="AS1425" s="63"/>
      <c r="AT1425" s="63"/>
      <c r="AU1425" s="63"/>
      <c r="AW1425" s="5">
        <f>IF(Q1425&gt;0,RANK(Q1425,(N1425:P1425,Q1425:AE1425)),0)</f>
        <v>3</v>
      </c>
      <c r="AX1425" s="5">
        <f>IF(R1425&gt;0,RANK(R1425,(N1425:P1425,Q1425:AE1425)),0)</f>
        <v>6</v>
      </c>
      <c r="AY1425" s="5">
        <f>IF(T1425&gt;0,RANK(T1425,(N1425:P1425,Q1425:AE1425)),0)</f>
        <v>9</v>
      </c>
      <c r="AZ1425" s="5">
        <f>IF(S1425&gt;0,RANK(S1425,(N1425:P1425,Q1425:AE1425)),0)</f>
        <v>7</v>
      </c>
      <c r="BA1425" s="2">
        <f t="shared" si="594"/>
        <v>4.3487574978577546E-2</v>
      </c>
      <c r="BB1425" s="2">
        <f t="shared" si="595"/>
        <v>4.7129391602399318E-3</v>
      </c>
      <c r="BC1425" s="2">
        <f t="shared" si="596"/>
        <v>2.1422450728363326E-4</v>
      </c>
      <c r="BD1425" s="2">
        <f t="shared" si="597"/>
        <v>4.2844901456726651E-3</v>
      </c>
      <c r="BF1425" t="s">
        <v>1868</v>
      </c>
      <c r="BG1425" t="s">
        <v>2725</v>
      </c>
      <c r="BH1425" s="8">
        <v>7</v>
      </c>
      <c r="BJ1425" s="114">
        <v>27</v>
      </c>
      <c r="BK1425" s="116">
        <v>101</v>
      </c>
      <c r="BL1425" s="120">
        <f t="shared" si="588"/>
        <v>27101</v>
      </c>
      <c r="BN1425" s="5" t="s">
        <v>3154</v>
      </c>
      <c r="CA1425" s="63">
        <v>26</v>
      </c>
    </row>
    <row r="1426" spans="1:79" hidden="1" outlineLevel="1">
      <c r="A1426" t="s">
        <v>1120</v>
      </c>
      <c r="B1426" t="s">
        <v>2725</v>
      </c>
      <c r="C1426" s="1">
        <f t="shared" si="589"/>
        <v>18097</v>
      </c>
      <c r="D1426" s="5">
        <f>IF(N1426&gt;0, RANK(N1426,(N1426:P1426,Q1426:AE1426)),0)</f>
        <v>2</v>
      </c>
      <c r="E1426" s="5">
        <f>IF(O1426&gt;0,RANK(O1426,(N1426:P1426,Q1426:AE1426)),0)</f>
        <v>1</v>
      </c>
      <c r="F1426" s="5">
        <f>IF(P1426&gt;0,RANK(P1426,(N1426:P1426,Q1426:AE1426)),0)</f>
        <v>4</v>
      </c>
      <c r="G1426" s="132">
        <f t="shared" si="598"/>
        <v>551</v>
      </c>
      <c r="H1426" s="137">
        <f t="shared" si="599"/>
        <v>3.0447035420235399E-2</v>
      </c>
      <c r="I1426" s="2"/>
      <c r="J1426" s="2">
        <f t="shared" si="590"/>
        <v>0.43576283361883184</v>
      </c>
      <c r="K1426" s="2">
        <f t="shared" si="591"/>
        <v>0.46620986903906725</v>
      </c>
      <c r="L1426" s="2">
        <f t="shared" si="592"/>
        <v>1.8566613250815052E-2</v>
      </c>
      <c r="M1426" s="2">
        <f t="shared" si="593"/>
        <v>7.9460684091285871E-2</v>
      </c>
      <c r="N1426" s="63">
        <v>7886</v>
      </c>
      <c r="O1426" s="63">
        <v>8437</v>
      </c>
      <c r="P1426" s="63">
        <v>336</v>
      </c>
      <c r="Q1426" s="63">
        <v>831</v>
      </c>
      <c r="R1426" s="63">
        <v>250</v>
      </c>
      <c r="S1426" s="63">
        <v>64</v>
      </c>
      <c r="T1426" s="63">
        <v>14</v>
      </c>
      <c r="U1426" s="63">
        <v>1</v>
      </c>
      <c r="V1426" s="63">
        <v>0</v>
      </c>
      <c r="W1426" s="63">
        <f t="shared" si="587"/>
        <v>181</v>
      </c>
      <c r="X1426" s="63">
        <v>9</v>
      </c>
      <c r="Y1426" s="63">
        <v>0</v>
      </c>
      <c r="Z1426" s="63">
        <v>0</v>
      </c>
      <c r="AA1426" s="63"/>
      <c r="AB1426" s="63"/>
      <c r="AC1426" s="63">
        <v>88</v>
      </c>
      <c r="AD1426" s="63"/>
      <c r="AE1426" s="63">
        <v>0</v>
      </c>
      <c r="AF1426" s="63">
        <v>0</v>
      </c>
      <c r="AG1426" s="63">
        <v>0</v>
      </c>
      <c r="AH1426" s="63"/>
      <c r="AI1426" s="63"/>
      <c r="AJ1426" s="63"/>
      <c r="AK1426" s="63"/>
      <c r="AL1426" s="63"/>
      <c r="AM1426" s="63"/>
      <c r="AN1426" s="63">
        <v>0</v>
      </c>
      <c r="AO1426" s="63"/>
      <c r="AP1426" s="63"/>
      <c r="AQ1426" s="63">
        <v>0</v>
      </c>
      <c r="AR1426" s="63"/>
      <c r="AS1426" s="63"/>
      <c r="AT1426" s="63"/>
      <c r="AU1426" s="63"/>
      <c r="AW1426" s="5">
        <f>IF(Q1426&gt;0,RANK(Q1426,(N1426:P1426,Q1426:AE1426)),0)</f>
        <v>3</v>
      </c>
      <c r="AX1426" s="5">
        <f>IF(R1426&gt;0,RANK(R1426,(N1426:P1426,Q1426:AE1426)),0)</f>
        <v>5</v>
      </c>
      <c r="AY1426" s="5">
        <f>IF(T1426&gt;0,RANK(T1426,(N1426:P1426,Q1426:AE1426)),0)</f>
        <v>9</v>
      </c>
      <c r="AZ1426" s="5">
        <f>IF(S1426&gt;0,RANK(S1426,(N1426:P1426,Q1426:AE1426)),0)</f>
        <v>8</v>
      </c>
      <c r="BA1426" s="2">
        <f t="shared" si="594"/>
        <v>4.5919213129247939E-2</v>
      </c>
      <c r="BB1426" s="2">
        <f t="shared" si="595"/>
        <v>1.3814444383046914E-2</v>
      </c>
      <c r="BC1426" s="2">
        <f t="shared" si="596"/>
        <v>7.7360888545062716E-4</v>
      </c>
      <c r="BD1426" s="2">
        <f t="shared" si="597"/>
        <v>3.5364977620600101E-3</v>
      </c>
      <c r="BF1426" t="s">
        <v>1120</v>
      </c>
      <c r="BG1426" t="s">
        <v>2725</v>
      </c>
      <c r="BH1426" s="8">
        <v>1</v>
      </c>
      <c r="BJ1426" s="114">
        <v>27</v>
      </c>
      <c r="BK1426" s="116">
        <v>103</v>
      </c>
      <c r="BL1426" s="120">
        <f t="shared" si="588"/>
        <v>27103</v>
      </c>
      <c r="BN1426" s="5" t="s">
        <v>3154</v>
      </c>
      <c r="CA1426" s="63">
        <v>182</v>
      </c>
    </row>
    <row r="1427" spans="1:79" hidden="1" outlineLevel="1">
      <c r="A1427" t="s">
        <v>420</v>
      </c>
      <c r="B1427" t="s">
        <v>2725</v>
      </c>
      <c r="C1427" s="1">
        <f t="shared" si="589"/>
        <v>8632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4</v>
      </c>
      <c r="G1427" s="132">
        <f t="shared" si="598"/>
        <v>2566</v>
      </c>
      <c r="H1427" s="137">
        <f t="shared" si="599"/>
        <v>0.29726598702502316</v>
      </c>
      <c r="I1427" s="2"/>
      <c r="J1427" s="2">
        <f t="shared" si="590"/>
        <v>0.3166126042632067</v>
      </c>
      <c r="K1427" s="2">
        <f t="shared" si="591"/>
        <v>0.61387859128822986</v>
      </c>
      <c r="L1427" s="2">
        <f t="shared" si="592"/>
        <v>1.9462465245597776E-2</v>
      </c>
      <c r="M1427" s="2">
        <f t="shared" si="593"/>
        <v>5.0046339202965667E-2</v>
      </c>
      <c r="N1427" s="63">
        <v>2733</v>
      </c>
      <c r="O1427" s="63">
        <v>5299</v>
      </c>
      <c r="P1427" s="63">
        <v>168</v>
      </c>
      <c r="Q1427" s="63">
        <v>258</v>
      </c>
      <c r="R1427" s="63">
        <v>40</v>
      </c>
      <c r="S1427" s="63">
        <v>41</v>
      </c>
      <c r="T1427" s="63">
        <v>4</v>
      </c>
      <c r="U1427" s="63">
        <v>0</v>
      </c>
      <c r="V1427" s="63">
        <v>0</v>
      </c>
      <c r="W1427" s="63">
        <f t="shared" si="587"/>
        <v>39</v>
      </c>
      <c r="X1427" s="63">
        <v>3</v>
      </c>
      <c r="Y1427" s="63">
        <v>0</v>
      </c>
      <c r="Z1427" s="63">
        <v>0</v>
      </c>
      <c r="AA1427" s="63"/>
      <c r="AB1427" s="63"/>
      <c r="AC1427" s="63">
        <v>45</v>
      </c>
      <c r="AD1427" s="63"/>
      <c r="AE1427" s="63">
        <v>0</v>
      </c>
      <c r="AF1427" s="63">
        <v>0</v>
      </c>
      <c r="AG1427" s="63">
        <v>1</v>
      </c>
      <c r="AH1427" s="63"/>
      <c r="AI1427" s="63"/>
      <c r="AJ1427" s="63"/>
      <c r="AK1427" s="63"/>
      <c r="AL1427" s="63"/>
      <c r="AM1427" s="63"/>
      <c r="AN1427" s="63">
        <v>1</v>
      </c>
      <c r="AO1427" s="63"/>
      <c r="AP1427" s="63"/>
      <c r="AQ1427" s="63">
        <v>0</v>
      </c>
      <c r="AR1427" s="63"/>
      <c r="AS1427" s="63"/>
      <c r="AT1427" s="63"/>
      <c r="AU1427" s="63"/>
      <c r="AW1427" s="5">
        <f>IF(Q1427&gt;0,RANK(Q1427,(N1427:P1427,Q1427:AE1427)),0)</f>
        <v>3</v>
      </c>
      <c r="AX1427" s="5">
        <f>IF(R1427&gt;0,RANK(R1427,(N1427:P1427,Q1427:AE1427)),0)</f>
        <v>7</v>
      </c>
      <c r="AY1427" s="5">
        <f>IF(T1427&gt;0,RANK(T1427,(N1427:P1427,Q1427:AE1427)),0)</f>
        <v>9</v>
      </c>
      <c r="AZ1427" s="5">
        <f>IF(S1427&gt;0,RANK(S1427,(N1427:P1427,Q1427:AE1427)),0)</f>
        <v>6</v>
      </c>
      <c r="BA1427" s="2">
        <f t="shared" si="594"/>
        <v>2.9888785912882299E-2</v>
      </c>
      <c r="BB1427" s="2">
        <f t="shared" si="595"/>
        <v>4.6339202965708986E-3</v>
      </c>
      <c r="BC1427" s="2">
        <f t="shared" si="596"/>
        <v>4.6339202965708991E-4</v>
      </c>
      <c r="BD1427" s="2">
        <f t="shared" si="597"/>
        <v>4.7497683039851718E-3</v>
      </c>
      <c r="BF1427" t="s">
        <v>420</v>
      </c>
      <c r="BG1427" t="s">
        <v>2725</v>
      </c>
      <c r="BH1427" s="8">
        <v>1</v>
      </c>
      <c r="BJ1427" s="114">
        <v>27</v>
      </c>
      <c r="BK1427" s="116">
        <v>105</v>
      </c>
      <c r="BL1427" s="120">
        <f t="shared" si="588"/>
        <v>27105</v>
      </c>
      <c r="BN1427" s="5" t="s">
        <v>3154</v>
      </c>
      <c r="CA1427" s="63">
        <v>41</v>
      </c>
    </row>
    <row r="1428" spans="1:79" hidden="1" outlineLevel="1">
      <c r="A1428" t="s">
        <v>1933</v>
      </c>
      <c r="B1428" t="s">
        <v>2725</v>
      </c>
      <c r="C1428" s="1">
        <f t="shared" si="589"/>
        <v>3261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>IF(P1428&gt;0,RANK(P1428,(N1428:P1428,Q1428:AE1428)),0)</f>
        <v>4</v>
      </c>
      <c r="G1428" s="132">
        <f t="shared" si="598"/>
        <v>435</v>
      </c>
      <c r="H1428" s="137">
        <f t="shared" si="599"/>
        <v>0.13339466421343146</v>
      </c>
      <c r="I1428" s="2"/>
      <c r="J1428" s="2">
        <f t="shared" si="590"/>
        <v>0.38761116222017789</v>
      </c>
      <c r="K1428" s="2">
        <f t="shared" si="591"/>
        <v>0.52100582643360938</v>
      </c>
      <c r="L1428" s="2">
        <f t="shared" si="592"/>
        <v>1.2572830420116528E-2</v>
      </c>
      <c r="M1428" s="2">
        <f t="shared" si="593"/>
        <v>7.8810180926096207E-2</v>
      </c>
      <c r="N1428" s="63">
        <v>1264</v>
      </c>
      <c r="O1428" s="63">
        <v>1699</v>
      </c>
      <c r="P1428" s="63">
        <v>41</v>
      </c>
      <c r="Q1428" s="63">
        <v>161</v>
      </c>
      <c r="R1428" s="63">
        <v>29</v>
      </c>
      <c r="S1428" s="63">
        <v>14</v>
      </c>
      <c r="T1428" s="63">
        <v>2</v>
      </c>
      <c r="U1428" s="63">
        <v>0</v>
      </c>
      <c r="V1428" s="63">
        <v>0</v>
      </c>
      <c r="W1428" s="63">
        <f t="shared" si="587"/>
        <v>29</v>
      </c>
      <c r="X1428" s="63">
        <v>4</v>
      </c>
      <c r="Y1428" s="63">
        <v>0</v>
      </c>
      <c r="Z1428" s="63">
        <v>0</v>
      </c>
      <c r="AA1428" s="63"/>
      <c r="AB1428" s="63"/>
      <c r="AC1428" s="63">
        <v>18</v>
      </c>
      <c r="AD1428" s="63"/>
      <c r="AE1428" s="63">
        <v>0</v>
      </c>
      <c r="AF1428" s="63">
        <v>0</v>
      </c>
      <c r="AG1428" s="63">
        <v>0</v>
      </c>
      <c r="AH1428" s="63"/>
      <c r="AI1428" s="63"/>
      <c r="AJ1428" s="63"/>
      <c r="AK1428" s="63"/>
      <c r="AL1428" s="63"/>
      <c r="AM1428" s="63"/>
      <c r="AN1428" s="63">
        <v>0</v>
      </c>
      <c r="AO1428" s="63"/>
      <c r="AP1428" s="63"/>
      <c r="AQ1428" s="63">
        <v>0</v>
      </c>
      <c r="AR1428" s="63"/>
      <c r="AS1428" s="63"/>
      <c r="AT1428" s="63"/>
      <c r="AU1428" s="63"/>
      <c r="AW1428" s="5">
        <f>IF(Q1428&gt;0,RANK(Q1428,(N1428:P1428,Q1428:AE1428)),0)</f>
        <v>3</v>
      </c>
      <c r="AX1428" s="5">
        <f>IF(R1428&gt;0,RANK(R1428,(N1428:P1428,Q1428:AE1428)),0)</f>
        <v>5</v>
      </c>
      <c r="AY1428" s="5">
        <f>IF(T1428&gt;0,RANK(T1428,(N1428:P1428,Q1428:AE1428)),0)</f>
        <v>10</v>
      </c>
      <c r="AZ1428" s="5">
        <f>IF(S1428&gt;0,RANK(S1428,(N1428:P1428,Q1428:AE1428)),0)</f>
        <v>8</v>
      </c>
      <c r="BA1428" s="2">
        <f t="shared" si="594"/>
        <v>4.9371358478994175E-2</v>
      </c>
      <c r="BB1428" s="2">
        <f t="shared" si="595"/>
        <v>8.8929776142287649E-3</v>
      </c>
      <c r="BC1428" s="2">
        <f t="shared" si="596"/>
        <v>6.1330880098129411E-4</v>
      </c>
      <c r="BD1428" s="2">
        <f t="shared" si="597"/>
        <v>4.2931616068690587E-3</v>
      </c>
      <c r="BF1428" t="s">
        <v>1933</v>
      </c>
      <c r="BG1428" t="s">
        <v>2725</v>
      </c>
      <c r="BH1428" s="8">
        <v>7</v>
      </c>
      <c r="BJ1428" s="114">
        <v>27</v>
      </c>
      <c r="BK1428" s="116">
        <v>107</v>
      </c>
      <c r="BL1428" s="120">
        <f t="shared" si="588"/>
        <v>27107</v>
      </c>
      <c r="BN1428" s="5" t="s">
        <v>3154</v>
      </c>
      <c r="CA1428" s="63">
        <v>29</v>
      </c>
    </row>
    <row r="1429" spans="1:79" hidden="1" outlineLevel="1">
      <c r="A1429" t="s">
        <v>2306</v>
      </c>
      <c r="B1429" t="s">
        <v>2725</v>
      </c>
      <c r="C1429" s="1">
        <f t="shared" si="589"/>
        <v>80129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>IF(P1429&gt;0,RANK(P1429,(N1429:P1429,Q1429:AE1429)),0)</f>
        <v>4</v>
      </c>
      <c r="G1429" s="132">
        <f t="shared" si="598"/>
        <v>600</v>
      </c>
      <c r="H1429" s="137">
        <f t="shared" si="599"/>
        <v>7.48792571977686E-3</v>
      </c>
      <c r="I1429" s="2"/>
      <c r="J1429" s="2">
        <f t="shared" si="590"/>
        <v>0.4526201500081119</v>
      </c>
      <c r="K1429" s="2">
        <f t="shared" si="591"/>
        <v>0.44513222428833504</v>
      </c>
      <c r="L1429" s="2">
        <f t="shared" si="592"/>
        <v>2.515943041845025E-2</v>
      </c>
      <c r="M1429" s="2">
        <f t="shared" si="593"/>
        <v>7.7088195285102745E-2</v>
      </c>
      <c r="N1429" s="63">
        <v>36268</v>
      </c>
      <c r="O1429" s="63">
        <v>35668</v>
      </c>
      <c r="P1429" s="63">
        <v>2016</v>
      </c>
      <c r="Q1429" s="63">
        <v>3547</v>
      </c>
      <c r="R1429" s="63">
        <v>1117</v>
      </c>
      <c r="S1429" s="63">
        <v>303</v>
      </c>
      <c r="T1429" s="63">
        <v>56</v>
      </c>
      <c r="U1429" s="63">
        <v>0</v>
      </c>
      <c r="V1429" s="63">
        <v>0</v>
      </c>
      <c r="W1429" s="63">
        <f t="shared" si="587"/>
        <v>838</v>
      </c>
      <c r="X1429" s="63">
        <v>35</v>
      </c>
      <c r="Y1429" s="63">
        <v>3</v>
      </c>
      <c r="Z1429" s="63">
        <v>0</v>
      </c>
      <c r="AA1429" s="63"/>
      <c r="AB1429" s="63"/>
      <c r="AC1429" s="63">
        <v>270</v>
      </c>
      <c r="AD1429" s="63"/>
      <c r="AE1429" s="63">
        <v>1</v>
      </c>
      <c r="AF1429" s="63">
        <v>0</v>
      </c>
      <c r="AG1429" s="63">
        <v>0</v>
      </c>
      <c r="AH1429" s="63"/>
      <c r="AI1429" s="63"/>
      <c r="AJ1429" s="63"/>
      <c r="AK1429" s="63"/>
      <c r="AL1429" s="63"/>
      <c r="AM1429" s="63"/>
      <c r="AN1429" s="63">
        <v>7</v>
      </c>
      <c r="AO1429" s="63"/>
      <c r="AP1429" s="63"/>
      <c r="AQ1429" s="63">
        <v>0</v>
      </c>
      <c r="AR1429" s="63"/>
      <c r="AS1429" s="63"/>
      <c r="AT1429" s="63"/>
      <c r="AU1429" s="63"/>
      <c r="AW1429" s="5">
        <f>IF(Q1429&gt;0,RANK(Q1429,(N1429:P1429,Q1429:AE1429)),0)</f>
        <v>3</v>
      </c>
      <c r="AX1429" s="5">
        <f>IF(R1429&gt;0,RANK(R1429,(N1429:P1429,Q1429:AE1429)),0)</f>
        <v>5</v>
      </c>
      <c r="AY1429" s="5">
        <f>IF(T1429&gt;0,RANK(T1429,(N1429:P1429,Q1429:AE1429)),0)</f>
        <v>9</v>
      </c>
      <c r="AZ1429" s="5">
        <f>IF(S1429&gt;0,RANK(S1429,(N1429:P1429,Q1429:AE1429)),0)</f>
        <v>7</v>
      </c>
      <c r="BA1429" s="2">
        <f t="shared" si="594"/>
        <v>4.4266120880080868E-2</v>
      </c>
      <c r="BB1429" s="2">
        <f t="shared" si="595"/>
        <v>1.3940021714984588E-2</v>
      </c>
      <c r="BC1429" s="2">
        <f t="shared" si="596"/>
        <v>6.988730671791736E-4</v>
      </c>
      <c r="BD1429" s="2">
        <f t="shared" si="597"/>
        <v>3.7814024884873141E-3</v>
      </c>
      <c r="BF1429" t="s">
        <v>2306</v>
      </c>
      <c r="BG1429" t="s">
        <v>2725</v>
      </c>
      <c r="BH1429" s="8">
        <v>1</v>
      </c>
      <c r="BJ1429" s="114">
        <v>27</v>
      </c>
      <c r="BK1429" s="116">
        <v>109</v>
      </c>
      <c r="BL1429" s="120">
        <f t="shared" si="588"/>
        <v>27109</v>
      </c>
      <c r="BN1429" s="5" t="s">
        <v>3154</v>
      </c>
      <c r="CA1429" s="63">
        <v>849</v>
      </c>
    </row>
    <row r="1430" spans="1:79" hidden="1" outlineLevel="1">
      <c r="A1430" t="s">
        <v>961</v>
      </c>
      <c r="B1430" t="s">
        <v>2725</v>
      </c>
      <c r="C1430" s="1">
        <f t="shared" si="589"/>
        <v>32500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4</v>
      </c>
      <c r="G1430" s="132">
        <f t="shared" si="598"/>
        <v>11599</v>
      </c>
      <c r="H1430" s="137">
        <f t="shared" si="599"/>
        <v>0.35689230769230768</v>
      </c>
      <c r="I1430" s="2"/>
      <c r="J1430" s="2">
        <f t="shared" si="590"/>
        <v>0.28738461538461541</v>
      </c>
      <c r="K1430" s="2">
        <f t="shared" si="591"/>
        <v>0.64427692307692308</v>
      </c>
      <c r="L1430" s="2">
        <f t="shared" si="592"/>
        <v>1.6338461538461538E-2</v>
      </c>
      <c r="M1430" s="2">
        <f t="shared" si="593"/>
        <v>5.2000000000000032E-2</v>
      </c>
      <c r="N1430" s="63">
        <v>9340</v>
      </c>
      <c r="O1430" s="63">
        <v>20939</v>
      </c>
      <c r="P1430" s="63">
        <v>531</v>
      </c>
      <c r="Q1430" s="63">
        <v>1000</v>
      </c>
      <c r="R1430" s="63">
        <v>245</v>
      </c>
      <c r="S1430" s="63">
        <v>118</v>
      </c>
      <c r="T1430" s="63">
        <v>9</v>
      </c>
      <c r="U1430" s="63">
        <v>0</v>
      </c>
      <c r="V1430" s="63">
        <v>0</v>
      </c>
      <c r="W1430" s="63">
        <f t="shared" si="587"/>
        <v>214</v>
      </c>
      <c r="X1430" s="63">
        <v>20</v>
      </c>
      <c r="Y1430" s="63">
        <v>1</v>
      </c>
      <c r="Z1430" s="63">
        <v>0</v>
      </c>
      <c r="AA1430" s="63"/>
      <c r="AB1430" s="63"/>
      <c r="AC1430" s="63">
        <v>83</v>
      </c>
      <c r="AD1430" s="63"/>
      <c r="AE1430" s="63">
        <v>0</v>
      </c>
      <c r="AF1430" s="63">
        <v>0</v>
      </c>
      <c r="AG1430" s="63">
        <v>0</v>
      </c>
      <c r="AH1430" s="63"/>
      <c r="AI1430" s="63"/>
      <c r="AJ1430" s="63"/>
      <c r="AK1430" s="63"/>
      <c r="AL1430" s="63"/>
      <c r="AM1430" s="63"/>
      <c r="AN1430" s="63">
        <v>0</v>
      </c>
      <c r="AO1430" s="63"/>
      <c r="AP1430" s="63"/>
      <c r="AQ1430" s="63">
        <v>0</v>
      </c>
      <c r="AR1430" s="63"/>
      <c r="AS1430" s="63"/>
      <c r="AT1430" s="63"/>
      <c r="AU1430" s="63"/>
      <c r="AW1430" s="5">
        <f>IF(Q1430&gt;0,RANK(Q1430,(N1430:P1430,Q1430:AE1430)),0)</f>
        <v>3</v>
      </c>
      <c r="AX1430" s="5">
        <f>IF(R1430&gt;0,RANK(R1430,(N1430:P1430,Q1430:AE1430)),0)</f>
        <v>5</v>
      </c>
      <c r="AY1430" s="5">
        <f>IF(T1430&gt;0,RANK(T1430,(N1430:P1430,Q1430:AE1430)),0)</f>
        <v>10</v>
      </c>
      <c r="AZ1430" s="5">
        <f>IF(S1430&gt;0,RANK(S1430,(N1430:P1430,Q1430:AE1430)),0)</f>
        <v>7</v>
      </c>
      <c r="BA1430" s="2">
        <f t="shared" si="594"/>
        <v>3.0769230769230771E-2</v>
      </c>
      <c r="BB1430" s="2">
        <f t="shared" si="595"/>
        <v>7.5384615384615382E-3</v>
      </c>
      <c r="BC1430" s="2">
        <f t="shared" si="596"/>
        <v>2.7692307692307695E-4</v>
      </c>
      <c r="BD1430" s="2">
        <f t="shared" si="597"/>
        <v>3.6307692307692308E-3</v>
      </c>
      <c r="BF1430" t="s">
        <v>961</v>
      </c>
      <c r="BG1430" t="s">
        <v>2725</v>
      </c>
      <c r="BH1430" s="8">
        <v>7</v>
      </c>
      <c r="BJ1430" s="114">
        <v>27</v>
      </c>
      <c r="BK1430" s="116">
        <v>111</v>
      </c>
      <c r="BL1430" s="120">
        <f t="shared" si="588"/>
        <v>27111</v>
      </c>
      <c r="BN1430" s="5" t="s">
        <v>3154</v>
      </c>
      <c r="CA1430" s="63">
        <v>215</v>
      </c>
    </row>
    <row r="1431" spans="1:79" hidden="1" outlineLevel="1">
      <c r="A1431" t="s">
        <v>1725</v>
      </c>
      <c r="B1431" t="s">
        <v>2725</v>
      </c>
      <c r="C1431" s="1">
        <f t="shared" si="589"/>
        <v>6715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4</v>
      </c>
      <c r="G1431" s="132">
        <f t="shared" si="598"/>
        <v>1853</v>
      </c>
      <c r="H1431" s="137">
        <f t="shared" si="599"/>
        <v>0.27594936708860762</v>
      </c>
      <c r="I1431" s="2"/>
      <c r="J1431" s="2">
        <f t="shared" si="590"/>
        <v>0.3197319434102755</v>
      </c>
      <c r="K1431" s="2">
        <f t="shared" si="591"/>
        <v>0.59568131049888307</v>
      </c>
      <c r="L1431" s="2">
        <f t="shared" si="592"/>
        <v>1.5487714072970961E-2</v>
      </c>
      <c r="M1431" s="2">
        <f t="shared" si="593"/>
        <v>6.9099032017870529E-2</v>
      </c>
      <c r="N1431" s="63">
        <v>2147</v>
      </c>
      <c r="O1431" s="63">
        <v>4000</v>
      </c>
      <c r="P1431" s="63">
        <v>104</v>
      </c>
      <c r="Q1431" s="63">
        <v>315</v>
      </c>
      <c r="R1431" s="63">
        <v>46</v>
      </c>
      <c r="S1431" s="63">
        <v>26</v>
      </c>
      <c r="T1431" s="63">
        <v>3</v>
      </c>
      <c r="U1431" s="63">
        <v>0</v>
      </c>
      <c r="V1431" s="63">
        <v>0</v>
      </c>
      <c r="W1431" s="63">
        <f t="shared" si="587"/>
        <v>40</v>
      </c>
      <c r="X1431" s="63">
        <v>1</v>
      </c>
      <c r="Y1431" s="63">
        <v>0</v>
      </c>
      <c r="Z1431" s="63">
        <v>0</v>
      </c>
      <c r="AA1431" s="63"/>
      <c r="AB1431" s="63"/>
      <c r="AC1431" s="63">
        <v>30</v>
      </c>
      <c r="AD1431" s="63"/>
      <c r="AE1431" s="63">
        <v>0</v>
      </c>
      <c r="AF1431" s="63">
        <v>0</v>
      </c>
      <c r="AG1431" s="63">
        <v>2</v>
      </c>
      <c r="AH1431" s="63"/>
      <c r="AI1431" s="63"/>
      <c r="AJ1431" s="63"/>
      <c r="AK1431" s="63"/>
      <c r="AL1431" s="63"/>
      <c r="AM1431" s="63"/>
      <c r="AN1431" s="63">
        <v>1</v>
      </c>
      <c r="AO1431" s="63"/>
      <c r="AP1431" s="63"/>
      <c r="AQ1431" s="63">
        <v>0</v>
      </c>
      <c r="AR1431" s="63"/>
      <c r="AS1431" s="63"/>
      <c r="AT1431" s="63"/>
      <c r="AU1431" s="63"/>
      <c r="AW1431" s="5">
        <f>IF(Q1431&gt;0,RANK(Q1431,(N1431:P1431,Q1431:AE1431)),0)</f>
        <v>3</v>
      </c>
      <c r="AX1431" s="5">
        <f>IF(R1431&gt;0,RANK(R1431,(N1431:P1431,Q1431:AE1431)),0)</f>
        <v>5</v>
      </c>
      <c r="AY1431" s="5">
        <f>IF(T1431&gt;0,RANK(T1431,(N1431:P1431,Q1431:AE1431)),0)</f>
        <v>9</v>
      </c>
      <c r="AZ1431" s="5">
        <f>IF(S1431&gt;0,RANK(S1431,(N1431:P1431,Q1431:AE1431)),0)</f>
        <v>8</v>
      </c>
      <c r="BA1431" s="2">
        <f t="shared" si="594"/>
        <v>4.6909903201787041E-2</v>
      </c>
      <c r="BB1431" s="2">
        <f t="shared" si="595"/>
        <v>6.8503350707371556E-3</v>
      </c>
      <c r="BC1431" s="2">
        <f t="shared" si="596"/>
        <v>4.4676098287416231E-4</v>
      </c>
      <c r="BD1431" s="2">
        <f t="shared" si="597"/>
        <v>3.8719285182427401E-3</v>
      </c>
      <c r="BF1431" t="s">
        <v>1725</v>
      </c>
      <c r="BG1431" t="s">
        <v>2725</v>
      </c>
      <c r="BH1431" s="8">
        <v>7</v>
      </c>
      <c r="BJ1431" s="114">
        <v>27</v>
      </c>
      <c r="BK1431" s="116">
        <v>113</v>
      </c>
      <c r="BL1431" s="120">
        <f t="shared" si="588"/>
        <v>27113</v>
      </c>
      <c r="BN1431" s="5" t="s">
        <v>3154</v>
      </c>
      <c r="CA1431" s="63">
        <v>43</v>
      </c>
    </row>
    <row r="1432" spans="1:79" hidden="1" outlineLevel="1">
      <c r="A1432" t="s">
        <v>2010</v>
      </c>
      <c r="B1432" t="s">
        <v>2725</v>
      </c>
      <c r="C1432" s="1">
        <f t="shared" si="589"/>
        <v>13811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4</v>
      </c>
      <c r="G1432" s="132">
        <f t="shared" si="598"/>
        <v>3611</v>
      </c>
      <c r="H1432" s="137">
        <f t="shared" si="599"/>
        <v>0.26145825791036131</v>
      </c>
      <c r="I1432" s="2"/>
      <c r="J1432" s="2">
        <f t="shared" si="590"/>
        <v>0.33161972340887697</v>
      </c>
      <c r="K1432" s="2">
        <f t="shared" si="591"/>
        <v>0.59307798131923828</v>
      </c>
      <c r="L1432" s="2">
        <f t="shared" si="592"/>
        <v>1.3901962204040257E-2</v>
      </c>
      <c r="M1432" s="2">
        <f t="shared" si="593"/>
        <v>6.1400333067844551E-2</v>
      </c>
      <c r="N1432" s="63">
        <v>4580</v>
      </c>
      <c r="O1432" s="63">
        <v>8191</v>
      </c>
      <c r="P1432" s="63">
        <v>192</v>
      </c>
      <c r="Q1432" s="63">
        <v>473</v>
      </c>
      <c r="R1432" s="63">
        <v>147</v>
      </c>
      <c r="S1432" s="63">
        <v>52</v>
      </c>
      <c r="T1432" s="63">
        <v>3</v>
      </c>
      <c r="U1432" s="63">
        <v>0</v>
      </c>
      <c r="V1432" s="63">
        <v>0</v>
      </c>
      <c r="W1432" s="63">
        <f t="shared" si="587"/>
        <v>81</v>
      </c>
      <c r="X1432" s="63">
        <v>10</v>
      </c>
      <c r="Y1432" s="63">
        <v>0</v>
      </c>
      <c r="Z1432" s="63">
        <v>0</v>
      </c>
      <c r="AA1432" s="63"/>
      <c r="AB1432" s="63"/>
      <c r="AC1432" s="63">
        <v>81</v>
      </c>
      <c r="AD1432" s="63"/>
      <c r="AE1432" s="63">
        <v>0</v>
      </c>
      <c r="AF1432" s="63">
        <v>0</v>
      </c>
      <c r="AG1432" s="63">
        <v>1</v>
      </c>
      <c r="AH1432" s="63"/>
      <c r="AI1432" s="63"/>
      <c r="AJ1432" s="63"/>
      <c r="AK1432" s="63"/>
      <c r="AL1432" s="63"/>
      <c r="AM1432" s="63"/>
      <c r="AN1432" s="63">
        <v>0</v>
      </c>
      <c r="AO1432" s="63"/>
      <c r="AP1432" s="63"/>
      <c r="AQ1432" s="63">
        <v>0</v>
      </c>
      <c r="AR1432" s="63"/>
      <c r="AS1432" s="63"/>
      <c r="AT1432" s="63"/>
      <c r="AU1432" s="63"/>
      <c r="AW1432" s="5">
        <f>IF(Q1432&gt;0,RANK(Q1432,(N1432:P1432,Q1432:AE1432)),0)</f>
        <v>3</v>
      </c>
      <c r="AX1432" s="5">
        <f>IF(R1432&gt;0,RANK(R1432,(N1432:P1432,Q1432:AE1432)),0)</f>
        <v>5</v>
      </c>
      <c r="AY1432" s="5">
        <f>IF(T1432&gt;0,RANK(T1432,(N1432:P1432,Q1432:AE1432)),0)</f>
        <v>10</v>
      </c>
      <c r="AZ1432" s="5">
        <f>IF(S1432&gt;0,RANK(S1432,(N1432:P1432,Q1432:AE1432)),0)</f>
        <v>8</v>
      </c>
      <c r="BA1432" s="2">
        <f t="shared" si="594"/>
        <v>3.4248063138078343E-2</v>
      </c>
      <c r="BB1432" s="2">
        <f t="shared" si="595"/>
        <v>1.0643689812468323E-2</v>
      </c>
      <c r="BC1432" s="2">
        <f t="shared" si="596"/>
        <v>2.1721815943812902E-4</v>
      </c>
      <c r="BD1432" s="2">
        <f t="shared" si="597"/>
        <v>3.7651147635942364E-3</v>
      </c>
      <c r="BF1432" t="s">
        <v>2010</v>
      </c>
      <c r="BG1432" t="s">
        <v>2725</v>
      </c>
      <c r="BH1432" s="8">
        <v>8</v>
      </c>
      <c r="BJ1432" s="114">
        <v>27</v>
      </c>
      <c r="BK1432" s="116">
        <v>115</v>
      </c>
      <c r="BL1432" s="120">
        <f t="shared" si="588"/>
        <v>27115</v>
      </c>
      <c r="BN1432" s="5" t="s">
        <v>3154</v>
      </c>
      <c r="CA1432" s="63">
        <v>82</v>
      </c>
    </row>
    <row r="1433" spans="1:79" hidden="1" outlineLevel="1">
      <c r="A1433" t="s">
        <v>142</v>
      </c>
      <c r="B1433" t="s">
        <v>2725</v>
      </c>
      <c r="C1433" s="1">
        <f t="shared" si="589"/>
        <v>4808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4</v>
      </c>
      <c r="G1433" s="132">
        <f t="shared" si="598"/>
        <v>2211</v>
      </c>
      <c r="H1433" s="137">
        <f t="shared" si="599"/>
        <v>0.45985856905158068</v>
      </c>
      <c r="I1433" s="2"/>
      <c r="J1433" s="2">
        <f t="shared" si="590"/>
        <v>0.2344009983361065</v>
      </c>
      <c r="K1433" s="2">
        <f t="shared" si="591"/>
        <v>0.69425956738768724</v>
      </c>
      <c r="L1433" s="2">
        <f t="shared" si="592"/>
        <v>2.0590682196339433E-2</v>
      </c>
      <c r="M1433" s="2">
        <f t="shared" si="593"/>
        <v>5.074875207986683E-2</v>
      </c>
      <c r="N1433" s="63">
        <v>1127</v>
      </c>
      <c r="O1433" s="63">
        <v>3338</v>
      </c>
      <c r="P1433" s="63">
        <v>99</v>
      </c>
      <c r="Q1433" s="63">
        <v>131</v>
      </c>
      <c r="R1433" s="63">
        <v>44</v>
      </c>
      <c r="S1433" s="63">
        <v>23</v>
      </c>
      <c r="T1433" s="63">
        <v>1</v>
      </c>
      <c r="U1433" s="63">
        <v>0</v>
      </c>
      <c r="V1433" s="63">
        <v>0</v>
      </c>
      <c r="W1433" s="63">
        <f t="shared" si="587"/>
        <v>29</v>
      </c>
      <c r="X1433" s="63">
        <v>6</v>
      </c>
      <c r="Y1433" s="63">
        <v>0</v>
      </c>
      <c r="Z1433" s="63">
        <v>0</v>
      </c>
      <c r="AA1433" s="63"/>
      <c r="AB1433" s="63"/>
      <c r="AC1433" s="63">
        <v>10</v>
      </c>
      <c r="AD1433" s="63"/>
      <c r="AE1433" s="63">
        <v>0</v>
      </c>
      <c r="AF1433" s="63">
        <v>0</v>
      </c>
      <c r="AG1433" s="63">
        <v>0</v>
      </c>
      <c r="AH1433" s="63"/>
      <c r="AI1433" s="63"/>
      <c r="AJ1433" s="63"/>
      <c r="AK1433" s="63"/>
      <c r="AL1433" s="63"/>
      <c r="AM1433" s="63"/>
      <c r="AN1433" s="63">
        <v>0</v>
      </c>
      <c r="AO1433" s="63"/>
      <c r="AP1433" s="63"/>
      <c r="AQ1433" s="63">
        <v>0</v>
      </c>
      <c r="AR1433" s="63"/>
      <c r="AS1433" s="63"/>
      <c r="AT1433" s="63"/>
      <c r="AU1433" s="63"/>
      <c r="AW1433" s="5">
        <f>IF(Q1433&gt;0,RANK(Q1433,(N1433:P1433,Q1433:AE1433)),0)</f>
        <v>3</v>
      </c>
      <c r="AX1433" s="5">
        <f>IF(R1433&gt;0,RANK(R1433,(N1433:P1433,Q1433:AE1433)),0)</f>
        <v>5</v>
      </c>
      <c r="AY1433" s="5">
        <f>IF(T1433&gt;0,RANK(T1433,(N1433:P1433,Q1433:AE1433)),0)</f>
        <v>10</v>
      </c>
      <c r="AZ1433" s="5">
        <f>IF(S1433&gt;0,RANK(S1433,(N1433:P1433,Q1433:AE1433)),0)</f>
        <v>7</v>
      </c>
      <c r="BA1433" s="2">
        <f t="shared" si="594"/>
        <v>2.7246256239600666E-2</v>
      </c>
      <c r="BB1433" s="2">
        <f t="shared" si="595"/>
        <v>9.1514143094841936E-3</v>
      </c>
      <c r="BC1433" s="2">
        <f t="shared" si="596"/>
        <v>2.0798668885191348E-4</v>
      </c>
      <c r="BD1433" s="2">
        <f t="shared" si="597"/>
        <v>4.7836938435940101E-3</v>
      </c>
      <c r="BF1433" t="s">
        <v>142</v>
      </c>
      <c r="BG1433" t="s">
        <v>2725</v>
      </c>
      <c r="BH1433" s="8">
        <v>7</v>
      </c>
      <c r="BJ1433" s="114">
        <v>27</v>
      </c>
      <c r="BK1433" s="116">
        <v>117</v>
      </c>
      <c r="BL1433" s="120">
        <f t="shared" si="588"/>
        <v>27117</v>
      </c>
      <c r="BN1433" s="5" t="s">
        <v>3154</v>
      </c>
      <c r="CA1433" s="63">
        <v>29</v>
      </c>
    </row>
    <row r="1434" spans="1:79" hidden="1" outlineLevel="1">
      <c r="A1434" t="s">
        <v>879</v>
      </c>
      <c r="B1434" t="s">
        <v>2725</v>
      </c>
      <c r="C1434" s="1">
        <f t="shared" si="589"/>
        <v>14796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4</v>
      </c>
      <c r="G1434" s="132">
        <f t="shared" si="598"/>
        <v>4267</v>
      </c>
      <c r="H1434" s="137">
        <f t="shared" si="599"/>
        <v>0.28838875371722089</v>
      </c>
      <c r="I1434" s="2"/>
      <c r="J1434" s="2">
        <f t="shared" si="590"/>
        <v>0.31846444985131117</v>
      </c>
      <c r="K1434" s="2">
        <f t="shared" si="591"/>
        <v>0.60685320356853201</v>
      </c>
      <c r="L1434" s="2">
        <f t="shared" si="592"/>
        <v>1.5882670992160043E-2</v>
      </c>
      <c r="M1434" s="2">
        <f t="shared" si="593"/>
        <v>5.8799675587996779E-2</v>
      </c>
      <c r="N1434" s="63">
        <v>4712</v>
      </c>
      <c r="O1434" s="63">
        <v>8979</v>
      </c>
      <c r="P1434" s="63">
        <v>235</v>
      </c>
      <c r="Q1434" s="63">
        <v>517</v>
      </c>
      <c r="R1434" s="63">
        <v>124</v>
      </c>
      <c r="S1434" s="63">
        <v>63</v>
      </c>
      <c r="T1434" s="63">
        <v>10</v>
      </c>
      <c r="U1434" s="63">
        <v>0</v>
      </c>
      <c r="V1434" s="63">
        <v>0</v>
      </c>
      <c r="W1434" s="63">
        <f t="shared" si="587"/>
        <v>93</v>
      </c>
      <c r="X1434" s="63">
        <v>9</v>
      </c>
      <c r="Y1434" s="63">
        <v>2</v>
      </c>
      <c r="Z1434" s="63">
        <v>0</v>
      </c>
      <c r="AA1434" s="63"/>
      <c r="AB1434" s="63"/>
      <c r="AC1434" s="63">
        <v>49</v>
      </c>
      <c r="AD1434" s="63"/>
      <c r="AE1434" s="63">
        <v>0</v>
      </c>
      <c r="AF1434" s="63">
        <v>0</v>
      </c>
      <c r="AG1434" s="63">
        <v>0</v>
      </c>
      <c r="AH1434" s="63"/>
      <c r="AI1434" s="63"/>
      <c r="AJ1434" s="63"/>
      <c r="AK1434" s="63"/>
      <c r="AL1434" s="63"/>
      <c r="AM1434" s="63"/>
      <c r="AN1434" s="63">
        <v>3</v>
      </c>
      <c r="AO1434" s="63"/>
      <c r="AP1434" s="63"/>
      <c r="AQ1434" s="63">
        <v>0</v>
      </c>
      <c r="AR1434" s="63"/>
      <c r="AS1434" s="63"/>
      <c r="AT1434" s="63"/>
      <c r="AU1434" s="63"/>
      <c r="AW1434" s="5">
        <f>IF(Q1434&gt;0,RANK(Q1434,(N1434:P1434,Q1434:AE1434)),0)</f>
        <v>3</v>
      </c>
      <c r="AX1434" s="5">
        <f>IF(R1434&gt;0,RANK(R1434,(N1434:P1434,Q1434:AE1434)),0)</f>
        <v>5</v>
      </c>
      <c r="AY1434" s="5">
        <f>IF(T1434&gt;0,RANK(T1434,(N1434:P1434,Q1434:AE1434)),0)</f>
        <v>9</v>
      </c>
      <c r="AZ1434" s="5">
        <f>IF(S1434&gt;0,RANK(S1434,(N1434:P1434,Q1434:AE1434)),0)</f>
        <v>7</v>
      </c>
      <c r="BA1434" s="2">
        <f t="shared" si="594"/>
        <v>3.4941876182752095E-2</v>
      </c>
      <c r="BB1434" s="2">
        <f t="shared" si="595"/>
        <v>8.3806434171397673E-3</v>
      </c>
      <c r="BC1434" s="2">
        <f t="shared" si="596"/>
        <v>6.7585834009191675E-4</v>
      </c>
      <c r="BD1434" s="2">
        <f t="shared" si="597"/>
        <v>4.2579075425790754E-3</v>
      </c>
      <c r="BF1434" t="s">
        <v>879</v>
      </c>
      <c r="BG1434" t="s">
        <v>2725</v>
      </c>
      <c r="BH1434" s="8">
        <v>7</v>
      </c>
      <c r="BJ1434" s="114">
        <v>27</v>
      </c>
      <c r="BK1434" s="116">
        <v>119</v>
      </c>
      <c r="BL1434" s="120">
        <f t="shared" si="588"/>
        <v>27119</v>
      </c>
      <c r="BN1434" s="5" t="s">
        <v>3154</v>
      </c>
      <c r="CA1434" s="63">
        <v>98</v>
      </c>
    </row>
    <row r="1435" spans="1:79" hidden="1" outlineLevel="1">
      <c r="A1435" t="s">
        <v>567</v>
      </c>
      <c r="B1435" t="s">
        <v>2725</v>
      </c>
      <c r="C1435" s="1">
        <f t="shared" si="589"/>
        <v>6319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>IF(P1435&gt;0,RANK(P1435,(N1435:P1435,Q1435:AE1435)),0)</f>
        <v>4</v>
      </c>
      <c r="G1435" s="132">
        <f t="shared" si="598"/>
        <v>1687</v>
      </c>
      <c r="H1435" s="137">
        <f t="shared" si="599"/>
        <v>0.26697262225035606</v>
      </c>
      <c r="I1435" s="2"/>
      <c r="J1435" s="2">
        <f t="shared" si="590"/>
        <v>0.33328058237062824</v>
      </c>
      <c r="K1435" s="2">
        <f t="shared" si="591"/>
        <v>0.6002532046209843</v>
      </c>
      <c r="L1435" s="2">
        <f t="shared" si="592"/>
        <v>1.3926254154138312E-2</v>
      </c>
      <c r="M1435" s="2">
        <f t="shared" si="593"/>
        <v>5.2539958854249197E-2</v>
      </c>
      <c r="N1435" s="63">
        <v>2106</v>
      </c>
      <c r="O1435" s="63">
        <v>3793</v>
      </c>
      <c r="P1435" s="63">
        <v>88</v>
      </c>
      <c r="Q1435" s="63">
        <v>221</v>
      </c>
      <c r="R1435" s="63">
        <v>43</v>
      </c>
      <c r="S1435" s="63">
        <v>13</v>
      </c>
      <c r="T1435" s="63">
        <v>0</v>
      </c>
      <c r="U1435" s="63">
        <v>0</v>
      </c>
      <c r="V1435" s="63">
        <v>0</v>
      </c>
      <c r="W1435" s="63">
        <f t="shared" si="587"/>
        <v>25</v>
      </c>
      <c r="X1435" s="63">
        <v>4</v>
      </c>
      <c r="Y1435" s="63">
        <v>0</v>
      </c>
      <c r="Z1435" s="63">
        <v>0</v>
      </c>
      <c r="AA1435" s="63"/>
      <c r="AB1435" s="63"/>
      <c r="AC1435" s="63">
        <v>26</v>
      </c>
      <c r="AD1435" s="63"/>
      <c r="AE1435" s="63">
        <v>0</v>
      </c>
      <c r="AF1435" s="63">
        <v>0</v>
      </c>
      <c r="AG1435" s="63">
        <v>0</v>
      </c>
      <c r="AH1435" s="63"/>
      <c r="AI1435" s="63"/>
      <c r="AJ1435" s="63"/>
      <c r="AK1435" s="63"/>
      <c r="AL1435" s="63"/>
      <c r="AM1435" s="63"/>
      <c r="AN1435" s="63">
        <v>0</v>
      </c>
      <c r="AO1435" s="63"/>
      <c r="AP1435" s="63"/>
      <c r="AQ1435" s="63">
        <v>0</v>
      </c>
      <c r="AR1435" s="63"/>
      <c r="AS1435" s="63"/>
      <c r="AT1435" s="63"/>
      <c r="AU1435" s="63"/>
      <c r="AW1435" s="5">
        <f>IF(Q1435&gt;0,RANK(Q1435,(N1435:P1435,Q1435:AE1435)),0)</f>
        <v>3</v>
      </c>
      <c r="AX1435" s="5">
        <f>IF(R1435&gt;0,RANK(R1435,(N1435:P1435,Q1435:AE1435)),0)</f>
        <v>5</v>
      </c>
      <c r="AY1435" s="5">
        <f>IF(T1435&gt;0,RANK(T1435,(N1435:P1435,Q1435:AE1435)),0)</f>
        <v>0</v>
      </c>
      <c r="AZ1435" s="5">
        <f>IF(S1435&gt;0,RANK(S1435,(N1435:P1435,Q1435:AE1435)),0)</f>
        <v>8</v>
      </c>
      <c r="BA1435" s="2">
        <f t="shared" si="594"/>
        <v>3.4973888273460992E-2</v>
      </c>
      <c r="BB1435" s="2">
        <f t="shared" si="595"/>
        <v>6.8048741889539487E-3</v>
      </c>
      <c r="BC1435" s="2">
        <f t="shared" si="596"/>
        <v>0</v>
      </c>
      <c r="BD1435" s="2">
        <f t="shared" si="597"/>
        <v>2.0572875454977053E-3</v>
      </c>
      <c r="BF1435" t="s">
        <v>567</v>
      </c>
      <c r="BG1435" t="s">
        <v>2725</v>
      </c>
      <c r="BH1435" s="8">
        <v>7</v>
      </c>
      <c r="BJ1435" s="114">
        <v>27</v>
      </c>
      <c r="BK1435" s="116">
        <v>121</v>
      </c>
      <c r="BL1435" s="120">
        <f t="shared" si="588"/>
        <v>27121</v>
      </c>
      <c r="BN1435" s="5" t="s">
        <v>3154</v>
      </c>
      <c r="CA1435" s="63">
        <v>25</v>
      </c>
    </row>
    <row r="1436" spans="1:79" hidden="1" outlineLevel="1">
      <c r="A1436" t="s">
        <v>235</v>
      </c>
      <c r="B1436" t="s">
        <v>2725</v>
      </c>
      <c r="C1436" s="1">
        <f t="shared" si="589"/>
        <v>273143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>IF(P1436&gt;0,RANK(P1436,(N1436:P1436,Q1436:AE1436)),0)</f>
        <v>4</v>
      </c>
      <c r="G1436" s="132">
        <f t="shared" si="598"/>
        <v>106844</v>
      </c>
      <c r="H1436" s="137">
        <f t="shared" si="599"/>
        <v>0.39116506738228696</v>
      </c>
      <c r="I1436" s="2"/>
      <c r="J1436" s="2">
        <f t="shared" si="590"/>
        <v>0.65071409481480391</v>
      </c>
      <c r="K1436" s="2">
        <f t="shared" si="591"/>
        <v>0.25954902743251701</v>
      </c>
      <c r="L1436" s="2">
        <f t="shared" si="592"/>
        <v>1.8305429756574395E-2</v>
      </c>
      <c r="M1436" s="2">
        <f t="shared" si="593"/>
        <v>7.143144799610468E-2</v>
      </c>
      <c r="N1436" s="63">
        <v>177738</v>
      </c>
      <c r="O1436" s="63">
        <v>70894</v>
      </c>
      <c r="P1436" s="63">
        <v>5000</v>
      </c>
      <c r="Q1436" s="63">
        <v>9626</v>
      </c>
      <c r="R1436" s="63">
        <v>4560</v>
      </c>
      <c r="S1436" s="63">
        <v>740</v>
      </c>
      <c r="T1436" s="63">
        <v>125</v>
      </c>
      <c r="U1436" s="63">
        <v>1</v>
      </c>
      <c r="V1436" s="63">
        <v>2</v>
      </c>
      <c r="W1436" s="63">
        <f t="shared" si="587"/>
        <v>2938</v>
      </c>
      <c r="X1436" s="63">
        <v>209</v>
      </c>
      <c r="Y1436" s="63">
        <v>0</v>
      </c>
      <c r="Z1436" s="63">
        <v>0</v>
      </c>
      <c r="AA1436" s="63"/>
      <c r="AB1436" s="63"/>
      <c r="AC1436" s="63">
        <v>1238</v>
      </c>
      <c r="AD1436" s="63"/>
      <c r="AE1436" s="63">
        <v>4</v>
      </c>
      <c r="AF1436" s="63">
        <v>1</v>
      </c>
      <c r="AG1436" s="63">
        <v>1</v>
      </c>
      <c r="AH1436" s="63"/>
      <c r="AI1436" s="63"/>
      <c r="AJ1436" s="63"/>
      <c r="AK1436" s="63"/>
      <c r="AL1436" s="63"/>
      <c r="AM1436" s="63"/>
      <c r="AN1436" s="63">
        <v>65</v>
      </c>
      <c r="AO1436" s="63"/>
      <c r="AP1436" s="63"/>
      <c r="AQ1436" s="63">
        <v>1</v>
      </c>
      <c r="AR1436" s="63"/>
      <c r="AS1436" s="63"/>
      <c r="AT1436" s="63"/>
      <c r="AU1436" s="63"/>
      <c r="AW1436" s="5">
        <f>IF(Q1436&gt;0,RANK(Q1436,(N1436:P1436,Q1436:AE1436)),0)</f>
        <v>3</v>
      </c>
      <c r="AX1436" s="5">
        <f>IF(R1436&gt;0,RANK(R1436,(N1436:P1436,Q1436:AE1436)),0)</f>
        <v>5</v>
      </c>
      <c r="AY1436" s="5">
        <f>IF(T1436&gt;0,RANK(T1436,(N1436:P1436,Q1436:AE1436)),0)</f>
        <v>10</v>
      </c>
      <c r="AZ1436" s="5">
        <f>IF(S1436&gt;0,RANK(S1436,(N1436:P1436,Q1436:AE1436)),0)</f>
        <v>8</v>
      </c>
      <c r="BA1436" s="2">
        <f t="shared" si="594"/>
        <v>3.5241613367357025E-2</v>
      </c>
      <c r="BB1436" s="2">
        <f t="shared" si="595"/>
        <v>1.669455193799585E-2</v>
      </c>
      <c r="BC1436" s="2">
        <f t="shared" si="596"/>
        <v>4.5763574391435987E-4</v>
      </c>
      <c r="BD1436" s="2">
        <f t="shared" si="597"/>
        <v>2.7092036039730104E-3</v>
      </c>
      <c r="BF1436" t="s">
        <v>235</v>
      </c>
      <c r="BG1436" t="s">
        <v>2725</v>
      </c>
      <c r="BH1436" s="8"/>
      <c r="BJ1436" s="114">
        <v>27</v>
      </c>
      <c r="BK1436" s="116">
        <v>123</v>
      </c>
      <c r="BL1436" s="120">
        <f t="shared" si="588"/>
        <v>27123</v>
      </c>
      <c r="BN1436" s="5" t="s">
        <v>3154</v>
      </c>
      <c r="CA1436" s="63">
        <v>3013</v>
      </c>
    </row>
    <row r="1437" spans="1:79" hidden="1" outlineLevel="1">
      <c r="A1437" t="s">
        <v>2342</v>
      </c>
      <c r="B1437" t="s">
        <v>2725</v>
      </c>
      <c r="C1437" s="1">
        <f t="shared" si="589"/>
        <v>1881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4</v>
      </c>
      <c r="G1437" s="132">
        <f t="shared" si="598"/>
        <v>601</v>
      </c>
      <c r="H1437" s="137">
        <f t="shared" si="599"/>
        <v>0.31951089845826686</v>
      </c>
      <c r="I1437" s="2"/>
      <c r="J1437" s="2">
        <f t="shared" si="590"/>
        <v>0.28708133971291866</v>
      </c>
      <c r="K1437" s="2">
        <f t="shared" si="591"/>
        <v>0.60659223817118557</v>
      </c>
      <c r="L1437" s="2">
        <f t="shared" si="592"/>
        <v>2.3923444976076555E-2</v>
      </c>
      <c r="M1437" s="2">
        <f t="shared" si="593"/>
        <v>8.240297713981927E-2</v>
      </c>
      <c r="N1437" s="63">
        <v>540</v>
      </c>
      <c r="O1437" s="63">
        <v>1141</v>
      </c>
      <c r="P1437" s="63">
        <v>45</v>
      </c>
      <c r="Q1437" s="63">
        <v>100</v>
      </c>
      <c r="R1437" s="63">
        <v>23</v>
      </c>
      <c r="S1437" s="63">
        <v>10</v>
      </c>
      <c r="T1437" s="63">
        <v>2</v>
      </c>
      <c r="U1437" s="63">
        <v>0</v>
      </c>
      <c r="V1437" s="63">
        <v>0</v>
      </c>
      <c r="W1437" s="63">
        <f t="shared" si="587"/>
        <v>10</v>
      </c>
      <c r="X1437" s="63">
        <v>0</v>
      </c>
      <c r="Y1437" s="63">
        <v>0</v>
      </c>
      <c r="Z1437" s="63">
        <v>0</v>
      </c>
      <c r="AA1437" s="63"/>
      <c r="AB1437" s="63"/>
      <c r="AC1437" s="63">
        <v>10</v>
      </c>
      <c r="AD1437" s="63"/>
      <c r="AE1437" s="63">
        <v>0</v>
      </c>
      <c r="AF1437" s="63">
        <v>0</v>
      </c>
      <c r="AG1437" s="63">
        <v>0</v>
      </c>
      <c r="AH1437" s="63"/>
      <c r="AI1437" s="63"/>
      <c r="AJ1437" s="63"/>
      <c r="AK1437" s="63"/>
      <c r="AL1437" s="63"/>
      <c r="AM1437" s="63"/>
      <c r="AN1437" s="63">
        <v>0</v>
      </c>
      <c r="AO1437" s="63"/>
      <c r="AP1437" s="63"/>
      <c r="AQ1437" s="63">
        <v>0</v>
      </c>
      <c r="AR1437" s="63"/>
      <c r="AS1437" s="63"/>
      <c r="AT1437" s="63"/>
      <c r="AU1437" s="63"/>
      <c r="AW1437" s="5">
        <f>IF(Q1437&gt;0,RANK(Q1437,(N1437:P1437,Q1437:AE1437)),0)</f>
        <v>3</v>
      </c>
      <c r="AX1437" s="5">
        <f>IF(R1437&gt;0,RANK(R1437,(N1437:P1437,Q1437:AE1437)),0)</f>
        <v>5</v>
      </c>
      <c r="AY1437" s="5">
        <f>IF(T1437&gt;0,RANK(T1437,(N1437:P1437,Q1437:AE1437)),0)</f>
        <v>9</v>
      </c>
      <c r="AZ1437" s="5">
        <f>IF(S1437&gt;0,RANK(S1437,(N1437:P1437,Q1437:AE1437)),0)</f>
        <v>6</v>
      </c>
      <c r="BA1437" s="2">
        <f t="shared" si="594"/>
        <v>5.3163211057947898E-2</v>
      </c>
      <c r="BB1437" s="2">
        <f t="shared" si="595"/>
        <v>1.2227538543328018E-2</v>
      </c>
      <c r="BC1437" s="2">
        <f t="shared" si="596"/>
        <v>1.0632642211589581E-3</v>
      </c>
      <c r="BD1437" s="2">
        <f t="shared" si="597"/>
        <v>5.3163211057947902E-3</v>
      </c>
      <c r="BF1437" t="s">
        <v>2342</v>
      </c>
      <c r="BG1437" t="s">
        <v>2725</v>
      </c>
      <c r="BH1437" s="8">
        <v>7</v>
      </c>
      <c r="BJ1437" s="114">
        <v>27</v>
      </c>
      <c r="BK1437" s="116">
        <v>125</v>
      </c>
      <c r="BL1437" s="120">
        <f t="shared" si="588"/>
        <v>27125</v>
      </c>
      <c r="BN1437" s="5" t="s">
        <v>3154</v>
      </c>
      <c r="CA1437" s="63">
        <v>10</v>
      </c>
    </row>
    <row r="1438" spans="1:79" hidden="1" outlineLevel="1">
      <c r="A1438" t="s">
        <v>2771</v>
      </c>
      <c r="B1438" t="s">
        <v>2725</v>
      </c>
      <c r="C1438" s="1">
        <f t="shared" si="589"/>
        <v>7611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4</v>
      </c>
      <c r="G1438" s="132">
        <f t="shared" si="598"/>
        <v>3250</v>
      </c>
      <c r="H1438" s="137">
        <f t="shared" si="599"/>
        <v>0.42701353304427803</v>
      </c>
      <c r="I1438" s="2"/>
      <c r="J1438" s="2">
        <f t="shared" si="590"/>
        <v>0.24793062672447774</v>
      </c>
      <c r="K1438" s="2">
        <f t="shared" si="591"/>
        <v>0.67494415976875577</v>
      </c>
      <c r="L1438" s="2">
        <f t="shared" si="592"/>
        <v>1.9314150571541192E-2</v>
      </c>
      <c r="M1438" s="2">
        <f t="shared" si="593"/>
        <v>5.7811062935225296E-2</v>
      </c>
      <c r="N1438" s="63">
        <v>1887</v>
      </c>
      <c r="O1438" s="63">
        <v>5137</v>
      </c>
      <c r="P1438" s="63">
        <v>147</v>
      </c>
      <c r="Q1438" s="63">
        <v>242</v>
      </c>
      <c r="R1438" s="63">
        <v>77</v>
      </c>
      <c r="S1438" s="63">
        <v>48</v>
      </c>
      <c r="T1438" s="63">
        <v>2</v>
      </c>
      <c r="U1438" s="63">
        <v>0</v>
      </c>
      <c r="V1438" s="63">
        <v>0</v>
      </c>
      <c r="W1438" s="63">
        <f t="shared" si="587"/>
        <v>45</v>
      </c>
      <c r="X1438" s="63">
        <v>4</v>
      </c>
      <c r="Y1438" s="63">
        <v>0</v>
      </c>
      <c r="Z1438" s="63">
        <v>0</v>
      </c>
      <c r="AA1438" s="63"/>
      <c r="AB1438" s="63"/>
      <c r="AC1438" s="63">
        <v>22</v>
      </c>
      <c r="AD1438" s="63"/>
      <c r="AE1438" s="63">
        <v>0</v>
      </c>
      <c r="AF1438" s="63">
        <v>0</v>
      </c>
      <c r="AG1438" s="63">
        <v>0</v>
      </c>
      <c r="AH1438" s="63"/>
      <c r="AI1438" s="63"/>
      <c r="AJ1438" s="63"/>
      <c r="AK1438" s="63"/>
      <c r="AL1438" s="63"/>
      <c r="AM1438" s="63"/>
      <c r="AN1438" s="63">
        <v>0</v>
      </c>
      <c r="AO1438" s="63"/>
      <c r="AP1438" s="63"/>
      <c r="AQ1438" s="63">
        <v>0</v>
      </c>
      <c r="AR1438" s="63"/>
      <c r="AS1438" s="63"/>
      <c r="AT1438" s="63"/>
      <c r="AU1438" s="63"/>
      <c r="AW1438" s="5">
        <f>IF(Q1438&gt;0,RANK(Q1438,(N1438:P1438,Q1438:AE1438)),0)</f>
        <v>3</v>
      </c>
      <c r="AX1438" s="5">
        <f>IF(R1438&gt;0,RANK(R1438,(N1438:P1438,Q1438:AE1438)),0)</f>
        <v>5</v>
      </c>
      <c r="AY1438" s="5">
        <f>IF(T1438&gt;0,RANK(T1438,(N1438:P1438,Q1438:AE1438)),0)</f>
        <v>10</v>
      </c>
      <c r="AZ1438" s="5">
        <f>IF(S1438&gt;0,RANK(S1438,(N1438:P1438,Q1438:AE1438)),0)</f>
        <v>6</v>
      </c>
      <c r="BA1438" s="2">
        <f t="shared" si="594"/>
        <v>3.1796084614373936E-2</v>
      </c>
      <c r="BB1438" s="2">
        <f t="shared" si="595"/>
        <v>1.0116936013664432E-2</v>
      </c>
      <c r="BC1438" s="2">
        <f t="shared" si="596"/>
        <v>2.6277755879647877E-4</v>
      </c>
      <c r="BD1438" s="2">
        <f t="shared" si="597"/>
        <v>6.3066614111154905E-3</v>
      </c>
      <c r="BF1438" t="s">
        <v>2771</v>
      </c>
      <c r="BG1438" t="s">
        <v>2725</v>
      </c>
      <c r="BH1438" s="8">
        <v>7</v>
      </c>
      <c r="BJ1438" s="114">
        <v>27</v>
      </c>
      <c r="BK1438" s="116">
        <v>127</v>
      </c>
      <c r="BL1438" s="120">
        <f t="shared" si="588"/>
        <v>27127</v>
      </c>
      <c r="BN1438" s="5" t="s">
        <v>3154</v>
      </c>
      <c r="CA1438" s="63">
        <v>45</v>
      </c>
    </row>
    <row r="1439" spans="1:79" hidden="1" outlineLevel="1">
      <c r="A1439" t="s">
        <v>2610</v>
      </c>
      <c r="B1439" t="s">
        <v>2725</v>
      </c>
      <c r="C1439" s="1">
        <f t="shared" ref="C1439:C1462" si="600">SUM(N1439:AU1439)</f>
        <v>7606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4</v>
      </c>
      <c r="G1439" s="132">
        <f t="shared" si="598"/>
        <v>2773</v>
      </c>
      <c r="H1439" s="137">
        <f t="shared" si="599"/>
        <v>0.36458059426768341</v>
      </c>
      <c r="I1439" s="2"/>
      <c r="J1439" s="2">
        <f t="shared" ref="J1439:J1462" si="601">IF($C1439=0,"-",N1439/$C1439)</f>
        <v>0.27833289508282932</v>
      </c>
      <c r="K1439" s="2">
        <f t="shared" ref="K1439:K1462" si="602">IF($C1439=0,"-",O1439/$C1439)</f>
        <v>0.64291348935051273</v>
      </c>
      <c r="L1439" s="2">
        <f t="shared" ref="L1439:L1462" si="603">IF($C1439=0,"-",P1439/$C1439)</f>
        <v>1.9458322377070732E-2</v>
      </c>
      <c r="M1439" s="2">
        <f t="shared" ref="M1439:M1462" si="604">IF(C1439=0,"-",(1-J1439-K1439-L1439))</f>
        <v>5.9295293189587206E-2</v>
      </c>
      <c r="N1439" s="63">
        <v>2117</v>
      </c>
      <c r="O1439" s="63">
        <v>4890</v>
      </c>
      <c r="P1439" s="63">
        <v>148</v>
      </c>
      <c r="Q1439" s="63">
        <v>244</v>
      </c>
      <c r="R1439" s="63">
        <v>66</v>
      </c>
      <c r="S1439" s="63">
        <v>52</v>
      </c>
      <c r="T1439" s="63">
        <v>10</v>
      </c>
      <c r="U1439" s="63">
        <v>0</v>
      </c>
      <c r="V1439" s="63">
        <v>0</v>
      </c>
      <c r="W1439" s="63">
        <f t="shared" si="587"/>
        <v>43</v>
      </c>
      <c r="X1439" s="63">
        <v>4</v>
      </c>
      <c r="Y1439" s="63">
        <v>0</v>
      </c>
      <c r="Z1439" s="63">
        <v>0</v>
      </c>
      <c r="AA1439" s="63"/>
      <c r="AB1439" s="63"/>
      <c r="AC1439" s="63">
        <v>32</v>
      </c>
      <c r="AD1439" s="63"/>
      <c r="AE1439" s="63">
        <v>0</v>
      </c>
      <c r="AF1439" s="63">
        <v>0</v>
      </c>
      <c r="AG1439" s="63">
        <v>0</v>
      </c>
      <c r="AH1439" s="63"/>
      <c r="AI1439" s="63"/>
      <c r="AJ1439" s="63"/>
      <c r="AK1439" s="63"/>
      <c r="AL1439" s="63"/>
      <c r="AM1439" s="63"/>
      <c r="AN1439" s="63">
        <v>0</v>
      </c>
      <c r="AO1439" s="63"/>
      <c r="AP1439" s="63"/>
      <c r="AQ1439" s="63">
        <v>0</v>
      </c>
      <c r="AR1439" s="63"/>
      <c r="AS1439" s="63"/>
      <c r="AT1439" s="63"/>
      <c r="AU1439" s="63"/>
      <c r="AW1439" s="5">
        <f>IF(Q1439&gt;0,RANK(Q1439,(N1439:P1439,Q1439:AE1439)),0)</f>
        <v>3</v>
      </c>
      <c r="AX1439" s="5">
        <f>IF(R1439&gt;0,RANK(R1439,(N1439:P1439,Q1439:AE1439)),0)</f>
        <v>5</v>
      </c>
      <c r="AY1439" s="5">
        <f>IF(T1439&gt;0,RANK(T1439,(N1439:P1439,Q1439:AE1439)),0)</f>
        <v>9</v>
      </c>
      <c r="AZ1439" s="5">
        <f>IF(S1439&gt;0,RANK(S1439,(N1439:P1439,Q1439:AE1439)),0)</f>
        <v>6</v>
      </c>
      <c r="BA1439" s="2">
        <f t="shared" ref="BA1439:BA1462" si="605">IF($C1439=0,"-",Q1439/$C1439)</f>
        <v>3.2079936891927424E-2</v>
      </c>
      <c r="BB1439" s="2">
        <f t="shared" ref="BB1439:BB1462" si="606">IF($C1439=0,"-",R1439/$C1439)</f>
        <v>8.6773599789639767E-3</v>
      </c>
      <c r="BC1439" s="2">
        <f t="shared" ref="BC1439:BC1462" si="607">IF($C1439=0,"-",T1439/$C1439)</f>
        <v>1.3147515119642387E-3</v>
      </c>
      <c r="BD1439" s="2">
        <f t="shared" ref="BD1439:BD1462" si="608">IF($C1439=0,"-",S1439/$C1439)</f>
        <v>6.8367078622140415E-3</v>
      </c>
      <c r="BF1439" t="s">
        <v>2610</v>
      </c>
      <c r="BG1439" t="s">
        <v>2725</v>
      </c>
      <c r="BH1439" s="8">
        <v>7</v>
      </c>
      <c r="BJ1439" s="114">
        <v>27</v>
      </c>
      <c r="BK1439" s="116">
        <v>129</v>
      </c>
      <c r="BL1439" s="120">
        <f t="shared" si="588"/>
        <v>27129</v>
      </c>
      <c r="BN1439" s="5" t="s">
        <v>3154</v>
      </c>
      <c r="CA1439" s="63">
        <v>43</v>
      </c>
    </row>
    <row r="1440" spans="1:79" hidden="1" outlineLevel="1">
      <c r="A1440" t="s">
        <v>412</v>
      </c>
      <c r="B1440" t="s">
        <v>2725</v>
      </c>
      <c r="C1440" s="1">
        <f t="shared" si="600"/>
        <v>32443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>IF(P1440&gt;0,RANK(P1440,(N1440:P1440,Q1440:AE1440)),0)</f>
        <v>4</v>
      </c>
      <c r="G1440" s="132">
        <f t="shared" si="598"/>
        <v>992</v>
      </c>
      <c r="H1440" s="137">
        <f t="shared" si="599"/>
        <v>3.0576703757359061E-2</v>
      </c>
      <c r="I1440" s="2"/>
      <c r="J1440" s="2">
        <f t="shared" si="601"/>
        <v>0.44499583885583949</v>
      </c>
      <c r="K1440" s="2">
        <f t="shared" si="602"/>
        <v>0.47557254261319853</v>
      </c>
      <c r="L1440" s="2">
        <f t="shared" si="603"/>
        <v>1.5349998458835496E-2</v>
      </c>
      <c r="M1440" s="2">
        <f t="shared" si="604"/>
        <v>6.4081620072126477E-2</v>
      </c>
      <c r="N1440" s="63">
        <v>14437</v>
      </c>
      <c r="O1440" s="63">
        <v>15429</v>
      </c>
      <c r="P1440" s="63">
        <v>498</v>
      </c>
      <c r="Q1440" s="63">
        <v>1230</v>
      </c>
      <c r="R1440" s="63">
        <v>386</v>
      </c>
      <c r="S1440" s="63">
        <v>108</v>
      </c>
      <c r="T1440" s="63">
        <v>24</v>
      </c>
      <c r="U1440" s="63">
        <v>0</v>
      </c>
      <c r="V1440" s="63">
        <v>1</v>
      </c>
      <c r="W1440" s="63">
        <f t="shared" ref="W1440:W1461" si="609">CA1440-SUM(U1440:V1440)-SUM(Y1440:AB1440)-SUM(AD1440:AQ1440)</f>
        <v>224</v>
      </c>
      <c r="X1440" s="63">
        <v>12</v>
      </c>
      <c r="Y1440" s="63">
        <v>0</v>
      </c>
      <c r="Z1440" s="63">
        <v>0</v>
      </c>
      <c r="AA1440" s="63"/>
      <c r="AB1440" s="63"/>
      <c r="AC1440" s="63">
        <v>93</v>
      </c>
      <c r="AD1440" s="63"/>
      <c r="AE1440" s="63">
        <v>0</v>
      </c>
      <c r="AF1440" s="63">
        <v>1</v>
      </c>
      <c r="AG1440" s="63">
        <v>0</v>
      </c>
      <c r="AH1440" s="63"/>
      <c r="AI1440" s="63"/>
      <c r="AJ1440" s="63"/>
      <c r="AK1440" s="63"/>
      <c r="AL1440" s="63"/>
      <c r="AM1440" s="63"/>
      <c r="AN1440" s="63">
        <v>0</v>
      </c>
      <c r="AO1440" s="63"/>
      <c r="AP1440" s="63"/>
      <c r="AQ1440" s="63">
        <v>0</v>
      </c>
      <c r="AR1440" s="63"/>
      <c r="AS1440" s="63"/>
      <c r="AT1440" s="63"/>
      <c r="AU1440" s="63"/>
      <c r="AW1440" s="5">
        <f>IF(Q1440&gt;0,RANK(Q1440,(N1440:P1440,Q1440:AE1440)),0)</f>
        <v>3</v>
      </c>
      <c r="AX1440" s="5">
        <f>IF(R1440&gt;0,RANK(R1440,(N1440:P1440,Q1440:AE1440)),0)</f>
        <v>5</v>
      </c>
      <c r="AY1440" s="5">
        <f>IF(T1440&gt;0,RANK(T1440,(N1440:P1440,Q1440:AE1440)),0)</f>
        <v>9</v>
      </c>
      <c r="AZ1440" s="5">
        <f>IF(S1440&gt;0,RANK(S1440,(N1440:P1440,Q1440:AE1440)),0)</f>
        <v>7</v>
      </c>
      <c r="BA1440" s="2">
        <f t="shared" si="605"/>
        <v>3.7912646795918999E-2</v>
      </c>
      <c r="BB1440" s="2">
        <f t="shared" si="606"/>
        <v>1.1897789970101408E-2</v>
      </c>
      <c r="BC1440" s="2">
        <f t="shared" si="607"/>
        <v>7.3975896187159016E-4</v>
      </c>
      <c r="BD1440" s="2">
        <f t="shared" si="608"/>
        <v>3.3289153284221558E-3</v>
      </c>
      <c r="BF1440" t="s">
        <v>412</v>
      </c>
      <c r="BG1440" t="s">
        <v>2725</v>
      </c>
      <c r="BH1440" s="8"/>
      <c r="BJ1440" s="114">
        <v>27</v>
      </c>
      <c r="BK1440" s="116">
        <v>131</v>
      </c>
      <c r="BL1440" s="120">
        <f t="shared" si="588"/>
        <v>27131</v>
      </c>
      <c r="BN1440" s="5" t="s">
        <v>3154</v>
      </c>
      <c r="CA1440" s="63">
        <v>226</v>
      </c>
    </row>
    <row r="1441" spans="1:79" hidden="1" outlineLevel="1">
      <c r="A1441" t="s">
        <v>1503</v>
      </c>
      <c r="B1441" t="s">
        <v>2725</v>
      </c>
      <c r="C1441" s="1">
        <f t="shared" si="600"/>
        <v>4839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4</v>
      </c>
      <c r="G1441" s="132">
        <f t="shared" si="598"/>
        <v>1718</v>
      </c>
      <c r="H1441" s="137">
        <f t="shared" si="599"/>
        <v>0.35503203141144862</v>
      </c>
      <c r="I1441" s="2"/>
      <c r="J1441" s="2">
        <f t="shared" si="601"/>
        <v>0.28373630915478404</v>
      </c>
      <c r="K1441" s="2">
        <f t="shared" si="602"/>
        <v>0.63876834056623266</v>
      </c>
      <c r="L1441" s="2">
        <f t="shared" si="603"/>
        <v>2.0045463938830336E-2</v>
      </c>
      <c r="M1441" s="2">
        <f t="shared" si="604"/>
        <v>5.7449886340153022E-2</v>
      </c>
      <c r="N1441" s="63">
        <v>1373</v>
      </c>
      <c r="O1441" s="63">
        <v>3091</v>
      </c>
      <c r="P1441" s="63">
        <v>97</v>
      </c>
      <c r="Q1441" s="63">
        <v>155</v>
      </c>
      <c r="R1441" s="63">
        <v>40</v>
      </c>
      <c r="S1441" s="63">
        <v>32</v>
      </c>
      <c r="T1441" s="63">
        <v>1</v>
      </c>
      <c r="U1441" s="63">
        <v>0</v>
      </c>
      <c r="V1441" s="63">
        <v>0</v>
      </c>
      <c r="W1441" s="63">
        <f t="shared" si="609"/>
        <v>30</v>
      </c>
      <c r="X1441" s="63">
        <v>2</v>
      </c>
      <c r="Y1441" s="63">
        <v>2</v>
      </c>
      <c r="Z1441" s="63">
        <v>0</v>
      </c>
      <c r="AA1441" s="63"/>
      <c r="AB1441" s="63"/>
      <c r="AC1441" s="63">
        <v>16</v>
      </c>
      <c r="AD1441" s="63"/>
      <c r="AE1441" s="63">
        <v>0</v>
      </c>
      <c r="AF1441" s="63">
        <v>0</v>
      </c>
      <c r="AG1441" s="63">
        <v>0</v>
      </c>
      <c r="AH1441" s="63"/>
      <c r="AI1441" s="63"/>
      <c r="AJ1441" s="63"/>
      <c r="AK1441" s="63"/>
      <c r="AL1441" s="63"/>
      <c r="AM1441" s="63"/>
      <c r="AN1441" s="63">
        <v>0</v>
      </c>
      <c r="AO1441" s="63"/>
      <c r="AP1441" s="63"/>
      <c r="AQ1441" s="63">
        <v>0</v>
      </c>
      <c r="AR1441" s="63"/>
      <c r="AS1441" s="63"/>
      <c r="AT1441" s="63"/>
      <c r="AU1441" s="63"/>
      <c r="AW1441" s="5">
        <f>IF(Q1441&gt;0,RANK(Q1441,(N1441:P1441,Q1441:AE1441)),0)</f>
        <v>3</v>
      </c>
      <c r="AX1441" s="5">
        <f>IF(R1441&gt;0,RANK(R1441,(N1441:P1441,Q1441:AE1441)),0)</f>
        <v>5</v>
      </c>
      <c r="AY1441" s="5">
        <f>IF(T1441&gt;0,RANK(T1441,(N1441:P1441,Q1441:AE1441)),0)</f>
        <v>11</v>
      </c>
      <c r="AZ1441" s="5">
        <f>IF(S1441&gt;0,RANK(S1441,(N1441:P1441,Q1441:AE1441)),0)</f>
        <v>6</v>
      </c>
      <c r="BA1441" s="2">
        <f t="shared" si="605"/>
        <v>3.2031411448646414E-2</v>
      </c>
      <c r="BB1441" s="2">
        <f t="shared" si="606"/>
        <v>8.2661706964248811E-3</v>
      </c>
      <c r="BC1441" s="2">
        <f t="shared" si="607"/>
        <v>2.0665426741062204E-4</v>
      </c>
      <c r="BD1441" s="2">
        <f t="shared" si="608"/>
        <v>6.6129365571399052E-3</v>
      </c>
      <c r="BF1441" t="s">
        <v>1503</v>
      </c>
      <c r="BG1441" t="s">
        <v>2725</v>
      </c>
      <c r="BH1441" s="8">
        <v>1</v>
      </c>
      <c r="BJ1441" s="114">
        <v>27</v>
      </c>
      <c r="BK1441" s="116">
        <v>133</v>
      </c>
      <c r="BL1441" s="120">
        <f t="shared" si="588"/>
        <v>27133</v>
      </c>
      <c r="BN1441" s="5" t="s">
        <v>3154</v>
      </c>
      <c r="CA1441" s="63">
        <v>32</v>
      </c>
    </row>
    <row r="1442" spans="1:79" hidden="1" outlineLevel="1">
      <c r="A1442" t="s">
        <v>1755</v>
      </c>
      <c r="B1442" t="s">
        <v>2725</v>
      </c>
      <c r="C1442" s="1">
        <f t="shared" si="600"/>
        <v>7804</v>
      </c>
      <c r="D1442" s="5">
        <f>IF(N1442&gt;0, RANK(N1442,(N1442:P1442,Q1442:AE1442)),0)</f>
        <v>2</v>
      </c>
      <c r="E1442" s="5">
        <f>IF(O1442&gt;0,RANK(O1442,(N1442:P1442,Q1442:AE1442)),0)</f>
        <v>1</v>
      </c>
      <c r="F1442" s="5">
        <f>IF(P1442&gt;0,RANK(P1442,(N1442:P1442,Q1442:AE1442)),0)</f>
        <v>4</v>
      </c>
      <c r="G1442" s="132">
        <f t="shared" si="598"/>
        <v>3595</v>
      </c>
      <c r="H1442" s="137">
        <f t="shared" si="599"/>
        <v>0.46066119938493083</v>
      </c>
      <c r="I1442" s="2"/>
      <c r="J1442" s="2">
        <f t="shared" si="601"/>
        <v>0.23782675550999488</v>
      </c>
      <c r="K1442" s="2">
        <f t="shared" si="602"/>
        <v>0.69848795489492566</v>
      </c>
      <c r="L1442" s="2">
        <f t="shared" si="603"/>
        <v>1.6145566376217325E-2</v>
      </c>
      <c r="M1442" s="2">
        <f t="shared" si="604"/>
        <v>4.7539723218862143E-2</v>
      </c>
      <c r="N1442" s="63">
        <v>1856</v>
      </c>
      <c r="O1442" s="63">
        <v>5451</v>
      </c>
      <c r="P1442" s="63">
        <v>126</v>
      </c>
      <c r="Q1442" s="63">
        <v>220</v>
      </c>
      <c r="R1442" s="63">
        <v>42</v>
      </c>
      <c r="S1442" s="63">
        <v>38</v>
      </c>
      <c r="T1442" s="63">
        <v>1</v>
      </c>
      <c r="U1442" s="63">
        <v>0</v>
      </c>
      <c r="V1442" s="63">
        <v>0</v>
      </c>
      <c r="W1442" s="63">
        <f t="shared" si="609"/>
        <v>36</v>
      </c>
      <c r="X1442" s="63">
        <v>3</v>
      </c>
      <c r="Y1442" s="63">
        <v>0</v>
      </c>
      <c r="Z1442" s="63">
        <v>0</v>
      </c>
      <c r="AA1442" s="63"/>
      <c r="AB1442" s="63"/>
      <c r="AC1442" s="63">
        <v>30</v>
      </c>
      <c r="AD1442" s="63"/>
      <c r="AE1442" s="63">
        <v>0</v>
      </c>
      <c r="AF1442" s="63">
        <v>0</v>
      </c>
      <c r="AG1442" s="63">
        <v>0</v>
      </c>
      <c r="AH1442" s="63"/>
      <c r="AI1442" s="63"/>
      <c r="AJ1442" s="63"/>
      <c r="AK1442" s="63"/>
      <c r="AL1442" s="63"/>
      <c r="AM1442" s="63"/>
      <c r="AN1442" s="63">
        <v>1</v>
      </c>
      <c r="AO1442" s="63"/>
      <c r="AP1442" s="63"/>
      <c r="AQ1442" s="63">
        <v>0</v>
      </c>
      <c r="AR1442" s="63"/>
      <c r="AS1442" s="63"/>
      <c r="AT1442" s="63"/>
      <c r="AU1442" s="63"/>
      <c r="AW1442" s="5">
        <f>IF(Q1442&gt;0,RANK(Q1442,(N1442:P1442,Q1442:AE1442)),0)</f>
        <v>3</v>
      </c>
      <c r="AX1442" s="5">
        <f>IF(R1442&gt;0,RANK(R1442,(N1442:P1442,Q1442:AE1442)),0)</f>
        <v>5</v>
      </c>
      <c r="AY1442" s="5">
        <f>IF(T1442&gt;0,RANK(T1442,(N1442:P1442,Q1442:AE1442)),0)</f>
        <v>10</v>
      </c>
      <c r="AZ1442" s="5">
        <f>IF(S1442&gt;0,RANK(S1442,(N1442:P1442,Q1442:AE1442)),0)</f>
        <v>6</v>
      </c>
      <c r="BA1442" s="2">
        <f t="shared" si="605"/>
        <v>2.8190671450538187E-2</v>
      </c>
      <c r="BB1442" s="2">
        <f t="shared" si="606"/>
        <v>5.381855458739108E-3</v>
      </c>
      <c r="BC1442" s="2">
        <f t="shared" si="607"/>
        <v>1.2813941568426448E-4</v>
      </c>
      <c r="BD1442" s="2">
        <f t="shared" si="608"/>
        <v>4.8692977960020506E-3</v>
      </c>
      <c r="BF1442" t="s">
        <v>1755</v>
      </c>
      <c r="BG1442" t="s">
        <v>2725</v>
      </c>
      <c r="BH1442" s="8">
        <v>7</v>
      </c>
      <c r="BJ1442" s="114">
        <v>27</v>
      </c>
      <c r="BK1442" s="116">
        <v>135</v>
      </c>
      <c r="BL1442" s="120">
        <f t="shared" si="588"/>
        <v>27135</v>
      </c>
      <c r="BN1442" s="5" t="s">
        <v>3154</v>
      </c>
      <c r="CA1442" s="63">
        <v>37</v>
      </c>
    </row>
    <row r="1443" spans="1:79" hidden="1" outlineLevel="1">
      <c r="A1443" t="s">
        <v>506</v>
      </c>
      <c r="B1443" t="s">
        <v>2725</v>
      </c>
      <c r="C1443" s="1">
        <f t="shared" si="600"/>
        <v>112422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>IF(P1443&gt;0,RANK(P1443,(N1443:P1443,Q1443:AE1443)),0)</f>
        <v>5</v>
      </c>
      <c r="G1443" s="132">
        <f t="shared" si="598"/>
        <v>13141</v>
      </c>
      <c r="H1443" s="137">
        <f t="shared" si="599"/>
        <v>0.11688993257547454</v>
      </c>
      <c r="I1443" s="2"/>
      <c r="J1443" s="2">
        <f t="shared" si="601"/>
        <v>0.51387628755937453</v>
      </c>
      <c r="K1443" s="2">
        <f t="shared" si="602"/>
        <v>0.39698635498389995</v>
      </c>
      <c r="L1443" s="2">
        <f t="shared" si="603"/>
        <v>1.3591645763284766E-2</v>
      </c>
      <c r="M1443" s="2">
        <f t="shared" si="604"/>
        <v>7.5545711693440751E-2</v>
      </c>
      <c r="N1443" s="63">
        <v>57771</v>
      </c>
      <c r="O1443" s="63">
        <v>44630</v>
      </c>
      <c r="P1443" s="63">
        <v>1528</v>
      </c>
      <c r="Q1443" s="63">
        <v>4366</v>
      </c>
      <c r="R1443" s="63">
        <v>1878</v>
      </c>
      <c r="S1443" s="63">
        <v>360</v>
      </c>
      <c r="T1443" s="63">
        <v>64</v>
      </c>
      <c r="U1443" s="63">
        <v>0</v>
      </c>
      <c r="V1443" s="63">
        <v>0</v>
      </c>
      <c r="W1443" s="63">
        <f t="shared" si="609"/>
        <v>1157</v>
      </c>
      <c r="X1443" s="63">
        <v>72</v>
      </c>
      <c r="Y1443" s="63">
        <v>1</v>
      </c>
      <c r="Z1443" s="63">
        <v>0</v>
      </c>
      <c r="AA1443" s="63"/>
      <c r="AB1443" s="63"/>
      <c r="AC1443" s="63">
        <v>591</v>
      </c>
      <c r="AD1443" s="63"/>
      <c r="AE1443" s="63">
        <v>0</v>
      </c>
      <c r="AF1443" s="63">
        <v>1</v>
      </c>
      <c r="AG1443" s="63">
        <v>1</v>
      </c>
      <c r="AH1443" s="63"/>
      <c r="AI1443" s="63"/>
      <c r="AJ1443" s="63"/>
      <c r="AK1443" s="63"/>
      <c r="AL1443" s="63"/>
      <c r="AM1443" s="63"/>
      <c r="AN1443" s="63">
        <v>2</v>
      </c>
      <c r="AO1443" s="63"/>
      <c r="AP1443" s="63"/>
      <c r="AQ1443" s="63">
        <v>0</v>
      </c>
      <c r="AR1443" s="63"/>
      <c r="AS1443" s="63"/>
      <c r="AT1443" s="63"/>
      <c r="AU1443" s="63"/>
      <c r="AW1443" s="5">
        <f>IF(Q1443&gt;0,RANK(Q1443,(N1443:P1443,Q1443:AE1443)),0)</f>
        <v>3</v>
      </c>
      <c r="AX1443" s="5">
        <f>IF(R1443&gt;0,RANK(R1443,(N1443:P1443,Q1443:AE1443)),0)</f>
        <v>4</v>
      </c>
      <c r="AY1443" s="5">
        <f>IF(T1443&gt;0,RANK(T1443,(N1443:P1443,Q1443:AE1443)),0)</f>
        <v>10</v>
      </c>
      <c r="AZ1443" s="5">
        <f>IF(S1443&gt;0,RANK(S1443,(N1443:P1443,Q1443:AE1443)),0)</f>
        <v>8</v>
      </c>
      <c r="BA1443" s="2">
        <f t="shared" si="605"/>
        <v>3.8835815053992993E-2</v>
      </c>
      <c r="BB1443" s="2">
        <f t="shared" si="606"/>
        <v>1.6704915408016226E-2</v>
      </c>
      <c r="BC1443" s="2">
        <f t="shared" si="607"/>
        <v>5.6928359217946667E-4</v>
      </c>
      <c r="BD1443" s="2">
        <f t="shared" si="608"/>
        <v>3.2022202060094998E-3</v>
      </c>
      <c r="BF1443" t="s">
        <v>506</v>
      </c>
      <c r="BG1443" t="s">
        <v>2725</v>
      </c>
      <c r="BH1443" s="8">
        <v>8</v>
      </c>
      <c r="BJ1443" s="114">
        <v>27</v>
      </c>
      <c r="BK1443" s="116">
        <v>137</v>
      </c>
      <c r="BL1443" s="120">
        <f t="shared" si="588"/>
        <v>27137</v>
      </c>
      <c r="BN1443" s="5" t="s">
        <v>3154</v>
      </c>
      <c r="CA1443" s="63">
        <v>1162</v>
      </c>
    </row>
    <row r="1444" spans="1:79" hidden="1" outlineLevel="1">
      <c r="A1444" t="s">
        <v>830</v>
      </c>
      <c r="B1444" t="s">
        <v>2725</v>
      </c>
      <c r="C1444" s="1">
        <f t="shared" si="600"/>
        <v>75029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4</v>
      </c>
      <c r="G1444" s="132">
        <f t="shared" si="598"/>
        <v>11446</v>
      </c>
      <c r="H1444" s="137">
        <f t="shared" si="599"/>
        <v>0.15255434565301418</v>
      </c>
      <c r="I1444" s="2"/>
      <c r="J1444" s="2">
        <f t="shared" si="601"/>
        <v>0.37987977981847021</v>
      </c>
      <c r="K1444" s="2">
        <f t="shared" si="602"/>
        <v>0.53243412547148439</v>
      </c>
      <c r="L1444" s="2">
        <f t="shared" si="603"/>
        <v>1.7273320982553412E-2</v>
      </c>
      <c r="M1444" s="2">
        <f t="shared" si="604"/>
        <v>7.0412773727491995E-2</v>
      </c>
      <c r="N1444" s="63">
        <v>28502</v>
      </c>
      <c r="O1444" s="63">
        <v>39948</v>
      </c>
      <c r="P1444" s="63">
        <v>1296</v>
      </c>
      <c r="Q1444" s="63">
        <v>3400</v>
      </c>
      <c r="R1444" s="63">
        <v>740</v>
      </c>
      <c r="S1444" s="63">
        <v>210</v>
      </c>
      <c r="T1444" s="63">
        <v>33</v>
      </c>
      <c r="U1444" s="63">
        <v>0</v>
      </c>
      <c r="V1444" s="63">
        <v>0</v>
      </c>
      <c r="W1444" s="63">
        <f t="shared" si="609"/>
        <v>634</v>
      </c>
      <c r="X1444" s="63">
        <v>33</v>
      </c>
      <c r="Y1444" s="63">
        <v>0</v>
      </c>
      <c r="Z1444" s="63">
        <v>0</v>
      </c>
      <c r="AA1444" s="63"/>
      <c r="AB1444" s="63"/>
      <c r="AC1444" s="63">
        <v>227</v>
      </c>
      <c r="AD1444" s="63"/>
      <c r="AE1444" s="63">
        <v>1</v>
      </c>
      <c r="AF1444" s="63">
        <v>0</v>
      </c>
      <c r="AG1444" s="63">
        <v>1</v>
      </c>
      <c r="AH1444" s="63"/>
      <c r="AI1444" s="63"/>
      <c r="AJ1444" s="63"/>
      <c r="AK1444" s="63"/>
      <c r="AL1444" s="63"/>
      <c r="AM1444" s="63"/>
      <c r="AN1444" s="63">
        <v>4</v>
      </c>
      <c r="AO1444" s="63"/>
      <c r="AP1444" s="63"/>
      <c r="AQ1444" s="63">
        <v>0</v>
      </c>
      <c r="AR1444" s="63"/>
      <c r="AS1444" s="63"/>
      <c r="AT1444" s="63"/>
      <c r="AU1444" s="63"/>
      <c r="AW1444" s="5">
        <f>IF(Q1444&gt;0,RANK(Q1444,(N1444:P1444,Q1444:AE1444)),0)</f>
        <v>3</v>
      </c>
      <c r="AX1444" s="5">
        <f>IF(R1444&gt;0,RANK(R1444,(N1444:P1444,Q1444:AE1444)),0)</f>
        <v>5</v>
      </c>
      <c r="AY1444" s="5">
        <f>IF(T1444&gt;0,RANK(T1444,(N1444:P1444,Q1444:AE1444)),0)</f>
        <v>9</v>
      </c>
      <c r="AZ1444" s="5">
        <f>IF(S1444&gt;0,RANK(S1444,(N1444:P1444,Q1444:AE1444)),0)</f>
        <v>8</v>
      </c>
      <c r="BA1444" s="2">
        <f t="shared" si="605"/>
        <v>4.5315811219661731E-2</v>
      </c>
      <c r="BB1444" s="2">
        <f t="shared" si="606"/>
        <v>9.8628530301616713E-3</v>
      </c>
      <c r="BC1444" s="2">
        <f t="shared" si="607"/>
        <v>4.3982993242612858E-4</v>
      </c>
      <c r="BD1444" s="2">
        <f t="shared" si="608"/>
        <v>2.7989177518026364E-3</v>
      </c>
      <c r="BF1444" t="s">
        <v>830</v>
      </c>
      <c r="BG1444" t="s">
        <v>2725</v>
      </c>
      <c r="BH1444" s="8">
        <v>2</v>
      </c>
      <c r="BJ1444" s="114">
        <v>27</v>
      </c>
      <c r="BK1444" s="116">
        <v>139</v>
      </c>
      <c r="BL1444" s="120">
        <f t="shared" si="588"/>
        <v>27139</v>
      </c>
      <c r="BN1444" s="5" t="s">
        <v>3154</v>
      </c>
      <c r="CA1444" s="63">
        <v>640</v>
      </c>
    </row>
    <row r="1445" spans="1:79" ht="14" hidden="1" customHeight="1" outlineLevel="1">
      <c r="A1445" t="s">
        <v>770</v>
      </c>
      <c r="B1445" t="s">
        <v>2725</v>
      </c>
      <c r="C1445" s="1">
        <f t="shared" si="600"/>
        <v>48283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4</v>
      </c>
      <c r="G1445" s="132">
        <f t="shared" si="598"/>
        <v>17760</v>
      </c>
      <c r="H1445" s="137">
        <f t="shared" si="599"/>
        <v>0.36783132779653294</v>
      </c>
      <c r="I1445" s="2"/>
      <c r="J1445" s="2">
        <f t="shared" si="601"/>
        <v>0.27531429281527658</v>
      </c>
      <c r="K1445" s="2">
        <f t="shared" si="602"/>
        <v>0.64314562061180958</v>
      </c>
      <c r="L1445" s="2">
        <f t="shared" si="603"/>
        <v>1.7604539900171905E-2</v>
      </c>
      <c r="M1445" s="2">
        <f t="shared" si="604"/>
        <v>6.3935546672741983E-2</v>
      </c>
      <c r="N1445" s="63">
        <v>13293</v>
      </c>
      <c r="O1445" s="63">
        <v>31053</v>
      </c>
      <c r="P1445" s="63">
        <v>850</v>
      </c>
      <c r="Q1445" s="63">
        <v>1927</v>
      </c>
      <c r="R1445" s="63">
        <v>457</v>
      </c>
      <c r="S1445" s="63">
        <v>170</v>
      </c>
      <c r="T1445" s="63">
        <v>25</v>
      </c>
      <c r="U1445" s="63">
        <v>0</v>
      </c>
      <c r="V1445" s="63">
        <v>0</v>
      </c>
      <c r="W1445" s="63">
        <f t="shared" si="609"/>
        <v>346</v>
      </c>
      <c r="X1445" s="63">
        <v>9</v>
      </c>
      <c r="Y1445" s="63">
        <v>1</v>
      </c>
      <c r="Z1445" s="63">
        <v>0</v>
      </c>
      <c r="AA1445" s="63"/>
      <c r="AB1445" s="63"/>
      <c r="AC1445" s="63">
        <v>150</v>
      </c>
      <c r="AD1445" s="63"/>
      <c r="AE1445" s="63">
        <v>0</v>
      </c>
      <c r="AF1445" s="63">
        <v>0</v>
      </c>
      <c r="AG1445" s="63">
        <v>0</v>
      </c>
      <c r="AH1445" s="63"/>
      <c r="AI1445" s="63"/>
      <c r="AJ1445" s="63"/>
      <c r="AK1445" s="63"/>
      <c r="AL1445" s="63"/>
      <c r="AM1445" s="63"/>
      <c r="AN1445" s="63">
        <v>2</v>
      </c>
      <c r="AO1445" s="63"/>
      <c r="AP1445" s="63"/>
      <c r="AQ1445" s="63">
        <v>0</v>
      </c>
      <c r="AR1445" s="63"/>
      <c r="AS1445" s="63"/>
      <c r="AT1445" s="63"/>
      <c r="AU1445" s="63"/>
      <c r="AW1445" s="5">
        <f>IF(Q1445&gt;0,RANK(Q1445,(N1445:P1445,Q1445:AE1445)),0)</f>
        <v>3</v>
      </c>
      <c r="AX1445" s="5">
        <f>IF(R1445&gt;0,RANK(R1445,(N1445:P1445,Q1445:AE1445)),0)</f>
        <v>5</v>
      </c>
      <c r="AY1445" s="5">
        <f>IF(T1445&gt;0,RANK(T1445,(N1445:P1445,Q1445:AE1445)),0)</f>
        <v>9</v>
      </c>
      <c r="AZ1445" s="5">
        <f>IF(S1445&gt;0,RANK(S1445,(N1445:P1445,Q1445:AE1445)),0)</f>
        <v>7</v>
      </c>
      <c r="BA1445" s="2">
        <f t="shared" si="605"/>
        <v>3.9910527514860301E-2</v>
      </c>
      <c r="BB1445" s="2">
        <f t="shared" si="606"/>
        <v>9.4650290992688933E-3</v>
      </c>
      <c r="BC1445" s="2">
        <f t="shared" si="607"/>
        <v>5.1778058529917362E-4</v>
      </c>
      <c r="BD1445" s="2">
        <f t="shared" si="608"/>
        <v>3.5209079800343807E-3</v>
      </c>
      <c r="BF1445" t="s">
        <v>770</v>
      </c>
      <c r="BG1445" t="s">
        <v>2725</v>
      </c>
      <c r="BH1445" s="8">
        <v>6</v>
      </c>
      <c r="BJ1445" s="114">
        <v>27</v>
      </c>
      <c r="BK1445" s="116">
        <v>141</v>
      </c>
      <c r="BL1445" s="120">
        <f t="shared" si="588"/>
        <v>27141</v>
      </c>
      <c r="BN1445" s="5" t="s">
        <v>3154</v>
      </c>
      <c r="CA1445" s="63">
        <v>349</v>
      </c>
    </row>
    <row r="1446" spans="1:79" hidden="1" outlineLevel="1">
      <c r="A1446" t="s">
        <v>1591</v>
      </c>
      <c r="B1446" t="s">
        <v>2725</v>
      </c>
      <c r="C1446" s="1">
        <f t="shared" si="600"/>
        <v>7774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4</v>
      </c>
      <c r="G1446" s="132">
        <f t="shared" si="598"/>
        <v>3239</v>
      </c>
      <c r="H1446" s="137">
        <f t="shared" si="599"/>
        <v>0.41664522768201701</v>
      </c>
      <c r="I1446" s="2"/>
      <c r="J1446" s="2">
        <f t="shared" si="601"/>
        <v>0.25135065603293028</v>
      </c>
      <c r="K1446" s="2">
        <f t="shared" si="602"/>
        <v>0.66799588371494723</v>
      </c>
      <c r="L1446" s="2">
        <f t="shared" si="603"/>
        <v>2.0967326987393876E-2</v>
      </c>
      <c r="M1446" s="2">
        <f t="shared" si="604"/>
        <v>5.9686133264728623E-2</v>
      </c>
      <c r="N1446" s="63">
        <v>1954</v>
      </c>
      <c r="O1446" s="63">
        <v>5193</v>
      </c>
      <c r="P1446" s="63">
        <v>163</v>
      </c>
      <c r="Q1446" s="63">
        <v>291</v>
      </c>
      <c r="R1446" s="63">
        <v>64</v>
      </c>
      <c r="S1446" s="63">
        <v>37</v>
      </c>
      <c r="T1446" s="63">
        <v>3</v>
      </c>
      <c r="U1446" s="63">
        <v>0</v>
      </c>
      <c r="V1446" s="63">
        <v>0</v>
      </c>
      <c r="W1446" s="63">
        <f t="shared" si="609"/>
        <v>47</v>
      </c>
      <c r="X1446" s="63">
        <v>1</v>
      </c>
      <c r="Y1446" s="63">
        <v>0</v>
      </c>
      <c r="Z1446" s="63">
        <v>0</v>
      </c>
      <c r="AA1446" s="63"/>
      <c r="AB1446" s="63"/>
      <c r="AC1446" s="63">
        <v>21</v>
      </c>
      <c r="AD1446" s="63"/>
      <c r="AE1446" s="63">
        <v>0</v>
      </c>
      <c r="AF1446" s="63">
        <v>0</v>
      </c>
      <c r="AG1446" s="63">
        <v>0</v>
      </c>
      <c r="AH1446" s="63"/>
      <c r="AI1446" s="63"/>
      <c r="AJ1446" s="63"/>
      <c r="AK1446" s="63"/>
      <c r="AL1446" s="63"/>
      <c r="AM1446" s="63"/>
      <c r="AN1446" s="63">
        <v>0</v>
      </c>
      <c r="AO1446" s="63"/>
      <c r="AP1446" s="63"/>
      <c r="AQ1446" s="63">
        <v>0</v>
      </c>
      <c r="AR1446" s="63"/>
      <c r="AS1446" s="63"/>
      <c r="AT1446" s="63"/>
      <c r="AU1446" s="63"/>
      <c r="AW1446" s="5">
        <f>IF(Q1446&gt;0,RANK(Q1446,(N1446:P1446,Q1446:AE1446)),0)</f>
        <v>3</v>
      </c>
      <c r="AX1446" s="5">
        <f>IF(R1446&gt;0,RANK(R1446,(N1446:P1446,Q1446:AE1446)),0)</f>
        <v>5</v>
      </c>
      <c r="AY1446" s="5">
        <f>IF(T1446&gt;0,RANK(T1446,(N1446:P1446,Q1446:AE1446)),0)</f>
        <v>9</v>
      </c>
      <c r="AZ1446" s="5">
        <f>IF(S1446&gt;0,RANK(S1446,(N1446:P1446,Q1446:AE1446)),0)</f>
        <v>7</v>
      </c>
      <c r="BA1446" s="2">
        <f t="shared" si="605"/>
        <v>3.7432467198353483E-2</v>
      </c>
      <c r="BB1446" s="2">
        <f t="shared" si="606"/>
        <v>8.2325701054798053E-3</v>
      </c>
      <c r="BC1446" s="2">
        <f t="shared" si="607"/>
        <v>3.8590172369436584E-4</v>
      </c>
      <c r="BD1446" s="2">
        <f t="shared" si="608"/>
        <v>4.7594545922305118E-3</v>
      </c>
      <c r="BF1446" t="s">
        <v>1591</v>
      </c>
      <c r="BG1446" t="s">
        <v>2725</v>
      </c>
      <c r="BH1446" s="8">
        <v>7</v>
      </c>
      <c r="BJ1446" s="114">
        <v>27</v>
      </c>
      <c r="BK1446" s="116">
        <v>143</v>
      </c>
      <c r="BL1446" s="120">
        <f t="shared" si="588"/>
        <v>27143</v>
      </c>
      <c r="BN1446" s="5" t="s">
        <v>3154</v>
      </c>
      <c r="CA1446" s="63">
        <v>47</v>
      </c>
    </row>
    <row r="1447" spans="1:79" hidden="1" outlineLevel="1">
      <c r="A1447" t="s">
        <v>204</v>
      </c>
      <c r="B1447" t="s">
        <v>2725</v>
      </c>
      <c r="C1447" s="1">
        <f t="shared" si="600"/>
        <v>79592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4</v>
      </c>
      <c r="G1447" s="132">
        <f t="shared" si="598"/>
        <v>22041</v>
      </c>
      <c r="H1447" s="137">
        <f t="shared" si="599"/>
        <v>0.27692481656447882</v>
      </c>
      <c r="I1447" s="2"/>
      <c r="J1447" s="2">
        <f t="shared" si="601"/>
        <v>0.32133882802291686</v>
      </c>
      <c r="K1447" s="2">
        <f t="shared" si="602"/>
        <v>0.59826364458739567</v>
      </c>
      <c r="L1447" s="2">
        <f t="shared" si="603"/>
        <v>1.6094582370087446E-2</v>
      </c>
      <c r="M1447" s="2">
        <f t="shared" si="604"/>
        <v>6.4302945019600086E-2</v>
      </c>
      <c r="N1447" s="63">
        <v>25576</v>
      </c>
      <c r="O1447" s="63">
        <v>47617</v>
      </c>
      <c r="P1447" s="63">
        <v>1281</v>
      </c>
      <c r="Q1447" s="63">
        <v>2972</v>
      </c>
      <c r="R1447" s="63">
        <v>954</v>
      </c>
      <c r="S1447" s="63">
        <v>228</v>
      </c>
      <c r="T1447" s="63">
        <v>45</v>
      </c>
      <c r="U1447" s="63">
        <v>0</v>
      </c>
      <c r="V1447" s="63">
        <v>0</v>
      </c>
      <c r="W1447" s="63">
        <f t="shared" si="609"/>
        <v>603</v>
      </c>
      <c r="X1447" s="63">
        <v>47</v>
      </c>
      <c r="Y1447" s="63">
        <v>0</v>
      </c>
      <c r="Z1447" s="63">
        <v>0</v>
      </c>
      <c r="AA1447" s="63"/>
      <c r="AB1447" s="63"/>
      <c r="AC1447" s="63">
        <v>265</v>
      </c>
      <c r="AD1447" s="63"/>
      <c r="AE1447" s="63">
        <v>0</v>
      </c>
      <c r="AF1447" s="63">
        <v>0</v>
      </c>
      <c r="AG1447" s="63">
        <v>0</v>
      </c>
      <c r="AH1447" s="63"/>
      <c r="AI1447" s="63"/>
      <c r="AJ1447" s="63"/>
      <c r="AK1447" s="63"/>
      <c r="AL1447" s="63"/>
      <c r="AM1447" s="63"/>
      <c r="AN1447" s="63">
        <v>4</v>
      </c>
      <c r="AO1447" s="63"/>
      <c r="AP1447" s="63"/>
      <c r="AQ1447" s="63">
        <v>0</v>
      </c>
      <c r="AR1447" s="63"/>
      <c r="AS1447" s="63"/>
      <c r="AT1447" s="63"/>
      <c r="AU1447" s="63"/>
      <c r="AW1447" s="5">
        <f>IF(Q1447&gt;0,RANK(Q1447,(N1447:P1447,Q1447:AE1447)),0)</f>
        <v>3</v>
      </c>
      <c r="AX1447" s="5">
        <f>IF(R1447&gt;0,RANK(R1447,(N1447:P1447,Q1447:AE1447)),0)</f>
        <v>5</v>
      </c>
      <c r="AY1447" s="5">
        <f>IF(T1447&gt;0,RANK(T1447,(N1447:P1447,Q1447:AE1447)),0)</f>
        <v>10</v>
      </c>
      <c r="AZ1447" s="5">
        <f>IF(S1447&gt;0,RANK(S1447,(N1447:P1447,Q1447:AE1447)),0)</f>
        <v>8</v>
      </c>
      <c r="BA1447" s="2">
        <f t="shared" si="605"/>
        <v>3.7340436224746205E-2</v>
      </c>
      <c r="BB1447" s="2">
        <f t="shared" si="606"/>
        <v>1.1986129259222033E-2</v>
      </c>
      <c r="BC1447" s="2">
        <f t="shared" si="607"/>
        <v>5.6538345562368074E-4</v>
      </c>
      <c r="BD1447" s="2">
        <f t="shared" si="608"/>
        <v>2.8646095084933158E-3</v>
      </c>
      <c r="BF1447" t="s">
        <v>204</v>
      </c>
      <c r="BG1447" t="s">
        <v>2725</v>
      </c>
      <c r="BH1447" s="8"/>
      <c r="BJ1447" s="114">
        <v>27</v>
      </c>
      <c r="BK1447" s="116">
        <v>145</v>
      </c>
      <c r="BL1447" s="120">
        <f t="shared" si="588"/>
        <v>27145</v>
      </c>
      <c r="BN1447" s="5" t="s">
        <v>3154</v>
      </c>
      <c r="CA1447" s="63">
        <v>607</v>
      </c>
    </row>
    <row r="1448" spans="1:79" hidden="1" outlineLevel="1">
      <c r="A1448" t="s">
        <v>1731</v>
      </c>
      <c r="B1448" t="s">
        <v>2725</v>
      </c>
      <c r="C1448" s="1">
        <f t="shared" si="600"/>
        <v>19179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4</v>
      </c>
      <c r="G1448" s="132">
        <f t="shared" si="598"/>
        <v>4957</v>
      </c>
      <c r="H1448" s="137">
        <f t="shared" si="599"/>
        <v>0.25845977371082957</v>
      </c>
      <c r="I1448" s="2"/>
      <c r="J1448" s="2">
        <f t="shared" si="601"/>
        <v>0.32540799833150841</v>
      </c>
      <c r="K1448" s="2">
        <f t="shared" si="602"/>
        <v>0.58386777204233797</v>
      </c>
      <c r="L1448" s="2">
        <f t="shared" si="603"/>
        <v>2.0647583294228063E-2</v>
      </c>
      <c r="M1448" s="2">
        <f t="shared" si="604"/>
        <v>7.0076646331925618E-2</v>
      </c>
      <c r="N1448" s="63">
        <v>6241</v>
      </c>
      <c r="O1448" s="63">
        <v>11198</v>
      </c>
      <c r="P1448" s="63">
        <v>396</v>
      </c>
      <c r="Q1448" s="63">
        <v>808</v>
      </c>
      <c r="R1448" s="63">
        <v>208</v>
      </c>
      <c r="S1448" s="63">
        <v>91</v>
      </c>
      <c r="T1448" s="63">
        <v>12</v>
      </c>
      <c r="U1448" s="63">
        <v>0</v>
      </c>
      <c r="V1448" s="63">
        <v>0</v>
      </c>
      <c r="W1448" s="63">
        <f t="shared" si="609"/>
        <v>136</v>
      </c>
      <c r="X1448" s="63">
        <v>10</v>
      </c>
      <c r="Y1448" s="63">
        <v>0</v>
      </c>
      <c r="Z1448" s="63">
        <v>1</v>
      </c>
      <c r="AA1448" s="63"/>
      <c r="AB1448" s="63"/>
      <c r="AC1448" s="63">
        <v>78</v>
      </c>
      <c r="AD1448" s="63"/>
      <c r="AE1448" s="63">
        <v>0</v>
      </c>
      <c r="AF1448" s="63">
        <v>0</v>
      </c>
      <c r="AG1448" s="63">
        <v>0</v>
      </c>
      <c r="AH1448" s="63"/>
      <c r="AI1448" s="63"/>
      <c r="AJ1448" s="63"/>
      <c r="AK1448" s="63"/>
      <c r="AL1448" s="63"/>
      <c r="AM1448" s="63"/>
      <c r="AN1448" s="63">
        <v>0</v>
      </c>
      <c r="AO1448" s="63"/>
      <c r="AP1448" s="63"/>
      <c r="AQ1448" s="63">
        <v>0</v>
      </c>
      <c r="AR1448" s="63"/>
      <c r="AS1448" s="63"/>
      <c r="AT1448" s="63"/>
      <c r="AU1448" s="63"/>
      <c r="AW1448" s="5">
        <f>IF(Q1448&gt;0,RANK(Q1448,(N1448:P1448,Q1448:AE1448)),0)</f>
        <v>3</v>
      </c>
      <c r="AX1448" s="5">
        <f>IF(R1448&gt;0,RANK(R1448,(N1448:P1448,Q1448:AE1448)),0)</f>
        <v>5</v>
      </c>
      <c r="AY1448" s="5">
        <f>IF(T1448&gt;0,RANK(T1448,(N1448:P1448,Q1448:AE1448)),0)</f>
        <v>9</v>
      </c>
      <c r="AZ1448" s="5">
        <f>IF(S1448&gt;0,RANK(S1448,(N1448:P1448,Q1448:AE1448)),0)</f>
        <v>7</v>
      </c>
      <c r="BA1448" s="2">
        <f t="shared" si="605"/>
        <v>4.2129412378121907E-2</v>
      </c>
      <c r="BB1448" s="2">
        <f t="shared" si="606"/>
        <v>1.0845195265655144E-2</v>
      </c>
      <c r="BC1448" s="2">
        <f t="shared" si="607"/>
        <v>6.2568434224933526E-4</v>
      </c>
      <c r="BD1448" s="2">
        <f t="shared" si="608"/>
        <v>4.7447729287241249E-3</v>
      </c>
      <c r="BF1448" t="s">
        <v>1731</v>
      </c>
      <c r="BG1448" t="s">
        <v>2725</v>
      </c>
      <c r="BH1448" s="8">
        <v>1</v>
      </c>
      <c r="BJ1448" s="114">
        <v>27</v>
      </c>
      <c r="BK1448" s="116">
        <v>147</v>
      </c>
      <c r="BL1448" s="120">
        <f t="shared" si="588"/>
        <v>27147</v>
      </c>
      <c r="BN1448" s="5" t="s">
        <v>3154</v>
      </c>
      <c r="CA1448" s="63">
        <v>137</v>
      </c>
    </row>
    <row r="1449" spans="1:79" hidden="1" outlineLevel="1">
      <c r="A1449" t="s">
        <v>2778</v>
      </c>
      <c r="B1449" t="s">
        <v>2725</v>
      </c>
      <c r="C1449" s="1">
        <f t="shared" si="600"/>
        <v>5398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4</v>
      </c>
      <c r="G1449" s="132">
        <f t="shared" si="598"/>
        <v>683</v>
      </c>
      <c r="H1449" s="137">
        <f t="shared" si="599"/>
        <v>0.12652834383104852</v>
      </c>
      <c r="I1449" s="2"/>
      <c r="J1449" s="2">
        <f t="shared" si="601"/>
        <v>0.39199703593923674</v>
      </c>
      <c r="K1449" s="2">
        <f t="shared" si="602"/>
        <v>0.51852537977028534</v>
      </c>
      <c r="L1449" s="2">
        <f t="shared" si="603"/>
        <v>2.0748425342719527E-2</v>
      </c>
      <c r="M1449" s="2">
        <f t="shared" si="604"/>
        <v>6.8729158947758384E-2</v>
      </c>
      <c r="N1449" s="63">
        <v>2116</v>
      </c>
      <c r="O1449" s="63">
        <v>2799</v>
      </c>
      <c r="P1449" s="63">
        <v>112</v>
      </c>
      <c r="Q1449" s="63">
        <v>205</v>
      </c>
      <c r="R1449" s="63">
        <v>69</v>
      </c>
      <c r="S1449" s="63">
        <v>28</v>
      </c>
      <c r="T1449" s="63">
        <v>1</v>
      </c>
      <c r="U1449" s="63">
        <v>0</v>
      </c>
      <c r="V1449" s="63">
        <v>0</v>
      </c>
      <c r="W1449" s="63">
        <f t="shared" si="609"/>
        <v>49</v>
      </c>
      <c r="X1449" s="63">
        <v>9</v>
      </c>
      <c r="Y1449" s="63">
        <v>0</v>
      </c>
      <c r="Z1449" s="63">
        <v>0</v>
      </c>
      <c r="AA1449" s="63"/>
      <c r="AB1449" s="63"/>
      <c r="AC1449" s="63">
        <v>10</v>
      </c>
      <c r="AD1449" s="63"/>
      <c r="AE1449" s="63">
        <v>0</v>
      </c>
      <c r="AF1449" s="63">
        <v>0</v>
      </c>
      <c r="AG1449" s="63">
        <v>0</v>
      </c>
      <c r="AH1449" s="63"/>
      <c r="AI1449" s="63"/>
      <c r="AJ1449" s="63"/>
      <c r="AK1449" s="63"/>
      <c r="AL1449" s="63"/>
      <c r="AM1449" s="63"/>
      <c r="AN1449" s="63">
        <v>0</v>
      </c>
      <c r="AO1449" s="63"/>
      <c r="AP1449" s="63"/>
      <c r="AQ1449" s="63">
        <v>0</v>
      </c>
      <c r="AR1449" s="63"/>
      <c r="AS1449" s="63"/>
      <c r="AT1449" s="63"/>
      <c r="AU1449" s="63"/>
      <c r="AW1449" s="5">
        <f>IF(Q1449&gt;0,RANK(Q1449,(N1449:P1449,Q1449:AE1449)),0)</f>
        <v>3</v>
      </c>
      <c r="AX1449" s="5">
        <f>IF(R1449&gt;0,RANK(R1449,(N1449:P1449,Q1449:AE1449)),0)</f>
        <v>5</v>
      </c>
      <c r="AY1449" s="5">
        <f>IF(T1449&gt;0,RANK(T1449,(N1449:P1449,Q1449:AE1449)),0)</f>
        <v>10</v>
      </c>
      <c r="AZ1449" s="5">
        <f>IF(S1449&gt;0,RANK(S1449,(N1449:P1449,Q1449:AE1449)),0)</f>
        <v>7</v>
      </c>
      <c r="BA1449" s="2">
        <f t="shared" si="605"/>
        <v>3.7977028529084848E-2</v>
      </c>
      <c r="BB1449" s="2">
        <f t="shared" si="606"/>
        <v>1.278251204149685E-2</v>
      </c>
      <c r="BC1449" s="2">
        <f t="shared" si="607"/>
        <v>1.8525379770285291E-4</v>
      </c>
      <c r="BD1449" s="2">
        <f t="shared" si="608"/>
        <v>5.1871063356798818E-3</v>
      </c>
      <c r="BF1449" t="s">
        <v>2778</v>
      </c>
      <c r="BG1449" t="s">
        <v>2725</v>
      </c>
      <c r="BH1449" s="8">
        <v>7</v>
      </c>
      <c r="BJ1449" s="114">
        <v>27</v>
      </c>
      <c r="BK1449" s="116">
        <v>149</v>
      </c>
      <c r="BL1449" s="120">
        <f t="shared" ref="BL1449:BL1512" si="610">1000*BJ1449+BK1449</f>
        <v>27149</v>
      </c>
      <c r="BN1449" s="5" t="s">
        <v>3154</v>
      </c>
      <c r="CA1449" s="63">
        <v>49</v>
      </c>
    </row>
    <row r="1450" spans="1:79" hidden="1" outlineLevel="1">
      <c r="A1450" t="s">
        <v>254</v>
      </c>
      <c r="B1450" t="s">
        <v>2725</v>
      </c>
      <c r="C1450" s="1">
        <f t="shared" si="600"/>
        <v>4994</v>
      </c>
      <c r="D1450" s="5">
        <f>IF(N1450&gt;0, RANK(N1450,(N1450:P1450,Q1450:AE1450)),0)</f>
        <v>2</v>
      </c>
      <c r="E1450" s="5">
        <f>IF(O1450&gt;0,RANK(O1450,(N1450:P1450,Q1450:AE1450)),0)</f>
        <v>1</v>
      </c>
      <c r="F1450" s="5">
        <f>IF(P1450&gt;0,RANK(P1450,(N1450:P1450,Q1450:AE1450)),0)</f>
        <v>4</v>
      </c>
      <c r="G1450" s="132">
        <f t="shared" si="598"/>
        <v>1277</v>
      </c>
      <c r="H1450" s="137">
        <f t="shared" si="599"/>
        <v>0.25570684821786144</v>
      </c>
      <c r="I1450" s="2"/>
      <c r="J1450" s="2">
        <f t="shared" si="601"/>
        <v>0.33760512615138166</v>
      </c>
      <c r="K1450" s="2">
        <f t="shared" si="602"/>
        <v>0.5933119743692431</v>
      </c>
      <c r="L1450" s="2">
        <f t="shared" si="603"/>
        <v>1.6019223067681217E-2</v>
      </c>
      <c r="M1450" s="2">
        <f t="shared" si="604"/>
        <v>5.3063676411693961E-2</v>
      </c>
      <c r="N1450" s="63">
        <v>1686</v>
      </c>
      <c r="O1450" s="63">
        <v>2963</v>
      </c>
      <c r="P1450" s="63">
        <v>80</v>
      </c>
      <c r="Q1450" s="63">
        <v>153</v>
      </c>
      <c r="R1450" s="63">
        <v>33</v>
      </c>
      <c r="S1450" s="63">
        <v>24</v>
      </c>
      <c r="T1450" s="63">
        <v>2</v>
      </c>
      <c r="U1450" s="63">
        <v>0</v>
      </c>
      <c r="V1450" s="63">
        <v>0</v>
      </c>
      <c r="W1450" s="63">
        <f t="shared" si="609"/>
        <v>28</v>
      </c>
      <c r="X1450" s="63">
        <v>2</v>
      </c>
      <c r="Y1450" s="63">
        <v>0</v>
      </c>
      <c r="Z1450" s="63">
        <v>0</v>
      </c>
      <c r="AA1450" s="63"/>
      <c r="AB1450" s="63"/>
      <c r="AC1450" s="63">
        <v>23</v>
      </c>
      <c r="AD1450" s="63"/>
      <c r="AE1450" s="63">
        <v>0</v>
      </c>
      <c r="AF1450" s="63">
        <v>0</v>
      </c>
      <c r="AG1450" s="63">
        <v>0</v>
      </c>
      <c r="AH1450" s="63"/>
      <c r="AI1450" s="63"/>
      <c r="AJ1450" s="63"/>
      <c r="AK1450" s="63"/>
      <c r="AL1450" s="63"/>
      <c r="AM1450" s="63"/>
      <c r="AN1450" s="63">
        <v>0</v>
      </c>
      <c r="AO1450" s="63"/>
      <c r="AP1450" s="63"/>
      <c r="AQ1450" s="63">
        <v>0</v>
      </c>
      <c r="AR1450" s="63"/>
      <c r="AS1450" s="63"/>
      <c r="AT1450" s="63"/>
      <c r="AU1450" s="63"/>
      <c r="AW1450" s="5">
        <f>IF(Q1450&gt;0,RANK(Q1450,(N1450:P1450,Q1450:AE1450)),0)</f>
        <v>3</v>
      </c>
      <c r="AX1450" s="5">
        <f>IF(R1450&gt;0,RANK(R1450,(N1450:P1450,Q1450:AE1450)),0)</f>
        <v>5</v>
      </c>
      <c r="AY1450" s="5">
        <f>IF(T1450&gt;0,RANK(T1450,(N1450:P1450,Q1450:AE1450)),0)</f>
        <v>9</v>
      </c>
      <c r="AZ1450" s="5">
        <f>IF(S1450&gt;0,RANK(S1450,(N1450:P1450,Q1450:AE1450)),0)</f>
        <v>7</v>
      </c>
      <c r="BA1450" s="2">
        <f t="shared" si="605"/>
        <v>3.0636764116940329E-2</v>
      </c>
      <c r="BB1450" s="2">
        <f t="shared" si="606"/>
        <v>6.6079295154185024E-3</v>
      </c>
      <c r="BC1450" s="2">
        <f t="shared" si="607"/>
        <v>4.0048057669203043E-4</v>
      </c>
      <c r="BD1450" s="2">
        <f t="shared" si="608"/>
        <v>4.8057669203043652E-3</v>
      </c>
      <c r="BF1450" t="s">
        <v>254</v>
      </c>
      <c r="BG1450" t="s">
        <v>2725</v>
      </c>
      <c r="BH1450" s="8">
        <v>7</v>
      </c>
      <c r="BJ1450" s="114">
        <v>27</v>
      </c>
      <c r="BK1450" s="116">
        <v>151</v>
      </c>
      <c r="BL1450" s="120">
        <f t="shared" si="610"/>
        <v>27151</v>
      </c>
      <c r="BN1450" s="5" t="s">
        <v>3154</v>
      </c>
      <c r="CA1450" s="63">
        <v>28</v>
      </c>
    </row>
    <row r="1451" spans="1:79" hidden="1" outlineLevel="1">
      <c r="A1451" t="s">
        <v>2000</v>
      </c>
      <c r="B1451" t="s">
        <v>2725</v>
      </c>
      <c r="C1451" s="1">
        <f t="shared" si="600"/>
        <v>11993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4</v>
      </c>
      <c r="G1451" s="132">
        <f t="shared" si="598"/>
        <v>5702</v>
      </c>
      <c r="H1451" s="137">
        <f t="shared" si="599"/>
        <v>0.47544400900525308</v>
      </c>
      <c r="I1451" s="2"/>
      <c r="J1451" s="2">
        <f t="shared" si="601"/>
        <v>0.23205203035103811</v>
      </c>
      <c r="K1451" s="2">
        <f t="shared" si="602"/>
        <v>0.70749603935629113</v>
      </c>
      <c r="L1451" s="2">
        <f t="shared" si="603"/>
        <v>1.6176102726590511E-2</v>
      </c>
      <c r="M1451" s="2">
        <f t="shared" si="604"/>
        <v>4.4275827566080311E-2</v>
      </c>
      <c r="N1451" s="63">
        <v>2783</v>
      </c>
      <c r="O1451" s="63">
        <v>8485</v>
      </c>
      <c r="P1451" s="63">
        <v>194</v>
      </c>
      <c r="Q1451" s="63">
        <v>287</v>
      </c>
      <c r="R1451" s="63">
        <v>96</v>
      </c>
      <c r="S1451" s="63">
        <v>44</v>
      </c>
      <c r="T1451" s="63">
        <v>7</v>
      </c>
      <c r="U1451" s="63">
        <v>0</v>
      </c>
      <c r="V1451" s="63">
        <v>0</v>
      </c>
      <c r="W1451" s="63">
        <f t="shared" si="609"/>
        <v>49</v>
      </c>
      <c r="X1451" s="63">
        <v>12</v>
      </c>
      <c r="Y1451" s="63">
        <v>0</v>
      </c>
      <c r="Z1451" s="63">
        <v>0</v>
      </c>
      <c r="AA1451" s="63"/>
      <c r="AB1451" s="63"/>
      <c r="AC1451" s="63">
        <v>36</v>
      </c>
      <c r="AD1451" s="63"/>
      <c r="AE1451" s="63">
        <v>0</v>
      </c>
      <c r="AF1451" s="63">
        <v>0</v>
      </c>
      <c r="AG1451" s="63">
        <v>0</v>
      </c>
      <c r="AH1451" s="63"/>
      <c r="AI1451" s="63"/>
      <c r="AJ1451" s="63"/>
      <c r="AK1451" s="63"/>
      <c r="AL1451" s="63"/>
      <c r="AM1451" s="63"/>
      <c r="AN1451" s="63">
        <v>0</v>
      </c>
      <c r="AO1451" s="63"/>
      <c r="AP1451" s="63"/>
      <c r="AQ1451" s="63">
        <v>0</v>
      </c>
      <c r="AR1451" s="63"/>
      <c r="AS1451" s="63"/>
      <c r="AT1451" s="63"/>
      <c r="AU1451" s="63"/>
      <c r="AW1451" s="5">
        <f>IF(Q1451&gt;0,RANK(Q1451,(N1451:P1451,Q1451:AE1451)),0)</f>
        <v>3</v>
      </c>
      <c r="AX1451" s="5">
        <f>IF(R1451&gt;0,RANK(R1451,(N1451:P1451,Q1451:AE1451)),0)</f>
        <v>5</v>
      </c>
      <c r="AY1451" s="5">
        <f>IF(T1451&gt;0,RANK(T1451,(N1451:P1451,Q1451:AE1451)),0)</f>
        <v>10</v>
      </c>
      <c r="AZ1451" s="5">
        <f>IF(S1451&gt;0,RANK(S1451,(N1451:P1451,Q1451:AE1451)),0)</f>
        <v>7</v>
      </c>
      <c r="BA1451" s="2">
        <f t="shared" si="605"/>
        <v>2.393062619861586E-2</v>
      </c>
      <c r="BB1451" s="2">
        <f t="shared" si="606"/>
        <v>8.0046693904777793E-3</v>
      </c>
      <c r="BC1451" s="2">
        <f t="shared" si="607"/>
        <v>5.8367380972233806E-4</v>
      </c>
      <c r="BD1451" s="2">
        <f t="shared" si="608"/>
        <v>3.6688068039689818E-3</v>
      </c>
      <c r="BF1451" t="s">
        <v>2000</v>
      </c>
      <c r="BG1451" t="s">
        <v>2725</v>
      </c>
      <c r="BH1451" s="8">
        <v>7</v>
      </c>
      <c r="BJ1451" s="114">
        <v>27</v>
      </c>
      <c r="BK1451" s="116">
        <v>153</v>
      </c>
      <c r="BL1451" s="120">
        <f t="shared" si="610"/>
        <v>27153</v>
      </c>
      <c r="BN1451" s="5" t="s">
        <v>3154</v>
      </c>
      <c r="CA1451" s="63">
        <v>49</v>
      </c>
    </row>
    <row r="1452" spans="1:79" hidden="1" outlineLevel="1">
      <c r="A1452" t="s">
        <v>1004</v>
      </c>
      <c r="B1452" t="s">
        <v>2725</v>
      </c>
      <c r="C1452" s="1">
        <f t="shared" si="600"/>
        <v>1798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>IF(P1452&gt;0,RANK(P1452,(N1452:P1452,Q1452:AE1452)),0)</f>
        <v>4</v>
      </c>
      <c r="G1452" s="132">
        <f t="shared" si="598"/>
        <v>419</v>
      </c>
      <c r="H1452" s="137">
        <f t="shared" si="599"/>
        <v>0.23303670745272526</v>
      </c>
      <c r="I1452" s="2"/>
      <c r="J1452" s="2">
        <f t="shared" si="601"/>
        <v>0.3503893214682981</v>
      </c>
      <c r="K1452" s="2">
        <f t="shared" si="602"/>
        <v>0.58342602892102335</v>
      </c>
      <c r="L1452" s="2">
        <f t="shared" si="603"/>
        <v>1.7241379310344827E-2</v>
      </c>
      <c r="M1452" s="2">
        <f t="shared" si="604"/>
        <v>4.8943270300333776E-2</v>
      </c>
      <c r="N1452" s="63">
        <v>630</v>
      </c>
      <c r="O1452" s="63">
        <v>1049</v>
      </c>
      <c r="P1452" s="63">
        <v>31</v>
      </c>
      <c r="Q1452" s="63">
        <v>40</v>
      </c>
      <c r="R1452" s="63">
        <v>16</v>
      </c>
      <c r="S1452" s="63">
        <v>13</v>
      </c>
      <c r="T1452" s="63">
        <v>0</v>
      </c>
      <c r="U1452" s="63">
        <v>0</v>
      </c>
      <c r="V1452" s="63">
        <v>0</v>
      </c>
      <c r="W1452" s="63">
        <f t="shared" si="609"/>
        <v>10</v>
      </c>
      <c r="X1452" s="63">
        <v>1</v>
      </c>
      <c r="Y1452" s="63">
        <v>0</v>
      </c>
      <c r="Z1452" s="63">
        <v>0</v>
      </c>
      <c r="AA1452" s="63"/>
      <c r="AB1452" s="63"/>
      <c r="AC1452" s="63">
        <v>8</v>
      </c>
      <c r="AD1452" s="63"/>
      <c r="AE1452" s="63">
        <v>0</v>
      </c>
      <c r="AF1452" s="63">
        <v>0</v>
      </c>
      <c r="AG1452" s="63">
        <v>0</v>
      </c>
      <c r="AH1452" s="63"/>
      <c r="AI1452" s="63"/>
      <c r="AJ1452" s="63"/>
      <c r="AK1452" s="63"/>
      <c r="AL1452" s="63"/>
      <c r="AM1452" s="63"/>
      <c r="AN1452" s="63">
        <v>0</v>
      </c>
      <c r="AO1452" s="63"/>
      <c r="AP1452" s="63"/>
      <c r="AQ1452" s="63">
        <v>0</v>
      </c>
      <c r="AR1452" s="63"/>
      <c r="AS1452" s="63"/>
      <c r="AT1452" s="63"/>
      <c r="AU1452" s="63"/>
      <c r="AW1452" s="5">
        <f>IF(Q1452&gt;0,RANK(Q1452,(N1452:P1452,Q1452:AE1452)),0)</f>
        <v>3</v>
      </c>
      <c r="AX1452" s="5">
        <f>IF(R1452&gt;0,RANK(R1452,(N1452:P1452,Q1452:AE1452)),0)</f>
        <v>5</v>
      </c>
      <c r="AY1452" s="5">
        <f>IF(T1452&gt;0,RANK(T1452,(N1452:P1452,Q1452:AE1452)),0)</f>
        <v>0</v>
      </c>
      <c r="AZ1452" s="5">
        <f>IF(S1452&gt;0,RANK(S1452,(N1452:P1452,Q1452:AE1452)),0)</f>
        <v>6</v>
      </c>
      <c r="BA1452" s="2">
        <f t="shared" si="605"/>
        <v>2.224694104560623E-2</v>
      </c>
      <c r="BB1452" s="2">
        <f t="shared" si="606"/>
        <v>8.8987764182424916E-3</v>
      </c>
      <c r="BC1452" s="2">
        <f t="shared" si="607"/>
        <v>0</v>
      </c>
      <c r="BD1452" s="2">
        <f t="shared" si="608"/>
        <v>7.2302558398220241E-3</v>
      </c>
      <c r="BF1452" t="s">
        <v>1004</v>
      </c>
      <c r="BG1452" t="s">
        <v>2725</v>
      </c>
      <c r="BH1452" s="8">
        <v>7</v>
      </c>
      <c r="BJ1452" s="114">
        <v>27</v>
      </c>
      <c r="BK1452" s="116">
        <v>155</v>
      </c>
      <c r="BL1452" s="120">
        <f t="shared" si="610"/>
        <v>27155</v>
      </c>
      <c r="BN1452" s="5" t="s">
        <v>3154</v>
      </c>
      <c r="CA1452" s="63">
        <v>10</v>
      </c>
    </row>
    <row r="1453" spans="1:79" hidden="1" outlineLevel="1">
      <c r="A1453" t="s">
        <v>1154</v>
      </c>
      <c r="B1453" t="s">
        <v>2725</v>
      </c>
      <c r="C1453" s="1">
        <f t="shared" si="600"/>
        <v>11832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4</v>
      </c>
      <c r="G1453" s="132">
        <f t="shared" si="598"/>
        <v>3123</v>
      </c>
      <c r="H1453" s="137">
        <f t="shared" si="599"/>
        <v>0.26394523326572006</v>
      </c>
      <c r="I1453" s="2"/>
      <c r="J1453" s="2">
        <f t="shared" si="601"/>
        <v>0.32674104124408382</v>
      </c>
      <c r="K1453" s="2">
        <f t="shared" si="602"/>
        <v>0.59068627450980393</v>
      </c>
      <c r="L1453" s="2">
        <f t="shared" si="603"/>
        <v>1.8424611223799865E-2</v>
      </c>
      <c r="M1453" s="2">
        <f t="shared" si="604"/>
        <v>6.4148073022312332E-2</v>
      </c>
      <c r="N1453" s="63">
        <v>3866</v>
      </c>
      <c r="O1453" s="63">
        <v>6989</v>
      </c>
      <c r="P1453" s="63">
        <v>218</v>
      </c>
      <c r="Q1453" s="63">
        <v>467</v>
      </c>
      <c r="R1453" s="63">
        <v>127</v>
      </c>
      <c r="S1453" s="63">
        <v>40</v>
      </c>
      <c r="T1453" s="63">
        <v>4</v>
      </c>
      <c r="U1453" s="63">
        <v>0</v>
      </c>
      <c r="V1453" s="63">
        <v>0</v>
      </c>
      <c r="W1453" s="63">
        <f t="shared" si="609"/>
        <v>68</v>
      </c>
      <c r="X1453" s="63">
        <v>3</v>
      </c>
      <c r="Y1453" s="63">
        <v>0</v>
      </c>
      <c r="Z1453" s="63">
        <v>0</v>
      </c>
      <c r="AA1453" s="63"/>
      <c r="AB1453" s="63"/>
      <c r="AC1453" s="63">
        <v>50</v>
      </c>
      <c r="AD1453" s="63"/>
      <c r="AE1453" s="63">
        <v>0</v>
      </c>
      <c r="AF1453" s="63">
        <v>0</v>
      </c>
      <c r="AG1453" s="63">
        <v>0</v>
      </c>
      <c r="AH1453" s="63"/>
      <c r="AI1453" s="63"/>
      <c r="AJ1453" s="63"/>
      <c r="AK1453" s="63"/>
      <c r="AL1453" s="63"/>
      <c r="AM1453" s="63"/>
      <c r="AN1453" s="63">
        <v>0</v>
      </c>
      <c r="AO1453" s="63"/>
      <c r="AP1453" s="63"/>
      <c r="AQ1453" s="63">
        <v>0</v>
      </c>
      <c r="AR1453" s="63"/>
      <c r="AS1453" s="63"/>
      <c r="AT1453" s="63"/>
      <c r="AU1453" s="63"/>
      <c r="AW1453" s="5">
        <f>IF(Q1453&gt;0,RANK(Q1453,(N1453:P1453,Q1453:AE1453)),0)</f>
        <v>3</v>
      </c>
      <c r="AX1453" s="5">
        <f>IF(R1453&gt;0,RANK(R1453,(N1453:P1453,Q1453:AE1453)),0)</f>
        <v>5</v>
      </c>
      <c r="AY1453" s="5">
        <f>IF(T1453&gt;0,RANK(T1453,(N1453:P1453,Q1453:AE1453)),0)</f>
        <v>9</v>
      </c>
      <c r="AZ1453" s="5">
        <f>IF(S1453&gt;0,RANK(S1453,(N1453:P1453,Q1453:AE1453)),0)</f>
        <v>8</v>
      </c>
      <c r="BA1453" s="2">
        <f t="shared" si="605"/>
        <v>3.946923597025017E-2</v>
      </c>
      <c r="BB1453" s="2">
        <f t="shared" si="606"/>
        <v>1.0733603786342123E-2</v>
      </c>
      <c r="BC1453" s="2">
        <f t="shared" si="607"/>
        <v>3.3806626098715348E-4</v>
      </c>
      <c r="BD1453" s="2">
        <f t="shared" si="608"/>
        <v>3.3806626098715348E-3</v>
      </c>
      <c r="BF1453" t="s">
        <v>1154</v>
      </c>
      <c r="BG1453" t="s">
        <v>2725</v>
      </c>
      <c r="BH1453" s="8">
        <v>2</v>
      </c>
      <c r="BJ1453" s="114">
        <v>27</v>
      </c>
      <c r="BK1453" s="116">
        <v>157</v>
      </c>
      <c r="BL1453" s="120">
        <f t="shared" si="610"/>
        <v>27157</v>
      </c>
      <c r="BN1453" s="5" t="s">
        <v>3154</v>
      </c>
      <c r="CA1453" s="63">
        <v>68</v>
      </c>
    </row>
    <row r="1454" spans="1:79" hidden="1" outlineLevel="1">
      <c r="A1454" t="s">
        <v>2607</v>
      </c>
      <c r="B1454" t="s">
        <v>2725</v>
      </c>
      <c r="C1454" s="1">
        <f t="shared" si="600"/>
        <v>6934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4</v>
      </c>
      <c r="G1454" s="132">
        <f t="shared" si="598"/>
        <v>3153</v>
      </c>
      <c r="H1454" s="137">
        <f t="shared" si="599"/>
        <v>0.45471589270262475</v>
      </c>
      <c r="I1454" s="2"/>
      <c r="J1454" s="2">
        <f t="shared" si="601"/>
        <v>0.24286126334006344</v>
      </c>
      <c r="K1454" s="2">
        <f t="shared" si="602"/>
        <v>0.69757715604268822</v>
      </c>
      <c r="L1454" s="2">
        <f t="shared" si="603"/>
        <v>1.5286991635419672E-2</v>
      </c>
      <c r="M1454" s="2">
        <f t="shared" si="604"/>
        <v>4.4274588981828691E-2</v>
      </c>
      <c r="N1454" s="63">
        <v>1684</v>
      </c>
      <c r="O1454" s="63">
        <v>4837</v>
      </c>
      <c r="P1454" s="63">
        <v>106</v>
      </c>
      <c r="Q1454" s="63">
        <v>164</v>
      </c>
      <c r="R1454" s="63">
        <v>58</v>
      </c>
      <c r="S1454" s="63">
        <v>19</v>
      </c>
      <c r="T1454" s="63">
        <v>2</v>
      </c>
      <c r="U1454" s="63">
        <v>0</v>
      </c>
      <c r="V1454" s="63">
        <v>0</v>
      </c>
      <c r="W1454" s="63">
        <f t="shared" si="609"/>
        <v>40</v>
      </c>
      <c r="X1454" s="63">
        <v>3</v>
      </c>
      <c r="Y1454" s="63">
        <v>0</v>
      </c>
      <c r="Z1454" s="63">
        <v>0</v>
      </c>
      <c r="AA1454" s="63"/>
      <c r="AB1454" s="63"/>
      <c r="AC1454" s="63">
        <v>21</v>
      </c>
      <c r="AD1454" s="63"/>
      <c r="AE1454" s="63">
        <v>0</v>
      </c>
      <c r="AF1454" s="63">
        <v>0</v>
      </c>
      <c r="AG1454" s="63">
        <v>0</v>
      </c>
      <c r="AH1454" s="63"/>
      <c r="AI1454" s="63"/>
      <c r="AJ1454" s="63"/>
      <c r="AK1454" s="63"/>
      <c r="AL1454" s="63"/>
      <c r="AM1454" s="63"/>
      <c r="AN1454" s="63">
        <v>0</v>
      </c>
      <c r="AO1454" s="63"/>
      <c r="AP1454" s="63"/>
      <c r="AQ1454" s="63">
        <v>0</v>
      </c>
      <c r="AR1454" s="63"/>
      <c r="AS1454" s="63"/>
      <c r="AT1454" s="63"/>
      <c r="AU1454" s="63"/>
      <c r="AW1454" s="5">
        <f>IF(Q1454&gt;0,RANK(Q1454,(N1454:P1454,Q1454:AE1454)),0)</f>
        <v>3</v>
      </c>
      <c r="AX1454" s="5">
        <f>IF(R1454&gt;0,RANK(R1454,(N1454:P1454,Q1454:AE1454)),0)</f>
        <v>5</v>
      </c>
      <c r="AY1454" s="5">
        <f>IF(T1454&gt;0,RANK(T1454,(N1454:P1454,Q1454:AE1454)),0)</f>
        <v>10</v>
      </c>
      <c r="AZ1454" s="5">
        <f>IF(S1454&gt;0,RANK(S1454,(N1454:P1454,Q1454:AE1454)),0)</f>
        <v>8</v>
      </c>
      <c r="BA1454" s="2">
        <f t="shared" si="605"/>
        <v>2.365157196423421E-2</v>
      </c>
      <c r="BB1454" s="2">
        <f t="shared" si="606"/>
        <v>8.3645803288145363E-3</v>
      </c>
      <c r="BC1454" s="2">
        <f t="shared" si="607"/>
        <v>2.8843380444188056E-4</v>
      </c>
      <c r="BD1454" s="2">
        <f t="shared" si="608"/>
        <v>2.7401211421978658E-3</v>
      </c>
      <c r="BF1454" t="s">
        <v>2607</v>
      </c>
      <c r="BG1454" t="s">
        <v>2725</v>
      </c>
      <c r="BH1454" s="8">
        <v>8</v>
      </c>
      <c r="BJ1454" s="114">
        <v>27</v>
      </c>
      <c r="BK1454" s="116">
        <v>159</v>
      </c>
      <c r="BL1454" s="120">
        <f t="shared" si="610"/>
        <v>27159</v>
      </c>
      <c r="BN1454" s="5" t="s">
        <v>3154</v>
      </c>
      <c r="CA1454" s="63">
        <v>40</v>
      </c>
    </row>
    <row r="1455" spans="1:79" hidden="1" outlineLevel="1">
      <c r="A1455" t="s">
        <v>2435</v>
      </c>
      <c r="B1455" t="s">
        <v>2725</v>
      </c>
      <c r="C1455" s="1">
        <f t="shared" si="600"/>
        <v>9653</v>
      </c>
      <c r="D1455" s="5">
        <f>IF(N1455&gt;0, RANK(N1455,(N1455:P1455,Q1455:AE1455)),0)</f>
        <v>2</v>
      </c>
      <c r="E1455" s="5">
        <f>IF(O1455&gt;0,RANK(O1455,(N1455:P1455,Q1455:AE1455)),0)</f>
        <v>1</v>
      </c>
      <c r="F1455" s="5">
        <f>IF(P1455&gt;0,RANK(P1455,(N1455:P1455,Q1455:AE1455)),0)</f>
        <v>4</v>
      </c>
      <c r="G1455" s="132">
        <f t="shared" si="598"/>
        <v>3129</v>
      </c>
      <c r="H1455" s="137">
        <f t="shared" si="599"/>
        <v>0.32414793328498914</v>
      </c>
      <c r="I1455" s="2"/>
      <c r="J1455" s="2">
        <f t="shared" si="601"/>
        <v>0.29400186470527295</v>
      </c>
      <c r="K1455" s="2">
        <f t="shared" si="602"/>
        <v>0.61814979799026204</v>
      </c>
      <c r="L1455" s="2">
        <f t="shared" si="603"/>
        <v>1.9061431679270692E-2</v>
      </c>
      <c r="M1455" s="2">
        <f t="shared" si="604"/>
        <v>6.8786905625194378E-2</v>
      </c>
      <c r="N1455" s="63">
        <v>2838</v>
      </c>
      <c r="O1455" s="63">
        <v>5967</v>
      </c>
      <c r="P1455" s="63">
        <v>184</v>
      </c>
      <c r="Q1455" s="63">
        <v>387</v>
      </c>
      <c r="R1455" s="63">
        <v>106</v>
      </c>
      <c r="S1455" s="63">
        <v>38</v>
      </c>
      <c r="T1455" s="63">
        <v>7</v>
      </c>
      <c r="U1455" s="63">
        <v>0</v>
      </c>
      <c r="V1455" s="63">
        <v>0</v>
      </c>
      <c r="W1455" s="63">
        <f t="shared" si="609"/>
        <v>74</v>
      </c>
      <c r="X1455" s="63">
        <v>7</v>
      </c>
      <c r="Y1455" s="63">
        <v>0</v>
      </c>
      <c r="Z1455" s="63">
        <v>0</v>
      </c>
      <c r="AA1455" s="63"/>
      <c r="AB1455" s="63"/>
      <c r="AC1455" s="63">
        <v>45</v>
      </c>
      <c r="AD1455" s="63"/>
      <c r="AE1455" s="63">
        <v>0</v>
      </c>
      <c r="AF1455" s="63">
        <v>0</v>
      </c>
      <c r="AG1455" s="63">
        <v>0</v>
      </c>
      <c r="AH1455" s="63"/>
      <c r="AI1455" s="63"/>
      <c r="AJ1455" s="63"/>
      <c r="AK1455" s="63"/>
      <c r="AL1455" s="63"/>
      <c r="AM1455" s="63"/>
      <c r="AN1455" s="63">
        <v>0</v>
      </c>
      <c r="AO1455" s="63"/>
      <c r="AP1455" s="63"/>
      <c r="AQ1455" s="63">
        <v>0</v>
      </c>
      <c r="AR1455" s="63"/>
      <c r="AS1455" s="63"/>
      <c r="AT1455" s="63"/>
      <c r="AU1455" s="63"/>
      <c r="AW1455" s="5">
        <f>IF(Q1455&gt;0,RANK(Q1455,(N1455:P1455,Q1455:AE1455)),0)</f>
        <v>3</v>
      </c>
      <c r="AX1455" s="5">
        <f>IF(R1455&gt;0,RANK(R1455,(N1455:P1455,Q1455:AE1455)),0)</f>
        <v>5</v>
      </c>
      <c r="AY1455" s="5">
        <f>IF(T1455&gt;0,RANK(T1455,(N1455:P1455,Q1455:AE1455)),0)</f>
        <v>9</v>
      </c>
      <c r="AZ1455" s="5">
        <f>IF(S1455&gt;0,RANK(S1455,(N1455:P1455,Q1455:AE1455)),0)</f>
        <v>8</v>
      </c>
      <c r="BA1455" s="2">
        <f t="shared" si="605"/>
        <v>4.009116336890086E-2</v>
      </c>
      <c r="BB1455" s="2">
        <f t="shared" si="606"/>
        <v>1.0981042163058117E-2</v>
      </c>
      <c r="BC1455" s="2">
        <f t="shared" si="607"/>
        <v>7.2516316171138508E-4</v>
      </c>
      <c r="BD1455" s="2">
        <f t="shared" si="608"/>
        <v>3.9366000207189476E-3</v>
      </c>
      <c r="BF1455" t="s">
        <v>2435</v>
      </c>
      <c r="BG1455" t="s">
        <v>2725</v>
      </c>
      <c r="BH1455" s="8">
        <v>1</v>
      </c>
      <c r="BJ1455" s="114">
        <v>27</v>
      </c>
      <c r="BK1455" s="116">
        <v>161</v>
      </c>
      <c r="BL1455" s="120">
        <f t="shared" si="610"/>
        <v>27161</v>
      </c>
      <c r="BN1455" s="5" t="s">
        <v>3154</v>
      </c>
      <c r="CA1455" s="63">
        <v>74</v>
      </c>
    </row>
    <row r="1456" spans="1:79" hidden="1" outlineLevel="1">
      <c r="A1456" t="s">
        <v>692</v>
      </c>
      <c r="B1456" t="s">
        <v>2725</v>
      </c>
      <c r="C1456" s="1">
        <f t="shared" si="600"/>
        <v>144235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>IF(P1456&gt;0,RANK(P1456,(N1456:P1456,Q1456:AE1456)),0)</f>
        <v>4</v>
      </c>
      <c r="G1456" s="132">
        <f t="shared" si="598"/>
        <v>2658</v>
      </c>
      <c r="H1456" s="137">
        <f t="shared" si="599"/>
        <v>1.8428259437723159E-2</v>
      </c>
      <c r="I1456" s="2"/>
      <c r="J1456" s="2">
        <f t="shared" si="601"/>
        <v>0.46511595659860644</v>
      </c>
      <c r="K1456" s="2">
        <f t="shared" si="602"/>
        <v>0.4466876971608833</v>
      </c>
      <c r="L1456" s="2">
        <f t="shared" si="603"/>
        <v>1.8844247235414429E-2</v>
      </c>
      <c r="M1456" s="2">
        <f t="shared" si="604"/>
        <v>6.9352099005095771E-2</v>
      </c>
      <c r="N1456" s="63">
        <v>67086</v>
      </c>
      <c r="O1456" s="63">
        <v>64428</v>
      </c>
      <c r="P1456" s="63">
        <v>2718</v>
      </c>
      <c r="Q1456" s="63">
        <v>6180</v>
      </c>
      <c r="R1456" s="63">
        <v>1478</v>
      </c>
      <c r="S1456" s="63">
        <v>420</v>
      </c>
      <c r="T1456" s="63">
        <v>76</v>
      </c>
      <c r="U1456" s="63">
        <v>0</v>
      </c>
      <c r="V1456" s="63">
        <v>1</v>
      </c>
      <c r="W1456" s="63">
        <f t="shared" si="609"/>
        <v>1377</v>
      </c>
      <c r="X1456" s="63">
        <v>62</v>
      </c>
      <c r="Y1456" s="63">
        <v>1</v>
      </c>
      <c r="Z1456" s="63">
        <v>0</v>
      </c>
      <c r="AA1456" s="63"/>
      <c r="AB1456" s="63"/>
      <c r="AC1456" s="63">
        <v>394</v>
      </c>
      <c r="AD1456" s="63"/>
      <c r="AE1456" s="63">
        <v>0</v>
      </c>
      <c r="AF1456" s="63">
        <v>0</v>
      </c>
      <c r="AG1456" s="63">
        <v>2</v>
      </c>
      <c r="AH1456" s="63"/>
      <c r="AI1456" s="63"/>
      <c r="AJ1456" s="63"/>
      <c r="AK1456" s="63"/>
      <c r="AL1456" s="63"/>
      <c r="AM1456" s="63"/>
      <c r="AN1456" s="63">
        <v>12</v>
      </c>
      <c r="AO1456" s="63"/>
      <c r="AP1456" s="63"/>
      <c r="AQ1456" s="63">
        <v>0</v>
      </c>
      <c r="AR1456" s="63"/>
      <c r="AS1456" s="63"/>
      <c r="AT1456" s="63"/>
      <c r="AU1456" s="63"/>
      <c r="AW1456" s="5">
        <f>IF(Q1456&gt;0,RANK(Q1456,(N1456:P1456,Q1456:AE1456)),0)</f>
        <v>3</v>
      </c>
      <c r="AX1456" s="5">
        <f>IF(R1456&gt;0,RANK(R1456,(N1456:P1456,Q1456:AE1456)),0)</f>
        <v>5</v>
      </c>
      <c r="AY1456" s="5">
        <f>IF(T1456&gt;0,RANK(T1456,(N1456:P1456,Q1456:AE1456)),0)</f>
        <v>9</v>
      </c>
      <c r="AZ1456" s="5">
        <f>IF(S1456&gt;0,RANK(S1456,(N1456:P1456,Q1456:AE1456)),0)</f>
        <v>7</v>
      </c>
      <c r="BA1456" s="2">
        <f t="shared" si="605"/>
        <v>4.2846743162200572E-2</v>
      </c>
      <c r="BB1456" s="2">
        <f t="shared" si="606"/>
        <v>1.0247166083128229E-2</v>
      </c>
      <c r="BC1456" s="2">
        <f t="shared" si="607"/>
        <v>5.2691787707560573E-4</v>
      </c>
      <c r="BD1456" s="2">
        <f t="shared" si="608"/>
        <v>2.9119145838388742E-3</v>
      </c>
      <c r="BF1456" t="s">
        <v>692</v>
      </c>
      <c r="BG1456" t="s">
        <v>2725</v>
      </c>
      <c r="BH1456" s="8"/>
      <c r="BJ1456" s="114">
        <v>27</v>
      </c>
      <c r="BK1456" s="116">
        <v>163</v>
      </c>
      <c r="BL1456" s="120">
        <f t="shared" si="610"/>
        <v>27163</v>
      </c>
      <c r="BN1456" s="5" t="s">
        <v>3154</v>
      </c>
      <c r="CA1456" s="63">
        <v>1393</v>
      </c>
    </row>
    <row r="1457" spans="1:79" hidden="1" outlineLevel="1">
      <c r="A1457" t="s">
        <v>2413</v>
      </c>
      <c r="B1457" t="s">
        <v>2725</v>
      </c>
      <c r="C1457" s="1">
        <f t="shared" si="600"/>
        <v>4998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4</v>
      </c>
      <c r="G1457" s="132">
        <f t="shared" si="598"/>
        <v>954</v>
      </c>
      <c r="H1457" s="137">
        <f t="shared" si="599"/>
        <v>0.19087635054021609</v>
      </c>
      <c r="I1457" s="2"/>
      <c r="J1457" s="2">
        <f t="shared" si="601"/>
        <v>0.3629451780712285</v>
      </c>
      <c r="K1457" s="2">
        <f t="shared" si="602"/>
        <v>0.55382152861144462</v>
      </c>
      <c r="L1457" s="2">
        <f t="shared" si="603"/>
        <v>2.1408563425370147E-2</v>
      </c>
      <c r="M1457" s="2">
        <f t="shared" si="604"/>
        <v>6.1824729891956726E-2</v>
      </c>
      <c r="N1457" s="63">
        <v>1814</v>
      </c>
      <c r="O1457" s="63">
        <v>2768</v>
      </c>
      <c r="P1457" s="63">
        <v>107</v>
      </c>
      <c r="Q1457" s="63">
        <v>156</v>
      </c>
      <c r="R1457" s="63">
        <v>52</v>
      </c>
      <c r="S1457" s="63">
        <v>33</v>
      </c>
      <c r="T1457" s="63">
        <v>5</v>
      </c>
      <c r="U1457" s="63">
        <v>0</v>
      </c>
      <c r="V1457" s="63">
        <v>0</v>
      </c>
      <c r="W1457" s="63">
        <f t="shared" si="609"/>
        <v>27</v>
      </c>
      <c r="X1457" s="63">
        <v>4</v>
      </c>
      <c r="Y1457" s="63">
        <v>0</v>
      </c>
      <c r="Z1457" s="63">
        <v>0</v>
      </c>
      <c r="AA1457" s="63"/>
      <c r="AB1457" s="63"/>
      <c r="AC1457" s="63">
        <v>32</v>
      </c>
      <c r="AD1457" s="63"/>
      <c r="AE1457" s="63">
        <v>0</v>
      </c>
      <c r="AF1457" s="63">
        <v>0</v>
      </c>
      <c r="AG1457" s="63">
        <v>0</v>
      </c>
      <c r="AH1457" s="63"/>
      <c r="AI1457" s="63"/>
      <c r="AJ1457" s="63"/>
      <c r="AK1457" s="63"/>
      <c r="AL1457" s="63"/>
      <c r="AM1457" s="63"/>
      <c r="AN1457" s="63">
        <v>0</v>
      </c>
      <c r="AO1457" s="63"/>
      <c r="AP1457" s="63"/>
      <c r="AQ1457" s="63">
        <v>0</v>
      </c>
      <c r="AR1457" s="63"/>
      <c r="AS1457" s="63"/>
      <c r="AT1457" s="63"/>
      <c r="AU1457" s="63"/>
      <c r="AW1457" s="5">
        <f>IF(Q1457&gt;0,RANK(Q1457,(N1457:P1457,Q1457:AE1457)),0)</f>
        <v>3</v>
      </c>
      <c r="AX1457" s="5">
        <f>IF(R1457&gt;0,RANK(R1457,(N1457:P1457,Q1457:AE1457)),0)</f>
        <v>5</v>
      </c>
      <c r="AY1457" s="5">
        <f>IF(T1457&gt;0,RANK(T1457,(N1457:P1457,Q1457:AE1457)),0)</f>
        <v>9</v>
      </c>
      <c r="AZ1457" s="5">
        <f>IF(S1457&gt;0,RANK(S1457,(N1457:P1457,Q1457:AE1457)),0)</f>
        <v>6</v>
      </c>
      <c r="BA1457" s="2">
        <f t="shared" si="605"/>
        <v>3.1212484993997598E-2</v>
      </c>
      <c r="BB1457" s="2">
        <f t="shared" si="606"/>
        <v>1.0404161664665866E-2</v>
      </c>
      <c r="BC1457" s="2">
        <f t="shared" si="607"/>
        <v>1.0004001600640256E-3</v>
      </c>
      <c r="BD1457" s="2">
        <f t="shared" si="608"/>
        <v>6.6026410564225691E-3</v>
      </c>
      <c r="BF1457" t="s">
        <v>2413</v>
      </c>
      <c r="BG1457" t="s">
        <v>2725</v>
      </c>
      <c r="BH1457" s="8">
        <v>1</v>
      </c>
      <c r="BJ1457" s="114">
        <v>27</v>
      </c>
      <c r="BK1457" s="116">
        <v>165</v>
      </c>
      <c r="BL1457" s="120">
        <f t="shared" si="610"/>
        <v>27165</v>
      </c>
      <c r="BN1457" s="5" t="s">
        <v>3154</v>
      </c>
      <c r="CA1457" s="63">
        <v>27</v>
      </c>
    </row>
    <row r="1458" spans="1:79" hidden="1" outlineLevel="1">
      <c r="A1458" t="s">
        <v>2324</v>
      </c>
      <c r="B1458" t="s">
        <v>2725</v>
      </c>
      <c r="C1458" s="1">
        <f t="shared" si="600"/>
        <v>3302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>IF(P1458&gt;0,RANK(P1458,(N1458:P1458,Q1458:AE1458)),0)</f>
        <v>4</v>
      </c>
      <c r="G1458" s="132">
        <f t="shared" si="598"/>
        <v>1236</v>
      </c>
      <c r="H1458" s="137">
        <f t="shared" si="599"/>
        <v>0.37431859479103574</v>
      </c>
      <c r="I1458" s="2"/>
      <c r="J1458" s="2">
        <f t="shared" si="601"/>
        <v>0.27044215626892792</v>
      </c>
      <c r="K1458" s="2">
        <f t="shared" si="602"/>
        <v>0.64476075105996367</v>
      </c>
      <c r="L1458" s="2">
        <f t="shared" si="603"/>
        <v>1.4536644457904301E-2</v>
      </c>
      <c r="M1458" s="2">
        <f t="shared" si="604"/>
        <v>7.0260448213204166E-2</v>
      </c>
      <c r="N1458" s="63">
        <v>893</v>
      </c>
      <c r="O1458" s="63">
        <v>2129</v>
      </c>
      <c r="P1458" s="63">
        <v>48</v>
      </c>
      <c r="Q1458" s="63">
        <v>146</v>
      </c>
      <c r="R1458" s="63">
        <v>34</v>
      </c>
      <c r="S1458" s="63">
        <v>15</v>
      </c>
      <c r="T1458" s="63">
        <v>2</v>
      </c>
      <c r="U1458" s="63">
        <v>0</v>
      </c>
      <c r="V1458" s="63">
        <v>0</v>
      </c>
      <c r="W1458" s="63">
        <f t="shared" si="609"/>
        <v>23</v>
      </c>
      <c r="X1458" s="63">
        <v>1</v>
      </c>
      <c r="Y1458" s="63">
        <v>0</v>
      </c>
      <c r="Z1458" s="63">
        <v>0</v>
      </c>
      <c r="AA1458" s="63"/>
      <c r="AB1458" s="63"/>
      <c r="AC1458" s="63">
        <v>11</v>
      </c>
      <c r="AD1458" s="63"/>
      <c r="AE1458" s="63">
        <v>0</v>
      </c>
      <c r="AF1458" s="63">
        <v>0</v>
      </c>
      <c r="AG1458" s="63">
        <v>0</v>
      </c>
      <c r="AH1458" s="63"/>
      <c r="AI1458" s="63"/>
      <c r="AJ1458" s="63"/>
      <c r="AK1458" s="63"/>
      <c r="AL1458" s="63"/>
      <c r="AM1458" s="63"/>
      <c r="AN1458" s="63">
        <v>0</v>
      </c>
      <c r="AO1458" s="63"/>
      <c r="AP1458" s="63"/>
      <c r="AQ1458" s="63">
        <v>0</v>
      </c>
      <c r="AR1458" s="63"/>
      <c r="AS1458" s="63"/>
      <c r="AT1458" s="63"/>
      <c r="AU1458" s="63"/>
      <c r="AW1458" s="5">
        <f>IF(Q1458&gt;0,RANK(Q1458,(N1458:P1458,Q1458:AE1458)),0)</f>
        <v>3</v>
      </c>
      <c r="AX1458" s="5">
        <f>IF(R1458&gt;0,RANK(R1458,(N1458:P1458,Q1458:AE1458)),0)</f>
        <v>5</v>
      </c>
      <c r="AY1458" s="5">
        <f>IF(T1458&gt;0,RANK(T1458,(N1458:P1458,Q1458:AE1458)),0)</f>
        <v>9</v>
      </c>
      <c r="AZ1458" s="5">
        <f>IF(S1458&gt;0,RANK(S1458,(N1458:P1458,Q1458:AE1458)),0)</f>
        <v>7</v>
      </c>
      <c r="BA1458" s="2">
        <f t="shared" si="605"/>
        <v>4.4215626892792244E-2</v>
      </c>
      <c r="BB1458" s="2">
        <f t="shared" si="606"/>
        <v>1.029678982434888E-2</v>
      </c>
      <c r="BC1458" s="2">
        <f t="shared" si="607"/>
        <v>6.0569351907934583E-4</v>
      </c>
      <c r="BD1458" s="2">
        <f t="shared" si="608"/>
        <v>4.5427013930950935E-3</v>
      </c>
      <c r="BF1458" t="s">
        <v>2324</v>
      </c>
      <c r="BG1458" t="s">
        <v>2725</v>
      </c>
      <c r="BH1458" s="8">
        <v>7</v>
      </c>
      <c r="BJ1458" s="114">
        <v>27</v>
      </c>
      <c r="BK1458" s="116">
        <v>167</v>
      </c>
      <c r="BL1458" s="120">
        <f t="shared" si="610"/>
        <v>27167</v>
      </c>
      <c r="BN1458" s="5" t="s">
        <v>3154</v>
      </c>
      <c r="CA1458" s="63">
        <v>23</v>
      </c>
    </row>
    <row r="1459" spans="1:79" hidden="1" outlineLevel="1">
      <c r="A1459" t="s">
        <v>435</v>
      </c>
      <c r="B1459" t="s">
        <v>2725</v>
      </c>
      <c r="C1459" s="1">
        <f t="shared" si="600"/>
        <v>26074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>IF(P1459&gt;0,RANK(P1459,(N1459:P1459,Q1459:AE1459)),0)</f>
        <v>5</v>
      </c>
      <c r="G1459" s="132">
        <f t="shared" si="598"/>
        <v>756</v>
      </c>
      <c r="H1459" s="137">
        <f t="shared" si="599"/>
        <v>2.8994400552274296E-2</v>
      </c>
      <c r="I1459" s="2"/>
      <c r="J1459" s="2">
        <f t="shared" si="601"/>
        <v>0.4359131702078699</v>
      </c>
      <c r="K1459" s="2">
        <f t="shared" si="602"/>
        <v>0.46490757076014422</v>
      </c>
      <c r="L1459" s="2">
        <f t="shared" si="603"/>
        <v>1.5877886016721639E-2</v>
      </c>
      <c r="M1459" s="2">
        <f t="shared" si="604"/>
        <v>8.3301373015264246E-2</v>
      </c>
      <c r="N1459" s="63">
        <v>11366</v>
      </c>
      <c r="O1459" s="63">
        <v>12122</v>
      </c>
      <c r="P1459" s="63">
        <v>414</v>
      </c>
      <c r="Q1459" s="63">
        <v>1165</v>
      </c>
      <c r="R1459" s="63">
        <v>531</v>
      </c>
      <c r="S1459" s="63">
        <v>96</v>
      </c>
      <c r="T1459" s="63">
        <v>17</v>
      </c>
      <c r="U1459" s="63">
        <v>0</v>
      </c>
      <c r="V1459" s="63">
        <v>0</v>
      </c>
      <c r="W1459" s="63">
        <f t="shared" si="609"/>
        <v>210</v>
      </c>
      <c r="X1459" s="63">
        <v>23</v>
      </c>
      <c r="Y1459" s="63">
        <v>0</v>
      </c>
      <c r="Z1459" s="63">
        <v>0</v>
      </c>
      <c r="AA1459" s="63"/>
      <c r="AB1459" s="63"/>
      <c r="AC1459" s="63">
        <v>118</v>
      </c>
      <c r="AD1459" s="63"/>
      <c r="AE1459" s="63">
        <v>0</v>
      </c>
      <c r="AF1459" s="63">
        <v>0</v>
      </c>
      <c r="AG1459" s="63">
        <v>0</v>
      </c>
      <c r="AH1459" s="63"/>
      <c r="AI1459" s="63"/>
      <c r="AJ1459" s="63"/>
      <c r="AK1459" s="63"/>
      <c r="AL1459" s="63"/>
      <c r="AM1459" s="63"/>
      <c r="AN1459" s="63">
        <v>12</v>
      </c>
      <c r="AO1459" s="63"/>
      <c r="AP1459" s="63"/>
      <c r="AQ1459" s="63">
        <v>0</v>
      </c>
      <c r="AR1459" s="63"/>
      <c r="AS1459" s="63"/>
      <c r="AT1459" s="63"/>
      <c r="AU1459" s="63"/>
      <c r="AW1459" s="5">
        <f>IF(Q1459&gt;0,RANK(Q1459,(N1459:P1459,Q1459:AE1459)),0)</f>
        <v>3</v>
      </c>
      <c r="AX1459" s="5">
        <f>IF(R1459&gt;0,RANK(R1459,(N1459:P1459,Q1459:AE1459)),0)</f>
        <v>4</v>
      </c>
      <c r="AY1459" s="5">
        <f>IF(T1459&gt;0,RANK(T1459,(N1459:P1459,Q1459:AE1459)),0)</f>
        <v>10</v>
      </c>
      <c r="AZ1459" s="5">
        <f>IF(S1459&gt;0,RANK(S1459,(N1459:P1459,Q1459:AE1459)),0)</f>
        <v>8</v>
      </c>
      <c r="BA1459" s="2">
        <f t="shared" si="605"/>
        <v>4.4680524660581422E-2</v>
      </c>
      <c r="BB1459" s="2">
        <f t="shared" si="606"/>
        <v>2.0365114673621232E-2</v>
      </c>
      <c r="BC1459" s="2">
        <f t="shared" si="607"/>
        <v>6.5199048860934263E-4</v>
      </c>
      <c r="BD1459" s="2">
        <f t="shared" si="608"/>
        <v>3.6818286415586407E-3</v>
      </c>
      <c r="BF1459" t="s">
        <v>435</v>
      </c>
      <c r="BG1459" t="s">
        <v>2725</v>
      </c>
      <c r="BH1459" s="8">
        <v>1</v>
      </c>
      <c r="BJ1459" s="114">
        <v>27</v>
      </c>
      <c r="BK1459" s="116">
        <v>169</v>
      </c>
      <c r="BL1459" s="120">
        <f t="shared" si="610"/>
        <v>27169</v>
      </c>
      <c r="BN1459" s="5" t="s">
        <v>3154</v>
      </c>
      <c r="CA1459" s="63">
        <v>222</v>
      </c>
    </row>
    <row r="1460" spans="1:79" hidden="1" outlineLevel="1">
      <c r="A1460" t="s">
        <v>341</v>
      </c>
      <c r="B1460" t="s">
        <v>2725</v>
      </c>
      <c r="C1460" s="1">
        <f t="shared" si="600"/>
        <v>69618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4</v>
      </c>
      <c r="G1460" s="132">
        <f t="shared" si="598"/>
        <v>22940</v>
      </c>
      <c r="H1460" s="137">
        <f t="shared" si="599"/>
        <v>0.32951248240397596</v>
      </c>
      <c r="I1460" s="2"/>
      <c r="J1460" s="2">
        <f t="shared" si="601"/>
        <v>0.29207963457726449</v>
      </c>
      <c r="K1460" s="2">
        <f t="shared" si="602"/>
        <v>0.62159211698124051</v>
      </c>
      <c r="L1460" s="2">
        <f t="shared" si="603"/>
        <v>1.9994828923554253E-2</v>
      </c>
      <c r="M1460" s="2">
        <f t="shared" si="604"/>
        <v>6.633341951794075E-2</v>
      </c>
      <c r="N1460" s="63">
        <v>20334</v>
      </c>
      <c r="O1460" s="63">
        <v>43274</v>
      </c>
      <c r="P1460" s="63">
        <v>1392</v>
      </c>
      <c r="Q1460" s="63">
        <v>3002</v>
      </c>
      <c r="R1460" s="63">
        <v>547</v>
      </c>
      <c r="S1460" s="63">
        <v>293</v>
      </c>
      <c r="T1460" s="63">
        <v>29</v>
      </c>
      <c r="U1460" s="63">
        <v>0</v>
      </c>
      <c r="V1460" s="63">
        <v>0</v>
      </c>
      <c r="W1460" s="63">
        <f t="shared" si="609"/>
        <v>464</v>
      </c>
      <c r="X1460" s="63">
        <v>27</v>
      </c>
      <c r="Y1460" s="63">
        <v>0</v>
      </c>
      <c r="Z1460" s="63">
        <v>0</v>
      </c>
      <c r="AA1460" s="63"/>
      <c r="AB1460" s="63"/>
      <c r="AC1460" s="63">
        <v>254</v>
      </c>
      <c r="AD1460" s="63"/>
      <c r="AE1460" s="63">
        <v>1</v>
      </c>
      <c r="AF1460" s="63">
        <v>0</v>
      </c>
      <c r="AG1460" s="63">
        <v>0</v>
      </c>
      <c r="AH1460" s="63"/>
      <c r="AI1460" s="63"/>
      <c r="AJ1460" s="63"/>
      <c r="AK1460" s="63"/>
      <c r="AL1460" s="63"/>
      <c r="AM1460" s="63"/>
      <c r="AN1460" s="63">
        <v>1</v>
      </c>
      <c r="AO1460" s="63"/>
      <c r="AP1460" s="63"/>
      <c r="AQ1460" s="63">
        <v>0</v>
      </c>
      <c r="AR1460" s="63"/>
      <c r="AS1460" s="63"/>
      <c r="AT1460" s="63"/>
      <c r="AU1460" s="63"/>
      <c r="AW1460" s="5">
        <f>IF(Q1460&gt;0,RANK(Q1460,(N1460:P1460,Q1460:AE1460)),0)</f>
        <v>3</v>
      </c>
      <c r="AX1460" s="5">
        <f>IF(R1460&gt;0,RANK(R1460,(N1460:P1460,Q1460:AE1460)),0)</f>
        <v>5</v>
      </c>
      <c r="AY1460" s="5">
        <f>IF(T1460&gt;0,RANK(T1460,(N1460:P1460,Q1460:AE1460)),0)</f>
        <v>9</v>
      </c>
      <c r="AZ1460" s="5">
        <f>IF(S1460&gt;0,RANK(S1460,(N1460:P1460,Q1460:AE1460)),0)</f>
        <v>7</v>
      </c>
      <c r="BA1460" s="2">
        <f t="shared" si="605"/>
        <v>4.3121031917032954E-2</v>
      </c>
      <c r="BB1460" s="2">
        <f t="shared" si="606"/>
        <v>7.8571633772874828E-3</v>
      </c>
      <c r="BC1460" s="2">
        <f t="shared" si="607"/>
        <v>4.1655893590738027E-4</v>
      </c>
      <c r="BD1460" s="2">
        <f t="shared" si="608"/>
        <v>4.2086816627883595E-3</v>
      </c>
      <c r="BF1460" t="s">
        <v>341</v>
      </c>
      <c r="BG1460" t="s">
        <v>2725</v>
      </c>
      <c r="BH1460" s="8">
        <v>6</v>
      </c>
      <c r="BJ1460" s="114">
        <v>27</v>
      </c>
      <c r="BK1460" s="116">
        <v>171</v>
      </c>
      <c r="BL1460" s="120">
        <f t="shared" si="610"/>
        <v>27171</v>
      </c>
      <c r="BN1460" s="5" t="s">
        <v>3154</v>
      </c>
      <c r="CA1460" s="63">
        <v>466</v>
      </c>
    </row>
    <row r="1461" spans="1:79" hidden="1" outlineLevel="1">
      <c r="A1461" t="s">
        <v>2253</v>
      </c>
      <c r="B1461" t="s">
        <v>2725</v>
      </c>
      <c r="C1461" s="1">
        <f t="shared" si="600"/>
        <v>5276</v>
      </c>
      <c r="D1461" s="5">
        <f>IF(N1461&gt;0, RANK(N1461,(N1461:P1461,Q1461:AE1461)),0)</f>
        <v>2</v>
      </c>
      <c r="E1461" s="5">
        <f>IF(O1461&gt;0,RANK(O1461,(N1461:P1461,Q1461:AE1461)),0)</f>
        <v>1</v>
      </c>
      <c r="F1461" s="5">
        <f>IF(P1461&gt;0,RANK(P1461,(N1461:P1461,Q1461:AE1461)),0)</f>
        <v>4</v>
      </c>
      <c r="G1461" s="132">
        <f t="shared" si="598"/>
        <v>1858</v>
      </c>
      <c r="H1461" s="137">
        <f t="shared" si="599"/>
        <v>0.35216072782410918</v>
      </c>
      <c r="I1461" s="2"/>
      <c r="J1461" s="2">
        <f t="shared" si="601"/>
        <v>0.28885519332827903</v>
      </c>
      <c r="K1461" s="2">
        <f t="shared" si="602"/>
        <v>0.64101592115238815</v>
      </c>
      <c r="L1461" s="2">
        <f t="shared" si="603"/>
        <v>1.7626990144048522E-2</v>
      </c>
      <c r="M1461" s="2">
        <f t="shared" si="604"/>
        <v>5.250189537528431E-2</v>
      </c>
      <c r="N1461" s="63">
        <v>1524</v>
      </c>
      <c r="O1461" s="63">
        <v>3382</v>
      </c>
      <c r="P1461" s="63">
        <v>93</v>
      </c>
      <c r="Q1461" s="63">
        <v>163</v>
      </c>
      <c r="R1461" s="63">
        <v>37</v>
      </c>
      <c r="S1461" s="63">
        <v>28</v>
      </c>
      <c r="T1461" s="63">
        <v>4</v>
      </c>
      <c r="U1461" s="63">
        <v>0</v>
      </c>
      <c r="V1461" s="63">
        <v>0</v>
      </c>
      <c r="W1461" s="63">
        <f t="shared" si="609"/>
        <v>23</v>
      </c>
      <c r="X1461" s="63">
        <v>6</v>
      </c>
      <c r="Y1461" s="63">
        <v>0</v>
      </c>
      <c r="Z1461" s="63">
        <v>0</v>
      </c>
      <c r="AA1461" s="63"/>
      <c r="AB1461" s="63"/>
      <c r="AC1461" s="63">
        <v>16</v>
      </c>
      <c r="AD1461" s="63"/>
      <c r="AE1461" s="63">
        <v>0</v>
      </c>
      <c r="AF1461" s="63">
        <v>0</v>
      </c>
      <c r="AG1461" s="63">
        <v>0</v>
      </c>
      <c r="AH1461" s="63"/>
      <c r="AI1461" s="63"/>
      <c r="AJ1461" s="63"/>
      <c r="AK1461" s="63"/>
      <c r="AL1461" s="63"/>
      <c r="AM1461" s="63"/>
      <c r="AN1461" s="63">
        <v>0</v>
      </c>
      <c r="AO1461" s="63"/>
      <c r="AP1461" s="63"/>
      <c r="AQ1461" s="63">
        <v>0</v>
      </c>
      <c r="AR1461" s="63"/>
      <c r="AS1461" s="63"/>
      <c r="AT1461" s="63"/>
      <c r="AU1461" s="63"/>
      <c r="AW1461" s="5">
        <f>IF(Q1461&gt;0,RANK(Q1461,(N1461:P1461,Q1461:AE1461)),0)</f>
        <v>3</v>
      </c>
      <c r="AX1461" s="5">
        <f>IF(R1461&gt;0,RANK(R1461,(N1461:P1461,Q1461:AE1461)),0)</f>
        <v>5</v>
      </c>
      <c r="AY1461" s="5">
        <f>IF(T1461&gt;0,RANK(T1461,(N1461:P1461,Q1461:AE1461)),0)</f>
        <v>10</v>
      </c>
      <c r="AZ1461" s="5">
        <f>IF(S1461&gt;0,RANK(S1461,(N1461:P1461,Q1461:AE1461)),0)</f>
        <v>6</v>
      </c>
      <c r="BA1461" s="2">
        <f t="shared" si="605"/>
        <v>3.0894617134192569E-2</v>
      </c>
      <c r="BB1461" s="2">
        <f t="shared" si="606"/>
        <v>7.012888551933283E-3</v>
      </c>
      <c r="BC1461" s="2">
        <f t="shared" si="607"/>
        <v>7.5815011372251705E-4</v>
      </c>
      <c r="BD1461" s="2">
        <f t="shared" si="608"/>
        <v>5.3070507960576198E-3</v>
      </c>
      <c r="BF1461" t="s">
        <v>2253</v>
      </c>
      <c r="BG1461" t="s">
        <v>2725</v>
      </c>
      <c r="BH1461" s="8">
        <v>7</v>
      </c>
      <c r="BJ1461" s="114">
        <v>27</v>
      </c>
      <c r="BK1461" s="116">
        <v>173</v>
      </c>
      <c r="BL1461" s="120">
        <f t="shared" si="610"/>
        <v>27173</v>
      </c>
      <c r="BN1461" s="5" t="s">
        <v>3154</v>
      </c>
      <c r="CA1461" s="63">
        <v>23</v>
      </c>
    </row>
    <row r="1462" spans="1:79" collapsed="1">
      <c r="A1462" t="s">
        <v>2724</v>
      </c>
      <c r="B1462" t="s">
        <v>544</v>
      </c>
      <c r="C1462" s="1">
        <f t="shared" si="600"/>
        <v>2945233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>IF(P1462&gt;0,RANK(P1462,(N1462:P1462,Q1462:AE1462)),0)</f>
        <v>4</v>
      </c>
      <c r="G1462" s="132">
        <f t="shared" si="598"/>
        <v>44593</v>
      </c>
      <c r="H1462" s="137">
        <f t="shared" si="599"/>
        <v>1.5140737591898502E-2</v>
      </c>
      <c r="I1462" s="2"/>
      <c r="J1462" s="2">
        <f t="shared" si="601"/>
        <v>0.46441996269904623</v>
      </c>
      <c r="K1462" s="2">
        <f t="shared" si="602"/>
        <v>0.44927922510714774</v>
      </c>
      <c r="L1462" s="2">
        <f t="shared" si="603"/>
        <v>1.802336181891212E-2</v>
      </c>
      <c r="M1462" s="2">
        <f t="shared" si="604"/>
        <v>6.8277450374893967E-2</v>
      </c>
      <c r="N1462" s="63">
        <f t="shared" ref="N1462:U1462" si="611">SUM(N1375:N1461)</f>
        <v>1367825</v>
      </c>
      <c r="O1462" s="63">
        <f t="shared" si="611"/>
        <v>1323232</v>
      </c>
      <c r="P1462" s="63">
        <f t="shared" si="611"/>
        <v>53083</v>
      </c>
      <c r="Q1462" s="63">
        <f t="shared" si="611"/>
        <v>112984</v>
      </c>
      <c r="R1462" s="63">
        <f t="shared" si="611"/>
        <v>36991</v>
      </c>
      <c r="S1462" s="63">
        <f t="shared" si="611"/>
        <v>9457</v>
      </c>
      <c r="T1462" s="63">
        <f t="shared" si="611"/>
        <v>1431</v>
      </c>
      <c r="U1462" s="63">
        <f t="shared" si="611"/>
        <v>15</v>
      </c>
      <c r="V1462" s="63">
        <f>SUM(V1375:V1461)</f>
        <v>12</v>
      </c>
      <c r="W1462" s="63">
        <f>SUM(W1375:W1461)</f>
        <v>26905</v>
      </c>
      <c r="X1462" s="63">
        <f>SUM(X1375:X1461)</f>
        <v>1672</v>
      </c>
      <c r="Y1462" s="63">
        <f>SUM(Y1375:Y1461)</f>
        <v>28</v>
      </c>
      <c r="Z1462" s="63">
        <f>SUM(Z1375:Z1461)</f>
        <v>1</v>
      </c>
      <c r="AA1462" s="63"/>
      <c r="AB1462" s="63"/>
      <c r="AC1462" s="63">
        <f>SUM(AC1375:AC1461)</f>
        <v>11292</v>
      </c>
      <c r="AD1462" s="63"/>
      <c r="AE1462" s="63">
        <f>SUM(AE1375:AE1461)</f>
        <v>17</v>
      </c>
      <c r="AF1462" s="63">
        <f>SUM(AF1375:AF1461)</f>
        <v>10</v>
      </c>
      <c r="AG1462" s="63">
        <f>SUM(AG1375:AG1461)</f>
        <v>31</v>
      </c>
      <c r="AH1462" s="63"/>
      <c r="AI1462" s="63"/>
      <c r="AJ1462" s="63"/>
      <c r="AK1462" s="63"/>
      <c r="AL1462" s="63"/>
      <c r="AM1462" s="63"/>
      <c r="AN1462" s="63">
        <f>SUM(AN1375:AN1461)</f>
        <v>244</v>
      </c>
      <c r="AO1462" s="63"/>
      <c r="AP1462" s="63"/>
      <c r="AQ1462" s="63">
        <f>SUM(AQ1375:AQ1461)</f>
        <v>3</v>
      </c>
      <c r="AR1462" s="63"/>
      <c r="AS1462" s="63"/>
      <c r="AT1462" s="63"/>
      <c r="AU1462" s="63"/>
      <c r="AW1462" s="5">
        <f>IF(Q1462&gt;0,RANK(Q1462,(N1462:P1462,Q1462:AE1462)),0)</f>
        <v>3</v>
      </c>
      <c r="AX1462" s="5">
        <f>IF(R1462&gt;0,RANK(R1462,(N1462:P1462,Q1462:AE1462)),0)</f>
        <v>5</v>
      </c>
      <c r="AY1462" s="5">
        <f>IF(T1462&gt;0,RANK(T1462,(N1462:P1462,Q1462:AE1462)),0)</f>
        <v>10</v>
      </c>
      <c r="AZ1462" s="5">
        <f>IF(S1462&gt;0,RANK(S1462,(N1462:P1462,Q1462:AE1462)),0)</f>
        <v>8</v>
      </c>
      <c r="BA1462" s="2">
        <f t="shared" si="605"/>
        <v>3.8361650843923047E-2</v>
      </c>
      <c r="BB1462" s="2">
        <f t="shared" si="606"/>
        <v>1.255961752431811E-2</v>
      </c>
      <c r="BC1462" s="2">
        <f t="shared" si="607"/>
        <v>4.8586987854611161E-4</v>
      </c>
      <c r="BD1462" s="2">
        <f t="shared" si="608"/>
        <v>3.2109513916216475E-3</v>
      </c>
      <c r="BF1462" t="s">
        <v>2724</v>
      </c>
      <c r="BG1462" t="s">
        <v>544</v>
      </c>
      <c r="BJ1462" s="114">
        <v>27</v>
      </c>
      <c r="BK1462" s="116"/>
      <c r="BL1462" s="114">
        <v>27</v>
      </c>
      <c r="BN1462" s="5" t="s">
        <v>711</v>
      </c>
      <c r="CA1462" s="63">
        <f>SUM(CA1375:CA1461)</f>
        <v>27266</v>
      </c>
    </row>
    <row r="1463" spans="1:79">
      <c r="C1463" s="1"/>
      <c r="E1463" s="5"/>
      <c r="F1463" s="5"/>
      <c r="G1463" s="132"/>
      <c r="H1463" s="137"/>
      <c r="I1463" s="2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W1463" s="5"/>
      <c r="AX1463" s="5"/>
      <c r="AY1463" s="5"/>
      <c r="AZ1463" s="5"/>
      <c r="BJ1463" s="114"/>
      <c r="BK1463" s="116"/>
      <c r="BL1463" s="120"/>
    </row>
    <row r="1464" spans="1:79" hidden="1" outlineLevel="1">
      <c r="A1464" t="s">
        <v>1026</v>
      </c>
      <c r="B1464" t="s">
        <v>1113</v>
      </c>
      <c r="C1464" s="1">
        <f t="shared" ref="C1464:C1495" si="612">SUM(N1464:AU1464)</f>
        <v>13836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>IF(P1464&gt;0,RANK(P1464,(N1464:P1464,Q1464:AE1464)),0)</f>
        <v>0</v>
      </c>
      <c r="G1464" s="132">
        <f t="shared" si="598"/>
        <v>1883</v>
      </c>
      <c r="H1464" s="137">
        <f t="shared" si="599"/>
        <v>0.13609424689216537</v>
      </c>
      <c r="I1464" s="2"/>
      <c r="J1464" s="2">
        <f t="shared" ref="J1464:J1495" si="613">IF($C1464=0,"-",N1464/$C1464)</f>
        <v>0.56063891298063029</v>
      </c>
      <c r="K1464" s="2">
        <f t="shared" ref="K1464:K1495" si="614">IF($C1464=0,"-",O1464/$C1464)</f>
        <v>0.42454466608846486</v>
      </c>
      <c r="L1464" s="2">
        <f t="shared" ref="L1464:L1495" si="615">IF($C1464=0,"-",P1464/$C1464)</f>
        <v>0</v>
      </c>
      <c r="M1464" s="2">
        <f t="shared" ref="M1464:M1495" si="616">IF(C1464=0,"-",(1-J1464-K1464-L1464))</f>
        <v>1.481642093090485E-2</v>
      </c>
      <c r="N1464" s="63">
        <v>7757</v>
      </c>
      <c r="O1464" s="63">
        <v>5874</v>
      </c>
      <c r="P1464" s="63"/>
      <c r="Q1464" s="63">
        <v>125</v>
      </c>
      <c r="R1464" s="63">
        <v>32</v>
      </c>
      <c r="S1464" s="63">
        <v>27</v>
      </c>
      <c r="T1464" s="63">
        <v>12</v>
      </c>
      <c r="U1464" s="63"/>
      <c r="V1464" s="63"/>
      <c r="W1464" s="63">
        <f>IF(Copyright!B$11=1,IF(CA1464&gt;0,CA1464-P1464-SUM(AE1464:AQ1464)-SUM(X1464:AC1464)-SUM(U1464:V1464),SUM(CB1464:CM1464)),SUM(CC1464:CM1464))</f>
        <v>0</v>
      </c>
      <c r="X1464" s="63"/>
      <c r="Y1464" s="63"/>
      <c r="Z1464" s="63"/>
      <c r="AA1464" s="63"/>
      <c r="AB1464" s="63"/>
      <c r="AC1464" s="63"/>
      <c r="AD1464" s="63">
        <v>9</v>
      </c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/>
      <c r="AP1464" s="63"/>
      <c r="AQ1464" s="63"/>
      <c r="AR1464" s="63"/>
      <c r="AS1464" s="63"/>
      <c r="AT1464" s="63"/>
      <c r="AU1464" s="63"/>
      <c r="AW1464" s="5">
        <f>IF(Q1464&gt;0,RANK(Q1464,(N1464:P1464,Q1464:AE1464)),0)</f>
        <v>3</v>
      </c>
      <c r="AX1464" s="5">
        <f>IF(R1464&gt;0,RANK(R1464,(N1464:P1464,Q1464:AE1464)),0)</f>
        <v>4</v>
      </c>
      <c r="AY1464" s="5">
        <f>IF(T1464&gt;0,RANK(T1464,(N1464:P1464,Q1464:AE1464)),0)</f>
        <v>6</v>
      </c>
      <c r="AZ1464" s="5">
        <f>IF(S1464&gt;0,RANK(S1464,(N1464:P1464,Q1464:AE1464)),0)</f>
        <v>5</v>
      </c>
      <c r="BA1464" s="2">
        <f t="shared" ref="BA1464:BA1495" si="617">IF($C1464=0,"-",Q1464/$C1464)</f>
        <v>9.0344030066493199E-3</v>
      </c>
      <c r="BB1464" s="2">
        <f t="shared" ref="BB1464:BB1495" si="618">IF($C1464=0,"-",R1464/$C1464)</f>
        <v>2.3128071697022263E-3</v>
      </c>
      <c r="BC1464" s="2">
        <f t="shared" ref="BC1464:BC1495" si="619">IF($C1464=0,"-",T1464/$C1464)</f>
        <v>8.6730268863833475E-4</v>
      </c>
      <c r="BD1464" s="2">
        <f t="shared" ref="BD1464:BD1495" si="620">IF($C1464=0,"-",S1464/$C1464)</f>
        <v>1.9514310494362533E-3</v>
      </c>
      <c r="BF1464" t="s">
        <v>1026</v>
      </c>
      <c r="BG1464" t="s">
        <v>1113</v>
      </c>
      <c r="BH1464">
        <v>3</v>
      </c>
      <c r="BJ1464" s="114">
        <v>28</v>
      </c>
      <c r="BK1464" s="116">
        <v>1</v>
      </c>
      <c r="BL1464" s="120">
        <f t="shared" si="610"/>
        <v>28001</v>
      </c>
      <c r="BN1464" s="5" t="s">
        <v>3154</v>
      </c>
    </row>
    <row r="1465" spans="1:79" hidden="1" outlineLevel="1">
      <c r="A1465" t="s">
        <v>813</v>
      </c>
      <c r="B1465" t="s">
        <v>1113</v>
      </c>
      <c r="C1465" s="1">
        <f t="shared" si="612"/>
        <v>14783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0</v>
      </c>
      <c r="G1465" s="132">
        <f t="shared" si="598"/>
        <v>9135</v>
      </c>
      <c r="H1465" s="137">
        <f t="shared" si="599"/>
        <v>0.6179395251302171</v>
      </c>
      <c r="I1465" s="2"/>
      <c r="J1465" s="2">
        <f t="shared" si="613"/>
        <v>0.18155989988500304</v>
      </c>
      <c r="K1465" s="2">
        <f t="shared" si="614"/>
        <v>0.7994994250152202</v>
      </c>
      <c r="L1465" s="2">
        <f t="shared" si="615"/>
        <v>0</v>
      </c>
      <c r="M1465" s="2">
        <f t="shared" si="616"/>
        <v>1.8940675099776816E-2</v>
      </c>
      <c r="N1465" s="63">
        <v>2684</v>
      </c>
      <c r="O1465" s="63">
        <v>11819</v>
      </c>
      <c r="P1465" s="63"/>
      <c r="Q1465" s="63">
        <v>167</v>
      </c>
      <c r="R1465" s="63">
        <v>38</v>
      </c>
      <c r="S1465" s="63">
        <v>56</v>
      </c>
      <c r="T1465" s="63">
        <v>7</v>
      </c>
      <c r="U1465" s="63"/>
      <c r="V1465" s="63"/>
      <c r="W1465" s="63">
        <f>IF(Copyright!B$11=1,IF(CA1465&gt;0,CA1465-P1465-SUM(AE1465:AQ1465)-SUM(X1465:AC1465)-SUM(U1465:V1465),SUM(CB1465:CM1465)),SUM(CC1465:CM1465))</f>
        <v>0</v>
      </c>
      <c r="X1465" s="63"/>
      <c r="Y1465" s="63"/>
      <c r="Z1465" s="63"/>
      <c r="AA1465" s="63"/>
      <c r="AB1465" s="63"/>
      <c r="AC1465" s="63"/>
      <c r="AD1465" s="63">
        <v>12</v>
      </c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/>
      <c r="AP1465" s="63"/>
      <c r="AQ1465" s="63"/>
      <c r="AR1465" s="63"/>
      <c r="AS1465" s="63"/>
      <c r="AT1465" s="63"/>
      <c r="AU1465" s="63"/>
      <c r="AW1465" s="5">
        <f>IF(Q1465&gt;0,RANK(Q1465,(N1465:P1465,Q1465:AE1465)),0)</f>
        <v>3</v>
      </c>
      <c r="AX1465" s="5">
        <f>IF(R1465&gt;0,RANK(R1465,(N1465:P1465,Q1465:AE1465)),0)</f>
        <v>5</v>
      </c>
      <c r="AY1465" s="5">
        <f>IF(T1465&gt;0,RANK(T1465,(N1465:P1465,Q1465:AE1465)),0)</f>
        <v>7</v>
      </c>
      <c r="AZ1465" s="5">
        <f>IF(S1465&gt;0,RANK(S1465,(N1465:P1465,Q1465:AE1465)),0)</f>
        <v>4</v>
      </c>
      <c r="BA1465" s="2">
        <f t="shared" si="617"/>
        <v>1.1296759791652573E-2</v>
      </c>
      <c r="BB1465" s="2">
        <f t="shared" si="618"/>
        <v>2.5705201921125617E-3</v>
      </c>
      <c r="BC1465" s="2">
        <f t="shared" si="619"/>
        <v>4.7351687749441925E-4</v>
      </c>
      <c r="BD1465" s="2">
        <f t="shared" si="620"/>
        <v>3.788135019955354E-3</v>
      </c>
      <c r="BF1465" t="s">
        <v>813</v>
      </c>
      <c r="BG1465" t="s">
        <v>1113</v>
      </c>
      <c r="BH1465">
        <v>1</v>
      </c>
      <c r="BJ1465" s="114">
        <v>28</v>
      </c>
      <c r="BK1465" s="116">
        <v>3</v>
      </c>
      <c r="BL1465" s="120">
        <f t="shared" si="610"/>
        <v>28003</v>
      </c>
      <c r="BN1465" s="5" t="s">
        <v>3154</v>
      </c>
    </row>
    <row r="1466" spans="1:79" hidden="1" outlineLevel="1">
      <c r="A1466" t="s">
        <v>157</v>
      </c>
      <c r="B1466" t="s">
        <v>1113</v>
      </c>
      <c r="C1466" s="1">
        <f t="shared" si="612"/>
        <v>7050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0</v>
      </c>
      <c r="G1466" s="132">
        <f t="shared" si="598"/>
        <v>1592</v>
      </c>
      <c r="H1466" s="137">
        <f t="shared" si="599"/>
        <v>0.22581560283687943</v>
      </c>
      <c r="I1466" s="2"/>
      <c r="J1466" s="2">
        <f t="shared" si="613"/>
        <v>0.38255319148936168</v>
      </c>
      <c r="K1466" s="2">
        <f t="shared" si="614"/>
        <v>0.60836879432624114</v>
      </c>
      <c r="L1466" s="2">
        <f t="shared" si="615"/>
        <v>0</v>
      </c>
      <c r="M1466" s="2">
        <f t="shared" si="616"/>
        <v>9.0780141843972428E-3</v>
      </c>
      <c r="N1466" s="63">
        <v>2697</v>
      </c>
      <c r="O1466" s="63">
        <v>4289</v>
      </c>
      <c r="P1466" s="63"/>
      <c r="Q1466" s="63">
        <v>38</v>
      </c>
      <c r="R1466" s="63">
        <v>8</v>
      </c>
      <c r="S1466" s="63">
        <v>9</v>
      </c>
      <c r="T1466" s="63">
        <v>4</v>
      </c>
      <c r="U1466" s="63"/>
      <c r="V1466" s="63"/>
      <c r="W1466" s="63">
        <f>IF(Copyright!B$11=1,IF(CA1466&gt;0,CA1466-P1466-SUM(AE1466:AQ1466)-SUM(X1466:AC1466)-SUM(U1466:V1466),SUM(CB1466:CM1466)),SUM(CC1466:CM1466))</f>
        <v>0</v>
      </c>
      <c r="X1466" s="63"/>
      <c r="Y1466" s="63"/>
      <c r="Z1466" s="63"/>
      <c r="AA1466" s="63"/>
      <c r="AB1466" s="63"/>
      <c r="AC1466" s="63"/>
      <c r="AD1466" s="63">
        <v>5</v>
      </c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/>
      <c r="AP1466" s="63"/>
      <c r="AQ1466" s="63"/>
      <c r="AR1466" s="63"/>
      <c r="AS1466" s="63"/>
      <c r="AT1466" s="63"/>
      <c r="AU1466" s="63"/>
      <c r="AW1466" s="5">
        <f>IF(Q1466&gt;0,RANK(Q1466,(N1466:P1466,Q1466:AE1466)),0)</f>
        <v>3</v>
      </c>
      <c r="AX1466" s="5">
        <f>IF(R1466&gt;0,RANK(R1466,(N1466:P1466,Q1466:AE1466)),0)</f>
        <v>5</v>
      </c>
      <c r="AY1466" s="5">
        <f>IF(T1466&gt;0,RANK(T1466,(N1466:P1466,Q1466:AE1466)),0)</f>
        <v>7</v>
      </c>
      <c r="AZ1466" s="5">
        <f>IF(S1466&gt;0,RANK(S1466,(N1466:P1466,Q1466:AE1466)),0)</f>
        <v>4</v>
      </c>
      <c r="BA1466" s="2">
        <f t="shared" si="617"/>
        <v>5.3900709219858152E-3</v>
      </c>
      <c r="BB1466" s="2">
        <f t="shared" si="618"/>
        <v>1.1347517730496454E-3</v>
      </c>
      <c r="BC1466" s="2">
        <f t="shared" si="619"/>
        <v>5.6737588652482269E-4</v>
      </c>
      <c r="BD1466" s="2">
        <f t="shared" si="620"/>
        <v>1.276595744680851E-3</v>
      </c>
      <c r="BF1466" t="s">
        <v>157</v>
      </c>
      <c r="BG1466" t="s">
        <v>1113</v>
      </c>
      <c r="BH1466">
        <v>3</v>
      </c>
      <c r="BJ1466" s="114">
        <v>28</v>
      </c>
      <c r="BK1466" s="116">
        <v>5</v>
      </c>
      <c r="BL1466" s="120">
        <f t="shared" si="610"/>
        <v>28005</v>
      </c>
      <c r="BN1466" s="5" t="s">
        <v>3154</v>
      </c>
    </row>
    <row r="1467" spans="1:79" hidden="1" outlineLevel="1">
      <c r="A1467" t="s">
        <v>354</v>
      </c>
      <c r="B1467" t="s">
        <v>1113</v>
      </c>
      <c r="C1467" s="1">
        <f t="shared" si="612"/>
        <v>8256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0</v>
      </c>
      <c r="G1467" s="132">
        <f t="shared" si="598"/>
        <v>1655</v>
      </c>
      <c r="H1467" s="137">
        <f t="shared" si="599"/>
        <v>0.20046027131782945</v>
      </c>
      <c r="I1467" s="2"/>
      <c r="J1467" s="2">
        <f t="shared" si="613"/>
        <v>0.39268410852713176</v>
      </c>
      <c r="K1467" s="2">
        <f t="shared" si="614"/>
        <v>0.59314437984496127</v>
      </c>
      <c r="L1467" s="2">
        <f t="shared" si="615"/>
        <v>0</v>
      </c>
      <c r="M1467" s="2">
        <f t="shared" si="616"/>
        <v>1.4171511627906974E-2</v>
      </c>
      <c r="N1467" s="63">
        <v>3242</v>
      </c>
      <c r="O1467" s="63">
        <v>4897</v>
      </c>
      <c r="P1467" s="63"/>
      <c r="Q1467" s="63">
        <v>57</v>
      </c>
      <c r="R1467" s="63">
        <v>17</v>
      </c>
      <c r="S1467" s="63">
        <v>32</v>
      </c>
      <c r="T1467" s="63">
        <v>3</v>
      </c>
      <c r="U1467" s="63"/>
      <c r="V1467" s="63"/>
      <c r="W1467" s="63">
        <f>IF(Copyright!B$11=1,IF(CA1467&gt;0,CA1467-P1467-SUM(AE1467:AQ1467)-SUM(X1467:AC1467)-SUM(U1467:V1467),SUM(CB1467:CM1467)),SUM(CC1467:CM1467))</f>
        <v>0</v>
      </c>
      <c r="X1467" s="63"/>
      <c r="Y1467" s="63"/>
      <c r="Z1467" s="63"/>
      <c r="AA1467" s="63"/>
      <c r="AB1467" s="63"/>
      <c r="AC1467" s="63"/>
      <c r="AD1467" s="63">
        <v>8</v>
      </c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/>
      <c r="AP1467" s="63"/>
      <c r="AQ1467" s="63"/>
      <c r="AR1467" s="63"/>
      <c r="AS1467" s="63"/>
      <c r="AT1467" s="63"/>
      <c r="AU1467" s="63"/>
      <c r="AW1467" s="5">
        <f>IF(Q1467&gt;0,RANK(Q1467,(N1467:P1467,Q1467:AE1467)),0)</f>
        <v>3</v>
      </c>
      <c r="AX1467" s="5">
        <f>IF(R1467&gt;0,RANK(R1467,(N1467:P1467,Q1467:AE1467)),0)</f>
        <v>5</v>
      </c>
      <c r="AY1467" s="5">
        <f>IF(T1467&gt;0,RANK(T1467,(N1467:P1467,Q1467:AE1467)),0)</f>
        <v>7</v>
      </c>
      <c r="AZ1467" s="5">
        <f>IF(S1467&gt;0,RANK(S1467,(N1467:P1467,Q1467:AE1467)),0)</f>
        <v>4</v>
      </c>
      <c r="BA1467" s="2">
        <f t="shared" si="617"/>
        <v>6.9040697674418606E-3</v>
      </c>
      <c r="BB1467" s="2">
        <f t="shared" si="618"/>
        <v>2.0591085271317831E-3</v>
      </c>
      <c r="BC1467" s="2">
        <f t="shared" si="619"/>
        <v>3.6337209302325581E-4</v>
      </c>
      <c r="BD1467" s="2">
        <f t="shared" si="620"/>
        <v>3.875968992248062E-3</v>
      </c>
      <c r="BF1467" t="s">
        <v>354</v>
      </c>
      <c r="BG1467" t="s">
        <v>1113</v>
      </c>
      <c r="BH1467">
        <v>2</v>
      </c>
      <c r="BJ1467" s="114">
        <v>28</v>
      </c>
      <c r="BK1467" s="116">
        <v>7</v>
      </c>
      <c r="BL1467" s="120">
        <f t="shared" si="610"/>
        <v>28007</v>
      </c>
      <c r="BN1467" s="5" t="s">
        <v>3154</v>
      </c>
    </row>
    <row r="1468" spans="1:79" hidden="1" outlineLevel="1">
      <c r="A1468" t="s">
        <v>1098</v>
      </c>
      <c r="B1468" t="s">
        <v>1113</v>
      </c>
      <c r="C1468" s="1">
        <f t="shared" si="612"/>
        <v>4022</v>
      </c>
      <c r="D1468" s="5">
        <f>IF(N1468&gt;0, RANK(N1468,(N1468:P1468,Q1468:AE1468)),0)</f>
        <v>2</v>
      </c>
      <c r="E1468" s="5">
        <f>IF(O1468&gt;0,RANK(O1468,(N1468:P1468,Q1468:AE1468)),0)</f>
        <v>1</v>
      </c>
      <c r="F1468" s="5">
        <f>IF(P1468&gt;0,RANK(P1468,(N1468:P1468,Q1468:AE1468)),0)</f>
        <v>0</v>
      </c>
      <c r="G1468" s="132">
        <f t="shared" si="598"/>
        <v>532</v>
      </c>
      <c r="H1468" s="137">
        <f t="shared" si="599"/>
        <v>0.13227250124316262</v>
      </c>
      <c r="I1468" s="2"/>
      <c r="J1468" s="2">
        <f t="shared" si="613"/>
        <v>0.42739930382894081</v>
      </c>
      <c r="K1468" s="2">
        <f t="shared" si="614"/>
        <v>0.55967180507210346</v>
      </c>
      <c r="L1468" s="2">
        <f t="shared" si="615"/>
        <v>0</v>
      </c>
      <c r="M1468" s="2">
        <f t="shared" si="616"/>
        <v>1.2928891098955786E-2</v>
      </c>
      <c r="N1468" s="63">
        <v>1719</v>
      </c>
      <c r="O1468" s="63">
        <v>2251</v>
      </c>
      <c r="P1468" s="63"/>
      <c r="Q1468" s="63">
        <v>28</v>
      </c>
      <c r="R1468" s="63">
        <v>9</v>
      </c>
      <c r="S1468" s="63">
        <v>5</v>
      </c>
      <c r="T1468" s="63">
        <v>1</v>
      </c>
      <c r="U1468" s="63"/>
      <c r="V1468" s="63"/>
      <c r="W1468" s="63">
        <f>IF(Copyright!B$11=1,IF(CA1468&gt;0,CA1468-P1468-SUM(AE1468:AQ1468)-SUM(X1468:AC1468)-SUM(U1468:V1468),SUM(CB1468:CM1468)),SUM(CC1468:CM1468))</f>
        <v>9</v>
      </c>
      <c r="X1468" s="63"/>
      <c r="Y1468" s="63"/>
      <c r="Z1468" s="63"/>
      <c r="AA1468" s="63"/>
      <c r="AB1468" s="63"/>
      <c r="AC1468" s="63"/>
      <c r="AD1468" s="63">
        <v>0</v>
      </c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/>
      <c r="AP1468" s="63"/>
      <c r="AQ1468" s="63"/>
      <c r="AR1468" s="63"/>
      <c r="AS1468" s="63"/>
      <c r="AT1468" s="63"/>
      <c r="AU1468" s="63"/>
      <c r="AW1468" s="5">
        <f>IF(Q1468&gt;0,RANK(Q1468,(N1468:P1468,Q1468:AE1468)),0)</f>
        <v>3</v>
      </c>
      <c r="AX1468" s="5">
        <f>IF(R1468&gt;0,RANK(R1468,(N1468:P1468,Q1468:AE1468)),0)</f>
        <v>4</v>
      </c>
      <c r="AY1468" s="5">
        <f>IF(T1468&gt;0,RANK(T1468,(N1468:P1468,Q1468:AE1468)),0)</f>
        <v>7</v>
      </c>
      <c r="AZ1468" s="5">
        <f>IF(S1468&gt;0,RANK(S1468,(N1468:P1468,Q1468:AE1468)),0)</f>
        <v>6</v>
      </c>
      <c r="BA1468" s="2">
        <f t="shared" si="617"/>
        <v>6.9617105917454004E-3</v>
      </c>
      <c r="BB1468" s="2">
        <f t="shared" si="618"/>
        <v>2.2376926902038788E-3</v>
      </c>
      <c r="BC1468" s="2">
        <f t="shared" si="619"/>
        <v>2.4863252113376428E-4</v>
      </c>
      <c r="BD1468" s="2">
        <f t="shared" si="620"/>
        <v>1.2431626056688214E-3</v>
      </c>
      <c r="BF1468" t="s">
        <v>1098</v>
      </c>
      <c r="BG1468" t="s">
        <v>1113</v>
      </c>
      <c r="BH1468">
        <v>1</v>
      </c>
      <c r="BJ1468" s="114">
        <v>28</v>
      </c>
      <c r="BK1468" s="116">
        <v>9</v>
      </c>
      <c r="BL1468" s="120">
        <f t="shared" si="610"/>
        <v>28009</v>
      </c>
      <c r="BN1468" s="5" t="s">
        <v>3154</v>
      </c>
      <c r="CA1468" s="133">
        <v>9</v>
      </c>
    </row>
    <row r="1469" spans="1:79" hidden="1" outlineLevel="1">
      <c r="A1469" t="s">
        <v>666</v>
      </c>
      <c r="B1469" t="s">
        <v>1113</v>
      </c>
      <c r="C1469" s="1">
        <f t="shared" si="612"/>
        <v>13824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>IF(P1469&gt;0,RANK(P1469,(N1469:P1469,Q1469:AE1469)),0)</f>
        <v>0</v>
      </c>
      <c r="G1469" s="132">
        <f t="shared" si="598"/>
        <v>4456</v>
      </c>
      <c r="H1469" s="137">
        <f t="shared" si="599"/>
        <v>0.32233796296296297</v>
      </c>
      <c r="I1469" s="2"/>
      <c r="J1469" s="2">
        <f t="shared" si="613"/>
        <v>0.65436921296296291</v>
      </c>
      <c r="K1469" s="2">
        <f t="shared" si="614"/>
        <v>0.33203125</v>
      </c>
      <c r="L1469" s="2">
        <f t="shared" si="615"/>
        <v>0</v>
      </c>
      <c r="M1469" s="2">
        <f t="shared" si="616"/>
        <v>1.359953703703709E-2</v>
      </c>
      <c r="N1469" s="63">
        <v>9046</v>
      </c>
      <c r="O1469" s="63">
        <v>4590</v>
      </c>
      <c r="P1469" s="63"/>
      <c r="Q1469" s="63">
        <v>100</v>
      </c>
      <c r="R1469" s="63">
        <v>38</v>
      </c>
      <c r="S1469" s="63">
        <v>32</v>
      </c>
      <c r="T1469" s="63">
        <v>7</v>
      </c>
      <c r="U1469" s="63"/>
      <c r="V1469" s="63"/>
      <c r="W1469" s="63">
        <f>IF(Copyright!B$11=1,IF(CA1469&gt;0,CA1469-P1469-SUM(AE1469:AQ1469)-SUM(X1469:AC1469)-SUM(U1469:V1469),SUM(CB1469:CM1469)),SUM(CC1469:CM1469))</f>
        <v>0</v>
      </c>
      <c r="X1469" s="63"/>
      <c r="Y1469" s="63"/>
      <c r="Z1469" s="63"/>
      <c r="AA1469" s="63"/>
      <c r="AB1469" s="63"/>
      <c r="AC1469" s="63"/>
      <c r="AD1469" s="63">
        <v>11</v>
      </c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/>
      <c r="AP1469" s="63"/>
      <c r="AQ1469" s="63"/>
      <c r="AR1469" s="63"/>
      <c r="AS1469" s="63"/>
      <c r="AT1469" s="63"/>
      <c r="AU1469" s="63"/>
      <c r="AW1469" s="5">
        <f>IF(Q1469&gt;0,RANK(Q1469,(N1469:P1469,Q1469:AE1469)),0)</f>
        <v>3</v>
      </c>
      <c r="AX1469" s="5">
        <f>IF(R1469&gt;0,RANK(R1469,(N1469:P1469,Q1469:AE1469)),0)</f>
        <v>4</v>
      </c>
      <c r="AY1469" s="5">
        <f>IF(T1469&gt;0,RANK(T1469,(N1469:P1469,Q1469:AE1469)),0)</f>
        <v>7</v>
      </c>
      <c r="AZ1469" s="5">
        <f>IF(S1469&gt;0,RANK(S1469,(N1469:P1469,Q1469:AE1469)),0)</f>
        <v>5</v>
      </c>
      <c r="BA1469" s="2">
        <f t="shared" si="617"/>
        <v>7.2337962962962963E-3</v>
      </c>
      <c r="BB1469" s="2">
        <f t="shared" si="618"/>
        <v>2.7488425925925927E-3</v>
      </c>
      <c r="BC1469" s="2">
        <f t="shared" si="619"/>
        <v>5.0636574074074071E-4</v>
      </c>
      <c r="BD1469" s="2">
        <f t="shared" si="620"/>
        <v>2.3148148148148147E-3</v>
      </c>
      <c r="BF1469" t="s">
        <v>666</v>
      </c>
      <c r="BG1469" t="s">
        <v>1113</v>
      </c>
      <c r="BH1469">
        <v>2</v>
      </c>
      <c r="BJ1469" s="114">
        <v>28</v>
      </c>
      <c r="BK1469" s="116">
        <v>11</v>
      </c>
      <c r="BL1469" s="120">
        <f t="shared" si="610"/>
        <v>28011</v>
      </c>
      <c r="BN1469" s="5" t="s">
        <v>3154</v>
      </c>
    </row>
    <row r="1470" spans="1:79" hidden="1" outlineLevel="1">
      <c r="A1470" t="s">
        <v>1197</v>
      </c>
      <c r="B1470" t="s">
        <v>1113</v>
      </c>
      <c r="C1470" s="1">
        <f t="shared" si="612"/>
        <v>6396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0</v>
      </c>
      <c r="G1470" s="132">
        <f t="shared" si="598"/>
        <v>2480</v>
      </c>
      <c r="H1470" s="137">
        <f t="shared" si="599"/>
        <v>0.38774233896185117</v>
      </c>
      <c r="I1470" s="2"/>
      <c r="J1470" s="2">
        <f t="shared" si="613"/>
        <v>0.29862414008755472</v>
      </c>
      <c r="K1470" s="2">
        <f t="shared" si="614"/>
        <v>0.68636647904940584</v>
      </c>
      <c r="L1470" s="2">
        <f t="shared" si="615"/>
        <v>0</v>
      </c>
      <c r="M1470" s="2">
        <f t="shared" si="616"/>
        <v>1.500938086303949E-2</v>
      </c>
      <c r="N1470" s="63">
        <v>1910</v>
      </c>
      <c r="O1470" s="63">
        <v>4390</v>
      </c>
      <c r="P1470" s="63"/>
      <c r="Q1470" s="63">
        <v>49</v>
      </c>
      <c r="R1470" s="63">
        <v>11</v>
      </c>
      <c r="S1470" s="63">
        <v>26</v>
      </c>
      <c r="T1470" s="63">
        <v>5</v>
      </c>
      <c r="U1470" s="63"/>
      <c r="V1470" s="63"/>
      <c r="W1470" s="63">
        <f>IF(Copyright!B$11=1,IF(CA1470&gt;0,CA1470-P1470-SUM(AE1470:AQ1470)-SUM(X1470:AC1470)-SUM(U1470:V1470),SUM(CB1470:CM1470)),SUM(CC1470:CM1470))</f>
        <v>0</v>
      </c>
      <c r="X1470" s="63"/>
      <c r="Y1470" s="63"/>
      <c r="Z1470" s="63"/>
      <c r="AA1470" s="63"/>
      <c r="AB1470" s="63"/>
      <c r="AC1470" s="63"/>
      <c r="AD1470" s="63">
        <v>5</v>
      </c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/>
      <c r="AP1470" s="63"/>
      <c r="AQ1470" s="63"/>
      <c r="AR1470" s="63"/>
      <c r="AS1470" s="63"/>
      <c r="AT1470" s="63"/>
      <c r="AU1470" s="63"/>
      <c r="AW1470" s="5">
        <f>IF(Q1470&gt;0,RANK(Q1470,(N1470:P1470,Q1470:AE1470)),0)</f>
        <v>3</v>
      </c>
      <c r="AX1470" s="5">
        <f>IF(R1470&gt;0,RANK(R1470,(N1470:P1470,Q1470:AE1470)),0)</f>
        <v>5</v>
      </c>
      <c r="AY1470" s="5">
        <f>IF(T1470&gt;0,RANK(T1470,(N1470:P1470,Q1470:AE1470)),0)</f>
        <v>6</v>
      </c>
      <c r="AZ1470" s="5">
        <f>IF(S1470&gt;0,RANK(S1470,(N1470:P1470,Q1470:AE1470)),0)</f>
        <v>4</v>
      </c>
      <c r="BA1470" s="2">
        <f t="shared" si="617"/>
        <v>7.6610381488430267E-3</v>
      </c>
      <c r="BB1470" s="2">
        <f t="shared" si="618"/>
        <v>1.7198248905565979E-3</v>
      </c>
      <c r="BC1470" s="2">
        <f t="shared" si="619"/>
        <v>7.817385866166354E-4</v>
      </c>
      <c r="BD1470" s="2">
        <f t="shared" si="620"/>
        <v>4.0650406504065045E-3</v>
      </c>
      <c r="BF1470" t="s">
        <v>1197</v>
      </c>
      <c r="BG1470" t="s">
        <v>1113</v>
      </c>
      <c r="BH1470">
        <v>1</v>
      </c>
      <c r="BJ1470" s="114">
        <v>28</v>
      </c>
      <c r="BK1470" s="116">
        <v>13</v>
      </c>
      <c r="BL1470" s="120">
        <f t="shared" si="610"/>
        <v>28013</v>
      </c>
      <c r="BN1470" s="5" t="s">
        <v>3154</v>
      </c>
    </row>
    <row r="1471" spans="1:79" hidden="1" outlineLevel="1">
      <c r="A1471" t="s">
        <v>1675</v>
      </c>
      <c r="B1471" t="s">
        <v>1113</v>
      </c>
      <c r="C1471" s="1">
        <f t="shared" si="612"/>
        <v>5528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0</v>
      </c>
      <c r="G1471" s="132">
        <f t="shared" si="598"/>
        <v>2119</v>
      </c>
      <c r="H1471" s="137">
        <f t="shared" si="599"/>
        <v>0.38332127351664252</v>
      </c>
      <c r="I1471" s="2"/>
      <c r="J1471" s="2">
        <f t="shared" si="613"/>
        <v>0.30390738060781475</v>
      </c>
      <c r="K1471" s="2">
        <f t="shared" si="614"/>
        <v>0.68722865412445733</v>
      </c>
      <c r="L1471" s="2">
        <f t="shared" si="615"/>
        <v>0</v>
      </c>
      <c r="M1471" s="2">
        <f t="shared" si="616"/>
        <v>8.8639652677279246E-3</v>
      </c>
      <c r="N1471" s="63">
        <v>1680</v>
      </c>
      <c r="O1471" s="63">
        <v>3799</v>
      </c>
      <c r="P1471" s="63"/>
      <c r="Q1471" s="63">
        <v>29</v>
      </c>
      <c r="R1471" s="63">
        <v>9</v>
      </c>
      <c r="S1471" s="63">
        <v>6</v>
      </c>
      <c r="T1471" s="63">
        <v>3</v>
      </c>
      <c r="U1471" s="63"/>
      <c r="V1471" s="63"/>
      <c r="W1471" s="63">
        <f>IF(Copyright!B$11=1,IF(CA1471&gt;0,CA1471-P1471-SUM(AE1471:AQ1471)-SUM(X1471:AC1471)-SUM(U1471:V1471),SUM(CB1471:CM1471)),SUM(CC1471:CM1471))</f>
        <v>0</v>
      </c>
      <c r="X1471" s="63"/>
      <c r="Y1471" s="63"/>
      <c r="Z1471" s="63"/>
      <c r="AA1471" s="63"/>
      <c r="AB1471" s="63"/>
      <c r="AC1471" s="63"/>
      <c r="AD1471" s="63">
        <v>2</v>
      </c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/>
      <c r="AP1471" s="63"/>
      <c r="AQ1471" s="63"/>
      <c r="AR1471" s="63"/>
      <c r="AS1471" s="63"/>
      <c r="AT1471" s="63"/>
      <c r="AU1471" s="63"/>
      <c r="AW1471" s="5">
        <f>IF(Q1471&gt;0,RANK(Q1471,(N1471:P1471,Q1471:AE1471)),0)</f>
        <v>3</v>
      </c>
      <c r="AX1471" s="5">
        <f>IF(R1471&gt;0,RANK(R1471,(N1471:P1471,Q1471:AE1471)),0)</f>
        <v>4</v>
      </c>
      <c r="AY1471" s="5">
        <f>IF(T1471&gt;0,RANK(T1471,(N1471:P1471,Q1471:AE1471)),0)</f>
        <v>6</v>
      </c>
      <c r="AZ1471" s="5">
        <f>IF(S1471&gt;0,RANK(S1471,(N1471:P1471,Q1471:AE1471)),0)</f>
        <v>5</v>
      </c>
      <c r="BA1471" s="2">
        <f t="shared" si="617"/>
        <v>5.2460202604920408E-3</v>
      </c>
      <c r="BB1471" s="2">
        <f t="shared" si="618"/>
        <v>1.6280752532561505E-3</v>
      </c>
      <c r="BC1471" s="2">
        <f t="shared" si="619"/>
        <v>5.4269175108538354E-4</v>
      </c>
      <c r="BD1471" s="2">
        <f t="shared" si="620"/>
        <v>1.0853835021707671E-3</v>
      </c>
      <c r="BF1471" t="s">
        <v>1675</v>
      </c>
      <c r="BG1471" t="s">
        <v>1113</v>
      </c>
      <c r="BH1471">
        <v>2</v>
      </c>
      <c r="BJ1471" s="114">
        <v>28</v>
      </c>
      <c r="BK1471" s="116">
        <v>15</v>
      </c>
      <c r="BL1471" s="120">
        <f t="shared" si="610"/>
        <v>28015</v>
      </c>
      <c r="BN1471" s="5" t="s">
        <v>3154</v>
      </c>
    </row>
    <row r="1472" spans="1:79" hidden="1" outlineLevel="1">
      <c r="A1472" t="s">
        <v>397</v>
      </c>
      <c r="B1472" t="s">
        <v>1113</v>
      </c>
      <c r="C1472" s="1">
        <f t="shared" si="612"/>
        <v>7890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>IF(P1472&gt;0,RANK(P1472,(N1472:P1472,Q1472:AE1472)),0)</f>
        <v>0</v>
      </c>
      <c r="G1472" s="132">
        <f t="shared" si="598"/>
        <v>478</v>
      </c>
      <c r="H1472" s="137">
        <f t="shared" si="599"/>
        <v>6.0583016476552599E-2</v>
      </c>
      <c r="I1472" s="2"/>
      <c r="J1472" s="2">
        <f t="shared" si="613"/>
        <v>0.46248415716096325</v>
      </c>
      <c r="K1472" s="2">
        <f t="shared" si="614"/>
        <v>0.52306717363751587</v>
      </c>
      <c r="L1472" s="2">
        <f t="shared" si="615"/>
        <v>0</v>
      </c>
      <c r="M1472" s="2">
        <f t="shared" si="616"/>
        <v>1.4448669201520881E-2</v>
      </c>
      <c r="N1472" s="63">
        <v>3649</v>
      </c>
      <c r="O1472" s="63">
        <v>4127</v>
      </c>
      <c r="P1472" s="63"/>
      <c r="Q1472" s="63">
        <v>61</v>
      </c>
      <c r="R1472" s="63">
        <v>12</v>
      </c>
      <c r="S1472" s="63">
        <v>25</v>
      </c>
      <c r="T1472" s="63">
        <v>6</v>
      </c>
      <c r="U1472" s="63"/>
      <c r="V1472" s="63"/>
      <c r="W1472" s="63">
        <f>IF(Copyright!B$11=1,IF(CA1472&gt;0,CA1472-P1472-SUM(AE1472:AQ1472)-SUM(X1472:AC1472)-SUM(U1472:V1472),SUM(CB1472:CM1472)),SUM(CC1472:CM1472))</f>
        <v>0</v>
      </c>
      <c r="X1472" s="63"/>
      <c r="Y1472" s="63"/>
      <c r="Z1472" s="63"/>
      <c r="AA1472" s="63"/>
      <c r="AB1472" s="63"/>
      <c r="AC1472" s="63"/>
      <c r="AD1472" s="63">
        <v>10</v>
      </c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/>
      <c r="AP1472" s="63"/>
      <c r="AQ1472" s="63"/>
      <c r="AR1472" s="63"/>
      <c r="AS1472" s="63"/>
      <c r="AT1472" s="63"/>
      <c r="AU1472" s="63"/>
      <c r="AW1472" s="5">
        <f>IF(Q1472&gt;0,RANK(Q1472,(N1472:P1472,Q1472:AE1472)),0)</f>
        <v>3</v>
      </c>
      <c r="AX1472" s="5">
        <f>IF(R1472&gt;0,RANK(R1472,(N1472:P1472,Q1472:AE1472)),0)</f>
        <v>5</v>
      </c>
      <c r="AY1472" s="5">
        <f>IF(T1472&gt;0,RANK(T1472,(N1472:P1472,Q1472:AE1472)),0)</f>
        <v>7</v>
      </c>
      <c r="AZ1472" s="5">
        <f>IF(S1472&gt;0,RANK(S1472,(N1472:P1472,Q1472:AE1472)),0)</f>
        <v>4</v>
      </c>
      <c r="BA1472" s="2">
        <f t="shared" si="617"/>
        <v>7.7313054499366287E-3</v>
      </c>
      <c r="BB1472" s="2">
        <f t="shared" si="618"/>
        <v>1.520912547528517E-3</v>
      </c>
      <c r="BC1472" s="2">
        <f t="shared" si="619"/>
        <v>7.6045627376425851E-4</v>
      </c>
      <c r="BD1472" s="2">
        <f t="shared" si="620"/>
        <v>3.1685678073510772E-3</v>
      </c>
      <c r="BF1472" t="s">
        <v>397</v>
      </c>
      <c r="BG1472" t="s">
        <v>1113</v>
      </c>
      <c r="BH1472">
        <v>1</v>
      </c>
      <c r="BJ1472" s="114">
        <v>28</v>
      </c>
      <c r="BK1472" s="116">
        <v>17</v>
      </c>
      <c r="BL1472" s="120">
        <f t="shared" si="610"/>
        <v>28017</v>
      </c>
      <c r="BN1472" s="5" t="s">
        <v>3154</v>
      </c>
    </row>
    <row r="1473" spans="1:79" hidden="1" outlineLevel="1">
      <c r="A1473" t="s">
        <v>3104</v>
      </c>
      <c r="B1473" t="s">
        <v>1113</v>
      </c>
      <c r="C1473" s="1">
        <f t="shared" si="612"/>
        <v>4065</v>
      </c>
      <c r="D1473" s="5">
        <f>IF(N1473&gt;0, RANK(N1473,(N1473:P1473,Q1473:AE1473)),0)</f>
        <v>2</v>
      </c>
      <c r="E1473" s="5">
        <f>IF(O1473&gt;0,RANK(O1473,(N1473:P1473,Q1473:AE1473)),0)</f>
        <v>1</v>
      </c>
      <c r="F1473" s="5">
        <f>IF(P1473&gt;0,RANK(P1473,(N1473:P1473,Q1473:AE1473)),0)</f>
        <v>0</v>
      </c>
      <c r="G1473" s="132">
        <f t="shared" si="598"/>
        <v>1570</v>
      </c>
      <c r="H1473" s="137">
        <f t="shared" si="599"/>
        <v>0.38622386223862237</v>
      </c>
      <c r="I1473" s="2"/>
      <c r="J1473" s="2">
        <f t="shared" si="613"/>
        <v>0.29963099630996309</v>
      </c>
      <c r="K1473" s="2">
        <f t="shared" si="614"/>
        <v>0.68585485854858552</v>
      </c>
      <c r="L1473" s="2">
        <f t="shared" si="615"/>
        <v>0</v>
      </c>
      <c r="M1473" s="2">
        <f t="shared" si="616"/>
        <v>1.451414514145144E-2</v>
      </c>
      <c r="N1473" s="63">
        <v>1218</v>
      </c>
      <c r="O1473" s="63">
        <v>2788</v>
      </c>
      <c r="P1473" s="63"/>
      <c r="Q1473" s="63">
        <v>26</v>
      </c>
      <c r="R1473" s="63">
        <v>12</v>
      </c>
      <c r="S1473" s="63">
        <v>12</v>
      </c>
      <c r="T1473" s="63">
        <v>6</v>
      </c>
      <c r="U1473" s="63"/>
      <c r="V1473" s="63"/>
      <c r="W1473" s="63">
        <f>IF(Copyright!B$11=1,IF(CA1473&gt;0,CA1473-P1473-SUM(AE1473:AQ1473)-SUM(X1473:AC1473)-SUM(U1473:V1473),SUM(CB1473:CM1473)),SUM(CC1473:CM1473))</f>
        <v>0</v>
      </c>
      <c r="X1473" s="63"/>
      <c r="Y1473" s="63"/>
      <c r="Z1473" s="63"/>
      <c r="AA1473" s="63"/>
      <c r="AB1473" s="63"/>
      <c r="AC1473" s="63"/>
      <c r="AD1473" s="63">
        <v>3</v>
      </c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/>
      <c r="AP1473" s="63"/>
      <c r="AQ1473" s="63"/>
      <c r="AR1473" s="63"/>
      <c r="AS1473" s="63"/>
      <c r="AT1473" s="63"/>
      <c r="AU1473" s="63"/>
      <c r="AW1473" s="5">
        <f>IF(Q1473&gt;0,RANK(Q1473,(N1473:P1473,Q1473:AE1473)),0)</f>
        <v>3</v>
      </c>
      <c r="AX1473" s="5">
        <f>IF(R1473&gt;0,RANK(R1473,(N1473:P1473,Q1473:AE1473)),0)</f>
        <v>4</v>
      </c>
      <c r="AY1473" s="5">
        <f>IF(T1473&gt;0,RANK(T1473,(N1473:P1473,Q1473:AE1473)),0)</f>
        <v>6</v>
      </c>
      <c r="AZ1473" s="5">
        <f>IF(S1473&gt;0,RANK(S1473,(N1473:P1473,Q1473:AE1473)),0)</f>
        <v>4</v>
      </c>
      <c r="BA1473" s="2">
        <f t="shared" si="617"/>
        <v>6.3960639606396065E-3</v>
      </c>
      <c r="BB1473" s="2">
        <f t="shared" si="618"/>
        <v>2.9520295202952029E-3</v>
      </c>
      <c r="BC1473" s="2">
        <f t="shared" si="619"/>
        <v>1.4760147601476014E-3</v>
      </c>
      <c r="BD1473" s="2">
        <f t="shared" si="620"/>
        <v>2.9520295202952029E-3</v>
      </c>
      <c r="BF1473" t="s">
        <v>3104</v>
      </c>
      <c r="BG1473" t="s">
        <v>1113</v>
      </c>
      <c r="BH1473">
        <v>1</v>
      </c>
      <c r="BJ1473" s="114">
        <v>28</v>
      </c>
      <c r="BK1473" s="116">
        <v>19</v>
      </c>
      <c r="BL1473" s="120">
        <f t="shared" si="610"/>
        <v>28019</v>
      </c>
      <c r="BN1473" s="5" t="s">
        <v>3154</v>
      </c>
    </row>
    <row r="1474" spans="1:79" hidden="1" outlineLevel="1">
      <c r="A1474" t="s">
        <v>937</v>
      </c>
      <c r="B1474" t="s">
        <v>1113</v>
      </c>
      <c r="C1474" s="1">
        <f t="shared" si="612"/>
        <v>4272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>IF(P1474&gt;0,RANK(P1474,(N1474:P1474,Q1474:AE1474)),0)</f>
        <v>0</v>
      </c>
      <c r="G1474" s="132">
        <f t="shared" si="598"/>
        <v>3168</v>
      </c>
      <c r="H1474" s="137">
        <f t="shared" si="599"/>
        <v>0.7415730337078652</v>
      </c>
      <c r="I1474" s="2"/>
      <c r="J1474" s="2">
        <f t="shared" si="613"/>
        <v>0.8679775280898876</v>
      </c>
      <c r="K1474" s="2">
        <f t="shared" si="614"/>
        <v>0.12640449438202248</v>
      </c>
      <c r="L1474" s="2">
        <f t="shared" si="615"/>
        <v>0</v>
      </c>
      <c r="M1474" s="2">
        <f t="shared" si="616"/>
        <v>5.6179775280899291E-3</v>
      </c>
      <c r="N1474" s="63">
        <v>3708</v>
      </c>
      <c r="O1474" s="63">
        <v>540</v>
      </c>
      <c r="P1474" s="63"/>
      <c r="Q1474" s="63">
        <v>7</v>
      </c>
      <c r="R1474" s="63">
        <v>5</v>
      </c>
      <c r="S1474" s="63">
        <v>6</v>
      </c>
      <c r="T1474" s="63">
        <v>4</v>
      </c>
      <c r="U1474" s="63"/>
      <c r="V1474" s="63"/>
      <c r="W1474" s="63">
        <f>IF(Copyright!B$11=1,IF(CA1474&gt;0,CA1474-P1474-SUM(AE1474:AQ1474)-SUM(X1474:AC1474)-SUM(U1474:V1474),SUM(CB1474:CM1474)),SUM(CC1474:CM1474))</f>
        <v>0</v>
      </c>
      <c r="X1474" s="63"/>
      <c r="Y1474" s="63"/>
      <c r="Z1474" s="63"/>
      <c r="AA1474" s="63"/>
      <c r="AB1474" s="63"/>
      <c r="AC1474" s="63"/>
      <c r="AD1474" s="63">
        <v>2</v>
      </c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/>
      <c r="AP1474" s="63"/>
      <c r="AQ1474" s="63"/>
      <c r="AR1474" s="63"/>
      <c r="AS1474" s="63"/>
      <c r="AT1474" s="63"/>
      <c r="AU1474" s="63"/>
      <c r="AW1474" s="5">
        <f>IF(Q1474&gt;0,RANK(Q1474,(N1474:P1474,Q1474:AE1474)),0)</f>
        <v>3</v>
      </c>
      <c r="AX1474" s="5">
        <f>IF(R1474&gt;0,RANK(R1474,(N1474:P1474,Q1474:AE1474)),0)</f>
        <v>5</v>
      </c>
      <c r="AY1474" s="5">
        <f>IF(T1474&gt;0,RANK(T1474,(N1474:P1474,Q1474:AE1474)),0)</f>
        <v>6</v>
      </c>
      <c r="AZ1474" s="5">
        <f>IF(S1474&gt;0,RANK(S1474,(N1474:P1474,Q1474:AE1474)),0)</f>
        <v>4</v>
      </c>
      <c r="BA1474" s="2">
        <f t="shared" si="617"/>
        <v>1.6385767790262173E-3</v>
      </c>
      <c r="BB1474" s="2">
        <f t="shared" si="618"/>
        <v>1.1704119850187266E-3</v>
      </c>
      <c r="BC1474" s="2">
        <f t="shared" si="619"/>
        <v>9.3632958801498128E-4</v>
      </c>
      <c r="BD1474" s="2">
        <f t="shared" si="620"/>
        <v>1.4044943820224719E-3</v>
      </c>
      <c r="BF1474" t="s">
        <v>937</v>
      </c>
      <c r="BG1474" t="s">
        <v>1113</v>
      </c>
      <c r="BH1474">
        <v>2</v>
      </c>
      <c r="BJ1474" s="114">
        <v>28</v>
      </c>
      <c r="BK1474" s="116">
        <v>21</v>
      </c>
      <c r="BL1474" s="120">
        <f t="shared" si="610"/>
        <v>28021</v>
      </c>
      <c r="BN1474" s="5" t="s">
        <v>3154</v>
      </c>
    </row>
    <row r="1475" spans="1:79" hidden="1" outlineLevel="1">
      <c r="A1475" t="s">
        <v>3092</v>
      </c>
      <c r="B1475" t="s">
        <v>1113</v>
      </c>
      <c r="C1475" s="1">
        <f t="shared" si="612"/>
        <v>7791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>IF(P1475&gt;0,RANK(P1475,(N1475:P1475,Q1475:AE1475)),0)</f>
        <v>0</v>
      </c>
      <c r="G1475" s="132">
        <f t="shared" si="598"/>
        <v>2552</v>
      </c>
      <c r="H1475" s="137">
        <f t="shared" si="599"/>
        <v>0.32755743806956744</v>
      </c>
      <c r="I1475" s="2"/>
      <c r="J1475" s="2">
        <f t="shared" si="613"/>
        <v>0.33179309459632911</v>
      </c>
      <c r="K1475" s="2">
        <f t="shared" si="614"/>
        <v>0.65935053266589649</v>
      </c>
      <c r="L1475" s="2">
        <f t="shared" si="615"/>
        <v>0</v>
      </c>
      <c r="M1475" s="2">
        <f t="shared" si="616"/>
        <v>8.8563727377743984E-3</v>
      </c>
      <c r="N1475" s="63">
        <v>2585</v>
      </c>
      <c r="O1475" s="63">
        <v>5137</v>
      </c>
      <c r="P1475" s="63"/>
      <c r="Q1475" s="63">
        <v>29</v>
      </c>
      <c r="R1475" s="63">
        <v>15</v>
      </c>
      <c r="S1475" s="63">
        <v>21</v>
      </c>
      <c r="T1475" s="63">
        <v>3</v>
      </c>
      <c r="U1475" s="63"/>
      <c r="V1475" s="63"/>
      <c r="W1475" s="63">
        <f>IF(Copyright!B$11=1,IF(CA1475&gt;0,CA1475-P1475-SUM(AE1475:AQ1475)-SUM(X1475:AC1475)-SUM(U1475:V1475),SUM(CB1475:CM1475)),SUM(CC1475:CM1475))</f>
        <v>0</v>
      </c>
      <c r="X1475" s="63"/>
      <c r="Y1475" s="63"/>
      <c r="Z1475" s="63"/>
      <c r="AA1475" s="63"/>
      <c r="AB1475" s="63"/>
      <c r="AC1475" s="63"/>
      <c r="AD1475" s="63">
        <v>1</v>
      </c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/>
      <c r="AP1475" s="63"/>
      <c r="AQ1475" s="63"/>
      <c r="AR1475" s="63"/>
      <c r="AS1475" s="63"/>
      <c r="AT1475" s="63"/>
      <c r="AU1475" s="63"/>
      <c r="AW1475" s="5">
        <f>IF(Q1475&gt;0,RANK(Q1475,(N1475:P1475,Q1475:AE1475)),0)</f>
        <v>3</v>
      </c>
      <c r="AX1475" s="5">
        <f>IF(R1475&gt;0,RANK(R1475,(N1475:P1475,Q1475:AE1475)),0)</f>
        <v>5</v>
      </c>
      <c r="AY1475" s="5">
        <f>IF(T1475&gt;0,RANK(T1475,(N1475:P1475,Q1475:AE1475)),0)</f>
        <v>6</v>
      </c>
      <c r="AZ1475" s="5">
        <f>IF(S1475&gt;0,RANK(S1475,(N1475:P1475,Q1475:AE1475)),0)</f>
        <v>4</v>
      </c>
      <c r="BA1475" s="2">
        <f t="shared" si="617"/>
        <v>3.7222436144269027E-3</v>
      </c>
      <c r="BB1475" s="2">
        <f t="shared" si="618"/>
        <v>1.9252984212552945E-3</v>
      </c>
      <c r="BC1475" s="2">
        <f t="shared" si="619"/>
        <v>3.850596842510589E-4</v>
      </c>
      <c r="BD1475" s="2">
        <f t="shared" si="620"/>
        <v>2.6954177897574125E-3</v>
      </c>
      <c r="BF1475" t="s">
        <v>3092</v>
      </c>
      <c r="BG1475" t="s">
        <v>1113</v>
      </c>
      <c r="BJ1475" s="114">
        <v>28</v>
      </c>
      <c r="BK1475" s="116">
        <v>23</v>
      </c>
      <c r="BL1475" s="120">
        <f t="shared" si="610"/>
        <v>28023</v>
      </c>
      <c r="BN1475" s="5" t="s">
        <v>3154</v>
      </c>
    </row>
    <row r="1476" spans="1:79" hidden="1" outlineLevel="1">
      <c r="A1476" t="s">
        <v>3093</v>
      </c>
      <c r="B1476" t="s">
        <v>1113</v>
      </c>
      <c r="C1476" s="1">
        <f t="shared" si="612"/>
        <v>10003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0</v>
      </c>
      <c r="G1476" s="132">
        <f t="shared" si="598"/>
        <v>1572</v>
      </c>
      <c r="H1476" s="137">
        <f t="shared" si="599"/>
        <v>0.15715285414375688</v>
      </c>
      <c r="I1476" s="2"/>
      <c r="J1476" s="2">
        <f t="shared" si="613"/>
        <v>0.57202839148255524</v>
      </c>
      <c r="K1476" s="2">
        <f t="shared" si="614"/>
        <v>0.41487553733879834</v>
      </c>
      <c r="L1476" s="2">
        <f t="shared" si="615"/>
        <v>0</v>
      </c>
      <c r="M1476" s="2">
        <f t="shared" si="616"/>
        <v>1.3096071178646418E-2</v>
      </c>
      <c r="N1476" s="63">
        <v>5722</v>
      </c>
      <c r="O1476" s="63">
        <v>4150</v>
      </c>
      <c r="P1476" s="63"/>
      <c r="Q1476" s="63">
        <v>69</v>
      </c>
      <c r="R1476" s="63">
        <v>20</v>
      </c>
      <c r="S1476" s="63">
        <v>25</v>
      </c>
      <c r="T1476" s="63">
        <v>8</v>
      </c>
      <c r="U1476" s="63"/>
      <c r="V1476" s="63"/>
      <c r="W1476" s="63">
        <f>IF(Copyright!B$11=1,IF(CA1476&gt;0,CA1476-P1476-SUM(AE1476:AQ1476)-SUM(X1476:AC1476)-SUM(U1476:V1476),SUM(CB1476:CM1476)),SUM(CC1476:CM1476))</f>
        <v>0</v>
      </c>
      <c r="X1476" s="63"/>
      <c r="Y1476" s="63"/>
      <c r="Z1476" s="63"/>
      <c r="AA1476" s="63"/>
      <c r="AB1476" s="63"/>
      <c r="AC1476" s="63"/>
      <c r="AD1476" s="63">
        <v>9</v>
      </c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/>
      <c r="AP1476" s="63"/>
      <c r="AQ1476" s="63"/>
      <c r="AR1476" s="63"/>
      <c r="AS1476" s="63"/>
      <c r="AT1476" s="63"/>
      <c r="AU1476" s="63"/>
      <c r="AW1476" s="5">
        <f>IF(Q1476&gt;0,RANK(Q1476,(N1476:P1476,Q1476:AE1476)),0)</f>
        <v>3</v>
      </c>
      <c r="AX1476" s="5">
        <f>IF(R1476&gt;0,RANK(R1476,(N1476:P1476,Q1476:AE1476)),0)</f>
        <v>5</v>
      </c>
      <c r="AY1476" s="5">
        <f>IF(T1476&gt;0,RANK(T1476,(N1476:P1476,Q1476:AE1476)),0)</f>
        <v>7</v>
      </c>
      <c r="AZ1476" s="5">
        <f>IF(S1476&gt;0,RANK(S1476,(N1476:P1476,Q1476:AE1476)),0)</f>
        <v>4</v>
      </c>
      <c r="BA1476" s="2">
        <f t="shared" si="617"/>
        <v>6.8979306208137555E-3</v>
      </c>
      <c r="BB1476" s="2">
        <f t="shared" si="618"/>
        <v>1.9994001799460161E-3</v>
      </c>
      <c r="BC1476" s="2">
        <f t="shared" si="619"/>
        <v>7.9976007197840647E-4</v>
      </c>
      <c r="BD1476" s="2">
        <f t="shared" si="620"/>
        <v>2.4992502249325203E-3</v>
      </c>
      <c r="BF1476" t="s">
        <v>3093</v>
      </c>
      <c r="BG1476" t="s">
        <v>1113</v>
      </c>
      <c r="BH1476">
        <v>1</v>
      </c>
      <c r="BJ1476" s="114">
        <v>28</v>
      </c>
      <c r="BK1476" s="116">
        <v>25</v>
      </c>
      <c r="BL1476" s="120">
        <f t="shared" si="610"/>
        <v>28025</v>
      </c>
      <c r="BN1476" s="5" t="s">
        <v>3154</v>
      </c>
    </row>
    <row r="1477" spans="1:79" hidden="1" outlineLevel="1">
      <c r="A1477" t="s">
        <v>959</v>
      </c>
      <c r="B1477" t="s">
        <v>1113</v>
      </c>
      <c r="C1477" s="1">
        <f t="shared" si="612"/>
        <v>8912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0</v>
      </c>
      <c r="G1477" s="132">
        <f t="shared" si="598"/>
        <v>3952</v>
      </c>
      <c r="H1477" s="137">
        <f t="shared" si="599"/>
        <v>0.44344703770197486</v>
      </c>
      <c r="I1477" s="2"/>
      <c r="J1477" s="2">
        <f t="shared" si="613"/>
        <v>0.71566427289048473</v>
      </c>
      <c r="K1477" s="2">
        <f t="shared" si="614"/>
        <v>0.27221723518850988</v>
      </c>
      <c r="L1477" s="2">
        <f t="shared" si="615"/>
        <v>0</v>
      </c>
      <c r="M1477" s="2">
        <f t="shared" si="616"/>
        <v>1.2118491921005392E-2</v>
      </c>
      <c r="N1477" s="63">
        <v>6378</v>
      </c>
      <c r="O1477" s="63">
        <v>2426</v>
      </c>
      <c r="P1477" s="63"/>
      <c r="Q1477" s="63">
        <v>53</v>
      </c>
      <c r="R1477" s="63">
        <v>13</v>
      </c>
      <c r="S1477" s="63">
        <v>31</v>
      </c>
      <c r="T1477" s="63">
        <v>4</v>
      </c>
      <c r="U1477" s="63"/>
      <c r="V1477" s="63"/>
      <c r="W1477" s="63">
        <f>IF(Copyright!B$11=1,IF(CA1477&gt;0,CA1477-P1477-SUM(AE1477:AQ1477)-SUM(X1477:AC1477)-SUM(U1477:V1477),SUM(CB1477:CM1477)),SUM(CC1477:CM1477))</f>
        <v>0</v>
      </c>
      <c r="X1477" s="63"/>
      <c r="Y1477" s="63"/>
      <c r="Z1477" s="63"/>
      <c r="AA1477" s="63"/>
      <c r="AB1477" s="63"/>
      <c r="AC1477" s="63"/>
      <c r="AD1477" s="63">
        <v>7</v>
      </c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/>
      <c r="AP1477" s="63"/>
      <c r="AQ1477" s="63"/>
      <c r="AR1477" s="63"/>
      <c r="AS1477" s="63"/>
      <c r="AT1477" s="63"/>
      <c r="AU1477" s="63"/>
      <c r="AW1477" s="5">
        <f>IF(Q1477&gt;0,RANK(Q1477,(N1477:P1477,Q1477:AE1477)),0)</f>
        <v>3</v>
      </c>
      <c r="AX1477" s="5">
        <f>IF(R1477&gt;0,RANK(R1477,(N1477:P1477,Q1477:AE1477)),0)</f>
        <v>5</v>
      </c>
      <c r="AY1477" s="5">
        <f>IF(T1477&gt;0,RANK(T1477,(N1477:P1477,Q1477:AE1477)),0)</f>
        <v>7</v>
      </c>
      <c r="AZ1477" s="5">
        <f>IF(S1477&gt;0,RANK(S1477,(N1477:P1477,Q1477:AE1477)),0)</f>
        <v>4</v>
      </c>
      <c r="BA1477" s="2">
        <f t="shared" si="617"/>
        <v>5.947037701974865E-3</v>
      </c>
      <c r="BB1477" s="2">
        <f t="shared" si="618"/>
        <v>1.4587073608617594E-3</v>
      </c>
      <c r="BC1477" s="2">
        <f t="shared" si="619"/>
        <v>4.4883303411131061E-4</v>
      </c>
      <c r="BD1477" s="2">
        <f t="shared" si="620"/>
        <v>3.4784560143626569E-3</v>
      </c>
      <c r="BF1477" t="s">
        <v>959</v>
      </c>
      <c r="BG1477" t="s">
        <v>1113</v>
      </c>
      <c r="BH1477">
        <v>2</v>
      </c>
      <c r="BJ1477" s="114">
        <v>28</v>
      </c>
      <c r="BK1477" s="116">
        <v>27</v>
      </c>
      <c r="BL1477" s="120">
        <f t="shared" si="610"/>
        <v>28027</v>
      </c>
      <c r="BN1477" s="5" t="s">
        <v>3154</v>
      </c>
    </row>
    <row r="1478" spans="1:79" hidden="1" outlineLevel="1">
      <c r="A1478" t="s">
        <v>2301</v>
      </c>
      <c r="B1478" t="s">
        <v>1113</v>
      </c>
      <c r="C1478" s="1">
        <f t="shared" si="612"/>
        <v>12982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>IF(P1478&gt;0,RANK(P1478,(N1478:P1478,Q1478:AE1478)),0)</f>
        <v>0</v>
      </c>
      <c r="G1478" s="132">
        <f t="shared" si="598"/>
        <v>638</v>
      </c>
      <c r="H1478" s="137">
        <f t="shared" si="599"/>
        <v>4.9144969958403943E-2</v>
      </c>
      <c r="I1478" s="2"/>
      <c r="J1478" s="2">
        <f t="shared" si="613"/>
        <v>0.51925743336928054</v>
      </c>
      <c r="K1478" s="2">
        <f t="shared" si="614"/>
        <v>0.47011246341087659</v>
      </c>
      <c r="L1478" s="2">
        <f t="shared" si="615"/>
        <v>0</v>
      </c>
      <c r="M1478" s="2">
        <f t="shared" si="616"/>
        <v>1.0630103219842868E-2</v>
      </c>
      <c r="N1478" s="63">
        <v>6741</v>
      </c>
      <c r="O1478" s="63">
        <v>6103</v>
      </c>
      <c r="P1478" s="63"/>
      <c r="Q1478" s="63">
        <v>73</v>
      </c>
      <c r="R1478" s="63">
        <v>16</v>
      </c>
      <c r="S1478" s="63">
        <v>26</v>
      </c>
      <c r="T1478" s="63">
        <v>7</v>
      </c>
      <c r="U1478" s="63"/>
      <c r="V1478" s="63"/>
      <c r="W1478" s="63">
        <f>IF(Copyright!B$11=1,IF(CA1478&gt;0,CA1478-P1478-SUM(AE1478:AQ1478)-SUM(X1478:AC1478)-SUM(U1478:V1478),SUM(CB1478:CM1478)),SUM(CC1478:CM1478))</f>
        <v>0</v>
      </c>
      <c r="X1478" s="63"/>
      <c r="Y1478" s="63"/>
      <c r="Z1478" s="63"/>
      <c r="AA1478" s="63"/>
      <c r="AB1478" s="63"/>
      <c r="AC1478" s="63"/>
      <c r="AD1478" s="63">
        <v>16</v>
      </c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/>
      <c r="AP1478" s="63"/>
      <c r="AQ1478" s="63"/>
      <c r="AR1478" s="63"/>
      <c r="AS1478" s="63"/>
      <c r="AT1478" s="63"/>
      <c r="AU1478" s="63"/>
      <c r="AW1478" s="5">
        <f>IF(Q1478&gt;0,RANK(Q1478,(N1478:P1478,Q1478:AE1478)),0)</f>
        <v>3</v>
      </c>
      <c r="AX1478" s="5">
        <f>IF(R1478&gt;0,RANK(R1478,(N1478:P1478,Q1478:AE1478)),0)</f>
        <v>5</v>
      </c>
      <c r="AY1478" s="5">
        <f>IF(T1478&gt;0,RANK(T1478,(N1478:P1478,Q1478:AE1478)),0)</f>
        <v>7</v>
      </c>
      <c r="AZ1478" s="5">
        <f>IF(S1478&gt;0,RANK(S1478,(N1478:P1478,Q1478:AE1478)),0)</f>
        <v>4</v>
      </c>
      <c r="BA1478" s="2">
        <f t="shared" si="617"/>
        <v>5.623170543829918E-3</v>
      </c>
      <c r="BB1478" s="2">
        <f t="shared" si="618"/>
        <v>1.2324757356339548E-3</v>
      </c>
      <c r="BC1478" s="2">
        <f t="shared" si="619"/>
        <v>5.3920813433985522E-4</v>
      </c>
      <c r="BD1478" s="2">
        <f t="shared" si="620"/>
        <v>2.0027730704051763E-3</v>
      </c>
      <c r="BF1478" t="s">
        <v>2301</v>
      </c>
      <c r="BG1478" t="s">
        <v>1113</v>
      </c>
      <c r="BH1478">
        <v>2</v>
      </c>
      <c r="BJ1478" s="114">
        <v>28</v>
      </c>
      <c r="BK1478" s="116">
        <v>29</v>
      </c>
      <c r="BL1478" s="120">
        <f t="shared" si="610"/>
        <v>28029</v>
      </c>
      <c r="BN1478" s="5" t="s">
        <v>3154</v>
      </c>
    </row>
    <row r="1479" spans="1:79" hidden="1" outlineLevel="1">
      <c r="A1479" t="s">
        <v>1516</v>
      </c>
      <c r="B1479" t="s">
        <v>1113</v>
      </c>
      <c r="C1479" s="1">
        <f t="shared" si="612"/>
        <v>8811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0</v>
      </c>
      <c r="G1479" s="132">
        <f t="shared" si="598"/>
        <v>2159</v>
      </c>
      <c r="H1479" s="137">
        <f t="shared" si="599"/>
        <v>0.24503461582113267</v>
      </c>
      <c r="I1479" s="2"/>
      <c r="J1479" s="2">
        <f t="shared" si="613"/>
        <v>0.37180796731358529</v>
      </c>
      <c r="K1479" s="2">
        <f t="shared" si="614"/>
        <v>0.61684258313471796</v>
      </c>
      <c r="L1479" s="2">
        <f t="shared" si="615"/>
        <v>0</v>
      </c>
      <c r="M1479" s="2">
        <f t="shared" si="616"/>
        <v>1.1349449551696811E-2</v>
      </c>
      <c r="N1479" s="63">
        <v>3276</v>
      </c>
      <c r="O1479" s="63">
        <v>5435</v>
      </c>
      <c r="P1479" s="63"/>
      <c r="Q1479" s="63">
        <v>61</v>
      </c>
      <c r="R1479" s="63">
        <v>12</v>
      </c>
      <c r="S1479" s="63">
        <v>20</v>
      </c>
      <c r="T1479" s="63">
        <v>4</v>
      </c>
      <c r="U1479" s="63"/>
      <c r="V1479" s="63"/>
      <c r="W1479" s="63">
        <f>IF(Copyright!B$11=1,IF(CA1479&gt;0,CA1479-P1479-SUM(AE1479:AQ1479)-SUM(X1479:AC1479)-SUM(U1479:V1479),SUM(CB1479:CM1479)),SUM(CC1479:CM1479))</f>
        <v>0</v>
      </c>
      <c r="X1479" s="63"/>
      <c r="Y1479" s="63"/>
      <c r="Z1479" s="63"/>
      <c r="AA1479" s="63"/>
      <c r="AB1479" s="63"/>
      <c r="AC1479" s="63"/>
      <c r="AD1479" s="63">
        <v>3</v>
      </c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/>
      <c r="AP1479" s="63"/>
      <c r="AQ1479" s="63"/>
      <c r="AR1479" s="63"/>
      <c r="AS1479" s="63"/>
      <c r="AT1479" s="63"/>
      <c r="AU1479" s="63"/>
      <c r="AW1479" s="5">
        <f>IF(Q1479&gt;0,RANK(Q1479,(N1479:P1479,Q1479:AE1479)),0)</f>
        <v>3</v>
      </c>
      <c r="AX1479" s="5">
        <f>IF(R1479&gt;0,RANK(R1479,(N1479:P1479,Q1479:AE1479)),0)</f>
        <v>5</v>
      </c>
      <c r="AY1479" s="5">
        <f>IF(T1479&gt;0,RANK(T1479,(N1479:P1479,Q1479:AE1479)),0)</f>
        <v>6</v>
      </c>
      <c r="AZ1479" s="5">
        <f>IF(S1479&gt;0,RANK(S1479,(N1479:P1479,Q1479:AE1479)),0)</f>
        <v>4</v>
      </c>
      <c r="BA1479" s="2">
        <f t="shared" si="617"/>
        <v>6.9231642265350129E-3</v>
      </c>
      <c r="BB1479" s="2">
        <f t="shared" si="618"/>
        <v>1.361933946203609E-3</v>
      </c>
      <c r="BC1479" s="2">
        <f t="shared" si="619"/>
        <v>4.5397798206786973E-4</v>
      </c>
      <c r="BD1479" s="2">
        <f t="shared" si="620"/>
        <v>2.2698899103393484E-3</v>
      </c>
      <c r="BF1479" t="s">
        <v>1516</v>
      </c>
      <c r="BG1479" t="s">
        <v>1113</v>
      </c>
      <c r="BH1479">
        <v>3</v>
      </c>
      <c r="BJ1479" s="114">
        <v>28</v>
      </c>
      <c r="BK1479" s="116">
        <v>31</v>
      </c>
      <c r="BL1479" s="120">
        <f t="shared" si="610"/>
        <v>28031</v>
      </c>
      <c r="BN1479" s="5" t="s">
        <v>3154</v>
      </c>
    </row>
    <row r="1480" spans="1:79" hidden="1" outlineLevel="1">
      <c r="A1480" t="s">
        <v>863</v>
      </c>
      <c r="B1480" t="s">
        <v>1113</v>
      </c>
      <c r="C1480" s="1">
        <f t="shared" si="612"/>
        <v>66155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0</v>
      </c>
      <c r="G1480" s="132">
        <f t="shared" ref="G1480:G1543" si="621">IF(C1480&gt;0,MAX(N1480:P1480)-LARGE(N1480:P1480,2),0)</f>
        <v>22498</v>
      </c>
      <c r="H1480" s="137">
        <f t="shared" ref="H1480:H1543" si="622">IF(C1480&gt;0,G1480/C1480,0)</f>
        <v>0.34008011488171719</v>
      </c>
      <c r="I1480" s="2"/>
      <c r="J1480" s="2">
        <f t="shared" si="613"/>
        <v>0.31125387347895095</v>
      </c>
      <c r="K1480" s="2">
        <f t="shared" si="614"/>
        <v>0.65133398836066814</v>
      </c>
      <c r="L1480" s="2">
        <f t="shared" si="615"/>
        <v>0</v>
      </c>
      <c r="M1480" s="2">
        <f t="shared" si="616"/>
        <v>3.7412138160380914E-2</v>
      </c>
      <c r="N1480" s="63">
        <v>20591</v>
      </c>
      <c r="O1480" s="63">
        <v>43089</v>
      </c>
      <c r="P1480" s="63"/>
      <c r="Q1480" s="63">
        <v>1329</v>
      </c>
      <c r="R1480" s="63">
        <v>308</v>
      </c>
      <c r="S1480" s="63">
        <v>335</v>
      </c>
      <c r="T1480" s="63">
        <v>31</v>
      </c>
      <c r="U1480" s="63"/>
      <c r="V1480" s="63"/>
      <c r="W1480" s="63">
        <f>IF(Copyright!B$11=1,IF(CA1480&gt;0,CA1480-P1480-SUM(AE1480:AQ1480)-SUM(X1480:AC1480)-SUM(U1480:V1480),SUM(CB1480:CM1480)),SUM(CC1480:CM1480))</f>
        <v>460</v>
      </c>
      <c r="X1480" s="63"/>
      <c r="Y1480" s="63"/>
      <c r="Z1480" s="63"/>
      <c r="AA1480" s="63"/>
      <c r="AB1480" s="63"/>
      <c r="AC1480" s="63"/>
      <c r="AD1480" s="63">
        <v>12</v>
      </c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/>
      <c r="AP1480" s="63"/>
      <c r="AQ1480" s="63"/>
      <c r="AR1480" s="63"/>
      <c r="AS1480" s="63"/>
      <c r="AT1480" s="63"/>
      <c r="AU1480" s="63"/>
      <c r="AW1480" s="5">
        <f>IF(Q1480&gt;0,RANK(Q1480,(N1480:P1480,Q1480:AE1480)),0)</f>
        <v>3</v>
      </c>
      <c r="AX1480" s="5">
        <f>IF(R1480&gt;0,RANK(R1480,(N1480:P1480,Q1480:AE1480)),0)</f>
        <v>6</v>
      </c>
      <c r="AY1480" s="5">
        <f>IF(T1480&gt;0,RANK(T1480,(N1480:P1480,Q1480:AE1480)),0)</f>
        <v>7</v>
      </c>
      <c r="AZ1480" s="5">
        <f>IF(S1480&gt;0,RANK(S1480,(N1480:P1480,Q1480:AE1480)),0)</f>
        <v>5</v>
      </c>
      <c r="BA1480" s="2">
        <f t="shared" si="617"/>
        <v>2.0089184490968182E-2</v>
      </c>
      <c r="BB1480" s="2">
        <f t="shared" si="618"/>
        <v>4.6557327488474035E-3</v>
      </c>
      <c r="BC1480" s="2">
        <f t="shared" si="619"/>
        <v>4.6859647796840753E-4</v>
      </c>
      <c r="BD1480" s="2">
        <f t="shared" si="620"/>
        <v>5.0638651651424681E-3</v>
      </c>
      <c r="BF1480" t="s">
        <v>863</v>
      </c>
      <c r="BG1480" t="s">
        <v>1113</v>
      </c>
      <c r="BH1480">
        <v>1</v>
      </c>
      <c r="BJ1480" s="114">
        <v>28</v>
      </c>
      <c r="BK1480" s="116">
        <v>33</v>
      </c>
      <c r="BL1480" s="120">
        <f t="shared" si="610"/>
        <v>28033</v>
      </c>
      <c r="BN1480" s="5" t="s">
        <v>3154</v>
      </c>
      <c r="CA1480" s="133">
        <v>460</v>
      </c>
    </row>
    <row r="1481" spans="1:79" hidden="1" outlineLevel="1">
      <c r="A1481" t="s">
        <v>2302</v>
      </c>
      <c r="B1481" t="s">
        <v>1113</v>
      </c>
      <c r="C1481" s="1">
        <f t="shared" si="612"/>
        <v>28064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0</v>
      </c>
      <c r="G1481" s="132">
        <f t="shared" si="621"/>
        <v>3745</v>
      </c>
      <c r="H1481" s="137">
        <f t="shared" si="622"/>
        <v>0.13344498289623719</v>
      </c>
      <c r="I1481" s="2"/>
      <c r="J1481" s="2">
        <f t="shared" si="613"/>
        <v>0.41747434435575825</v>
      </c>
      <c r="K1481" s="2">
        <f t="shared" si="614"/>
        <v>0.55091932725199544</v>
      </c>
      <c r="L1481" s="2">
        <f t="shared" si="615"/>
        <v>0</v>
      </c>
      <c r="M1481" s="2">
        <f t="shared" si="616"/>
        <v>3.1606328392246308E-2</v>
      </c>
      <c r="N1481" s="63">
        <v>11716</v>
      </c>
      <c r="O1481" s="63">
        <v>15461</v>
      </c>
      <c r="P1481" s="63"/>
      <c r="Q1481" s="63">
        <v>598</v>
      </c>
      <c r="R1481" s="63">
        <v>149</v>
      </c>
      <c r="S1481" s="63">
        <v>115</v>
      </c>
      <c r="T1481" s="63">
        <v>9</v>
      </c>
      <c r="U1481" s="63"/>
      <c r="V1481" s="63"/>
      <c r="W1481" s="63">
        <f>IF(Copyright!B$11=1,IF(CA1481&gt;0,CA1481-P1481-SUM(AE1481:AQ1481)-SUM(X1481:AC1481)-SUM(U1481:V1481),SUM(CB1481:CM1481)),SUM(CC1481:CM1481))</f>
        <v>0</v>
      </c>
      <c r="X1481" s="63"/>
      <c r="Y1481" s="63"/>
      <c r="Z1481" s="63"/>
      <c r="AA1481" s="63"/>
      <c r="AB1481" s="63"/>
      <c r="AC1481" s="63"/>
      <c r="AD1481" s="63">
        <v>16</v>
      </c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/>
      <c r="AP1481" s="63"/>
      <c r="AQ1481" s="63"/>
      <c r="AR1481" s="63"/>
      <c r="AS1481" s="63"/>
      <c r="AT1481" s="63"/>
      <c r="AU1481" s="63"/>
      <c r="AW1481" s="5">
        <f>IF(Q1481&gt;0,RANK(Q1481,(N1481:P1481,Q1481:AE1481)),0)</f>
        <v>3</v>
      </c>
      <c r="AX1481" s="5">
        <f>IF(R1481&gt;0,RANK(R1481,(N1481:P1481,Q1481:AE1481)),0)</f>
        <v>4</v>
      </c>
      <c r="AY1481" s="5">
        <f>IF(T1481&gt;0,RANK(T1481,(N1481:P1481,Q1481:AE1481)),0)</f>
        <v>7</v>
      </c>
      <c r="AZ1481" s="5">
        <f>IF(S1481&gt;0,RANK(S1481,(N1481:P1481,Q1481:AE1481)),0)</f>
        <v>5</v>
      </c>
      <c r="BA1481" s="2">
        <f t="shared" si="617"/>
        <v>2.1308437856328393E-2</v>
      </c>
      <c r="BB1481" s="2">
        <f t="shared" si="618"/>
        <v>5.3092930444697834E-3</v>
      </c>
      <c r="BC1481" s="2">
        <f t="shared" si="619"/>
        <v>3.2069555302166478E-4</v>
      </c>
      <c r="BD1481" s="2">
        <f t="shared" si="620"/>
        <v>4.0977765108323834E-3</v>
      </c>
      <c r="BF1481" t="s">
        <v>2302</v>
      </c>
      <c r="BG1481" t="s">
        <v>1113</v>
      </c>
      <c r="BH1481">
        <v>4</v>
      </c>
      <c r="BJ1481" s="114">
        <v>28</v>
      </c>
      <c r="BK1481" s="116">
        <v>35</v>
      </c>
      <c r="BL1481" s="120">
        <f t="shared" si="610"/>
        <v>28035</v>
      </c>
      <c r="BN1481" s="5" t="s">
        <v>3154</v>
      </c>
    </row>
    <row r="1482" spans="1:79" hidden="1" outlineLevel="1">
      <c r="A1482" t="s">
        <v>1138</v>
      </c>
      <c r="B1482" t="s">
        <v>1113</v>
      </c>
      <c r="C1482" s="1">
        <f t="shared" si="612"/>
        <v>4290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0</v>
      </c>
      <c r="G1482" s="132">
        <f t="shared" si="621"/>
        <v>1219</v>
      </c>
      <c r="H1482" s="137">
        <f t="shared" si="622"/>
        <v>0.28414918414918416</v>
      </c>
      <c r="I1482" s="2"/>
      <c r="J1482" s="2">
        <f t="shared" si="613"/>
        <v>0.35011655011655013</v>
      </c>
      <c r="K1482" s="2">
        <f t="shared" si="614"/>
        <v>0.63426573426573429</v>
      </c>
      <c r="L1482" s="2">
        <f t="shared" si="615"/>
        <v>0</v>
      </c>
      <c r="M1482" s="2">
        <f t="shared" si="616"/>
        <v>1.5617715617715522E-2</v>
      </c>
      <c r="N1482" s="63">
        <v>1502</v>
      </c>
      <c r="O1482" s="63">
        <v>2721</v>
      </c>
      <c r="P1482" s="63"/>
      <c r="Q1482" s="63">
        <v>22</v>
      </c>
      <c r="R1482" s="63">
        <v>16</v>
      </c>
      <c r="S1482" s="63">
        <v>23</v>
      </c>
      <c r="T1482" s="63">
        <v>2</v>
      </c>
      <c r="U1482" s="63"/>
      <c r="V1482" s="63"/>
      <c r="W1482" s="63">
        <f>IF(Copyright!B$11=1,IF(CA1482&gt;0,CA1482-P1482-SUM(AE1482:AQ1482)-SUM(X1482:AC1482)-SUM(U1482:V1482),SUM(CB1482:CM1482)),SUM(CC1482:CM1482))</f>
        <v>0</v>
      </c>
      <c r="X1482" s="63"/>
      <c r="Y1482" s="63"/>
      <c r="Z1482" s="63"/>
      <c r="AA1482" s="63"/>
      <c r="AB1482" s="63"/>
      <c r="AC1482" s="63"/>
      <c r="AD1482" s="63">
        <v>4</v>
      </c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/>
      <c r="AP1482" s="63"/>
      <c r="AQ1482" s="63"/>
      <c r="AR1482" s="63"/>
      <c r="AS1482" s="63"/>
      <c r="AT1482" s="63"/>
      <c r="AU1482" s="63"/>
      <c r="AW1482" s="5">
        <f>IF(Q1482&gt;0,RANK(Q1482,(N1482:P1482,Q1482:AE1482)),0)</f>
        <v>4</v>
      </c>
      <c r="AX1482" s="5">
        <f>IF(R1482&gt;0,RANK(R1482,(N1482:P1482,Q1482:AE1482)),0)</f>
        <v>5</v>
      </c>
      <c r="AY1482" s="5">
        <f>IF(T1482&gt;0,RANK(T1482,(N1482:P1482,Q1482:AE1482)),0)</f>
        <v>7</v>
      </c>
      <c r="AZ1482" s="5">
        <f>IF(S1482&gt;0,RANK(S1482,(N1482:P1482,Q1482:AE1482)),0)</f>
        <v>3</v>
      </c>
      <c r="BA1482" s="2">
        <f t="shared" si="617"/>
        <v>5.1282051282051282E-3</v>
      </c>
      <c r="BB1482" s="2">
        <f t="shared" si="618"/>
        <v>3.7296037296037296E-3</v>
      </c>
      <c r="BC1482" s="2">
        <f t="shared" si="619"/>
        <v>4.662004662004662E-4</v>
      </c>
      <c r="BD1482" s="2">
        <f t="shared" si="620"/>
        <v>5.3613053613053617E-3</v>
      </c>
      <c r="BF1482" t="s">
        <v>1138</v>
      </c>
      <c r="BG1482" t="s">
        <v>1113</v>
      </c>
      <c r="BH1482">
        <v>3</v>
      </c>
      <c r="BJ1482" s="114">
        <v>28</v>
      </c>
      <c r="BK1482" s="116">
        <v>37</v>
      </c>
      <c r="BL1482" s="120">
        <f t="shared" si="610"/>
        <v>28037</v>
      </c>
      <c r="BN1482" s="5" t="s">
        <v>3154</v>
      </c>
    </row>
    <row r="1483" spans="1:79" hidden="1" outlineLevel="1">
      <c r="A1483" t="s">
        <v>2263</v>
      </c>
      <c r="B1483" t="s">
        <v>1113</v>
      </c>
      <c r="C1483" s="1">
        <f t="shared" si="612"/>
        <v>9891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0</v>
      </c>
      <c r="G1483" s="132">
        <f t="shared" si="621"/>
        <v>7669</v>
      </c>
      <c r="H1483" s="137">
        <f t="shared" si="622"/>
        <v>0.77535132949145691</v>
      </c>
      <c r="I1483" s="2"/>
      <c r="J1483" s="2">
        <f t="shared" si="613"/>
        <v>0.10383176625214842</v>
      </c>
      <c r="K1483" s="2">
        <f t="shared" si="614"/>
        <v>0.87918309574360531</v>
      </c>
      <c r="L1483" s="2">
        <f t="shared" si="615"/>
        <v>0</v>
      </c>
      <c r="M1483" s="2">
        <f t="shared" si="616"/>
        <v>1.6985138004246281E-2</v>
      </c>
      <c r="N1483" s="63">
        <v>1027</v>
      </c>
      <c r="O1483" s="63">
        <v>8696</v>
      </c>
      <c r="P1483" s="63"/>
      <c r="Q1483" s="63">
        <v>91</v>
      </c>
      <c r="R1483" s="63">
        <v>20</v>
      </c>
      <c r="S1483" s="63">
        <v>44</v>
      </c>
      <c r="T1483" s="63">
        <v>6</v>
      </c>
      <c r="U1483" s="63"/>
      <c r="V1483" s="63"/>
      <c r="W1483" s="63">
        <f>IF(Copyright!B$11=1,IF(CA1483&gt;0,CA1483-P1483-SUM(AE1483:AQ1483)-SUM(X1483:AC1483)-SUM(U1483:V1483),SUM(CB1483:CM1483)),SUM(CC1483:CM1483))</f>
        <v>0</v>
      </c>
      <c r="X1483" s="63"/>
      <c r="Y1483" s="63"/>
      <c r="Z1483" s="63"/>
      <c r="AA1483" s="63"/>
      <c r="AB1483" s="63"/>
      <c r="AC1483" s="63"/>
      <c r="AD1483" s="63">
        <v>7</v>
      </c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/>
      <c r="AP1483" s="63"/>
      <c r="AQ1483" s="63"/>
      <c r="AR1483" s="63"/>
      <c r="AS1483" s="63"/>
      <c r="AT1483" s="63"/>
      <c r="AU1483" s="63"/>
      <c r="AW1483" s="5">
        <f>IF(Q1483&gt;0,RANK(Q1483,(N1483:P1483,Q1483:AE1483)),0)</f>
        <v>3</v>
      </c>
      <c r="AX1483" s="5">
        <f>IF(R1483&gt;0,RANK(R1483,(N1483:P1483,Q1483:AE1483)),0)</f>
        <v>5</v>
      </c>
      <c r="AY1483" s="5">
        <f>IF(T1483&gt;0,RANK(T1483,(N1483:P1483,Q1483:AE1483)),0)</f>
        <v>7</v>
      </c>
      <c r="AZ1483" s="5">
        <f>IF(S1483&gt;0,RANK(S1483,(N1483:P1483,Q1483:AE1483)),0)</f>
        <v>4</v>
      </c>
      <c r="BA1483" s="2">
        <f t="shared" si="617"/>
        <v>9.200283085633405E-3</v>
      </c>
      <c r="BB1483" s="2">
        <f t="shared" si="618"/>
        <v>2.0220402386007482E-3</v>
      </c>
      <c r="BC1483" s="2">
        <f t="shared" si="619"/>
        <v>6.0661207158022447E-4</v>
      </c>
      <c r="BD1483" s="2">
        <f t="shared" si="620"/>
        <v>4.4484885249216457E-3</v>
      </c>
      <c r="BF1483" t="s">
        <v>2263</v>
      </c>
      <c r="BG1483" t="s">
        <v>1113</v>
      </c>
      <c r="BH1483">
        <v>4</v>
      </c>
      <c r="BJ1483" s="114">
        <v>28</v>
      </c>
      <c r="BK1483" s="116">
        <v>39</v>
      </c>
      <c r="BL1483" s="120">
        <f t="shared" si="610"/>
        <v>28039</v>
      </c>
      <c r="BN1483" s="5" t="s">
        <v>3154</v>
      </c>
    </row>
    <row r="1484" spans="1:79" hidden="1" outlineLevel="1">
      <c r="A1484" t="s">
        <v>2189</v>
      </c>
      <c r="B1484" t="s">
        <v>1113</v>
      </c>
      <c r="C1484" s="1">
        <f t="shared" si="612"/>
        <v>5369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0</v>
      </c>
      <c r="G1484" s="132">
        <f t="shared" si="621"/>
        <v>3361</v>
      </c>
      <c r="H1484" s="137">
        <f t="shared" si="622"/>
        <v>0.62600111752654131</v>
      </c>
      <c r="I1484" s="2"/>
      <c r="J1484" s="2">
        <f t="shared" si="613"/>
        <v>0.18141180853045261</v>
      </c>
      <c r="K1484" s="2">
        <f t="shared" si="614"/>
        <v>0.80741292605699388</v>
      </c>
      <c r="L1484" s="2">
        <f t="shared" si="615"/>
        <v>0</v>
      </c>
      <c r="M1484" s="2">
        <f t="shared" si="616"/>
        <v>1.1175265412553537E-2</v>
      </c>
      <c r="N1484" s="63">
        <v>974</v>
      </c>
      <c r="O1484" s="63">
        <v>4335</v>
      </c>
      <c r="P1484" s="63"/>
      <c r="Q1484" s="63">
        <v>28</v>
      </c>
      <c r="R1484" s="63">
        <v>4</v>
      </c>
      <c r="S1484" s="63">
        <v>21</v>
      </c>
      <c r="T1484" s="63">
        <v>4</v>
      </c>
      <c r="U1484" s="63"/>
      <c r="V1484" s="63"/>
      <c r="W1484" s="63">
        <f>IF(Copyright!B$11=1,IF(CA1484&gt;0,CA1484-P1484-SUM(AE1484:AQ1484)-SUM(X1484:AC1484)-SUM(U1484:V1484),SUM(CB1484:CM1484)),SUM(CC1484:CM1484))</f>
        <v>0</v>
      </c>
      <c r="X1484" s="63"/>
      <c r="Y1484" s="63"/>
      <c r="Z1484" s="63"/>
      <c r="AA1484" s="63"/>
      <c r="AB1484" s="63"/>
      <c r="AC1484" s="63"/>
      <c r="AD1484" s="63">
        <v>3</v>
      </c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/>
      <c r="AP1484" s="63"/>
      <c r="AQ1484" s="63"/>
      <c r="AR1484" s="63"/>
      <c r="AS1484" s="63"/>
      <c r="AT1484" s="63"/>
      <c r="AU1484" s="63"/>
      <c r="AW1484" s="5">
        <f>IF(Q1484&gt;0,RANK(Q1484,(N1484:P1484,Q1484:AE1484)),0)</f>
        <v>3</v>
      </c>
      <c r="AX1484" s="5">
        <f>IF(R1484&gt;0,RANK(R1484,(N1484:P1484,Q1484:AE1484)),0)</f>
        <v>5</v>
      </c>
      <c r="AY1484" s="5">
        <f>IF(T1484&gt;0,RANK(T1484,(N1484:P1484,Q1484:AE1484)),0)</f>
        <v>5</v>
      </c>
      <c r="AZ1484" s="5">
        <f>IF(S1484&gt;0,RANK(S1484,(N1484:P1484,Q1484:AE1484)),0)</f>
        <v>4</v>
      </c>
      <c r="BA1484" s="2">
        <f t="shared" si="617"/>
        <v>5.2151238591916557E-3</v>
      </c>
      <c r="BB1484" s="2">
        <f t="shared" si="618"/>
        <v>7.4501769417023654E-4</v>
      </c>
      <c r="BC1484" s="2">
        <f t="shared" si="619"/>
        <v>7.4501769417023654E-4</v>
      </c>
      <c r="BD1484" s="2">
        <f t="shared" si="620"/>
        <v>3.9113428943937422E-3</v>
      </c>
      <c r="BF1484" t="s">
        <v>2189</v>
      </c>
      <c r="BG1484" t="s">
        <v>1113</v>
      </c>
      <c r="BH1484">
        <v>4</v>
      </c>
      <c r="BJ1484" s="114">
        <v>28</v>
      </c>
      <c r="BK1484" s="116">
        <v>41</v>
      </c>
      <c r="BL1484" s="120">
        <f t="shared" si="610"/>
        <v>28041</v>
      </c>
      <c r="BN1484" s="5" t="s">
        <v>3154</v>
      </c>
    </row>
    <row r="1485" spans="1:79" hidden="1" outlineLevel="1">
      <c r="A1485" t="s">
        <v>2976</v>
      </c>
      <c r="B1485" t="s">
        <v>1113</v>
      </c>
      <c r="C1485" s="1">
        <f t="shared" si="612"/>
        <v>10513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0</v>
      </c>
      <c r="G1485" s="132">
        <f t="shared" si="621"/>
        <v>1546</v>
      </c>
      <c r="H1485" s="137">
        <f t="shared" si="622"/>
        <v>0.14705602587272901</v>
      </c>
      <c r="I1485" s="2"/>
      <c r="J1485" s="2">
        <f t="shared" si="613"/>
        <v>0.4208123275944069</v>
      </c>
      <c r="K1485" s="2">
        <f t="shared" si="614"/>
        <v>0.56786835346713593</v>
      </c>
      <c r="L1485" s="2">
        <f t="shared" si="615"/>
        <v>0</v>
      </c>
      <c r="M1485" s="2">
        <f t="shared" si="616"/>
        <v>1.1319318938457168E-2</v>
      </c>
      <c r="N1485" s="63">
        <v>4424</v>
      </c>
      <c r="O1485" s="63">
        <v>5970</v>
      </c>
      <c r="P1485" s="63"/>
      <c r="Q1485" s="63">
        <v>69</v>
      </c>
      <c r="R1485" s="63">
        <v>22</v>
      </c>
      <c r="S1485" s="63">
        <v>17</v>
      </c>
      <c r="T1485" s="63">
        <v>3</v>
      </c>
      <c r="U1485" s="63"/>
      <c r="V1485" s="63"/>
      <c r="W1485" s="63">
        <f>IF(Copyright!B$11=1,IF(CA1485&gt;0,CA1485-P1485-SUM(AE1485:AQ1485)-SUM(X1485:AC1485)-SUM(U1485:V1485),SUM(CB1485:CM1485)),SUM(CC1485:CM1485))</f>
        <v>0</v>
      </c>
      <c r="X1485" s="63"/>
      <c r="Y1485" s="63"/>
      <c r="Z1485" s="63"/>
      <c r="AA1485" s="63"/>
      <c r="AB1485" s="63"/>
      <c r="AC1485" s="63"/>
      <c r="AD1485" s="63">
        <v>8</v>
      </c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/>
      <c r="AP1485" s="63"/>
      <c r="AQ1485" s="63"/>
      <c r="AR1485" s="63"/>
      <c r="AS1485" s="63"/>
      <c r="AT1485" s="63"/>
      <c r="AU1485" s="63"/>
      <c r="AW1485" s="5">
        <f>IF(Q1485&gt;0,RANK(Q1485,(N1485:P1485,Q1485:AE1485)),0)</f>
        <v>3</v>
      </c>
      <c r="AX1485" s="5">
        <f>IF(R1485&gt;0,RANK(R1485,(N1485:P1485,Q1485:AE1485)),0)</f>
        <v>4</v>
      </c>
      <c r="AY1485" s="5">
        <f>IF(T1485&gt;0,RANK(T1485,(N1485:P1485,Q1485:AE1485)),0)</f>
        <v>7</v>
      </c>
      <c r="AZ1485" s="5">
        <f>IF(S1485&gt;0,RANK(S1485,(N1485:P1485,Q1485:AE1485)),0)</f>
        <v>5</v>
      </c>
      <c r="BA1485" s="2">
        <f t="shared" si="617"/>
        <v>6.5633025777608678E-3</v>
      </c>
      <c r="BB1485" s="2">
        <f t="shared" si="618"/>
        <v>2.0926471987063634E-3</v>
      </c>
      <c r="BC1485" s="2">
        <f t="shared" si="619"/>
        <v>2.8536098164177684E-4</v>
      </c>
      <c r="BD1485" s="2">
        <f t="shared" si="620"/>
        <v>1.6170455626367355E-3</v>
      </c>
      <c r="BF1485" t="s">
        <v>2976</v>
      </c>
      <c r="BG1485" t="s">
        <v>1113</v>
      </c>
      <c r="BH1485">
        <v>2</v>
      </c>
      <c r="BJ1485" s="114">
        <v>28</v>
      </c>
      <c r="BK1485" s="116">
        <v>43</v>
      </c>
      <c r="BL1485" s="120">
        <f t="shared" si="610"/>
        <v>28043</v>
      </c>
      <c r="BN1485" s="5" t="s">
        <v>3154</v>
      </c>
    </row>
    <row r="1486" spans="1:79" hidden="1" outlineLevel="1">
      <c r="A1486" t="s">
        <v>597</v>
      </c>
      <c r="B1486" t="s">
        <v>1113</v>
      </c>
      <c r="C1486" s="1">
        <f t="shared" si="612"/>
        <v>17637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0</v>
      </c>
      <c r="G1486" s="132">
        <f t="shared" si="621"/>
        <v>10467</v>
      </c>
      <c r="H1486" s="137">
        <f t="shared" si="622"/>
        <v>0.59346827691784321</v>
      </c>
      <c r="I1486" s="2"/>
      <c r="J1486" s="2">
        <f t="shared" si="613"/>
        <v>0.18960140613483017</v>
      </c>
      <c r="K1486" s="2">
        <f t="shared" si="614"/>
        <v>0.78306968305267333</v>
      </c>
      <c r="L1486" s="2">
        <f t="shared" si="615"/>
        <v>0</v>
      </c>
      <c r="M1486" s="2">
        <f t="shared" si="616"/>
        <v>2.7328910812496554E-2</v>
      </c>
      <c r="N1486" s="63">
        <v>3344</v>
      </c>
      <c r="O1486" s="63">
        <v>13811</v>
      </c>
      <c r="P1486" s="63"/>
      <c r="Q1486" s="63">
        <v>312</v>
      </c>
      <c r="R1486" s="63">
        <v>83</v>
      </c>
      <c r="S1486" s="63">
        <v>68</v>
      </c>
      <c r="T1486" s="63">
        <v>9</v>
      </c>
      <c r="U1486" s="63"/>
      <c r="V1486" s="63"/>
      <c r="W1486" s="63">
        <f>IF(Copyright!B$11=1,IF(CA1486&gt;0,CA1486-P1486-SUM(AE1486:AQ1486)-SUM(X1486:AC1486)-SUM(U1486:V1486),SUM(CB1486:CM1486)),SUM(CC1486:CM1486))</f>
        <v>0</v>
      </c>
      <c r="X1486" s="63"/>
      <c r="Y1486" s="63"/>
      <c r="Z1486" s="63"/>
      <c r="AA1486" s="63"/>
      <c r="AB1486" s="63"/>
      <c r="AC1486" s="63"/>
      <c r="AD1486" s="63">
        <v>10</v>
      </c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/>
      <c r="AP1486" s="63"/>
      <c r="AQ1486" s="63"/>
      <c r="AR1486" s="63"/>
      <c r="AS1486" s="63"/>
      <c r="AT1486" s="63"/>
      <c r="AU1486" s="63"/>
      <c r="AW1486" s="5">
        <f>IF(Q1486&gt;0,RANK(Q1486,(N1486:P1486,Q1486:AE1486)),0)</f>
        <v>3</v>
      </c>
      <c r="AX1486" s="5">
        <f>IF(R1486&gt;0,RANK(R1486,(N1486:P1486,Q1486:AE1486)),0)</f>
        <v>4</v>
      </c>
      <c r="AY1486" s="5">
        <f>IF(T1486&gt;0,RANK(T1486,(N1486:P1486,Q1486:AE1486)),0)</f>
        <v>7</v>
      </c>
      <c r="AZ1486" s="5">
        <f>IF(S1486&gt;0,RANK(S1486,(N1486:P1486,Q1486:AE1486)),0)</f>
        <v>5</v>
      </c>
      <c r="BA1486" s="2">
        <f t="shared" si="617"/>
        <v>1.769008334750808E-2</v>
      </c>
      <c r="BB1486" s="2">
        <f t="shared" si="618"/>
        <v>4.7060157623178547E-3</v>
      </c>
      <c r="BC1486" s="2">
        <f t="shared" si="619"/>
        <v>5.1029086579350226E-4</v>
      </c>
      <c r="BD1486" s="2">
        <f t="shared" si="620"/>
        <v>3.8555309859953507E-3</v>
      </c>
      <c r="BF1486" t="s">
        <v>597</v>
      </c>
      <c r="BG1486" t="s">
        <v>1113</v>
      </c>
      <c r="BH1486">
        <v>4</v>
      </c>
      <c r="BJ1486" s="114">
        <v>28</v>
      </c>
      <c r="BK1486" s="116">
        <v>45</v>
      </c>
      <c r="BL1486" s="120">
        <f t="shared" si="610"/>
        <v>28045</v>
      </c>
      <c r="BN1486" s="5" t="s">
        <v>3154</v>
      </c>
    </row>
    <row r="1487" spans="1:79" hidden="1" outlineLevel="1">
      <c r="A1487" t="s">
        <v>875</v>
      </c>
      <c r="B1487" t="s">
        <v>1113</v>
      </c>
      <c r="C1487" s="1">
        <f t="shared" si="612"/>
        <v>63313</v>
      </c>
      <c r="D1487" s="5">
        <f>IF(N1487&gt;0, RANK(N1487,(N1487:P1487,Q1487:AE1487)),0)</f>
        <v>2</v>
      </c>
      <c r="E1487" s="5">
        <f>IF(O1487&gt;0,RANK(O1487,(N1487:P1487,Q1487:AE1487)),0)</f>
        <v>1</v>
      </c>
      <c r="F1487" s="5">
        <f>IF(P1487&gt;0,RANK(P1487,(N1487:P1487,Q1487:AE1487)),0)</f>
        <v>0</v>
      </c>
      <c r="G1487" s="132">
        <f t="shared" si="621"/>
        <v>19185</v>
      </c>
      <c r="H1487" s="137">
        <f t="shared" si="622"/>
        <v>0.30301833746623918</v>
      </c>
      <c r="I1487" s="2"/>
      <c r="J1487" s="2">
        <f t="shared" si="613"/>
        <v>0.33435471388182519</v>
      </c>
      <c r="K1487" s="2">
        <f t="shared" si="614"/>
        <v>0.63737305134806432</v>
      </c>
      <c r="L1487" s="2">
        <f t="shared" si="615"/>
        <v>0</v>
      </c>
      <c r="M1487" s="2">
        <f t="shared" si="616"/>
        <v>2.8272234770110427E-2</v>
      </c>
      <c r="N1487" s="63">
        <v>21169</v>
      </c>
      <c r="O1487" s="63">
        <v>40354</v>
      </c>
      <c r="P1487" s="63"/>
      <c r="Q1487" s="63">
        <v>1230</v>
      </c>
      <c r="R1487" s="63">
        <v>330</v>
      </c>
      <c r="S1487" s="63">
        <v>184</v>
      </c>
      <c r="T1487" s="63">
        <v>28</v>
      </c>
      <c r="U1487" s="63"/>
      <c r="V1487" s="63"/>
      <c r="W1487" s="63">
        <f>IF(Copyright!B$11=1,IF(CA1487&gt;0,CA1487-P1487-SUM(AE1487:AQ1487)-SUM(X1487:AC1487)-SUM(U1487:V1487),SUM(CB1487:CM1487)),SUM(CC1487:CM1487))</f>
        <v>0</v>
      </c>
      <c r="X1487" s="63"/>
      <c r="Y1487" s="63"/>
      <c r="Z1487" s="63"/>
      <c r="AA1487" s="63"/>
      <c r="AB1487" s="63"/>
      <c r="AC1487" s="63"/>
      <c r="AD1487" s="63">
        <v>18</v>
      </c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/>
      <c r="AP1487" s="63"/>
      <c r="AQ1487" s="63"/>
      <c r="AR1487" s="63"/>
      <c r="AS1487" s="63"/>
      <c r="AT1487" s="63"/>
      <c r="AU1487" s="63"/>
      <c r="AW1487" s="5">
        <f>IF(Q1487&gt;0,RANK(Q1487,(N1487:P1487,Q1487:AE1487)),0)</f>
        <v>3</v>
      </c>
      <c r="AX1487" s="5">
        <f>IF(R1487&gt;0,RANK(R1487,(N1487:P1487,Q1487:AE1487)),0)</f>
        <v>4</v>
      </c>
      <c r="AY1487" s="5">
        <f>IF(T1487&gt;0,RANK(T1487,(N1487:P1487,Q1487:AE1487)),0)</f>
        <v>6</v>
      </c>
      <c r="AZ1487" s="5">
        <f>IF(S1487&gt;0,RANK(S1487,(N1487:P1487,Q1487:AE1487)),0)</f>
        <v>5</v>
      </c>
      <c r="BA1487" s="2">
        <f t="shared" si="617"/>
        <v>1.9427289814098209E-2</v>
      </c>
      <c r="BB1487" s="2">
        <f t="shared" si="618"/>
        <v>5.2121997062214709E-3</v>
      </c>
      <c r="BC1487" s="2">
        <f t="shared" si="619"/>
        <v>4.4224724780060967E-4</v>
      </c>
      <c r="BD1487" s="2">
        <f t="shared" si="620"/>
        <v>2.9061961998325778E-3</v>
      </c>
      <c r="BF1487" t="s">
        <v>875</v>
      </c>
      <c r="BG1487" t="s">
        <v>1113</v>
      </c>
      <c r="BH1487">
        <v>4</v>
      </c>
      <c r="BJ1487" s="114">
        <v>28</v>
      </c>
      <c r="BK1487" s="116">
        <v>47</v>
      </c>
      <c r="BL1487" s="120">
        <f t="shared" si="610"/>
        <v>28047</v>
      </c>
      <c r="BN1487" s="5" t="s">
        <v>3154</v>
      </c>
    </row>
    <row r="1488" spans="1:79" hidden="1" outlineLevel="1">
      <c r="A1488" t="s">
        <v>1813</v>
      </c>
      <c r="B1488" t="s">
        <v>1113</v>
      </c>
      <c r="C1488" s="1">
        <f t="shared" si="612"/>
        <v>95077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0</v>
      </c>
      <c r="G1488" s="132">
        <f t="shared" si="621"/>
        <v>42319</v>
      </c>
      <c r="H1488" s="137">
        <f t="shared" si="622"/>
        <v>0.44510239069385865</v>
      </c>
      <c r="I1488" s="2"/>
      <c r="J1488" s="2">
        <f t="shared" si="613"/>
        <v>0.71093955425602406</v>
      </c>
      <c r="K1488" s="2">
        <f t="shared" si="614"/>
        <v>0.26583716356216541</v>
      </c>
      <c r="L1488" s="2">
        <f t="shared" si="615"/>
        <v>0</v>
      </c>
      <c r="M1488" s="2">
        <f t="shared" si="616"/>
        <v>2.3223282181810523E-2</v>
      </c>
      <c r="N1488" s="63">
        <v>67594</v>
      </c>
      <c r="O1488" s="63">
        <v>25275</v>
      </c>
      <c r="P1488" s="63"/>
      <c r="Q1488" s="63">
        <v>1013</v>
      </c>
      <c r="R1488" s="63">
        <v>470</v>
      </c>
      <c r="S1488" s="63">
        <v>270</v>
      </c>
      <c r="T1488" s="63">
        <v>36</v>
      </c>
      <c r="U1488" s="63"/>
      <c r="V1488" s="63"/>
      <c r="W1488" s="63">
        <f>IF(Copyright!B$11=1,IF(CA1488&gt;0,CA1488-P1488-SUM(AE1488:AQ1488)-SUM(X1488:AC1488)-SUM(U1488:V1488),SUM(CB1488:CM1488)),SUM(CC1488:CM1488))</f>
        <v>396</v>
      </c>
      <c r="X1488" s="63"/>
      <c r="Y1488" s="63"/>
      <c r="Z1488" s="63"/>
      <c r="AA1488" s="63"/>
      <c r="AB1488" s="63"/>
      <c r="AC1488" s="63"/>
      <c r="AD1488" s="63">
        <v>23</v>
      </c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/>
      <c r="AP1488" s="63"/>
      <c r="AQ1488" s="63"/>
      <c r="AR1488" s="63"/>
      <c r="AS1488" s="63"/>
      <c r="AT1488" s="63"/>
      <c r="AU1488" s="63"/>
      <c r="AW1488" s="5">
        <f>IF(Q1488&gt;0,RANK(Q1488,(N1488:P1488,Q1488:AE1488)),0)</f>
        <v>3</v>
      </c>
      <c r="AX1488" s="5">
        <f>IF(R1488&gt;0,RANK(R1488,(N1488:P1488,Q1488:AE1488)),0)</f>
        <v>4</v>
      </c>
      <c r="AY1488" s="5">
        <f>IF(T1488&gt;0,RANK(T1488,(N1488:P1488,Q1488:AE1488)),0)</f>
        <v>7</v>
      </c>
      <c r="AZ1488" s="5">
        <f>IF(S1488&gt;0,RANK(S1488,(N1488:P1488,Q1488:AE1488)),0)</f>
        <v>6</v>
      </c>
      <c r="BA1488" s="2">
        <f t="shared" si="617"/>
        <v>1.065452212417304E-2</v>
      </c>
      <c r="BB1488" s="2">
        <f t="shared" si="618"/>
        <v>4.9433616963093074E-3</v>
      </c>
      <c r="BC1488" s="2">
        <f t="shared" si="619"/>
        <v>3.7864047035560653E-4</v>
      </c>
      <c r="BD1488" s="2">
        <f t="shared" si="620"/>
        <v>2.8398035276670486E-3</v>
      </c>
      <c r="BF1488" t="s">
        <v>1813</v>
      </c>
      <c r="BG1488" t="s">
        <v>1113</v>
      </c>
      <c r="BJ1488" s="114">
        <v>28</v>
      </c>
      <c r="BK1488" s="116">
        <v>49</v>
      </c>
      <c r="BL1488" s="120">
        <f t="shared" si="610"/>
        <v>28049</v>
      </c>
      <c r="BN1488" s="5" t="s">
        <v>3154</v>
      </c>
      <c r="CA1488" s="133">
        <v>396</v>
      </c>
    </row>
    <row r="1489" spans="1:66" hidden="1" outlineLevel="1">
      <c r="A1489" t="s">
        <v>1435</v>
      </c>
      <c r="B1489" t="s">
        <v>1113</v>
      </c>
      <c r="C1489" s="1">
        <f t="shared" si="612"/>
        <v>8076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0</v>
      </c>
      <c r="G1489" s="132">
        <f t="shared" si="621"/>
        <v>5380</v>
      </c>
      <c r="H1489" s="137">
        <f t="shared" si="622"/>
        <v>0.66617137196631993</v>
      </c>
      <c r="I1489" s="2"/>
      <c r="J1489" s="2">
        <f t="shared" si="613"/>
        <v>0.82825656265477965</v>
      </c>
      <c r="K1489" s="2">
        <f t="shared" si="614"/>
        <v>0.16208519068845964</v>
      </c>
      <c r="L1489" s="2">
        <f t="shared" si="615"/>
        <v>0</v>
      </c>
      <c r="M1489" s="2">
        <f t="shared" si="616"/>
        <v>9.6582466567607106E-3</v>
      </c>
      <c r="N1489" s="63">
        <v>6689</v>
      </c>
      <c r="O1489" s="63">
        <v>1309</v>
      </c>
      <c r="P1489" s="63"/>
      <c r="Q1489" s="63">
        <v>25</v>
      </c>
      <c r="R1489" s="63">
        <v>19</v>
      </c>
      <c r="S1489" s="63">
        <v>20</v>
      </c>
      <c r="T1489" s="63">
        <v>4</v>
      </c>
      <c r="U1489" s="63"/>
      <c r="V1489" s="63"/>
      <c r="W1489" s="63">
        <f>IF(Copyright!B$11=1,IF(CA1489&gt;0,CA1489-P1489-SUM(AE1489:AQ1489)-SUM(X1489:AC1489)-SUM(U1489:V1489),SUM(CB1489:CM1489)),SUM(CC1489:CM1489))</f>
        <v>0</v>
      </c>
      <c r="X1489" s="63"/>
      <c r="Y1489" s="63"/>
      <c r="Z1489" s="63"/>
      <c r="AA1489" s="63"/>
      <c r="AB1489" s="63"/>
      <c r="AC1489" s="63"/>
      <c r="AD1489" s="63">
        <v>10</v>
      </c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/>
      <c r="AP1489" s="63"/>
      <c r="AQ1489" s="63"/>
      <c r="AR1489" s="63"/>
      <c r="AS1489" s="63"/>
      <c r="AT1489" s="63"/>
      <c r="AU1489" s="63"/>
      <c r="AW1489" s="5">
        <f>IF(Q1489&gt;0,RANK(Q1489,(N1489:P1489,Q1489:AE1489)),0)</f>
        <v>3</v>
      </c>
      <c r="AX1489" s="5">
        <f>IF(R1489&gt;0,RANK(R1489,(N1489:P1489,Q1489:AE1489)),0)</f>
        <v>5</v>
      </c>
      <c r="AY1489" s="5">
        <f>IF(T1489&gt;0,RANK(T1489,(N1489:P1489,Q1489:AE1489)),0)</f>
        <v>7</v>
      </c>
      <c r="AZ1489" s="5">
        <f>IF(S1489&gt;0,RANK(S1489,(N1489:P1489,Q1489:AE1489)),0)</f>
        <v>4</v>
      </c>
      <c r="BA1489" s="2">
        <f t="shared" si="617"/>
        <v>3.0955918771669142E-3</v>
      </c>
      <c r="BB1489" s="2">
        <f t="shared" si="618"/>
        <v>2.3526498266468548E-3</v>
      </c>
      <c r="BC1489" s="2">
        <f t="shared" si="619"/>
        <v>4.9529470034670627E-4</v>
      </c>
      <c r="BD1489" s="2">
        <f t="shared" si="620"/>
        <v>2.4764735017335313E-3</v>
      </c>
      <c r="BF1489" t="s">
        <v>1435</v>
      </c>
      <c r="BG1489" t="s">
        <v>1113</v>
      </c>
      <c r="BH1489">
        <v>2</v>
      </c>
      <c r="BJ1489" s="114">
        <v>28</v>
      </c>
      <c r="BK1489" s="116">
        <v>51</v>
      </c>
      <c r="BL1489" s="120">
        <f t="shared" si="610"/>
        <v>28051</v>
      </c>
      <c r="BN1489" s="5" t="s">
        <v>3154</v>
      </c>
    </row>
    <row r="1490" spans="1:66" hidden="1" outlineLevel="1">
      <c r="A1490" t="s">
        <v>2669</v>
      </c>
      <c r="B1490" t="s">
        <v>1113</v>
      </c>
      <c r="C1490" s="1">
        <f t="shared" si="612"/>
        <v>4253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0</v>
      </c>
      <c r="G1490" s="132">
        <f t="shared" si="621"/>
        <v>1920</v>
      </c>
      <c r="H1490" s="137">
        <f t="shared" si="622"/>
        <v>0.45144603809075945</v>
      </c>
      <c r="I1490" s="2"/>
      <c r="J1490" s="2">
        <f t="shared" si="613"/>
        <v>0.72207853280037626</v>
      </c>
      <c r="K1490" s="2">
        <f t="shared" si="614"/>
        <v>0.27063249470961676</v>
      </c>
      <c r="L1490" s="2">
        <f t="shared" si="615"/>
        <v>0</v>
      </c>
      <c r="M1490" s="2">
        <f t="shared" si="616"/>
        <v>7.2889724900069841E-3</v>
      </c>
      <c r="N1490" s="63">
        <v>3071</v>
      </c>
      <c r="O1490" s="63">
        <v>1151</v>
      </c>
      <c r="P1490" s="63"/>
      <c r="Q1490" s="63">
        <v>12</v>
      </c>
      <c r="R1490" s="63">
        <v>3</v>
      </c>
      <c r="S1490" s="63">
        <v>8</v>
      </c>
      <c r="T1490" s="63">
        <v>4</v>
      </c>
      <c r="U1490" s="63"/>
      <c r="V1490" s="63"/>
      <c r="W1490" s="63">
        <f>IF(Copyright!B$11=1,IF(CA1490&gt;0,CA1490-P1490-SUM(AE1490:AQ1490)-SUM(X1490:AC1490)-SUM(U1490:V1490),SUM(CB1490:CM1490)),SUM(CC1490:CM1490))</f>
        <v>0</v>
      </c>
      <c r="X1490" s="63"/>
      <c r="Y1490" s="63"/>
      <c r="Z1490" s="63"/>
      <c r="AA1490" s="63"/>
      <c r="AB1490" s="63"/>
      <c r="AC1490" s="63"/>
      <c r="AD1490" s="63">
        <v>4</v>
      </c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/>
      <c r="AP1490" s="63"/>
      <c r="AQ1490" s="63"/>
      <c r="AR1490" s="63"/>
      <c r="AS1490" s="63"/>
      <c r="AT1490" s="63"/>
      <c r="AU1490" s="63"/>
      <c r="AW1490" s="5">
        <f>IF(Q1490&gt;0,RANK(Q1490,(N1490:P1490,Q1490:AE1490)),0)</f>
        <v>3</v>
      </c>
      <c r="AX1490" s="5">
        <f>IF(R1490&gt;0,RANK(R1490,(N1490:P1490,Q1490:AE1490)),0)</f>
        <v>7</v>
      </c>
      <c r="AY1490" s="5">
        <f>IF(T1490&gt;0,RANK(T1490,(N1490:P1490,Q1490:AE1490)),0)</f>
        <v>5</v>
      </c>
      <c r="AZ1490" s="5">
        <f>IF(S1490&gt;0,RANK(S1490,(N1490:P1490,Q1490:AE1490)),0)</f>
        <v>4</v>
      </c>
      <c r="BA1490" s="2">
        <f t="shared" si="617"/>
        <v>2.8215377380672465E-3</v>
      </c>
      <c r="BB1490" s="2">
        <f t="shared" si="618"/>
        <v>7.0538443451681162E-4</v>
      </c>
      <c r="BC1490" s="2">
        <f t="shared" si="619"/>
        <v>9.4051257935574893E-4</v>
      </c>
      <c r="BD1490" s="2">
        <f t="shared" si="620"/>
        <v>1.8810251587114979E-3</v>
      </c>
      <c r="BF1490" t="s">
        <v>2669</v>
      </c>
      <c r="BG1490" t="s">
        <v>1113</v>
      </c>
      <c r="BH1490">
        <v>2</v>
      </c>
      <c r="BJ1490" s="114">
        <v>28</v>
      </c>
      <c r="BK1490" s="116">
        <v>53</v>
      </c>
      <c r="BL1490" s="120">
        <f t="shared" si="610"/>
        <v>28053</v>
      </c>
      <c r="BN1490" s="5" t="s">
        <v>3154</v>
      </c>
    </row>
    <row r="1491" spans="1:66" hidden="1" outlineLevel="1">
      <c r="A1491" t="s">
        <v>1487</v>
      </c>
      <c r="B1491" t="s">
        <v>1113</v>
      </c>
      <c r="C1491" s="1">
        <f t="shared" si="612"/>
        <v>699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>IF(P1491&gt;0,RANK(P1491,(N1491:P1491,Q1491:AE1491)),0)</f>
        <v>0</v>
      </c>
      <c r="G1491" s="132">
        <f t="shared" si="621"/>
        <v>97</v>
      </c>
      <c r="H1491" s="137">
        <f t="shared" si="622"/>
        <v>0.13876967095851217</v>
      </c>
      <c r="I1491" s="2"/>
      <c r="J1491" s="2">
        <f t="shared" si="613"/>
        <v>0.56509298998569379</v>
      </c>
      <c r="K1491" s="2">
        <f t="shared" si="614"/>
        <v>0.42632331902718168</v>
      </c>
      <c r="L1491" s="2">
        <f t="shared" si="615"/>
        <v>0</v>
      </c>
      <c r="M1491" s="2">
        <f t="shared" si="616"/>
        <v>8.5836909871245259E-3</v>
      </c>
      <c r="N1491" s="63">
        <v>395</v>
      </c>
      <c r="O1491" s="63">
        <v>298</v>
      </c>
      <c r="P1491" s="63"/>
      <c r="Q1491" s="63">
        <v>4</v>
      </c>
      <c r="R1491" s="63">
        <v>0</v>
      </c>
      <c r="S1491" s="63">
        <v>0</v>
      </c>
      <c r="T1491" s="63">
        <v>1</v>
      </c>
      <c r="U1491" s="63"/>
      <c r="V1491" s="63"/>
      <c r="W1491" s="63">
        <f>IF(Copyright!B$11=1,IF(CA1491&gt;0,CA1491-P1491-SUM(AE1491:AQ1491)-SUM(X1491:AC1491)-SUM(U1491:V1491),SUM(CB1491:CM1491)),SUM(CC1491:CM1491))</f>
        <v>0</v>
      </c>
      <c r="X1491" s="63"/>
      <c r="Y1491" s="63"/>
      <c r="Z1491" s="63"/>
      <c r="AA1491" s="63"/>
      <c r="AB1491" s="63"/>
      <c r="AC1491" s="63"/>
      <c r="AD1491" s="63">
        <v>1</v>
      </c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/>
      <c r="AP1491" s="63"/>
      <c r="AQ1491" s="63"/>
      <c r="AR1491" s="63"/>
      <c r="AS1491" s="63"/>
      <c r="AT1491" s="63"/>
      <c r="AU1491" s="63"/>
      <c r="AW1491" s="5">
        <f>IF(Q1491&gt;0,RANK(Q1491,(N1491:P1491,Q1491:AE1491)),0)</f>
        <v>3</v>
      </c>
      <c r="AX1491" s="5">
        <f>IF(R1491&gt;0,RANK(R1491,(N1491:P1491,Q1491:AE1491)),0)</f>
        <v>0</v>
      </c>
      <c r="AY1491" s="5">
        <f>IF(T1491&gt;0,RANK(T1491,(N1491:P1491,Q1491:AE1491)),0)</f>
        <v>4</v>
      </c>
      <c r="AZ1491" s="5">
        <f>IF(S1491&gt;0,RANK(S1491,(N1491:P1491,Q1491:AE1491)),0)</f>
        <v>0</v>
      </c>
      <c r="BA1491" s="2">
        <f t="shared" si="617"/>
        <v>5.7224606580829757E-3</v>
      </c>
      <c r="BB1491" s="2">
        <f t="shared" si="618"/>
        <v>0</v>
      </c>
      <c r="BC1491" s="2">
        <f t="shared" si="619"/>
        <v>1.4306151645207439E-3</v>
      </c>
      <c r="BD1491" s="2">
        <f t="shared" si="620"/>
        <v>0</v>
      </c>
      <c r="BF1491" t="s">
        <v>1487</v>
      </c>
      <c r="BG1491" t="s">
        <v>1113</v>
      </c>
      <c r="BH1491">
        <v>2</v>
      </c>
      <c r="BJ1491" s="114">
        <v>28</v>
      </c>
      <c r="BK1491" s="116">
        <v>55</v>
      </c>
      <c r="BL1491" s="120">
        <f t="shared" si="610"/>
        <v>28055</v>
      </c>
      <c r="BN1491" s="5" t="s">
        <v>3154</v>
      </c>
    </row>
    <row r="1492" spans="1:66" hidden="1" outlineLevel="1">
      <c r="A1492" t="s">
        <v>1366</v>
      </c>
      <c r="B1492" t="s">
        <v>1113</v>
      </c>
      <c r="C1492" s="1">
        <f t="shared" si="612"/>
        <v>9737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0</v>
      </c>
      <c r="G1492" s="132">
        <f t="shared" si="621"/>
        <v>7353</v>
      </c>
      <c r="H1492" s="137">
        <f t="shared" si="622"/>
        <v>0.75516072712334392</v>
      </c>
      <c r="I1492" s="2"/>
      <c r="J1492" s="2">
        <f t="shared" si="613"/>
        <v>0.11471705864229229</v>
      </c>
      <c r="K1492" s="2">
        <f t="shared" si="614"/>
        <v>0.86987778576563624</v>
      </c>
      <c r="L1492" s="2">
        <f t="shared" si="615"/>
        <v>0</v>
      </c>
      <c r="M1492" s="2">
        <f t="shared" si="616"/>
        <v>1.5405155592071451E-2</v>
      </c>
      <c r="N1492" s="63">
        <v>1117</v>
      </c>
      <c r="O1492" s="63">
        <v>8470</v>
      </c>
      <c r="P1492" s="63"/>
      <c r="Q1492" s="63">
        <v>84</v>
      </c>
      <c r="R1492" s="63">
        <v>20</v>
      </c>
      <c r="S1492" s="63">
        <v>36</v>
      </c>
      <c r="T1492" s="63">
        <v>5</v>
      </c>
      <c r="U1492" s="63"/>
      <c r="V1492" s="63"/>
      <c r="W1492" s="63">
        <f>IF(Copyright!B$11=1,IF(CA1492&gt;0,CA1492-P1492-SUM(AE1492:AQ1492)-SUM(X1492:AC1492)-SUM(U1492:V1492),SUM(CB1492:CM1492)),SUM(CC1492:CM1492))</f>
        <v>0</v>
      </c>
      <c r="X1492" s="63"/>
      <c r="Y1492" s="63"/>
      <c r="Z1492" s="63"/>
      <c r="AA1492" s="63"/>
      <c r="AB1492" s="63"/>
      <c r="AC1492" s="63"/>
      <c r="AD1492" s="63">
        <v>5</v>
      </c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/>
      <c r="AP1492" s="63"/>
      <c r="AQ1492" s="63"/>
      <c r="AR1492" s="63"/>
      <c r="AS1492" s="63"/>
      <c r="AT1492" s="63"/>
      <c r="AU1492" s="63"/>
      <c r="AW1492" s="5">
        <f>IF(Q1492&gt;0,RANK(Q1492,(N1492:P1492,Q1492:AE1492)),0)</f>
        <v>3</v>
      </c>
      <c r="AX1492" s="5">
        <f>IF(R1492&gt;0,RANK(R1492,(N1492:P1492,Q1492:AE1492)),0)</f>
        <v>5</v>
      </c>
      <c r="AY1492" s="5">
        <f>IF(T1492&gt;0,RANK(T1492,(N1492:P1492,Q1492:AE1492)),0)</f>
        <v>6</v>
      </c>
      <c r="AZ1492" s="5">
        <f>IF(S1492&gt;0,RANK(S1492,(N1492:P1492,Q1492:AE1492)),0)</f>
        <v>4</v>
      </c>
      <c r="BA1492" s="2">
        <f t="shared" si="617"/>
        <v>8.6268871315600282E-3</v>
      </c>
      <c r="BB1492" s="2">
        <f t="shared" si="618"/>
        <v>2.0540207456095309E-3</v>
      </c>
      <c r="BC1492" s="2">
        <f t="shared" si="619"/>
        <v>5.1350518640238272E-4</v>
      </c>
      <c r="BD1492" s="2">
        <f t="shared" si="620"/>
        <v>3.6972373420971552E-3</v>
      </c>
      <c r="BF1492" t="s">
        <v>1366</v>
      </c>
      <c r="BG1492" t="s">
        <v>1113</v>
      </c>
      <c r="BH1492">
        <v>1</v>
      </c>
      <c r="BJ1492" s="114">
        <v>28</v>
      </c>
      <c r="BK1492" s="116">
        <v>57</v>
      </c>
      <c r="BL1492" s="120">
        <f t="shared" si="610"/>
        <v>28057</v>
      </c>
      <c r="BN1492" s="5" t="s">
        <v>3154</v>
      </c>
    </row>
    <row r="1493" spans="1:66" hidden="1" outlineLevel="1">
      <c r="A1493" t="s">
        <v>2921</v>
      </c>
      <c r="B1493" t="s">
        <v>1113</v>
      </c>
      <c r="C1493" s="1">
        <f t="shared" si="612"/>
        <v>49567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>IF(P1493&gt;0,RANK(P1493,(N1493:P1493,Q1493:AE1493)),0)</f>
        <v>0</v>
      </c>
      <c r="G1493" s="132">
        <f t="shared" si="621"/>
        <v>18972</v>
      </c>
      <c r="H1493" s="137">
        <f t="shared" si="622"/>
        <v>0.38275465531502817</v>
      </c>
      <c r="I1493" s="2"/>
      <c r="J1493" s="2">
        <f t="shared" si="613"/>
        <v>0.29570076865656586</v>
      </c>
      <c r="K1493" s="2">
        <f t="shared" si="614"/>
        <v>0.67845542397159397</v>
      </c>
      <c r="L1493" s="2">
        <f t="shared" si="615"/>
        <v>0</v>
      </c>
      <c r="M1493" s="2">
        <f t="shared" si="616"/>
        <v>2.5843807371840222E-2</v>
      </c>
      <c r="N1493" s="63">
        <v>14657</v>
      </c>
      <c r="O1493" s="63">
        <v>33629</v>
      </c>
      <c r="P1493" s="63"/>
      <c r="Q1493" s="63">
        <v>901</v>
      </c>
      <c r="R1493" s="63">
        <v>162</v>
      </c>
      <c r="S1493" s="63">
        <v>168</v>
      </c>
      <c r="T1493" s="63">
        <v>26</v>
      </c>
      <c r="U1493" s="63"/>
      <c r="V1493" s="63"/>
      <c r="W1493" s="63">
        <f>IF(Copyright!B$11=1,IF(CA1493&gt;0,CA1493-P1493-SUM(AE1493:AQ1493)-SUM(X1493:AC1493)-SUM(U1493:V1493),SUM(CB1493:CM1493)),SUM(CC1493:CM1493))</f>
        <v>0</v>
      </c>
      <c r="X1493" s="63"/>
      <c r="Y1493" s="63"/>
      <c r="Z1493" s="63"/>
      <c r="AA1493" s="63"/>
      <c r="AB1493" s="63"/>
      <c r="AC1493" s="63"/>
      <c r="AD1493" s="63">
        <v>24</v>
      </c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/>
      <c r="AP1493" s="63"/>
      <c r="AQ1493" s="63"/>
      <c r="AR1493" s="63"/>
      <c r="AS1493" s="63"/>
      <c r="AT1493" s="63"/>
      <c r="AU1493" s="63"/>
      <c r="AW1493" s="5">
        <f>IF(Q1493&gt;0,RANK(Q1493,(N1493:P1493,Q1493:AE1493)),0)</f>
        <v>3</v>
      </c>
      <c r="AX1493" s="5">
        <f>IF(R1493&gt;0,RANK(R1493,(N1493:P1493,Q1493:AE1493)),0)</f>
        <v>5</v>
      </c>
      <c r="AY1493" s="5">
        <f>IF(T1493&gt;0,RANK(T1493,(N1493:P1493,Q1493:AE1493)),0)</f>
        <v>6</v>
      </c>
      <c r="AZ1493" s="5">
        <f>IF(S1493&gt;0,RANK(S1493,(N1493:P1493,Q1493:AE1493)),0)</f>
        <v>4</v>
      </c>
      <c r="BA1493" s="2">
        <f t="shared" si="617"/>
        <v>1.8177416426251338E-2</v>
      </c>
      <c r="BB1493" s="2">
        <f t="shared" si="618"/>
        <v>3.2683035083825931E-3</v>
      </c>
      <c r="BC1493" s="2">
        <f t="shared" si="619"/>
        <v>5.2454253838239153E-4</v>
      </c>
      <c r="BD1493" s="2">
        <f t="shared" si="620"/>
        <v>3.3893517864708373E-3</v>
      </c>
      <c r="BF1493" t="s">
        <v>2921</v>
      </c>
      <c r="BG1493" t="s">
        <v>1113</v>
      </c>
      <c r="BH1493">
        <v>4</v>
      </c>
      <c r="BJ1493" s="114">
        <v>28</v>
      </c>
      <c r="BK1493" s="116">
        <v>59</v>
      </c>
      <c r="BL1493" s="120">
        <f t="shared" si="610"/>
        <v>28059</v>
      </c>
      <c r="BN1493" s="5" t="s">
        <v>3154</v>
      </c>
    </row>
    <row r="1494" spans="1:66" hidden="1" outlineLevel="1">
      <c r="A1494" t="s">
        <v>1471</v>
      </c>
      <c r="B1494" t="s">
        <v>1113</v>
      </c>
      <c r="C1494" s="1">
        <f t="shared" si="612"/>
        <v>8475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0</v>
      </c>
      <c r="G1494" s="132">
        <f t="shared" si="621"/>
        <v>330</v>
      </c>
      <c r="H1494" s="137">
        <f t="shared" si="622"/>
        <v>3.8938053097345132E-2</v>
      </c>
      <c r="I1494" s="2"/>
      <c r="J1494" s="2">
        <f t="shared" si="613"/>
        <v>0.51539823008849561</v>
      </c>
      <c r="K1494" s="2">
        <f t="shared" si="614"/>
        <v>0.47646017699115045</v>
      </c>
      <c r="L1494" s="2">
        <f t="shared" si="615"/>
        <v>0</v>
      </c>
      <c r="M1494" s="2">
        <f t="shared" si="616"/>
        <v>8.141592920353935E-3</v>
      </c>
      <c r="N1494" s="63">
        <v>4368</v>
      </c>
      <c r="O1494" s="63">
        <v>4038</v>
      </c>
      <c r="P1494" s="63"/>
      <c r="Q1494" s="63">
        <v>28</v>
      </c>
      <c r="R1494" s="63">
        <v>6</v>
      </c>
      <c r="S1494" s="63">
        <v>22</v>
      </c>
      <c r="T1494" s="63">
        <v>6</v>
      </c>
      <c r="U1494" s="63"/>
      <c r="V1494" s="63"/>
      <c r="W1494" s="63">
        <f>IF(Copyright!B$11=1,IF(CA1494&gt;0,CA1494-P1494-SUM(AE1494:AQ1494)-SUM(X1494:AC1494)-SUM(U1494:V1494),SUM(CB1494:CM1494)),SUM(CC1494:CM1494))</f>
        <v>0</v>
      </c>
      <c r="X1494" s="63"/>
      <c r="Y1494" s="63"/>
      <c r="Z1494" s="63"/>
      <c r="AA1494" s="63"/>
      <c r="AB1494" s="63"/>
      <c r="AC1494" s="63"/>
      <c r="AD1494" s="63">
        <v>7</v>
      </c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/>
      <c r="AP1494" s="63"/>
      <c r="AQ1494" s="63"/>
      <c r="AR1494" s="63"/>
      <c r="AS1494" s="63"/>
      <c r="AT1494" s="63"/>
      <c r="AU1494" s="63"/>
      <c r="AW1494" s="5">
        <f>IF(Q1494&gt;0,RANK(Q1494,(N1494:P1494,Q1494:AE1494)),0)</f>
        <v>3</v>
      </c>
      <c r="AX1494" s="5">
        <f>IF(R1494&gt;0,RANK(R1494,(N1494:P1494,Q1494:AE1494)),0)</f>
        <v>6</v>
      </c>
      <c r="AY1494" s="5">
        <f>IF(T1494&gt;0,RANK(T1494,(N1494:P1494,Q1494:AE1494)),0)</f>
        <v>6</v>
      </c>
      <c r="AZ1494" s="5">
        <f>IF(S1494&gt;0,RANK(S1494,(N1494:P1494,Q1494:AE1494)),0)</f>
        <v>4</v>
      </c>
      <c r="BA1494" s="2">
        <f t="shared" si="617"/>
        <v>3.3038348082595871E-3</v>
      </c>
      <c r="BB1494" s="2">
        <f t="shared" si="618"/>
        <v>7.0796460176991152E-4</v>
      </c>
      <c r="BC1494" s="2">
        <f t="shared" si="619"/>
        <v>7.0796460176991152E-4</v>
      </c>
      <c r="BD1494" s="2">
        <f t="shared" si="620"/>
        <v>2.5958702064896753E-3</v>
      </c>
      <c r="BF1494" t="s">
        <v>1471</v>
      </c>
      <c r="BG1494" t="s">
        <v>1113</v>
      </c>
      <c r="BH1494">
        <v>3</v>
      </c>
      <c r="BJ1494" s="114">
        <v>28</v>
      </c>
      <c r="BK1494" s="116">
        <v>61</v>
      </c>
      <c r="BL1494" s="120">
        <f t="shared" si="610"/>
        <v>28061</v>
      </c>
      <c r="BN1494" s="5" t="s">
        <v>3154</v>
      </c>
    </row>
    <row r="1495" spans="1:66" hidden="1" outlineLevel="1">
      <c r="A1495" t="s">
        <v>1092</v>
      </c>
      <c r="B1495" t="s">
        <v>1113</v>
      </c>
      <c r="C1495" s="1">
        <f t="shared" si="612"/>
        <v>3860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0</v>
      </c>
      <c r="G1495" s="132">
        <f t="shared" si="621"/>
        <v>2847</v>
      </c>
      <c r="H1495" s="137">
        <f t="shared" si="622"/>
        <v>0.73756476683937822</v>
      </c>
      <c r="I1495" s="2"/>
      <c r="J1495" s="2">
        <f t="shared" si="613"/>
        <v>0.86450777202072537</v>
      </c>
      <c r="K1495" s="2">
        <f t="shared" si="614"/>
        <v>0.12694300518134716</v>
      </c>
      <c r="L1495" s="2">
        <f t="shared" si="615"/>
        <v>0</v>
      </c>
      <c r="M1495" s="2">
        <f t="shared" si="616"/>
        <v>8.5492227979274693E-3</v>
      </c>
      <c r="N1495" s="63">
        <v>3337</v>
      </c>
      <c r="O1495" s="63">
        <v>490</v>
      </c>
      <c r="P1495" s="63"/>
      <c r="Q1495" s="63">
        <v>13</v>
      </c>
      <c r="R1495" s="63">
        <v>7</v>
      </c>
      <c r="S1495" s="63">
        <v>7</v>
      </c>
      <c r="T1495" s="63">
        <v>1</v>
      </c>
      <c r="U1495" s="63"/>
      <c r="V1495" s="63"/>
      <c r="W1495" s="63">
        <f>IF(Copyright!B$11=1,IF(CA1495&gt;0,CA1495-P1495-SUM(AE1495:AQ1495)-SUM(X1495:AC1495)-SUM(U1495:V1495),SUM(CB1495:CM1495)),SUM(CC1495:CM1495))</f>
        <v>0</v>
      </c>
      <c r="X1495" s="63"/>
      <c r="Y1495" s="63"/>
      <c r="Z1495" s="63"/>
      <c r="AA1495" s="63"/>
      <c r="AB1495" s="63"/>
      <c r="AC1495" s="63"/>
      <c r="AD1495" s="63">
        <v>5</v>
      </c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/>
      <c r="AP1495" s="63"/>
      <c r="AQ1495" s="63"/>
      <c r="AR1495" s="63"/>
      <c r="AS1495" s="63"/>
      <c r="AT1495" s="63"/>
      <c r="AU1495" s="63"/>
      <c r="AW1495" s="5">
        <f>IF(Q1495&gt;0,RANK(Q1495,(N1495:P1495,Q1495:AE1495)),0)</f>
        <v>3</v>
      </c>
      <c r="AX1495" s="5">
        <f>IF(R1495&gt;0,RANK(R1495,(N1495:P1495,Q1495:AE1495)),0)</f>
        <v>4</v>
      </c>
      <c r="AY1495" s="5">
        <f>IF(T1495&gt;0,RANK(T1495,(N1495:P1495,Q1495:AE1495)),0)</f>
        <v>7</v>
      </c>
      <c r="AZ1495" s="5">
        <f>IF(S1495&gt;0,RANK(S1495,(N1495:P1495,Q1495:AE1495)),0)</f>
        <v>4</v>
      </c>
      <c r="BA1495" s="2">
        <f t="shared" si="617"/>
        <v>3.367875647668394E-3</v>
      </c>
      <c r="BB1495" s="2">
        <f t="shared" si="618"/>
        <v>1.8134715025906736E-3</v>
      </c>
      <c r="BC1495" s="2">
        <f t="shared" si="619"/>
        <v>2.5906735751295336E-4</v>
      </c>
      <c r="BD1495" s="2">
        <f t="shared" si="620"/>
        <v>1.8134715025906736E-3</v>
      </c>
      <c r="BF1495" t="s">
        <v>1092</v>
      </c>
      <c r="BG1495" t="s">
        <v>1113</v>
      </c>
      <c r="BH1495">
        <v>2</v>
      </c>
      <c r="BJ1495" s="114">
        <v>28</v>
      </c>
      <c r="BK1495" s="116">
        <v>63</v>
      </c>
      <c r="BL1495" s="120">
        <f t="shared" si="610"/>
        <v>28063</v>
      </c>
      <c r="BN1495" s="5" t="s">
        <v>3154</v>
      </c>
    </row>
    <row r="1496" spans="1:66" hidden="1" outlineLevel="1">
      <c r="A1496" t="s">
        <v>2791</v>
      </c>
      <c r="B1496" t="s">
        <v>1113</v>
      </c>
      <c r="C1496" s="1">
        <f t="shared" ref="C1496:C1527" si="623">SUM(N1496:AU1496)</f>
        <v>6237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>IF(P1496&gt;0,RANK(P1496,(N1496:P1496,Q1496:AE1496)),0)</f>
        <v>0</v>
      </c>
      <c r="G1496" s="132">
        <f t="shared" si="621"/>
        <v>1254</v>
      </c>
      <c r="H1496" s="137">
        <f t="shared" si="622"/>
        <v>0.20105820105820105</v>
      </c>
      <c r="I1496" s="2"/>
      <c r="J1496" s="2">
        <f t="shared" ref="J1496:J1527" si="624">IF($C1496=0,"-",N1496/$C1496)</f>
        <v>0.59644059644059644</v>
      </c>
      <c r="K1496" s="2">
        <f t="shared" ref="K1496:K1527" si="625">IF($C1496=0,"-",O1496/$C1496)</f>
        <v>0.39538239538239539</v>
      </c>
      <c r="L1496" s="2">
        <f t="shared" ref="L1496:L1527" si="626">IF($C1496=0,"-",P1496/$C1496)</f>
        <v>0</v>
      </c>
      <c r="M1496" s="2">
        <f t="shared" ref="M1496:M1527" si="627">IF(C1496=0,"-",(1-J1496-K1496-L1496))</f>
        <v>8.1770081770081715E-3</v>
      </c>
      <c r="N1496" s="63">
        <v>3720</v>
      </c>
      <c r="O1496" s="63">
        <v>2466</v>
      </c>
      <c r="P1496" s="63"/>
      <c r="Q1496" s="63">
        <v>21</v>
      </c>
      <c r="R1496" s="63">
        <v>3</v>
      </c>
      <c r="S1496" s="63">
        <v>20</v>
      </c>
      <c r="T1496" s="63">
        <v>2</v>
      </c>
      <c r="U1496" s="63"/>
      <c r="V1496" s="63"/>
      <c r="W1496" s="63">
        <f>IF(Copyright!B$11=1,IF(CA1496&gt;0,CA1496-P1496-SUM(AE1496:AQ1496)-SUM(X1496:AC1496)-SUM(U1496:V1496),SUM(CB1496:CM1496)),SUM(CC1496:CM1496))</f>
        <v>0</v>
      </c>
      <c r="X1496" s="63"/>
      <c r="Y1496" s="63"/>
      <c r="Z1496" s="63"/>
      <c r="AA1496" s="63"/>
      <c r="AB1496" s="63"/>
      <c r="AC1496" s="63"/>
      <c r="AD1496" s="63">
        <v>5</v>
      </c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/>
      <c r="AP1496" s="63"/>
      <c r="AQ1496" s="63"/>
      <c r="AR1496" s="63"/>
      <c r="AS1496" s="63"/>
      <c r="AT1496" s="63"/>
      <c r="AU1496" s="63"/>
      <c r="AW1496" s="5">
        <f>IF(Q1496&gt;0,RANK(Q1496,(N1496:P1496,Q1496:AE1496)),0)</f>
        <v>3</v>
      </c>
      <c r="AX1496" s="5">
        <f>IF(R1496&gt;0,RANK(R1496,(N1496:P1496,Q1496:AE1496)),0)</f>
        <v>6</v>
      </c>
      <c r="AY1496" s="5">
        <f>IF(T1496&gt;0,RANK(T1496,(N1496:P1496,Q1496:AE1496)),0)</f>
        <v>7</v>
      </c>
      <c r="AZ1496" s="5">
        <f>IF(S1496&gt;0,RANK(S1496,(N1496:P1496,Q1496:AE1496)),0)</f>
        <v>4</v>
      </c>
      <c r="BA1496" s="2">
        <f t="shared" ref="BA1496:BA1527" si="628">IF($C1496=0,"-",Q1496/$C1496)</f>
        <v>3.3670033670033669E-3</v>
      </c>
      <c r="BB1496" s="2">
        <f t="shared" ref="BB1496:BB1527" si="629">IF($C1496=0,"-",R1496/$C1496)</f>
        <v>4.8100048100048102E-4</v>
      </c>
      <c r="BC1496" s="2">
        <f t="shared" ref="BC1496:BC1527" si="630">IF($C1496=0,"-",T1496/$C1496)</f>
        <v>3.2066698733365401E-4</v>
      </c>
      <c r="BD1496" s="2">
        <f t="shared" ref="BD1496:BD1527" si="631">IF($C1496=0,"-",S1496/$C1496)</f>
        <v>3.2066698733365399E-3</v>
      </c>
      <c r="BF1496" t="s">
        <v>2791</v>
      </c>
      <c r="BG1496" t="s">
        <v>1113</v>
      </c>
      <c r="BH1496">
        <v>3</v>
      </c>
      <c r="BJ1496" s="114">
        <v>28</v>
      </c>
      <c r="BK1496" s="116">
        <v>65</v>
      </c>
      <c r="BL1496" s="120">
        <f t="shared" si="610"/>
        <v>28065</v>
      </c>
      <c r="BN1496" s="5" t="s">
        <v>3154</v>
      </c>
    </row>
    <row r="1497" spans="1:66" hidden="1" outlineLevel="1">
      <c r="A1497" t="s">
        <v>241</v>
      </c>
      <c r="B1497" t="s">
        <v>1113</v>
      </c>
      <c r="C1497" s="1">
        <f t="shared" si="623"/>
        <v>28352</v>
      </c>
      <c r="D1497" s="5">
        <f>IF(N1497&gt;0, RANK(N1497,(N1497:P1497,Q1497:AE1497)),0)</f>
        <v>2</v>
      </c>
      <c r="E1497" s="5">
        <f>IF(O1497&gt;0,RANK(O1497,(N1497:P1497,Q1497:AE1497)),0)</f>
        <v>1</v>
      </c>
      <c r="F1497" s="5">
        <f>IF(P1497&gt;0,RANK(P1497,(N1497:P1497,Q1497:AE1497)),0)</f>
        <v>0</v>
      </c>
      <c r="G1497" s="132">
        <f t="shared" si="621"/>
        <v>12342</v>
      </c>
      <c r="H1497" s="137">
        <f t="shared" si="622"/>
        <v>0.43531320541760721</v>
      </c>
      <c r="I1497" s="2"/>
      <c r="J1497" s="2">
        <f t="shared" si="624"/>
        <v>0.27479542889390518</v>
      </c>
      <c r="K1497" s="2">
        <f t="shared" si="625"/>
        <v>0.71010863431151239</v>
      </c>
      <c r="L1497" s="2">
        <f t="shared" si="626"/>
        <v>0</v>
      </c>
      <c r="M1497" s="2">
        <f t="shared" si="627"/>
        <v>1.5095936794582432E-2</v>
      </c>
      <c r="N1497" s="63">
        <v>7791</v>
      </c>
      <c r="O1497" s="63">
        <v>20133</v>
      </c>
      <c r="P1497" s="63"/>
      <c r="Q1497" s="63">
        <v>268</v>
      </c>
      <c r="R1497" s="63">
        <v>53</v>
      </c>
      <c r="S1497" s="63">
        <v>81</v>
      </c>
      <c r="T1497" s="63">
        <v>16</v>
      </c>
      <c r="U1497" s="63"/>
      <c r="V1497" s="63"/>
      <c r="W1497" s="63">
        <f>IF(Copyright!B$11=1,IF(CA1497&gt;0,CA1497-P1497-SUM(AE1497:AQ1497)-SUM(X1497:AC1497)-SUM(U1497:V1497),SUM(CB1497:CM1497)),SUM(CC1497:CM1497))</f>
        <v>0</v>
      </c>
      <c r="X1497" s="63"/>
      <c r="Y1497" s="63"/>
      <c r="Z1497" s="63"/>
      <c r="AA1497" s="63"/>
      <c r="AB1497" s="63"/>
      <c r="AC1497" s="63"/>
      <c r="AD1497" s="63">
        <v>10</v>
      </c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/>
      <c r="AP1497" s="63"/>
      <c r="AQ1497" s="63"/>
      <c r="AR1497" s="63"/>
      <c r="AS1497" s="63"/>
      <c r="AT1497" s="63"/>
      <c r="AU1497" s="63"/>
      <c r="AW1497" s="5">
        <f>IF(Q1497&gt;0,RANK(Q1497,(N1497:P1497,Q1497:AE1497)),0)</f>
        <v>3</v>
      </c>
      <c r="AX1497" s="5">
        <f>IF(R1497&gt;0,RANK(R1497,(N1497:P1497,Q1497:AE1497)),0)</f>
        <v>5</v>
      </c>
      <c r="AY1497" s="5">
        <f>IF(T1497&gt;0,RANK(T1497,(N1497:P1497,Q1497:AE1497)),0)</f>
        <v>6</v>
      </c>
      <c r="AZ1497" s="5">
        <f>IF(S1497&gt;0,RANK(S1497,(N1497:P1497,Q1497:AE1497)),0)</f>
        <v>4</v>
      </c>
      <c r="BA1497" s="2">
        <f t="shared" si="628"/>
        <v>9.4525959367945823E-3</v>
      </c>
      <c r="BB1497" s="2">
        <f t="shared" si="629"/>
        <v>1.8693566591422121E-3</v>
      </c>
      <c r="BC1497" s="2">
        <f t="shared" si="630"/>
        <v>5.6433408577878099E-4</v>
      </c>
      <c r="BD1497" s="2">
        <f t="shared" si="631"/>
        <v>2.856941309255079E-3</v>
      </c>
      <c r="BF1497" t="s">
        <v>241</v>
      </c>
      <c r="BG1497" t="s">
        <v>1113</v>
      </c>
      <c r="BH1497">
        <v>4</v>
      </c>
      <c r="BJ1497" s="114">
        <v>28</v>
      </c>
      <c r="BK1497" s="116">
        <v>67</v>
      </c>
      <c r="BL1497" s="120">
        <f t="shared" si="610"/>
        <v>28067</v>
      </c>
      <c r="BN1497" s="5" t="s">
        <v>3154</v>
      </c>
    </row>
    <row r="1498" spans="1:66" hidden="1" outlineLevel="1">
      <c r="A1498" t="s">
        <v>1126</v>
      </c>
      <c r="B1498" t="s">
        <v>1113</v>
      </c>
      <c r="C1498" s="1">
        <f t="shared" si="623"/>
        <v>4639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>IF(P1498&gt;0,RANK(P1498,(N1498:P1498,Q1498:AE1498)),0)</f>
        <v>0</v>
      </c>
      <c r="G1498" s="132">
        <f t="shared" si="621"/>
        <v>1049</v>
      </c>
      <c r="H1498" s="137">
        <f t="shared" si="622"/>
        <v>0.22612632032765681</v>
      </c>
      <c r="I1498" s="2"/>
      <c r="J1498" s="2">
        <f t="shared" si="624"/>
        <v>0.60939857727958613</v>
      </c>
      <c r="K1498" s="2">
        <f t="shared" si="625"/>
        <v>0.38327225695192929</v>
      </c>
      <c r="L1498" s="2">
        <f t="shared" si="626"/>
        <v>0</v>
      </c>
      <c r="M1498" s="2">
        <f t="shared" si="627"/>
        <v>7.3291657684845801E-3</v>
      </c>
      <c r="N1498" s="63">
        <v>2827</v>
      </c>
      <c r="O1498" s="63">
        <v>1778</v>
      </c>
      <c r="P1498" s="63"/>
      <c r="Q1498" s="63">
        <v>18</v>
      </c>
      <c r="R1498" s="63">
        <v>1</v>
      </c>
      <c r="S1498" s="63">
        <v>11</v>
      </c>
      <c r="T1498" s="63">
        <v>1</v>
      </c>
      <c r="U1498" s="63"/>
      <c r="V1498" s="63"/>
      <c r="W1498" s="63">
        <f>IF(Copyright!B$11=1,IF(CA1498&gt;0,CA1498-P1498-SUM(AE1498:AQ1498)-SUM(X1498:AC1498)-SUM(U1498:V1498),SUM(CB1498:CM1498)),SUM(CC1498:CM1498))</f>
        <v>0</v>
      </c>
      <c r="X1498" s="63"/>
      <c r="Y1498" s="63"/>
      <c r="Z1498" s="63"/>
      <c r="AA1498" s="63"/>
      <c r="AB1498" s="63"/>
      <c r="AC1498" s="63"/>
      <c r="AD1498" s="63">
        <v>3</v>
      </c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/>
      <c r="AP1498" s="63"/>
      <c r="AQ1498" s="63"/>
      <c r="AR1498" s="63"/>
      <c r="AS1498" s="63"/>
      <c r="AT1498" s="63"/>
      <c r="AU1498" s="63"/>
      <c r="AW1498" s="5">
        <f>IF(Q1498&gt;0,RANK(Q1498,(N1498:P1498,Q1498:AE1498)),0)</f>
        <v>3</v>
      </c>
      <c r="AX1498" s="5">
        <f>IF(R1498&gt;0,RANK(R1498,(N1498:P1498,Q1498:AE1498)),0)</f>
        <v>6</v>
      </c>
      <c r="AY1498" s="5">
        <f>IF(T1498&gt;0,RANK(T1498,(N1498:P1498,Q1498:AE1498)),0)</f>
        <v>6</v>
      </c>
      <c r="AZ1498" s="5">
        <f>IF(S1498&gt;0,RANK(S1498,(N1498:P1498,Q1498:AE1498)),0)</f>
        <v>4</v>
      </c>
      <c r="BA1498" s="2">
        <f t="shared" si="628"/>
        <v>3.8801465833153696E-3</v>
      </c>
      <c r="BB1498" s="2">
        <f t="shared" si="629"/>
        <v>2.1556369907307609E-4</v>
      </c>
      <c r="BC1498" s="2">
        <f t="shared" si="630"/>
        <v>2.1556369907307609E-4</v>
      </c>
      <c r="BD1498" s="2">
        <f t="shared" si="631"/>
        <v>2.3712006898038368E-3</v>
      </c>
      <c r="BF1498" t="s">
        <v>1126</v>
      </c>
      <c r="BG1498" t="s">
        <v>1113</v>
      </c>
      <c r="BH1498">
        <v>3</v>
      </c>
      <c r="BJ1498" s="114">
        <v>28</v>
      </c>
      <c r="BK1498" s="116">
        <v>69</v>
      </c>
      <c r="BL1498" s="120">
        <f t="shared" si="610"/>
        <v>28069</v>
      </c>
      <c r="BN1498" s="5" t="s">
        <v>3154</v>
      </c>
    </row>
    <row r="1499" spans="1:66" hidden="1" outlineLevel="1">
      <c r="A1499" t="s">
        <v>496</v>
      </c>
      <c r="B1499" t="s">
        <v>1113</v>
      </c>
      <c r="C1499" s="1">
        <f t="shared" si="623"/>
        <v>19643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0</v>
      </c>
      <c r="G1499" s="132">
        <f t="shared" si="621"/>
        <v>2903</v>
      </c>
      <c r="H1499" s="137">
        <f t="shared" si="622"/>
        <v>0.14778801608715572</v>
      </c>
      <c r="I1499" s="2"/>
      <c r="J1499" s="2">
        <f t="shared" si="624"/>
        <v>0.40569159497021839</v>
      </c>
      <c r="K1499" s="2">
        <f t="shared" si="625"/>
        <v>0.55347961105737409</v>
      </c>
      <c r="L1499" s="2">
        <f t="shared" si="626"/>
        <v>0</v>
      </c>
      <c r="M1499" s="2">
        <f t="shared" si="627"/>
        <v>4.0828793972407462E-2</v>
      </c>
      <c r="N1499" s="63">
        <v>7969</v>
      </c>
      <c r="O1499" s="63">
        <v>10872</v>
      </c>
      <c r="P1499" s="63"/>
      <c r="Q1499" s="63">
        <v>577</v>
      </c>
      <c r="R1499" s="63">
        <v>134</v>
      </c>
      <c r="S1499" s="63">
        <v>68</v>
      </c>
      <c r="T1499" s="63">
        <v>15</v>
      </c>
      <c r="U1499" s="63"/>
      <c r="V1499" s="63"/>
      <c r="W1499" s="63">
        <f>IF(Copyright!B$11=1,IF(CA1499&gt;0,CA1499-P1499-SUM(AE1499:AQ1499)-SUM(X1499:AC1499)-SUM(U1499:V1499),SUM(CB1499:CM1499)),SUM(CC1499:CM1499))</f>
        <v>0</v>
      </c>
      <c r="X1499" s="63"/>
      <c r="Y1499" s="63"/>
      <c r="Z1499" s="63"/>
      <c r="AA1499" s="63"/>
      <c r="AB1499" s="63"/>
      <c r="AC1499" s="63"/>
      <c r="AD1499" s="63">
        <v>8</v>
      </c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/>
      <c r="AP1499" s="63"/>
      <c r="AQ1499" s="63"/>
      <c r="AR1499" s="63"/>
      <c r="AS1499" s="63"/>
      <c r="AT1499" s="63"/>
      <c r="AU1499" s="63"/>
      <c r="AW1499" s="5">
        <f>IF(Q1499&gt;0,RANK(Q1499,(N1499:P1499,Q1499:AE1499)),0)</f>
        <v>3</v>
      </c>
      <c r="AX1499" s="5">
        <f>IF(R1499&gt;0,RANK(R1499,(N1499:P1499,Q1499:AE1499)),0)</f>
        <v>4</v>
      </c>
      <c r="AY1499" s="5">
        <f>IF(T1499&gt;0,RANK(T1499,(N1499:P1499,Q1499:AE1499)),0)</f>
        <v>6</v>
      </c>
      <c r="AZ1499" s="5">
        <f>IF(S1499&gt;0,RANK(S1499,(N1499:P1499,Q1499:AE1499)),0)</f>
        <v>5</v>
      </c>
      <c r="BA1499" s="2">
        <f t="shared" si="628"/>
        <v>2.9374331823041288E-2</v>
      </c>
      <c r="BB1499" s="2">
        <f t="shared" si="629"/>
        <v>6.8217685689558622E-3</v>
      </c>
      <c r="BC1499" s="2">
        <f t="shared" si="630"/>
        <v>7.6363080995774579E-4</v>
      </c>
      <c r="BD1499" s="2">
        <f t="shared" si="631"/>
        <v>3.461793005141781E-3</v>
      </c>
      <c r="BF1499" t="s">
        <v>496</v>
      </c>
      <c r="BG1499" t="s">
        <v>1113</v>
      </c>
      <c r="BH1499">
        <v>1</v>
      </c>
      <c r="BJ1499" s="114">
        <v>28</v>
      </c>
      <c r="BK1499" s="116">
        <v>71</v>
      </c>
      <c r="BL1499" s="120">
        <f t="shared" si="610"/>
        <v>28071</v>
      </c>
      <c r="BN1499" s="5" t="s">
        <v>3154</v>
      </c>
    </row>
    <row r="1500" spans="1:66" hidden="1" outlineLevel="1">
      <c r="A1500" t="s">
        <v>310</v>
      </c>
      <c r="B1500" t="s">
        <v>1113</v>
      </c>
      <c r="C1500" s="1">
        <f t="shared" si="623"/>
        <v>24592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0</v>
      </c>
      <c r="G1500" s="132">
        <f t="shared" si="621"/>
        <v>13561</v>
      </c>
      <c r="H1500" s="137">
        <f t="shared" si="622"/>
        <v>0.55143949251789204</v>
      </c>
      <c r="I1500" s="2"/>
      <c r="J1500" s="2">
        <f t="shared" si="624"/>
        <v>0.21104424202992844</v>
      </c>
      <c r="K1500" s="2">
        <f t="shared" si="625"/>
        <v>0.76248373454782048</v>
      </c>
      <c r="L1500" s="2">
        <f t="shared" si="626"/>
        <v>0</v>
      </c>
      <c r="M1500" s="2">
        <f t="shared" si="627"/>
        <v>2.6472023422251079E-2</v>
      </c>
      <c r="N1500" s="63">
        <v>5190</v>
      </c>
      <c r="O1500" s="63">
        <v>18751</v>
      </c>
      <c r="P1500" s="63"/>
      <c r="Q1500" s="63">
        <v>452</v>
      </c>
      <c r="R1500" s="63">
        <v>75</v>
      </c>
      <c r="S1500" s="63">
        <v>104</v>
      </c>
      <c r="T1500" s="63">
        <v>13</v>
      </c>
      <c r="U1500" s="63"/>
      <c r="V1500" s="63"/>
      <c r="W1500" s="63">
        <f>IF(Copyright!B$11=1,IF(CA1500&gt;0,CA1500-P1500-SUM(AE1500:AQ1500)-SUM(X1500:AC1500)-SUM(U1500:V1500),SUM(CB1500:CM1500)),SUM(CC1500:CM1500))</f>
        <v>0</v>
      </c>
      <c r="X1500" s="63"/>
      <c r="Y1500" s="63"/>
      <c r="Z1500" s="63"/>
      <c r="AA1500" s="63"/>
      <c r="AB1500" s="63"/>
      <c r="AC1500" s="63"/>
      <c r="AD1500" s="63">
        <v>7</v>
      </c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/>
      <c r="AP1500" s="63"/>
      <c r="AQ1500" s="63"/>
      <c r="AR1500" s="63"/>
      <c r="AS1500" s="63"/>
      <c r="AT1500" s="63"/>
      <c r="AU1500" s="63"/>
      <c r="AW1500" s="5">
        <f>IF(Q1500&gt;0,RANK(Q1500,(N1500:P1500,Q1500:AE1500)),0)</f>
        <v>3</v>
      </c>
      <c r="AX1500" s="5">
        <f>IF(R1500&gt;0,RANK(R1500,(N1500:P1500,Q1500:AE1500)),0)</f>
        <v>5</v>
      </c>
      <c r="AY1500" s="5">
        <f>IF(T1500&gt;0,RANK(T1500,(N1500:P1500,Q1500:AE1500)),0)</f>
        <v>6</v>
      </c>
      <c r="AZ1500" s="5">
        <f>IF(S1500&gt;0,RANK(S1500,(N1500:P1500,Q1500:AE1500)),0)</f>
        <v>4</v>
      </c>
      <c r="BA1500" s="2">
        <f t="shared" si="628"/>
        <v>1.8379960962914769E-2</v>
      </c>
      <c r="BB1500" s="2">
        <f t="shared" si="629"/>
        <v>3.049772283669486E-3</v>
      </c>
      <c r="BC1500" s="2">
        <f t="shared" si="630"/>
        <v>5.2862719583604426E-4</v>
      </c>
      <c r="BD1500" s="2">
        <f t="shared" si="631"/>
        <v>4.2290175666883541E-3</v>
      </c>
      <c r="BF1500" t="s">
        <v>310</v>
      </c>
      <c r="BG1500" t="s">
        <v>1113</v>
      </c>
      <c r="BH1500">
        <v>4</v>
      </c>
      <c r="BJ1500" s="114">
        <v>28</v>
      </c>
      <c r="BK1500" s="116">
        <v>73</v>
      </c>
      <c r="BL1500" s="120">
        <f t="shared" si="610"/>
        <v>28073</v>
      </c>
      <c r="BN1500" s="5" t="s">
        <v>3154</v>
      </c>
    </row>
    <row r="1501" spans="1:66" hidden="1" outlineLevel="1">
      <c r="A1501" t="s">
        <v>1457</v>
      </c>
      <c r="B1501" t="s">
        <v>1113</v>
      </c>
      <c r="C1501" s="1">
        <f t="shared" si="623"/>
        <v>29506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0</v>
      </c>
      <c r="G1501" s="132">
        <f t="shared" si="621"/>
        <v>6472</v>
      </c>
      <c r="H1501" s="137">
        <f t="shared" si="622"/>
        <v>0.21934521792177863</v>
      </c>
      <c r="I1501" s="2"/>
      <c r="J1501" s="2">
        <f t="shared" si="624"/>
        <v>0.381922320883888</v>
      </c>
      <c r="K1501" s="2">
        <f t="shared" si="625"/>
        <v>0.60126753880566663</v>
      </c>
      <c r="L1501" s="2">
        <f t="shared" si="626"/>
        <v>0</v>
      </c>
      <c r="M1501" s="2">
        <f t="shared" si="627"/>
        <v>1.6810140310445365E-2</v>
      </c>
      <c r="N1501" s="63">
        <v>11269</v>
      </c>
      <c r="O1501" s="63">
        <v>17741</v>
      </c>
      <c r="P1501" s="63"/>
      <c r="Q1501" s="63">
        <v>307</v>
      </c>
      <c r="R1501" s="63">
        <v>71</v>
      </c>
      <c r="S1501" s="63">
        <v>90</v>
      </c>
      <c r="T1501" s="63">
        <v>11</v>
      </c>
      <c r="U1501" s="63"/>
      <c r="V1501" s="63"/>
      <c r="W1501" s="63">
        <f>IF(Copyright!B$11=1,IF(CA1501&gt;0,CA1501-P1501-SUM(AE1501:AQ1501)-SUM(X1501:AC1501)-SUM(U1501:V1501),SUM(CB1501:CM1501)),SUM(CC1501:CM1501))</f>
        <v>0</v>
      </c>
      <c r="X1501" s="63"/>
      <c r="Y1501" s="63"/>
      <c r="Z1501" s="63"/>
      <c r="AA1501" s="63"/>
      <c r="AB1501" s="63"/>
      <c r="AC1501" s="63"/>
      <c r="AD1501" s="63">
        <v>17</v>
      </c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/>
      <c r="AP1501" s="63"/>
      <c r="AQ1501" s="63"/>
      <c r="AR1501" s="63"/>
      <c r="AS1501" s="63"/>
      <c r="AT1501" s="63"/>
      <c r="AU1501" s="63"/>
      <c r="AW1501" s="5">
        <f>IF(Q1501&gt;0,RANK(Q1501,(N1501:P1501,Q1501:AE1501)),0)</f>
        <v>3</v>
      </c>
      <c r="AX1501" s="5">
        <f>IF(R1501&gt;0,RANK(R1501,(N1501:P1501,Q1501:AE1501)),0)</f>
        <v>5</v>
      </c>
      <c r="AY1501" s="5">
        <f>IF(T1501&gt;0,RANK(T1501,(N1501:P1501,Q1501:AE1501)),0)</f>
        <v>7</v>
      </c>
      <c r="AZ1501" s="5">
        <f>IF(S1501&gt;0,RANK(S1501,(N1501:P1501,Q1501:AE1501)),0)</f>
        <v>4</v>
      </c>
      <c r="BA1501" s="2">
        <f t="shared" si="628"/>
        <v>1.0404663458279673E-2</v>
      </c>
      <c r="BB1501" s="2">
        <f t="shared" si="629"/>
        <v>2.4062902460516506E-3</v>
      </c>
      <c r="BC1501" s="2">
        <f t="shared" si="630"/>
        <v>3.7280553107842471E-4</v>
      </c>
      <c r="BD1501" s="2">
        <f t="shared" si="631"/>
        <v>3.0502270724598389E-3</v>
      </c>
      <c r="BF1501" t="s">
        <v>1457</v>
      </c>
      <c r="BG1501" t="s">
        <v>1113</v>
      </c>
      <c r="BH1501">
        <v>3</v>
      </c>
      <c r="BJ1501" s="114">
        <v>28</v>
      </c>
      <c r="BK1501" s="116">
        <v>75</v>
      </c>
      <c r="BL1501" s="120">
        <f t="shared" si="610"/>
        <v>28075</v>
      </c>
      <c r="BN1501" s="5" t="s">
        <v>3154</v>
      </c>
    </row>
    <row r="1502" spans="1:66" hidden="1" outlineLevel="1">
      <c r="A1502" t="s">
        <v>548</v>
      </c>
      <c r="B1502" t="s">
        <v>1113</v>
      </c>
      <c r="C1502" s="1">
        <f t="shared" si="623"/>
        <v>6364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0</v>
      </c>
      <c r="G1502" s="132">
        <f t="shared" si="621"/>
        <v>1896</v>
      </c>
      <c r="H1502" s="137">
        <f t="shared" si="622"/>
        <v>0.29792583280955376</v>
      </c>
      <c r="I1502" s="2"/>
      <c r="J1502" s="2">
        <f t="shared" si="624"/>
        <v>0.34490886235072282</v>
      </c>
      <c r="K1502" s="2">
        <f t="shared" si="625"/>
        <v>0.64283469516027658</v>
      </c>
      <c r="L1502" s="2">
        <f t="shared" si="626"/>
        <v>0</v>
      </c>
      <c r="M1502" s="2">
        <f t="shared" si="627"/>
        <v>1.2256442489000596E-2</v>
      </c>
      <c r="N1502" s="63">
        <v>2195</v>
      </c>
      <c r="O1502" s="63">
        <v>4091</v>
      </c>
      <c r="P1502" s="63"/>
      <c r="Q1502" s="63">
        <v>40</v>
      </c>
      <c r="R1502" s="63">
        <v>15</v>
      </c>
      <c r="S1502" s="63">
        <v>13</v>
      </c>
      <c r="T1502" s="63">
        <v>3</v>
      </c>
      <c r="U1502" s="63"/>
      <c r="V1502" s="63"/>
      <c r="W1502" s="63">
        <f>IF(Copyright!B$11=1,IF(CA1502&gt;0,CA1502-P1502-SUM(AE1502:AQ1502)-SUM(X1502:AC1502)-SUM(U1502:V1502),SUM(CB1502:CM1502)),SUM(CC1502:CM1502))</f>
        <v>0</v>
      </c>
      <c r="X1502" s="63"/>
      <c r="Y1502" s="63"/>
      <c r="Z1502" s="63"/>
      <c r="AA1502" s="63"/>
      <c r="AB1502" s="63"/>
      <c r="AC1502" s="63"/>
      <c r="AD1502" s="63">
        <v>7</v>
      </c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/>
      <c r="AP1502" s="63"/>
      <c r="AQ1502" s="63"/>
      <c r="AR1502" s="63"/>
      <c r="AS1502" s="63"/>
      <c r="AT1502" s="63"/>
      <c r="AU1502" s="63"/>
      <c r="AW1502" s="5">
        <f>IF(Q1502&gt;0,RANK(Q1502,(N1502:P1502,Q1502:AE1502)),0)</f>
        <v>3</v>
      </c>
      <c r="AX1502" s="5">
        <f>IF(R1502&gt;0,RANK(R1502,(N1502:P1502,Q1502:AE1502)),0)</f>
        <v>4</v>
      </c>
      <c r="AY1502" s="5">
        <f>IF(T1502&gt;0,RANK(T1502,(N1502:P1502,Q1502:AE1502)),0)</f>
        <v>7</v>
      </c>
      <c r="AZ1502" s="5">
        <f>IF(S1502&gt;0,RANK(S1502,(N1502:P1502,Q1502:AE1502)),0)</f>
        <v>5</v>
      </c>
      <c r="BA1502" s="2">
        <f t="shared" si="628"/>
        <v>6.285355122564425E-3</v>
      </c>
      <c r="BB1502" s="2">
        <f t="shared" si="629"/>
        <v>2.3570081709616592E-3</v>
      </c>
      <c r="BC1502" s="2">
        <f t="shared" si="630"/>
        <v>4.7140163419233188E-4</v>
      </c>
      <c r="BD1502" s="2">
        <f t="shared" si="631"/>
        <v>2.0427404148334379E-3</v>
      </c>
      <c r="BF1502" t="s">
        <v>548</v>
      </c>
      <c r="BG1502" t="s">
        <v>1113</v>
      </c>
      <c r="BH1502">
        <v>3</v>
      </c>
      <c r="BJ1502" s="114">
        <v>28</v>
      </c>
      <c r="BK1502" s="116">
        <v>77</v>
      </c>
      <c r="BL1502" s="120">
        <f t="shared" si="610"/>
        <v>28077</v>
      </c>
      <c r="BN1502" s="5" t="s">
        <v>3154</v>
      </c>
    </row>
    <row r="1503" spans="1:66" hidden="1" outlineLevel="1">
      <c r="A1503" t="s">
        <v>2794</v>
      </c>
      <c r="B1503" t="s">
        <v>1113</v>
      </c>
      <c r="C1503" s="1">
        <f t="shared" si="623"/>
        <v>8449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0</v>
      </c>
      <c r="G1503" s="132">
        <f t="shared" si="621"/>
        <v>1198</v>
      </c>
      <c r="H1503" s="137">
        <f t="shared" si="622"/>
        <v>0.14179192803882115</v>
      </c>
      <c r="I1503" s="2"/>
      <c r="J1503" s="2">
        <f t="shared" si="624"/>
        <v>0.42419221209610602</v>
      </c>
      <c r="K1503" s="2">
        <f t="shared" si="625"/>
        <v>0.56598414013492726</v>
      </c>
      <c r="L1503" s="2">
        <f t="shared" si="626"/>
        <v>0</v>
      </c>
      <c r="M1503" s="2">
        <f t="shared" si="627"/>
        <v>9.8236477689667145E-3</v>
      </c>
      <c r="N1503" s="63">
        <v>3584</v>
      </c>
      <c r="O1503" s="63">
        <v>4782</v>
      </c>
      <c r="P1503" s="63"/>
      <c r="Q1503" s="63">
        <v>40</v>
      </c>
      <c r="R1503" s="63">
        <v>13</v>
      </c>
      <c r="S1503" s="63">
        <v>24</v>
      </c>
      <c r="T1503" s="63">
        <v>2</v>
      </c>
      <c r="U1503" s="63"/>
      <c r="V1503" s="63"/>
      <c r="W1503" s="63">
        <f>IF(Copyright!B$11=1,IF(CA1503&gt;0,CA1503-P1503-SUM(AE1503:AQ1503)-SUM(X1503:AC1503)-SUM(U1503:V1503),SUM(CB1503:CM1503)),SUM(CC1503:CM1503))</f>
        <v>0</v>
      </c>
      <c r="X1503" s="63"/>
      <c r="Y1503" s="63"/>
      <c r="Z1503" s="63"/>
      <c r="AA1503" s="63"/>
      <c r="AB1503" s="63"/>
      <c r="AC1503" s="63"/>
      <c r="AD1503" s="63">
        <v>4</v>
      </c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/>
      <c r="AP1503" s="63"/>
      <c r="AQ1503" s="63"/>
      <c r="AR1503" s="63"/>
      <c r="AS1503" s="63"/>
      <c r="AT1503" s="63"/>
      <c r="AU1503" s="63"/>
      <c r="AW1503" s="5">
        <f>IF(Q1503&gt;0,RANK(Q1503,(N1503:P1503,Q1503:AE1503)),0)</f>
        <v>3</v>
      </c>
      <c r="AX1503" s="5">
        <f>IF(R1503&gt;0,RANK(R1503,(N1503:P1503,Q1503:AE1503)),0)</f>
        <v>5</v>
      </c>
      <c r="AY1503" s="5">
        <f>IF(T1503&gt;0,RANK(T1503,(N1503:P1503,Q1503:AE1503)),0)</f>
        <v>7</v>
      </c>
      <c r="AZ1503" s="5">
        <f>IF(S1503&gt;0,RANK(S1503,(N1503:P1503,Q1503:AE1503)),0)</f>
        <v>4</v>
      </c>
      <c r="BA1503" s="2">
        <f t="shared" si="628"/>
        <v>4.734288081429755E-3</v>
      </c>
      <c r="BB1503" s="2">
        <f t="shared" si="629"/>
        <v>1.5386436264646704E-3</v>
      </c>
      <c r="BC1503" s="2">
        <f t="shared" si="630"/>
        <v>2.3671440407148776E-4</v>
      </c>
      <c r="BD1503" s="2">
        <f t="shared" si="631"/>
        <v>2.8405728488578529E-3</v>
      </c>
      <c r="BF1503" t="s">
        <v>2794</v>
      </c>
      <c r="BG1503" t="s">
        <v>1113</v>
      </c>
      <c r="BH1503">
        <v>2</v>
      </c>
      <c r="BJ1503" s="114">
        <v>28</v>
      </c>
      <c r="BK1503" s="116">
        <v>79</v>
      </c>
      <c r="BL1503" s="120">
        <f t="shared" si="610"/>
        <v>28079</v>
      </c>
      <c r="BN1503" s="5" t="s">
        <v>3154</v>
      </c>
    </row>
    <row r="1504" spans="1:66" hidden="1" outlineLevel="1">
      <c r="A1504" t="s">
        <v>97</v>
      </c>
      <c r="B1504" t="s">
        <v>1113</v>
      </c>
      <c r="C1504" s="1">
        <f t="shared" si="623"/>
        <v>32913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>IF(P1504&gt;0,RANK(P1504,(N1504:P1504,Q1504:AE1504)),0)</f>
        <v>0</v>
      </c>
      <c r="G1504" s="132">
        <f t="shared" si="621"/>
        <v>12191</v>
      </c>
      <c r="H1504" s="137">
        <f t="shared" si="622"/>
        <v>0.37040075350165585</v>
      </c>
      <c r="I1504" s="2"/>
      <c r="J1504" s="2">
        <f t="shared" si="624"/>
        <v>0.30471242366238266</v>
      </c>
      <c r="K1504" s="2">
        <f t="shared" si="625"/>
        <v>0.67511317716403851</v>
      </c>
      <c r="L1504" s="2">
        <f t="shared" si="626"/>
        <v>0</v>
      </c>
      <c r="M1504" s="2">
        <f t="shared" si="627"/>
        <v>2.0174399173578883E-2</v>
      </c>
      <c r="N1504" s="63">
        <v>10029</v>
      </c>
      <c r="O1504" s="63">
        <v>22220</v>
      </c>
      <c r="P1504" s="63"/>
      <c r="Q1504" s="63">
        <v>405</v>
      </c>
      <c r="R1504" s="63">
        <v>121</v>
      </c>
      <c r="S1504" s="63">
        <v>109</v>
      </c>
      <c r="T1504" s="63">
        <v>15</v>
      </c>
      <c r="U1504" s="63"/>
      <c r="V1504" s="63"/>
      <c r="W1504" s="63">
        <f>IF(Copyright!B$11=1,IF(CA1504&gt;0,CA1504-P1504-SUM(AE1504:AQ1504)-SUM(X1504:AC1504)-SUM(U1504:V1504),SUM(CB1504:CM1504)),SUM(CC1504:CM1504))</f>
        <v>0</v>
      </c>
      <c r="X1504" s="63"/>
      <c r="Y1504" s="63"/>
      <c r="Z1504" s="63"/>
      <c r="AA1504" s="63"/>
      <c r="AB1504" s="63"/>
      <c r="AC1504" s="63"/>
      <c r="AD1504" s="63">
        <v>14</v>
      </c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/>
      <c r="AP1504" s="63"/>
      <c r="AQ1504" s="63"/>
      <c r="AR1504" s="63"/>
      <c r="AS1504" s="63"/>
      <c r="AT1504" s="63"/>
      <c r="AU1504" s="63"/>
      <c r="AW1504" s="5">
        <f>IF(Q1504&gt;0,RANK(Q1504,(N1504:P1504,Q1504:AE1504)),0)</f>
        <v>3</v>
      </c>
      <c r="AX1504" s="5">
        <f>IF(R1504&gt;0,RANK(R1504,(N1504:P1504,Q1504:AE1504)),0)</f>
        <v>4</v>
      </c>
      <c r="AY1504" s="5">
        <f>IF(T1504&gt;0,RANK(T1504,(N1504:P1504,Q1504:AE1504)),0)</f>
        <v>6</v>
      </c>
      <c r="AZ1504" s="5">
        <f>IF(S1504&gt;0,RANK(S1504,(N1504:P1504,Q1504:AE1504)),0)</f>
        <v>5</v>
      </c>
      <c r="BA1504" s="2">
        <f t="shared" si="628"/>
        <v>1.2305168170631665E-2</v>
      </c>
      <c r="BB1504" s="2">
        <f t="shared" si="629"/>
        <v>3.6763588855467442E-3</v>
      </c>
      <c r="BC1504" s="2">
        <f t="shared" si="630"/>
        <v>4.5574696928265429E-4</v>
      </c>
      <c r="BD1504" s="2">
        <f t="shared" si="631"/>
        <v>3.3117613101206209E-3</v>
      </c>
      <c r="BF1504" t="s">
        <v>97</v>
      </c>
      <c r="BG1504" t="s">
        <v>1113</v>
      </c>
      <c r="BH1504">
        <v>1</v>
      </c>
      <c r="BJ1504" s="114">
        <v>28</v>
      </c>
      <c r="BK1504" s="116">
        <v>81</v>
      </c>
      <c r="BL1504" s="120">
        <f t="shared" si="610"/>
        <v>28081</v>
      </c>
      <c r="BN1504" s="5" t="s">
        <v>3154</v>
      </c>
    </row>
    <row r="1505" spans="1:79" hidden="1" outlineLevel="1">
      <c r="A1505" t="s">
        <v>3185</v>
      </c>
      <c r="B1505" t="s">
        <v>1113</v>
      </c>
      <c r="C1505" s="1">
        <f t="shared" si="623"/>
        <v>11140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>IF(P1505&gt;0,RANK(P1505,(N1505:P1505,Q1505:AE1505)),0)</f>
        <v>0</v>
      </c>
      <c r="G1505" s="132">
        <f t="shared" si="621"/>
        <v>4575</v>
      </c>
      <c r="H1505" s="137">
        <f t="shared" si="622"/>
        <v>0.41068222621184919</v>
      </c>
      <c r="I1505" s="2"/>
      <c r="J1505" s="2">
        <f t="shared" si="624"/>
        <v>0.69901256732495509</v>
      </c>
      <c r="K1505" s="2">
        <f t="shared" si="625"/>
        <v>0.2883303411131059</v>
      </c>
      <c r="L1505" s="2">
        <f t="shared" si="626"/>
        <v>0</v>
      </c>
      <c r="M1505" s="2">
        <f t="shared" si="627"/>
        <v>1.2657091561939005E-2</v>
      </c>
      <c r="N1505" s="63">
        <v>7787</v>
      </c>
      <c r="O1505" s="63">
        <v>3212</v>
      </c>
      <c r="P1505" s="63"/>
      <c r="Q1505" s="63">
        <v>78</v>
      </c>
      <c r="R1505" s="63">
        <v>25</v>
      </c>
      <c r="S1505" s="63">
        <v>25</v>
      </c>
      <c r="T1505" s="63">
        <v>7</v>
      </c>
      <c r="U1505" s="63"/>
      <c r="V1505" s="63"/>
      <c r="W1505" s="63">
        <f>IF(Copyright!B$11=1,IF(CA1505&gt;0,CA1505-P1505-SUM(AE1505:AQ1505)-SUM(X1505:AC1505)-SUM(U1505:V1505),SUM(CB1505:CM1505)),SUM(CC1505:CM1505))</f>
        <v>0</v>
      </c>
      <c r="X1505" s="63"/>
      <c r="Y1505" s="63"/>
      <c r="Z1505" s="63"/>
      <c r="AA1505" s="63"/>
      <c r="AB1505" s="63"/>
      <c r="AC1505" s="63"/>
      <c r="AD1505" s="63">
        <v>6</v>
      </c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/>
      <c r="AP1505" s="63"/>
      <c r="AQ1505" s="63"/>
      <c r="AR1505" s="63"/>
      <c r="AS1505" s="63"/>
      <c r="AT1505" s="63"/>
      <c r="AU1505" s="63"/>
      <c r="AW1505" s="5">
        <f>IF(Q1505&gt;0,RANK(Q1505,(N1505:P1505,Q1505:AE1505)),0)</f>
        <v>3</v>
      </c>
      <c r="AX1505" s="5">
        <f>IF(R1505&gt;0,RANK(R1505,(N1505:P1505,Q1505:AE1505)),0)</f>
        <v>4</v>
      </c>
      <c r="AY1505" s="5">
        <f>IF(T1505&gt;0,RANK(T1505,(N1505:P1505,Q1505:AE1505)),0)</f>
        <v>6</v>
      </c>
      <c r="AZ1505" s="5">
        <f>IF(S1505&gt;0,RANK(S1505,(N1505:P1505,Q1505:AE1505)),0)</f>
        <v>4</v>
      </c>
      <c r="BA1505" s="2">
        <f t="shared" si="628"/>
        <v>7.001795332136445E-3</v>
      </c>
      <c r="BB1505" s="2">
        <f t="shared" si="629"/>
        <v>2.244165170556553E-3</v>
      </c>
      <c r="BC1505" s="2">
        <f t="shared" si="630"/>
        <v>6.2836624775583483E-4</v>
      </c>
      <c r="BD1505" s="2">
        <f t="shared" si="631"/>
        <v>2.244165170556553E-3</v>
      </c>
      <c r="BF1505" t="s">
        <v>3185</v>
      </c>
      <c r="BG1505" t="s">
        <v>1113</v>
      </c>
      <c r="BH1505">
        <v>2</v>
      </c>
      <c r="BJ1505" s="114">
        <v>28</v>
      </c>
      <c r="BK1505" s="116">
        <v>83</v>
      </c>
      <c r="BL1505" s="120">
        <f t="shared" si="610"/>
        <v>28083</v>
      </c>
      <c r="BN1505" s="5" t="s">
        <v>3154</v>
      </c>
    </row>
    <row r="1506" spans="1:79" hidden="1" outlineLevel="1">
      <c r="A1506" t="s">
        <v>1597</v>
      </c>
      <c r="B1506" t="s">
        <v>1113</v>
      </c>
      <c r="C1506" s="1">
        <f t="shared" si="623"/>
        <v>15193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0</v>
      </c>
      <c r="G1506" s="132">
        <f t="shared" si="621"/>
        <v>6092</v>
      </c>
      <c r="H1506" s="137">
        <f t="shared" si="622"/>
        <v>0.40097413282432698</v>
      </c>
      <c r="I1506" s="2"/>
      <c r="J1506" s="2">
        <f t="shared" si="624"/>
        <v>0.2934246034357928</v>
      </c>
      <c r="K1506" s="2">
        <f t="shared" si="625"/>
        <v>0.69439873626011983</v>
      </c>
      <c r="L1506" s="2">
        <f t="shared" si="626"/>
        <v>0</v>
      </c>
      <c r="M1506" s="2">
        <f t="shared" si="627"/>
        <v>1.2176660304087372E-2</v>
      </c>
      <c r="N1506" s="63">
        <v>4458</v>
      </c>
      <c r="O1506" s="63">
        <v>10550</v>
      </c>
      <c r="P1506" s="63"/>
      <c r="Q1506" s="63">
        <v>89</v>
      </c>
      <c r="R1506" s="63">
        <v>26</v>
      </c>
      <c r="S1506" s="63">
        <v>50</v>
      </c>
      <c r="T1506" s="63">
        <v>12</v>
      </c>
      <c r="U1506" s="63"/>
      <c r="V1506" s="63"/>
      <c r="W1506" s="63">
        <f>IF(Copyright!B$11=1,IF(CA1506&gt;0,CA1506-P1506-SUM(AE1506:AQ1506)-SUM(X1506:AC1506)-SUM(U1506:V1506),SUM(CB1506:CM1506)),SUM(CC1506:CM1506))</f>
        <v>0</v>
      </c>
      <c r="X1506" s="63"/>
      <c r="Y1506" s="63"/>
      <c r="Z1506" s="63"/>
      <c r="AA1506" s="63"/>
      <c r="AB1506" s="63"/>
      <c r="AC1506" s="63"/>
      <c r="AD1506" s="63">
        <v>8</v>
      </c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/>
      <c r="AP1506" s="63"/>
      <c r="AQ1506" s="63"/>
      <c r="AR1506" s="63"/>
      <c r="AS1506" s="63"/>
      <c r="AT1506" s="63"/>
      <c r="AU1506" s="63"/>
      <c r="AW1506" s="5">
        <f>IF(Q1506&gt;0,RANK(Q1506,(N1506:P1506,Q1506:AE1506)),0)</f>
        <v>3</v>
      </c>
      <c r="AX1506" s="5">
        <f>IF(R1506&gt;0,RANK(R1506,(N1506:P1506,Q1506:AE1506)),0)</f>
        <v>5</v>
      </c>
      <c r="AY1506" s="5">
        <f>IF(T1506&gt;0,RANK(T1506,(N1506:P1506,Q1506:AE1506)),0)</f>
        <v>6</v>
      </c>
      <c r="AZ1506" s="5">
        <f>IF(S1506&gt;0,RANK(S1506,(N1506:P1506,Q1506:AE1506)),0)</f>
        <v>4</v>
      </c>
      <c r="BA1506" s="2">
        <f t="shared" si="628"/>
        <v>5.857960903047456E-3</v>
      </c>
      <c r="BB1506" s="2">
        <f t="shared" si="629"/>
        <v>1.7113144211149871E-3</v>
      </c>
      <c r="BC1506" s="2">
        <f t="shared" si="630"/>
        <v>7.8983742512999408E-4</v>
      </c>
      <c r="BD1506" s="2">
        <f t="shared" si="631"/>
        <v>3.2909892713749752E-3</v>
      </c>
      <c r="BF1506" t="s">
        <v>1597</v>
      </c>
      <c r="BG1506" t="s">
        <v>1113</v>
      </c>
      <c r="BH1506">
        <v>3</v>
      </c>
      <c r="BJ1506" s="114">
        <v>28</v>
      </c>
      <c r="BK1506" s="116">
        <v>85</v>
      </c>
      <c r="BL1506" s="120">
        <f t="shared" si="610"/>
        <v>28085</v>
      </c>
      <c r="BN1506" s="5" t="s">
        <v>3154</v>
      </c>
    </row>
    <row r="1507" spans="1:79" hidden="1" outlineLevel="1">
      <c r="A1507" t="s">
        <v>2403</v>
      </c>
      <c r="B1507" t="s">
        <v>1113</v>
      </c>
      <c r="C1507" s="1">
        <f t="shared" si="623"/>
        <v>25695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0</v>
      </c>
      <c r="G1507" s="132">
        <f t="shared" si="621"/>
        <v>1452</v>
      </c>
      <c r="H1507" s="137">
        <f t="shared" si="622"/>
        <v>5.6509048453006423E-2</v>
      </c>
      <c r="I1507" s="2"/>
      <c r="J1507" s="2">
        <f t="shared" si="624"/>
        <v>0.45997275734578713</v>
      </c>
      <c r="K1507" s="2">
        <f t="shared" si="625"/>
        <v>0.51648180579879355</v>
      </c>
      <c r="L1507" s="2">
        <f t="shared" si="626"/>
        <v>0</v>
      </c>
      <c r="M1507" s="2">
        <f t="shared" si="627"/>
        <v>2.3545436855419322E-2</v>
      </c>
      <c r="N1507" s="63">
        <v>11819</v>
      </c>
      <c r="O1507" s="63">
        <v>13271</v>
      </c>
      <c r="P1507" s="63"/>
      <c r="Q1507" s="63">
        <v>295</v>
      </c>
      <c r="R1507" s="63">
        <v>95</v>
      </c>
      <c r="S1507" s="63">
        <v>72</v>
      </c>
      <c r="T1507" s="63">
        <v>14</v>
      </c>
      <c r="U1507" s="63"/>
      <c r="V1507" s="63"/>
      <c r="W1507" s="63">
        <f>IF(Copyright!B$11=1,IF(CA1507&gt;0,CA1507-P1507-SUM(AE1507:AQ1507)-SUM(X1507:AC1507)-SUM(U1507:V1507),SUM(CB1507:CM1507)),SUM(CC1507:CM1507))</f>
        <v>120</v>
      </c>
      <c r="X1507" s="63"/>
      <c r="Y1507" s="63"/>
      <c r="Z1507" s="63"/>
      <c r="AA1507" s="63"/>
      <c r="AB1507" s="63"/>
      <c r="AC1507" s="63"/>
      <c r="AD1507" s="63">
        <v>9</v>
      </c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/>
      <c r="AP1507" s="63"/>
      <c r="AQ1507" s="63"/>
      <c r="AR1507" s="63"/>
      <c r="AS1507" s="63"/>
      <c r="AT1507" s="63"/>
      <c r="AU1507" s="63"/>
      <c r="AW1507" s="5">
        <f>IF(Q1507&gt;0,RANK(Q1507,(N1507:P1507,Q1507:AE1507)),0)</f>
        <v>3</v>
      </c>
      <c r="AX1507" s="5">
        <f>IF(R1507&gt;0,RANK(R1507,(N1507:P1507,Q1507:AE1507)),0)</f>
        <v>5</v>
      </c>
      <c r="AY1507" s="5">
        <f>IF(T1507&gt;0,RANK(T1507,(N1507:P1507,Q1507:AE1507)),0)</f>
        <v>7</v>
      </c>
      <c r="AZ1507" s="5">
        <f>IF(S1507&gt;0,RANK(S1507,(N1507:P1507,Q1507:AE1507)),0)</f>
        <v>6</v>
      </c>
      <c r="BA1507" s="2">
        <f t="shared" si="628"/>
        <v>1.1480832846857365E-2</v>
      </c>
      <c r="BB1507" s="2">
        <f t="shared" si="629"/>
        <v>3.6972173574625414E-3</v>
      </c>
      <c r="BC1507" s="2">
        <f t="shared" si="630"/>
        <v>5.4485308425763763E-4</v>
      </c>
      <c r="BD1507" s="2">
        <f t="shared" si="631"/>
        <v>2.8021015761821367E-3</v>
      </c>
      <c r="BF1507" t="s">
        <v>2403</v>
      </c>
      <c r="BG1507" t="s">
        <v>1113</v>
      </c>
      <c r="BH1507">
        <v>1</v>
      </c>
      <c r="BJ1507" s="114">
        <v>28</v>
      </c>
      <c r="BK1507" s="116">
        <v>87</v>
      </c>
      <c r="BL1507" s="120">
        <f t="shared" si="610"/>
        <v>28087</v>
      </c>
      <c r="BN1507" s="5" t="s">
        <v>3154</v>
      </c>
      <c r="CA1507" s="133">
        <v>120</v>
      </c>
    </row>
    <row r="1508" spans="1:79" hidden="1" outlineLevel="1">
      <c r="A1508" t="s">
        <v>1650</v>
      </c>
      <c r="B1508" t="s">
        <v>1113</v>
      </c>
      <c r="C1508" s="1">
        <f t="shared" si="623"/>
        <v>50131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0</v>
      </c>
      <c r="G1508" s="132">
        <f t="shared" si="621"/>
        <v>7922</v>
      </c>
      <c r="H1508" s="137">
        <f t="shared" si="622"/>
        <v>0.15802597195348186</v>
      </c>
      <c r="I1508" s="2"/>
      <c r="J1508" s="2">
        <f t="shared" si="624"/>
        <v>0.40579681235163872</v>
      </c>
      <c r="K1508" s="2">
        <f t="shared" si="625"/>
        <v>0.56382278430512056</v>
      </c>
      <c r="L1508" s="2">
        <f t="shared" si="626"/>
        <v>0</v>
      </c>
      <c r="M1508" s="2">
        <f t="shared" si="627"/>
        <v>3.0380403343240769E-2</v>
      </c>
      <c r="N1508" s="63">
        <v>20343</v>
      </c>
      <c r="O1508" s="63">
        <v>28265</v>
      </c>
      <c r="P1508" s="63"/>
      <c r="Q1508" s="63">
        <v>842</v>
      </c>
      <c r="R1508" s="63">
        <v>133</v>
      </c>
      <c r="S1508" s="63">
        <v>168</v>
      </c>
      <c r="T1508" s="63">
        <v>24</v>
      </c>
      <c r="U1508" s="63"/>
      <c r="V1508" s="63"/>
      <c r="W1508" s="63">
        <f>IF(Copyright!B$11=1,IF(CA1508&gt;0,CA1508-P1508-SUM(AE1508:AQ1508)-SUM(X1508:AC1508)-SUM(U1508:V1508),SUM(CB1508:CM1508)),SUM(CC1508:CM1508))</f>
        <v>329</v>
      </c>
      <c r="X1508" s="63"/>
      <c r="Y1508" s="63"/>
      <c r="Z1508" s="63"/>
      <c r="AA1508" s="63"/>
      <c r="AB1508" s="63"/>
      <c r="AC1508" s="63"/>
      <c r="AD1508" s="63">
        <v>27</v>
      </c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/>
      <c r="AP1508" s="63"/>
      <c r="AQ1508" s="63"/>
      <c r="AR1508" s="63"/>
      <c r="AS1508" s="63"/>
      <c r="AT1508" s="63"/>
      <c r="AU1508" s="63"/>
      <c r="AW1508" s="5">
        <f>IF(Q1508&gt;0,RANK(Q1508,(N1508:P1508,Q1508:AE1508)),0)</f>
        <v>3</v>
      </c>
      <c r="AX1508" s="5">
        <f>IF(R1508&gt;0,RANK(R1508,(N1508:P1508,Q1508:AE1508)),0)</f>
        <v>6</v>
      </c>
      <c r="AY1508" s="5">
        <f>IF(T1508&gt;0,RANK(T1508,(N1508:P1508,Q1508:AE1508)),0)</f>
        <v>8</v>
      </c>
      <c r="AZ1508" s="5">
        <f>IF(S1508&gt;0,RANK(S1508,(N1508:P1508,Q1508:AE1508)),0)</f>
        <v>5</v>
      </c>
      <c r="BA1508" s="2">
        <f t="shared" si="628"/>
        <v>1.6795994494424607E-2</v>
      </c>
      <c r="BB1508" s="2">
        <f t="shared" si="629"/>
        <v>2.6530490115896353E-3</v>
      </c>
      <c r="BC1508" s="2">
        <f t="shared" si="630"/>
        <v>4.7874568630188906E-4</v>
      </c>
      <c r="BD1508" s="2">
        <f t="shared" si="631"/>
        <v>3.3512198041132234E-3</v>
      </c>
      <c r="BF1508" t="s">
        <v>1650</v>
      </c>
      <c r="BG1508" t="s">
        <v>1113</v>
      </c>
      <c r="BJ1508" s="114">
        <v>28</v>
      </c>
      <c r="BK1508" s="116">
        <v>89</v>
      </c>
      <c r="BL1508" s="120">
        <f t="shared" si="610"/>
        <v>28089</v>
      </c>
      <c r="BN1508" s="5" t="s">
        <v>3154</v>
      </c>
      <c r="CA1508" s="133">
        <v>329</v>
      </c>
    </row>
    <row r="1509" spans="1:79" hidden="1" outlineLevel="1">
      <c r="A1509" t="s">
        <v>1826</v>
      </c>
      <c r="B1509" t="s">
        <v>1113</v>
      </c>
      <c r="C1509" s="1">
        <f t="shared" si="623"/>
        <v>11693</v>
      </c>
      <c r="D1509" s="5">
        <f>IF(N1509&gt;0, RANK(N1509,(N1509:P1509,Q1509:AE1509)),0)</f>
        <v>2</v>
      </c>
      <c r="E1509" s="5">
        <f>IF(O1509&gt;0,RANK(O1509,(N1509:P1509,Q1509:AE1509)),0)</f>
        <v>1</v>
      </c>
      <c r="F1509" s="5">
        <f>IF(P1509&gt;0,RANK(P1509,(N1509:P1509,Q1509:AE1509)),0)</f>
        <v>0</v>
      </c>
      <c r="G1509" s="132">
        <f t="shared" si="621"/>
        <v>4159</v>
      </c>
      <c r="H1509" s="137">
        <f t="shared" si="622"/>
        <v>0.35568288719746854</v>
      </c>
      <c r="I1509" s="2"/>
      <c r="J1509" s="2">
        <f t="shared" si="624"/>
        <v>0.31446164371846402</v>
      </c>
      <c r="K1509" s="2">
        <f t="shared" si="625"/>
        <v>0.67014453091593262</v>
      </c>
      <c r="L1509" s="2">
        <f t="shared" si="626"/>
        <v>0</v>
      </c>
      <c r="M1509" s="2">
        <f t="shared" si="627"/>
        <v>1.5393825365603409E-2</v>
      </c>
      <c r="N1509" s="63">
        <v>3677</v>
      </c>
      <c r="O1509" s="63">
        <v>7836</v>
      </c>
      <c r="P1509" s="63"/>
      <c r="Q1509" s="63">
        <v>107</v>
      </c>
      <c r="R1509" s="63">
        <v>32</v>
      </c>
      <c r="S1509" s="63">
        <v>29</v>
      </c>
      <c r="T1509" s="63">
        <v>4</v>
      </c>
      <c r="U1509" s="63"/>
      <c r="V1509" s="63"/>
      <c r="W1509" s="63">
        <f>IF(Copyright!B$11=1,IF(CA1509&gt;0,CA1509-P1509-SUM(AE1509:AQ1509)-SUM(X1509:AC1509)-SUM(U1509:V1509),SUM(CB1509:CM1509)),SUM(CC1509:CM1509))</f>
        <v>0</v>
      </c>
      <c r="X1509" s="63"/>
      <c r="Y1509" s="63"/>
      <c r="Z1509" s="63"/>
      <c r="AA1509" s="63"/>
      <c r="AB1509" s="63"/>
      <c r="AC1509" s="63"/>
      <c r="AD1509" s="63">
        <v>8</v>
      </c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/>
      <c r="AP1509" s="63"/>
      <c r="AQ1509" s="63"/>
      <c r="AR1509" s="63"/>
      <c r="AS1509" s="63"/>
      <c r="AT1509" s="63"/>
      <c r="AU1509" s="63"/>
      <c r="AW1509" s="5">
        <f>IF(Q1509&gt;0,RANK(Q1509,(N1509:P1509,Q1509:AE1509)),0)</f>
        <v>3</v>
      </c>
      <c r="AX1509" s="5">
        <f>IF(R1509&gt;0,RANK(R1509,(N1509:P1509,Q1509:AE1509)),0)</f>
        <v>4</v>
      </c>
      <c r="AY1509" s="5">
        <f>IF(T1509&gt;0,RANK(T1509,(N1509:P1509,Q1509:AE1509)),0)</f>
        <v>7</v>
      </c>
      <c r="AZ1509" s="5">
        <f>IF(S1509&gt;0,RANK(S1509,(N1509:P1509,Q1509:AE1509)),0)</f>
        <v>5</v>
      </c>
      <c r="BA1509" s="2">
        <f t="shared" si="628"/>
        <v>9.1507739673308813E-3</v>
      </c>
      <c r="BB1509" s="2">
        <f t="shared" si="629"/>
        <v>2.7366800649961517E-3</v>
      </c>
      <c r="BC1509" s="2">
        <f t="shared" si="630"/>
        <v>3.4208500812451896E-4</v>
      </c>
      <c r="BD1509" s="2">
        <f t="shared" si="631"/>
        <v>2.4801163089027624E-3</v>
      </c>
      <c r="BF1509" t="s">
        <v>1826</v>
      </c>
      <c r="BG1509" t="s">
        <v>1113</v>
      </c>
      <c r="BH1509">
        <v>4</v>
      </c>
      <c r="BJ1509" s="114">
        <v>28</v>
      </c>
      <c r="BK1509" s="116">
        <v>91</v>
      </c>
      <c r="BL1509" s="120">
        <f t="shared" si="610"/>
        <v>28091</v>
      </c>
      <c r="BN1509" s="5" t="s">
        <v>3154</v>
      </c>
    </row>
    <row r="1510" spans="1:79" hidden="1" outlineLevel="1">
      <c r="A1510" t="s">
        <v>1847</v>
      </c>
      <c r="B1510" t="s">
        <v>1113</v>
      </c>
      <c r="C1510" s="1">
        <f t="shared" si="623"/>
        <v>14839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>IF(P1510&gt;0,RANK(P1510,(N1510:P1510,Q1510:AE1510)),0)</f>
        <v>0</v>
      </c>
      <c r="G1510" s="132">
        <f t="shared" si="621"/>
        <v>1436</v>
      </c>
      <c r="H1510" s="137">
        <f t="shared" si="622"/>
        <v>9.6772019677875867E-2</v>
      </c>
      <c r="I1510" s="2"/>
      <c r="J1510" s="2">
        <f t="shared" si="624"/>
        <v>0.54066985645933019</v>
      </c>
      <c r="K1510" s="2">
        <f t="shared" si="625"/>
        <v>0.44389783678145428</v>
      </c>
      <c r="L1510" s="2">
        <f t="shared" si="626"/>
        <v>0</v>
      </c>
      <c r="M1510" s="2">
        <f t="shared" si="627"/>
        <v>1.5432306759215531E-2</v>
      </c>
      <c r="N1510" s="63">
        <v>8023</v>
      </c>
      <c r="O1510" s="63">
        <v>6587</v>
      </c>
      <c r="P1510" s="63"/>
      <c r="Q1510" s="63">
        <v>95</v>
      </c>
      <c r="R1510" s="63">
        <v>55</v>
      </c>
      <c r="S1510" s="63">
        <v>58</v>
      </c>
      <c r="T1510" s="63">
        <v>9</v>
      </c>
      <c r="U1510" s="63"/>
      <c r="V1510" s="63"/>
      <c r="W1510" s="63">
        <f>IF(Copyright!B$11=1,IF(CA1510&gt;0,CA1510-P1510-SUM(AE1510:AQ1510)-SUM(X1510:AC1510)-SUM(U1510:V1510),SUM(CB1510:CM1510)),SUM(CC1510:CM1510))</f>
        <v>0</v>
      </c>
      <c r="X1510" s="63"/>
      <c r="Y1510" s="63"/>
      <c r="Z1510" s="63"/>
      <c r="AA1510" s="63"/>
      <c r="AB1510" s="63"/>
      <c r="AC1510" s="63"/>
      <c r="AD1510" s="63">
        <v>12</v>
      </c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/>
      <c r="AP1510" s="63"/>
      <c r="AQ1510" s="63"/>
      <c r="AR1510" s="63"/>
      <c r="AS1510" s="63"/>
      <c r="AT1510" s="63"/>
      <c r="AU1510" s="63"/>
      <c r="AW1510" s="5">
        <f>IF(Q1510&gt;0,RANK(Q1510,(N1510:P1510,Q1510:AE1510)),0)</f>
        <v>3</v>
      </c>
      <c r="AX1510" s="5">
        <f>IF(R1510&gt;0,RANK(R1510,(N1510:P1510,Q1510:AE1510)),0)</f>
        <v>5</v>
      </c>
      <c r="AY1510" s="5">
        <f>IF(T1510&gt;0,RANK(T1510,(N1510:P1510,Q1510:AE1510)),0)</f>
        <v>7</v>
      </c>
      <c r="AZ1510" s="5">
        <f>IF(S1510&gt;0,RANK(S1510,(N1510:P1510,Q1510:AE1510)),0)</f>
        <v>4</v>
      </c>
      <c r="BA1510" s="2">
        <f t="shared" si="628"/>
        <v>6.4020486555697821E-3</v>
      </c>
      <c r="BB1510" s="2">
        <f t="shared" si="629"/>
        <v>3.7064492216456633E-3</v>
      </c>
      <c r="BC1510" s="2">
        <f t="shared" si="630"/>
        <v>6.0650987263292672E-4</v>
      </c>
      <c r="BD1510" s="2">
        <f t="shared" si="631"/>
        <v>3.9086191791899722E-3</v>
      </c>
      <c r="BF1510" t="s">
        <v>1847</v>
      </c>
      <c r="BG1510" t="s">
        <v>1113</v>
      </c>
      <c r="BH1510">
        <v>1</v>
      </c>
      <c r="BJ1510" s="114">
        <v>28</v>
      </c>
      <c r="BK1510" s="116">
        <v>93</v>
      </c>
      <c r="BL1510" s="120">
        <f t="shared" si="610"/>
        <v>28093</v>
      </c>
      <c r="BN1510" s="5" t="s">
        <v>3154</v>
      </c>
    </row>
    <row r="1511" spans="1:79" hidden="1" outlineLevel="1">
      <c r="A1511" t="s">
        <v>644</v>
      </c>
      <c r="B1511" t="s">
        <v>1113</v>
      </c>
      <c r="C1511" s="1">
        <f t="shared" si="623"/>
        <v>15884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0</v>
      </c>
      <c r="G1511" s="132">
        <f t="shared" si="621"/>
        <v>4643</v>
      </c>
      <c r="H1511" s="137">
        <f t="shared" si="622"/>
        <v>0.29230672374716699</v>
      </c>
      <c r="I1511" s="2"/>
      <c r="J1511" s="2">
        <f t="shared" si="624"/>
        <v>0.34777134223117601</v>
      </c>
      <c r="K1511" s="2">
        <f t="shared" si="625"/>
        <v>0.64007806597834294</v>
      </c>
      <c r="L1511" s="2">
        <f t="shared" si="626"/>
        <v>0</v>
      </c>
      <c r="M1511" s="2">
        <f t="shared" si="627"/>
        <v>1.2150591790481058E-2</v>
      </c>
      <c r="N1511" s="63">
        <v>5524</v>
      </c>
      <c r="O1511" s="63">
        <v>10167</v>
      </c>
      <c r="P1511" s="63"/>
      <c r="Q1511" s="63">
        <v>110</v>
      </c>
      <c r="R1511" s="63">
        <v>28</v>
      </c>
      <c r="S1511" s="63">
        <v>38</v>
      </c>
      <c r="T1511" s="63">
        <v>6</v>
      </c>
      <c r="U1511" s="63"/>
      <c r="V1511" s="63"/>
      <c r="W1511" s="63">
        <f>IF(Copyright!B$11=1,IF(CA1511&gt;0,CA1511-P1511-SUM(AE1511:AQ1511)-SUM(X1511:AC1511)-SUM(U1511:V1511),SUM(CB1511:CM1511)),SUM(CC1511:CM1511))</f>
        <v>0</v>
      </c>
      <c r="X1511" s="63"/>
      <c r="Y1511" s="63"/>
      <c r="Z1511" s="63"/>
      <c r="AA1511" s="63"/>
      <c r="AB1511" s="63"/>
      <c r="AC1511" s="63"/>
      <c r="AD1511" s="63">
        <v>11</v>
      </c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/>
      <c r="AP1511" s="63"/>
      <c r="AQ1511" s="63"/>
      <c r="AR1511" s="63"/>
      <c r="AS1511" s="63"/>
      <c r="AT1511" s="63"/>
      <c r="AU1511" s="63"/>
      <c r="AW1511" s="5">
        <f>IF(Q1511&gt;0,RANK(Q1511,(N1511:P1511,Q1511:AE1511)),0)</f>
        <v>3</v>
      </c>
      <c r="AX1511" s="5">
        <f>IF(R1511&gt;0,RANK(R1511,(N1511:P1511,Q1511:AE1511)),0)</f>
        <v>5</v>
      </c>
      <c r="AY1511" s="5">
        <f>IF(T1511&gt;0,RANK(T1511,(N1511:P1511,Q1511:AE1511)),0)</f>
        <v>7</v>
      </c>
      <c r="AZ1511" s="5">
        <f>IF(S1511&gt;0,RANK(S1511,(N1511:P1511,Q1511:AE1511)),0)</f>
        <v>4</v>
      </c>
      <c r="BA1511" s="2">
        <f t="shared" si="628"/>
        <v>6.9252077562326868E-3</v>
      </c>
      <c r="BB1511" s="2">
        <f t="shared" si="629"/>
        <v>1.7627801561319568E-3</v>
      </c>
      <c r="BC1511" s="2">
        <f t="shared" si="630"/>
        <v>3.7773860488541928E-4</v>
      </c>
      <c r="BD1511" s="2">
        <f t="shared" si="631"/>
        <v>2.3923444976076554E-3</v>
      </c>
      <c r="BF1511" t="s">
        <v>644</v>
      </c>
      <c r="BG1511" t="s">
        <v>1113</v>
      </c>
      <c r="BH1511">
        <v>1</v>
      </c>
      <c r="BJ1511" s="114">
        <v>28</v>
      </c>
      <c r="BK1511" s="116">
        <v>95</v>
      </c>
      <c r="BL1511" s="120">
        <f t="shared" si="610"/>
        <v>28095</v>
      </c>
      <c r="BN1511" s="5" t="s">
        <v>3154</v>
      </c>
    </row>
    <row r="1512" spans="1:79" hidden="1" outlineLevel="1">
      <c r="A1512" t="s">
        <v>1406</v>
      </c>
      <c r="B1512" t="s">
        <v>1113</v>
      </c>
      <c r="C1512" s="1">
        <f t="shared" si="623"/>
        <v>4996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0</v>
      </c>
      <c r="G1512" s="132">
        <f t="shared" si="621"/>
        <v>703</v>
      </c>
      <c r="H1512" s="137">
        <f t="shared" si="622"/>
        <v>0.14071257005604484</v>
      </c>
      <c r="I1512" s="2"/>
      <c r="J1512" s="2">
        <f t="shared" si="624"/>
        <v>0.42333867093674937</v>
      </c>
      <c r="K1512" s="2">
        <f t="shared" si="625"/>
        <v>0.56405124099279424</v>
      </c>
      <c r="L1512" s="2">
        <f t="shared" si="626"/>
        <v>0</v>
      </c>
      <c r="M1512" s="2">
        <f t="shared" si="627"/>
        <v>1.2610088070456382E-2</v>
      </c>
      <c r="N1512" s="63">
        <v>2115</v>
      </c>
      <c r="O1512" s="63">
        <v>2818</v>
      </c>
      <c r="P1512" s="63"/>
      <c r="Q1512" s="63">
        <v>32</v>
      </c>
      <c r="R1512" s="63">
        <v>8</v>
      </c>
      <c r="S1512" s="63">
        <v>14</v>
      </c>
      <c r="T1512" s="63">
        <v>3</v>
      </c>
      <c r="U1512" s="63"/>
      <c r="V1512" s="63"/>
      <c r="W1512" s="63">
        <f>IF(Copyright!B$11=1,IF(CA1512&gt;0,CA1512-P1512-SUM(AE1512:AQ1512)-SUM(X1512:AC1512)-SUM(U1512:V1512),SUM(CB1512:CM1512)),SUM(CC1512:CM1512))</f>
        <v>0</v>
      </c>
      <c r="X1512" s="63"/>
      <c r="Y1512" s="63"/>
      <c r="Z1512" s="63"/>
      <c r="AA1512" s="63"/>
      <c r="AB1512" s="63"/>
      <c r="AC1512" s="63"/>
      <c r="AD1512" s="63">
        <v>6</v>
      </c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/>
      <c r="AP1512" s="63"/>
      <c r="AQ1512" s="63"/>
      <c r="AR1512" s="63"/>
      <c r="AS1512" s="63"/>
      <c r="AT1512" s="63"/>
      <c r="AU1512" s="63"/>
      <c r="AW1512" s="5">
        <f>IF(Q1512&gt;0,RANK(Q1512,(N1512:P1512,Q1512:AE1512)),0)</f>
        <v>3</v>
      </c>
      <c r="AX1512" s="5">
        <f>IF(R1512&gt;0,RANK(R1512,(N1512:P1512,Q1512:AE1512)),0)</f>
        <v>5</v>
      </c>
      <c r="AY1512" s="5">
        <f>IF(T1512&gt;0,RANK(T1512,(N1512:P1512,Q1512:AE1512)),0)</f>
        <v>7</v>
      </c>
      <c r="AZ1512" s="5">
        <f>IF(S1512&gt;0,RANK(S1512,(N1512:P1512,Q1512:AE1512)),0)</f>
        <v>4</v>
      </c>
      <c r="BA1512" s="2">
        <f t="shared" si="628"/>
        <v>6.4051240992794231E-3</v>
      </c>
      <c r="BB1512" s="2">
        <f t="shared" si="629"/>
        <v>1.6012810248198558E-3</v>
      </c>
      <c r="BC1512" s="2">
        <f t="shared" si="630"/>
        <v>6.0048038430744592E-4</v>
      </c>
      <c r="BD1512" s="2">
        <f t="shared" si="631"/>
        <v>2.8022417934347476E-3</v>
      </c>
      <c r="BF1512" t="s">
        <v>1406</v>
      </c>
      <c r="BG1512" t="s">
        <v>1113</v>
      </c>
      <c r="BH1512">
        <v>2</v>
      </c>
      <c r="BJ1512" s="114">
        <v>28</v>
      </c>
      <c r="BK1512" s="116">
        <v>97</v>
      </c>
      <c r="BL1512" s="120">
        <f t="shared" si="610"/>
        <v>28097</v>
      </c>
      <c r="BN1512" s="5" t="s">
        <v>3154</v>
      </c>
    </row>
    <row r="1513" spans="1:79" hidden="1" outlineLevel="1">
      <c r="A1513" t="s">
        <v>1438</v>
      </c>
      <c r="B1513" t="s">
        <v>1113</v>
      </c>
      <c r="C1513" s="1">
        <f t="shared" si="623"/>
        <v>10553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0</v>
      </c>
      <c r="G1513" s="132">
        <f t="shared" si="621"/>
        <v>4964</v>
      </c>
      <c r="H1513" s="137">
        <f t="shared" si="622"/>
        <v>0.47038756751634608</v>
      </c>
      <c r="I1513" s="2"/>
      <c r="J1513" s="2">
        <f t="shared" si="624"/>
        <v>0.25727281341798541</v>
      </c>
      <c r="K1513" s="2">
        <f t="shared" si="625"/>
        <v>0.7276603809343315</v>
      </c>
      <c r="L1513" s="2">
        <f t="shared" si="626"/>
        <v>0</v>
      </c>
      <c r="M1513" s="2">
        <f t="shared" si="627"/>
        <v>1.5066805647683146E-2</v>
      </c>
      <c r="N1513" s="63">
        <v>2715</v>
      </c>
      <c r="O1513" s="63">
        <v>7679</v>
      </c>
      <c r="P1513" s="63"/>
      <c r="Q1513" s="63">
        <v>83</v>
      </c>
      <c r="R1513" s="63">
        <v>20</v>
      </c>
      <c r="S1513" s="63">
        <v>31</v>
      </c>
      <c r="T1513" s="63">
        <v>10</v>
      </c>
      <c r="U1513" s="63"/>
      <c r="V1513" s="63"/>
      <c r="W1513" s="63">
        <f>IF(Copyright!B$11=1,IF(CA1513&gt;0,CA1513-P1513-SUM(AE1513:AQ1513)-SUM(X1513:AC1513)-SUM(U1513:V1513),SUM(CB1513:CM1513)),SUM(CC1513:CM1513))</f>
        <v>0</v>
      </c>
      <c r="X1513" s="63"/>
      <c r="Y1513" s="63"/>
      <c r="Z1513" s="63"/>
      <c r="AA1513" s="63"/>
      <c r="AB1513" s="63"/>
      <c r="AC1513" s="63"/>
      <c r="AD1513" s="63">
        <v>15</v>
      </c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/>
      <c r="AP1513" s="63"/>
      <c r="AQ1513" s="63"/>
      <c r="AR1513" s="63"/>
      <c r="AS1513" s="63"/>
      <c r="AT1513" s="63"/>
      <c r="AU1513" s="63"/>
      <c r="AW1513" s="5">
        <f>IF(Q1513&gt;0,RANK(Q1513,(N1513:P1513,Q1513:AE1513)),0)</f>
        <v>3</v>
      </c>
      <c r="AX1513" s="5">
        <f>IF(R1513&gt;0,RANK(R1513,(N1513:P1513,Q1513:AE1513)),0)</f>
        <v>5</v>
      </c>
      <c r="AY1513" s="5">
        <f>IF(T1513&gt;0,RANK(T1513,(N1513:P1513,Q1513:AE1513)),0)</f>
        <v>7</v>
      </c>
      <c r="AZ1513" s="5">
        <f>IF(S1513&gt;0,RANK(S1513,(N1513:P1513,Q1513:AE1513)),0)</f>
        <v>4</v>
      </c>
      <c r="BA1513" s="2">
        <f t="shared" si="628"/>
        <v>7.8650620676584855E-3</v>
      </c>
      <c r="BB1513" s="2">
        <f t="shared" si="629"/>
        <v>1.895195678953852E-3</v>
      </c>
      <c r="BC1513" s="2">
        <f t="shared" si="630"/>
        <v>9.4759783947692602E-4</v>
      </c>
      <c r="BD1513" s="2">
        <f t="shared" si="631"/>
        <v>2.9375533023784707E-3</v>
      </c>
      <c r="BF1513" t="s">
        <v>1438</v>
      </c>
      <c r="BG1513" t="s">
        <v>1113</v>
      </c>
      <c r="BH1513">
        <v>3</v>
      </c>
      <c r="BJ1513" s="114">
        <v>28</v>
      </c>
      <c r="BK1513" s="116">
        <v>99</v>
      </c>
      <c r="BL1513" s="120">
        <f t="shared" ref="BL1513:BL1576" si="632">1000*BJ1513+BK1513</f>
        <v>28099</v>
      </c>
      <c r="BN1513" s="5" t="s">
        <v>3154</v>
      </c>
    </row>
    <row r="1514" spans="1:79" hidden="1" outlineLevel="1">
      <c r="A1514" t="s">
        <v>1136</v>
      </c>
      <c r="B1514" t="s">
        <v>1113</v>
      </c>
      <c r="C1514" s="1">
        <f t="shared" si="623"/>
        <v>9438</v>
      </c>
      <c r="D1514" s="5">
        <f>IF(N1514&gt;0, RANK(N1514,(N1514:P1514,Q1514:AE1514)),0)</f>
        <v>2</v>
      </c>
      <c r="E1514" s="5">
        <f>IF(O1514&gt;0,RANK(O1514,(N1514:P1514,Q1514:AE1514)),0)</f>
        <v>1</v>
      </c>
      <c r="F1514" s="5">
        <f>IF(P1514&gt;0,RANK(P1514,(N1514:P1514,Q1514:AE1514)),0)</f>
        <v>0</v>
      </c>
      <c r="G1514" s="132">
        <f t="shared" si="621"/>
        <v>3792</v>
      </c>
      <c r="H1514" s="137">
        <f t="shared" si="622"/>
        <v>0.40178003814367452</v>
      </c>
      <c r="I1514" s="2"/>
      <c r="J1514" s="2">
        <f t="shared" si="624"/>
        <v>0.29201101928374656</v>
      </c>
      <c r="K1514" s="2">
        <f t="shared" si="625"/>
        <v>0.69379105742742109</v>
      </c>
      <c r="L1514" s="2">
        <f t="shared" si="626"/>
        <v>0</v>
      </c>
      <c r="M1514" s="2">
        <f t="shared" si="627"/>
        <v>1.4197923288832293E-2</v>
      </c>
      <c r="N1514" s="63">
        <v>2756</v>
      </c>
      <c r="O1514" s="63">
        <v>6548</v>
      </c>
      <c r="P1514" s="63"/>
      <c r="Q1514" s="63">
        <v>67</v>
      </c>
      <c r="R1514" s="63">
        <v>22</v>
      </c>
      <c r="S1514" s="63">
        <v>31</v>
      </c>
      <c r="T1514" s="63">
        <v>6</v>
      </c>
      <c r="U1514" s="63"/>
      <c r="V1514" s="63"/>
      <c r="W1514" s="63">
        <f>IF(Copyright!B$11=1,IF(CA1514&gt;0,CA1514-P1514-SUM(AE1514:AQ1514)-SUM(X1514:AC1514)-SUM(U1514:V1514),SUM(CB1514:CM1514)),SUM(CC1514:CM1514))</f>
        <v>0</v>
      </c>
      <c r="X1514" s="63"/>
      <c r="Y1514" s="63"/>
      <c r="Z1514" s="63"/>
      <c r="AA1514" s="63"/>
      <c r="AB1514" s="63"/>
      <c r="AC1514" s="63"/>
      <c r="AD1514" s="63">
        <v>8</v>
      </c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/>
      <c r="AP1514" s="63"/>
      <c r="AQ1514" s="63"/>
      <c r="AR1514" s="63"/>
      <c r="AS1514" s="63"/>
      <c r="AT1514" s="63"/>
      <c r="AU1514" s="63"/>
      <c r="AW1514" s="5">
        <f>IF(Q1514&gt;0,RANK(Q1514,(N1514:P1514,Q1514:AE1514)),0)</f>
        <v>3</v>
      </c>
      <c r="AX1514" s="5">
        <f>IF(R1514&gt;0,RANK(R1514,(N1514:P1514,Q1514:AE1514)),0)</f>
        <v>5</v>
      </c>
      <c r="AY1514" s="5">
        <f>IF(T1514&gt;0,RANK(T1514,(N1514:P1514,Q1514:AE1514)),0)</f>
        <v>7</v>
      </c>
      <c r="AZ1514" s="5">
        <f>IF(S1514&gt;0,RANK(S1514,(N1514:P1514,Q1514:AE1514)),0)</f>
        <v>4</v>
      </c>
      <c r="BA1514" s="2">
        <f t="shared" si="628"/>
        <v>7.0989616444161897E-3</v>
      </c>
      <c r="BB1514" s="2">
        <f t="shared" si="629"/>
        <v>2.331002331002331E-3</v>
      </c>
      <c r="BC1514" s="2">
        <f t="shared" si="630"/>
        <v>6.3572790845518119E-4</v>
      </c>
      <c r="BD1514" s="2">
        <f t="shared" si="631"/>
        <v>3.2845941936851027E-3</v>
      </c>
      <c r="BF1514" t="s">
        <v>1136</v>
      </c>
      <c r="BG1514" t="s">
        <v>1113</v>
      </c>
      <c r="BH1514">
        <v>3</v>
      </c>
      <c r="BJ1514" s="114">
        <v>28</v>
      </c>
      <c r="BK1514" s="116">
        <v>101</v>
      </c>
      <c r="BL1514" s="120">
        <f t="shared" si="632"/>
        <v>28101</v>
      </c>
      <c r="BN1514" s="5" t="s">
        <v>3154</v>
      </c>
    </row>
    <row r="1515" spans="1:79" hidden="1" outlineLevel="1">
      <c r="A1515" t="s">
        <v>1600</v>
      </c>
      <c r="B1515" t="s">
        <v>1113</v>
      </c>
      <c r="C1515" s="1">
        <f t="shared" si="623"/>
        <v>5574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0</v>
      </c>
      <c r="G1515" s="132">
        <f t="shared" si="621"/>
        <v>3147</v>
      </c>
      <c r="H1515" s="137">
        <f t="shared" si="622"/>
        <v>0.56458557588805169</v>
      </c>
      <c r="I1515" s="2"/>
      <c r="J1515" s="2">
        <f t="shared" si="624"/>
        <v>0.7798708288482239</v>
      </c>
      <c r="K1515" s="2">
        <f t="shared" si="625"/>
        <v>0.21528525296017223</v>
      </c>
      <c r="L1515" s="2">
        <f t="shared" si="626"/>
        <v>0</v>
      </c>
      <c r="M1515" s="2">
        <f t="shared" si="627"/>
        <v>4.8439181916038743E-3</v>
      </c>
      <c r="N1515" s="63">
        <v>4347</v>
      </c>
      <c r="O1515" s="63">
        <v>1200</v>
      </c>
      <c r="P1515" s="63"/>
      <c r="Q1515" s="63">
        <v>12</v>
      </c>
      <c r="R1515" s="63">
        <v>6</v>
      </c>
      <c r="S1515" s="63">
        <v>6</v>
      </c>
      <c r="T1515" s="63">
        <v>0</v>
      </c>
      <c r="U1515" s="63"/>
      <c r="V1515" s="63"/>
      <c r="W1515" s="63">
        <f>IF(Copyright!B$11=1,IF(CA1515&gt;0,CA1515-P1515-SUM(AE1515:AQ1515)-SUM(X1515:AC1515)-SUM(U1515:V1515),SUM(CB1515:CM1515)),SUM(CC1515:CM1515))</f>
        <v>0</v>
      </c>
      <c r="X1515" s="63"/>
      <c r="Y1515" s="63"/>
      <c r="Z1515" s="63"/>
      <c r="AA1515" s="63"/>
      <c r="AB1515" s="63"/>
      <c r="AC1515" s="63"/>
      <c r="AD1515" s="63">
        <v>3</v>
      </c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/>
      <c r="AP1515" s="63"/>
      <c r="AQ1515" s="63"/>
      <c r="AR1515" s="63"/>
      <c r="AS1515" s="63"/>
      <c r="AT1515" s="63"/>
      <c r="AU1515" s="63"/>
      <c r="AW1515" s="5">
        <f>IF(Q1515&gt;0,RANK(Q1515,(N1515:P1515,Q1515:AE1515)),0)</f>
        <v>3</v>
      </c>
      <c r="AX1515" s="5">
        <f>IF(R1515&gt;0,RANK(R1515,(N1515:P1515,Q1515:AE1515)),0)</f>
        <v>4</v>
      </c>
      <c r="AY1515" s="5">
        <f>IF(T1515&gt;0,RANK(T1515,(N1515:P1515,Q1515:AE1515)),0)</f>
        <v>0</v>
      </c>
      <c r="AZ1515" s="5">
        <f>IF(S1515&gt;0,RANK(S1515,(N1515:P1515,Q1515:AE1515)),0)</f>
        <v>4</v>
      </c>
      <c r="BA1515" s="2">
        <f t="shared" si="628"/>
        <v>2.1528525296017221E-3</v>
      </c>
      <c r="BB1515" s="2">
        <f t="shared" si="629"/>
        <v>1.076426264800861E-3</v>
      </c>
      <c r="BC1515" s="2">
        <f t="shared" si="630"/>
        <v>0</v>
      </c>
      <c r="BD1515" s="2">
        <f t="shared" si="631"/>
        <v>1.076426264800861E-3</v>
      </c>
      <c r="BF1515" t="s">
        <v>1600</v>
      </c>
      <c r="BG1515" t="s">
        <v>1113</v>
      </c>
      <c r="BH1515">
        <v>3</v>
      </c>
      <c r="BJ1515" s="114">
        <v>28</v>
      </c>
      <c r="BK1515" s="116">
        <v>103</v>
      </c>
      <c r="BL1515" s="120">
        <f t="shared" si="632"/>
        <v>28103</v>
      </c>
      <c r="BN1515" s="5" t="s">
        <v>3154</v>
      </c>
    </row>
    <row r="1516" spans="1:79" hidden="1" outlineLevel="1">
      <c r="A1516" t="s">
        <v>1375</v>
      </c>
      <c r="B1516" t="s">
        <v>1113</v>
      </c>
      <c r="C1516" s="1">
        <f t="shared" si="623"/>
        <v>18124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>IF(P1516&gt;0,RANK(P1516,(N1516:P1516,Q1516:AE1516)),0)</f>
        <v>0</v>
      </c>
      <c r="G1516" s="132">
        <f t="shared" si="621"/>
        <v>283</v>
      </c>
      <c r="H1516" s="137">
        <f t="shared" si="622"/>
        <v>1.5614654601633193E-2</v>
      </c>
      <c r="I1516" s="2"/>
      <c r="J1516" s="2">
        <f t="shared" si="624"/>
        <v>0.48879938203487089</v>
      </c>
      <c r="K1516" s="2">
        <f t="shared" si="625"/>
        <v>0.4731847274332377</v>
      </c>
      <c r="L1516" s="2">
        <f t="shared" si="626"/>
        <v>0</v>
      </c>
      <c r="M1516" s="2">
        <f t="shared" si="627"/>
        <v>3.8015890531891472E-2</v>
      </c>
      <c r="N1516" s="63">
        <v>8859</v>
      </c>
      <c r="O1516" s="63">
        <v>8576</v>
      </c>
      <c r="P1516" s="63"/>
      <c r="Q1516" s="63">
        <v>464</v>
      </c>
      <c r="R1516" s="63">
        <v>101</v>
      </c>
      <c r="S1516" s="63">
        <v>99</v>
      </c>
      <c r="T1516" s="63">
        <v>8</v>
      </c>
      <c r="U1516" s="63"/>
      <c r="V1516" s="63"/>
      <c r="W1516" s="63">
        <f>IF(Copyright!B$11=1,IF(CA1516&gt;0,CA1516-P1516-SUM(AE1516:AQ1516)-SUM(X1516:AC1516)-SUM(U1516:V1516),SUM(CB1516:CM1516)),SUM(CC1516:CM1516))</f>
        <v>0</v>
      </c>
      <c r="X1516" s="63"/>
      <c r="Y1516" s="63"/>
      <c r="Z1516" s="63"/>
      <c r="AA1516" s="63"/>
      <c r="AB1516" s="63"/>
      <c r="AC1516" s="63"/>
      <c r="AD1516" s="63">
        <v>17</v>
      </c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/>
      <c r="AP1516" s="63"/>
      <c r="AQ1516" s="63"/>
      <c r="AR1516" s="63"/>
      <c r="AS1516" s="63"/>
      <c r="AT1516" s="63"/>
      <c r="AU1516" s="63"/>
      <c r="AW1516" s="5">
        <f>IF(Q1516&gt;0,RANK(Q1516,(N1516:P1516,Q1516:AE1516)),0)</f>
        <v>3</v>
      </c>
      <c r="AX1516" s="5">
        <f>IF(R1516&gt;0,RANK(R1516,(N1516:P1516,Q1516:AE1516)),0)</f>
        <v>4</v>
      </c>
      <c r="AY1516" s="5">
        <f>IF(T1516&gt;0,RANK(T1516,(N1516:P1516,Q1516:AE1516)),0)</f>
        <v>7</v>
      </c>
      <c r="AZ1516" s="5">
        <f>IF(S1516&gt;0,RANK(S1516,(N1516:P1516,Q1516:AE1516)),0)</f>
        <v>5</v>
      </c>
      <c r="BA1516" s="2">
        <f t="shared" si="628"/>
        <v>2.560141249172368E-2</v>
      </c>
      <c r="BB1516" s="2">
        <f t="shared" si="629"/>
        <v>5.5727212535864046E-3</v>
      </c>
      <c r="BC1516" s="2">
        <f t="shared" si="630"/>
        <v>4.4140366365040833E-4</v>
      </c>
      <c r="BD1516" s="2">
        <f t="shared" si="631"/>
        <v>5.4623703376738024E-3</v>
      </c>
      <c r="BF1516" t="s">
        <v>1375</v>
      </c>
      <c r="BG1516" t="s">
        <v>1113</v>
      </c>
      <c r="BJ1516" s="114">
        <v>28</v>
      </c>
      <c r="BK1516" s="116">
        <v>105</v>
      </c>
      <c r="BL1516" s="120">
        <f t="shared" si="632"/>
        <v>28105</v>
      </c>
      <c r="BN1516" s="5" t="s">
        <v>3154</v>
      </c>
    </row>
    <row r="1517" spans="1:79" hidden="1" outlineLevel="1">
      <c r="A1517" t="s">
        <v>2376</v>
      </c>
      <c r="B1517" t="s">
        <v>1113</v>
      </c>
      <c r="C1517" s="1">
        <f t="shared" si="623"/>
        <v>15064</v>
      </c>
      <c r="D1517" s="5">
        <f>IF(N1517&gt;0, RANK(N1517,(N1517:P1517,Q1517:AE1517)),0)</f>
        <v>2</v>
      </c>
      <c r="E1517" s="5">
        <f>IF(O1517&gt;0,RANK(O1517,(N1517:P1517,Q1517:AE1517)),0)</f>
        <v>1</v>
      </c>
      <c r="F1517" s="5">
        <f>IF(P1517&gt;0,RANK(P1517,(N1517:P1517,Q1517:AE1517)),0)</f>
        <v>0</v>
      </c>
      <c r="G1517" s="132">
        <f t="shared" si="621"/>
        <v>18</v>
      </c>
      <c r="H1517" s="137">
        <f t="shared" si="622"/>
        <v>1.1949017525225705E-3</v>
      </c>
      <c r="I1517" s="2"/>
      <c r="J1517" s="2">
        <f t="shared" si="624"/>
        <v>0.49329527349973445</v>
      </c>
      <c r="K1517" s="2">
        <f t="shared" si="625"/>
        <v>0.49449017525225702</v>
      </c>
      <c r="L1517" s="2">
        <f t="shared" si="626"/>
        <v>0</v>
      </c>
      <c r="M1517" s="2">
        <f t="shared" si="627"/>
        <v>1.2214551248008521E-2</v>
      </c>
      <c r="N1517" s="63">
        <v>7431</v>
      </c>
      <c r="O1517" s="63">
        <v>7449</v>
      </c>
      <c r="P1517" s="63"/>
      <c r="Q1517" s="63">
        <v>96</v>
      </c>
      <c r="R1517" s="63">
        <v>20</v>
      </c>
      <c r="S1517" s="63">
        <v>47</v>
      </c>
      <c r="T1517" s="63">
        <v>9</v>
      </c>
      <c r="U1517" s="63"/>
      <c r="V1517" s="63"/>
      <c r="W1517" s="63">
        <f>IF(Copyright!B$11=1,IF(CA1517&gt;0,CA1517-P1517-SUM(AE1517:AQ1517)-SUM(X1517:AC1517)-SUM(U1517:V1517),SUM(CB1517:CM1517)),SUM(CC1517:CM1517))</f>
        <v>0</v>
      </c>
      <c r="X1517" s="63"/>
      <c r="Y1517" s="63"/>
      <c r="Z1517" s="63"/>
      <c r="AA1517" s="63"/>
      <c r="AB1517" s="63"/>
      <c r="AC1517" s="63"/>
      <c r="AD1517" s="63">
        <v>12</v>
      </c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/>
      <c r="AP1517" s="63"/>
      <c r="AQ1517" s="63"/>
      <c r="AR1517" s="63"/>
      <c r="AS1517" s="63"/>
      <c r="AT1517" s="63"/>
      <c r="AU1517" s="63"/>
      <c r="AW1517" s="5">
        <f>IF(Q1517&gt;0,RANK(Q1517,(N1517:P1517,Q1517:AE1517)),0)</f>
        <v>3</v>
      </c>
      <c r="AX1517" s="5">
        <f>IF(R1517&gt;0,RANK(R1517,(N1517:P1517,Q1517:AE1517)),0)</f>
        <v>5</v>
      </c>
      <c r="AY1517" s="5">
        <f>IF(T1517&gt;0,RANK(T1517,(N1517:P1517,Q1517:AE1517)),0)</f>
        <v>7</v>
      </c>
      <c r="AZ1517" s="5">
        <f>IF(S1517&gt;0,RANK(S1517,(N1517:P1517,Q1517:AE1517)),0)</f>
        <v>4</v>
      </c>
      <c r="BA1517" s="2">
        <f t="shared" si="628"/>
        <v>6.3728093467870419E-3</v>
      </c>
      <c r="BB1517" s="2">
        <f t="shared" si="629"/>
        <v>1.3276686139139671E-3</v>
      </c>
      <c r="BC1517" s="2">
        <f t="shared" si="630"/>
        <v>5.9745087626128523E-4</v>
      </c>
      <c r="BD1517" s="2">
        <f t="shared" si="631"/>
        <v>3.1200212426978225E-3</v>
      </c>
      <c r="BF1517" t="s">
        <v>2376</v>
      </c>
      <c r="BG1517" t="s">
        <v>1113</v>
      </c>
      <c r="BH1517">
        <v>2</v>
      </c>
      <c r="BJ1517" s="114">
        <v>28</v>
      </c>
      <c r="BK1517" s="116">
        <v>107</v>
      </c>
      <c r="BL1517" s="120">
        <f t="shared" si="632"/>
        <v>28107</v>
      </c>
      <c r="BN1517" s="5" t="s">
        <v>3154</v>
      </c>
    </row>
    <row r="1518" spans="1:79" hidden="1" outlineLevel="1">
      <c r="A1518" t="s">
        <v>1303</v>
      </c>
      <c r="B1518" t="s">
        <v>1113</v>
      </c>
      <c r="C1518" s="1">
        <f t="shared" si="623"/>
        <v>21883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0</v>
      </c>
      <c r="G1518" s="132">
        <f t="shared" si="621"/>
        <v>14178</v>
      </c>
      <c r="H1518" s="137">
        <f t="shared" si="622"/>
        <v>0.64790019649956587</v>
      </c>
      <c r="I1518" s="2"/>
      <c r="J1518" s="2">
        <f t="shared" si="624"/>
        <v>0.16469405474569301</v>
      </c>
      <c r="K1518" s="2">
        <f t="shared" si="625"/>
        <v>0.81259425124525886</v>
      </c>
      <c r="L1518" s="2">
        <f t="shared" si="626"/>
        <v>0</v>
      </c>
      <c r="M1518" s="2">
        <f t="shared" si="627"/>
        <v>2.2711694009048156E-2</v>
      </c>
      <c r="N1518" s="63">
        <v>3604</v>
      </c>
      <c r="O1518" s="63">
        <v>17782</v>
      </c>
      <c r="P1518" s="63"/>
      <c r="Q1518" s="63">
        <v>315</v>
      </c>
      <c r="R1518" s="63">
        <v>78</v>
      </c>
      <c r="S1518" s="63">
        <v>83</v>
      </c>
      <c r="T1518" s="63">
        <v>12</v>
      </c>
      <c r="U1518" s="63"/>
      <c r="V1518" s="63"/>
      <c r="W1518" s="63">
        <f>IF(Copyright!B$11=1,IF(CA1518&gt;0,CA1518-P1518-SUM(AE1518:AQ1518)-SUM(X1518:AC1518)-SUM(U1518:V1518),SUM(CB1518:CM1518)),SUM(CC1518:CM1518))</f>
        <v>0</v>
      </c>
      <c r="X1518" s="63"/>
      <c r="Y1518" s="63"/>
      <c r="Z1518" s="63"/>
      <c r="AA1518" s="63"/>
      <c r="AB1518" s="63"/>
      <c r="AC1518" s="63"/>
      <c r="AD1518" s="63">
        <v>9</v>
      </c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/>
      <c r="AP1518" s="63"/>
      <c r="AQ1518" s="63"/>
      <c r="AR1518" s="63"/>
      <c r="AS1518" s="63"/>
      <c r="AT1518" s="63"/>
      <c r="AU1518" s="63"/>
      <c r="AW1518" s="5">
        <f>IF(Q1518&gt;0,RANK(Q1518,(N1518:P1518,Q1518:AE1518)),0)</f>
        <v>3</v>
      </c>
      <c r="AX1518" s="5">
        <f>IF(R1518&gt;0,RANK(R1518,(N1518:P1518,Q1518:AE1518)),0)</f>
        <v>5</v>
      </c>
      <c r="AY1518" s="5">
        <f>IF(T1518&gt;0,RANK(T1518,(N1518:P1518,Q1518:AE1518)),0)</f>
        <v>6</v>
      </c>
      <c r="AZ1518" s="5">
        <f>IF(S1518&gt;0,RANK(S1518,(N1518:P1518,Q1518:AE1518)),0)</f>
        <v>4</v>
      </c>
      <c r="BA1518" s="2">
        <f t="shared" si="628"/>
        <v>1.439473563953754E-2</v>
      </c>
      <c r="BB1518" s="2">
        <f t="shared" si="629"/>
        <v>3.5644107297902483E-3</v>
      </c>
      <c r="BC1518" s="2">
        <f t="shared" si="630"/>
        <v>5.48370881506192E-4</v>
      </c>
      <c r="BD1518" s="2">
        <f t="shared" si="631"/>
        <v>3.792898597084495E-3</v>
      </c>
      <c r="BF1518" t="s">
        <v>1303</v>
      </c>
      <c r="BG1518" t="s">
        <v>1113</v>
      </c>
      <c r="BH1518">
        <v>4</v>
      </c>
      <c r="BJ1518" s="114">
        <v>28</v>
      </c>
      <c r="BK1518" s="116">
        <v>109</v>
      </c>
      <c r="BL1518" s="120">
        <f t="shared" si="632"/>
        <v>28109</v>
      </c>
      <c r="BN1518" s="5" t="s">
        <v>3154</v>
      </c>
    </row>
    <row r="1519" spans="1:79" hidden="1" outlineLevel="1">
      <c r="A1519" t="s">
        <v>2118</v>
      </c>
      <c r="B1519" t="s">
        <v>1113</v>
      </c>
      <c r="C1519" s="1">
        <f t="shared" si="623"/>
        <v>5432</v>
      </c>
      <c r="D1519" s="5">
        <f>IF(N1519&gt;0, RANK(N1519,(N1519:P1519,Q1519:AE1519)),0)</f>
        <v>2</v>
      </c>
      <c r="E1519" s="5">
        <f>IF(O1519&gt;0,RANK(O1519,(N1519:P1519,Q1519:AE1519)),0)</f>
        <v>1</v>
      </c>
      <c r="F1519" s="5">
        <f>IF(P1519&gt;0,RANK(P1519,(N1519:P1519,Q1519:AE1519)),0)</f>
        <v>0</v>
      </c>
      <c r="G1519" s="132">
        <f t="shared" si="621"/>
        <v>2915</v>
      </c>
      <c r="H1519" s="137">
        <f t="shared" si="622"/>
        <v>0.53663475699558172</v>
      </c>
      <c r="I1519" s="2"/>
      <c r="J1519" s="2">
        <f t="shared" si="624"/>
        <v>0.22459499263622976</v>
      </c>
      <c r="K1519" s="2">
        <f t="shared" si="625"/>
        <v>0.76122974963181145</v>
      </c>
      <c r="L1519" s="2">
        <f t="shared" si="626"/>
        <v>0</v>
      </c>
      <c r="M1519" s="2">
        <f t="shared" si="627"/>
        <v>1.4175257731958824E-2</v>
      </c>
      <c r="N1519" s="63">
        <v>1220</v>
      </c>
      <c r="O1519" s="63">
        <v>4135</v>
      </c>
      <c r="P1519" s="63"/>
      <c r="Q1519" s="63">
        <v>47</v>
      </c>
      <c r="R1519" s="63">
        <v>5</v>
      </c>
      <c r="S1519" s="63">
        <v>17</v>
      </c>
      <c r="T1519" s="63">
        <v>4</v>
      </c>
      <c r="U1519" s="63"/>
      <c r="V1519" s="63"/>
      <c r="W1519" s="63">
        <f>IF(Copyright!B$11=1,IF(CA1519&gt;0,CA1519-P1519-SUM(AE1519:AQ1519)-SUM(X1519:AC1519)-SUM(U1519:V1519),SUM(CB1519:CM1519)),SUM(CC1519:CM1519))</f>
        <v>0</v>
      </c>
      <c r="X1519" s="63"/>
      <c r="Y1519" s="63"/>
      <c r="Z1519" s="63"/>
      <c r="AA1519" s="63"/>
      <c r="AB1519" s="63"/>
      <c r="AC1519" s="63"/>
      <c r="AD1519" s="63">
        <v>4</v>
      </c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/>
      <c r="AP1519" s="63"/>
      <c r="AQ1519" s="63"/>
      <c r="AR1519" s="63"/>
      <c r="AS1519" s="63"/>
      <c r="AT1519" s="63"/>
      <c r="AU1519" s="63"/>
      <c r="AW1519" s="5">
        <f>IF(Q1519&gt;0,RANK(Q1519,(N1519:P1519,Q1519:AE1519)),0)</f>
        <v>3</v>
      </c>
      <c r="AX1519" s="5">
        <f>IF(R1519&gt;0,RANK(R1519,(N1519:P1519,Q1519:AE1519)),0)</f>
        <v>5</v>
      </c>
      <c r="AY1519" s="5">
        <f>IF(T1519&gt;0,RANK(T1519,(N1519:P1519,Q1519:AE1519)),0)</f>
        <v>6</v>
      </c>
      <c r="AZ1519" s="5">
        <f>IF(S1519&gt;0,RANK(S1519,(N1519:P1519,Q1519:AE1519)),0)</f>
        <v>4</v>
      </c>
      <c r="BA1519" s="2">
        <f t="shared" si="628"/>
        <v>8.652430044182622E-3</v>
      </c>
      <c r="BB1519" s="2">
        <f t="shared" si="629"/>
        <v>9.2047128129602355E-4</v>
      </c>
      <c r="BC1519" s="2">
        <f t="shared" si="630"/>
        <v>7.3637702503681884E-4</v>
      </c>
      <c r="BD1519" s="2">
        <f t="shared" si="631"/>
        <v>3.1296023564064803E-3</v>
      </c>
      <c r="BF1519" t="s">
        <v>2118</v>
      </c>
      <c r="BG1519" t="s">
        <v>1113</v>
      </c>
      <c r="BH1519">
        <v>4</v>
      </c>
      <c r="BJ1519" s="114">
        <v>28</v>
      </c>
      <c r="BK1519" s="116">
        <v>111</v>
      </c>
      <c r="BL1519" s="120">
        <f t="shared" si="632"/>
        <v>28111</v>
      </c>
      <c r="BN1519" s="5" t="s">
        <v>3154</v>
      </c>
    </row>
    <row r="1520" spans="1:79" hidden="1" outlineLevel="1">
      <c r="A1520" t="s">
        <v>2655</v>
      </c>
      <c r="B1520" t="s">
        <v>1113</v>
      </c>
      <c r="C1520" s="1">
        <f t="shared" si="623"/>
        <v>16360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>IF(P1520&gt;0,RANK(P1520,(N1520:P1520,Q1520:AE1520)),0)</f>
        <v>0</v>
      </c>
      <c r="G1520" s="132">
        <f t="shared" si="621"/>
        <v>34</v>
      </c>
      <c r="H1520" s="137">
        <f t="shared" si="622"/>
        <v>2.0782396088019559E-3</v>
      </c>
      <c r="I1520" s="2"/>
      <c r="J1520" s="2">
        <f t="shared" si="624"/>
        <v>0.49162591687041562</v>
      </c>
      <c r="K1520" s="2">
        <f t="shared" si="625"/>
        <v>0.48954767726161369</v>
      </c>
      <c r="L1520" s="2">
        <f t="shared" si="626"/>
        <v>0</v>
      </c>
      <c r="M1520" s="2">
        <f t="shared" si="627"/>
        <v>1.8826405867970741E-2</v>
      </c>
      <c r="N1520" s="63">
        <v>8043</v>
      </c>
      <c r="O1520" s="63">
        <v>8009</v>
      </c>
      <c r="P1520" s="63"/>
      <c r="Q1520" s="63">
        <v>142</v>
      </c>
      <c r="R1520" s="63">
        <v>43</v>
      </c>
      <c r="S1520" s="63">
        <v>45</v>
      </c>
      <c r="T1520" s="63">
        <v>10</v>
      </c>
      <c r="U1520" s="63"/>
      <c r="V1520" s="63"/>
      <c r="W1520" s="63">
        <f>IF(Copyright!B$11=1,IF(CA1520&gt;0,CA1520-P1520-SUM(AE1520:AQ1520)-SUM(X1520:AC1520)-SUM(U1520:V1520),SUM(CB1520:CM1520)),SUM(CC1520:CM1520))</f>
        <v>50</v>
      </c>
      <c r="X1520" s="63"/>
      <c r="Y1520" s="63"/>
      <c r="Z1520" s="63"/>
      <c r="AA1520" s="63"/>
      <c r="AB1520" s="63"/>
      <c r="AC1520" s="63"/>
      <c r="AD1520" s="63">
        <v>18</v>
      </c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/>
      <c r="AP1520" s="63"/>
      <c r="AQ1520" s="63"/>
      <c r="AR1520" s="63"/>
      <c r="AS1520" s="63"/>
      <c r="AT1520" s="63"/>
      <c r="AU1520" s="63"/>
      <c r="AW1520" s="5">
        <f>IF(Q1520&gt;0,RANK(Q1520,(N1520:P1520,Q1520:AE1520)),0)</f>
        <v>3</v>
      </c>
      <c r="AX1520" s="5">
        <f>IF(R1520&gt;0,RANK(R1520,(N1520:P1520,Q1520:AE1520)),0)</f>
        <v>6</v>
      </c>
      <c r="AY1520" s="5">
        <f>IF(T1520&gt;0,RANK(T1520,(N1520:P1520,Q1520:AE1520)),0)</f>
        <v>8</v>
      </c>
      <c r="AZ1520" s="5">
        <f>IF(S1520&gt;0,RANK(S1520,(N1520:P1520,Q1520:AE1520)),0)</f>
        <v>5</v>
      </c>
      <c r="BA1520" s="2">
        <f t="shared" si="628"/>
        <v>8.6797066014669931E-3</v>
      </c>
      <c r="BB1520" s="2">
        <f t="shared" si="629"/>
        <v>2.6283618581907091E-3</v>
      </c>
      <c r="BC1520" s="2">
        <f t="shared" si="630"/>
        <v>6.1124694376528117E-4</v>
      </c>
      <c r="BD1520" s="2">
        <f t="shared" si="631"/>
        <v>2.7506112469437654E-3</v>
      </c>
      <c r="BF1520" t="s">
        <v>2655</v>
      </c>
      <c r="BG1520" t="s">
        <v>1113</v>
      </c>
      <c r="BH1520">
        <v>3</v>
      </c>
      <c r="BJ1520" s="114">
        <v>28</v>
      </c>
      <c r="BK1520" s="116">
        <v>113</v>
      </c>
      <c r="BL1520" s="120">
        <f t="shared" si="632"/>
        <v>28113</v>
      </c>
      <c r="BN1520" s="5" t="s">
        <v>3154</v>
      </c>
      <c r="CA1520" s="133">
        <v>50</v>
      </c>
    </row>
    <row r="1521" spans="1:79" hidden="1" outlineLevel="1">
      <c r="A1521" t="s">
        <v>2996</v>
      </c>
      <c r="B1521" t="s">
        <v>1113</v>
      </c>
      <c r="C1521" s="1">
        <f t="shared" si="623"/>
        <v>12984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0</v>
      </c>
      <c r="G1521" s="132">
        <f t="shared" si="621"/>
        <v>7950</v>
      </c>
      <c r="H1521" s="137">
        <f t="shared" si="622"/>
        <v>0.61229205175600743</v>
      </c>
      <c r="I1521" s="2"/>
      <c r="J1521" s="2">
        <f t="shared" si="624"/>
        <v>0.18376463339494764</v>
      </c>
      <c r="K1521" s="2">
        <f t="shared" si="625"/>
        <v>0.79605668515095507</v>
      </c>
      <c r="L1521" s="2">
        <f t="shared" si="626"/>
        <v>0</v>
      </c>
      <c r="M1521" s="2">
        <f t="shared" si="627"/>
        <v>2.0178681454097291E-2</v>
      </c>
      <c r="N1521" s="63">
        <v>2386</v>
      </c>
      <c r="O1521" s="63">
        <v>10336</v>
      </c>
      <c r="P1521" s="63"/>
      <c r="Q1521" s="63">
        <v>150</v>
      </c>
      <c r="R1521" s="63">
        <v>36</v>
      </c>
      <c r="S1521" s="63">
        <v>57</v>
      </c>
      <c r="T1521" s="63">
        <v>9</v>
      </c>
      <c r="U1521" s="63"/>
      <c r="V1521" s="63"/>
      <c r="W1521" s="63">
        <f>IF(Copyright!B$11=1,IF(CA1521&gt;0,CA1521-P1521-SUM(AE1521:AQ1521)-SUM(X1521:AC1521)-SUM(U1521:V1521),SUM(CB1521:CM1521)),SUM(CC1521:CM1521))</f>
        <v>0</v>
      </c>
      <c r="X1521" s="63"/>
      <c r="Y1521" s="63"/>
      <c r="Z1521" s="63"/>
      <c r="AA1521" s="63"/>
      <c r="AB1521" s="63"/>
      <c r="AC1521" s="63"/>
      <c r="AD1521" s="63">
        <v>10</v>
      </c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/>
      <c r="AP1521" s="63"/>
      <c r="AQ1521" s="63"/>
      <c r="AR1521" s="63"/>
      <c r="AS1521" s="63"/>
      <c r="AT1521" s="63"/>
      <c r="AU1521" s="63"/>
      <c r="AW1521" s="5">
        <f>IF(Q1521&gt;0,RANK(Q1521,(N1521:P1521,Q1521:AE1521)),0)</f>
        <v>3</v>
      </c>
      <c r="AX1521" s="5">
        <f>IF(R1521&gt;0,RANK(R1521,(N1521:P1521,Q1521:AE1521)),0)</f>
        <v>5</v>
      </c>
      <c r="AY1521" s="5">
        <f>IF(T1521&gt;0,RANK(T1521,(N1521:P1521,Q1521:AE1521)),0)</f>
        <v>7</v>
      </c>
      <c r="AZ1521" s="5">
        <f>IF(S1521&gt;0,RANK(S1521,(N1521:P1521,Q1521:AE1521)),0)</f>
        <v>4</v>
      </c>
      <c r="BA1521" s="2">
        <f t="shared" si="628"/>
        <v>1.1552680221811461E-2</v>
      </c>
      <c r="BB1521" s="2">
        <f t="shared" si="629"/>
        <v>2.7726432532347504E-3</v>
      </c>
      <c r="BC1521" s="2">
        <f t="shared" si="630"/>
        <v>6.9316081330868761E-4</v>
      </c>
      <c r="BD1521" s="2">
        <f t="shared" si="631"/>
        <v>4.3900184842883549E-3</v>
      </c>
      <c r="BF1521" t="s">
        <v>2996</v>
      </c>
      <c r="BG1521" t="s">
        <v>1113</v>
      </c>
      <c r="BH1521">
        <v>1</v>
      </c>
      <c r="BJ1521" s="114">
        <v>28</v>
      </c>
      <c r="BK1521" s="116">
        <v>115</v>
      </c>
      <c r="BL1521" s="120">
        <f t="shared" si="632"/>
        <v>28115</v>
      </c>
      <c r="BN1521" s="5" t="s">
        <v>3154</v>
      </c>
    </row>
    <row r="1522" spans="1:79" hidden="1" outlineLevel="1">
      <c r="A1522" t="s">
        <v>459</v>
      </c>
      <c r="B1522" t="s">
        <v>1113</v>
      </c>
      <c r="C1522" s="1">
        <f t="shared" si="623"/>
        <v>9872</v>
      </c>
      <c r="D1522" s="5">
        <f>IF(N1522&gt;0, RANK(N1522,(N1522:P1522,Q1522:AE1522)),0)</f>
        <v>2</v>
      </c>
      <c r="E1522" s="5">
        <f>IF(O1522&gt;0,RANK(O1522,(N1522:P1522,Q1522:AE1522)),0)</f>
        <v>1</v>
      </c>
      <c r="F1522" s="5">
        <f>IF(P1522&gt;0,RANK(P1522,(N1522:P1522,Q1522:AE1522)),0)</f>
        <v>0</v>
      </c>
      <c r="G1522" s="132">
        <f t="shared" si="621"/>
        <v>5581</v>
      </c>
      <c r="H1522" s="137">
        <f t="shared" si="622"/>
        <v>0.56533630470016205</v>
      </c>
      <c r="I1522" s="2"/>
      <c r="J1522" s="2">
        <f t="shared" si="624"/>
        <v>0.20938006482982172</v>
      </c>
      <c r="K1522" s="2">
        <f t="shared" si="625"/>
        <v>0.77471636952998379</v>
      </c>
      <c r="L1522" s="2">
        <f t="shared" si="626"/>
        <v>0</v>
      </c>
      <c r="M1522" s="2">
        <f t="shared" si="627"/>
        <v>1.5903565640194461E-2</v>
      </c>
      <c r="N1522" s="63">
        <v>2067</v>
      </c>
      <c r="O1522" s="63">
        <v>7648</v>
      </c>
      <c r="P1522" s="63"/>
      <c r="Q1522" s="63">
        <v>79</v>
      </c>
      <c r="R1522" s="63">
        <v>25</v>
      </c>
      <c r="S1522" s="63">
        <v>33</v>
      </c>
      <c r="T1522" s="63">
        <v>9</v>
      </c>
      <c r="U1522" s="63"/>
      <c r="V1522" s="63"/>
      <c r="W1522" s="63">
        <f>IF(Copyright!B$11=1,IF(CA1522&gt;0,CA1522-P1522-SUM(AE1522:AQ1522)-SUM(X1522:AC1522)-SUM(U1522:V1522),SUM(CB1522:CM1522)),SUM(CC1522:CM1522))</f>
        <v>0</v>
      </c>
      <c r="X1522" s="63"/>
      <c r="Y1522" s="63"/>
      <c r="Z1522" s="63"/>
      <c r="AA1522" s="63"/>
      <c r="AB1522" s="63"/>
      <c r="AC1522" s="63"/>
      <c r="AD1522" s="63">
        <v>11</v>
      </c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/>
      <c r="AP1522" s="63"/>
      <c r="AQ1522" s="63"/>
      <c r="AR1522" s="63"/>
      <c r="AS1522" s="63"/>
      <c r="AT1522" s="63"/>
      <c r="AU1522" s="63"/>
      <c r="AW1522" s="5">
        <f>IF(Q1522&gt;0,RANK(Q1522,(N1522:P1522,Q1522:AE1522)),0)</f>
        <v>3</v>
      </c>
      <c r="AX1522" s="5">
        <f>IF(R1522&gt;0,RANK(R1522,(N1522:P1522,Q1522:AE1522)),0)</f>
        <v>5</v>
      </c>
      <c r="AY1522" s="5">
        <f>IF(T1522&gt;0,RANK(T1522,(N1522:P1522,Q1522:AE1522)),0)</f>
        <v>7</v>
      </c>
      <c r="AZ1522" s="5">
        <f>IF(S1522&gt;0,RANK(S1522,(N1522:P1522,Q1522:AE1522)),0)</f>
        <v>4</v>
      </c>
      <c r="BA1522" s="2">
        <f t="shared" si="628"/>
        <v>8.0024311183144251E-3</v>
      </c>
      <c r="BB1522" s="2">
        <f t="shared" si="629"/>
        <v>2.5324149108589952E-3</v>
      </c>
      <c r="BC1522" s="2">
        <f t="shared" si="630"/>
        <v>9.1166936790923827E-4</v>
      </c>
      <c r="BD1522" s="2">
        <f t="shared" si="631"/>
        <v>3.3427876823338737E-3</v>
      </c>
      <c r="BF1522" t="s">
        <v>459</v>
      </c>
      <c r="BG1522" t="s">
        <v>1113</v>
      </c>
      <c r="BH1522">
        <v>1</v>
      </c>
      <c r="BJ1522" s="114">
        <v>28</v>
      </c>
      <c r="BK1522" s="116">
        <v>117</v>
      </c>
      <c r="BL1522" s="120">
        <f t="shared" si="632"/>
        <v>28117</v>
      </c>
      <c r="BN1522" s="5" t="s">
        <v>3154</v>
      </c>
    </row>
    <row r="1523" spans="1:79" hidden="1" outlineLevel="1">
      <c r="A1523" t="s">
        <v>131</v>
      </c>
      <c r="B1523" t="s">
        <v>1113</v>
      </c>
      <c r="C1523" s="1">
        <f t="shared" si="623"/>
        <v>3365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>IF(P1523&gt;0,RANK(P1523,(N1523:P1523,Q1523:AE1523)),0)</f>
        <v>0</v>
      </c>
      <c r="G1523" s="132">
        <f t="shared" si="621"/>
        <v>1311</v>
      </c>
      <c r="H1523" s="137">
        <f t="shared" si="622"/>
        <v>0.38959881129271917</v>
      </c>
      <c r="I1523" s="2"/>
      <c r="J1523" s="2">
        <f t="shared" si="624"/>
        <v>0.68707280832095097</v>
      </c>
      <c r="K1523" s="2">
        <f t="shared" si="625"/>
        <v>0.2974739970282318</v>
      </c>
      <c r="L1523" s="2">
        <f t="shared" si="626"/>
        <v>0</v>
      </c>
      <c r="M1523" s="2">
        <f t="shared" si="627"/>
        <v>1.5453194650817237E-2</v>
      </c>
      <c r="N1523" s="63">
        <v>2312</v>
      </c>
      <c r="O1523" s="63">
        <v>1001</v>
      </c>
      <c r="P1523" s="63"/>
      <c r="Q1523" s="63">
        <v>20</v>
      </c>
      <c r="R1523" s="63">
        <v>7</v>
      </c>
      <c r="S1523" s="63">
        <v>9</v>
      </c>
      <c r="T1523" s="63">
        <v>3</v>
      </c>
      <c r="U1523" s="63"/>
      <c r="V1523" s="63"/>
      <c r="W1523" s="63">
        <f>IF(Copyright!B$11=1,IF(CA1523&gt;0,CA1523-P1523-SUM(AE1523:AQ1523)-SUM(X1523:AC1523)-SUM(U1523:V1523),SUM(CB1523:CM1523)),SUM(CC1523:CM1523))</f>
        <v>0</v>
      </c>
      <c r="X1523" s="63"/>
      <c r="Y1523" s="63"/>
      <c r="Z1523" s="63"/>
      <c r="AA1523" s="63"/>
      <c r="AB1523" s="63"/>
      <c r="AC1523" s="63"/>
      <c r="AD1523" s="63">
        <v>13</v>
      </c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/>
      <c r="AP1523" s="63"/>
      <c r="AQ1523" s="63"/>
      <c r="AR1523" s="63"/>
      <c r="AS1523" s="63"/>
      <c r="AT1523" s="63"/>
      <c r="AU1523" s="63"/>
      <c r="AW1523" s="5">
        <f>IF(Q1523&gt;0,RANK(Q1523,(N1523:P1523,Q1523:AE1523)),0)</f>
        <v>3</v>
      </c>
      <c r="AX1523" s="5">
        <f>IF(R1523&gt;0,RANK(R1523,(N1523:P1523,Q1523:AE1523)),0)</f>
        <v>6</v>
      </c>
      <c r="AY1523" s="5">
        <f>IF(T1523&gt;0,RANK(T1523,(N1523:P1523,Q1523:AE1523)),0)</f>
        <v>7</v>
      </c>
      <c r="AZ1523" s="5">
        <f>IF(S1523&gt;0,RANK(S1523,(N1523:P1523,Q1523:AE1523)),0)</f>
        <v>5</v>
      </c>
      <c r="BA1523" s="2">
        <f t="shared" si="628"/>
        <v>5.9435364041604752E-3</v>
      </c>
      <c r="BB1523" s="2">
        <f t="shared" si="629"/>
        <v>2.0802377414561664E-3</v>
      </c>
      <c r="BC1523" s="2">
        <f t="shared" si="630"/>
        <v>8.915304606240713E-4</v>
      </c>
      <c r="BD1523" s="2">
        <f t="shared" si="631"/>
        <v>2.674591381872214E-3</v>
      </c>
      <c r="BF1523" t="s">
        <v>131</v>
      </c>
      <c r="BG1523" t="s">
        <v>1113</v>
      </c>
      <c r="BH1523">
        <v>2</v>
      </c>
      <c r="BJ1523" s="114">
        <v>28</v>
      </c>
      <c r="BK1523" s="116">
        <v>119</v>
      </c>
      <c r="BL1523" s="120">
        <f t="shared" si="632"/>
        <v>28119</v>
      </c>
      <c r="BN1523" s="5" t="s">
        <v>3154</v>
      </c>
    </row>
    <row r="1524" spans="1:79" hidden="1" outlineLevel="1">
      <c r="A1524" t="s">
        <v>1209</v>
      </c>
      <c r="B1524" t="s">
        <v>1113</v>
      </c>
      <c r="C1524" s="1">
        <f t="shared" si="623"/>
        <v>63110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0</v>
      </c>
      <c r="G1524" s="132">
        <f t="shared" si="621"/>
        <v>33068</v>
      </c>
      <c r="H1524" s="137">
        <f t="shared" si="622"/>
        <v>0.52397401362700047</v>
      </c>
      <c r="I1524" s="2"/>
      <c r="J1524" s="2">
        <f t="shared" si="624"/>
        <v>0.22357787989225161</v>
      </c>
      <c r="K1524" s="2">
        <f t="shared" si="625"/>
        <v>0.74755189351925211</v>
      </c>
      <c r="L1524" s="2">
        <f t="shared" si="626"/>
        <v>0</v>
      </c>
      <c r="M1524" s="2">
        <f t="shared" si="627"/>
        <v>2.8870226588496251E-2</v>
      </c>
      <c r="N1524" s="63">
        <v>14110</v>
      </c>
      <c r="O1524" s="63">
        <v>47178</v>
      </c>
      <c r="P1524" s="63"/>
      <c r="Q1524" s="63">
        <v>967</v>
      </c>
      <c r="R1524" s="63">
        <v>218</v>
      </c>
      <c r="S1524" s="63">
        <v>245</v>
      </c>
      <c r="T1524" s="63">
        <v>29</v>
      </c>
      <c r="U1524" s="63"/>
      <c r="V1524" s="63"/>
      <c r="W1524" s="63">
        <f>IF(Copyright!B$11=1,IF(CA1524&gt;0,CA1524-P1524-SUM(AE1524:AQ1524)-SUM(X1524:AC1524)-SUM(U1524:V1524),SUM(CB1524:CM1524)),SUM(CC1524:CM1524))</f>
        <v>342</v>
      </c>
      <c r="X1524" s="63"/>
      <c r="Y1524" s="63"/>
      <c r="Z1524" s="63"/>
      <c r="AA1524" s="63"/>
      <c r="AB1524" s="63"/>
      <c r="AC1524" s="63"/>
      <c r="AD1524" s="63">
        <v>21</v>
      </c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/>
      <c r="AP1524" s="63"/>
      <c r="AQ1524" s="63"/>
      <c r="AR1524" s="63"/>
      <c r="AS1524" s="63"/>
      <c r="AT1524" s="63"/>
      <c r="AU1524" s="63"/>
      <c r="AW1524" s="5">
        <f>IF(Q1524&gt;0,RANK(Q1524,(N1524:P1524,Q1524:AE1524)),0)</f>
        <v>3</v>
      </c>
      <c r="AX1524" s="5">
        <f>IF(R1524&gt;0,RANK(R1524,(N1524:P1524,Q1524:AE1524)),0)</f>
        <v>6</v>
      </c>
      <c r="AY1524" s="5">
        <f>IF(T1524&gt;0,RANK(T1524,(N1524:P1524,Q1524:AE1524)),0)</f>
        <v>7</v>
      </c>
      <c r="AZ1524" s="5">
        <f>IF(S1524&gt;0,RANK(S1524,(N1524:P1524,Q1524:AE1524)),0)</f>
        <v>5</v>
      </c>
      <c r="BA1524" s="2">
        <f t="shared" si="628"/>
        <v>1.5322452860085566E-2</v>
      </c>
      <c r="BB1524" s="2">
        <f t="shared" si="629"/>
        <v>3.4542861670099827E-3</v>
      </c>
      <c r="BC1524" s="2">
        <f t="shared" si="630"/>
        <v>4.5951513230866741E-4</v>
      </c>
      <c r="BD1524" s="2">
        <f t="shared" si="631"/>
        <v>3.8821106005387418E-3</v>
      </c>
      <c r="BF1524" t="s">
        <v>1209</v>
      </c>
      <c r="BG1524" t="s">
        <v>1113</v>
      </c>
      <c r="BH1524">
        <v>3</v>
      </c>
      <c r="BJ1524" s="114">
        <v>28</v>
      </c>
      <c r="BK1524" s="116">
        <v>121</v>
      </c>
      <c r="BL1524" s="120">
        <f t="shared" si="632"/>
        <v>28121</v>
      </c>
      <c r="BN1524" s="5" t="s">
        <v>3154</v>
      </c>
      <c r="BR1524" s="63"/>
      <c r="CA1524" s="133">
        <v>342</v>
      </c>
    </row>
    <row r="1525" spans="1:79" hidden="1" outlineLevel="1">
      <c r="A1525" t="s">
        <v>830</v>
      </c>
      <c r="B1525" t="s">
        <v>1113</v>
      </c>
      <c r="C1525" s="1">
        <f t="shared" si="623"/>
        <v>10522</v>
      </c>
      <c r="D1525" s="5">
        <f>IF(N1525&gt;0, RANK(N1525,(N1525:P1525,Q1525:AE1525)),0)</f>
        <v>2</v>
      </c>
      <c r="E1525" s="5">
        <f>IF(O1525&gt;0,RANK(O1525,(N1525:P1525,Q1525:AE1525)),0)</f>
        <v>1</v>
      </c>
      <c r="F1525" s="5">
        <f>IF(P1525&gt;0,RANK(P1525,(N1525:P1525,Q1525:AE1525)),0)</f>
        <v>0</v>
      </c>
      <c r="G1525" s="132">
        <f t="shared" si="621"/>
        <v>1854</v>
      </c>
      <c r="H1525" s="137">
        <f t="shared" si="622"/>
        <v>0.17620224291959705</v>
      </c>
      <c r="I1525" s="2"/>
      <c r="J1525" s="2">
        <f t="shared" si="624"/>
        <v>0.40562630678578215</v>
      </c>
      <c r="K1525" s="2">
        <f t="shared" si="625"/>
        <v>0.58182854970537923</v>
      </c>
      <c r="L1525" s="2">
        <f t="shared" si="626"/>
        <v>0</v>
      </c>
      <c r="M1525" s="2">
        <f t="shared" si="627"/>
        <v>1.2545143508838619E-2</v>
      </c>
      <c r="N1525" s="63">
        <v>4268</v>
      </c>
      <c r="O1525" s="63">
        <v>6122</v>
      </c>
      <c r="P1525" s="63"/>
      <c r="Q1525" s="63">
        <v>81</v>
      </c>
      <c r="R1525" s="63">
        <v>19</v>
      </c>
      <c r="S1525" s="63">
        <v>19</v>
      </c>
      <c r="T1525" s="63">
        <v>5</v>
      </c>
      <c r="U1525" s="63"/>
      <c r="V1525" s="63"/>
      <c r="W1525" s="63">
        <f>IF(Copyright!B$11=1,IF(CA1525&gt;0,CA1525-P1525-SUM(AE1525:AQ1525)-SUM(X1525:AC1525)-SUM(U1525:V1525),SUM(CB1525:CM1525)),SUM(CC1525:CM1525))</f>
        <v>0</v>
      </c>
      <c r="X1525" s="63"/>
      <c r="Y1525" s="63"/>
      <c r="Z1525" s="63"/>
      <c r="AA1525" s="63"/>
      <c r="AB1525" s="63"/>
      <c r="AC1525" s="63"/>
      <c r="AD1525" s="63">
        <v>8</v>
      </c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/>
      <c r="AP1525" s="63"/>
      <c r="AQ1525" s="63"/>
      <c r="AR1525" s="63"/>
      <c r="AS1525" s="63"/>
      <c r="AT1525" s="63"/>
      <c r="AU1525" s="63"/>
      <c r="AW1525" s="5">
        <f>IF(Q1525&gt;0,RANK(Q1525,(N1525:P1525,Q1525:AE1525)),0)</f>
        <v>3</v>
      </c>
      <c r="AX1525" s="5">
        <f>IF(R1525&gt;0,RANK(R1525,(N1525:P1525,Q1525:AE1525)),0)</f>
        <v>4</v>
      </c>
      <c r="AY1525" s="5">
        <f>IF(T1525&gt;0,RANK(T1525,(N1525:P1525,Q1525:AE1525)),0)</f>
        <v>7</v>
      </c>
      <c r="AZ1525" s="5">
        <f>IF(S1525&gt;0,RANK(S1525,(N1525:P1525,Q1525:AE1525)),0)</f>
        <v>4</v>
      </c>
      <c r="BA1525" s="2">
        <f t="shared" si="628"/>
        <v>7.698156244060065E-3</v>
      </c>
      <c r="BB1525" s="2">
        <f t="shared" si="629"/>
        <v>1.8057403535449534E-3</v>
      </c>
      <c r="BC1525" s="2">
        <f t="shared" si="630"/>
        <v>4.7519482988025091E-4</v>
      </c>
      <c r="BD1525" s="2">
        <f t="shared" si="631"/>
        <v>1.8057403535449534E-3</v>
      </c>
      <c r="BF1525" t="s">
        <v>830</v>
      </c>
      <c r="BG1525" t="s">
        <v>1113</v>
      </c>
      <c r="BH1525">
        <v>3</v>
      </c>
      <c r="BJ1525" s="114">
        <v>28</v>
      </c>
      <c r="BK1525" s="116">
        <v>123</v>
      </c>
      <c r="BL1525" s="120">
        <f t="shared" si="632"/>
        <v>28123</v>
      </c>
      <c r="BN1525" s="5" t="s">
        <v>3154</v>
      </c>
    </row>
    <row r="1526" spans="1:79" hidden="1" outlineLevel="1">
      <c r="A1526" t="s">
        <v>1210</v>
      </c>
      <c r="B1526" t="s">
        <v>1113</v>
      </c>
      <c r="C1526" s="1">
        <f t="shared" si="623"/>
        <v>2190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>IF(P1526&gt;0,RANK(P1526,(N1526:P1526,Q1526:AE1526)),0)</f>
        <v>0</v>
      </c>
      <c r="G1526" s="132">
        <f t="shared" si="621"/>
        <v>787</v>
      </c>
      <c r="H1526" s="137">
        <f t="shared" si="622"/>
        <v>0.35936073059360729</v>
      </c>
      <c r="I1526" s="2"/>
      <c r="J1526" s="2">
        <f t="shared" si="624"/>
        <v>0.6753424657534246</v>
      </c>
      <c r="K1526" s="2">
        <f t="shared" si="625"/>
        <v>0.31598173515981737</v>
      </c>
      <c r="L1526" s="2">
        <f t="shared" si="626"/>
        <v>0</v>
      </c>
      <c r="M1526" s="2">
        <f t="shared" si="627"/>
        <v>8.6757990867580292E-3</v>
      </c>
      <c r="N1526" s="63">
        <v>1479</v>
      </c>
      <c r="O1526" s="63">
        <v>692</v>
      </c>
      <c r="P1526" s="63"/>
      <c r="Q1526" s="63">
        <v>10</v>
      </c>
      <c r="R1526" s="63">
        <v>2</v>
      </c>
      <c r="S1526" s="63">
        <v>5</v>
      </c>
      <c r="T1526" s="63">
        <v>0</v>
      </c>
      <c r="U1526" s="63"/>
      <c r="V1526" s="63"/>
      <c r="W1526" s="63">
        <f>IF(Copyright!B$11=1,IF(CA1526&gt;0,CA1526-P1526-SUM(AE1526:AQ1526)-SUM(X1526:AC1526)-SUM(U1526:V1526),SUM(CB1526:CM1526)),SUM(CC1526:CM1526))</f>
        <v>0</v>
      </c>
      <c r="X1526" s="63"/>
      <c r="Y1526" s="63"/>
      <c r="Z1526" s="63"/>
      <c r="AA1526" s="63"/>
      <c r="AB1526" s="63"/>
      <c r="AC1526" s="63"/>
      <c r="AD1526" s="63">
        <v>2</v>
      </c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/>
      <c r="AP1526" s="63"/>
      <c r="AQ1526" s="63"/>
      <c r="AR1526" s="63"/>
      <c r="AS1526" s="63"/>
      <c r="AT1526" s="63"/>
      <c r="AU1526" s="63"/>
      <c r="AW1526" s="5">
        <f>IF(Q1526&gt;0,RANK(Q1526,(N1526:P1526,Q1526:AE1526)),0)</f>
        <v>3</v>
      </c>
      <c r="AX1526" s="5">
        <f>IF(R1526&gt;0,RANK(R1526,(N1526:P1526,Q1526:AE1526)),0)</f>
        <v>5</v>
      </c>
      <c r="AY1526" s="5">
        <f>IF(T1526&gt;0,RANK(T1526,(N1526:P1526,Q1526:AE1526)),0)</f>
        <v>0</v>
      </c>
      <c r="AZ1526" s="5">
        <f>IF(S1526&gt;0,RANK(S1526,(N1526:P1526,Q1526:AE1526)),0)</f>
        <v>4</v>
      </c>
      <c r="BA1526" s="2">
        <f t="shared" si="628"/>
        <v>4.5662100456621002E-3</v>
      </c>
      <c r="BB1526" s="2">
        <f t="shared" si="629"/>
        <v>9.1324200913242006E-4</v>
      </c>
      <c r="BC1526" s="2">
        <f t="shared" si="630"/>
        <v>0</v>
      </c>
      <c r="BD1526" s="2">
        <f t="shared" si="631"/>
        <v>2.2831050228310501E-3</v>
      </c>
      <c r="BF1526" t="s">
        <v>1210</v>
      </c>
      <c r="BG1526" t="s">
        <v>1113</v>
      </c>
      <c r="BH1526">
        <v>2</v>
      </c>
      <c r="BJ1526" s="114">
        <v>28</v>
      </c>
      <c r="BK1526" s="116">
        <v>125</v>
      </c>
      <c r="BL1526" s="120">
        <f t="shared" si="632"/>
        <v>28125</v>
      </c>
      <c r="BN1526" s="5" t="s">
        <v>3154</v>
      </c>
    </row>
    <row r="1527" spans="1:79" hidden="1" outlineLevel="1">
      <c r="A1527" t="s">
        <v>169</v>
      </c>
      <c r="B1527" t="s">
        <v>1113</v>
      </c>
      <c r="C1527" s="1">
        <f t="shared" si="623"/>
        <v>11419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0</v>
      </c>
      <c r="G1527" s="132">
        <f t="shared" si="621"/>
        <v>3519</v>
      </c>
      <c r="H1527" s="137">
        <f t="shared" si="622"/>
        <v>0.30817059287152992</v>
      </c>
      <c r="I1527" s="2"/>
      <c r="J1527" s="2">
        <f t="shared" si="624"/>
        <v>0.33925912952097381</v>
      </c>
      <c r="K1527" s="2">
        <f t="shared" si="625"/>
        <v>0.64742972239250374</v>
      </c>
      <c r="L1527" s="2">
        <f t="shared" si="626"/>
        <v>0</v>
      </c>
      <c r="M1527" s="2">
        <f t="shared" si="627"/>
        <v>1.3311148086522451E-2</v>
      </c>
      <c r="N1527" s="63">
        <v>3874</v>
      </c>
      <c r="O1527" s="63">
        <v>7393</v>
      </c>
      <c r="P1527" s="63"/>
      <c r="Q1527" s="63">
        <v>74</v>
      </c>
      <c r="R1527" s="63">
        <v>22</v>
      </c>
      <c r="S1527" s="63">
        <v>42</v>
      </c>
      <c r="T1527" s="63">
        <v>4</v>
      </c>
      <c r="U1527" s="63"/>
      <c r="V1527" s="63"/>
      <c r="W1527" s="63">
        <f>IF(Copyright!B$11=1,IF(CA1527&gt;0,CA1527-P1527-SUM(AE1527:AQ1527)-SUM(X1527:AC1527)-SUM(U1527:V1527),SUM(CB1527:CM1527)),SUM(CC1527:CM1527))</f>
        <v>0</v>
      </c>
      <c r="X1527" s="63"/>
      <c r="Y1527" s="63"/>
      <c r="Z1527" s="63"/>
      <c r="AA1527" s="63"/>
      <c r="AB1527" s="63"/>
      <c r="AC1527" s="63"/>
      <c r="AD1527" s="63">
        <v>10</v>
      </c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/>
      <c r="AP1527" s="63"/>
      <c r="AQ1527" s="63"/>
      <c r="AR1527" s="63"/>
      <c r="AS1527" s="63"/>
      <c r="AT1527" s="63"/>
      <c r="AU1527" s="63"/>
      <c r="AW1527" s="5">
        <f>IF(Q1527&gt;0,RANK(Q1527,(N1527:P1527,Q1527:AE1527)),0)</f>
        <v>3</v>
      </c>
      <c r="AX1527" s="5">
        <f>IF(R1527&gt;0,RANK(R1527,(N1527:P1527,Q1527:AE1527)),0)</f>
        <v>5</v>
      </c>
      <c r="AY1527" s="5">
        <f>IF(T1527&gt;0,RANK(T1527,(N1527:P1527,Q1527:AE1527)),0)</f>
        <v>7</v>
      </c>
      <c r="AZ1527" s="5">
        <f>IF(S1527&gt;0,RANK(S1527,(N1527:P1527,Q1527:AE1527)),0)</f>
        <v>4</v>
      </c>
      <c r="BA1527" s="2">
        <f t="shared" si="628"/>
        <v>6.4804273579122515E-3</v>
      </c>
      <c r="BB1527" s="2">
        <f t="shared" si="629"/>
        <v>1.9266135388387774E-3</v>
      </c>
      <c r="BC1527" s="2">
        <f t="shared" si="630"/>
        <v>3.5029337069795953E-4</v>
      </c>
      <c r="BD1527" s="2">
        <f t="shared" si="631"/>
        <v>3.6780803923285752E-3</v>
      </c>
      <c r="BF1527" t="s">
        <v>169</v>
      </c>
      <c r="BG1527" t="s">
        <v>1113</v>
      </c>
      <c r="BH1527">
        <v>3</v>
      </c>
      <c r="BJ1527" s="114">
        <v>28</v>
      </c>
      <c r="BK1527" s="116">
        <v>127</v>
      </c>
      <c r="BL1527" s="120">
        <f t="shared" si="632"/>
        <v>28127</v>
      </c>
      <c r="BN1527" s="5" t="s">
        <v>3154</v>
      </c>
    </row>
    <row r="1528" spans="1:79" hidden="1" outlineLevel="1">
      <c r="A1528" t="s">
        <v>1984</v>
      </c>
      <c r="B1528" t="s">
        <v>1113</v>
      </c>
      <c r="C1528" s="1">
        <f t="shared" ref="C1528:C1546" si="633">SUM(N1528:AU1528)</f>
        <v>7627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0</v>
      </c>
      <c r="G1528" s="132">
        <f t="shared" si="621"/>
        <v>4311</v>
      </c>
      <c r="H1528" s="137">
        <f t="shared" si="622"/>
        <v>0.56522879244788249</v>
      </c>
      <c r="I1528" s="2"/>
      <c r="J1528" s="2">
        <f t="shared" ref="J1528:J1546" si="634">IF($C1528=0,"-",N1528/$C1528)</f>
        <v>0.21200996459944932</v>
      </c>
      <c r="K1528" s="2">
        <f t="shared" ref="K1528:K1546" si="635">IF($C1528=0,"-",O1528/$C1528)</f>
        <v>0.77723875704733181</v>
      </c>
      <c r="L1528" s="2">
        <f t="shared" ref="L1528:L1546" si="636">IF($C1528=0,"-",P1528/$C1528)</f>
        <v>0</v>
      </c>
      <c r="M1528" s="2">
        <f t="shared" ref="M1528:M1546" si="637">IF(C1528=0,"-",(1-J1528-K1528-L1528))</f>
        <v>1.0751278353218874E-2</v>
      </c>
      <c r="N1528" s="63">
        <v>1617</v>
      </c>
      <c r="O1528" s="63">
        <v>5928</v>
      </c>
      <c r="P1528" s="63"/>
      <c r="Q1528" s="63">
        <v>51</v>
      </c>
      <c r="R1528" s="63">
        <v>8</v>
      </c>
      <c r="S1528" s="63">
        <v>15</v>
      </c>
      <c r="T1528" s="63">
        <v>3</v>
      </c>
      <c r="U1528" s="63"/>
      <c r="V1528" s="63"/>
      <c r="W1528" s="63">
        <f>IF(Copyright!B$11=1,IF(CA1528&gt;0,CA1528-P1528-SUM(AE1528:AQ1528)-SUM(X1528:AC1528)-SUM(U1528:V1528),SUM(CB1528:CM1528)),SUM(CC1528:CM1528))</f>
        <v>0</v>
      </c>
      <c r="X1528" s="63"/>
      <c r="Y1528" s="63"/>
      <c r="Z1528" s="63"/>
      <c r="AA1528" s="63"/>
      <c r="AB1528" s="63"/>
      <c r="AC1528" s="63"/>
      <c r="AD1528" s="63">
        <v>5</v>
      </c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/>
      <c r="AP1528" s="63"/>
      <c r="AQ1528" s="63"/>
      <c r="AR1528" s="63"/>
      <c r="AS1528" s="63"/>
      <c r="AT1528" s="63"/>
      <c r="AU1528" s="63"/>
      <c r="AW1528" s="5">
        <f>IF(Q1528&gt;0,RANK(Q1528,(N1528:P1528,Q1528:AE1528)),0)</f>
        <v>3</v>
      </c>
      <c r="AX1528" s="5">
        <f>IF(R1528&gt;0,RANK(R1528,(N1528:P1528,Q1528:AE1528)),0)</f>
        <v>5</v>
      </c>
      <c r="AY1528" s="5">
        <f>IF(T1528&gt;0,RANK(T1528,(N1528:P1528,Q1528:AE1528)),0)</f>
        <v>7</v>
      </c>
      <c r="AZ1528" s="5">
        <f>IF(S1528&gt;0,RANK(S1528,(N1528:P1528,Q1528:AE1528)),0)</f>
        <v>4</v>
      </c>
      <c r="BA1528" s="2">
        <f t="shared" ref="BA1528:BA1546" si="638">IF($C1528=0,"-",Q1528/$C1528)</f>
        <v>6.6867706830995152E-3</v>
      </c>
      <c r="BB1528" s="2">
        <f t="shared" ref="BB1528:BB1546" si="639">IF($C1528=0,"-",R1528/$C1528)</f>
        <v>1.0489052051920807E-3</v>
      </c>
      <c r="BC1528" s="2">
        <f t="shared" ref="BC1528:BC1546" si="640">IF($C1528=0,"-",T1528/$C1528)</f>
        <v>3.9333945194703029E-4</v>
      </c>
      <c r="BD1528" s="2">
        <f t="shared" ref="BD1528:BD1546" si="641">IF($C1528=0,"-",S1528/$C1528)</f>
        <v>1.9666972597351512E-3</v>
      </c>
      <c r="BF1528" t="s">
        <v>1984</v>
      </c>
      <c r="BG1528" t="s">
        <v>1113</v>
      </c>
      <c r="BH1528">
        <v>3</v>
      </c>
      <c r="BJ1528" s="114">
        <v>28</v>
      </c>
      <c r="BK1528" s="116">
        <v>129</v>
      </c>
      <c r="BL1528" s="120">
        <f t="shared" si="632"/>
        <v>28129</v>
      </c>
      <c r="BN1528" s="5" t="s">
        <v>3154</v>
      </c>
    </row>
    <row r="1529" spans="1:79" hidden="1" outlineLevel="1">
      <c r="A1529" t="s">
        <v>1106</v>
      </c>
      <c r="B1529" t="s">
        <v>1113</v>
      </c>
      <c r="C1529" s="1">
        <f t="shared" si="633"/>
        <v>7045</v>
      </c>
      <c r="D1529" s="5">
        <f>IF(N1529&gt;0, RANK(N1529,(N1529:P1529,Q1529:AE1529)),0)</f>
        <v>2</v>
      </c>
      <c r="E1529" s="5">
        <f>IF(O1529&gt;0,RANK(O1529,(N1529:P1529,Q1529:AE1529)),0)</f>
        <v>1</v>
      </c>
      <c r="F1529" s="5">
        <f>IF(P1529&gt;0,RANK(P1529,(N1529:P1529,Q1529:AE1529)),0)</f>
        <v>0</v>
      </c>
      <c r="G1529" s="132">
        <f t="shared" si="621"/>
        <v>3733</v>
      </c>
      <c r="H1529" s="137">
        <f t="shared" si="622"/>
        <v>0.52987934705464868</v>
      </c>
      <c r="I1529" s="2"/>
      <c r="J1529" s="2">
        <f t="shared" si="634"/>
        <v>0.22327892122072393</v>
      </c>
      <c r="K1529" s="2">
        <f t="shared" si="635"/>
        <v>0.75315826827537258</v>
      </c>
      <c r="L1529" s="2">
        <f t="shared" si="636"/>
        <v>0</v>
      </c>
      <c r="M1529" s="2">
        <f t="shared" si="637"/>
        <v>2.356281050390352E-2</v>
      </c>
      <c r="N1529" s="63">
        <v>1573</v>
      </c>
      <c r="O1529" s="63">
        <v>5306</v>
      </c>
      <c r="P1529" s="63"/>
      <c r="Q1529" s="63">
        <v>108</v>
      </c>
      <c r="R1529" s="63">
        <v>16</v>
      </c>
      <c r="S1529" s="63">
        <v>35</v>
      </c>
      <c r="T1529" s="63">
        <v>4</v>
      </c>
      <c r="U1529" s="63"/>
      <c r="V1529" s="63"/>
      <c r="W1529" s="63">
        <f>IF(Copyright!B$11=1,IF(CA1529&gt;0,CA1529-P1529-SUM(AE1529:AQ1529)-SUM(X1529:AC1529)-SUM(U1529:V1529),SUM(CB1529:CM1529)),SUM(CC1529:CM1529))</f>
        <v>0</v>
      </c>
      <c r="X1529" s="63"/>
      <c r="Y1529" s="63"/>
      <c r="Z1529" s="63"/>
      <c r="AA1529" s="63"/>
      <c r="AB1529" s="63"/>
      <c r="AC1529" s="63"/>
      <c r="AD1529" s="63">
        <v>3</v>
      </c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/>
      <c r="AP1529" s="63"/>
      <c r="AQ1529" s="63"/>
      <c r="AR1529" s="63"/>
      <c r="AS1529" s="63"/>
      <c r="AT1529" s="63"/>
      <c r="AU1529" s="63"/>
      <c r="AW1529" s="5">
        <f>IF(Q1529&gt;0,RANK(Q1529,(N1529:P1529,Q1529:AE1529)),0)</f>
        <v>3</v>
      </c>
      <c r="AX1529" s="5">
        <f>IF(R1529&gt;0,RANK(R1529,(N1529:P1529,Q1529:AE1529)),0)</f>
        <v>5</v>
      </c>
      <c r="AY1529" s="5">
        <f>IF(T1529&gt;0,RANK(T1529,(N1529:P1529,Q1529:AE1529)),0)</f>
        <v>6</v>
      </c>
      <c r="AZ1529" s="5">
        <f>IF(S1529&gt;0,RANK(S1529,(N1529:P1529,Q1529:AE1529)),0)</f>
        <v>4</v>
      </c>
      <c r="BA1529" s="2">
        <f t="shared" si="638"/>
        <v>1.5330021291696239E-2</v>
      </c>
      <c r="BB1529" s="2">
        <f t="shared" si="639"/>
        <v>2.2711142654364799E-3</v>
      </c>
      <c r="BC1529" s="2">
        <f t="shared" si="640"/>
        <v>5.6777856635911999E-4</v>
      </c>
      <c r="BD1529" s="2">
        <f t="shared" si="641"/>
        <v>4.9680624556422996E-3</v>
      </c>
      <c r="BF1529" t="s">
        <v>1106</v>
      </c>
      <c r="BG1529" t="s">
        <v>1113</v>
      </c>
      <c r="BH1529">
        <v>4</v>
      </c>
      <c r="BJ1529" s="114">
        <v>28</v>
      </c>
      <c r="BK1529" s="116">
        <v>131</v>
      </c>
      <c r="BL1529" s="120">
        <f t="shared" si="632"/>
        <v>28131</v>
      </c>
      <c r="BN1529" s="5" t="s">
        <v>3154</v>
      </c>
    </row>
    <row r="1530" spans="1:79" hidden="1" outlineLevel="1">
      <c r="A1530" t="s">
        <v>2217</v>
      </c>
      <c r="B1530" t="s">
        <v>1113</v>
      </c>
      <c r="C1530" s="1">
        <f t="shared" si="633"/>
        <v>9598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0</v>
      </c>
      <c r="G1530" s="132">
        <f t="shared" si="621"/>
        <v>3931</v>
      </c>
      <c r="H1530" s="137">
        <f t="shared" si="622"/>
        <v>0.40956449260262556</v>
      </c>
      <c r="I1530" s="2"/>
      <c r="J1530" s="2">
        <f t="shared" si="634"/>
        <v>0.70066680558449679</v>
      </c>
      <c r="K1530" s="2">
        <f t="shared" si="635"/>
        <v>0.29110231298187123</v>
      </c>
      <c r="L1530" s="2">
        <f t="shared" si="636"/>
        <v>0</v>
      </c>
      <c r="M1530" s="2">
        <f t="shared" si="637"/>
        <v>8.2308814336319869E-3</v>
      </c>
      <c r="N1530" s="63">
        <v>6725</v>
      </c>
      <c r="O1530" s="63">
        <v>2794</v>
      </c>
      <c r="P1530" s="63"/>
      <c r="Q1530" s="63">
        <v>27</v>
      </c>
      <c r="R1530" s="63">
        <v>20</v>
      </c>
      <c r="S1530" s="63">
        <v>16</v>
      </c>
      <c r="T1530" s="63">
        <v>9</v>
      </c>
      <c r="U1530" s="63"/>
      <c r="V1530" s="63"/>
      <c r="W1530" s="63">
        <f>IF(Copyright!B$11=1,IF(CA1530&gt;0,CA1530-P1530-SUM(AE1530:AQ1530)-SUM(X1530:AC1530)-SUM(U1530:V1530),SUM(CB1530:CM1530)),SUM(CC1530:CM1530))</f>
        <v>0</v>
      </c>
      <c r="X1530" s="63"/>
      <c r="Y1530" s="63"/>
      <c r="Z1530" s="63"/>
      <c r="AA1530" s="63"/>
      <c r="AB1530" s="63"/>
      <c r="AC1530" s="63"/>
      <c r="AD1530" s="63">
        <v>7</v>
      </c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/>
      <c r="AP1530" s="63"/>
      <c r="AQ1530" s="63"/>
      <c r="AR1530" s="63"/>
      <c r="AS1530" s="63"/>
      <c r="AT1530" s="63"/>
      <c r="AU1530" s="63"/>
      <c r="AW1530" s="5">
        <f>IF(Q1530&gt;0,RANK(Q1530,(N1530:P1530,Q1530:AE1530)),0)</f>
        <v>3</v>
      </c>
      <c r="AX1530" s="5">
        <f>IF(R1530&gt;0,RANK(R1530,(N1530:P1530,Q1530:AE1530)),0)</f>
        <v>4</v>
      </c>
      <c r="AY1530" s="5">
        <f>IF(T1530&gt;0,RANK(T1530,(N1530:P1530,Q1530:AE1530)),0)</f>
        <v>6</v>
      </c>
      <c r="AZ1530" s="5">
        <f>IF(S1530&gt;0,RANK(S1530,(N1530:P1530,Q1530:AE1530)),0)</f>
        <v>5</v>
      </c>
      <c r="BA1530" s="2">
        <f t="shared" si="638"/>
        <v>2.8130860595957491E-3</v>
      </c>
      <c r="BB1530" s="2">
        <f t="shared" si="639"/>
        <v>2.0837674515524068E-3</v>
      </c>
      <c r="BC1530" s="2">
        <f t="shared" si="640"/>
        <v>9.3769535319858301E-4</v>
      </c>
      <c r="BD1530" s="2">
        <f t="shared" si="641"/>
        <v>1.6670139612419254E-3</v>
      </c>
      <c r="BF1530" t="s">
        <v>2217</v>
      </c>
      <c r="BG1530" t="s">
        <v>1113</v>
      </c>
      <c r="BH1530">
        <v>2</v>
      </c>
      <c r="BJ1530" s="114">
        <v>28</v>
      </c>
      <c r="BK1530" s="116">
        <v>133</v>
      </c>
      <c r="BL1530" s="120">
        <f t="shared" si="632"/>
        <v>28133</v>
      </c>
      <c r="BN1530" s="5" t="s">
        <v>3154</v>
      </c>
    </row>
    <row r="1531" spans="1:79" hidden="1" outlineLevel="1">
      <c r="A1531" t="s">
        <v>1490</v>
      </c>
      <c r="B1531" t="s">
        <v>1113</v>
      </c>
      <c r="C1531" s="1">
        <f t="shared" si="633"/>
        <v>5870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>IF(P1531&gt;0,RANK(P1531,(N1531:P1531,Q1531:AE1531)),0)</f>
        <v>0</v>
      </c>
      <c r="G1531" s="132">
        <f t="shared" si="621"/>
        <v>875</v>
      </c>
      <c r="H1531" s="137">
        <f t="shared" si="622"/>
        <v>0.14906303236797275</v>
      </c>
      <c r="I1531" s="2"/>
      <c r="J1531" s="2">
        <f t="shared" si="634"/>
        <v>0.56848381601362863</v>
      </c>
      <c r="K1531" s="2">
        <f t="shared" si="635"/>
        <v>0.41942078364565588</v>
      </c>
      <c r="L1531" s="2">
        <f t="shared" si="636"/>
        <v>0</v>
      </c>
      <c r="M1531" s="2">
        <f t="shared" si="637"/>
        <v>1.209540034071549E-2</v>
      </c>
      <c r="N1531" s="63">
        <v>3337</v>
      </c>
      <c r="O1531" s="63">
        <v>2462</v>
      </c>
      <c r="P1531" s="63"/>
      <c r="Q1531" s="63">
        <v>31</v>
      </c>
      <c r="R1531" s="63">
        <v>8</v>
      </c>
      <c r="S1531" s="63">
        <v>15</v>
      </c>
      <c r="T1531" s="63">
        <v>2</v>
      </c>
      <c r="U1531" s="63"/>
      <c r="V1531" s="63"/>
      <c r="W1531" s="63">
        <f>IF(Copyright!B$11=1,IF(CA1531&gt;0,CA1531-P1531-SUM(AE1531:AQ1531)-SUM(X1531:AC1531)-SUM(U1531:V1531),SUM(CB1531:CM1531)),SUM(CC1531:CM1531))</f>
        <v>0</v>
      </c>
      <c r="X1531" s="63"/>
      <c r="Y1531" s="63"/>
      <c r="Z1531" s="63"/>
      <c r="AA1531" s="63"/>
      <c r="AB1531" s="63"/>
      <c r="AC1531" s="63"/>
      <c r="AD1531" s="63">
        <v>15</v>
      </c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/>
      <c r="AP1531" s="63"/>
      <c r="AQ1531" s="63"/>
      <c r="AR1531" s="63"/>
      <c r="AS1531" s="63"/>
      <c r="AT1531" s="63"/>
      <c r="AU1531" s="63"/>
      <c r="AW1531" s="5">
        <f>IF(Q1531&gt;0,RANK(Q1531,(N1531:P1531,Q1531:AE1531)),0)</f>
        <v>3</v>
      </c>
      <c r="AX1531" s="5">
        <f>IF(R1531&gt;0,RANK(R1531,(N1531:P1531,Q1531:AE1531)),0)</f>
        <v>6</v>
      </c>
      <c r="AY1531" s="5">
        <f>IF(T1531&gt;0,RANK(T1531,(N1531:P1531,Q1531:AE1531)),0)</f>
        <v>7</v>
      </c>
      <c r="AZ1531" s="5">
        <f>IF(S1531&gt;0,RANK(S1531,(N1531:P1531,Q1531:AE1531)),0)</f>
        <v>4</v>
      </c>
      <c r="BA1531" s="2">
        <f t="shared" si="638"/>
        <v>5.2810902896081773E-3</v>
      </c>
      <c r="BB1531" s="2">
        <f t="shared" si="639"/>
        <v>1.362862010221465E-3</v>
      </c>
      <c r="BC1531" s="2">
        <f t="shared" si="640"/>
        <v>3.4071550255536625E-4</v>
      </c>
      <c r="BD1531" s="2">
        <f t="shared" si="641"/>
        <v>2.5553662691652468E-3</v>
      </c>
      <c r="BF1531" t="s">
        <v>1490</v>
      </c>
      <c r="BG1531" t="s">
        <v>1113</v>
      </c>
      <c r="BH1531">
        <v>2</v>
      </c>
      <c r="BJ1531" s="114">
        <v>28</v>
      </c>
      <c r="BK1531" s="116">
        <v>135</v>
      </c>
      <c r="BL1531" s="120">
        <f t="shared" si="632"/>
        <v>28135</v>
      </c>
      <c r="BN1531" s="5" t="s">
        <v>3154</v>
      </c>
    </row>
    <row r="1532" spans="1:79" hidden="1" outlineLevel="1">
      <c r="A1532" t="s">
        <v>1234</v>
      </c>
      <c r="B1532" t="s">
        <v>1113</v>
      </c>
      <c r="C1532" s="1">
        <f t="shared" si="633"/>
        <v>11627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0</v>
      </c>
      <c r="G1532" s="132">
        <f t="shared" si="621"/>
        <v>3569</v>
      </c>
      <c r="H1532" s="137">
        <f t="shared" si="622"/>
        <v>0.30695794271953214</v>
      </c>
      <c r="I1532" s="2"/>
      <c r="J1532" s="2">
        <f t="shared" si="634"/>
        <v>0.33766233766233766</v>
      </c>
      <c r="K1532" s="2">
        <f t="shared" si="635"/>
        <v>0.6446202803818698</v>
      </c>
      <c r="L1532" s="2">
        <f t="shared" si="636"/>
        <v>0</v>
      </c>
      <c r="M1532" s="2">
        <f t="shared" si="637"/>
        <v>1.7717381955792533E-2</v>
      </c>
      <c r="N1532" s="63">
        <v>3926</v>
      </c>
      <c r="O1532" s="63">
        <v>7495</v>
      </c>
      <c r="P1532" s="63"/>
      <c r="Q1532" s="63">
        <v>115</v>
      </c>
      <c r="R1532" s="63">
        <v>20</v>
      </c>
      <c r="S1532" s="63">
        <v>55</v>
      </c>
      <c r="T1532" s="63">
        <v>8</v>
      </c>
      <c r="U1532" s="63"/>
      <c r="V1532" s="63"/>
      <c r="W1532" s="63">
        <f>IF(Copyright!B$11=1,IF(CA1532&gt;0,CA1532-P1532-SUM(AE1532:AQ1532)-SUM(X1532:AC1532)-SUM(U1532:V1532),SUM(CB1532:CM1532)),SUM(CC1532:CM1532))</f>
        <v>0</v>
      </c>
      <c r="X1532" s="63"/>
      <c r="Y1532" s="63"/>
      <c r="Z1532" s="63"/>
      <c r="AA1532" s="63"/>
      <c r="AB1532" s="63"/>
      <c r="AC1532" s="63"/>
      <c r="AD1532" s="63">
        <v>8</v>
      </c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/>
      <c r="AP1532" s="63"/>
      <c r="AQ1532" s="63"/>
      <c r="AR1532" s="63"/>
      <c r="AS1532" s="63"/>
      <c r="AT1532" s="63"/>
      <c r="AU1532" s="63"/>
      <c r="AW1532" s="5">
        <f>IF(Q1532&gt;0,RANK(Q1532,(N1532:P1532,Q1532:AE1532)),0)</f>
        <v>3</v>
      </c>
      <c r="AX1532" s="5">
        <f>IF(R1532&gt;0,RANK(R1532,(N1532:P1532,Q1532:AE1532)),0)</f>
        <v>5</v>
      </c>
      <c r="AY1532" s="5">
        <f>IF(T1532&gt;0,RANK(T1532,(N1532:P1532,Q1532:AE1532)),0)</f>
        <v>6</v>
      </c>
      <c r="AZ1532" s="5">
        <f>IF(S1532&gt;0,RANK(S1532,(N1532:P1532,Q1532:AE1532)),0)</f>
        <v>4</v>
      </c>
      <c r="BA1532" s="2">
        <f t="shared" si="638"/>
        <v>9.8907714801754545E-3</v>
      </c>
      <c r="BB1532" s="2">
        <f t="shared" si="639"/>
        <v>1.7201341704652963E-3</v>
      </c>
      <c r="BC1532" s="2">
        <f t="shared" si="640"/>
        <v>6.8805366818611852E-4</v>
      </c>
      <c r="BD1532" s="2">
        <f t="shared" si="641"/>
        <v>4.7303689687795648E-3</v>
      </c>
      <c r="BF1532" t="s">
        <v>1234</v>
      </c>
      <c r="BG1532" t="s">
        <v>1113</v>
      </c>
      <c r="BH1532">
        <v>1</v>
      </c>
      <c r="BJ1532" s="114">
        <v>28</v>
      </c>
      <c r="BK1532" s="116">
        <v>137</v>
      </c>
      <c r="BL1532" s="120">
        <f t="shared" si="632"/>
        <v>28137</v>
      </c>
      <c r="BN1532" s="5" t="s">
        <v>3154</v>
      </c>
    </row>
    <row r="1533" spans="1:79" hidden="1" outlineLevel="1">
      <c r="A1533" t="s">
        <v>1397</v>
      </c>
      <c r="B1533" t="s">
        <v>1113</v>
      </c>
      <c r="C1533" s="1">
        <f t="shared" si="633"/>
        <v>9260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0</v>
      </c>
      <c r="G1533" s="132">
        <f t="shared" si="621"/>
        <v>5398</v>
      </c>
      <c r="H1533" s="137">
        <f t="shared" si="622"/>
        <v>0.58293736501079918</v>
      </c>
      <c r="I1533" s="2"/>
      <c r="J1533" s="2">
        <f t="shared" si="634"/>
        <v>0.19892008639308856</v>
      </c>
      <c r="K1533" s="2">
        <f t="shared" si="635"/>
        <v>0.78185745140388774</v>
      </c>
      <c r="L1533" s="2">
        <f t="shared" si="636"/>
        <v>0</v>
      </c>
      <c r="M1533" s="2">
        <f t="shared" si="637"/>
        <v>1.9222462203023705E-2</v>
      </c>
      <c r="N1533" s="63">
        <v>1842</v>
      </c>
      <c r="O1533" s="63">
        <v>7240</v>
      </c>
      <c r="P1533" s="63"/>
      <c r="Q1533" s="63">
        <v>72</v>
      </c>
      <c r="R1533" s="63">
        <v>22</v>
      </c>
      <c r="S1533" s="63">
        <v>45</v>
      </c>
      <c r="T1533" s="63">
        <v>8</v>
      </c>
      <c r="U1533" s="63"/>
      <c r="V1533" s="63"/>
      <c r="W1533" s="63">
        <f>IF(Copyright!B$11=1,IF(CA1533&gt;0,CA1533-P1533-SUM(AE1533:AQ1533)-SUM(X1533:AC1533)-SUM(U1533:V1533),SUM(CB1533:CM1533)),SUM(CC1533:CM1533))</f>
        <v>25</v>
      </c>
      <c r="X1533" s="63"/>
      <c r="Y1533" s="63"/>
      <c r="Z1533" s="63"/>
      <c r="AA1533" s="63"/>
      <c r="AB1533" s="63"/>
      <c r="AC1533" s="63"/>
      <c r="AD1533" s="63">
        <v>6</v>
      </c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/>
      <c r="AP1533" s="63"/>
      <c r="AQ1533" s="63"/>
      <c r="AR1533" s="63"/>
      <c r="AS1533" s="63"/>
      <c r="AT1533" s="63"/>
      <c r="AU1533" s="63"/>
      <c r="AW1533" s="5">
        <f>IF(Q1533&gt;0,RANK(Q1533,(N1533:P1533,Q1533:AE1533)),0)</f>
        <v>3</v>
      </c>
      <c r="AX1533" s="5">
        <f>IF(R1533&gt;0,RANK(R1533,(N1533:P1533,Q1533:AE1533)),0)</f>
        <v>6</v>
      </c>
      <c r="AY1533" s="5">
        <f>IF(T1533&gt;0,RANK(T1533,(N1533:P1533,Q1533:AE1533)),0)</f>
        <v>7</v>
      </c>
      <c r="AZ1533" s="5">
        <f>IF(S1533&gt;0,RANK(S1533,(N1533:P1533,Q1533:AE1533)),0)</f>
        <v>4</v>
      </c>
      <c r="BA1533" s="2">
        <f t="shared" si="638"/>
        <v>7.7753779697624188E-3</v>
      </c>
      <c r="BB1533" s="2">
        <f t="shared" si="639"/>
        <v>2.3758099352051837E-3</v>
      </c>
      <c r="BC1533" s="2">
        <f t="shared" si="640"/>
        <v>8.6393088552915766E-4</v>
      </c>
      <c r="BD1533" s="2">
        <f t="shared" si="641"/>
        <v>4.8596112311015119E-3</v>
      </c>
      <c r="BF1533" t="s">
        <v>1397</v>
      </c>
      <c r="BG1533" t="s">
        <v>1113</v>
      </c>
      <c r="BH1533">
        <v>1</v>
      </c>
      <c r="BJ1533" s="114">
        <v>28</v>
      </c>
      <c r="BK1533" s="116">
        <v>139</v>
      </c>
      <c r="BL1533" s="120">
        <f t="shared" si="632"/>
        <v>28139</v>
      </c>
      <c r="BN1533" s="5" t="s">
        <v>3154</v>
      </c>
      <c r="CA1533" s="133">
        <v>25</v>
      </c>
    </row>
    <row r="1534" spans="1:79" hidden="1" outlineLevel="1">
      <c r="A1534" t="s">
        <v>2467</v>
      </c>
      <c r="B1534" t="s">
        <v>1113</v>
      </c>
      <c r="C1534" s="1">
        <f t="shared" si="633"/>
        <v>8371</v>
      </c>
      <c r="D1534" s="5">
        <f>IF(N1534&gt;0, RANK(N1534,(N1534:P1534,Q1534:AE1534)),0)</f>
        <v>2</v>
      </c>
      <c r="E1534" s="5">
        <f>IF(O1534&gt;0,RANK(O1534,(N1534:P1534,Q1534:AE1534)),0)</f>
        <v>1</v>
      </c>
      <c r="F1534" s="5">
        <f>IF(P1534&gt;0,RANK(P1534,(N1534:P1534,Q1534:AE1534)),0)</f>
        <v>0</v>
      </c>
      <c r="G1534" s="132">
        <f t="shared" si="621"/>
        <v>6167</v>
      </c>
      <c r="H1534" s="137">
        <f t="shared" si="622"/>
        <v>0.73671007048142401</v>
      </c>
      <c r="I1534" s="2"/>
      <c r="J1534" s="2">
        <f t="shared" si="634"/>
        <v>0.1193405805757974</v>
      </c>
      <c r="K1534" s="2">
        <f t="shared" si="635"/>
        <v>0.85605065105722133</v>
      </c>
      <c r="L1534" s="2">
        <f t="shared" si="636"/>
        <v>0</v>
      </c>
      <c r="M1534" s="2">
        <f t="shared" si="637"/>
        <v>2.4608768366981226E-2</v>
      </c>
      <c r="N1534" s="63">
        <v>999</v>
      </c>
      <c r="O1534" s="63">
        <v>7166</v>
      </c>
      <c r="P1534" s="63"/>
      <c r="Q1534" s="63">
        <v>140</v>
      </c>
      <c r="R1534" s="63">
        <v>28</v>
      </c>
      <c r="S1534" s="63">
        <v>28</v>
      </c>
      <c r="T1534" s="63">
        <v>5</v>
      </c>
      <c r="U1534" s="63"/>
      <c r="V1534" s="63"/>
      <c r="W1534" s="63">
        <f>IF(Copyright!B$11=1,IF(CA1534&gt;0,CA1534-P1534-SUM(AE1534:AQ1534)-SUM(X1534:AC1534)-SUM(U1534:V1534),SUM(CB1534:CM1534)),SUM(CC1534:CM1534))</f>
        <v>0</v>
      </c>
      <c r="X1534" s="63"/>
      <c r="Y1534" s="63"/>
      <c r="Z1534" s="63"/>
      <c r="AA1534" s="63"/>
      <c r="AB1534" s="63"/>
      <c r="AC1534" s="63"/>
      <c r="AD1534" s="63">
        <v>5</v>
      </c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/>
      <c r="AP1534" s="63"/>
      <c r="AQ1534" s="63"/>
      <c r="AR1534" s="63"/>
      <c r="AS1534" s="63"/>
      <c r="AT1534" s="63"/>
      <c r="AU1534" s="63"/>
      <c r="AW1534" s="5">
        <f>IF(Q1534&gt;0,RANK(Q1534,(N1534:P1534,Q1534:AE1534)),0)</f>
        <v>3</v>
      </c>
      <c r="AX1534" s="5">
        <f>IF(R1534&gt;0,RANK(R1534,(N1534:P1534,Q1534:AE1534)),0)</f>
        <v>4</v>
      </c>
      <c r="AY1534" s="5">
        <f>IF(T1534&gt;0,RANK(T1534,(N1534:P1534,Q1534:AE1534)),0)</f>
        <v>6</v>
      </c>
      <c r="AZ1534" s="5">
        <f>IF(S1534&gt;0,RANK(S1534,(N1534:P1534,Q1534:AE1534)),0)</f>
        <v>4</v>
      </c>
      <c r="BA1534" s="2">
        <f t="shared" si="638"/>
        <v>1.6724405686297933E-2</v>
      </c>
      <c r="BB1534" s="2">
        <f t="shared" si="639"/>
        <v>3.3448811372595866E-3</v>
      </c>
      <c r="BC1534" s="2">
        <f t="shared" si="640"/>
        <v>5.97300203082069E-4</v>
      </c>
      <c r="BD1534" s="2">
        <f t="shared" si="641"/>
        <v>3.3448811372595866E-3</v>
      </c>
      <c r="BF1534" t="s">
        <v>2467</v>
      </c>
      <c r="BG1534" t="s">
        <v>1113</v>
      </c>
      <c r="BH1534">
        <v>1</v>
      </c>
      <c r="BJ1534" s="114">
        <v>28</v>
      </c>
      <c r="BK1534" s="116">
        <v>141</v>
      </c>
      <c r="BL1534" s="120">
        <f t="shared" si="632"/>
        <v>28141</v>
      </c>
      <c r="BN1534" s="5" t="s">
        <v>3154</v>
      </c>
    </row>
    <row r="1535" spans="1:79" hidden="1" outlineLevel="1">
      <c r="A1535" t="s">
        <v>1131</v>
      </c>
      <c r="B1535" t="s">
        <v>1113</v>
      </c>
      <c r="C1535" s="1">
        <f t="shared" si="633"/>
        <v>3567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>IF(P1535&gt;0,RANK(P1535,(N1535:P1535,Q1535:AE1535)),0)</f>
        <v>0</v>
      </c>
      <c r="G1535" s="132">
        <f t="shared" si="621"/>
        <v>1814</v>
      </c>
      <c r="H1535" s="137">
        <f t="shared" si="622"/>
        <v>0.50855060274740682</v>
      </c>
      <c r="I1535" s="2"/>
      <c r="J1535" s="2">
        <f t="shared" si="634"/>
        <v>0.74768713204373427</v>
      </c>
      <c r="K1535" s="2">
        <f t="shared" si="635"/>
        <v>0.23913652929632745</v>
      </c>
      <c r="L1535" s="2">
        <f t="shared" si="636"/>
        <v>0</v>
      </c>
      <c r="M1535" s="2">
        <f t="shared" si="637"/>
        <v>1.317633865993828E-2</v>
      </c>
      <c r="N1535" s="63">
        <v>2667</v>
      </c>
      <c r="O1535" s="63">
        <v>853</v>
      </c>
      <c r="P1535" s="63"/>
      <c r="Q1535" s="63">
        <v>18</v>
      </c>
      <c r="R1535" s="63">
        <v>8</v>
      </c>
      <c r="S1535" s="63">
        <v>13</v>
      </c>
      <c r="T1535" s="63">
        <v>5</v>
      </c>
      <c r="U1535" s="63"/>
      <c r="V1535" s="63"/>
      <c r="W1535" s="63">
        <f>IF(Copyright!B$11=1,IF(CA1535&gt;0,CA1535-P1535-SUM(AE1535:AQ1535)-SUM(X1535:AC1535)-SUM(U1535:V1535),SUM(CB1535:CM1535)),SUM(CC1535:CM1535))</f>
        <v>0</v>
      </c>
      <c r="X1535" s="63"/>
      <c r="Y1535" s="63"/>
      <c r="Z1535" s="63"/>
      <c r="AA1535" s="63"/>
      <c r="AB1535" s="63"/>
      <c r="AC1535" s="63"/>
      <c r="AD1535" s="63">
        <v>3</v>
      </c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/>
      <c r="AP1535" s="63"/>
      <c r="AQ1535" s="63"/>
      <c r="AR1535" s="63"/>
      <c r="AS1535" s="63"/>
      <c r="AT1535" s="63"/>
      <c r="AU1535" s="63"/>
      <c r="AW1535" s="5">
        <f>IF(Q1535&gt;0,RANK(Q1535,(N1535:P1535,Q1535:AE1535)),0)</f>
        <v>3</v>
      </c>
      <c r="AX1535" s="5">
        <f>IF(R1535&gt;0,RANK(R1535,(N1535:P1535,Q1535:AE1535)),0)</f>
        <v>5</v>
      </c>
      <c r="AY1535" s="5">
        <f>IF(T1535&gt;0,RANK(T1535,(N1535:P1535,Q1535:AE1535)),0)</f>
        <v>6</v>
      </c>
      <c r="AZ1535" s="5">
        <f>IF(S1535&gt;0,RANK(S1535,(N1535:P1535,Q1535:AE1535)),0)</f>
        <v>4</v>
      </c>
      <c r="BA1535" s="2">
        <f t="shared" si="638"/>
        <v>5.0462573591253156E-3</v>
      </c>
      <c r="BB1535" s="2">
        <f t="shared" si="639"/>
        <v>2.2427810485001402E-3</v>
      </c>
      <c r="BC1535" s="2">
        <f t="shared" si="640"/>
        <v>1.4017381553125877E-3</v>
      </c>
      <c r="BD1535" s="2">
        <f t="shared" si="641"/>
        <v>3.6445192038127277E-3</v>
      </c>
      <c r="BF1535" t="s">
        <v>1131</v>
      </c>
      <c r="BG1535" t="s">
        <v>1113</v>
      </c>
      <c r="BH1535">
        <v>2</v>
      </c>
      <c r="BJ1535" s="114">
        <v>28</v>
      </c>
      <c r="BK1535" s="116">
        <v>143</v>
      </c>
      <c r="BL1535" s="120">
        <f t="shared" si="632"/>
        <v>28143</v>
      </c>
      <c r="BN1535" s="5" t="s">
        <v>3154</v>
      </c>
    </row>
    <row r="1536" spans="1:79" hidden="1" outlineLevel="1">
      <c r="A1536" t="s">
        <v>1513</v>
      </c>
      <c r="B1536" t="s">
        <v>1113</v>
      </c>
      <c r="C1536" s="1">
        <f t="shared" si="633"/>
        <v>11496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0</v>
      </c>
      <c r="G1536" s="132">
        <f t="shared" si="621"/>
        <v>7223</v>
      </c>
      <c r="H1536" s="137">
        <f t="shared" si="622"/>
        <v>0.62830549756437026</v>
      </c>
      <c r="I1536" s="2"/>
      <c r="J1536" s="2">
        <f t="shared" si="634"/>
        <v>0.17501739735560196</v>
      </c>
      <c r="K1536" s="2">
        <f t="shared" si="635"/>
        <v>0.80332289491997222</v>
      </c>
      <c r="L1536" s="2">
        <f t="shared" si="636"/>
        <v>0</v>
      </c>
      <c r="M1536" s="2">
        <f t="shared" si="637"/>
        <v>2.1659707724425825E-2</v>
      </c>
      <c r="N1536" s="63">
        <v>2012</v>
      </c>
      <c r="O1536" s="63">
        <v>9235</v>
      </c>
      <c r="P1536" s="63"/>
      <c r="Q1536" s="63">
        <v>133</v>
      </c>
      <c r="R1536" s="63">
        <v>20</v>
      </c>
      <c r="S1536" s="63">
        <v>74</v>
      </c>
      <c r="T1536" s="63">
        <v>6</v>
      </c>
      <c r="U1536" s="63"/>
      <c r="V1536" s="63"/>
      <c r="W1536" s="63">
        <f>IF(Copyright!B$11=1,IF(CA1536&gt;0,CA1536-P1536-SUM(AE1536:AQ1536)-SUM(X1536:AC1536)-SUM(U1536:V1536),SUM(CB1536:CM1536)),SUM(CC1536:CM1536))</f>
        <v>0</v>
      </c>
      <c r="X1536" s="63"/>
      <c r="Y1536" s="63"/>
      <c r="Z1536" s="63"/>
      <c r="AA1536" s="63"/>
      <c r="AB1536" s="63"/>
      <c r="AC1536" s="63"/>
      <c r="AD1536" s="63">
        <v>16</v>
      </c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/>
      <c r="AP1536" s="63"/>
      <c r="AQ1536" s="63"/>
      <c r="AR1536" s="63"/>
      <c r="AS1536" s="63"/>
      <c r="AT1536" s="63"/>
      <c r="AU1536" s="63"/>
      <c r="AW1536" s="5">
        <f>IF(Q1536&gt;0,RANK(Q1536,(N1536:P1536,Q1536:AE1536)),0)</f>
        <v>3</v>
      </c>
      <c r="AX1536" s="5">
        <f>IF(R1536&gt;0,RANK(R1536,(N1536:P1536,Q1536:AE1536)),0)</f>
        <v>5</v>
      </c>
      <c r="AY1536" s="5">
        <f>IF(T1536&gt;0,RANK(T1536,(N1536:P1536,Q1536:AE1536)),0)</f>
        <v>7</v>
      </c>
      <c r="AZ1536" s="5">
        <f>IF(S1536&gt;0,RANK(S1536,(N1536:P1536,Q1536:AE1536)),0)</f>
        <v>4</v>
      </c>
      <c r="BA1536" s="2">
        <f t="shared" si="638"/>
        <v>1.1569241475295755E-2</v>
      </c>
      <c r="BB1536" s="2">
        <f t="shared" si="639"/>
        <v>1.7397355601948504E-3</v>
      </c>
      <c r="BC1536" s="2">
        <f t="shared" si="640"/>
        <v>5.2192066805845506E-4</v>
      </c>
      <c r="BD1536" s="2">
        <f t="shared" si="641"/>
        <v>6.4370215727209464E-3</v>
      </c>
      <c r="BF1536" t="s">
        <v>1513</v>
      </c>
      <c r="BG1536" t="s">
        <v>1113</v>
      </c>
      <c r="BH1536">
        <v>1</v>
      </c>
      <c r="BJ1536" s="114">
        <v>28</v>
      </c>
      <c r="BK1536" s="116">
        <v>145</v>
      </c>
      <c r="BL1536" s="120">
        <f t="shared" si="632"/>
        <v>28145</v>
      </c>
      <c r="BN1536" s="5" t="s">
        <v>3154</v>
      </c>
    </row>
    <row r="1537" spans="1:82" hidden="1" outlineLevel="1">
      <c r="A1537" t="s">
        <v>2742</v>
      </c>
      <c r="B1537" t="s">
        <v>1113</v>
      </c>
      <c r="C1537" s="1">
        <f t="shared" si="633"/>
        <v>6919</v>
      </c>
      <c r="D1537" s="5">
        <f>IF(N1537&gt;0, RANK(N1537,(N1537:P1537,Q1537:AE1537)),0)</f>
        <v>2</v>
      </c>
      <c r="E1537" s="5">
        <f>IF(O1537&gt;0,RANK(O1537,(N1537:P1537,Q1537:AE1537)),0)</f>
        <v>1</v>
      </c>
      <c r="F1537" s="5">
        <f>IF(P1537&gt;0,RANK(P1537,(N1537:P1537,Q1537:AE1537)),0)</f>
        <v>0</v>
      </c>
      <c r="G1537" s="132">
        <f t="shared" si="621"/>
        <v>1266</v>
      </c>
      <c r="H1537" s="137">
        <f t="shared" si="622"/>
        <v>0.18297441826853592</v>
      </c>
      <c r="I1537" s="2"/>
      <c r="J1537" s="2">
        <f t="shared" si="634"/>
        <v>0.40323746206099148</v>
      </c>
      <c r="K1537" s="2">
        <f t="shared" si="635"/>
        <v>0.58621188032952742</v>
      </c>
      <c r="L1537" s="2">
        <f t="shared" si="636"/>
        <v>0</v>
      </c>
      <c r="M1537" s="2">
        <f t="shared" si="637"/>
        <v>1.055065760948104E-2</v>
      </c>
      <c r="N1537" s="63">
        <v>2790</v>
      </c>
      <c r="O1537" s="63">
        <v>4056</v>
      </c>
      <c r="P1537" s="63"/>
      <c r="Q1537" s="63">
        <v>31</v>
      </c>
      <c r="R1537" s="63">
        <v>10</v>
      </c>
      <c r="S1537" s="63">
        <v>24</v>
      </c>
      <c r="T1537" s="63">
        <v>2</v>
      </c>
      <c r="U1537" s="63"/>
      <c r="V1537" s="63"/>
      <c r="W1537" s="63">
        <f>IF(Copyright!B$11=1,IF(CA1537&gt;0,CA1537-P1537-SUM(AE1537:AQ1537)-SUM(X1537:AC1537)-SUM(U1537:V1537),SUM(CB1537:CM1537)),SUM(CC1537:CM1537))</f>
        <v>0</v>
      </c>
      <c r="X1537" s="63"/>
      <c r="Y1537" s="63"/>
      <c r="Z1537" s="63"/>
      <c r="AA1537" s="63"/>
      <c r="AB1537" s="63"/>
      <c r="AC1537" s="63"/>
      <c r="AD1537" s="63">
        <v>6</v>
      </c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/>
      <c r="AP1537" s="63"/>
      <c r="AQ1537" s="63"/>
      <c r="AR1537" s="63"/>
      <c r="AS1537" s="63"/>
      <c r="AT1537" s="63"/>
      <c r="AU1537" s="63"/>
      <c r="AW1537" s="5">
        <f>IF(Q1537&gt;0,RANK(Q1537,(N1537:P1537,Q1537:AE1537)),0)</f>
        <v>3</v>
      </c>
      <c r="AX1537" s="5">
        <f>IF(R1537&gt;0,RANK(R1537,(N1537:P1537,Q1537:AE1537)),0)</f>
        <v>5</v>
      </c>
      <c r="AY1537" s="5">
        <f>IF(T1537&gt;0,RANK(T1537,(N1537:P1537,Q1537:AE1537)),0)</f>
        <v>7</v>
      </c>
      <c r="AZ1537" s="5">
        <f>IF(S1537&gt;0,RANK(S1537,(N1537:P1537,Q1537:AE1537)),0)</f>
        <v>4</v>
      </c>
      <c r="BA1537" s="2">
        <f t="shared" si="638"/>
        <v>4.4804162451221275E-3</v>
      </c>
      <c r="BB1537" s="2">
        <f t="shared" si="639"/>
        <v>1.4452955629426219E-3</v>
      </c>
      <c r="BC1537" s="2">
        <f t="shared" si="640"/>
        <v>2.8905911258852437E-4</v>
      </c>
      <c r="BD1537" s="2">
        <f t="shared" si="641"/>
        <v>3.468709351062292E-3</v>
      </c>
      <c r="BF1537" t="s">
        <v>2742</v>
      </c>
      <c r="BG1537" t="s">
        <v>1113</v>
      </c>
      <c r="BH1537">
        <v>3</v>
      </c>
      <c r="BJ1537" s="114">
        <v>28</v>
      </c>
      <c r="BK1537" s="116">
        <v>147</v>
      </c>
      <c r="BL1537" s="120">
        <f t="shared" si="632"/>
        <v>28147</v>
      </c>
      <c r="BN1537" s="5" t="s">
        <v>3154</v>
      </c>
    </row>
    <row r="1538" spans="1:82" hidden="1" outlineLevel="1">
      <c r="A1538" t="s">
        <v>422</v>
      </c>
      <c r="B1538" t="s">
        <v>1113</v>
      </c>
      <c r="C1538" s="1">
        <f t="shared" si="633"/>
        <v>19416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>IF(P1538&gt;0,RANK(P1538,(N1538:P1538,Q1538:AE1538)),0)</f>
        <v>0</v>
      </c>
      <c r="G1538" s="132">
        <f t="shared" si="621"/>
        <v>483</v>
      </c>
      <c r="H1538" s="137">
        <f t="shared" si="622"/>
        <v>2.4876390605686031E-2</v>
      </c>
      <c r="I1538" s="2"/>
      <c r="J1538" s="2">
        <f t="shared" si="634"/>
        <v>0.4781623403378657</v>
      </c>
      <c r="K1538" s="2">
        <f t="shared" si="635"/>
        <v>0.50303873094355167</v>
      </c>
      <c r="L1538" s="2">
        <f t="shared" si="636"/>
        <v>0</v>
      </c>
      <c r="M1538" s="2">
        <f t="shared" si="637"/>
        <v>1.8798928718582686E-2</v>
      </c>
      <c r="N1538" s="63">
        <v>9284</v>
      </c>
      <c r="O1538" s="63">
        <v>9767</v>
      </c>
      <c r="P1538" s="63"/>
      <c r="Q1538" s="63">
        <v>229</v>
      </c>
      <c r="R1538" s="63">
        <v>56</v>
      </c>
      <c r="S1538" s="63">
        <v>54</v>
      </c>
      <c r="T1538" s="63">
        <v>10</v>
      </c>
      <c r="U1538" s="63"/>
      <c r="V1538" s="63"/>
      <c r="W1538" s="63">
        <f>IF(Copyright!B$11=1,IF(CA1538&gt;0,CA1538-P1538-SUM(AE1538:AQ1538)-SUM(X1538:AC1538)-SUM(U1538:V1538),SUM(CB1538:CM1538)),SUM(CC1538:CM1538))</f>
        <v>0</v>
      </c>
      <c r="X1538" s="63"/>
      <c r="Y1538" s="63"/>
      <c r="Z1538" s="63"/>
      <c r="AA1538" s="63"/>
      <c r="AB1538" s="63"/>
      <c r="AC1538" s="63"/>
      <c r="AD1538" s="63">
        <v>16</v>
      </c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/>
      <c r="AP1538" s="63"/>
      <c r="AQ1538" s="63"/>
      <c r="AR1538" s="63"/>
      <c r="AS1538" s="63"/>
      <c r="AT1538" s="63"/>
      <c r="AU1538" s="63"/>
      <c r="AW1538" s="5">
        <f>IF(Q1538&gt;0,RANK(Q1538,(N1538:P1538,Q1538:AE1538)),0)</f>
        <v>3</v>
      </c>
      <c r="AX1538" s="5">
        <f>IF(R1538&gt;0,RANK(R1538,(N1538:P1538,Q1538:AE1538)),0)</f>
        <v>4</v>
      </c>
      <c r="AY1538" s="5">
        <f>IF(T1538&gt;0,RANK(T1538,(N1538:P1538,Q1538:AE1538)),0)</f>
        <v>7</v>
      </c>
      <c r="AZ1538" s="5">
        <f>IF(S1538&gt;0,RANK(S1538,(N1538:P1538,Q1538:AE1538)),0)</f>
        <v>5</v>
      </c>
      <c r="BA1538" s="2">
        <f t="shared" si="638"/>
        <v>1.1794396374124433E-2</v>
      </c>
      <c r="BB1538" s="2">
        <f t="shared" si="639"/>
        <v>2.88421920065925E-3</v>
      </c>
      <c r="BC1538" s="2">
        <f t="shared" si="640"/>
        <v>5.1503914297486612E-4</v>
      </c>
      <c r="BD1538" s="2">
        <f t="shared" si="641"/>
        <v>2.781211372064277E-3</v>
      </c>
      <c r="BF1538" t="s">
        <v>422</v>
      </c>
      <c r="BG1538" t="s">
        <v>1113</v>
      </c>
      <c r="BH1538">
        <v>2</v>
      </c>
      <c r="BJ1538" s="114">
        <v>28</v>
      </c>
      <c r="BK1538" s="116">
        <v>149</v>
      </c>
      <c r="BL1538" s="120">
        <f t="shared" si="632"/>
        <v>28149</v>
      </c>
      <c r="BN1538" s="5" t="s">
        <v>3154</v>
      </c>
    </row>
    <row r="1539" spans="1:82" hidden="1" outlineLevel="1">
      <c r="A1539" t="s">
        <v>692</v>
      </c>
      <c r="B1539" t="s">
        <v>1113</v>
      </c>
      <c r="C1539" s="1">
        <f t="shared" si="633"/>
        <v>16825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>IF(P1539&gt;0,RANK(P1539,(N1539:P1539,Q1539:AE1539)),0)</f>
        <v>0</v>
      </c>
      <c r="G1539" s="132">
        <f t="shared" si="621"/>
        <v>6136</v>
      </c>
      <c r="H1539" s="137">
        <f t="shared" si="622"/>
        <v>0.36469539375928678</v>
      </c>
      <c r="I1539" s="2"/>
      <c r="J1539" s="2">
        <f t="shared" si="634"/>
        <v>0.67637444279346215</v>
      </c>
      <c r="K1539" s="2">
        <f t="shared" si="635"/>
        <v>0.31167904903417532</v>
      </c>
      <c r="L1539" s="2">
        <f t="shared" si="636"/>
        <v>0</v>
      </c>
      <c r="M1539" s="2">
        <f t="shared" si="637"/>
        <v>1.1946508172362535E-2</v>
      </c>
      <c r="N1539" s="63">
        <v>11380</v>
      </c>
      <c r="O1539" s="63">
        <v>5244</v>
      </c>
      <c r="P1539" s="63"/>
      <c r="Q1539" s="63">
        <v>106</v>
      </c>
      <c r="R1539" s="63">
        <v>35</v>
      </c>
      <c r="S1539" s="63">
        <v>33</v>
      </c>
      <c r="T1539" s="63">
        <v>17</v>
      </c>
      <c r="U1539" s="63"/>
      <c r="V1539" s="63"/>
      <c r="W1539" s="63">
        <f>IF(Copyright!B$11=1,IF(CA1539&gt;0,CA1539-P1539-SUM(AE1539:AQ1539)-SUM(X1539:AC1539)-SUM(U1539:V1539),SUM(CB1539:CM1539)),SUM(CC1539:CM1539))</f>
        <v>0</v>
      </c>
      <c r="X1539" s="63"/>
      <c r="Y1539" s="63"/>
      <c r="Z1539" s="63"/>
      <c r="AA1539" s="63"/>
      <c r="AB1539" s="63"/>
      <c r="AC1539" s="63"/>
      <c r="AD1539" s="63">
        <v>10</v>
      </c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/>
      <c r="AP1539" s="63"/>
      <c r="AQ1539" s="63"/>
      <c r="AR1539" s="63"/>
      <c r="AS1539" s="63"/>
      <c r="AT1539" s="63"/>
      <c r="AU1539" s="63"/>
      <c r="AW1539" s="5">
        <f>IF(Q1539&gt;0,RANK(Q1539,(N1539:P1539,Q1539:AE1539)),0)</f>
        <v>3</v>
      </c>
      <c r="AX1539" s="5">
        <f>IF(R1539&gt;0,RANK(R1539,(N1539:P1539,Q1539:AE1539)),0)</f>
        <v>4</v>
      </c>
      <c r="AY1539" s="5">
        <f>IF(T1539&gt;0,RANK(T1539,(N1539:P1539,Q1539:AE1539)),0)</f>
        <v>6</v>
      </c>
      <c r="AZ1539" s="5">
        <f>IF(S1539&gt;0,RANK(S1539,(N1539:P1539,Q1539:AE1539)),0)</f>
        <v>5</v>
      </c>
      <c r="BA1539" s="2">
        <f t="shared" si="638"/>
        <v>6.3001485884101038E-3</v>
      </c>
      <c r="BB1539" s="2">
        <f t="shared" si="639"/>
        <v>2.0802377414561664E-3</v>
      </c>
      <c r="BC1539" s="2">
        <f t="shared" si="640"/>
        <v>1.0104011887072809E-3</v>
      </c>
      <c r="BD1539" s="2">
        <f t="shared" si="641"/>
        <v>1.9613670133729567E-3</v>
      </c>
      <c r="BF1539" t="s">
        <v>692</v>
      </c>
      <c r="BG1539" t="s">
        <v>1113</v>
      </c>
      <c r="BH1539">
        <v>2</v>
      </c>
      <c r="BJ1539" s="114">
        <v>28</v>
      </c>
      <c r="BK1539" s="116">
        <v>151</v>
      </c>
      <c r="BL1539" s="120">
        <f t="shared" si="632"/>
        <v>28151</v>
      </c>
      <c r="BN1539" s="5" t="s">
        <v>3154</v>
      </c>
    </row>
    <row r="1540" spans="1:82" hidden="1" outlineLevel="1">
      <c r="A1540" t="s">
        <v>423</v>
      </c>
      <c r="B1540" t="s">
        <v>1113</v>
      </c>
      <c r="C1540" s="1">
        <f t="shared" si="633"/>
        <v>9599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0</v>
      </c>
      <c r="G1540" s="132">
        <f t="shared" si="621"/>
        <v>2466</v>
      </c>
      <c r="H1540" s="137">
        <f t="shared" si="622"/>
        <v>0.25690176060006253</v>
      </c>
      <c r="I1540" s="2"/>
      <c r="J1540" s="2">
        <f t="shared" si="634"/>
        <v>0.36712157516407962</v>
      </c>
      <c r="K1540" s="2">
        <f t="shared" si="635"/>
        <v>0.62402333576414215</v>
      </c>
      <c r="L1540" s="2">
        <f t="shared" si="636"/>
        <v>0</v>
      </c>
      <c r="M1540" s="2">
        <f t="shared" si="637"/>
        <v>8.8550890717782327E-3</v>
      </c>
      <c r="N1540" s="63">
        <v>3524</v>
      </c>
      <c r="O1540" s="63">
        <v>5990</v>
      </c>
      <c r="P1540" s="63"/>
      <c r="Q1540" s="63">
        <v>46</v>
      </c>
      <c r="R1540" s="63">
        <v>3</v>
      </c>
      <c r="S1540" s="63">
        <v>20</v>
      </c>
      <c r="T1540" s="63">
        <v>7</v>
      </c>
      <c r="U1540" s="63"/>
      <c r="V1540" s="63"/>
      <c r="W1540" s="63">
        <f>IF(Copyright!B$11=1,IF(CA1540&gt;0,CA1540-P1540-SUM(AE1540:AQ1540)-SUM(X1540:AC1540)-SUM(U1540:V1540),SUM(CB1540:CM1540)),SUM(CC1540:CM1540))</f>
        <v>0</v>
      </c>
      <c r="X1540" s="63"/>
      <c r="Y1540" s="63"/>
      <c r="Z1540" s="63"/>
      <c r="AA1540" s="63"/>
      <c r="AB1540" s="63"/>
      <c r="AC1540" s="63"/>
      <c r="AD1540" s="63">
        <v>9</v>
      </c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/>
      <c r="AP1540" s="63"/>
      <c r="AQ1540" s="63"/>
      <c r="AR1540" s="63"/>
      <c r="AS1540" s="63"/>
      <c r="AT1540" s="63"/>
      <c r="AU1540" s="63"/>
      <c r="AW1540" s="5">
        <f>IF(Q1540&gt;0,RANK(Q1540,(N1540:P1540,Q1540:AE1540)),0)</f>
        <v>3</v>
      </c>
      <c r="AX1540" s="5">
        <f>IF(R1540&gt;0,RANK(R1540,(N1540:P1540,Q1540:AE1540)),0)</f>
        <v>7</v>
      </c>
      <c r="AY1540" s="5">
        <f>IF(T1540&gt;0,RANK(T1540,(N1540:P1540,Q1540:AE1540)),0)</f>
        <v>6</v>
      </c>
      <c r="AZ1540" s="5">
        <f>IF(S1540&gt;0,RANK(S1540,(N1540:P1540,Q1540:AE1540)),0)</f>
        <v>4</v>
      </c>
      <c r="BA1540" s="2">
        <f t="shared" si="638"/>
        <v>4.7921658506094381E-3</v>
      </c>
      <c r="BB1540" s="2">
        <f t="shared" si="639"/>
        <v>3.1253255547452859E-4</v>
      </c>
      <c r="BC1540" s="2">
        <f t="shared" si="640"/>
        <v>7.2924262944056668E-4</v>
      </c>
      <c r="BD1540" s="2">
        <f t="shared" si="641"/>
        <v>2.0835503698301908E-3</v>
      </c>
      <c r="BF1540" t="s">
        <v>423</v>
      </c>
      <c r="BG1540" t="s">
        <v>1113</v>
      </c>
      <c r="BH1540">
        <v>4</v>
      </c>
      <c r="BJ1540" s="114">
        <v>28</v>
      </c>
      <c r="BK1540" s="116">
        <v>153</v>
      </c>
      <c r="BL1540" s="120">
        <f t="shared" si="632"/>
        <v>28153</v>
      </c>
      <c r="BN1540" s="5" t="s">
        <v>3154</v>
      </c>
    </row>
    <row r="1541" spans="1:82" hidden="1" outlineLevel="1">
      <c r="A1541" t="s">
        <v>697</v>
      </c>
      <c r="B1541" t="s">
        <v>1113</v>
      </c>
      <c r="C1541" s="1">
        <f t="shared" si="633"/>
        <v>5069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>IF(P1541&gt;0,RANK(P1541,(N1541:P1541,Q1541:AE1541)),0)</f>
        <v>0</v>
      </c>
      <c r="G1541" s="132">
        <f t="shared" si="621"/>
        <v>2957</v>
      </c>
      <c r="H1541" s="137">
        <f t="shared" si="622"/>
        <v>0.58334977313079506</v>
      </c>
      <c r="I1541" s="2"/>
      <c r="J1541" s="2">
        <f t="shared" si="634"/>
        <v>0.20102584336160978</v>
      </c>
      <c r="K1541" s="2">
        <f t="shared" si="635"/>
        <v>0.78437561649240484</v>
      </c>
      <c r="L1541" s="2">
        <f t="shared" si="636"/>
        <v>0</v>
      </c>
      <c r="M1541" s="2">
        <f t="shared" si="637"/>
        <v>1.4598540145985384E-2</v>
      </c>
      <c r="N1541" s="63">
        <v>1019</v>
      </c>
      <c r="O1541" s="63">
        <v>3976</v>
      </c>
      <c r="P1541" s="63"/>
      <c r="Q1541" s="63">
        <v>27</v>
      </c>
      <c r="R1541" s="63">
        <v>15</v>
      </c>
      <c r="S1541" s="63">
        <v>26</v>
      </c>
      <c r="T1541" s="63">
        <v>5</v>
      </c>
      <c r="U1541" s="63"/>
      <c r="V1541" s="63"/>
      <c r="W1541" s="63">
        <f>IF(Copyright!B$11=1,IF(CA1541&gt;0,CA1541-P1541-SUM(AE1541:AQ1541)-SUM(X1541:AC1541)-SUM(U1541:V1541),SUM(CB1541:CM1541)),SUM(CC1541:CM1541))</f>
        <v>0</v>
      </c>
      <c r="X1541" s="63"/>
      <c r="Y1541" s="63"/>
      <c r="Z1541" s="63"/>
      <c r="AA1541" s="63"/>
      <c r="AB1541" s="63"/>
      <c r="AC1541" s="63"/>
      <c r="AD1541" s="63">
        <v>1</v>
      </c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/>
      <c r="AP1541" s="63"/>
      <c r="AQ1541" s="63"/>
      <c r="AR1541" s="63"/>
      <c r="AS1541" s="63"/>
      <c r="AT1541" s="63"/>
      <c r="AU1541" s="63"/>
      <c r="AW1541" s="5">
        <f>IF(Q1541&gt;0,RANK(Q1541,(N1541:P1541,Q1541:AE1541)),0)</f>
        <v>3</v>
      </c>
      <c r="AX1541" s="5">
        <f>IF(R1541&gt;0,RANK(R1541,(N1541:P1541,Q1541:AE1541)),0)</f>
        <v>5</v>
      </c>
      <c r="AY1541" s="5">
        <f>IF(T1541&gt;0,RANK(T1541,(N1541:P1541,Q1541:AE1541)),0)</f>
        <v>6</v>
      </c>
      <c r="AZ1541" s="5">
        <f>IF(S1541&gt;0,RANK(S1541,(N1541:P1541,Q1541:AE1541)),0)</f>
        <v>4</v>
      </c>
      <c r="BA1541" s="2">
        <f t="shared" si="638"/>
        <v>5.3264943775892682E-3</v>
      </c>
      <c r="BB1541" s="2">
        <f t="shared" si="639"/>
        <v>2.9591635431051489E-3</v>
      </c>
      <c r="BC1541" s="2">
        <f t="shared" si="640"/>
        <v>9.8638784770171636E-4</v>
      </c>
      <c r="BD1541" s="2">
        <f t="shared" si="641"/>
        <v>5.1292168080489245E-3</v>
      </c>
      <c r="BF1541" t="s">
        <v>697</v>
      </c>
      <c r="BG1541" t="s">
        <v>1113</v>
      </c>
      <c r="BH1541">
        <v>1</v>
      </c>
      <c r="BJ1541" s="114">
        <v>28</v>
      </c>
      <c r="BK1541" s="116">
        <v>155</v>
      </c>
      <c r="BL1541" s="120">
        <f t="shared" si="632"/>
        <v>28155</v>
      </c>
      <c r="BN1541" s="5" t="s">
        <v>3154</v>
      </c>
    </row>
    <row r="1542" spans="1:82" hidden="1" outlineLevel="1">
      <c r="A1542" t="s">
        <v>2158</v>
      </c>
      <c r="B1542" t="s">
        <v>1113</v>
      </c>
      <c r="C1542" s="1">
        <f t="shared" si="633"/>
        <v>4218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>IF(P1542&gt;0,RANK(P1542,(N1542:P1542,Q1542:AE1542)),0)</f>
        <v>0</v>
      </c>
      <c r="G1542" s="132">
        <f t="shared" si="621"/>
        <v>1539</v>
      </c>
      <c r="H1542" s="137">
        <f t="shared" si="622"/>
        <v>0.36486486486486486</v>
      </c>
      <c r="I1542" s="2"/>
      <c r="J1542" s="2">
        <f t="shared" si="634"/>
        <v>0.67733522996680895</v>
      </c>
      <c r="K1542" s="2">
        <f t="shared" si="635"/>
        <v>0.31247036510194404</v>
      </c>
      <c r="L1542" s="2">
        <f t="shared" si="636"/>
        <v>0</v>
      </c>
      <c r="M1542" s="2">
        <f t="shared" si="637"/>
        <v>1.0194404931247014E-2</v>
      </c>
      <c r="N1542" s="63">
        <v>2857</v>
      </c>
      <c r="O1542" s="63">
        <v>1318</v>
      </c>
      <c r="P1542" s="63"/>
      <c r="Q1542" s="63">
        <v>15</v>
      </c>
      <c r="R1542" s="63">
        <v>4</v>
      </c>
      <c r="S1542" s="63">
        <v>19</v>
      </c>
      <c r="T1542" s="63">
        <v>4</v>
      </c>
      <c r="U1542" s="63"/>
      <c r="V1542" s="63"/>
      <c r="W1542" s="63">
        <f>IF(Copyright!B$11=1,IF(CA1542&gt;0,CA1542-P1542-SUM(AE1542:AQ1542)-SUM(X1542:AC1542)-SUM(U1542:V1542),SUM(CB1542:CM1542)),SUM(CC1542:CM1542))</f>
        <v>0</v>
      </c>
      <c r="X1542" s="63"/>
      <c r="Y1542" s="63"/>
      <c r="Z1542" s="63"/>
      <c r="AA1542" s="63"/>
      <c r="AB1542" s="63"/>
      <c r="AC1542" s="63"/>
      <c r="AD1542" s="63">
        <v>1</v>
      </c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/>
      <c r="AP1542" s="63"/>
      <c r="AQ1542" s="63"/>
      <c r="AR1542" s="63"/>
      <c r="AS1542" s="63"/>
      <c r="AT1542" s="63"/>
      <c r="AU1542" s="63"/>
      <c r="AW1542" s="5">
        <f>IF(Q1542&gt;0,RANK(Q1542,(N1542:P1542,Q1542:AE1542)),0)</f>
        <v>4</v>
      </c>
      <c r="AX1542" s="5">
        <f>IF(R1542&gt;0,RANK(R1542,(N1542:P1542,Q1542:AE1542)),0)</f>
        <v>5</v>
      </c>
      <c r="AY1542" s="5">
        <f>IF(T1542&gt;0,RANK(T1542,(N1542:P1542,Q1542:AE1542)),0)</f>
        <v>5</v>
      </c>
      <c r="AZ1542" s="5">
        <f>IF(S1542&gt;0,RANK(S1542,(N1542:P1542,Q1542:AE1542)),0)</f>
        <v>3</v>
      </c>
      <c r="BA1542" s="2">
        <f t="shared" si="638"/>
        <v>3.5561877667140826E-3</v>
      </c>
      <c r="BB1542" s="2">
        <f t="shared" si="639"/>
        <v>9.4831673779042201E-4</v>
      </c>
      <c r="BC1542" s="2">
        <f t="shared" si="640"/>
        <v>9.4831673779042201E-4</v>
      </c>
      <c r="BD1542" s="2">
        <f t="shared" si="641"/>
        <v>4.5045045045045045E-3</v>
      </c>
      <c r="BF1542" t="s">
        <v>2158</v>
      </c>
      <c r="BG1542" t="s">
        <v>1113</v>
      </c>
      <c r="BH1542">
        <v>3</v>
      </c>
      <c r="BJ1542" s="114">
        <v>28</v>
      </c>
      <c r="BK1542" s="116">
        <v>157</v>
      </c>
      <c r="BL1542" s="120">
        <f t="shared" si="632"/>
        <v>28157</v>
      </c>
      <c r="BN1542" s="5" t="s">
        <v>3154</v>
      </c>
    </row>
    <row r="1543" spans="1:82" hidden="1" outlineLevel="1">
      <c r="A1543" t="s">
        <v>543</v>
      </c>
      <c r="B1543" t="s">
        <v>1113</v>
      </c>
      <c r="C1543" s="1">
        <f t="shared" si="633"/>
        <v>8881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0</v>
      </c>
      <c r="G1543" s="132">
        <f t="shared" si="621"/>
        <v>1060</v>
      </c>
      <c r="H1543" s="137">
        <f t="shared" si="622"/>
        <v>0.11935592838644297</v>
      </c>
      <c r="I1543" s="2"/>
      <c r="J1543" s="2">
        <f t="shared" si="634"/>
        <v>0.43350973989415609</v>
      </c>
      <c r="K1543" s="2">
        <f t="shared" si="635"/>
        <v>0.55286566828059902</v>
      </c>
      <c r="L1543" s="2">
        <f t="shared" si="636"/>
        <v>0</v>
      </c>
      <c r="M1543" s="2">
        <f t="shared" si="637"/>
        <v>1.3624591825244892E-2</v>
      </c>
      <c r="N1543" s="63">
        <v>3850</v>
      </c>
      <c r="O1543" s="63">
        <v>4910</v>
      </c>
      <c r="P1543" s="63"/>
      <c r="Q1543" s="63">
        <v>55</v>
      </c>
      <c r="R1543" s="63">
        <v>30</v>
      </c>
      <c r="S1543" s="63">
        <v>23</v>
      </c>
      <c r="T1543" s="63">
        <v>7</v>
      </c>
      <c r="U1543" s="63"/>
      <c r="V1543" s="63"/>
      <c r="W1543" s="63">
        <f>IF(Copyright!B$11=1,IF(CA1543&gt;0,CA1543-P1543-SUM(AE1543:AQ1543)-SUM(X1543:AC1543)-SUM(U1543:V1543),SUM(CB1543:CM1543)),SUM(CC1543:CM1543))</f>
        <v>0</v>
      </c>
      <c r="X1543" s="63"/>
      <c r="Y1543" s="63"/>
      <c r="Z1543" s="63"/>
      <c r="AA1543" s="63"/>
      <c r="AB1543" s="63"/>
      <c r="AC1543" s="63"/>
      <c r="AD1543" s="63">
        <v>6</v>
      </c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/>
      <c r="AP1543" s="63"/>
      <c r="AQ1543" s="63"/>
      <c r="AR1543" s="63"/>
      <c r="AS1543" s="63"/>
      <c r="AT1543" s="63"/>
      <c r="AU1543" s="63"/>
      <c r="AW1543" s="5">
        <f>IF(Q1543&gt;0,RANK(Q1543,(N1543:P1543,Q1543:AE1543)),0)</f>
        <v>3</v>
      </c>
      <c r="AX1543" s="5">
        <f>IF(R1543&gt;0,RANK(R1543,(N1543:P1543,Q1543:AE1543)),0)</f>
        <v>4</v>
      </c>
      <c r="AY1543" s="5">
        <f>IF(T1543&gt;0,RANK(T1543,(N1543:P1543,Q1543:AE1543)),0)</f>
        <v>6</v>
      </c>
      <c r="AZ1543" s="5">
        <f>IF(S1543&gt;0,RANK(S1543,(N1543:P1543,Q1543:AE1543)),0)</f>
        <v>5</v>
      </c>
      <c r="BA1543" s="2">
        <f t="shared" si="638"/>
        <v>6.1929962842022295E-3</v>
      </c>
      <c r="BB1543" s="2">
        <f t="shared" si="639"/>
        <v>3.377997973201216E-3</v>
      </c>
      <c r="BC1543" s="2">
        <f t="shared" si="640"/>
        <v>7.8819952708028378E-4</v>
      </c>
      <c r="BD1543" s="2">
        <f t="shared" si="641"/>
        <v>2.5897984461209322E-3</v>
      </c>
      <c r="BF1543" t="s">
        <v>543</v>
      </c>
      <c r="BG1543" t="s">
        <v>1113</v>
      </c>
      <c r="BH1543">
        <v>1</v>
      </c>
      <c r="BJ1543" s="114">
        <v>28</v>
      </c>
      <c r="BK1543" s="116">
        <v>159</v>
      </c>
      <c r="BL1543" s="120">
        <f t="shared" si="632"/>
        <v>28159</v>
      </c>
      <c r="BN1543" s="5" t="s">
        <v>3154</v>
      </c>
    </row>
    <row r="1544" spans="1:82" hidden="1" outlineLevel="1">
      <c r="A1544" t="s">
        <v>1229</v>
      </c>
      <c r="B1544" t="s">
        <v>1113</v>
      </c>
      <c r="C1544" s="1">
        <f t="shared" si="633"/>
        <v>6077</v>
      </c>
      <c r="D1544" s="5">
        <f>IF(N1544&gt;0, RANK(N1544,(N1544:P1544,Q1544:AE1544)),0)</f>
        <v>2</v>
      </c>
      <c r="E1544" s="5">
        <f>IF(O1544&gt;0,RANK(O1544,(N1544:P1544,Q1544:AE1544)),0)</f>
        <v>1</v>
      </c>
      <c r="F1544" s="5">
        <f>IF(P1544&gt;0,RANK(P1544,(N1544:P1544,Q1544:AE1544)),0)</f>
        <v>0</v>
      </c>
      <c r="G1544" s="132">
        <f t="shared" ref="G1544:G1607" si="642">IF(C1544&gt;0,MAX(N1544:P1544)-LARGE(N1544:P1544,2),0)</f>
        <v>794</v>
      </c>
      <c r="H1544" s="137">
        <f t="shared" ref="H1544:H1607" si="643">IF(C1544&gt;0,G1544/C1544,0)</f>
        <v>0.13065657396741814</v>
      </c>
      <c r="I1544" s="2"/>
      <c r="J1544" s="2">
        <f t="shared" si="634"/>
        <v>0.42488069771268716</v>
      </c>
      <c r="K1544" s="2">
        <f t="shared" si="635"/>
        <v>0.55553727168010536</v>
      </c>
      <c r="L1544" s="2">
        <f t="shared" si="636"/>
        <v>0</v>
      </c>
      <c r="M1544" s="2">
        <f t="shared" si="637"/>
        <v>1.9582030607207535E-2</v>
      </c>
      <c r="N1544" s="63">
        <v>2582</v>
      </c>
      <c r="O1544" s="63">
        <v>3376</v>
      </c>
      <c r="P1544" s="63"/>
      <c r="Q1544" s="63">
        <v>70</v>
      </c>
      <c r="R1544" s="63">
        <v>24</v>
      </c>
      <c r="S1544" s="63">
        <v>19</v>
      </c>
      <c r="T1544" s="63">
        <v>2</v>
      </c>
      <c r="U1544" s="63"/>
      <c r="V1544" s="63"/>
      <c r="W1544" s="63">
        <f>IF(Copyright!B$11=1,IF(CA1544&gt;0,CA1544-P1544-SUM(AE1544:AQ1544)-SUM(X1544:AC1544)-SUM(U1544:V1544),SUM(CB1544:CM1544)),SUM(CC1544:CM1544))</f>
        <v>0</v>
      </c>
      <c r="X1544" s="63"/>
      <c r="Y1544" s="63"/>
      <c r="Z1544" s="63"/>
      <c r="AA1544" s="63"/>
      <c r="AB1544" s="63"/>
      <c r="AC1544" s="63"/>
      <c r="AD1544" s="63">
        <v>4</v>
      </c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/>
      <c r="AP1544" s="63"/>
      <c r="AQ1544" s="63"/>
      <c r="AR1544" s="63"/>
      <c r="AS1544" s="63"/>
      <c r="AT1544" s="63"/>
      <c r="AU1544" s="63"/>
      <c r="AW1544" s="5">
        <f>IF(Q1544&gt;0,RANK(Q1544,(N1544:P1544,Q1544:AE1544)),0)</f>
        <v>3</v>
      </c>
      <c r="AX1544" s="5">
        <f>IF(R1544&gt;0,RANK(R1544,(N1544:P1544,Q1544:AE1544)),0)</f>
        <v>4</v>
      </c>
      <c r="AY1544" s="5">
        <f>IF(T1544&gt;0,RANK(T1544,(N1544:P1544,Q1544:AE1544)),0)</f>
        <v>7</v>
      </c>
      <c r="AZ1544" s="5">
        <f>IF(S1544&gt;0,RANK(S1544,(N1544:P1544,Q1544:AE1544)),0)</f>
        <v>5</v>
      </c>
      <c r="BA1544" s="2">
        <f t="shared" si="638"/>
        <v>1.1518841533651472E-2</v>
      </c>
      <c r="BB1544" s="2">
        <f t="shared" si="639"/>
        <v>3.9493170972519339E-3</v>
      </c>
      <c r="BC1544" s="2">
        <f t="shared" si="640"/>
        <v>3.291097581043278E-4</v>
      </c>
      <c r="BD1544" s="2">
        <f t="shared" si="641"/>
        <v>3.1265427019911141E-3</v>
      </c>
      <c r="BF1544" t="s">
        <v>1229</v>
      </c>
      <c r="BG1544" t="s">
        <v>1113</v>
      </c>
      <c r="BH1544">
        <v>2</v>
      </c>
      <c r="BJ1544" s="114">
        <v>28</v>
      </c>
      <c r="BK1544" s="116">
        <v>161</v>
      </c>
      <c r="BL1544" s="120">
        <f t="shared" si="632"/>
        <v>28161</v>
      </c>
      <c r="BN1544" s="5" t="s">
        <v>3154</v>
      </c>
    </row>
    <row r="1545" spans="1:82" hidden="1" outlineLevel="1">
      <c r="A1545" t="s">
        <v>1380</v>
      </c>
      <c r="B1545" t="s">
        <v>1113</v>
      </c>
      <c r="C1545" s="1">
        <f t="shared" si="633"/>
        <v>10070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>IF(P1545&gt;0,RANK(P1545,(N1545:P1545,Q1545:AE1545)),0)</f>
        <v>0</v>
      </c>
      <c r="G1545" s="132">
        <f t="shared" si="642"/>
        <v>771</v>
      </c>
      <c r="H1545" s="137">
        <f t="shared" si="643"/>
        <v>7.6564051638530292E-2</v>
      </c>
      <c r="I1545" s="2"/>
      <c r="J1545" s="2">
        <f t="shared" si="634"/>
        <v>0.53316782522343598</v>
      </c>
      <c r="K1545" s="2">
        <f t="shared" si="635"/>
        <v>0.45660377358490567</v>
      </c>
      <c r="L1545" s="2">
        <f t="shared" si="636"/>
        <v>0</v>
      </c>
      <c r="M1545" s="2">
        <f t="shared" si="637"/>
        <v>1.0228401191658354E-2</v>
      </c>
      <c r="N1545" s="63">
        <v>5369</v>
      </c>
      <c r="O1545" s="63">
        <v>4598</v>
      </c>
      <c r="P1545" s="63"/>
      <c r="Q1545" s="63">
        <v>47</v>
      </c>
      <c r="R1545" s="63">
        <v>6</v>
      </c>
      <c r="S1545" s="63">
        <v>33</v>
      </c>
      <c r="T1545" s="63">
        <v>6</v>
      </c>
      <c r="U1545" s="63"/>
      <c r="V1545" s="63"/>
      <c r="W1545" s="63">
        <f>IF(Copyright!B$11=1,IF(CA1545&gt;0,CA1545-P1545-SUM(AE1545:AQ1545)-SUM(X1545:AC1545)-SUM(U1545:V1545),SUM(CB1545:CM1545)),SUM(CC1545:CM1545))</f>
        <v>0</v>
      </c>
      <c r="X1545" s="63"/>
      <c r="Y1545" s="63"/>
      <c r="Z1545" s="63"/>
      <c r="AA1545" s="63"/>
      <c r="AB1545" s="63"/>
      <c r="AC1545" s="63"/>
      <c r="AD1545" s="63">
        <v>11</v>
      </c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/>
      <c r="AP1545" s="63"/>
      <c r="AQ1545" s="63"/>
      <c r="AR1545" s="63"/>
      <c r="AS1545" s="63"/>
      <c r="AT1545" s="63"/>
      <c r="AU1545" s="63"/>
      <c r="AW1545" s="5">
        <f>IF(Q1545&gt;0,RANK(Q1545,(N1545:P1545,Q1545:AE1545)),0)</f>
        <v>3</v>
      </c>
      <c r="AX1545" s="5">
        <f>IF(R1545&gt;0,RANK(R1545,(N1545:P1545,Q1545:AE1545)),0)</f>
        <v>6</v>
      </c>
      <c r="AY1545" s="5">
        <f>IF(T1545&gt;0,RANK(T1545,(N1545:P1545,Q1545:AE1545)),0)</f>
        <v>6</v>
      </c>
      <c r="AZ1545" s="5">
        <f>IF(S1545&gt;0,RANK(S1545,(N1545:P1545,Q1545:AE1545)),0)</f>
        <v>4</v>
      </c>
      <c r="BA1545" s="2">
        <f t="shared" si="638"/>
        <v>4.6673286991062565E-3</v>
      </c>
      <c r="BB1545" s="2">
        <f t="shared" si="639"/>
        <v>5.9582919563058593E-4</v>
      </c>
      <c r="BC1545" s="2">
        <f t="shared" si="640"/>
        <v>5.9582919563058593E-4</v>
      </c>
      <c r="BD1545" s="2">
        <f t="shared" si="641"/>
        <v>3.2770605759682224E-3</v>
      </c>
      <c r="BF1545" t="s">
        <v>1380</v>
      </c>
      <c r="BG1545" t="s">
        <v>1113</v>
      </c>
      <c r="BH1545">
        <v>2</v>
      </c>
      <c r="BJ1545" s="114">
        <v>28</v>
      </c>
      <c r="BK1545" s="116">
        <v>163</v>
      </c>
      <c r="BL1545" s="120">
        <f t="shared" si="632"/>
        <v>28163</v>
      </c>
      <c r="BN1545" s="5" t="s">
        <v>3154</v>
      </c>
    </row>
    <row r="1546" spans="1:82" collapsed="1">
      <c r="A1546" t="s">
        <v>526</v>
      </c>
      <c r="B1546" t="s">
        <v>544</v>
      </c>
      <c r="C1546" s="1">
        <f t="shared" si="633"/>
        <v>1211088</v>
      </c>
      <c r="D1546" s="5">
        <f>IF(N1546&gt;0, RANK(N1546,(N1546:P1546,Q1546:AE1546)),0)</f>
        <v>2</v>
      </c>
      <c r="E1546" s="5">
        <f>IF(O1546&gt;0,RANK(O1546,(N1546:P1546,Q1546:AE1546)),0)</f>
        <v>1</v>
      </c>
      <c r="F1546" s="5">
        <f>IF(P1546&gt;0,RANK(P1546,(N1546:P1546,Q1546:AE1546)),0)</f>
        <v>0</v>
      </c>
      <c r="G1546" s="132">
        <f t="shared" si="642"/>
        <v>215583</v>
      </c>
      <c r="H1546" s="137">
        <f t="shared" si="643"/>
        <v>0.17800770877095637</v>
      </c>
      <c r="I1546" s="2"/>
      <c r="J1546" s="2">
        <f t="shared" si="634"/>
        <v>0.40057452472487548</v>
      </c>
      <c r="K1546" s="2">
        <f t="shared" si="635"/>
        <v>0.57858223349583182</v>
      </c>
      <c r="L1546" s="2">
        <f t="shared" si="636"/>
        <v>0</v>
      </c>
      <c r="M1546" s="2">
        <f t="shared" si="637"/>
        <v>2.0843241779292643E-2</v>
      </c>
      <c r="N1546" s="63">
        <f t="shared" ref="N1546:T1546" si="644">SUM(N1464:N1545)</f>
        <v>485131</v>
      </c>
      <c r="O1546" s="63">
        <f t="shared" si="644"/>
        <v>700714</v>
      </c>
      <c r="P1546" s="63"/>
      <c r="Q1546" s="63">
        <f t="shared" si="644"/>
        <v>14435</v>
      </c>
      <c r="R1546" s="63">
        <f t="shared" si="644"/>
        <v>3731</v>
      </c>
      <c r="S1546" s="63">
        <f t="shared" si="644"/>
        <v>3987</v>
      </c>
      <c r="T1546" s="63">
        <f t="shared" si="644"/>
        <v>644</v>
      </c>
      <c r="U1546" s="63"/>
      <c r="V1546" s="63"/>
      <c r="W1546" s="63">
        <f t="shared" ref="W1546" si="645">SUM(W1464:W1545)</f>
        <v>1731</v>
      </c>
      <c r="X1546" s="63"/>
      <c r="Y1546" s="63"/>
      <c r="Z1546" s="63"/>
      <c r="AA1546" s="63"/>
      <c r="AB1546" s="63"/>
      <c r="AC1546" s="63"/>
      <c r="AD1546" s="63">
        <f t="shared" ref="AD1546" si="646">SUM(AD1464:AD1545)</f>
        <v>715</v>
      </c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W1546" s="5">
        <f>IF(Q1546&gt;0,RANK(Q1546,(N1546:P1546,Q1546:AE1546)),0)</f>
        <v>3</v>
      </c>
      <c r="AX1546" s="5">
        <f>IF(R1546&gt;0,RANK(R1546,(N1546:P1546,Q1546:AE1546)),0)</f>
        <v>5</v>
      </c>
      <c r="AY1546" s="5">
        <f>IF(T1546&gt;0,RANK(T1546,(N1546:P1546,Q1546:AE1546)),0)</f>
        <v>8</v>
      </c>
      <c r="AZ1546" s="5">
        <f>IF(S1546&gt;0,RANK(S1546,(N1546:P1546,Q1546:AE1546)),0)</f>
        <v>4</v>
      </c>
      <c r="BA1546" s="2">
        <f t="shared" si="638"/>
        <v>1.1919034785250948E-2</v>
      </c>
      <c r="BB1546" s="2">
        <f t="shared" si="639"/>
        <v>3.0807009895234697E-3</v>
      </c>
      <c r="BC1546" s="2">
        <f t="shared" si="640"/>
        <v>5.3175326648435123E-4</v>
      </c>
      <c r="BD1546" s="2">
        <f t="shared" si="641"/>
        <v>3.2920811699892988E-3</v>
      </c>
      <c r="BF1546" t="s">
        <v>526</v>
      </c>
      <c r="BG1546" t="s">
        <v>544</v>
      </c>
      <c r="BJ1546" s="114">
        <v>28</v>
      </c>
      <c r="BK1546" s="116"/>
      <c r="BL1546" s="114">
        <v>28</v>
      </c>
      <c r="BN1546" s="5" t="s">
        <v>711</v>
      </c>
      <c r="CA1546" s="63">
        <f>SUM(CA1464:CA1545)</f>
        <v>1731</v>
      </c>
    </row>
    <row r="1547" spans="1:82">
      <c r="C1547" s="1"/>
      <c r="E1547" s="5"/>
      <c r="F1547" s="5"/>
      <c r="G1547" s="132"/>
      <c r="H1547" s="137"/>
      <c r="I1547" s="2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W1547" s="5"/>
      <c r="AX1547" s="5"/>
      <c r="AY1547" s="5"/>
      <c r="AZ1547" s="5"/>
      <c r="BJ1547" s="114"/>
      <c r="BK1547" s="116"/>
      <c r="BL1547" s="120"/>
      <c r="CB1547" s="132"/>
      <c r="CD1547" s="63" t="s">
        <v>3714</v>
      </c>
    </row>
    <row r="1548" spans="1:82" hidden="1" outlineLevel="1">
      <c r="A1548" t="s">
        <v>1587</v>
      </c>
      <c r="B1548" t="s">
        <v>1213</v>
      </c>
      <c r="C1548" s="1">
        <f t="shared" ref="C1548:C1579" si="647">SUM(N1548:AU1548)</f>
        <v>10226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5</v>
      </c>
      <c r="G1548" s="132">
        <f t="shared" si="642"/>
        <v>2530</v>
      </c>
      <c r="H1548" s="137">
        <f t="shared" si="643"/>
        <v>0.24740856639937414</v>
      </c>
      <c r="I1548" s="2"/>
      <c r="J1548" s="2">
        <f t="shared" ref="J1548:J1579" si="648">IF($C1548=0,"-",N1548/$C1548)</f>
        <v>0.3422648151769998</v>
      </c>
      <c r="K1548" s="2">
        <f t="shared" ref="K1548:K1579" si="649">IF($C1548=0,"-",O1548/$C1548)</f>
        <v>0.58967338157637395</v>
      </c>
      <c r="L1548" s="2">
        <f t="shared" ref="L1548:L1579" si="650">IF($C1548=0,"-",P1548/$C1548)</f>
        <v>7.1386661451202814E-3</v>
      </c>
      <c r="M1548" s="2">
        <f t="shared" ref="M1548:M1579" si="651">IF(C1548=0,"-",(1-J1548-K1548-L1548))</f>
        <v>6.0923137101505973E-2</v>
      </c>
      <c r="N1548" s="63">
        <v>3500</v>
      </c>
      <c r="O1548" s="63">
        <v>6030</v>
      </c>
      <c r="P1548" s="63">
        <v>73</v>
      </c>
      <c r="Q1548" s="63">
        <v>426</v>
      </c>
      <c r="R1548" s="63">
        <v>147</v>
      </c>
      <c r="S1548" s="63">
        <v>50</v>
      </c>
      <c r="T1548" s="63">
        <v>0</v>
      </c>
      <c r="U1548" s="63"/>
      <c r="V1548" s="63"/>
      <c r="W1548" s="63">
        <f>IF(Copyright!B$11=1,IF(CA1548&gt;0,CA1548-P1548-SUM(T1548:V1548)-SUM(X1548:AC1548)-SUM(AE1548:AM1548)-SUM(AN1548:AQ1548),SUM(CD1548:CF1548)),SUM(CD1548:CF1548))</f>
        <v>0</v>
      </c>
      <c r="X1548" s="63"/>
      <c r="Y1548" s="63">
        <v>0</v>
      </c>
      <c r="Z1548" s="63"/>
      <c r="AA1548" s="63"/>
      <c r="AB1548" s="63"/>
      <c r="AC1548" s="63"/>
      <c r="AD1548" s="63"/>
      <c r="AE1548" s="63">
        <v>0</v>
      </c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W1548" s="5">
        <f>IF(Q1548&gt;0,RANK(Q1548,(N1548:P1548,Q1548:AE1548)),0)</f>
        <v>3</v>
      </c>
      <c r="AX1548" s="5">
        <f>IF(R1548&gt;0,RANK(R1548,(N1548:P1548,Q1548:AE1548)),0)</f>
        <v>4</v>
      </c>
      <c r="AY1548" s="5">
        <f>IF(T1548&gt;0,RANK(T1548,(N1548:P1548,Q1548:AE1548)),0)</f>
        <v>0</v>
      </c>
      <c r="AZ1548" s="5">
        <f>IF(S1548&gt;0,RANK(S1548,(N1548:P1548,Q1548:AE1548)),0)</f>
        <v>6</v>
      </c>
      <c r="BA1548" s="2">
        <f t="shared" ref="BA1548:BA1579" si="652">IF($C1548=0,"-",Q1548/$C1548)</f>
        <v>4.1658517504400548E-2</v>
      </c>
      <c r="BB1548" s="2">
        <f t="shared" ref="BB1548:BB1579" si="653">IF($C1548=0,"-",R1548/$C1548)</f>
        <v>1.4375122237433991E-2</v>
      </c>
      <c r="BC1548" s="2">
        <f t="shared" ref="BC1548:BC1579" si="654">IF($C1548=0,"-",T1548/$C1548)</f>
        <v>0</v>
      </c>
      <c r="BD1548" s="2">
        <f t="shared" ref="BD1548:BD1579" si="655">IF($C1548=0,"-",S1548/$C1548)</f>
        <v>4.8894973596714259E-3</v>
      </c>
      <c r="BF1548" t="s">
        <v>1587</v>
      </c>
      <c r="BG1548" t="s">
        <v>1213</v>
      </c>
      <c r="BH1548">
        <v>6</v>
      </c>
      <c r="BJ1548" s="114">
        <v>29</v>
      </c>
      <c r="BK1548" s="116">
        <v>1</v>
      </c>
      <c r="BL1548" s="120">
        <f t="shared" si="632"/>
        <v>29001</v>
      </c>
      <c r="BN1548" s="5" t="s">
        <v>3154</v>
      </c>
      <c r="BY1548" s="63">
        <f>C1548-BZ1548</f>
        <v>10226</v>
      </c>
      <c r="CB1548" s="132"/>
      <c r="CD1548" s="63">
        <v>0</v>
      </c>
    </row>
    <row r="1549" spans="1:82" hidden="1" outlineLevel="1">
      <c r="A1549" t="s">
        <v>859</v>
      </c>
      <c r="B1549" t="s">
        <v>1213</v>
      </c>
      <c r="C1549" s="1">
        <f t="shared" si="647"/>
        <v>9194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32">
        <f t="shared" si="642"/>
        <v>4620</v>
      </c>
      <c r="H1549" s="137">
        <f t="shared" si="643"/>
        <v>0.50250163149880356</v>
      </c>
      <c r="I1549" s="2"/>
      <c r="J1549" s="2">
        <f t="shared" si="648"/>
        <v>0.2224276702197085</v>
      </c>
      <c r="K1549" s="2">
        <f t="shared" si="649"/>
        <v>0.72492930171851211</v>
      </c>
      <c r="L1549" s="2">
        <f t="shared" si="650"/>
        <v>0</v>
      </c>
      <c r="M1549" s="2">
        <f t="shared" si="651"/>
        <v>5.264302806177934E-2</v>
      </c>
      <c r="N1549" s="63">
        <v>2045</v>
      </c>
      <c r="O1549" s="63">
        <v>6665</v>
      </c>
      <c r="P1549" s="63">
        <v>0</v>
      </c>
      <c r="Q1549" s="63">
        <v>336</v>
      </c>
      <c r="R1549" s="63">
        <v>64</v>
      </c>
      <c r="S1549" s="63">
        <v>30</v>
      </c>
      <c r="T1549" s="63">
        <v>0</v>
      </c>
      <c r="U1549" s="63"/>
      <c r="V1549" s="63"/>
      <c r="W1549" s="63">
        <f>IF(Copyright!B$11=1,IF(CA1549&gt;0,CA1549-P1549-SUM(T1549:V1549)-SUM(X1549:AC1549)-SUM(AE1549:AM1549)-SUM(AN1549:AQ1549),SUM(CD1549:CF1549)),SUM(CD1549:CF1549))</f>
        <v>54</v>
      </c>
      <c r="X1549" s="63"/>
      <c r="Y1549" s="63">
        <v>0</v>
      </c>
      <c r="Z1549" s="63"/>
      <c r="AA1549" s="63"/>
      <c r="AB1549" s="63"/>
      <c r="AC1549" s="63"/>
      <c r="AD1549" s="63"/>
      <c r="AE1549" s="63">
        <v>0</v>
      </c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W1549" s="5">
        <f>IF(Q1549&gt;0,RANK(Q1549,(N1549:P1549,Q1549:AE1549)),0)</f>
        <v>3</v>
      </c>
      <c r="AX1549" s="5">
        <f>IF(R1549&gt;0,RANK(R1549,(N1549:P1549,Q1549:AE1549)),0)</f>
        <v>4</v>
      </c>
      <c r="AY1549" s="5">
        <f>IF(T1549&gt;0,RANK(T1549,(N1549:P1549,Q1549:AE1549)),0)</f>
        <v>0</v>
      </c>
      <c r="AZ1549" s="5">
        <f>IF(S1549&gt;0,RANK(S1549,(N1549:P1549,Q1549:AE1549)),0)</f>
        <v>6</v>
      </c>
      <c r="BA1549" s="2">
        <f t="shared" si="652"/>
        <v>3.6545573199912987E-2</v>
      </c>
      <c r="BB1549" s="2">
        <f t="shared" si="653"/>
        <v>6.961061561888188E-3</v>
      </c>
      <c r="BC1549" s="2">
        <f t="shared" si="654"/>
        <v>0</v>
      </c>
      <c r="BD1549" s="2">
        <f t="shared" si="655"/>
        <v>3.262997607135088E-3</v>
      </c>
      <c r="BF1549" t="s">
        <v>859</v>
      </c>
      <c r="BG1549" t="s">
        <v>1213</v>
      </c>
      <c r="BH1549">
        <v>6</v>
      </c>
      <c r="BJ1549" s="114">
        <v>29</v>
      </c>
      <c r="BK1549" s="116">
        <v>3</v>
      </c>
      <c r="BL1549" s="120">
        <f t="shared" si="632"/>
        <v>29003</v>
      </c>
      <c r="BN1549" s="5" t="s">
        <v>3154</v>
      </c>
      <c r="BY1549" s="63">
        <f t="shared" ref="BY1549:BY1612" si="656">C1549-BZ1549</f>
        <v>0</v>
      </c>
      <c r="BZ1549" s="133">
        <v>9194</v>
      </c>
      <c r="CA1549" s="133">
        <v>54</v>
      </c>
      <c r="CB1549" s="132"/>
      <c r="CD1549" s="63">
        <v>0</v>
      </c>
    </row>
    <row r="1550" spans="1:82" hidden="1" outlineLevel="1">
      <c r="A1550" t="s">
        <v>1712</v>
      </c>
      <c r="B1550" t="s">
        <v>1213</v>
      </c>
      <c r="C1550" s="1">
        <f t="shared" si="647"/>
        <v>2730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5</v>
      </c>
      <c r="G1550" s="132">
        <f t="shared" si="642"/>
        <v>1519</v>
      </c>
      <c r="H1550" s="137">
        <f t="shared" si="643"/>
        <v>0.55641025641025643</v>
      </c>
      <c r="I1550" s="2"/>
      <c r="J1550" s="2">
        <f t="shared" si="648"/>
        <v>0.19816849816849816</v>
      </c>
      <c r="K1550" s="2">
        <f t="shared" si="649"/>
        <v>0.75457875457875456</v>
      </c>
      <c r="L1550" s="2">
        <f t="shared" si="650"/>
        <v>2.1978021978021978E-3</v>
      </c>
      <c r="M1550" s="2">
        <f t="shared" si="651"/>
        <v>4.505494505494511E-2</v>
      </c>
      <c r="N1550" s="63">
        <v>541</v>
      </c>
      <c r="O1550" s="63">
        <v>2060</v>
      </c>
      <c r="P1550" s="63">
        <v>6</v>
      </c>
      <c r="Q1550" s="63">
        <v>104</v>
      </c>
      <c r="R1550" s="63">
        <v>14</v>
      </c>
      <c r="S1550" s="63">
        <v>5</v>
      </c>
      <c r="T1550" s="63">
        <v>0</v>
      </c>
      <c r="U1550" s="63"/>
      <c r="V1550" s="63"/>
      <c r="W1550" s="63">
        <f>IF(Copyright!B$11=1,IF(CA1550&gt;0,CA1550-P1550-SUM(T1550:V1550)-SUM(X1550:AC1550)-SUM(AE1550:AM1550)-SUM(AN1550:AQ1550),SUM(CD1550:CF1550)),SUM(CD1550:CF1550))</f>
        <v>0</v>
      </c>
      <c r="X1550" s="63"/>
      <c r="Y1550" s="63">
        <v>0</v>
      </c>
      <c r="Z1550" s="63"/>
      <c r="AA1550" s="63"/>
      <c r="AB1550" s="63"/>
      <c r="AC1550" s="63"/>
      <c r="AD1550" s="63"/>
      <c r="AE1550" s="63">
        <v>0</v>
      </c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W1550" s="5">
        <f>IF(Q1550&gt;0,RANK(Q1550,(N1550:P1550,Q1550:AE1550)),0)</f>
        <v>3</v>
      </c>
      <c r="AX1550" s="5">
        <f>IF(R1550&gt;0,RANK(R1550,(N1550:P1550,Q1550:AE1550)),0)</f>
        <v>4</v>
      </c>
      <c r="AY1550" s="5">
        <f>IF(T1550&gt;0,RANK(T1550,(N1550:P1550,Q1550:AE1550)),0)</f>
        <v>0</v>
      </c>
      <c r="AZ1550" s="5">
        <f>IF(S1550&gt;0,RANK(S1550,(N1550:P1550,Q1550:AE1550)),0)</f>
        <v>6</v>
      </c>
      <c r="BA1550" s="2">
        <f t="shared" si="652"/>
        <v>3.8095238095238099E-2</v>
      </c>
      <c r="BB1550" s="2">
        <f t="shared" si="653"/>
        <v>5.1282051282051282E-3</v>
      </c>
      <c r="BC1550" s="2">
        <f t="shared" si="654"/>
        <v>0</v>
      </c>
      <c r="BD1550" s="2">
        <f t="shared" si="655"/>
        <v>1.8315018315018315E-3</v>
      </c>
      <c r="BF1550" t="s">
        <v>1712</v>
      </c>
      <c r="BG1550" t="s">
        <v>1213</v>
      </c>
      <c r="BH1550">
        <v>6</v>
      </c>
      <c r="BJ1550" s="114">
        <v>29</v>
      </c>
      <c r="BK1550" s="116">
        <v>5</v>
      </c>
      <c r="BL1550" s="120">
        <f t="shared" si="632"/>
        <v>29005</v>
      </c>
      <c r="BN1550" s="5" t="s">
        <v>3154</v>
      </c>
      <c r="BY1550" s="63">
        <f t="shared" si="656"/>
        <v>2730</v>
      </c>
      <c r="CB1550" s="132"/>
      <c r="CD1550" s="63">
        <v>0</v>
      </c>
    </row>
    <row r="1551" spans="1:82" hidden="1" outlineLevel="1">
      <c r="A1551" t="s">
        <v>2292</v>
      </c>
      <c r="B1551" t="s">
        <v>1213</v>
      </c>
      <c r="C1551" s="1">
        <f t="shared" si="647"/>
        <v>10133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7</v>
      </c>
      <c r="G1551" s="132">
        <f t="shared" si="642"/>
        <v>4411</v>
      </c>
      <c r="H1551" s="137">
        <f t="shared" si="643"/>
        <v>0.43531037205171225</v>
      </c>
      <c r="I1551" s="2"/>
      <c r="J1551" s="2">
        <f t="shared" si="648"/>
        <v>0.25362676403829071</v>
      </c>
      <c r="K1551" s="2">
        <f t="shared" si="649"/>
        <v>0.68893713609000296</v>
      </c>
      <c r="L1551" s="2">
        <f t="shared" si="650"/>
        <v>1.1842494818908517E-3</v>
      </c>
      <c r="M1551" s="2">
        <f t="shared" si="651"/>
        <v>5.6251850389815429E-2</v>
      </c>
      <c r="N1551" s="63">
        <v>2570</v>
      </c>
      <c r="O1551" s="63">
        <v>6981</v>
      </c>
      <c r="P1551" s="63">
        <v>12</v>
      </c>
      <c r="Q1551" s="63">
        <v>363</v>
      </c>
      <c r="R1551" s="63">
        <v>73</v>
      </c>
      <c r="S1551" s="63">
        <v>59</v>
      </c>
      <c r="T1551" s="63">
        <v>0</v>
      </c>
      <c r="U1551" s="63"/>
      <c r="V1551" s="63"/>
      <c r="W1551" s="63">
        <f>IF(Copyright!B$11=1,IF(CA1551&gt;0,CA1551-P1551-SUM(T1551:V1551)-SUM(X1551:AC1551)-SUM(AE1551:AM1551)-SUM(AN1551:AQ1551),SUM(CD1551:CF1551)),SUM(CD1551:CF1551))</f>
        <v>72</v>
      </c>
      <c r="X1551" s="63"/>
      <c r="Y1551" s="63">
        <v>3</v>
      </c>
      <c r="Z1551" s="63"/>
      <c r="AA1551" s="63"/>
      <c r="AB1551" s="63"/>
      <c r="AC1551" s="63"/>
      <c r="AD1551" s="63"/>
      <c r="AE1551" s="63">
        <v>0</v>
      </c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W1551" s="5">
        <f>IF(Q1551&gt;0,RANK(Q1551,(N1551:P1551,Q1551:AE1551)),0)</f>
        <v>3</v>
      </c>
      <c r="AX1551" s="5">
        <f>IF(R1551&gt;0,RANK(R1551,(N1551:P1551,Q1551:AE1551)),0)</f>
        <v>4</v>
      </c>
      <c r="AY1551" s="5">
        <f>IF(T1551&gt;0,RANK(T1551,(N1551:P1551,Q1551:AE1551)),0)</f>
        <v>0</v>
      </c>
      <c r="AZ1551" s="5">
        <f>IF(S1551&gt;0,RANK(S1551,(N1551:P1551,Q1551:AE1551)),0)</f>
        <v>6</v>
      </c>
      <c r="BA1551" s="2">
        <f t="shared" si="652"/>
        <v>3.5823546827198266E-2</v>
      </c>
      <c r="BB1551" s="2">
        <f t="shared" si="653"/>
        <v>7.2041843481693473E-3</v>
      </c>
      <c r="BC1551" s="2">
        <f t="shared" si="654"/>
        <v>0</v>
      </c>
      <c r="BD1551" s="2">
        <f t="shared" si="655"/>
        <v>5.8225599526300206E-3</v>
      </c>
      <c r="BF1551" t="s">
        <v>2292</v>
      </c>
      <c r="BG1551" t="s">
        <v>1213</v>
      </c>
      <c r="BJ1551" s="114">
        <v>29</v>
      </c>
      <c r="BK1551" s="116">
        <v>7</v>
      </c>
      <c r="BL1551" s="120">
        <f t="shared" si="632"/>
        <v>29007</v>
      </c>
      <c r="BN1551" s="5" t="s">
        <v>3154</v>
      </c>
      <c r="BY1551" s="63">
        <f t="shared" si="656"/>
        <v>0</v>
      </c>
      <c r="BZ1551" s="132">
        <v>10133</v>
      </c>
      <c r="CA1551" s="132">
        <v>87</v>
      </c>
      <c r="CB1551" s="132"/>
      <c r="CD1551" s="63">
        <v>0</v>
      </c>
    </row>
    <row r="1552" spans="1:82" hidden="1" outlineLevel="1">
      <c r="A1552" t="s">
        <v>1333</v>
      </c>
      <c r="B1552" t="s">
        <v>1213</v>
      </c>
      <c r="C1552" s="1">
        <f t="shared" si="647"/>
        <v>14605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32">
        <f t="shared" si="642"/>
        <v>8718</v>
      </c>
      <c r="H1552" s="137">
        <f t="shared" si="643"/>
        <v>0.5969188634029442</v>
      </c>
      <c r="I1552" s="2"/>
      <c r="J1552" s="2">
        <f t="shared" si="648"/>
        <v>0.18555289284491613</v>
      </c>
      <c r="K1552" s="2">
        <f t="shared" si="649"/>
        <v>0.78247175624786036</v>
      </c>
      <c r="L1552" s="2">
        <f t="shared" si="650"/>
        <v>0</v>
      </c>
      <c r="M1552" s="2">
        <f t="shared" si="651"/>
        <v>3.1975350907223477E-2</v>
      </c>
      <c r="N1552" s="63">
        <v>2710</v>
      </c>
      <c r="O1552" s="63">
        <v>11428</v>
      </c>
      <c r="P1552" s="63">
        <v>0</v>
      </c>
      <c r="Q1552" s="63">
        <v>338</v>
      </c>
      <c r="R1552" s="63">
        <v>66</v>
      </c>
      <c r="S1552" s="63">
        <v>63</v>
      </c>
      <c r="T1552" s="63">
        <v>0</v>
      </c>
      <c r="U1552" s="63"/>
      <c r="V1552" s="63"/>
      <c r="W1552" s="63">
        <f>IF(Copyright!B$11=1,IF(CA1552&gt;0,CA1552-P1552-SUM(T1552:V1552)-SUM(X1552:AC1552)-SUM(AE1552:AM1552)-SUM(AN1552:AQ1552),SUM(CD1552:CF1552)),SUM(CD1552:CF1552))</f>
        <v>0</v>
      </c>
      <c r="X1552" s="63"/>
      <c r="Y1552" s="63">
        <v>0</v>
      </c>
      <c r="Z1552" s="63"/>
      <c r="AA1552" s="63"/>
      <c r="AB1552" s="63"/>
      <c r="AC1552" s="63"/>
      <c r="AD1552" s="63"/>
      <c r="AE1552" s="63">
        <v>0</v>
      </c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W1552" s="5">
        <f>IF(Q1552&gt;0,RANK(Q1552,(N1552:P1552,Q1552:AE1552)),0)</f>
        <v>3</v>
      </c>
      <c r="AX1552" s="5">
        <f>IF(R1552&gt;0,RANK(R1552,(N1552:P1552,Q1552:AE1552)),0)</f>
        <v>4</v>
      </c>
      <c r="AY1552" s="5">
        <f>IF(T1552&gt;0,RANK(T1552,(N1552:P1552,Q1552:AE1552)),0)</f>
        <v>0</v>
      </c>
      <c r="AZ1552" s="5">
        <f>IF(S1552&gt;0,RANK(S1552,(N1552:P1552,Q1552:AE1552)),0)</f>
        <v>5</v>
      </c>
      <c r="BA1552" s="2">
        <f t="shared" si="652"/>
        <v>2.3142759328996919E-2</v>
      </c>
      <c r="BB1552" s="2">
        <f t="shared" si="653"/>
        <v>4.5190003423485111E-3</v>
      </c>
      <c r="BC1552" s="2">
        <f t="shared" si="654"/>
        <v>0</v>
      </c>
      <c r="BD1552" s="2">
        <f t="shared" si="655"/>
        <v>4.3135912358781238E-3</v>
      </c>
      <c r="BF1552" t="s">
        <v>1333</v>
      </c>
      <c r="BG1552" t="s">
        <v>1213</v>
      </c>
      <c r="BH1552">
        <v>7</v>
      </c>
      <c r="BJ1552" s="114">
        <v>29</v>
      </c>
      <c r="BK1552" s="116">
        <v>9</v>
      </c>
      <c r="BL1552" s="120">
        <f t="shared" si="632"/>
        <v>29009</v>
      </c>
      <c r="BN1552" s="5" t="s">
        <v>3154</v>
      </c>
      <c r="BY1552" s="63">
        <f t="shared" si="656"/>
        <v>14605</v>
      </c>
      <c r="CB1552" s="132"/>
      <c r="CD1552" s="63">
        <v>0</v>
      </c>
    </row>
    <row r="1553" spans="1:82" hidden="1" outlineLevel="1">
      <c r="A1553" t="s">
        <v>545</v>
      </c>
      <c r="B1553" t="s">
        <v>1213</v>
      </c>
      <c r="C1553" s="1">
        <f t="shared" si="647"/>
        <v>5939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6</v>
      </c>
      <c r="G1553" s="132">
        <f t="shared" si="642"/>
        <v>4164</v>
      </c>
      <c r="H1553" s="137">
        <f t="shared" si="643"/>
        <v>0.70112813604984003</v>
      </c>
      <c r="I1553" s="2"/>
      <c r="J1553" s="2">
        <f t="shared" si="648"/>
        <v>0.13386091934669136</v>
      </c>
      <c r="K1553" s="2">
        <f t="shared" si="649"/>
        <v>0.83498905539653145</v>
      </c>
      <c r="L1553" s="2">
        <f t="shared" si="650"/>
        <v>1.0102710894089914E-3</v>
      </c>
      <c r="M1553" s="2">
        <f t="shared" si="651"/>
        <v>3.0139754167368246E-2</v>
      </c>
      <c r="N1553" s="63">
        <v>795</v>
      </c>
      <c r="O1553" s="63">
        <v>4959</v>
      </c>
      <c r="P1553" s="63">
        <v>6</v>
      </c>
      <c r="Q1553" s="63">
        <v>135</v>
      </c>
      <c r="R1553" s="63">
        <v>22</v>
      </c>
      <c r="S1553" s="63">
        <v>22</v>
      </c>
      <c r="T1553" s="63">
        <v>0</v>
      </c>
      <c r="U1553" s="63"/>
      <c r="V1553" s="63"/>
      <c r="W1553" s="63">
        <f>IF(Copyright!B$11=1,IF(CA1553&gt;0,CA1553-P1553-SUM(T1553:V1553)-SUM(X1553:AC1553)-SUM(AE1553:AM1553)-SUM(AN1553:AQ1553),SUM(CD1553:CF1553)),SUM(CD1553:CF1553))</f>
        <v>0</v>
      </c>
      <c r="X1553" s="63"/>
      <c r="Y1553" s="63">
        <v>0</v>
      </c>
      <c r="Z1553" s="63"/>
      <c r="AA1553" s="63"/>
      <c r="AB1553" s="63"/>
      <c r="AC1553" s="63"/>
      <c r="AD1553" s="63"/>
      <c r="AE1553" s="63">
        <v>0</v>
      </c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W1553" s="5">
        <f>IF(Q1553&gt;0,RANK(Q1553,(N1553:P1553,Q1553:AE1553)),0)</f>
        <v>3</v>
      </c>
      <c r="AX1553" s="5">
        <f>IF(R1553&gt;0,RANK(R1553,(N1553:P1553,Q1553:AE1553)),0)</f>
        <v>4</v>
      </c>
      <c r="AY1553" s="5">
        <f>IF(T1553&gt;0,RANK(T1553,(N1553:P1553,Q1553:AE1553)),0)</f>
        <v>0</v>
      </c>
      <c r="AZ1553" s="5">
        <f>IF(S1553&gt;0,RANK(S1553,(N1553:P1553,Q1553:AE1553)),0)</f>
        <v>4</v>
      </c>
      <c r="BA1553" s="2">
        <f t="shared" si="652"/>
        <v>2.2731099511702307E-2</v>
      </c>
      <c r="BB1553" s="2">
        <f t="shared" si="653"/>
        <v>3.7043273278329686E-3</v>
      </c>
      <c r="BC1553" s="2">
        <f t="shared" si="654"/>
        <v>0</v>
      </c>
      <c r="BD1553" s="2">
        <f t="shared" si="655"/>
        <v>3.7043273278329686E-3</v>
      </c>
      <c r="BF1553" t="s">
        <v>545</v>
      </c>
      <c r="BG1553" t="s">
        <v>1213</v>
      </c>
      <c r="BH1553">
        <v>4</v>
      </c>
      <c r="BJ1553" s="114">
        <v>29</v>
      </c>
      <c r="BK1553" s="116">
        <v>11</v>
      </c>
      <c r="BL1553" s="120">
        <f t="shared" si="632"/>
        <v>29011</v>
      </c>
      <c r="BN1553" s="5" t="s">
        <v>3154</v>
      </c>
      <c r="BY1553" s="63">
        <f t="shared" si="656"/>
        <v>5939</v>
      </c>
      <c r="CB1553" s="132"/>
      <c r="CD1553" s="63">
        <v>0</v>
      </c>
    </row>
    <row r="1554" spans="1:82" hidden="1" outlineLevel="1">
      <c r="A1554" t="s">
        <v>77</v>
      </c>
      <c r="B1554" t="s">
        <v>1213</v>
      </c>
      <c r="C1554" s="1">
        <f t="shared" si="647"/>
        <v>8083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7</v>
      </c>
      <c r="G1554" s="132">
        <f t="shared" si="642"/>
        <v>4383</v>
      </c>
      <c r="H1554" s="137">
        <f t="shared" si="643"/>
        <v>0.54224916491401709</v>
      </c>
      <c r="I1554" s="2"/>
      <c r="J1554" s="2">
        <f t="shared" si="648"/>
        <v>0.20017320301868119</v>
      </c>
      <c r="K1554" s="2">
        <f t="shared" si="649"/>
        <v>0.74242236793269822</v>
      </c>
      <c r="L1554" s="2">
        <f t="shared" si="650"/>
        <v>9.8973153532104421E-4</v>
      </c>
      <c r="M1554" s="2">
        <f t="shared" si="651"/>
        <v>5.6414697513299597E-2</v>
      </c>
      <c r="N1554" s="63">
        <v>1618</v>
      </c>
      <c r="O1554" s="63">
        <v>6001</v>
      </c>
      <c r="P1554" s="63">
        <v>8</v>
      </c>
      <c r="Q1554" s="63">
        <v>306</v>
      </c>
      <c r="R1554" s="63">
        <v>55</v>
      </c>
      <c r="S1554" s="63">
        <v>43</v>
      </c>
      <c r="T1554" s="63">
        <v>0</v>
      </c>
      <c r="U1554" s="63"/>
      <c r="V1554" s="63"/>
      <c r="W1554" s="63">
        <f>IF(Copyright!B$11=1,IF(CA1554&gt;0,CA1554-P1554-SUM(T1554:V1554)-SUM(X1554:AC1554)-SUM(AE1554:AM1554)-SUM(AN1554:AQ1554),SUM(CD1554:CF1554)),SUM(CD1554:CF1554))</f>
        <v>52</v>
      </c>
      <c r="X1554" s="63"/>
      <c r="Y1554" s="63">
        <v>0</v>
      </c>
      <c r="Z1554" s="63"/>
      <c r="AA1554" s="63"/>
      <c r="AB1554" s="63"/>
      <c r="AC1554" s="63"/>
      <c r="AD1554" s="63"/>
      <c r="AE1554" s="63">
        <v>0</v>
      </c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W1554" s="5">
        <f>IF(Q1554&gt;0,RANK(Q1554,(N1554:P1554,Q1554:AE1554)),0)</f>
        <v>3</v>
      </c>
      <c r="AX1554" s="5">
        <f>IF(R1554&gt;0,RANK(R1554,(N1554:P1554,Q1554:AE1554)),0)</f>
        <v>4</v>
      </c>
      <c r="AY1554" s="5">
        <f>IF(T1554&gt;0,RANK(T1554,(N1554:P1554,Q1554:AE1554)),0)</f>
        <v>0</v>
      </c>
      <c r="AZ1554" s="5">
        <f>IF(S1554&gt;0,RANK(S1554,(N1554:P1554,Q1554:AE1554)),0)</f>
        <v>6</v>
      </c>
      <c r="BA1554" s="2">
        <f t="shared" si="652"/>
        <v>3.7857231226029936E-2</v>
      </c>
      <c r="BB1554" s="2">
        <f t="shared" si="653"/>
        <v>6.8044043053321788E-3</v>
      </c>
      <c r="BC1554" s="2">
        <f t="shared" si="654"/>
        <v>0</v>
      </c>
      <c r="BD1554" s="2">
        <f t="shared" si="655"/>
        <v>5.3198070023506121E-3</v>
      </c>
      <c r="BF1554" t="s">
        <v>77</v>
      </c>
      <c r="BG1554" t="s">
        <v>1213</v>
      </c>
      <c r="BH1554">
        <v>4</v>
      </c>
      <c r="BJ1554" s="114">
        <v>29</v>
      </c>
      <c r="BK1554" s="116">
        <v>13</v>
      </c>
      <c r="BL1554" s="120">
        <f t="shared" si="632"/>
        <v>29013</v>
      </c>
      <c r="BN1554" s="5" t="s">
        <v>3154</v>
      </c>
      <c r="BY1554" s="63">
        <f t="shared" si="656"/>
        <v>0</v>
      </c>
      <c r="BZ1554" s="63">
        <v>8083</v>
      </c>
      <c r="CA1554" s="63">
        <v>60</v>
      </c>
      <c r="CB1554" s="132"/>
      <c r="CD1554" s="63">
        <v>0</v>
      </c>
    </row>
    <row r="1555" spans="1:82" hidden="1" outlineLevel="1">
      <c r="A1555" t="s">
        <v>1098</v>
      </c>
      <c r="B1555" t="s">
        <v>1213</v>
      </c>
      <c r="C1555" s="1">
        <f t="shared" si="647"/>
        <v>9590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6</v>
      </c>
      <c r="G1555" s="132">
        <f t="shared" si="642"/>
        <v>5188</v>
      </c>
      <c r="H1555" s="137">
        <f t="shared" si="643"/>
        <v>0.54098018769551615</v>
      </c>
      <c r="I1555" s="2"/>
      <c r="J1555" s="2">
        <f t="shared" si="648"/>
        <v>0.21115745568300312</v>
      </c>
      <c r="K1555" s="2">
        <f t="shared" si="649"/>
        <v>0.75213764337851929</v>
      </c>
      <c r="L1555" s="2">
        <f t="shared" si="650"/>
        <v>1.0427528675703858E-4</v>
      </c>
      <c r="M1555" s="2">
        <f t="shared" si="651"/>
        <v>3.6600625651720523E-2</v>
      </c>
      <c r="N1555" s="63">
        <v>2025</v>
      </c>
      <c r="O1555" s="63">
        <v>7213</v>
      </c>
      <c r="P1555" s="63">
        <v>1</v>
      </c>
      <c r="Q1555" s="63">
        <v>278</v>
      </c>
      <c r="R1555" s="63">
        <v>41</v>
      </c>
      <c r="S1555" s="63">
        <v>32</v>
      </c>
      <c r="T1555" s="63">
        <v>0</v>
      </c>
      <c r="U1555" s="63"/>
      <c r="V1555" s="63"/>
      <c r="W1555" s="63">
        <f>IF(Copyright!B$11=1,IF(CA1555&gt;0,CA1555-P1555-SUM(T1555:V1555)-SUM(X1555:AC1555)-SUM(AE1555:AM1555)-SUM(AN1555:AQ1555),SUM(CD1555:CF1555)),SUM(CD1555:CF1555))</f>
        <v>0</v>
      </c>
      <c r="X1555" s="63"/>
      <c r="Y1555" s="63">
        <v>0</v>
      </c>
      <c r="Z1555" s="63"/>
      <c r="AA1555" s="63"/>
      <c r="AB1555" s="63"/>
      <c r="AC1555" s="63"/>
      <c r="AD1555" s="63"/>
      <c r="AE1555" s="63">
        <v>0</v>
      </c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W1555" s="5">
        <f>IF(Q1555&gt;0,RANK(Q1555,(N1555:P1555,Q1555:AE1555)),0)</f>
        <v>3</v>
      </c>
      <c r="AX1555" s="5">
        <f>IF(R1555&gt;0,RANK(R1555,(N1555:P1555,Q1555:AE1555)),0)</f>
        <v>4</v>
      </c>
      <c r="AY1555" s="5">
        <f>IF(T1555&gt;0,RANK(T1555,(N1555:P1555,Q1555:AE1555)),0)</f>
        <v>0</v>
      </c>
      <c r="AZ1555" s="5">
        <f>IF(S1555&gt;0,RANK(S1555,(N1555:P1555,Q1555:AE1555)),0)</f>
        <v>5</v>
      </c>
      <c r="BA1555" s="2">
        <f t="shared" si="652"/>
        <v>2.8988529718456727E-2</v>
      </c>
      <c r="BB1555" s="2">
        <f t="shared" si="653"/>
        <v>4.2752867570385817E-3</v>
      </c>
      <c r="BC1555" s="2">
        <f t="shared" si="654"/>
        <v>0</v>
      </c>
      <c r="BD1555" s="2">
        <f t="shared" si="655"/>
        <v>3.3368091762252345E-3</v>
      </c>
      <c r="BF1555" t="s">
        <v>1098</v>
      </c>
      <c r="BG1555" t="s">
        <v>1213</v>
      </c>
      <c r="BH1555">
        <v>4</v>
      </c>
      <c r="BJ1555" s="114">
        <v>29</v>
      </c>
      <c r="BK1555" s="116">
        <v>15</v>
      </c>
      <c r="BL1555" s="120">
        <f t="shared" si="632"/>
        <v>29015</v>
      </c>
      <c r="BN1555" s="5" t="s">
        <v>3154</v>
      </c>
      <c r="BY1555" s="63">
        <f t="shared" si="656"/>
        <v>9590</v>
      </c>
      <c r="CB1555" s="132"/>
      <c r="CD1555" s="63">
        <v>0</v>
      </c>
    </row>
    <row r="1556" spans="1:82" hidden="1" outlineLevel="1">
      <c r="A1556" t="s">
        <v>707</v>
      </c>
      <c r="B1556" t="s">
        <v>1213</v>
      </c>
      <c r="C1556" s="1">
        <f t="shared" si="647"/>
        <v>5676</v>
      </c>
      <c r="D1556" s="5">
        <f>IF(N1556&gt;0, RANK(N1556,(N1556:P1556,Q1556:AE1556)),0)</f>
        <v>2</v>
      </c>
      <c r="E1556" s="5">
        <f>IF(O1556&gt;0,RANK(O1556,(N1556:P1556,Q1556:AE1556)),0)</f>
        <v>1</v>
      </c>
      <c r="F1556" s="5">
        <f>IF(P1556&gt;0,RANK(P1556,(N1556:P1556,Q1556:AE1556)),0)</f>
        <v>6</v>
      </c>
      <c r="G1556" s="132">
        <f t="shared" si="642"/>
        <v>4122</v>
      </c>
      <c r="H1556" s="137">
        <f t="shared" si="643"/>
        <v>0.72621564482029599</v>
      </c>
      <c r="I1556" s="2"/>
      <c r="J1556" s="2">
        <f t="shared" si="648"/>
        <v>0.12420718816067654</v>
      </c>
      <c r="K1556" s="2">
        <f t="shared" si="649"/>
        <v>0.85042283298097254</v>
      </c>
      <c r="L1556" s="2">
        <f t="shared" si="650"/>
        <v>1.2332628611698379E-3</v>
      </c>
      <c r="M1556" s="2">
        <f t="shared" si="651"/>
        <v>2.4136715997181066E-2</v>
      </c>
      <c r="N1556" s="63">
        <v>705</v>
      </c>
      <c r="O1556" s="63">
        <v>4827</v>
      </c>
      <c r="P1556" s="63">
        <v>7</v>
      </c>
      <c r="Q1556" s="63">
        <v>97</v>
      </c>
      <c r="R1556" s="63">
        <v>12</v>
      </c>
      <c r="S1556" s="63">
        <v>28</v>
      </c>
      <c r="T1556" s="63">
        <v>0</v>
      </c>
      <c r="U1556" s="63"/>
      <c r="V1556" s="63"/>
      <c r="W1556" s="63">
        <f>IF(Copyright!B$11=1,IF(CA1556&gt;0,CA1556-P1556-SUM(T1556:V1556)-SUM(X1556:AC1556)-SUM(AE1556:AM1556)-SUM(AN1556:AQ1556),SUM(CD1556:CF1556)),SUM(CD1556:CF1556))</f>
        <v>0</v>
      </c>
      <c r="X1556" s="63"/>
      <c r="Y1556" s="63">
        <v>0</v>
      </c>
      <c r="Z1556" s="63"/>
      <c r="AA1556" s="63"/>
      <c r="AB1556" s="63"/>
      <c r="AC1556" s="63"/>
      <c r="AD1556" s="63"/>
      <c r="AE1556" s="63">
        <v>0</v>
      </c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W1556" s="5">
        <f>IF(Q1556&gt;0,RANK(Q1556,(N1556:P1556,Q1556:AE1556)),0)</f>
        <v>3</v>
      </c>
      <c r="AX1556" s="5">
        <f>IF(R1556&gt;0,RANK(R1556,(N1556:P1556,Q1556:AE1556)),0)</f>
        <v>5</v>
      </c>
      <c r="AY1556" s="5">
        <f>IF(T1556&gt;0,RANK(T1556,(N1556:P1556,Q1556:AE1556)),0)</f>
        <v>0</v>
      </c>
      <c r="AZ1556" s="5">
        <f>IF(S1556&gt;0,RANK(S1556,(N1556:P1556,Q1556:AE1556)),0)</f>
        <v>4</v>
      </c>
      <c r="BA1556" s="2">
        <f t="shared" si="652"/>
        <v>1.7089499647639183E-2</v>
      </c>
      <c r="BB1556" s="2">
        <f t="shared" si="653"/>
        <v>2.1141649048625794E-3</v>
      </c>
      <c r="BC1556" s="2">
        <f t="shared" si="654"/>
        <v>0</v>
      </c>
      <c r="BD1556" s="2">
        <f t="shared" si="655"/>
        <v>4.9330514446793514E-3</v>
      </c>
      <c r="BF1556" t="s">
        <v>707</v>
      </c>
      <c r="BG1556" t="s">
        <v>1213</v>
      </c>
      <c r="BH1556">
        <v>8</v>
      </c>
      <c r="BJ1556" s="114">
        <v>29</v>
      </c>
      <c r="BK1556" s="116">
        <v>17</v>
      </c>
      <c r="BL1556" s="120">
        <f t="shared" si="632"/>
        <v>29017</v>
      </c>
      <c r="BN1556" s="5" t="s">
        <v>3154</v>
      </c>
      <c r="BY1556" s="63">
        <f t="shared" si="656"/>
        <v>5676</v>
      </c>
      <c r="CB1556" s="132"/>
      <c r="CD1556" s="63">
        <v>0</v>
      </c>
    </row>
    <row r="1557" spans="1:82" hidden="1" outlineLevel="1">
      <c r="A1557" t="s">
        <v>1043</v>
      </c>
      <c r="B1557" t="s">
        <v>1213</v>
      </c>
      <c r="C1557" s="1">
        <f t="shared" si="647"/>
        <v>83868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>IF(P1557&gt;0,RANK(P1557,(N1557:P1557,Q1557:AE1557)),0)</f>
        <v>6</v>
      </c>
      <c r="G1557" s="132">
        <f t="shared" si="642"/>
        <v>4925</v>
      </c>
      <c r="H1557" s="137">
        <f t="shared" si="643"/>
        <v>5.872323174512329E-2</v>
      </c>
      <c r="I1557" s="2"/>
      <c r="J1557" s="2">
        <f t="shared" si="648"/>
        <v>0.49035388944531882</v>
      </c>
      <c r="K1557" s="2">
        <f t="shared" si="649"/>
        <v>0.43163065770019554</v>
      </c>
      <c r="L1557" s="2">
        <f t="shared" si="650"/>
        <v>5.1867219917012446E-3</v>
      </c>
      <c r="M1557" s="2">
        <f t="shared" si="651"/>
        <v>7.2828730862784449E-2</v>
      </c>
      <c r="N1557" s="63">
        <v>41125</v>
      </c>
      <c r="O1557" s="63">
        <v>36200</v>
      </c>
      <c r="P1557" s="63">
        <v>435</v>
      </c>
      <c r="Q1557" s="63">
        <v>4268</v>
      </c>
      <c r="R1557" s="63">
        <v>1280</v>
      </c>
      <c r="S1557" s="63">
        <v>553</v>
      </c>
      <c r="T1557" s="63">
        <v>0</v>
      </c>
      <c r="U1557" s="63"/>
      <c r="V1557" s="63"/>
      <c r="W1557" s="63">
        <f>IF(Copyright!B$11=1,IF(CA1557&gt;0,CA1557-P1557-SUM(T1557:V1557)-SUM(X1557:AC1557)-SUM(AE1557:AM1557)-SUM(AN1557:AQ1557),SUM(CD1557:CF1557)),SUM(CD1557:CF1557))</f>
        <v>1</v>
      </c>
      <c r="X1557" s="63"/>
      <c r="Y1557" s="63">
        <v>2</v>
      </c>
      <c r="Z1557" s="63"/>
      <c r="AA1557" s="63"/>
      <c r="AB1557" s="63"/>
      <c r="AC1557" s="63"/>
      <c r="AD1557" s="63"/>
      <c r="AE1557" s="63">
        <v>4</v>
      </c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W1557" s="5">
        <f>IF(Q1557&gt;0,RANK(Q1557,(N1557:P1557,Q1557:AE1557)),0)</f>
        <v>3</v>
      </c>
      <c r="AX1557" s="5">
        <f>IF(R1557&gt;0,RANK(R1557,(N1557:P1557,Q1557:AE1557)),0)</f>
        <v>4</v>
      </c>
      <c r="AY1557" s="5">
        <f>IF(T1557&gt;0,RANK(T1557,(N1557:P1557,Q1557:AE1557)),0)</f>
        <v>0</v>
      </c>
      <c r="AZ1557" s="5">
        <f>IF(S1557&gt;0,RANK(S1557,(N1557:P1557,Q1557:AE1557)),0)</f>
        <v>5</v>
      </c>
      <c r="BA1557" s="2">
        <f t="shared" si="652"/>
        <v>5.0889493012829683E-2</v>
      </c>
      <c r="BB1557" s="2">
        <f t="shared" si="653"/>
        <v>1.5262078504316306E-2</v>
      </c>
      <c r="BC1557" s="2">
        <f t="shared" si="654"/>
        <v>0</v>
      </c>
      <c r="BD1557" s="2">
        <f t="shared" si="655"/>
        <v>6.5936948538179042E-3</v>
      </c>
      <c r="BF1557" t="s">
        <v>1043</v>
      </c>
      <c r="BG1557" t="s">
        <v>1213</v>
      </c>
      <c r="BH1557">
        <v>4</v>
      </c>
      <c r="BJ1557" s="114">
        <v>29</v>
      </c>
      <c r="BK1557" s="116">
        <v>19</v>
      </c>
      <c r="BL1557" s="120">
        <f t="shared" si="632"/>
        <v>29019</v>
      </c>
      <c r="BN1557" s="5" t="s">
        <v>3154</v>
      </c>
      <c r="BY1557" s="63">
        <f t="shared" si="656"/>
        <v>83868</v>
      </c>
      <c r="CB1557" s="132"/>
      <c r="CD1557" s="63">
        <v>1</v>
      </c>
    </row>
    <row r="1558" spans="1:82" hidden="1" outlineLevel="1">
      <c r="A1558" t="s">
        <v>864</v>
      </c>
      <c r="B1558" t="s">
        <v>1213</v>
      </c>
      <c r="C1558" s="1">
        <f t="shared" si="647"/>
        <v>35964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7</v>
      </c>
      <c r="G1558" s="132">
        <f t="shared" si="642"/>
        <v>9307</v>
      </c>
      <c r="H1558" s="137">
        <f t="shared" si="643"/>
        <v>0.25878656434211988</v>
      </c>
      <c r="I1558" s="2"/>
      <c r="J1558" s="2">
        <f t="shared" si="648"/>
        <v>0.33402847291736182</v>
      </c>
      <c r="K1558" s="2">
        <f t="shared" si="649"/>
        <v>0.5928150372594817</v>
      </c>
      <c r="L1558" s="2">
        <f t="shared" si="650"/>
        <v>2.4190857524190859E-3</v>
      </c>
      <c r="M1558" s="2">
        <f t="shared" si="651"/>
        <v>7.0737404070737392E-2</v>
      </c>
      <c r="N1558" s="63">
        <v>12013</v>
      </c>
      <c r="O1558" s="63">
        <v>21320</v>
      </c>
      <c r="P1558" s="63">
        <v>87</v>
      </c>
      <c r="Q1558" s="63">
        <v>1709</v>
      </c>
      <c r="R1558" s="63">
        <v>343</v>
      </c>
      <c r="S1558" s="63">
        <v>186</v>
      </c>
      <c r="T1558" s="63">
        <v>0</v>
      </c>
      <c r="U1558" s="63"/>
      <c r="V1558" s="63"/>
      <c r="W1558" s="63">
        <f>IF(Copyright!B$11=1,IF(CA1558&gt;0,CA1558-P1558-SUM(T1558:V1558)-SUM(X1558:AC1558)-SUM(AE1558:AM1558)-SUM(AN1558:AQ1558),SUM(CD1558:CF1558)),SUM(CD1558:CF1558))</f>
        <v>305</v>
      </c>
      <c r="X1558" s="63"/>
      <c r="Y1558" s="63">
        <v>1</v>
      </c>
      <c r="Z1558" s="63"/>
      <c r="AA1558" s="63"/>
      <c r="AB1558" s="63"/>
      <c r="AC1558" s="63"/>
      <c r="AD1558" s="63"/>
      <c r="AE1558" s="63">
        <v>0</v>
      </c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W1558" s="5">
        <f>IF(Q1558&gt;0,RANK(Q1558,(N1558:P1558,Q1558:AE1558)),0)</f>
        <v>3</v>
      </c>
      <c r="AX1558" s="5">
        <f>IF(R1558&gt;0,RANK(R1558,(N1558:P1558,Q1558:AE1558)),0)</f>
        <v>4</v>
      </c>
      <c r="AY1558" s="5">
        <f>IF(T1558&gt;0,RANK(T1558,(N1558:P1558,Q1558:AE1558)),0)</f>
        <v>0</v>
      </c>
      <c r="AZ1558" s="5">
        <f>IF(S1558&gt;0,RANK(S1558,(N1558:P1558,Q1558:AE1558)),0)</f>
        <v>6</v>
      </c>
      <c r="BA1558" s="2">
        <f t="shared" si="652"/>
        <v>4.7519741964186409E-2</v>
      </c>
      <c r="BB1558" s="2">
        <f t="shared" si="653"/>
        <v>9.537315092870648E-3</v>
      </c>
      <c r="BC1558" s="2">
        <f t="shared" si="654"/>
        <v>0</v>
      </c>
      <c r="BD1558" s="2">
        <f t="shared" si="655"/>
        <v>5.1718385051718382E-3</v>
      </c>
      <c r="BF1558" t="s">
        <v>864</v>
      </c>
      <c r="BG1558" t="s">
        <v>1213</v>
      </c>
      <c r="BH1558">
        <v>6</v>
      </c>
      <c r="BJ1558" s="114">
        <v>29</v>
      </c>
      <c r="BK1558" s="116">
        <v>21</v>
      </c>
      <c r="BL1558" s="120">
        <f t="shared" si="632"/>
        <v>29021</v>
      </c>
      <c r="BN1558" s="5" t="s">
        <v>3154</v>
      </c>
      <c r="BY1558" s="63">
        <f t="shared" si="656"/>
        <v>0</v>
      </c>
      <c r="BZ1558" s="63">
        <v>35964</v>
      </c>
      <c r="CA1558" s="63">
        <v>393</v>
      </c>
      <c r="CB1558" s="132"/>
      <c r="CD1558" s="63">
        <v>0</v>
      </c>
    </row>
    <row r="1559" spans="1:82" hidden="1" outlineLevel="1">
      <c r="A1559" t="s">
        <v>1806</v>
      </c>
      <c r="B1559" t="s">
        <v>1213</v>
      </c>
      <c r="C1559" s="1">
        <f t="shared" si="647"/>
        <v>17259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6</v>
      </c>
      <c r="G1559" s="132">
        <f t="shared" si="642"/>
        <v>10614</v>
      </c>
      <c r="H1559" s="137">
        <f t="shared" si="643"/>
        <v>0.61498348687641236</v>
      </c>
      <c r="I1559" s="2"/>
      <c r="J1559" s="2">
        <f t="shared" si="648"/>
        <v>0.17590822179732313</v>
      </c>
      <c r="K1559" s="2">
        <f t="shared" si="649"/>
        <v>0.79089170867373548</v>
      </c>
      <c r="L1559" s="2">
        <f t="shared" si="650"/>
        <v>1.2746972594008922E-3</v>
      </c>
      <c r="M1559" s="2">
        <f t="shared" si="651"/>
        <v>3.1925372269540495E-2</v>
      </c>
      <c r="N1559" s="63">
        <v>3036</v>
      </c>
      <c r="O1559" s="63">
        <v>13650</v>
      </c>
      <c r="P1559" s="63">
        <v>22</v>
      </c>
      <c r="Q1559" s="63">
        <v>392</v>
      </c>
      <c r="R1559" s="63">
        <v>98</v>
      </c>
      <c r="S1559" s="63">
        <v>59</v>
      </c>
      <c r="T1559" s="63">
        <v>0</v>
      </c>
      <c r="U1559" s="63"/>
      <c r="V1559" s="63"/>
      <c r="W1559" s="63">
        <f>IF(Copyright!B$11=1,IF(CA1559&gt;0,CA1559-P1559-SUM(T1559:V1559)-SUM(X1559:AC1559)-SUM(AE1559:AM1559)-SUM(AN1559:AQ1559),SUM(CD1559:CF1559)),SUM(CD1559:CF1559))</f>
        <v>0</v>
      </c>
      <c r="X1559" s="63"/>
      <c r="Y1559" s="63">
        <v>2</v>
      </c>
      <c r="Z1559" s="63"/>
      <c r="AA1559" s="63"/>
      <c r="AB1559" s="63"/>
      <c r="AC1559" s="63"/>
      <c r="AD1559" s="63"/>
      <c r="AE1559" s="63">
        <v>0</v>
      </c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W1559" s="5">
        <f>IF(Q1559&gt;0,RANK(Q1559,(N1559:P1559,Q1559:AE1559)),0)</f>
        <v>3</v>
      </c>
      <c r="AX1559" s="5">
        <f>IF(R1559&gt;0,RANK(R1559,(N1559:P1559,Q1559:AE1559)),0)</f>
        <v>4</v>
      </c>
      <c r="AY1559" s="5">
        <f>IF(T1559&gt;0,RANK(T1559,(N1559:P1559,Q1559:AE1559)),0)</f>
        <v>0</v>
      </c>
      <c r="AZ1559" s="5">
        <f>IF(S1559&gt;0,RANK(S1559,(N1559:P1559,Q1559:AE1559)),0)</f>
        <v>5</v>
      </c>
      <c r="BA1559" s="2">
        <f t="shared" si="652"/>
        <v>2.2712787531143173E-2</v>
      </c>
      <c r="BB1559" s="2">
        <f t="shared" si="653"/>
        <v>5.6781968827857932E-3</v>
      </c>
      <c r="BC1559" s="2">
        <f t="shared" si="654"/>
        <v>0</v>
      </c>
      <c r="BD1559" s="2">
        <f t="shared" si="655"/>
        <v>3.4185062865751204E-3</v>
      </c>
      <c r="BF1559" t="s">
        <v>1806</v>
      </c>
      <c r="BG1559" t="s">
        <v>1213</v>
      </c>
      <c r="BH1559">
        <v>8</v>
      </c>
      <c r="BJ1559" s="114">
        <v>29</v>
      </c>
      <c r="BK1559" s="116">
        <v>23</v>
      </c>
      <c r="BL1559" s="120">
        <f t="shared" si="632"/>
        <v>29023</v>
      </c>
      <c r="BN1559" s="5" t="s">
        <v>3154</v>
      </c>
      <c r="BY1559" s="63">
        <f t="shared" si="656"/>
        <v>17259</v>
      </c>
      <c r="CB1559" s="132"/>
      <c r="CD1559" s="63">
        <v>0</v>
      </c>
    </row>
    <row r="1560" spans="1:82" hidden="1" outlineLevel="1">
      <c r="A1560" t="s">
        <v>317</v>
      </c>
      <c r="B1560" t="s">
        <v>1213</v>
      </c>
      <c r="C1560" s="1">
        <f t="shared" si="647"/>
        <v>4312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6</v>
      </c>
      <c r="G1560" s="132">
        <f t="shared" si="642"/>
        <v>2394</v>
      </c>
      <c r="H1560" s="137">
        <f t="shared" si="643"/>
        <v>0.55519480519480524</v>
      </c>
      <c r="I1560" s="2"/>
      <c r="J1560" s="2">
        <f t="shared" si="648"/>
        <v>0.19434137291280149</v>
      </c>
      <c r="K1560" s="2">
        <f t="shared" si="649"/>
        <v>0.74953617810760664</v>
      </c>
      <c r="L1560" s="2">
        <f t="shared" si="650"/>
        <v>2.3191094619666049E-4</v>
      </c>
      <c r="M1560" s="2">
        <f t="shared" si="651"/>
        <v>5.5890538033395186E-2</v>
      </c>
      <c r="N1560" s="63">
        <v>838</v>
      </c>
      <c r="O1560" s="63">
        <v>3232</v>
      </c>
      <c r="P1560" s="63">
        <v>1</v>
      </c>
      <c r="Q1560" s="63">
        <v>188</v>
      </c>
      <c r="R1560" s="63">
        <v>26</v>
      </c>
      <c r="S1560" s="63">
        <v>27</v>
      </c>
      <c r="T1560" s="63">
        <v>0</v>
      </c>
      <c r="U1560" s="63"/>
      <c r="V1560" s="63"/>
      <c r="W1560" s="63">
        <f>IF(Copyright!B$11=1,IF(CA1560&gt;0,CA1560-P1560-SUM(T1560:V1560)-SUM(X1560:AC1560)-SUM(AE1560:AM1560)-SUM(AN1560:AQ1560),SUM(CD1560:CF1560)),SUM(CD1560:CF1560))</f>
        <v>0</v>
      </c>
      <c r="X1560" s="63"/>
      <c r="Y1560" s="63">
        <v>0</v>
      </c>
      <c r="Z1560" s="63"/>
      <c r="AA1560" s="63"/>
      <c r="AB1560" s="63"/>
      <c r="AC1560" s="63"/>
      <c r="AD1560" s="63"/>
      <c r="AE1560" s="63">
        <v>0</v>
      </c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W1560" s="5">
        <f>IF(Q1560&gt;0,RANK(Q1560,(N1560:P1560,Q1560:AE1560)),0)</f>
        <v>3</v>
      </c>
      <c r="AX1560" s="5">
        <f>IF(R1560&gt;0,RANK(R1560,(N1560:P1560,Q1560:AE1560)),0)</f>
        <v>5</v>
      </c>
      <c r="AY1560" s="5">
        <f>IF(T1560&gt;0,RANK(T1560,(N1560:P1560,Q1560:AE1560)),0)</f>
        <v>0</v>
      </c>
      <c r="AZ1560" s="5">
        <f>IF(S1560&gt;0,RANK(S1560,(N1560:P1560,Q1560:AE1560)),0)</f>
        <v>4</v>
      </c>
      <c r="BA1560" s="2">
        <f t="shared" si="652"/>
        <v>4.3599257884972167E-2</v>
      </c>
      <c r="BB1560" s="2">
        <f t="shared" si="653"/>
        <v>6.0296846011131727E-3</v>
      </c>
      <c r="BC1560" s="2">
        <f t="shared" si="654"/>
        <v>0</v>
      </c>
      <c r="BD1560" s="2">
        <f t="shared" si="655"/>
        <v>6.2615955473098329E-3</v>
      </c>
      <c r="BF1560" t="s">
        <v>317</v>
      </c>
      <c r="BG1560" t="s">
        <v>1213</v>
      </c>
      <c r="BH1560">
        <v>6</v>
      </c>
      <c r="BJ1560" s="114">
        <v>29</v>
      </c>
      <c r="BK1560" s="116">
        <v>25</v>
      </c>
      <c r="BL1560" s="120">
        <f t="shared" si="632"/>
        <v>29025</v>
      </c>
      <c r="BN1560" s="5" t="s">
        <v>3154</v>
      </c>
      <c r="BY1560" s="63">
        <f t="shared" si="656"/>
        <v>4312</v>
      </c>
      <c r="CB1560" s="132"/>
      <c r="CD1560" s="63">
        <v>0</v>
      </c>
    </row>
    <row r="1561" spans="1:82" hidden="1" outlineLevel="1">
      <c r="A1561" t="s">
        <v>1226</v>
      </c>
      <c r="B1561" t="s">
        <v>1213</v>
      </c>
      <c r="C1561" s="1">
        <f t="shared" si="647"/>
        <v>19333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7</v>
      </c>
      <c r="G1561" s="132">
        <f t="shared" si="642"/>
        <v>8068</v>
      </c>
      <c r="H1561" s="137">
        <f t="shared" si="643"/>
        <v>0.41731753995758547</v>
      </c>
      <c r="I1561" s="2"/>
      <c r="J1561" s="2">
        <f t="shared" si="648"/>
        <v>0.25805617338229969</v>
      </c>
      <c r="K1561" s="2">
        <f t="shared" si="649"/>
        <v>0.67537371333988516</v>
      </c>
      <c r="L1561" s="2">
        <f t="shared" si="650"/>
        <v>2.6897015465783894E-3</v>
      </c>
      <c r="M1561" s="2">
        <f t="shared" si="651"/>
        <v>6.3880411731236764E-2</v>
      </c>
      <c r="N1561" s="63">
        <v>4989</v>
      </c>
      <c r="O1561" s="63">
        <v>13057</v>
      </c>
      <c r="P1561" s="63">
        <v>52</v>
      </c>
      <c r="Q1561" s="63">
        <v>757</v>
      </c>
      <c r="R1561" s="63">
        <v>182</v>
      </c>
      <c r="S1561" s="63">
        <v>153</v>
      </c>
      <c r="T1561" s="63">
        <v>1</v>
      </c>
      <c r="U1561" s="63"/>
      <c r="V1561" s="63"/>
      <c r="W1561" s="63">
        <f>IF(Copyright!B$11=1,IF(CA1561&gt;0,CA1561-P1561-SUM(T1561:V1561)-SUM(X1561:AC1561)-SUM(AE1561:AM1561)-SUM(AN1561:AQ1561),SUM(CD1561:CF1561)),SUM(CD1561:CF1561))</f>
        <v>140</v>
      </c>
      <c r="X1561" s="63"/>
      <c r="Y1561" s="63">
        <v>2</v>
      </c>
      <c r="Z1561" s="63"/>
      <c r="AA1561" s="63"/>
      <c r="AB1561" s="63"/>
      <c r="AC1561" s="63"/>
      <c r="AD1561" s="63"/>
      <c r="AE1561" s="63">
        <v>0</v>
      </c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W1561" s="5">
        <f>IF(Q1561&gt;0,RANK(Q1561,(N1561:P1561,Q1561:AE1561)),0)</f>
        <v>3</v>
      </c>
      <c r="AX1561" s="5">
        <f>IF(R1561&gt;0,RANK(R1561,(N1561:P1561,Q1561:AE1561)),0)</f>
        <v>4</v>
      </c>
      <c r="AY1561" s="5">
        <f>IF(T1561&gt;0,RANK(T1561,(N1561:P1561,Q1561:AE1561)),0)</f>
        <v>9</v>
      </c>
      <c r="AZ1561" s="5">
        <f>IF(S1561&gt;0,RANK(S1561,(N1561:P1561,Q1561:AE1561)),0)</f>
        <v>5</v>
      </c>
      <c r="BA1561" s="2">
        <f t="shared" si="652"/>
        <v>3.9155847514612319E-2</v>
      </c>
      <c r="BB1561" s="2">
        <f t="shared" si="653"/>
        <v>9.4139554130243629E-3</v>
      </c>
      <c r="BC1561" s="2">
        <f t="shared" si="654"/>
        <v>5.1725029741892099E-5</v>
      </c>
      <c r="BD1561" s="2">
        <f t="shared" si="655"/>
        <v>7.9139295505094923E-3</v>
      </c>
      <c r="BF1561" t="s">
        <v>1226</v>
      </c>
      <c r="BG1561" t="s">
        <v>1213</v>
      </c>
      <c r="BH1561">
        <v>3</v>
      </c>
      <c r="BJ1561" s="114">
        <v>29</v>
      </c>
      <c r="BK1561" s="116">
        <v>27</v>
      </c>
      <c r="BL1561" s="120">
        <f t="shared" si="632"/>
        <v>29027</v>
      </c>
      <c r="BN1561" s="5" t="s">
        <v>3154</v>
      </c>
      <c r="BY1561" s="63">
        <f t="shared" si="656"/>
        <v>0</v>
      </c>
      <c r="BZ1561" s="132">
        <v>19333</v>
      </c>
      <c r="CA1561" s="132">
        <v>195</v>
      </c>
      <c r="CB1561" s="132"/>
      <c r="CD1561" s="63">
        <v>0</v>
      </c>
    </row>
    <row r="1562" spans="1:82" hidden="1" outlineLevel="1">
      <c r="A1562" t="s">
        <v>1605</v>
      </c>
      <c r="B1562" t="s">
        <v>1213</v>
      </c>
      <c r="C1562" s="1">
        <f t="shared" si="647"/>
        <v>22680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7</v>
      </c>
      <c r="G1562" s="132">
        <f t="shared" si="642"/>
        <v>12176</v>
      </c>
      <c r="H1562" s="137">
        <f t="shared" si="643"/>
        <v>0.53686067019400352</v>
      </c>
      <c r="I1562" s="2"/>
      <c r="J1562" s="2">
        <f t="shared" si="648"/>
        <v>0.21022927689594356</v>
      </c>
      <c r="K1562" s="2">
        <f t="shared" si="649"/>
        <v>0.74708994708994714</v>
      </c>
      <c r="L1562" s="2">
        <f t="shared" si="650"/>
        <v>1.7195767195767196E-3</v>
      </c>
      <c r="M1562" s="2">
        <f t="shared" si="651"/>
        <v>4.0961199294532638E-2</v>
      </c>
      <c r="N1562" s="63">
        <v>4768</v>
      </c>
      <c r="O1562" s="63">
        <v>16944</v>
      </c>
      <c r="P1562" s="63">
        <v>39</v>
      </c>
      <c r="Q1562" s="63">
        <v>597</v>
      </c>
      <c r="R1562" s="63">
        <v>110</v>
      </c>
      <c r="S1562" s="63">
        <v>57</v>
      </c>
      <c r="T1562" s="63">
        <v>0</v>
      </c>
      <c r="U1562" s="63"/>
      <c r="V1562" s="63"/>
      <c r="W1562" s="63">
        <f>IF(Copyright!B$11=1,IF(CA1562&gt;0,CA1562-P1562-SUM(T1562:V1562)-SUM(X1562:AC1562)-SUM(AE1562:AM1562)-SUM(AN1562:AQ1562),SUM(CD1562:CF1562)),SUM(CD1562:CF1562))</f>
        <v>165</v>
      </c>
      <c r="X1562" s="63"/>
      <c r="Y1562" s="63">
        <v>0</v>
      </c>
      <c r="Z1562" s="63"/>
      <c r="AA1562" s="63"/>
      <c r="AB1562" s="63"/>
      <c r="AC1562" s="63"/>
      <c r="AD1562" s="63"/>
      <c r="AE1562" s="63">
        <v>0</v>
      </c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W1562" s="5">
        <f>IF(Q1562&gt;0,RANK(Q1562,(N1562:P1562,Q1562:AE1562)),0)</f>
        <v>3</v>
      </c>
      <c r="AX1562" s="5">
        <f>IF(R1562&gt;0,RANK(R1562,(N1562:P1562,Q1562:AE1562)),0)</f>
        <v>5</v>
      </c>
      <c r="AY1562" s="5">
        <f>IF(T1562&gt;0,RANK(T1562,(N1562:P1562,Q1562:AE1562)),0)</f>
        <v>0</v>
      </c>
      <c r="AZ1562" s="5">
        <f>IF(S1562&gt;0,RANK(S1562,(N1562:P1562,Q1562:AE1562)),0)</f>
        <v>6</v>
      </c>
      <c r="BA1562" s="2">
        <f t="shared" si="652"/>
        <v>2.6322751322751324E-2</v>
      </c>
      <c r="BB1562" s="2">
        <f t="shared" si="653"/>
        <v>4.8500881834215165E-3</v>
      </c>
      <c r="BC1562" s="2">
        <f t="shared" si="654"/>
        <v>0</v>
      </c>
      <c r="BD1562" s="2">
        <f t="shared" si="655"/>
        <v>2.5132275132275133E-3</v>
      </c>
      <c r="BF1562" t="s">
        <v>1605</v>
      </c>
      <c r="BG1562" t="s">
        <v>1213</v>
      </c>
      <c r="BJ1562" s="114">
        <v>29</v>
      </c>
      <c r="BK1562" s="116">
        <v>29</v>
      </c>
      <c r="BL1562" s="120">
        <f t="shared" si="632"/>
        <v>29029</v>
      </c>
      <c r="BN1562" s="5" t="s">
        <v>3154</v>
      </c>
      <c r="BY1562" s="63">
        <f t="shared" si="656"/>
        <v>0</v>
      </c>
      <c r="BZ1562" s="132">
        <v>22680</v>
      </c>
      <c r="CA1562" s="132">
        <f>165+39</f>
        <v>204</v>
      </c>
      <c r="CB1562" s="132"/>
      <c r="CD1562" s="63">
        <v>0</v>
      </c>
    </row>
    <row r="1563" spans="1:82" hidden="1" outlineLevel="1">
      <c r="A1563" t="s">
        <v>2430</v>
      </c>
      <c r="B1563" t="s">
        <v>1213</v>
      </c>
      <c r="C1563" s="1">
        <f t="shared" si="647"/>
        <v>37311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7</v>
      </c>
      <c r="G1563" s="132">
        <f t="shared" si="642"/>
        <v>18525</v>
      </c>
      <c r="H1563" s="137">
        <f t="shared" si="643"/>
        <v>0.49650237195465147</v>
      </c>
      <c r="I1563" s="2"/>
      <c r="J1563" s="2">
        <f t="shared" si="648"/>
        <v>0.22760043954865858</v>
      </c>
      <c r="K1563" s="2">
        <f t="shared" si="649"/>
        <v>0.72410281150331002</v>
      </c>
      <c r="L1563" s="2">
        <f t="shared" si="650"/>
        <v>1.5008978585403768E-3</v>
      </c>
      <c r="M1563" s="2">
        <f t="shared" si="651"/>
        <v>4.6795851089490997E-2</v>
      </c>
      <c r="N1563" s="63">
        <v>8492</v>
      </c>
      <c r="O1563" s="63">
        <v>27017</v>
      </c>
      <c r="P1563" s="63">
        <v>56</v>
      </c>
      <c r="Q1563" s="63">
        <v>1109</v>
      </c>
      <c r="R1563" s="63">
        <v>239</v>
      </c>
      <c r="S1563" s="63">
        <v>125</v>
      </c>
      <c r="T1563" s="63">
        <v>0</v>
      </c>
      <c r="U1563" s="63"/>
      <c r="V1563" s="63"/>
      <c r="W1563" s="63">
        <f>IF(Copyright!B$11=1,IF(CA1563&gt;0,CA1563-P1563-SUM(T1563:V1563)-SUM(X1563:AC1563)-SUM(AE1563:AM1563)-SUM(AN1563:AQ1563),SUM(CD1563:CF1563)),SUM(CD1563:CF1563))</f>
        <v>273</v>
      </c>
      <c r="X1563" s="63"/>
      <c r="Y1563" s="63">
        <v>0</v>
      </c>
      <c r="Z1563" s="63"/>
      <c r="AA1563" s="63"/>
      <c r="AB1563" s="63"/>
      <c r="AC1563" s="63"/>
      <c r="AD1563" s="63"/>
      <c r="AE1563" s="63">
        <v>0</v>
      </c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W1563" s="5">
        <f>IF(Q1563&gt;0,RANK(Q1563,(N1563:P1563,Q1563:AE1563)),0)</f>
        <v>3</v>
      </c>
      <c r="AX1563" s="5">
        <f>IF(R1563&gt;0,RANK(R1563,(N1563:P1563,Q1563:AE1563)),0)</f>
        <v>5</v>
      </c>
      <c r="AY1563" s="5">
        <f>IF(T1563&gt;0,RANK(T1563,(N1563:P1563,Q1563:AE1563)),0)</f>
        <v>0</v>
      </c>
      <c r="AZ1563" s="5">
        <f>IF(S1563&gt;0,RANK(S1563,(N1563:P1563,Q1563:AE1563)),0)</f>
        <v>6</v>
      </c>
      <c r="BA1563" s="2">
        <f t="shared" si="652"/>
        <v>2.9723137948594248E-2</v>
      </c>
      <c r="BB1563" s="2">
        <f t="shared" si="653"/>
        <v>6.4056176462705368E-3</v>
      </c>
      <c r="BC1563" s="2">
        <f t="shared" si="654"/>
        <v>0</v>
      </c>
      <c r="BD1563" s="2">
        <f t="shared" si="655"/>
        <v>3.3502184342419127E-3</v>
      </c>
      <c r="BF1563" t="s">
        <v>2430</v>
      </c>
      <c r="BG1563" t="s">
        <v>1213</v>
      </c>
      <c r="BH1563">
        <v>8</v>
      </c>
      <c r="BJ1563" s="114">
        <v>29</v>
      </c>
      <c r="BK1563" s="116">
        <v>31</v>
      </c>
      <c r="BL1563" s="120">
        <f t="shared" si="632"/>
        <v>29031</v>
      </c>
      <c r="BN1563" s="5" t="s">
        <v>3154</v>
      </c>
      <c r="BY1563" s="63">
        <f t="shared" si="656"/>
        <v>0</v>
      </c>
      <c r="BZ1563" s="63">
        <v>37311</v>
      </c>
      <c r="CA1563" s="63">
        <f>273+56</f>
        <v>329</v>
      </c>
      <c r="CB1563" s="132"/>
      <c r="CD1563" s="63">
        <v>0</v>
      </c>
    </row>
    <row r="1564" spans="1:82" hidden="1" outlineLevel="1">
      <c r="A1564" t="s">
        <v>1675</v>
      </c>
      <c r="B1564" t="s">
        <v>1213</v>
      </c>
      <c r="C1564" s="1">
        <f t="shared" si="647"/>
        <v>4361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32">
        <f t="shared" si="642"/>
        <v>2735</v>
      </c>
      <c r="H1564" s="137">
        <f t="shared" si="643"/>
        <v>0.62714973629901394</v>
      </c>
      <c r="I1564" s="2"/>
      <c r="J1564" s="2">
        <f t="shared" si="648"/>
        <v>0.17083237789497821</v>
      </c>
      <c r="K1564" s="2">
        <f t="shared" si="649"/>
        <v>0.79798211419399223</v>
      </c>
      <c r="L1564" s="2">
        <f t="shared" si="650"/>
        <v>0</v>
      </c>
      <c r="M1564" s="2">
        <f t="shared" si="651"/>
        <v>3.1185507911029586E-2</v>
      </c>
      <c r="N1564" s="63">
        <v>745</v>
      </c>
      <c r="O1564" s="63">
        <v>3480</v>
      </c>
      <c r="P1564" s="63">
        <v>0</v>
      </c>
      <c r="Q1564" s="63">
        <v>106</v>
      </c>
      <c r="R1564" s="63">
        <v>17</v>
      </c>
      <c r="S1564" s="63">
        <v>13</v>
      </c>
      <c r="T1564" s="63">
        <v>0</v>
      </c>
      <c r="U1564" s="63"/>
      <c r="V1564" s="63"/>
      <c r="W1564" s="63">
        <f>IF(Copyright!B$11=1,IF(CA1564&gt;0,CA1564-P1564-SUM(T1564:V1564)-SUM(X1564:AC1564)-SUM(AE1564:AM1564)-SUM(AN1564:AQ1564),SUM(CD1564:CF1564)),SUM(CD1564:CF1564))</f>
        <v>0</v>
      </c>
      <c r="X1564" s="63"/>
      <c r="Y1564" s="63">
        <v>0</v>
      </c>
      <c r="Z1564" s="63"/>
      <c r="AA1564" s="63"/>
      <c r="AB1564" s="63"/>
      <c r="AC1564" s="63"/>
      <c r="AD1564" s="63"/>
      <c r="AE1564" s="63">
        <v>0</v>
      </c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W1564" s="5">
        <f>IF(Q1564&gt;0,RANK(Q1564,(N1564:P1564,Q1564:AE1564)),0)</f>
        <v>3</v>
      </c>
      <c r="AX1564" s="5">
        <f>IF(R1564&gt;0,RANK(R1564,(N1564:P1564,Q1564:AE1564)),0)</f>
        <v>4</v>
      </c>
      <c r="AY1564" s="5">
        <f>IF(T1564&gt;0,RANK(T1564,(N1564:P1564,Q1564:AE1564)),0)</f>
        <v>0</v>
      </c>
      <c r="AZ1564" s="5">
        <f>IF(S1564&gt;0,RANK(S1564,(N1564:P1564,Q1564:AE1564)),0)</f>
        <v>5</v>
      </c>
      <c r="BA1564" s="2">
        <f t="shared" si="652"/>
        <v>2.4306351754184819E-2</v>
      </c>
      <c r="BB1564" s="2">
        <f t="shared" si="653"/>
        <v>3.8981884888786974E-3</v>
      </c>
      <c r="BC1564" s="2">
        <f t="shared" si="654"/>
        <v>0</v>
      </c>
      <c r="BD1564" s="2">
        <f t="shared" si="655"/>
        <v>2.9809676679660628E-3</v>
      </c>
      <c r="BF1564" t="s">
        <v>1675</v>
      </c>
      <c r="BG1564" t="s">
        <v>1213</v>
      </c>
      <c r="BH1564">
        <v>6</v>
      </c>
      <c r="BJ1564" s="114">
        <v>29</v>
      </c>
      <c r="BK1564" s="116">
        <v>33</v>
      </c>
      <c r="BL1564" s="120">
        <f t="shared" si="632"/>
        <v>29033</v>
      </c>
      <c r="BN1564" s="5" t="s">
        <v>3154</v>
      </c>
      <c r="BY1564" s="63">
        <f t="shared" si="656"/>
        <v>4361</v>
      </c>
      <c r="CB1564" s="132"/>
      <c r="CD1564" s="63">
        <v>0</v>
      </c>
    </row>
    <row r="1565" spans="1:82" hidden="1" outlineLevel="1">
      <c r="A1565" t="s">
        <v>1842</v>
      </c>
      <c r="B1565" t="s">
        <v>1213</v>
      </c>
      <c r="C1565" s="1">
        <f t="shared" si="647"/>
        <v>2850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6</v>
      </c>
      <c r="G1565" s="132">
        <f t="shared" si="642"/>
        <v>1888</v>
      </c>
      <c r="H1565" s="137">
        <f t="shared" si="643"/>
        <v>0.66245614035087719</v>
      </c>
      <c r="I1565" s="2"/>
      <c r="J1565" s="2">
        <f t="shared" si="648"/>
        <v>0.15298245614035089</v>
      </c>
      <c r="K1565" s="2">
        <f t="shared" si="649"/>
        <v>0.81543859649122807</v>
      </c>
      <c r="L1565" s="2">
        <f t="shared" si="650"/>
        <v>2.1052631578947368E-3</v>
      </c>
      <c r="M1565" s="2">
        <f t="shared" si="651"/>
        <v>2.9473684210526305E-2</v>
      </c>
      <c r="N1565" s="63">
        <v>436</v>
      </c>
      <c r="O1565" s="63">
        <v>2324</v>
      </c>
      <c r="P1565" s="63">
        <v>6</v>
      </c>
      <c r="Q1565" s="63">
        <v>55</v>
      </c>
      <c r="R1565" s="63">
        <v>18</v>
      </c>
      <c r="S1565" s="63">
        <v>11</v>
      </c>
      <c r="T1565" s="63">
        <v>0</v>
      </c>
      <c r="U1565" s="63"/>
      <c r="V1565" s="63"/>
      <c r="W1565" s="63">
        <f>IF(Copyright!B$11=1,IF(CA1565&gt;0,CA1565-P1565-SUM(T1565:V1565)-SUM(X1565:AC1565)-SUM(AE1565:AM1565)-SUM(AN1565:AQ1565),SUM(CD1565:CF1565)),SUM(CD1565:CF1565))</f>
        <v>0</v>
      </c>
      <c r="X1565" s="63"/>
      <c r="Y1565" s="63">
        <v>0</v>
      </c>
      <c r="Z1565" s="63"/>
      <c r="AA1565" s="63"/>
      <c r="AB1565" s="63"/>
      <c r="AC1565" s="63"/>
      <c r="AD1565" s="63"/>
      <c r="AE1565" s="63">
        <v>0</v>
      </c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W1565" s="5">
        <f>IF(Q1565&gt;0,RANK(Q1565,(N1565:P1565,Q1565:AE1565)),0)</f>
        <v>3</v>
      </c>
      <c r="AX1565" s="5">
        <f>IF(R1565&gt;0,RANK(R1565,(N1565:P1565,Q1565:AE1565)),0)</f>
        <v>4</v>
      </c>
      <c r="AY1565" s="5">
        <f>IF(T1565&gt;0,RANK(T1565,(N1565:P1565,Q1565:AE1565)),0)</f>
        <v>0</v>
      </c>
      <c r="AZ1565" s="5">
        <f>IF(S1565&gt;0,RANK(S1565,(N1565:P1565,Q1565:AE1565)),0)</f>
        <v>5</v>
      </c>
      <c r="BA1565" s="2">
        <f t="shared" si="652"/>
        <v>1.9298245614035089E-2</v>
      </c>
      <c r="BB1565" s="2">
        <f t="shared" si="653"/>
        <v>6.3157894736842104E-3</v>
      </c>
      <c r="BC1565" s="2">
        <f t="shared" si="654"/>
        <v>0</v>
      </c>
      <c r="BD1565" s="2">
        <f t="shared" si="655"/>
        <v>3.8596491228070177E-3</v>
      </c>
      <c r="BF1565" t="s">
        <v>1842</v>
      </c>
      <c r="BG1565" t="s">
        <v>1213</v>
      </c>
      <c r="BH1565">
        <v>8</v>
      </c>
      <c r="BJ1565" s="114">
        <v>29</v>
      </c>
      <c r="BK1565" s="116">
        <v>35</v>
      </c>
      <c r="BL1565" s="120">
        <f t="shared" si="632"/>
        <v>29035</v>
      </c>
      <c r="BN1565" s="5" t="s">
        <v>3154</v>
      </c>
      <c r="BY1565" s="63">
        <f t="shared" si="656"/>
        <v>2850</v>
      </c>
      <c r="CB1565" s="132"/>
      <c r="CD1565" s="63">
        <v>0</v>
      </c>
    </row>
    <row r="1566" spans="1:82" hidden="1" outlineLevel="1">
      <c r="A1566" t="s">
        <v>339</v>
      </c>
      <c r="B1566" t="s">
        <v>1213</v>
      </c>
      <c r="C1566" s="1">
        <f t="shared" si="647"/>
        <v>51410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7</v>
      </c>
      <c r="G1566" s="132">
        <f t="shared" si="642"/>
        <v>18252</v>
      </c>
      <c r="H1566" s="137">
        <f t="shared" si="643"/>
        <v>0.35502820462944951</v>
      </c>
      <c r="I1566" s="2"/>
      <c r="J1566" s="2">
        <f t="shared" si="648"/>
        <v>0.28877650262594828</v>
      </c>
      <c r="K1566" s="2">
        <f t="shared" si="649"/>
        <v>0.64380470725539773</v>
      </c>
      <c r="L1566" s="2">
        <f t="shared" si="650"/>
        <v>2.8010114763664658E-3</v>
      </c>
      <c r="M1566" s="2">
        <f t="shared" si="651"/>
        <v>6.461777864228746E-2</v>
      </c>
      <c r="N1566" s="63">
        <v>14846</v>
      </c>
      <c r="O1566" s="63">
        <v>33098</v>
      </c>
      <c r="P1566" s="63">
        <v>144</v>
      </c>
      <c r="Q1566" s="63">
        <v>2159</v>
      </c>
      <c r="R1566" s="63">
        <v>420</v>
      </c>
      <c r="S1566" s="63">
        <v>323</v>
      </c>
      <c r="T1566" s="63">
        <v>0</v>
      </c>
      <c r="U1566" s="63"/>
      <c r="V1566" s="63"/>
      <c r="W1566" s="63">
        <f>IF(Copyright!B$11=1,IF(CA1566&gt;0,CA1566-P1566-SUM(T1566:V1566)-SUM(X1566:AC1566)-SUM(AE1566:AM1566)-SUM(AN1566:AQ1566),SUM(CD1566:CF1566)),SUM(CD1566:CF1566))</f>
        <v>420</v>
      </c>
      <c r="X1566" s="63"/>
      <c r="Y1566" s="63">
        <v>0</v>
      </c>
      <c r="Z1566" s="63"/>
      <c r="AA1566" s="63"/>
      <c r="AB1566" s="63"/>
      <c r="AC1566" s="63"/>
      <c r="AD1566" s="63"/>
      <c r="AE1566" s="63">
        <v>0</v>
      </c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W1566" s="5">
        <f>IF(Q1566&gt;0,RANK(Q1566,(N1566:P1566,Q1566:AE1566)),0)</f>
        <v>3</v>
      </c>
      <c r="AX1566" s="5">
        <f>IF(R1566&gt;0,RANK(R1566,(N1566:P1566,Q1566:AE1566)),0)</f>
        <v>4</v>
      </c>
      <c r="AY1566" s="5">
        <f>IF(T1566&gt;0,RANK(T1566,(N1566:P1566,Q1566:AE1566)),0)</f>
        <v>0</v>
      </c>
      <c r="AZ1566" s="5">
        <f>IF(S1566&gt;0,RANK(S1566,(N1566:P1566,Q1566:AE1566)),0)</f>
        <v>6</v>
      </c>
      <c r="BA1566" s="2">
        <f t="shared" si="652"/>
        <v>4.1995720676911104E-2</v>
      </c>
      <c r="BB1566" s="2">
        <f t="shared" si="653"/>
        <v>8.1696168060688586E-3</v>
      </c>
      <c r="BC1566" s="2">
        <f t="shared" si="654"/>
        <v>0</v>
      </c>
      <c r="BD1566" s="2">
        <f t="shared" si="655"/>
        <v>6.2828243532386694E-3</v>
      </c>
      <c r="BF1566" t="s">
        <v>339</v>
      </c>
      <c r="BG1566" t="s">
        <v>1213</v>
      </c>
      <c r="BH1566">
        <v>4</v>
      </c>
      <c r="BJ1566" s="114">
        <v>29</v>
      </c>
      <c r="BK1566" s="116">
        <v>37</v>
      </c>
      <c r="BL1566" s="120">
        <f t="shared" si="632"/>
        <v>29037</v>
      </c>
      <c r="BN1566" s="5" t="s">
        <v>3154</v>
      </c>
      <c r="BY1566" s="63">
        <f t="shared" si="656"/>
        <v>0</v>
      </c>
      <c r="BZ1566" s="132">
        <v>51410</v>
      </c>
      <c r="CA1566" s="132">
        <v>564</v>
      </c>
      <c r="CB1566" s="132"/>
      <c r="CD1566" s="63">
        <v>0</v>
      </c>
    </row>
    <row r="1567" spans="1:82" hidden="1" outlineLevel="1">
      <c r="A1567" t="s">
        <v>1031</v>
      </c>
      <c r="B1567" t="s">
        <v>1213</v>
      </c>
      <c r="C1567" s="1">
        <f t="shared" si="647"/>
        <v>6327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7</v>
      </c>
      <c r="G1567" s="132">
        <f t="shared" si="642"/>
        <v>4010</v>
      </c>
      <c r="H1567" s="137">
        <f t="shared" si="643"/>
        <v>0.63379168642326533</v>
      </c>
      <c r="I1567" s="2"/>
      <c r="J1567" s="2">
        <f t="shared" si="648"/>
        <v>0.15979137031768612</v>
      </c>
      <c r="K1567" s="2">
        <f t="shared" si="649"/>
        <v>0.79358305674095153</v>
      </c>
      <c r="L1567" s="2">
        <f t="shared" si="650"/>
        <v>1.106369527422159E-3</v>
      </c>
      <c r="M1567" s="2">
        <f t="shared" si="651"/>
        <v>4.5519203413940224E-2</v>
      </c>
      <c r="N1567" s="63">
        <v>1011</v>
      </c>
      <c r="O1567" s="63">
        <v>5021</v>
      </c>
      <c r="P1567" s="63">
        <v>7</v>
      </c>
      <c r="Q1567" s="63">
        <v>179</v>
      </c>
      <c r="R1567" s="63">
        <v>30</v>
      </c>
      <c r="S1567" s="63">
        <v>40</v>
      </c>
      <c r="T1567" s="63">
        <v>0</v>
      </c>
      <c r="U1567" s="63"/>
      <c r="V1567" s="63"/>
      <c r="W1567" s="63">
        <f>IF(Copyright!B$11=1,IF(CA1567&gt;0,CA1567-P1567-SUM(T1567:V1567)-SUM(X1567:AC1567)-SUM(AE1567:AM1567)-SUM(AN1567:AQ1567),SUM(CD1567:CF1567)),SUM(CD1567:CF1567))</f>
        <v>39</v>
      </c>
      <c r="X1567" s="63"/>
      <c r="Y1567" s="63">
        <v>0</v>
      </c>
      <c r="Z1567" s="63"/>
      <c r="AA1567" s="63"/>
      <c r="AB1567" s="63"/>
      <c r="AC1567" s="63"/>
      <c r="AD1567" s="63"/>
      <c r="AE1567" s="63">
        <v>0</v>
      </c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W1567" s="5">
        <f>IF(Q1567&gt;0,RANK(Q1567,(N1567:P1567,Q1567:AE1567)),0)</f>
        <v>3</v>
      </c>
      <c r="AX1567" s="5">
        <f>IF(R1567&gt;0,RANK(R1567,(N1567:P1567,Q1567:AE1567)),0)</f>
        <v>6</v>
      </c>
      <c r="AY1567" s="5">
        <f>IF(T1567&gt;0,RANK(T1567,(N1567:P1567,Q1567:AE1567)),0)</f>
        <v>0</v>
      </c>
      <c r="AZ1567" s="5">
        <f>IF(S1567&gt;0,RANK(S1567,(N1567:P1567,Q1567:AE1567)),0)</f>
        <v>4</v>
      </c>
      <c r="BA1567" s="2">
        <f t="shared" si="652"/>
        <v>2.8291449344080923E-2</v>
      </c>
      <c r="BB1567" s="2">
        <f t="shared" si="653"/>
        <v>4.7415836889521104E-3</v>
      </c>
      <c r="BC1567" s="2">
        <f t="shared" si="654"/>
        <v>0</v>
      </c>
      <c r="BD1567" s="2">
        <f t="shared" si="655"/>
        <v>6.3221115852694796E-3</v>
      </c>
      <c r="BF1567" t="s">
        <v>1031</v>
      </c>
      <c r="BG1567" t="s">
        <v>1213</v>
      </c>
      <c r="BH1567">
        <v>4</v>
      </c>
      <c r="BJ1567" s="114">
        <v>29</v>
      </c>
      <c r="BK1567" s="116">
        <v>39</v>
      </c>
      <c r="BL1567" s="120">
        <f t="shared" si="632"/>
        <v>29039</v>
      </c>
      <c r="BN1567" s="5" t="s">
        <v>3154</v>
      </c>
      <c r="BY1567" s="63">
        <f t="shared" si="656"/>
        <v>4</v>
      </c>
      <c r="BZ1567" s="133">
        <v>6323</v>
      </c>
      <c r="CA1567" s="133">
        <v>46</v>
      </c>
      <c r="CB1567" s="132"/>
      <c r="CD1567" s="63">
        <v>0</v>
      </c>
    </row>
    <row r="1568" spans="1:82" hidden="1" outlineLevel="1">
      <c r="A1568" t="s">
        <v>3148</v>
      </c>
      <c r="B1568" t="s">
        <v>1213</v>
      </c>
      <c r="C1568" s="1">
        <f t="shared" si="647"/>
        <v>3969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6</v>
      </c>
      <c r="G1568" s="132">
        <f t="shared" si="642"/>
        <v>2062</v>
      </c>
      <c r="H1568" s="137">
        <f t="shared" si="643"/>
        <v>0.51952632905013862</v>
      </c>
      <c r="I1568" s="2"/>
      <c r="J1568" s="2">
        <f t="shared" si="648"/>
        <v>0.2237339380196523</v>
      </c>
      <c r="K1568" s="2">
        <f t="shared" si="649"/>
        <v>0.74326026706979087</v>
      </c>
      <c r="L1568" s="2">
        <f t="shared" si="650"/>
        <v>7.5585789871504159E-4</v>
      </c>
      <c r="M1568" s="2">
        <f t="shared" si="651"/>
        <v>3.2249937011841735E-2</v>
      </c>
      <c r="N1568" s="63">
        <v>888</v>
      </c>
      <c r="O1568" s="63">
        <v>2950</v>
      </c>
      <c r="P1568" s="63">
        <v>3</v>
      </c>
      <c r="Q1568" s="63">
        <v>98</v>
      </c>
      <c r="R1568" s="63">
        <v>10</v>
      </c>
      <c r="S1568" s="63">
        <v>19</v>
      </c>
      <c r="T1568" s="63">
        <v>0</v>
      </c>
      <c r="U1568" s="63"/>
      <c r="V1568" s="63"/>
      <c r="W1568" s="63">
        <f>IF(Copyright!B$11=1,IF(CA1568&gt;0,CA1568-P1568-SUM(T1568:V1568)-SUM(X1568:AC1568)-SUM(AE1568:AM1568)-SUM(AN1568:AQ1568),SUM(CD1568:CF1568)),SUM(CD1568:CF1568))</f>
        <v>0</v>
      </c>
      <c r="X1568" s="63"/>
      <c r="Y1568" s="63">
        <v>0</v>
      </c>
      <c r="Z1568" s="63"/>
      <c r="AA1568" s="63"/>
      <c r="AB1568" s="63"/>
      <c r="AC1568" s="63"/>
      <c r="AD1568" s="63"/>
      <c r="AE1568" s="63">
        <v>1</v>
      </c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W1568" s="5">
        <f>IF(Q1568&gt;0,RANK(Q1568,(N1568:P1568,Q1568:AE1568)),0)</f>
        <v>3</v>
      </c>
      <c r="AX1568" s="5">
        <f>IF(R1568&gt;0,RANK(R1568,(N1568:P1568,Q1568:AE1568)),0)</f>
        <v>5</v>
      </c>
      <c r="AY1568" s="5">
        <f>IF(T1568&gt;0,RANK(T1568,(N1568:P1568,Q1568:AE1568)),0)</f>
        <v>0</v>
      </c>
      <c r="AZ1568" s="5">
        <f>IF(S1568&gt;0,RANK(S1568,(N1568:P1568,Q1568:AE1568)),0)</f>
        <v>4</v>
      </c>
      <c r="BA1568" s="2">
        <f t="shared" si="652"/>
        <v>2.4691358024691357E-2</v>
      </c>
      <c r="BB1568" s="2">
        <f t="shared" si="653"/>
        <v>2.5195263290501385E-3</v>
      </c>
      <c r="BC1568" s="2">
        <f t="shared" si="654"/>
        <v>0</v>
      </c>
      <c r="BD1568" s="2">
        <f t="shared" si="655"/>
        <v>4.7871000251952633E-3</v>
      </c>
      <c r="BF1568" t="s">
        <v>3148</v>
      </c>
      <c r="BG1568" t="s">
        <v>1213</v>
      </c>
      <c r="BH1568">
        <v>6</v>
      </c>
      <c r="BJ1568" s="114">
        <v>29</v>
      </c>
      <c r="BK1568" s="116">
        <v>41</v>
      </c>
      <c r="BL1568" s="120">
        <f t="shared" si="632"/>
        <v>29041</v>
      </c>
      <c r="BN1568" s="5" t="s">
        <v>3154</v>
      </c>
      <c r="BY1568" s="63">
        <f t="shared" si="656"/>
        <v>3969</v>
      </c>
      <c r="CB1568" s="132"/>
      <c r="CD1568" s="63">
        <v>0</v>
      </c>
    </row>
    <row r="1569" spans="1:82" hidden="1" outlineLevel="1">
      <c r="A1569" t="s">
        <v>2836</v>
      </c>
      <c r="B1569" t="s">
        <v>1213</v>
      </c>
      <c r="C1569" s="1">
        <f t="shared" si="647"/>
        <v>41863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7</v>
      </c>
      <c r="G1569" s="132">
        <f t="shared" si="642"/>
        <v>22438</v>
      </c>
      <c r="H1569" s="137">
        <f t="shared" si="643"/>
        <v>0.53598643193273299</v>
      </c>
      <c r="I1569" s="2"/>
      <c r="J1569" s="2">
        <f t="shared" si="648"/>
        <v>0.20323435969710724</v>
      </c>
      <c r="K1569" s="2">
        <f t="shared" si="649"/>
        <v>0.73922079162984022</v>
      </c>
      <c r="L1569" s="2">
        <f t="shared" si="650"/>
        <v>3.0575926235577957E-3</v>
      </c>
      <c r="M1569" s="2">
        <f t="shared" si="651"/>
        <v>5.4487256049494746E-2</v>
      </c>
      <c r="N1569" s="63">
        <v>8508</v>
      </c>
      <c r="O1569" s="63">
        <v>30946</v>
      </c>
      <c r="P1569" s="63">
        <v>128</v>
      </c>
      <c r="Q1569" s="63">
        <v>1495</v>
      </c>
      <c r="R1569" s="63">
        <v>245</v>
      </c>
      <c r="S1569" s="63">
        <v>209</v>
      </c>
      <c r="T1569" s="63">
        <v>0</v>
      </c>
      <c r="U1569" s="63"/>
      <c r="V1569" s="63"/>
      <c r="W1569" s="63">
        <f>IF(Copyright!B$11=1,IF(CA1569&gt;0,CA1569-P1569-SUM(T1569:V1569)-SUM(X1569:AC1569)-SUM(AE1569:AM1569)-SUM(AN1569:AQ1569),SUM(CD1569:CF1569)),SUM(CD1569:CF1569))</f>
        <v>332</v>
      </c>
      <c r="X1569" s="63"/>
      <c r="Y1569" s="63">
        <v>0</v>
      </c>
      <c r="Z1569" s="63"/>
      <c r="AA1569" s="63"/>
      <c r="AB1569" s="63"/>
      <c r="AC1569" s="63"/>
      <c r="AD1569" s="63"/>
      <c r="AE1569" s="63">
        <v>0</v>
      </c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W1569" s="5">
        <f>IF(Q1569&gt;0,RANK(Q1569,(N1569:P1569,Q1569:AE1569)),0)</f>
        <v>3</v>
      </c>
      <c r="AX1569" s="5">
        <f>IF(R1569&gt;0,RANK(R1569,(N1569:P1569,Q1569:AE1569)),0)</f>
        <v>5</v>
      </c>
      <c r="AY1569" s="5">
        <f>IF(T1569&gt;0,RANK(T1569,(N1569:P1569,Q1569:AE1569)),0)</f>
        <v>0</v>
      </c>
      <c r="AZ1569" s="5">
        <f>IF(S1569&gt;0,RANK(S1569,(N1569:P1569,Q1569:AE1569)),0)</f>
        <v>6</v>
      </c>
      <c r="BA1569" s="2">
        <f t="shared" si="652"/>
        <v>3.5711726345460194E-2</v>
      </c>
      <c r="BB1569" s="2">
        <f t="shared" si="653"/>
        <v>5.8524233810285931E-3</v>
      </c>
      <c r="BC1569" s="2">
        <f t="shared" si="654"/>
        <v>0</v>
      </c>
      <c r="BD1569" s="2">
        <f t="shared" si="655"/>
        <v>4.992475455652963E-3</v>
      </c>
      <c r="BF1569" t="s">
        <v>2836</v>
      </c>
      <c r="BG1569" t="s">
        <v>1213</v>
      </c>
      <c r="BH1569">
        <v>7</v>
      </c>
      <c r="BJ1569" s="114">
        <v>29</v>
      </c>
      <c r="BK1569" s="116">
        <v>43</v>
      </c>
      <c r="BL1569" s="120">
        <f t="shared" si="632"/>
        <v>29043</v>
      </c>
      <c r="BN1569" s="5" t="s">
        <v>3154</v>
      </c>
      <c r="BY1569" s="63">
        <f t="shared" si="656"/>
        <v>0</v>
      </c>
      <c r="BZ1569" s="63">
        <v>41863</v>
      </c>
      <c r="CA1569" s="63">
        <v>460</v>
      </c>
      <c r="CB1569" s="132"/>
      <c r="CD1569" s="63">
        <v>0</v>
      </c>
    </row>
    <row r="1570" spans="1:82" hidden="1" outlineLevel="1">
      <c r="A1570" t="s">
        <v>392</v>
      </c>
      <c r="B1570" t="s">
        <v>1213</v>
      </c>
      <c r="C1570" s="1">
        <f t="shared" si="647"/>
        <v>3316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32">
        <f t="shared" si="642"/>
        <v>1734</v>
      </c>
      <c r="H1570" s="137">
        <f t="shared" si="643"/>
        <v>0.52291917973461999</v>
      </c>
      <c r="I1570" s="2"/>
      <c r="J1570" s="2">
        <f t="shared" si="648"/>
        <v>0.21833534378769601</v>
      </c>
      <c r="K1570" s="2">
        <f t="shared" si="649"/>
        <v>0.74125452352231602</v>
      </c>
      <c r="L1570" s="2">
        <f t="shared" si="650"/>
        <v>0</v>
      </c>
      <c r="M1570" s="2">
        <f t="shared" si="651"/>
        <v>4.0410132689987943E-2</v>
      </c>
      <c r="N1570" s="63">
        <v>724</v>
      </c>
      <c r="O1570" s="63">
        <v>2458</v>
      </c>
      <c r="P1570" s="63">
        <v>0</v>
      </c>
      <c r="Q1570" s="63">
        <v>101</v>
      </c>
      <c r="R1570" s="63">
        <v>22</v>
      </c>
      <c r="S1570" s="63">
        <v>11</v>
      </c>
      <c r="T1570" s="63">
        <v>0</v>
      </c>
      <c r="U1570" s="63"/>
      <c r="V1570" s="63"/>
      <c r="W1570" s="63">
        <f>IF(Copyright!B$11=1,IF(CA1570&gt;0,CA1570-P1570-SUM(T1570:V1570)-SUM(X1570:AC1570)-SUM(AE1570:AM1570)-SUM(AN1570:AQ1570),SUM(CD1570:CF1570)),SUM(CD1570:CF1570))</f>
        <v>0</v>
      </c>
      <c r="X1570" s="63"/>
      <c r="Y1570" s="63">
        <v>0</v>
      </c>
      <c r="Z1570" s="63"/>
      <c r="AA1570" s="63"/>
      <c r="AB1570" s="63"/>
      <c r="AC1570" s="63"/>
      <c r="AD1570" s="63"/>
      <c r="AE1570" s="63">
        <v>0</v>
      </c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W1570" s="5">
        <f>IF(Q1570&gt;0,RANK(Q1570,(N1570:P1570,Q1570:AE1570)),0)</f>
        <v>3</v>
      </c>
      <c r="AX1570" s="5">
        <f>IF(R1570&gt;0,RANK(R1570,(N1570:P1570,Q1570:AE1570)),0)</f>
        <v>4</v>
      </c>
      <c r="AY1570" s="5">
        <f>IF(T1570&gt;0,RANK(T1570,(N1570:P1570,Q1570:AE1570)),0)</f>
        <v>0</v>
      </c>
      <c r="AZ1570" s="5">
        <f>IF(S1570&gt;0,RANK(S1570,(N1570:P1570,Q1570:AE1570)),0)</f>
        <v>5</v>
      </c>
      <c r="BA1570" s="2">
        <f t="shared" si="652"/>
        <v>3.0458383594692402E-2</v>
      </c>
      <c r="BB1570" s="2">
        <f t="shared" si="653"/>
        <v>6.6344993968636915E-3</v>
      </c>
      <c r="BC1570" s="2">
        <f t="shared" si="654"/>
        <v>0</v>
      </c>
      <c r="BD1570" s="2">
        <f t="shared" si="655"/>
        <v>3.3172496984318458E-3</v>
      </c>
      <c r="BF1570" t="s">
        <v>392</v>
      </c>
      <c r="BG1570" t="s">
        <v>1213</v>
      </c>
      <c r="BH1570">
        <v>6</v>
      </c>
      <c r="BJ1570" s="114">
        <v>29</v>
      </c>
      <c r="BK1570" s="116">
        <v>45</v>
      </c>
      <c r="BL1570" s="120">
        <f t="shared" si="632"/>
        <v>29045</v>
      </c>
      <c r="BN1570" s="5" t="s">
        <v>3154</v>
      </c>
      <c r="BY1570" s="63">
        <f t="shared" si="656"/>
        <v>3316</v>
      </c>
      <c r="CB1570" s="132"/>
      <c r="CD1570" s="63">
        <v>0</v>
      </c>
    </row>
    <row r="1571" spans="1:82" hidden="1" outlineLevel="1">
      <c r="A1571" t="s">
        <v>3093</v>
      </c>
      <c r="B1571" t="s">
        <v>1213</v>
      </c>
      <c r="C1571" s="1">
        <f t="shared" si="647"/>
        <v>111170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6</v>
      </c>
      <c r="G1571" s="132">
        <f t="shared" si="642"/>
        <v>12172</v>
      </c>
      <c r="H1571" s="137">
        <f t="shared" si="643"/>
        <v>0.10948997031573267</v>
      </c>
      <c r="I1571" s="2"/>
      <c r="J1571" s="2">
        <f t="shared" si="648"/>
        <v>0.40752001439237207</v>
      </c>
      <c r="K1571" s="2">
        <f t="shared" si="649"/>
        <v>0.51700998470810466</v>
      </c>
      <c r="L1571" s="2">
        <f t="shared" si="650"/>
        <v>5.7119726544931186E-3</v>
      </c>
      <c r="M1571" s="2">
        <f t="shared" si="651"/>
        <v>6.9758028245030149E-2</v>
      </c>
      <c r="N1571" s="63">
        <v>45304</v>
      </c>
      <c r="O1571" s="63">
        <v>57476</v>
      </c>
      <c r="P1571" s="63">
        <v>635</v>
      </c>
      <c r="Q1571" s="63">
        <v>5155</v>
      </c>
      <c r="R1571" s="63">
        <v>1097</v>
      </c>
      <c r="S1571" s="63">
        <v>504</v>
      </c>
      <c r="T1571" s="63">
        <v>1</v>
      </c>
      <c r="U1571" s="63"/>
      <c r="V1571" s="63"/>
      <c r="W1571" s="63">
        <f>IF(Copyright!B$11=1,IF(CA1571&gt;0,CA1571-P1571-SUM(T1571:V1571)-SUM(X1571:AC1571)-SUM(AE1571:AM1571)-SUM(AN1571:AQ1571),SUM(CD1571:CF1571)),SUM(CD1571:CF1571))</f>
        <v>994</v>
      </c>
      <c r="X1571" s="63"/>
      <c r="Y1571" s="63">
        <v>4</v>
      </c>
      <c r="Z1571" s="63"/>
      <c r="AA1571" s="63"/>
      <c r="AB1571" s="63"/>
      <c r="AC1571" s="63"/>
      <c r="AD1571" s="63"/>
      <c r="AE1571" s="63">
        <v>0</v>
      </c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W1571" s="5">
        <f>IF(Q1571&gt;0,RANK(Q1571,(N1571:P1571,Q1571:AE1571)),0)</f>
        <v>3</v>
      </c>
      <c r="AX1571" s="5">
        <f>IF(R1571&gt;0,RANK(R1571,(N1571:P1571,Q1571:AE1571)),0)</f>
        <v>4</v>
      </c>
      <c r="AY1571" s="5">
        <f>IF(T1571&gt;0,RANK(T1571,(N1571:P1571,Q1571:AE1571)),0)</f>
        <v>9</v>
      </c>
      <c r="AZ1571" s="5">
        <f>IF(S1571&gt;0,RANK(S1571,(N1571:P1571,Q1571:AE1571)),0)</f>
        <v>7</v>
      </c>
      <c r="BA1571" s="2">
        <f t="shared" si="652"/>
        <v>4.6370423675452008E-2</v>
      </c>
      <c r="BB1571" s="2">
        <f t="shared" si="653"/>
        <v>9.8677700818566166E-3</v>
      </c>
      <c r="BC1571" s="2">
        <f t="shared" si="654"/>
        <v>8.9952325267608172E-6</v>
      </c>
      <c r="BD1571" s="2">
        <f t="shared" si="655"/>
        <v>4.5335971934874521E-3</v>
      </c>
      <c r="BF1571" t="s">
        <v>3093</v>
      </c>
      <c r="BG1571" t="s">
        <v>1213</v>
      </c>
      <c r="BJ1571" s="114">
        <v>29</v>
      </c>
      <c r="BK1571" s="116">
        <v>47</v>
      </c>
      <c r="BL1571" s="120">
        <f t="shared" si="632"/>
        <v>29047</v>
      </c>
      <c r="BN1571" s="5" t="s">
        <v>3154</v>
      </c>
      <c r="BY1571" s="63">
        <f t="shared" si="656"/>
        <v>0</v>
      </c>
      <c r="BZ1571" s="132">
        <v>111170</v>
      </c>
      <c r="CA1571" s="63">
        <v>1634</v>
      </c>
      <c r="CB1571" s="132"/>
      <c r="CD1571" s="63">
        <v>0</v>
      </c>
    </row>
    <row r="1572" spans="1:82" hidden="1" outlineLevel="1">
      <c r="A1572" t="s">
        <v>1285</v>
      </c>
      <c r="B1572" t="s">
        <v>1213</v>
      </c>
      <c r="C1572" s="1">
        <f t="shared" si="647"/>
        <v>10301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32">
        <f t="shared" si="642"/>
        <v>4495</v>
      </c>
      <c r="H1572" s="137">
        <f t="shared" si="643"/>
        <v>0.43636540141733815</v>
      </c>
      <c r="I1572" s="2"/>
      <c r="J1572" s="2">
        <f t="shared" si="648"/>
        <v>0.24968449665081061</v>
      </c>
      <c r="K1572" s="2">
        <f t="shared" si="649"/>
        <v>0.68604989806814876</v>
      </c>
      <c r="L1572" s="2">
        <f t="shared" si="650"/>
        <v>0</v>
      </c>
      <c r="M1572" s="2">
        <f t="shared" si="651"/>
        <v>6.4265605281040639E-2</v>
      </c>
      <c r="N1572" s="63">
        <v>2572</v>
      </c>
      <c r="O1572" s="63">
        <v>7067</v>
      </c>
      <c r="P1572" s="63">
        <v>0</v>
      </c>
      <c r="Q1572" s="63">
        <v>434</v>
      </c>
      <c r="R1572" s="63">
        <v>77</v>
      </c>
      <c r="S1572" s="63">
        <v>58</v>
      </c>
      <c r="T1572" s="63">
        <v>0</v>
      </c>
      <c r="U1572" s="63"/>
      <c r="V1572" s="63"/>
      <c r="W1572" s="63">
        <f>IF(Copyright!B$11=1,IF(CA1572&gt;0,CA1572-P1572-SUM(T1572:V1572)-SUM(X1572:AC1572)-SUM(AE1572:AM1572)-SUM(AN1572:AQ1572),SUM(CD1572:CF1572)),SUM(CD1572:CF1572))</f>
        <v>93</v>
      </c>
      <c r="X1572" s="63"/>
      <c r="Y1572" s="63">
        <v>0</v>
      </c>
      <c r="Z1572" s="63"/>
      <c r="AA1572" s="63"/>
      <c r="AB1572" s="63"/>
      <c r="AC1572" s="63"/>
      <c r="AD1572" s="63"/>
      <c r="AE1572" s="63">
        <v>0</v>
      </c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W1572" s="5">
        <f>IF(Q1572&gt;0,RANK(Q1572,(N1572:P1572,Q1572:AE1572)),0)</f>
        <v>3</v>
      </c>
      <c r="AX1572" s="5">
        <f>IF(R1572&gt;0,RANK(R1572,(N1572:P1572,Q1572:AE1572)),0)</f>
        <v>5</v>
      </c>
      <c r="AY1572" s="5">
        <f>IF(T1572&gt;0,RANK(T1572,(N1572:P1572,Q1572:AE1572)),0)</f>
        <v>0</v>
      </c>
      <c r="AZ1572" s="5">
        <f>IF(S1572&gt;0,RANK(S1572,(N1572:P1572,Q1572:AE1572)),0)</f>
        <v>6</v>
      </c>
      <c r="BA1572" s="2">
        <f t="shared" si="652"/>
        <v>4.2131831860984369E-2</v>
      </c>
      <c r="BB1572" s="2">
        <f t="shared" si="653"/>
        <v>7.4750024269488397E-3</v>
      </c>
      <c r="BC1572" s="2">
        <f t="shared" si="654"/>
        <v>0</v>
      </c>
      <c r="BD1572" s="2">
        <f t="shared" si="655"/>
        <v>5.6305213086108143E-3</v>
      </c>
      <c r="BF1572" t="s">
        <v>1285</v>
      </c>
      <c r="BG1572" t="s">
        <v>1213</v>
      </c>
      <c r="BH1572">
        <v>6</v>
      </c>
      <c r="BJ1572" s="114">
        <v>29</v>
      </c>
      <c r="BK1572" s="116">
        <v>49</v>
      </c>
      <c r="BL1572" s="120">
        <f t="shared" si="632"/>
        <v>29049</v>
      </c>
      <c r="BN1572" s="5" t="s">
        <v>3154</v>
      </c>
      <c r="BY1572" s="63">
        <f t="shared" si="656"/>
        <v>0</v>
      </c>
      <c r="BZ1572" s="63">
        <f>10290+2+9</f>
        <v>10301</v>
      </c>
      <c r="CA1572" s="63">
        <v>93</v>
      </c>
      <c r="CB1572" s="132"/>
      <c r="CD1572" s="63">
        <v>0</v>
      </c>
    </row>
    <row r="1573" spans="1:82" hidden="1" outlineLevel="1">
      <c r="A1573" t="s">
        <v>2904</v>
      </c>
      <c r="B1573" t="s">
        <v>1213</v>
      </c>
      <c r="C1573" s="1">
        <f t="shared" si="647"/>
        <v>37656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7</v>
      </c>
      <c r="G1573" s="132">
        <f t="shared" si="642"/>
        <v>13703</v>
      </c>
      <c r="H1573" s="137">
        <f t="shared" si="643"/>
        <v>0.36389951136605059</v>
      </c>
      <c r="I1573" s="2"/>
      <c r="J1573" s="2">
        <f t="shared" si="648"/>
        <v>0.28980773316337372</v>
      </c>
      <c r="K1573" s="2">
        <f t="shared" si="649"/>
        <v>0.6537072445294243</v>
      </c>
      <c r="L1573" s="2">
        <f t="shared" si="650"/>
        <v>2.6025069046101551E-3</v>
      </c>
      <c r="M1573" s="2">
        <f t="shared" si="651"/>
        <v>5.3882515402591827E-2</v>
      </c>
      <c r="N1573" s="63">
        <v>10913</v>
      </c>
      <c r="O1573" s="63">
        <v>24616</v>
      </c>
      <c r="P1573" s="63">
        <v>98</v>
      </c>
      <c r="Q1573" s="63">
        <v>1377</v>
      </c>
      <c r="R1573" s="63">
        <v>254</v>
      </c>
      <c r="S1573" s="63">
        <v>115</v>
      </c>
      <c r="T1573" s="63">
        <v>0</v>
      </c>
      <c r="U1573" s="63"/>
      <c r="V1573" s="63"/>
      <c r="W1573" s="63">
        <f>IF(Copyright!B$11=1,IF(CA1573&gt;0,CA1573-P1573-SUM(T1573:V1573)-SUM(X1573:AC1573)-SUM(AE1573:AM1573)-SUM(AN1573:AQ1573),SUM(CD1573:CF1573)),SUM(CD1573:CF1573))</f>
        <v>282</v>
      </c>
      <c r="X1573" s="63"/>
      <c r="Y1573" s="63">
        <v>0</v>
      </c>
      <c r="Z1573" s="63"/>
      <c r="AA1573" s="63"/>
      <c r="AB1573" s="63"/>
      <c r="AC1573" s="63"/>
      <c r="AD1573" s="63"/>
      <c r="AE1573" s="63">
        <v>1</v>
      </c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W1573" s="5">
        <f>IF(Q1573&gt;0,RANK(Q1573,(N1573:P1573,Q1573:AE1573)),0)</f>
        <v>3</v>
      </c>
      <c r="AX1573" s="5">
        <f>IF(R1573&gt;0,RANK(R1573,(N1573:P1573,Q1573:AE1573)),0)</f>
        <v>5</v>
      </c>
      <c r="AY1573" s="5">
        <f>IF(T1573&gt;0,RANK(T1573,(N1573:P1573,Q1573:AE1573)),0)</f>
        <v>0</v>
      </c>
      <c r="AZ1573" s="5">
        <f>IF(S1573&gt;0,RANK(S1573,(N1573:P1573,Q1573:AE1573)),0)</f>
        <v>6</v>
      </c>
      <c r="BA1573" s="2">
        <f t="shared" si="652"/>
        <v>3.6567877629063099E-2</v>
      </c>
      <c r="BB1573" s="2">
        <f t="shared" si="653"/>
        <v>6.7452729976630547E-3</v>
      </c>
      <c r="BC1573" s="2">
        <f t="shared" si="654"/>
        <v>0</v>
      </c>
      <c r="BD1573" s="2">
        <f t="shared" si="655"/>
        <v>3.0539621839813045E-3</v>
      </c>
      <c r="BF1573" t="s">
        <v>2904</v>
      </c>
      <c r="BG1573" t="s">
        <v>1213</v>
      </c>
      <c r="BH1573">
        <v>3</v>
      </c>
      <c r="BJ1573" s="114">
        <v>29</v>
      </c>
      <c r="BK1573" s="116">
        <v>51</v>
      </c>
      <c r="BL1573" s="120">
        <f t="shared" si="632"/>
        <v>29051</v>
      </c>
      <c r="BN1573" s="5" t="s">
        <v>3154</v>
      </c>
      <c r="BY1573" s="63">
        <f t="shared" si="656"/>
        <v>0</v>
      </c>
      <c r="BZ1573" s="63">
        <v>37656</v>
      </c>
      <c r="CA1573" s="63">
        <v>381</v>
      </c>
      <c r="CB1573" s="132"/>
      <c r="CD1573" s="63">
        <v>0</v>
      </c>
    </row>
    <row r="1574" spans="1:82" hidden="1" outlineLevel="1">
      <c r="A1574" t="s">
        <v>1874</v>
      </c>
      <c r="B1574" t="s">
        <v>1213</v>
      </c>
      <c r="C1574" s="1">
        <f t="shared" si="647"/>
        <v>7986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6</v>
      </c>
      <c r="G1574" s="132">
        <f t="shared" si="642"/>
        <v>3692</v>
      </c>
      <c r="H1574" s="137">
        <f t="shared" si="643"/>
        <v>0.46230904082143753</v>
      </c>
      <c r="I1574" s="2"/>
      <c r="J1574" s="2">
        <f t="shared" si="648"/>
        <v>0.24192336589030805</v>
      </c>
      <c r="K1574" s="2">
        <f t="shared" si="649"/>
        <v>0.70423240671174558</v>
      </c>
      <c r="L1574" s="2">
        <f t="shared" si="650"/>
        <v>1.1269722013523666E-3</v>
      </c>
      <c r="M1574" s="2">
        <f t="shared" si="651"/>
        <v>5.2717255196593996E-2</v>
      </c>
      <c r="N1574" s="63">
        <v>1932</v>
      </c>
      <c r="O1574" s="63">
        <v>5624</v>
      </c>
      <c r="P1574" s="63">
        <v>9</v>
      </c>
      <c r="Q1574" s="63">
        <v>306</v>
      </c>
      <c r="R1574" s="63">
        <v>58</v>
      </c>
      <c r="S1574" s="63">
        <v>57</v>
      </c>
      <c r="T1574" s="63">
        <v>0</v>
      </c>
      <c r="U1574" s="63"/>
      <c r="V1574" s="63"/>
      <c r="W1574" s="63">
        <f>IF(Copyright!B$11=1,IF(CA1574&gt;0,CA1574-P1574-SUM(T1574:V1574)-SUM(X1574:AC1574)-SUM(AE1574:AM1574)-SUM(AN1574:AQ1574),SUM(CD1574:CF1574)),SUM(CD1574:CF1574))</f>
        <v>0</v>
      </c>
      <c r="X1574" s="63"/>
      <c r="Y1574" s="63">
        <v>0</v>
      </c>
      <c r="Z1574" s="63"/>
      <c r="AA1574" s="63"/>
      <c r="AB1574" s="63"/>
      <c r="AC1574" s="63"/>
      <c r="AD1574" s="63"/>
      <c r="AE1574" s="63">
        <v>0</v>
      </c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W1574" s="5">
        <f>IF(Q1574&gt;0,RANK(Q1574,(N1574:P1574,Q1574:AE1574)),0)</f>
        <v>3</v>
      </c>
      <c r="AX1574" s="5">
        <f>IF(R1574&gt;0,RANK(R1574,(N1574:P1574,Q1574:AE1574)),0)</f>
        <v>4</v>
      </c>
      <c r="AY1574" s="5">
        <f>IF(T1574&gt;0,RANK(T1574,(N1574:P1574,Q1574:AE1574)),0)</f>
        <v>0</v>
      </c>
      <c r="AZ1574" s="5">
        <f>IF(S1574&gt;0,RANK(S1574,(N1574:P1574,Q1574:AE1574)),0)</f>
        <v>5</v>
      </c>
      <c r="BA1574" s="2">
        <f t="shared" si="652"/>
        <v>3.8317054845980462E-2</v>
      </c>
      <c r="BB1574" s="2">
        <f t="shared" si="653"/>
        <v>7.2627097420485849E-3</v>
      </c>
      <c r="BC1574" s="2">
        <f t="shared" si="654"/>
        <v>0</v>
      </c>
      <c r="BD1574" s="2">
        <f t="shared" si="655"/>
        <v>7.137490608564989E-3</v>
      </c>
      <c r="BF1574" t="s">
        <v>1874</v>
      </c>
      <c r="BG1574" t="s">
        <v>1213</v>
      </c>
      <c r="BH1574">
        <v>4</v>
      </c>
      <c r="BJ1574" s="114">
        <v>29</v>
      </c>
      <c r="BK1574" s="116">
        <v>53</v>
      </c>
      <c r="BL1574" s="120">
        <f t="shared" si="632"/>
        <v>29053</v>
      </c>
      <c r="BN1574" s="5" t="s">
        <v>3154</v>
      </c>
      <c r="BY1574" s="63">
        <f t="shared" si="656"/>
        <v>7986</v>
      </c>
      <c r="CB1574" s="132"/>
      <c r="CD1574" s="63">
        <v>0</v>
      </c>
    </row>
    <row r="1575" spans="1:82" hidden="1" outlineLevel="1">
      <c r="A1575" t="s">
        <v>1875</v>
      </c>
      <c r="B1575" t="s">
        <v>1213</v>
      </c>
      <c r="C1575" s="1">
        <f t="shared" si="647"/>
        <v>9920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32">
        <f t="shared" si="642"/>
        <v>5900</v>
      </c>
      <c r="H1575" s="137">
        <f t="shared" si="643"/>
        <v>0.594758064516129</v>
      </c>
      <c r="I1575" s="2"/>
      <c r="J1575" s="2">
        <f t="shared" si="648"/>
        <v>0.18387096774193548</v>
      </c>
      <c r="K1575" s="2">
        <f t="shared" si="649"/>
        <v>0.77862903225806457</v>
      </c>
      <c r="L1575" s="2">
        <f t="shared" si="650"/>
        <v>0</v>
      </c>
      <c r="M1575" s="2">
        <f t="shared" si="651"/>
        <v>3.7499999999999978E-2</v>
      </c>
      <c r="N1575" s="63">
        <v>1824</v>
      </c>
      <c r="O1575" s="63">
        <v>7724</v>
      </c>
      <c r="P1575" s="63">
        <v>0</v>
      </c>
      <c r="Q1575" s="63">
        <v>224</v>
      </c>
      <c r="R1575" s="63">
        <v>91</v>
      </c>
      <c r="S1575" s="63">
        <v>57</v>
      </c>
      <c r="T1575" s="63">
        <v>0</v>
      </c>
      <c r="U1575" s="63"/>
      <c r="V1575" s="63"/>
      <c r="W1575" s="63">
        <f>IF(Copyright!B$11=1,IF(CA1575&gt;0,CA1575-P1575-SUM(T1575:V1575)-SUM(X1575:AC1575)-SUM(AE1575:AM1575)-SUM(AN1575:AQ1575),SUM(CD1575:CF1575)),SUM(CD1575:CF1575))</f>
        <v>0</v>
      </c>
      <c r="X1575" s="63"/>
      <c r="Y1575" s="63">
        <v>0</v>
      </c>
      <c r="Z1575" s="63"/>
      <c r="AA1575" s="63"/>
      <c r="AB1575" s="63"/>
      <c r="AC1575" s="63"/>
      <c r="AD1575" s="63"/>
      <c r="AE1575" s="63">
        <v>0</v>
      </c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W1575" s="5">
        <f>IF(Q1575&gt;0,RANK(Q1575,(N1575:P1575,Q1575:AE1575)),0)</f>
        <v>3</v>
      </c>
      <c r="AX1575" s="5">
        <f>IF(R1575&gt;0,RANK(R1575,(N1575:P1575,Q1575:AE1575)),0)</f>
        <v>4</v>
      </c>
      <c r="AY1575" s="5">
        <f>IF(T1575&gt;0,RANK(T1575,(N1575:P1575,Q1575:AE1575)),0)</f>
        <v>0</v>
      </c>
      <c r="AZ1575" s="5">
        <f>IF(S1575&gt;0,RANK(S1575,(N1575:P1575,Q1575:AE1575)),0)</f>
        <v>5</v>
      </c>
      <c r="BA1575" s="2">
        <f t="shared" si="652"/>
        <v>2.2580645161290321E-2</v>
      </c>
      <c r="BB1575" s="2">
        <f t="shared" si="653"/>
        <v>9.1733870967741927E-3</v>
      </c>
      <c r="BC1575" s="2">
        <f t="shared" si="654"/>
        <v>0</v>
      </c>
      <c r="BD1575" s="2">
        <f t="shared" si="655"/>
        <v>5.7459677419354838E-3</v>
      </c>
      <c r="BF1575" t="s">
        <v>1875</v>
      </c>
      <c r="BG1575" t="s">
        <v>1213</v>
      </c>
      <c r="BH1575">
        <v>8</v>
      </c>
      <c r="BJ1575" s="114">
        <v>29</v>
      </c>
      <c r="BK1575" s="116">
        <v>55</v>
      </c>
      <c r="BL1575" s="120">
        <f t="shared" si="632"/>
        <v>29055</v>
      </c>
      <c r="BN1575" s="5" t="s">
        <v>3154</v>
      </c>
      <c r="BY1575" s="63">
        <f t="shared" si="656"/>
        <v>9920</v>
      </c>
      <c r="CB1575" s="132"/>
      <c r="CD1575" s="63">
        <v>0</v>
      </c>
    </row>
    <row r="1576" spans="1:82" hidden="1" outlineLevel="1">
      <c r="A1576" t="s">
        <v>2621</v>
      </c>
      <c r="B1576" t="s">
        <v>1213</v>
      </c>
      <c r="C1576" s="1">
        <f t="shared" si="647"/>
        <v>3951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32">
        <f t="shared" si="642"/>
        <v>2547</v>
      </c>
      <c r="H1576" s="137">
        <f t="shared" si="643"/>
        <v>0.6446469248291572</v>
      </c>
      <c r="I1576" s="2"/>
      <c r="J1576" s="2">
        <f t="shared" si="648"/>
        <v>0.16122500632751202</v>
      </c>
      <c r="K1576" s="2">
        <f t="shared" si="649"/>
        <v>0.80587193115666922</v>
      </c>
      <c r="L1576" s="2">
        <f t="shared" si="650"/>
        <v>0</v>
      </c>
      <c r="M1576" s="2">
        <f t="shared" si="651"/>
        <v>3.290306251581876E-2</v>
      </c>
      <c r="N1576" s="63">
        <v>637</v>
      </c>
      <c r="O1576" s="63">
        <v>3184</v>
      </c>
      <c r="P1576" s="63">
        <v>0</v>
      </c>
      <c r="Q1576" s="63">
        <v>94</v>
      </c>
      <c r="R1576" s="63">
        <v>16</v>
      </c>
      <c r="S1576" s="63">
        <v>20</v>
      </c>
      <c r="T1576" s="63">
        <v>0</v>
      </c>
      <c r="U1576" s="63"/>
      <c r="V1576" s="63"/>
      <c r="W1576" s="63">
        <f>IF(Copyright!B$11=1,IF(CA1576&gt;0,CA1576-P1576-SUM(T1576:V1576)-SUM(X1576:AC1576)-SUM(AE1576:AM1576)-SUM(AN1576:AQ1576),SUM(CD1576:CF1576)),SUM(CD1576:CF1576))</f>
        <v>0</v>
      </c>
      <c r="X1576" s="63"/>
      <c r="Y1576" s="63">
        <v>0</v>
      </c>
      <c r="Z1576" s="63"/>
      <c r="AA1576" s="63"/>
      <c r="AB1576" s="63"/>
      <c r="AC1576" s="63"/>
      <c r="AD1576" s="63"/>
      <c r="AE1576" s="63">
        <v>0</v>
      </c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W1576" s="5">
        <f>IF(Q1576&gt;0,RANK(Q1576,(N1576:P1576,Q1576:AE1576)),0)</f>
        <v>3</v>
      </c>
      <c r="AX1576" s="5">
        <f>IF(R1576&gt;0,RANK(R1576,(N1576:P1576,Q1576:AE1576)),0)</f>
        <v>5</v>
      </c>
      <c r="AY1576" s="5">
        <f>IF(T1576&gt;0,RANK(T1576,(N1576:P1576,Q1576:AE1576)),0)</f>
        <v>0</v>
      </c>
      <c r="AZ1576" s="5">
        <f>IF(S1576&gt;0,RANK(S1576,(N1576:P1576,Q1576:AE1576)),0)</f>
        <v>4</v>
      </c>
      <c r="BA1576" s="2">
        <f t="shared" si="652"/>
        <v>2.3791445203745886E-2</v>
      </c>
      <c r="BB1576" s="2">
        <f t="shared" si="653"/>
        <v>4.0496076942546193E-3</v>
      </c>
      <c r="BC1576" s="2">
        <f t="shared" si="654"/>
        <v>0</v>
      </c>
      <c r="BD1576" s="2">
        <f t="shared" si="655"/>
        <v>5.0620096178182741E-3</v>
      </c>
      <c r="BF1576" t="s">
        <v>2621</v>
      </c>
      <c r="BG1576" t="s">
        <v>1213</v>
      </c>
      <c r="BH1576">
        <v>4</v>
      </c>
      <c r="BJ1576" s="114">
        <v>29</v>
      </c>
      <c r="BK1576" s="116">
        <v>57</v>
      </c>
      <c r="BL1576" s="120">
        <f t="shared" si="632"/>
        <v>29057</v>
      </c>
      <c r="BN1576" s="5" t="s">
        <v>3154</v>
      </c>
      <c r="BY1576" s="63">
        <f t="shared" si="656"/>
        <v>3951</v>
      </c>
      <c r="CB1576" s="132"/>
      <c r="CD1576" s="63">
        <v>0</v>
      </c>
    </row>
    <row r="1577" spans="1:82" hidden="1" outlineLevel="1">
      <c r="A1577" t="s">
        <v>1086</v>
      </c>
      <c r="B1577" t="s">
        <v>1213</v>
      </c>
      <c r="C1577" s="1">
        <f t="shared" si="647"/>
        <v>7453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6</v>
      </c>
      <c r="G1577" s="132">
        <f t="shared" si="642"/>
        <v>4623</v>
      </c>
      <c r="H1577" s="137">
        <f t="shared" si="643"/>
        <v>0.62028713269824232</v>
      </c>
      <c r="I1577" s="2"/>
      <c r="J1577" s="2">
        <f t="shared" si="648"/>
        <v>0.17066952904870522</v>
      </c>
      <c r="K1577" s="2">
        <f t="shared" si="649"/>
        <v>0.79095666174694756</v>
      </c>
      <c r="L1577" s="2">
        <f t="shared" si="650"/>
        <v>1.3417415805715819E-3</v>
      </c>
      <c r="M1577" s="2">
        <f t="shared" si="651"/>
        <v>3.7032067623775602E-2</v>
      </c>
      <c r="N1577" s="63">
        <v>1272</v>
      </c>
      <c r="O1577" s="63">
        <v>5895</v>
      </c>
      <c r="P1577" s="63">
        <v>10</v>
      </c>
      <c r="Q1577" s="63">
        <v>181</v>
      </c>
      <c r="R1577" s="63">
        <v>49</v>
      </c>
      <c r="S1577" s="63">
        <v>46</v>
      </c>
      <c r="T1577" s="63">
        <v>0</v>
      </c>
      <c r="U1577" s="63"/>
      <c r="V1577" s="63"/>
      <c r="W1577" s="63">
        <f>IF(Copyright!B$11=1,IF(CA1577&gt;0,CA1577-P1577-SUM(T1577:V1577)-SUM(X1577:AC1577)-SUM(AE1577:AM1577)-SUM(AN1577:AQ1577),SUM(CD1577:CF1577)),SUM(CD1577:CF1577))</f>
        <v>0</v>
      </c>
      <c r="X1577" s="63"/>
      <c r="Y1577" s="63">
        <v>0</v>
      </c>
      <c r="Z1577" s="63"/>
      <c r="AA1577" s="63"/>
      <c r="AB1577" s="63"/>
      <c r="AC1577" s="63"/>
      <c r="AD1577" s="63"/>
      <c r="AE1577" s="63">
        <v>0</v>
      </c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W1577" s="5">
        <f>IF(Q1577&gt;0,RANK(Q1577,(N1577:P1577,Q1577:AE1577)),0)</f>
        <v>3</v>
      </c>
      <c r="AX1577" s="5">
        <f>IF(R1577&gt;0,RANK(R1577,(N1577:P1577,Q1577:AE1577)),0)</f>
        <v>4</v>
      </c>
      <c r="AY1577" s="5">
        <f>IF(T1577&gt;0,RANK(T1577,(N1577:P1577,Q1577:AE1577)),0)</f>
        <v>0</v>
      </c>
      <c r="AZ1577" s="5">
        <f>IF(S1577&gt;0,RANK(S1577,(N1577:P1577,Q1577:AE1577)),0)</f>
        <v>5</v>
      </c>
      <c r="BA1577" s="2">
        <f t="shared" si="652"/>
        <v>2.4285522608345631E-2</v>
      </c>
      <c r="BB1577" s="2">
        <f t="shared" si="653"/>
        <v>6.574533744800751E-3</v>
      </c>
      <c r="BC1577" s="2">
        <f t="shared" si="654"/>
        <v>0</v>
      </c>
      <c r="BD1577" s="2">
        <f t="shared" si="655"/>
        <v>6.1720112706292766E-3</v>
      </c>
      <c r="BF1577" t="s">
        <v>1086</v>
      </c>
      <c r="BG1577" t="s">
        <v>1213</v>
      </c>
      <c r="BH1577">
        <v>4</v>
      </c>
      <c r="BJ1577" s="114">
        <v>29</v>
      </c>
      <c r="BK1577" s="116">
        <v>59</v>
      </c>
      <c r="BL1577" s="120">
        <f t="shared" ref="BL1577:BL1640" si="657">1000*BJ1577+BK1577</f>
        <v>29059</v>
      </c>
      <c r="BN1577" s="5" t="s">
        <v>3154</v>
      </c>
      <c r="BY1577" s="63">
        <f t="shared" si="656"/>
        <v>7453</v>
      </c>
      <c r="CB1577" s="132"/>
      <c r="CD1577" s="63">
        <v>0</v>
      </c>
    </row>
    <row r="1578" spans="1:82" hidden="1" outlineLevel="1">
      <c r="A1578" t="s">
        <v>1404</v>
      </c>
      <c r="B1578" t="s">
        <v>1213</v>
      </c>
      <c r="C1578" s="1">
        <f t="shared" si="647"/>
        <v>3738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4</v>
      </c>
      <c r="G1578" s="132">
        <f t="shared" si="642"/>
        <v>2037</v>
      </c>
      <c r="H1578" s="137">
        <f t="shared" si="643"/>
        <v>0.5449438202247191</v>
      </c>
      <c r="I1578" s="2"/>
      <c r="J1578" s="2">
        <f t="shared" si="648"/>
        <v>0.19529159978598182</v>
      </c>
      <c r="K1578" s="2">
        <f t="shared" si="649"/>
        <v>0.74023542001070086</v>
      </c>
      <c r="L1578" s="2">
        <f t="shared" si="650"/>
        <v>1.0968432316746924E-2</v>
      </c>
      <c r="M1578" s="2">
        <f t="shared" si="651"/>
        <v>5.3504547886570344E-2</v>
      </c>
      <c r="N1578" s="63">
        <v>730</v>
      </c>
      <c r="O1578" s="63">
        <v>2767</v>
      </c>
      <c r="P1578" s="63">
        <v>41</v>
      </c>
      <c r="Q1578" s="63">
        <v>145</v>
      </c>
      <c r="R1578" s="63">
        <v>18</v>
      </c>
      <c r="S1578" s="63">
        <v>36</v>
      </c>
      <c r="T1578" s="63">
        <v>0</v>
      </c>
      <c r="U1578" s="63"/>
      <c r="V1578" s="63"/>
      <c r="W1578" s="63">
        <f>IF(Copyright!B$11=1,IF(CA1578&gt;0,CA1578-P1578-SUM(T1578:V1578)-SUM(X1578:AC1578)-SUM(AE1578:AM1578)-SUM(AN1578:AQ1578),SUM(CD1578:CF1578)),SUM(CD1578:CF1578))</f>
        <v>0</v>
      </c>
      <c r="X1578" s="63"/>
      <c r="Y1578" s="63">
        <v>1</v>
      </c>
      <c r="Z1578" s="63"/>
      <c r="AA1578" s="63"/>
      <c r="AB1578" s="63"/>
      <c r="AC1578" s="63"/>
      <c r="AD1578" s="63"/>
      <c r="AE1578" s="63">
        <v>0</v>
      </c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W1578" s="5">
        <f>IF(Q1578&gt;0,RANK(Q1578,(N1578:P1578,Q1578:AE1578)),0)</f>
        <v>3</v>
      </c>
      <c r="AX1578" s="5">
        <f>IF(R1578&gt;0,RANK(R1578,(N1578:P1578,Q1578:AE1578)),0)</f>
        <v>6</v>
      </c>
      <c r="AY1578" s="5">
        <f>IF(T1578&gt;0,RANK(T1578,(N1578:P1578,Q1578:AE1578)),0)</f>
        <v>0</v>
      </c>
      <c r="AZ1578" s="5">
        <f>IF(S1578&gt;0,RANK(S1578,(N1578:P1578,Q1578:AE1578)),0)</f>
        <v>5</v>
      </c>
      <c r="BA1578" s="2">
        <f t="shared" si="652"/>
        <v>3.879079721776351E-2</v>
      </c>
      <c r="BB1578" s="2">
        <f t="shared" si="653"/>
        <v>4.815409309791332E-3</v>
      </c>
      <c r="BC1578" s="2">
        <f t="shared" si="654"/>
        <v>0</v>
      </c>
      <c r="BD1578" s="2">
        <f t="shared" si="655"/>
        <v>9.630818619582664E-3</v>
      </c>
      <c r="BF1578" t="s">
        <v>1404</v>
      </c>
      <c r="BG1578" t="s">
        <v>1213</v>
      </c>
      <c r="BH1578">
        <v>6</v>
      </c>
      <c r="BJ1578" s="114">
        <v>29</v>
      </c>
      <c r="BK1578" s="116">
        <v>61</v>
      </c>
      <c r="BL1578" s="120">
        <f t="shared" si="657"/>
        <v>29061</v>
      </c>
      <c r="BN1578" s="5" t="s">
        <v>3154</v>
      </c>
      <c r="BY1578" s="63">
        <f t="shared" si="656"/>
        <v>3738</v>
      </c>
      <c r="CB1578" s="132"/>
      <c r="CD1578" s="63">
        <v>0</v>
      </c>
    </row>
    <row r="1579" spans="1:82" hidden="1" outlineLevel="1">
      <c r="A1579" t="s">
        <v>1087</v>
      </c>
      <c r="B1579" t="s">
        <v>1213</v>
      </c>
      <c r="C1579" s="1">
        <f t="shared" si="647"/>
        <v>4626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7</v>
      </c>
      <c r="G1579" s="132">
        <f t="shared" si="642"/>
        <v>2716</v>
      </c>
      <c r="H1579" s="137">
        <f t="shared" si="643"/>
        <v>0.58711629917855601</v>
      </c>
      <c r="I1579" s="2"/>
      <c r="J1579" s="2">
        <f t="shared" si="648"/>
        <v>0.17812364894076957</v>
      </c>
      <c r="K1579" s="2">
        <f t="shared" si="649"/>
        <v>0.7652399481193255</v>
      </c>
      <c r="L1579" s="2">
        <f t="shared" si="650"/>
        <v>8.6467790747946386E-4</v>
      </c>
      <c r="M1579" s="2">
        <f t="shared" si="651"/>
        <v>5.5771725032425445E-2</v>
      </c>
      <c r="N1579" s="63">
        <v>824</v>
      </c>
      <c r="O1579" s="63">
        <v>3540</v>
      </c>
      <c r="P1579" s="63">
        <v>4</v>
      </c>
      <c r="Q1579" s="63">
        <v>178</v>
      </c>
      <c r="R1579" s="63">
        <v>30</v>
      </c>
      <c r="S1579" s="63">
        <v>18</v>
      </c>
      <c r="T1579" s="63">
        <v>0</v>
      </c>
      <c r="U1579" s="63"/>
      <c r="V1579" s="63"/>
      <c r="W1579" s="63">
        <f>IF(Copyright!B$11=1,IF(CA1579&gt;0,CA1579-P1579-SUM(T1579:V1579)-SUM(X1579:AC1579)-SUM(AE1579:AM1579)-SUM(AN1579:AQ1579),SUM(CD1579:CF1579)),SUM(CD1579:CF1579))</f>
        <v>32</v>
      </c>
      <c r="X1579" s="63"/>
      <c r="Y1579" s="63">
        <v>0</v>
      </c>
      <c r="Z1579" s="63"/>
      <c r="AA1579" s="63"/>
      <c r="AB1579" s="63"/>
      <c r="AC1579" s="63"/>
      <c r="AD1579" s="63"/>
      <c r="AE1579" s="63">
        <v>0</v>
      </c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W1579" s="5">
        <f>IF(Q1579&gt;0,RANK(Q1579,(N1579:P1579,Q1579:AE1579)),0)</f>
        <v>3</v>
      </c>
      <c r="AX1579" s="5">
        <f>IF(R1579&gt;0,RANK(R1579,(N1579:P1579,Q1579:AE1579)),0)</f>
        <v>5</v>
      </c>
      <c r="AY1579" s="5">
        <f>IF(T1579&gt;0,RANK(T1579,(N1579:P1579,Q1579:AE1579)),0)</f>
        <v>0</v>
      </c>
      <c r="AZ1579" s="5">
        <f>IF(S1579&gt;0,RANK(S1579,(N1579:P1579,Q1579:AE1579)),0)</f>
        <v>6</v>
      </c>
      <c r="BA1579" s="2">
        <f t="shared" si="652"/>
        <v>3.8478166882836146E-2</v>
      </c>
      <c r="BB1579" s="2">
        <f t="shared" si="653"/>
        <v>6.4850843060959796E-3</v>
      </c>
      <c r="BC1579" s="2">
        <f t="shared" si="654"/>
        <v>0</v>
      </c>
      <c r="BD1579" s="2">
        <f t="shared" si="655"/>
        <v>3.8910505836575876E-3</v>
      </c>
      <c r="BF1579" t="s">
        <v>1087</v>
      </c>
      <c r="BG1579" t="s">
        <v>1213</v>
      </c>
      <c r="BH1579">
        <v>6</v>
      </c>
      <c r="BJ1579" s="114">
        <v>29</v>
      </c>
      <c r="BK1579" s="116">
        <v>63</v>
      </c>
      <c r="BL1579" s="120">
        <f t="shared" si="657"/>
        <v>29063</v>
      </c>
      <c r="BN1579" s="5" t="s">
        <v>3154</v>
      </c>
      <c r="BY1579" s="63">
        <f t="shared" si="656"/>
        <v>0</v>
      </c>
      <c r="BZ1579" s="133">
        <v>4626</v>
      </c>
      <c r="CA1579" s="133">
        <v>36</v>
      </c>
      <c r="CB1579" s="132"/>
      <c r="CD1579" s="63">
        <v>0</v>
      </c>
    </row>
    <row r="1580" spans="1:82" hidden="1" outlineLevel="1">
      <c r="A1580" t="s">
        <v>145</v>
      </c>
      <c r="B1580" t="s">
        <v>1213</v>
      </c>
      <c r="C1580" s="1">
        <f t="shared" ref="C1580:C1611" si="658">SUM(N1580:AU1580)</f>
        <v>6791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6</v>
      </c>
      <c r="G1580" s="132">
        <f t="shared" si="642"/>
        <v>4622</v>
      </c>
      <c r="H1580" s="137">
        <f t="shared" si="643"/>
        <v>0.68060668531880431</v>
      </c>
      <c r="I1580" s="2"/>
      <c r="J1580" s="2">
        <f t="shared" ref="J1580:J1611" si="659">IF($C1580=0,"-",N1580/$C1580)</f>
        <v>0.14401413635694302</v>
      </c>
      <c r="K1580" s="2">
        <f t="shared" ref="K1580:K1611" si="660">IF($C1580=0,"-",O1580/$C1580)</f>
        <v>0.82462082167574735</v>
      </c>
      <c r="L1580" s="2">
        <f t="shared" ref="L1580:L1611" si="661">IF($C1580=0,"-",P1580/$C1580)</f>
        <v>1.7670446178766014E-3</v>
      </c>
      <c r="M1580" s="2">
        <f t="shared" ref="M1580:M1611" si="662">IF(C1580=0,"-",(1-J1580-K1580-L1580))</f>
        <v>2.9597997349433001E-2</v>
      </c>
      <c r="N1580" s="63">
        <v>978</v>
      </c>
      <c r="O1580" s="63">
        <v>5600</v>
      </c>
      <c r="P1580" s="63">
        <v>12</v>
      </c>
      <c r="Q1580" s="63">
        <v>136</v>
      </c>
      <c r="R1580" s="63">
        <v>36</v>
      </c>
      <c r="S1580" s="63">
        <v>29</v>
      </c>
      <c r="T1580" s="63">
        <v>0</v>
      </c>
      <c r="U1580" s="63"/>
      <c r="V1580" s="63"/>
      <c r="W1580" s="63">
        <f>IF(Copyright!B$11=1,IF(CA1580&gt;0,CA1580-P1580-SUM(T1580:V1580)-SUM(X1580:AC1580)-SUM(AE1580:AM1580)-SUM(AN1580:AQ1580),SUM(CD1580:CF1580)),SUM(CD1580:CF1580))</f>
        <v>0</v>
      </c>
      <c r="X1580" s="63"/>
      <c r="Y1580" s="63">
        <v>0</v>
      </c>
      <c r="Z1580" s="63"/>
      <c r="AA1580" s="63"/>
      <c r="AB1580" s="63"/>
      <c r="AC1580" s="63"/>
      <c r="AD1580" s="63"/>
      <c r="AE1580" s="63">
        <v>0</v>
      </c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W1580" s="5">
        <f>IF(Q1580&gt;0,RANK(Q1580,(N1580:P1580,Q1580:AE1580)),0)</f>
        <v>3</v>
      </c>
      <c r="AX1580" s="5">
        <f>IF(R1580&gt;0,RANK(R1580,(N1580:P1580,Q1580:AE1580)),0)</f>
        <v>4</v>
      </c>
      <c r="AY1580" s="5">
        <f>IF(T1580&gt;0,RANK(T1580,(N1580:P1580,Q1580:AE1580)),0)</f>
        <v>0</v>
      </c>
      <c r="AZ1580" s="5">
        <f>IF(S1580&gt;0,RANK(S1580,(N1580:P1580,Q1580:AE1580)),0)</f>
        <v>5</v>
      </c>
      <c r="BA1580" s="2">
        <f t="shared" ref="BA1580:BA1611" si="663">IF($C1580=0,"-",Q1580/$C1580)</f>
        <v>2.0026505669268148E-2</v>
      </c>
      <c r="BB1580" s="2">
        <f t="shared" ref="BB1580:BB1611" si="664">IF($C1580=0,"-",R1580/$C1580)</f>
        <v>5.3011338536298044E-3</v>
      </c>
      <c r="BC1580" s="2">
        <f t="shared" ref="BC1580:BC1611" si="665">IF($C1580=0,"-",T1580/$C1580)</f>
        <v>0</v>
      </c>
      <c r="BD1580" s="2">
        <f t="shared" ref="BD1580:BD1611" si="666">IF($C1580=0,"-",S1580/$C1580)</f>
        <v>4.2703578265351197E-3</v>
      </c>
      <c r="BF1580" t="s">
        <v>145</v>
      </c>
      <c r="BG1580" t="s">
        <v>1213</v>
      </c>
      <c r="BH1580">
        <v>8</v>
      </c>
      <c r="BJ1580" s="114">
        <v>29</v>
      </c>
      <c r="BK1580" s="116">
        <v>65</v>
      </c>
      <c r="BL1580" s="120">
        <f t="shared" si="657"/>
        <v>29065</v>
      </c>
      <c r="BN1580" s="5" t="s">
        <v>3154</v>
      </c>
      <c r="BY1580" s="63">
        <f t="shared" si="656"/>
        <v>6791</v>
      </c>
      <c r="CB1580" s="132"/>
      <c r="CD1580" s="63">
        <v>0</v>
      </c>
    </row>
    <row r="1581" spans="1:82" hidden="1" outlineLevel="1">
      <c r="A1581" t="s">
        <v>1148</v>
      </c>
      <c r="B1581" t="s">
        <v>1213</v>
      </c>
      <c r="C1581" s="1">
        <f t="shared" si="658"/>
        <v>6666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6</v>
      </c>
      <c r="G1581" s="132">
        <f t="shared" si="642"/>
        <v>4502</v>
      </c>
      <c r="H1581" s="137">
        <f t="shared" si="643"/>
        <v>0.67536753675367533</v>
      </c>
      <c r="I1581" s="2"/>
      <c r="J1581" s="2">
        <f t="shared" si="659"/>
        <v>0.1476147614761476</v>
      </c>
      <c r="K1581" s="2">
        <f t="shared" si="660"/>
        <v>0.82298229822982294</v>
      </c>
      <c r="L1581" s="2">
        <f t="shared" si="661"/>
        <v>3.0003000300030005E-4</v>
      </c>
      <c r="M1581" s="2">
        <f t="shared" si="662"/>
        <v>2.9102910291029155E-2</v>
      </c>
      <c r="N1581" s="63">
        <v>984</v>
      </c>
      <c r="O1581" s="63">
        <v>5486</v>
      </c>
      <c r="P1581" s="63">
        <v>2</v>
      </c>
      <c r="Q1581" s="63">
        <v>135</v>
      </c>
      <c r="R1581" s="63">
        <v>21</v>
      </c>
      <c r="S1581" s="63">
        <v>38</v>
      </c>
      <c r="T1581" s="63">
        <v>0</v>
      </c>
      <c r="U1581" s="63"/>
      <c r="V1581" s="63"/>
      <c r="W1581" s="63">
        <f>IF(Copyright!B$11=1,IF(CA1581&gt;0,CA1581-P1581-SUM(T1581:V1581)-SUM(X1581:AC1581)-SUM(AE1581:AM1581)-SUM(AN1581:AQ1581),SUM(CD1581:CF1581)),SUM(CD1581:CF1581))</f>
        <v>0</v>
      </c>
      <c r="X1581" s="63"/>
      <c r="Y1581" s="63">
        <v>0</v>
      </c>
      <c r="Z1581" s="63"/>
      <c r="AA1581" s="63"/>
      <c r="AB1581" s="63"/>
      <c r="AC1581" s="63"/>
      <c r="AD1581" s="63"/>
      <c r="AE1581" s="63">
        <v>0</v>
      </c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W1581" s="5">
        <f>IF(Q1581&gt;0,RANK(Q1581,(N1581:P1581,Q1581:AE1581)),0)</f>
        <v>3</v>
      </c>
      <c r="AX1581" s="5">
        <f>IF(R1581&gt;0,RANK(R1581,(N1581:P1581,Q1581:AE1581)),0)</f>
        <v>5</v>
      </c>
      <c r="AY1581" s="5">
        <f>IF(T1581&gt;0,RANK(T1581,(N1581:P1581,Q1581:AE1581)),0)</f>
        <v>0</v>
      </c>
      <c r="AZ1581" s="5">
        <f>IF(S1581&gt;0,RANK(S1581,(N1581:P1581,Q1581:AE1581)),0)</f>
        <v>4</v>
      </c>
      <c r="BA1581" s="2">
        <f t="shared" si="663"/>
        <v>2.025202520252025E-2</v>
      </c>
      <c r="BB1581" s="2">
        <f t="shared" si="664"/>
        <v>3.1503150315031502E-3</v>
      </c>
      <c r="BC1581" s="2">
        <f t="shared" si="665"/>
        <v>0</v>
      </c>
      <c r="BD1581" s="2">
        <f t="shared" si="666"/>
        <v>5.7005700570057008E-3</v>
      </c>
      <c r="BF1581" t="s">
        <v>1148</v>
      </c>
      <c r="BG1581" t="s">
        <v>1213</v>
      </c>
      <c r="BH1581">
        <v>8</v>
      </c>
      <c r="BJ1581" s="114">
        <v>29</v>
      </c>
      <c r="BK1581" s="116">
        <v>67</v>
      </c>
      <c r="BL1581" s="120">
        <f t="shared" si="657"/>
        <v>29067</v>
      </c>
      <c r="BN1581" s="5" t="s">
        <v>3154</v>
      </c>
      <c r="BY1581" s="63">
        <f t="shared" si="656"/>
        <v>6666</v>
      </c>
      <c r="CB1581" s="132"/>
      <c r="CD1581" s="63">
        <v>0</v>
      </c>
    </row>
    <row r="1582" spans="1:82" hidden="1" outlineLevel="1">
      <c r="A1582" t="s">
        <v>2585</v>
      </c>
      <c r="B1582" t="s">
        <v>1213</v>
      </c>
      <c r="C1582" s="1">
        <f t="shared" si="658"/>
        <v>10578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6</v>
      </c>
      <c r="G1582" s="132">
        <f t="shared" si="642"/>
        <v>5666</v>
      </c>
      <c r="H1582" s="137">
        <f t="shared" si="643"/>
        <v>0.53564000756286634</v>
      </c>
      <c r="I1582" s="2"/>
      <c r="J1582" s="2">
        <f t="shared" si="659"/>
        <v>0.22310455662696163</v>
      </c>
      <c r="K1582" s="2">
        <f t="shared" si="660"/>
        <v>0.75874456418982794</v>
      </c>
      <c r="L1582" s="2">
        <f t="shared" si="661"/>
        <v>3.7814331631688409E-4</v>
      </c>
      <c r="M1582" s="2">
        <f t="shared" si="662"/>
        <v>1.7772735866893572E-2</v>
      </c>
      <c r="N1582" s="63">
        <v>2360</v>
      </c>
      <c r="O1582" s="63">
        <v>8026</v>
      </c>
      <c r="P1582" s="63">
        <v>4</v>
      </c>
      <c r="Q1582" s="63">
        <v>142</v>
      </c>
      <c r="R1582" s="63">
        <v>30</v>
      </c>
      <c r="S1582" s="63">
        <v>16</v>
      </c>
      <c r="T1582" s="63">
        <v>0</v>
      </c>
      <c r="U1582" s="63"/>
      <c r="V1582" s="63"/>
      <c r="W1582" s="63">
        <f>IF(Copyright!B$11=1,IF(CA1582&gt;0,CA1582-P1582-SUM(T1582:V1582)-SUM(X1582:AC1582)-SUM(AE1582:AM1582)-SUM(AN1582:AQ1582),SUM(CD1582:CF1582)),SUM(CD1582:CF1582))</f>
        <v>0</v>
      </c>
      <c r="X1582" s="63"/>
      <c r="Y1582" s="63">
        <v>0</v>
      </c>
      <c r="Z1582" s="63"/>
      <c r="AA1582" s="63"/>
      <c r="AB1582" s="63"/>
      <c r="AC1582" s="63"/>
      <c r="AD1582" s="63"/>
      <c r="AE1582" s="63">
        <v>0</v>
      </c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W1582" s="5">
        <f>IF(Q1582&gt;0,RANK(Q1582,(N1582:P1582,Q1582:AE1582)),0)</f>
        <v>3</v>
      </c>
      <c r="AX1582" s="5">
        <f>IF(R1582&gt;0,RANK(R1582,(N1582:P1582,Q1582:AE1582)),0)</f>
        <v>4</v>
      </c>
      <c r="AY1582" s="5">
        <f>IF(T1582&gt;0,RANK(T1582,(N1582:P1582,Q1582:AE1582)),0)</f>
        <v>0</v>
      </c>
      <c r="AZ1582" s="5">
        <f>IF(S1582&gt;0,RANK(S1582,(N1582:P1582,Q1582:AE1582)),0)</f>
        <v>5</v>
      </c>
      <c r="BA1582" s="2">
        <f t="shared" si="663"/>
        <v>1.3424087729249386E-2</v>
      </c>
      <c r="BB1582" s="2">
        <f t="shared" si="664"/>
        <v>2.8360748723766306E-3</v>
      </c>
      <c r="BC1582" s="2">
        <f t="shared" si="665"/>
        <v>0</v>
      </c>
      <c r="BD1582" s="2">
        <f t="shared" si="666"/>
        <v>1.5125732652675364E-3</v>
      </c>
      <c r="BF1582" t="s">
        <v>2585</v>
      </c>
      <c r="BG1582" t="s">
        <v>1213</v>
      </c>
      <c r="BH1582">
        <v>8</v>
      </c>
      <c r="BJ1582" s="114">
        <v>29</v>
      </c>
      <c r="BK1582" s="116">
        <v>69</v>
      </c>
      <c r="BL1582" s="120">
        <f t="shared" si="657"/>
        <v>29069</v>
      </c>
      <c r="BN1582" s="5" t="s">
        <v>3154</v>
      </c>
      <c r="BY1582" s="63">
        <f t="shared" si="656"/>
        <v>10578</v>
      </c>
      <c r="CB1582" s="132"/>
      <c r="CD1582" s="63">
        <v>0</v>
      </c>
    </row>
    <row r="1583" spans="1:82" hidden="1" outlineLevel="1">
      <c r="A1583" t="s">
        <v>1138</v>
      </c>
      <c r="B1583" t="s">
        <v>1213</v>
      </c>
      <c r="C1583" s="1">
        <f t="shared" si="658"/>
        <v>50472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7</v>
      </c>
      <c r="G1583" s="132">
        <f t="shared" si="642"/>
        <v>23089</v>
      </c>
      <c r="H1583" s="137">
        <f t="shared" si="643"/>
        <v>0.4574615628467269</v>
      </c>
      <c r="I1583" s="2"/>
      <c r="J1583" s="2">
        <f t="shared" si="659"/>
        <v>0.2445118085275004</v>
      </c>
      <c r="K1583" s="2">
        <f t="shared" si="660"/>
        <v>0.70197337137422733</v>
      </c>
      <c r="L1583" s="2">
        <f t="shared" si="661"/>
        <v>1.030274211443969E-3</v>
      </c>
      <c r="M1583" s="2">
        <f t="shared" si="662"/>
        <v>5.2484545886828271E-2</v>
      </c>
      <c r="N1583" s="63">
        <v>12341</v>
      </c>
      <c r="O1583" s="63">
        <v>35430</v>
      </c>
      <c r="P1583" s="63">
        <v>52</v>
      </c>
      <c r="Q1583" s="63">
        <v>1628</v>
      </c>
      <c r="R1583" s="63">
        <v>428</v>
      </c>
      <c r="S1583" s="63">
        <v>231</v>
      </c>
      <c r="T1583" s="63">
        <v>0</v>
      </c>
      <c r="U1583" s="63"/>
      <c r="V1583" s="63"/>
      <c r="W1583" s="63">
        <f>IF(Copyright!B$11=1,IF(CA1583&gt;0,CA1583-P1583-SUM(T1583:V1583)-SUM(X1583:AC1583)-SUM(AE1583:AM1583)-SUM(AN1583:AQ1583),SUM(CD1583:CF1583)),SUM(CD1583:CF1583))</f>
        <v>359</v>
      </c>
      <c r="X1583" s="63"/>
      <c r="Y1583" s="63">
        <v>1</v>
      </c>
      <c r="Z1583" s="63"/>
      <c r="AA1583" s="63"/>
      <c r="AB1583" s="63"/>
      <c r="AC1583" s="63"/>
      <c r="AD1583" s="63"/>
      <c r="AE1583" s="63">
        <v>2</v>
      </c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W1583" s="5">
        <f>IF(Q1583&gt;0,RANK(Q1583,(N1583:P1583,Q1583:AE1583)),0)</f>
        <v>3</v>
      </c>
      <c r="AX1583" s="5">
        <f>IF(R1583&gt;0,RANK(R1583,(N1583:P1583,Q1583:AE1583)),0)</f>
        <v>4</v>
      </c>
      <c r="AY1583" s="5">
        <f>IF(T1583&gt;0,RANK(T1583,(N1583:P1583,Q1583:AE1583)),0)</f>
        <v>0</v>
      </c>
      <c r="AZ1583" s="5">
        <f>IF(S1583&gt;0,RANK(S1583,(N1583:P1583,Q1583:AE1583)),0)</f>
        <v>6</v>
      </c>
      <c r="BA1583" s="2">
        <f t="shared" si="663"/>
        <v>3.2255508004438105E-2</v>
      </c>
      <c r="BB1583" s="2">
        <f t="shared" si="664"/>
        <v>8.4799492788080518E-3</v>
      </c>
      <c r="BC1583" s="2">
        <f t="shared" si="665"/>
        <v>0</v>
      </c>
      <c r="BD1583" s="2">
        <f t="shared" si="666"/>
        <v>4.5767950546837851E-3</v>
      </c>
      <c r="BF1583" t="s">
        <v>1138</v>
      </c>
      <c r="BG1583" t="s">
        <v>1213</v>
      </c>
      <c r="BH1583">
        <v>3</v>
      </c>
      <c r="BJ1583" s="114">
        <v>29</v>
      </c>
      <c r="BK1583" s="116">
        <v>71</v>
      </c>
      <c r="BL1583" s="120">
        <f t="shared" si="657"/>
        <v>29071</v>
      </c>
      <c r="BN1583" s="5" t="s">
        <v>3154</v>
      </c>
      <c r="BY1583" s="63">
        <f t="shared" si="656"/>
        <v>0</v>
      </c>
      <c r="BZ1583" s="63">
        <v>50472</v>
      </c>
      <c r="CA1583" s="63">
        <f>359+52+3</f>
        <v>414</v>
      </c>
      <c r="CB1583" s="132"/>
      <c r="CD1583" s="63">
        <v>0</v>
      </c>
    </row>
    <row r="1584" spans="1:82" hidden="1" outlineLevel="1">
      <c r="A1584" t="s">
        <v>2698</v>
      </c>
      <c r="B1584" t="s">
        <v>1213</v>
      </c>
      <c r="C1584" s="1">
        <f t="shared" si="658"/>
        <v>7451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6</v>
      </c>
      <c r="G1584" s="132">
        <f t="shared" si="642"/>
        <v>4150</v>
      </c>
      <c r="H1584" s="137">
        <f t="shared" si="643"/>
        <v>0.5569722184941619</v>
      </c>
      <c r="I1584" s="2"/>
      <c r="J1584" s="2">
        <f t="shared" si="659"/>
        <v>0.20399946315930748</v>
      </c>
      <c r="K1584" s="2">
        <f t="shared" si="660"/>
        <v>0.76097168165346929</v>
      </c>
      <c r="L1584" s="2">
        <f t="shared" si="661"/>
        <v>8.0526103878674003E-4</v>
      </c>
      <c r="M1584" s="2">
        <f t="shared" si="662"/>
        <v>3.4223594148436468E-2</v>
      </c>
      <c r="N1584" s="63">
        <v>1520</v>
      </c>
      <c r="O1584" s="63">
        <v>5670</v>
      </c>
      <c r="P1584" s="63">
        <v>6</v>
      </c>
      <c r="Q1584" s="63">
        <v>180</v>
      </c>
      <c r="R1584" s="63">
        <v>47</v>
      </c>
      <c r="S1584" s="63">
        <v>28</v>
      </c>
      <c r="T1584" s="63">
        <v>0</v>
      </c>
      <c r="U1584" s="63"/>
      <c r="V1584" s="63"/>
      <c r="W1584" s="63">
        <f>IF(Copyright!B$11=1,IF(CA1584&gt;0,CA1584-P1584-SUM(T1584:V1584)-SUM(X1584:AC1584)-SUM(AE1584:AM1584)-SUM(AN1584:AQ1584),SUM(CD1584:CF1584)),SUM(CD1584:CF1584))</f>
        <v>0</v>
      </c>
      <c r="X1584" s="63"/>
      <c r="Y1584" s="63">
        <v>0</v>
      </c>
      <c r="Z1584" s="63"/>
      <c r="AA1584" s="63"/>
      <c r="AB1584" s="63"/>
      <c r="AC1584" s="63"/>
      <c r="AD1584" s="63"/>
      <c r="AE1584" s="63">
        <v>0</v>
      </c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W1584" s="5">
        <f>IF(Q1584&gt;0,RANK(Q1584,(N1584:P1584,Q1584:AE1584)),0)</f>
        <v>3</v>
      </c>
      <c r="AX1584" s="5">
        <f>IF(R1584&gt;0,RANK(R1584,(N1584:P1584,Q1584:AE1584)),0)</f>
        <v>4</v>
      </c>
      <c r="AY1584" s="5">
        <f>IF(T1584&gt;0,RANK(T1584,(N1584:P1584,Q1584:AE1584)),0)</f>
        <v>0</v>
      </c>
      <c r="AZ1584" s="5">
        <f>IF(S1584&gt;0,RANK(S1584,(N1584:P1584,Q1584:AE1584)),0)</f>
        <v>5</v>
      </c>
      <c r="BA1584" s="2">
        <f t="shared" si="663"/>
        <v>2.4157831163602202E-2</v>
      </c>
      <c r="BB1584" s="2">
        <f t="shared" si="664"/>
        <v>6.307878137162797E-3</v>
      </c>
      <c r="BC1584" s="2">
        <f t="shared" si="665"/>
        <v>0</v>
      </c>
      <c r="BD1584" s="2">
        <f t="shared" si="666"/>
        <v>3.7578848476714534E-3</v>
      </c>
      <c r="BF1584" t="s">
        <v>2698</v>
      </c>
      <c r="BG1584" t="s">
        <v>1213</v>
      </c>
      <c r="BH1584">
        <v>3</v>
      </c>
      <c r="BJ1584" s="114">
        <v>29</v>
      </c>
      <c r="BK1584" s="116">
        <v>73</v>
      </c>
      <c r="BL1584" s="120">
        <f t="shared" si="657"/>
        <v>29073</v>
      </c>
      <c r="BN1584" s="5" t="s">
        <v>3154</v>
      </c>
      <c r="BY1584" s="63">
        <f t="shared" si="656"/>
        <v>7451</v>
      </c>
      <c r="CB1584" s="132"/>
      <c r="CD1584" s="63">
        <v>0</v>
      </c>
    </row>
    <row r="1585" spans="1:82" hidden="1" outlineLevel="1">
      <c r="A1585" t="s">
        <v>1771</v>
      </c>
      <c r="B1585" t="s">
        <v>1213</v>
      </c>
      <c r="C1585" s="1">
        <f t="shared" si="658"/>
        <v>3043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5</v>
      </c>
      <c r="G1585" s="132">
        <f t="shared" si="642"/>
        <v>1699</v>
      </c>
      <c r="H1585" s="137">
        <f t="shared" si="643"/>
        <v>0.55833059480775549</v>
      </c>
      <c r="I1585" s="2"/>
      <c r="J1585" s="2">
        <f t="shared" si="659"/>
        <v>0.1988169569503779</v>
      </c>
      <c r="K1585" s="2">
        <f t="shared" si="660"/>
        <v>0.75714755175813342</v>
      </c>
      <c r="L1585" s="2">
        <f t="shared" si="661"/>
        <v>2.6289845547157412E-3</v>
      </c>
      <c r="M1585" s="2">
        <f t="shared" si="662"/>
        <v>4.1406506736772909E-2</v>
      </c>
      <c r="N1585" s="63">
        <v>605</v>
      </c>
      <c r="O1585" s="63">
        <v>2304</v>
      </c>
      <c r="P1585" s="63">
        <v>8</v>
      </c>
      <c r="Q1585" s="63">
        <v>108</v>
      </c>
      <c r="R1585" s="63">
        <v>9</v>
      </c>
      <c r="S1585" s="63">
        <v>7</v>
      </c>
      <c r="T1585" s="63">
        <v>0</v>
      </c>
      <c r="U1585" s="63"/>
      <c r="V1585" s="63"/>
      <c r="W1585" s="63">
        <f>IF(Copyright!B$11=1,IF(CA1585&gt;0,CA1585-P1585-SUM(T1585:V1585)-SUM(X1585:AC1585)-SUM(AE1585:AM1585)-SUM(AN1585:AQ1585),SUM(CD1585:CF1585)),SUM(CD1585:CF1585))</f>
        <v>0</v>
      </c>
      <c r="X1585" s="63"/>
      <c r="Y1585" s="63">
        <v>0</v>
      </c>
      <c r="Z1585" s="63"/>
      <c r="AA1585" s="63"/>
      <c r="AB1585" s="63"/>
      <c r="AC1585" s="63"/>
      <c r="AD1585" s="63"/>
      <c r="AE1585" s="63">
        <v>2</v>
      </c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W1585" s="5">
        <f>IF(Q1585&gt;0,RANK(Q1585,(N1585:P1585,Q1585:AE1585)),0)</f>
        <v>3</v>
      </c>
      <c r="AX1585" s="5">
        <f>IF(R1585&gt;0,RANK(R1585,(N1585:P1585,Q1585:AE1585)),0)</f>
        <v>4</v>
      </c>
      <c r="AY1585" s="5">
        <f>IF(T1585&gt;0,RANK(T1585,(N1585:P1585,Q1585:AE1585)),0)</f>
        <v>0</v>
      </c>
      <c r="AZ1585" s="5">
        <f>IF(S1585&gt;0,RANK(S1585,(N1585:P1585,Q1585:AE1585)),0)</f>
        <v>6</v>
      </c>
      <c r="BA1585" s="2">
        <f t="shared" si="663"/>
        <v>3.5491291488662507E-2</v>
      </c>
      <c r="BB1585" s="2">
        <f t="shared" si="664"/>
        <v>2.9576076240552087E-3</v>
      </c>
      <c r="BC1585" s="2">
        <f t="shared" si="665"/>
        <v>0</v>
      </c>
      <c r="BD1585" s="2">
        <f t="shared" si="666"/>
        <v>2.3003614853762734E-3</v>
      </c>
      <c r="BF1585" t="s">
        <v>1771</v>
      </c>
      <c r="BG1585" t="s">
        <v>1213</v>
      </c>
      <c r="BH1585">
        <v>6</v>
      </c>
      <c r="BJ1585" s="114">
        <v>29</v>
      </c>
      <c r="BK1585" s="116">
        <v>75</v>
      </c>
      <c r="BL1585" s="120">
        <f t="shared" si="657"/>
        <v>29075</v>
      </c>
      <c r="BN1585" s="5" t="s">
        <v>3154</v>
      </c>
      <c r="BY1585" s="63">
        <f t="shared" si="656"/>
        <v>3043</v>
      </c>
      <c r="CB1585" s="132"/>
      <c r="CD1585" s="63">
        <v>0</v>
      </c>
    </row>
    <row r="1586" spans="1:82" hidden="1" outlineLevel="1">
      <c r="A1586" t="s">
        <v>2189</v>
      </c>
      <c r="B1586" t="s">
        <v>1213</v>
      </c>
      <c r="C1586" s="1">
        <f t="shared" si="658"/>
        <v>130523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7</v>
      </c>
      <c r="G1586" s="132">
        <f t="shared" si="642"/>
        <v>35307</v>
      </c>
      <c r="H1586" s="137">
        <f t="shared" si="643"/>
        <v>0.27050404909479553</v>
      </c>
      <c r="I1586" s="2"/>
      <c r="J1586" s="2">
        <f t="shared" si="659"/>
        <v>0.32735992890141968</v>
      </c>
      <c r="K1586" s="2">
        <f t="shared" si="660"/>
        <v>0.59786397799621527</v>
      </c>
      <c r="L1586" s="2">
        <f t="shared" si="661"/>
        <v>4.3287389961922419E-3</v>
      </c>
      <c r="M1586" s="2">
        <f t="shared" si="662"/>
        <v>7.0447354106172755E-2</v>
      </c>
      <c r="N1586" s="63">
        <v>42728</v>
      </c>
      <c r="O1586" s="63">
        <v>78035</v>
      </c>
      <c r="P1586" s="63">
        <v>565</v>
      </c>
      <c r="Q1586" s="63">
        <v>5754</v>
      </c>
      <c r="R1586" s="63">
        <v>1465</v>
      </c>
      <c r="S1586" s="63">
        <v>678</v>
      </c>
      <c r="T1586" s="63">
        <v>0</v>
      </c>
      <c r="U1586" s="63"/>
      <c r="V1586" s="63"/>
      <c r="W1586" s="63">
        <f>IF(Copyright!B$11=1,IF(CA1586&gt;0,CA1586-P1586-SUM(T1586:V1586)-SUM(X1586:AC1586)-SUM(AE1586:AM1586)-SUM(AN1586:AQ1586),SUM(CD1586:CF1586)),SUM(CD1586:CF1586))</f>
        <v>1292</v>
      </c>
      <c r="X1586" s="63"/>
      <c r="Y1586" s="63">
        <v>5</v>
      </c>
      <c r="Z1586" s="63"/>
      <c r="AA1586" s="63"/>
      <c r="AB1586" s="63"/>
      <c r="AC1586" s="63"/>
      <c r="AD1586" s="63"/>
      <c r="AE1586" s="63">
        <v>1</v>
      </c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W1586" s="5">
        <f>IF(Q1586&gt;0,RANK(Q1586,(N1586:P1586,Q1586:AE1586)),0)</f>
        <v>3</v>
      </c>
      <c r="AX1586" s="5">
        <f>IF(R1586&gt;0,RANK(R1586,(N1586:P1586,Q1586:AE1586)),0)</f>
        <v>4</v>
      </c>
      <c r="AY1586" s="5">
        <f>IF(T1586&gt;0,RANK(T1586,(N1586:P1586,Q1586:AE1586)),0)</f>
        <v>0</v>
      </c>
      <c r="AZ1586" s="5">
        <f>IF(S1586&gt;0,RANK(S1586,(N1586:P1586,Q1586:AE1586)),0)</f>
        <v>6</v>
      </c>
      <c r="BA1586" s="2">
        <f t="shared" si="663"/>
        <v>4.4084184396619749E-2</v>
      </c>
      <c r="BB1586" s="2">
        <f t="shared" si="664"/>
        <v>1.1224075450303779E-2</v>
      </c>
      <c r="BC1586" s="2">
        <f t="shared" si="665"/>
        <v>0</v>
      </c>
      <c r="BD1586" s="2">
        <f t="shared" si="666"/>
        <v>5.19448679543069E-3</v>
      </c>
      <c r="BF1586" t="s">
        <v>2189</v>
      </c>
      <c r="BG1586" t="s">
        <v>1213</v>
      </c>
      <c r="BH1586">
        <v>7</v>
      </c>
      <c r="BJ1586" s="114">
        <v>29</v>
      </c>
      <c r="BK1586" s="116">
        <v>77</v>
      </c>
      <c r="BL1586" s="120">
        <f t="shared" si="657"/>
        <v>29077</v>
      </c>
      <c r="BN1586" s="5" t="s">
        <v>3154</v>
      </c>
      <c r="BY1586" s="63">
        <f t="shared" si="656"/>
        <v>0</v>
      </c>
      <c r="BZ1586" s="63">
        <f>42728+78035+5754+678+1465+1863</f>
        <v>130523</v>
      </c>
      <c r="CA1586" s="63">
        <v>1863</v>
      </c>
      <c r="CB1586" s="132"/>
      <c r="CD1586" s="63">
        <v>0</v>
      </c>
    </row>
    <row r="1587" spans="1:82" hidden="1" outlineLevel="1">
      <c r="A1587" t="s">
        <v>648</v>
      </c>
      <c r="B1587" t="s">
        <v>1213</v>
      </c>
      <c r="C1587" s="1">
        <f t="shared" si="658"/>
        <v>4428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6</v>
      </c>
      <c r="G1587" s="132">
        <f t="shared" si="642"/>
        <v>2682</v>
      </c>
      <c r="H1587" s="137">
        <f t="shared" si="643"/>
        <v>0.60569105691056913</v>
      </c>
      <c r="I1587" s="2"/>
      <c r="J1587" s="2">
        <f t="shared" si="659"/>
        <v>0.17615176151761516</v>
      </c>
      <c r="K1587" s="2">
        <f t="shared" si="660"/>
        <v>0.78184281842818426</v>
      </c>
      <c r="L1587" s="2">
        <f t="shared" si="661"/>
        <v>3.3875338753387536E-3</v>
      </c>
      <c r="M1587" s="2">
        <f t="shared" si="662"/>
        <v>3.8617886178861853E-2</v>
      </c>
      <c r="N1587" s="63">
        <v>780</v>
      </c>
      <c r="O1587" s="63">
        <v>3462</v>
      </c>
      <c r="P1587" s="63">
        <v>15</v>
      </c>
      <c r="Q1587" s="63">
        <v>118</v>
      </c>
      <c r="R1587" s="63">
        <v>28</v>
      </c>
      <c r="S1587" s="63">
        <v>25</v>
      </c>
      <c r="T1587" s="63">
        <v>0</v>
      </c>
      <c r="U1587" s="63"/>
      <c r="V1587" s="63"/>
      <c r="W1587" s="63">
        <f>IF(Copyright!B$11=1,IF(CA1587&gt;0,CA1587-P1587-SUM(T1587:V1587)-SUM(X1587:AC1587)-SUM(AE1587:AM1587)-SUM(AN1587:AQ1587),SUM(CD1587:CF1587)),SUM(CD1587:CF1587))</f>
        <v>0</v>
      </c>
      <c r="X1587" s="63"/>
      <c r="Y1587" s="63">
        <v>0</v>
      </c>
      <c r="Z1587" s="63"/>
      <c r="AA1587" s="63"/>
      <c r="AB1587" s="63"/>
      <c r="AC1587" s="63"/>
      <c r="AD1587" s="63"/>
      <c r="AE1587" s="63">
        <v>0</v>
      </c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W1587" s="5">
        <f>IF(Q1587&gt;0,RANK(Q1587,(N1587:P1587,Q1587:AE1587)),0)</f>
        <v>3</v>
      </c>
      <c r="AX1587" s="5">
        <f>IF(R1587&gt;0,RANK(R1587,(N1587:P1587,Q1587:AE1587)),0)</f>
        <v>4</v>
      </c>
      <c r="AY1587" s="5">
        <f>IF(T1587&gt;0,RANK(T1587,(N1587:P1587,Q1587:AE1587)),0)</f>
        <v>0</v>
      </c>
      <c r="AZ1587" s="5">
        <f>IF(S1587&gt;0,RANK(S1587,(N1587:P1587,Q1587:AE1587)),0)</f>
        <v>5</v>
      </c>
      <c r="BA1587" s="2">
        <f t="shared" si="663"/>
        <v>2.6648599819331528E-2</v>
      </c>
      <c r="BB1587" s="2">
        <f t="shared" si="664"/>
        <v>6.3233965672990066E-3</v>
      </c>
      <c r="BC1587" s="2">
        <f t="shared" si="665"/>
        <v>0</v>
      </c>
      <c r="BD1587" s="2">
        <f t="shared" si="666"/>
        <v>5.6458897922312557E-3</v>
      </c>
      <c r="BF1587" t="s">
        <v>648</v>
      </c>
      <c r="BG1587" t="s">
        <v>1213</v>
      </c>
      <c r="BH1587">
        <v>6</v>
      </c>
      <c r="BJ1587" s="114">
        <v>29</v>
      </c>
      <c r="BK1587" s="116">
        <v>79</v>
      </c>
      <c r="BL1587" s="120">
        <f t="shared" si="657"/>
        <v>29079</v>
      </c>
      <c r="BN1587" s="5" t="s">
        <v>3154</v>
      </c>
      <c r="BY1587" s="63">
        <f t="shared" si="656"/>
        <v>4428</v>
      </c>
      <c r="CB1587" s="132"/>
      <c r="CD1587" s="63">
        <v>0</v>
      </c>
    </row>
    <row r="1588" spans="1:82" hidden="1" outlineLevel="1">
      <c r="A1588" t="s">
        <v>875</v>
      </c>
      <c r="B1588" t="s">
        <v>1213</v>
      </c>
      <c r="C1588" s="1">
        <f t="shared" si="658"/>
        <v>3689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6</v>
      </c>
      <c r="G1588" s="132">
        <f t="shared" si="642"/>
        <v>2391</v>
      </c>
      <c r="H1588" s="137">
        <f t="shared" si="643"/>
        <v>0.64814312821902953</v>
      </c>
      <c r="I1588" s="2"/>
      <c r="J1588" s="2">
        <f t="shared" si="659"/>
        <v>0.15559772296015181</v>
      </c>
      <c r="K1588" s="2">
        <f t="shared" si="660"/>
        <v>0.80374085117918137</v>
      </c>
      <c r="L1588" s="2">
        <f t="shared" si="661"/>
        <v>1.626457034426674E-3</v>
      </c>
      <c r="M1588" s="2">
        <f t="shared" si="662"/>
        <v>3.9034968826240114E-2</v>
      </c>
      <c r="N1588" s="63">
        <v>574</v>
      </c>
      <c r="O1588" s="63">
        <v>2965</v>
      </c>
      <c r="P1588" s="63">
        <v>6</v>
      </c>
      <c r="Q1588" s="63">
        <v>97</v>
      </c>
      <c r="R1588" s="63">
        <v>19</v>
      </c>
      <c r="S1588" s="63">
        <v>27</v>
      </c>
      <c r="T1588" s="63">
        <v>0</v>
      </c>
      <c r="U1588" s="63"/>
      <c r="V1588" s="63"/>
      <c r="W1588" s="63">
        <f>IF(Copyright!B$11=1,IF(CA1588&gt;0,CA1588-P1588-SUM(T1588:V1588)-SUM(X1588:AC1588)-SUM(AE1588:AM1588)-SUM(AN1588:AQ1588),SUM(CD1588:CF1588)),SUM(CD1588:CF1588))</f>
        <v>0</v>
      </c>
      <c r="X1588" s="63"/>
      <c r="Y1588" s="63">
        <v>0</v>
      </c>
      <c r="Z1588" s="63"/>
      <c r="AA1588" s="63"/>
      <c r="AB1588" s="63"/>
      <c r="AC1588" s="63"/>
      <c r="AD1588" s="63"/>
      <c r="AE1588" s="63">
        <v>1</v>
      </c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W1588" s="5">
        <f>IF(Q1588&gt;0,RANK(Q1588,(N1588:P1588,Q1588:AE1588)),0)</f>
        <v>3</v>
      </c>
      <c r="AX1588" s="5">
        <f>IF(R1588&gt;0,RANK(R1588,(N1588:P1588,Q1588:AE1588)),0)</f>
        <v>5</v>
      </c>
      <c r="AY1588" s="5">
        <f>IF(T1588&gt;0,RANK(T1588,(N1588:P1588,Q1588:AE1588)),0)</f>
        <v>0</v>
      </c>
      <c r="AZ1588" s="5">
        <f>IF(S1588&gt;0,RANK(S1588,(N1588:P1588,Q1588:AE1588)),0)</f>
        <v>4</v>
      </c>
      <c r="BA1588" s="2">
        <f t="shared" si="663"/>
        <v>2.6294388723231227E-2</v>
      </c>
      <c r="BB1588" s="2">
        <f t="shared" si="664"/>
        <v>5.1504472756844673E-3</v>
      </c>
      <c r="BC1588" s="2">
        <f t="shared" si="665"/>
        <v>0</v>
      </c>
      <c r="BD1588" s="2">
        <f t="shared" si="666"/>
        <v>7.3190566549200323E-3</v>
      </c>
      <c r="BF1588" t="s">
        <v>875</v>
      </c>
      <c r="BG1588" t="s">
        <v>1213</v>
      </c>
      <c r="BH1588">
        <v>6</v>
      </c>
      <c r="BJ1588" s="114">
        <v>29</v>
      </c>
      <c r="BK1588" s="116">
        <v>81</v>
      </c>
      <c r="BL1588" s="120">
        <f t="shared" si="657"/>
        <v>29081</v>
      </c>
      <c r="BN1588" s="5" t="s">
        <v>3154</v>
      </c>
      <c r="BY1588" s="63">
        <f t="shared" si="656"/>
        <v>3689</v>
      </c>
      <c r="CB1588" s="132"/>
      <c r="CD1588" s="63">
        <v>0</v>
      </c>
    </row>
    <row r="1589" spans="1:82" hidden="1" outlineLevel="1">
      <c r="A1589" t="s">
        <v>3123</v>
      </c>
      <c r="B1589" t="s">
        <v>1213</v>
      </c>
      <c r="C1589" s="1">
        <f t="shared" si="658"/>
        <v>9912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7</v>
      </c>
      <c r="G1589" s="132">
        <f t="shared" si="642"/>
        <v>4718</v>
      </c>
      <c r="H1589" s="137">
        <f t="shared" si="643"/>
        <v>0.47598870056497178</v>
      </c>
      <c r="I1589" s="2"/>
      <c r="J1589" s="2">
        <f t="shared" si="659"/>
        <v>0.23779257465698145</v>
      </c>
      <c r="K1589" s="2">
        <f t="shared" si="660"/>
        <v>0.71378127522195323</v>
      </c>
      <c r="L1589" s="2">
        <f t="shared" si="661"/>
        <v>7.0621468926553672E-4</v>
      </c>
      <c r="M1589" s="2">
        <f t="shared" si="662"/>
        <v>4.7719935431799788E-2</v>
      </c>
      <c r="N1589" s="63">
        <v>2357</v>
      </c>
      <c r="O1589" s="63">
        <v>7075</v>
      </c>
      <c r="P1589" s="63">
        <v>7</v>
      </c>
      <c r="Q1589" s="63">
        <v>311</v>
      </c>
      <c r="R1589" s="63">
        <v>61</v>
      </c>
      <c r="S1589" s="63">
        <v>55</v>
      </c>
      <c r="T1589" s="63">
        <v>0</v>
      </c>
      <c r="U1589" s="63"/>
      <c r="V1589" s="63"/>
      <c r="W1589" s="63">
        <f>IF(Copyright!B$11=1,IF(CA1589&gt;0,CA1589-P1589-SUM(T1589:V1589)-SUM(X1589:AC1589)-SUM(AE1589:AM1589)-SUM(AN1589:AQ1589),SUM(CD1589:CF1589)),SUM(CD1589:CF1589))</f>
        <v>46</v>
      </c>
      <c r="X1589" s="63"/>
      <c r="Y1589" s="63">
        <v>0</v>
      </c>
      <c r="Z1589" s="63"/>
      <c r="AA1589" s="63"/>
      <c r="AB1589" s="63"/>
      <c r="AC1589" s="63"/>
      <c r="AD1589" s="63"/>
      <c r="AE1589" s="63">
        <v>0</v>
      </c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W1589" s="5">
        <f>IF(Q1589&gt;0,RANK(Q1589,(N1589:P1589,Q1589:AE1589)),0)</f>
        <v>3</v>
      </c>
      <c r="AX1589" s="5">
        <f>IF(R1589&gt;0,RANK(R1589,(N1589:P1589,Q1589:AE1589)),0)</f>
        <v>4</v>
      </c>
      <c r="AY1589" s="5">
        <f>IF(T1589&gt;0,RANK(T1589,(N1589:P1589,Q1589:AE1589)),0)</f>
        <v>0</v>
      </c>
      <c r="AZ1589" s="5">
        <f>IF(S1589&gt;0,RANK(S1589,(N1589:P1589,Q1589:AE1589)),0)</f>
        <v>5</v>
      </c>
      <c r="BA1589" s="2">
        <f t="shared" si="663"/>
        <v>3.1376109765940276E-2</v>
      </c>
      <c r="BB1589" s="2">
        <f t="shared" si="664"/>
        <v>6.1541565778853915E-3</v>
      </c>
      <c r="BC1589" s="2">
        <f t="shared" si="665"/>
        <v>0</v>
      </c>
      <c r="BD1589" s="2">
        <f t="shared" si="666"/>
        <v>5.548829701372074E-3</v>
      </c>
      <c r="BF1589" t="s">
        <v>3123</v>
      </c>
      <c r="BG1589" t="s">
        <v>1213</v>
      </c>
      <c r="BH1589">
        <v>4</v>
      </c>
      <c r="BJ1589" s="114">
        <v>29</v>
      </c>
      <c r="BK1589" s="116">
        <v>83</v>
      </c>
      <c r="BL1589" s="120">
        <f t="shared" si="657"/>
        <v>29083</v>
      </c>
      <c r="BN1589" s="5" t="s">
        <v>3154</v>
      </c>
      <c r="BY1589" s="63">
        <f t="shared" si="656"/>
        <v>4</v>
      </c>
      <c r="BZ1589" s="133">
        <v>9908</v>
      </c>
      <c r="CA1589" s="133">
        <v>53</v>
      </c>
      <c r="CB1589" s="132"/>
      <c r="CD1589" s="63">
        <v>0</v>
      </c>
    </row>
    <row r="1590" spans="1:82" hidden="1" outlineLevel="1">
      <c r="A1590" t="s">
        <v>373</v>
      </c>
      <c r="B1590" t="s">
        <v>1213</v>
      </c>
      <c r="C1590" s="1">
        <f t="shared" si="658"/>
        <v>4761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7</v>
      </c>
      <c r="G1590" s="132">
        <f t="shared" si="642"/>
        <v>2526</v>
      </c>
      <c r="H1590" s="137">
        <f t="shared" si="643"/>
        <v>0.53056080655324511</v>
      </c>
      <c r="I1590" s="2"/>
      <c r="J1590" s="2">
        <f t="shared" si="659"/>
        <v>0.21340054610375972</v>
      </c>
      <c r="K1590" s="2">
        <f t="shared" si="660"/>
        <v>0.7439613526570048</v>
      </c>
      <c r="L1590" s="2">
        <f t="shared" si="661"/>
        <v>8.4015963032976261E-4</v>
      </c>
      <c r="M1590" s="2">
        <f t="shared" si="662"/>
        <v>4.1797941608905743E-2</v>
      </c>
      <c r="N1590" s="63">
        <v>1016</v>
      </c>
      <c r="O1590" s="63">
        <v>3542</v>
      </c>
      <c r="P1590" s="63">
        <v>4</v>
      </c>
      <c r="Q1590" s="63">
        <v>108</v>
      </c>
      <c r="R1590" s="63">
        <v>31</v>
      </c>
      <c r="S1590" s="63">
        <v>23</v>
      </c>
      <c r="T1590" s="63">
        <v>0</v>
      </c>
      <c r="U1590" s="63"/>
      <c r="V1590" s="63"/>
      <c r="W1590" s="63">
        <f>IF(Copyright!B$11=1,IF(CA1590&gt;0,CA1590-P1590-SUM(T1590:V1590)-SUM(X1590:AC1590)-SUM(AE1590:AM1590)-SUM(AN1590:AQ1590),SUM(CD1590:CF1590)),SUM(CD1590:CF1590))</f>
        <v>37</v>
      </c>
      <c r="X1590" s="63"/>
      <c r="Y1590" s="63">
        <v>0</v>
      </c>
      <c r="Z1590" s="63"/>
      <c r="AA1590" s="63"/>
      <c r="AB1590" s="63"/>
      <c r="AC1590" s="63"/>
      <c r="AD1590" s="63"/>
      <c r="AE1590" s="63">
        <v>0</v>
      </c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W1590" s="5">
        <f>IF(Q1590&gt;0,RANK(Q1590,(N1590:P1590,Q1590:AE1590)),0)</f>
        <v>3</v>
      </c>
      <c r="AX1590" s="5">
        <f>IF(R1590&gt;0,RANK(R1590,(N1590:P1590,Q1590:AE1590)),0)</f>
        <v>5</v>
      </c>
      <c r="AY1590" s="5">
        <f>IF(T1590&gt;0,RANK(T1590,(N1590:P1590,Q1590:AE1590)),0)</f>
        <v>0</v>
      </c>
      <c r="AZ1590" s="5">
        <f>IF(S1590&gt;0,RANK(S1590,(N1590:P1590,Q1590:AE1590)),0)</f>
        <v>6</v>
      </c>
      <c r="BA1590" s="2">
        <f t="shared" si="663"/>
        <v>2.2684310018903593E-2</v>
      </c>
      <c r="BB1590" s="2">
        <f t="shared" si="664"/>
        <v>6.5112371350556607E-3</v>
      </c>
      <c r="BC1590" s="2">
        <f t="shared" si="665"/>
        <v>0</v>
      </c>
      <c r="BD1590" s="2">
        <f t="shared" si="666"/>
        <v>4.830917874396135E-3</v>
      </c>
      <c r="BF1590" t="s">
        <v>373</v>
      </c>
      <c r="BG1590" t="s">
        <v>1213</v>
      </c>
      <c r="BH1590">
        <v>4</v>
      </c>
      <c r="BJ1590" s="114">
        <v>29</v>
      </c>
      <c r="BK1590" s="116">
        <v>85</v>
      </c>
      <c r="BL1590" s="120">
        <f t="shared" si="657"/>
        <v>29085</v>
      </c>
      <c r="BN1590" s="5" t="s">
        <v>3154</v>
      </c>
      <c r="BY1590" s="63">
        <f t="shared" si="656"/>
        <v>23</v>
      </c>
      <c r="BZ1590" s="133">
        <v>4738</v>
      </c>
      <c r="CA1590" s="133">
        <v>41</v>
      </c>
      <c r="CB1590" s="132"/>
      <c r="CD1590" s="63">
        <v>0</v>
      </c>
    </row>
    <row r="1591" spans="1:82" hidden="1" outlineLevel="1">
      <c r="A1591" t="s">
        <v>370</v>
      </c>
      <c r="B1591" t="s">
        <v>1213</v>
      </c>
      <c r="C1591" s="1">
        <f t="shared" si="658"/>
        <v>2355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4</v>
      </c>
      <c r="G1591" s="132">
        <f t="shared" si="642"/>
        <v>1579</v>
      </c>
      <c r="H1591" s="137">
        <f t="shared" si="643"/>
        <v>0.67048832271762204</v>
      </c>
      <c r="I1591" s="2"/>
      <c r="J1591" s="2">
        <f t="shared" si="659"/>
        <v>0.14734607218683651</v>
      </c>
      <c r="K1591" s="2">
        <f t="shared" si="660"/>
        <v>0.81783439490445864</v>
      </c>
      <c r="L1591" s="2">
        <f t="shared" si="661"/>
        <v>2.5477707006369425E-3</v>
      </c>
      <c r="M1591" s="2">
        <f t="shared" si="662"/>
        <v>3.2271762208067933E-2</v>
      </c>
      <c r="N1591" s="63">
        <v>347</v>
      </c>
      <c r="O1591" s="63">
        <v>1926</v>
      </c>
      <c r="P1591" s="63">
        <v>6</v>
      </c>
      <c r="Q1591" s="63">
        <v>66</v>
      </c>
      <c r="R1591" s="63">
        <v>6</v>
      </c>
      <c r="S1591" s="63">
        <v>4</v>
      </c>
      <c r="T1591" s="63">
        <v>0</v>
      </c>
      <c r="U1591" s="63"/>
      <c r="V1591" s="63"/>
      <c r="W1591" s="63">
        <f>IF(Copyright!B$11=1,IF(CA1591&gt;0,CA1591-P1591-SUM(T1591:V1591)-SUM(X1591:AC1591)-SUM(AE1591:AM1591)-SUM(AN1591:AQ1591),SUM(CD1591:CF1591)),SUM(CD1591:CF1591))</f>
        <v>0</v>
      </c>
      <c r="X1591" s="63"/>
      <c r="Y1591" s="63">
        <v>0</v>
      </c>
      <c r="Z1591" s="63"/>
      <c r="AA1591" s="63"/>
      <c r="AB1591" s="63"/>
      <c r="AC1591" s="63"/>
      <c r="AD1591" s="63"/>
      <c r="AE1591" s="63">
        <v>0</v>
      </c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W1591" s="5">
        <f>IF(Q1591&gt;0,RANK(Q1591,(N1591:P1591,Q1591:AE1591)),0)</f>
        <v>3</v>
      </c>
      <c r="AX1591" s="5">
        <f>IF(R1591&gt;0,RANK(R1591,(N1591:P1591,Q1591:AE1591)),0)</f>
        <v>4</v>
      </c>
      <c r="AY1591" s="5">
        <f>IF(T1591&gt;0,RANK(T1591,(N1591:P1591,Q1591:AE1591)),0)</f>
        <v>0</v>
      </c>
      <c r="AZ1591" s="5">
        <f>IF(S1591&gt;0,RANK(S1591,(N1591:P1591,Q1591:AE1591)),0)</f>
        <v>6</v>
      </c>
      <c r="BA1591" s="2">
        <f t="shared" si="663"/>
        <v>2.802547770700637E-2</v>
      </c>
      <c r="BB1591" s="2">
        <f t="shared" si="664"/>
        <v>2.5477707006369425E-3</v>
      </c>
      <c r="BC1591" s="2">
        <f t="shared" si="665"/>
        <v>0</v>
      </c>
      <c r="BD1591" s="2">
        <f t="shared" si="666"/>
        <v>1.6985138004246285E-3</v>
      </c>
      <c r="BF1591" t="s">
        <v>370</v>
      </c>
      <c r="BG1591" t="s">
        <v>1213</v>
      </c>
      <c r="BH1591">
        <v>6</v>
      </c>
      <c r="BJ1591" s="114">
        <v>29</v>
      </c>
      <c r="BK1591" s="116">
        <v>87</v>
      </c>
      <c r="BL1591" s="120">
        <f t="shared" si="657"/>
        <v>29087</v>
      </c>
      <c r="BN1591" s="5" t="s">
        <v>3154</v>
      </c>
      <c r="BY1591" s="63">
        <f t="shared" si="656"/>
        <v>2355</v>
      </c>
      <c r="CB1591" s="132"/>
      <c r="CD1591" s="63">
        <v>0</v>
      </c>
    </row>
    <row r="1592" spans="1:82" hidden="1" outlineLevel="1">
      <c r="A1592" t="s">
        <v>1049</v>
      </c>
      <c r="B1592" t="s">
        <v>1213</v>
      </c>
      <c r="C1592" s="1">
        <f t="shared" si="658"/>
        <v>4868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6</v>
      </c>
      <c r="G1592" s="132">
        <f t="shared" si="642"/>
        <v>1994</v>
      </c>
      <c r="H1592" s="137">
        <f t="shared" si="643"/>
        <v>0.40961380443714052</v>
      </c>
      <c r="I1592" s="2"/>
      <c r="J1592" s="2">
        <f t="shared" si="659"/>
        <v>0.2635579293344289</v>
      </c>
      <c r="K1592" s="2">
        <f t="shared" si="660"/>
        <v>0.67317173377156947</v>
      </c>
      <c r="L1592" s="2">
        <f t="shared" si="661"/>
        <v>2.6705012325390306E-3</v>
      </c>
      <c r="M1592" s="2">
        <f t="shared" si="662"/>
        <v>6.0599835661462605E-2</v>
      </c>
      <c r="N1592" s="63">
        <v>1283</v>
      </c>
      <c r="O1592" s="63">
        <v>3277</v>
      </c>
      <c r="P1592" s="63">
        <v>13</v>
      </c>
      <c r="Q1592" s="63">
        <v>209</v>
      </c>
      <c r="R1592" s="63">
        <v>41</v>
      </c>
      <c r="S1592" s="63">
        <v>45</v>
      </c>
      <c r="T1592" s="63">
        <v>0</v>
      </c>
      <c r="U1592" s="63"/>
      <c r="V1592" s="63"/>
      <c r="W1592" s="63">
        <f>IF(Copyright!B$11=1,IF(CA1592&gt;0,CA1592-P1592-SUM(T1592:V1592)-SUM(X1592:AC1592)-SUM(AE1592:AM1592)-SUM(AN1592:AQ1592),SUM(CD1592:CF1592)),SUM(CD1592:CF1592))</f>
        <v>0</v>
      </c>
      <c r="X1592" s="63"/>
      <c r="Y1592" s="63">
        <v>0</v>
      </c>
      <c r="Z1592" s="63"/>
      <c r="AA1592" s="63"/>
      <c r="AB1592" s="63"/>
      <c r="AC1592" s="63"/>
      <c r="AD1592" s="63"/>
      <c r="AE1592" s="63">
        <v>0</v>
      </c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W1592" s="5">
        <f>IF(Q1592&gt;0,RANK(Q1592,(N1592:P1592,Q1592:AE1592)),0)</f>
        <v>3</v>
      </c>
      <c r="AX1592" s="5">
        <f>IF(R1592&gt;0,RANK(R1592,(N1592:P1592,Q1592:AE1592)),0)</f>
        <v>5</v>
      </c>
      <c r="AY1592" s="5">
        <f>IF(T1592&gt;0,RANK(T1592,(N1592:P1592,Q1592:AE1592)),0)</f>
        <v>0</v>
      </c>
      <c r="AZ1592" s="5">
        <f>IF(S1592&gt;0,RANK(S1592,(N1592:P1592,Q1592:AE1592)),0)</f>
        <v>4</v>
      </c>
      <c r="BA1592" s="2">
        <f t="shared" si="663"/>
        <v>4.2933442892358259E-2</v>
      </c>
      <c r="BB1592" s="2">
        <f t="shared" si="664"/>
        <v>8.4223500410846343E-3</v>
      </c>
      <c r="BC1592" s="2">
        <f t="shared" si="665"/>
        <v>0</v>
      </c>
      <c r="BD1592" s="2">
        <f t="shared" si="666"/>
        <v>9.2440427280197201E-3</v>
      </c>
      <c r="BF1592" t="s">
        <v>1049</v>
      </c>
      <c r="BG1592" t="s">
        <v>1213</v>
      </c>
      <c r="BH1592">
        <v>4</v>
      </c>
      <c r="BJ1592" s="114">
        <v>29</v>
      </c>
      <c r="BK1592" s="116">
        <v>89</v>
      </c>
      <c r="BL1592" s="120">
        <f t="shared" si="657"/>
        <v>29089</v>
      </c>
      <c r="BN1592" s="5" t="s">
        <v>3154</v>
      </c>
      <c r="BY1592" s="63">
        <f t="shared" si="656"/>
        <v>4868</v>
      </c>
      <c r="CB1592" s="132"/>
      <c r="CD1592" s="63">
        <v>0</v>
      </c>
    </row>
    <row r="1593" spans="1:82" hidden="1" outlineLevel="1">
      <c r="A1593" t="s">
        <v>3009</v>
      </c>
      <c r="B1593" t="s">
        <v>1213</v>
      </c>
      <c r="C1593" s="1">
        <f t="shared" si="658"/>
        <v>17455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6</v>
      </c>
      <c r="G1593" s="132">
        <f t="shared" si="642"/>
        <v>11012</v>
      </c>
      <c r="H1593" s="137">
        <f t="shared" si="643"/>
        <v>0.6308794041821828</v>
      </c>
      <c r="I1593" s="2"/>
      <c r="J1593" s="2">
        <f t="shared" si="659"/>
        <v>0.16505299341162991</v>
      </c>
      <c r="K1593" s="2">
        <f t="shared" si="660"/>
        <v>0.79593239759381262</v>
      </c>
      <c r="L1593" s="2">
        <f t="shared" si="661"/>
        <v>1.6614150673159554E-3</v>
      </c>
      <c r="M1593" s="2">
        <f t="shared" si="662"/>
        <v>3.7353193927241485E-2</v>
      </c>
      <c r="N1593" s="63">
        <v>2881</v>
      </c>
      <c r="O1593" s="63">
        <v>13893</v>
      </c>
      <c r="P1593" s="63">
        <v>29</v>
      </c>
      <c r="Q1593" s="63">
        <v>434</v>
      </c>
      <c r="R1593" s="63">
        <v>132</v>
      </c>
      <c r="S1593" s="63">
        <v>82</v>
      </c>
      <c r="T1593" s="63">
        <v>0</v>
      </c>
      <c r="U1593" s="63"/>
      <c r="V1593" s="63"/>
      <c r="W1593" s="63">
        <f>IF(Copyright!B$11=1,IF(CA1593&gt;0,CA1593-P1593-SUM(T1593:V1593)-SUM(X1593:AC1593)-SUM(AE1593:AM1593)-SUM(AN1593:AQ1593),SUM(CD1593:CF1593)),SUM(CD1593:CF1593))</f>
        <v>0</v>
      </c>
      <c r="X1593" s="63"/>
      <c r="Y1593" s="63">
        <v>4</v>
      </c>
      <c r="Z1593" s="63"/>
      <c r="AA1593" s="63"/>
      <c r="AB1593" s="63"/>
      <c r="AC1593" s="63"/>
      <c r="AD1593" s="63"/>
      <c r="AE1593" s="63">
        <v>0</v>
      </c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W1593" s="5">
        <f>IF(Q1593&gt;0,RANK(Q1593,(N1593:P1593,Q1593:AE1593)),0)</f>
        <v>3</v>
      </c>
      <c r="AX1593" s="5">
        <f>IF(R1593&gt;0,RANK(R1593,(N1593:P1593,Q1593:AE1593)),0)</f>
        <v>4</v>
      </c>
      <c r="AY1593" s="5">
        <f>IF(T1593&gt;0,RANK(T1593,(N1593:P1593,Q1593:AE1593)),0)</f>
        <v>0</v>
      </c>
      <c r="AZ1593" s="5">
        <f>IF(S1593&gt;0,RANK(S1593,(N1593:P1593,Q1593:AE1593)),0)</f>
        <v>5</v>
      </c>
      <c r="BA1593" s="2">
        <f t="shared" si="663"/>
        <v>2.4863935835004295E-2</v>
      </c>
      <c r="BB1593" s="2">
        <f t="shared" si="664"/>
        <v>7.5623030650243481E-3</v>
      </c>
      <c r="BC1593" s="2">
        <f t="shared" si="665"/>
        <v>0</v>
      </c>
      <c r="BD1593" s="2">
        <f t="shared" si="666"/>
        <v>4.6977943282727015E-3</v>
      </c>
      <c r="BF1593" t="s">
        <v>3009</v>
      </c>
      <c r="BG1593" t="s">
        <v>1213</v>
      </c>
      <c r="BH1593">
        <v>8</v>
      </c>
      <c r="BJ1593" s="114">
        <v>29</v>
      </c>
      <c r="BK1593" s="116">
        <v>91</v>
      </c>
      <c r="BL1593" s="120">
        <f t="shared" si="657"/>
        <v>29091</v>
      </c>
      <c r="BN1593" s="5" t="s">
        <v>3154</v>
      </c>
      <c r="BY1593" s="63">
        <f t="shared" si="656"/>
        <v>17455</v>
      </c>
      <c r="CB1593" s="132"/>
      <c r="CD1593" s="63">
        <v>0</v>
      </c>
    </row>
    <row r="1594" spans="1:82" hidden="1" outlineLevel="1">
      <c r="A1594" t="s">
        <v>2833</v>
      </c>
      <c r="B1594" t="s">
        <v>1213</v>
      </c>
      <c r="C1594" s="1">
        <f t="shared" si="658"/>
        <v>4269</v>
      </c>
      <c r="D1594" s="5">
        <f>IF(N1594&gt;0, RANK(N1594,(N1594:P1594,Q1594:AE1594)),0)</f>
        <v>2</v>
      </c>
      <c r="E1594" s="5">
        <f>IF(O1594&gt;0,RANK(O1594,(N1594:P1594,Q1594:AE1594)),0)</f>
        <v>1</v>
      </c>
      <c r="F1594" s="5">
        <f>IF(P1594&gt;0,RANK(P1594,(N1594:P1594,Q1594:AE1594)),0)</f>
        <v>6</v>
      </c>
      <c r="G1594" s="132">
        <f t="shared" si="642"/>
        <v>2240</v>
      </c>
      <c r="H1594" s="137">
        <f t="shared" si="643"/>
        <v>0.52471304755211989</v>
      </c>
      <c r="I1594" s="2"/>
      <c r="J1594" s="2">
        <f t="shared" si="659"/>
        <v>0.21855235418130708</v>
      </c>
      <c r="K1594" s="2">
        <f t="shared" si="660"/>
        <v>0.74326540173342703</v>
      </c>
      <c r="L1594" s="2">
        <f t="shared" si="661"/>
        <v>2.1082220660576245E-3</v>
      </c>
      <c r="M1594" s="2">
        <f t="shared" si="662"/>
        <v>3.6074022019208313E-2</v>
      </c>
      <c r="N1594" s="63">
        <v>933</v>
      </c>
      <c r="O1594" s="63">
        <v>3173</v>
      </c>
      <c r="P1594" s="63">
        <v>9</v>
      </c>
      <c r="Q1594" s="63">
        <v>110</v>
      </c>
      <c r="R1594" s="63">
        <v>30</v>
      </c>
      <c r="S1594" s="63">
        <v>14</v>
      </c>
      <c r="T1594" s="63">
        <v>0</v>
      </c>
      <c r="U1594" s="63"/>
      <c r="V1594" s="63"/>
      <c r="W1594" s="63">
        <f>IF(Copyright!B$11=1,IF(CA1594&gt;0,CA1594-P1594-SUM(T1594:V1594)-SUM(X1594:AC1594)-SUM(AE1594:AM1594)-SUM(AN1594:AQ1594),SUM(CD1594:CF1594)),SUM(CD1594:CF1594))</f>
        <v>0</v>
      </c>
      <c r="X1594" s="63"/>
      <c r="Y1594" s="63">
        <v>0</v>
      </c>
      <c r="Z1594" s="63"/>
      <c r="AA1594" s="63"/>
      <c r="AB1594" s="63"/>
      <c r="AC1594" s="63"/>
      <c r="AD1594" s="63"/>
      <c r="AE1594" s="63">
        <v>0</v>
      </c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W1594" s="5">
        <f>IF(Q1594&gt;0,RANK(Q1594,(N1594:P1594,Q1594:AE1594)),0)</f>
        <v>3</v>
      </c>
      <c r="AX1594" s="5">
        <f>IF(R1594&gt;0,RANK(R1594,(N1594:P1594,Q1594:AE1594)),0)</f>
        <v>4</v>
      </c>
      <c r="AY1594" s="5">
        <f>IF(T1594&gt;0,RANK(T1594,(N1594:P1594,Q1594:AE1594)),0)</f>
        <v>0</v>
      </c>
      <c r="AZ1594" s="5">
        <f>IF(S1594&gt;0,RANK(S1594,(N1594:P1594,Q1594:AE1594)),0)</f>
        <v>5</v>
      </c>
      <c r="BA1594" s="2">
        <f t="shared" si="663"/>
        <v>2.5767158585148747E-2</v>
      </c>
      <c r="BB1594" s="2">
        <f t="shared" si="664"/>
        <v>7.0274068868587487E-3</v>
      </c>
      <c r="BC1594" s="2">
        <f t="shared" si="665"/>
        <v>0</v>
      </c>
      <c r="BD1594" s="2">
        <f t="shared" si="666"/>
        <v>3.2794565472007496E-3</v>
      </c>
      <c r="BF1594" t="s">
        <v>2833</v>
      </c>
      <c r="BG1594" t="s">
        <v>1213</v>
      </c>
      <c r="BH1594">
        <v>8</v>
      </c>
      <c r="BJ1594" s="114">
        <v>29</v>
      </c>
      <c r="BK1594" s="116">
        <v>93</v>
      </c>
      <c r="BL1594" s="120">
        <f t="shared" si="657"/>
        <v>29093</v>
      </c>
      <c r="BN1594" s="5" t="s">
        <v>3154</v>
      </c>
      <c r="BY1594" s="63">
        <f t="shared" si="656"/>
        <v>4269</v>
      </c>
      <c r="CB1594" s="132"/>
      <c r="CD1594" s="63">
        <v>0</v>
      </c>
    </row>
    <row r="1595" spans="1:82" hidden="1" outlineLevel="1">
      <c r="A1595" t="s">
        <v>2921</v>
      </c>
      <c r="B1595" t="s">
        <v>1213</v>
      </c>
      <c r="C1595" s="1">
        <f t="shared" si="658"/>
        <v>304687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>IF(P1595&gt;0,RANK(P1595,(N1595:P1595,Q1595:AE1595)),0)</f>
        <v>7</v>
      </c>
      <c r="G1595" s="132">
        <f t="shared" si="642"/>
        <v>52761</v>
      </c>
      <c r="H1595" s="137">
        <f t="shared" si="643"/>
        <v>0.17316459185984306</v>
      </c>
      <c r="I1595" s="2"/>
      <c r="J1595" s="2">
        <f t="shared" si="659"/>
        <v>0.5545756793036789</v>
      </c>
      <c r="K1595" s="2">
        <f t="shared" si="660"/>
        <v>0.38141108744383578</v>
      </c>
      <c r="L1595" s="2">
        <f t="shared" si="661"/>
        <v>2.8750816411596161E-3</v>
      </c>
      <c r="M1595" s="2">
        <f t="shared" si="662"/>
        <v>6.11381516113257E-2</v>
      </c>
      <c r="N1595" s="63">
        <v>168972</v>
      </c>
      <c r="O1595" s="63">
        <v>116211</v>
      </c>
      <c r="P1595" s="63">
        <v>876</v>
      </c>
      <c r="Q1595" s="63">
        <v>10843</v>
      </c>
      <c r="R1595" s="63">
        <v>3525</v>
      </c>
      <c r="S1595" s="63">
        <v>1443</v>
      </c>
      <c r="T1595" s="63">
        <v>0</v>
      </c>
      <c r="U1595" s="63"/>
      <c r="V1595" s="63"/>
      <c r="W1595" s="63">
        <f>IF(Copyright!B$11=1,IF(CA1595&gt;0,CA1595-P1595-SUM(T1595:V1595)-SUM(X1595:AC1595)-SUM(AE1595:AM1595)-SUM(AN1595:AQ1595),SUM(CD1595:CF1595)),SUM(CD1595:CF1595))</f>
        <v>2811</v>
      </c>
      <c r="X1595" s="63"/>
      <c r="Y1595" s="63">
        <v>1</v>
      </c>
      <c r="Z1595" s="63"/>
      <c r="AA1595" s="63"/>
      <c r="AB1595" s="63"/>
      <c r="AC1595" s="63"/>
      <c r="AD1595" s="63"/>
      <c r="AE1595" s="63">
        <v>5</v>
      </c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W1595" s="5">
        <f>IF(Q1595&gt;0,RANK(Q1595,(N1595:P1595,Q1595:AE1595)),0)</f>
        <v>3</v>
      </c>
      <c r="AX1595" s="5">
        <f>IF(R1595&gt;0,RANK(R1595,(N1595:P1595,Q1595:AE1595)),0)</f>
        <v>4</v>
      </c>
      <c r="AY1595" s="5">
        <f>IF(T1595&gt;0,RANK(T1595,(N1595:P1595,Q1595:AE1595)),0)</f>
        <v>0</v>
      </c>
      <c r="AZ1595" s="5">
        <f>IF(S1595&gt;0,RANK(S1595,(N1595:P1595,Q1595:AE1595)),0)</f>
        <v>6</v>
      </c>
      <c r="BA1595" s="2">
        <f t="shared" si="663"/>
        <v>3.558734045102023E-2</v>
      </c>
      <c r="BB1595" s="2">
        <f t="shared" si="664"/>
        <v>1.1569249754666264E-2</v>
      </c>
      <c r="BC1595" s="2">
        <f t="shared" si="665"/>
        <v>0</v>
      </c>
      <c r="BD1595" s="2">
        <f t="shared" si="666"/>
        <v>4.7360077719101898E-3</v>
      </c>
      <c r="BF1595" t="s">
        <v>2921</v>
      </c>
      <c r="BG1595" t="s">
        <v>1213</v>
      </c>
      <c r="BJ1595" s="114">
        <v>29</v>
      </c>
      <c r="BK1595" s="116">
        <v>95</v>
      </c>
      <c r="BL1595" s="120">
        <f t="shared" si="657"/>
        <v>29095</v>
      </c>
      <c r="BN1595" s="5" t="s">
        <v>3154</v>
      </c>
      <c r="BY1595" s="63">
        <f t="shared" si="656"/>
        <v>0</v>
      </c>
      <c r="BZ1595" s="63">
        <f>174794+129893</f>
        <v>304687</v>
      </c>
      <c r="CA1595" s="63">
        <f>2071+1622</f>
        <v>3693</v>
      </c>
      <c r="CB1595" s="132"/>
      <c r="CD1595" s="63">
        <v>0</v>
      </c>
    </row>
    <row r="1596" spans="1:82" hidden="1" outlineLevel="1">
      <c r="A1596" t="s">
        <v>1471</v>
      </c>
      <c r="B1596" t="s">
        <v>1213</v>
      </c>
      <c r="C1596" s="1">
        <f t="shared" si="658"/>
        <v>48326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6</v>
      </c>
      <c r="G1596" s="132">
        <f t="shared" si="642"/>
        <v>24498</v>
      </c>
      <c r="H1596" s="137">
        <f t="shared" si="643"/>
        <v>0.50693208624756858</v>
      </c>
      <c r="I1596" s="2"/>
      <c r="J1596" s="2">
        <f t="shared" si="659"/>
        <v>0.2187642262964036</v>
      </c>
      <c r="K1596" s="2">
        <f t="shared" si="660"/>
        <v>0.72569631254397216</v>
      </c>
      <c r="L1596" s="2">
        <f t="shared" si="661"/>
        <v>2.5659065513388237E-3</v>
      </c>
      <c r="M1596" s="2">
        <f t="shared" si="662"/>
        <v>5.2973554608285449E-2</v>
      </c>
      <c r="N1596" s="63">
        <v>10572</v>
      </c>
      <c r="O1596" s="63">
        <v>35070</v>
      </c>
      <c r="P1596" s="63">
        <v>124</v>
      </c>
      <c r="Q1596" s="63">
        <v>1761</v>
      </c>
      <c r="R1596" s="63">
        <v>484</v>
      </c>
      <c r="S1596" s="63">
        <v>314</v>
      </c>
      <c r="T1596" s="63">
        <v>0</v>
      </c>
      <c r="U1596" s="63"/>
      <c r="V1596" s="63"/>
      <c r="W1596" s="63">
        <f>IF(Copyright!B$11=1,IF(CA1596&gt;0,CA1596-P1596-SUM(T1596:V1596)-SUM(X1596:AC1596)-SUM(AE1596:AM1596)-SUM(AN1596:AQ1596),SUM(CD1596:CF1596)),SUM(CD1596:CF1596))</f>
        <v>0</v>
      </c>
      <c r="X1596" s="63"/>
      <c r="Y1596" s="63">
        <v>1</v>
      </c>
      <c r="Z1596" s="63"/>
      <c r="AA1596" s="63"/>
      <c r="AB1596" s="63"/>
      <c r="AC1596" s="63"/>
      <c r="AD1596" s="63"/>
      <c r="AE1596" s="63">
        <v>0</v>
      </c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W1596" s="5">
        <f>IF(Q1596&gt;0,RANK(Q1596,(N1596:P1596,Q1596:AE1596)),0)</f>
        <v>3</v>
      </c>
      <c r="AX1596" s="5">
        <f>IF(R1596&gt;0,RANK(R1596,(N1596:P1596,Q1596:AE1596)),0)</f>
        <v>4</v>
      </c>
      <c r="AY1596" s="5">
        <f>IF(T1596&gt;0,RANK(T1596,(N1596:P1596,Q1596:AE1596)),0)</f>
        <v>0</v>
      </c>
      <c r="AZ1596" s="5">
        <f>IF(S1596&gt;0,RANK(S1596,(N1596:P1596,Q1596:AE1596)),0)</f>
        <v>5</v>
      </c>
      <c r="BA1596" s="2">
        <f t="shared" si="663"/>
        <v>3.6440011587965074E-2</v>
      </c>
      <c r="BB1596" s="2">
        <f t="shared" si="664"/>
        <v>1.0015312668128957E-2</v>
      </c>
      <c r="BC1596" s="2">
        <f t="shared" si="665"/>
        <v>0</v>
      </c>
      <c r="BD1596" s="2">
        <f t="shared" si="666"/>
        <v>6.4975375574225051E-3</v>
      </c>
      <c r="BF1596" t="s">
        <v>1471</v>
      </c>
      <c r="BG1596" t="s">
        <v>1213</v>
      </c>
      <c r="BH1596">
        <v>7</v>
      </c>
      <c r="BJ1596" s="114">
        <v>29</v>
      </c>
      <c r="BK1596" s="116">
        <v>97</v>
      </c>
      <c r="BL1596" s="120">
        <f t="shared" si="657"/>
        <v>29097</v>
      </c>
      <c r="BN1596" s="5" t="s">
        <v>3154</v>
      </c>
      <c r="BY1596" s="63">
        <f t="shared" si="656"/>
        <v>48326</v>
      </c>
      <c r="CB1596" s="132"/>
      <c r="CD1596" s="63">
        <v>0</v>
      </c>
    </row>
    <row r="1597" spans="1:82" hidden="1" outlineLevel="1">
      <c r="A1597" t="s">
        <v>1092</v>
      </c>
      <c r="B1597" t="s">
        <v>1213</v>
      </c>
      <c r="C1597" s="1">
        <f t="shared" si="658"/>
        <v>106995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7</v>
      </c>
      <c r="G1597" s="132">
        <f t="shared" si="642"/>
        <v>37468</v>
      </c>
      <c r="H1597" s="137">
        <f t="shared" si="643"/>
        <v>0.35018458806486286</v>
      </c>
      <c r="I1597" s="2"/>
      <c r="J1597" s="2">
        <f t="shared" si="659"/>
        <v>0.29504182438431703</v>
      </c>
      <c r="K1597" s="2">
        <f t="shared" si="660"/>
        <v>0.64522641244917989</v>
      </c>
      <c r="L1597" s="2">
        <f t="shared" si="661"/>
        <v>1.6636291415486706E-3</v>
      </c>
      <c r="M1597" s="2">
        <f t="shared" si="662"/>
        <v>5.8068134024954414E-2</v>
      </c>
      <c r="N1597" s="63">
        <v>31568</v>
      </c>
      <c r="O1597" s="63">
        <v>69036</v>
      </c>
      <c r="P1597" s="63">
        <v>178</v>
      </c>
      <c r="Q1597" s="63">
        <v>3968</v>
      </c>
      <c r="R1597" s="63">
        <v>930</v>
      </c>
      <c r="S1597" s="63">
        <v>554</v>
      </c>
      <c r="T1597" s="63">
        <v>0</v>
      </c>
      <c r="U1597" s="63"/>
      <c r="V1597" s="63"/>
      <c r="W1597" s="63">
        <f>IF(Copyright!B$11=1,IF(CA1597&gt;0,CA1597-P1597-SUM(T1597:V1597)-SUM(X1597:AC1597)-SUM(AE1597:AM1597)-SUM(AN1597:AQ1597),SUM(CD1597:CF1597)),SUM(CD1597:CF1597))</f>
        <v>757</v>
      </c>
      <c r="X1597" s="63"/>
      <c r="Y1597" s="63">
        <v>3</v>
      </c>
      <c r="Z1597" s="63"/>
      <c r="AA1597" s="63"/>
      <c r="AB1597" s="63"/>
      <c r="AC1597" s="63"/>
      <c r="AD1597" s="63"/>
      <c r="AE1597" s="63">
        <v>1</v>
      </c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W1597" s="5">
        <f>IF(Q1597&gt;0,RANK(Q1597,(N1597:P1597,Q1597:AE1597)),0)</f>
        <v>3</v>
      </c>
      <c r="AX1597" s="5">
        <f>IF(R1597&gt;0,RANK(R1597,(N1597:P1597,Q1597:AE1597)),0)</f>
        <v>4</v>
      </c>
      <c r="AY1597" s="5">
        <f>IF(T1597&gt;0,RANK(T1597,(N1597:P1597,Q1597:AE1597)),0)</f>
        <v>0</v>
      </c>
      <c r="AZ1597" s="5">
        <f>IF(S1597&gt;0,RANK(S1597,(N1597:P1597,Q1597:AE1597)),0)</f>
        <v>6</v>
      </c>
      <c r="BA1597" s="2">
        <f t="shared" si="663"/>
        <v>3.7085845132950136E-2</v>
      </c>
      <c r="BB1597" s="2">
        <f t="shared" si="664"/>
        <v>8.6919949530351887E-3</v>
      </c>
      <c r="BC1597" s="2">
        <f t="shared" si="665"/>
        <v>0</v>
      </c>
      <c r="BD1597" s="2">
        <f t="shared" si="666"/>
        <v>5.1778120472919294E-3</v>
      </c>
      <c r="BF1597" t="s">
        <v>1092</v>
      </c>
      <c r="BG1597" t="s">
        <v>1213</v>
      </c>
      <c r="BJ1597" s="114">
        <v>29</v>
      </c>
      <c r="BK1597" s="116">
        <v>99</v>
      </c>
      <c r="BL1597" s="120">
        <f t="shared" si="657"/>
        <v>29099</v>
      </c>
      <c r="BN1597" s="5" t="s">
        <v>3154</v>
      </c>
      <c r="BY1597" s="63">
        <f t="shared" si="656"/>
        <v>0</v>
      </c>
      <c r="BZ1597" s="132">
        <v>106995</v>
      </c>
      <c r="CA1597" s="132">
        <v>939</v>
      </c>
      <c r="CB1597" s="132"/>
      <c r="CD1597" s="63">
        <v>0</v>
      </c>
    </row>
    <row r="1598" spans="1:82" hidden="1" outlineLevel="1">
      <c r="A1598" t="s">
        <v>1361</v>
      </c>
      <c r="B1598" t="s">
        <v>1213</v>
      </c>
      <c r="C1598" s="1">
        <f t="shared" si="658"/>
        <v>21362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7</v>
      </c>
      <c r="G1598" s="132">
        <f t="shared" si="642"/>
        <v>7789</v>
      </c>
      <c r="H1598" s="137">
        <f t="shared" si="643"/>
        <v>0.3646194176575227</v>
      </c>
      <c r="I1598" s="2"/>
      <c r="J1598" s="2">
        <f t="shared" si="659"/>
        <v>0.27759573073682242</v>
      </c>
      <c r="K1598" s="2">
        <f t="shared" si="660"/>
        <v>0.64221514839434513</v>
      </c>
      <c r="L1598" s="2">
        <f t="shared" si="661"/>
        <v>6.0855725119370843E-4</v>
      </c>
      <c r="M1598" s="2">
        <f t="shared" si="662"/>
        <v>7.9580563617638739E-2</v>
      </c>
      <c r="N1598" s="63">
        <v>5930</v>
      </c>
      <c r="O1598" s="63">
        <v>13719</v>
      </c>
      <c r="P1598" s="63">
        <v>13</v>
      </c>
      <c r="Q1598" s="63">
        <v>1100</v>
      </c>
      <c r="R1598" s="63">
        <v>205</v>
      </c>
      <c r="S1598" s="63">
        <v>165</v>
      </c>
      <c r="T1598" s="63">
        <v>0</v>
      </c>
      <c r="U1598" s="63"/>
      <c r="V1598" s="63"/>
      <c r="W1598" s="63">
        <f>IF(Copyright!B$11=1,IF(CA1598&gt;0,CA1598-P1598-SUM(T1598:V1598)-SUM(X1598:AC1598)-SUM(AE1598:AM1598)-SUM(AN1598:AQ1598),SUM(CD1598:CF1598)),SUM(CD1598:CF1598))</f>
        <v>230</v>
      </c>
      <c r="X1598" s="63"/>
      <c r="Y1598" s="63">
        <v>0</v>
      </c>
      <c r="Z1598" s="63"/>
      <c r="AA1598" s="63"/>
      <c r="AB1598" s="63"/>
      <c r="AC1598" s="63"/>
      <c r="AD1598" s="63"/>
      <c r="AE1598" s="63">
        <v>0</v>
      </c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W1598" s="5">
        <f>IF(Q1598&gt;0,RANK(Q1598,(N1598:P1598,Q1598:AE1598)),0)</f>
        <v>3</v>
      </c>
      <c r="AX1598" s="5">
        <f>IF(R1598&gt;0,RANK(R1598,(N1598:P1598,Q1598:AE1598)),0)</f>
        <v>5</v>
      </c>
      <c r="AY1598" s="5">
        <f>IF(T1598&gt;0,RANK(T1598,(N1598:P1598,Q1598:AE1598)),0)</f>
        <v>0</v>
      </c>
      <c r="AZ1598" s="5">
        <f>IF(S1598&gt;0,RANK(S1598,(N1598:P1598,Q1598:AE1598)),0)</f>
        <v>6</v>
      </c>
      <c r="BA1598" s="2">
        <f t="shared" si="663"/>
        <v>5.1493305870236872E-2</v>
      </c>
      <c r="BB1598" s="2">
        <f t="shared" si="664"/>
        <v>9.5964797303623259E-3</v>
      </c>
      <c r="BC1598" s="2">
        <f t="shared" si="665"/>
        <v>0</v>
      </c>
      <c r="BD1598" s="2">
        <f t="shared" si="666"/>
        <v>7.7239958805355308E-3</v>
      </c>
      <c r="BF1598" t="s">
        <v>1361</v>
      </c>
      <c r="BG1598" t="s">
        <v>1213</v>
      </c>
      <c r="BH1598">
        <v>4</v>
      </c>
      <c r="BJ1598" s="114">
        <v>29</v>
      </c>
      <c r="BK1598" s="116">
        <v>101</v>
      </c>
      <c r="BL1598" s="120">
        <f t="shared" si="657"/>
        <v>29101</v>
      </c>
      <c r="BN1598" s="5" t="s">
        <v>3154</v>
      </c>
      <c r="BY1598" s="63">
        <f t="shared" si="656"/>
        <v>0</v>
      </c>
      <c r="BZ1598" s="63">
        <v>21362</v>
      </c>
      <c r="CA1598" s="63">
        <v>243</v>
      </c>
      <c r="CB1598" s="132"/>
      <c r="CD1598" s="63">
        <v>0</v>
      </c>
    </row>
    <row r="1599" spans="1:82" hidden="1" outlineLevel="1">
      <c r="A1599" t="s">
        <v>1729</v>
      </c>
      <c r="B1599" t="s">
        <v>1213</v>
      </c>
      <c r="C1599" s="1">
        <f t="shared" si="658"/>
        <v>1870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32">
        <f t="shared" si="642"/>
        <v>1037</v>
      </c>
      <c r="H1599" s="137">
        <f t="shared" si="643"/>
        <v>0.55454545454545456</v>
      </c>
      <c r="I1599" s="2"/>
      <c r="J1599" s="2">
        <f t="shared" si="659"/>
        <v>0.20267379679144384</v>
      </c>
      <c r="K1599" s="2">
        <f t="shared" si="660"/>
        <v>0.75721925133689838</v>
      </c>
      <c r="L1599" s="2">
        <f t="shared" si="661"/>
        <v>0</v>
      </c>
      <c r="M1599" s="2">
        <f t="shared" si="662"/>
        <v>4.0106951871657803E-2</v>
      </c>
      <c r="N1599" s="63">
        <v>379</v>
      </c>
      <c r="O1599" s="63">
        <v>1416</v>
      </c>
      <c r="P1599" s="63">
        <v>0</v>
      </c>
      <c r="Q1599" s="63">
        <v>53</v>
      </c>
      <c r="R1599" s="63">
        <v>12</v>
      </c>
      <c r="S1599" s="63">
        <v>10</v>
      </c>
      <c r="T1599" s="63">
        <v>0</v>
      </c>
      <c r="U1599" s="63"/>
      <c r="V1599" s="63"/>
      <c r="W1599" s="63">
        <f>IF(Copyright!B$11=1,IF(CA1599&gt;0,CA1599-P1599-SUM(T1599:V1599)-SUM(X1599:AC1599)-SUM(AE1599:AM1599)-SUM(AN1599:AQ1599),SUM(CD1599:CF1599)),SUM(CD1599:CF1599))</f>
        <v>0</v>
      </c>
      <c r="X1599" s="63"/>
      <c r="Y1599" s="63">
        <v>0</v>
      </c>
      <c r="Z1599" s="63"/>
      <c r="AA1599" s="63"/>
      <c r="AB1599" s="63"/>
      <c r="AC1599" s="63"/>
      <c r="AD1599" s="63"/>
      <c r="AE1599" s="63">
        <v>0</v>
      </c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W1599" s="5">
        <f>IF(Q1599&gt;0,RANK(Q1599,(N1599:P1599,Q1599:AE1599)),0)</f>
        <v>3</v>
      </c>
      <c r="AX1599" s="5">
        <f>IF(R1599&gt;0,RANK(R1599,(N1599:P1599,Q1599:AE1599)),0)</f>
        <v>4</v>
      </c>
      <c r="AY1599" s="5">
        <f>IF(T1599&gt;0,RANK(T1599,(N1599:P1599,Q1599:AE1599)),0)</f>
        <v>0</v>
      </c>
      <c r="AZ1599" s="5">
        <f>IF(S1599&gt;0,RANK(S1599,(N1599:P1599,Q1599:AE1599)),0)</f>
        <v>5</v>
      </c>
      <c r="BA1599" s="2">
        <f t="shared" si="663"/>
        <v>2.8342245989304814E-2</v>
      </c>
      <c r="BB1599" s="2">
        <f t="shared" si="664"/>
        <v>6.4171122994652408E-3</v>
      </c>
      <c r="BC1599" s="2">
        <f t="shared" si="665"/>
        <v>0</v>
      </c>
      <c r="BD1599" s="2">
        <f t="shared" si="666"/>
        <v>5.3475935828877002E-3</v>
      </c>
      <c r="BF1599" t="s">
        <v>1729</v>
      </c>
      <c r="BG1599" t="s">
        <v>1213</v>
      </c>
      <c r="BH1599">
        <v>6</v>
      </c>
      <c r="BJ1599" s="114">
        <v>29</v>
      </c>
      <c r="BK1599" s="116">
        <v>103</v>
      </c>
      <c r="BL1599" s="120">
        <f t="shared" si="657"/>
        <v>29103</v>
      </c>
      <c r="BN1599" s="5" t="s">
        <v>3154</v>
      </c>
      <c r="BY1599" s="63">
        <f t="shared" si="656"/>
        <v>1870</v>
      </c>
      <c r="CB1599" s="132"/>
      <c r="CD1599" s="63">
        <v>0</v>
      </c>
    </row>
    <row r="1600" spans="1:82" hidden="1" outlineLevel="1">
      <c r="A1600" t="s">
        <v>1294</v>
      </c>
      <c r="B1600" t="s">
        <v>1213</v>
      </c>
      <c r="C1600" s="1">
        <f t="shared" si="658"/>
        <v>16140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7</v>
      </c>
      <c r="G1600" s="132">
        <f t="shared" si="642"/>
        <v>10328</v>
      </c>
      <c r="H1600" s="137">
        <f t="shared" si="643"/>
        <v>0.63990086741016106</v>
      </c>
      <c r="I1600" s="2"/>
      <c r="J1600" s="2">
        <f t="shared" si="659"/>
        <v>0.15817843866171002</v>
      </c>
      <c r="K1600" s="2">
        <f t="shared" si="660"/>
        <v>0.79807930607187116</v>
      </c>
      <c r="L1600" s="2">
        <f t="shared" si="661"/>
        <v>2.1685254027261464E-3</v>
      </c>
      <c r="M1600" s="2">
        <f t="shared" si="662"/>
        <v>4.1573729863692691E-2</v>
      </c>
      <c r="N1600" s="63">
        <v>2553</v>
      </c>
      <c r="O1600" s="63">
        <v>12881</v>
      </c>
      <c r="P1600" s="63">
        <v>35</v>
      </c>
      <c r="Q1600" s="63">
        <v>426</v>
      </c>
      <c r="R1600" s="63">
        <v>87</v>
      </c>
      <c r="S1600" s="63">
        <v>69</v>
      </c>
      <c r="T1600" s="63">
        <v>0</v>
      </c>
      <c r="U1600" s="63"/>
      <c r="V1600" s="63"/>
      <c r="W1600" s="63">
        <f>IF(Copyright!B$11=1,IF(CA1600&gt;0,CA1600-P1600-SUM(T1600:V1600)-SUM(X1600:AC1600)-SUM(AE1600:AM1600)-SUM(AN1600:AQ1600),SUM(CD1600:CF1600)),SUM(CD1600:CF1600))</f>
        <v>89</v>
      </c>
      <c r="X1600" s="63"/>
      <c r="Y1600" s="63">
        <v>0</v>
      </c>
      <c r="Z1600" s="63"/>
      <c r="AA1600" s="63"/>
      <c r="AB1600" s="63"/>
      <c r="AC1600" s="63"/>
      <c r="AD1600" s="63"/>
      <c r="AE1600" s="63">
        <v>0</v>
      </c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W1600" s="5">
        <f>IF(Q1600&gt;0,RANK(Q1600,(N1600:P1600,Q1600:AE1600)),0)</f>
        <v>3</v>
      </c>
      <c r="AX1600" s="5">
        <f>IF(R1600&gt;0,RANK(R1600,(N1600:P1600,Q1600:AE1600)),0)</f>
        <v>5</v>
      </c>
      <c r="AY1600" s="5">
        <f>IF(T1600&gt;0,RANK(T1600,(N1600:P1600,Q1600:AE1600)),0)</f>
        <v>0</v>
      </c>
      <c r="AZ1600" s="5">
        <f>IF(S1600&gt;0,RANK(S1600,(N1600:P1600,Q1600:AE1600)),0)</f>
        <v>6</v>
      </c>
      <c r="BA1600" s="2">
        <f t="shared" si="663"/>
        <v>2.6394052044609664E-2</v>
      </c>
      <c r="BB1600" s="2">
        <f t="shared" si="664"/>
        <v>5.390334572490706E-3</v>
      </c>
      <c r="BC1600" s="2">
        <f t="shared" si="665"/>
        <v>0</v>
      </c>
      <c r="BD1600" s="2">
        <f t="shared" si="666"/>
        <v>4.275092936802974E-3</v>
      </c>
      <c r="BF1600" t="s">
        <v>1294</v>
      </c>
      <c r="BG1600" t="s">
        <v>1213</v>
      </c>
      <c r="BH1600">
        <v>4</v>
      </c>
      <c r="BJ1600" s="114">
        <v>29</v>
      </c>
      <c r="BK1600" s="116">
        <v>105</v>
      </c>
      <c r="BL1600" s="120">
        <f t="shared" si="657"/>
        <v>29105</v>
      </c>
      <c r="BN1600" s="5" t="s">
        <v>3154</v>
      </c>
      <c r="BY1600" s="63">
        <f t="shared" si="656"/>
        <v>0</v>
      </c>
      <c r="BZ1600" s="63">
        <f>2553+12881+426+69+87+124</f>
        <v>16140</v>
      </c>
      <c r="CA1600" s="63">
        <v>124</v>
      </c>
      <c r="CB1600" s="132"/>
      <c r="CD1600" s="63">
        <v>0</v>
      </c>
    </row>
    <row r="1601" spans="1:82" hidden="1" outlineLevel="1">
      <c r="A1601" t="s">
        <v>496</v>
      </c>
      <c r="B1601" t="s">
        <v>1213</v>
      </c>
      <c r="C1601" s="1">
        <f t="shared" si="658"/>
        <v>15975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7</v>
      </c>
      <c r="G1601" s="132">
        <f t="shared" si="642"/>
        <v>6935</v>
      </c>
      <c r="H1601" s="137">
        <f t="shared" si="643"/>
        <v>0.43411580594679189</v>
      </c>
      <c r="I1601" s="2"/>
      <c r="J1601" s="2">
        <f t="shared" si="659"/>
        <v>0.25370892018779345</v>
      </c>
      <c r="K1601" s="2">
        <f t="shared" si="660"/>
        <v>0.68782472613458534</v>
      </c>
      <c r="L1601" s="2">
        <f t="shared" si="661"/>
        <v>2.6291079812206571E-3</v>
      </c>
      <c r="M1601" s="2">
        <f t="shared" si="662"/>
        <v>5.5837245696400549E-2</v>
      </c>
      <c r="N1601" s="63">
        <v>4053</v>
      </c>
      <c r="O1601" s="63">
        <v>10988</v>
      </c>
      <c r="P1601" s="63">
        <v>42</v>
      </c>
      <c r="Q1601" s="63">
        <v>598</v>
      </c>
      <c r="R1601" s="63">
        <v>92</v>
      </c>
      <c r="S1601" s="63">
        <v>102</v>
      </c>
      <c r="T1601" s="63">
        <v>0</v>
      </c>
      <c r="U1601" s="63"/>
      <c r="V1601" s="63"/>
      <c r="W1601" s="63">
        <f>IF(Copyright!B$11=1,IF(CA1601&gt;0,CA1601-P1601-SUM(T1601:V1601)-SUM(X1601:AC1601)-SUM(AE1601:AM1601)-SUM(AN1601:AQ1601),SUM(CD1601:CF1601)),SUM(CD1601:CF1601))</f>
        <v>99</v>
      </c>
      <c r="X1601" s="63"/>
      <c r="Y1601" s="63">
        <v>0</v>
      </c>
      <c r="Z1601" s="63"/>
      <c r="AA1601" s="63"/>
      <c r="AB1601" s="63"/>
      <c r="AC1601" s="63"/>
      <c r="AD1601" s="63"/>
      <c r="AE1601" s="63">
        <v>1</v>
      </c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W1601" s="5">
        <f>IF(Q1601&gt;0,RANK(Q1601,(N1601:P1601,Q1601:AE1601)),0)</f>
        <v>3</v>
      </c>
      <c r="AX1601" s="5">
        <f>IF(R1601&gt;0,RANK(R1601,(N1601:P1601,Q1601:AE1601)),0)</f>
        <v>6</v>
      </c>
      <c r="AY1601" s="5">
        <f>IF(T1601&gt;0,RANK(T1601,(N1601:P1601,Q1601:AE1601)),0)</f>
        <v>0</v>
      </c>
      <c r="AZ1601" s="5">
        <f>IF(S1601&gt;0,RANK(S1601,(N1601:P1601,Q1601:AE1601)),0)</f>
        <v>4</v>
      </c>
      <c r="BA1601" s="2">
        <f t="shared" si="663"/>
        <v>3.7433489827856027E-2</v>
      </c>
      <c r="BB1601" s="2">
        <f t="shared" si="664"/>
        <v>5.758998435054773E-3</v>
      </c>
      <c r="BC1601" s="2">
        <f t="shared" si="665"/>
        <v>0</v>
      </c>
      <c r="BD1601" s="2">
        <f t="shared" si="666"/>
        <v>6.384976525821596E-3</v>
      </c>
      <c r="BF1601" t="s">
        <v>496</v>
      </c>
      <c r="BG1601" t="s">
        <v>1213</v>
      </c>
      <c r="BH1601">
        <v>5</v>
      </c>
      <c r="BJ1601" s="114">
        <v>29</v>
      </c>
      <c r="BK1601" s="116">
        <v>107</v>
      </c>
      <c r="BL1601" s="120">
        <f t="shared" si="657"/>
        <v>29107</v>
      </c>
      <c r="BN1601" s="5" t="s">
        <v>3154</v>
      </c>
      <c r="BY1601" s="63">
        <f t="shared" si="656"/>
        <v>18</v>
      </c>
      <c r="BZ1601" s="133">
        <v>15957</v>
      </c>
      <c r="CA1601" s="133">
        <v>142</v>
      </c>
      <c r="CB1601" s="132"/>
      <c r="CD1601" s="63">
        <v>0</v>
      </c>
    </row>
    <row r="1602" spans="1:82" hidden="1" outlineLevel="1">
      <c r="A1602" t="s">
        <v>548</v>
      </c>
      <c r="B1602" t="s">
        <v>1213</v>
      </c>
      <c r="C1602" s="1">
        <f t="shared" si="658"/>
        <v>16811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7</v>
      </c>
      <c r="G1602" s="132">
        <f t="shared" si="642"/>
        <v>10188</v>
      </c>
      <c r="H1602" s="137">
        <f t="shared" si="643"/>
        <v>0.60603176491582889</v>
      </c>
      <c r="I1602" s="2"/>
      <c r="J1602" s="2">
        <f t="shared" si="659"/>
        <v>0.1725655820593659</v>
      </c>
      <c r="K1602" s="2">
        <f t="shared" si="660"/>
        <v>0.77859734697519478</v>
      </c>
      <c r="L1602" s="2">
        <f t="shared" si="661"/>
        <v>1.9035155552911784E-3</v>
      </c>
      <c r="M1602" s="2">
        <f t="shared" si="662"/>
        <v>4.6933555410148146E-2</v>
      </c>
      <c r="N1602" s="63">
        <v>2901</v>
      </c>
      <c r="O1602" s="63">
        <v>13089</v>
      </c>
      <c r="P1602" s="63">
        <v>32</v>
      </c>
      <c r="Q1602" s="63">
        <v>472</v>
      </c>
      <c r="R1602" s="63">
        <v>104</v>
      </c>
      <c r="S1602" s="63">
        <v>117</v>
      </c>
      <c r="T1602" s="63">
        <v>0</v>
      </c>
      <c r="U1602" s="63"/>
      <c r="V1602" s="63"/>
      <c r="W1602" s="63">
        <f>IF(Copyright!B$11=1,IF(CA1602&gt;0,CA1602-P1602-SUM(T1602:V1602)-SUM(X1602:AC1602)-SUM(AE1602:AM1602)-SUM(AN1602:AQ1602),SUM(CD1602:CF1602)),SUM(CD1602:CF1602))</f>
        <v>96</v>
      </c>
      <c r="X1602" s="63"/>
      <c r="Y1602" s="63">
        <v>0</v>
      </c>
      <c r="Z1602" s="63"/>
      <c r="AA1602" s="63"/>
      <c r="AB1602" s="63"/>
      <c r="AC1602" s="63"/>
      <c r="AD1602" s="63"/>
      <c r="AE1602" s="63">
        <v>0</v>
      </c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W1602" s="5">
        <f>IF(Q1602&gt;0,RANK(Q1602,(N1602:P1602,Q1602:AE1602)),0)</f>
        <v>3</v>
      </c>
      <c r="AX1602" s="5">
        <f>IF(R1602&gt;0,RANK(R1602,(N1602:P1602,Q1602:AE1602)),0)</f>
        <v>5</v>
      </c>
      <c r="AY1602" s="5">
        <f>IF(T1602&gt;0,RANK(T1602,(N1602:P1602,Q1602:AE1602)),0)</f>
        <v>0</v>
      </c>
      <c r="AZ1602" s="5">
        <f>IF(S1602&gt;0,RANK(S1602,(N1602:P1602,Q1602:AE1602)),0)</f>
        <v>4</v>
      </c>
      <c r="BA1602" s="2">
        <f t="shared" si="663"/>
        <v>2.807685444054488E-2</v>
      </c>
      <c r="BB1602" s="2">
        <f t="shared" si="664"/>
        <v>6.1864255546963294E-3</v>
      </c>
      <c r="BC1602" s="2">
        <f t="shared" si="665"/>
        <v>0</v>
      </c>
      <c r="BD1602" s="2">
        <f t="shared" si="666"/>
        <v>6.959728749033371E-3</v>
      </c>
      <c r="BF1602" t="s">
        <v>548</v>
      </c>
      <c r="BG1602" t="s">
        <v>1213</v>
      </c>
      <c r="BH1602">
        <v>7</v>
      </c>
      <c r="BJ1602" s="114">
        <v>29</v>
      </c>
      <c r="BK1602" s="116">
        <v>109</v>
      </c>
      <c r="BL1602" s="120">
        <f t="shared" si="657"/>
        <v>29109</v>
      </c>
      <c r="BN1602" s="5" t="s">
        <v>3154</v>
      </c>
      <c r="BY1602" s="63">
        <f t="shared" si="656"/>
        <v>9</v>
      </c>
      <c r="BZ1602" s="133">
        <v>16802</v>
      </c>
      <c r="CA1602" s="133">
        <v>128</v>
      </c>
      <c r="CB1602" s="132"/>
      <c r="CD1602" s="63">
        <v>0</v>
      </c>
    </row>
    <row r="1603" spans="1:82" hidden="1" outlineLevel="1">
      <c r="A1603" t="s">
        <v>2787</v>
      </c>
      <c r="B1603" t="s">
        <v>1213</v>
      </c>
      <c r="C1603" s="1">
        <f t="shared" si="658"/>
        <v>4480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7</v>
      </c>
      <c r="G1603" s="132">
        <f t="shared" si="642"/>
        <v>2410</v>
      </c>
      <c r="H1603" s="137">
        <f t="shared" si="643"/>
        <v>0.5379464285714286</v>
      </c>
      <c r="I1603" s="2"/>
      <c r="J1603" s="2">
        <f t="shared" si="659"/>
        <v>0.20848214285714287</v>
      </c>
      <c r="K1603" s="2">
        <f t="shared" si="660"/>
        <v>0.74642857142857144</v>
      </c>
      <c r="L1603" s="2">
        <f t="shared" si="661"/>
        <v>4.4642857142857141E-4</v>
      </c>
      <c r="M1603" s="2">
        <f t="shared" si="662"/>
        <v>4.4642857142857151E-2</v>
      </c>
      <c r="N1603" s="63">
        <v>934</v>
      </c>
      <c r="O1603" s="63">
        <v>3344</v>
      </c>
      <c r="P1603" s="63">
        <v>2</v>
      </c>
      <c r="Q1603" s="63">
        <v>127</v>
      </c>
      <c r="R1603" s="63">
        <v>26</v>
      </c>
      <c r="S1603" s="63">
        <v>23</v>
      </c>
      <c r="T1603" s="63">
        <v>0</v>
      </c>
      <c r="U1603" s="63"/>
      <c r="V1603" s="63"/>
      <c r="W1603" s="63">
        <f>IF(Copyright!B$11=1,IF(CA1603&gt;0,CA1603-P1603-SUM(T1603:V1603)-SUM(X1603:AC1603)-SUM(AE1603:AM1603)-SUM(AN1603:AQ1603),SUM(CD1603:CF1603)),SUM(CD1603:CF1603))</f>
        <v>24</v>
      </c>
      <c r="X1603" s="63"/>
      <c r="Y1603" s="63">
        <v>0</v>
      </c>
      <c r="Z1603" s="63"/>
      <c r="AA1603" s="63"/>
      <c r="AB1603" s="63"/>
      <c r="AC1603" s="63"/>
      <c r="AD1603" s="63"/>
      <c r="AE1603" s="63">
        <v>0</v>
      </c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W1603" s="5">
        <f>IF(Q1603&gt;0,RANK(Q1603,(N1603:P1603,Q1603:AE1603)),0)</f>
        <v>3</v>
      </c>
      <c r="AX1603" s="5">
        <f>IF(R1603&gt;0,RANK(R1603,(N1603:P1603,Q1603:AE1603)),0)</f>
        <v>4</v>
      </c>
      <c r="AY1603" s="5">
        <f>IF(T1603&gt;0,RANK(T1603,(N1603:P1603,Q1603:AE1603)),0)</f>
        <v>0</v>
      </c>
      <c r="AZ1603" s="5">
        <f>IF(S1603&gt;0,RANK(S1603,(N1603:P1603,Q1603:AE1603)),0)</f>
        <v>6</v>
      </c>
      <c r="BA1603" s="2">
        <f t="shared" si="663"/>
        <v>2.8348214285714286E-2</v>
      </c>
      <c r="BB1603" s="2">
        <f t="shared" si="664"/>
        <v>5.8035714285714288E-3</v>
      </c>
      <c r="BC1603" s="2">
        <f t="shared" si="665"/>
        <v>0</v>
      </c>
      <c r="BD1603" s="2">
        <f t="shared" si="666"/>
        <v>5.1339285714285714E-3</v>
      </c>
      <c r="BF1603" t="s">
        <v>2787</v>
      </c>
      <c r="BG1603" t="s">
        <v>1213</v>
      </c>
      <c r="BH1603">
        <v>6</v>
      </c>
      <c r="BJ1603" s="114">
        <v>29</v>
      </c>
      <c r="BK1603" s="116">
        <v>111</v>
      </c>
      <c r="BL1603" s="120">
        <f t="shared" si="657"/>
        <v>29111</v>
      </c>
      <c r="BN1603" s="5" t="s">
        <v>3154</v>
      </c>
      <c r="BY1603" s="63">
        <f t="shared" si="656"/>
        <v>0</v>
      </c>
      <c r="BZ1603" s="63">
        <v>4480</v>
      </c>
      <c r="CA1603" s="63">
        <v>26</v>
      </c>
      <c r="CB1603" s="132"/>
      <c r="CD1603" s="63">
        <v>0</v>
      </c>
    </row>
    <row r="1604" spans="1:82" hidden="1" outlineLevel="1">
      <c r="A1604" t="s">
        <v>1597</v>
      </c>
      <c r="B1604" t="s">
        <v>1213</v>
      </c>
      <c r="C1604" s="1">
        <f t="shared" si="658"/>
        <v>25114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7</v>
      </c>
      <c r="G1604" s="132">
        <f t="shared" si="642"/>
        <v>12584</v>
      </c>
      <c r="H1604" s="137">
        <f t="shared" si="643"/>
        <v>0.50107509755514856</v>
      </c>
      <c r="I1604" s="2"/>
      <c r="J1604" s="2">
        <f t="shared" si="659"/>
        <v>0.22198773592418572</v>
      </c>
      <c r="K1604" s="2">
        <f t="shared" si="660"/>
        <v>0.7230628334793342</v>
      </c>
      <c r="L1604" s="2">
        <f t="shared" si="661"/>
        <v>1.632555546707016E-3</v>
      </c>
      <c r="M1604" s="2">
        <f t="shared" si="662"/>
        <v>5.331687504977304E-2</v>
      </c>
      <c r="N1604" s="63">
        <v>5575</v>
      </c>
      <c r="O1604" s="63">
        <v>18159</v>
      </c>
      <c r="P1604" s="63">
        <v>41</v>
      </c>
      <c r="Q1604" s="63">
        <v>808</v>
      </c>
      <c r="R1604" s="63">
        <v>198</v>
      </c>
      <c r="S1604" s="63">
        <v>180</v>
      </c>
      <c r="T1604" s="63">
        <v>0</v>
      </c>
      <c r="U1604" s="63"/>
      <c r="V1604" s="63"/>
      <c r="W1604" s="63">
        <f>IF(Copyright!B$11=1,IF(CA1604&gt;0,CA1604-P1604-SUM(T1604:V1604)-SUM(X1604:AC1604)-SUM(AE1604:AM1604)-SUM(AN1604:AQ1604),SUM(CD1604:CF1604)),SUM(CD1604:CF1604))</f>
        <v>152</v>
      </c>
      <c r="X1604" s="63"/>
      <c r="Y1604" s="63">
        <v>1</v>
      </c>
      <c r="Z1604" s="63"/>
      <c r="AA1604" s="63"/>
      <c r="AB1604" s="63"/>
      <c r="AC1604" s="63"/>
      <c r="AD1604" s="63"/>
      <c r="AE1604" s="63">
        <v>0</v>
      </c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W1604" s="5">
        <f>IF(Q1604&gt;0,RANK(Q1604,(N1604:P1604,Q1604:AE1604)),0)</f>
        <v>3</v>
      </c>
      <c r="AX1604" s="5">
        <f>IF(R1604&gt;0,RANK(R1604,(N1604:P1604,Q1604:AE1604)),0)</f>
        <v>4</v>
      </c>
      <c r="AY1604" s="5">
        <f>IF(T1604&gt;0,RANK(T1604,(N1604:P1604,Q1604:AE1604)),0)</f>
        <v>0</v>
      </c>
      <c r="AZ1604" s="5">
        <f>IF(S1604&gt;0,RANK(S1604,(N1604:P1604,Q1604:AE1604)),0)</f>
        <v>5</v>
      </c>
      <c r="BA1604" s="2">
        <f t="shared" si="663"/>
        <v>3.2173289798518752E-2</v>
      </c>
      <c r="BB1604" s="2">
        <f t="shared" si="664"/>
        <v>7.8840487377558333E-3</v>
      </c>
      <c r="BC1604" s="2">
        <f t="shared" si="665"/>
        <v>0</v>
      </c>
      <c r="BD1604" s="2">
        <f t="shared" si="666"/>
        <v>7.1673170343234853E-3</v>
      </c>
      <c r="BF1604" t="s">
        <v>1597</v>
      </c>
      <c r="BG1604" t="s">
        <v>1213</v>
      </c>
      <c r="BH1604">
        <v>3</v>
      </c>
      <c r="BJ1604" s="114">
        <v>29</v>
      </c>
      <c r="BK1604" s="116">
        <v>113</v>
      </c>
      <c r="BL1604" s="120">
        <f t="shared" si="657"/>
        <v>29113</v>
      </c>
      <c r="BN1604" s="5" t="s">
        <v>3154</v>
      </c>
      <c r="BY1604" s="63">
        <f t="shared" si="656"/>
        <v>0</v>
      </c>
      <c r="BZ1604" s="63">
        <f>5575+18159+808+180+198+194</f>
        <v>25114</v>
      </c>
      <c r="CA1604" s="63">
        <v>194</v>
      </c>
      <c r="CB1604" s="132"/>
      <c r="CD1604" s="63">
        <v>0</v>
      </c>
    </row>
    <row r="1605" spans="1:82" hidden="1" outlineLevel="1">
      <c r="A1605" t="s">
        <v>1421</v>
      </c>
      <c r="B1605" t="s">
        <v>1213</v>
      </c>
      <c r="C1605" s="1">
        <f t="shared" si="658"/>
        <v>5587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6</v>
      </c>
      <c r="G1605" s="132">
        <f t="shared" si="642"/>
        <v>2848</v>
      </c>
      <c r="H1605" s="137">
        <f t="shared" si="643"/>
        <v>0.50975478790048323</v>
      </c>
      <c r="I1605" s="2"/>
      <c r="J1605" s="2">
        <f t="shared" si="659"/>
        <v>0.22194379810273851</v>
      </c>
      <c r="K1605" s="2">
        <f t="shared" si="660"/>
        <v>0.7316985860032218</v>
      </c>
      <c r="L1605" s="2">
        <f t="shared" si="661"/>
        <v>1.7898693395382137E-3</v>
      </c>
      <c r="M1605" s="2">
        <f t="shared" si="662"/>
        <v>4.4567746554501422E-2</v>
      </c>
      <c r="N1605" s="63">
        <v>1240</v>
      </c>
      <c r="O1605" s="63">
        <v>4088</v>
      </c>
      <c r="P1605" s="63">
        <v>10</v>
      </c>
      <c r="Q1605" s="63">
        <v>172</v>
      </c>
      <c r="R1605" s="63">
        <v>54</v>
      </c>
      <c r="S1605" s="63">
        <v>23</v>
      </c>
      <c r="T1605" s="63">
        <v>0</v>
      </c>
      <c r="U1605" s="63"/>
      <c r="V1605" s="63"/>
      <c r="W1605" s="63">
        <f>IF(Copyright!B$11=1,IF(CA1605&gt;0,CA1605-P1605-SUM(T1605:V1605)-SUM(X1605:AC1605)-SUM(AE1605:AM1605)-SUM(AN1605:AQ1605),SUM(CD1605:CF1605)),SUM(CD1605:CF1605))</f>
        <v>0</v>
      </c>
      <c r="X1605" s="63"/>
      <c r="Y1605" s="63">
        <v>0</v>
      </c>
      <c r="Z1605" s="63"/>
      <c r="AA1605" s="63"/>
      <c r="AB1605" s="63"/>
      <c r="AC1605" s="63"/>
      <c r="AD1605" s="63"/>
      <c r="AE1605" s="63">
        <v>0</v>
      </c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W1605" s="5">
        <f>IF(Q1605&gt;0,RANK(Q1605,(N1605:P1605,Q1605:AE1605)),0)</f>
        <v>3</v>
      </c>
      <c r="AX1605" s="5">
        <f>IF(R1605&gt;0,RANK(R1605,(N1605:P1605,Q1605:AE1605)),0)</f>
        <v>4</v>
      </c>
      <c r="AY1605" s="5">
        <f>IF(T1605&gt;0,RANK(T1605,(N1605:P1605,Q1605:AE1605)),0)</f>
        <v>0</v>
      </c>
      <c r="AZ1605" s="5">
        <f>IF(S1605&gt;0,RANK(S1605,(N1605:P1605,Q1605:AE1605)),0)</f>
        <v>5</v>
      </c>
      <c r="BA1605" s="2">
        <f t="shared" si="663"/>
        <v>3.0785752640057274E-2</v>
      </c>
      <c r="BB1605" s="2">
        <f t="shared" si="664"/>
        <v>9.6652944335063537E-3</v>
      </c>
      <c r="BC1605" s="2">
        <f t="shared" si="665"/>
        <v>0</v>
      </c>
      <c r="BD1605" s="2">
        <f t="shared" si="666"/>
        <v>4.1166994809378916E-3</v>
      </c>
      <c r="BF1605" t="s">
        <v>1421</v>
      </c>
      <c r="BG1605" t="s">
        <v>1213</v>
      </c>
      <c r="BH1605">
        <v>6</v>
      </c>
      <c r="BJ1605" s="114">
        <v>29</v>
      </c>
      <c r="BK1605" s="116">
        <v>115</v>
      </c>
      <c r="BL1605" s="120">
        <f t="shared" si="657"/>
        <v>29115</v>
      </c>
      <c r="BN1605" s="5" t="s">
        <v>3154</v>
      </c>
      <c r="BY1605" s="63">
        <f t="shared" si="656"/>
        <v>5587</v>
      </c>
      <c r="CB1605" s="132"/>
      <c r="CD1605" s="63">
        <v>0</v>
      </c>
    </row>
    <row r="1606" spans="1:82" hidden="1" outlineLevel="1">
      <c r="A1606" t="s">
        <v>616</v>
      </c>
      <c r="B1606" t="s">
        <v>1213</v>
      </c>
      <c r="C1606" s="1">
        <f t="shared" si="658"/>
        <v>6421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6</v>
      </c>
      <c r="G1606" s="132">
        <f t="shared" si="642"/>
        <v>3614</v>
      </c>
      <c r="H1606" s="137">
        <f t="shared" si="643"/>
        <v>0.56284067902195922</v>
      </c>
      <c r="I1606" s="2"/>
      <c r="J1606" s="2">
        <f t="shared" si="659"/>
        <v>0.19700981155583241</v>
      </c>
      <c r="K1606" s="2">
        <f t="shared" si="660"/>
        <v>0.75985049057779164</v>
      </c>
      <c r="L1606" s="2">
        <f t="shared" si="661"/>
        <v>1.8688677776047345E-3</v>
      </c>
      <c r="M1606" s="2">
        <f t="shared" si="662"/>
        <v>4.1270830088771214E-2</v>
      </c>
      <c r="N1606" s="63">
        <v>1265</v>
      </c>
      <c r="O1606" s="63">
        <v>4879</v>
      </c>
      <c r="P1606" s="63">
        <v>12</v>
      </c>
      <c r="Q1606" s="63">
        <v>213</v>
      </c>
      <c r="R1606" s="63">
        <v>20</v>
      </c>
      <c r="S1606" s="63">
        <v>31</v>
      </c>
      <c r="T1606" s="63">
        <v>0</v>
      </c>
      <c r="U1606" s="63"/>
      <c r="V1606" s="63"/>
      <c r="W1606" s="63">
        <f>IF(Copyright!B$11=1,IF(CA1606&gt;0,CA1606-P1606-SUM(T1606:V1606)-SUM(X1606:AC1606)-SUM(AE1606:AM1606)-SUM(AN1606:AQ1606),SUM(CD1606:CF1606)),SUM(CD1606:CF1606))</f>
        <v>0</v>
      </c>
      <c r="X1606" s="63"/>
      <c r="Y1606" s="63">
        <v>1</v>
      </c>
      <c r="Z1606" s="63"/>
      <c r="AA1606" s="63"/>
      <c r="AB1606" s="63"/>
      <c r="AC1606" s="63"/>
      <c r="AD1606" s="63"/>
      <c r="AE1606" s="63">
        <v>0</v>
      </c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W1606" s="5">
        <f>IF(Q1606&gt;0,RANK(Q1606,(N1606:P1606,Q1606:AE1606)),0)</f>
        <v>3</v>
      </c>
      <c r="AX1606" s="5">
        <f>IF(R1606&gt;0,RANK(R1606,(N1606:P1606,Q1606:AE1606)),0)</f>
        <v>5</v>
      </c>
      <c r="AY1606" s="5">
        <f>IF(T1606&gt;0,RANK(T1606,(N1606:P1606,Q1606:AE1606)),0)</f>
        <v>0</v>
      </c>
      <c r="AZ1606" s="5">
        <f>IF(S1606&gt;0,RANK(S1606,(N1606:P1606,Q1606:AE1606)),0)</f>
        <v>4</v>
      </c>
      <c r="BA1606" s="2">
        <f t="shared" si="663"/>
        <v>3.3172403052484034E-2</v>
      </c>
      <c r="BB1606" s="2">
        <f t="shared" si="664"/>
        <v>3.1147796293412239E-3</v>
      </c>
      <c r="BC1606" s="2">
        <f t="shared" si="665"/>
        <v>0</v>
      </c>
      <c r="BD1606" s="2">
        <f t="shared" si="666"/>
        <v>4.8279084254788975E-3</v>
      </c>
      <c r="BF1606" t="s">
        <v>616</v>
      </c>
      <c r="BG1606" t="s">
        <v>1213</v>
      </c>
      <c r="BH1606">
        <v>6</v>
      </c>
      <c r="BJ1606" s="114">
        <v>29</v>
      </c>
      <c r="BK1606" s="116">
        <v>117</v>
      </c>
      <c r="BL1606" s="120">
        <f t="shared" si="657"/>
        <v>29117</v>
      </c>
      <c r="BN1606" s="5" t="s">
        <v>3154</v>
      </c>
      <c r="BY1606" s="63">
        <f t="shared" si="656"/>
        <v>6421</v>
      </c>
      <c r="CB1606" s="132"/>
      <c r="CD1606" s="63">
        <v>0</v>
      </c>
    </row>
    <row r="1607" spans="1:82" hidden="1" outlineLevel="1">
      <c r="A1607" t="s">
        <v>2031</v>
      </c>
      <c r="B1607" t="s">
        <v>1213</v>
      </c>
      <c r="C1607" s="1">
        <f t="shared" si="658"/>
        <v>8302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7</v>
      </c>
      <c r="G1607" s="132">
        <f t="shared" si="642"/>
        <v>5270</v>
      </c>
      <c r="H1607" s="137">
        <f t="shared" si="643"/>
        <v>0.63478679836184049</v>
      </c>
      <c r="I1607" s="2"/>
      <c r="J1607" s="2">
        <f t="shared" si="659"/>
        <v>0.16008190797398217</v>
      </c>
      <c r="K1607" s="2">
        <f t="shared" si="660"/>
        <v>0.79486870633582274</v>
      </c>
      <c r="L1607" s="2">
        <f t="shared" si="661"/>
        <v>1.0840761262346423E-3</v>
      </c>
      <c r="M1607" s="2">
        <f t="shared" si="662"/>
        <v>4.3965309563960477E-2</v>
      </c>
      <c r="N1607" s="63">
        <v>1329</v>
      </c>
      <c r="O1607" s="63">
        <v>6599</v>
      </c>
      <c r="P1607" s="63">
        <v>9</v>
      </c>
      <c r="Q1607" s="63">
        <v>191</v>
      </c>
      <c r="R1607" s="63">
        <v>70</v>
      </c>
      <c r="S1607" s="63">
        <v>44</v>
      </c>
      <c r="T1607" s="63">
        <v>0</v>
      </c>
      <c r="U1607" s="63"/>
      <c r="V1607" s="63"/>
      <c r="W1607" s="63">
        <f>IF(Copyright!B$11=1,IF(CA1607&gt;0,CA1607-P1607-SUM(T1607:V1607)-SUM(X1607:AC1607)-SUM(AE1607:AM1607)-SUM(AN1607:AQ1607),SUM(CD1607:CF1607)),SUM(CD1607:CF1607))</f>
        <v>60</v>
      </c>
      <c r="X1607" s="63"/>
      <c r="Y1607" s="63">
        <v>0</v>
      </c>
      <c r="Z1607" s="63"/>
      <c r="AA1607" s="63"/>
      <c r="AB1607" s="63"/>
      <c r="AC1607" s="63"/>
      <c r="AD1607" s="63"/>
      <c r="AE1607" s="63">
        <v>0</v>
      </c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W1607" s="5">
        <f>IF(Q1607&gt;0,RANK(Q1607,(N1607:P1607,Q1607:AE1607)),0)</f>
        <v>3</v>
      </c>
      <c r="AX1607" s="5">
        <f>IF(R1607&gt;0,RANK(R1607,(N1607:P1607,Q1607:AE1607)),0)</f>
        <v>4</v>
      </c>
      <c r="AY1607" s="5">
        <f>IF(T1607&gt;0,RANK(T1607,(N1607:P1607,Q1607:AE1607)),0)</f>
        <v>0</v>
      </c>
      <c r="AZ1607" s="5">
        <f>IF(S1607&gt;0,RANK(S1607,(N1607:P1607,Q1607:AE1607)),0)</f>
        <v>6</v>
      </c>
      <c r="BA1607" s="2">
        <f t="shared" si="663"/>
        <v>2.3006504456757407E-2</v>
      </c>
      <c r="BB1607" s="2">
        <f t="shared" si="664"/>
        <v>8.4317032040472171E-3</v>
      </c>
      <c r="BC1607" s="2">
        <f t="shared" si="665"/>
        <v>0</v>
      </c>
      <c r="BD1607" s="2">
        <f t="shared" si="666"/>
        <v>5.2999277282582509E-3</v>
      </c>
      <c r="BF1607" t="s">
        <v>2031</v>
      </c>
      <c r="BG1607" t="s">
        <v>1213</v>
      </c>
      <c r="BH1607">
        <v>7</v>
      </c>
      <c r="BJ1607" s="114">
        <v>29</v>
      </c>
      <c r="BK1607" s="116">
        <v>119</v>
      </c>
      <c r="BL1607" s="120">
        <f t="shared" si="657"/>
        <v>29119</v>
      </c>
      <c r="BN1607" s="5" t="s">
        <v>3154</v>
      </c>
      <c r="BY1607" s="63">
        <f t="shared" si="656"/>
        <v>0</v>
      </c>
      <c r="BZ1607" s="63">
        <f>1329+6599+191+44+70+9+60</f>
        <v>8302</v>
      </c>
      <c r="CA1607" s="63">
        <v>69</v>
      </c>
      <c r="CB1607" s="132"/>
      <c r="CD1607" s="63">
        <v>0</v>
      </c>
    </row>
    <row r="1608" spans="1:82" hidden="1" outlineLevel="1">
      <c r="A1608" t="s">
        <v>1649</v>
      </c>
      <c r="B1608" t="s">
        <v>1213</v>
      </c>
      <c r="C1608" s="1">
        <f t="shared" si="658"/>
        <v>7631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6</v>
      </c>
      <c r="G1608" s="132">
        <f t="shared" ref="G1608:G1671" si="667">IF(C1608&gt;0,MAX(N1608:P1608)-LARGE(N1608:P1608,2),0)</f>
        <v>4250</v>
      </c>
      <c r="H1608" s="137">
        <f t="shared" ref="H1608:H1671" si="668">IF(C1608&gt;0,G1608/C1608,0)</f>
        <v>0.55693880225396408</v>
      </c>
      <c r="I1608" s="2"/>
      <c r="J1608" s="2">
        <f t="shared" si="659"/>
        <v>0.20285676844450268</v>
      </c>
      <c r="K1608" s="2">
        <f t="shared" si="660"/>
        <v>0.75979557069846682</v>
      </c>
      <c r="L1608" s="2">
        <f t="shared" si="661"/>
        <v>2.3587996330756127E-3</v>
      </c>
      <c r="M1608" s="2">
        <f t="shared" si="662"/>
        <v>3.4988861223954948E-2</v>
      </c>
      <c r="N1608" s="63">
        <v>1548</v>
      </c>
      <c r="O1608" s="63">
        <v>5798</v>
      </c>
      <c r="P1608" s="63">
        <v>18</v>
      </c>
      <c r="Q1608" s="63">
        <v>175</v>
      </c>
      <c r="R1608" s="63">
        <v>57</v>
      </c>
      <c r="S1608" s="63">
        <v>35</v>
      </c>
      <c r="T1608" s="63">
        <v>0</v>
      </c>
      <c r="U1608" s="63"/>
      <c r="V1608" s="63"/>
      <c r="W1608" s="63">
        <f>IF(Copyright!B$11=1,IF(CA1608&gt;0,CA1608-P1608-SUM(T1608:V1608)-SUM(X1608:AC1608)-SUM(AE1608:AM1608)-SUM(AN1608:AQ1608),SUM(CD1608:CF1608)),SUM(CD1608:CF1608))</f>
        <v>0</v>
      </c>
      <c r="X1608" s="63"/>
      <c r="Y1608" s="63">
        <v>0</v>
      </c>
      <c r="Z1608" s="63"/>
      <c r="AA1608" s="63"/>
      <c r="AB1608" s="63"/>
      <c r="AC1608" s="63"/>
      <c r="AD1608" s="63"/>
      <c r="AE1608" s="63">
        <v>0</v>
      </c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W1608" s="5">
        <f>IF(Q1608&gt;0,RANK(Q1608,(N1608:P1608,Q1608:AE1608)),0)</f>
        <v>3</v>
      </c>
      <c r="AX1608" s="5">
        <f>IF(R1608&gt;0,RANK(R1608,(N1608:P1608,Q1608:AE1608)),0)</f>
        <v>4</v>
      </c>
      <c r="AY1608" s="5">
        <f>IF(T1608&gt;0,RANK(T1608,(N1608:P1608,Q1608:AE1608)),0)</f>
        <v>0</v>
      </c>
      <c r="AZ1608" s="5">
        <f>IF(S1608&gt;0,RANK(S1608,(N1608:P1608,Q1608:AE1608)),0)</f>
        <v>5</v>
      </c>
      <c r="BA1608" s="2">
        <f t="shared" si="663"/>
        <v>2.2932774210457346E-2</v>
      </c>
      <c r="BB1608" s="2">
        <f t="shared" si="664"/>
        <v>7.4695321714061064E-3</v>
      </c>
      <c r="BC1608" s="2">
        <f t="shared" si="665"/>
        <v>0</v>
      </c>
      <c r="BD1608" s="2">
        <f t="shared" si="666"/>
        <v>4.5865548420914691E-3</v>
      </c>
      <c r="BF1608" t="s">
        <v>1649</v>
      </c>
      <c r="BG1608" t="s">
        <v>1213</v>
      </c>
      <c r="BH1608">
        <v>6</v>
      </c>
      <c r="BJ1608" s="114">
        <v>29</v>
      </c>
      <c r="BK1608" s="116">
        <v>121</v>
      </c>
      <c r="BL1608" s="120">
        <f t="shared" si="657"/>
        <v>29121</v>
      </c>
      <c r="BN1608" s="5" t="s">
        <v>3154</v>
      </c>
      <c r="BY1608" s="63">
        <f t="shared" si="656"/>
        <v>7631</v>
      </c>
      <c r="CB1608" s="132"/>
      <c r="CD1608" s="63">
        <v>0</v>
      </c>
    </row>
    <row r="1609" spans="1:82" hidden="1" outlineLevel="1">
      <c r="A1609" t="s">
        <v>1650</v>
      </c>
      <c r="B1609" t="s">
        <v>1213</v>
      </c>
      <c r="C1609" s="1">
        <f t="shared" si="658"/>
        <v>5321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6</v>
      </c>
      <c r="G1609" s="132">
        <f t="shared" si="667"/>
        <v>3097</v>
      </c>
      <c r="H1609" s="137">
        <f t="shared" si="668"/>
        <v>0.58203345235857917</v>
      </c>
      <c r="I1609" s="2"/>
      <c r="J1609" s="2">
        <f t="shared" si="659"/>
        <v>0.1888742717534298</v>
      </c>
      <c r="K1609" s="2">
        <f t="shared" si="660"/>
        <v>0.77090772411200903</v>
      </c>
      <c r="L1609" s="2">
        <f t="shared" si="661"/>
        <v>5.6380379627889491E-4</v>
      </c>
      <c r="M1609" s="2">
        <f t="shared" si="662"/>
        <v>3.9654200338282333E-2</v>
      </c>
      <c r="N1609" s="63">
        <v>1005</v>
      </c>
      <c r="O1609" s="63">
        <v>4102</v>
      </c>
      <c r="P1609" s="63">
        <v>3</v>
      </c>
      <c r="Q1609" s="63">
        <v>150</v>
      </c>
      <c r="R1609" s="63">
        <v>30</v>
      </c>
      <c r="S1609" s="63">
        <v>31</v>
      </c>
      <c r="T1609" s="63">
        <v>0</v>
      </c>
      <c r="U1609" s="63"/>
      <c r="V1609" s="63"/>
      <c r="W1609" s="63">
        <f>IF(Copyright!B$11=1,IF(CA1609&gt;0,CA1609-P1609-SUM(T1609:V1609)-SUM(X1609:AC1609)-SUM(AE1609:AM1609)-SUM(AN1609:AQ1609),SUM(CD1609:CF1609)),SUM(CD1609:CF1609))</f>
        <v>0</v>
      </c>
      <c r="X1609" s="63"/>
      <c r="Y1609" s="63">
        <v>0</v>
      </c>
      <c r="Z1609" s="63"/>
      <c r="AA1609" s="63"/>
      <c r="AB1609" s="63"/>
      <c r="AC1609" s="63"/>
      <c r="AD1609" s="63"/>
      <c r="AE1609" s="63">
        <v>0</v>
      </c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W1609" s="5">
        <f>IF(Q1609&gt;0,RANK(Q1609,(N1609:P1609,Q1609:AE1609)),0)</f>
        <v>3</v>
      </c>
      <c r="AX1609" s="5">
        <f>IF(R1609&gt;0,RANK(R1609,(N1609:P1609,Q1609:AE1609)),0)</f>
        <v>5</v>
      </c>
      <c r="AY1609" s="5">
        <f>IF(T1609&gt;0,RANK(T1609,(N1609:P1609,Q1609:AE1609)),0)</f>
        <v>0</v>
      </c>
      <c r="AZ1609" s="5">
        <f>IF(S1609&gt;0,RANK(S1609,(N1609:P1609,Q1609:AE1609)),0)</f>
        <v>4</v>
      </c>
      <c r="BA1609" s="2">
        <f t="shared" si="663"/>
        <v>2.8190189813944746E-2</v>
      </c>
      <c r="BB1609" s="2">
        <f t="shared" si="664"/>
        <v>5.6380379627889495E-3</v>
      </c>
      <c r="BC1609" s="2">
        <f t="shared" si="665"/>
        <v>0</v>
      </c>
      <c r="BD1609" s="2">
        <f t="shared" si="666"/>
        <v>5.8259725615485815E-3</v>
      </c>
      <c r="BF1609" t="s">
        <v>1650</v>
      </c>
      <c r="BG1609" t="s">
        <v>1213</v>
      </c>
      <c r="BH1609">
        <v>8</v>
      </c>
      <c r="BJ1609" s="114">
        <v>29</v>
      </c>
      <c r="BK1609" s="116">
        <v>123</v>
      </c>
      <c r="BL1609" s="120">
        <f t="shared" si="657"/>
        <v>29123</v>
      </c>
      <c r="BN1609" s="5" t="s">
        <v>3154</v>
      </c>
      <c r="BY1609" s="63">
        <f t="shared" si="656"/>
        <v>5321</v>
      </c>
      <c r="CB1609" s="132"/>
      <c r="CD1609" s="63">
        <v>0</v>
      </c>
    </row>
    <row r="1610" spans="1:82" hidden="1" outlineLevel="1">
      <c r="A1610" t="s">
        <v>3055</v>
      </c>
      <c r="B1610" t="s">
        <v>1213</v>
      </c>
      <c r="C1610" s="1">
        <f t="shared" si="658"/>
        <v>4500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32">
        <f t="shared" si="667"/>
        <v>2767</v>
      </c>
      <c r="H1610" s="137">
        <f t="shared" si="668"/>
        <v>0.61488888888888893</v>
      </c>
      <c r="I1610" s="2"/>
      <c r="J1610" s="2">
        <f t="shared" si="659"/>
        <v>0.17644444444444443</v>
      </c>
      <c r="K1610" s="2">
        <f t="shared" si="660"/>
        <v>0.79133333333333333</v>
      </c>
      <c r="L1610" s="2">
        <f t="shared" si="661"/>
        <v>0</v>
      </c>
      <c r="M1610" s="2">
        <f t="shared" si="662"/>
        <v>3.2222222222222263E-2</v>
      </c>
      <c r="N1610" s="63">
        <v>794</v>
      </c>
      <c r="O1610" s="63">
        <v>3561</v>
      </c>
      <c r="P1610" s="63">
        <v>0</v>
      </c>
      <c r="Q1610" s="63">
        <v>110</v>
      </c>
      <c r="R1610" s="63">
        <v>23</v>
      </c>
      <c r="S1610" s="63">
        <v>12</v>
      </c>
      <c r="T1610" s="63">
        <v>0</v>
      </c>
      <c r="U1610" s="63"/>
      <c r="V1610" s="63"/>
      <c r="W1610" s="63">
        <f>IF(Copyright!B$11=1,IF(CA1610&gt;0,CA1610-P1610-SUM(T1610:V1610)-SUM(X1610:AC1610)-SUM(AE1610:AM1610)-SUM(AN1610:AQ1610),SUM(CD1610:CF1610)),SUM(CD1610:CF1610))</f>
        <v>0</v>
      </c>
      <c r="X1610" s="63"/>
      <c r="Y1610" s="63">
        <v>0</v>
      </c>
      <c r="Z1610" s="63"/>
      <c r="AA1610" s="63"/>
      <c r="AB1610" s="63"/>
      <c r="AC1610" s="63"/>
      <c r="AD1610" s="63"/>
      <c r="AE1610" s="63">
        <v>0</v>
      </c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W1610" s="5">
        <f>IF(Q1610&gt;0,RANK(Q1610,(N1610:P1610,Q1610:AE1610)),0)</f>
        <v>3</v>
      </c>
      <c r="AX1610" s="5">
        <f>IF(R1610&gt;0,RANK(R1610,(N1610:P1610,Q1610:AE1610)),0)</f>
        <v>4</v>
      </c>
      <c r="AY1610" s="5">
        <f>IF(T1610&gt;0,RANK(T1610,(N1610:P1610,Q1610:AE1610)),0)</f>
        <v>0</v>
      </c>
      <c r="AZ1610" s="5">
        <f>IF(S1610&gt;0,RANK(S1610,(N1610:P1610,Q1610:AE1610)),0)</f>
        <v>5</v>
      </c>
      <c r="BA1610" s="2">
        <f t="shared" si="663"/>
        <v>2.4444444444444446E-2</v>
      </c>
      <c r="BB1610" s="2">
        <f t="shared" si="664"/>
        <v>5.1111111111111114E-3</v>
      </c>
      <c r="BC1610" s="2">
        <f t="shared" si="665"/>
        <v>0</v>
      </c>
      <c r="BD1610" s="2">
        <f t="shared" si="666"/>
        <v>2.6666666666666666E-3</v>
      </c>
      <c r="BF1610" t="s">
        <v>3055</v>
      </c>
      <c r="BG1610" t="s">
        <v>1213</v>
      </c>
      <c r="BH1610">
        <v>3</v>
      </c>
      <c r="BJ1610" s="114">
        <v>29</v>
      </c>
      <c r="BK1610" s="116">
        <v>125</v>
      </c>
      <c r="BL1610" s="120">
        <f t="shared" si="657"/>
        <v>29125</v>
      </c>
      <c r="BN1610" s="5" t="s">
        <v>3154</v>
      </c>
      <c r="BY1610" s="63">
        <f t="shared" si="656"/>
        <v>4500</v>
      </c>
      <c r="CB1610" s="132"/>
      <c r="CD1610" s="63">
        <v>0</v>
      </c>
    </row>
    <row r="1611" spans="1:82" hidden="1" outlineLevel="1">
      <c r="A1611" t="s">
        <v>1826</v>
      </c>
      <c r="B1611" t="s">
        <v>1213</v>
      </c>
      <c r="C1611" s="1">
        <f t="shared" si="658"/>
        <v>12938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6</v>
      </c>
      <c r="G1611" s="132">
        <f t="shared" si="667"/>
        <v>6425</v>
      </c>
      <c r="H1611" s="137">
        <f t="shared" si="668"/>
        <v>0.4965991652496522</v>
      </c>
      <c r="I1611" s="2"/>
      <c r="J1611" s="2">
        <f t="shared" si="659"/>
        <v>0.23141134642139435</v>
      </c>
      <c r="K1611" s="2">
        <f t="shared" si="660"/>
        <v>0.72801051167104658</v>
      </c>
      <c r="L1611" s="2">
        <f t="shared" si="661"/>
        <v>2.5506260627608593E-3</v>
      </c>
      <c r="M1611" s="2">
        <f t="shared" si="662"/>
        <v>3.8027515844798181E-2</v>
      </c>
      <c r="N1611" s="63">
        <v>2994</v>
      </c>
      <c r="O1611" s="63">
        <v>9419</v>
      </c>
      <c r="P1611" s="63">
        <v>33</v>
      </c>
      <c r="Q1611" s="63">
        <v>380</v>
      </c>
      <c r="R1611" s="63">
        <v>63</v>
      </c>
      <c r="S1611" s="63">
        <v>49</v>
      </c>
      <c r="T1611" s="63">
        <v>0</v>
      </c>
      <c r="U1611" s="63"/>
      <c r="V1611" s="63"/>
      <c r="W1611" s="63">
        <f>IF(Copyright!B$11=1,IF(CA1611&gt;0,CA1611-P1611-SUM(T1611:V1611)-SUM(X1611:AC1611)-SUM(AE1611:AM1611)-SUM(AN1611:AQ1611),SUM(CD1611:CF1611)),SUM(CD1611:CF1611))</f>
        <v>0</v>
      </c>
      <c r="X1611" s="63"/>
      <c r="Y1611" s="63">
        <v>0</v>
      </c>
      <c r="Z1611" s="63"/>
      <c r="AA1611" s="63"/>
      <c r="AB1611" s="63"/>
      <c r="AC1611" s="63"/>
      <c r="AD1611" s="63"/>
      <c r="AE1611" s="63">
        <v>0</v>
      </c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W1611" s="5">
        <f>IF(Q1611&gt;0,RANK(Q1611,(N1611:P1611,Q1611:AE1611)),0)</f>
        <v>3</v>
      </c>
      <c r="AX1611" s="5">
        <f>IF(R1611&gt;0,RANK(R1611,(N1611:P1611,Q1611:AE1611)),0)</f>
        <v>4</v>
      </c>
      <c r="AY1611" s="5">
        <f>IF(T1611&gt;0,RANK(T1611,(N1611:P1611,Q1611:AE1611)),0)</f>
        <v>0</v>
      </c>
      <c r="AZ1611" s="5">
        <f>IF(S1611&gt;0,RANK(S1611,(N1611:P1611,Q1611:AE1611)),0)</f>
        <v>5</v>
      </c>
      <c r="BA1611" s="2">
        <f t="shared" si="663"/>
        <v>2.9370845571185654E-2</v>
      </c>
      <c r="BB1611" s="2">
        <f t="shared" si="664"/>
        <v>4.8693770289070957E-3</v>
      </c>
      <c r="BC1611" s="2">
        <f t="shared" si="665"/>
        <v>0</v>
      </c>
      <c r="BD1611" s="2">
        <f t="shared" si="666"/>
        <v>3.7872932447055186E-3</v>
      </c>
      <c r="BF1611" t="s">
        <v>1826</v>
      </c>
      <c r="BG1611" t="s">
        <v>1213</v>
      </c>
      <c r="BH1611">
        <v>6</v>
      </c>
      <c r="BJ1611" s="114">
        <v>29</v>
      </c>
      <c r="BK1611" s="116">
        <v>127</v>
      </c>
      <c r="BL1611" s="120">
        <f t="shared" si="657"/>
        <v>29127</v>
      </c>
      <c r="BN1611" s="5" t="s">
        <v>3154</v>
      </c>
      <c r="BY1611" s="63">
        <f t="shared" si="656"/>
        <v>12938</v>
      </c>
      <c r="CB1611" s="132"/>
      <c r="CD1611" s="63">
        <v>0</v>
      </c>
    </row>
    <row r="1612" spans="1:82" hidden="1" outlineLevel="1">
      <c r="A1612" t="s">
        <v>449</v>
      </c>
      <c r="B1612" t="s">
        <v>1213</v>
      </c>
      <c r="C1612" s="1">
        <f t="shared" ref="C1612:C1643" si="669">SUM(N1612:AU1612)</f>
        <v>1745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5</v>
      </c>
      <c r="G1612" s="132">
        <f t="shared" si="667"/>
        <v>1270</v>
      </c>
      <c r="H1612" s="137">
        <f t="shared" si="668"/>
        <v>0.72779369627507162</v>
      </c>
      <c r="I1612" s="2"/>
      <c r="J1612" s="2">
        <f t="shared" ref="J1612:J1642" si="670">IF($C1612=0,"-",N1612/$C1612)</f>
        <v>0.12378223495702005</v>
      </c>
      <c r="K1612" s="2">
        <f t="shared" ref="K1612:K1642" si="671">IF($C1612=0,"-",O1612/$C1612)</f>
        <v>0.85157593123209174</v>
      </c>
      <c r="L1612" s="2">
        <f t="shared" ref="L1612:L1642" si="672">IF($C1612=0,"-",P1612/$C1612)</f>
        <v>3.4383954154727794E-3</v>
      </c>
      <c r="M1612" s="2">
        <f t="shared" ref="M1612:M1642" si="673">IF(C1612=0,"-",(1-J1612-K1612-L1612))</f>
        <v>2.1203438395415469E-2</v>
      </c>
      <c r="N1612" s="63">
        <v>216</v>
      </c>
      <c r="O1612" s="63">
        <v>1486</v>
      </c>
      <c r="P1612" s="63">
        <v>6</v>
      </c>
      <c r="Q1612" s="63">
        <v>27</v>
      </c>
      <c r="R1612" s="63">
        <v>2</v>
      </c>
      <c r="S1612" s="63">
        <v>8</v>
      </c>
      <c r="T1612" s="63">
        <v>0</v>
      </c>
      <c r="U1612" s="63"/>
      <c r="V1612" s="63"/>
      <c r="W1612" s="63">
        <f>IF(Copyright!B$11=1,IF(CA1612&gt;0,CA1612-P1612-SUM(T1612:V1612)-SUM(X1612:AC1612)-SUM(AE1612:AM1612)-SUM(AN1612:AQ1612),SUM(CD1612:CF1612)),SUM(CD1612:CF1612))</f>
        <v>0</v>
      </c>
      <c r="X1612" s="63"/>
      <c r="Y1612" s="63">
        <v>0</v>
      </c>
      <c r="Z1612" s="63"/>
      <c r="AA1612" s="63"/>
      <c r="AB1612" s="63"/>
      <c r="AC1612" s="63"/>
      <c r="AD1612" s="63"/>
      <c r="AE1612" s="63">
        <v>0</v>
      </c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W1612" s="5">
        <f>IF(Q1612&gt;0,RANK(Q1612,(N1612:P1612,Q1612:AE1612)),0)</f>
        <v>3</v>
      </c>
      <c r="AX1612" s="5">
        <f>IF(R1612&gt;0,RANK(R1612,(N1612:P1612,Q1612:AE1612)),0)</f>
        <v>6</v>
      </c>
      <c r="AY1612" s="5">
        <f>IF(T1612&gt;0,RANK(T1612,(N1612:P1612,Q1612:AE1612)),0)</f>
        <v>0</v>
      </c>
      <c r="AZ1612" s="5">
        <f>IF(S1612&gt;0,RANK(S1612,(N1612:P1612,Q1612:AE1612)),0)</f>
        <v>4</v>
      </c>
      <c r="BA1612" s="2">
        <f t="shared" ref="BA1612:BA1642" si="674">IF($C1612=0,"-",Q1612/$C1612)</f>
        <v>1.5472779369627506E-2</v>
      </c>
      <c r="BB1612" s="2">
        <f t="shared" ref="BB1612:BB1642" si="675">IF($C1612=0,"-",R1612/$C1612)</f>
        <v>1.146131805157593E-3</v>
      </c>
      <c r="BC1612" s="2">
        <f t="shared" ref="BC1612:BC1642" si="676">IF($C1612=0,"-",T1612/$C1612)</f>
        <v>0</v>
      </c>
      <c r="BD1612" s="2">
        <f t="shared" ref="BD1612:BD1642" si="677">IF($C1612=0,"-",S1612/$C1612)</f>
        <v>4.5845272206303722E-3</v>
      </c>
      <c r="BF1612" t="s">
        <v>449</v>
      </c>
      <c r="BG1612" t="s">
        <v>1213</v>
      </c>
      <c r="BH1612">
        <v>6</v>
      </c>
      <c r="BJ1612" s="114">
        <v>29</v>
      </c>
      <c r="BK1612" s="116">
        <v>129</v>
      </c>
      <c r="BL1612" s="120">
        <f t="shared" si="657"/>
        <v>29129</v>
      </c>
      <c r="BN1612" s="5" t="s">
        <v>3154</v>
      </c>
      <c r="BY1612" s="63">
        <f t="shared" si="656"/>
        <v>1745</v>
      </c>
      <c r="CB1612" s="132"/>
      <c r="CD1612" s="63">
        <v>0</v>
      </c>
    </row>
    <row r="1613" spans="1:82" hidden="1" outlineLevel="1">
      <c r="A1613" t="s">
        <v>1266</v>
      </c>
      <c r="B1613" t="s">
        <v>1213</v>
      </c>
      <c r="C1613" s="1">
        <f t="shared" si="669"/>
        <v>11482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7</v>
      </c>
      <c r="G1613" s="132">
        <f t="shared" si="667"/>
        <v>7535</v>
      </c>
      <c r="H1613" s="137">
        <f t="shared" si="668"/>
        <v>0.65624455669743942</v>
      </c>
      <c r="I1613" s="2"/>
      <c r="J1613" s="2">
        <f t="shared" si="670"/>
        <v>0.15241247169482669</v>
      </c>
      <c r="K1613" s="2">
        <f t="shared" si="671"/>
        <v>0.80865702839226616</v>
      </c>
      <c r="L1613" s="2">
        <f t="shared" si="672"/>
        <v>1.7418568193694478E-4</v>
      </c>
      <c r="M1613" s="2">
        <f t="shared" si="673"/>
        <v>3.8756314230970146E-2</v>
      </c>
      <c r="N1613" s="63">
        <v>1750</v>
      </c>
      <c r="O1613" s="63">
        <v>9285</v>
      </c>
      <c r="P1613" s="63">
        <v>2</v>
      </c>
      <c r="Q1613" s="63">
        <v>283</v>
      </c>
      <c r="R1613" s="63">
        <v>58</v>
      </c>
      <c r="S1613" s="63">
        <v>38</v>
      </c>
      <c r="T1613" s="63">
        <v>0</v>
      </c>
      <c r="U1613" s="63"/>
      <c r="V1613" s="63"/>
      <c r="W1613" s="63">
        <f>IF(Copyright!B$11=1,IF(CA1613&gt;0,CA1613-P1613-SUM(T1613:V1613)-SUM(X1613:AC1613)-SUM(AE1613:AM1613)-SUM(AN1613:AQ1613),SUM(CD1613:CF1613)),SUM(CD1613:CF1613))</f>
        <v>66</v>
      </c>
      <c r="X1613" s="63"/>
      <c r="Y1613" s="63">
        <v>0</v>
      </c>
      <c r="Z1613" s="63"/>
      <c r="AA1613" s="63"/>
      <c r="AB1613" s="63"/>
      <c r="AC1613" s="63"/>
      <c r="AD1613" s="63"/>
      <c r="AE1613" s="63">
        <v>0</v>
      </c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W1613" s="5">
        <f>IF(Q1613&gt;0,RANK(Q1613,(N1613:P1613,Q1613:AE1613)),0)</f>
        <v>3</v>
      </c>
      <c r="AX1613" s="5">
        <f>IF(R1613&gt;0,RANK(R1613,(N1613:P1613,Q1613:AE1613)),0)</f>
        <v>5</v>
      </c>
      <c r="AY1613" s="5">
        <f>IF(T1613&gt;0,RANK(T1613,(N1613:P1613,Q1613:AE1613)),0)</f>
        <v>0</v>
      </c>
      <c r="AZ1613" s="5">
        <f>IF(S1613&gt;0,RANK(S1613,(N1613:P1613,Q1613:AE1613)),0)</f>
        <v>6</v>
      </c>
      <c r="BA1613" s="2">
        <f t="shared" si="674"/>
        <v>2.4647273994077686E-2</v>
      </c>
      <c r="BB1613" s="2">
        <f t="shared" si="675"/>
        <v>5.0513847761713988E-3</v>
      </c>
      <c r="BC1613" s="2">
        <f t="shared" si="676"/>
        <v>0</v>
      </c>
      <c r="BD1613" s="2">
        <f t="shared" si="677"/>
        <v>3.3095279568019511E-3</v>
      </c>
      <c r="BF1613" t="s">
        <v>1266</v>
      </c>
      <c r="BG1613" t="s">
        <v>1213</v>
      </c>
      <c r="BH1613">
        <v>3</v>
      </c>
      <c r="BJ1613" s="114">
        <v>29</v>
      </c>
      <c r="BK1613" s="116">
        <v>131</v>
      </c>
      <c r="BL1613" s="120">
        <f t="shared" si="657"/>
        <v>29131</v>
      </c>
      <c r="BN1613" s="5" t="s">
        <v>3154</v>
      </c>
      <c r="BY1613" s="63">
        <f t="shared" ref="BY1613:BY1662" si="678">C1613-BZ1613</f>
        <v>0</v>
      </c>
      <c r="BZ1613" s="133">
        <v>11482</v>
      </c>
      <c r="CA1613" s="133">
        <v>68</v>
      </c>
      <c r="CB1613" s="132"/>
      <c r="CD1613" s="63">
        <v>0</v>
      </c>
    </row>
    <row r="1614" spans="1:82" hidden="1" outlineLevel="1">
      <c r="A1614" t="s">
        <v>526</v>
      </c>
      <c r="B1614" t="s">
        <v>1213</v>
      </c>
      <c r="C1614" s="1">
        <f t="shared" si="669"/>
        <v>5169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6</v>
      </c>
      <c r="G1614" s="132">
        <f t="shared" si="667"/>
        <v>2142</v>
      </c>
      <c r="H1614" s="137">
        <f t="shared" si="668"/>
        <v>0.41439349970980849</v>
      </c>
      <c r="I1614" s="2"/>
      <c r="J1614" s="2">
        <f t="shared" si="670"/>
        <v>0.2820661636680209</v>
      </c>
      <c r="K1614" s="2">
        <f t="shared" si="671"/>
        <v>0.69645966337782939</v>
      </c>
      <c r="L1614" s="2">
        <f t="shared" si="672"/>
        <v>7.7384407041981038E-4</v>
      </c>
      <c r="M1614" s="2">
        <f t="shared" si="673"/>
        <v>2.0700328883729961E-2</v>
      </c>
      <c r="N1614" s="63">
        <v>1458</v>
      </c>
      <c r="O1614" s="63">
        <v>3600</v>
      </c>
      <c r="P1614" s="63">
        <v>4</v>
      </c>
      <c r="Q1614" s="63">
        <v>79</v>
      </c>
      <c r="R1614" s="63">
        <v>15</v>
      </c>
      <c r="S1614" s="63">
        <v>13</v>
      </c>
      <c r="T1614" s="63">
        <v>0</v>
      </c>
      <c r="U1614" s="63"/>
      <c r="V1614" s="63"/>
      <c r="W1614" s="63">
        <f>IF(Copyright!B$11=1,IF(CA1614&gt;0,CA1614-P1614-SUM(T1614:V1614)-SUM(X1614:AC1614)-SUM(AE1614:AM1614)-SUM(AN1614:AQ1614),SUM(CD1614:CF1614)),SUM(CD1614:CF1614))</f>
        <v>0</v>
      </c>
      <c r="X1614" s="63"/>
      <c r="Y1614" s="63">
        <v>0</v>
      </c>
      <c r="Z1614" s="63"/>
      <c r="AA1614" s="63"/>
      <c r="AB1614" s="63"/>
      <c r="AC1614" s="63"/>
      <c r="AD1614" s="63"/>
      <c r="AE1614" s="63">
        <v>0</v>
      </c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W1614" s="5">
        <f>IF(Q1614&gt;0,RANK(Q1614,(N1614:P1614,Q1614:AE1614)),0)</f>
        <v>3</v>
      </c>
      <c r="AX1614" s="5">
        <f>IF(R1614&gt;0,RANK(R1614,(N1614:P1614,Q1614:AE1614)),0)</f>
        <v>4</v>
      </c>
      <c r="AY1614" s="5">
        <f>IF(T1614&gt;0,RANK(T1614,(N1614:P1614,Q1614:AE1614)),0)</f>
        <v>0</v>
      </c>
      <c r="AZ1614" s="5">
        <f>IF(S1614&gt;0,RANK(S1614,(N1614:P1614,Q1614:AE1614)),0)</f>
        <v>5</v>
      </c>
      <c r="BA1614" s="2">
        <f t="shared" si="674"/>
        <v>1.5283420390791256E-2</v>
      </c>
      <c r="BB1614" s="2">
        <f t="shared" si="675"/>
        <v>2.901915264074289E-3</v>
      </c>
      <c r="BC1614" s="2">
        <f t="shared" si="676"/>
        <v>0</v>
      </c>
      <c r="BD1614" s="2">
        <f t="shared" si="677"/>
        <v>2.5149932288643837E-3</v>
      </c>
      <c r="BF1614" t="s">
        <v>526</v>
      </c>
      <c r="BG1614" t="s">
        <v>1213</v>
      </c>
      <c r="BH1614">
        <v>8</v>
      </c>
      <c r="BJ1614" s="114">
        <v>29</v>
      </c>
      <c r="BK1614" s="116">
        <v>133</v>
      </c>
      <c r="BL1614" s="120">
        <f t="shared" si="657"/>
        <v>29133</v>
      </c>
      <c r="BN1614" s="5" t="s">
        <v>3154</v>
      </c>
      <c r="BY1614" s="63">
        <f t="shared" si="678"/>
        <v>5169</v>
      </c>
      <c r="CB1614" s="132"/>
      <c r="CD1614" s="63">
        <v>0</v>
      </c>
    </row>
    <row r="1615" spans="1:82" hidden="1" outlineLevel="1">
      <c r="A1615" t="s">
        <v>3125</v>
      </c>
      <c r="B1615" t="s">
        <v>1213</v>
      </c>
      <c r="C1615" s="1">
        <f t="shared" si="669"/>
        <v>6830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6</v>
      </c>
      <c r="G1615" s="132">
        <f t="shared" si="667"/>
        <v>4110</v>
      </c>
      <c r="H1615" s="137">
        <f t="shared" si="668"/>
        <v>0.60175695461200585</v>
      </c>
      <c r="I1615" s="2"/>
      <c r="J1615" s="2">
        <f t="shared" si="670"/>
        <v>0.18111273792093704</v>
      </c>
      <c r="K1615" s="2">
        <f t="shared" si="671"/>
        <v>0.78286969253294292</v>
      </c>
      <c r="L1615" s="2">
        <f t="shared" si="672"/>
        <v>2.4890190336749633E-3</v>
      </c>
      <c r="M1615" s="2">
        <f t="shared" si="673"/>
        <v>3.3528550512445049E-2</v>
      </c>
      <c r="N1615" s="63">
        <v>1237</v>
      </c>
      <c r="O1615" s="63">
        <v>5347</v>
      </c>
      <c r="P1615" s="63">
        <v>17</v>
      </c>
      <c r="Q1615" s="63">
        <v>177</v>
      </c>
      <c r="R1615" s="63">
        <v>26</v>
      </c>
      <c r="S1615" s="63">
        <v>26</v>
      </c>
      <c r="T1615" s="63">
        <v>0</v>
      </c>
      <c r="U1615" s="63"/>
      <c r="V1615" s="63"/>
      <c r="W1615" s="63">
        <f>IF(Copyright!B$11=1,IF(CA1615&gt;0,CA1615-P1615-SUM(T1615:V1615)-SUM(X1615:AC1615)-SUM(AE1615:AM1615)-SUM(AN1615:AQ1615),SUM(CD1615:CF1615)),SUM(CD1615:CF1615))</f>
        <v>0</v>
      </c>
      <c r="X1615" s="63"/>
      <c r="Y1615" s="63">
        <v>0</v>
      </c>
      <c r="Z1615" s="63"/>
      <c r="AA1615" s="63"/>
      <c r="AB1615" s="63"/>
      <c r="AC1615" s="63"/>
      <c r="AD1615" s="63"/>
      <c r="AE1615" s="63">
        <v>0</v>
      </c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W1615" s="5">
        <f>IF(Q1615&gt;0,RANK(Q1615,(N1615:P1615,Q1615:AE1615)),0)</f>
        <v>3</v>
      </c>
      <c r="AX1615" s="5">
        <f>IF(R1615&gt;0,RANK(R1615,(N1615:P1615,Q1615:AE1615)),0)</f>
        <v>4</v>
      </c>
      <c r="AY1615" s="5">
        <f>IF(T1615&gt;0,RANK(T1615,(N1615:P1615,Q1615:AE1615)),0)</f>
        <v>0</v>
      </c>
      <c r="AZ1615" s="5">
        <f>IF(S1615&gt;0,RANK(S1615,(N1615:P1615,Q1615:AE1615)),0)</f>
        <v>4</v>
      </c>
      <c r="BA1615" s="2">
        <f t="shared" si="674"/>
        <v>2.5915080527086385E-2</v>
      </c>
      <c r="BB1615" s="2">
        <f t="shared" si="675"/>
        <v>3.8067349926793558E-3</v>
      </c>
      <c r="BC1615" s="2">
        <f t="shared" si="676"/>
        <v>0</v>
      </c>
      <c r="BD1615" s="2">
        <f t="shared" si="677"/>
        <v>3.8067349926793558E-3</v>
      </c>
      <c r="BF1615" t="s">
        <v>3125</v>
      </c>
      <c r="BG1615" t="s">
        <v>1213</v>
      </c>
      <c r="BH1615">
        <v>4</v>
      </c>
      <c r="BJ1615" s="114">
        <v>29</v>
      </c>
      <c r="BK1615" s="116">
        <v>135</v>
      </c>
      <c r="BL1615" s="120">
        <f t="shared" si="657"/>
        <v>29135</v>
      </c>
      <c r="BN1615" s="5" t="s">
        <v>3154</v>
      </c>
      <c r="BY1615" s="63">
        <f t="shared" si="678"/>
        <v>6830</v>
      </c>
      <c r="CB1615" s="132"/>
      <c r="CD1615" s="63">
        <v>0</v>
      </c>
    </row>
    <row r="1616" spans="1:82" hidden="1" outlineLevel="1">
      <c r="A1616" t="s">
        <v>644</v>
      </c>
      <c r="B1616" t="s">
        <v>1213</v>
      </c>
      <c r="C1616" s="1">
        <f t="shared" si="669"/>
        <v>4156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5</v>
      </c>
      <c r="G1616" s="132">
        <f t="shared" si="667"/>
        <v>2306</v>
      </c>
      <c r="H1616" s="137">
        <f t="shared" si="668"/>
        <v>0.55486044273339752</v>
      </c>
      <c r="I1616" s="2"/>
      <c r="J1616" s="2">
        <f t="shared" si="670"/>
        <v>0.20524542829643888</v>
      </c>
      <c r="K1616" s="2">
        <f t="shared" si="671"/>
        <v>0.7601058710298364</v>
      </c>
      <c r="L1616" s="2">
        <f t="shared" si="672"/>
        <v>2.1655437921077958E-3</v>
      </c>
      <c r="M1616" s="2">
        <f t="shared" si="673"/>
        <v>3.2483156881616924E-2</v>
      </c>
      <c r="N1616" s="63">
        <v>853</v>
      </c>
      <c r="O1616" s="63">
        <v>3159</v>
      </c>
      <c r="P1616" s="63">
        <v>9</v>
      </c>
      <c r="Q1616" s="63">
        <v>114</v>
      </c>
      <c r="R1616" s="63">
        <v>13</v>
      </c>
      <c r="S1616" s="63">
        <v>8</v>
      </c>
      <c r="T1616" s="63">
        <v>0</v>
      </c>
      <c r="U1616" s="63"/>
      <c r="V1616" s="63"/>
      <c r="W1616" s="63">
        <f>IF(Copyright!B$11=1,IF(CA1616&gt;0,CA1616-P1616-SUM(T1616:V1616)-SUM(X1616:AC1616)-SUM(AE1616:AM1616)-SUM(AN1616:AQ1616),SUM(CD1616:CF1616)),SUM(CD1616:CF1616))</f>
        <v>0</v>
      </c>
      <c r="X1616" s="63"/>
      <c r="Y1616" s="63">
        <v>0</v>
      </c>
      <c r="Z1616" s="63"/>
      <c r="AA1616" s="63"/>
      <c r="AB1616" s="63"/>
      <c r="AC1616" s="63"/>
      <c r="AD1616" s="63"/>
      <c r="AE1616" s="63">
        <v>0</v>
      </c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W1616" s="5">
        <f>IF(Q1616&gt;0,RANK(Q1616,(N1616:P1616,Q1616:AE1616)),0)</f>
        <v>3</v>
      </c>
      <c r="AX1616" s="5">
        <f>IF(R1616&gt;0,RANK(R1616,(N1616:P1616,Q1616:AE1616)),0)</f>
        <v>4</v>
      </c>
      <c r="AY1616" s="5">
        <f>IF(T1616&gt;0,RANK(T1616,(N1616:P1616,Q1616:AE1616)),0)</f>
        <v>0</v>
      </c>
      <c r="AZ1616" s="5">
        <f>IF(S1616&gt;0,RANK(S1616,(N1616:P1616,Q1616:AE1616)),0)</f>
        <v>6</v>
      </c>
      <c r="BA1616" s="2">
        <f t="shared" si="674"/>
        <v>2.7430221366698749E-2</v>
      </c>
      <c r="BB1616" s="2">
        <f t="shared" si="675"/>
        <v>3.1280076997112606E-3</v>
      </c>
      <c r="BC1616" s="2">
        <f t="shared" si="676"/>
        <v>0</v>
      </c>
      <c r="BD1616" s="2">
        <f t="shared" si="677"/>
        <v>1.9249278152069298E-3</v>
      </c>
      <c r="BF1616" t="s">
        <v>644</v>
      </c>
      <c r="BG1616" t="s">
        <v>1213</v>
      </c>
      <c r="BH1616">
        <v>6</v>
      </c>
      <c r="BJ1616" s="114">
        <v>29</v>
      </c>
      <c r="BK1616" s="116">
        <v>137</v>
      </c>
      <c r="BL1616" s="120">
        <f t="shared" si="657"/>
        <v>29137</v>
      </c>
      <c r="BN1616" s="5" t="s">
        <v>3154</v>
      </c>
      <c r="BY1616" s="63">
        <f t="shared" si="678"/>
        <v>4156</v>
      </c>
      <c r="CB1616" s="132"/>
      <c r="CD1616" s="63">
        <v>0</v>
      </c>
    </row>
    <row r="1617" spans="1:82" hidden="1" outlineLevel="1">
      <c r="A1617" t="s">
        <v>1406</v>
      </c>
      <c r="B1617" t="s">
        <v>1213</v>
      </c>
      <c r="C1617" s="1">
        <f t="shared" si="669"/>
        <v>5429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32">
        <f t="shared" si="667"/>
        <v>3008</v>
      </c>
      <c r="H1617" s="137">
        <f t="shared" si="668"/>
        <v>0.55406152145883225</v>
      </c>
      <c r="I1617" s="2"/>
      <c r="J1617" s="2">
        <f t="shared" si="670"/>
        <v>0.20611530668631423</v>
      </c>
      <c r="K1617" s="2">
        <f t="shared" si="671"/>
        <v>0.76017682814514642</v>
      </c>
      <c r="L1617" s="2">
        <f t="shared" si="672"/>
        <v>0</v>
      </c>
      <c r="M1617" s="2">
        <f t="shared" si="673"/>
        <v>3.3707865168539408E-2</v>
      </c>
      <c r="N1617" s="63">
        <v>1119</v>
      </c>
      <c r="O1617" s="63">
        <v>4127</v>
      </c>
      <c r="P1617" s="63">
        <v>0</v>
      </c>
      <c r="Q1617" s="63">
        <v>134</v>
      </c>
      <c r="R1617" s="63">
        <v>32</v>
      </c>
      <c r="S1617" s="63">
        <v>17</v>
      </c>
      <c r="T1617" s="63">
        <v>0</v>
      </c>
      <c r="U1617" s="63"/>
      <c r="V1617" s="63"/>
      <c r="W1617" s="63">
        <f>IF(Copyright!B$11=1,IF(CA1617&gt;0,CA1617-P1617-SUM(T1617:V1617)-SUM(X1617:AC1617)-SUM(AE1617:AM1617)-SUM(AN1617:AQ1617),SUM(CD1617:CF1617)),SUM(CD1617:CF1617))</f>
        <v>0</v>
      </c>
      <c r="X1617" s="63"/>
      <c r="Y1617" s="63">
        <v>0</v>
      </c>
      <c r="Z1617" s="63"/>
      <c r="AA1617" s="63"/>
      <c r="AB1617" s="63"/>
      <c r="AC1617" s="63"/>
      <c r="AD1617" s="63"/>
      <c r="AE1617" s="63">
        <v>0</v>
      </c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W1617" s="5">
        <f>IF(Q1617&gt;0,RANK(Q1617,(N1617:P1617,Q1617:AE1617)),0)</f>
        <v>3</v>
      </c>
      <c r="AX1617" s="5">
        <f>IF(R1617&gt;0,RANK(R1617,(N1617:P1617,Q1617:AE1617)),0)</f>
        <v>4</v>
      </c>
      <c r="AY1617" s="5">
        <f>IF(T1617&gt;0,RANK(T1617,(N1617:P1617,Q1617:AE1617)),0)</f>
        <v>0</v>
      </c>
      <c r="AZ1617" s="5">
        <f>IF(S1617&gt;0,RANK(S1617,(N1617:P1617,Q1617:AE1617)),0)</f>
        <v>5</v>
      </c>
      <c r="BA1617" s="2">
        <f t="shared" si="674"/>
        <v>2.468226192669E-2</v>
      </c>
      <c r="BB1617" s="2">
        <f t="shared" si="675"/>
        <v>5.8942715048811937E-3</v>
      </c>
      <c r="BC1617" s="2">
        <f t="shared" si="676"/>
        <v>0</v>
      </c>
      <c r="BD1617" s="2">
        <f t="shared" si="677"/>
        <v>3.1313317369681343E-3</v>
      </c>
      <c r="BF1617" t="s">
        <v>1406</v>
      </c>
      <c r="BG1617" t="s">
        <v>1213</v>
      </c>
      <c r="BH1617">
        <v>3</v>
      </c>
      <c r="BJ1617" s="114">
        <v>29</v>
      </c>
      <c r="BK1617" s="116">
        <v>139</v>
      </c>
      <c r="BL1617" s="120">
        <f t="shared" si="657"/>
        <v>29139</v>
      </c>
      <c r="BN1617" s="5" t="s">
        <v>3154</v>
      </c>
      <c r="BY1617" s="63">
        <f t="shared" si="678"/>
        <v>5429</v>
      </c>
      <c r="CB1617" s="132"/>
      <c r="CD1617" s="63">
        <v>0</v>
      </c>
    </row>
    <row r="1618" spans="1:82" hidden="1" outlineLevel="1">
      <c r="A1618" t="s">
        <v>1145</v>
      </c>
      <c r="B1618" t="s">
        <v>1213</v>
      </c>
      <c r="C1618" s="1">
        <f t="shared" si="669"/>
        <v>8821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6</v>
      </c>
      <c r="G1618" s="132">
        <f t="shared" si="667"/>
        <v>4992</v>
      </c>
      <c r="H1618" s="137">
        <f t="shared" si="668"/>
        <v>0.56592223103956463</v>
      </c>
      <c r="I1618" s="2"/>
      <c r="J1618" s="2">
        <f t="shared" si="670"/>
        <v>0.20043079015984583</v>
      </c>
      <c r="K1618" s="2">
        <f t="shared" si="671"/>
        <v>0.76635302119941051</v>
      </c>
      <c r="L1618" s="2">
        <f t="shared" si="672"/>
        <v>3.4009749461512298E-4</v>
      </c>
      <c r="M1618" s="2">
        <f t="shared" si="673"/>
        <v>3.287609114612848E-2</v>
      </c>
      <c r="N1618" s="63">
        <v>1768</v>
      </c>
      <c r="O1618" s="63">
        <v>6760</v>
      </c>
      <c r="P1618" s="63">
        <v>3</v>
      </c>
      <c r="Q1618" s="63">
        <v>202</v>
      </c>
      <c r="R1618" s="63">
        <v>51</v>
      </c>
      <c r="S1618" s="63">
        <v>37</v>
      </c>
      <c r="T1618" s="63">
        <v>0</v>
      </c>
      <c r="U1618" s="63"/>
      <c r="V1618" s="63"/>
      <c r="W1618" s="63">
        <f>IF(Copyright!B$11=1,IF(CA1618&gt;0,CA1618-P1618-SUM(T1618:V1618)-SUM(X1618:AC1618)-SUM(AE1618:AM1618)-SUM(AN1618:AQ1618),SUM(CD1618:CF1618)),SUM(CD1618:CF1618))</f>
        <v>0</v>
      </c>
      <c r="X1618" s="63"/>
      <c r="Y1618" s="63">
        <v>0</v>
      </c>
      <c r="Z1618" s="63"/>
      <c r="AA1618" s="63"/>
      <c r="AB1618" s="63"/>
      <c r="AC1618" s="63"/>
      <c r="AD1618" s="63"/>
      <c r="AE1618" s="63">
        <v>0</v>
      </c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W1618" s="5">
        <f>IF(Q1618&gt;0,RANK(Q1618,(N1618:P1618,Q1618:AE1618)),0)</f>
        <v>3</v>
      </c>
      <c r="AX1618" s="5">
        <f>IF(R1618&gt;0,RANK(R1618,(N1618:P1618,Q1618:AE1618)),0)</f>
        <v>4</v>
      </c>
      <c r="AY1618" s="5">
        <f>IF(T1618&gt;0,RANK(T1618,(N1618:P1618,Q1618:AE1618)),0)</f>
        <v>0</v>
      </c>
      <c r="AZ1618" s="5">
        <f>IF(S1618&gt;0,RANK(S1618,(N1618:P1618,Q1618:AE1618)),0)</f>
        <v>5</v>
      </c>
      <c r="BA1618" s="2">
        <f t="shared" si="674"/>
        <v>2.2899897970751617E-2</v>
      </c>
      <c r="BB1618" s="2">
        <f t="shared" si="675"/>
        <v>5.781657408457091E-3</v>
      </c>
      <c r="BC1618" s="2">
        <f t="shared" si="676"/>
        <v>0</v>
      </c>
      <c r="BD1618" s="2">
        <f t="shared" si="677"/>
        <v>4.1945357669198506E-3</v>
      </c>
      <c r="BF1618" t="s">
        <v>1145</v>
      </c>
      <c r="BG1618" t="s">
        <v>1213</v>
      </c>
      <c r="BH1618">
        <v>4</v>
      </c>
      <c r="BJ1618" s="114">
        <v>29</v>
      </c>
      <c r="BK1618" s="116">
        <v>141</v>
      </c>
      <c r="BL1618" s="120">
        <f t="shared" si="657"/>
        <v>29141</v>
      </c>
      <c r="BN1618" s="5" t="s">
        <v>3154</v>
      </c>
      <c r="BY1618" s="63">
        <f t="shared" si="678"/>
        <v>8821</v>
      </c>
      <c r="CB1618" s="132"/>
      <c r="CD1618" s="63">
        <v>0</v>
      </c>
    </row>
    <row r="1619" spans="1:82" hidden="1" outlineLevel="1">
      <c r="A1619" t="s">
        <v>1324</v>
      </c>
      <c r="B1619" t="s">
        <v>1213</v>
      </c>
      <c r="C1619" s="1">
        <f t="shared" si="669"/>
        <v>7357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6</v>
      </c>
      <c r="G1619" s="132">
        <f t="shared" si="667"/>
        <v>3337</v>
      </c>
      <c r="H1619" s="137">
        <f t="shared" si="668"/>
        <v>0.45358162294413484</v>
      </c>
      <c r="I1619" s="2"/>
      <c r="J1619" s="2">
        <f t="shared" si="670"/>
        <v>0.26274296588283269</v>
      </c>
      <c r="K1619" s="2">
        <f t="shared" si="671"/>
        <v>0.71632458882696748</v>
      </c>
      <c r="L1619" s="2">
        <f t="shared" si="672"/>
        <v>6.7962484708440944E-4</v>
      </c>
      <c r="M1619" s="2">
        <f t="shared" si="673"/>
        <v>2.0252820443115476E-2</v>
      </c>
      <c r="N1619" s="63">
        <v>1933</v>
      </c>
      <c r="O1619" s="63">
        <v>5270</v>
      </c>
      <c r="P1619" s="63">
        <v>5</v>
      </c>
      <c r="Q1619" s="63">
        <v>106</v>
      </c>
      <c r="R1619" s="63">
        <v>24</v>
      </c>
      <c r="S1619" s="63">
        <v>19</v>
      </c>
      <c r="T1619" s="63">
        <v>0</v>
      </c>
      <c r="U1619" s="63"/>
      <c r="V1619" s="63"/>
      <c r="W1619" s="63">
        <f>IF(Copyright!B$11=1,IF(CA1619&gt;0,CA1619-P1619-SUM(T1619:V1619)-SUM(X1619:AC1619)-SUM(AE1619:AM1619)-SUM(AN1619:AQ1619),SUM(CD1619:CF1619)),SUM(CD1619:CF1619))</f>
        <v>0</v>
      </c>
      <c r="X1619" s="63"/>
      <c r="Y1619" s="63">
        <v>0</v>
      </c>
      <c r="Z1619" s="63"/>
      <c r="AA1619" s="63"/>
      <c r="AB1619" s="63"/>
      <c r="AC1619" s="63"/>
      <c r="AD1619" s="63"/>
      <c r="AE1619" s="63">
        <v>0</v>
      </c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W1619" s="5">
        <f>IF(Q1619&gt;0,RANK(Q1619,(N1619:P1619,Q1619:AE1619)),0)</f>
        <v>3</v>
      </c>
      <c r="AX1619" s="5">
        <f>IF(R1619&gt;0,RANK(R1619,(N1619:P1619,Q1619:AE1619)),0)</f>
        <v>4</v>
      </c>
      <c r="AY1619" s="5">
        <f>IF(T1619&gt;0,RANK(T1619,(N1619:P1619,Q1619:AE1619)),0)</f>
        <v>0</v>
      </c>
      <c r="AZ1619" s="5">
        <f>IF(S1619&gt;0,RANK(S1619,(N1619:P1619,Q1619:AE1619)),0)</f>
        <v>5</v>
      </c>
      <c r="BA1619" s="2">
        <f t="shared" si="674"/>
        <v>1.4408046758189479E-2</v>
      </c>
      <c r="BB1619" s="2">
        <f t="shared" si="675"/>
        <v>3.2621992660051653E-3</v>
      </c>
      <c r="BC1619" s="2">
        <f t="shared" si="676"/>
        <v>0</v>
      </c>
      <c r="BD1619" s="2">
        <f t="shared" si="677"/>
        <v>2.5825744189207555E-3</v>
      </c>
      <c r="BF1619" t="s">
        <v>1324</v>
      </c>
      <c r="BG1619" t="s">
        <v>1213</v>
      </c>
      <c r="BH1619">
        <v>8</v>
      </c>
      <c r="BJ1619" s="114">
        <v>29</v>
      </c>
      <c r="BK1619" s="116">
        <v>143</v>
      </c>
      <c r="BL1619" s="120">
        <f t="shared" si="657"/>
        <v>29143</v>
      </c>
      <c r="BN1619" s="5" t="s">
        <v>3154</v>
      </c>
      <c r="BY1619" s="63">
        <f t="shared" si="678"/>
        <v>7357</v>
      </c>
      <c r="CB1619" s="132"/>
      <c r="CD1619" s="63">
        <v>0</v>
      </c>
    </row>
    <row r="1620" spans="1:82" hidden="1" outlineLevel="1">
      <c r="A1620" t="s">
        <v>1136</v>
      </c>
      <c r="B1620" t="s">
        <v>1213</v>
      </c>
      <c r="C1620" s="1">
        <f t="shared" si="669"/>
        <v>26807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7</v>
      </c>
      <c r="G1620" s="132">
        <f t="shared" si="667"/>
        <v>15563</v>
      </c>
      <c r="H1620" s="137">
        <f t="shared" si="668"/>
        <v>0.58055731711866299</v>
      </c>
      <c r="I1620" s="2"/>
      <c r="J1620" s="2">
        <f t="shared" si="670"/>
        <v>0.18614540978102734</v>
      </c>
      <c r="K1620" s="2">
        <f t="shared" si="671"/>
        <v>0.76670272689969043</v>
      </c>
      <c r="L1620" s="2">
        <f t="shared" si="672"/>
        <v>3.3200283508038947E-3</v>
      </c>
      <c r="M1620" s="2">
        <f t="shared" si="673"/>
        <v>4.3831834968478332E-2</v>
      </c>
      <c r="N1620" s="63">
        <v>4990</v>
      </c>
      <c r="O1620" s="63">
        <v>20553</v>
      </c>
      <c r="P1620" s="63">
        <v>89</v>
      </c>
      <c r="Q1620" s="63">
        <v>641</v>
      </c>
      <c r="R1620" s="63">
        <v>168</v>
      </c>
      <c r="S1620" s="63">
        <v>163</v>
      </c>
      <c r="T1620" s="63">
        <v>0</v>
      </c>
      <c r="U1620" s="63"/>
      <c r="V1620" s="63"/>
      <c r="W1620" s="63">
        <f>IF(Copyright!B$11=1,IF(CA1620&gt;0,CA1620-P1620-SUM(T1620:V1620)-SUM(X1620:AC1620)-SUM(AE1620:AM1620)-SUM(AN1620:AQ1620),SUM(CD1620:CF1620)),SUM(CD1620:CF1620))</f>
        <v>201</v>
      </c>
      <c r="X1620" s="63"/>
      <c r="Y1620" s="63">
        <v>2</v>
      </c>
      <c r="Z1620" s="63"/>
      <c r="AA1620" s="63"/>
      <c r="AB1620" s="63"/>
      <c r="AC1620" s="63"/>
      <c r="AD1620" s="63"/>
      <c r="AE1620" s="63">
        <v>0</v>
      </c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W1620" s="5">
        <f>IF(Q1620&gt;0,RANK(Q1620,(N1620:P1620,Q1620:AE1620)),0)</f>
        <v>3</v>
      </c>
      <c r="AX1620" s="5">
        <f>IF(R1620&gt;0,RANK(R1620,(N1620:P1620,Q1620:AE1620)),0)</f>
        <v>5</v>
      </c>
      <c r="AY1620" s="5">
        <f>IF(T1620&gt;0,RANK(T1620,(N1620:P1620,Q1620:AE1620)),0)</f>
        <v>0</v>
      </c>
      <c r="AZ1620" s="5">
        <f>IF(S1620&gt;0,RANK(S1620,(N1620:P1620,Q1620:AE1620)),0)</f>
        <v>6</v>
      </c>
      <c r="BA1620" s="2">
        <f t="shared" si="674"/>
        <v>2.3911664863655015E-2</v>
      </c>
      <c r="BB1620" s="2">
        <f t="shared" si="675"/>
        <v>6.2670198082590365E-3</v>
      </c>
      <c r="BC1620" s="2">
        <f t="shared" si="676"/>
        <v>0</v>
      </c>
      <c r="BD1620" s="2">
        <f t="shared" si="677"/>
        <v>6.080501361584661E-3</v>
      </c>
      <c r="BF1620" t="s">
        <v>1136</v>
      </c>
      <c r="BG1620" t="s">
        <v>1213</v>
      </c>
      <c r="BH1620">
        <v>7</v>
      </c>
      <c r="BJ1620" s="114">
        <v>29</v>
      </c>
      <c r="BK1620" s="116">
        <v>145</v>
      </c>
      <c r="BL1620" s="120">
        <f t="shared" si="657"/>
        <v>29145</v>
      </c>
      <c r="BN1620" s="5" t="s">
        <v>3154</v>
      </c>
      <c r="BY1620" s="63">
        <f t="shared" si="678"/>
        <v>9</v>
      </c>
      <c r="BZ1620" s="63">
        <f>4988+20546+641+163+168+292</f>
        <v>26798</v>
      </c>
      <c r="CA1620" s="63">
        <v>292</v>
      </c>
      <c r="CB1620" s="132"/>
      <c r="CD1620" s="63">
        <v>0</v>
      </c>
    </row>
    <row r="1621" spans="1:82" hidden="1" outlineLevel="1">
      <c r="A1621" t="s">
        <v>1280</v>
      </c>
      <c r="B1621" t="s">
        <v>1213</v>
      </c>
      <c r="C1621" s="1">
        <f t="shared" si="669"/>
        <v>9458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6</v>
      </c>
      <c r="G1621" s="132">
        <f t="shared" si="667"/>
        <v>3851</v>
      </c>
      <c r="H1621" s="137">
        <f t="shared" si="668"/>
        <v>0.40716853457390567</v>
      </c>
      <c r="I1621" s="2"/>
      <c r="J1621" s="2">
        <f t="shared" si="670"/>
        <v>0.26739268344258826</v>
      </c>
      <c r="K1621" s="2">
        <f t="shared" si="671"/>
        <v>0.67456121801649394</v>
      </c>
      <c r="L1621" s="2">
        <f t="shared" si="672"/>
        <v>1.9031507718333686E-3</v>
      </c>
      <c r="M1621" s="2">
        <f t="shared" si="673"/>
        <v>5.6142947769084434E-2</v>
      </c>
      <c r="N1621" s="63">
        <v>2529</v>
      </c>
      <c r="O1621" s="63">
        <v>6380</v>
      </c>
      <c r="P1621" s="63">
        <v>18</v>
      </c>
      <c r="Q1621" s="63">
        <v>401</v>
      </c>
      <c r="R1621" s="63">
        <v>61</v>
      </c>
      <c r="S1621" s="63">
        <v>69</v>
      </c>
      <c r="T1621" s="63">
        <v>0</v>
      </c>
      <c r="U1621" s="63"/>
      <c r="V1621" s="63"/>
      <c r="W1621" s="63">
        <f>IF(Copyright!B$11=1,IF(CA1621&gt;0,CA1621-P1621-SUM(T1621:V1621)-SUM(X1621:AC1621)-SUM(AE1621:AM1621)-SUM(AN1621:AQ1621),SUM(CD1621:CF1621)),SUM(CD1621:CF1621))</f>
        <v>0</v>
      </c>
      <c r="X1621" s="63"/>
      <c r="Y1621" s="63">
        <v>0</v>
      </c>
      <c r="Z1621" s="63"/>
      <c r="AA1621" s="63"/>
      <c r="AB1621" s="63"/>
      <c r="AC1621" s="63"/>
      <c r="AD1621" s="63"/>
      <c r="AE1621" s="63">
        <v>0</v>
      </c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W1621" s="5">
        <f>IF(Q1621&gt;0,RANK(Q1621,(N1621:P1621,Q1621:AE1621)),0)</f>
        <v>3</v>
      </c>
      <c r="AX1621" s="5">
        <f>IF(R1621&gt;0,RANK(R1621,(N1621:P1621,Q1621:AE1621)),0)</f>
        <v>5</v>
      </c>
      <c r="AY1621" s="5">
        <f>IF(T1621&gt;0,RANK(T1621,(N1621:P1621,Q1621:AE1621)),0)</f>
        <v>0</v>
      </c>
      <c r="AZ1621" s="5">
        <f>IF(S1621&gt;0,RANK(S1621,(N1621:P1621,Q1621:AE1621)),0)</f>
        <v>4</v>
      </c>
      <c r="BA1621" s="2">
        <f t="shared" si="674"/>
        <v>4.2397969972510045E-2</v>
      </c>
      <c r="BB1621" s="2">
        <f t="shared" si="675"/>
        <v>6.4495665045464154E-3</v>
      </c>
      <c r="BC1621" s="2">
        <f t="shared" si="676"/>
        <v>0</v>
      </c>
      <c r="BD1621" s="2">
        <f t="shared" si="677"/>
        <v>7.295411292027913E-3</v>
      </c>
      <c r="BF1621" t="s">
        <v>1280</v>
      </c>
      <c r="BG1621" t="s">
        <v>1213</v>
      </c>
      <c r="BH1621">
        <v>6</v>
      </c>
      <c r="BJ1621" s="114">
        <v>29</v>
      </c>
      <c r="BK1621" s="116">
        <v>147</v>
      </c>
      <c r="BL1621" s="120">
        <f t="shared" si="657"/>
        <v>29147</v>
      </c>
      <c r="BN1621" s="5" t="s">
        <v>3154</v>
      </c>
      <c r="BY1621" s="63">
        <f t="shared" si="678"/>
        <v>9458</v>
      </c>
      <c r="CB1621" s="132"/>
      <c r="CD1621" s="63">
        <v>0</v>
      </c>
    </row>
    <row r="1622" spans="1:82" hidden="1" outlineLevel="1">
      <c r="A1622" t="s">
        <v>554</v>
      </c>
      <c r="B1622" t="s">
        <v>1213</v>
      </c>
      <c r="C1622" s="1">
        <f t="shared" si="669"/>
        <v>4668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6</v>
      </c>
      <c r="G1622" s="132">
        <f t="shared" si="667"/>
        <v>2806</v>
      </c>
      <c r="H1622" s="137">
        <f t="shared" si="668"/>
        <v>0.60111396743787493</v>
      </c>
      <c r="I1622" s="2"/>
      <c r="J1622" s="2">
        <f t="shared" si="670"/>
        <v>0.18530419880034277</v>
      </c>
      <c r="K1622" s="2">
        <f t="shared" si="671"/>
        <v>0.7864181662382177</v>
      </c>
      <c r="L1622" s="2">
        <f t="shared" si="672"/>
        <v>2.1422450728363326E-4</v>
      </c>
      <c r="M1622" s="2">
        <f t="shared" si="673"/>
        <v>2.8063410454155901E-2</v>
      </c>
      <c r="N1622" s="63">
        <v>865</v>
      </c>
      <c r="O1622" s="63">
        <v>3671</v>
      </c>
      <c r="P1622" s="63">
        <v>1</v>
      </c>
      <c r="Q1622" s="63">
        <v>88</v>
      </c>
      <c r="R1622" s="63">
        <v>14</v>
      </c>
      <c r="S1622" s="63">
        <v>29</v>
      </c>
      <c r="T1622" s="63">
        <v>0</v>
      </c>
      <c r="U1622" s="63"/>
      <c r="V1622" s="63"/>
      <c r="W1622" s="63">
        <f>IF(Copyright!B$11=1,IF(CA1622&gt;0,CA1622-P1622-SUM(T1622:V1622)-SUM(X1622:AC1622)-SUM(AE1622:AM1622)-SUM(AN1622:AQ1622),SUM(CD1622:CF1622)),SUM(CD1622:CF1622))</f>
        <v>0</v>
      </c>
      <c r="X1622" s="63"/>
      <c r="Y1622" s="63">
        <v>0</v>
      </c>
      <c r="Z1622" s="63"/>
      <c r="AA1622" s="63"/>
      <c r="AB1622" s="63"/>
      <c r="AC1622" s="63"/>
      <c r="AD1622" s="63"/>
      <c r="AE1622" s="63">
        <v>0</v>
      </c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W1622" s="5">
        <f>IF(Q1622&gt;0,RANK(Q1622,(N1622:P1622,Q1622:AE1622)),0)</f>
        <v>3</v>
      </c>
      <c r="AX1622" s="5">
        <f>IF(R1622&gt;0,RANK(R1622,(N1622:P1622,Q1622:AE1622)),0)</f>
        <v>5</v>
      </c>
      <c r="AY1622" s="5">
        <f>IF(T1622&gt;0,RANK(T1622,(N1622:P1622,Q1622:AE1622)),0)</f>
        <v>0</v>
      </c>
      <c r="AZ1622" s="5">
        <f>IF(S1622&gt;0,RANK(S1622,(N1622:P1622,Q1622:AE1622)),0)</f>
        <v>4</v>
      </c>
      <c r="BA1622" s="2">
        <f t="shared" si="674"/>
        <v>1.8851756640959727E-2</v>
      </c>
      <c r="BB1622" s="2">
        <f t="shared" si="675"/>
        <v>2.9991431019708655E-3</v>
      </c>
      <c r="BC1622" s="2">
        <f t="shared" si="676"/>
        <v>0</v>
      </c>
      <c r="BD1622" s="2">
        <f t="shared" si="677"/>
        <v>6.2125107112253643E-3</v>
      </c>
      <c r="BF1622" t="s">
        <v>554</v>
      </c>
      <c r="BG1622" t="s">
        <v>1213</v>
      </c>
      <c r="BH1622">
        <v>8</v>
      </c>
      <c r="BJ1622" s="114">
        <v>29</v>
      </c>
      <c r="BK1622" s="116">
        <v>149</v>
      </c>
      <c r="BL1622" s="120">
        <f t="shared" si="657"/>
        <v>29149</v>
      </c>
      <c r="BN1622" s="5" t="s">
        <v>3154</v>
      </c>
      <c r="BY1622" s="63">
        <f t="shared" si="678"/>
        <v>4668</v>
      </c>
      <c r="CB1622" s="132"/>
      <c r="CD1622" s="63">
        <v>0</v>
      </c>
    </row>
    <row r="1623" spans="1:82" hidden="1" outlineLevel="1">
      <c r="A1623" t="s">
        <v>375</v>
      </c>
      <c r="B1623" t="s">
        <v>1213</v>
      </c>
      <c r="C1623" s="1">
        <f t="shared" si="669"/>
        <v>7090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6</v>
      </c>
      <c r="G1623" s="132">
        <f t="shared" si="667"/>
        <v>4858</v>
      </c>
      <c r="H1623" s="137">
        <f t="shared" si="668"/>
        <v>0.68519040902679829</v>
      </c>
      <c r="I1623" s="2"/>
      <c r="J1623" s="2">
        <f t="shared" si="670"/>
        <v>0.14076163610719322</v>
      </c>
      <c r="K1623" s="2">
        <f t="shared" si="671"/>
        <v>0.82595204513399156</v>
      </c>
      <c r="L1623" s="2">
        <f t="shared" si="672"/>
        <v>1.4104372355430183E-4</v>
      </c>
      <c r="M1623" s="2">
        <f t="shared" si="673"/>
        <v>3.3145275035260859E-2</v>
      </c>
      <c r="N1623" s="63">
        <v>998</v>
      </c>
      <c r="O1623" s="63">
        <v>5856</v>
      </c>
      <c r="P1623" s="63">
        <v>1</v>
      </c>
      <c r="Q1623" s="63">
        <v>182</v>
      </c>
      <c r="R1623" s="63">
        <v>34</v>
      </c>
      <c r="S1623" s="63">
        <v>19</v>
      </c>
      <c r="T1623" s="63">
        <v>0</v>
      </c>
      <c r="U1623" s="63"/>
      <c r="V1623" s="63"/>
      <c r="W1623" s="63">
        <f>IF(Copyright!B$11=1,IF(CA1623&gt;0,CA1623-P1623-SUM(T1623:V1623)-SUM(X1623:AC1623)-SUM(AE1623:AM1623)-SUM(AN1623:AQ1623),SUM(CD1623:CF1623)),SUM(CD1623:CF1623))</f>
        <v>0</v>
      </c>
      <c r="X1623" s="63"/>
      <c r="Y1623" s="63">
        <v>0</v>
      </c>
      <c r="Z1623" s="63"/>
      <c r="AA1623" s="63"/>
      <c r="AB1623" s="63"/>
      <c r="AC1623" s="63"/>
      <c r="AD1623" s="63"/>
      <c r="AE1623" s="63">
        <v>0</v>
      </c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W1623" s="5">
        <f>IF(Q1623&gt;0,RANK(Q1623,(N1623:P1623,Q1623:AE1623)),0)</f>
        <v>3</v>
      </c>
      <c r="AX1623" s="5">
        <f>IF(R1623&gt;0,RANK(R1623,(N1623:P1623,Q1623:AE1623)),0)</f>
        <v>4</v>
      </c>
      <c r="AY1623" s="5">
        <f>IF(T1623&gt;0,RANK(T1623,(N1623:P1623,Q1623:AE1623)),0)</f>
        <v>0</v>
      </c>
      <c r="AZ1623" s="5">
        <f>IF(S1623&gt;0,RANK(S1623,(N1623:P1623,Q1623:AE1623)),0)</f>
        <v>5</v>
      </c>
      <c r="BA1623" s="2">
        <f t="shared" si="674"/>
        <v>2.5669957686882933E-2</v>
      </c>
      <c r="BB1623" s="2">
        <f t="shared" si="675"/>
        <v>4.7954866008462623E-3</v>
      </c>
      <c r="BC1623" s="2">
        <f t="shared" si="676"/>
        <v>0</v>
      </c>
      <c r="BD1623" s="2">
        <f t="shared" si="677"/>
        <v>2.6798307475317347E-3</v>
      </c>
      <c r="BF1623" t="s">
        <v>375</v>
      </c>
      <c r="BG1623" t="s">
        <v>1213</v>
      </c>
      <c r="BH1623">
        <v>3</v>
      </c>
      <c r="BJ1623" s="114">
        <v>29</v>
      </c>
      <c r="BK1623" s="116">
        <v>151</v>
      </c>
      <c r="BL1623" s="120">
        <f t="shared" si="657"/>
        <v>29151</v>
      </c>
      <c r="BN1623" s="5" t="s">
        <v>3154</v>
      </c>
      <c r="BY1623" s="63">
        <f t="shared" si="678"/>
        <v>7090</v>
      </c>
      <c r="CB1623" s="132"/>
      <c r="CD1623" s="63">
        <v>0</v>
      </c>
    </row>
    <row r="1624" spans="1:82" hidden="1" outlineLevel="1">
      <c r="A1624" t="s">
        <v>2989</v>
      </c>
      <c r="B1624" t="s">
        <v>1213</v>
      </c>
      <c r="C1624" s="1">
        <f t="shared" si="669"/>
        <v>4505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6</v>
      </c>
      <c r="G1624" s="132">
        <f t="shared" si="667"/>
        <v>2915</v>
      </c>
      <c r="H1624" s="137">
        <f t="shared" si="668"/>
        <v>0.6470588235294118</v>
      </c>
      <c r="I1624" s="2"/>
      <c r="J1624" s="2">
        <f t="shared" si="670"/>
        <v>0.16071032186459488</v>
      </c>
      <c r="K1624" s="2">
        <f t="shared" si="671"/>
        <v>0.80776914539400668</v>
      </c>
      <c r="L1624" s="2">
        <f t="shared" si="672"/>
        <v>8.8790233074361824E-4</v>
      </c>
      <c r="M1624" s="2">
        <f t="shared" si="673"/>
        <v>3.0632630410654813E-2</v>
      </c>
      <c r="N1624" s="63">
        <v>724</v>
      </c>
      <c r="O1624" s="63">
        <v>3639</v>
      </c>
      <c r="P1624" s="63">
        <v>4</v>
      </c>
      <c r="Q1624" s="63">
        <v>70</v>
      </c>
      <c r="R1624" s="63">
        <v>41</v>
      </c>
      <c r="S1624" s="63">
        <v>27</v>
      </c>
      <c r="T1624" s="63">
        <v>0</v>
      </c>
      <c r="U1624" s="63"/>
      <c r="V1624" s="63"/>
      <c r="W1624" s="63">
        <f>IF(Copyright!B$11=1,IF(CA1624&gt;0,CA1624-P1624-SUM(T1624:V1624)-SUM(X1624:AC1624)-SUM(AE1624:AM1624)-SUM(AN1624:AQ1624),SUM(CD1624:CF1624)),SUM(CD1624:CF1624))</f>
        <v>0</v>
      </c>
      <c r="X1624" s="63"/>
      <c r="Y1624" s="63">
        <v>0</v>
      </c>
      <c r="Z1624" s="63"/>
      <c r="AA1624" s="63"/>
      <c r="AB1624" s="63"/>
      <c r="AC1624" s="63"/>
      <c r="AD1624" s="63"/>
      <c r="AE1624" s="63">
        <v>0</v>
      </c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W1624" s="5">
        <f>IF(Q1624&gt;0,RANK(Q1624,(N1624:P1624,Q1624:AE1624)),0)</f>
        <v>3</v>
      </c>
      <c r="AX1624" s="5">
        <f>IF(R1624&gt;0,RANK(R1624,(N1624:P1624,Q1624:AE1624)),0)</f>
        <v>4</v>
      </c>
      <c r="AY1624" s="5">
        <f>IF(T1624&gt;0,RANK(T1624,(N1624:P1624,Q1624:AE1624)),0)</f>
        <v>0</v>
      </c>
      <c r="AZ1624" s="5">
        <f>IF(S1624&gt;0,RANK(S1624,(N1624:P1624,Q1624:AE1624)),0)</f>
        <v>5</v>
      </c>
      <c r="BA1624" s="2">
        <f t="shared" si="674"/>
        <v>1.5538290788013319E-2</v>
      </c>
      <c r="BB1624" s="2">
        <f t="shared" si="675"/>
        <v>9.1009988901220862E-3</v>
      </c>
      <c r="BC1624" s="2">
        <f t="shared" si="676"/>
        <v>0</v>
      </c>
      <c r="BD1624" s="2">
        <f t="shared" si="677"/>
        <v>5.9933407325194225E-3</v>
      </c>
      <c r="BF1624" t="s">
        <v>2989</v>
      </c>
      <c r="BG1624" t="s">
        <v>1213</v>
      </c>
      <c r="BH1624">
        <v>8</v>
      </c>
      <c r="BJ1624" s="114">
        <v>29</v>
      </c>
      <c r="BK1624" s="116">
        <v>153</v>
      </c>
      <c r="BL1624" s="120">
        <f t="shared" si="657"/>
        <v>29153</v>
      </c>
      <c r="BN1624" s="5" t="s">
        <v>3154</v>
      </c>
      <c r="BY1624" s="63">
        <f t="shared" si="678"/>
        <v>4505</v>
      </c>
      <c r="CB1624" s="132"/>
      <c r="CD1624" s="63">
        <v>0</v>
      </c>
    </row>
    <row r="1625" spans="1:82" hidden="1" outlineLevel="1">
      <c r="A1625" t="s">
        <v>1306</v>
      </c>
      <c r="B1625" t="s">
        <v>1213</v>
      </c>
      <c r="C1625" s="1">
        <f t="shared" si="669"/>
        <v>6043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32">
        <f t="shared" si="667"/>
        <v>2017</v>
      </c>
      <c r="H1625" s="137">
        <f t="shared" si="668"/>
        <v>0.33377461525732255</v>
      </c>
      <c r="I1625" s="2"/>
      <c r="J1625" s="2">
        <f t="shared" si="670"/>
        <v>0.32219096475260633</v>
      </c>
      <c r="K1625" s="2">
        <f t="shared" si="671"/>
        <v>0.65596558000992888</v>
      </c>
      <c r="L1625" s="2">
        <f t="shared" si="672"/>
        <v>0</v>
      </c>
      <c r="M1625" s="2">
        <f t="shared" si="673"/>
        <v>2.1843455237464782E-2</v>
      </c>
      <c r="N1625" s="63">
        <v>1947</v>
      </c>
      <c r="O1625" s="63">
        <v>3964</v>
      </c>
      <c r="P1625" s="63">
        <v>0</v>
      </c>
      <c r="Q1625" s="63">
        <v>79</v>
      </c>
      <c r="R1625" s="63">
        <v>21</v>
      </c>
      <c r="S1625" s="63">
        <v>16</v>
      </c>
      <c r="T1625" s="63">
        <v>0</v>
      </c>
      <c r="U1625" s="63"/>
      <c r="V1625" s="63"/>
      <c r="W1625" s="63">
        <f>IF(Copyright!B$11=1,IF(CA1625&gt;0,CA1625-P1625-SUM(T1625:V1625)-SUM(X1625:AC1625)-SUM(AE1625:AM1625)-SUM(AN1625:AQ1625),SUM(CD1625:CF1625)),SUM(CD1625:CF1625))</f>
        <v>16</v>
      </c>
      <c r="X1625" s="63"/>
      <c r="Y1625" s="63">
        <v>0</v>
      </c>
      <c r="Z1625" s="63"/>
      <c r="AA1625" s="63"/>
      <c r="AB1625" s="63"/>
      <c r="AC1625" s="63"/>
      <c r="AD1625" s="63"/>
      <c r="AE1625" s="63">
        <v>0</v>
      </c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W1625" s="5">
        <f>IF(Q1625&gt;0,RANK(Q1625,(N1625:P1625,Q1625:AE1625)),0)</f>
        <v>3</v>
      </c>
      <c r="AX1625" s="5">
        <f>IF(R1625&gt;0,RANK(R1625,(N1625:P1625,Q1625:AE1625)),0)</f>
        <v>4</v>
      </c>
      <c r="AY1625" s="5">
        <f>IF(T1625&gt;0,RANK(T1625,(N1625:P1625,Q1625:AE1625)),0)</f>
        <v>0</v>
      </c>
      <c r="AZ1625" s="5">
        <f>IF(S1625&gt;0,RANK(S1625,(N1625:P1625,Q1625:AE1625)),0)</f>
        <v>5</v>
      </c>
      <c r="BA1625" s="2">
        <f t="shared" si="674"/>
        <v>1.3072976998179713E-2</v>
      </c>
      <c r="BB1625" s="2">
        <f t="shared" si="675"/>
        <v>3.4750951514148603E-3</v>
      </c>
      <c r="BC1625" s="2">
        <f t="shared" si="676"/>
        <v>0</v>
      </c>
      <c r="BD1625" s="2">
        <f t="shared" si="677"/>
        <v>2.6476915439351315E-3</v>
      </c>
      <c r="BF1625" t="s">
        <v>1306</v>
      </c>
      <c r="BG1625" t="s">
        <v>1213</v>
      </c>
      <c r="BH1625">
        <v>8</v>
      </c>
      <c r="BJ1625" s="114">
        <v>29</v>
      </c>
      <c r="BK1625" s="116">
        <v>155</v>
      </c>
      <c r="BL1625" s="120">
        <f t="shared" si="657"/>
        <v>29155</v>
      </c>
      <c r="BN1625" s="5" t="s">
        <v>3154</v>
      </c>
      <c r="BY1625" s="63">
        <f t="shared" si="678"/>
        <v>0</v>
      </c>
      <c r="BZ1625" s="63">
        <f>1947+3964+79+16+21+16</f>
        <v>6043</v>
      </c>
      <c r="CA1625" s="63">
        <v>16</v>
      </c>
      <c r="CB1625" s="132"/>
      <c r="CD1625" s="63">
        <v>0</v>
      </c>
    </row>
    <row r="1626" spans="1:82" hidden="1" outlineLevel="1">
      <c r="A1626" t="s">
        <v>2118</v>
      </c>
      <c r="B1626" t="s">
        <v>1213</v>
      </c>
      <c r="C1626" s="1">
        <f t="shared" si="669"/>
        <v>8740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6</v>
      </c>
      <c r="G1626" s="132">
        <f t="shared" si="667"/>
        <v>5388</v>
      </c>
      <c r="H1626" s="137">
        <f t="shared" si="668"/>
        <v>0.61647597254004571</v>
      </c>
      <c r="I1626" s="2"/>
      <c r="J1626" s="2">
        <f t="shared" si="670"/>
        <v>0.17391304347826086</v>
      </c>
      <c r="K1626" s="2">
        <f t="shared" si="671"/>
        <v>0.79038901601830669</v>
      </c>
      <c r="L1626" s="2">
        <f t="shared" si="672"/>
        <v>8.0091533180778028E-4</v>
      </c>
      <c r="M1626" s="2">
        <f t="shared" si="673"/>
        <v>3.4897025171624664E-2</v>
      </c>
      <c r="N1626" s="63">
        <v>1520</v>
      </c>
      <c r="O1626" s="63">
        <v>6908</v>
      </c>
      <c r="P1626" s="63">
        <v>7</v>
      </c>
      <c r="Q1626" s="63">
        <v>231</v>
      </c>
      <c r="R1626" s="63">
        <v>39</v>
      </c>
      <c r="S1626" s="63">
        <v>35</v>
      </c>
      <c r="T1626" s="63">
        <v>0</v>
      </c>
      <c r="U1626" s="63"/>
      <c r="V1626" s="63"/>
      <c r="W1626" s="63">
        <f>IF(Copyright!B$11=1,IF(CA1626&gt;0,CA1626-P1626-SUM(T1626:V1626)-SUM(X1626:AC1626)-SUM(AE1626:AM1626)-SUM(AN1626:AQ1626),SUM(CD1626:CF1626)),SUM(CD1626:CF1626))</f>
        <v>0</v>
      </c>
      <c r="X1626" s="63"/>
      <c r="Y1626" s="63">
        <v>0</v>
      </c>
      <c r="Z1626" s="63"/>
      <c r="AA1626" s="63"/>
      <c r="AB1626" s="63"/>
      <c r="AC1626" s="63"/>
      <c r="AD1626" s="63"/>
      <c r="AE1626" s="63">
        <v>0</v>
      </c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W1626" s="5">
        <f>IF(Q1626&gt;0,RANK(Q1626,(N1626:P1626,Q1626:AE1626)),0)</f>
        <v>3</v>
      </c>
      <c r="AX1626" s="5">
        <f>IF(R1626&gt;0,RANK(R1626,(N1626:P1626,Q1626:AE1626)),0)</f>
        <v>4</v>
      </c>
      <c r="AY1626" s="5">
        <f>IF(T1626&gt;0,RANK(T1626,(N1626:P1626,Q1626:AE1626)),0)</f>
        <v>0</v>
      </c>
      <c r="AZ1626" s="5">
        <f>IF(S1626&gt;0,RANK(S1626,(N1626:P1626,Q1626:AE1626)),0)</f>
        <v>5</v>
      </c>
      <c r="BA1626" s="2">
        <f t="shared" si="674"/>
        <v>2.6430205949656751E-2</v>
      </c>
      <c r="BB1626" s="2">
        <f t="shared" si="675"/>
        <v>4.4622425629290618E-3</v>
      </c>
      <c r="BC1626" s="2">
        <f t="shared" si="676"/>
        <v>0</v>
      </c>
      <c r="BD1626" s="2">
        <f t="shared" si="677"/>
        <v>4.0045766590389017E-3</v>
      </c>
      <c r="BF1626" t="s">
        <v>2118</v>
      </c>
      <c r="BG1626" t="s">
        <v>1213</v>
      </c>
      <c r="BH1626">
        <v>8</v>
      </c>
      <c r="BJ1626" s="114">
        <v>29</v>
      </c>
      <c r="BK1626" s="116">
        <v>157</v>
      </c>
      <c r="BL1626" s="120">
        <f t="shared" si="657"/>
        <v>29157</v>
      </c>
      <c r="BN1626" s="5" t="s">
        <v>3154</v>
      </c>
      <c r="BY1626" s="63">
        <f t="shared" si="678"/>
        <v>8740</v>
      </c>
      <c r="CB1626" s="132"/>
      <c r="CD1626" s="63">
        <v>0</v>
      </c>
    </row>
    <row r="1627" spans="1:82" hidden="1" outlineLevel="1">
      <c r="A1627" t="s">
        <v>1151</v>
      </c>
      <c r="B1627" t="s">
        <v>1213</v>
      </c>
      <c r="C1627" s="1">
        <f t="shared" si="669"/>
        <v>18204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7</v>
      </c>
      <c r="G1627" s="132">
        <f t="shared" si="667"/>
        <v>8486</v>
      </c>
      <c r="H1627" s="137">
        <f t="shared" si="668"/>
        <v>0.46616128323445399</v>
      </c>
      <c r="I1627" s="2"/>
      <c r="J1627" s="2">
        <f t="shared" si="670"/>
        <v>0.23753021313996925</v>
      </c>
      <c r="K1627" s="2">
        <f t="shared" si="671"/>
        <v>0.70369149637442319</v>
      </c>
      <c r="L1627" s="2">
        <f t="shared" si="672"/>
        <v>2.4170511975390024E-3</v>
      </c>
      <c r="M1627" s="2">
        <f t="shared" si="673"/>
        <v>5.6361239288068563E-2</v>
      </c>
      <c r="N1627" s="63">
        <v>4324</v>
      </c>
      <c r="O1627" s="63">
        <v>12810</v>
      </c>
      <c r="P1627" s="63">
        <v>44</v>
      </c>
      <c r="Q1627" s="63">
        <v>735</v>
      </c>
      <c r="R1627" s="63">
        <v>112</v>
      </c>
      <c r="S1627" s="63">
        <v>86</v>
      </c>
      <c r="T1627" s="63">
        <v>0</v>
      </c>
      <c r="U1627" s="63"/>
      <c r="V1627" s="63"/>
      <c r="W1627" s="63">
        <f>IF(Copyright!B$11=1,IF(CA1627&gt;0,CA1627-P1627-SUM(T1627:V1627)-SUM(X1627:AC1627)-SUM(AE1627:AM1627)-SUM(AN1627:AQ1627),SUM(CD1627:CF1627)),SUM(CD1627:CF1627))</f>
        <v>93</v>
      </c>
      <c r="X1627" s="63"/>
      <c r="Y1627" s="63">
        <v>0</v>
      </c>
      <c r="Z1627" s="63"/>
      <c r="AA1627" s="63"/>
      <c r="AB1627" s="63"/>
      <c r="AC1627" s="63"/>
      <c r="AD1627" s="63"/>
      <c r="AE1627" s="63">
        <v>0</v>
      </c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W1627" s="5">
        <f>IF(Q1627&gt;0,RANK(Q1627,(N1627:P1627,Q1627:AE1627)),0)</f>
        <v>3</v>
      </c>
      <c r="AX1627" s="5">
        <f>IF(R1627&gt;0,RANK(R1627,(N1627:P1627,Q1627:AE1627)),0)</f>
        <v>4</v>
      </c>
      <c r="AY1627" s="5">
        <f>IF(T1627&gt;0,RANK(T1627,(N1627:P1627,Q1627:AE1627)),0)</f>
        <v>0</v>
      </c>
      <c r="AZ1627" s="5">
        <f>IF(S1627&gt;0,RANK(S1627,(N1627:P1627,Q1627:AE1627)),0)</f>
        <v>6</v>
      </c>
      <c r="BA1627" s="2">
        <f t="shared" si="674"/>
        <v>4.037574159525379E-2</v>
      </c>
      <c r="BB1627" s="2">
        <f t="shared" si="675"/>
        <v>6.1524939573720065E-3</v>
      </c>
      <c r="BC1627" s="2">
        <f t="shared" si="676"/>
        <v>0</v>
      </c>
      <c r="BD1627" s="2">
        <f t="shared" si="677"/>
        <v>4.7242364315535045E-3</v>
      </c>
      <c r="BF1627" t="s">
        <v>1151</v>
      </c>
      <c r="BG1627" t="s">
        <v>1213</v>
      </c>
      <c r="BH1627">
        <v>4</v>
      </c>
      <c r="BJ1627" s="114">
        <v>29</v>
      </c>
      <c r="BK1627" s="116">
        <v>159</v>
      </c>
      <c r="BL1627" s="120">
        <f t="shared" si="657"/>
        <v>29159</v>
      </c>
      <c r="BN1627" s="5" t="s">
        <v>3154</v>
      </c>
      <c r="BY1627" s="63">
        <f t="shared" si="678"/>
        <v>22</v>
      </c>
      <c r="BZ1627" s="133">
        <v>18182</v>
      </c>
      <c r="CA1627" s="133">
        <v>137</v>
      </c>
      <c r="CB1627" s="132"/>
      <c r="CD1627" s="63">
        <v>0</v>
      </c>
    </row>
    <row r="1628" spans="1:82" hidden="1" outlineLevel="1">
      <c r="A1628" t="s">
        <v>2171</v>
      </c>
      <c r="B1628" t="s">
        <v>1213</v>
      </c>
      <c r="C1628" s="1">
        <f t="shared" si="669"/>
        <v>18713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7</v>
      </c>
      <c r="G1628" s="132">
        <f t="shared" si="667"/>
        <v>7943</v>
      </c>
      <c r="H1628" s="137">
        <f t="shared" si="668"/>
        <v>0.42446427617164539</v>
      </c>
      <c r="I1628" s="2"/>
      <c r="J1628" s="2">
        <f t="shared" si="670"/>
        <v>0.25468925346016136</v>
      </c>
      <c r="K1628" s="2">
        <f t="shared" si="671"/>
        <v>0.67915352963180675</v>
      </c>
      <c r="L1628" s="2">
        <f t="shared" si="672"/>
        <v>1.8169187196066905E-3</v>
      </c>
      <c r="M1628" s="2">
        <f t="shared" si="673"/>
        <v>6.4340298188425196E-2</v>
      </c>
      <c r="N1628" s="63">
        <v>4766</v>
      </c>
      <c r="O1628" s="63">
        <v>12709</v>
      </c>
      <c r="P1628" s="63">
        <v>34</v>
      </c>
      <c r="Q1628" s="63">
        <v>750</v>
      </c>
      <c r="R1628" s="63">
        <v>198</v>
      </c>
      <c r="S1628" s="63">
        <v>95</v>
      </c>
      <c r="T1628" s="63">
        <v>1</v>
      </c>
      <c r="U1628" s="63"/>
      <c r="V1628" s="63"/>
      <c r="W1628" s="63">
        <f>IF(Copyright!B$11=1,IF(CA1628&gt;0,CA1628-P1628-SUM(T1628:V1628)-SUM(X1628:AC1628)-SUM(AE1628:AM1628)-SUM(AN1628:AQ1628),SUM(CD1628:CF1628)),SUM(CD1628:CF1628))</f>
        <v>160</v>
      </c>
      <c r="X1628" s="63"/>
      <c r="Y1628" s="63">
        <v>0</v>
      </c>
      <c r="Z1628" s="63"/>
      <c r="AA1628" s="63"/>
      <c r="AB1628" s="63"/>
      <c r="AC1628" s="63"/>
      <c r="AD1628" s="63"/>
      <c r="AE1628" s="63">
        <v>0</v>
      </c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W1628" s="5">
        <f>IF(Q1628&gt;0,RANK(Q1628,(N1628:P1628,Q1628:AE1628)),0)</f>
        <v>3</v>
      </c>
      <c r="AX1628" s="5">
        <f>IF(R1628&gt;0,RANK(R1628,(N1628:P1628,Q1628:AE1628)),0)</f>
        <v>4</v>
      </c>
      <c r="AY1628" s="5">
        <f>IF(T1628&gt;0,RANK(T1628,(N1628:P1628,Q1628:AE1628)),0)</f>
        <v>8</v>
      </c>
      <c r="AZ1628" s="5">
        <f>IF(S1628&gt;0,RANK(S1628,(N1628:P1628,Q1628:AE1628)),0)</f>
        <v>6</v>
      </c>
      <c r="BA1628" s="2">
        <f t="shared" si="674"/>
        <v>4.0079089403088762E-2</v>
      </c>
      <c r="BB1628" s="2">
        <f t="shared" si="675"/>
        <v>1.0580879602415433E-2</v>
      </c>
      <c r="BC1628" s="2">
        <f t="shared" si="676"/>
        <v>5.3438785870785018E-5</v>
      </c>
      <c r="BD1628" s="2">
        <f t="shared" si="677"/>
        <v>5.0766846577245768E-3</v>
      </c>
      <c r="BF1628" t="s">
        <v>2171</v>
      </c>
      <c r="BG1628" t="s">
        <v>1213</v>
      </c>
      <c r="BH1628">
        <v>8</v>
      </c>
      <c r="BJ1628" s="114">
        <v>29</v>
      </c>
      <c r="BK1628" s="116">
        <v>161</v>
      </c>
      <c r="BL1628" s="120">
        <f t="shared" si="657"/>
        <v>29161</v>
      </c>
      <c r="BN1628" s="5" t="s">
        <v>3154</v>
      </c>
      <c r="BY1628" s="63">
        <f t="shared" si="678"/>
        <v>0</v>
      </c>
      <c r="BZ1628" s="132">
        <f>4766+12709+750+95+198+195</f>
        <v>18713</v>
      </c>
      <c r="CA1628" s="132">
        <v>195</v>
      </c>
      <c r="CB1628" s="132"/>
      <c r="CD1628" s="63">
        <v>0</v>
      </c>
    </row>
    <row r="1629" spans="1:82" hidden="1" outlineLevel="1">
      <c r="A1629" t="s">
        <v>2655</v>
      </c>
      <c r="B1629" t="s">
        <v>1213</v>
      </c>
      <c r="C1629" s="1">
        <f t="shared" si="669"/>
        <v>7428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7</v>
      </c>
      <c r="G1629" s="132">
        <f t="shared" si="667"/>
        <v>3468</v>
      </c>
      <c r="H1629" s="137">
        <f t="shared" si="668"/>
        <v>0.46688206785137321</v>
      </c>
      <c r="I1629" s="2"/>
      <c r="J1629" s="2">
        <f t="shared" si="670"/>
        <v>0.24313408723747981</v>
      </c>
      <c r="K1629" s="2">
        <f t="shared" si="671"/>
        <v>0.71001615508885296</v>
      </c>
      <c r="L1629" s="2">
        <f t="shared" si="672"/>
        <v>9.4238018309100702E-4</v>
      </c>
      <c r="M1629" s="2">
        <f t="shared" si="673"/>
        <v>4.5907377490576162E-2</v>
      </c>
      <c r="N1629" s="63">
        <v>1806</v>
      </c>
      <c r="O1629" s="63">
        <v>5274</v>
      </c>
      <c r="P1629" s="63">
        <v>7</v>
      </c>
      <c r="Q1629" s="63">
        <v>208</v>
      </c>
      <c r="R1629" s="63">
        <v>50</v>
      </c>
      <c r="S1629" s="63">
        <v>37</v>
      </c>
      <c r="T1629" s="63">
        <v>0</v>
      </c>
      <c r="U1629" s="63"/>
      <c r="V1629" s="63"/>
      <c r="W1629" s="63">
        <f>IF(Copyright!B$11=1,IF(CA1629&gt;0,CA1629-P1629-SUM(T1629:V1629)-SUM(X1629:AC1629)-SUM(AE1629:AM1629)-SUM(AN1629:AQ1629),SUM(CD1629:CF1629)),SUM(CD1629:CF1629))</f>
        <v>46</v>
      </c>
      <c r="X1629" s="63"/>
      <c r="Y1629" s="63">
        <v>0</v>
      </c>
      <c r="Z1629" s="63"/>
      <c r="AA1629" s="63"/>
      <c r="AB1629" s="63"/>
      <c r="AC1629" s="63"/>
      <c r="AD1629" s="63"/>
      <c r="AE1629" s="63">
        <v>0</v>
      </c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W1629" s="5">
        <f>IF(Q1629&gt;0,RANK(Q1629,(N1629:P1629,Q1629:AE1629)),0)</f>
        <v>3</v>
      </c>
      <c r="AX1629" s="5">
        <f>IF(R1629&gt;0,RANK(R1629,(N1629:P1629,Q1629:AE1629)),0)</f>
        <v>4</v>
      </c>
      <c r="AY1629" s="5">
        <f>IF(T1629&gt;0,RANK(T1629,(N1629:P1629,Q1629:AE1629)),0)</f>
        <v>0</v>
      </c>
      <c r="AZ1629" s="5">
        <f>IF(S1629&gt;0,RANK(S1629,(N1629:P1629,Q1629:AE1629)),0)</f>
        <v>6</v>
      </c>
      <c r="BA1629" s="2">
        <f t="shared" si="674"/>
        <v>2.8002154011847066E-2</v>
      </c>
      <c r="BB1629" s="2">
        <f t="shared" si="675"/>
        <v>6.7312870220786218E-3</v>
      </c>
      <c r="BC1629" s="2">
        <f t="shared" si="676"/>
        <v>0</v>
      </c>
      <c r="BD1629" s="2">
        <f t="shared" si="677"/>
        <v>4.9811523963381801E-3</v>
      </c>
      <c r="BF1629" t="s">
        <v>2655</v>
      </c>
      <c r="BG1629" t="s">
        <v>1213</v>
      </c>
      <c r="BH1629">
        <v>6</v>
      </c>
      <c r="BJ1629" s="114">
        <v>29</v>
      </c>
      <c r="BK1629" s="116">
        <v>163</v>
      </c>
      <c r="BL1629" s="120">
        <f t="shared" si="657"/>
        <v>29163</v>
      </c>
      <c r="BN1629" s="5" t="s">
        <v>3154</v>
      </c>
      <c r="BY1629" s="63">
        <f t="shared" si="678"/>
        <v>0</v>
      </c>
      <c r="BZ1629" s="63">
        <v>7428</v>
      </c>
      <c r="CA1629" s="63">
        <f>46+7</f>
        <v>53</v>
      </c>
      <c r="CB1629" s="132"/>
      <c r="CD1629" s="63">
        <v>0</v>
      </c>
    </row>
    <row r="1630" spans="1:82" hidden="1" outlineLevel="1">
      <c r="A1630" t="s">
        <v>1679</v>
      </c>
      <c r="B1630" t="s">
        <v>1213</v>
      </c>
      <c r="C1630" s="1">
        <f t="shared" si="669"/>
        <v>49608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7</v>
      </c>
      <c r="G1630" s="132">
        <f t="shared" si="667"/>
        <v>5876</v>
      </c>
      <c r="H1630" s="137">
        <f t="shared" si="668"/>
        <v>0.11844863731656184</v>
      </c>
      <c r="I1630" s="2"/>
      <c r="J1630" s="2">
        <f t="shared" si="670"/>
        <v>0.40430978874375101</v>
      </c>
      <c r="K1630" s="2">
        <f t="shared" si="671"/>
        <v>0.52275842606031286</v>
      </c>
      <c r="L1630" s="2">
        <f t="shared" si="672"/>
        <v>3.9912917271407835E-3</v>
      </c>
      <c r="M1630" s="2">
        <f t="shared" si="673"/>
        <v>6.8940493468795341E-2</v>
      </c>
      <c r="N1630" s="63">
        <v>20057</v>
      </c>
      <c r="O1630" s="63">
        <v>25933</v>
      </c>
      <c r="P1630" s="63">
        <v>198</v>
      </c>
      <c r="Q1630" s="63">
        <v>2271</v>
      </c>
      <c r="R1630" s="63">
        <v>426</v>
      </c>
      <c r="S1630" s="63">
        <v>215</v>
      </c>
      <c r="T1630" s="63">
        <v>0</v>
      </c>
      <c r="U1630" s="63"/>
      <c r="V1630" s="63"/>
      <c r="W1630" s="63">
        <f>IF(Copyright!B$11=1,IF(CA1630&gt;0,CA1630-P1630-SUM(T1630:V1630)-SUM(X1630:AC1630)-SUM(AE1630:AM1630)-SUM(AN1630:AQ1630),SUM(CD1630:CF1630)),SUM(CD1630:CF1630))</f>
        <v>508</v>
      </c>
      <c r="X1630" s="63"/>
      <c r="Y1630" s="63">
        <v>0</v>
      </c>
      <c r="Z1630" s="63"/>
      <c r="AA1630" s="63"/>
      <c r="AB1630" s="63"/>
      <c r="AC1630" s="63"/>
      <c r="AD1630" s="63"/>
      <c r="AE1630" s="63">
        <v>0</v>
      </c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W1630" s="5">
        <f>IF(Q1630&gt;0,RANK(Q1630,(N1630:P1630,Q1630:AE1630)),0)</f>
        <v>3</v>
      </c>
      <c r="AX1630" s="5">
        <f>IF(R1630&gt;0,RANK(R1630,(N1630:P1630,Q1630:AE1630)),0)</f>
        <v>5</v>
      </c>
      <c r="AY1630" s="5">
        <f>IF(T1630&gt;0,RANK(T1630,(N1630:P1630,Q1630:AE1630)),0)</f>
        <v>0</v>
      </c>
      <c r="AZ1630" s="5">
        <f>IF(S1630&gt;0,RANK(S1630,(N1630:P1630,Q1630:AE1630)),0)</f>
        <v>6</v>
      </c>
      <c r="BA1630" s="2">
        <f t="shared" si="674"/>
        <v>4.5778906627963231E-2</v>
      </c>
      <c r="BB1630" s="2">
        <f t="shared" si="675"/>
        <v>8.5873246250604742E-3</v>
      </c>
      <c r="BC1630" s="2">
        <f t="shared" si="676"/>
        <v>0</v>
      </c>
      <c r="BD1630" s="2">
        <f t="shared" si="677"/>
        <v>4.3339783905821643E-3</v>
      </c>
      <c r="BF1630" t="s">
        <v>1679</v>
      </c>
      <c r="BG1630" t="s">
        <v>1213</v>
      </c>
      <c r="BH1630">
        <v>6</v>
      </c>
      <c r="BJ1630" s="114">
        <v>29</v>
      </c>
      <c r="BK1630" s="116">
        <v>165</v>
      </c>
      <c r="BL1630" s="120">
        <f t="shared" si="657"/>
        <v>29165</v>
      </c>
      <c r="BN1630" s="5" t="s">
        <v>3154</v>
      </c>
      <c r="BY1630" s="63">
        <f t="shared" si="678"/>
        <v>0</v>
      </c>
      <c r="BZ1630" s="63">
        <v>49608</v>
      </c>
      <c r="CA1630" s="63">
        <v>706</v>
      </c>
      <c r="CB1630" s="132"/>
      <c r="CD1630" s="63">
        <v>0</v>
      </c>
    </row>
    <row r="1631" spans="1:82" hidden="1" outlineLevel="1">
      <c r="A1631" t="s">
        <v>879</v>
      </c>
      <c r="B1631" t="s">
        <v>1213</v>
      </c>
      <c r="C1631" s="1">
        <f t="shared" si="669"/>
        <v>13763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6</v>
      </c>
      <c r="G1631" s="132">
        <f t="shared" si="667"/>
        <v>7807</v>
      </c>
      <c r="H1631" s="137">
        <f t="shared" si="668"/>
        <v>0.56724551333284889</v>
      </c>
      <c r="I1631" s="2"/>
      <c r="J1631" s="2">
        <f t="shared" si="670"/>
        <v>0.19116471699484125</v>
      </c>
      <c r="K1631" s="2">
        <f t="shared" si="671"/>
        <v>0.75841023032769017</v>
      </c>
      <c r="L1631" s="2">
        <f t="shared" si="672"/>
        <v>3.6329288672527793E-3</v>
      </c>
      <c r="M1631" s="2">
        <f t="shared" si="673"/>
        <v>4.6792123810215774E-2</v>
      </c>
      <c r="N1631" s="63">
        <v>2631</v>
      </c>
      <c r="O1631" s="63">
        <v>10438</v>
      </c>
      <c r="P1631" s="63">
        <v>50</v>
      </c>
      <c r="Q1631" s="63">
        <v>479</v>
      </c>
      <c r="R1631" s="63">
        <v>77</v>
      </c>
      <c r="S1631" s="63">
        <v>88</v>
      </c>
      <c r="T1631" s="63">
        <v>0</v>
      </c>
      <c r="U1631" s="63"/>
      <c r="V1631" s="63"/>
      <c r="W1631" s="63">
        <f>IF(Copyright!B$11=1,IF(CA1631&gt;0,CA1631-P1631-SUM(T1631:V1631)-SUM(X1631:AC1631)-SUM(AE1631:AM1631)-SUM(AN1631:AQ1631),SUM(CD1631:CF1631)),SUM(CD1631:CF1631))</f>
        <v>0</v>
      </c>
      <c r="X1631" s="63"/>
      <c r="Y1631" s="63">
        <v>0</v>
      </c>
      <c r="Z1631" s="63"/>
      <c r="AA1631" s="63"/>
      <c r="AB1631" s="63"/>
      <c r="AC1631" s="63"/>
      <c r="AD1631" s="63"/>
      <c r="AE1631" s="63">
        <v>0</v>
      </c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W1631" s="5">
        <f>IF(Q1631&gt;0,RANK(Q1631,(N1631:P1631,Q1631:AE1631)),0)</f>
        <v>3</v>
      </c>
      <c r="AX1631" s="5">
        <f>IF(R1631&gt;0,RANK(R1631,(N1631:P1631,Q1631:AE1631)),0)</f>
        <v>5</v>
      </c>
      <c r="AY1631" s="5">
        <f>IF(T1631&gt;0,RANK(T1631,(N1631:P1631,Q1631:AE1631)),0)</f>
        <v>0</v>
      </c>
      <c r="AZ1631" s="5">
        <f>IF(S1631&gt;0,RANK(S1631,(N1631:P1631,Q1631:AE1631)),0)</f>
        <v>4</v>
      </c>
      <c r="BA1631" s="2">
        <f t="shared" si="674"/>
        <v>3.4803458548281624E-2</v>
      </c>
      <c r="BB1631" s="2">
        <f t="shared" si="675"/>
        <v>5.5947104555692804E-3</v>
      </c>
      <c r="BC1631" s="2">
        <f t="shared" si="676"/>
        <v>0</v>
      </c>
      <c r="BD1631" s="2">
        <f t="shared" si="677"/>
        <v>6.393954806364891E-3</v>
      </c>
      <c r="BF1631" t="s">
        <v>879</v>
      </c>
      <c r="BG1631" t="s">
        <v>1213</v>
      </c>
      <c r="BH1631">
        <v>7</v>
      </c>
      <c r="BJ1631" s="114">
        <v>29</v>
      </c>
      <c r="BK1631" s="116">
        <v>167</v>
      </c>
      <c r="BL1631" s="120">
        <f t="shared" si="657"/>
        <v>29167</v>
      </c>
      <c r="BN1631" s="5" t="s">
        <v>3154</v>
      </c>
      <c r="BY1631" s="63">
        <f t="shared" si="678"/>
        <v>13763</v>
      </c>
      <c r="CB1631" s="132"/>
      <c r="CD1631" s="63">
        <v>0</v>
      </c>
    </row>
    <row r="1632" spans="1:82" hidden="1" outlineLevel="1">
      <c r="A1632" t="s">
        <v>2087</v>
      </c>
      <c r="B1632" t="s">
        <v>1213</v>
      </c>
      <c r="C1632" s="1">
        <f t="shared" si="669"/>
        <v>13582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7</v>
      </c>
      <c r="G1632" s="132">
        <f t="shared" si="667"/>
        <v>6954</v>
      </c>
      <c r="H1632" s="137">
        <f t="shared" si="668"/>
        <v>0.51200117802974521</v>
      </c>
      <c r="I1632" s="2"/>
      <c r="J1632" s="2">
        <f t="shared" si="670"/>
        <v>0.21513768222647622</v>
      </c>
      <c r="K1632" s="2">
        <f t="shared" si="671"/>
        <v>0.72713886025622143</v>
      </c>
      <c r="L1632" s="2">
        <f t="shared" si="672"/>
        <v>1.840671476954793E-3</v>
      </c>
      <c r="M1632" s="2">
        <f t="shared" si="673"/>
        <v>5.5882786040347555E-2</v>
      </c>
      <c r="N1632" s="63">
        <v>2922</v>
      </c>
      <c r="O1632" s="63">
        <v>9876</v>
      </c>
      <c r="P1632" s="63">
        <v>25</v>
      </c>
      <c r="Q1632" s="63">
        <v>485</v>
      </c>
      <c r="R1632" s="63">
        <v>106</v>
      </c>
      <c r="S1632" s="63">
        <v>72</v>
      </c>
      <c r="T1632" s="63">
        <v>0</v>
      </c>
      <c r="U1632" s="63"/>
      <c r="V1632" s="63"/>
      <c r="W1632" s="63">
        <f>IF(Copyright!B$11=1,IF(CA1632&gt;0,CA1632-P1632-SUM(T1632:V1632)-SUM(X1632:AC1632)-SUM(AE1632:AM1632)-SUM(AN1632:AQ1632),SUM(CD1632:CF1632)),SUM(CD1632:CF1632))</f>
        <v>94</v>
      </c>
      <c r="X1632" s="63"/>
      <c r="Y1632" s="63">
        <v>2</v>
      </c>
      <c r="Z1632" s="63"/>
      <c r="AA1632" s="63"/>
      <c r="AB1632" s="63"/>
      <c r="AC1632" s="63"/>
      <c r="AD1632" s="63"/>
      <c r="AE1632" s="63">
        <v>0</v>
      </c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W1632" s="5">
        <f>IF(Q1632&gt;0,RANK(Q1632,(N1632:P1632,Q1632:AE1632)),0)</f>
        <v>3</v>
      </c>
      <c r="AX1632" s="5">
        <f>IF(R1632&gt;0,RANK(R1632,(N1632:P1632,Q1632:AE1632)),0)</f>
        <v>4</v>
      </c>
      <c r="AY1632" s="5">
        <f>IF(T1632&gt;0,RANK(T1632,(N1632:P1632,Q1632:AE1632)),0)</f>
        <v>0</v>
      </c>
      <c r="AZ1632" s="5">
        <f>IF(S1632&gt;0,RANK(S1632,(N1632:P1632,Q1632:AE1632)),0)</f>
        <v>6</v>
      </c>
      <c r="BA1632" s="2">
        <f t="shared" si="674"/>
        <v>3.5709026652922984E-2</v>
      </c>
      <c r="BB1632" s="2">
        <f t="shared" si="675"/>
        <v>7.8044470622883229E-3</v>
      </c>
      <c r="BC1632" s="2">
        <f t="shared" si="676"/>
        <v>0</v>
      </c>
      <c r="BD1632" s="2">
        <f t="shared" si="677"/>
        <v>5.3011338536298044E-3</v>
      </c>
      <c r="BF1632" t="s">
        <v>2087</v>
      </c>
      <c r="BG1632" t="s">
        <v>1213</v>
      </c>
      <c r="BH1632">
        <v>4</v>
      </c>
      <c r="BJ1632" s="114">
        <v>29</v>
      </c>
      <c r="BK1632" s="116">
        <v>169</v>
      </c>
      <c r="BL1632" s="120">
        <f t="shared" si="657"/>
        <v>29169</v>
      </c>
      <c r="BN1632" s="5" t="s">
        <v>3154</v>
      </c>
      <c r="BY1632" s="63">
        <f t="shared" si="678"/>
        <v>18</v>
      </c>
      <c r="BZ1632" s="133">
        <v>13564</v>
      </c>
      <c r="CA1632" s="133">
        <v>121</v>
      </c>
      <c r="CB1632" s="132"/>
      <c r="CD1632" s="63">
        <v>0</v>
      </c>
    </row>
    <row r="1633" spans="1:82" hidden="1" outlineLevel="1">
      <c r="A1633" t="s">
        <v>955</v>
      </c>
      <c r="B1633" t="s">
        <v>1213</v>
      </c>
      <c r="C1633" s="1">
        <f t="shared" si="669"/>
        <v>2346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6</v>
      </c>
      <c r="G1633" s="132">
        <f t="shared" si="667"/>
        <v>1583</v>
      </c>
      <c r="H1633" s="137">
        <f t="shared" si="668"/>
        <v>0.67476555839727193</v>
      </c>
      <c r="I1633" s="2"/>
      <c r="J1633" s="2">
        <f t="shared" si="670"/>
        <v>0.15046888320545609</v>
      </c>
      <c r="K1633" s="2">
        <f t="shared" si="671"/>
        <v>0.82523444160272807</v>
      </c>
      <c r="L1633" s="2">
        <f t="shared" si="672"/>
        <v>1.2787723785166241E-3</v>
      </c>
      <c r="M1633" s="2">
        <f t="shared" si="673"/>
        <v>2.301790281329915E-2</v>
      </c>
      <c r="N1633" s="63">
        <v>353</v>
      </c>
      <c r="O1633" s="63">
        <v>1936</v>
      </c>
      <c r="P1633" s="63">
        <v>3</v>
      </c>
      <c r="Q1633" s="63">
        <v>36</v>
      </c>
      <c r="R1633" s="63">
        <v>13</v>
      </c>
      <c r="S1633" s="63">
        <v>5</v>
      </c>
      <c r="T1633" s="63">
        <v>0</v>
      </c>
      <c r="U1633" s="63"/>
      <c r="V1633" s="63"/>
      <c r="W1633" s="63">
        <f>IF(Copyright!B$11=1,IF(CA1633&gt;0,CA1633-P1633-SUM(T1633:V1633)-SUM(X1633:AC1633)-SUM(AE1633:AM1633)-SUM(AN1633:AQ1633),SUM(CD1633:CF1633)),SUM(CD1633:CF1633))</f>
        <v>0</v>
      </c>
      <c r="X1633" s="63"/>
      <c r="Y1633" s="63">
        <v>0</v>
      </c>
      <c r="Z1633" s="63"/>
      <c r="AA1633" s="63"/>
      <c r="AB1633" s="63"/>
      <c r="AC1633" s="63"/>
      <c r="AD1633" s="63"/>
      <c r="AE1633" s="63">
        <v>0</v>
      </c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W1633" s="5">
        <f>IF(Q1633&gt;0,RANK(Q1633,(N1633:P1633,Q1633:AE1633)),0)</f>
        <v>3</v>
      </c>
      <c r="AX1633" s="5">
        <f>IF(R1633&gt;0,RANK(R1633,(N1633:P1633,Q1633:AE1633)),0)</f>
        <v>4</v>
      </c>
      <c r="AY1633" s="5">
        <f>IF(T1633&gt;0,RANK(T1633,(N1633:P1633,Q1633:AE1633)),0)</f>
        <v>0</v>
      </c>
      <c r="AZ1633" s="5">
        <f>IF(S1633&gt;0,RANK(S1633,(N1633:P1633,Q1633:AE1633)),0)</f>
        <v>5</v>
      </c>
      <c r="BA1633" s="2">
        <f t="shared" si="674"/>
        <v>1.5345268542199489E-2</v>
      </c>
      <c r="BB1633" s="2">
        <f t="shared" si="675"/>
        <v>5.5413469735720372E-3</v>
      </c>
      <c r="BC1633" s="2">
        <f t="shared" si="676"/>
        <v>0</v>
      </c>
      <c r="BD1633" s="2">
        <f t="shared" si="677"/>
        <v>2.1312872975277068E-3</v>
      </c>
      <c r="BF1633" t="s">
        <v>955</v>
      </c>
      <c r="BG1633" t="s">
        <v>1213</v>
      </c>
      <c r="BH1633">
        <v>6</v>
      </c>
      <c r="BJ1633" s="114">
        <v>29</v>
      </c>
      <c r="BK1633" s="116">
        <v>171</v>
      </c>
      <c r="BL1633" s="120">
        <f t="shared" si="657"/>
        <v>29171</v>
      </c>
      <c r="BN1633" s="5" t="s">
        <v>3154</v>
      </c>
      <c r="BY1633" s="63">
        <f t="shared" si="678"/>
        <v>2346</v>
      </c>
      <c r="CB1633" s="132"/>
      <c r="CD1633" s="63">
        <v>0</v>
      </c>
    </row>
    <row r="1634" spans="1:82" hidden="1" outlineLevel="1">
      <c r="A1634" t="s">
        <v>1529</v>
      </c>
      <c r="B1634" t="s">
        <v>1213</v>
      </c>
      <c r="C1634" s="1">
        <f t="shared" si="669"/>
        <v>5294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32">
        <f t="shared" si="667"/>
        <v>2831</v>
      </c>
      <c r="H1634" s="137">
        <f t="shared" si="668"/>
        <v>0.53475632791839822</v>
      </c>
      <c r="I1634" s="2"/>
      <c r="J1634" s="2">
        <f t="shared" si="670"/>
        <v>0.21496033245183227</v>
      </c>
      <c r="K1634" s="2">
        <f t="shared" si="671"/>
        <v>0.74971666037023044</v>
      </c>
      <c r="L1634" s="2">
        <f t="shared" si="672"/>
        <v>0</v>
      </c>
      <c r="M1634" s="2">
        <f t="shared" si="673"/>
        <v>3.5323007177937238E-2</v>
      </c>
      <c r="N1634" s="63">
        <v>1138</v>
      </c>
      <c r="O1634" s="63">
        <v>3969</v>
      </c>
      <c r="P1634" s="63">
        <v>0</v>
      </c>
      <c r="Q1634" s="63">
        <v>120</v>
      </c>
      <c r="R1634" s="63">
        <v>17</v>
      </c>
      <c r="S1634" s="63">
        <v>22</v>
      </c>
      <c r="T1634" s="63">
        <v>0</v>
      </c>
      <c r="U1634" s="63"/>
      <c r="V1634" s="63"/>
      <c r="W1634" s="63">
        <f>IF(Copyright!B$11=1,IF(CA1634&gt;0,CA1634-P1634-SUM(T1634:V1634)-SUM(X1634:AC1634)-SUM(AE1634:AM1634)-SUM(AN1634:AQ1634),SUM(CD1634:CF1634)),SUM(CD1634:CF1634))</f>
        <v>28</v>
      </c>
      <c r="X1634" s="63"/>
      <c r="Y1634" s="63">
        <v>0</v>
      </c>
      <c r="Z1634" s="63"/>
      <c r="AA1634" s="63"/>
      <c r="AB1634" s="63"/>
      <c r="AC1634" s="63"/>
      <c r="AD1634" s="63"/>
      <c r="AE1634" s="63">
        <v>0</v>
      </c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W1634" s="5">
        <f>IF(Q1634&gt;0,RANK(Q1634,(N1634:P1634,Q1634:AE1634)),0)</f>
        <v>3</v>
      </c>
      <c r="AX1634" s="5">
        <f>IF(R1634&gt;0,RANK(R1634,(N1634:P1634,Q1634:AE1634)),0)</f>
        <v>6</v>
      </c>
      <c r="AY1634" s="5">
        <f>IF(T1634&gt;0,RANK(T1634,(N1634:P1634,Q1634:AE1634)),0)</f>
        <v>0</v>
      </c>
      <c r="AZ1634" s="5">
        <f>IF(S1634&gt;0,RANK(S1634,(N1634:P1634,Q1634:AE1634)),0)</f>
        <v>5</v>
      </c>
      <c r="BA1634" s="2">
        <f t="shared" si="674"/>
        <v>2.2667170381564034E-2</v>
      </c>
      <c r="BB1634" s="2">
        <f t="shared" si="675"/>
        <v>3.2111824707215715E-3</v>
      </c>
      <c r="BC1634" s="2">
        <f t="shared" si="676"/>
        <v>0</v>
      </c>
      <c r="BD1634" s="2">
        <f t="shared" si="677"/>
        <v>4.1556479032867398E-3</v>
      </c>
      <c r="BF1634" t="s">
        <v>1529</v>
      </c>
      <c r="BG1634" t="s">
        <v>1213</v>
      </c>
      <c r="BH1634">
        <v>6</v>
      </c>
      <c r="BJ1634" s="114">
        <v>29</v>
      </c>
      <c r="BK1634" s="116">
        <v>173</v>
      </c>
      <c r="BL1634" s="120">
        <f t="shared" si="657"/>
        <v>29173</v>
      </c>
      <c r="BN1634" s="5" t="s">
        <v>3154</v>
      </c>
      <c r="BY1634" s="63">
        <f t="shared" si="678"/>
        <v>0</v>
      </c>
      <c r="BZ1634" s="133">
        <v>5294</v>
      </c>
      <c r="CA1634" s="133">
        <v>28</v>
      </c>
      <c r="CB1634" s="132"/>
      <c r="CD1634" s="63">
        <v>0</v>
      </c>
    </row>
    <row r="1635" spans="1:82" hidden="1" outlineLevel="1">
      <c r="A1635" t="s">
        <v>1460</v>
      </c>
      <c r="B1635" t="s">
        <v>1213</v>
      </c>
      <c r="C1635" s="1">
        <f t="shared" si="669"/>
        <v>10408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32">
        <f t="shared" si="667"/>
        <v>5246</v>
      </c>
      <c r="H1635" s="137">
        <f t="shared" si="668"/>
        <v>0.50403535741737127</v>
      </c>
      <c r="I1635" s="2"/>
      <c r="J1635" s="2">
        <f t="shared" si="670"/>
        <v>0.21935049961568023</v>
      </c>
      <c r="K1635" s="2">
        <f t="shared" si="671"/>
        <v>0.72338585703305147</v>
      </c>
      <c r="L1635" s="2">
        <f t="shared" si="672"/>
        <v>0</v>
      </c>
      <c r="M1635" s="2">
        <f t="shared" si="673"/>
        <v>5.7263643351268323E-2</v>
      </c>
      <c r="N1635" s="63">
        <v>2283</v>
      </c>
      <c r="O1635" s="63">
        <v>7529</v>
      </c>
      <c r="P1635" s="63">
        <v>0</v>
      </c>
      <c r="Q1635" s="63">
        <v>392</v>
      </c>
      <c r="R1635" s="63">
        <v>60</v>
      </c>
      <c r="S1635" s="63">
        <v>45</v>
      </c>
      <c r="T1635" s="63">
        <v>0</v>
      </c>
      <c r="U1635" s="63"/>
      <c r="V1635" s="63"/>
      <c r="W1635" s="63">
        <f>IF(Copyright!B$11=1,IF(CA1635&gt;0,CA1635-P1635-SUM(T1635:V1635)-SUM(X1635:AC1635)-SUM(AE1635:AM1635)-SUM(AN1635:AQ1635),SUM(CD1635:CF1635)),SUM(CD1635:CF1635))</f>
        <v>99</v>
      </c>
      <c r="X1635" s="63"/>
      <c r="Y1635" s="63">
        <v>0</v>
      </c>
      <c r="Z1635" s="63"/>
      <c r="AA1635" s="63"/>
      <c r="AB1635" s="63"/>
      <c r="AC1635" s="63"/>
      <c r="AD1635" s="63"/>
      <c r="AE1635" s="63">
        <v>0</v>
      </c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W1635" s="5">
        <f>IF(Q1635&gt;0,RANK(Q1635,(N1635:P1635,Q1635:AE1635)),0)</f>
        <v>3</v>
      </c>
      <c r="AX1635" s="5">
        <f>IF(R1635&gt;0,RANK(R1635,(N1635:P1635,Q1635:AE1635)),0)</f>
        <v>5</v>
      </c>
      <c r="AY1635" s="5">
        <f>IF(T1635&gt;0,RANK(T1635,(N1635:P1635,Q1635:AE1635)),0)</f>
        <v>0</v>
      </c>
      <c r="AZ1635" s="5">
        <f>IF(S1635&gt;0,RANK(S1635,(N1635:P1635,Q1635:AE1635)),0)</f>
        <v>6</v>
      </c>
      <c r="BA1635" s="2">
        <f t="shared" si="674"/>
        <v>3.7663335895465028E-2</v>
      </c>
      <c r="BB1635" s="2">
        <f t="shared" si="675"/>
        <v>5.764796310530361E-3</v>
      </c>
      <c r="BC1635" s="2">
        <f t="shared" si="676"/>
        <v>0</v>
      </c>
      <c r="BD1635" s="2">
        <f t="shared" si="677"/>
        <v>4.3235972328977707E-3</v>
      </c>
      <c r="BF1635" t="s">
        <v>1460</v>
      </c>
      <c r="BG1635" t="s">
        <v>1213</v>
      </c>
      <c r="BH1635">
        <v>4</v>
      </c>
      <c r="BJ1635" s="114">
        <v>29</v>
      </c>
      <c r="BK1635" s="116">
        <v>175</v>
      </c>
      <c r="BL1635" s="120">
        <f t="shared" si="657"/>
        <v>29175</v>
      </c>
      <c r="BN1635" s="5" t="s">
        <v>3154</v>
      </c>
      <c r="BY1635" s="63">
        <f t="shared" si="678"/>
        <v>0</v>
      </c>
      <c r="BZ1635" s="63">
        <f>2283+7529+392+45+60+99</f>
        <v>10408</v>
      </c>
      <c r="CA1635" s="63">
        <v>99</v>
      </c>
      <c r="CB1635" s="132"/>
      <c r="CD1635" s="63">
        <v>0</v>
      </c>
    </row>
    <row r="1636" spans="1:82" hidden="1" outlineLevel="1">
      <c r="A1636" t="s">
        <v>2938</v>
      </c>
      <c r="B1636" t="s">
        <v>1213</v>
      </c>
      <c r="C1636" s="1">
        <f t="shared" si="669"/>
        <v>10945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7</v>
      </c>
      <c r="G1636" s="132">
        <f t="shared" si="667"/>
        <v>4014</v>
      </c>
      <c r="H1636" s="137">
        <f t="shared" si="668"/>
        <v>0.36674280493375971</v>
      </c>
      <c r="I1636" s="2"/>
      <c r="J1636" s="2">
        <f t="shared" si="670"/>
        <v>0.28232069438099588</v>
      </c>
      <c r="K1636" s="2">
        <f t="shared" si="671"/>
        <v>0.6490634993147556</v>
      </c>
      <c r="L1636" s="2">
        <f t="shared" si="672"/>
        <v>2.7409776153494748E-3</v>
      </c>
      <c r="M1636" s="2">
        <f t="shared" si="673"/>
        <v>6.587482868889899E-2</v>
      </c>
      <c r="N1636" s="63">
        <v>3090</v>
      </c>
      <c r="O1636" s="63">
        <v>7104</v>
      </c>
      <c r="P1636" s="63">
        <v>30</v>
      </c>
      <c r="Q1636" s="63">
        <v>509</v>
      </c>
      <c r="R1636" s="63">
        <v>61</v>
      </c>
      <c r="S1636" s="63">
        <v>75</v>
      </c>
      <c r="T1636" s="63">
        <v>0</v>
      </c>
      <c r="U1636" s="63"/>
      <c r="V1636" s="63"/>
      <c r="W1636" s="63">
        <f>IF(Copyright!B$11=1,IF(CA1636&gt;0,CA1636-P1636-SUM(T1636:V1636)-SUM(X1636:AC1636)-SUM(AE1636:AM1636)-SUM(AN1636:AQ1636),SUM(CD1636:CF1636)),SUM(CD1636:CF1636))</f>
        <v>76</v>
      </c>
      <c r="X1636" s="63"/>
      <c r="Y1636" s="63">
        <v>0</v>
      </c>
      <c r="Z1636" s="63"/>
      <c r="AA1636" s="63"/>
      <c r="AB1636" s="63"/>
      <c r="AC1636" s="63"/>
      <c r="AD1636" s="63"/>
      <c r="AE1636" s="63">
        <v>0</v>
      </c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W1636" s="5">
        <f>IF(Q1636&gt;0,RANK(Q1636,(N1636:P1636,Q1636:AE1636)),0)</f>
        <v>3</v>
      </c>
      <c r="AX1636" s="5">
        <f>IF(R1636&gt;0,RANK(R1636,(N1636:P1636,Q1636:AE1636)),0)</f>
        <v>6</v>
      </c>
      <c r="AY1636" s="5">
        <f>IF(T1636&gt;0,RANK(T1636,(N1636:P1636,Q1636:AE1636)),0)</f>
        <v>0</v>
      </c>
      <c r="AZ1636" s="5">
        <f>IF(S1636&gt;0,RANK(S1636,(N1636:P1636,Q1636:AE1636)),0)</f>
        <v>5</v>
      </c>
      <c r="BA1636" s="2">
        <f t="shared" si="674"/>
        <v>4.650525354042942E-2</v>
      </c>
      <c r="BB1636" s="2">
        <f t="shared" si="675"/>
        <v>5.5733211512105987E-3</v>
      </c>
      <c r="BC1636" s="2">
        <f t="shared" si="676"/>
        <v>0</v>
      </c>
      <c r="BD1636" s="2">
        <f t="shared" si="677"/>
        <v>6.8524440383736862E-3</v>
      </c>
      <c r="BF1636" t="s">
        <v>2938</v>
      </c>
      <c r="BG1636" t="s">
        <v>1213</v>
      </c>
      <c r="BH1636">
        <v>5</v>
      </c>
      <c r="BJ1636" s="114">
        <v>29</v>
      </c>
      <c r="BK1636" s="116">
        <v>177</v>
      </c>
      <c r="BL1636" s="120">
        <f t="shared" si="657"/>
        <v>29177</v>
      </c>
      <c r="BN1636" s="5" t="s">
        <v>3154</v>
      </c>
      <c r="BY1636" s="63">
        <f t="shared" si="678"/>
        <v>4</v>
      </c>
      <c r="BZ1636" s="133">
        <v>10941</v>
      </c>
      <c r="CA1636" s="133">
        <v>106</v>
      </c>
      <c r="CB1636" s="132"/>
      <c r="CD1636" s="63">
        <v>0</v>
      </c>
    </row>
    <row r="1637" spans="1:82" hidden="1" outlineLevel="1">
      <c r="A1637" t="s">
        <v>1350</v>
      </c>
      <c r="B1637" t="s">
        <v>1213</v>
      </c>
      <c r="C1637" s="1">
        <f t="shared" si="669"/>
        <v>3038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6</v>
      </c>
      <c r="G1637" s="132">
        <f t="shared" si="667"/>
        <v>1866</v>
      </c>
      <c r="H1637" s="137">
        <f t="shared" si="668"/>
        <v>0.6142198815009875</v>
      </c>
      <c r="I1637" s="2"/>
      <c r="J1637" s="2">
        <f t="shared" si="670"/>
        <v>0.17774851876234365</v>
      </c>
      <c r="K1637" s="2">
        <f t="shared" si="671"/>
        <v>0.79196840026333115</v>
      </c>
      <c r="L1637" s="2">
        <f t="shared" si="672"/>
        <v>3.291639236339697E-4</v>
      </c>
      <c r="M1637" s="2">
        <f t="shared" si="673"/>
        <v>2.9953917050691226E-2</v>
      </c>
      <c r="N1637" s="63">
        <v>540</v>
      </c>
      <c r="O1637" s="63">
        <v>2406</v>
      </c>
      <c r="P1637" s="63">
        <v>1</v>
      </c>
      <c r="Q1637" s="63">
        <v>62</v>
      </c>
      <c r="R1637" s="63">
        <v>21</v>
      </c>
      <c r="S1637" s="63">
        <v>8</v>
      </c>
      <c r="T1637" s="63">
        <v>0</v>
      </c>
      <c r="U1637" s="63"/>
      <c r="V1637" s="63"/>
      <c r="W1637" s="63">
        <f>IF(Copyright!B$11=1,IF(CA1637&gt;0,CA1637-P1637-SUM(T1637:V1637)-SUM(X1637:AC1637)-SUM(AE1637:AM1637)-SUM(AN1637:AQ1637),SUM(CD1637:CF1637)),SUM(CD1637:CF1637))</f>
        <v>0</v>
      </c>
      <c r="X1637" s="63"/>
      <c r="Y1637" s="63">
        <v>0</v>
      </c>
      <c r="Z1637" s="63"/>
      <c r="AA1637" s="63"/>
      <c r="AB1637" s="63"/>
      <c r="AC1637" s="63"/>
      <c r="AD1637" s="63"/>
      <c r="AE1637" s="63">
        <v>0</v>
      </c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W1637" s="5">
        <f>IF(Q1637&gt;0,RANK(Q1637,(N1637:P1637,Q1637:AE1637)),0)</f>
        <v>3</v>
      </c>
      <c r="AX1637" s="5">
        <f>IF(R1637&gt;0,RANK(R1637,(N1637:P1637,Q1637:AE1637)),0)</f>
        <v>4</v>
      </c>
      <c r="AY1637" s="5">
        <f>IF(T1637&gt;0,RANK(T1637,(N1637:P1637,Q1637:AE1637)),0)</f>
        <v>0</v>
      </c>
      <c r="AZ1637" s="5">
        <f>IF(S1637&gt;0,RANK(S1637,(N1637:P1637,Q1637:AE1637)),0)</f>
        <v>5</v>
      </c>
      <c r="BA1637" s="2">
        <f t="shared" si="674"/>
        <v>2.0408163265306121E-2</v>
      </c>
      <c r="BB1637" s="2">
        <f t="shared" si="675"/>
        <v>6.9124423963133645E-3</v>
      </c>
      <c r="BC1637" s="2">
        <f t="shared" si="676"/>
        <v>0</v>
      </c>
      <c r="BD1637" s="2">
        <f t="shared" si="677"/>
        <v>2.6333113890717576E-3</v>
      </c>
      <c r="BF1637" t="s">
        <v>1350</v>
      </c>
      <c r="BG1637" t="s">
        <v>1213</v>
      </c>
      <c r="BH1637">
        <v>8</v>
      </c>
      <c r="BJ1637" s="114">
        <v>29</v>
      </c>
      <c r="BK1637" s="116">
        <v>179</v>
      </c>
      <c r="BL1637" s="120">
        <f t="shared" si="657"/>
        <v>29179</v>
      </c>
      <c r="BN1637" s="5" t="s">
        <v>3154</v>
      </c>
      <c r="BY1637" s="63">
        <f t="shared" si="678"/>
        <v>3038</v>
      </c>
      <c r="CB1637" s="132"/>
      <c r="CD1637" s="63">
        <v>0</v>
      </c>
    </row>
    <row r="1638" spans="1:82" hidden="1" outlineLevel="1">
      <c r="A1638" t="s">
        <v>3169</v>
      </c>
      <c r="B1638" t="s">
        <v>1213</v>
      </c>
      <c r="C1638" s="1">
        <f t="shared" si="669"/>
        <v>5524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6</v>
      </c>
      <c r="G1638" s="132">
        <f t="shared" si="667"/>
        <v>3692</v>
      </c>
      <c r="H1638" s="137">
        <f t="shared" si="668"/>
        <v>0.66835626357711808</v>
      </c>
      <c r="I1638" s="2"/>
      <c r="J1638" s="2">
        <f t="shared" si="670"/>
        <v>0.1502534395365677</v>
      </c>
      <c r="K1638" s="2">
        <f t="shared" si="671"/>
        <v>0.81860970311368575</v>
      </c>
      <c r="L1638" s="2">
        <f t="shared" si="672"/>
        <v>7.2411296162201298E-4</v>
      </c>
      <c r="M1638" s="2">
        <f t="shared" si="673"/>
        <v>3.0412744388124569E-2</v>
      </c>
      <c r="N1638" s="63">
        <v>830</v>
      </c>
      <c r="O1638" s="63">
        <v>4522</v>
      </c>
      <c r="P1638" s="63">
        <v>4</v>
      </c>
      <c r="Q1638" s="63">
        <v>115</v>
      </c>
      <c r="R1638" s="63">
        <v>35</v>
      </c>
      <c r="S1638" s="63">
        <v>18</v>
      </c>
      <c r="T1638" s="63">
        <v>0</v>
      </c>
      <c r="U1638" s="63"/>
      <c r="V1638" s="63"/>
      <c r="W1638" s="63">
        <f>IF(Copyright!B$11=1,IF(CA1638&gt;0,CA1638-P1638-SUM(T1638:V1638)-SUM(X1638:AC1638)-SUM(AE1638:AM1638)-SUM(AN1638:AQ1638),SUM(CD1638:CF1638)),SUM(CD1638:CF1638))</f>
        <v>0</v>
      </c>
      <c r="X1638" s="63"/>
      <c r="Y1638" s="63">
        <v>0</v>
      </c>
      <c r="Z1638" s="63"/>
      <c r="AA1638" s="63"/>
      <c r="AB1638" s="63"/>
      <c r="AC1638" s="63"/>
      <c r="AD1638" s="63"/>
      <c r="AE1638" s="63">
        <v>0</v>
      </c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W1638" s="5">
        <f>IF(Q1638&gt;0,RANK(Q1638,(N1638:P1638,Q1638:AE1638)),0)</f>
        <v>3</v>
      </c>
      <c r="AX1638" s="5">
        <f>IF(R1638&gt;0,RANK(R1638,(N1638:P1638,Q1638:AE1638)),0)</f>
        <v>4</v>
      </c>
      <c r="AY1638" s="5">
        <f>IF(T1638&gt;0,RANK(T1638,(N1638:P1638,Q1638:AE1638)),0)</f>
        <v>0</v>
      </c>
      <c r="AZ1638" s="5">
        <f>IF(S1638&gt;0,RANK(S1638,(N1638:P1638,Q1638:AE1638)),0)</f>
        <v>5</v>
      </c>
      <c r="BA1638" s="2">
        <f t="shared" si="674"/>
        <v>2.0818247646632874E-2</v>
      </c>
      <c r="BB1638" s="2">
        <f t="shared" si="675"/>
        <v>6.3359884141926141E-3</v>
      </c>
      <c r="BC1638" s="2">
        <f t="shared" si="676"/>
        <v>0</v>
      </c>
      <c r="BD1638" s="2">
        <f t="shared" si="677"/>
        <v>3.2585083272990588E-3</v>
      </c>
      <c r="BF1638" t="s">
        <v>3169</v>
      </c>
      <c r="BG1638" t="s">
        <v>1213</v>
      </c>
      <c r="BH1638">
        <v>8</v>
      </c>
      <c r="BJ1638" s="114">
        <v>29</v>
      </c>
      <c r="BK1638" s="116">
        <v>181</v>
      </c>
      <c r="BL1638" s="120">
        <f t="shared" si="657"/>
        <v>29181</v>
      </c>
      <c r="BN1638" s="5" t="s">
        <v>3154</v>
      </c>
      <c r="BY1638" s="63">
        <f t="shared" si="678"/>
        <v>5524</v>
      </c>
      <c r="CB1638" s="132"/>
      <c r="CD1638" s="63">
        <v>0</v>
      </c>
    </row>
    <row r="1639" spans="1:82" hidden="1" outlineLevel="1">
      <c r="A1639" t="s">
        <v>2131</v>
      </c>
      <c r="B1639" t="s">
        <v>1213</v>
      </c>
      <c r="C1639" s="1">
        <f t="shared" si="669"/>
        <v>203184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7</v>
      </c>
      <c r="G1639" s="132">
        <f t="shared" si="667"/>
        <v>53024</v>
      </c>
      <c r="H1639" s="137">
        <f t="shared" si="668"/>
        <v>0.26096543034884634</v>
      </c>
      <c r="I1639" s="2"/>
      <c r="J1639" s="2">
        <f t="shared" si="670"/>
        <v>0.33775297267501381</v>
      </c>
      <c r="K1639" s="2">
        <f t="shared" si="671"/>
        <v>0.59871840302386015</v>
      </c>
      <c r="L1639" s="2">
        <f t="shared" si="672"/>
        <v>1.3091582014331837E-3</v>
      </c>
      <c r="M1639" s="2">
        <f t="shared" si="673"/>
        <v>6.2219466099692866E-2</v>
      </c>
      <c r="N1639" s="63">
        <v>68626</v>
      </c>
      <c r="O1639" s="63">
        <v>121650</v>
      </c>
      <c r="P1639" s="63">
        <v>266</v>
      </c>
      <c r="Q1639" s="63">
        <v>7964</v>
      </c>
      <c r="R1639" s="63">
        <v>1698</v>
      </c>
      <c r="S1639" s="63">
        <v>799</v>
      </c>
      <c r="T1639" s="63">
        <v>1</v>
      </c>
      <c r="U1639" s="63"/>
      <c r="V1639" s="63"/>
      <c r="W1639" s="63">
        <f>IF(Copyright!B$11=1,IF(CA1639&gt;0,CA1639-P1639-SUM(T1639:V1639)-SUM(X1639:AC1639)-SUM(AE1639:AM1639)-SUM(AN1639:AQ1639),SUM(CD1639:CF1639)),SUM(CD1639:CF1639))</f>
        <v>2180</v>
      </c>
      <c r="X1639" s="63"/>
      <c r="Y1639" s="63">
        <v>0</v>
      </c>
      <c r="Z1639" s="63"/>
      <c r="AA1639" s="63"/>
      <c r="AB1639" s="63"/>
      <c r="AC1639" s="63"/>
      <c r="AD1639" s="63"/>
      <c r="AE1639" s="63">
        <v>0</v>
      </c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W1639" s="5">
        <f>IF(Q1639&gt;0,RANK(Q1639,(N1639:P1639,Q1639:AE1639)),0)</f>
        <v>3</v>
      </c>
      <c r="AX1639" s="5">
        <f>IF(R1639&gt;0,RANK(R1639,(N1639:P1639,Q1639:AE1639)),0)</f>
        <v>5</v>
      </c>
      <c r="AY1639" s="5">
        <f>IF(T1639&gt;0,RANK(T1639,(N1639:P1639,Q1639:AE1639)),0)</f>
        <v>8</v>
      </c>
      <c r="AZ1639" s="5">
        <f>IF(S1639&gt;0,RANK(S1639,(N1639:P1639,Q1639:AE1639)),0)</f>
        <v>6</v>
      </c>
      <c r="BA1639" s="2">
        <f t="shared" si="674"/>
        <v>3.9195999685014568E-2</v>
      </c>
      <c r="BB1639" s="2">
        <f t="shared" si="675"/>
        <v>8.3569572407276166E-3</v>
      </c>
      <c r="BC1639" s="2">
        <f t="shared" si="676"/>
        <v>4.9216473738089616E-6</v>
      </c>
      <c r="BD1639" s="2">
        <f t="shared" si="677"/>
        <v>3.9323962516733604E-3</v>
      </c>
      <c r="BF1639" t="s">
        <v>2131</v>
      </c>
      <c r="BG1639" t="s">
        <v>1213</v>
      </c>
      <c r="BJ1639" s="114">
        <v>29</v>
      </c>
      <c r="BK1639" s="116">
        <v>183</v>
      </c>
      <c r="BL1639" s="120">
        <f t="shared" si="657"/>
        <v>29183</v>
      </c>
      <c r="BN1639" s="5" t="s">
        <v>3154</v>
      </c>
      <c r="BY1639" s="63">
        <f t="shared" si="678"/>
        <v>0</v>
      </c>
      <c r="BZ1639" s="132">
        <v>203184</v>
      </c>
      <c r="CA1639" s="132">
        <f>2179+1+266+1</f>
        <v>2447</v>
      </c>
      <c r="CB1639" s="132"/>
      <c r="CD1639" s="63">
        <v>1</v>
      </c>
    </row>
    <row r="1640" spans="1:82" hidden="1" outlineLevel="1">
      <c r="A1640" t="s">
        <v>934</v>
      </c>
      <c r="B1640" t="s">
        <v>1213</v>
      </c>
      <c r="C1640" s="1">
        <f t="shared" si="669"/>
        <v>4630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32">
        <f t="shared" si="667"/>
        <v>2565</v>
      </c>
      <c r="H1640" s="137">
        <f t="shared" si="668"/>
        <v>0.55399568034557234</v>
      </c>
      <c r="I1640" s="2"/>
      <c r="J1640" s="2">
        <f t="shared" si="670"/>
        <v>0.20215982721382289</v>
      </c>
      <c r="K1640" s="2">
        <f t="shared" si="671"/>
        <v>0.7561555075593952</v>
      </c>
      <c r="L1640" s="2">
        <f t="shared" si="672"/>
        <v>0</v>
      </c>
      <c r="M1640" s="2">
        <f t="shared" si="673"/>
        <v>4.1684665226781936E-2</v>
      </c>
      <c r="N1640" s="63">
        <v>936</v>
      </c>
      <c r="O1640" s="63">
        <v>3501</v>
      </c>
      <c r="P1640" s="63">
        <v>0</v>
      </c>
      <c r="Q1640" s="63">
        <v>146</v>
      </c>
      <c r="R1640" s="63">
        <v>24</v>
      </c>
      <c r="S1640" s="63">
        <v>23</v>
      </c>
      <c r="T1640" s="63">
        <v>0</v>
      </c>
      <c r="U1640" s="63"/>
      <c r="V1640" s="63"/>
      <c r="W1640" s="63">
        <f>IF(Copyright!B$11=1,IF(CA1640&gt;0,CA1640-P1640-SUM(T1640:V1640)-SUM(X1640:AC1640)-SUM(AE1640:AM1640)-SUM(AN1640:AQ1640),SUM(CD1640:CF1640)),SUM(CD1640:CF1640))</f>
        <v>0</v>
      </c>
      <c r="X1640" s="63"/>
      <c r="Y1640" s="63">
        <v>0</v>
      </c>
      <c r="Z1640" s="63"/>
      <c r="AA1640" s="63"/>
      <c r="AB1640" s="63"/>
      <c r="AC1640" s="63"/>
      <c r="AD1640" s="63"/>
      <c r="AE1640" s="63">
        <v>0</v>
      </c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W1640" s="5">
        <f>IF(Q1640&gt;0,RANK(Q1640,(N1640:P1640,Q1640:AE1640)),0)</f>
        <v>3</v>
      </c>
      <c r="AX1640" s="5">
        <f>IF(R1640&gt;0,RANK(R1640,(N1640:P1640,Q1640:AE1640)),0)</f>
        <v>4</v>
      </c>
      <c r="AY1640" s="5">
        <f>IF(T1640&gt;0,RANK(T1640,(N1640:P1640,Q1640:AE1640)),0)</f>
        <v>0</v>
      </c>
      <c r="AZ1640" s="5">
        <f>IF(S1640&gt;0,RANK(S1640,(N1640:P1640,Q1640:AE1640)),0)</f>
        <v>5</v>
      </c>
      <c r="BA1640" s="2">
        <f t="shared" si="674"/>
        <v>3.1533477321814253E-2</v>
      </c>
      <c r="BB1640" s="2">
        <f t="shared" si="675"/>
        <v>5.1835853131749461E-3</v>
      </c>
      <c r="BC1640" s="2">
        <f t="shared" si="676"/>
        <v>0</v>
      </c>
      <c r="BD1640" s="2">
        <f t="shared" si="677"/>
        <v>4.9676025917926563E-3</v>
      </c>
      <c r="BF1640" t="s">
        <v>934</v>
      </c>
      <c r="BG1640" t="s">
        <v>1213</v>
      </c>
      <c r="BH1640">
        <v>4</v>
      </c>
      <c r="BJ1640" s="114">
        <v>29</v>
      </c>
      <c r="BK1640" s="116">
        <v>185</v>
      </c>
      <c r="BL1640" s="120">
        <f t="shared" si="657"/>
        <v>29185</v>
      </c>
      <c r="BN1640" s="5" t="s">
        <v>3154</v>
      </c>
      <c r="BY1640" s="63">
        <f t="shared" si="678"/>
        <v>4630</v>
      </c>
      <c r="CB1640" s="132"/>
      <c r="CD1640" s="63">
        <v>0</v>
      </c>
    </row>
    <row r="1641" spans="1:82" hidden="1" outlineLevel="1">
      <c r="A1641" t="s">
        <v>2973</v>
      </c>
      <c r="B1641" t="s">
        <v>1213</v>
      </c>
      <c r="C1641" s="1">
        <f t="shared" si="669"/>
        <v>24920</v>
      </c>
      <c r="D1641" s="5">
        <f>IF(N1641&gt;0, RANK(N1641,(N1641:P1641,Q1641:AE1641)),0)</f>
        <v>2</v>
      </c>
      <c r="E1641" s="5">
        <f>IF(O1641&gt;0,RANK(O1641,(N1641:P1641,Q1641:AE1641)),0)</f>
        <v>1</v>
      </c>
      <c r="F1641" s="5">
        <f>IF(P1641&gt;0,RANK(P1641,(N1641:P1641,Q1641:AE1641)),0)</f>
        <v>7</v>
      </c>
      <c r="G1641" s="132">
        <f t="shared" si="667"/>
        <v>11218</v>
      </c>
      <c r="H1641" s="137">
        <f t="shared" si="668"/>
        <v>0.45016051364365972</v>
      </c>
      <c r="I1641" s="2"/>
      <c r="J1641" s="2">
        <f t="shared" si="670"/>
        <v>0.25080256821829855</v>
      </c>
      <c r="K1641" s="2">
        <f t="shared" si="671"/>
        <v>0.70096308186195821</v>
      </c>
      <c r="L1641" s="2">
        <f t="shared" si="672"/>
        <v>5.2166934189406102E-4</v>
      </c>
      <c r="M1641" s="2">
        <f t="shared" si="673"/>
        <v>4.7712680577849116E-2</v>
      </c>
      <c r="N1641" s="63">
        <v>6250</v>
      </c>
      <c r="O1641" s="63">
        <v>17468</v>
      </c>
      <c r="P1641" s="63">
        <v>13</v>
      </c>
      <c r="Q1641" s="63">
        <v>712</v>
      </c>
      <c r="R1641" s="63">
        <v>171</v>
      </c>
      <c r="S1641" s="63">
        <v>114</v>
      </c>
      <c r="T1641" s="63">
        <v>0</v>
      </c>
      <c r="U1641" s="63"/>
      <c r="V1641" s="63"/>
      <c r="W1641" s="63">
        <f>IF(Copyright!B$11=1,IF(CA1641&gt;0,CA1641-P1641-SUM(T1641:V1641)-SUM(X1641:AC1641)-SUM(AE1641:AM1641)-SUM(AN1641:AQ1641),SUM(CD1641:CF1641)),SUM(CD1641:CF1641))</f>
        <v>192</v>
      </c>
      <c r="X1641" s="63"/>
      <c r="Y1641" s="63">
        <v>0</v>
      </c>
      <c r="Z1641" s="63"/>
      <c r="AA1641" s="63"/>
      <c r="AB1641" s="63"/>
      <c r="AC1641" s="63"/>
      <c r="AD1641" s="63"/>
      <c r="AE1641" s="63">
        <v>0</v>
      </c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W1641" s="5">
        <f>IF(Q1641&gt;0,RANK(Q1641,(N1641:P1641,Q1641:AE1641)),0)</f>
        <v>3</v>
      </c>
      <c r="AX1641" s="5">
        <f>IF(R1641&gt;0,RANK(R1641,(N1641:P1641,Q1641:AE1641)),0)</f>
        <v>5</v>
      </c>
      <c r="AY1641" s="5">
        <f>IF(T1641&gt;0,RANK(T1641,(N1641:P1641,Q1641:AE1641)),0)</f>
        <v>0</v>
      </c>
      <c r="AZ1641" s="5">
        <f>IF(S1641&gt;0,RANK(S1641,(N1641:P1641,Q1641:AE1641)),0)</f>
        <v>6</v>
      </c>
      <c r="BA1641" s="2">
        <f t="shared" si="674"/>
        <v>2.8571428571428571E-2</v>
      </c>
      <c r="BB1641" s="2">
        <f t="shared" si="675"/>
        <v>6.8619582664526486E-3</v>
      </c>
      <c r="BC1641" s="2">
        <f t="shared" si="676"/>
        <v>0</v>
      </c>
      <c r="BD1641" s="2">
        <f t="shared" si="677"/>
        <v>4.5746388443017654E-3</v>
      </c>
      <c r="BF1641" t="s">
        <v>2973</v>
      </c>
      <c r="BG1641" t="s">
        <v>1213</v>
      </c>
      <c r="BH1641">
        <v>8</v>
      </c>
      <c r="BJ1641" s="114">
        <v>29</v>
      </c>
      <c r="BK1641" s="116">
        <v>187</v>
      </c>
      <c r="BL1641" s="120">
        <f t="shared" ref="BL1641:BL1704" si="679">1000*BJ1641+BK1641</f>
        <v>29187</v>
      </c>
      <c r="BN1641" s="5" t="s">
        <v>3154</v>
      </c>
      <c r="BY1641" s="63">
        <f t="shared" si="678"/>
        <v>0</v>
      </c>
      <c r="BZ1641" s="63">
        <v>24920</v>
      </c>
      <c r="CA1641" s="63">
        <f>192+13</f>
        <v>205</v>
      </c>
      <c r="CB1641" s="132"/>
      <c r="CD1641" s="63">
        <v>0</v>
      </c>
    </row>
    <row r="1642" spans="1:82" hidden="1" outlineLevel="1">
      <c r="A1642" t="s">
        <v>506</v>
      </c>
      <c r="B1642" t="s">
        <v>1213</v>
      </c>
      <c r="C1642" s="1">
        <f t="shared" si="669"/>
        <v>519686</v>
      </c>
      <c r="D1642" s="5">
        <f>IF(N1642&gt;0, RANK(N1642,(N1642:P1642,Q1642:AE1642)),0)</f>
        <v>1</v>
      </c>
      <c r="E1642" s="5">
        <f>IF(O1642&gt;0,RANK(O1642,(N1642:P1642,Q1642:AE1642)),0)</f>
        <v>2</v>
      </c>
      <c r="F1642" s="5">
        <f>IF(P1642&gt;0,RANK(P1642,(N1642:P1642,Q1642:AE1642)),0)</f>
        <v>7</v>
      </c>
      <c r="G1642" s="132">
        <f t="shared" si="667"/>
        <v>84270</v>
      </c>
      <c r="H1642" s="137">
        <f t="shared" si="668"/>
        <v>0.16215560934872211</v>
      </c>
      <c r="I1642" s="2"/>
      <c r="J1642" s="2">
        <f t="shared" si="670"/>
        <v>0.55168698021497597</v>
      </c>
      <c r="K1642" s="2">
        <f t="shared" si="671"/>
        <v>0.38953137086625383</v>
      </c>
      <c r="L1642" s="2">
        <f t="shared" si="672"/>
        <v>3.1018730541134453E-3</v>
      </c>
      <c r="M1642" s="2">
        <f t="shared" si="673"/>
        <v>5.5679775864656743E-2</v>
      </c>
      <c r="N1642" s="63">
        <v>286704</v>
      </c>
      <c r="O1642" s="63">
        <v>202434</v>
      </c>
      <c r="P1642" s="63">
        <v>1612</v>
      </c>
      <c r="Q1642" s="63">
        <v>16677</v>
      </c>
      <c r="R1642" s="63">
        <v>5207</v>
      </c>
      <c r="S1642" s="63">
        <v>2206</v>
      </c>
      <c r="T1642" s="63">
        <v>2</v>
      </c>
      <c r="U1642" s="63"/>
      <c r="V1642" s="63"/>
      <c r="W1642" s="63">
        <f>IF(Copyright!B$11=1,IF(CA1642&gt;0,CA1642-P1642-SUM(T1642:V1642)-SUM(X1642:AC1642)-SUM(AE1642:AM1642)-SUM(AN1642:AQ1642),SUM(CD1642:CF1642)),SUM(CD1642:CF1642))</f>
        <v>4828</v>
      </c>
      <c r="X1642" s="63"/>
      <c r="Y1642" s="63">
        <v>10</v>
      </c>
      <c r="Z1642" s="63"/>
      <c r="AA1642" s="63"/>
      <c r="AB1642" s="63"/>
      <c r="AC1642" s="63"/>
      <c r="AD1642" s="63"/>
      <c r="AE1642" s="63">
        <v>6</v>
      </c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W1642" s="5">
        <f>IF(Q1642&gt;0,RANK(Q1642,(N1642:P1642,Q1642:AE1642)),0)</f>
        <v>3</v>
      </c>
      <c r="AX1642" s="5">
        <f>IF(R1642&gt;0,RANK(R1642,(N1642:P1642,Q1642:AE1642)),0)</f>
        <v>4</v>
      </c>
      <c r="AY1642" s="5">
        <f>IF(T1642&gt;0,RANK(T1642,(N1642:P1642,Q1642:AE1642)),0)</f>
        <v>10</v>
      </c>
      <c r="AZ1642" s="5">
        <f>IF(S1642&gt;0,RANK(S1642,(N1642:P1642,Q1642:AE1642)),0)</f>
        <v>6</v>
      </c>
      <c r="BA1642" s="2">
        <f t="shared" si="674"/>
        <v>3.2090531590229482E-2</v>
      </c>
      <c r="BB1642" s="2">
        <f t="shared" si="675"/>
        <v>1.0019511782114585E-2</v>
      </c>
      <c r="BC1642" s="2">
        <f t="shared" si="676"/>
        <v>3.8484777346320666E-6</v>
      </c>
      <c r="BD1642" s="2">
        <f t="shared" si="677"/>
        <v>4.2448709412991692E-3</v>
      </c>
      <c r="BF1642" t="s">
        <v>506</v>
      </c>
      <c r="BG1642" t="s">
        <v>1213</v>
      </c>
      <c r="BJ1642" s="114">
        <v>29</v>
      </c>
      <c r="BK1642" s="116">
        <v>189</v>
      </c>
      <c r="BL1642" s="120">
        <f t="shared" si="679"/>
        <v>29189</v>
      </c>
      <c r="BN1642" s="5" t="s">
        <v>3154</v>
      </c>
      <c r="BY1642" s="63">
        <f t="shared" si="678"/>
        <v>0</v>
      </c>
      <c r="BZ1642" s="63">
        <f>286704+202434+16677+2206+5207+6458</f>
        <v>519686</v>
      </c>
      <c r="CA1642" s="63">
        <v>6458</v>
      </c>
      <c r="CB1642" s="132"/>
      <c r="CD1642" s="63">
        <v>0</v>
      </c>
    </row>
    <row r="1643" spans="1:82" hidden="1" outlineLevel="1">
      <c r="A1643" t="s">
        <v>827</v>
      </c>
      <c r="B1643" t="s">
        <v>1213</v>
      </c>
      <c r="C1643" s="1">
        <f t="shared" si="669"/>
        <v>8512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7</v>
      </c>
      <c r="G1643" s="132">
        <f>IF(C1643&gt;0,MAX(N1643:P1643)-LARGE(N1643:P1643,2),0)</f>
        <v>2954</v>
      </c>
      <c r="H1643" s="137">
        <f>IF(C1643&gt;0,G1643/C1643,0)</f>
        <v>0.34703947368421051</v>
      </c>
      <c r="I1643" s="2"/>
      <c r="J1643" s="2">
        <f>IF($C1643=0,"-",N1643/$C1643)</f>
        <v>0.29863721804511278</v>
      </c>
      <c r="K1643" s="2">
        <f>IF($C1643=0,"-",O1643/$C1643)</f>
        <v>0.64567669172932329</v>
      </c>
      <c r="L1643" s="2">
        <f>IF($C1643=0,"-",P1643/$C1643)</f>
        <v>5.8740601503759395E-4</v>
      </c>
      <c r="M1643" s="2">
        <f>IF(C1643=0,"-",(1-J1643-K1643-L1643))</f>
        <v>5.5098684210526327E-2</v>
      </c>
      <c r="N1643" s="63">
        <v>2542</v>
      </c>
      <c r="O1643" s="63">
        <v>5496</v>
      </c>
      <c r="P1643" s="63">
        <v>5</v>
      </c>
      <c r="Q1643" s="63">
        <v>324</v>
      </c>
      <c r="R1643" s="63">
        <v>56</v>
      </c>
      <c r="S1643" s="63">
        <v>46</v>
      </c>
      <c r="T1643" s="63">
        <v>0</v>
      </c>
      <c r="U1643" s="63"/>
      <c r="V1643" s="63"/>
      <c r="W1643" s="63">
        <f>IF(Copyright!B$11=1,IF(CA1643&gt;0,CA1643-P1643-SUM(T1643:V1643)-SUM(X1643:AC1643)-SUM(AE1643:AM1643)-SUM(AN1643:AQ1643),SUM(CD1643:CF1643)),SUM(CD1643:CF1643))</f>
        <v>43</v>
      </c>
      <c r="X1643" s="63"/>
      <c r="Y1643" s="63">
        <v>0</v>
      </c>
      <c r="Z1643" s="63"/>
      <c r="AA1643" s="63"/>
      <c r="AB1643" s="63"/>
      <c r="AC1643" s="63"/>
      <c r="AD1643" s="63"/>
      <c r="AE1643" s="63">
        <v>0</v>
      </c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W1643" s="5">
        <f>IF(Q1643&gt;0,RANK(Q1643,(N1643:P1643,Q1643:AE1643)),0)</f>
        <v>3</v>
      </c>
      <c r="AX1643" s="5">
        <f>IF(R1643&gt;0,RANK(R1643,(N1643:P1643,Q1643:AE1643)),0)</f>
        <v>4</v>
      </c>
      <c r="AY1643" s="5">
        <f>IF(T1643&gt;0,RANK(T1643,(N1643:P1643,Q1643:AE1643)),0)</f>
        <v>0</v>
      </c>
      <c r="AZ1643" s="5">
        <f>IF(S1643&gt;0,RANK(S1643,(N1643:P1643,Q1643:AE1643)),0)</f>
        <v>5</v>
      </c>
      <c r="BA1643" s="2">
        <f>IF($C1643=0,"-",Q1643/$C1643)</f>
        <v>3.8063909774436092E-2</v>
      </c>
      <c r="BB1643" s="2">
        <f>IF($C1643=0,"-",R1643/$C1643)</f>
        <v>6.5789473684210523E-3</v>
      </c>
      <c r="BC1643" s="2">
        <f>IF($C1643=0,"-",T1643/$C1643)</f>
        <v>0</v>
      </c>
      <c r="BD1643" s="2">
        <f>IF($C1643=0,"-",S1643/$C1643)</f>
        <v>5.4041353383458644E-3</v>
      </c>
      <c r="BF1643" t="s">
        <v>827</v>
      </c>
      <c r="BG1643" t="s">
        <v>1213</v>
      </c>
      <c r="BH1643">
        <v>8</v>
      </c>
      <c r="BJ1643" s="114">
        <v>29</v>
      </c>
      <c r="BK1643" s="116">
        <v>186</v>
      </c>
      <c r="BL1643" s="120">
        <f>1000*BJ1643+BK1643</f>
        <v>29186</v>
      </c>
      <c r="BN1643" s="5" t="s">
        <v>3154</v>
      </c>
      <c r="BY1643" s="63">
        <f t="shared" si="678"/>
        <v>0</v>
      </c>
      <c r="BZ1643" s="63">
        <v>8512</v>
      </c>
      <c r="CA1643" s="63">
        <v>48</v>
      </c>
      <c r="CB1643" s="132"/>
      <c r="CD1643" s="63">
        <v>0</v>
      </c>
    </row>
    <row r="1644" spans="1:82" hidden="1" outlineLevel="1">
      <c r="A1644" t="s">
        <v>649</v>
      </c>
      <c r="B1644" t="s">
        <v>1213</v>
      </c>
      <c r="C1644" s="1">
        <f t="shared" ref="C1644:C1663" si="680">SUM(N1644:AU1644)</f>
        <v>9274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6</v>
      </c>
      <c r="G1644" s="132">
        <f t="shared" si="667"/>
        <v>3188</v>
      </c>
      <c r="H1644" s="137">
        <f t="shared" si="668"/>
        <v>0.34375673927108041</v>
      </c>
      <c r="I1644" s="2"/>
      <c r="J1644" s="2">
        <f t="shared" ref="J1644:J1663" si="681">IF($C1644=0,"-",N1644/$C1644)</f>
        <v>0.30073323269355184</v>
      </c>
      <c r="K1644" s="2">
        <f t="shared" ref="K1644:K1663" si="682">IF($C1644=0,"-",O1644/$C1644)</f>
        <v>0.64448997196463231</v>
      </c>
      <c r="L1644" s="2">
        <f t="shared" ref="L1644:L1663" si="683">IF($C1644=0,"-",P1644/$C1644)</f>
        <v>2.9113651067500541E-3</v>
      </c>
      <c r="M1644" s="2">
        <f t="shared" ref="M1644:M1663" si="684">IF(C1644=0,"-",(1-J1644-K1644-L1644))</f>
        <v>5.1865430235065735E-2</v>
      </c>
      <c r="N1644" s="63">
        <v>2789</v>
      </c>
      <c r="O1644" s="63">
        <v>5977</v>
      </c>
      <c r="P1644" s="63">
        <v>27</v>
      </c>
      <c r="Q1644" s="63">
        <v>383</v>
      </c>
      <c r="R1644" s="63">
        <v>69</v>
      </c>
      <c r="S1644" s="63">
        <v>29</v>
      </c>
      <c r="T1644" s="63">
        <v>0</v>
      </c>
      <c r="U1644" s="63"/>
      <c r="V1644" s="63"/>
      <c r="W1644" s="63">
        <f>IF(Copyright!B$11=1,IF(CA1644&gt;0,CA1644-P1644-SUM(T1644:V1644)-SUM(X1644:AC1644)-SUM(AE1644:AM1644)-SUM(AN1644:AQ1644),SUM(CD1644:CF1644)),SUM(CD1644:CF1644))</f>
        <v>0</v>
      </c>
      <c r="X1644" s="63"/>
      <c r="Y1644" s="63">
        <v>0</v>
      </c>
      <c r="Z1644" s="63"/>
      <c r="AA1644" s="63"/>
      <c r="AB1644" s="63"/>
      <c r="AC1644" s="63"/>
      <c r="AD1644" s="63"/>
      <c r="AE1644" s="63">
        <v>0</v>
      </c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W1644" s="5">
        <f>IF(Q1644&gt;0,RANK(Q1644,(N1644:P1644,Q1644:AE1644)),0)</f>
        <v>3</v>
      </c>
      <c r="AX1644" s="5">
        <f>IF(R1644&gt;0,RANK(R1644,(N1644:P1644,Q1644:AE1644)),0)</f>
        <v>4</v>
      </c>
      <c r="AY1644" s="5">
        <f>IF(T1644&gt;0,RANK(T1644,(N1644:P1644,Q1644:AE1644)),0)</f>
        <v>0</v>
      </c>
      <c r="AZ1644" s="5">
        <f>IF(S1644&gt;0,RANK(S1644,(N1644:P1644,Q1644:AE1644)),0)</f>
        <v>5</v>
      </c>
      <c r="BA1644" s="2">
        <f t="shared" ref="BA1644:BA1663" si="685">IF($C1644=0,"-",Q1644/$C1644)</f>
        <v>4.1298253180935947E-2</v>
      </c>
      <c r="BB1644" s="2">
        <f t="shared" ref="BB1644:BB1663" si="686">IF($C1644=0,"-",R1644/$C1644)</f>
        <v>7.4401552728056933E-3</v>
      </c>
      <c r="BC1644" s="2">
        <f t="shared" ref="BC1644:BC1663" si="687">IF($C1644=0,"-",T1644/$C1644)</f>
        <v>0</v>
      </c>
      <c r="BD1644" s="2">
        <f t="shared" ref="BD1644:BD1663" si="688">IF($C1644=0,"-",S1644/$C1644)</f>
        <v>3.1270217813241319E-3</v>
      </c>
      <c r="BF1644" t="s">
        <v>649</v>
      </c>
      <c r="BG1644" t="s">
        <v>1213</v>
      </c>
      <c r="BH1644">
        <v>5</v>
      </c>
      <c r="BJ1644" s="114">
        <v>29</v>
      </c>
      <c r="BK1644" s="116">
        <v>195</v>
      </c>
      <c r="BL1644" s="120">
        <f t="shared" si="679"/>
        <v>29195</v>
      </c>
      <c r="BN1644" s="5" t="s">
        <v>3154</v>
      </c>
      <c r="BY1644" s="63">
        <f t="shared" si="678"/>
        <v>9274</v>
      </c>
      <c r="CB1644" s="132"/>
      <c r="CD1644" s="63">
        <v>0</v>
      </c>
    </row>
    <row r="1645" spans="1:82" hidden="1" outlineLevel="1">
      <c r="A1645" t="s">
        <v>1222</v>
      </c>
      <c r="B1645" t="s">
        <v>1213</v>
      </c>
      <c r="C1645" s="1">
        <f t="shared" si="680"/>
        <v>1936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5</v>
      </c>
      <c r="G1645" s="132">
        <f t="shared" si="667"/>
        <v>1151</v>
      </c>
      <c r="H1645" s="137">
        <f t="shared" si="668"/>
        <v>0.59452479338842978</v>
      </c>
      <c r="I1645" s="2"/>
      <c r="J1645" s="2">
        <f t="shared" si="681"/>
        <v>0.18285123966942149</v>
      </c>
      <c r="K1645" s="2">
        <f t="shared" si="682"/>
        <v>0.77737603305785119</v>
      </c>
      <c r="L1645" s="2">
        <f t="shared" si="683"/>
        <v>2.0661157024793389E-3</v>
      </c>
      <c r="M1645" s="2">
        <f t="shared" si="684"/>
        <v>3.7706611570247954E-2</v>
      </c>
      <c r="N1645" s="63">
        <v>354</v>
      </c>
      <c r="O1645" s="63">
        <v>1505</v>
      </c>
      <c r="P1645" s="63">
        <v>4</v>
      </c>
      <c r="Q1645" s="63">
        <v>64</v>
      </c>
      <c r="R1645" s="63">
        <v>7</v>
      </c>
      <c r="S1645" s="63">
        <v>2</v>
      </c>
      <c r="T1645" s="63">
        <v>0</v>
      </c>
      <c r="U1645" s="63"/>
      <c r="V1645" s="63"/>
      <c r="W1645" s="63">
        <f>IF(Copyright!B$11=1,IF(CA1645&gt;0,CA1645-P1645-SUM(T1645:V1645)-SUM(X1645:AC1645)-SUM(AE1645:AM1645)-SUM(AN1645:AQ1645),SUM(CD1645:CF1645)),SUM(CD1645:CF1645))</f>
        <v>0</v>
      </c>
      <c r="X1645" s="63"/>
      <c r="Y1645" s="63">
        <v>0</v>
      </c>
      <c r="Z1645" s="63"/>
      <c r="AA1645" s="63"/>
      <c r="AB1645" s="63"/>
      <c r="AC1645" s="63"/>
      <c r="AD1645" s="63"/>
      <c r="AE1645" s="63">
        <v>0</v>
      </c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W1645" s="5">
        <f>IF(Q1645&gt;0,RANK(Q1645,(N1645:P1645,Q1645:AE1645)),0)</f>
        <v>3</v>
      </c>
      <c r="AX1645" s="5">
        <f>IF(R1645&gt;0,RANK(R1645,(N1645:P1645,Q1645:AE1645)),0)</f>
        <v>4</v>
      </c>
      <c r="AY1645" s="5">
        <f>IF(T1645&gt;0,RANK(T1645,(N1645:P1645,Q1645:AE1645)),0)</f>
        <v>0</v>
      </c>
      <c r="AZ1645" s="5">
        <f>IF(S1645&gt;0,RANK(S1645,(N1645:P1645,Q1645:AE1645)),0)</f>
        <v>6</v>
      </c>
      <c r="BA1645" s="2">
        <f t="shared" si="685"/>
        <v>3.3057851239669422E-2</v>
      </c>
      <c r="BB1645" s="2">
        <f t="shared" si="686"/>
        <v>3.6157024793388431E-3</v>
      </c>
      <c r="BC1645" s="2">
        <f t="shared" si="687"/>
        <v>0</v>
      </c>
      <c r="BD1645" s="2">
        <f t="shared" si="688"/>
        <v>1.0330578512396695E-3</v>
      </c>
      <c r="BF1645" t="s">
        <v>1222</v>
      </c>
      <c r="BG1645" t="s">
        <v>1213</v>
      </c>
      <c r="BH1645">
        <v>6</v>
      </c>
      <c r="BJ1645" s="114">
        <v>29</v>
      </c>
      <c r="BK1645" s="116">
        <v>197</v>
      </c>
      <c r="BL1645" s="120">
        <f t="shared" si="679"/>
        <v>29197</v>
      </c>
      <c r="BN1645" s="5" t="s">
        <v>3154</v>
      </c>
      <c r="BY1645" s="63">
        <f t="shared" si="678"/>
        <v>1936</v>
      </c>
      <c r="CB1645" s="132"/>
      <c r="CD1645" s="63">
        <v>0</v>
      </c>
    </row>
    <row r="1646" spans="1:82" hidden="1" outlineLevel="1">
      <c r="A1646" t="s">
        <v>1548</v>
      </c>
      <c r="B1646" t="s">
        <v>1213</v>
      </c>
      <c r="C1646" s="1">
        <f t="shared" si="680"/>
        <v>1981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32">
        <f t="shared" si="667"/>
        <v>1160</v>
      </c>
      <c r="H1646" s="137">
        <f t="shared" si="668"/>
        <v>0.58556284704694594</v>
      </c>
      <c r="I1646" s="2"/>
      <c r="J1646" s="2">
        <f t="shared" si="681"/>
        <v>0.18425037859666835</v>
      </c>
      <c r="K1646" s="2">
        <f t="shared" si="682"/>
        <v>0.76981322564361432</v>
      </c>
      <c r="L1646" s="2">
        <f t="shared" si="683"/>
        <v>0</v>
      </c>
      <c r="M1646" s="2">
        <f t="shared" si="684"/>
        <v>4.5936395759717308E-2</v>
      </c>
      <c r="N1646" s="63">
        <v>365</v>
      </c>
      <c r="O1646" s="63">
        <v>1525</v>
      </c>
      <c r="P1646" s="63">
        <v>0</v>
      </c>
      <c r="Q1646" s="63">
        <v>50</v>
      </c>
      <c r="R1646" s="63">
        <v>18</v>
      </c>
      <c r="S1646" s="63">
        <v>10</v>
      </c>
      <c r="T1646" s="63">
        <v>0</v>
      </c>
      <c r="U1646" s="63"/>
      <c r="V1646" s="63"/>
      <c r="W1646" s="63">
        <f>IF(Copyright!B$11=1,IF(CA1646&gt;0,CA1646-P1646-SUM(T1646:V1646)-SUM(X1646:AC1646)-SUM(AE1646:AM1646)-SUM(AN1646:AQ1646),SUM(CD1646:CF1646)),SUM(CD1646:CF1646))</f>
        <v>13</v>
      </c>
      <c r="X1646" s="63"/>
      <c r="Y1646" s="63">
        <v>0</v>
      </c>
      <c r="Z1646" s="63"/>
      <c r="AA1646" s="63"/>
      <c r="AB1646" s="63"/>
      <c r="AC1646" s="63"/>
      <c r="AD1646" s="63"/>
      <c r="AE1646" s="63">
        <v>0</v>
      </c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W1646" s="5">
        <f>IF(Q1646&gt;0,RANK(Q1646,(N1646:P1646,Q1646:AE1646)),0)</f>
        <v>3</v>
      </c>
      <c r="AX1646" s="5">
        <f>IF(R1646&gt;0,RANK(R1646,(N1646:P1646,Q1646:AE1646)),0)</f>
        <v>4</v>
      </c>
      <c r="AY1646" s="5">
        <f>IF(T1646&gt;0,RANK(T1646,(N1646:P1646,Q1646:AE1646)),0)</f>
        <v>0</v>
      </c>
      <c r="AZ1646" s="5">
        <f>IF(S1646&gt;0,RANK(S1646,(N1646:P1646,Q1646:AE1646)),0)</f>
        <v>6</v>
      </c>
      <c r="BA1646" s="2">
        <f t="shared" si="685"/>
        <v>2.523977788995457E-2</v>
      </c>
      <c r="BB1646" s="2">
        <f t="shared" si="686"/>
        <v>9.0863200403836445E-3</v>
      </c>
      <c r="BC1646" s="2">
        <f t="shared" si="687"/>
        <v>0</v>
      </c>
      <c r="BD1646" s="2">
        <f t="shared" si="688"/>
        <v>5.0479555779909136E-3</v>
      </c>
      <c r="BF1646" t="s">
        <v>1548</v>
      </c>
      <c r="BG1646" t="s">
        <v>1213</v>
      </c>
      <c r="BH1646">
        <v>6</v>
      </c>
      <c r="BJ1646" s="114">
        <v>29</v>
      </c>
      <c r="BK1646" s="116">
        <v>199</v>
      </c>
      <c r="BL1646" s="120">
        <f t="shared" si="679"/>
        <v>29199</v>
      </c>
      <c r="BN1646" s="5" t="s">
        <v>3154</v>
      </c>
      <c r="BY1646" s="63">
        <f t="shared" si="678"/>
        <v>0</v>
      </c>
      <c r="BZ1646" s="63">
        <v>1981</v>
      </c>
      <c r="CA1646" s="63">
        <v>13</v>
      </c>
      <c r="CB1646" s="132"/>
      <c r="CD1646" s="63">
        <v>0</v>
      </c>
    </row>
    <row r="1647" spans="1:82" hidden="1" outlineLevel="1">
      <c r="A1647" t="s">
        <v>830</v>
      </c>
      <c r="B1647" t="s">
        <v>1213</v>
      </c>
      <c r="C1647" s="1">
        <f t="shared" si="680"/>
        <v>17337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7</v>
      </c>
      <c r="G1647" s="132">
        <f t="shared" si="667"/>
        <v>9593</v>
      </c>
      <c r="H1647" s="137">
        <f t="shared" si="668"/>
        <v>0.55332525811847488</v>
      </c>
      <c r="I1647" s="2"/>
      <c r="J1647" s="2">
        <f t="shared" si="681"/>
        <v>0.20620637941973813</v>
      </c>
      <c r="K1647" s="2">
        <f t="shared" si="682"/>
        <v>0.75953163753821307</v>
      </c>
      <c r="L1647" s="2">
        <f t="shared" si="683"/>
        <v>5.7680106131395277E-4</v>
      </c>
      <c r="M1647" s="2">
        <f t="shared" si="684"/>
        <v>3.3685181980734794E-2</v>
      </c>
      <c r="N1647" s="63">
        <v>3575</v>
      </c>
      <c r="O1647" s="63">
        <v>13168</v>
      </c>
      <c r="P1647" s="63">
        <v>10</v>
      </c>
      <c r="Q1647" s="63">
        <v>374</v>
      </c>
      <c r="R1647" s="63">
        <v>79</v>
      </c>
      <c r="S1647" s="63">
        <v>50</v>
      </c>
      <c r="T1647" s="63">
        <v>0</v>
      </c>
      <c r="U1647" s="63"/>
      <c r="V1647" s="63"/>
      <c r="W1647" s="63">
        <f>IF(Copyright!B$11=1,IF(CA1647&gt;0,CA1647-P1647-SUM(T1647:V1647)-SUM(X1647:AC1647)-SUM(AE1647:AM1647)-SUM(AN1647:AQ1647),SUM(CD1647:CF1647)),SUM(CD1647:CF1647))</f>
        <v>81</v>
      </c>
      <c r="X1647" s="63"/>
      <c r="Y1647" s="63">
        <v>0</v>
      </c>
      <c r="Z1647" s="63"/>
      <c r="AA1647" s="63"/>
      <c r="AB1647" s="63"/>
      <c r="AC1647" s="63"/>
      <c r="AD1647" s="63"/>
      <c r="AE1647" s="63">
        <v>0</v>
      </c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W1647" s="5">
        <f>IF(Q1647&gt;0,RANK(Q1647,(N1647:P1647,Q1647:AE1647)),0)</f>
        <v>3</v>
      </c>
      <c r="AX1647" s="5">
        <f>IF(R1647&gt;0,RANK(R1647,(N1647:P1647,Q1647:AE1647)),0)</f>
        <v>5</v>
      </c>
      <c r="AY1647" s="5">
        <f>IF(T1647&gt;0,RANK(T1647,(N1647:P1647,Q1647:AE1647)),0)</f>
        <v>0</v>
      </c>
      <c r="AZ1647" s="5">
        <f>IF(S1647&gt;0,RANK(S1647,(N1647:P1647,Q1647:AE1647)),0)</f>
        <v>6</v>
      </c>
      <c r="BA1647" s="2">
        <f t="shared" si="685"/>
        <v>2.1572359693141835E-2</v>
      </c>
      <c r="BB1647" s="2">
        <f t="shared" si="686"/>
        <v>4.5567283843802276E-3</v>
      </c>
      <c r="BC1647" s="2">
        <f t="shared" si="687"/>
        <v>0</v>
      </c>
      <c r="BD1647" s="2">
        <f t="shared" si="688"/>
        <v>2.8840053065697642E-3</v>
      </c>
      <c r="BF1647" t="s">
        <v>830</v>
      </c>
      <c r="BG1647" t="s">
        <v>1213</v>
      </c>
      <c r="BH1647">
        <v>8</v>
      </c>
      <c r="BJ1647" s="114">
        <v>29</v>
      </c>
      <c r="BK1647" s="116">
        <v>201</v>
      </c>
      <c r="BL1647" s="120">
        <f t="shared" si="679"/>
        <v>29201</v>
      </c>
      <c r="BN1647" s="5" t="s">
        <v>3154</v>
      </c>
      <c r="BY1647" s="63">
        <f t="shared" si="678"/>
        <v>0</v>
      </c>
      <c r="BZ1647" s="133">
        <v>17337</v>
      </c>
      <c r="CA1647" s="133">
        <v>91</v>
      </c>
      <c r="CB1647" s="132"/>
      <c r="CD1647" s="63">
        <v>0</v>
      </c>
    </row>
    <row r="1648" spans="1:82" hidden="1" outlineLevel="1">
      <c r="A1648" t="s">
        <v>877</v>
      </c>
      <c r="B1648" t="s">
        <v>1213</v>
      </c>
      <c r="C1648" s="1">
        <f t="shared" si="680"/>
        <v>3904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32">
        <f t="shared" si="667"/>
        <v>2190</v>
      </c>
      <c r="H1648" s="137">
        <f t="shared" si="668"/>
        <v>0.56096311475409832</v>
      </c>
      <c r="I1648" s="2"/>
      <c r="J1648" s="2">
        <f t="shared" si="681"/>
        <v>0.19877049180327869</v>
      </c>
      <c r="K1648" s="2">
        <f t="shared" si="682"/>
        <v>0.75973360655737709</v>
      </c>
      <c r="L1648" s="2">
        <f t="shared" si="683"/>
        <v>0</v>
      </c>
      <c r="M1648" s="2">
        <f t="shared" si="684"/>
        <v>4.1495901639344246E-2</v>
      </c>
      <c r="N1648" s="63">
        <v>776</v>
      </c>
      <c r="O1648" s="63">
        <v>2966</v>
      </c>
      <c r="P1648" s="63">
        <v>0</v>
      </c>
      <c r="Q1648" s="63">
        <v>106</v>
      </c>
      <c r="R1648" s="63">
        <v>28</v>
      </c>
      <c r="S1648" s="63">
        <v>28</v>
      </c>
      <c r="T1648" s="63">
        <v>0</v>
      </c>
      <c r="U1648" s="63"/>
      <c r="V1648" s="63"/>
      <c r="W1648" s="63">
        <f>IF(Copyright!B$11=1,IF(CA1648&gt;0,CA1648-P1648-SUM(T1648:V1648)-SUM(X1648:AC1648)-SUM(AE1648:AM1648)-SUM(AN1648:AQ1648),SUM(CD1648:CF1648)),SUM(CD1648:CF1648))</f>
        <v>0</v>
      </c>
      <c r="X1648" s="63"/>
      <c r="Y1648" s="63">
        <v>0</v>
      </c>
      <c r="Z1648" s="63"/>
      <c r="AA1648" s="63"/>
      <c r="AB1648" s="63"/>
      <c r="AC1648" s="63"/>
      <c r="AD1648" s="63"/>
      <c r="AE1648" s="63">
        <v>0</v>
      </c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W1648" s="5">
        <f>IF(Q1648&gt;0,RANK(Q1648,(N1648:P1648,Q1648:AE1648)),0)</f>
        <v>3</v>
      </c>
      <c r="AX1648" s="5">
        <f>IF(R1648&gt;0,RANK(R1648,(N1648:P1648,Q1648:AE1648)),0)</f>
        <v>4</v>
      </c>
      <c r="AY1648" s="5">
        <f>IF(T1648&gt;0,RANK(T1648,(N1648:P1648,Q1648:AE1648)),0)</f>
        <v>0</v>
      </c>
      <c r="AZ1648" s="5">
        <f>IF(S1648&gt;0,RANK(S1648,(N1648:P1648,Q1648:AE1648)),0)</f>
        <v>4</v>
      </c>
      <c r="BA1648" s="2">
        <f t="shared" si="685"/>
        <v>2.7151639344262294E-2</v>
      </c>
      <c r="BB1648" s="2">
        <f t="shared" si="686"/>
        <v>7.1721311475409838E-3</v>
      </c>
      <c r="BC1648" s="2">
        <f t="shared" si="687"/>
        <v>0</v>
      </c>
      <c r="BD1648" s="2">
        <f t="shared" si="688"/>
        <v>7.1721311475409838E-3</v>
      </c>
      <c r="BF1648" t="s">
        <v>877</v>
      </c>
      <c r="BG1648" t="s">
        <v>1213</v>
      </c>
      <c r="BH1648">
        <v>8</v>
      </c>
      <c r="BJ1648" s="114">
        <v>29</v>
      </c>
      <c r="BK1648" s="116">
        <v>203</v>
      </c>
      <c r="BL1648" s="120">
        <f t="shared" si="679"/>
        <v>29203</v>
      </c>
      <c r="BN1648" s="5" t="s">
        <v>3154</v>
      </c>
      <c r="BY1648" s="63">
        <f t="shared" si="678"/>
        <v>3904</v>
      </c>
      <c r="CB1648" s="132"/>
      <c r="CD1648" s="63">
        <v>0</v>
      </c>
    </row>
    <row r="1649" spans="1:86" hidden="1" outlineLevel="1">
      <c r="A1649" t="s">
        <v>23</v>
      </c>
      <c r="B1649" t="s">
        <v>1213</v>
      </c>
      <c r="C1649" s="1">
        <f t="shared" si="680"/>
        <v>3274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7</v>
      </c>
      <c r="G1649" s="132">
        <f t="shared" si="667"/>
        <v>1918</v>
      </c>
      <c r="H1649" s="137">
        <f t="shared" si="668"/>
        <v>0.58582773365913254</v>
      </c>
      <c r="I1649" s="2"/>
      <c r="J1649" s="2">
        <f t="shared" si="681"/>
        <v>0.18509468540012217</v>
      </c>
      <c r="K1649" s="2">
        <f t="shared" si="682"/>
        <v>0.77092241905925474</v>
      </c>
      <c r="L1649" s="2">
        <f t="shared" si="683"/>
        <v>9.1631032376298109E-4</v>
      </c>
      <c r="M1649" s="2">
        <f t="shared" si="684"/>
        <v>4.306658521686009E-2</v>
      </c>
      <c r="N1649" s="63">
        <v>606</v>
      </c>
      <c r="O1649" s="63">
        <v>2524</v>
      </c>
      <c r="P1649" s="63">
        <v>3</v>
      </c>
      <c r="Q1649" s="63">
        <v>92</v>
      </c>
      <c r="R1649" s="63">
        <v>16</v>
      </c>
      <c r="S1649" s="63">
        <v>14</v>
      </c>
      <c r="T1649" s="63">
        <v>0</v>
      </c>
      <c r="U1649" s="63"/>
      <c r="V1649" s="63"/>
      <c r="W1649" s="63">
        <f>IF(Copyright!B$11=1,IF(CA1649&gt;0,CA1649-P1649-SUM(T1649:V1649)-SUM(X1649:AC1649)-SUM(AE1649:AM1649)-SUM(AN1649:AQ1649),SUM(CD1649:CF1649)),SUM(CD1649:CF1649))</f>
        <v>19</v>
      </c>
      <c r="X1649" s="63"/>
      <c r="Y1649" s="63">
        <v>0</v>
      </c>
      <c r="Z1649" s="63"/>
      <c r="AA1649" s="63"/>
      <c r="AB1649" s="63"/>
      <c r="AC1649" s="63"/>
      <c r="AD1649" s="63"/>
      <c r="AE1649" s="63">
        <v>0</v>
      </c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W1649" s="5">
        <f>IF(Q1649&gt;0,RANK(Q1649,(N1649:P1649,Q1649:AE1649)),0)</f>
        <v>3</v>
      </c>
      <c r="AX1649" s="5">
        <f>IF(R1649&gt;0,RANK(R1649,(N1649:P1649,Q1649:AE1649)),0)</f>
        <v>5</v>
      </c>
      <c r="AY1649" s="5">
        <f>IF(T1649&gt;0,RANK(T1649,(N1649:P1649,Q1649:AE1649)),0)</f>
        <v>0</v>
      </c>
      <c r="AZ1649" s="5">
        <f>IF(S1649&gt;0,RANK(S1649,(N1649:P1649,Q1649:AE1649)),0)</f>
        <v>6</v>
      </c>
      <c r="BA1649" s="2">
        <f t="shared" si="685"/>
        <v>2.8100183262064753E-2</v>
      </c>
      <c r="BB1649" s="2">
        <f t="shared" si="686"/>
        <v>4.8869883934025658E-3</v>
      </c>
      <c r="BC1649" s="2">
        <f t="shared" si="687"/>
        <v>0</v>
      </c>
      <c r="BD1649" s="2">
        <f t="shared" si="688"/>
        <v>4.2761148442272447E-3</v>
      </c>
      <c r="BF1649" t="s">
        <v>23</v>
      </c>
      <c r="BG1649" t="s">
        <v>1213</v>
      </c>
      <c r="BH1649">
        <v>6</v>
      </c>
      <c r="BJ1649" s="114">
        <v>29</v>
      </c>
      <c r="BK1649" s="116">
        <v>205</v>
      </c>
      <c r="BL1649" s="120">
        <f t="shared" si="679"/>
        <v>29205</v>
      </c>
      <c r="BN1649" s="5" t="s">
        <v>3154</v>
      </c>
      <c r="BY1649" s="63">
        <f t="shared" si="678"/>
        <v>0</v>
      </c>
      <c r="BZ1649" s="133">
        <v>3274</v>
      </c>
      <c r="CA1649" s="133">
        <v>22</v>
      </c>
      <c r="CB1649" s="132"/>
      <c r="CD1649" s="63">
        <v>0</v>
      </c>
    </row>
    <row r="1650" spans="1:86" hidden="1" outlineLevel="1">
      <c r="A1650" t="s">
        <v>502</v>
      </c>
      <c r="B1650" t="s">
        <v>1213</v>
      </c>
      <c r="C1650" s="1">
        <f t="shared" si="680"/>
        <v>13291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6</v>
      </c>
      <c r="G1650" s="132">
        <f t="shared" si="667"/>
        <v>9203</v>
      </c>
      <c r="H1650" s="137">
        <f t="shared" si="668"/>
        <v>0.69242344443608461</v>
      </c>
      <c r="I1650" s="2"/>
      <c r="J1650" s="2">
        <f t="shared" si="681"/>
        <v>0.14114814536152284</v>
      </c>
      <c r="K1650" s="2">
        <f t="shared" si="682"/>
        <v>0.83357158979760737</v>
      </c>
      <c r="L1650" s="2">
        <f t="shared" si="683"/>
        <v>6.0191106763975621E-4</v>
      </c>
      <c r="M1650" s="2">
        <f t="shared" si="684"/>
        <v>2.4678353773230004E-2</v>
      </c>
      <c r="N1650" s="63">
        <v>1876</v>
      </c>
      <c r="O1650" s="63">
        <v>11079</v>
      </c>
      <c r="P1650" s="63">
        <v>8</v>
      </c>
      <c r="Q1650" s="63">
        <v>238</v>
      </c>
      <c r="R1650" s="63">
        <v>45</v>
      </c>
      <c r="S1650" s="63">
        <v>45</v>
      </c>
      <c r="T1650" s="63">
        <v>0</v>
      </c>
      <c r="U1650" s="63"/>
      <c r="V1650" s="63"/>
      <c r="W1650" s="63">
        <f>IF(Copyright!B$11=1,IF(CA1650&gt;0,CA1650-P1650-SUM(T1650:V1650)-SUM(X1650:AC1650)-SUM(AE1650:AM1650)-SUM(AN1650:AQ1650),SUM(CD1650:CF1650)),SUM(CD1650:CF1650))</f>
        <v>0</v>
      </c>
      <c r="X1650" s="63"/>
      <c r="Y1650" s="63">
        <v>0</v>
      </c>
      <c r="Z1650" s="63"/>
      <c r="AA1650" s="63"/>
      <c r="AB1650" s="63"/>
      <c r="AC1650" s="63"/>
      <c r="AD1650" s="63"/>
      <c r="AE1650" s="63">
        <v>0</v>
      </c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W1650" s="5">
        <f>IF(Q1650&gt;0,RANK(Q1650,(N1650:P1650,Q1650:AE1650)),0)</f>
        <v>3</v>
      </c>
      <c r="AX1650" s="5">
        <f>IF(R1650&gt;0,RANK(R1650,(N1650:P1650,Q1650:AE1650)),0)</f>
        <v>4</v>
      </c>
      <c r="AY1650" s="5">
        <f>IF(T1650&gt;0,RANK(T1650,(N1650:P1650,Q1650:AE1650)),0)</f>
        <v>0</v>
      </c>
      <c r="AZ1650" s="5">
        <f>IF(S1650&gt;0,RANK(S1650,(N1650:P1650,Q1650:AE1650)),0)</f>
        <v>4</v>
      </c>
      <c r="BA1650" s="2">
        <f t="shared" si="685"/>
        <v>1.7906854262282747E-2</v>
      </c>
      <c r="BB1650" s="2">
        <f t="shared" si="686"/>
        <v>3.3857497554736289E-3</v>
      </c>
      <c r="BC1650" s="2">
        <f t="shared" si="687"/>
        <v>0</v>
      </c>
      <c r="BD1650" s="2">
        <f t="shared" si="688"/>
        <v>3.3857497554736289E-3</v>
      </c>
      <c r="BF1650" t="s">
        <v>502</v>
      </c>
      <c r="BG1650" t="s">
        <v>1213</v>
      </c>
      <c r="BH1650">
        <v>8</v>
      </c>
      <c r="BJ1650" s="114">
        <v>29</v>
      </c>
      <c r="BK1650" s="116">
        <v>207</v>
      </c>
      <c r="BL1650" s="120">
        <f t="shared" si="679"/>
        <v>29207</v>
      </c>
      <c r="BN1650" s="5" t="s">
        <v>3154</v>
      </c>
      <c r="BY1650" s="63">
        <f t="shared" si="678"/>
        <v>13291</v>
      </c>
      <c r="CB1650" s="132"/>
      <c r="CD1650" s="63">
        <v>0</v>
      </c>
    </row>
    <row r="1651" spans="1:86" hidden="1" outlineLevel="1">
      <c r="A1651" t="s">
        <v>1106</v>
      </c>
      <c r="B1651" t="s">
        <v>1213</v>
      </c>
      <c r="C1651" s="1">
        <f t="shared" si="680"/>
        <v>16645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7</v>
      </c>
      <c r="G1651" s="132">
        <f t="shared" si="667"/>
        <v>10271</v>
      </c>
      <c r="H1651" s="137">
        <f t="shared" si="668"/>
        <v>0.61706218083508557</v>
      </c>
      <c r="I1651" s="2"/>
      <c r="J1651" s="2">
        <f t="shared" si="681"/>
        <v>0.17344547912285971</v>
      </c>
      <c r="K1651" s="2">
        <f t="shared" si="682"/>
        <v>0.79050765995794536</v>
      </c>
      <c r="L1651" s="2">
        <f t="shared" si="683"/>
        <v>1.021327726043857E-3</v>
      </c>
      <c r="M1651" s="2">
        <f t="shared" si="684"/>
        <v>3.5025533193151097E-2</v>
      </c>
      <c r="N1651" s="63">
        <v>2887</v>
      </c>
      <c r="O1651" s="63">
        <v>13158</v>
      </c>
      <c r="P1651" s="63">
        <v>17</v>
      </c>
      <c r="Q1651" s="63">
        <v>383</v>
      </c>
      <c r="R1651" s="63">
        <v>59</v>
      </c>
      <c r="S1651" s="63">
        <v>62</v>
      </c>
      <c r="T1651" s="63">
        <v>0</v>
      </c>
      <c r="U1651" s="63"/>
      <c r="V1651" s="63"/>
      <c r="W1651" s="63">
        <f>IF(Copyright!B$11=1,IF(CA1651&gt;0,CA1651-P1651-SUM(T1651:V1651)-SUM(X1651:AC1651)-SUM(AE1651:AM1651)-SUM(AN1651:AQ1651),SUM(CD1651:CF1651)),SUM(CD1651:CF1651))</f>
        <v>78</v>
      </c>
      <c r="X1651" s="63"/>
      <c r="Y1651" s="63">
        <v>1</v>
      </c>
      <c r="Z1651" s="63"/>
      <c r="AA1651" s="63"/>
      <c r="AB1651" s="63"/>
      <c r="AC1651" s="63"/>
      <c r="AD1651" s="63"/>
      <c r="AE1651" s="63">
        <v>0</v>
      </c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W1651" s="5">
        <f>IF(Q1651&gt;0,RANK(Q1651,(N1651:P1651,Q1651:AE1651)),0)</f>
        <v>3</v>
      </c>
      <c r="AX1651" s="5">
        <f>IF(R1651&gt;0,RANK(R1651,(N1651:P1651,Q1651:AE1651)),0)</f>
        <v>6</v>
      </c>
      <c r="AY1651" s="5">
        <f>IF(T1651&gt;0,RANK(T1651,(N1651:P1651,Q1651:AE1651)),0)</f>
        <v>0</v>
      </c>
      <c r="AZ1651" s="5">
        <f>IF(S1651&gt;0,RANK(S1651,(N1651:P1651,Q1651:AE1651)),0)</f>
        <v>5</v>
      </c>
      <c r="BA1651" s="2">
        <f t="shared" si="685"/>
        <v>2.3009912886752779E-2</v>
      </c>
      <c r="BB1651" s="2">
        <f t="shared" si="686"/>
        <v>3.5446079903875037E-3</v>
      </c>
      <c r="BC1651" s="2">
        <f t="shared" si="687"/>
        <v>0</v>
      </c>
      <c r="BD1651" s="2">
        <f t="shared" si="688"/>
        <v>3.7248422949834785E-3</v>
      </c>
      <c r="BF1651" t="s">
        <v>1106</v>
      </c>
      <c r="BG1651" t="s">
        <v>1213</v>
      </c>
      <c r="BH1651">
        <v>7</v>
      </c>
      <c r="BJ1651" s="114">
        <v>29</v>
      </c>
      <c r="BK1651" s="116">
        <v>209</v>
      </c>
      <c r="BL1651" s="120">
        <f t="shared" si="679"/>
        <v>29209</v>
      </c>
      <c r="BN1651" s="5" t="s">
        <v>3154</v>
      </c>
      <c r="BY1651" s="63">
        <f t="shared" si="678"/>
        <v>0</v>
      </c>
      <c r="BZ1651" s="63">
        <v>16645</v>
      </c>
      <c r="CA1651" s="63">
        <v>96</v>
      </c>
      <c r="CB1651" s="132"/>
      <c r="CD1651" s="63">
        <v>0</v>
      </c>
    </row>
    <row r="1652" spans="1:86" hidden="1" outlineLevel="1">
      <c r="A1652" t="s">
        <v>1040</v>
      </c>
      <c r="B1652" t="s">
        <v>1213</v>
      </c>
      <c r="C1652" s="1">
        <f t="shared" si="680"/>
        <v>2486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6</v>
      </c>
      <c r="G1652" s="132">
        <f t="shared" si="667"/>
        <v>1358</v>
      </c>
      <c r="H1652" s="137">
        <f t="shared" si="668"/>
        <v>0.54625905068382941</v>
      </c>
      <c r="I1652" s="2"/>
      <c r="J1652" s="2">
        <f t="shared" si="681"/>
        <v>0.21158487530168946</v>
      </c>
      <c r="K1652" s="2">
        <f t="shared" si="682"/>
        <v>0.75784392598551886</v>
      </c>
      <c r="L1652" s="2">
        <f t="shared" si="683"/>
        <v>8.045052292839903E-4</v>
      </c>
      <c r="M1652" s="2">
        <f t="shared" si="684"/>
        <v>2.9766693483507689E-2</v>
      </c>
      <c r="N1652" s="63">
        <v>526</v>
      </c>
      <c r="O1652" s="63">
        <v>1884</v>
      </c>
      <c r="P1652" s="63">
        <v>2</v>
      </c>
      <c r="Q1652" s="63">
        <v>58</v>
      </c>
      <c r="R1652" s="63">
        <v>9</v>
      </c>
      <c r="S1652" s="63">
        <v>7</v>
      </c>
      <c r="T1652" s="63">
        <v>0</v>
      </c>
      <c r="U1652" s="63"/>
      <c r="V1652" s="63"/>
      <c r="W1652" s="63">
        <f>IF(Copyright!B$11=1,IF(CA1652&gt;0,CA1652-P1652-SUM(T1652:V1652)-SUM(X1652:AC1652)-SUM(AE1652:AM1652)-SUM(AN1652:AQ1652),SUM(CD1652:CF1652)),SUM(CD1652:CF1652))</f>
        <v>0</v>
      </c>
      <c r="X1652" s="63"/>
      <c r="Y1652" s="63">
        <v>0</v>
      </c>
      <c r="Z1652" s="63"/>
      <c r="AA1652" s="63"/>
      <c r="AB1652" s="63"/>
      <c r="AC1652" s="63"/>
      <c r="AD1652" s="63"/>
      <c r="AE1652" s="63">
        <v>0</v>
      </c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W1652" s="5">
        <f>IF(Q1652&gt;0,RANK(Q1652,(N1652:P1652,Q1652:AE1652)),0)</f>
        <v>3</v>
      </c>
      <c r="AX1652" s="5">
        <f>IF(R1652&gt;0,RANK(R1652,(N1652:P1652,Q1652:AE1652)),0)</f>
        <v>4</v>
      </c>
      <c r="AY1652" s="5">
        <f>IF(T1652&gt;0,RANK(T1652,(N1652:P1652,Q1652:AE1652)),0)</f>
        <v>0</v>
      </c>
      <c r="AZ1652" s="5">
        <f>IF(S1652&gt;0,RANK(S1652,(N1652:P1652,Q1652:AE1652)),0)</f>
        <v>5</v>
      </c>
      <c r="BA1652" s="2">
        <f t="shared" si="685"/>
        <v>2.3330651649235722E-2</v>
      </c>
      <c r="BB1652" s="2">
        <f t="shared" si="686"/>
        <v>3.6202735317779565E-3</v>
      </c>
      <c r="BC1652" s="2">
        <f t="shared" si="687"/>
        <v>0</v>
      </c>
      <c r="BD1652" s="2">
        <f t="shared" si="688"/>
        <v>2.8157683024939663E-3</v>
      </c>
      <c r="BF1652" t="s">
        <v>1040</v>
      </c>
      <c r="BG1652" t="s">
        <v>1213</v>
      </c>
      <c r="BH1652">
        <v>6</v>
      </c>
      <c r="BJ1652" s="114">
        <v>29</v>
      </c>
      <c r="BK1652" s="116">
        <v>211</v>
      </c>
      <c r="BL1652" s="120">
        <f t="shared" si="679"/>
        <v>29211</v>
      </c>
      <c r="BN1652" s="5" t="s">
        <v>3154</v>
      </c>
      <c r="BY1652" s="63">
        <f t="shared" si="678"/>
        <v>2486</v>
      </c>
      <c r="CB1652" s="132"/>
      <c r="CD1652" s="63">
        <v>0</v>
      </c>
    </row>
    <row r="1653" spans="1:86" hidden="1" outlineLevel="1">
      <c r="A1653" t="s">
        <v>1044</v>
      </c>
      <c r="B1653" t="s">
        <v>1213</v>
      </c>
      <c r="C1653" s="1">
        <f t="shared" si="680"/>
        <v>23673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7</v>
      </c>
      <c r="G1653" s="132">
        <f t="shared" si="667"/>
        <v>13903</v>
      </c>
      <c r="H1653" s="137">
        <f t="shared" si="668"/>
        <v>0.58729354116504029</v>
      </c>
      <c r="I1653" s="2"/>
      <c r="J1653" s="2">
        <f t="shared" si="681"/>
        <v>0.18472521437925063</v>
      </c>
      <c r="K1653" s="2">
        <f t="shared" si="682"/>
        <v>0.772018755544291</v>
      </c>
      <c r="L1653" s="2">
        <f t="shared" si="683"/>
        <v>2.9569551810078995E-3</v>
      </c>
      <c r="M1653" s="2">
        <f t="shared" si="684"/>
        <v>4.0299074895450496E-2</v>
      </c>
      <c r="N1653" s="63">
        <v>4373</v>
      </c>
      <c r="O1653" s="63">
        <v>18276</v>
      </c>
      <c r="P1653" s="63">
        <v>70</v>
      </c>
      <c r="Q1653" s="63">
        <v>525</v>
      </c>
      <c r="R1653" s="63">
        <v>129</v>
      </c>
      <c r="S1653" s="63">
        <v>142</v>
      </c>
      <c r="T1653" s="63">
        <v>0</v>
      </c>
      <c r="U1653" s="63"/>
      <c r="V1653" s="63"/>
      <c r="W1653" s="63">
        <f>IF(Copyright!B$11=1,IF(CA1653&gt;0,CA1653-P1653-SUM(T1653:V1653)-SUM(X1653:AC1653)-SUM(AE1653:AM1653)-SUM(AN1653:AQ1653),SUM(CD1653:CF1653)),SUM(CD1653:CF1653))</f>
        <v>158</v>
      </c>
      <c r="X1653" s="63"/>
      <c r="Y1653" s="63">
        <v>0</v>
      </c>
      <c r="Z1653" s="63"/>
      <c r="AA1653" s="63"/>
      <c r="AB1653" s="63"/>
      <c r="AC1653" s="63"/>
      <c r="AD1653" s="63"/>
      <c r="AE1653" s="63">
        <v>0</v>
      </c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W1653" s="5">
        <f>IF(Q1653&gt;0,RANK(Q1653,(N1653:P1653,Q1653:AE1653)),0)</f>
        <v>3</v>
      </c>
      <c r="AX1653" s="5">
        <f>IF(R1653&gt;0,RANK(R1653,(N1653:P1653,Q1653:AE1653)),0)</f>
        <v>6</v>
      </c>
      <c r="AY1653" s="5">
        <f>IF(T1653&gt;0,RANK(T1653,(N1653:P1653,Q1653:AE1653)),0)</f>
        <v>0</v>
      </c>
      <c r="AZ1653" s="5">
        <f>IF(S1653&gt;0,RANK(S1653,(N1653:P1653,Q1653:AE1653)),0)</f>
        <v>5</v>
      </c>
      <c r="BA1653" s="2">
        <f t="shared" si="685"/>
        <v>2.2177163857559246E-2</v>
      </c>
      <c r="BB1653" s="2">
        <f t="shared" si="686"/>
        <v>5.4492459764288433E-3</v>
      </c>
      <c r="BC1653" s="2">
        <f t="shared" si="687"/>
        <v>0</v>
      </c>
      <c r="BD1653" s="2">
        <f t="shared" si="688"/>
        <v>5.9983947957588813E-3</v>
      </c>
      <c r="BF1653" t="s">
        <v>1044</v>
      </c>
      <c r="BG1653" t="s">
        <v>1213</v>
      </c>
      <c r="BH1653">
        <v>7</v>
      </c>
      <c r="BJ1653" s="114">
        <v>29</v>
      </c>
      <c r="BK1653" s="116">
        <v>213</v>
      </c>
      <c r="BL1653" s="120">
        <f t="shared" si="679"/>
        <v>29213</v>
      </c>
      <c r="BN1653" s="5" t="s">
        <v>3154</v>
      </c>
      <c r="BY1653" s="63">
        <f t="shared" si="678"/>
        <v>46</v>
      </c>
      <c r="BZ1653" s="133">
        <v>23627</v>
      </c>
      <c r="CA1653" s="133">
        <v>228</v>
      </c>
      <c r="CB1653" s="132"/>
      <c r="CD1653" s="63">
        <v>0</v>
      </c>
    </row>
    <row r="1654" spans="1:86" hidden="1" outlineLevel="1">
      <c r="A1654" t="s">
        <v>492</v>
      </c>
      <c r="B1654" t="s">
        <v>1213</v>
      </c>
      <c r="C1654" s="1">
        <f t="shared" si="680"/>
        <v>10956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6</v>
      </c>
      <c r="G1654" s="132">
        <f t="shared" si="667"/>
        <v>7147</v>
      </c>
      <c r="H1654" s="137">
        <f t="shared" si="668"/>
        <v>0.65233661920408903</v>
      </c>
      <c r="I1654" s="2"/>
      <c r="J1654" s="2">
        <f t="shared" si="681"/>
        <v>0.15772179627601315</v>
      </c>
      <c r="K1654" s="2">
        <f t="shared" si="682"/>
        <v>0.81005841548010227</v>
      </c>
      <c r="L1654" s="2">
        <f t="shared" si="683"/>
        <v>1.9167579408543264E-3</v>
      </c>
      <c r="M1654" s="2">
        <f t="shared" si="684"/>
        <v>3.030303030303028E-2</v>
      </c>
      <c r="N1654" s="63">
        <v>1728</v>
      </c>
      <c r="O1654" s="63">
        <v>8875</v>
      </c>
      <c r="P1654" s="63">
        <v>21</v>
      </c>
      <c r="Q1654" s="63">
        <v>222</v>
      </c>
      <c r="R1654" s="63">
        <v>52</v>
      </c>
      <c r="S1654" s="63">
        <v>58</v>
      </c>
      <c r="T1654" s="63">
        <v>0</v>
      </c>
      <c r="U1654" s="63"/>
      <c r="V1654" s="63"/>
      <c r="W1654" s="63">
        <f>IF(Copyright!B$11=1,IF(CA1654&gt;0,CA1654-P1654-SUM(T1654:V1654)-SUM(X1654:AC1654)-SUM(AE1654:AM1654)-SUM(AN1654:AQ1654),SUM(CD1654:CF1654)),SUM(CD1654:CF1654))</f>
        <v>0</v>
      </c>
      <c r="X1654" s="63"/>
      <c r="Y1654" s="63">
        <v>0</v>
      </c>
      <c r="Z1654" s="63"/>
      <c r="AA1654" s="63"/>
      <c r="AB1654" s="63"/>
      <c r="AC1654" s="63"/>
      <c r="AD1654" s="63"/>
      <c r="AE1654" s="63">
        <v>0</v>
      </c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W1654" s="5">
        <f>IF(Q1654&gt;0,RANK(Q1654,(N1654:P1654,Q1654:AE1654)),0)</f>
        <v>3</v>
      </c>
      <c r="AX1654" s="5">
        <f>IF(R1654&gt;0,RANK(R1654,(N1654:P1654,Q1654:AE1654)),0)</f>
        <v>5</v>
      </c>
      <c r="AY1654" s="5">
        <f>IF(T1654&gt;0,RANK(T1654,(N1654:P1654,Q1654:AE1654)),0)</f>
        <v>0</v>
      </c>
      <c r="AZ1654" s="5">
        <f>IF(S1654&gt;0,RANK(S1654,(N1654:P1654,Q1654:AE1654)),0)</f>
        <v>4</v>
      </c>
      <c r="BA1654" s="2">
        <f t="shared" si="685"/>
        <v>2.0262869660460023E-2</v>
      </c>
      <c r="BB1654" s="2">
        <f t="shared" si="686"/>
        <v>4.7462577583059513E-3</v>
      </c>
      <c r="BC1654" s="2">
        <f t="shared" si="687"/>
        <v>0</v>
      </c>
      <c r="BD1654" s="2">
        <f t="shared" si="688"/>
        <v>5.2939028842643298E-3</v>
      </c>
      <c r="BF1654" t="s">
        <v>492</v>
      </c>
      <c r="BG1654" t="s">
        <v>1213</v>
      </c>
      <c r="BH1654">
        <v>8</v>
      </c>
      <c r="BJ1654" s="114">
        <v>29</v>
      </c>
      <c r="BK1654" s="116">
        <v>215</v>
      </c>
      <c r="BL1654" s="120">
        <f t="shared" si="679"/>
        <v>29215</v>
      </c>
      <c r="BN1654" s="5" t="s">
        <v>3154</v>
      </c>
      <c r="BY1654" s="63">
        <f t="shared" si="678"/>
        <v>10956</v>
      </c>
      <c r="CB1654" s="132"/>
      <c r="CD1654" s="63">
        <v>0</v>
      </c>
    </row>
    <row r="1655" spans="1:86" hidden="1" outlineLevel="1">
      <c r="A1655" t="s">
        <v>1864</v>
      </c>
      <c r="B1655" t="s">
        <v>1213</v>
      </c>
      <c r="C1655" s="1">
        <f t="shared" si="680"/>
        <v>8631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7</v>
      </c>
      <c r="G1655" s="132">
        <f t="shared" si="667"/>
        <v>4826</v>
      </c>
      <c r="H1655" s="137">
        <f t="shared" si="668"/>
        <v>0.55914725987718683</v>
      </c>
      <c r="I1655" s="2"/>
      <c r="J1655" s="2">
        <f t="shared" si="681"/>
        <v>0.19777546054918319</v>
      </c>
      <c r="K1655" s="2">
        <f t="shared" si="682"/>
        <v>0.7569227204263701</v>
      </c>
      <c r="L1655" s="2">
        <f t="shared" si="683"/>
        <v>1.6220600162206002E-3</v>
      </c>
      <c r="M1655" s="2">
        <f t="shared" si="684"/>
        <v>4.3679759008226141E-2</v>
      </c>
      <c r="N1655" s="63">
        <v>1707</v>
      </c>
      <c r="O1655" s="63">
        <v>6533</v>
      </c>
      <c r="P1655" s="63">
        <v>14</v>
      </c>
      <c r="Q1655" s="63">
        <v>236</v>
      </c>
      <c r="R1655" s="63">
        <v>67</v>
      </c>
      <c r="S1655" s="63">
        <v>42</v>
      </c>
      <c r="T1655" s="63">
        <v>0</v>
      </c>
      <c r="U1655" s="63"/>
      <c r="V1655" s="63"/>
      <c r="W1655" s="63">
        <f>IF(Copyright!B$11=1,IF(CA1655&gt;0,CA1655-P1655-SUM(T1655:V1655)-SUM(X1655:AC1655)-SUM(AE1655:AM1655)-SUM(AN1655:AQ1655),SUM(CD1655:CF1655)),SUM(CD1655:CF1655))</f>
        <v>32</v>
      </c>
      <c r="X1655" s="63"/>
      <c r="Y1655" s="63">
        <v>0</v>
      </c>
      <c r="Z1655" s="63"/>
      <c r="AA1655" s="63"/>
      <c r="AB1655" s="63"/>
      <c r="AC1655" s="63"/>
      <c r="AD1655" s="63"/>
      <c r="AE1655" s="63">
        <v>0</v>
      </c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W1655" s="5">
        <f>IF(Q1655&gt;0,RANK(Q1655,(N1655:P1655,Q1655:AE1655)),0)</f>
        <v>3</v>
      </c>
      <c r="AX1655" s="5">
        <f>IF(R1655&gt;0,RANK(R1655,(N1655:P1655,Q1655:AE1655)),0)</f>
        <v>4</v>
      </c>
      <c r="AY1655" s="5">
        <f>IF(T1655&gt;0,RANK(T1655,(N1655:P1655,Q1655:AE1655)),0)</f>
        <v>0</v>
      </c>
      <c r="AZ1655" s="5">
        <f>IF(S1655&gt;0,RANK(S1655,(N1655:P1655,Q1655:AE1655)),0)</f>
        <v>5</v>
      </c>
      <c r="BA1655" s="2">
        <f t="shared" si="685"/>
        <v>2.7343297416290116E-2</v>
      </c>
      <c r="BB1655" s="2">
        <f t="shared" si="686"/>
        <v>7.762715791912872E-3</v>
      </c>
      <c r="BC1655" s="2">
        <f t="shared" si="687"/>
        <v>0</v>
      </c>
      <c r="BD1655" s="2">
        <f t="shared" si="688"/>
        <v>4.8661800486618006E-3</v>
      </c>
      <c r="BF1655" t="s">
        <v>1864</v>
      </c>
      <c r="BG1655" t="s">
        <v>1213</v>
      </c>
      <c r="BH1655">
        <v>4</v>
      </c>
      <c r="BJ1655" s="114">
        <v>29</v>
      </c>
      <c r="BK1655" s="116">
        <v>217</v>
      </c>
      <c r="BL1655" s="120">
        <f t="shared" si="679"/>
        <v>29217</v>
      </c>
      <c r="BN1655" s="5" t="s">
        <v>3154</v>
      </c>
      <c r="BY1655" s="63">
        <f t="shared" si="678"/>
        <v>9</v>
      </c>
      <c r="BZ1655" s="133">
        <f>1706+6526+235+42+67+46</f>
        <v>8622</v>
      </c>
      <c r="CA1655" s="133">
        <v>46</v>
      </c>
      <c r="CB1655" s="132"/>
      <c r="CD1655" s="63">
        <v>0</v>
      </c>
    </row>
    <row r="1656" spans="1:86" hidden="1" outlineLevel="1">
      <c r="A1656" t="s">
        <v>422</v>
      </c>
      <c r="B1656" t="s">
        <v>1213</v>
      </c>
      <c r="C1656" s="1">
        <f t="shared" si="680"/>
        <v>15784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6</v>
      </c>
      <c r="G1656" s="132">
        <f t="shared" si="667"/>
        <v>7196</v>
      </c>
      <c r="H1656" s="137">
        <f t="shared" si="668"/>
        <v>0.45590471363405982</v>
      </c>
      <c r="I1656" s="2"/>
      <c r="J1656" s="2">
        <f t="shared" si="681"/>
        <v>0.24803598580841357</v>
      </c>
      <c r="K1656" s="2">
        <f t="shared" si="682"/>
        <v>0.70394069944247339</v>
      </c>
      <c r="L1656" s="2">
        <f t="shared" si="683"/>
        <v>1.0136847440446021E-3</v>
      </c>
      <c r="M1656" s="2">
        <f t="shared" si="684"/>
        <v>4.7009630005068428E-2</v>
      </c>
      <c r="N1656" s="63">
        <v>3915</v>
      </c>
      <c r="O1656" s="63">
        <v>11111</v>
      </c>
      <c r="P1656" s="63">
        <v>16</v>
      </c>
      <c r="Q1656" s="63">
        <v>534</v>
      </c>
      <c r="R1656" s="63">
        <v>116</v>
      </c>
      <c r="S1656" s="63">
        <v>92</v>
      </c>
      <c r="T1656" s="63">
        <v>0</v>
      </c>
      <c r="U1656" s="63"/>
      <c r="V1656" s="63"/>
      <c r="W1656" s="63">
        <f>IF(Copyright!B$11=1,IF(CA1656&gt;0,CA1656-P1656-SUM(T1656:V1656)-SUM(X1656:AC1656)-SUM(AE1656:AM1656)-SUM(AN1656:AQ1656),SUM(CD1656:CF1656)),SUM(CD1656:CF1656))</f>
        <v>0</v>
      </c>
      <c r="X1656" s="63"/>
      <c r="Y1656" s="63">
        <v>0</v>
      </c>
      <c r="Z1656" s="63"/>
      <c r="AA1656" s="63"/>
      <c r="AB1656" s="63"/>
      <c r="AC1656" s="63"/>
      <c r="AD1656" s="63"/>
      <c r="AE1656" s="63">
        <v>0</v>
      </c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W1656" s="5">
        <f>IF(Q1656&gt;0,RANK(Q1656,(N1656:P1656,Q1656:AE1656)),0)</f>
        <v>3</v>
      </c>
      <c r="AX1656" s="5">
        <f>IF(R1656&gt;0,RANK(R1656,(N1656:P1656,Q1656:AE1656)),0)</f>
        <v>4</v>
      </c>
      <c r="AY1656" s="5">
        <f>IF(T1656&gt;0,RANK(T1656,(N1656:P1656,Q1656:AE1656)),0)</f>
        <v>0</v>
      </c>
      <c r="AZ1656" s="5">
        <f>IF(S1656&gt;0,RANK(S1656,(N1656:P1656,Q1656:AE1656)),0)</f>
        <v>5</v>
      </c>
      <c r="BA1656" s="2">
        <f t="shared" si="685"/>
        <v>3.3831728332488598E-2</v>
      </c>
      <c r="BB1656" s="2">
        <f t="shared" si="686"/>
        <v>7.3492143943233654E-3</v>
      </c>
      <c r="BC1656" s="2">
        <f t="shared" si="687"/>
        <v>0</v>
      </c>
      <c r="BD1656" s="2">
        <f t="shared" si="688"/>
        <v>5.8286872782564621E-3</v>
      </c>
      <c r="BF1656" t="s">
        <v>422</v>
      </c>
      <c r="BG1656" t="s">
        <v>1213</v>
      </c>
      <c r="BH1656">
        <v>3</v>
      </c>
      <c r="BJ1656" s="114">
        <v>29</v>
      </c>
      <c r="BK1656" s="116">
        <v>219</v>
      </c>
      <c r="BL1656" s="120">
        <f t="shared" si="679"/>
        <v>29219</v>
      </c>
      <c r="BN1656" s="5" t="s">
        <v>3154</v>
      </c>
      <c r="BY1656" s="63">
        <f t="shared" si="678"/>
        <v>15784</v>
      </c>
      <c r="CB1656" s="132"/>
      <c r="CD1656" s="63">
        <v>0</v>
      </c>
    </row>
    <row r="1657" spans="1:86" hidden="1" outlineLevel="1">
      <c r="A1657" t="s">
        <v>692</v>
      </c>
      <c r="B1657" t="s">
        <v>1213</v>
      </c>
      <c r="C1657" s="1">
        <f t="shared" si="680"/>
        <v>9331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7</v>
      </c>
      <c r="G1657" s="132">
        <f t="shared" si="667"/>
        <v>5122</v>
      </c>
      <c r="H1657" s="137">
        <f t="shared" si="668"/>
        <v>0.54892294502196981</v>
      </c>
      <c r="I1657" s="2"/>
      <c r="J1657" s="2">
        <f t="shared" si="681"/>
        <v>0.2064087450434037</v>
      </c>
      <c r="K1657" s="2">
        <f t="shared" si="682"/>
        <v>0.75533169006537348</v>
      </c>
      <c r="L1657" s="2">
        <f t="shared" si="683"/>
        <v>2.143392991104919E-4</v>
      </c>
      <c r="M1657" s="2">
        <f t="shared" si="684"/>
        <v>3.8045225592112347E-2</v>
      </c>
      <c r="N1657" s="63">
        <v>1926</v>
      </c>
      <c r="O1657" s="63">
        <v>7048</v>
      </c>
      <c r="P1657" s="63">
        <v>2</v>
      </c>
      <c r="Q1657" s="63">
        <v>197</v>
      </c>
      <c r="R1657" s="63">
        <v>60</v>
      </c>
      <c r="S1657" s="63">
        <v>49</v>
      </c>
      <c r="T1657" s="63">
        <v>0</v>
      </c>
      <c r="U1657" s="63"/>
      <c r="V1657" s="63"/>
      <c r="W1657" s="63">
        <f>IF(Copyright!B$11=1,IF(CA1657&gt;0,CA1657-P1657-SUM(T1657:V1657)-SUM(X1657:AC1657)-SUM(AE1657:AM1657)-SUM(AN1657:AQ1657),SUM(CD1657:CF1657)),SUM(CD1657:CF1657))</f>
        <v>49</v>
      </c>
      <c r="X1657" s="63"/>
      <c r="Y1657" s="63">
        <v>0</v>
      </c>
      <c r="Z1657" s="63"/>
      <c r="AA1657" s="63"/>
      <c r="AB1657" s="63"/>
      <c r="AC1657" s="63"/>
      <c r="AD1657" s="63"/>
      <c r="AE1657" s="63">
        <v>0</v>
      </c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W1657" s="5">
        <f>IF(Q1657&gt;0,RANK(Q1657,(N1657:P1657,Q1657:AE1657)),0)</f>
        <v>3</v>
      </c>
      <c r="AX1657" s="5">
        <f>IF(R1657&gt;0,RANK(R1657,(N1657:P1657,Q1657:AE1657)),0)</f>
        <v>4</v>
      </c>
      <c r="AY1657" s="5">
        <f>IF(T1657&gt;0,RANK(T1657,(N1657:P1657,Q1657:AE1657)),0)</f>
        <v>0</v>
      </c>
      <c r="AZ1657" s="5">
        <f>IF(S1657&gt;0,RANK(S1657,(N1657:P1657,Q1657:AE1657)),0)</f>
        <v>5</v>
      </c>
      <c r="BA1657" s="2">
        <f t="shared" si="685"/>
        <v>2.1112420962383454E-2</v>
      </c>
      <c r="BB1657" s="2">
        <f t="shared" si="686"/>
        <v>6.4301789733147569E-3</v>
      </c>
      <c r="BC1657" s="2">
        <f t="shared" si="687"/>
        <v>0</v>
      </c>
      <c r="BD1657" s="2">
        <f t="shared" si="688"/>
        <v>5.2513128282070517E-3</v>
      </c>
      <c r="BF1657" t="s">
        <v>692</v>
      </c>
      <c r="BG1657" t="s">
        <v>1213</v>
      </c>
      <c r="BH1657">
        <v>8</v>
      </c>
      <c r="BJ1657" s="114">
        <v>29</v>
      </c>
      <c r="BK1657" s="116">
        <v>221</v>
      </c>
      <c r="BL1657" s="120">
        <f t="shared" si="679"/>
        <v>29221</v>
      </c>
      <c r="BN1657" s="5" t="s">
        <v>3154</v>
      </c>
      <c r="BY1657" s="63">
        <f t="shared" si="678"/>
        <v>0</v>
      </c>
      <c r="BZ1657" s="63">
        <v>9331</v>
      </c>
      <c r="CA1657" s="63">
        <f>49+2</f>
        <v>51</v>
      </c>
      <c r="CB1657" s="132"/>
      <c r="CD1657" s="63">
        <v>0</v>
      </c>
    </row>
    <row r="1658" spans="1:86" hidden="1" outlineLevel="1">
      <c r="A1658" t="s">
        <v>423</v>
      </c>
      <c r="B1658" t="s">
        <v>1213</v>
      </c>
      <c r="C1658" s="1">
        <f t="shared" si="680"/>
        <v>5762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32">
        <f t="shared" si="667"/>
        <v>3710</v>
      </c>
      <c r="H1658" s="137">
        <f t="shared" si="668"/>
        <v>0.64387365498090943</v>
      </c>
      <c r="I1658" s="2"/>
      <c r="J1658" s="2">
        <f t="shared" si="681"/>
        <v>0.16452620617841027</v>
      </c>
      <c r="K1658" s="2">
        <f t="shared" si="682"/>
        <v>0.80839986115931972</v>
      </c>
      <c r="L1658" s="2">
        <f t="shared" si="683"/>
        <v>0</v>
      </c>
      <c r="M1658" s="2">
        <f t="shared" si="684"/>
        <v>2.7073932662269984E-2</v>
      </c>
      <c r="N1658" s="63">
        <v>948</v>
      </c>
      <c r="O1658" s="63">
        <v>4658</v>
      </c>
      <c r="P1658" s="63">
        <v>0</v>
      </c>
      <c r="Q1658" s="63">
        <v>107</v>
      </c>
      <c r="R1658" s="63">
        <v>29</v>
      </c>
      <c r="S1658" s="63">
        <v>19</v>
      </c>
      <c r="T1658" s="63">
        <v>0</v>
      </c>
      <c r="U1658" s="63"/>
      <c r="V1658" s="63"/>
      <c r="W1658" s="63">
        <f>IF(Copyright!B$11=1,IF(CA1658&gt;0,CA1658-P1658-SUM(T1658:V1658)-SUM(X1658:AC1658)-SUM(AE1658:AM1658)-SUM(AN1658:AQ1658),SUM(CD1658:CF1658)),SUM(CD1658:CF1658))</f>
        <v>0</v>
      </c>
      <c r="X1658" s="63"/>
      <c r="Y1658" s="63">
        <v>0</v>
      </c>
      <c r="Z1658" s="63"/>
      <c r="AA1658" s="63"/>
      <c r="AB1658" s="63"/>
      <c r="AC1658" s="63"/>
      <c r="AD1658" s="63"/>
      <c r="AE1658" s="63">
        <v>1</v>
      </c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W1658" s="5">
        <f>IF(Q1658&gt;0,RANK(Q1658,(N1658:P1658,Q1658:AE1658)),0)</f>
        <v>3</v>
      </c>
      <c r="AX1658" s="5">
        <f>IF(R1658&gt;0,RANK(R1658,(N1658:P1658,Q1658:AE1658)),0)</f>
        <v>4</v>
      </c>
      <c r="AY1658" s="5">
        <f>IF(T1658&gt;0,RANK(T1658,(N1658:P1658,Q1658:AE1658)),0)</f>
        <v>0</v>
      </c>
      <c r="AZ1658" s="5">
        <f>IF(S1658&gt;0,RANK(S1658,(N1658:P1658,Q1658:AE1658)),0)</f>
        <v>5</v>
      </c>
      <c r="BA1658" s="2">
        <f t="shared" si="685"/>
        <v>1.8569940992710865E-2</v>
      </c>
      <c r="BB1658" s="2">
        <f t="shared" si="686"/>
        <v>5.0329746615758418E-3</v>
      </c>
      <c r="BC1658" s="2">
        <f t="shared" si="687"/>
        <v>0</v>
      </c>
      <c r="BD1658" s="2">
        <f t="shared" si="688"/>
        <v>3.297466157584172E-3</v>
      </c>
      <c r="BF1658" t="s">
        <v>423</v>
      </c>
      <c r="BG1658" t="s">
        <v>1213</v>
      </c>
      <c r="BH1658">
        <v>8</v>
      </c>
      <c r="BJ1658" s="114">
        <v>29</v>
      </c>
      <c r="BK1658" s="116">
        <v>223</v>
      </c>
      <c r="BL1658" s="120">
        <f t="shared" si="679"/>
        <v>29223</v>
      </c>
      <c r="BN1658" s="5" t="s">
        <v>3154</v>
      </c>
      <c r="BY1658" s="63">
        <f t="shared" si="678"/>
        <v>5762</v>
      </c>
      <c r="CB1658" s="132"/>
      <c r="CD1658" s="63">
        <v>0</v>
      </c>
    </row>
    <row r="1659" spans="1:86" hidden="1" outlineLevel="1">
      <c r="A1659" t="s">
        <v>697</v>
      </c>
      <c r="B1659" t="s">
        <v>1213</v>
      </c>
      <c r="C1659" s="1">
        <f t="shared" si="680"/>
        <v>16743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6</v>
      </c>
      <c r="G1659" s="132">
        <f t="shared" si="667"/>
        <v>9663</v>
      </c>
      <c r="H1659" s="137">
        <f t="shared" si="668"/>
        <v>0.57713671385056442</v>
      </c>
      <c r="I1659" s="2"/>
      <c r="J1659" s="2">
        <f t="shared" si="681"/>
        <v>0.18975094069163231</v>
      </c>
      <c r="K1659" s="2">
        <f t="shared" si="682"/>
        <v>0.76688765454219676</v>
      </c>
      <c r="L1659" s="2">
        <f t="shared" si="683"/>
        <v>2.1501523024547572E-3</v>
      </c>
      <c r="M1659" s="2">
        <f t="shared" si="684"/>
        <v>4.1211252463716139E-2</v>
      </c>
      <c r="N1659" s="63">
        <v>3177</v>
      </c>
      <c r="O1659" s="63">
        <v>12840</v>
      </c>
      <c r="P1659" s="63">
        <v>36</v>
      </c>
      <c r="Q1659" s="63">
        <v>515</v>
      </c>
      <c r="R1659" s="63">
        <v>85</v>
      </c>
      <c r="S1659" s="63">
        <v>90</v>
      </c>
      <c r="T1659" s="63">
        <v>0</v>
      </c>
      <c r="U1659" s="63"/>
      <c r="V1659" s="63"/>
      <c r="W1659" s="63">
        <f>IF(Copyright!B$11=1,IF(CA1659&gt;0,CA1659-P1659-SUM(T1659:V1659)-SUM(X1659:AC1659)-SUM(AE1659:AM1659)-SUM(AN1659:AQ1659),SUM(CD1659:CF1659)),SUM(CD1659:CF1659))</f>
        <v>0</v>
      </c>
      <c r="X1659" s="63"/>
      <c r="Y1659" s="63">
        <v>0</v>
      </c>
      <c r="Z1659" s="63"/>
      <c r="AA1659" s="63"/>
      <c r="AB1659" s="63"/>
      <c r="AC1659" s="63"/>
      <c r="AD1659" s="63"/>
      <c r="AE1659" s="63">
        <v>0</v>
      </c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W1659" s="5">
        <f>IF(Q1659&gt;0,RANK(Q1659,(N1659:P1659,Q1659:AE1659)),0)</f>
        <v>3</v>
      </c>
      <c r="AX1659" s="5">
        <f>IF(R1659&gt;0,RANK(R1659,(N1659:P1659,Q1659:AE1659)),0)</f>
        <v>5</v>
      </c>
      <c r="AY1659" s="5">
        <f>IF(T1659&gt;0,RANK(T1659,(N1659:P1659,Q1659:AE1659)),0)</f>
        <v>0</v>
      </c>
      <c r="AZ1659" s="5">
        <f>IF(S1659&gt;0,RANK(S1659,(N1659:P1659,Q1659:AE1659)),0)</f>
        <v>4</v>
      </c>
      <c r="BA1659" s="2">
        <f t="shared" si="685"/>
        <v>3.0759123215672222E-2</v>
      </c>
      <c r="BB1659" s="2">
        <f t="shared" si="686"/>
        <v>5.0767484919070653E-3</v>
      </c>
      <c r="BC1659" s="2">
        <f t="shared" si="687"/>
        <v>0</v>
      </c>
      <c r="BD1659" s="2">
        <f t="shared" si="688"/>
        <v>5.3753807561368926E-3</v>
      </c>
      <c r="BF1659" t="s">
        <v>697</v>
      </c>
      <c r="BG1659" t="s">
        <v>1213</v>
      </c>
      <c r="BJ1659" s="114">
        <v>29</v>
      </c>
      <c r="BK1659" s="116">
        <v>225</v>
      </c>
      <c r="BL1659" s="120">
        <f t="shared" si="679"/>
        <v>29225</v>
      </c>
      <c r="BN1659" s="5" t="s">
        <v>3154</v>
      </c>
      <c r="BY1659" s="63">
        <f t="shared" si="678"/>
        <v>16743</v>
      </c>
      <c r="CB1659" s="132"/>
      <c r="CD1659" s="63">
        <v>0</v>
      </c>
    </row>
    <row r="1660" spans="1:86" hidden="1" outlineLevel="1">
      <c r="A1660" t="s">
        <v>1837</v>
      </c>
      <c r="B1660" t="s">
        <v>1213</v>
      </c>
      <c r="C1660" s="1">
        <f t="shared" si="680"/>
        <v>1046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32">
        <f t="shared" si="667"/>
        <v>613</v>
      </c>
      <c r="H1660" s="137">
        <f t="shared" si="668"/>
        <v>0.58604206500956024</v>
      </c>
      <c r="I1660" s="2"/>
      <c r="J1660" s="2">
        <f t="shared" si="681"/>
        <v>0.18642447418738051</v>
      </c>
      <c r="K1660" s="2">
        <f t="shared" si="682"/>
        <v>0.77246653919694075</v>
      </c>
      <c r="L1660" s="2">
        <f t="shared" si="683"/>
        <v>0</v>
      </c>
      <c r="M1660" s="2">
        <f t="shared" si="684"/>
        <v>4.1108986615678744E-2</v>
      </c>
      <c r="N1660" s="63">
        <v>195</v>
      </c>
      <c r="O1660" s="63">
        <v>808</v>
      </c>
      <c r="P1660" s="63">
        <v>0</v>
      </c>
      <c r="Q1660" s="63">
        <v>32</v>
      </c>
      <c r="R1660" s="63">
        <v>5</v>
      </c>
      <c r="S1660" s="63">
        <v>6</v>
      </c>
      <c r="T1660" s="63">
        <v>0</v>
      </c>
      <c r="U1660" s="63"/>
      <c r="V1660" s="63"/>
      <c r="W1660" s="63">
        <f>IF(Copyright!B$11=1,IF(CA1660&gt;0,CA1660-P1660-SUM(T1660:V1660)-SUM(X1660:AC1660)-SUM(AE1660:AM1660)-SUM(AN1660:AQ1660),SUM(CD1660:CF1660)),SUM(CD1660:CF1660))</f>
        <v>0</v>
      </c>
      <c r="X1660" s="63"/>
      <c r="Y1660" s="63">
        <v>0</v>
      </c>
      <c r="Z1660" s="63"/>
      <c r="AA1660" s="63"/>
      <c r="AB1660" s="63"/>
      <c r="AC1660" s="63"/>
      <c r="AD1660" s="63"/>
      <c r="AE1660" s="63">
        <v>0</v>
      </c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W1660" s="5">
        <f>IF(Q1660&gt;0,RANK(Q1660,(N1660:P1660,Q1660:AE1660)),0)</f>
        <v>3</v>
      </c>
      <c r="AX1660" s="5">
        <f>IF(R1660&gt;0,RANK(R1660,(N1660:P1660,Q1660:AE1660)),0)</f>
        <v>5</v>
      </c>
      <c r="AY1660" s="5">
        <f>IF(T1660&gt;0,RANK(T1660,(N1660:P1660,Q1660:AE1660)),0)</f>
        <v>0</v>
      </c>
      <c r="AZ1660" s="5">
        <f>IF(S1660&gt;0,RANK(S1660,(N1660:P1660,Q1660:AE1660)),0)</f>
        <v>4</v>
      </c>
      <c r="BA1660" s="2">
        <f t="shared" si="685"/>
        <v>3.0592734225621414E-2</v>
      </c>
      <c r="BB1660" s="2">
        <f t="shared" si="686"/>
        <v>4.7801147227533461E-3</v>
      </c>
      <c r="BC1660" s="2">
        <f t="shared" si="687"/>
        <v>0</v>
      </c>
      <c r="BD1660" s="2">
        <f t="shared" si="688"/>
        <v>5.7361376673040155E-3</v>
      </c>
      <c r="BF1660" t="s">
        <v>1837</v>
      </c>
      <c r="BG1660" t="s">
        <v>1213</v>
      </c>
      <c r="BH1660">
        <v>6</v>
      </c>
      <c r="BJ1660" s="114">
        <v>29</v>
      </c>
      <c r="BK1660" s="116">
        <v>227</v>
      </c>
      <c r="BL1660" s="120">
        <f t="shared" si="679"/>
        <v>29227</v>
      </c>
      <c r="BN1660" s="5" t="s">
        <v>3154</v>
      </c>
      <c r="BY1660" s="63">
        <f t="shared" si="678"/>
        <v>1046</v>
      </c>
      <c r="CB1660" s="132"/>
      <c r="CD1660" s="63">
        <v>0</v>
      </c>
    </row>
    <row r="1661" spans="1:86" hidden="1" outlineLevel="1">
      <c r="A1661" t="s">
        <v>341</v>
      </c>
      <c r="B1661" t="s">
        <v>1213</v>
      </c>
      <c r="C1661" s="1">
        <f t="shared" si="680"/>
        <v>8119</v>
      </c>
      <c r="D1661" s="5">
        <f>IF(N1661&gt;0, RANK(N1661,(N1661:P1661,Q1661:AE1661)),0)</f>
        <v>2</v>
      </c>
      <c r="E1661" s="5">
        <f>IF(O1661&gt;0,RANK(O1661,(N1661:P1661,Q1661:AE1661)),0)</f>
        <v>1</v>
      </c>
      <c r="F1661" s="5">
        <f>IF(P1661&gt;0,RANK(P1661,(N1661:P1661,Q1661:AE1661)),0)</f>
        <v>5</v>
      </c>
      <c r="G1661" s="132">
        <f t="shared" si="667"/>
        <v>5537</v>
      </c>
      <c r="H1661" s="137">
        <f t="shared" si="668"/>
        <v>0.68198053947530479</v>
      </c>
      <c r="I1661" s="2"/>
      <c r="J1661" s="2">
        <f t="shared" si="681"/>
        <v>0.14410641704643429</v>
      </c>
      <c r="K1661" s="2">
        <f t="shared" si="682"/>
        <v>0.82608695652173914</v>
      </c>
      <c r="L1661" s="2">
        <f t="shared" si="683"/>
        <v>3.0791969454366302E-3</v>
      </c>
      <c r="M1661" s="2">
        <f t="shared" si="684"/>
        <v>2.6727429486389891E-2</v>
      </c>
      <c r="N1661" s="63">
        <v>1170</v>
      </c>
      <c r="O1661" s="63">
        <v>6707</v>
      </c>
      <c r="P1661" s="63">
        <v>25</v>
      </c>
      <c r="Q1661" s="63">
        <v>153</v>
      </c>
      <c r="R1661" s="63">
        <v>22</v>
      </c>
      <c r="S1661" s="63">
        <v>42</v>
      </c>
      <c r="T1661" s="63">
        <v>0</v>
      </c>
      <c r="U1661" s="63"/>
      <c r="V1661" s="63"/>
      <c r="W1661" s="63">
        <f>IF(Copyright!B$11=1,IF(CA1661&gt;0,CA1661-P1661-SUM(T1661:V1661)-SUM(X1661:AC1661)-SUM(AE1661:AM1661)-SUM(AN1661:AQ1661),SUM(CD1661:CF1661)),SUM(CD1661:CF1661))</f>
        <v>0</v>
      </c>
      <c r="X1661" s="63"/>
      <c r="Y1661" s="63">
        <v>0</v>
      </c>
      <c r="Z1661" s="63"/>
      <c r="AA1661" s="63"/>
      <c r="AB1661" s="63"/>
      <c r="AC1661" s="63"/>
      <c r="AD1661" s="63"/>
      <c r="AE1661" s="63">
        <v>0</v>
      </c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W1661" s="5">
        <f>IF(Q1661&gt;0,RANK(Q1661,(N1661:P1661,Q1661:AE1661)),0)</f>
        <v>3</v>
      </c>
      <c r="AX1661" s="5">
        <f>IF(R1661&gt;0,RANK(R1661,(N1661:P1661,Q1661:AE1661)),0)</f>
        <v>6</v>
      </c>
      <c r="AY1661" s="5">
        <f>IF(T1661&gt;0,RANK(T1661,(N1661:P1661,Q1661:AE1661)),0)</f>
        <v>0</v>
      </c>
      <c r="AZ1661" s="5">
        <f>IF(S1661&gt;0,RANK(S1661,(N1661:P1661,Q1661:AE1661)),0)</f>
        <v>4</v>
      </c>
      <c r="BA1661" s="2">
        <f t="shared" si="685"/>
        <v>1.8844685306072178E-2</v>
      </c>
      <c r="BB1661" s="2">
        <f t="shared" si="686"/>
        <v>2.7096933119842345E-3</v>
      </c>
      <c r="BC1661" s="2">
        <f t="shared" si="687"/>
        <v>0</v>
      </c>
      <c r="BD1661" s="2">
        <f t="shared" si="688"/>
        <v>5.173050868333539E-3</v>
      </c>
      <c r="BF1661" t="s">
        <v>341</v>
      </c>
      <c r="BG1661" t="s">
        <v>1213</v>
      </c>
      <c r="BH1661">
        <v>8</v>
      </c>
      <c r="BJ1661" s="114">
        <v>29</v>
      </c>
      <c r="BK1661" s="116">
        <v>229</v>
      </c>
      <c r="BL1661" s="120">
        <f t="shared" si="679"/>
        <v>29229</v>
      </c>
      <c r="BN1661" s="5" t="s">
        <v>3154</v>
      </c>
      <c r="BY1661" s="63">
        <f t="shared" si="678"/>
        <v>8119</v>
      </c>
      <c r="CB1661" s="132"/>
      <c r="CD1661" s="63">
        <v>0</v>
      </c>
    </row>
    <row r="1662" spans="1:86" hidden="1" outlineLevel="1">
      <c r="A1662" t="s">
        <v>506</v>
      </c>
      <c r="B1662" t="s">
        <v>1213</v>
      </c>
      <c r="C1662" s="1">
        <f t="shared" si="680"/>
        <v>132487</v>
      </c>
      <c r="D1662" s="5">
        <f>IF(N1662&gt;0, RANK(N1662,(N1662:P1662,Q1662:AE1662)),0)</f>
        <v>1</v>
      </c>
      <c r="E1662" s="5">
        <f>IF(O1662&gt;0,RANK(O1662,(N1662:P1662,Q1662:AE1662)),0)</f>
        <v>2</v>
      </c>
      <c r="F1662" s="5">
        <f>IF(C1662&gt;0,RANK(P1662,(N1662:P1662,Q1662:AE1662)),0)</f>
        <v>6</v>
      </c>
      <c r="G1662" s="132">
        <f t="shared" si="667"/>
        <v>83403</v>
      </c>
      <c r="H1662" s="137">
        <f t="shared" si="668"/>
        <v>0.62951836783986348</v>
      </c>
      <c r="I1662" s="2"/>
      <c r="J1662" s="2">
        <f t="shared" si="681"/>
        <v>0.78675643648056037</v>
      </c>
      <c r="K1662" s="2">
        <f t="shared" si="682"/>
        <v>0.15723806864069681</v>
      </c>
      <c r="L1662" s="2">
        <f t="shared" si="683"/>
        <v>2.2870168393880155E-3</v>
      </c>
      <c r="M1662" s="2">
        <f t="shared" si="684"/>
        <v>5.3718478039354804E-2</v>
      </c>
      <c r="N1662" s="63">
        <v>104235</v>
      </c>
      <c r="O1662" s="63">
        <v>20832</v>
      </c>
      <c r="P1662" s="63">
        <v>303</v>
      </c>
      <c r="Q1662" s="63">
        <v>3518</v>
      </c>
      <c r="R1662" s="63">
        <v>2005</v>
      </c>
      <c r="S1662" s="63">
        <v>294</v>
      </c>
      <c r="T1662" s="63">
        <v>0</v>
      </c>
      <c r="U1662" s="63"/>
      <c r="V1662" s="63"/>
      <c r="W1662" s="63">
        <f>IF(Copyright!B$11=1,IF(CA1662&gt;0,CA1662-P1662-SUM(T1662:V1662)-SUM(X1662:AC1662)-SUM(AE1662:AM1662)-SUM(AN1662:AQ1662),SUM(CD1662:CF1662)),SUM(CD1662:CF1662))</f>
        <v>1297</v>
      </c>
      <c r="X1662" s="63"/>
      <c r="Y1662" s="63">
        <v>1</v>
      </c>
      <c r="Z1662" s="63"/>
      <c r="AA1662" s="63"/>
      <c r="AB1662" s="63"/>
      <c r="AC1662" s="63"/>
      <c r="AD1662" s="63"/>
      <c r="AE1662" s="63">
        <v>2</v>
      </c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W1662" s="5">
        <f>IF(Q1662&gt;0,RANK(Q1662,(N1662:P1662,Q1662:AE1662)),0)</f>
        <v>3</v>
      </c>
      <c r="AX1662" s="5">
        <f>IF(R1662&gt;0,RANK(R1662,(N1662:P1662,Q1662:AE1662)),0)</f>
        <v>4</v>
      </c>
      <c r="AY1662" s="5">
        <f>IF(T1662&gt;0,RANK(T1662,(N1662:P1662,Q1662:AE1662)),0)</f>
        <v>0</v>
      </c>
      <c r="AZ1662" s="5">
        <f>IF(S1662&gt;0,RANK(S1662,(N1662:P1662,Q1662:AE1662)),0)</f>
        <v>7</v>
      </c>
      <c r="BA1662" s="2">
        <f t="shared" si="685"/>
        <v>2.6553548650056231E-2</v>
      </c>
      <c r="BB1662" s="2">
        <f t="shared" si="686"/>
        <v>1.5133560273838187E-2</v>
      </c>
      <c r="BC1662" s="2">
        <f t="shared" si="687"/>
        <v>0</v>
      </c>
      <c r="BD1662" s="2">
        <f t="shared" si="688"/>
        <v>2.2190856461388664E-3</v>
      </c>
      <c r="BF1662" t="s">
        <v>506</v>
      </c>
      <c r="BG1662" t="s">
        <v>1213</v>
      </c>
      <c r="BH1662">
        <v>1</v>
      </c>
      <c r="BJ1662" s="114">
        <v>29</v>
      </c>
      <c r="BK1662" s="116">
        <v>510</v>
      </c>
      <c r="BL1662" s="120">
        <f t="shared" si="679"/>
        <v>29510</v>
      </c>
      <c r="BN1662" s="5" t="s">
        <v>1249</v>
      </c>
      <c r="BY1662" s="63">
        <f t="shared" si="678"/>
        <v>0</v>
      </c>
      <c r="BZ1662" s="63">
        <v>132487</v>
      </c>
      <c r="CA1662" s="63">
        <v>1603</v>
      </c>
      <c r="CB1662" s="132"/>
      <c r="CD1662" s="63">
        <v>1</v>
      </c>
    </row>
    <row r="1663" spans="1:86" collapsed="1">
      <c r="A1663" t="s">
        <v>2710</v>
      </c>
      <c r="B1663" t="s">
        <v>544</v>
      </c>
      <c r="C1663" s="1">
        <f t="shared" si="680"/>
        <v>2828266</v>
      </c>
      <c r="D1663" s="5">
        <f>IF(N1663&gt;0, RANK(N1663,(N1663:P1663,Q1663:AE1663)),0)</f>
        <v>2</v>
      </c>
      <c r="E1663" s="5">
        <f>IF(O1663&gt;0,RANK(O1663,(N1663:P1663,Q1663:AE1663)),0)</f>
        <v>1</v>
      </c>
      <c r="F1663" s="5">
        <f>IF(C1663&gt;0,RANK(P1663,(N1663:P1663,Q1663:AE1663)),0)</f>
        <v>7</v>
      </c>
      <c r="G1663" s="132">
        <f t="shared" si="667"/>
        <v>523443</v>
      </c>
      <c r="H1663" s="137">
        <f t="shared" si="668"/>
        <v>0.18507559048547767</v>
      </c>
      <c r="I1663" s="2"/>
      <c r="J1663" s="2">
        <f t="shared" si="681"/>
        <v>0.37870129612985481</v>
      </c>
      <c r="K1663" s="2">
        <f t="shared" si="682"/>
        <v>0.56377688661533254</v>
      </c>
      <c r="L1663" s="2">
        <f t="shared" si="683"/>
        <v>2.5004720206656659E-3</v>
      </c>
      <c r="M1663" s="2">
        <f t="shared" si="684"/>
        <v>5.5021345234146979E-2</v>
      </c>
      <c r="N1663" s="63">
        <f t="shared" ref="N1663:T1663" si="689">SUM(N1548:N1662)</f>
        <v>1071068</v>
      </c>
      <c r="O1663" s="63">
        <f t="shared" si="689"/>
        <v>1594511</v>
      </c>
      <c r="P1663" s="63">
        <f t="shared" si="689"/>
        <v>7072</v>
      </c>
      <c r="Q1663" s="63">
        <f t="shared" si="689"/>
        <v>97359</v>
      </c>
      <c r="R1663" s="63">
        <f t="shared" si="689"/>
        <v>25419</v>
      </c>
      <c r="S1663" s="63">
        <f t="shared" si="689"/>
        <v>13092</v>
      </c>
      <c r="T1663" s="63">
        <f t="shared" si="689"/>
        <v>6</v>
      </c>
      <c r="U1663" s="63"/>
      <c r="V1663" s="63"/>
      <c r="W1663" s="63">
        <f>SUM(W1548:W1662)</f>
        <v>19663</v>
      </c>
      <c r="X1663" s="63"/>
      <c r="Y1663" s="63">
        <f>SUM(Y1548:Y1662)</f>
        <v>48</v>
      </c>
      <c r="Z1663" s="63"/>
      <c r="AA1663" s="63"/>
      <c r="AB1663" s="63"/>
      <c r="AC1663" s="63"/>
      <c r="AD1663" s="63"/>
      <c r="AE1663" s="63">
        <f>SUM(AE1548:AE1662)</f>
        <v>28</v>
      </c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W1663" s="5">
        <f>IF(Q1663&gt;0,RANK(Q1663,(N1663:P1663,Q1663:AE1663)),0)</f>
        <v>3</v>
      </c>
      <c r="AX1663" s="5">
        <f>IF(R1663&gt;0,RANK(R1663,(N1663:P1663,Q1663:AE1663)),0)</f>
        <v>4</v>
      </c>
      <c r="AY1663" s="5">
        <f>IF(T1663&gt;0,RANK(T1663,(N1663:P1663,Q1663:AE1663)),0)</f>
        <v>10</v>
      </c>
      <c r="AZ1663" s="5">
        <f>IF(S1663&gt;0,RANK(S1663,(N1663:P1663,Q1663:AE1663)),0)</f>
        <v>6</v>
      </c>
      <c r="BA1663" s="2">
        <f t="shared" si="685"/>
        <v>3.4423565534500641E-2</v>
      </c>
      <c r="BB1663" s="2">
        <f t="shared" si="686"/>
        <v>8.9874856183965717E-3</v>
      </c>
      <c r="BC1663" s="2">
        <f t="shared" si="687"/>
        <v>2.1214411940036756E-6</v>
      </c>
      <c r="BD1663" s="2">
        <f t="shared" si="688"/>
        <v>4.6289846853160201E-3</v>
      </c>
      <c r="BF1663" t="s">
        <v>2710</v>
      </c>
      <c r="BG1663" t="s">
        <v>544</v>
      </c>
      <c r="BJ1663" s="114">
        <v>29</v>
      </c>
      <c r="BK1663" s="116"/>
      <c r="BL1663" s="114">
        <v>29</v>
      </c>
      <c r="BN1663" s="5" t="s">
        <v>711</v>
      </c>
      <c r="BZ1663" s="63">
        <f>SUM(BZ1548:BZ1662)</f>
        <v>2269594</v>
      </c>
      <c r="CA1663" s="63">
        <f>SUM(CA1548:CA1662)</f>
        <v>25594</v>
      </c>
      <c r="CB1663" s="132"/>
      <c r="CD1663" s="63">
        <f>SUM(CD1548:CD1662)</f>
        <v>3</v>
      </c>
    </row>
    <row r="1664" spans="1:86">
      <c r="C1664" s="1"/>
      <c r="E1664" s="5"/>
      <c r="F1664" s="5"/>
      <c r="G1664" s="132"/>
      <c r="H1664" s="137"/>
      <c r="I1664" s="2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W1664" s="5"/>
      <c r="AX1664" s="5"/>
      <c r="AY1664" s="5"/>
      <c r="AZ1664" s="5"/>
      <c r="BJ1664" s="114"/>
      <c r="BK1664" s="116"/>
      <c r="BL1664" s="120"/>
      <c r="CB1664" s="132"/>
      <c r="CC1664" s="132"/>
      <c r="CD1664" s="132" t="s">
        <v>3529</v>
      </c>
      <c r="CE1664" s="132" t="s">
        <v>3626</v>
      </c>
      <c r="CF1664" s="132" t="s">
        <v>3670</v>
      </c>
      <c r="CG1664" s="132" t="s">
        <v>3534</v>
      </c>
      <c r="CH1664" s="132" t="s">
        <v>3605</v>
      </c>
    </row>
    <row r="1665" spans="1:85" hidden="1" outlineLevel="1">
      <c r="A1665" t="s">
        <v>2444</v>
      </c>
      <c r="B1665" t="s">
        <v>1091</v>
      </c>
      <c r="C1665" s="1">
        <f t="shared" ref="C1665:C1696" si="690">SUM(N1665:AU1665)</f>
        <v>4849</v>
      </c>
      <c r="D1665" s="5">
        <f>IF(N1665&gt;0, RANK(N1665,(N1665:P1665,Q1665:AE1665)),0)</f>
        <v>2</v>
      </c>
      <c r="E1665" s="5">
        <f>IF(O1665&gt;0,RANK(O1665,(N1665:P1665,Q1665:AE1665)),0)</f>
        <v>1</v>
      </c>
      <c r="F1665" s="5">
        <f>IF(P1665&gt;0,RANK(P1665,(N1665:P1665,Q1665:AE1665)),0)</f>
        <v>0</v>
      </c>
      <c r="G1665" s="132">
        <f t="shared" si="667"/>
        <v>2210</v>
      </c>
      <c r="H1665" s="137">
        <f t="shared" si="668"/>
        <v>0.45576407506702415</v>
      </c>
      <c r="I1665" s="2"/>
      <c r="J1665" s="2">
        <f t="shared" ref="J1665:J1696" si="691">IF($C1665=0,"-",N1665/$C1665)</f>
        <v>0.23571870488760568</v>
      </c>
      <c r="K1665" s="2">
        <f t="shared" ref="K1665:K1696" si="692">IF($C1665=0,"-",O1665/$C1665)</f>
        <v>0.69148277995462981</v>
      </c>
      <c r="L1665" s="2">
        <f t="shared" ref="L1665:L1696" si="693">IF($C1665=0,"-",P1665/$C1665)</f>
        <v>0</v>
      </c>
      <c r="M1665" s="2">
        <f t="shared" ref="M1665:M1696" si="694">IF(C1665=0,"-",(1-J1665-K1665-L1665))</f>
        <v>7.2798515157764476E-2</v>
      </c>
      <c r="N1665" s="63">
        <v>1143</v>
      </c>
      <c r="O1665" s="63">
        <v>3353</v>
      </c>
      <c r="P1665" s="63"/>
      <c r="Q1665" s="63">
        <v>265</v>
      </c>
      <c r="R1665" s="63">
        <v>70</v>
      </c>
      <c r="S1665" s="63"/>
      <c r="T1665" s="63">
        <v>18</v>
      </c>
      <c r="U1665" s="63"/>
      <c r="V1665" s="63"/>
      <c r="W1665" s="63">
        <f>IF(Copyright!B$11=1,IF(CA1665&gt;0,CA1665-P1665-S1665-U1665-SUM(X1665:AQ1665),SUM(CB1665:CH1665)),SUM(CC1665:CH1665))</f>
        <v>0</v>
      </c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W1665" s="5">
        <f>IF(Q1665&gt;0,RANK(Q1665,(N1665:P1665,Q1665:AE1665)),0)</f>
        <v>3</v>
      </c>
      <c r="AX1665" s="5">
        <f>IF(R1665&gt;0,RANK(R1665,(N1665:P1665,Q1665:AE1665)),0)</f>
        <v>4</v>
      </c>
      <c r="AY1665" s="5">
        <f>IF(T1665&gt;0,RANK(T1665,(N1665:P1665,Q1665:AE1665)),0)</f>
        <v>5</v>
      </c>
      <c r="AZ1665" s="5">
        <f>IF(S1665&gt;0,RANK(S1665,(N1665:P1665,Q1665:AE1665)),0)</f>
        <v>0</v>
      </c>
      <c r="BA1665" s="2">
        <f t="shared" ref="BA1665:BA1696" si="695">IF($C1665=0,"-",Q1665/$C1665)</f>
        <v>5.4650443390389769E-2</v>
      </c>
      <c r="BB1665" s="2">
        <f t="shared" ref="BB1665:BB1696" si="696">IF($C1665=0,"-",R1665/$C1665)</f>
        <v>1.4435966178593525E-2</v>
      </c>
      <c r="BC1665" s="2">
        <f t="shared" ref="BC1665:BC1696" si="697">IF($C1665=0,"-",T1665/$C1665)</f>
        <v>3.712105588781192E-3</v>
      </c>
      <c r="BD1665" s="2">
        <f t="shared" ref="BD1665:BD1696" si="698">IF($C1665=0,"-",S1665/$C1665)</f>
        <v>0</v>
      </c>
      <c r="BF1665" t="s">
        <v>2444</v>
      </c>
      <c r="BG1665" t="s">
        <v>1091</v>
      </c>
      <c r="BH1665">
        <v>1</v>
      </c>
      <c r="BJ1665" s="114">
        <v>30</v>
      </c>
      <c r="BK1665" s="116">
        <v>1</v>
      </c>
      <c r="BL1665" s="120">
        <f t="shared" si="679"/>
        <v>30001</v>
      </c>
      <c r="BN1665" s="5" t="s">
        <v>3154</v>
      </c>
    </row>
    <row r="1666" spans="1:85" hidden="1" outlineLevel="1">
      <c r="A1666" t="s">
        <v>1273</v>
      </c>
      <c r="B1666" t="s">
        <v>1091</v>
      </c>
      <c r="C1666" s="1">
        <f t="shared" si="690"/>
        <v>4237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6</v>
      </c>
      <c r="G1666" s="132">
        <f t="shared" si="667"/>
        <v>241</v>
      </c>
      <c r="H1666" s="137">
        <f t="shared" si="668"/>
        <v>5.6879867831012509E-2</v>
      </c>
      <c r="I1666" s="2"/>
      <c r="J1666" s="2">
        <f t="shared" si="691"/>
        <v>0.49421760679726223</v>
      </c>
      <c r="K1666" s="2">
        <f t="shared" si="692"/>
        <v>0.43733773896624972</v>
      </c>
      <c r="L1666" s="2">
        <f t="shared" si="693"/>
        <v>2.8321925890960587E-3</v>
      </c>
      <c r="M1666" s="2">
        <f t="shared" si="694"/>
        <v>6.5612461647391984E-2</v>
      </c>
      <c r="N1666" s="63">
        <v>2094</v>
      </c>
      <c r="O1666" s="63">
        <v>1853</v>
      </c>
      <c r="P1666" s="63">
        <v>12</v>
      </c>
      <c r="Q1666" s="63">
        <v>185</v>
      </c>
      <c r="R1666" s="63">
        <v>71</v>
      </c>
      <c r="S1666" s="63"/>
      <c r="T1666" s="63">
        <v>21</v>
      </c>
      <c r="U1666" s="63"/>
      <c r="V1666" s="63"/>
      <c r="W1666" s="63">
        <f>IF(Copyright!B$11=1,IF(CA1666&gt;0,CA1666-P1666-S1666-U1666-SUM(X1666:AQ1666),SUM(CB1666:CH1666)),SUM(CC1666:CH1666))</f>
        <v>0</v>
      </c>
      <c r="X1666" s="63"/>
      <c r="Y1666" s="63"/>
      <c r="Z1666" s="63"/>
      <c r="AA1666" s="63"/>
      <c r="AB1666" s="63"/>
      <c r="AC1666" s="63"/>
      <c r="AD1666" s="63"/>
      <c r="AE1666" s="63">
        <v>1</v>
      </c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W1666" s="5">
        <f>IF(Q1666&gt;0,RANK(Q1666,(N1666:P1666,Q1666:AE1666)),0)</f>
        <v>3</v>
      </c>
      <c r="AX1666" s="5">
        <f>IF(R1666&gt;0,RANK(R1666,(N1666:P1666,Q1666:AE1666)),0)</f>
        <v>4</v>
      </c>
      <c r="AY1666" s="5">
        <f>IF(T1666&gt;0,RANK(T1666,(N1666:P1666,Q1666:AE1666)),0)</f>
        <v>5</v>
      </c>
      <c r="AZ1666" s="5">
        <f>IF(S1666&gt;0,RANK(S1666,(N1666:P1666,Q1666:AE1666)),0)</f>
        <v>0</v>
      </c>
      <c r="BA1666" s="2">
        <f t="shared" si="695"/>
        <v>4.3662969081897568E-2</v>
      </c>
      <c r="BB1666" s="2">
        <f t="shared" si="696"/>
        <v>1.6757139485485014E-2</v>
      </c>
      <c r="BC1666" s="2">
        <f t="shared" si="697"/>
        <v>4.9563370309181022E-3</v>
      </c>
      <c r="BD1666" s="2">
        <f t="shared" si="698"/>
        <v>0</v>
      </c>
      <c r="BF1666" t="s">
        <v>1273</v>
      </c>
      <c r="BG1666" t="s">
        <v>1091</v>
      </c>
      <c r="BH1666">
        <v>1</v>
      </c>
      <c r="BJ1666" s="114">
        <v>30</v>
      </c>
      <c r="BK1666" s="116">
        <v>3</v>
      </c>
      <c r="BL1666" s="120">
        <f t="shared" si="679"/>
        <v>30003</v>
      </c>
      <c r="BN1666" s="5" t="s">
        <v>3154</v>
      </c>
    </row>
    <row r="1667" spans="1:85" hidden="1" outlineLevel="1">
      <c r="A1667" t="s">
        <v>794</v>
      </c>
      <c r="B1667" t="s">
        <v>1091</v>
      </c>
      <c r="C1667" s="1">
        <f t="shared" si="690"/>
        <v>2684</v>
      </c>
      <c r="D1667" s="5">
        <f>IF(N1667&gt;0, RANK(N1667,(N1667:P1667,Q1667:AE1667)),0)</f>
        <v>2</v>
      </c>
      <c r="E1667" s="5">
        <f>IF(O1667&gt;0,RANK(O1667,(N1667:P1667,Q1667:AE1667)),0)</f>
        <v>1</v>
      </c>
      <c r="F1667" s="5">
        <f>IF(P1667&gt;0,RANK(P1667,(N1667:P1667,Q1667:AE1667)),0)</f>
        <v>6</v>
      </c>
      <c r="G1667" s="132">
        <f t="shared" si="667"/>
        <v>66</v>
      </c>
      <c r="H1667" s="137">
        <f t="shared" si="668"/>
        <v>2.4590163934426229E-2</v>
      </c>
      <c r="I1667" s="2"/>
      <c r="J1667" s="2">
        <f t="shared" si="691"/>
        <v>0.44783904619970194</v>
      </c>
      <c r="K1667" s="2">
        <f t="shared" si="692"/>
        <v>0.47242921013412814</v>
      </c>
      <c r="L1667" s="2">
        <f t="shared" si="693"/>
        <v>4.4709388971684054E-3</v>
      </c>
      <c r="M1667" s="2">
        <f t="shared" si="694"/>
        <v>7.5260804769001516E-2</v>
      </c>
      <c r="N1667" s="63">
        <v>1202</v>
      </c>
      <c r="O1667" s="63">
        <v>1268</v>
      </c>
      <c r="P1667" s="63">
        <v>12</v>
      </c>
      <c r="Q1667" s="63">
        <v>102</v>
      </c>
      <c r="R1667" s="63">
        <v>73</v>
      </c>
      <c r="S1667" s="63"/>
      <c r="T1667" s="63">
        <v>26</v>
      </c>
      <c r="U1667" s="63"/>
      <c r="V1667" s="63"/>
      <c r="W1667" s="63">
        <f>IF(Copyright!B$11=1,IF(CA1667&gt;0,CA1667-P1667-S1667-U1667-SUM(X1667:AQ1667),SUM(CB1667:CH1667)),SUM(CC1667:CH1667))</f>
        <v>0</v>
      </c>
      <c r="X1667" s="63"/>
      <c r="Y1667" s="63">
        <v>1</v>
      </c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W1667" s="5">
        <f>IF(Q1667&gt;0,RANK(Q1667,(N1667:P1667,Q1667:AE1667)),0)</f>
        <v>3</v>
      </c>
      <c r="AX1667" s="5">
        <f>IF(R1667&gt;0,RANK(R1667,(N1667:P1667,Q1667:AE1667)),0)</f>
        <v>4</v>
      </c>
      <c r="AY1667" s="5">
        <f>IF(T1667&gt;0,RANK(T1667,(N1667:P1667,Q1667:AE1667)),0)</f>
        <v>5</v>
      </c>
      <c r="AZ1667" s="5">
        <f>IF(S1667&gt;0,RANK(S1667,(N1667:P1667,Q1667:AE1667)),0)</f>
        <v>0</v>
      </c>
      <c r="BA1667" s="2">
        <f t="shared" si="695"/>
        <v>3.8002980625931444E-2</v>
      </c>
      <c r="BB1667" s="2">
        <f t="shared" si="696"/>
        <v>2.7198211624441134E-2</v>
      </c>
      <c r="BC1667" s="2">
        <f t="shared" si="697"/>
        <v>9.6870342771982112E-3</v>
      </c>
      <c r="BD1667" s="2">
        <f t="shared" si="698"/>
        <v>0</v>
      </c>
      <c r="BF1667" t="s">
        <v>794</v>
      </c>
      <c r="BG1667" t="s">
        <v>1091</v>
      </c>
      <c r="BH1667">
        <v>1</v>
      </c>
      <c r="BJ1667" s="114">
        <v>30</v>
      </c>
      <c r="BK1667" s="116">
        <v>5</v>
      </c>
      <c r="BL1667" s="120">
        <f t="shared" si="679"/>
        <v>30005</v>
      </c>
      <c r="BN1667" s="5" t="s">
        <v>3154</v>
      </c>
    </row>
    <row r="1668" spans="1:85" hidden="1" outlineLevel="1">
      <c r="A1668" t="s">
        <v>2345</v>
      </c>
      <c r="B1668" t="s">
        <v>1091</v>
      </c>
      <c r="C1668" s="1">
        <f t="shared" si="690"/>
        <v>3133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32">
        <f t="shared" si="667"/>
        <v>1775</v>
      </c>
      <c r="H1668" s="137">
        <f t="shared" si="668"/>
        <v>0.56654963293967442</v>
      </c>
      <c r="I1668" s="2"/>
      <c r="J1668" s="2">
        <f t="shared" si="691"/>
        <v>0.18289179699968081</v>
      </c>
      <c r="K1668" s="2">
        <f t="shared" si="692"/>
        <v>0.74944142993935525</v>
      </c>
      <c r="L1668" s="2">
        <f t="shared" si="693"/>
        <v>0</v>
      </c>
      <c r="M1668" s="2">
        <f t="shared" si="694"/>
        <v>6.7666773060963914E-2</v>
      </c>
      <c r="N1668" s="63">
        <v>573</v>
      </c>
      <c r="O1668" s="63">
        <v>2348</v>
      </c>
      <c r="P1668" s="63"/>
      <c r="Q1668" s="63">
        <v>169</v>
      </c>
      <c r="R1668" s="63">
        <v>37</v>
      </c>
      <c r="S1668" s="63">
        <v>1</v>
      </c>
      <c r="T1668" s="63">
        <v>5</v>
      </c>
      <c r="U1668" s="63"/>
      <c r="V1668" s="63"/>
      <c r="W1668" s="63">
        <f>IF(Copyright!B$11=1,IF(CA1668&gt;0,CA1668-P1668-S1668-U1668-SUM(X1668:AQ1668),SUM(CB1668:CH1668)),SUM(CC1668:CH1668))</f>
        <v>0</v>
      </c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W1668" s="5">
        <f>IF(Q1668&gt;0,RANK(Q1668,(N1668:P1668,Q1668:AE1668)),0)</f>
        <v>3</v>
      </c>
      <c r="AX1668" s="5">
        <f>IF(R1668&gt;0,RANK(R1668,(N1668:P1668,Q1668:AE1668)),0)</f>
        <v>4</v>
      </c>
      <c r="AY1668" s="5">
        <f>IF(T1668&gt;0,RANK(T1668,(N1668:P1668,Q1668:AE1668)),0)</f>
        <v>5</v>
      </c>
      <c r="AZ1668" s="5">
        <f>IF(S1668&gt;0,RANK(S1668,(N1668:P1668,Q1668:AE1668)),0)</f>
        <v>6</v>
      </c>
      <c r="BA1668" s="2">
        <f t="shared" si="695"/>
        <v>5.3941908713692949E-2</v>
      </c>
      <c r="BB1668" s="2">
        <f t="shared" si="696"/>
        <v>1.1809766996488988E-2</v>
      </c>
      <c r="BC1668" s="2">
        <f t="shared" si="697"/>
        <v>1.5959144589849984E-3</v>
      </c>
      <c r="BD1668" s="2">
        <f t="shared" si="698"/>
        <v>3.1918289179699969E-4</v>
      </c>
      <c r="BF1668" t="s">
        <v>2345</v>
      </c>
      <c r="BG1668" t="s">
        <v>1091</v>
      </c>
      <c r="BH1668">
        <v>1</v>
      </c>
      <c r="BJ1668" s="114">
        <v>30</v>
      </c>
      <c r="BK1668" s="116">
        <v>7</v>
      </c>
      <c r="BL1668" s="120">
        <f t="shared" si="679"/>
        <v>30007</v>
      </c>
      <c r="BN1668" s="5" t="s">
        <v>3154</v>
      </c>
    </row>
    <row r="1669" spans="1:85" hidden="1" outlineLevel="1">
      <c r="A1669" t="s">
        <v>159</v>
      </c>
      <c r="B1669" t="s">
        <v>1091</v>
      </c>
      <c r="C1669" s="1">
        <f t="shared" si="690"/>
        <v>5991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5</v>
      </c>
      <c r="G1669" s="132">
        <f t="shared" si="667"/>
        <v>1920</v>
      </c>
      <c r="H1669" s="137">
        <f t="shared" si="668"/>
        <v>0.32048072108162245</v>
      </c>
      <c r="I1669" s="2"/>
      <c r="J1669" s="2">
        <f t="shared" si="691"/>
        <v>0.30512435319646136</v>
      </c>
      <c r="K1669" s="2">
        <f t="shared" si="692"/>
        <v>0.62560507427808376</v>
      </c>
      <c r="L1669" s="2">
        <f t="shared" si="693"/>
        <v>3.3383408446002335E-3</v>
      </c>
      <c r="M1669" s="2">
        <f t="shared" si="694"/>
        <v>6.5932231680854644E-2</v>
      </c>
      <c r="N1669" s="63">
        <v>1828</v>
      </c>
      <c r="O1669" s="63">
        <v>3748</v>
      </c>
      <c r="P1669" s="63">
        <v>20</v>
      </c>
      <c r="Q1669" s="63">
        <v>307</v>
      </c>
      <c r="R1669" s="63">
        <v>70</v>
      </c>
      <c r="S1669" s="63">
        <v>4</v>
      </c>
      <c r="T1669" s="63">
        <v>14</v>
      </c>
      <c r="U1669" s="63"/>
      <c r="V1669" s="63"/>
      <c r="W1669" s="63">
        <f>IF(Copyright!B$11=1,IF(CA1669&gt;0,CA1669-P1669-S1669-U1669-SUM(X1669:AQ1669),SUM(CB1669:CH1669)),SUM(CC1669:CH1669))</f>
        <v>0</v>
      </c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W1669" s="5">
        <f>IF(Q1669&gt;0,RANK(Q1669,(N1669:P1669,Q1669:AE1669)),0)</f>
        <v>3</v>
      </c>
      <c r="AX1669" s="5">
        <f>IF(R1669&gt;0,RANK(R1669,(N1669:P1669,Q1669:AE1669)),0)</f>
        <v>4</v>
      </c>
      <c r="AY1669" s="5">
        <f>IF(T1669&gt;0,RANK(T1669,(N1669:P1669,Q1669:AE1669)),0)</f>
        <v>6</v>
      </c>
      <c r="AZ1669" s="5">
        <f>IF(S1669&gt;0,RANK(S1669,(N1669:P1669,Q1669:AE1669)),0)</f>
        <v>7</v>
      </c>
      <c r="BA1669" s="2">
        <f t="shared" si="695"/>
        <v>5.1243531964613585E-2</v>
      </c>
      <c r="BB1669" s="2">
        <f t="shared" si="696"/>
        <v>1.1684192956100818E-2</v>
      </c>
      <c r="BC1669" s="2">
        <f t="shared" si="697"/>
        <v>2.3368385912201635E-3</v>
      </c>
      <c r="BD1669" s="2">
        <f t="shared" si="698"/>
        <v>6.6766816892004674E-4</v>
      </c>
      <c r="BF1669" t="s">
        <v>159</v>
      </c>
      <c r="BG1669" t="s">
        <v>1091</v>
      </c>
      <c r="BH1669">
        <v>1</v>
      </c>
      <c r="BJ1669" s="114">
        <v>30</v>
      </c>
      <c r="BK1669" s="116">
        <v>9</v>
      </c>
      <c r="BL1669" s="120">
        <f t="shared" si="679"/>
        <v>30009</v>
      </c>
      <c r="BN1669" s="5" t="s">
        <v>3154</v>
      </c>
    </row>
    <row r="1670" spans="1:85" hidden="1" outlineLevel="1">
      <c r="A1670" t="s">
        <v>1842</v>
      </c>
      <c r="B1670" t="s">
        <v>1091</v>
      </c>
      <c r="C1670" s="1">
        <f t="shared" si="690"/>
        <v>786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6</v>
      </c>
      <c r="G1670" s="132">
        <f t="shared" si="667"/>
        <v>608</v>
      </c>
      <c r="H1670" s="137">
        <f t="shared" si="668"/>
        <v>0.77353689567430028</v>
      </c>
      <c r="I1670" s="2"/>
      <c r="J1670" s="2">
        <f t="shared" si="691"/>
        <v>8.9058524173027995E-2</v>
      </c>
      <c r="K1670" s="2">
        <f t="shared" si="692"/>
        <v>0.86259541984732824</v>
      </c>
      <c r="L1670" s="2">
        <f t="shared" si="693"/>
        <v>2.5445292620865142E-3</v>
      </c>
      <c r="M1670" s="2">
        <f t="shared" si="694"/>
        <v>4.5801526717557293E-2</v>
      </c>
      <c r="N1670" s="63">
        <v>70</v>
      </c>
      <c r="O1670" s="63">
        <v>678</v>
      </c>
      <c r="P1670" s="63">
        <v>2</v>
      </c>
      <c r="Q1670" s="63">
        <v>24</v>
      </c>
      <c r="R1670" s="63">
        <v>6</v>
      </c>
      <c r="S1670" s="63">
        <v>5</v>
      </c>
      <c r="T1670" s="63">
        <v>1</v>
      </c>
      <c r="U1670" s="63"/>
      <c r="V1670" s="63"/>
      <c r="W1670" s="63">
        <f>IF(Copyright!B$11=1,IF(CA1670&gt;0,CA1670-P1670-S1670-U1670-SUM(X1670:AQ1670),SUM(CB1670:CH1670)),SUM(CC1670:CH1670))</f>
        <v>0</v>
      </c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W1670" s="5">
        <f>IF(Q1670&gt;0,RANK(Q1670,(N1670:P1670,Q1670:AE1670)),0)</f>
        <v>3</v>
      </c>
      <c r="AX1670" s="5">
        <f>IF(R1670&gt;0,RANK(R1670,(N1670:P1670,Q1670:AE1670)),0)</f>
        <v>4</v>
      </c>
      <c r="AY1670" s="5">
        <f>IF(T1670&gt;0,RANK(T1670,(N1670:P1670,Q1670:AE1670)),0)</f>
        <v>7</v>
      </c>
      <c r="AZ1670" s="5">
        <f>IF(S1670&gt;0,RANK(S1670,(N1670:P1670,Q1670:AE1670)),0)</f>
        <v>5</v>
      </c>
      <c r="BA1670" s="2">
        <f t="shared" si="695"/>
        <v>3.0534351145038167E-2</v>
      </c>
      <c r="BB1670" s="2">
        <f t="shared" si="696"/>
        <v>7.6335877862595417E-3</v>
      </c>
      <c r="BC1670" s="2">
        <f t="shared" si="697"/>
        <v>1.2722646310432571E-3</v>
      </c>
      <c r="BD1670" s="2">
        <f t="shared" si="698"/>
        <v>6.3613231552162846E-3</v>
      </c>
      <c r="BF1670" t="s">
        <v>1842</v>
      </c>
      <c r="BG1670" t="s">
        <v>1091</v>
      </c>
      <c r="BH1670">
        <v>1</v>
      </c>
      <c r="BJ1670" s="114">
        <v>30</v>
      </c>
      <c r="BK1670" s="116">
        <v>11</v>
      </c>
      <c r="BL1670" s="120">
        <f t="shared" si="679"/>
        <v>30011</v>
      </c>
      <c r="BN1670" s="5" t="s">
        <v>3154</v>
      </c>
    </row>
    <row r="1671" spans="1:85" hidden="1" outlineLevel="1">
      <c r="A1671" t="s">
        <v>2088</v>
      </c>
      <c r="B1671" t="s">
        <v>1091</v>
      </c>
      <c r="C1671" s="1">
        <f t="shared" si="690"/>
        <v>34571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5</v>
      </c>
      <c r="G1671" s="132">
        <f t="shared" si="667"/>
        <v>7457</v>
      </c>
      <c r="H1671" s="137">
        <f t="shared" si="668"/>
        <v>0.21570102108703826</v>
      </c>
      <c r="I1671" s="2"/>
      <c r="J1671" s="2">
        <f t="shared" si="691"/>
        <v>0.35217378727835469</v>
      </c>
      <c r="K1671" s="2">
        <f t="shared" si="692"/>
        <v>0.56787480836539295</v>
      </c>
      <c r="L1671" s="2">
        <f t="shared" si="693"/>
        <v>4.714934482658876E-3</v>
      </c>
      <c r="M1671" s="2">
        <f t="shared" si="694"/>
        <v>7.5236469873593489E-2</v>
      </c>
      <c r="N1671" s="63">
        <v>12175</v>
      </c>
      <c r="O1671" s="63">
        <v>19632</v>
      </c>
      <c r="P1671" s="63">
        <v>163</v>
      </c>
      <c r="Q1671" s="63">
        <v>1996</v>
      </c>
      <c r="R1671" s="63">
        <v>446</v>
      </c>
      <c r="S1671" s="63">
        <v>20</v>
      </c>
      <c r="T1671" s="63">
        <v>135</v>
      </c>
      <c r="U1671" s="63">
        <v>1</v>
      </c>
      <c r="V1671" s="63"/>
      <c r="W1671" s="63">
        <f>IF(Copyright!B$11=1,IF(CA1671&gt;0,CA1671-P1671-S1671-U1671-SUM(X1671:AQ1671),SUM(CB1671:CH1671)),SUM(CC1671:CH1671))</f>
        <v>1</v>
      </c>
      <c r="X1671" s="63"/>
      <c r="Y1671" s="63">
        <v>2</v>
      </c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W1671" s="5">
        <f>IF(Q1671&gt;0,RANK(Q1671,(N1671:P1671,Q1671:AE1671)),0)</f>
        <v>3</v>
      </c>
      <c r="AX1671" s="5">
        <f>IF(R1671&gt;0,RANK(R1671,(N1671:P1671,Q1671:AE1671)),0)</f>
        <v>4</v>
      </c>
      <c r="AY1671" s="5">
        <f>IF(T1671&gt;0,RANK(T1671,(N1671:P1671,Q1671:AE1671)),0)</f>
        <v>6</v>
      </c>
      <c r="AZ1671" s="5">
        <f>IF(S1671&gt;0,RANK(S1671,(N1671:P1671,Q1671:AE1671)),0)</f>
        <v>7</v>
      </c>
      <c r="BA1671" s="2">
        <f t="shared" si="695"/>
        <v>5.7736252928755318E-2</v>
      </c>
      <c r="BB1671" s="2">
        <f t="shared" si="696"/>
        <v>1.2900986375864164E-2</v>
      </c>
      <c r="BC1671" s="2">
        <f t="shared" si="697"/>
        <v>3.9050070868647132E-3</v>
      </c>
      <c r="BD1671" s="2">
        <f t="shared" si="698"/>
        <v>5.7851956842440194E-4</v>
      </c>
      <c r="BF1671" t="s">
        <v>2088</v>
      </c>
      <c r="BG1671" t="s">
        <v>1091</v>
      </c>
      <c r="BH1671">
        <v>1</v>
      </c>
      <c r="BJ1671" s="114">
        <v>30</v>
      </c>
      <c r="BK1671" s="116">
        <v>13</v>
      </c>
      <c r="BL1671" s="120">
        <f t="shared" si="679"/>
        <v>30013</v>
      </c>
      <c r="BN1671" s="5" t="s">
        <v>3154</v>
      </c>
      <c r="CD1671" s="63">
        <v>1</v>
      </c>
    </row>
    <row r="1672" spans="1:85" hidden="1" outlineLevel="1">
      <c r="A1672" t="s">
        <v>1640</v>
      </c>
      <c r="B1672" t="s">
        <v>1091</v>
      </c>
      <c r="C1672" s="1">
        <f t="shared" si="690"/>
        <v>2603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5</v>
      </c>
      <c r="G1672" s="132">
        <f t="shared" ref="G1672:G1735" si="699">IF(C1672&gt;0,MAX(N1672:P1672)-LARGE(N1672:P1672,2),0)</f>
        <v>947</v>
      </c>
      <c r="H1672" s="137">
        <f t="shared" ref="H1672:H1735" si="700">IF(C1672&gt;0,G1672/C1672,0)</f>
        <v>0.36381098732232042</v>
      </c>
      <c r="I1672" s="2"/>
      <c r="J1672" s="2">
        <f t="shared" si="691"/>
        <v>0.28121398386477142</v>
      </c>
      <c r="K1672" s="2">
        <f t="shared" si="692"/>
        <v>0.64502497118709179</v>
      </c>
      <c r="L1672" s="2">
        <f t="shared" si="693"/>
        <v>4.2258932001536685E-3</v>
      </c>
      <c r="M1672" s="2">
        <f t="shared" si="694"/>
        <v>6.9535151747983179E-2</v>
      </c>
      <c r="N1672" s="63">
        <v>732</v>
      </c>
      <c r="O1672" s="63">
        <v>1679</v>
      </c>
      <c r="P1672" s="63">
        <v>11</v>
      </c>
      <c r="Q1672" s="63">
        <v>131</v>
      </c>
      <c r="R1672" s="63">
        <v>37</v>
      </c>
      <c r="S1672" s="63">
        <v>3</v>
      </c>
      <c r="T1672" s="63">
        <v>10</v>
      </c>
      <c r="U1672" s="63"/>
      <c r="V1672" s="63"/>
      <c r="W1672" s="63">
        <f>IF(Copyright!B$11=1,IF(CA1672&gt;0,CA1672-P1672-S1672-U1672-SUM(X1672:AQ1672),SUM(CB1672:CH1672)),SUM(CC1672:CH1672))</f>
        <v>0</v>
      </c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W1672" s="5">
        <f>IF(Q1672&gt;0,RANK(Q1672,(N1672:P1672,Q1672:AE1672)),0)</f>
        <v>3</v>
      </c>
      <c r="AX1672" s="5">
        <f>IF(R1672&gt;0,RANK(R1672,(N1672:P1672,Q1672:AE1672)),0)</f>
        <v>4</v>
      </c>
      <c r="AY1672" s="5">
        <f>IF(T1672&gt;0,RANK(T1672,(N1672:P1672,Q1672:AE1672)),0)</f>
        <v>6</v>
      </c>
      <c r="AZ1672" s="5">
        <f>IF(S1672&gt;0,RANK(S1672,(N1672:P1672,Q1672:AE1672)),0)</f>
        <v>7</v>
      </c>
      <c r="BA1672" s="2">
        <f t="shared" si="695"/>
        <v>5.0326546292739145E-2</v>
      </c>
      <c r="BB1672" s="2">
        <f t="shared" si="696"/>
        <v>1.4214368036880523E-2</v>
      </c>
      <c r="BC1672" s="2">
        <f t="shared" si="697"/>
        <v>3.8417210910487898E-3</v>
      </c>
      <c r="BD1672" s="2">
        <f t="shared" si="698"/>
        <v>1.1525163273146369E-3</v>
      </c>
      <c r="BF1672" t="s">
        <v>1640</v>
      </c>
      <c r="BG1672" t="s">
        <v>1091</v>
      </c>
      <c r="BH1672">
        <v>1</v>
      </c>
      <c r="BJ1672" s="114">
        <v>30</v>
      </c>
      <c r="BK1672" s="116">
        <v>15</v>
      </c>
      <c r="BL1672" s="120">
        <f t="shared" si="679"/>
        <v>30015</v>
      </c>
      <c r="BN1672" s="5" t="s">
        <v>3154</v>
      </c>
    </row>
    <row r="1673" spans="1:85" hidden="1" outlineLevel="1">
      <c r="A1673" t="s">
        <v>2631</v>
      </c>
      <c r="B1673" t="s">
        <v>1091</v>
      </c>
      <c r="C1673" s="1">
        <f t="shared" si="690"/>
        <v>5185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32">
        <f t="shared" si="699"/>
        <v>2481</v>
      </c>
      <c r="H1673" s="137">
        <f t="shared" si="700"/>
        <v>0.4784956605593057</v>
      </c>
      <c r="I1673" s="2"/>
      <c r="J1673" s="2">
        <f t="shared" si="691"/>
        <v>0.22680810028929604</v>
      </c>
      <c r="K1673" s="2">
        <f t="shared" si="692"/>
        <v>0.70530376084860169</v>
      </c>
      <c r="L1673" s="2">
        <f t="shared" si="693"/>
        <v>0</v>
      </c>
      <c r="M1673" s="2">
        <f t="shared" si="694"/>
        <v>6.788813886210221E-2</v>
      </c>
      <c r="N1673" s="63">
        <v>1176</v>
      </c>
      <c r="O1673" s="63">
        <v>3657</v>
      </c>
      <c r="P1673" s="63"/>
      <c r="Q1673" s="63">
        <v>302</v>
      </c>
      <c r="R1673" s="63">
        <v>35</v>
      </c>
      <c r="S1673" s="63"/>
      <c r="T1673" s="63">
        <v>15</v>
      </c>
      <c r="U1673" s="63"/>
      <c r="V1673" s="63"/>
      <c r="W1673" s="63">
        <f>IF(Copyright!B$11=1,IF(CA1673&gt;0,CA1673-P1673-S1673-U1673-SUM(X1673:AQ1673),SUM(CB1673:CH1673)),SUM(CC1673:CH1673))</f>
        <v>0</v>
      </c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W1673" s="5">
        <f>IF(Q1673&gt;0,RANK(Q1673,(N1673:P1673,Q1673:AE1673)),0)</f>
        <v>3</v>
      </c>
      <c r="AX1673" s="5">
        <f>IF(R1673&gt;0,RANK(R1673,(N1673:P1673,Q1673:AE1673)),0)</f>
        <v>4</v>
      </c>
      <c r="AY1673" s="5">
        <f>IF(T1673&gt;0,RANK(T1673,(N1673:P1673,Q1673:AE1673)),0)</f>
        <v>5</v>
      </c>
      <c r="AZ1673" s="5">
        <f>IF(S1673&gt;0,RANK(S1673,(N1673:P1673,Q1673:AE1673)),0)</f>
        <v>0</v>
      </c>
      <c r="BA1673" s="2">
        <f t="shared" si="695"/>
        <v>5.824493731918997E-2</v>
      </c>
      <c r="BB1673" s="2">
        <f t="shared" si="696"/>
        <v>6.7502410800385727E-3</v>
      </c>
      <c r="BC1673" s="2">
        <f t="shared" si="697"/>
        <v>2.8929604628736743E-3</v>
      </c>
      <c r="BD1673" s="2">
        <f t="shared" si="698"/>
        <v>0</v>
      </c>
      <c r="BF1673" t="s">
        <v>2631</v>
      </c>
      <c r="BG1673" t="s">
        <v>1091</v>
      </c>
      <c r="BH1673">
        <v>1</v>
      </c>
      <c r="BJ1673" s="114">
        <v>30</v>
      </c>
      <c r="BK1673" s="116">
        <v>17</v>
      </c>
      <c r="BL1673" s="120">
        <f t="shared" si="679"/>
        <v>30017</v>
      </c>
      <c r="BN1673" s="5" t="s">
        <v>3154</v>
      </c>
    </row>
    <row r="1674" spans="1:85" hidden="1" outlineLevel="1">
      <c r="A1674" t="s">
        <v>1958</v>
      </c>
      <c r="B1674" t="s">
        <v>1091</v>
      </c>
      <c r="C1674" s="1">
        <f t="shared" si="690"/>
        <v>962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6</v>
      </c>
      <c r="G1674" s="132">
        <f t="shared" si="699"/>
        <v>562</v>
      </c>
      <c r="H1674" s="137">
        <f t="shared" si="700"/>
        <v>0.58419958419958418</v>
      </c>
      <c r="I1674" s="2"/>
      <c r="J1674" s="2">
        <f t="shared" si="691"/>
        <v>0.17463617463617465</v>
      </c>
      <c r="K1674" s="2">
        <f t="shared" si="692"/>
        <v>0.75883575883575882</v>
      </c>
      <c r="L1674" s="2">
        <f t="shared" si="693"/>
        <v>3.1185031185031187E-3</v>
      </c>
      <c r="M1674" s="2">
        <f t="shared" si="694"/>
        <v>6.3409563409563413E-2</v>
      </c>
      <c r="N1674" s="63">
        <v>168</v>
      </c>
      <c r="O1674" s="63">
        <v>730</v>
      </c>
      <c r="P1674" s="63">
        <v>3</v>
      </c>
      <c r="Q1674" s="63">
        <v>51</v>
      </c>
      <c r="R1674" s="63">
        <v>6</v>
      </c>
      <c r="S1674" s="63">
        <v>4</v>
      </c>
      <c r="T1674" s="63">
        <v>0</v>
      </c>
      <c r="U1674" s="63"/>
      <c r="V1674" s="63"/>
      <c r="W1674" s="63">
        <f>IF(Copyright!B$11=1,IF(CA1674&gt;0,CA1674-P1674-S1674-U1674-SUM(X1674:AQ1674),SUM(CB1674:CH1674)),SUM(CC1674:CH1674))</f>
        <v>0</v>
      </c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W1674" s="5">
        <f>IF(Q1674&gt;0,RANK(Q1674,(N1674:P1674,Q1674:AE1674)),0)</f>
        <v>3</v>
      </c>
      <c r="AX1674" s="5">
        <f>IF(R1674&gt;0,RANK(R1674,(N1674:P1674,Q1674:AE1674)),0)</f>
        <v>4</v>
      </c>
      <c r="AY1674" s="5">
        <f>IF(T1674&gt;0,RANK(T1674,(N1674:P1674,Q1674:AE1674)),0)</f>
        <v>0</v>
      </c>
      <c r="AZ1674" s="5">
        <f>IF(S1674&gt;0,RANK(S1674,(N1674:P1674,Q1674:AE1674)),0)</f>
        <v>5</v>
      </c>
      <c r="BA1674" s="2">
        <f t="shared" si="695"/>
        <v>5.3014553014553017E-2</v>
      </c>
      <c r="BB1674" s="2">
        <f t="shared" si="696"/>
        <v>6.2370062370062374E-3</v>
      </c>
      <c r="BC1674" s="2">
        <f t="shared" si="697"/>
        <v>0</v>
      </c>
      <c r="BD1674" s="2">
        <f t="shared" si="698"/>
        <v>4.1580041580041582E-3</v>
      </c>
      <c r="BF1674" t="s">
        <v>1958</v>
      </c>
      <c r="BG1674" t="s">
        <v>1091</v>
      </c>
      <c r="BH1674">
        <v>1</v>
      </c>
      <c r="BJ1674" s="114">
        <v>30</v>
      </c>
      <c r="BK1674" s="116">
        <v>19</v>
      </c>
      <c r="BL1674" s="120">
        <f t="shared" si="679"/>
        <v>30019</v>
      </c>
      <c r="BN1674" s="5" t="s">
        <v>3154</v>
      </c>
    </row>
    <row r="1675" spans="1:85" hidden="1" outlineLevel="1">
      <c r="A1675" t="s">
        <v>2759</v>
      </c>
      <c r="B1675" t="s">
        <v>1091</v>
      </c>
      <c r="C1675" s="1">
        <f t="shared" si="690"/>
        <v>4409</v>
      </c>
      <c r="D1675" s="5">
        <f>IF(N1675&gt;0, RANK(N1675,(N1675:P1675,Q1675:AE1675)),0)</f>
        <v>2</v>
      </c>
      <c r="E1675" s="5">
        <f>IF(O1675&gt;0,RANK(O1675,(N1675:P1675,Q1675:AE1675)),0)</f>
        <v>1</v>
      </c>
      <c r="F1675" s="5">
        <f>IF(P1675&gt;0,RANK(P1675,(N1675:P1675,Q1675:AE1675)),0)</f>
        <v>4</v>
      </c>
      <c r="G1675" s="132">
        <f t="shared" si="699"/>
        <v>2533</v>
      </c>
      <c r="H1675" s="137">
        <f t="shared" si="700"/>
        <v>0.57450669085960537</v>
      </c>
      <c r="I1675" s="2"/>
      <c r="J1675" s="2">
        <f t="shared" si="691"/>
        <v>0.17849852574279881</v>
      </c>
      <c r="K1675" s="2">
        <f t="shared" si="692"/>
        <v>0.75300521660240416</v>
      </c>
      <c r="L1675" s="2">
        <f t="shared" si="693"/>
        <v>8.3919256067135403E-3</v>
      </c>
      <c r="M1675" s="2">
        <f t="shared" si="694"/>
        <v>6.0104332048083513E-2</v>
      </c>
      <c r="N1675" s="63">
        <v>787</v>
      </c>
      <c r="O1675" s="63">
        <v>3320</v>
      </c>
      <c r="P1675" s="63">
        <v>37</v>
      </c>
      <c r="Q1675" s="63">
        <v>184</v>
      </c>
      <c r="R1675" s="63">
        <v>33</v>
      </c>
      <c r="S1675" s="63">
        <v>6</v>
      </c>
      <c r="T1675" s="63">
        <v>7</v>
      </c>
      <c r="U1675" s="63"/>
      <c r="V1675" s="63"/>
      <c r="W1675" s="63">
        <f>IF(Copyright!B$11=1,IF(CA1675&gt;0,CA1675-P1675-S1675-U1675-SUM(X1675:AQ1675),SUM(CB1675:CH1675)),SUM(CC1675:CH1675))</f>
        <v>35</v>
      </c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W1675" s="5">
        <f>IF(Q1675&gt;0,RANK(Q1675,(N1675:P1675,Q1675:AE1675)),0)</f>
        <v>3</v>
      </c>
      <c r="AX1675" s="5">
        <f>IF(R1675&gt;0,RANK(R1675,(N1675:P1675,Q1675:AE1675)),0)</f>
        <v>6</v>
      </c>
      <c r="AY1675" s="5">
        <f>IF(T1675&gt;0,RANK(T1675,(N1675:P1675,Q1675:AE1675)),0)</f>
        <v>7</v>
      </c>
      <c r="AZ1675" s="5">
        <f>IF(S1675&gt;0,RANK(S1675,(N1675:P1675,Q1675:AE1675)),0)</f>
        <v>8</v>
      </c>
      <c r="BA1675" s="2">
        <f t="shared" si="695"/>
        <v>4.1732819233386252E-2</v>
      </c>
      <c r="BB1675" s="2">
        <f t="shared" si="696"/>
        <v>7.4846904059877525E-3</v>
      </c>
      <c r="BC1675" s="2">
        <f t="shared" si="697"/>
        <v>1.5876616012701294E-3</v>
      </c>
      <c r="BD1675" s="2">
        <f t="shared" si="698"/>
        <v>1.3608528010886822E-3</v>
      </c>
      <c r="BF1675" t="s">
        <v>2759</v>
      </c>
      <c r="BG1675" t="s">
        <v>1091</v>
      </c>
      <c r="BH1675">
        <v>1</v>
      </c>
      <c r="BJ1675" s="114">
        <v>30</v>
      </c>
      <c r="BK1675" s="116">
        <v>21</v>
      </c>
      <c r="BL1675" s="120">
        <f t="shared" si="679"/>
        <v>30021</v>
      </c>
      <c r="BN1675" s="5" t="s">
        <v>3154</v>
      </c>
      <c r="CA1675" s="133">
        <v>78</v>
      </c>
    </row>
    <row r="1676" spans="1:85" hidden="1" outlineLevel="1">
      <c r="A1676" t="s">
        <v>901</v>
      </c>
      <c r="B1676" t="s">
        <v>1091</v>
      </c>
      <c r="C1676" s="1">
        <f t="shared" si="690"/>
        <v>4206</v>
      </c>
      <c r="D1676" s="5">
        <f>IF(N1676&gt;0, RANK(N1676,(N1676:P1676,Q1676:AE1676)),0)</f>
        <v>1</v>
      </c>
      <c r="E1676" s="5">
        <f>IF(O1676&gt;0,RANK(O1676,(N1676:P1676,Q1676:AE1676)),0)</f>
        <v>2</v>
      </c>
      <c r="F1676" s="5">
        <f>IF(P1676&gt;0,RANK(P1676,(N1676:P1676,Q1676:AE1676)),0)</f>
        <v>6</v>
      </c>
      <c r="G1676" s="132">
        <f t="shared" si="699"/>
        <v>295</v>
      </c>
      <c r="H1676" s="137">
        <f t="shared" si="700"/>
        <v>7.0137898240608648E-2</v>
      </c>
      <c r="I1676" s="2"/>
      <c r="J1676" s="2">
        <f t="shared" si="691"/>
        <v>0.48930099857346648</v>
      </c>
      <c r="K1676" s="2">
        <f t="shared" si="692"/>
        <v>0.41916310033285781</v>
      </c>
      <c r="L1676" s="2">
        <f t="shared" si="693"/>
        <v>1.9020446980504042E-3</v>
      </c>
      <c r="M1676" s="2">
        <f t="shared" si="694"/>
        <v>8.9633856395625364E-2</v>
      </c>
      <c r="N1676" s="63">
        <v>2058</v>
      </c>
      <c r="O1676" s="63">
        <v>1763</v>
      </c>
      <c r="P1676" s="63">
        <v>8</v>
      </c>
      <c r="Q1676" s="63">
        <v>276</v>
      </c>
      <c r="R1676" s="63">
        <v>74</v>
      </c>
      <c r="S1676" s="63">
        <v>4</v>
      </c>
      <c r="T1676" s="63">
        <v>23</v>
      </c>
      <c r="U1676" s="63"/>
      <c r="V1676" s="63"/>
      <c r="W1676" s="63">
        <f>IF(Copyright!B$11=1,IF(CA1676&gt;0,CA1676-P1676-S1676-U1676-SUM(X1676:AQ1676),SUM(CB1676:CH1676)),SUM(CC1676:CH1676))</f>
        <v>0</v>
      </c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W1676" s="5">
        <f>IF(Q1676&gt;0,RANK(Q1676,(N1676:P1676,Q1676:AE1676)),0)</f>
        <v>3</v>
      </c>
      <c r="AX1676" s="5">
        <f>IF(R1676&gt;0,RANK(R1676,(N1676:P1676,Q1676:AE1676)),0)</f>
        <v>4</v>
      </c>
      <c r="AY1676" s="5">
        <f>IF(T1676&gt;0,RANK(T1676,(N1676:P1676,Q1676:AE1676)),0)</f>
        <v>5</v>
      </c>
      <c r="AZ1676" s="5">
        <f>IF(S1676&gt;0,RANK(S1676,(N1676:P1676,Q1676:AE1676)),0)</f>
        <v>7</v>
      </c>
      <c r="BA1676" s="2">
        <f t="shared" si="695"/>
        <v>6.5620542082738945E-2</v>
      </c>
      <c r="BB1676" s="2">
        <f t="shared" si="696"/>
        <v>1.7593913456966238E-2</v>
      </c>
      <c r="BC1676" s="2">
        <f t="shared" si="697"/>
        <v>5.4683785068949118E-3</v>
      </c>
      <c r="BD1676" s="2">
        <f t="shared" si="698"/>
        <v>9.5102234902520212E-4</v>
      </c>
      <c r="BF1676" t="s">
        <v>901</v>
      </c>
      <c r="BG1676" t="s">
        <v>1091</v>
      </c>
      <c r="BH1676">
        <v>1</v>
      </c>
      <c r="BJ1676" s="114">
        <v>30</v>
      </c>
      <c r="BK1676" s="116">
        <v>23</v>
      </c>
      <c r="BL1676" s="120">
        <f t="shared" si="679"/>
        <v>30023</v>
      </c>
      <c r="BN1676" s="5" t="s">
        <v>3154</v>
      </c>
    </row>
    <row r="1677" spans="1:85" hidden="1" outlineLevel="1">
      <c r="A1677" t="s">
        <v>902</v>
      </c>
      <c r="B1677" t="s">
        <v>1091</v>
      </c>
      <c r="C1677" s="1">
        <f t="shared" si="690"/>
        <v>1484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32">
        <f t="shared" si="699"/>
        <v>1125</v>
      </c>
      <c r="H1677" s="137">
        <f t="shared" si="700"/>
        <v>0.75808625336927227</v>
      </c>
      <c r="I1677" s="2"/>
      <c r="J1677" s="2">
        <f t="shared" si="691"/>
        <v>0.10377358490566038</v>
      </c>
      <c r="K1677" s="2">
        <f t="shared" si="692"/>
        <v>0.86185983827493262</v>
      </c>
      <c r="L1677" s="2">
        <f t="shared" si="693"/>
        <v>0</v>
      </c>
      <c r="M1677" s="2">
        <f t="shared" si="694"/>
        <v>3.4366576819407024E-2</v>
      </c>
      <c r="N1677" s="63">
        <v>154</v>
      </c>
      <c r="O1677" s="63">
        <v>1279</v>
      </c>
      <c r="P1677" s="63"/>
      <c r="Q1677" s="63">
        <v>45</v>
      </c>
      <c r="R1677" s="63">
        <v>4</v>
      </c>
      <c r="S1677" s="63"/>
      <c r="T1677" s="63">
        <v>2</v>
      </c>
      <c r="U1677" s="63"/>
      <c r="V1677" s="63"/>
      <c r="W1677" s="63">
        <f>IF(Copyright!B$11=1,IF(CA1677&gt;0,CA1677-P1677-S1677-U1677-SUM(X1677:AQ1677),SUM(CB1677:CH1677)),SUM(CC1677:CH1677))</f>
        <v>0</v>
      </c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W1677" s="5">
        <f>IF(Q1677&gt;0,RANK(Q1677,(N1677:P1677,Q1677:AE1677)),0)</f>
        <v>3</v>
      </c>
      <c r="AX1677" s="5">
        <f>IF(R1677&gt;0,RANK(R1677,(N1677:P1677,Q1677:AE1677)),0)</f>
        <v>4</v>
      </c>
      <c r="AY1677" s="5">
        <f>IF(T1677&gt;0,RANK(T1677,(N1677:P1677,Q1677:AE1677)),0)</f>
        <v>5</v>
      </c>
      <c r="AZ1677" s="5">
        <f>IF(S1677&gt;0,RANK(S1677,(N1677:P1677,Q1677:AE1677)),0)</f>
        <v>0</v>
      </c>
      <c r="BA1677" s="2">
        <f t="shared" si="695"/>
        <v>3.0323450134770891E-2</v>
      </c>
      <c r="BB1677" s="2">
        <f t="shared" si="696"/>
        <v>2.6954177897574125E-3</v>
      </c>
      <c r="BC1677" s="2">
        <f t="shared" si="697"/>
        <v>1.3477088948787063E-3</v>
      </c>
      <c r="BD1677" s="2">
        <f t="shared" si="698"/>
        <v>0</v>
      </c>
      <c r="BF1677" t="s">
        <v>902</v>
      </c>
      <c r="BG1677" t="s">
        <v>1091</v>
      </c>
      <c r="BH1677">
        <v>1</v>
      </c>
      <c r="BJ1677" s="114">
        <v>30</v>
      </c>
      <c r="BK1677" s="116">
        <v>25</v>
      </c>
      <c r="BL1677" s="120">
        <f t="shared" si="679"/>
        <v>30025</v>
      </c>
      <c r="BN1677" s="5" t="s">
        <v>3154</v>
      </c>
    </row>
    <row r="1678" spans="1:85" hidden="1" outlineLevel="1">
      <c r="A1678" t="s">
        <v>1073</v>
      </c>
      <c r="B1678" t="s">
        <v>1091</v>
      </c>
      <c r="C1678" s="1">
        <f t="shared" si="690"/>
        <v>5840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32">
        <f t="shared" si="699"/>
        <v>3067</v>
      </c>
      <c r="H1678" s="137">
        <f t="shared" si="700"/>
        <v>0.5251712328767123</v>
      </c>
      <c r="I1678" s="2"/>
      <c r="J1678" s="2">
        <f t="shared" si="691"/>
        <v>0.20582191780821918</v>
      </c>
      <c r="K1678" s="2">
        <f t="shared" si="692"/>
        <v>0.73099315068493154</v>
      </c>
      <c r="L1678" s="2">
        <f t="shared" si="693"/>
        <v>0</v>
      </c>
      <c r="M1678" s="2">
        <f t="shared" si="694"/>
        <v>6.3184931506849229E-2</v>
      </c>
      <c r="N1678" s="63">
        <v>1202</v>
      </c>
      <c r="O1678" s="63">
        <v>4269</v>
      </c>
      <c r="P1678" s="63"/>
      <c r="Q1678" s="63">
        <v>302</v>
      </c>
      <c r="R1678" s="63">
        <v>52</v>
      </c>
      <c r="S1678" s="63"/>
      <c r="T1678" s="63">
        <v>15</v>
      </c>
      <c r="U1678" s="63"/>
      <c r="V1678" s="63"/>
      <c r="W1678" s="63">
        <f>IF(Copyright!B$11=1,IF(CA1678&gt;0,CA1678-P1678-S1678-U1678-SUM(X1678:AQ1678),SUM(CB1678:CH1678)),SUM(CC1678:CH1678))</f>
        <v>0</v>
      </c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W1678" s="5">
        <f>IF(Q1678&gt;0,RANK(Q1678,(N1678:P1678,Q1678:AE1678)),0)</f>
        <v>3</v>
      </c>
      <c r="AX1678" s="5">
        <f>IF(R1678&gt;0,RANK(R1678,(N1678:P1678,Q1678:AE1678)),0)</f>
        <v>4</v>
      </c>
      <c r="AY1678" s="5">
        <f>IF(T1678&gt;0,RANK(T1678,(N1678:P1678,Q1678:AE1678)),0)</f>
        <v>5</v>
      </c>
      <c r="AZ1678" s="5">
        <f>IF(S1678&gt;0,RANK(S1678,(N1678:P1678,Q1678:AE1678)),0)</f>
        <v>0</v>
      </c>
      <c r="BA1678" s="2">
        <f t="shared" si="695"/>
        <v>5.171232876712329E-2</v>
      </c>
      <c r="BB1678" s="2">
        <f t="shared" si="696"/>
        <v>8.9041095890410957E-3</v>
      </c>
      <c r="BC1678" s="2">
        <f t="shared" si="697"/>
        <v>2.5684931506849314E-3</v>
      </c>
      <c r="BD1678" s="2">
        <f t="shared" si="698"/>
        <v>0</v>
      </c>
      <c r="BF1678" t="s">
        <v>1073</v>
      </c>
      <c r="BG1678" t="s">
        <v>1091</v>
      </c>
      <c r="BH1678">
        <v>1</v>
      </c>
      <c r="BJ1678" s="114">
        <v>30</v>
      </c>
      <c r="BK1678" s="116">
        <v>27</v>
      </c>
      <c r="BL1678" s="120">
        <f t="shared" si="679"/>
        <v>30027</v>
      </c>
      <c r="BN1678" s="5" t="s">
        <v>3154</v>
      </c>
    </row>
    <row r="1679" spans="1:85" hidden="1" outlineLevel="1">
      <c r="A1679" t="s">
        <v>2005</v>
      </c>
      <c r="B1679" t="s">
        <v>1091</v>
      </c>
      <c r="C1679" s="1">
        <f t="shared" si="690"/>
        <v>47496</v>
      </c>
      <c r="D1679" s="5">
        <f>IF(N1679&gt;0, RANK(N1679,(N1679:P1679,Q1679:AE1679)),0)</f>
        <v>2</v>
      </c>
      <c r="E1679" s="5">
        <f>IF(O1679&gt;0,RANK(O1679,(N1679:P1679,Q1679:AE1679)),0)</f>
        <v>1</v>
      </c>
      <c r="F1679" s="5">
        <f>IF(P1679&gt;0,RANK(P1679,(N1679:P1679,Q1679:AE1679)),0)</f>
        <v>7</v>
      </c>
      <c r="G1679" s="132">
        <f t="shared" si="699"/>
        <v>16947</v>
      </c>
      <c r="H1679" s="137">
        <f t="shared" si="700"/>
        <v>0.35680899444163722</v>
      </c>
      <c r="I1679" s="2"/>
      <c r="J1679" s="2">
        <f t="shared" si="691"/>
        <v>0.27987620010106112</v>
      </c>
      <c r="K1679" s="2">
        <f t="shared" si="692"/>
        <v>0.63668519454269834</v>
      </c>
      <c r="L1679" s="2">
        <f t="shared" si="693"/>
        <v>1.4948627252821291E-3</v>
      </c>
      <c r="M1679" s="2">
        <f t="shared" si="694"/>
        <v>8.1943742630958466E-2</v>
      </c>
      <c r="N1679" s="63">
        <v>13293</v>
      </c>
      <c r="O1679" s="63">
        <v>30240</v>
      </c>
      <c r="P1679" s="63">
        <v>71</v>
      </c>
      <c r="Q1679" s="63">
        <v>2199</v>
      </c>
      <c r="R1679" s="63">
        <v>656</v>
      </c>
      <c r="S1679" s="63">
        <v>4</v>
      </c>
      <c r="T1679" s="63">
        <v>106</v>
      </c>
      <c r="U1679" s="63"/>
      <c r="V1679" s="63"/>
      <c r="W1679" s="63">
        <f>IF(Copyright!B$11=1,IF(CA1679&gt;0,CA1679-P1679-S1679-U1679-SUM(X1679:AQ1679),SUM(CB1679:CH1679)),SUM(CC1679:CH1679))</f>
        <v>926</v>
      </c>
      <c r="X1679" s="63"/>
      <c r="Y1679" s="63"/>
      <c r="Z1679" s="63"/>
      <c r="AA1679" s="63"/>
      <c r="AB1679" s="63"/>
      <c r="AC1679" s="63"/>
      <c r="AD1679" s="63"/>
      <c r="AE1679" s="63">
        <v>1</v>
      </c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W1679" s="5">
        <f>IF(Q1679&gt;0,RANK(Q1679,(N1679:P1679,Q1679:AE1679)),0)</f>
        <v>3</v>
      </c>
      <c r="AX1679" s="5">
        <f>IF(R1679&gt;0,RANK(R1679,(N1679:P1679,Q1679:AE1679)),0)</f>
        <v>5</v>
      </c>
      <c r="AY1679" s="5">
        <f>IF(T1679&gt;0,RANK(T1679,(N1679:P1679,Q1679:AE1679)),0)</f>
        <v>6</v>
      </c>
      <c r="AZ1679" s="5">
        <f>IF(S1679&gt;0,RANK(S1679,(N1679:P1679,Q1679:AE1679)),0)</f>
        <v>8</v>
      </c>
      <c r="BA1679" s="2">
        <f t="shared" si="695"/>
        <v>4.6298635674583123E-2</v>
      </c>
      <c r="BB1679" s="2">
        <f t="shared" si="696"/>
        <v>1.3811689405423615E-2</v>
      </c>
      <c r="BC1679" s="2">
        <f t="shared" si="697"/>
        <v>2.2317668856324745E-3</v>
      </c>
      <c r="BD1679" s="2">
        <f t="shared" si="698"/>
        <v>8.4217618325753754E-5</v>
      </c>
      <c r="BF1679" t="s">
        <v>2005</v>
      </c>
      <c r="BG1679" t="s">
        <v>1091</v>
      </c>
      <c r="BH1679">
        <v>1</v>
      </c>
      <c r="BJ1679" s="114">
        <v>30</v>
      </c>
      <c r="BK1679" s="116">
        <v>29</v>
      </c>
      <c r="BL1679" s="120">
        <f t="shared" si="679"/>
        <v>30029</v>
      </c>
      <c r="BN1679" s="5" t="s">
        <v>3154</v>
      </c>
      <c r="BR1679" s="63"/>
      <c r="CA1679" s="63">
        <v>1002</v>
      </c>
      <c r="CG1679" s="8">
        <v>1</v>
      </c>
    </row>
    <row r="1680" spans="1:85" hidden="1" outlineLevel="1">
      <c r="A1680" t="s">
        <v>45</v>
      </c>
      <c r="B1680" t="s">
        <v>1091</v>
      </c>
      <c r="C1680" s="1">
        <f t="shared" si="690"/>
        <v>53819</v>
      </c>
      <c r="D1680" s="5">
        <f>IF(N1680&gt;0, RANK(N1680,(N1680:P1680,Q1680:AE1680)),0)</f>
        <v>1</v>
      </c>
      <c r="E1680" s="5">
        <f>IF(O1680&gt;0,RANK(O1680,(N1680:P1680,Q1680:AE1680)),0)</f>
        <v>2</v>
      </c>
      <c r="F1680" s="5">
        <f>IF(P1680&gt;0,RANK(P1680,(N1680:P1680,Q1680:AE1680)),0)</f>
        <v>5</v>
      </c>
      <c r="G1680" s="132">
        <f t="shared" si="699"/>
        <v>444</v>
      </c>
      <c r="H1680" s="137">
        <f t="shared" si="700"/>
        <v>8.2498745796094324E-3</v>
      </c>
      <c r="I1680" s="2"/>
      <c r="J1680" s="2">
        <f t="shared" si="691"/>
        <v>0.45051004292164476</v>
      </c>
      <c r="K1680" s="2">
        <f t="shared" si="692"/>
        <v>0.44226016834203535</v>
      </c>
      <c r="L1680" s="2">
        <f t="shared" si="693"/>
        <v>8.7701369404857028E-3</v>
      </c>
      <c r="M1680" s="2">
        <f t="shared" si="694"/>
        <v>9.8459651795834185E-2</v>
      </c>
      <c r="N1680" s="63">
        <v>24246</v>
      </c>
      <c r="O1680" s="63">
        <v>23802</v>
      </c>
      <c r="P1680" s="63">
        <v>472</v>
      </c>
      <c r="Q1680" s="63">
        <v>4015</v>
      </c>
      <c r="R1680" s="63">
        <v>1061</v>
      </c>
      <c r="S1680" s="63">
        <v>54</v>
      </c>
      <c r="T1680" s="63">
        <v>168</v>
      </c>
      <c r="U1680" s="63"/>
      <c r="V1680" s="63"/>
      <c r="W1680" s="63">
        <f>IF(Copyright!B$11=1,IF(CA1680&gt;0,CA1680-P1680-S1680-U1680-SUM(X1680:AQ1680),SUM(CB1680:CH1680)),SUM(CC1680:CH1680))</f>
        <v>0</v>
      </c>
      <c r="X1680" s="63"/>
      <c r="Y1680" s="63"/>
      <c r="Z1680" s="63"/>
      <c r="AA1680" s="63"/>
      <c r="AB1680" s="63"/>
      <c r="AC1680" s="63"/>
      <c r="AD1680" s="63"/>
      <c r="AE1680" s="63">
        <v>1</v>
      </c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W1680" s="5">
        <f>IF(Q1680&gt;0,RANK(Q1680,(N1680:P1680,Q1680:AE1680)),0)</f>
        <v>3</v>
      </c>
      <c r="AX1680" s="5">
        <f>IF(R1680&gt;0,RANK(R1680,(N1680:P1680,Q1680:AE1680)),0)</f>
        <v>4</v>
      </c>
      <c r="AY1680" s="5">
        <f>IF(T1680&gt;0,RANK(T1680,(N1680:P1680,Q1680:AE1680)),0)</f>
        <v>6</v>
      </c>
      <c r="AZ1680" s="5">
        <f>IF(S1680&gt;0,RANK(S1680,(N1680:P1680,Q1680:AE1680)),0)</f>
        <v>7</v>
      </c>
      <c r="BA1680" s="2">
        <f t="shared" si="695"/>
        <v>7.4601906389936634E-2</v>
      </c>
      <c r="BB1680" s="2">
        <f t="shared" si="696"/>
        <v>1.9714227317490104E-2</v>
      </c>
      <c r="BC1680" s="2">
        <f t="shared" si="697"/>
        <v>3.1215741652576229E-3</v>
      </c>
      <c r="BD1680" s="2">
        <f t="shared" si="698"/>
        <v>1.0033631245470931E-3</v>
      </c>
      <c r="BF1680" t="s">
        <v>45</v>
      </c>
      <c r="BG1680" t="s">
        <v>1091</v>
      </c>
      <c r="BH1680">
        <v>1</v>
      </c>
      <c r="BJ1680" s="114">
        <v>30</v>
      </c>
      <c r="BK1680" s="116">
        <v>31</v>
      </c>
      <c r="BL1680" s="120">
        <f t="shared" si="679"/>
        <v>30031</v>
      </c>
      <c r="BN1680" s="5" t="s">
        <v>3154</v>
      </c>
    </row>
    <row r="1681" spans="1:82" hidden="1" outlineLevel="1">
      <c r="A1681" t="s">
        <v>2946</v>
      </c>
      <c r="B1681" t="s">
        <v>1091</v>
      </c>
      <c r="C1681" s="1">
        <f t="shared" si="690"/>
        <v>718</v>
      </c>
      <c r="D1681" s="5">
        <f>IF(N1681&gt;0, RANK(N1681,(N1681:P1681,Q1681:AE1681)),0)</f>
        <v>2</v>
      </c>
      <c r="E1681" s="5">
        <f>IF(O1681&gt;0,RANK(O1681,(N1681:P1681,Q1681:AE1681)),0)</f>
        <v>1</v>
      </c>
      <c r="F1681" s="5">
        <f>IF(P1681&gt;0,RANK(P1681,(N1681:P1681,Q1681:AE1681)),0)</f>
        <v>4</v>
      </c>
      <c r="G1681" s="132">
        <f t="shared" si="699"/>
        <v>619</v>
      </c>
      <c r="H1681" s="137">
        <f t="shared" si="700"/>
        <v>0.86211699164345401</v>
      </c>
      <c r="I1681" s="2"/>
      <c r="J1681" s="2">
        <f t="shared" si="691"/>
        <v>4.7353760445682451E-2</v>
      </c>
      <c r="K1681" s="2">
        <f t="shared" si="692"/>
        <v>0.90947075208913652</v>
      </c>
      <c r="L1681" s="2">
        <f t="shared" si="693"/>
        <v>2.7855153203342618E-3</v>
      </c>
      <c r="M1681" s="2">
        <f t="shared" si="694"/>
        <v>4.0389972144846811E-2</v>
      </c>
      <c r="N1681" s="63">
        <v>34</v>
      </c>
      <c r="O1681" s="63">
        <v>653</v>
      </c>
      <c r="P1681" s="63">
        <v>2</v>
      </c>
      <c r="Q1681" s="63">
        <v>27</v>
      </c>
      <c r="R1681" s="63">
        <v>1</v>
      </c>
      <c r="S1681" s="63"/>
      <c r="T1681" s="63">
        <v>1</v>
      </c>
      <c r="U1681" s="63"/>
      <c r="V1681" s="63"/>
      <c r="W1681" s="63">
        <f>IF(Copyright!B$11=1,IF(CA1681&gt;0,CA1681-P1681-S1681-U1681-SUM(X1681:AQ1681),SUM(CB1681:CH1681)),SUM(CC1681:CH1681))</f>
        <v>0</v>
      </c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W1681" s="5">
        <f>IF(Q1681&gt;0,RANK(Q1681,(N1681:P1681,Q1681:AE1681)),0)</f>
        <v>3</v>
      </c>
      <c r="AX1681" s="5">
        <f>IF(R1681&gt;0,RANK(R1681,(N1681:P1681,Q1681:AE1681)),0)</f>
        <v>5</v>
      </c>
      <c r="AY1681" s="5">
        <f>IF(T1681&gt;0,RANK(T1681,(N1681:P1681,Q1681:AE1681)),0)</f>
        <v>5</v>
      </c>
      <c r="AZ1681" s="5">
        <f>IF(S1681&gt;0,RANK(S1681,(N1681:P1681,Q1681:AE1681)),0)</f>
        <v>0</v>
      </c>
      <c r="BA1681" s="2">
        <f t="shared" si="695"/>
        <v>3.7604456824512536E-2</v>
      </c>
      <c r="BB1681" s="2">
        <f t="shared" si="696"/>
        <v>1.3927576601671309E-3</v>
      </c>
      <c r="BC1681" s="2">
        <f t="shared" si="697"/>
        <v>1.3927576601671309E-3</v>
      </c>
      <c r="BD1681" s="2">
        <f t="shared" si="698"/>
        <v>0</v>
      </c>
      <c r="BF1681" t="s">
        <v>2946</v>
      </c>
      <c r="BG1681" t="s">
        <v>1091</v>
      </c>
      <c r="BH1681">
        <v>1</v>
      </c>
      <c r="BJ1681" s="114">
        <v>30</v>
      </c>
      <c r="BK1681" s="116">
        <v>33</v>
      </c>
      <c r="BL1681" s="120">
        <f t="shared" si="679"/>
        <v>30033</v>
      </c>
      <c r="BN1681" s="5" t="s">
        <v>3154</v>
      </c>
    </row>
    <row r="1682" spans="1:82" hidden="1" outlineLevel="1">
      <c r="A1682" t="s">
        <v>1551</v>
      </c>
      <c r="B1682" t="s">
        <v>1091</v>
      </c>
      <c r="C1682" s="1">
        <f t="shared" si="690"/>
        <v>5075</v>
      </c>
      <c r="D1682" s="5">
        <f>IF(N1682&gt;0, RANK(N1682,(N1682:P1682,Q1682:AE1682)),0)</f>
        <v>1</v>
      </c>
      <c r="E1682" s="5">
        <f>IF(O1682&gt;0,RANK(O1682,(N1682:P1682,Q1682:AE1682)),0)</f>
        <v>2</v>
      </c>
      <c r="F1682" s="5">
        <f>IF(P1682&gt;0,RANK(P1682,(N1682:P1682,Q1682:AE1682)),0)</f>
        <v>6</v>
      </c>
      <c r="G1682" s="132">
        <f t="shared" si="699"/>
        <v>1501</v>
      </c>
      <c r="H1682" s="137">
        <f t="shared" si="700"/>
        <v>0.29576354679802958</v>
      </c>
      <c r="I1682" s="2"/>
      <c r="J1682" s="2">
        <f t="shared" si="691"/>
        <v>0.61497536945812803</v>
      </c>
      <c r="K1682" s="2">
        <f t="shared" si="692"/>
        <v>0.31921182266009851</v>
      </c>
      <c r="L1682" s="2">
        <f t="shared" si="693"/>
        <v>2.5615763546798028E-3</v>
      </c>
      <c r="M1682" s="2">
        <f t="shared" si="694"/>
        <v>6.3251231527093651E-2</v>
      </c>
      <c r="N1682" s="63">
        <v>3121</v>
      </c>
      <c r="O1682" s="63">
        <v>1620</v>
      </c>
      <c r="P1682" s="63">
        <v>13</v>
      </c>
      <c r="Q1682" s="63">
        <v>203</v>
      </c>
      <c r="R1682" s="63">
        <v>95</v>
      </c>
      <c r="S1682" s="63">
        <v>1</v>
      </c>
      <c r="T1682" s="63">
        <v>22</v>
      </c>
      <c r="U1682" s="63"/>
      <c r="V1682" s="63"/>
      <c r="W1682" s="63">
        <f>IF(Copyright!B$11=1,IF(CA1682&gt;0,CA1682-P1682-S1682-U1682-SUM(X1682:AQ1682),SUM(CB1682:CH1682)),SUM(CC1682:CH1682))</f>
        <v>0</v>
      </c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W1682" s="5">
        <f>IF(Q1682&gt;0,RANK(Q1682,(N1682:P1682,Q1682:AE1682)),0)</f>
        <v>3</v>
      </c>
      <c r="AX1682" s="5">
        <f>IF(R1682&gt;0,RANK(R1682,(N1682:P1682,Q1682:AE1682)),0)</f>
        <v>4</v>
      </c>
      <c r="AY1682" s="5">
        <f>IF(T1682&gt;0,RANK(T1682,(N1682:P1682,Q1682:AE1682)),0)</f>
        <v>5</v>
      </c>
      <c r="AZ1682" s="5">
        <f>IF(S1682&gt;0,RANK(S1682,(N1682:P1682,Q1682:AE1682)),0)</f>
        <v>7</v>
      </c>
      <c r="BA1682" s="2">
        <f t="shared" si="695"/>
        <v>0.04</v>
      </c>
      <c r="BB1682" s="2">
        <f t="shared" si="696"/>
        <v>1.8719211822660099E-2</v>
      </c>
      <c r="BC1682" s="2">
        <f t="shared" si="697"/>
        <v>4.3349753694581277E-3</v>
      </c>
      <c r="BD1682" s="2">
        <f t="shared" si="698"/>
        <v>1.9704433497536947E-4</v>
      </c>
      <c r="BF1682" t="s">
        <v>1551</v>
      </c>
      <c r="BG1682" t="s">
        <v>1091</v>
      </c>
      <c r="BH1682">
        <v>1</v>
      </c>
      <c r="BJ1682" s="114">
        <v>30</v>
      </c>
      <c r="BK1682" s="116">
        <v>35</v>
      </c>
      <c r="BL1682" s="120">
        <f t="shared" si="679"/>
        <v>30035</v>
      </c>
      <c r="BN1682" s="5" t="s">
        <v>3154</v>
      </c>
    </row>
    <row r="1683" spans="1:82" hidden="1" outlineLevel="1">
      <c r="A1683" t="s">
        <v>349</v>
      </c>
      <c r="B1683" t="s">
        <v>1091</v>
      </c>
      <c r="C1683" s="1">
        <f t="shared" si="690"/>
        <v>474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4</v>
      </c>
      <c r="G1683" s="132">
        <f t="shared" si="699"/>
        <v>294</v>
      </c>
      <c r="H1683" s="137">
        <f t="shared" si="700"/>
        <v>0.620253164556962</v>
      </c>
      <c r="I1683" s="2"/>
      <c r="J1683" s="2">
        <f t="shared" si="691"/>
        <v>0.14978902953586498</v>
      </c>
      <c r="K1683" s="2">
        <f t="shared" si="692"/>
        <v>0.77004219409282704</v>
      </c>
      <c r="L1683" s="2">
        <f t="shared" si="693"/>
        <v>6.3291139240506328E-3</v>
      </c>
      <c r="M1683" s="2">
        <f t="shared" si="694"/>
        <v>7.3839662447257287E-2</v>
      </c>
      <c r="N1683" s="63">
        <v>71</v>
      </c>
      <c r="O1683" s="63">
        <v>365</v>
      </c>
      <c r="P1683" s="63">
        <v>3</v>
      </c>
      <c r="Q1683" s="63">
        <v>29</v>
      </c>
      <c r="R1683" s="63">
        <v>3</v>
      </c>
      <c r="S1683" s="63"/>
      <c r="T1683" s="63">
        <v>3</v>
      </c>
      <c r="U1683" s="63"/>
      <c r="V1683" s="63"/>
      <c r="W1683" s="63">
        <f>IF(Copyright!B$11=1,IF(CA1683&gt;0,CA1683-P1683-S1683-U1683-SUM(X1683:AQ1683),SUM(CB1683:CH1683)),SUM(CC1683:CH1683))</f>
        <v>0</v>
      </c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W1683" s="5">
        <f>IF(Q1683&gt;0,RANK(Q1683,(N1683:P1683,Q1683:AE1683)),0)</f>
        <v>3</v>
      </c>
      <c r="AX1683" s="5">
        <f>IF(R1683&gt;0,RANK(R1683,(N1683:P1683,Q1683:AE1683)),0)</f>
        <v>4</v>
      </c>
      <c r="AY1683" s="5">
        <f>IF(T1683&gt;0,RANK(T1683,(N1683:P1683,Q1683:AE1683)),0)</f>
        <v>4</v>
      </c>
      <c r="AZ1683" s="5">
        <f>IF(S1683&gt;0,RANK(S1683,(N1683:P1683,Q1683:AE1683)),0)</f>
        <v>0</v>
      </c>
      <c r="BA1683" s="2">
        <f t="shared" si="695"/>
        <v>6.118143459915612E-2</v>
      </c>
      <c r="BB1683" s="2">
        <f t="shared" si="696"/>
        <v>6.3291139240506328E-3</v>
      </c>
      <c r="BC1683" s="2">
        <f t="shared" si="697"/>
        <v>6.3291139240506328E-3</v>
      </c>
      <c r="BD1683" s="2">
        <f t="shared" si="698"/>
        <v>0</v>
      </c>
      <c r="BF1683" t="s">
        <v>349</v>
      </c>
      <c r="BG1683" t="s">
        <v>1091</v>
      </c>
      <c r="BH1683">
        <v>1</v>
      </c>
      <c r="BJ1683" s="114">
        <v>30</v>
      </c>
      <c r="BK1683" s="116">
        <v>37</v>
      </c>
      <c r="BL1683" s="120">
        <f t="shared" si="679"/>
        <v>30037</v>
      </c>
      <c r="BN1683" s="5" t="s">
        <v>3154</v>
      </c>
    </row>
    <row r="1684" spans="1:82" hidden="1" outlineLevel="1">
      <c r="A1684" t="s">
        <v>550</v>
      </c>
      <c r="B1684" t="s">
        <v>1091</v>
      </c>
      <c r="C1684" s="1">
        <f t="shared" si="690"/>
        <v>1777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6</v>
      </c>
      <c r="G1684" s="132">
        <f t="shared" si="699"/>
        <v>720</v>
      </c>
      <c r="H1684" s="137">
        <f t="shared" si="700"/>
        <v>0.40517726505346091</v>
      </c>
      <c r="I1684" s="2"/>
      <c r="J1684" s="2">
        <f t="shared" si="691"/>
        <v>0.26561620709060213</v>
      </c>
      <c r="K1684" s="2">
        <f t="shared" si="692"/>
        <v>0.67079347214406304</v>
      </c>
      <c r="L1684" s="2">
        <f t="shared" si="693"/>
        <v>1.1254924029262803E-3</v>
      </c>
      <c r="M1684" s="2">
        <f t="shared" si="694"/>
        <v>6.2464828362408603E-2</v>
      </c>
      <c r="N1684" s="63">
        <v>472</v>
      </c>
      <c r="O1684" s="63">
        <v>1192</v>
      </c>
      <c r="P1684" s="63">
        <v>2</v>
      </c>
      <c r="Q1684" s="63">
        <v>83</v>
      </c>
      <c r="R1684" s="63">
        <v>25</v>
      </c>
      <c r="S1684" s="63"/>
      <c r="T1684" s="63">
        <v>3</v>
      </c>
      <c r="U1684" s="63"/>
      <c r="V1684" s="63"/>
      <c r="W1684" s="63">
        <f>IF(Copyright!B$11=1,IF(CA1684&gt;0,CA1684-P1684-S1684-U1684-SUM(X1684:AQ1684),SUM(CB1684:CH1684)),SUM(CC1684:CH1684))</f>
        <v>0</v>
      </c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W1684" s="5">
        <f>IF(Q1684&gt;0,RANK(Q1684,(N1684:P1684,Q1684:AE1684)),0)</f>
        <v>3</v>
      </c>
      <c r="AX1684" s="5">
        <f>IF(R1684&gt;0,RANK(R1684,(N1684:P1684,Q1684:AE1684)),0)</f>
        <v>4</v>
      </c>
      <c r="AY1684" s="5">
        <f>IF(T1684&gt;0,RANK(T1684,(N1684:P1684,Q1684:AE1684)),0)</f>
        <v>5</v>
      </c>
      <c r="AZ1684" s="5">
        <f>IF(S1684&gt;0,RANK(S1684,(N1684:P1684,Q1684:AE1684)),0)</f>
        <v>0</v>
      </c>
      <c r="BA1684" s="2">
        <f t="shared" si="695"/>
        <v>4.6707934721440629E-2</v>
      </c>
      <c r="BB1684" s="2">
        <f t="shared" si="696"/>
        <v>1.4068655036578503E-2</v>
      </c>
      <c r="BC1684" s="2">
        <f t="shared" si="697"/>
        <v>1.6882386043894203E-3</v>
      </c>
      <c r="BD1684" s="2">
        <f t="shared" si="698"/>
        <v>0</v>
      </c>
      <c r="BF1684" t="s">
        <v>550</v>
      </c>
      <c r="BG1684" t="s">
        <v>1091</v>
      </c>
      <c r="BH1684">
        <v>1</v>
      </c>
      <c r="BJ1684" s="114">
        <v>30</v>
      </c>
      <c r="BK1684" s="116">
        <v>39</v>
      </c>
      <c r="BL1684" s="120">
        <f t="shared" si="679"/>
        <v>30039</v>
      </c>
      <c r="BN1684" s="5" t="s">
        <v>3154</v>
      </c>
    </row>
    <row r="1685" spans="1:82" hidden="1" outlineLevel="1">
      <c r="A1685" t="s">
        <v>1566</v>
      </c>
      <c r="B1685" t="s">
        <v>1091</v>
      </c>
      <c r="C1685" s="1">
        <f t="shared" si="690"/>
        <v>6445</v>
      </c>
      <c r="D1685" s="5">
        <f>IF(N1685&gt;0, RANK(N1685,(N1685:P1685,Q1685:AE1685)),0)</f>
        <v>2</v>
      </c>
      <c r="E1685" s="5">
        <f>IF(O1685&gt;0,RANK(O1685,(N1685:P1685,Q1685:AE1685)),0)</f>
        <v>1</v>
      </c>
      <c r="F1685" s="5">
        <f>IF(P1685&gt;0,RANK(P1685,(N1685:P1685,Q1685:AE1685)),0)</f>
        <v>6</v>
      </c>
      <c r="G1685" s="132">
        <f t="shared" si="699"/>
        <v>1107</v>
      </c>
      <c r="H1685" s="137">
        <f t="shared" si="700"/>
        <v>0.1717610550814585</v>
      </c>
      <c r="I1685" s="2"/>
      <c r="J1685" s="2">
        <f t="shared" si="691"/>
        <v>0.36788207913110937</v>
      </c>
      <c r="K1685" s="2">
        <f t="shared" si="692"/>
        <v>0.53964313421256793</v>
      </c>
      <c r="L1685" s="2">
        <f t="shared" si="693"/>
        <v>2.4825446082234288E-3</v>
      </c>
      <c r="M1685" s="2">
        <f t="shared" si="694"/>
        <v>8.9992242048099261E-2</v>
      </c>
      <c r="N1685" s="63">
        <v>2371</v>
      </c>
      <c r="O1685" s="63">
        <v>3478</v>
      </c>
      <c r="P1685" s="63">
        <v>16</v>
      </c>
      <c r="Q1685" s="63">
        <v>438</v>
      </c>
      <c r="R1685" s="63">
        <v>118</v>
      </c>
      <c r="S1685" s="63">
        <v>3</v>
      </c>
      <c r="T1685" s="63">
        <v>21</v>
      </c>
      <c r="U1685" s="63"/>
      <c r="V1685" s="63"/>
      <c r="W1685" s="63">
        <f>IF(Copyright!B$11=1,IF(CA1685&gt;0,CA1685-P1685-S1685-U1685-SUM(X1685:AQ1685),SUM(CB1685:CH1685)),SUM(CC1685:CH1685))</f>
        <v>0</v>
      </c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W1685" s="5">
        <f>IF(Q1685&gt;0,RANK(Q1685,(N1685:P1685,Q1685:AE1685)),0)</f>
        <v>3</v>
      </c>
      <c r="AX1685" s="5">
        <f>IF(R1685&gt;0,RANK(R1685,(N1685:P1685,Q1685:AE1685)),0)</f>
        <v>4</v>
      </c>
      <c r="AY1685" s="5">
        <f>IF(T1685&gt;0,RANK(T1685,(N1685:P1685,Q1685:AE1685)),0)</f>
        <v>5</v>
      </c>
      <c r="AZ1685" s="5">
        <f>IF(S1685&gt;0,RANK(S1685,(N1685:P1685,Q1685:AE1685)),0)</f>
        <v>7</v>
      </c>
      <c r="BA1685" s="2">
        <f t="shared" si="695"/>
        <v>6.795965865011637E-2</v>
      </c>
      <c r="BB1685" s="2">
        <f t="shared" si="696"/>
        <v>1.830876648564779E-2</v>
      </c>
      <c r="BC1685" s="2">
        <f t="shared" si="697"/>
        <v>3.2583397982932504E-3</v>
      </c>
      <c r="BD1685" s="2">
        <f t="shared" si="698"/>
        <v>4.6547711404189296E-4</v>
      </c>
      <c r="BF1685" t="s">
        <v>1566</v>
      </c>
      <c r="BG1685" t="s">
        <v>1091</v>
      </c>
      <c r="BH1685">
        <v>1</v>
      </c>
      <c r="BJ1685" s="114">
        <v>30</v>
      </c>
      <c r="BK1685" s="116">
        <v>41</v>
      </c>
      <c r="BL1685" s="120">
        <f t="shared" si="679"/>
        <v>30041</v>
      </c>
      <c r="BN1685" s="5" t="s">
        <v>3154</v>
      </c>
    </row>
    <row r="1686" spans="1:82" hidden="1" outlineLevel="1">
      <c r="A1686" t="s">
        <v>1092</v>
      </c>
      <c r="B1686" t="s">
        <v>1091</v>
      </c>
      <c r="C1686" s="1">
        <f t="shared" si="690"/>
        <v>6714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5</v>
      </c>
      <c r="G1686" s="132">
        <f t="shared" si="699"/>
        <v>2179</v>
      </c>
      <c r="H1686" s="137">
        <f t="shared" si="700"/>
        <v>0.32454572535001491</v>
      </c>
      <c r="I1686" s="2"/>
      <c r="J1686" s="2">
        <f t="shared" si="691"/>
        <v>0.2975871313672922</v>
      </c>
      <c r="K1686" s="2">
        <f t="shared" si="692"/>
        <v>0.62213285671730711</v>
      </c>
      <c r="L1686" s="2">
        <f t="shared" si="693"/>
        <v>4.7661602621388143E-3</v>
      </c>
      <c r="M1686" s="2">
        <f t="shared" si="694"/>
        <v>7.5513851653261868E-2</v>
      </c>
      <c r="N1686" s="63">
        <v>1998</v>
      </c>
      <c r="O1686" s="63">
        <v>4177</v>
      </c>
      <c r="P1686" s="63">
        <v>32</v>
      </c>
      <c r="Q1686" s="63">
        <v>394</v>
      </c>
      <c r="R1686" s="63">
        <v>75</v>
      </c>
      <c r="S1686" s="63">
        <v>14</v>
      </c>
      <c r="T1686" s="63">
        <v>24</v>
      </c>
      <c r="U1686" s="63"/>
      <c r="V1686" s="63"/>
      <c r="W1686" s="63">
        <f>IF(Copyright!B$11=1,IF(CA1686&gt;0,CA1686-P1686-S1686-U1686-SUM(X1686:AQ1686),SUM(CB1686:CH1686)),SUM(CC1686:CH1686))</f>
        <v>0</v>
      </c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W1686" s="5">
        <f>IF(Q1686&gt;0,RANK(Q1686,(N1686:P1686,Q1686:AE1686)),0)</f>
        <v>3</v>
      </c>
      <c r="AX1686" s="5">
        <f>IF(R1686&gt;0,RANK(R1686,(N1686:P1686,Q1686:AE1686)),0)</f>
        <v>4</v>
      </c>
      <c r="AY1686" s="5">
        <f>IF(T1686&gt;0,RANK(T1686,(N1686:P1686,Q1686:AE1686)),0)</f>
        <v>6</v>
      </c>
      <c r="AZ1686" s="5">
        <f>IF(S1686&gt;0,RANK(S1686,(N1686:P1686,Q1686:AE1686)),0)</f>
        <v>7</v>
      </c>
      <c r="BA1686" s="2">
        <f t="shared" si="695"/>
        <v>5.8683348227584149E-2</v>
      </c>
      <c r="BB1686" s="2">
        <f t="shared" si="696"/>
        <v>1.1170688114387846E-2</v>
      </c>
      <c r="BC1686" s="2">
        <f t="shared" si="697"/>
        <v>3.5746201966041107E-3</v>
      </c>
      <c r="BD1686" s="2">
        <f t="shared" si="698"/>
        <v>2.0851951146857312E-3</v>
      </c>
      <c r="BF1686" t="s">
        <v>1092</v>
      </c>
      <c r="BG1686" t="s">
        <v>1091</v>
      </c>
      <c r="BH1686">
        <v>1</v>
      </c>
      <c r="BJ1686" s="114">
        <v>30</v>
      </c>
      <c r="BK1686" s="116">
        <v>43</v>
      </c>
      <c r="BL1686" s="120">
        <f t="shared" si="679"/>
        <v>30043</v>
      </c>
      <c r="BN1686" s="5" t="s">
        <v>3154</v>
      </c>
    </row>
    <row r="1687" spans="1:82" hidden="1" outlineLevel="1">
      <c r="A1687" t="s">
        <v>1353</v>
      </c>
      <c r="B1687" t="s">
        <v>1091</v>
      </c>
      <c r="C1687" s="1">
        <f t="shared" si="690"/>
        <v>1208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5</v>
      </c>
      <c r="G1687" s="132">
        <f t="shared" si="699"/>
        <v>637</v>
      </c>
      <c r="H1687" s="137">
        <f t="shared" si="700"/>
        <v>0.52731788079470199</v>
      </c>
      <c r="I1687" s="2"/>
      <c r="J1687" s="2">
        <f t="shared" si="691"/>
        <v>0.1945364238410596</v>
      </c>
      <c r="K1687" s="2">
        <f t="shared" si="692"/>
        <v>0.72185430463576161</v>
      </c>
      <c r="L1687" s="2">
        <f t="shared" si="693"/>
        <v>5.794701986754967E-3</v>
      </c>
      <c r="M1687" s="2">
        <f t="shared" si="694"/>
        <v>7.7814569536423794E-2</v>
      </c>
      <c r="N1687" s="63">
        <v>235</v>
      </c>
      <c r="O1687" s="63">
        <v>872</v>
      </c>
      <c r="P1687" s="63">
        <v>7</v>
      </c>
      <c r="Q1687" s="63">
        <v>79</v>
      </c>
      <c r="R1687" s="63">
        <v>12</v>
      </c>
      <c r="S1687" s="63"/>
      <c r="T1687" s="63">
        <v>3</v>
      </c>
      <c r="U1687" s="63"/>
      <c r="V1687" s="63"/>
      <c r="W1687" s="63">
        <f>IF(Copyright!B$11=1,IF(CA1687&gt;0,CA1687-P1687-S1687-U1687-SUM(X1687:AQ1687),SUM(CB1687:CH1687)),SUM(CC1687:CH1687))</f>
        <v>0</v>
      </c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W1687" s="5">
        <f>IF(Q1687&gt;0,RANK(Q1687,(N1687:P1687,Q1687:AE1687)),0)</f>
        <v>3</v>
      </c>
      <c r="AX1687" s="5">
        <f>IF(R1687&gt;0,RANK(R1687,(N1687:P1687,Q1687:AE1687)),0)</f>
        <v>4</v>
      </c>
      <c r="AY1687" s="5">
        <f>IF(T1687&gt;0,RANK(T1687,(N1687:P1687,Q1687:AE1687)),0)</f>
        <v>6</v>
      </c>
      <c r="AZ1687" s="5">
        <f>IF(S1687&gt;0,RANK(S1687,(N1687:P1687,Q1687:AE1687)),0)</f>
        <v>0</v>
      </c>
      <c r="BA1687" s="2">
        <f t="shared" si="695"/>
        <v>6.5397350993377484E-2</v>
      </c>
      <c r="BB1687" s="2">
        <f t="shared" si="696"/>
        <v>9.9337748344370865E-3</v>
      </c>
      <c r="BC1687" s="2">
        <f t="shared" si="697"/>
        <v>2.4834437086092716E-3</v>
      </c>
      <c r="BD1687" s="2">
        <f t="shared" si="698"/>
        <v>0</v>
      </c>
      <c r="BF1687" t="s">
        <v>1353</v>
      </c>
      <c r="BG1687" t="s">
        <v>1091</v>
      </c>
      <c r="BH1687">
        <v>1</v>
      </c>
      <c r="BJ1687" s="114">
        <v>30</v>
      </c>
      <c r="BK1687" s="116">
        <v>45</v>
      </c>
      <c r="BL1687" s="120">
        <f t="shared" si="679"/>
        <v>30045</v>
      </c>
      <c r="BN1687" s="5" t="s">
        <v>3154</v>
      </c>
    </row>
    <row r="1688" spans="1:82" hidden="1" outlineLevel="1">
      <c r="A1688" t="s">
        <v>820</v>
      </c>
      <c r="B1688" t="s">
        <v>1091</v>
      </c>
      <c r="C1688" s="1">
        <f t="shared" si="690"/>
        <v>13181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5</v>
      </c>
      <c r="G1688" s="132">
        <f t="shared" si="699"/>
        <v>2754</v>
      </c>
      <c r="H1688" s="137">
        <f t="shared" si="700"/>
        <v>0.20893710644108945</v>
      </c>
      <c r="I1688" s="2"/>
      <c r="J1688" s="2">
        <f t="shared" si="691"/>
        <v>0.36233973143160608</v>
      </c>
      <c r="K1688" s="2">
        <f t="shared" si="692"/>
        <v>0.57127683787269556</v>
      </c>
      <c r="L1688" s="2">
        <f t="shared" si="693"/>
        <v>4.2485395645246943E-3</v>
      </c>
      <c r="M1688" s="2">
        <f t="shared" si="694"/>
        <v>6.2134891131173604E-2</v>
      </c>
      <c r="N1688" s="63">
        <v>4776</v>
      </c>
      <c r="O1688" s="63">
        <v>7530</v>
      </c>
      <c r="P1688" s="63">
        <v>56</v>
      </c>
      <c r="Q1688" s="63">
        <v>534</v>
      </c>
      <c r="R1688" s="63">
        <v>229</v>
      </c>
      <c r="S1688" s="63">
        <v>15</v>
      </c>
      <c r="T1688" s="63">
        <v>41</v>
      </c>
      <c r="U1688" s="63"/>
      <c r="V1688" s="63"/>
      <c r="W1688" s="63">
        <f>IF(Copyright!B$11=1,IF(CA1688&gt;0,CA1688-P1688-S1688-U1688-SUM(X1688:AQ1688),SUM(CB1688:CH1688)),SUM(CC1688:CH1688))</f>
        <v>0</v>
      </c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W1688" s="5">
        <f>IF(Q1688&gt;0,RANK(Q1688,(N1688:P1688,Q1688:AE1688)),0)</f>
        <v>3</v>
      </c>
      <c r="AX1688" s="5">
        <f>IF(R1688&gt;0,RANK(R1688,(N1688:P1688,Q1688:AE1688)),0)</f>
        <v>4</v>
      </c>
      <c r="AY1688" s="5">
        <f>IF(T1688&gt;0,RANK(T1688,(N1688:P1688,Q1688:AE1688)),0)</f>
        <v>6</v>
      </c>
      <c r="AZ1688" s="5">
        <f>IF(S1688&gt;0,RANK(S1688,(N1688:P1688,Q1688:AE1688)),0)</f>
        <v>7</v>
      </c>
      <c r="BA1688" s="2">
        <f t="shared" si="695"/>
        <v>4.0512859418860479E-2</v>
      </c>
      <c r="BB1688" s="2">
        <f t="shared" si="696"/>
        <v>1.7373492147788484E-2</v>
      </c>
      <c r="BC1688" s="2">
        <f t="shared" si="697"/>
        <v>3.1105378954555799E-3</v>
      </c>
      <c r="BD1688" s="2">
        <f t="shared" si="698"/>
        <v>1.1380016690691146E-3</v>
      </c>
      <c r="BF1688" t="s">
        <v>820</v>
      </c>
      <c r="BG1688" t="s">
        <v>1091</v>
      </c>
      <c r="BH1688">
        <v>1</v>
      </c>
      <c r="BJ1688" s="114">
        <v>30</v>
      </c>
      <c r="BK1688" s="116">
        <v>47</v>
      </c>
      <c r="BL1688" s="120">
        <f t="shared" si="679"/>
        <v>30047</v>
      </c>
      <c r="BN1688" s="5" t="s">
        <v>3154</v>
      </c>
      <c r="BR1688" s="63"/>
    </row>
    <row r="1689" spans="1:82" hidden="1" outlineLevel="1">
      <c r="A1689" t="s">
        <v>559</v>
      </c>
      <c r="B1689" t="s">
        <v>1091</v>
      </c>
      <c r="C1689" s="1">
        <f t="shared" si="690"/>
        <v>35296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6</v>
      </c>
      <c r="G1689" s="132">
        <f t="shared" si="699"/>
        <v>2417</v>
      </c>
      <c r="H1689" s="137">
        <f t="shared" si="700"/>
        <v>6.8478014505893026E-2</v>
      </c>
      <c r="I1689" s="2"/>
      <c r="J1689" s="2">
        <f t="shared" si="691"/>
        <v>0.41018812330009063</v>
      </c>
      <c r="K1689" s="2">
        <f t="shared" si="692"/>
        <v>0.47866613780598366</v>
      </c>
      <c r="L1689" s="2">
        <f t="shared" si="693"/>
        <v>5.49637352674524E-3</v>
      </c>
      <c r="M1689" s="2">
        <f t="shared" si="694"/>
        <v>0.10564936536718052</v>
      </c>
      <c r="N1689" s="63">
        <v>14478</v>
      </c>
      <c r="O1689" s="63">
        <v>16895</v>
      </c>
      <c r="P1689" s="63">
        <v>194</v>
      </c>
      <c r="Q1689" s="63">
        <v>2210</v>
      </c>
      <c r="R1689" s="63">
        <v>559</v>
      </c>
      <c r="S1689" s="63">
        <v>34</v>
      </c>
      <c r="T1689" s="63">
        <v>103</v>
      </c>
      <c r="U1689" s="63"/>
      <c r="V1689" s="63"/>
      <c r="W1689" s="63">
        <f>IF(Copyright!B$11=1,IF(CA1689&gt;0,CA1689-P1689-S1689-U1689-SUM(X1689:AQ1689),SUM(CB1689:CH1689)),SUM(CC1689:CH1689))</f>
        <v>818</v>
      </c>
      <c r="X1689" s="63"/>
      <c r="Y1689" s="63">
        <v>5</v>
      </c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W1689" s="5">
        <f>IF(Q1689&gt;0,RANK(Q1689,(N1689:P1689,Q1689:AE1689)),0)</f>
        <v>3</v>
      </c>
      <c r="AX1689" s="5">
        <f>IF(R1689&gt;0,RANK(R1689,(N1689:P1689,Q1689:AE1689)),0)</f>
        <v>5</v>
      </c>
      <c r="AY1689" s="5">
        <f>IF(T1689&gt;0,RANK(T1689,(N1689:P1689,Q1689:AE1689)),0)</f>
        <v>7</v>
      </c>
      <c r="AZ1689" s="5">
        <f>IF(S1689&gt;0,RANK(S1689,(N1689:P1689,Q1689:AE1689)),0)</f>
        <v>8</v>
      </c>
      <c r="BA1689" s="2">
        <f t="shared" si="695"/>
        <v>6.2613327289211249E-2</v>
      </c>
      <c r="BB1689" s="2">
        <f t="shared" si="696"/>
        <v>1.5837488667271079E-2</v>
      </c>
      <c r="BC1689" s="2">
        <f t="shared" si="697"/>
        <v>2.9181776971894833E-3</v>
      </c>
      <c r="BD1689" s="2">
        <f t="shared" si="698"/>
        <v>9.6328195829555757E-4</v>
      </c>
      <c r="BF1689" t="s">
        <v>559</v>
      </c>
      <c r="BG1689" t="s">
        <v>1091</v>
      </c>
      <c r="BH1689">
        <v>1</v>
      </c>
      <c r="BJ1689" s="114">
        <v>30</v>
      </c>
      <c r="BK1689" s="116">
        <v>49</v>
      </c>
      <c r="BL1689" s="120">
        <f t="shared" si="679"/>
        <v>30049</v>
      </c>
      <c r="BN1689" s="5" t="s">
        <v>3154</v>
      </c>
      <c r="BO1689" s="63">
        <v>625</v>
      </c>
      <c r="BP1689" s="63">
        <v>53</v>
      </c>
      <c r="BR1689" s="63"/>
      <c r="CA1689" s="63">
        <v>1051</v>
      </c>
    </row>
    <row r="1690" spans="1:82" hidden="1" outlineLevel="1">
      <c r="A1690" t="s">
        <v>319</v>
      </c>
      <c r="B1690" t="s">
        <v>1091</v>
      </c>
      <c r="C1690" s="1">
        <f t="shared" si="690"/>
        <v>961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4</v>
      </c>
      <c r="G1690" s="132">
        <f t="shared" si="699"/>
        <v>492</v>
      </c>
      <c r="H1690" s="137">
        <f t="shared" si="700"/>
        <v>0.51196670135275757</v>
      </c>
      <c r="I1690" s="2"/>
      <c r="J1690" s="2">
        <f t="shared" si="691"/>
        <v>0.21436004162330904</v>
      </c>
      <c r="K1690" s="2">
        <f t="shared" si="692"/>
        <v>0.72632674297606659</v>
      </c>
      <c r="L1690" s="2">
        <f t="shared" si="693"/>
        <v>4.1623309053069723E-3</v>
      </c>
      <c r="M1690" s="2">
        <f t="shared" si="694"/>
        <v>5.5150884495317423E-2</v>
      </c>
      <c r="N1690" s="63">
        <v>206</v>
      </c>
      <c r="O1690" s="63">
        <v>698</v>
      </c>
      <c r="P1690" s="63">
        <v>4</v>
      </c>
      <c r="Q1690" s="63">
        <v>47</v>
      </c>
      <c r="R1690" s="63">
        <v>2</v>
      </c>
      <c r="S1690" s="63">
        <v>1</v>
      </c>
      <c r="T1690" s="63">
        <v>3</v>
      </c>
      <c r="U1690" s="63"/>
      <c r="V1690" s="63"/>
      <c r="W1690" s="63">
        <f>IF(Copyright!B$11=1,IF(CA1690&gt;0,CA1690-P1690-S1690-U1690-SUM(X1690:AQ1690),SUM(CB1690:CH1690)),SUM(CC1690:CH1690))</f>
        <v>0</v>
      </c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W1690" s="5">
        <f>IF(Q1690&gt;0,RANK(Q1690,(N1690:P1690,Q1690:AE1690)),0)</f>
        <v>3</v>
      </c>
      <c r="AX1690" s="5">
        <f>IF(R1690&gt;0,RANK(R1690,(N1690:P1690,Q1690:AE1690)),0)</f>
        <v>6</v>
      </c>
      <c r="AY1690" s="5">
        <f>IF(T1690&gt;0,RANK(T1690,(N1690:P1690,Q1690:AE1690)),0)</f>
        <v>5</v>
      </c>
      <c r="AZ1690" s="5">
        <f>IF(S1690&gt;0,RANK(S1690,(N1690:P1690,Q1690:AE1690)),0)</f>
        <v>7</v>
      </c>
      <c r="BA1690" s="2">
        <f t="shared" si="695"/>
        <v>4.8907388137356921E-2</v>
      </c>
      <c r="BB1690" s="2">
        <f t="shared" si="696"/>
        <v>2.0811654526534861E-3</v>
      </c>
      <c r="BC1690" s="2">
        <f t="shared" si="697"/>
        <v>3.1217481789802288E-3</v>
      </c>
      <c r="BD1690" s="2">
        <f t="shared" si="698"/>
        <v>1.0405827263267431E-3</v>
      </c>
      <c r="BF1690" t="s">
        <v>319</v>
      </c>
      <c r="BG1690" t="s">
        <v>1091</v>
      </c>
      <c r="BH1690">
        <v>1</v>
      </c>
      <c r="BJ1690" s="114">
        <v>30</v>
      </c>
      <c r="BK1690" s="116">
        <v>51</v>
      </c>
      <c r="BL1690" s="120">
        <f t="shared" si="679"/>
        <v>30051</v>
      </c>
      <c r="BN1690" s="5" t="s">
        <v>3154</v>
      </c>
    </row>
    <row r="1691" spans="1:82" hidden="1" outlineLevel="1">
      <c r="A1691" t="s">
        <v>1597</v>
      </c>
      <c r="B1691" t="s">
        <v>1091</v>
      </c>
      <c r="C1691" s="1">
        <f t="shared" si="690"/>
        <v>9330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5</v>
      </c>
      <c r="G1691" s="132">
        <f t="shared" si="699"/>
        <v>4688</v>
      </c>
      <c r="H1691" s="137">
        <f t="shared" si="700"/>
        <v>0.50246516613076098</v>
      </c>
      <c r="I1691" s="2"/>
      <c r="J1691" s="2">
        <f t="shared" si="691"/>
        <v>0.21875669882100751</v>
      </c>
      <c r="K1691" s="2">
        <f t="shared" si="692"/>
        <v>0.72122186495176854</v>
      </c>
      <c r="L1691" s="2">
        <f t="shared" si="693"/>
        <v>4.2872454448017148E-3</v>
      </c>
      <c r="M1691" s="2">
        <f t="shared" si="694"/>
        <v>5.5734190782422283E-2</v>
      </c>
      <c r="N1691" s="63">
        <v>2041</v>
      </c>
      <c r="O1691" s="63">
        <v>6729</v>
      </c>
      <c r="P1691" s="63">
        <v>40</v>
      </c>
      <c r="Q1691" s="63">
        <v>396</v>
      </c>
      <c r="R1691" s="63">
        <v>96</v>
      </c>
      <c r="S1691" s="63">
        <v>6</v>
      </c>
      <c r="T1691" s="63">
        <v>22</v>
      </c>
      <c r="U1691" s="63"/>
      <c r="V1691" s="63"/>
      <c r="W1691" s="63">
        <f>IF(Copyright!B$11=1,IF(CA1691&gt;0,CA1691-P1691-S1691-U1691-SUM(X1691:AQ1691),SUM(CB1691:CH1691)),SUM(CC1691:CH1691))</f>
        <v>0</v>
      </c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W1691" s="5">
        <f>IF(Q1691&gt;0,RANK(Q1691,(N1691:P1691,Q1691:AE1691)),0)</f>
        <v>3</v>
      </c>
      <c r="AX1691" s="5">
        <f>IF(R1691&gt;0,RANK(R1691,(N1691:P1691,Q1691:AE1691)),0)</f>
        <v>4</v>
      </c>
      <c r="AY1691" s="5">
        <f>IF(T1691&gt;0,RANK(T1691,(N1691:P1691,Q1691:AE1691)),0)</f>
        <v>6</v>
      </c>
      <c r="AZ1691" s="5">
        <f>IF(S1691&gt;0,RANK(S1691,(N1691:P1691,Q1691:AE1691)),0)</f>
        <v>7</v>
      </c>
      <c r="BA1691" s="2">
        <f t="shared" si="695"/>
        <v>4.2443729903536981E-2</v>
      </c>
      <c r="BB1691" s="2">
        <f t="shared" si="696"/>
        <v>1.0289389067524116E-2</v>
      </c>
      <c r="BC1691" s="2">
        <f t="shared" si="697"/>
        <v>2.357984994640943E-3</v>
      </c>
      <c r="BD1691" s="2">
        <f t="shared" si="698"/>
        <v>6.4308681672025725E-4</v>
      </c>
      <c r="BF1691" t="s">
        <v>1597</v>
      </c>
      <c r="BG1691" t="s">
        <v>1091</v>
      </c>
      <c r="BH1691">
        <v>1</v>
      </c>
      <c r="BJ1691" s="114">
        <v>30</v>
      </c>
      <c r="BK1691" s="116">
        <v>53</v>
      </c>
      <c r="BL1691" s="120">
        <f t="shared" si="679"/>
        <v>30053</v>
      </c>
      <c r="BN1691" s="5" t="s">
        <v>3154</v>
      </c>
    </row>
    <row r="1692" spans="1:82" hidden="1" outlineLevel="1">
      <c r="A1692" t="s">
        <v>1239</v>
      </c>
      <c r="B1692" t="s">
        <v>1091</v>
      </c>
      <c r="C1692" s="1">
        <f t="shared" si="690"/>
        <v>1095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4</v>
      </c>
      <c r="G1692" s="132">
        <f t="shared" si="699"/>
        <v>708</v>
      </c>
      <c r="H1692" s="137">
        <f t="shared" si="700"/>
        <v>0.64657534246575343</v>
      </c>
      <c r="I1692" s="2"/>
      <c r="J1692" s="2">
        <f t="shared" si="691"/>
        <v>0.14063926940639268</v>
      </c>
      <c r="K1692" s="2">
        <f t="shared" si="692"/>
        <v>0.78721461187214614</v>
      </c>
      <c r="L1692" s="2">
        <f t="shared" si="693"/>
        <v>2.8310502283105023E-2</v>
      </c>
      <c r="M1692" s="2">
        <f t="shared" si="694"/>
        <v>4.3835616438356123E-2</v>
      </c>
      <c r="N1692" s="63">
        <v>154</v>
      </c>
      <c r="O1692" s="63">
        <v>862</v>
      </c>
      <c r="P1692" s="63">
        <v>31</v>
      </c>
      <c r="Q1692" s="63">
        <v>37</v>
      </c>
      <c r="R1692" s="63">
        <v>7</v>
      </c>
      <c r="S1692" s="63">
        <v>4</v>
      </c>
      <c r="T1692" s="63">
        <v>0</v>
      </c>
      <c r="U1692" s="63"/>
      <c r="V1692" s="63"/>
      <c r="W1692" s="63">
        <f>IF(Copyright!B$11=1,IF(CA1692&gt;0,CA1692-P1692-S1692-U1692-SUM(X1692:AQ1692),SUM(CB1692:CH1692)),SUM(CC1692:CH1692))</f>
        <v>0</v>
      </c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W1692" s="5">
        <f>IF(Q1692&gt;0,RANK(Q1692,(N1692:P1692,Q1692:AE1692)),0)</f>
        <v>3</v>
      </c>
      <c r="AX1692" s="5">
        <f>IF(R1692&gt;0,RANK(R1692,(N1692:P1692,Q1692:AE1692)),0)</f>
        <v>5</v>
      </c>
      <c r="AY1692" s="5">
        <f>IF(T1692&gt;0,RANK(T1692,(N1692:P1692,Q1692:AE1692)),0)</f>
        <v>0</v>
      </c>
      <c r="AZ1692" s="5">
        <f>IF(S1692&gt;0,RANK(S1692,(N1692:P1692,Q1692:AE1692)),0)</f>
        <v>6</v>
      </c>
      <c r="BA1692" s="2">
        <f t="shared" si="695"/>
        <v>3.3789954337899546E-2</v>
      </c>
      <c r="BB1692" s="2">
        <f t="shared" si="696"/>
        <v>6.392694063926941E-3</v>
      </c>
      <c r="BC1692" s="2">
        <f t="shared" si="697"/>
        <v>0</v>
      </c>
      <c r="BD1692" s="2">
        <f t="shared" si="698"/>
        <v>3.6529680365296802E-3</v>
      </c>
      <c r="BF1692" t="s">
        <v>1239</v>
      </c>
      <c r="BG1692" t="s">
        <v>1091</v>
      </c>
      <c r="BH1692">
        <v>1</v>
      </c>
      <c r="BJ1692" s="114">
        <v>30</v>
      </c>
      <c r="BK1692" s="116">
        <v>55</v>
      </c>
      <c r="BL1692" s="120">
        <f t="shared" si="679"/>
        <v>30055</v>
      </c>
      <c r="BN1692" s="5" t="s">
        <v>3154</v>
      </c>
    </row>
    <row r="1693" spans="1:82" hidden="1" outlineLevel="1">
      <c r="A1693" t="s">
        <v>1650</v>
      </c>
      <c r="B1693" t="s">
        <v>1091</v>
      </c>
      <c r="C1693" s="1">
        <f t="shared" si="690"/>
        <v>4743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32">
        <f t="shared" si="699"/>
        <v>2117</v>
      </c>
      <c r="H1693" s="137">
        <f t="shared" si="700"/>
        <v>0.44634197765127559</v>
      </c>
      <c r="I1693" s="2"/>
      <c r="J1693" s="2">
        <f t="shared" si="691"/>
        <v>0.2487876871178579</v>
      </c>
      <c r="K1693" s="2">
        <f t="shared" si="692"/>
        <v>0.69512966476913352</v>
      </c>
      <c r="L1693" s="2">
        <f t="shared" si="693"/>
        <v>0</v>
      </c>
      <c r="M1693" s="2">
        <f t="shared" si="694"/>
        <v>5.608264811300856E-2</v>
      </c>
      <c r="N1693" s="63">
        <v>1180</v>
      </c>
      <c r="O1693" s="63">
        <v>3297</v>
      </c>
      <c r="P1693" s="63"/>
      <c r="Q1693" s="63">
        <v>195</v>
      </c>
      <c r="R1693" s="63">
        <v>58</v>
      </c>
      <c r="S1693" s="63"/>
      <c r="T1693" s="63">
        <v>13</v>
      </c>
      <c r="U1693" s="63"/>
      <c r="V1693" s="63"/>
      <c r="W1693" s="63">
        <f>IF(Copyright!B$11=1,IF(CA1693&gt;0,CA1693-P1693-S1693-U1693-SUM(X1693:AQ1693),SUM(CB1693:CH1693)),SUM(CC1693:CH1693))</f>
        <v>0</v>
      </c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W1693" s="5">
        <f>IF(Q1693&gt;0,RANK(Q1693,(N1693:P1693,Q1693:AE1693)),0)</f>
        <v>3</v>
      </c>
      <c r="AX1693" s="5">
        <f>IF(R1693&gt;0,RANK(R1693,(N1693:P1693,Q1693:AE1693)),0)</f>
        <v>4</v>
      </c>
      <c r="AY1693" s="5">
        <f>IF(T1693&gt;0,RANK(T1693,(N1693:P1693,Q1693:AE1693)),0)</f>
        <v>5</v>
      </c>
      <c r="AZ1693" s="5">
        <f>IF(S1693&gt;0,RANK(S1693,(N1693:P1693,Q1693:AE1693)),0)</f>
        <v>0</v>
      </c>
      <c r="BA1693" s="2">
        <f t="shared" si="695"/>
        <v>4.1113219481340925E-2</v>
      </c>
      <c r="BB1693" s="2">
        <f t="shared" si="696"/>
        <v>1.2228547332911659E-2</v>
      </c>
      <c r="BC1693" s="2">
        <f t="shared" si="697"/>
        <v>2.7408812987560617E-3</v>
      </c>
      <c r="BD1693" s="2">
        <f t="shared" si="698"/>
        <v>0</v>
      </c>
      <c r="BF1693" t="s">
        <v>1650</v>
      </c>
      <c r="BG1693" t="s">
        <v>1091</v>
      </c>
      <c r="BH1693">
        <v>1</v>
      </c>
      <c r="BJ1693" s="114">
        <v>30</v>
      </c>
      <c r="BK1693" s="116">
        <v>57</v>
      </c>
      <c r="BL1693" s="120">
        <f t="shared" si="679"/>
        <v>30057</v>
      </c>
      <c r="BN1693" s="5" t="s">
        <v>3154</v>
      </c>
    </row>
    <row r="1694" spans="1:82" hidden="1" outlineLevel="1">
      <c r="A1694" t="s">
        <v>623</v>
      </c>
      <c r="B1694" t="s">
        <v>1091</v>
      </c>
      <c r="C1694" s="1">
        <f t="shared" si="690"/>
        <v>977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5</v>
      </c>
      <c r="G1694" s="132">
        <f t="shared" si="699"/>
        <v>536</v>
      </c>
      <c r="H1694" s="137">
        <f t="shared" si="700"/>
        <v>0.548618219037871</v>
      </c>
      <c r="I1694" s="2"/>
      <c r="J1694" s="2">
        <f t="shared" si="691"/>
        <v>0.19754350051177072</v>
      </c>
      <c r="K1694" s="2">
        <f t="shared" si="692"/>
        <v>0.74616171954964172</v>
      </c>
      <c r="L1694" s="2">
        <f t="shared" si="693"/>
        <v>2.0470829068577278E-3</v>
      </c>
      <c r="M1694" s="2">
        <f t="shared" si="694"/>
        <v>5.4247697031729832E-2</v>
      </c>
      <c r="N1694" s="63">
        <v>193</v>
      </c>
      <c r="O1694" s="63">
        <v>729</v>
      </c>
      <c r="P1694" s="63">
        <v>2</v>
      </c>
      <c r="Q1694" s="63">
        <v>41</v>
      </c>
      <c r="R1694" s="63">
        <v>10</v>
      </c>
      <c r="S1694" s="63"/>
      <c r="T1694" s="63">
        <v>2</v>
      </c>
      <c r="U1694" s="63"/>
      <c r="V1694" s="63"/>
      <c r="W1694" s="63">
        <f>IF(Copyright!B$11=1,IF(CA1694&gt;0,CA1694-P1694-S1694-U1694-SUM(X1694:AQ1694),SUM(CB1694:CH1694)),SUM(CC1694:CH1694))</f>
        <v>0</v>
      </c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W1694" s="5">
        <f>IF(Q1694&gt;0,RANK(Q1694,(N1694:P1694,Q1694:AE1694)),0)</f>
        <v>3</v>
      </c>
      <c r="AX1694" s="5">
        <f>IF(R1694&gt;0,RANK(R1694,(N1694:P1694,Q1694:AE1694)),0)</f>
        <v>4</v>
      </c>
      <c r="AY1694" s="5">
        <f>IF(T1694&gt;0,RANK(T1694,(N1694:P1694,Q1694:AE1694)),0)</f>
        <v>5</v>
      </c>
      <c r="AZ1694" s="5">
        <f>IF(S1694&gt;0,RANK(S1694,(N1694:P1694,Q1694:AE1694)),0)</f>
        <v>0</v>
      </c>
      <c r="BA1694" s="2">
        <f t="shared" si="695"/>
        <v>4.1965199590583417E-2</v>
      </c>
      <c r="BB1694" s="2">
        <f t="shared" si="696"/>
        <v>1.0235414534288639E-2</v>
      </c>
      <c r="BC1694" s="2">
        <f t="shared" si="697"/>
        <v>2.0470829068577278E-3</v>
      </c>
      <c r="BD1694" s="2">
        <f t="shared" si="698"/>
        <v>0</v>
      </c>
      <c r="BF1694" t="s">
        <v>623</v>
      </c>
      <c r="BG1694" t="s">
        <v>1091</v>
      </c>
      <c r="BH1694">
        <v>1</v>
      </c>
      <c r="BJ1694" s="114">
        <v>30</v>
      </c>
      <c r="BK1694" s="116">
        <v>59</v>
      </c>
      <c r="BL1694" s="120">
        <f t="shared" si="679"/>
        <v>30059</v>
      </c>
      <c r="BN1694" s="5" t="s">
        <v>3154</v>
      </c>
    </row>
    <row r="1695" spans="1:82" hidden="1" outlineLevel="1">
      <c r="A1695" t="s">
        <v>1873</v>
      </c>
      <c r="B1695" t="s">
        <v>1091</v>
      </c>
      <c r="C1695" s="1">
        <f t="shared" si="690"/>
        <v>2012</v>
      </c>
      <c r="D1695" s="5">
        <f>IF(N1695&gt;0, RANK(N1695,(N1695:P1695,Q1695:AE1695)),0)</f>
        <v>2</v>
      </c>
      <c r="E1695" s="5">
        <f>IF(O1695&gt;0,RANK(O1695,(N1695:P1695,Q1695:AE1695)),0)</f>
        <v>1</v>
      </c>
      <c r="F1695" s="5">
        <f>IF(P1695&gt;0,RANK(P1695,(N1695:P1695,Q1695:AE1695)),0)</f>
        <v>6</v>
      </c>
      <c r="G1695" s="132">
        <f t="shared" si="699"/>
        <v>811</v>
      </c>
      <c r="H1695" s="137">
        <f t="shared" si="700"/>
        <v>0.40308151093439365</v>
      </c>
      <c r="I1695" s="2"/>
      <c r="J1695" s="2">
        <f t="shared" si="691"/>
        <v>0.25795228628230615</v>
      </c>
      <c r="K1695" s="2">
        <f t="shared" si="692"/>
        <v>0.66103379721669975</v>
      </c>
      <c r="L1695" s="2">
        <f t="shared" si="693"/>
        <v>3.4791252485089465E-3</v>
      </c>
      <c r="M1695" s="2">
        <f t="shared" si="694"/>
        <v>7.753479125248515E-2</v>
      </c>
      <c r="N1695" s="63">
        <v>519</v>
      </c>
      <c r="O1695" s="63">
        <v>1330</v>
      </c>
      <c r="P1695" s="63">
        <v>7</v>
      </c>
      <c r="Q1695" s="63">
        <v>108</v>
      </c>
      <c r="R1695" s="63">
        <v>35</v>
      </c>
      <c r="S1695" s="63">
        <v>2</v>
      </c>
      <c r="T1695" s="63">
        <v>11</v>
      </c>
      <c r="U1695" s="63"/>
      <c r="V1695" s="63"/>
      <c r="W1695" s="63">
        <f>IF(Copyright!B$11=1,IF(CA1695&gt;0,CA1695-P1695-S1695-U1695-SUM(X1695:AQ1695),SUM(CB1695:CH1695)),SUM(CC1695:CH1695))</f>
        <v>0</v>
      </c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W1695" s="5">
        <f>IF(Q1695&gt;0,RANK(Q1695,(N1695:P1695,Q1695:AE1695)),0)</f>
        <v>3</v>
      </c>
      <c r="AX1695" s="5">
        <f>IF(R1695&gt;0,RANK(R1695,(N1695:P1695,Q1695:AE1695)),0)</f>
        <v>4</v>
      </c>
      <c r="AY1695" s="5">
        <f>IF(T1695&gt;0,RANK(T1695,(N1695:P1695,Q1695:AE1695)),0)</f>
        <v>5</v>
      </c>
      <c r="AZ1695" s="5">
        <f>IF(S1695&gt;0,RANK(S1695,(N1695:P1695,Q1695:AE1695)),0)</f>
        <v>7</v>
      </c>
      <c r="BA1695" s="2">
        <f t="shared" si="695"/>
        <v>5.3677932405566599E-2</v>
      </c>
      <c r="BB1695" s="2">
        <f t="shared" si="696"/>
        <v>1.7395626242544732E-2</v>
      </c>
      <c r="BC1695" s="2">
        <f t="shared" si="697"/>
        <v>5.4671968190854875E-3</v>
      </c>
      <c r="BD1695" s="2">
        <f t="shared" si="698"/>
        <v>9.9403578528827028E-4</v>
      </c>
      <c r="BF1695" t="s">
        <v>1873</v>
      </c>
      <c r="BG1695" t="s">
        <v>1091</v>
      </c>
      <c r="BH1695">
        <v>1</v>
      </c>
      <c r="BJ1695" s="114">
        <v>30</v>
      </c>
      <c r="BK1695" s="116">
        <v>61</v>
      </c>
      <c r="BL1695" s="120">
        <f t="shared" si="679"/>
        <v>30061</v>
      </c>
      <c r="BN1695" s="5" t="s">
        <v>3154</v>
      </c>
    </row>
    <row r="1696" spans="1:82" hidden="1" outlineLevel="1">
      <c r="A1696" t="s">
        <v>2538</v>
      </c>
      <c r="B1696" t="s">
        <v>1091</v>
      </c>
      <c r="C1696" s="1">
        <f t="shared" si="690"/>
        <v>60722</v>
      </c>
      <c r="D1696" s="5">
        <f>IF(N1696&gt;0, RANK(N1696,(N1696:P1696,Q1696:AE1696)),0)</f>
        <v>1</v>
      </c>
      <c r="E1696" s="5">
        <f>IF(O1696&gt;0,RANK(O1696,(N1696:P1696,Q1696:AE1696)),0)</f>
        <v>2</v>
      </c>
      <c r="F1696" s="5">
        <f>IF(P1696&gt;0,RANK(P1696,(N1696:P1696,Q1696:AE1696)),0)</f>
        <v>7</v>
      </c>
      <c r="G1696" s="132">
        <f t="shared" si="699"/>
        <v>9293</v>
      </c>
      <c r="H1696" s="137">
        <f t="shared" si="700"/>
        <v>0.1530417311682751</v>
      </c>
      <c r="I1696" s="2"/>
      <c r="J1696" s="2">
        <f t="shared" si="691"/>
        <v>0.51946576199729921</v>
      </c>
      <c r="K1696" s="2">
        <f t="shared" si="692"/>
        <v>0.36642403082902408</v>
      </c>
      <c r="L1696" s="2">
        <f t="shared" si="693"/>
        <v>2.6349593228154541E-3</v>
      </c>
      <c r="M1696" s="2">
        <f t="shared" si="694"/>
        <v>0.11147524785086124</v>
      </c>
      <c r="N1696" s="63">
        <v>31543</v>
      </c>
      <c r="O1696" s="63">
        <v>22250</v>
      </c>
      <c r="P1696" s="63">
        <v>160</v>
      </c>
      <c r="Q1696" s="63">
        <v>3357</v>
      </c>
      <c r="R1696" s="63">
        <v>1704</v>
      </c>
      <c r="S1696" s="63">
        <v>15</v>
      </c>
      <c r="T1696" s="63">
        <v>172</v>
      </c>
      <c r="U1696" s="63"/>
      <c r="V1696" s="63"/>
      <c r="W1696" s="63">
        <f>IF(Copyright!B$11=1,IF(CA1696&gt;0,CA1696-P1696-S1696-U1696-SUM(X1696:AQ1696),SUM(CB1696:CH1696)),SUM(CC1696:CH1696))</f>
        <v>1520</v>
      </c>
      <c r="X1696" s="63"/>
      <c r="Y1696" s="63">
        <v>1</v>
      </c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W1696" s="5">
        <f>IF(Q1696&gt;0,RANK(Q1696,(N1696:P1696,Q1696:AE1696)),0)</f>
        <v>3</v>
      </c>
      <c r="AX1696" s="5">
        <f>IF(R1696&gt;0,RANK(R1696,(N1696:P1696,Q1696:AE1696)),0)</f>
        <v>4</v>
      </c>
      <c r="AY1696" s="5">
        <f>IF(T1696&gt;0,RANK(T1696,(N1696:P1696,Q1696:AE1696)),0)</f>
        <v>6</v>
      </c>
      <c r="AZ1696" s="5">
        <f>IF(S1696&gt;0,RANK(S1696,(N1696:P1696,Q1696:AE1696)),0)</f>
        <v>8</v>
      </c>
      <c r="BA1696" s="2">
        <f t="shared" si="695"/>
        <v>5.5284740291821746E-2</v>
      </c>
      <c r="BB1696" s="2">
        <f t="shared" si="696"/>
        <v>2.8062316787984584E-2</v>
      </c>
      <c r="BC1696" s="2">
        <f t="shared" si="697"/>
        <v>2.8325812720266133E-3</v>
      </c>
      <c r="BD1696" s="2">
        <f t="shared" si="698"/>
        <v>2.4702743651394883E-4</v>
      </c>
      <c r="BF1696" t="s">
        <v>2538</v>
      </c>
      <c r="BG1696" t="s">
        <v>1091</v>
      </c>
      <c r="BH1696">
        <v>1</v>
      </c>
      <c r="BJ1696" s="114">
        <v>30</v>
      </c>
      <c r="BK1696" s="116">
        <v>63</v>
      </c>
      <c r="BL1696" s="120">
        <f t="shared" si="679"/>
        <v>30063</v>
      </c>
      <c r="BN1696" s="5" t="s">
        <v>3154</v>
      </c>
      <c r="BR1696" s="63"/>
      <c r="CA1696" s="63">
        <v>1696</v>
      </c>
      <c r="CD1696" s="63">
        <v>1</v>
      </c>
    </row>
    <row r="1697" spans="1:66" hidden="1" outlineLevel="1">
      <c r="A1697" t="s">
        <v>1923</v>
      </c>
      <c r="B1697" t="s">
        <v>1091</v>
      </c>
      <c r="C1697" s="1">
        <f t="shared" ref="C1697:C1721" si="701">SUM(N1697:AU1697)</f>
        <v>2441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5</v>
      </c>
      <c r="G1697" s="132">
        <f t="shared" si="699"/>
        <v>1635</v>
      </c>
      <c r="H1697" s="137">
        <f t="shared" si="700"/>
        <v>0.66980745596067182</v>
      </c>
      <c r="I1697" s="2"/>
      <c r="J1697" s="2">
        <f t="shared" ref="J1697:J1721" si="702">IF($C1697=0,"-",N1697/$C1697)</f>
        <v>0.1360098320360508</v>
      </c>
      <c r="K1697" s="2">
        <f t="shared" ref="K1697:K1721" si="703">IF($C1697=0,"-",O1697/$C1697)</f>
        <v>0.8058172879967227</v>
      </c>
      <c r="L1697" s="2">
        <f t="shared" ref="L1697:L1721" si="704">IF($C1697=0,"-",P1697/$C1697)</f>
        <v>6.1450225317492835E-3</v>
      </c>
      <c r="M1697" s="2">
        <f t="shared" ref="M1697:M1721" si="705">IF(C1697=0,"-",(1-J1697-K1697-L1697))</f>
        <v>5.2027857435477248E-2</v>
      </c>
      <c r="N1697" s="63">
        <v>332</v>
      </c>
      <c r="O1697" s="63">
        <v>1967</v>
      </c>
      <c r="P1697" s="63">
        <v>15</v>
      </c>
      <c r="Q1697" s="63">
        <v>94</v>
      </c>
      <c r="R1697" s="63">
        <v>18</v>
      </c>
      <c r="S1697" s="63">
        <v>10</v>
      </c>
      <c r="T1697" s="63">
        <v>5</v>
      </c>
      <c r="U1697" s="63"/>
      <c r="V1697" s="63"/>
      <c r="W1697" s="63">
        <f>IF(Copyright!B$11=1,IF(CA1697&gt;0,CA1697-P1697-S1697-U1697-SUM(X1697:AQ1697),SUM(CB1697:CH1697)),SUM(CC1697:CH1697))</f>
        <v>0</v>
      </c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W1697" s="5">
        <f>IF(Q1697&gt;0,RANK(Q1697,(N1697:P1697,Q1697:AE1697)),0)</f>
        <v>3</v>
      </c>
      <c r="AX1697" s="5">
        <f>IF(R1697&gt;0,RANK(R1697,(N1697:P1697,Q1697:AE1697)),0)</f>
        <v>4</v>
      </c>
      <c r="AY1697" s="5">
        <f>IF(T1697&gt;0,RANK(T1697,(N1697:P1697,Q1697:AE1697)),0)</f>
        <v>7</v>
      </c>
      <c r="AZ1697" s="5">
        <f>IF(S1697&gt;0,RANK(S1697,(N1697:P1697,Q1697:AE1697)),0)</f>
        <v>6</v>
      </c>
      <c r="BA1697" s="2">
        <f t="shared" ref="BA1697:BA1721" si="706">IF($C1697=0,"-",Q1697/$C1697)</f>
        <v>3.8508807865628839E-2</v>
      </c>
      <c r="BB1697" s="2">
        <f t="shared" ref="BB1697:BB1721" si="707">IF($C1697=0,"-",R1697/$C1697)</f>
        <v>7.3740270380991393E-3</v>
      </c>
      <c r="BC1697" s="2">
        <f t="shared" ref="BC1697:BC1721" si="708">IF($C1697=0,"-",T1697/$C1697)</f>
        <v>2.0483408439164277E-3</v>
      </c>
      <c r="BD1697" s="2">
        <f t="shared" ref="BD1697:BD1721" si="709">IF($C1697=0,"-",S1697/$C1697)</f>
        <v>4.0966816878328554E-3</v>
      </c>
      <c r="BF1697" t="s">
        <v>1923</v>
      </c>
      <c r="BG1697" t="s">
        <v>1091</v>
      </c>
      <c r="BH1697">
        <v>1</v>
      </c>
      <c r="BJ1697" s="114">
        <v>30</v>
      </c>
      <c r="BK1697" s="116">
        <v>65</v>
      </c>
      <c r="BL1697" s="120">
        <f t="shared" si="679"/>
        <v>30065</v>
      </c>
      <c r="BN1697" s="5" t="s">
        <v>3154</v>
      </c>
    </row>
    <row r="1698" spans="1:66" hidden="1" outlineLevel="1">
      <c r="A1698" t="s">
        <v>2780</v>
      </c>
      <c r="B1698" t="s">
        <v>1091</v>
      </c>
      <c r="C1698" s="1">
        <f t="shared" si="701"/>
        <v>9359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5</v>
      </c>
      <c r="G1698" s="132">
        <f t="shared" si="699"/>
        <v>1385</v>
      </c>
      <c r="H1698" s="137">
        <f t="shared" si="700"/>
        <v>0.14798589592905226</v>
      </c>
      <c r="I1698" s="2"/>
      <c r="J1698" s="2">
        <f t="shared" si="702"/>
        <v>0.38412223528154715</v>
      </c>
      <c r="K1698" s="2">
        <f t="shared" si="703"/>
        <v>0.53210813121059941</v>
      </c>
      <c r="L1698" s="2">
        <f t="shared" si="704"/>
        <v>4.8082060049150551E-3</v>
      </c>
      <c r="M1698" s="2">
        <f t="shared" si="705"/>
        <v>7.8961427502938331E-2</v>
      </c>
      <c r="N1698" s="63">
        <v>3595</v>
      </c>
      <c r="O1698" s="63">
        <v>4980</v>
      </c>
      <c r="P1698" s="63">
        <v>45</v>
      </c>
      <c r="Q1698" s="63">
        <v>500</v>
      </c>
      <c r="R1698" s="63">
        <v>200</v>
      </c>
      <c r="S1698" s="63">
        <v>8</v>
      </c>
      <c r="T1698" s="63">
        <v>31</v>
      </c>
      <c r="U1698" s="63"/>
      <c r="V1698" s="63"/>
      <c r="W1698" s="63">
        <f>IF(Copyright!B$11=1,IF(CA1698&gt;0,CA1698-P1698-S1698-U1698-SUM(X1698:AQ1698),SUM(CB1698:CH1698)),SUM(CC1698:CH1698))</f>
        <v>0</v>
      </c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W1698" s="5">
        <f>IF(Q1698&gt;0,RANK(Q1698,(N1698:P1698,Q1698:AE1698)),0)</f>
        <v>3</v>
      </c>
      <c r="AX1698" s="5">
        <f>IF(R1698&gt;0,RANK(R1698,(N1698:P1698,Q1698:AE1698)),0)</f>
        <v>4</v>
      </c>
      <c r="AY1698" s="5">
        <f>IF(T1698&gt;0,RANK(T1698,(N1698:P1698,Q1698:AE1698)),0)</f>
        <v>6</v>
      </c>
      <c r="AZ1698" s="5">
        <f>IF(S1698&gt;0,RANK(S1698,(N1698:P1698,Q1698:AE1698)),0)</f>
        <v>7</v>
      </c>
      <c r="BA1698" s="2">
        <f t="shared" si="706"/>
        <v>5.3424511165722832E-2</v>
      </c>
      <c r="BB1698" s="2">
        <f t="shared" si="707"/>
        <v>2.1369804466289135E-2</v>
      </c>
      <c r="BC1698" s="2">
        <f t="shared" si="708"/>
        <v>3.3123196922748158E-3</v>
      </c>
      <c r="BD1698" s="2">
        <f t="shared" si="709"/>
        <v>8.5479217865156538E-4</v>
      </c>
      <c r="BF1698" t="s">
        <v>2780</v>
      </c>
      <c r="BG1698" t="s">
        <v>1091</v>
      </c>
      <c r="BH1698">
        <v>1</v>
      </c>
      <c r="BJ1698" s="114">
        <v>30</v>
      </c>
      <c r="BK1698" s="116">
        <v>67</v>
      </c>
      <c r="BL1698" s="120">
        <f t="shared" si="679"/>
        <v>30067</v>
      </c>
      <c r="BN1698" s="5" t="s">
        <v>3154</v>
      </c>
    </row>
    <row r="1699" spans="1:66" hidden="1" outlineLevel="1">
      <c r="A1699" t="s">
        <v>590</v>
      </c>
      <c r="B1699" t="s">
        <v>1091</v>
      </c>
      <c r="C1699" s="1">
        <f t="shared" si="701"/>
        <v>322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32">
        <f t="shared" si="699"/>
        <v>248</v>
      </c>
      <c r="H1699" s="137">
        <f t="shared" si="700"/>
        <v>0.77018633540372672</v>
      </c>
      <c r="I1699" s="2"/>
      <c r="J1699" s="2">
        <f t="shared" si="702"/>
        <v>9.3167701863354033E-2</v>
      </c>
      <c r="K1699" s="2">
        <f t="shared" si="703"/>
        <v>0.86335403726708071</v>
      </c>
      <c r="L1699" s="2">
        <f t="shared" si="704"/>
        <v>0</v>
      </c>
      <c r="M1699" s="2">
        <f t="shared" si="705"/>
        <v>4.3478260869565299E-2</v>
      </c>
      <c r="N1699" s="63">
        <v>30</v>
      </c>
      <c r="O1699" s="63">
        <v>278</v>
      </c>
      <c r="P1699" s="63"/>
      <c r="Q1699" s="63">
        <v>12</v>
      </c>
      <c r="R1699" s="63">
        <v>1</v>
      </c>
      <c r="S1699" s="63"/>
      <c r="T1699" s="63">
        <v>1</v>
      </c>
      <c r="U1699" s="63"/>
      <c r="V1699" s="63"/>
      <c r="W1699" s="63">
        <f>IF(Copyright!B$11=1,IF(CA1699&gt;0,CA1699-P1699-S1699-U1699-SUM(X1699:AQ1699),SUM(CB1699:CH1699)),SUM(CC1699:CH1699))</f>
        <v>0</v>
      </c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W1699" s="5">
        <f>IF(Q1699&gt;0,RANK(Q1699,(N1699:P1699,Q1699:AE1699)),0)</f>
        <v>3</v>
      </c>
      <c r="AX1699" s="5">
        <f>IF(R1699&gt;0,RANK(R1699,(N1699:P1699,Q1699:AE1699)),0)</f>
        <v>4</v>
      </c>
      <c r="AY1699" s="5">
        <f>IF(T1699&gt;0,RANK(T1699,(N1699:P1699,Q1699:AE1699)),0)</f>
        <v>4</v>
      </c>
      <c r="AZ1699" s="5">
        <f>IF(S1699&gt;0,RANK(S1699,(N1699:P1699,Q1699:AE1699)),0)</f>
        <v>0</v>
      </c>
      <c r="BA1699" s="2">
        <f t="shared" si="706"/>
        <v>3.7267080745341616E-2</v>
      </c>
      <c r="BB1699" s="2">
        <f t="shared" si="707"/>
        <v>3.105590062111801E-3</v>
      </c>
      <c r="BC1699" s="2">
        <f t="shared" si="708"/>
        <v>3.105590062111801E-3</v>
      </c>
      <c r="BD1699" s="2">
        <f t="shared" si="709"/>
        <v>0</v>
      </c>
      <c r="BF1699" t="s">
        <v>590</v>
      </c>
      <c r="BG1699" t="s">
        <v>1091</v>
      </c>
      <c r="BH1699">
        <v>1</v>
      </c>
      <c r="BJ1699" s="114">
        <v>30</v>
      </c>
      <c r="BK1699" s="116">
        <v>69</v>
      </c>
      <c r="BL1699" s="120">
        <f t="shared" si="679"/>
        <v>30069</v>
      </c>
      <c r="BN1699" s="5" t="s">
        <v>3154</v>
      </c>
    </row>
    <row r="1700" spans="1:66" hidden="1" outlineLevel="1">
      <c r="A1700" t="s">
        <v>2486</v>
      </c>
      <c r="B1700" t="s">
        <v>1091</v>
      </c>
      <c r="C1700" s="1">
        <f t="shared" si="701"/>
        <v>2171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5</v>
      </c>
      <c r="G1700" s="132">
        <f t="shared" si="699"/>
        <v>1405</v>
      </c>
      <c r="H1700" s="137">
        <f t="shared" si="700"/>
        <v>0.64716720405343164</v>
      </c>
      <c r="I1700" s="2"/>
      <c r="J1700" s="2">
        <f t="shared" si="702"/>
        <v>0.14647627821280515</v>
      </c>
      <c r="K1700" s="2">
        <f t="shared" si="703"/>
        <v>0.79364348226623671</v>
      </c>
      <c r="L1700" s="2">
        <f t="shared" si="704"/>
        <v>4.6061722708429292E-3</v>
      </c>
      <c r="M1700" s="2">
        <f t="shared" si="705"/>
        <v>5.5274067250115182E-2</v>
      </c>
      <c r="N1700" s="63">
        <v>318</v>
      </c>
      <c r="O1700" s="63">
        <v>1723</v>
      </c>
      <c r="P1700" s="63">
        <v>10</v>
      </c>
      <c r="Q1700" s="63">
        <v>99</v>
      </c>
      <c r="R1700" s="63">
        <v>19</v>
      </c>
      <c r="S1700" s="63"/>
      <c r="T1700" s="63">
        <v>2</v>
      </c>
      <c r="U1700" s="63"/>
      <c r="V1700" s="63"/>
      <c r="W1700" s="63">
        <f>IF(Copyright!B$11=1,IF(CA1700&gt;0,CA1700-P1700-S1700-U1700-SUM(X1700:AQ1700),SUM(CB1700:CH1700)),SUM(CC1700:CH1700))</f>
        <v>0</v>
      </c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W1700" s="5">
        <f>IF(Q1700&gt;0,RANK(Q1700,(N1700:P1700,Q1700:AE1700)),0)</f>
        <v>3</v>
      </c>
      <c r="AX1700" s="5">
        <f>IF(R1700&gt;0,RANK(R1700,(N1700:P1700,Q1700:AE1700)),0)</f>
        <v>4</v>
      </c>
      <c r="AY1700" s="5">
        <f>IF(T1700&gt;0,RANK(T1700,(N1700:P1700,Q1700:AE1700)),0)</f>
        <v>6</v>
      </c>
      <c r="AZ1700" s="5">
        <f>IF(S1700&gt;0,RANK(S1700,(N1700:P1700,Q1700:AE1700)),0)</f>
        <v>0</v>
      </c>
      <c r="BA1700" s="2">
        <f t="shared" si="706"/>
        <v>4.5601105481345001E-2</v>
      </c>
      <c r="BB1700" s="2">
        <f t="shared" si="707"/>
        <v>8.7517273146015661E-3</v>
      </c>
      <c r="BC1700" s="2">
        <f t="shared" si="708"/>
        <v>9.2123445416858593E-4</v>
      </c>
      <c r="BD1700" s="2">
        <f t="shared" si="709"/>
        <v>0</v>
      </c>
      <c r="BF1700" t="s">
        <v>2486</v>
      </c>
      <c r="BG1700" t="s">
        <v>1091</v>
      </c>
      <c r="BH1700">
        <v>1</v>
      </c>
      <c r="BJ1700" s="114">
        <v>30</v>
      </c>
      <c r="BK1700" s="116">
        <v>71</v>
      </c>
      <c r="BL1700" s="120">
        <f t="shared" si="679"/>
        <v>30071</v>
      </c>
      <c r="BN1700" s="5" t="s">
        <v>3154</v>
      </c>
    </row>
    <row r="1701" spans="1:66" hidden="1" outlineLevel="1">
      <c r="A1701" t="s">
        <v>120</v>
      </c>
      <c r="B1701" t="s">
        <v>1091</v>
      </c>
      <c r="C1701" s="1">
        <f t="shared" si="701"/>
        <v>2723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6</v>
      </c>
      <c r="G1701" s="132">
        <f t="shared" si="699"/>
        <v>1061</v>
      </c>
      <c r="H1701" s="137">
        <f t="shared" si="700"/>
        <v>0.38964377524788835</v>
      </c>
      <c r="I1701" s="2"/>
      <c r="J1701" s="2">
        <f t="shared" si="702"/>
        <v>0.27102460521483657</v>
      </c>
      <c r="K1701" s="2">
        <f t="shared" si="703"/>
        <v>0.66066838046272491</v>
      </c>
      <c r="L1701" s="2">
        <f t="shared" si="704"/>
        <v>2.5706940874035988E-3</v>
      </c>
      <c r="M1701" s="2">
        <f t="shared" si="705"/>
        <v>6.5736320235034867E-2</v>
      </c>
      <c r="N1701" s="63">
        <v>738</v>
      </c>
      <c r="O1701" s="63">
        <v>1799</v>
      </c>
      <c r="P1701" s="63">
        <v>7</v>
      </c>
      <c r="Q1701" s="63">
        <v>135</v>
      </c>
      <c r="R1701" s="63">
        <v>34</v>
      </c>
      <c r="S1701" s="63"/>
      <c r="T1701" s="63">
        <v>10</v>
      </c>
      <c r="U1701" s="63"/>
      <c r="V1701" s="63"/>
      <c r="W1701" s="63">
        <f>IF(Copyright!B$11=1,IF(CA1701&gt;0,CA1701-P1701-S1701-U1701-SUM(X1701:AQ1701),SUM(CB1701:CH1701)),SUM(CC1701:CH1701))</f>
        <v>0</v>
      </c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W1701" s="5">
        <f>IF(Q1701&gt;0,RANK(Q1701,(N1701:P1701,Q1701:AE1701)),0)</f>
        <v>3</v>
      </c>
      <c r="AX1701" s="5">
        <f>IF(R1701&gt;0,RANK(R1701,(N1701:P1701,Q1701:AE1701)),0)</f>
        <v>4</v>
      </c>
      <c r="AY1701" s="5">
        <f>IF(T1701&gt;0,RANK(T1701,(N1701:P1701,Q1701:AE1701)),0)</f>
        <v>5</v>
      </c>
      <c r="AZ1701" s="5">
        <f>IF(S1701&gt;0,RANK(S1701,(N1701:P1701,Q1701:AE1701)),0)</f>
        <v>0</v>
      </c>
      <c r="BA1701" s="2">
        <f t="shared" si="706"/>
        <v>4.9577671685640839E-2</v>
      </c>
      <c r="BB1701" s="2">
        <f t="shared" si="707"/>
        <v>1.2486228424531766E-2</v>
      </c>
      <c r="BC1701" s="2">
        <f t="shared" si="708"/>
        <v>3.6724201248622842E-3</v>
      </c>
      <c r="BD1701" s="2">
        <f t="shared" si="709"/>
        <v>0</v>
      </c>
      <c r="BF1701" t="s">
        <v>120</v>
      </c>
      <c r="BG1701" t="s">
        <v>1091</v>
      </c>
      <c r="BH1701">
        <v>1</v>
      </c>
      <c r="BJ1701" s="114">
        <v>30</v>
      </c>
      <c r="BK1701" s="116">
        <v>73</v>
      </c>
      <c r="BL1701" s="120">
        <f t="shared" si="679"/>
        <v>30073</v>
      </c>
      <c r="BN1701" s="5" t="s">
        <v>3154</v>
      </c>
    </row>
    <row r="1702" spans="1:66" hidden="1" outlineLevel="1">
      <c r="A1702" t="s">
        <v>1926</v>
      </c>
      <c r="B1702" t="s">
        <v>1091</v>
      </c>
      <c r="C1702" s="1">
        <f t="shared" si="701"/>
        <v>1053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4</v>
      </c>
      <c r="G1702" s="132">
        <f t="shared" si="699"/>
        <v>757</v>
      </c>
      <c r="H1702" s="137">
        <f t="shared" si="700"/>
        <v>0.71889838556505226</v>
      </c>
      <c r="I1702" s="2"/>
      <c r="J1702" s="2">
        <f t="shared" si="702"/>
        <v>0.12060778727445394</v>
      </c>
      <c r="K1702" s="2">
        <f t="shared" si="703"/>
        <v>0.83950617283950613</v>
      </c>
      <c r="L1702" s="2">
        <f t="shared" si="704"/>
        <v>1.8993352326685661E-3</v>
      </c>
      <c r="M1702" s="2">
        <f t="shared" si="705"/>
        <v>3.7986704653371325E-2</v>
      </c>
      <c r="N1702" s="63">
        <v>127</v>
      </c>
      <c r="O1702" s="63">
        <v>884</v>
      </c>
      <c r="P1702" s="63">
        <v>2</v>
      </c>
      <c r="Q1702" s="63">
        <v>39</v>
      </c>
      <c r="R1702" s="63">
        <v>1</v>
      </c>
      <c r="S1702" s="63"/>
      <c r="T1702" s="63">
        <v>0</v>
      </c>
      <c r="U1702" s="63"/>
      <c r="V1702" s="63"/>
      <c r="W1702" s="63">
        <f>IF(Copyright!B$11=1,IF(CA1702&gt;0,CA1702-P1702-S1702-U1702-SUM(X1702:AQ1702),SUM(CB1702:CH1702)),SUM(CC1702:CH1702))</f>
        <v>0</v>
      </c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W1702" s="5">
        <f>IF(Q1702&gt;0,RANK(Q1702,(N1702:P1702,Q1702:AE1702)),0)</f>
        <v>3</v>
      </c>
      <c r="AX1702" s="5">
        <f>IF(R1702&gt;0,RANK(R1702,(N1702:P1702,Q1702:AE1702)),0)</f>
        <v>5</v>
      </c>
      <c r="AY1702" s="5">
        <f>IF(T1702&gt;0,RANK(T1702,(N1702:P1702,Q1702:AE1702)),0)</f>
        <v>0</v>
      </c>
      <c r="AZ1702" s="5">
        <f>IF(S1702&gt;0,RANK(S1702,(N1702:P1702,Q1702:AE1702)),0)</f>
        <v>0</v>
      </c>
      <c r="BA1702" s="2">
        <f t="shared" si="706"/>
        <v>3.7037037037037035E-2</v>
      </c>
      <c r="BB1702" s="2">
        <f t="shared" si="707"/>
        <v>9.4966761633428305E-4</v>
      </c>
      <c r="BC1702" s="2">
        <f t="shared" si="708"/>
        <v>0</v>
      </c>
      <c r="BD1702" s="2">
        <f t="shared" si="709"/>
        <v>0</v>
      </c>
      <c r="BF1702" t="s">
        <v>1926</v>
      </c>
      <c r="BG1702" t="s">
        <v>1091</v>
      </c>
      <c r="BH1702">
        <v>1</v>
      </c>
      <c r="BJ1702" s="114">
        <v>30</v>
      </c>
      <c r="BK1702" s="116">
        <v>75</v>
      </c>
      <c r="BL1702" s="120">
        <f t="shared" si="679"/>
        <v>30075</v>
      </c>
      <c r="BN1702" s="5" t="s">
        <v>3154</v>
      </c>
    </row>
    <row r="1703" spans="1:66" hidden="1" outlineLevel="1">
      <c r="A1703" t="s">
        <v>1951</v>
      </c>
      <c r="B1703" t="s">
        <v>1091</v>
      </c>
      <c r="C1703" s="1">
        <f t="shared" si="701"/>
        <v>2794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32">
        <f t="shared" si="699"/>
        <v>1478</v>
      </c>
      <c r="H1703" s="137">
        <f t="shared" si="700"/>
        <v>0.5289906943450251</v>
      </c>
      <c r="I1703" s="2"/>
      <c r="J1703" s="2">
        <f t="shared" si="702"/>
        <v>0.19720830350751611</v>
      </c>
      <c r="K1703" s="2">
        <f t="shared" si="703"/>
        <v>0.72619899785254116</v>
      </c>
      <c r="L1703" s="2">
        <f t="shared" si="704"/>
        <v>0</v>
      </c>
      <c r="M1703" s="2">
        <f t="shared" si="705"/>
        <v>7.659269863994278E-2</v>
      </c>
      <c r="N1703" s="63">
        <v>551</v>
      </c>
      <c r="O1703" s="63">
        <v>2029</v>
      </c>
      <c r="P1703" s="63"/>
      <c r="Q1703" s="63">
        <v>163</v>
      </c>
      <c r="R1703" s="63">
        <v>41</v>
      </c>
      <c r="S1703" s="63"/>
      <c r="T1703" s="63">
        <v>10</v>
      </c>
      <c r="U1703" s="63"/>
      <c r="V1703" s="63"/>
      <c r="W1703" s="63">
        <f>IF(Copyright!B$11=1,IF(CA1703&gt;0,CA1703-P1703-S1703-U1703-SUM(X1703:AQ1703),SUM(CB1703:CH1703)),SUM(CC1703:CH1703))</f>
        <v>0</v>
      </c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W1703" s="5">
        <f>IF(Q1703&gt;0,RANK(Q1703,(N1703:P1703,Q1703:AE1703)),0)</f>
        <v>3</v>
      </c>
      <c r="AX1703" s="5">
        <f>IF(R1703&gt;0,RANK(R1703,(N1703:P1703,Q1703:AE1703)),0)</f>
        <v>4</v>
      </c>
      <c r="AY1703" s="5">
        <f>IF(T1703&gt;0,RANK(T1703,(N1703:P1703,Q1703:AE1703)),0)</f>
        <v>5</v>
      </c>
      <c r="AZ1703" s="5">
        <f>IF(S1703&gt;0,RANK(S1703,(N1703:P1703,Q1703:AE1703)),0)</f>
        <v>0</v>
      </c>
      <c r="BA1703" s="2">
        <f t="shared" si="706"/>
        <v>5.833929849677881E-2</v>
      </c>
      <c r="BB1703" s="2">
        <f t="shared" si="707"/>
        <v>1.467430207587688E-2</v>
      </c>
      <c r="BC1703" s="2">
        <f t="shared" si="708"/>
        <v>3.5790980672870437E-3</v>
      </c>
      <c r="BD1703" s="2">
        <f t="shared" si="709"/>
        <v>0</v>
      </c>
      <c r="BF1703" t="s">
        <v>1951</v>
      </c>
      <c r="BG1703" t="s">
        <v>1091</v>
      </c>
      <c r="BH1703">
        <v>1</v>
      </c>
      <c r="BJ1703" s="114">
        <v>30</v>
      </c>
      <c r="BK1703" s="116">
        <v>77</v>
      </c>
      <c r="BL1703" s="120">
        <f t="shared" si="679"/>
        <v>30077</v>
      </c>
      <c r="BN1703" s="5" t="s">
        <v>3154</v>
      </c>
    </row>
    <row r="1704" spans="1:66" hidden="1" outlineLevel="1">
      <c r="A1704" t="s">
        <v>1922</v>
      </c>
      <c r="B1704" t="s">
        <v>1091</v>
      </c>
      <c r="C1704" s="1">
        <f t="shared" si="701"/>
        <v>689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32">
        <f t="shared" si="699"/>
        <v>456</v>
      </c>
      <c r="H1704" s="137">
        <f t="shared" si="700"/>
        <v>0.66182873730043545</v>
      </c>
      <c r="I1704" s="2"/>
      <c r="J1704" s="2">
        <f t="shared" si="702"/>
        <v>0.14513788098693758</v>
      </c>
      <c r="K1704" s="2">
        <f t="shared" si="703"/>
        <v>0.80696661828737304</v>
      </c>
      <c r="L1704" s="2">
        <f t="shared" si="704"/>
        <v>0</v>
      </c>
      <c r="M1704" s="2">
        <f t="shared" si="705"/>
        <v>4.7895500725689377E-2</v>
      </c>
      <c r="N1704" s="63">
        <v>100</v>
      </c>
      <c r="O1704" s="63">
        <v>556</v>
      </c>
      <c r="P1704" s="63"/>
      <c r="Q1704" s="63">
        <v>30</v>
      </c>
      <c r="R1704" s="63">
        <v>1</v>
      </c>
      <c r="S1704" s="63"/>
      <c r="T1704" s="63">
        <v>2</v>
      </c>
      <c r="U1704" s="63"/>
      <c r="V1704" s="63"/>
      <c r="W1704" s="63">
        <f>IF(Copyright!B$11=1,IF(CA1704&gt;0,CA1704-P1704-S1704-U1704-SUM(X1704:AQ1704),SUM(CB1704:CH1704)),SUM(CC1704:CH1704))</f>
        <v>0</v>
      </c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W1704" s="5">
        <f>IF(Q1704&gt;0,RANK(Q1704,(N1704:P1704,Q1704:AE1704)),0)</f>
        <v>3</v>
      </c>
      <c r="AX1704" s="5">
        <f>IF(R1704&gt;0,RANK(R1704,(N1704:P1704,Q1704:AE1704)),0)</f>
        <v>5</v>
      </c>
      <c r="AY1704" s="5">
        <f>IF(T1704&gt;0,RANK(T1704,(N1704:P1704,Q1704:AE1704)),0)</f>
        <v>4</v>
      </c>
      <c r="AZ1704" s="5">
        <f>IF(S1704&gt;0,RANK(S1704,(N1704:P1704,Q1704:AE1704)),0)</f>
        <v>0</v>
      </c>
      <c r="BA1704" s="2">
        <f t="shared" si="706"/>
        <v>4.3541364296081277E-2</v>
      </c>
      <c r="BB1704" s="2">
        <f t="shared" si="707"/>
        <v>1.4513788098693759E-3</v>
      </c>
      <c r="BC1704" s="2">
        <f t="shared" si="708"/>
        <v>2.9027576197387518E-3</v>
      </c>
      <c r="BD1704" s="2">
        <f t="shared" si="709"/>
        <v>0</v>
      </c>
      <c r="BF1704" t="s">
        <v>1922</v>
      </c>
      <c r="BG1704" t="s">
        <v>1091</v>
      </c>
      <c r="BH1704">
        <v>1</v>
      </c>
      <c r="BJ1704" s="114">
        <v>30</v>
      </c>
      <c r="BK1704" s="116">
        <v>79</v>
      </c>
      <c r="BL1704" s="120">
        <f t="shared" si="679"/>
        <v>30079</v>
      </c>
      <c r="BN1704" s="5" t="s">
        <v>3154</v>
      </c>
    </row>
    <row r="1705" spans="1:66" hidden="1" outlineLevel="1">
      <c r="A1705" t="s">
        <v>1631</v>
      </c>
      <c r="B1705" t="s">
        <v>1091</v>
      </c>
      <c r="C1705" s="1">
        <f t="shared" si="701"/>
        <v>22556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5</v>
      </c>
      <c r="G1705" s="132">
        <f t="shared" si="699"/>
        <v>8587</v>
      </c>
      <c r="H1705" s="137">
        <f t="shared" si="700"/>
        <v>0.38069693208015604</v>
      </c>
      <c r="I1705" s="2"/>
      <c r="J1705" s="2">
        <f t="shared" si="702"/>
        <v>0.27589111544600109</v>
      </c>
      <c r="K1705" s="2">
        <f t="shared" si="703"/>
        <v>0.65658804752615707</v>
      </c>
      <c r="L1705" s="2">
        <f t="shared" si="704"/>
        <v>7.8914701188153927E-3</v>
      </c>
      <c r="M1705" s="2">
        <f t="shared" si="705"/>
        <v>5.9629366909026447E-2</v>
      </c>
      <c r="N1705" s="63">
        <v>6223</v>
      </c>
      <c r="O1705" s="63">
        <v>14810</v>
      </c>
      <c r="P1705" s="63">
        <v>178</v>
      </c>
      <c r="Q1705" s="63">
        <v>992</v>
      </c>
      <c r="R1705" s="63">
        <v>261</v>
      </c>
      <c r="S1705" s="63">
        <v>31</v>
      </c>
      <c r="T1705" s="63">
        <v>60</v>
      </c>
      <c r="U1705" s="63"/>
      <c r="V1705" s="63"/>
      <c r="W1705" s="63">
        <f>IF(Copyright!B$11=1,IF(CA1705&gt;0,CA1705-P1705-S1705-U1705-SUM(X1705:AQ1705),SUM(CB1705:CH1705)),SUM(CC1705:CH1705))</f>
        <v>0</v>
      </c>
      <c r="X1705" s="63"/>
      <c r="Y1705" s="63">
        <v>1</v>
      </c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W1705" s="5">
        <f>IF(Q1705&gt;0,RANK(Q1705,(N1705:P1705,Q1705:AE1705)),0)</f>
        <v>3</v>
      </c>
      <c r="AX1705" s="5">
        <f>IF(R1705&gt;0,RANK(R1705,(N1705:P1705,Q1705:AE1705)),0)</f>
        <v>4</v>
      </c>
      <c r="AY1705" s="5">
        <f>IF(T1705&gt;0,RANK(T1705,(N1705:P1705,Q1705:AE1705)),0)</f>
        <v>6</v>
      </c>
      <c r="AZ1705" s="5">
        <f>IF(S1705&gt;0,RANK(S1705,(N1705:P1705,Q1705:AE1705)),0)</f>
        <v>7</v>
      </c>
      <c r="BA1705" s="2">
        <f t="shared" si="706"/>
        <v>4.3979428976768931E-2</v>
      </c>
      <c r="BB1705" s="2">
        <f t="shared" si="707"/>
        <v>1.1571200567476504E-2</v>
      </c>
      <c r="BC1705" s="2">
        <f t="shared" si="708"/>
        <v>2.6600461074658627E-3</v>
      </c>
      <c r="BD1705" s="2">
        <f t="shared" si="709"/>
        <v>1.3743571555240291E-3</v>
      </c>
      <c r="BF1705" t="s">
        <v>1631</v>
      </c>
      <c r="BG1705" t="s">
        <v>1091</v>
      </c>
      <c r="BH1705">
        <v>1</v>
      </c>
      <c r="BJ1705" s="114">
        <v>30</v>
      </c>
      <c r="BK1705" s="116">
        <v>81</v>
      </c>
      <c r="BL1705" s="120">
        <f t="shared" ref="BL1705:BL1768" si="710">1000*BJ1705+BK1705</f>
        <v>30081</v>
      </c>
      <c r="BN1705" s="5" t="s">
        <v>3154</v>
      </c>
    </row>
    <row r="1706" spans="1:66" hidden="1" outlineLevel="1">
      <c r="A1706" t="s">
        <v>50</v>
      </c>
      <c r="B1706" t="s">
        <v>1091</v>
      </c>
      <c r="C1706" s="1">
        <f t="shared" si="701"/>
        <v>4871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4</v>
      </c>
      <c r="G1706" s="132">
        <f t="shared" si="699"/>
        <v>3237</v>
      </c>
      <c r="H1706" s="137">
        <f t="shared" si="700"/>
        <v>0.66454526791213309</v>
      </c>
      <c r="I1706" s="2"/>
      <c r="J1706" s="2">
        <f t="shared" si="702"/>
        <v>0.13775405460890988</v>
      </c>
      <c r="K1706" s="2">
        <f t="shared" si="703"/>
        <v>0.80229932252104286</v>
      </c>
      <c r="L1706" s="2">
        <f t="shared" si="704"/>
        <v>4.9271196879490864E-3</v>
      </c>
      <c r="M1706" s="2">
        <f t="shared" si="705"/>
        <v>5.5019503182098174E-2</v>
      </c>
      <c r="N1706" s="63">
        <v>671</v>
      </c>
      <c r="O1706" s="63">
        <v>3908</v>
      </c>
      <c r="P1706" s="63">
        <v>24</v>
      </c>
      <c r="Q1706" s="63">
        <v>239</v>
      </c>
      <c r="R1706" s="63">
        <v>23</v>
      </c>
      <c r="S1706" s="63"/>
      <c r="T1706" s="63">
        <v>6</v>
      </c>
      <c r="U1706" s="63"/>
      <c r="V1706" s="63"/>
      <c r="W1706" s="63">
        <f>IF(Copyright!B$11=1,IF(CA1706&gt;0,CA1706-P1706-S1706-U1706-SUM(X1706:AQ1706),SUM(CB1706:CH1706)),SUM(CC1706:CH1706))</f>
        <v>0</v>
      </c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W1706" s="5">
        <f>IF(Q1706&gt;0,RANK(Q1706,(N1706:P1706,Q1706:AE1706)),0)</f>
        <v>3</v>
      </c>
      <c r="AX1706" s="5">
        <f>IF(R1706&gt;0,RANK(R1706,(N1706:P1706,Q1706:AE1706)),0)</f>
        <v>5</v>
      </c>
      <c r="AY1706" s="5">
        <f>IF(T1706&gt;0,RANK(T1706,(N1706:P1706,Q1706:AE1706)),0)</f>
        <v>6</v>
      </c>
      <c r="AZ1706" s="5">
        <f>IF(S1706&gt;0,RANK(S1706,(N1706:P1706,Q1706:AE1706)),0)</f>
        <v>0</v>
      </c>
      <c r="BA1706" s="2">
        <f t="shared" si="706"/>
        <v>4.9065900225826319E-2</v>
      </c>
      <c r="BB1706" s="2">
        <f t="shared" si="707"/>
        <v>4.7218230342845413E-3</v>
      </c>
      <c r="BC1706" s="2">
        <f t="shared" si="708"/>
        <v>1.2317799219872716E-3</v>
      </c>
      <c r="BD1706" s="2">
        <f t="shared" si="709"/>
        <v>0</v>
      </c>
      <c r="BF1706" t="s">
        <v>50</v>
      </c>
      <c r="BG1706" t="s">
        <v>1091</v>
      </c>
      <c r="BH1706">
        <v>1</v>
      </c>
      <c r="BJ1706" s="114">
        <v>30</v>
      </c>
      <c r="BK1706" s="116">
        <v>83</v>
      </c>
      <c r="BL1706" s="120">
        <f t="shared" si="710"/>
        <v>30083</v>
      </c>
      <c r="BN1706" s="5" t="s">
        <v>3154</v>
      </c>
    </row>
    <row r="1707" spans="1:66" hidden="1" outlineLevel="1">
      <c r="A1707" t="s">
        <v>571</v>
      </c>
      <c r="B1707" t="s">
        <v>1091</v>
      </c>
      <c r="C1707" s="1">
        <f t="shared" si="701"/>
        <v>3652</v>
      </c>
      <c r="D1707" s="5">
        <f>IF(N1707&gt;0, RANK(N1707,(N1707:P1707,Q1707:AE1707)),0)</f>
        <v>2</v>
      </c>
      <c r="E1707" s="5">
        <f>IF(O1707&gt;0,RANK(O1707,(N1707:P1707,Q1707:AE1707)),0)</f>
        <v>1</v>
      </c>
      <c r="F1707" s="5">
        <f>IF(P1707&gt;0,RANK(P1707,(N1707:P1707,Q1707:AE1707)),0)</f>
        <v>6</v>
      </c>
      <c r="G1707" s="132">
        <f t="shared" si="699"/>
        <v>237</v>
      </c>
      <c r="H1707" s="137">
        <f t="shared" si="700"/>
        <v>6.4895947426067913E-2</v>
      </c>
      <c r="I1707" s="2"/>
      <c r="J1707" s="2">
        <f t="shared" si="702"/>
        <v>0.42716319824753557</v>
      </c>
      <c r="K1707" s="2">
        <f t="shared" si="703"/>
        <v>0.49205914567360348</v>
      </c>
      <c r="L1707" s="2">
        <f t="shared" si="704"/>
        <v>1.0952902519167579E-3</v>
      </c>
      <c r="M1707" s="2">
        <f t="shared" si="705"/>
        <v>7.9682365826944185E-2</v>
      </c>
      <c r="N1707" s="63">
        <v>1560</v>
      </c>
      <c r="O1707" s="63">
        <v>1797</v>
      </c>
      <c r="P1707" s="63">
        <v>4</v>
      </c>
      <c r="Q1707" s="63">
        <v>180</v>
      </c>
      <c r="R1707" s="63">
        <v>95</v>
      </c>
      <c r="S1707" s="63"/>
      <c r="T1707" s="63">
        <v>16</v>
      </c>
      <c r="U1707" s="63"/>
      <c r="V1707" s="63"/>
      <c r="W1707" s="63">
        <f>IF(Copyright!B$11=1,IF(CA1707&gt;0,CA1707-P1707-S1707-U1707-SUM(X1707:AQ1707),SUM(CB1707:CH1707)),SUM(CC1707:CH1707))</f>
        <v>0</v>
      </c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W1707" s="5">
        <f>IF(Q1707&gt;0,RANK(Q1707,(N1707:P1707,Q1707:AE1707)),0)</f>
        <v>3</v>
      </c>
      <c r="AX1707" s="5">
        <f>IF(R1707&gt;0,RANK(R1707,(N1707:P1707,Q1707:AE1707)),0)</f>
        <v>4</v>
      </c>
      <c r="AY1707" s="5">
        <f>IF(T1707&gt;0,RANK(T1707,(N1707:P1707,Q1707:AE1707)),0)</f>
        <v>5</v>
      </c>
      <c r="AZ1707" s="5">
        <f>IF(S1707&gt;0,RANK(S1707,(N1707:P1707,Q1707:AE1707)),0)</f>
        <v>0</v>
      </c>
      <c r="BA1707" s="2">
        <f t="shared" si="706"/>
        <v>4.9288061336254109E-2</v>
      </c>
      <c r="BB1707" s="2">
        <f t="shared" si="707"/>
        <v>2.6013143483023003E-2</v>
      </c>
      <c r="BC1707" s="2">
        <f t="shared" si="708"/>
        <v>4.3811610076670317E-3</v>
      </c>
      <c r="BD1707" s="2">
        <f t="shared" si="709"/>
        <v>0</v>
      </c>
      <c r="BF1707" t="s">
        <v>571</v>
      </c>
      <c r="BG1707" t="s">
        <v>1091</v>
      </c>
      <c r="BH1707">
        <v>1</v>
      </c>
      <c r="BJ1707" s="114">
        <v>30</v>
      </c>
      <c r="BK1707" s="116">
        <v>85</v>
      </c>
      <c r="BL1707" s="120">
        <f t="shared" si="710"/>
        <v>30085</v>
      </c>
      <c r="BN1707" s="5" t="s">
        <v>3154</v>
      </c>
    </row>
    <row r="1708" spans="1:66" hidden="1" outlineLevel="1">
      <c r="A1708" t="s">
        <v>2216</v>
      </c>
      <c r="B1708" t="s">
        <v>1091</v>
      </c>
      <c r="C1708" s="1">
        <f t="shared" si="701"/>
        <v>3453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6</v>
      </c>
      <c r="G1708" s="132">
        <f t="shared" si="699"/>
        <v>1266</v>
      </c>
      <c r="H1708" s="137">
        <f t="shared" si="700"/>
        <v>0.36663770634231102</v>
      </c>
      <c r="I1708" s="2"/>
      <c r="J1708" s="2">
        <f t="shared" si="702"/>
        <v>0.28583840139009559</v>
      </c>
      <c r="K1708" s="2">
        <f t="shared" si="703"/>
        <v>0.65247610773240661</v>
      </c>
      <c r="L1708" s="2">
        <f t="shared" si="704"/>
        <v>3.4752389226759338E-3</v>
      </c>
      <c r="M1708" s="2">
        <f t="shared" si="705"/>
        <v>5.8210251954821816E-2</v>
      </c>
      <c r="N1708" s="63">
        <v>987</v>
      </c>
      <c r="O1708" s="63">
        <v>2253</v>
      </c>
      <c r="P1708" s="63">
        <v>12</v>
      </c>
      <c r="Q1708" s="63">
        <v>152</v>
      </c>
      <c r="R1708" s="63">
        <v>33</v>
      </c>
      <c r="S1708" s="63">
        <v>1</v>
      </c>
      <c r="T1708" s="63">
        <v>15</v>
      </c>
      <c r="U1708" s="63"/>
      <c r="V1708" s="63"/>
      <c r="W1708" s="63">
        <f>IF(Copyright!B$11=1,IF(CA1708&gt;0,CA1708-P1708-S1708-U1708-SUM(X1708:AQ1708),SUM(CB1708:CH1708)),SUM(CC1708:CH1708))</f>
        <v>0</v>
      </c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W1708" s="5">
        <f>IF(Q1708&gt;0,RANK(Q1708,(N1708:P1708,Q1708:AE1708)),0)</f>
        <v>3</v>
      </c>
      <c r="AX1708" s="5">
        <f>IF(R1708&gt;0,RANK(R1708,(N1708:P1708,Q1708:AE1708)),0)</f>
        <v>4</v>
      </c>
      <c r="AY1708" s="5">
        <f>IF(T1708&gt;0,RANK(T1708,(N1708:P1708,Q1708:AE1708)),0)</f>
        <v>5</v>
      </c>
      <c r="AZ1708" s="5">
        <f>IF(S1708&gt;0,RANK(S1708,(N1708:P1708,Q1708:AE1708)),0)</f>
        <v>7</v>
      </c>
      <c r="BA1708" s="2">
        <f t="shared" si="706"/>
        <v>4.4019693020561829E-2</v>
      </c>
      <c r="BB1708" s="2">
        <f t="shared" si="707"/>
        <v>9.5569070373588191E-3</v>
      </c>
      <c r="BC1708" s="2">
        <f t="shared" si="708"/>
        <v>4.3440486533449178E-3</v>
      </c>
      <c r="BD1708" s="2">
        <f t="shared" si="709"/>
        <v>2.8960324355632781E-4</v>
      </c>
      <c r="BF1708" t="s">
        <v>2216</v>
      </c>
      <c r="BG1708" t="s">
        <v>1091</v>
      </c>
      <c r="BH1708">
        <v>1</v>
      </c>
      <c r="BJ1708" s="114">
        <v>30</v>
      </c>
      <c r="BK1708" s="116">
        <v>87</v>
      </c>
      <c r="BL1708" s="120">
        <f t="shared" si="710"/>
        <v>30087</v>
      </c>
      <c r="BN1708" s="5" t="s">
        <v>3154</v>
      </c>
    </row>
    <row r="1709" spans="1:66" hidden="1" outlineLevel="1">
      <c r="A1709" t="s">
        <v>884</v>
      </c>
      <c r="B1709" t="s">
        <v>1091</v>
      </c>
      <c r="C1709" s="1">
        <f t="shared" si="701"/>
        <v>5953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5</v>
      </c>
      <c r="G1709" s="132">
        <f t="shared" si="699"/>
        <v>3068</v>
      </c>
      <c r="H1709" s="137">
        <f t="shared" si="700"/>
        <v>0.51537040147824631</v>
      </c>
      <c r="I1709" s="2"/>
      <c r="J1709" s="2">
        <f t="shared" si="702"/>
        <v>0.20460272131698304</v>
      </c>
      <c r="K1709" s="2">
        <f t="shared" si="703"/>
        <v>0.71997312279522929</v>
      </c>
      <c r="L1709" s="2">
        <f t="shared" si="704"/>
        <v>6.383336133042164E-3</v>
      </c>
      <c r="M1709" s="2">
        <f t="shared" si="705"/>
        <v>6.9040819754745561E-2</v>
      </c>
      <c r="N1709" s="63">
        <v>1218</v>
      </c>
      <c r="O1709" s="63">
        <v>4286</v>
      </c>
      <c r="P1709" s="63">
        <v>38</v>
      </c>
      <c r="Q1709" s="63">
        <v>299</v>
      </c>
      <c r="R1709" s="63">
        <v>94</v>
      </c>
      <c r="S1709" s="63">
        <v>5</v>
      </c>
      <c r="T1709" s="63">
        <v>13</v>
      </c>
      <c r="U1709" s="63"/>
      <c r="V1709" s="63"/>
      <c r="W1709" s="63">
        <f>IF(Copyright!B$11=1,IF(CA1709&gt;0,CA1709-P1709-S1709-U1709-SUM(X1709:AQ1709),SUM(CB1709:CH1709)),SUM(CC1709:CH1709))</f>
        <v>0</v>
      </c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W1709" s="5">
        <f>IF(Q1709&gt;0,RANK(Q1709,(N1709:P1709,Q1709:AE1709)),0)</f>
        <v>3</v>
      </c>
      <c r="AX1709" s="5">
        <f>IF(R1709&gt;0,RANK(R1709,(N1709:P1709,Q1709:AE1709)),0)</f>
        <v>4</v>
      </c>
      <c r="AY1709" s="5">
        <f>IF(T1709&gt;0,RANK(T1709,(N1709:P1709,Q1709:AE1709)),0)</f>
        <v>6</v>
      </c>
      <c r="AZ1709" s="5">
        <f>IF(S1709&gt;0,RANK(S1709,(N1709:P1709,Q1709:AE1709)),0)</f>
        <v>7</v>
      </c>
      <c r="BA1709" s="2">
        <f t="shared" si="706"/>
        <v>5.0226776415252812E-2</v>
      </c>
      <c r="BB1709" s="2">
        <f t="shared" si="707"/>
        <v>1.5790357802788511E-2</v>
      </c>
      <c r="BC1709" s="2">
        <f t="shared" si="708"/>
        <v>2.1837728876196874E-3</v>
      </c>
      <c r="BD1709" s="2">
        <f t="shared" si="709"/>
        <v>8.399126490844952E-4</v>
      </c>
      <c r="BF1709" t="s">
        <v>884</v>
      </c>
      <c r="BG1709" t="s">
        <v>1091</v>
      </c>
      <c r="BH1709">
        <v>1</v>
      </c>
      <c r="BJ1709" s="114">
        <v>30</v>
      </c>
      <c r="BK1709" s="116">
        <v>89</v>
      </c>
      <c r="BL1709" s="120">
        <f t="shared" si="710"/>
        <v>30089</v>
      </c>
      <c r="BN1709" s="5" t="s">
        <v>3154</v>
      </c>
    </row>
    <row r="1710" spans="1:66" hidden="1" outlineLevel="1">
      <c r="A1710" t="s">
        <v>303</v>
      </c>
      <c r="B1710" t="s">
        <v>1091</v>
      </c>
      <c r="C1710" s="1">
        <f t="shared" si="701"/>
        <v>1835</v>
      </c>
      <c r="D1710" s="5">
        <f>IF(N1710&gt;0, RANK(N1710,(N1710:P1710,Q1710:AE1710)),0)</f>
        <v>2</v>
      </c>
      <c r="E1710" s="5">
        <f>IF(O1710&gt;0,RANK(O1710,(N1710:P1710,Q1710:AE1710)),0)</f>
        <v>1</v>
      </c>
      <c r="F1710" s="5">
        <f>IF(P1710&gt;0,RANK(P1710,(N1710:P1710,Q1710:AE1710)),0)</f>
        <v>7</v>
      </c>
      <c r="G1710" s="132">
        <f t="shared" si="699"/>
        <v>764</v>
      </c>
      <c r="H1710" s="137">
        <f t="shared" si="700"/>
        <v>0.41634877384196184</v>
      </c>
      <c r="I1710" s="2"/>
      <c r="J1710" s="2">
        <f t="shared" si="702"/>
        <v>0.25994550408719347</v>
      </c>
      <c r="K1710" s="2">
        <f t="shared" si="703"/>
        <v>0.67629427792915531</v>
      </c>
      <c r="L1710" s="2">
        <f t="shared" si="704"/>
        <v>5.4495912806539512E-4</v>
      </c>
      <c r="M1710" s="2">
        <f t="shared" si="705"/>
        <v>6.321525885558589E-2</v>
      </c>
      <c r="N1710" s="63">
        <v>477</v>
      </c>
      <c r="O1710" s="63">
        <v>1241</v>
      </c>
      <c r="P1710" s="63">
        <v>1</v>
      </c>
      <c r="Q1710" s="63">
        <v>92</v>
      </c>
      <c r="R1710" s="63">
        <v>20</v>
      </c>
      <c r="S1710" s="63">
        <v>2</v>
      </c>
      <c r="T1710" s="63">
        <v>2</v>
      </c>
      <c r="U1710" s="63"/>
      <c r="V1710" s="63"/>
      <c r="W1710" s="63">
        <f>IF(Copyright!B$11=1,IF(CA1710&gt;0,CA1710-P1710-S1710-U1710-SUM(X1710:AQ1710),SUM(CB1710:CH1710)),SUM(CC1710:CH1710))</f>
        <v>0</v>
      </c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W1710" s="5">
        <f>IF(Q1710&gt;0,RANK(Q1710,(N1710:P1710,Q1710:AE1710)),0)</f>
        <v>3</v>
      </c>
      <c r="AX1710" s="5">
        <f>IF(R1710&gt;0,RANK(R1710,(N1710:P1710,Q1710:AE1710)),0)</f>
        <v>4</v>
      </c>
      <c r="AY1710" s="5">
        <f>IF(T1710&gt;0,RANK(T1710,(N1710:P1710,Q1710:AE1710)),0)</f>
        <v>5</v>
      </c>
      <c r="AZ1710" s="5">
        <f>IF(S1710&gt;0,RANK(S1710,(N1710:P1710,Q1710:AE1710)),0)</f>
        <v>5</v>
      </c>
      <c r="BA1710" s="2">
        <f t="shared" si="706"/>
        <v>5.0136239782016347E-2</v>
      </c>
      <c r="BB1710" s="2">
        <f t="shared" si="707"/>
        <v>1.0899182561307902E-2</v>
      </c>
      <c r="BC1710" s="2">
        <f t="shared" si="708"/>
        <v>1.0899182561307902E-3</v>
      </c>
      <c r="BD1710" s="2">
        <f t="shared" si="709"/>
        <v>1.0899182561307902E-3</v>
      </c>
      <c r="BF1710" t="s">
        <v>303</v>
      </c>
      <c r="BG1710" t="s">
        <v>1091</v>
      </c>
      <c r="BH1710">
        <v>1</v>
      </c>
      <c r="BJ1710" s="114">
        <v>30</v>
      </c>
      <c r="BK1710" s="116">
        <v>91</v>
      </c>
      <c r="BL1710" s="120">
        <f t="shared" si="710"/>
        <v>30091</v>
      </c>
      <c r="BN1710" s="5" t="s">
        <v>3154</v>
      </c>
    </row>
    <row r="1711" spans="1:66" hidden="1" outlineLevel="1">
      <c r="A1711" t="s">
        <v>1499</v>
      </c>
      <c r="B1711" t="s">
        <v>1091</v>
      </c>
      <c r="C1711" s="1">
        <f t="shared" si="701"/>
        <v>16452</v>
      </c>
      <c r="D1711" s="5">
        <f>IF(N1711&gt;0, RANK(N1711,(N1711:P1711,Q1711:AE1711)),0)</f>
        <v>1</v>
      </c>
      <c r="E1711" s="5">
        <f>IF(O1711&gt;0,RANK(O1711,(N1711:P1711,Q1711:AE1711)),0)</f>
        <v>2</v>
      </c>
      <c r="F1711" s="5">
        <f>IF(P1711&gt;0,RANK(P1711,(N1711:P1711,Q1711:AE1711)),0)</f>
        <v>6</v>
      </c>
      <c r="G1711" s="132">
        <f t="shared" si="699"/>
        <v>2243</v>
      </c>
      <c r="H1711" s="137">
        <f t="shared" si="700"/>
        <v>0.1363360077802091</v>
      </c>
      <c r="I1711" s="2"/>
      <c r="J1711" s="2">
        <f t="shared" si="702"/>
        <v>0.5238876732312181</v>
      </c>
      <c r="K1711" s="2">
        <f t="shared" si="703"/>
        <v>0.387551665451009</v>
      </c>
      <c r="L1711" s="2">
        <f t="shared" si="704"/>
        <v>6.078288353999514E-4</v>
      </c>
      <c r="M1711" s="2">
        <f t="shared" si="705"/>
        <v>8.7952832482372956E-2</v>
      </c>
      <c r="N1711" s="63">
        <v>8619</v>
      </c>
      <c r="O1711" s="63">
        <v>6376</v>
      </c>
      <c r="P1711" s="63">
        <v>10</v>
      </c>
      <c r="Q1711" s="63">
        <v>1057</v>
      </c>
      <c r="R1711" s="63">
        <v>293</v>
      </c>
      <c r="S1711" s="63">
        <v>2</v>
      </c>
      <c r="T1711" s="63">
        <v>94</v>
      </c>
      <c r="U1711" s="63"/>
      <c r="V1711" s="63"/>
      <c r="W1711" s="63">
        <f>IF(Copyright!B$11=1,IF(CA1711&gt;0,CA1711-P1711-S1711-U1711-SUM(X1711:AQ1711),SUM(CB1711:CH1711)),SUM(CC1711:CH1711))</f>
        <v>0</v>
      </c>
      <c r="X1711" s="63"/>
      <c r="Y1711" s="63"/>
      <c r="Z1711" s="63"/>
      <c r="AA1711" s="63"/>
      <c r="AB1711" s="63"/>
      <c r="AC1711" s="63"/>
      <c r="AD1711" s="63"/>
      <c r="AE1711" s="63">
        <v>1</v>
      </c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W1711" s="5">
        <f>IF(Q1711&gt;0,RANK(Q1711,(N1711:P1711,Q1711:AE1711)),0)</f>
        <v>3</v>
      </c>
      <c r="AX1711" s="5">
        <f>IF(R1711&gt;0,RANK(R1711,(N1711:P1711,Q1711:AE1711)),0)</f>
        <v>4</v>
      </c>
      <c r="AY1711" s="5">
        <f>IF(T1711&gt;0,RANK(T1711,(N1711:P1711,Q1711:AE1711)),0)</f>
        <v>5</v>
      </c>
      <c r="AZ1711" s="5">
        <f>IF(S1711&gt;0,RANK(S1711,(N1711:P1711,Q1711:AE1711)),0)</f>
        <v>7</v>
      </c>
      <c r="BA1711" s="2">
        <f t="shared" si="706"/>
        <v>6.4247507901774858E-2</v>
      </c>
      <c r="BB1711" s="2">
        <f t="shared" si="707"/>
        <v>1.7809384877218577E-2</v>
      </c>
      <c r="BC1711" s="2">
        <f t="shared" si="708"/>
        <v>5.7135910527595429E-3</v>
      </c>
      <c r="BD1711" s="2">
        <f t="shared" si="709"/>
        <v>1.2156576707999027E-4</v>
      </c>
      <c r="BF1711" t="s">
        <v>1499</v>
      </c>
      <c r="BG1711" t="s">
        <v>1091</v>
      </c>
      <c r="BH1711">
        <v>1</v>
      </c>
      <c r="BJ1711" s="114">
        <v>30</v>
      </c>
      <c r="BK1711" s="116">
        <v>93</v>
      </c>
      <c r="BL1711" s="120">
        <f t="shared" si="710"/>
        <v>30093</v>
      </c>
      <c r="BN1711" s="5" t="s">
        <v>3154</v>
      </c>
    </row>
    <row r="1712" spans="1:66" hidden="1" outlineLevel="1">
      <c r="A1712" t="s">
        <v>1090</v>
      </c>
      <c r="B1712" t="s">
        <v>1091</v>
      </c>
      <c r="C1712" s="1">
        <f t="shared" si="701"/>
        <v>4873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6</v>
      </c>
      <c r="G1712" s="132">
        <f t="shared" si="699"/>
        <v>2753</v>
      </c>
      <c r="H1712" s="137">
        <f t="shared" si="700"/>
        <v>0.56494972296326695</v>
      </c>
      <c r="I1712" s="2"/>
      <c r="J1712" s="2">
        <f t="shared" si="702"/>
        <v>0.18633285450441206</v>
      </c>
      <c r="K1712" s="2">
        <f t="shared" si="703"/>
        <v>0.75128257746767901</v>
      </c>
      <c r="L1712" s="2">
        <f t="shared" si="704"/>
        <v>1.4364867638005335E-3</v>
      </c>
      <c r="M1712" s="2">
        <f t="shared" si="705"/>
        <v>6.0948081264108396E-2</v>
      </c>
      <c r="N1712" s="63">
        <v>908</v>
      </c>
      <c r="O1712" s="63">
        <v>3661</v>
      </c>
      <c r="P1712" s="63">
        <v>7</v>
      </c>
      <c r="Q1712" s="63">
        <v>251</v>
      </c>
      <c r="R1712" s="63">
        <v>35</v>
      </c>
      <c r="S1712" s="63"/>
      <c r="T1712" s="63">
        <v>11</v>
      </c>
      <c r="U1712" s="63"/>
      <c r="V1712" s="63"/>
      <c r="W1712" s="63">
        <f>IF(Copyright!B$11=1,IF(CA1712&gt;0,CA1712-P1712-S1712-U1712-SUM(X1712:AQ1712),SUM(CB1712:CH1712)),SUM(CC1712:CH1712))</f>
        <v>0</v>
      </c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W1712" s="5">
        <f>IF(Q1712&gt;0,RANK(Q1712,(N1712:P1712,Q1712:AE1712)),0)</f>
        <v>3</v>
      </c>
      <c r="AX1712" s="5">
        <f>IF(R1712&gt;0,RANK(R1712,(N1712:P1712,Q1712:AE1712)),0)</f>
        <v>4</v>
      </c>
      <c r="AY1712" s="5">
        <f>IF(T1712&gt;0,RANK(T1712,(N1712:P1712,Q1712:AE1712)),0)</f>
        <v>5</v>
      </c>
      <c r="AZ1712" s="5">
        <f>IF(S1712&gt;0,RANK(S1712,(N1712:P1712,Q1712:AE1712)),0)</f>
        <v>0</v>
      </c>
      <c r="BA1712" s="2">
        <f t="shared" si="706"/>
        <v>5.1508311101990563E-2</v>
      </c>
      <c r="BB1712" s="2">
        <f t="shared" si="707"/>
        <v>7.182433819002668E-3</v>
      </c>
      <c r="BC1712" s="2">
        <f t="shared" si="708"/>
        <v>2.257336343115124E-3</v>
      </c>
      <c r="BD1712" s="2">
        <f t="shared" si="709"/>
        <v>0</v>
      </c>
      <c r="BF1712" t="s">
        <v>1090</v>
      </c>
      <c r="BG1712" t="s">
        <v>1091</v>
      </c>
      <c r="BH1712">
        <v>1</v>
      </c>
      <c r="BJ1712" s="114">
        <v>30</v>
      </c>
      <c r="BK1712" s="116">
        <v>95</v>
      </c>
      <c r="BL1712" s="120">
        <f t="shared" si="710"/>
        <v>30095</v>
      </c>
      <c r="BN1712" s="5" t="s">
        <v>3154</v>
      </c>
    </row>
    <row r="1713" spans="1:86" hidden="1" outlineLevel="1">
      <c r="A1713" t="s">
        <v>1331</v>
      </c>
      <c r="B1713" t="s">
        <v>1091</v>
      </c>
      <c r="C1713" s="1">
        <f t="shared" si="701"/>
        <v>2107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5</v>
      </c>
      <c r="G1713" s="132">
        <f t="shared" si="699"/>
        <v>1193</v>
      </c>
      <c r="H1713" s="137">
        <f t="shared" si="700"/>
        <v>0.56620787850023735</v>
      </c>
      <c r="I1713" s="2"/>
      <c r="J1713" s="2">
        <f t="shared" si="702"/>
        <v>0.19079259610821073</v>
      </c>
      <c r="K1713" s="2">
        <f t="shared" si="703"/>
        <v>0.75700047460844799</v>
      </c>
      <c r="L1713" s="2">
        <f t="shared" si="704"/>
        <v>1.8984337921214998E-3</v>
      </c>
      <c r="M1713" s="2">
        <f t="shared" si="705"/>
        <v>5.0308495491219754E-2</v>
      </c>
      <c r="N1713" s="63">
        <v>402</v>
      </c>
      <c r="O1713" s="63">
        <v>1595</v>
      </c>
      <c r="P1713" s="63">
        <v>4</v>
      </c>
      <c r="Q1713" s="63">
        <v>77</v>
      </c>
      <c r="R1713" s="63">
        <v>23</v>
      </c>
      <c r="S1713" s="63">
        <v>3</v>
      </c>
      <c r="T1713" s="63">
        <v>3</v>
      </c>
      <c r="U1713" s="63"/>
      <c r="V1713" s="63"/>
      <c r="W1713" s="63">
        <f>IF(Copyright!B$11=1,IF(CA1713&gt;0,CA1713-P1713-S1713-U1713-SUM(X1713:AQ1713),SUM(CB1713:CH1713)),SUM(CC1713:CH1713))</f>
        <v>0</v>
      </c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W1713" s="5">
        <f>IF(Q1713&gt;0,RANK(Q1713,(N1713:P1713,Q1713:AE1713)),0)</f>
        <v>3</v>
      </c>
      <c r="AX1713" s="5">
        <f>IF(R1713&gt;0,RANK(R1713,(N1713:P1713,Q1713:AE1713)),0)</f>
        <v>4</v>
      </c>
      <c r="AY1713" s="5">
        <f>IF(T1713&gt;0,RANK(T1713,(N1713:P1713,Q1713:AE1713)),0)</f>
        <v>6</v>
      </c>
      <c r="AZ1713" s="5">
        <f>IF(S1713&gt;0,RANK(S1713,(N1713:P1713,Q1713:AE1713)),0)</f>
        <v>6</v>
      </c>
      <c r="BA1713" s="2">
        <f t="shared" si="706"/>
        <v>3.6544850498338874E-2</v>
      </c>
      <c r="BB1713" s="2">
        <f t="shared" si="707"/>
        <v>1.0915994304698624E-2</v>
      </c>
      <c r="BC1713" s="2">
        <f t="shared" si="708"/>
        <v>1.4238253440911248E-3</v>
      </c>
      <c r="BD1713" s="2">
        <f t="shared" si="709"/>
        <v>1.4238253440911248E-3</v>
      </c>
      <c r="BF1713" t="s">
        <v>1331</v>
      </c>
      <c r="BG1713" t="s">
        <v>1091</v>
      </c>
      <c r="BH1713">
        <v>1</v>
      </c>
      <c r="BJ1713" s="114">
        <v>30</v>
      </c>
      <c r="BK1713" s="116">
        <v>97</v>
      </c>
      <c r="BL1713" s="120">
        <f t="shared" si="710"/>
        <v>30097</v>
      </c>
      <c r="BN1713" s="5" t="s">
        <v>3154</v>
      </c>
    </row>
    <row r="1714" spans="1:86" hidden="1" outlineLevel="1">
      <c r="A1714" t="s">
        <v>2559</v>
      </c>
      <c r="B1714" t="s">
        <v>1091</v>
      </c>
      <c r="C1714" s="1">
        <f t="shared" si="701"/>
        <v>3188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6</v>
      </c>
      <c r="G1714" s="132">
        <f t="shared" si="699"/>
        <v>1362</v>
      </c>
      <c r="H1714" s="137">
        <f t="shared" si="700"/>
        <v>0.42722710163111671</v>
      </c>
      <c r="I1714" s="2"/>
      <c r="J1714" s="2">
        <f t="shared" si="702"/>
        <v>0.25345043914680049</v>
      </c>
      <c r="K1714" s="2">
        <f t="shared" si="703"/>
        <v>0.6806775407779172</v>
      </c>
      <c r="L1714" s="2">
        <f t="shared" si="704"/>
        <v>2.509410288582183E-3</v>
      </c>
      <c r="M1714" s="2">
        <f t="shared" si="705"/>
        <v>6.3362609786700178E-2</v>
      </c>
      <c r="N1714" s="63">
        <v>808</v>
      </c>
      <c r="O1714" s="63">
        <v>2170</v>
      </c>
      <c r="P1714" s="63">
        <v>8</v>
      </c>
      <c r="Q1714" s="63">
        <v>162</v>
      </c>
      <c r="R1714" s="63">
        <v>27</v>
      </c>
      <c r="S1714" s="63">
        <v>1</v>
      </c>
      <c r="T1714" s="63">
        <v>12</v>
      </c>
      <c r="U1714" s="63"/>
      <c r="V1714" s="63"/>
      <c r="W1714" s="63">
        <f>IF(Copyright!B$11=1,IF(CA1714&gt;0,CA1714-P1714-S1714-U1714-SUM(X1714:AQ1714),SUM(CB1714:CH1714)),SUM(CC1714:CH1714))</f>
        <v>0</v>
      </c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W1714" s="5">
        <f>IF(Q1714&gt;0,RANK(Q1714,(N1714:P1714,Q1714:AE1714)),0)</f>
        <v>3</v>
      </c>
      <c r="AX1714" s="5">
        <f>IF(R1714&gt;0,RANK(R1714,(N1714:P1714,Q1714:AE1714)),0)</f>
        <v>4</v>
      </c>
      <c r="AY1714" s="5">
        <f>IF(T1714&gt;0,RANK(T1714,(N1714:P1714,Q1714:AE1714)),0)</f>
        <v>5</v>
      </c>
      <c r="AZ1714" s="5">
        <f>IF(S1714&gt;0,RANK(S1714,(N1714:P1714,Q1714:AE1714)),0)</f>
        <v>7</v>
      </c>
      <c r="BA1714" s="2">
        <f t="shared" si="706"/>
        <v>5.0815558343789209E-2</v>
      </c>
      <c r="BB1714" s="2">
        <f t="shared" si="707"/>
        <v>8.4692597239648688E-3</v>
      </c>
      <c r="BC1714" s="2">
        <f t="shared" si="708"/>
        <v>3.7641154328732747E-3</v>
      </c>
      <c r="BD1714" s="2">
        <f t="shared" si="709"/>
        <v>3.1367628607277288E-4</v>
      </c>
      <c r="BF1714" t="s">
        <v>2559</v>
      </c>
      <c r="BG1714" t="s">
        <v>1091</v>
      </c>
      <c r="BH1714">
        <v>1</v>
      </c>
      <c r="BJ1714" s="114">
        <v>30</v>
      </c>
      <c r="BK1714" s="116">
        <v>99</v>
      </c>
      <c r="BL1714" s="120">
        <f t="shared" si="710"/>
        <v>30099</v>
      </c>
      <c r="BN1714" s="5" t="s">
        <v>3154</v>
      </c>
    </row>
    <row r="1715" spans="1:86" hidden="1" outlineLevel="1">
      <c r="A1715" t="s">
        <v>779</v>
      </c>
      <c r="B1715" t="s">
        <v>1091</v>
      </c>
      <c r="C1715" s="1">
        <f t="shared" si="701"/>
        <v>2037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6</v>
      </c>
      <c r="G1715" s="132">
        <f t="shared" si="699"/>
        <v>1095</v>
      </c>
      <c r="H1715" s="137">
        <f t="shared" si="700"/>
        <v>0.53755522827687774</v>
      </c>
      <c r="I1715" s="2"/>
      <c r="J1715" s="2">
        <f t="shared" si="702"/>
        <v>0.19734904270986744</v>
      </c>
      <c r="K1715" s="2">
        <f t="shared" si="703"/>
        <v>0.73490427098674527</v>
      </c>
      <c r="L1715" s="2">
        <f t="shared" si="704"/>
        <v>2.4545900834560628E-3</v>
      </c>
      <c r="M1715" s="2">
        <f t="shared" si="705"/>
        <v>6.5292096219931248E-2</v>
      </c>
      <c r="N1715" s="63">
        <v>402</v>
      </c>
      <c r="O1715" s="63">
        <v>1497</v>
      </c>
      <c r="P1715" s="63">
        <v>5</v>
      </c>
      <c r="Q1715" s="63">
        <v>96</v>
      </c>
      <c r="R1715" s="63">
        <v>29</v>
      </c>
      <c r="S1715" s="63">
        <v>2</v>
      </c>
      <c r="T1715" s="63">
        <v>6</v>
      </c>
      <c r="U1715" s="63"/>
      <c r="V1715" s="63"/>
      <c r="W1715" s="63">
        <f>IF(Copyright!B$11=1,IF(CA1715&gt;0,CA1715-P1715-S1715-U1715-SUM(X1715:AQ1715),SUM(CB1715:CH1715)),SUM(CC1715:CH1715))</f>
        <v>0</v>
      </c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W1715" s="5">
        <f>IF(Q1715&gt;0,RANK(Q1715,(N1715:P1715,Q1715:AE1715)),0)</f>
        <v>3</v>
      </c>
      <c r="AX1715" s="5">
        <f>IF(R1715&gt;0,RANK(R1715,(N1715:P1715,Q1715:AE1715)),0)</f>
        <v>4</v>
      </c>
      <c r="AY1715" s="5">
        <f>IF(T1715&gt;0,RANK(T1715,(N1715:P1715,Q1715:AE1715)),0)</f>
        <v>5</v>
      </c>
      <c r="AZ1715" s="5">
        <f>IF(S1715&gt;0,RANK(S1715,(N1715:P1715,Q1715:AE1715)),0)</f>
        <v>7</v>
      </c>
      <c r="BA1715" s="2">
        <f t="shared" si="706"/>
        <v>4.7128129602356406E-2</v>
      </c>
      <c r="BB1715" s="2">
        <f t="shared" si="707"/>
        <v>1.4236622484045164E-2</v>
      </c>
      <c r="BC1715" s="2">
        <f t="shared" si="708"/>
        <v>2.9455081001472753E-3</v>
      </c>
      <c r="BD1715" s="2">
        <f t="shared" si="709"/>
        <v>9.8183603338242512E-4</v>
      </c>
      <c r="BF1715" t="s">
        <v>779</v>
      </c>
      <c r="BG1715" t="s">
        <v>1091</v>
      </c>
      <c r="BH1715">
        <v>1</v>
      </c>
      <c r="BJ1715" s="114">
        <v>30</v>
      </c>
      <c r="BK1715" s="116">
        <v>101</v>
      </c>
      <c r="BL1715" s="120">
        <f t="shared" si="710"/>
        <v>30101</v>
      </c>
      <c r="BN1715" s="5" t="s">
        <v>3154</v>
      </c>
    </row>
    <row r="1716" spans="1:86" hidden="1" outlineLevel="1">
      <c r="A1716" t="s">
        <v>2205</v>
      </c>
      <c r="B1716" t="s">
        <v>1091</v>
      </c>
      <c r="C1716" s="1">
        <f t="shared" si="701"/>
        <v>443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32">
        <f t="shared" si="699"/>
        <v>292</v>
      </c>
      <c r="H1716" s="137">
        <f t="shared" si="700"/>
        <v>0.65914221218961622</v>
      </c>
      <c r="I1716" s="2"/>
      <c r="J1716" s="2">
        <f t="shared" si="702"/>
        <v>0.13318284424379231</v>
      </c>
      <c r="K1716" s="2">
        <f t="shared" si="703"/>
        <v>0.79232505643340856</v>
      </c>
      <c r="L1716" s="2">
        <f t="shared" si="704"/>
        <v>0</v>
      </c>
      <c r="M1716" s="2">
        <f t="shared" si="705"/>
        <v>7.4492099322799099E-2</v>
      </c>
      <c r="N1716" s="63">
        <v>59</v>
      </c>
      <c r="O1716" s="63">
        <v>351</v>
      </c>
      <c r="P1716" s="63"/>
      <c r="Q1716" s="63">
        <v>26</v>
      </c>
      <c r="R1716" s="63">
        <v>6</v>
      </c>
      <c r="S1716" s="63"/>
      <c r="T1716" s="63">
        <v>1</v>
      </c>
      <c r="U1716" s="63"/>
      <c r="V1716" s="63"/>
      <c r="W1716" s="63">
        <f>IF(Copyright!B$11=1,IF(CA1716&gt;0,CA1716-P1716-S1716-U1716-SUM(X1716:AQ1716),SUM(CB1716:CH1716)),SUM(CC1716:CH1716))</f>
        <v>0</v>
      </c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W1716" s="5">
        <f>IF(Q1716&gt;0,RANK(Q1716,(N1716:P1716,Q1716:AE1716)),0)</f>
        <v>3</v>
      </c>
      <c r="AX1716" s="5">
        <f>IF(R1716&gt;0,RANK(R1716,(N1716:P1716,Q1716:AE1716)),0)</f>
        <v>4</v>
      </c>
      <c r="AY1716" s="5">
        <f>IF(T1716&gt;0,RANK(T1716,(N1716:P1716,Q1716:AE1716)),0)</f>
        <v>5</v>
      </c>
      <c r="AZ1716" s="5">
        <f>IF(S1716&gt;0,RANK(S1716,(N1716:P1716,Q1716:AE1716)),0)</f>
        <v>0</v>
      </c>
      <c r="BA1716" s="2">
        <f t="shared" si="706"/>
        <v>5.8690744920993229E-2</v>
      </c>
      <c r="BB1716" s="2">
        <f t="shared" si="707"/>
        <v>1.3544018058690745E-2</v>
      </c>
      <c r="BC1716" s="2">
        <f t="shared" si="708"/>
        <v>2.257336343115124E-3</v>
      </c>
      <c r="BD1716" s="2">
        <f t="shared" si="709"/>
        <v>0</v>
      </c>
      <c r="BF1716" t="s">
        <v>2205</v>
      </c>
      <c r="BG1716" t="s">
        <v>1091</v>
      </c>
      <c r="BH1716">
        <v>1</v>
      </c>
      <c r="BJ1716" s="114">
        <v>30</v>
      </c>
      <c r="BK1716" s="116">
        <v>103</v>
      </c>
      <c r="BL1716" s="120">
        <f t="shared" si="710"/>
        <v>30103</v>
      </c>
      <c r="BN1716" s="5" t="s">
        <v>3154</v>
      </c>
    </row>
    <row r="1717" spans="1:86" hidden="1" outlineLevel="1">
      <c r="A1717" t="s">
        <v>915</v>
      </c>
      <c r="B1717" t="s">
        <v>1091</v>
      </c>
      <c r="C1717" s="1">
        <f t="shared" si="701"/>
        <v>3894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5</v>
      </c>
      <c r="G1717" s="132">
        <f t="shared" si="699"/>
        <v>1812</v>
      </c>
      <c r="H1717" s="137">
        <f t="shared" si="700"/>
        <v>0.46533127889060094</v>
      </c>
      <c r="I1717" s="2"/>
      <c r="J1717" s="2">
        <f t="shared" si="702"/>
        <v>0.22752953261427838</v>
      </c>
      <c r="K1717" s="2">
        <f t="shared" si="703"/>
        <v>0.69286081150487933</v>
      </c>
      <c r="L1717" s="2">
        <f t="shared" si="704"/>
        <v>4.3656908063687723E-3</v>
      </c>
      <c r="M1717" s="2">
        <f t="shared" si="705"/>
        <v>7.5243965074473576E-2</v>
      </c>
      <c r="N1717" s="63">
        <v>886</v>
      </c>
      <c r="O1717" s="63">
        <v>2698</v>
      </c>
      <c r="P1717" s="63">
        <v>17</v>
      </c>
      <c r="Q1717" s="63">
        <v>234</v>
      </c>
      <c r="R1717" s="63">
        <v>44</v>
      </c>
      <c r="S1717" s="63">
        <v>1</v>
      </c>
      <c r="T1717" s="63">
        <v>14</v>
      </c>
      <c r="U1717" s="63"/>
      <c r="V1717" s="63"/>
      <c r="W1717" s="63">
        <f>IF(Copyright!B$11=1,IF(CA1717&gt;0,CA1717-P1717-S1717-U1717-SUM(X1717:AQ1717),SUM(CB1717:CH1717)),SUM(CC1717:CH1717))</f>
        <v>0</v>
      </c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W1717" s="5">
        <f>IF(Q1717&gt;0,RANK(Q1717,(N1717:P1717,Q1717:AE1717)),0)</f>
        <v>3</v>
      </c>
      <c r="AX1717" s="5">
        <f>IF(R1717&gt;0,RANK(R1717,(N1717:P1717,Q1717:AE1717)),0)</f>
        <v>4</v>
      </c>
      <c r="AY1717" s="5">
        <f>IF(T1717&gt;0,RANK(T1717,(N1717:P1717,Q1717:AE1717)),0)</f>
        <v>6</v>
      </c>
      <c r="AZ1717" s="5">
        <f>IF(S1717&gt;0,RANK(S1717,(N1717:P1717,Q1717:AE1717)),0)</f>
        <v>7</v>
      </c>
      <c r="BA1717" s="2">
        <f t="shared" si="706"/>
        <v>6.0092449922958396E-2</v>
      </c>
      <c r="BB1717" s="2">
        <f t="shared" si="707"/>
        <v>1.1299435028248588E-2</v>
      </c>
      <c r="BC1717" s="2">
        <f t="shared" si="708"/>
        <v>3.5952747817154596E-3</v>
      </c>
      <c r="BD1717" s="2">
        <f t="shared" si="709"/>
        <v>2.5680534155110427E-4</v>
      </c>
      <c r="BF1717" t="s">
        <v>915</v>
      </c>
      <c r="BG1717" t="s">
        <v>1091</v>
      </c>
      <c r="BH1717">
        <v>1</v>
      </c>
      <c r="BJ1717" s="114">
        <v>30</v>
      </c>
      <c r="BK1717" s="116">
        <v>105</v>
      </c>
      <c r="BL1717" s="120">
        <f t="shared" si="710"/>
        <v>30105</v>
      </c>
      <c r="BN1717" s="5" t="s">
        <v>3154</v>
      </c>
    </row>
    <row r="1718" spans="1:86" hidden="1" outlineLevel="1">
      <c r="A1718" t="s">
        <v>1804</v>
      </c>
      <c r="B1718" t="s">
        <v>1091</v>
      </c>
      <c r="C1718" s="1">
        <f t="shared" si="701"/>
        <v>946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6</v>
      </c>
      <c r="G1718" s="132">
        <f t="shared" si="699"/>
        <v>523</v>
      </c>
      <c r="H1718" s="137">
        <f t="shared" si="700"/>
        <v>0.55285412262156453</v>
      </c>
      <c r="I1718" s="2"/>
      <c r="J1718" s="2">
        <f t="shared" si="702"/>
        <v>0.18921775898520085</v>
      </c>
      <c r="K1718" s="2">
        <f t="shared" si="703"/>
        <v>0.74207188160676529</v>
      </c>
      <c r="L1718" s="2">
        <f t="shared" si="704"/>
        <v>2.1141649048625794E-3</v>
      </c>
      <c r="M1718" s="2">
        <f t="shared" si="705"/>
        <v>6.6596194503171252E-2</v>
      </c>
      <c r="N1718" s="63">
        <v>179</v>
      </c>
      <c r="O1718" s="63">
        <v>702</v>
      </c>
      <c r="P1718" s="63">
        <v>2</v>
      </c>
      <c r="Q1718" s="63">
        <v>43</v>
      </c>
      <c r="R1718" s="63">
        <v>14</v>
      </c>
      <c r="S1718" s="63"/>
      <c r="T1718" s="63">
        <v>6</v>
      </c>
      <c r="U1718" s="63"/>
      <c r="V1718" s="63"/>
      <c r="W1718" s="63">
        <f>IF(Copyright!B$11=1,IF(CA1718&gt;0,CA1718-P1718-S1718-U1718-SUM(X1718:AQ1718),SUM(CB1718:CH1718)),SUM(CC1718:CH1718))</f>
        <v>0</v>
      </c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W1718" s="5">
        <f>IF(Q1718&gt;0,RANK(Q1718,(N1718:P1718,Q1718:AE1718)),0)</f>
        <v>3</v>
      </c>
      <c r="AX1718" s="5">
        <f>IF(R1718&gt;0,RANK(R1718,(N1718:P1718,Q1718:AE1718)),0)</f>
        <v>4</v>
      </c>
      <c r="AY1718" s="5">
        <f>IF(T1718&gt;0,RANK(T1718,(N1718:P1718,Q1718:AE1718)),0)</f>
        <v>5</v>
      </c>
      <c r="AZ1718" s="5">
        <f>IF(S1718&gt;0,RANK(S1718,(N1718:P1718,Q1718:AE1718)),0)</f>
        <v>0</v>
      </c>
      <c r="BA1718" s="2">
        <f t="shared" si="706"/>
        <v>4.5454545454545456E-2</v>
      </c>
      <c r="BB1718" s="2">
        <f t="shared" si="707"/>
        <v>1.4799154334038054E-2</v>
      </c>
      <c r="BC1718" s="2">
        <f t="shared" si="708"/>
        <v>6.3424947145877377E-3</v>
      </c>
      <c r="BD1718" s="2">
        <f t="shared" si="709"/>
        <v>0</v>
      </c>
      <c r="BF1718" t="s">
        <v>1804</v>
      </c>
      <c r="BG1718" t="s">
        <v>1091</v>
      </c>
      <c r="BH1718">
        <v>1</v>
      </c>
      <c r="BJ1718" s="114">
        <v>30</v>
      </c>
      <c r="BK1718" s="116">
        <v>107</v>
      </c>
      <c r="BL1718" s="120">
        <f t="shared" si="710"/>
        <v>30107</v>
      </c>
      <c r="BN1718" s="5" t="s">
        <v>3154</v>
      </c>
    </row>
    <row r="1719" spans="1:86" hidden="1" outlineLevel="1">
      <c r="A1719" t="s">
        <v>2949</v>
      </c>
      <c r="B1719" t="s">
        <v>1091</v>
      </c>
      <c r="C1719" s="1">
        <f t="shared" si="701"/>
        <v>541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32">
        <f t="shared" si="699"/>
        <v>408</v>
      </c>
      <c r="H1719" s="137">
        <f t="shared" si="700"/>
        <v>0.75415896487985212</v>
      </c>
      <c r="I1719" s="2"/>
      <c r="J1719" s="2">
        <f t="shared" si="702"/>
        <v>0.10166358595194085</v>
      </c>
      <c r="K1719" s="2">
        <f t="shared" si="703"/>
        <v>0.85582255083179293</v>
      </c>
      <c r="L1719" s="2">
        <f t="shared" si="704"/>
        <v>0</v>
      </c>
      <c r="M1719" s="2">
        <f t="shared" si="705"/>
        <v>4.2513863216266268E-2</v>
      </c>
      <c r="N1719" s="63">
        <v>55</v>
      </c>
      <c r="O1719" s="63">
        <v>463</v>
      </c>
      <c r="P1719" s="63"/>
      <c r="Q1719" s="63">
        <v>18</v>
      </c>
      <c r="R1719" s="63">
        <v>0</v>
      </c>
      <c r="S1719" s="63">
        <v>4</v>
      </c>
      <c r="T1719" s="63">
        <v>1</v>
      </c>
      <c r="U1719" s="63"/>
      <c r="V1719" s="63"/>
      <c r="W1719" s="63">
        <f>IF(Copyright!B$11=1,IF(CA1719&gt;0,CA1719-P1719-S1719-U1719-SUM(X1719:AQ1719),SUM(CB1719:CH1719)),SUM(CC1719:CH1719))</f>
        <v>0</v>
      </c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W1719" s="5">
        <f>IF(Q1719&gt;0,RANK(Q1719,(N1719:P1719,Q1719:AE1719)),0)</f>
        <v>3</v>
      </c>
      <c r="AX1719" s="5">
        <f>IF(R1719&gt;0,RANK(R1719,(N1719:P1719,Q1719:AE1719)),0)</f>
        <v>0</v>
      </c>
      <c r="AY1719" s="5">
        <f>IF(T1719&gt;0,RANK(T1719,(N1719:P1719,Q1719:AE1719)),0)</f>
        <v>5</v>
      </c>
      <c r="AZ1719" s="5">
        <f>IF(S1719&gt;0,RANK(S1719,(N1719:P1719,Q1719:AE1719)),0)</f>
        <v>4</v>
      </c>
      <c r="BA1719" s="2">
        <f t="shared" si="706"/>
        <v>3.3271719038817003E-2</v>
      </c>
      <c r="BB1719" s="2">
        <f t="shared" si="707"/>
        <v>0</v>
      </c>
      <c r="BC1719" s="2">
        <f t="shared" si="708"/>
        <v>1.8484288354898336E-3</v>
      </c>
      <c r="BD1719" s="2">
        <f t="shared" si="709"/>
        <v>7.3937153419593345E-3</v>
      </c>
      <c r="BF1719" t="s">
        <v>2949</v>
      </c>
      <c r="BG1719" t="s">
        <v>1091</v>
      </c>
      <c r="BH1719">
        <v>1</v>
      </c>
      <c r="BJ1719" s="114">
        <v>30</v>
      </c>
      <c r="BK1719" s="116">
        <v>109</v>
      </c>
      <c r="BL1719" s="120">
        <f t="shared" si="710"/>
        <v>30109</v>
      </c>
      <c r="BN1719" s="5" t="s">
        <v>3154</v>
      </c>
    </row>
    <row r="1720" spans="1:86" hidden="1" outlineLevel="1">
      <c r="A1720" t="s">
        <v>1315</v>
      </c>
      <c r="B1720" t="s">
        <v>1091</v>
      </c>
      <c r="C1720" s="1">
        <f t="shared" si="701"/>
        <v>70486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6</v>
      </c>
      <c r="G1720" s="132">
        <f t="shared" si="699"/>
        <v>18749</v>
      </c>
      <c r="H1720" s="137">
        <f t="shared" si="700"/>
        <v>0.2659960843288029</v>
      </c>
      <c r="I1720" s="2"/>
      <c r="J1720" s="2">
        <f t="shared" si="702"/>
        <v>0.31454473228726271</v>
      </c>
      <c r="K1720" s="2">
        <f t="shared" si="703"/>
        <v>0.5805408166160656</v>
      </c>
      <c r="L1720" s="2">
        <f t="shared" si="704"/>
        <v>7.4908492466589111E-3</v>
      </c>
      <c r="M1720" s="2">
        <f t="shared" si="705"/>
        <v>9.7423601850012725E-2</v>
      </c>
      <c r="N1720" s="63">
        <v>22171</v>
      </c>
      <c r="O1720" s="63">
        <v>40920</v>
      </c>
      <c r="P1720" s="63">
        <v>528</v>
      </c>
      <c r="Q1720" s="63">
        <v>4316</v>
      </c>
      <c r="R1720" s="63">
        <v>898</v>
      </c>
      <c r="S1720" s="63">
        <v>26</v>
      </c>
      <c r="T1720" s="63">
        <v>239</v>
      </c>
      <c r="U1720" s="63"/>
      <c r="V1720" s="63"/>
      <c r="W1720" s="63">
        <f>IF(Copyright!B$11=1,IF(CA1720&gt;0,CA1720-P1720-S1720-U1720-SUM(X1720:AQ1720),SUM(CB1720:CH1720)),SUM(CC1720:CH1720))</f>
        <v>1383</v>
      </c>
      <c r="X1720" s="63"/>
      <c r="Y1720" s="63"/>
      <c r="Z1720" s="63"/>
      <c r="AA1720" s="63"/>
      <c r="AB1720" s="63"/>
      <c r="AC1720" s="63"/>
      <c r="AD1720" s="63"/>
      <c r="AE1720" s="63">
        <v>3</v>
      </c>
      <c r="AF1720" s="63"/>
      <c r="AG1720" s="63"/>
      <c r="AH1720" s="63"/>
      <c r="AI1720" s="63"/>
      <c r="AJ1720" s="63"/>
      <c r="AK1720" s="63"/>
      <c r="AL1720" s="63"/>
      <c r="AM1720" s="63">
        <v>1</v>
      </c>
      <c r="AN1720" s="63"/>
      <c r="AO1720" s="63"/>
      <c r="AP1720" s="63"/>
      <c r="AQ1720" s="63">
        <v>1</v>
      </c>
      <c r="AR1720" s="63"/>
      <c r="AS1720" s="63"/>
      <c r="AT1720" s="63"/>
      <c r="AU1720" s="63"/>
      <c r="AW1720" s="5">
        <f>IF(Q1720&gt;0,RANK(Q1720,(N1720:P1720,Q1720:AE1720)),0)</f>
        <v>3</v>
      </c>
      <c r="AX1720" s="5">
        <f>IF(R1720&gt;0,RANK(R1720,(N1720:P1720,Q1720:AE1720)),0)</f>
        <v>5</v>
      </c>
      <c r="AY1720" s="5">
        <f>IF(T1720&gt;0,RANK(T1720,(N1720:P1720,Q1720:AE1720)),0)</f>
        <v>7</v>
      </c>
      <c r="AZ1720" s="5">
        <f>IF(S1720&gt;0,RANK(S1720,(N1720:P1720,Q1720:AE1720)),0)</f>
        <v>8</v>
      </c>
      <c r="BA1720" s="2">
        <f t="shared" si="706"/>
        <v>6.1232017705643675E-2</v>
      </c>
      <c r="BB1720" s="2">
        <f t="shared" si="707"/>
        <v>1.2740118605113072E-2</v>
      </c>
      <c r="BC1720" s="2">
        <f t="shared" si="708"/>
        <v>3.3907442612717419E-3</v>
      </c>
      <c r="BD1720" s="2">
        <f t="shared" si="709"/>
        <v>3.6886757654002215E-4</v>
      </c>
      <c r="BF1720" t="s">
        <v>1315</v>
      </c>
      <c r="BG1720" t="s">
        <v>1091</v>
      </c>
      <c r="BH1720">
        <v>1</v>
      </c>
      <c r="BJ1720" s="114">
        <v>30</v>
      </c>
      <c r="BK1720" s="116">
        <v>111</v>
      </c>
      <c r="BL1720" s="120">
        <f t="shared" si="710"/>
        <v>30111</v>
      </c>
      <c r="BN1720" s="5" t="s">
        <v>3154</v>
      </c>
      <c r="CA1720" s="63">
        <v>1942</v>
      </c>
      <c r="CD1720" s="63">
        <v>1</v>
      </c>
      <c r="CE1720" s="63">
        <v>2</v>
      </c>
      <c r="CF1720" s="63">
        <v>1</v>
      </c>
      <c r="CH1720" s="132">
        <v>1</v>
      </c>
    </row>
    <row r="1721" spans="1:86" collapsed="1">
      <c r="A1721" t="s">
        <v>1051</v>
      </c>
      <c r="B1721" t="s">
        <v>544</v>
      </c>
      <c r="C1721" s="1">
        <f t="shared" si="701"/>
        <v>501822</v>
      </c>
      <c r="D1721" s="5">
        <f>IF(N1721&gt;0, RANK(N1721,(N1721:P1721,Q1721:AE1721)),0)</f>
        <v>2</v>
      </c>
      <c r="E1721" s="5">
        <f>IF(O1721&gt;0,RANK(O1721,(N1721:P1721,Q1721:AE1721)),0)</f>
        <v>1</v>
      </c>
      <c r="F1721" s="5">
        <f>IF(P1721&gt;0,RANK(P1721,(N1721:P1721,Q1721:AE1721)),0)</f>
        <v>6</v>
      </c>
      <c r="G1721" s="132">
        <f t="shared" si="699"/>
        <v>101531</v>
      </c>
      <c r="H1721" s="137">
        <f t="shared" si="700"/>
        <v>0.20232472868865853</v>
      </c>
      <c r="I1721" s="2"/>
      <c r="J1721" s="2">
        <f t="shared" si="702"/>
        <v>0.35412755917436861</v>
      </c>
      <c r="K1721" s="2">
        <f t="shared" si="703"/>
        <v>0.55645228786302714</v>
      </c>
      <c r="L1721" s="2">
        <f t="shared" si="704"/>
        <v>4.5773202450271212E-3</v>
      </c>
      <c r="M1721" s="2">
        <f t="shared" si="705"/>
        <v>8.4842832717577074E-2</v>
      </c>
      <c r="N1721" s="63">
        <f t="shared" ref="N1721:U1721" si="711">SUM(N1665:N1720)</f>
        <v>177709</v>
      </c>
      <c r="O1721" s="63">
        <f t="shared" si="711"/>
        <v>279240</v>
      </c>
      <c r="P1721" s="63">
        <f t="shared" si="711"/>
        <v>2297</v>
      </c>
      <c r="Q1721" s="63">
        <f t="shared" si="711"/>
        <v>28037</v>
      </c>
      <c r="R1721" s="63">
        <f t="shared" si="711"/>
        <v>7970</v>
      </c>
      <c r="S1721" s="63">
        <f t="shared" si="711"/>
        <v>296</v>
      </c>
      <c r="T1721" s="63">
        <f t="shared" si="711"/>
        <v>1570</v>
      </c>
      <c r="U1721" s="63">
        <f t="shared" si="711"/>
        <v>1</v>
      </c>
      <c r="V1721" s="63"/>
      <c r="W1721" s="63">
        <f>SUM(W1665:W1720)</f>
        <v>4683</v>
      </c>
      <c r="X1721" s="63"/>
      <c r="Y1721" s="63">
        <f>SUM(Y1665:Y1720)</f>
        <v>10</v>
      </c>
      <c r="Z1721" s="63"/>
      <c r="AA1721" s="63"/>
      <c r="AB1721" s="63"/>
      <c r="AC1721" s="63"/>
      <c r="AD1721" s="63"/>
      <c r="AE1721" s="63">
        <f>SUM(AE1665:AE1720)</f>
        <v>7</v>
      </c>
      <c r="AF1721" s="63"/>
      <c r="AG1721" s="63"/>
      <c r="AH1721" s="63"/>
      <c r="AI1721" s="63"/>
      <c r="AJ1721" s="63"/>
      <c r="AK1721" s="63"/>
      <c r="AL1721" s="63"/>
      <c r="AM1721" s="63">
        <f>SUM(AM1665:AM1720)</f>
        <v>1</v>
      </c>
      <c r="AN1721" s="63"/>
      <c r="AO1721" s="63"/>
      <c r="AP1721" s="63"/>
      <c r="AQ1721" s="63">
        <f>SUM(AQ1665:AQ1720)</f>
        <v>1</v>
      </c>
      <c r="AR1721" s="63"/>
      <c r="AS1721" s="63"/>
      <c r="AT1721" s="63"/>
      <c r="AU1721" s="63"/>
      <c r="AW1721" s="5">
        <f>IF(Q1721&gt;0,RANK(Q1721,(N1721:P1721,Q1721:AE1721)),0)</f>
        <v>3</v>
      </c>
      <c r="AX1721" s="5">
        <f>IF(R1721&gt;0,RANK(R1721,(N1721:P1721,Q1721:AE1721)),0)</f>
        <v>4</v>
      </c>
      <c r="AY1721" s="5">
        <f>IF(T1721&gt;0,RANK(T1721,(N1721:P1721,Q1721:AE1721)),0)</f>
        <v>7</v>
      </c>
      <c r="AZ1721" s="5">
        <f>IF(S1721&gt;0,RANK(S1721,(N1721:P1721,Q1721:AE1721)),0)</f>
        <v>8</v>
      </c>
      <c r="BA1721" s="2">
        <f t="shared" si="706"/>
        <v>5.5870408232401129E-2</v>
      </c>
      <c r="BB1721" s="2">
        <f t="shared" si="707"/>
        <v>1.5882125534552091E-2</v>
      </c>
      <c r="BC1721" s="2">
        <f t="shared" si="708"/>
        <v>3.1285993838452678E-3</v>
      </c>
      <c r="BD1721" s="2">
        <f t="shared" si="709"/>
        <v>5.8985058447019061E-4</v>
      </c>
      <c r="BF1721" t="s">
        <v>1051</v>
      </c>
      <c r="BG1721" t="s">
        <v>544</v>
      </c>
      <c r="BJ1721" s="114">
        <v>30</v>
      </c>
      <c r="BK1721" s="116"/>
      <c r="BL1721" s="114">
        <v>30</v>
      </c>
      <c r="BN1721" s="5" t="s">
        <v>711</v>
      </c>
      <c r="CA1721" s="63">
        <f>SUM(CA1665:CA1720)</f>
        <v>5769</v>
      </c>
      <c r="CD1721" s="63">
        <f>SUM(CD1665:CD1720)</f>
        <v>3</v>
      </c>
      <c r="CE1721" s="63">
        <f>SUM(CE1665:CE1720)</f>
        <v>2</v>
      </c>
      <c r="CF1721" s="63">
        <f>SUM(CF1665:CF1720)</f>
        <v>1</v>
      </c>
      <c r="CG1721" s="63">
        <f>SUM(CG1665:CG1720)</f>
        <v>1</v>
      </c>
      <c r="CH1721" s="63">
        <f>SUM(CH1665:CH1720)</f>
        <v>1</v>
      </c>
    </row>
    <row r="1722" spans="1:86">
      <c r="C1722" s="1"/>
      <c r="E1722" s="5"/>
      <c r="F1722" s="5"/>
      <c r="G1722" s="132"/>
      <c r="H1722" s="137"/>
      <c r="I1722" s="2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W1722" s="5"/>
      <c r="AX1722" s="5"/>
      <c r="AY1722" s="5"/>
      <c r="AZ1722" s="5"/>
      <c r="BJ1722" s="114"/>
      <c r="BK1722" s="116"/>
      <c r="BL1722" s="120"/>
    </row>
    <row r="1723" spans="1:86" hidden="1" outlineLevel="1">
      <c r="A1723" t="s">
        <v>1026</v>
      </c>
      <c r="B1723" t="s">
        <v>290</v>
      </c>
      <c r="C1723" s="1">
        <f t="shared" ref="C1723:C1754" si="712">SUM(N1723:AU1723)</f>
        <v>13513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32">
        <f t="shared" si="699"/>
        <v>5985</v>
      </c>
      <c r="H1723" s="137">
        <f t="shared" si="700"/>
        <v>0.44290683045955748</v>
      </c>
      <c r="I1723" s="2"/>
      <c r="J1723" s="2">
        <f t="shared" ref="J1723:J1754" si="713">IF($C1723=0,"-",N1723/$C1723)</f>
        <v>0.24435728557685191</v>
      </c>
      <c r="K1723" s="2">
        <f t="shared" ref="K1723:K1754" si="714">IF($C1723=0,"-",O1723/$C1723)</f>
        <v>0.68726411603640936</v>
      </c>
      <c r="L1723" s="2">
        <f t="shared" ref="L1723:L1754" si="715">IF($C1723=0,"-",P1723/$C1723)</f>
        <v>0</v>
      </c>
      <c r="M1723" s="2">
        <f t="shared" ref="M1723:M1754" si="716">IF(C1723=0,"-",(1-J1723-K1723-L1723))</f>
        <v>6.8378598386738765E-2</v>
      </c>
      <c r="N1723" s="63">
        <v>3302</v>
      </c>
      <c r="O1723" s="63">
        <v>9287</v>
      </c>
      <c r="P1723" s="63"/>
      <c r="Q1723" s="63">
        <v>594</v>
      </c>
      <c r="R1723" s="63">
        <v>111</v>
      </c>
      <c r="S1723" s="63"/>
      <c r="T1723" s="63"/>
      <c r="U1723" s="63"/>
      <c r="V1723" s="63"/>
      <c r="W1723" s="63">
        <v>219</v>
      </c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W1723" s="5">
        <f>IF(Q1723&gt;0,RANK(Q1723,(N1723:P1723,Q1723:AE1723)),0)</f>
        <v>3</v>
      </c>
      <c r="AX1723" s="5">
        <f>IF(R1723&gt;0,RANK(R1723,(N1723:P1723,Q1723:AE1723)),0)</f>
        <v>5</v>
      </c>
      <c r="AY1723" s="5">
        <f>IF(T1723&gt;0,RANK(T1723,(N1723:P1723,Q1723:AE1723)),0)</f>
        <v>0</v>
      </c>
      <c r="AZ1723" s="5">
        <f>IF(S1723&gt;0,RANK(S1723,(N1723:P1723,Q1723:AE1723)),0)</f>
        <v>0</v>
      </c>
      <c r="BA1723" s="2">
        <f t="shared" ref="BA1723:BA1754" si="717">IF($C1723=0,"-",Q1723/$C1723)</f>
        <v>4.3957670391474878E-2</v>
      </c>
      <c r="BB1723" s="2">
        <f t="shared" ref="BB1723:BB1754" si="718">IF($C1723=0,"-",R1723/$C1723)</f>
        <v>8.2143121438614675E-3</v>
      </c>
      <c r="BC1723" s="2">
        <f t="shared" ref="BC1723:BC1754" si="719">IF($C1723=0,"-",T1723/$C1723)</f>
        <v>0</v>
      </c>
      <c r="BD1723" s="2">
        <f t="shared" ref="BD1723:BD1754" si="720">IF($C1723=0,"-",S1723/$C1723)</f>
        <v>0</v>
      </c>
      <c r="BF1723" t="s">
        <v>1026</v>
      </c>
      <c r="BG1723" t="s">
        <v>290</v>
      </c>
      <c r="BH1723">
        <v>3</v>
      </c>
      <c r="BJ1723" s="114">
        <v>31</v>
      </c>
      <c r="BK1723" s="116">
        <v>1</v>
      </c>
      <c r="BL1723" s="120">
        <f t="shared" si="710"/>
        <v>31001</v>
      </c>
      <c r="BN1723" s="5" t="s">
        <v>3154</v>
      </c>
    </row>
    <row r="1724" spans="1:86" hidden="1" outlineLevel="1">
      <c r="A1724" t="s">
        <v>1940</v>
      </c>
      <c r="B1724" t="s">
        <v>290</v>
      </c>
      <c r="C1724" s="1">
        <f t="shared" si="712"/>
        <v>3281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32">
        <f t="shared" si="699"/>
        <v>2349</v>
      </c>
      <c r="H1724" s="137">
        <f t="shared" si="700"/>
        <v>0.71594026211520878</v>
      </c>
      <c r="I1724" s="2"/>
      <c r="J1724" s="2">
        <f t="shared" si="713"/>
        <v>0.11673270344407193</v>
      </c>
      <c r="K1724" s="2">
        <f t="shared" si="714"/>
        <v>0.83267296555928072</v>
      </c>
      <c r="L1724" s="2">
        <f t="shared" si="715"/>
        <v>0</v>
      </c>
      <c r="M1724" s="2">
        <f t="shared" si="716"/>
        <v>5.0594330996647341E-2</v>
      </c>
      <c r="N1724" s="63">
        <v>383</v>
      </c>
      <c r="O1724" s="63">
        <v>2732</v>
      </c>
      <c r="P1724" s="63"/>
      <c r="Q1724" s="63">
        <v>105</v>
      </c>
      <c r="R1724" s="63">
        <v>19</v>
      </c>
      <c r="S1724" s="63"/>
      <c r="T1724" s="63"/>
      <c r="U1724" s="63"/>
      <c r="V1724" s="63"/>
      <c r="W1724" s="63">
        <v>42</v>
      </c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W1724" s="5">
        <f>IF(Q1724&gt;0,RANK(Q1724,(N1724:P1724,Q1724:AE1724)),0)</f>
        <v>3</v>
      </c>
      <c r="AX1724" s="5">
        <f>IF(R1724&gt;0,RANK(R1724,(N1724:P1724,Q1724:AE1724)),0)</f>
        <v>5</v>
      </c>
      <c r="AY1724" s="5">
        <f>IF(T1724&gt;0,RANK(T1724,(N1724:P1724,Q1724:AE1724)),0)</f>
        <v>0</v>
      </c>
      <c r="AZ1724" s="5">
        <f>IF(S1724&gt;0,RANK(S1724,(N1724:P1724,Q1724:AE1724)),0)</f>
        <v>0</v>
      </c>
      <c r="BA1724" s="2">
        <f t="shared" si="717"/>
        <v>3.2002438281011888E-2</v>
      </c>
      <c r="BB1724" s="2">
        <f t="shared" si="718"/>
        <v>5.7909174032307227E-3</v>
      </c>
      <c r="BC1724" s="2">
        <f t="shared" si="719"/>
        <v>0</v>
      </c>
      <c r="BD1724" s="2">
        <f t="shared" si="720"/>
        <v>0</v>
      </c>
      <c r="BF1724" t="s">
        <v>1940</v>
      </c>
      <c r="BG1724" t="s">
        <v>290</v>
      </c>
      <c r="BH1724">
        <v>3</v>
      </c>
      <c r="BJ1724" s="114">
        <v>31</v>
      </c>
      <c r="BK1724" s="116">
        <v>3</v>
      </c>
      <c r="BL1724" s="120">
        <f t="shared" si="710"/>
        <v>31003</v>
      </c>
      <c r="BN1724" s="5" t="s">
        <v>3154</v>
      </c>
    </row>
    <row r="1725" spans="1:86" hidden="1" outlineLevel="1">
      <c r="A1725" t="s">
        <v>2246</v>
      </c>
      <c r="B1725" t="s">
        <v>290</v>
      </c>
      <c r="C1725" s="1">
        <f t="shared" si="712"/>
        <v>273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32">
        <f t="shared" si="699"/>
        <v>227</v>
      </c>
      <c r="H1725" s="137">
        <f t="shared" si="700"/>
        <v>0.83150183150183155</v>
      </c>
      <c r="I1725" s="2"/>
      <c r="J1725" s="2">
        <f t="shared" si="713"/>
        <v>6.2271062271062272E-2</v>
      </c>
      <c r="K1725" s="2">
        <f t="shared" si="714"/>
        <v>0.89377289377289382</v>
      </c>
      <c r="L1725" s="2">
        <f t="shared" si="715"/>
        <v>0</v>
      </c>
      <c r="M1725" s="2">
        <f t="shared" si="716"/>
        <v>4.3956043956043911E-2</v>
      </c>
      <c r="N1725" s="63">
        <v>17</v>
      </c>
      <c r="O1725" s="63">
        <v>244</v>
      </c>
      <c r="P1725" s="63"/>
      <c r="Q1725" s="63">
        <v>11</v>
      </c>
      <c r="R1725" s="63">
        <v>0</v>
      </c>
      <c r="S1725" s="63"/>
      <c r="T1725" s="63"/>
      <c r="U1725" s="63"/>
      <c r="V1725" s="63"/>
      <c r="W1725" s="63">
        <v>1</v>
      </c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W1725" s="5">
        <f>IF(Q1725&gt;0,RANK(Q1725,(N1725:P1725,Q1725:AE1725)),0)</f>
        <v>3</v>
      </c>
      <c r="AX1725" s="5">
        <f>IF(R1725&gt;0,RANK(R1725,(N1725:P1725,Q1725:AE1725)),0)</f>
        <v>0</v>
      </c>
      <c r="AY1725" s="5">
        <f>IF(T1725&gt;0,RANK(T1725,(N1725:P1725,Q1725:AE1725)),0)</f>
        <v>0</v>
      </c>
      <c r="AZ1725" s="5">
        <f>IF(S1725&gt;0,RANK(S1725,(N1725:P1725,Q1725:AE1725)),0)</f>
        <v>0</v>
      </c>
      <c r="BA1725" s="2">
        <f t="shared" si="717"/>
        <v>4.0293040293040296E-2</v>
      </c>
      <c r="BB1725" s="2">
        <f t="shared" si="718"/>
        <v>0</v>
      </c>
      <c r="BC1725" s="2">
        <f t="shared" si="719"/>
        <v>0</v>
      </c>
      <c r="BD1725" s="2">
        <f t="shared" si="720"/>
        <v>0</v>
      </c>
      <c r="BF1725" t="s">
        <v>2246</v>
      </c>
      <c r="BG1725" t="s">
        <v>290</v>
      </c>
      <c r="BH1725">
        <v>3</v>
      </c>
      <c r="BJ1725" s="114">
        <v>31</v>
      </c>
      <c r="BK1725" s="116">
        <v>5</v>
      </c>
      <c r="BL1725" s="120">
        <f t="shared" si="710"/>
        <v>31005</v>
      </c>
      <c r="BN1725" s="5" t="s">
        <v>3154</v>
      </c>
    </row>
    <row r="1726" spans="1:86" hidden="1" outlineLevel="1">
      <c r="A1726" t="s">
        <v>1753</v>
      </c>
      <c r="B1726" t="s">
        <v>290</v>
      </c>
      <c r="C1726" s="1">
        <f t="shared" si="712"/>
        <v>402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32">
        <f t="shared" si="699"/>
        <v>338</v>
      </c>
      <c r="H1726" s="137">
        <f t="shared" si="700"/>
        <v>0.84079601990049746</v>
      </c>
      <c r="I1726" s="2"/>
      <c r="J1726" s="2">
        <f t="shared" si="713"/>
        <v>4.7263681592039801E-2</v>
      </c>
      <c r="K1726" s="2">
        <f t="shared" si="714"/>
        <v>0.88805970149253732</v>
      </c>
      <c r="L1726" s="2">
        <f t="shared" si="715"/>
        <v>0</v>
      </c>
      <c r="M1726" s="2">
        <f t="shared" si="716"/>
        <v>6.4676616915422924E-2</v>
      </c>
      <c r="N1726" s="63">
        <v>19</v>
      </c>
      <c r="O1726" s="63">
        <v>357</v>
      </c>
      <c r="P1726" s="63"/>
      <c r="Q1726" s="63">
        <v>14</v>
      </c>
      <c r="R1726" s="63">
        <v>3</v>
      </c>
      <c r="S1726" s="63"/>
      <c r="T1726" s="63"/>
      <c r="U1726" s="63"/>
      <c r="V1726" s="63"/>
      <c r="W1726" s="63">
        <v>9</v>
      </c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W1726" s="5">
        <f>IF(Q1726&gt;0,RANK(Q1726,(N1726:P1726,Q1726:AE1726)),0)</f>
        <v>3</v>
      </c>
      <c r="AX1726" s="5">
        <f>IF(R1726&gt;0,RANK(R1726,(N1726:P1726,Q1726:AE1726)),0)</f>
        <v>5</v>
      </c>
      <c r="AY1726" s="5">
        <f>IF(T1726&gt;0,RANK(T1726,(N1726:P1726,Q1726:AE1726)),0)</f>
        <v>0</v>
      </c>
      <c r="AZ1726" s="5">
        <f>IF(S1726&gt;0,RANK(S1726,(N1726:P1726,Q1726:AE1726)),0)</f>
        <v>0</v>
      </c>
      <c r="BA1726" s="2">
        <f t="shared" si="717"/>
        <v>3.482587064676617E-2</v>
      </c>
      <c r="BB1726" s="2">
        <f t="shared" si="718"/>
        <v>7.462686567164179E-3</v>
      </c>
      <c r="BC1726" s="2">
        <f t="shared" si="719"/>
        <v>0</v>
      </c>
      <c r="BD1726" s="2">
        <f t="shared" si="720"/>
        <v>0</v>
      </c>
      <c r="BF1726" t="s">
        <v>1753</v>
      </c>
      <c r="BG1726" t="s">
        <v>290</v>
      </c>
      <c r="BH1726">
        <v>3</v>
      </c>
      <c r="BJ1726" s="114">
        <v>31</v>
      </c>
      <c r="BK1726" s="116">
        <v>7</v>
      </c>
      <c r="BL1726" s="120">
        <f t="shared" si="710"/>
        <v>31007</v>
      </c>
      <c r="BN1726" s="5" t="s">
        <v>3154</v>
      </c>
    </row>
    <row r="1727" spans="1:86" hidden="1" outlineLevel="1">
      <c r="A1727" t="s">
        <v>794</v>
      </c>
      <c r="B1727" t="s">
        <v>290</v>
      </c>
      <c r="C1727" s="1">
        <f t="shared" si="712"/>
        <v>317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32">
        <f t="shared" si="699"/>
        <v>246</v>
      </c>
      <c r="H1727" s="137">
        <f t="shared" si="700"/>
        <v>0.77602523659305989</v>
      </c>
      <c r="I1727" s="2"/>
      <c r="J1727" s="2">
        <f t="shared" si="713"/>
        <v>9.4637223974763401E-2</v>
      </c>
      <c r="K1727" s="2">
        <f t="shared" si="714"/>
        <v>0.87066246056782337</v>
      </c>
      <c r="L1727" s="2">
        <f t="shared" si="715"/>
        <v>0</v>
      </c>
      <c r="M1727" s="2">
        <f t="shared" si="716"/>
        <v>3.4700315457413256E-2</v>
      </c>
      <c r="N1727" s="63">
        <v>30</v>
      </c>
      <c r="O1727" s="63">
        <v>276</v>
      </c>
      <c r="P1727" s="63"/>
      <c r="Q1727" s="63">
        <v>10</v>
      </c>
      <c r="R1727" s="63">
        <v>0</v>
      </c>
      <c r="S1727" s="63"/>
      <c r="T1727" s="63"/>
      <c r="U1727" s="63"/>
      <c r="V1727" s="63"/>
      <c r="W1727" s="63">
        <v>1</v>
      </c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W1727" s="5">
        <f>IF(Q1727&gt;0,RANK(Q1727,(N1727:P1727,Q1727:AE1727)),0)</f>
        <v>3</v>
      </c>
      <c r="AX1727" s="5">
        <f>IF(R1727&gt;0,RANK(R1727,(N1727:P1727,Q1727:AE1727)),0)</f>
        <v>0</v>
      </c>
      <c r="AY1727" s="5">
        <f>IF(T1727&gt;0,RANK(T1727,(N1727:P1727,Q1727:AE1727)),0)</f>
        <v>0</v>
      </c>
      <c r="AZ1727" s="5">
        <f>IF(S1727&gt;0,RANK(S1727,(N1727:P1727,Q1727:AE1727)),0)</f>
        <v>0</v>
      </c>
      <c r="BA1727" s="2">
        <f t="shared" si="717"/>
        <v>3.1545741324921134E-2</v>
      </c>
      <c r="BB1727" s="2">
        <f t="shared" si="718"/>
        <v>0</v>
      </c>
      <c r="BC1727" s="2">
        <f t="shared" si="719"/>
        <v>0</v>
      </c>
      <c r="BD1727" s="2">
        <f t="shared" si="720"/>
        <v>0</v>
      </c>
      <c r="BF1727" t="s">
        <v>794</v>
      </c>
      <c r="BG1727" t="s">
        <v>290</v>
      </c>
      <c r="BH1727">
        <v>3</v>
      </c>
      <c r="BJ1727" s="114">
        <v>31</v>
      </c>
      <c r="BK1727" s="116">
        <v>9</v>
      </c>
      <c r="BL1727" s="120">
        <f t="shared" si="710"/>
        <v>31009</v>
      </c>
      <c r="BN1727" s="5" t="s">
        <v>3154</v>
      </c>
    </row>
    <row r="1728" spans="1:86" hidden="1" outlineLevel="1">
      <c r="A1728" t="s">
        <v>1043</v>
      </c>
      <c r="B1728" t="s">
        <v>290</v>
      </c>
      <c r="C1728" s="1">
        <f t="shared" si="712"/>
        <v>2905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32">
        <f t="shared" si="699"/>
        <v>1885</v>
      </c>
      <c r="H1728" s="137">
        <f t="shared" si="700"/>
        <v>0.64888123924268504</v>
      </c>
      <c r="I1728" s="2"/>
      <c r="J1728" s="2">
        <f t="shared" si="713"/>
        <v>0.14251290877796902</v>
      </c>
      <c r="K1728" s="2">
        <f t="shared" si="714"/>
        <v>0.791394148020654</v>
      </c>
      <c r="L1728" s="2">
        <f t="shared" si="715"/>
        <v>0</v>
      </c>
      <c r="M1728" s="2">
        <f t="shared" si="716"/>
        <v>6.609294320137693E-2</v>
      </c>
      <c r="N1728" s="63">
        <v>414</v>
      </c>
      <c r="O1728" s="63">
        <v>2299</v>
      </c>
      <c r="P1728" s="63"/>
      <c r="Q1728" s="63">
        <v>137</v>
      </c>
      <c r="R1728" s="63">
        <v>17</v>
      </c>
      <c r="S1728" s="63"/>
      <c r="T1728" s="63"/>
      <c r="U1728" s="63"/>
      <c r="V1728" s="63"/>
      <c r="W1728" s="63">
        <v>38</v>
      </c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W1728" s="5">
        <f>IF(Q1728&gt;0,RANK(Q1728,(N1728:P1728,Q1728:AE1728)),0)</f>
        <v>3</v>
      </c>
      <c r="AX1728" s="5">
        <f>IF(R1728&gt;0,RANK(R1728,(N1728:P1728,Q1728:AE1728)),0)</f>
        <v>5</v>
      </c>
      <c r="AY1728" s="5">
        <f>IF(T1728&gt;0,RANK(T1728,(N1728:P1728,Q1728:AE1728)),0)</f>
        <v>0</v>
      </c>
      <c r="AZ1728" s="5">
        <f>IF(S1728&gt;0,RANK(S1728,(N1728:P1728,Q1728:AE1728)),0)</f>
        <v>0</v>
      </c>
      <c r="BA1728" s="2">
        <f t="shared" si="717"/>
        <v>4.7160068846815832E-2</v>
      </c>
      <c r="BB1728" s="2">
        <f t="shared" si="718"/>
        <v>5.8519793459552499E-3</v>
      </c>
      <c r="BC1728" s="2">
        <f t="shared" si="719"/>
        <v>0</v>
      </c>
      <c r="BD1728" s="2">
        <f t="shared" si="720"/>
        <v>0</v>
      </c>
      <c r="BF1728" t="s">
        <v>1043</v>
      </c>
      <c r="BG1728" t="s">
        <v>290</v>
      </c>
      <c r="BH1728">
        <v>3</v>
      </c>
      <c r="BJ1728" s="114">
        <v>31</v>
      </c>
      <c r="BK1728" s="116">
        <v>11</v>
      </c>
      <c r="BL1728" s="120">
        <f t="shared" si="710"/>
        <v>31011</v>
      </c>
      <c r="BN1728" s="5" t="s">
        <v>3154</v>
      </c>
    </row>
    <row r="1729" spans="1:66" hidden="1" outlineLevel="1">
      <c r="A1729" t="s">
        <v>2178</v>
      </c>
      <c r="B1729" t="s">
        <v>290</v>
      </c>
      <c r="C1729" s="1">
        <f t="shared" si="712"/>
        <v>4924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32">
        <f t="shared" si="699"/>
        <v>2652</v>
      </c>
      <c r="H1729" s="137">
        <f t="shared" si="700"/>
        <v>0.53858651502843213</v>
      </c>
      <c r="I1729" s="2"/>
      <c r="J1729" s="2">
        <f t="shared" si="713"/>
        <v>0.19597887896019497</v>
      </c>
      <c r="K1729" s="2">
        <f t="shared" si="714"/>
        <v>0.73456539398862708</v>
      </c>
      <c r="L1729" s="2">
        <f t="shared" si="715"/>
        <v>0</v>
      </c>
      <c r="M1729" s="2">
        <f t="shared" si="716"/>
        <v>6.9455727051177973E-2</v>
      </c>
      <c r="N1729" s="63">
        <v>965</v>
      </c>
      <c r="O1729" s="63">
        <v>3617</v>
      </c>
      <c r="P1729" s="63"/>
      <c r="Q1729" s="63">
        <v>230</v>
      </c>
      <c r="R1729" s="63">
        <v>36</v>
      </c>
      <c r="S1729" s="63"/>
      <c r="T1729" s="63"/>
      <c r="U1729" s="63"/>
      <c r="V1729" s="63"/>
      <c r="W1729" s="63">
        <v>76</v>
      </c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W1729" s="5">
        <f>IF(Q1729&gt;0,RANK(Q1729,(N1729:P1729,Q1729:AE1729)),0)</f>
        <v>3</v>
      </c>
      <c r="AX1729" s="5">
        <f>IF(R1729&gt;0,RANK(R1729,(N1729:P1729,Q1729:AE1729)),0)</f>
        <v>5</v>
      </c>
      <c r="AY1729" s="5">
        <f>IF(T1729&gt;0,RANK(T1729,(N1729:P1729,Q1729:AE1729)),0)</f>
        <v>0</v>
      </c>
      <c r="AZ1729" s="5">
        <f>IF(S1729&gt;0,RANK(S1729,(N1729:P1729,Q1729:AE1729)),0)</f>
        <v>0</v>
      </c>
      <c r="BA1729" s="2">
        <f t="shared" si="717"/>
        <v>4.6709991876523152E-2</v>
      </c>
      <c r="BB1729" s="2">
        <f t="shared" si="718"/>
        <v>7.311129163281885E-3</v>
      </c>
      <c r="BC1729" s="2">
        <f t="shared" si="719"/>
        <v>0</v>
      </c>
      <c r="BD1729" s="2">
        <f t="shared" si="720"/>
        <v>0</v>
      </c>
      <c r="BF1729" t="s">
        <v>2178</v>
      </c>
      <c r="BG1729" t="s">
        <v>290</v>
      </c>
      <c r="BH1729">
        <v>3</v>
      </c>
      <c r="BJ1729" s="114">
        <v>31</v>
      </c>
      <c r="BK1729" s="116">
        <v>13</v>
      </c>
      <c r="BL1729" s="120">
        <f t="shared" si="710"/>
        <v>31013</v>
      </c>
      <c r="BN1729" s="5" t="s">
        <v>3154</v>
      </c>
    </row>
    <row r="1730" spans="1:66" hidden="1" outlineLevel="1">
      <c r="A1730" t="s">
        <v>2284</v>
      </c>
      <c r="B1730" t="s">
        <v>290</v>
      </c>
      <c r="C1730" s="1">
        <f t="shared" si="712"/>
        <v>1156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32">
        <f t="shared" si="699"/>
        <v>855</v>
      </c>
      <c r="H1730" s="137">
        <f t="shared" si="700"/>
        <v>0.73961937716262971</v>
      </c>
      <c r="I1730" s="2"/>
      <c r="J1730" s="2">
        <f t="shared" si="713"/>
        <v>0.11072664359861592</v>
      </c>
      <c r="K1730" s="2">
        <f t="shared" si="714"/>
        <v>0.85034602076124566</v>
      </c>
      <c r="L1730" s="2">
        <f t="shared" si="715"/>
        <v>0</v>
      </c>
      <c r="M1730" s="2">
        <f t="shared" si="716"/>
        <v>3.8927335640138394E-2</v>
      </c>
      <c r="N1730" s="63">
        <v>128</v>
      </c>
      <c r="O1730" s="63">
        <v>983</v>
      </c>
      <c r="P1730" s="63"/>
      <c r="Q1730" s="63">
        <v>23</v>
      </c>
      <c r="R1730" s="63">
        <v>13</v>
      </c>
      <c r="S1730" s="63"/>
      <c r="T1730" s="63"/>
      <c r="U1730" s="63"/>
      <c r="V1730" s="63"/>
      <c r="W1730" s="63">
        <v>9</v>
      </c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W1730" s="5">
        <f>IF(Q1730&gt;0,RANK(Q1730,(N1730:P1730,Q1730:AE1730)),0)</f>
        <v>3</v>
      </c>
      <c r="AX1730" s="5">
        <f>IF(R1730&gt;0,RANK(R1730,(N1730:P1730,Q1730:AE1730)),0)</f>
        <v>4</v>
      </c>
      <c r="AY1730" s="5">
        <f>IF(T1730&gt;0,RANK(T1730,(N1730:P1730,Q1730:AE1730)),0)</f>
        <v>0</v>
      </c>
      <c r="AZ1730" s="5">
        <f>IF(S1730&gt;0,RANK(S1730,(N1730:P1730,Q1730:AE1730)),0)</f>
        <v>0</v>
      </c>
      <c r="BA1730" s="2">
        <f t="shared" si="717"/>
        <v>1.9896193771626297E-2</v>
      </c>
      <c r="BB1730" s="2">
        <f t="shared" si="718"/>
        <v>1.124567474048443E-2</v>
      </c>
      <c r="BC1730" s="2">
        <f t="shared" si="719"/>
        <v>0</v>
      </c>
      <c r="BD1730" s="2">
        <f t="shared" si="720"/>
        <v>0</v>
      </c>
      <c r="BF1730" t="s">
        <v>2284</v>
      </c>
      <c r="BG1730" t="s">
        <v>290</v>
      </c>
      <c r="BH1730">
        <v>3</v>
      </c>
      <c r="BJ1730" s="114">
        <v>31</v>
      </c>
      <c r="BK1730" s="116">
        <v>15</v>
      </c>
      <c r="BL1730" s="120">
        <f t="shared" si="710"/>
        <v>31015</v>
      </c>
      <c r="BN1730" s="5" t="s">
        <v>3154</v>
      </c>
    </row>
    <row r="1731" spans="1:66" hidden="1" outlineLevel="1">
      <c r="A1731" t="s">
        <v>578</v>
      </c>
      <c r="B1731" t="s">
        <v>290</v>
      </c>
      <c r="C1731" s="1">
        <f t="shared" si="712"/>
        <v>1597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32">
        <f t="shared" si="699"/>
        <v>1232</v>
      </c>
      <c r="H1731" s="137">
        <f t="shared" si="700"/>
        <v>0.77144646211646839</v>
      </c>
      <c r="I1731" s="2"/>
      <c r="J1731" s="2">
        <f t="shared" si="713"/>
        <v>9.5804633688165317E-2</v>
      </c>
      <c r="K1731" s="2">
        <f t="shared" si="714"/>
        <v>0.86725109580463366</v>
      </c>
      <c r="L1731" s="2">
        <f t="shared" si="715"/>
        <v>0</v>
      </c>
      <c r="M1731" s="2">
        <f t="shared" si="716"/>
        <v>3.694427050720106E-2</v>
      </c>
      <c r="N1731" s="63">
        <v>153</v>
      </c>
      <c r="O1731" s="63">
        <v>1385</v>
      </c>
      <c r="P1731" s="63"/>
      <c r="Q1731" s="63">
        <v>39</v>
      </c>
      <c r="R1731" s="63">
        <v>7</v>
      </c>
      <c r="S1731" s="63"/>
      <c r="T1731" s="63"/>
      <c r="U1731" s="63"/>
      <c r="V1731" s="63"/>
      <c r="W1731" s="63">
        <v>13</v>
      </c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W1731" s="5">
        <f>IF(Q1731&gt;0,RANK(Q1731,(N1731:P1731,Q1731:AE1731)),0)</f>
        <v>3</v>
      </c>
      <c r="AX1731" s="5">
        <f>IF(R1731&gt;0,RANK(R1731,(N1731:P1731,Q1731:AE1731)),0)</f>
        <v>5</v>
      </c>
      <c r="AY1731" s="5">
        <f>IF(T1731&gt;0,RANK(T1731,(N1731:P1731,Q1731:AE1731)),0)</f>
        <v>0</v>
      </c>
      <c r="AZ1731" s="5">
        <f>IF(S1731&gt;0,RANK(S1731,(N1731:P1731,Q1731:AE1731)),0)</f>
        <v>0</v>
      </c>
      <c r="BA1731" s="2">
        <f t="shared" si="717"/>
        <v>2.4420788979336257E-2</v>
      </c>
      <c r="BB1731" s="2">
        <f t="shared" si="718"/>
        <v>4.3832185347526609E-3</v>
      </c>
      <c r="BC1731" s="2">
        <f t="shared" si="719"/>
        <v>0</v>
      </c>
      <c r="BD1731" s="2">
        <f t="shared" si="720"/>
        <v>0</v>
      </c>
      <c r="BF1731" t="s">
        <v>578</v>
      </c>
      <c r="BG1731" t="s">
        <v>290</v>
      </c>
      <c r="BH1731">
        <v>3</v>
      </c>
      <c r="BJ1731" s="114">
        <v>31</v>
      </c>
      <c r="BK1731" s="116">
        <v>17</v>
      </c>
      <c r="BL1731" s="120">
        <f t="shared" si="710"/>
        <v>31017</v>
      </c>
      <c r="BN1731" s="5" t="s">
        <v>3154</v>
      </c>
    </row>
    <row r="1732" spans="1:66" hidden="1" outlineLevel="1">
      <c r="A1732" t="s">
        <v>2574</v>
      </c>
      <c r="B1732" t="s">
        <v>290</v>
      </c>
      <c r="C1732" s="1">
        <f t="shared" si="712"/>
        <v>21129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32">
        <f t="shared" si="699"/>
        <v>9806</v>
      </c>
      <c r="H1732" s="137">
        <f t="shared" si="700"/>
        <v>0.46410147191064416</v>
      </c>
      <c r="I1732" s="2"/>
      <c r="J1732" s="2">
        <f t="shared" si="713"/>
        <v>0.22542477164087274</v>
      </c>
      <c r="K1732" s="2">
        <f t="shared" si="714"/>
        <v>0.68952624355151693</v>
      </c>
      <c r="L1732" s="2">
        <f t="shared" si="715"/>
        <v>0</v>
      </c>
      <c r="M1732" s="2">
        <f t="shared" si="716"/>
        <v>8.5048984807610362E-2</v>
      </c>
      <c r="N1732" s="63">
        <v>4763</v>
      </c>
      <c r="O1732" s="63">
        <v>14569</v>
      </c>
      <c r="P1732" s="63"/>
      <c r="Q1732" s="63">
        <v>1174</v>
      </c>
      <c r="R1732" s="63">
        <v>227</v>
      </c>
      <c r="S1732" s="63"/>
      <c r="T1732" s="63"/>
      <c r="U1732" s="63"/>
      <c r="V1732" s="63"/>
      <c r="W1732" s="63">
        <v>396</v>
      </c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W1732" s="5">
        <f>IF(Q1732&gt;0,RANK(Q1732,(N1732:P1732,Q1732:AE1732)),0)</f>
        <v>3</v>
      </c>
      <c r="AX1732" s="5">
        <f>IF(R1732&gt;0,RANK(R1732,(N1732:P1732,Q1732:AE1732)),0)</f>
        <v>5</v>
      </c>
      <c r="AY1732" s="5">
        <f>IF(T1732&gt;0,RANK(T1732,(N1732:P1732,Q1732:AE1732)),0)</f>
        <v>0</v>
      </c>
      <c r="AZ1732" s="5">
        <f>IF(S1732&gt;0,RANK(S1732,(N1732:P1732,Q1732:AE1732)),0)</f>
        <v>0</v>
      </c>
      <c r="BA1732" s="2">
        <f t="shared" si="717"/>
        <v>5.556344360831085E-2</v>
      </c>
      <c r="BB1732" s="2">
        <f t="shared" si="718"/>
        <v>1.0743527852714279E-2</v>
      </c>
      <c r="BC1732" s="2">
        <f t="shared" si="719"/>
        <v>0</v>
      </c>
      <c r="BD1732" s="2">
        <f t="shared" si="720"/>
        <v>0</v>
      </c>
      <c r="BF1732" t="s">
        <v>2574</v>
      </c>
      <c r="BG1732" t="s">
        <v>290</v>
      </c>
      <c r="BH1732">
        <v>3</v>
      </c>
      <c r="BJ1732" s="114">
        <v>31</v>
      </c>
      <c r="BK1732" s="116">
        <v>19</v>
      </c>
      <c r="BL1732" s="120">
        <f t="shared" si="710"/>
        <v>31019</v>
      </c>
      <c r="BN1732" s="5" t="s">
        <v>3154</v>
      </c>
    </row>
    <row r="1733" spans="1:66" hidden="1" outlineLevel="1">
      <c r="A1733" t="s">
        <v>2644</v>
      </c>
      <c r="B1733" t="s">
        <v>290</v>
      </c>
      <c r="C1733" s="1">
        <f t="shared" si="712"/>
        <v>3558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32">
        <f t="shared" si="699"/>
        <v>1437</v>
      </c>
      <c r="H1733" s="137">
        <f t="shared" si="700"/>
        <v>0.40387858347386174</v>
      </c>
      <c r="I1733" s="2"/>
      <c r="J1733" s="2">
        <f t="shared" si="713"/>
        <v>0.26138279932546377</v>
      </c>
      <c r="K1733" s="2">
        <f t="shared" si="714"/>
        <v>0.66526138279932545</v>
      </c>
      <c r="L1733" s="2">
        <f t="shared" si="715"/>
        <v>0</v>
      </c>
      <c r="M1733" s="2">
        <f t="shared" si="716"/>
        <v>7.3355817875210727E-2</v>
      </c>
      <c r="N1733" s="63">
        <v>930</v>
      </c>
      <c r="O1733" s="63">
        <v>2367</v>
      </c>
      <c r="P1733" s="63"/>
      <c r="Q1733" s="63">
        <v>197</v>
      </c>
      <c r="R1733" s="63">
        <v>39</v>
      </c>
      <c r="S1733" s="63"/>
      <c r="T1733" s="63"/>
      <c r="U1733" s="63"/>
      <c r="V1733" s="63"/>
      <c r="W1733" s="63">
        <v>25</v>
      </c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W1733" s="5">
        <f>IF(Q1733&gt;0,RANK(Q1733,(N1733:P1733,Q1733:AE1733)),0)</f>
        <v>3</v>
      </c>
      <c r="AX1733" s="5">
        <f>IF(R1733&gt;0,RANK(R1733,(N1733:P1733,Q1733:AE1733)),0)</f>
        <v>4</v>
      </c>
      <c r="AY1733" s="5">
        <f>IF(T1733&gt;0,RANK(T1733,(N1733:P1733,Q1733:AE1733)),0)</f>
        <v>0</v>
      </c>
      <c r="AZ1733" s="5">
        <f>IF(S1733&gt;0,RANK(S1733,(N1733:P1733,Q1733:AE1733)),0)</f>
        <v>0</v>
      </c>
      <c r="BA1733" s="2">
        <f t="shared" si="717"/>
        <v>5.5368184373243395E-2</v>
      </c>
      <c r="BB1733" s="2">
        <f t="shared" si="718"/>
        <v>1.0961214165261383E-2</v>
      </c>
      <c r="BC1733" s="2">
        <f t="shared" si="719"/>
        <v>0</v>
      </c>
      <c r="BD1733" s="2">
        <f t="shared" si="720"/>
        <v>0</v>
      </c>
      <c r="BF1733" t="s">
        <v>2644</v>
      </c>
      <c r="BG1733" t="s">
        <v>290</v>
      </c>
      <c r="BH1733">
        <v>1</v>
      </c>
      <c r="BJ1733" s="114">
        <v>31</v>
      </c>
      <c r="BK1733" s="116">
        <v>21</v>
      </c>
      <c r="BL1733" s="120">
        <f t="shared" si="710"/>
        <v>31021</v>
      </c>
      <c r="BN1733" s="5" t="s">
        <v>3154</v>
      </c>
    </row>
    <row r="1734" spans="1:66" hidden="1" outlineLevel="1">
      <c r="A1734" t="s">
        <v>1806</v>
      </c>
      <c r="B1734" t="s">
        <v>290</v>
      </c>
      <c r="C1734" s="1">
        <f t="shared" si="712"/>
        <v>3981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32">
        <f t="shared" si="699"/>
        <v>2388</v>
      </c>
      <c r="H1734" s="137">
        <f t="shared" si="700"/>
        <v>0.59984928409947247</v>
      </c>
      <c r="I1734" s="2"/>
      <c r="J1734" s="2">
        <f t="shared" si="713"/>
        <v>0.17357447877417734</v>
      </c>
      <c r="K1734" s="2">
        <f t="shared" si="714"/>
        <v>0.77342376287364989</v>
      </c>
      <c r="L1734" s="2">
        <f t="shared" si="715"/>
        <v>0</v>
      </c>
      <c r="M1734" s="2">
        <f t="shared" si="716"/>
        <v>5.3001758352172801E-2</v>
      </c>
      <c r="N1734" s="63">
        <v>691</v>
      </c>
      <c r="O1734" s="63">
        <v>3079</v>
      </c>
      <c r="P1734" s="63"/>
      <c r="Q1734" s="63">
        <v>129</v>
      </c>
      <c r="R1734" s="63">
        <v>27</v>
      </c>
      <c r="S1734" s="63"/>
      <c r="T1734" s="63"/>
      <c r="U1734" s="63"/>
      <c r="V1734" s="63"/>
      <c r="W1734" s="63">
        <v>55</v>
      </c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W1734" s="5">
        <f>IF(Q1734&gt;0,RANK(Q1734,(N1734:P1734,Q1734:AE1734)),0)</f>
        <v>3</v>
      </c>
      <c r="AX1734" s="5">
        <f>IF(R1734&gt;0,RANK(R1734,(N1734:P1734,Q1734:AE1734)),0)</f>
        <v>5</v>
      </c>
      <c r="AY1734" s="5">
        <f>IF(T1734&gt;0,RANK(T1734,(N1734:P1734,Q1734:AE1734)),0)</f>
        <v>0</v>
      </c>
      <c r="AZ1734" s="5">
        <f>IF(S1734&gt;0,RANK(S1734,(N1734:P1734,Q1734:AE1734)),0)</f>
        <v>0</v>
      </c>
      <c r="BA1734" s="2">
        <f t="shared" si="717"/>
        <v>3.2403918613413712E-2</v>
      </c>
      <c r="BB1734" s="2">
        <f t="shared" si="718"/>
        <v>6.782215523737754E-3</v>
      </c>
      <c r="BC1734" s="2">
        <f t="shared" si="719"/>
        <v>0</v>
      </c>
      <c r="BD1734" s="2">
        <f t="shared" si="720"/>
        <v>0</v>
      </c>
      <c r="BF1734" t="s">
        <v>1806</v>
      </c>
      <c r="BG1734" t="s">
        <v>290</v>
      </c>
      <c r="BH1734">
        <v>1</v>
      </c>
      <c r="BJ1734" s="114">
        <v>31</v>
      </c>
      <c r="BK1734" s="116">
        <v>23</v>
      </c>
      <c r="BL1734" s="120">
        <f t="shared" si="710"/>
        <v>31023</v>
      </c>
      <c r="BN1734" s="5" t="s">
        <v>3154</v>
      </c>
    </row>
    <row r="1735" spans="1:66" hidden="1" outlineLevel="1">
      <c r="A1735" t="s">
        <v>339</v>
      </c>
      <c r="B1735" t="s">
        <v>290</v>
      </c>
      <c r="C1735" s="1">
        <f t="shared" si="712"/>
        <v>12933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32">
        <f t="shared" si="699"/>
        <v>4968</v>
      </c>
      <c r="H1735" s="137">
        <f t="shared" si="700"/>
        <v>0.38413361169102295</v>
      </c>
      <c r="I1735" s="2"/>
      <c r="J1735" s="2">
        <f t="shared" si="713"/>
        <v>0.26938838629861594</v>
      </c>
      <c r="K1735" s="2">
        <f t="shared" si="714"/>
        <v>0.65352199798963895</v>
      </c>
      <c r="L1735" s="2">
        <f t="shared" si="715"/>
        <v>0</v>
      </c>
      <c r="M1735" s="2">
        <f t="shared" si="716"/>
        <v>7.7089615711745108E-2</v>
      </c>
      <c r="N1735" s="63">
        <v>3484</v>
      </c>
      <c r="O1735" s="63">
        <v>8452</v>
      </c>
      <c r="P1735" s="63"/>
      <c r="Q1735" s="63">
        <v>639</v>
      </c>
      <c r="R1735" s="63">
        <v>132</v>
      </c>
      <c r="S1735" s="63"/>
      <c r="T1735" s="63"/>
      <c r="U1735" s="63"/>
      <c r="V1735" s="63"/>
      <c r="W1735" s="63">
        <v>226</v>
      </c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W1735" s="5">
        <f>IF(Q1735&gt;0,RANK(Q1735,(N1735:P1735,Q1735:AE1735)),0)</f>
        <v>3</v>
      </c>
      <c r="AX1735" s="5">
        <f>IF(R1735&gt;0,RANK(R1735,(N1735:P1735,Q1735:AE1735)),0)</f>
        <v>5</v>
      </c>
      <c r="AY1735" s="5">
        <f>IF(T1735&gt;0,RANK(T1735,(N1735:P1735,Q1735:AE1735)),0)</f>
        <v>0</v>
      </c>
      <c r="AZ1735" s="5">
        <f>IF(S1735&gt;0,RANK(S1735,(N1735:P1735,Q1735:AE1735)),0)</f>
        <v>0</v>
      </c>
      <c r="BA1735" s="2">
        <f t="shared" si="717"/>
        <v>4.9408489909533754E-2</v>
      </c>
      <c r="BB1735" s="2">
        <f t="shared" si="718"/>
        <v>1.0206448619809788E-2</v>
      </c>
      <c r="BC1735" s="2">
        <f t="shared" si="719"/>
        <v>0</v>
      </c>
      <c r="BD1735" s="2">
        <f t="shared" si="720"/>
        <v>0</v>
      </c>
      <c r="BF1735" t="s">
        <v>339</v>
      </c>
      <c r="BG1735" t="s">
        <v>290</v>
      </c>
      <c r="BH1735">
        <v>1</v>
      </c>
      <c r="BJ1735" s="114">
        <v>31</v>
      </c>
      <c r="BK1735" s="116">
        <v>25</v>
      </c>
      <c r="BL1735" s="120">
        <f t="shared" si="710"/>
        <v>31025</v>
      </c>
      <c r="BN1735" s="5" t="s">
        <v>3154</v>
      </c>
    </row>
    <row r="1736" spans="1:66" hidden="1" outlineLevel="1">
      <c r="A1736" t="s">
        <v>1031</v>
      </c>
      <c r="B1736" t="s">
        <v>290</v>
      </c>
      <c r="C1736" s="1">
        <f t="shared" si="712"/>
        <v>4420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32">
        <f t="shared" ref="G1736:G1799" si="721">IF(C1736&gt;0,MAX(N1736:P1736)-LARGE(N1736:P1736,2),0)</f>
        <v>2961</v>
      </c>
      <c r="H1736" s="137">
        <f t="shared" ref="H1736:H1799" si="722">IF(C1736&gt;0,G1736/C1736,0)</f>
        <v>0.66990950226244339</v>
      </c>
      <c r="I1736" s="2"/>
      <c r="J1736" s="2">
        <f t="shared" si="713"/>
        <v>0.12918552036199096</v>
      </c>
      <c r="K1736" s="2">
        <f t="shared" si="714"/>
        <v>0.79909502262443444</v>
      </c>
      <c r="L1736" s="2">
        <f t="shared" si="715"/>
        <v>0</v>
      </c>
      <c r="M1736" s="2">
        <f t="shared" si="716"/>
        <v>7.1719457013574628E-2</v>
      </c>
      <c r="N1736" s="63">
        <v>571</v>
      </c>
      <c r="O1736" s="63">
        <v>3532</v>
      </c>
      <c r="P1736" s="63"/>
      <c r="Q1736" s="63">
        <v>224</v>
      </c>
      <c r="R1736" s="63">
        <v>31</v>
      </c>
      <c r="S1736" s="63"/>
      <c r="T1736" s="63"/>
      <c r="U1736" s="63"/>
      <c r="V1736" s="63"/>
      <c r="W1736" s="63">
        <v>62</v>
      </c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W1736" s="5">
        <f>IF(Q1736&gt;0,RANK(Q1736,(N1736:P1736,Q1736:AE1736)),0)</f>
        <v>3</v>
      </c>
      <c r="AX1736" s="5">
        <f>IF(R1736&gt;0,RANK(R1736,(N1736:P1736,Q1736:AE1736)),0)</f>
        <v>5</v>
      </c>
      <c r="AY1736" s="5">
        <f>IF(T1736&gt;0,RANK(T1736,(N1736:P1736,Q1736:AE1736)),0)</f>
        <v>0</v>
      </c>
      <c r="AZ1736" s="5">
        <f>IF(S1736&gt;0,RANK(S1736,(N1736:P1736,Q1736:AE1736)),0)</f>
        <v>0</v>
      </c>
      <c r="BA1736" s="2">
        <f t="shared" si="717"/>
        <v>5.0678733031674209E-2</v>
      </c>
      <c r="BB1736" s="2">
        <f t="shared" si="718"/>
        <v>7.0135746606334844E-3</v>
      </c>
      <c r="BC1736" s="2">
        <f t="shared" si="719"/>
        <v>0</v>
      </c>
      <c r="BD1736" s="2">
        <f t="shared" si="720"/>
        <v>0</v>
      </c>
      <c r="BF1736" t="s">
        <v>1031</v>
      </c>
      <c r="BG1736" t="s">
        <v>290</v>
      </c>
      <c r="BH1736">
        <v>3</v>
      </c>
      <c r="BJ1736" s="114">
        <v>31</v>
      </c>
      <c r="BK1736" s="116">
        <v>27</v>
      </c>
      <c r="BL1736" s="120">
        <f t="shared" si="710"/>
        <v>31027</v>
      </c>
      <c r="BN1736" s="5" t="s">
        <v>3154</v>
      </c>
    </row>
    <row r="1737" spans="1:66" hidden="1" outlineLevel="1">
      <c r="A1737" t="s">
        <v>215</v>
      </c>
      <c r="B1737" t="s">
        <v>290</v>
      </c>
      <c r="C1737" s="1">
        <f t="shared" si="712"/>
        <v>1898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32">
        <f t="shared" si="721"/>
        <v>1477</v>
      </c>
      <c r="H1737" s="137">
        <f t="shared" si="722"/>
        <v>0.77818756585879878</v>
      </c>
      <c r="I1737" s="2"/>
      <c r="J1737" s="2">
        <f t="shared" si="713"/>
        <v>9.0094836670179132E-2</v>
      </c>
      <c r="K1737" s="2">
        <f t="shared" si="714"/>
        <v>0.86828240252897793</v>
      </c>
      <c r="L1737" s="2">
        <f t="shared" si="715"/>
        <v>0</v>
      </c>
      <c r="M1737" s="2">
        <f t="shared" si="716"/>
        <v>4.1622760800842928E-2</v>
      </c>
      <c r="N1737" s="63">
        <v>171</v>
      </c>
      <c r="O1737" s="63">
        <v>1648</v>
      </c>
      <c r="P1737" s="63"/>
      <c r="Q1737" s="63">
        <v>54</v>
      </c>
      <c r="R1737" s="63">
        <v>6</v>
      </c>
      <c r="S1737" s="63"/>
      <c r="T1737" s="63"/>
      <c r="U1737" s="63"/>
      <c r="V1737" s="63"/>
      <c r="W1737" s="63">
        <v>19</v>
      </c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W1737" s="5">
        <f>IF(Q1737&gt;0,RANK(Q1737,(N1737:P1737,Q1737:AE1737)),0)</f>
        <v>3</v>
      </c>
      <c r="AX1737" s="5">
        <f>IF(R1737&gt;0,RANK(R1737,(N1737:P1737,Q1737:AE1737)),0)</f>
        <v>5</v>
      </c>
      <c r="AY1737" s="5">
        <f>IF(T1737&gt;0,RANK(T1737,(N1737:P1737,Q1737:AE1737)),0)</f>
        <v>0</v>
      </c>
      <c r="AZ1737" s="5">
        <f>IF(S1737&gt;0,RANK(S1737,(N1737:P1737,Q1737:AE1737)),0)</f>
        <v>0</v>
      </c>
      <c r="BA1737" s="2">
        <f t="shared" si="717"/>
        <v>2.8451001053740779E-2</v>
      </c>
      <c r="BB1737" s="2">
        <f t="shared" si="718"/>
        <v>3.1612223393045311E-3</v>
      </c>
      <c r="BC1737" s="2">
        <f t="shared" si="719"/>
        <v>0</v>
      </c>
      <c r="BD1737" s="2">
        <f t="shared" si="720"/>
        <v>0</v>
      </c>
      <c r="BF1737" t="s">
        <v>215</v>
      </c>
      <c r="BG1737" t="s">
        <v>290</v>
      </c>
      <c r="BH1737">
        <v>3</v>
      </c>
      <c r="BJ1737" s="114">
        <v>31</v>
      </c>
      <c r="BK1737" s="116">
        <v>29</v>
      </c>
      <c r="BL1737" s="120">
        <f t="shared" si="710"/>
        <v>31029</v>
      </c>
      <c r="BN1737" s="5" t="s">
        <v>3154</v>
      </c>
    </row>
    <row r="1738" spans="1:66" hidden="1" outlineLevel="1">
      <c r="A1738" t="s">
        <v>1383</v>
      </c>
      <c r="B1738" t="s">
        <v>290</v>
      </c>
      <c r="C1738" s="1">
        <f t="shared" si="712"/>
        <v>3118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32">
        <f t="shared" si="721"/>
        <v>2306</v>
      </c>
      <c r="H1738" s="137">
        <f t="shared" si="722"/>
        <v>0.73957665169980757</v>
      </c>
      <c r="I1738" s="2"/>
      <c r="J1738" s="2">
        <f t="shared" si="713"/>
        <v>0.10166773572803078</v>
      </c>
      <c r="K1738" s="2">
        <f t="shared" si="714"/>
        <v>0.84124438742783836</v>
      </c>
      <c r="L1738" s="2">
        <f t="shared" si="715"/>
        <v>0</v>
      </c>
      <c r="M1738" s="2">
        <f t="shared" si="716"/>
        <v>5.7087876844130858E-2</v>
      </c>
      <c r="N1738" s="63">
        <v>317</v>
      </c>
      <c r="O1738" s="63">
        <v>2623</v>
      </c>
      <c r="P1738" s="63"/>
      <c r="Q1738" s="63">
        <v>127</v>
      </c>
      <c r="R1738" s="63">
        <v>15</v>
      </c>
      <c r="S1738" s="63"/>
      <c r="T1738" s="63"/>
      <c r="U1738" s="63"/>
      <c r="V1738" s="63"/>
      <c r="W1738" s="63">
        <v>36</v>
      </c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W1738" s="5">
        <f>IF(Q1738&gt;0,RANK(Q1738,(N1738:P1738,Q1738:AE1738)),0)</f>
        <v>3</v>
      </c>
      <c r="AX1738" s="5">
        <f>IF(R1738&gt;0,RANK(R1738,(N1738:P1738,Q1738:AE1738)),0)</f>
        <v>5</v>
      </c>
      <c r="AY1738" s="5">
        <f>IF(T1738&gt;0,RANK(T1738,(N1738:P1738,Q1738:AE1738)),0)</f>
        <v>0</v>
      </c>
      <c r="AZ1738" s="5">
        <f>IF(S1738&gt;0,RANK(S1738,(N1738:P1738,Q1738:AE1738)),0)</f>
        <v>0</v>
      </c>
      <c r="BA1738" s="2">
        <f t="shared" si="717"/>
        <v>4.073123797305965E-2</v>
      </c>
      <c r="BB1738" s="2">
        <f t="shared" si="718"/>
        <v>4.8107761385503527E-3</v>
      </c>
      <c r="BC1738" s="2">
        <f t="shared" si="719"/>
        <v>0</v>
      </c>
      <c r="BD1738" s="2">
        <f t="shared" si="720"/>
        <v>0</v>
      </c>
      <c r="BF1738" t="s">
        <v>1383</v>
      </c>
      <c r="BG1738" t="s">
        <v>290</v>
      </c>
      <c r="BH1738">
        <v>3</v>
      </c>
      <c r="BJ1738" s="114">
        <v>31</v>
      </c>
      <c r="BK1738" s="116">
        <v>31</v>
      </c>
      <c r="BL1738" s="120">
        <f t="shared" si="710"/>
        <v>31031</v>
      </c>
      <c r="BN1738" s="5" t="s">
        <v>3154</v>
      </c>
    </row>
    <row r="1739" spans="1:66" hidden="1" outlineLevel="1">
      <c r="A1739" t="s">
        <v>2001</v>
      </c>
      <c r="B1739" t="s">
        <v>290</v>
      </c>
      <c r="C1739" s="1">
        <f t="shared" si="712"/>
        <v>4711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32">
        <f t="shared" si="721"/>
        <v>2954</v>
      </c>
      <c r="H1739" s="137">
        <f t="shared" si="722"/>
        <v>0.62704309063893016</v>
      </c>
      <c r="I1739" s="2"/>
      <c r="J1739" s="2">
        <f t="shared" si="713"/>
        <v>0.15092337083421778</v>
      </c>
      <c r="K1739" s="2">
        <f t="shared" si="714"/>
        <v>0.77796646147314796</v>
      </c>
      <c r="L1739" s="2">
        <f t="shared" si="715"/>
        <v>0</v>
      </c>
      <c r="M1739" s="2">
        <f t="shared" si="716"/>
        <v>7.111016769263423E-2</v>
      </c>
      <c r="N1739" s="63">
        <v>711</v>
      </c>
      <c r="O1739" s="63">
        <v>3665</v>
      </c>
      <c r="P1739" s="63"/>
      <c r="Q1739" s="63">
        <v>213</v>
      </c>
      <c r="R1739" s="63">
        <v>46</v>
      </c>
      <c r="S1739" s="63"/>
      <c r="T1739" s="63"/>
      <c r="U1739" s="63"/>
      <c r="V1739" s="63"/>
      <c r="W1739" s="63">
        <v>76</v>
      </c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W1739" s="5">
        <f>IF(Q1739&gt;0,RANK(Q1739,(N1739:P1739,Q1739:AE1739)),0)</f>
        <v>3</v>
      </c>
      <c r="AX1739" s="5">
        <f>IF(R1739&gt;0,RANK(R1739,(N1739:P1739,Q1739:AE1739)),0)</f>
        <v>5</v>
      </c>
      <c r="AY1739" s="5">
        <f>IF(T1739&gt;0,RANK(T1739,(N1739:P1739,Q1739:AE1739)),0)</f>
        <v>0</v>
      </c>
      <c r="AZ1739" s="5">
        <f>IF(S1739&gt;0,RANK(S1739,(N1739:P1739,Q1739:AE1739)),0)</f>
        <v>0</v>
      </c>
      <c r="BA1739" s="2">
        <f t="shared" si="717"/>
        <v>4.5213330503077902E-2</v>
      </c>
      <c r="BB1739" s="2">
        <f t="shared" si="718"/>
        <v>9.7643812354064954E-3</v>
      </c>
      <c r="BC1739" s="2">
        <f t="shared" si="719"/>
        <v>0</v>
      </c>
      <c r="BD1739" s="2">
        <f t="shared" si="720"/>
        <v>0</v>
      </c>
      <c r="BF1739" t="s">
        <v>2001</v>
      </c>
      <c r="BG1739" t="s">
        <v>290</v>
      </c>
      <c r="BH1739">
        <v>3</v>
      </c>
      <c r="BJ1739" s="114">
        <v>31</v>
      </c>
      <c r="BK1739" s="116">
        <v>33</v>
      </c>
      <c r="BL1739" s="120">
        <f t="shared" si="710"/>
        <v>31033</v>
      </c>
      <c r="BN1739" s="5" t="s">
        <v>3154</v>
      </c>
    </row>
    <row r="1740" spans="1:66" hidden="1" outlineLevel="1">
      <c r="A1740" t="s">
        <v>3093</v>
      </c>
      <c r="B1740" t="s">
        <v>290</v>
      </c>
      <c r="C1740" s="1">
        <f t="shared" si="712"/>
        <v>3065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32">
        <f t="shared" si="721"/>
        <v>1945</v>
      </c>
      <c r="H1740" s="137">
        <f t="shared" si="722"/>
        <v>0.63458401305057099</v>
      </c>
      <c r="I1740" s="2"/>
      <c r="J1740" s="2">
        <f t="shared" si="713"/>
        <v>0.15562805872756932</v>
      </c>
      <c r="K1740" s="2">
        <f t="shared" si="714"/>
        <v>0.79021207177814035</v>
      </c>
      <c r="L1740" s="2">
        <f t="shared" si="715"/>
        <v>0</v>
      </c>
      <c r="M1740" s="2">
        <f t="shared" si="716"/>
        <v>5.4159869494290303E-2</v>
      </c>
      <c r="N1740" s="63">
        <v>477</v>
      </c>
      <c r="O1740" s="63">
        <v>2422</v>
      </c>
      <c r="P1740" s="63"/>
      <c r="Q1740" s="63">
        <v>116</v>
      </c>
      <c r="R1740" s="63">
        <v>15</v>
      </c>
      <c r="S1740" s="63"/>
      <c r="T1740" s="63"/>
      <c r="U1740" s="63"/>
      <c r="V1740" s="63"/>
      <c r="W1740" s="63">
        <v>35</v>
      </c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W1740" s="5">
        <f>IF(Q1740&gt;0,RANK(Q1740,(N1740:P1740,Q1740:AE1740)),0)</f>
        <v>3</v>
      </c>
      <c r="AX1740" s="5">
        <f>IF(R1740&gt;0,RANK(R1740,(N1740:P1740,Q1740:AE1740)),0)</f>
        <v>5</v>
      </c>
      <c r="AY1740" s="5">
        <f>IF(T1740&gt;0,RANK(T1740,(N1740:P1740,Q1740:AE1740)),0)</f>
        <v>0</v>
      </c>
      <c r="AZ1740" s="5">
        <f>IF(S1740&gt;0,RANK(S1740,(N1740:P1740,Q1740:AE1740)),0)</f>
        <v>0</v>
      </c>
      <c r="BA1740" s="2">
        <f t="shared" si="717"/>
        <v>3.7846655791190863E-2</v>
      </c>
      <c r="BB1740" s="2">
        <f t="shared" si="718"/>
        <v>4.8939641109298528E-3</v>
      </c>
      <c r="BC1740" s="2">
        <f t="shared" si="719"/>
        <v>0</v>
      </c>
      <c r="BD1740" s="2">
        <f t="shared" si="720"/>
        <v>0</v>
      </c>
      <c r="BF1740" t="s">
        <v>3093</v>
      </c>
      <c r="BG1740" t="s">
        <v>290</v>
      </c>
      <c r="BH1740">
        <v>3</v>
      </c>
      <c r="BJ1740" s="114">
        <v>31</v>
      </c>
      <c r="BK1740" s="116">
        <v>35</v>
      </c>
      <c r="BL1740" s="120">
        <f t="shared" si="710"/>
        <v>31035</v>
      </c>
      <c r="BN1740" s="5" t="s">
        <v>3154</v>
      </c>
    </row>
    <row r="1741" spans="1:66" hidden="1" outlineLevel="1">
      <c r="A1741" t="s">
        <v>2737</v>
      </c>
      <c r="B1741" t="s">
        <v>290</v>
      </c>
      <c r="C1741" s="1">
        <f t="shared" si="712"/>
        <v>3214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32">
        <f t="shared" si="721"/>
        <v>1312</v>
      </c>
      <c r="H1741" s="137">
        <f t="shared" si="722"/>
        <v>0.40821406347230865</v>
      </c>
      <c r="I1741" s="2"/>
      <c r="J1741" s="2">
        <f t="shared" si="713"/>
        <v>0.26726820161792159</v>
      </c>
      <c r="K1741" s="2">
        <f t="shared" si="714"/>
        <v>0.67548226509023024</v>
      </c>
      <c r="L1741" s="2">
        <f t="shared" si="715"/>
        <v>0</v>
      </c>
      <c r="M1741" s="2">
        <f t="shared" si="716"/>
        <v>5.7249533291848231E-2</v>
      </c>
      <c r="N1741" s="63">
        <v>859</v>
      </c>
      <c r="O1741" s="63">
        <v>2171</v>
      </c>
      <c r="P1741" s="63"/>
      <c r="Q1741" s="63">
        <v>118</v>
      </c>
      <c r="R1741" s="63">
        <v>26</v>
      </c>
      <c r="S1741" s="63"/>
      <c r="T1741" s="63"/>
      <c r="U1741" s="63"/>
      <c r="V1741" s="63"/>
      <c r="W1741" s="63">
        <v>40</v>
      </c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W1741" s="5">
        <f>IF(Q1741&gt;0,RANK(Q1741,(N1741:P1741,Q1741:AE1741)),0)</f>
        <v>3</v>
      </c>
      <c r="AX1741" s="5">
        <f>IF(R1741&gt;0,RANK(R1741,(N1741:P1741,Q1741:AE1741)),0)</f>
        <v>5</v>
      </c>
      <c r="AY1741" s="5">
        <f>IF(T1741&gt;0,RANK(T1741,(N1741:P1741,Q1741:AE1741)),0)</f>
        <v>0</v>
      </c>
      <c r="AZ1741" s="5">
        <f>IF(S1741&gt;0,RANK(S1741,(N1741:P1741,Q1741:AE1741)),0)</f>
        <v>0</v>
      </c>
      <c r="BA1741" s="2">
        <f t="shared" si="717"/>
        <v>3.6714374611076538E-2</v>
      </c>
      <c r="BB1741" s="2">
        <f t="shared" si="718"/>
        <v>8.0896079651524583E-3</v>
      </c>
      <c r="BC1741" s="2">
        <f t="shared" si="719"/>
        <v>0</v>
      </c>
      <c r="BD1741" s="2">
        <f t="shared" si="720"/>
        <v>0</v>
      </c>
      <c r="BF1741" t="s">
        <v>2737</v>
      </c>
      <c r="BG1741" t="s">
        <v>290</v>
      </c>
      <c r="BH1741">
        <v>1</v>
      </c>
      <c r="BJ1741" s="114">
        <v>31</v>
      </c>
      <c r="BK1741" s="116">
        <v>37</v>
      </c>
      <c r="BL1741" s="120">
        <f t="shared" si="710"/>
        <v>31037</v>
      </c>
      <c r="BN1741" s="5" t="s">
        <v>3154</v>
      </c>
    </row>
    <row r="1742" spans="1:66" hidden="1" outlineLevel="1">
      <c r="A1742" t="s">
        <v>1579</v>
      </c>
      <c r="B1742" t="s">
        <v>290</v>
      </c>
      <c r="C1742" s="1">
        <f t="shared" si="712"/>
        <v>4074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32">
        <f t="shared" si="721"/>
        <v>2403</v>
      </c>
      <c r="H1742" s="137">
        <f t="shared" si="722"/>
        <v>0.58983799705449191</v>
      </c>
      <c r="I1742" s="2"/>
      <c r="J1742" s="2">
        <f t="shared" si="713"/>
        <v>0.17648502700049093</v>
      </c>
      <c r="K1742" s="2">
        <f t="shared" si="714"/>
        <v>0.76632302405498287</v>
      </c>
      <c r="L1742" s="2">
        <f t="shared" si="715"/>
        <v>0</v>
      </c>
      <c r="M1742" s="2">
        <f t="shared" si="716"/>
        <v>5.7191948944526172E-2</v>
      </c>
      <c r="N1742" s="63">
        <v>719</v>
      </c>
      <c r="O1742" s="63">
        <v>3122</v>
      </c>
      <c r="P1742" s="63"/>
      <c r="Q1742" s="63">
        <v>157</v>
      </c>
      <c r="R1742" s="63">
        <v>26</v>
      </c>
      <c r="S1742" s="63"/>
      <c r="T1742" s="63"/>
      <c r="U1742" s="63"/>
      <c r="V1742" s="63"/>
      <c r="W1742" s="63">
        <v>50</v>
      </c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W1742" s="5">
        <f>IF(Q1742&gt;0,RANK(Q1742,(N1742:P1742,Q1742:AE1742)),0)</f>
        <v>3</v>
      </c>
      <c r="AX1742" s="5">
        <f>IF(R1742&gt;0,RANK(R1742,(N1742:P1742,Q1742:AE1742)),0)</f>
        <v>5</v>
      </c>
      <c r="AY1742" s="5">
        <f>IF(T1742&gt;0,RANK(T1742,(N1742:P1742,Q1742:AE1742)),0)</f>
        <v>0</v>
      </c>
      <c r="AZ1742" s="5">
        <f>IF(S1742&gt;0,RANK(S1742,(N1742:P1742,Q1742:AE1742)),0)</f>
        <v>0</v>
      </c>
      <c r="BA1742" s="2">
        <f t="shared" si="717"/>
        <v>3.8537064310260188E-2</v>
      </c>
      <c r="BB1742" s="2">
        <f t="shared" si="718"/>
        <v>6.3819342169857633E-3</v>
      </c>
      <c r="BC1742" s="2">
        <f t="shared" si="719"/>
        <v>0</v>
      </c>
      <c r="BD1742" s="2">
        <f t="shared" si="720"/>
        <v>0</v>
      </c>
      <c r="BF1742" t="s">
        <v>1579</v>
      </c>
      <c r="BG1742" t="s">
        <v>290</v>
      </c>
      <c r="BH1742">
        <v>1</v>
      </c>
      <c r="BJ1742" s="114">
        <v>31</v>
      </c>
      <c r="BK1742" s="116">
        <v>39</v>
      </c>
      <c r="BL1742" s="120">
        <f t="shared" si="710"/>
        <v>31039</v>
      </c>
      <c r="BN1742" s="5" t="s">
        <v>3154</v>
      </c>
    </row>
    <row r="1743" spans="1:66" hidden="1" outlineLevel="1">
      <c r="A1743" t="s">
        <v>2631</v>
      </c>
      <c r="B1743" t="s">
        <v>290</v>
      </c>
      <c r="C1743" s="1">
        <f t="shared" si="712"/>
        <v>5652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32">
        <f t="shared" si="721"/>
        <v>4054</v>
      </c>
      <c r="H1743" s="137">
        <f t="shared" si="722"/>
        <v>0.71726822363765042</v>
      </c>
      <c r="I1743" s="2"/>
      <c r="J1743" s="2">
        <f t="shared" si="713"/>
        <v>0.11341118188251946</v>
      </c>
      <c r="K1743" s="2">
        <f t="shared" si="714"/>
        <v>0.83067940552016983</v>
      </c>
      <c r="L1743" s="2">
        <f t="shared" si="715"/>
        <v>0</v>
      </c>
      <c r="M1743" s="2">
        <f t="shared" si="716"/>
        <v>5.5909412597310748E-2</v>
      </c>
      <c r="N1743" s="63">
        <v>641</v>
      </c>
      <c r="O1743" s="63">
        <v>4695</v>
      </c>
      <c r="P1743" s="63"/>
      <c r="Q1743" s="63">
        <v>206</v>
      </c>
      <c r="R1743" s="63">
        <v>37</v>
      </c>
      <c r="S1743" s="63"/>
      <c r="T1743" s="63"/>
      <c r="U1743" s="63"/>
      <c r="V1743" s="63"/>
      <c r="W1743" s="63">
        <v>73</v>
      </c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W1743" s="5">
        <f>IF(Q1743&gt;0,RANK(Q1743,(N1743:P1743,Q1743:AE1743)),0)</f>
        <v>3</v>
      </c>
      <c r="AX1743" s="5">
        <f>IF(R1743&gt;0,RANK(R1743,(N1743:P1743,Q1743:AE1743)),0)</f>
        <v>5</v>
      </c>
      <c r="AY1743" s="5">
        <f>IF(T1743&gt;0,RANK(T1743,(N1743:P1743,Q1743:AE1743)),0)</f>
        <v>0</v>
      </c>
      <c r="AZ1743" s="5">
        <f>IF(S1743&gt;0,RANK(S1743,(N1743:P1743,Q1743:AE1743)),0)</f>
        <v>0</v>
      </c>
      <c r="BA1743" s="2">
        <f t="shared" si="717"/>
        <v>3.6447275300778487E-2</v>
      </c>
      <c r="BB1743" s="2">
        <f t="shared" si="718"/>
        <v>6.5463552724699219E-3</v>
      </c>
      <c r="BC1743" s="2">
        <f t="shared" si="719"/>
        <v>0</v>
      </c>
      <c r="BD1743" s="2">
        <f t="shared" si="720"/>
        <v>0</v>
      </c>
      <c r="BF1743" t="s">
        <v>2631</v>
      </c>
      <c r="BG1743" t="s">
        <v>290</v>
      </c>
      <c r="BH1743">
        <v>3</v>
      </c>
      <c r="BJ1743" s="114">
        <v>31</v>
      </c>
      <c r="BK1743" s="116">
        <v>41</v>
      </c>
      <c r="BL1743" s="120">
        <f t="shared" si="710"/>
        <v>31041</v>
      </c>
      <c r="BN1743" s="5" t="s">
        <v>3154</v>
      </c>
    </row>
    <row r="1744" spans="1:66" hidden="1" outlineLevel="1">
      <c r="A1744" t="s">
        <v>2285</v>
      </c>
      <c r="B1744" t="s">
        <v>290</v>
      </c>
      <c r="C1744" s="1">
        <f t="shared" si="712"/>
        <v>6279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32">
        <f t="shared" si="721"/>
        <v>1302</v>
      </c>
      <c r="H1744" s="137">
        <f t="shared" si="722"/>
        <v>0.20735785953177258</v>
      </c>
      <c r="I1744" s="2"/>
      <c r="J1744" s="2">
        <f t="shared" si="713"/>
        <v>0.36853002070393376</v>
      </c>
      <c r="K1744" s="2">
        <f t="shared" si="714"/>
        <v>0.57588788023570636</v>
      </c>
      <c r="L1744" s="2">
        <f t="shared" si="715"/>
        <v>0</v>
      </c>
      <c r="M1744" s="2">
        <f t="shared" si="716"/>
        <v>5.5582099060359935E-2</v>
      </c>
      <c r="N1744" s="63">
        <v>2314</v>
      </c>
      <c r="O1744" s="63">
        <v>3616</v>
      </c>
      <c r="P1744" s="63"/>
      <c r="Q1744" s="63">
        <v>229</v>
      </c>
      <c r="R1744" s="63">
        <v>50</v>
      </c>
      <c r="S1744" s="63"/>
      <c r="T1744" s="63"/>
      <c r="U1744" s="63"/>
      <c r="V1744" s="63"/>
      <c r="W1744" s="63">
        <v>70</v>
      </c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W1744" s="5">
        <f>IF(Q1744&gt;0,RANK(Q1744,(N1744:P1744,Q1744:AE1744)),0)</f>
        <v>3</v>
      </c>
      <c r="AX1744" s="5">
        <f>IF(R1744&gt;0,RANK(R1744,(N1744:P1744,Q1744:AE1744)),0)</f>
        <v>5</v>
      </c>
      <c r="AY1744" s="5">
        <f>IF(T1744&gt;0,RANK(T1744,(N1744:P1744,Q1744:AE1744)),0)</f>
        <v>0</v>
      </c>
      <c r="AZ1744" s="5">
        <f>IF(S1744&gt;0,RANK(S1744,(N1744:P1744,Q1744:AE1744)),0)</f>
        <v>0</v>
      </c>
      <c r="BA1744" s="2">
        <f t="shared" si="717"/>
        <v>3.6470775601210384E-2</v>
      </c>
      <c r="BB1744" s="2">
        <f t="shared" si="718"/>
        <v>7.9630514413123101E-3</v>
      </c>
      <c r="BC1744" s="2">
        <f t="shared" si="719"/>
        <v>0</v>
      </c>
      <c r="BD1744" s="2">
        <f t="shared" si="720"/>
        <v>0</v>
      </c>
      <c r="BF1744" t="s">
        <v>2285</v>
      </c>
      <c r="BG1744" t="s">
        <v>290</v>
      </c>
      <c r="BH1744">
        <v>3</v>
      </c>
      <c r="BJ1744" s="114">
        <v>31</v>
      </c>
      <c r="BK1744" s="116">
        <v>43</v>
      </c>
      <c r="BL1744" s="120">
        <f t="shared" si="710"/>
        <v>31043</v>
      </c>
      <c r="BN1744" s="5" t="s">
        <v>3154</v>
      </c>
    </row>
    <row r="1745" spans="1:66" hidden="1" outlineLevel="1">
      <c r="A1745" t="s">
        <v>609</v>
      </c>
      <c r="B1745" t="s">
        <v>290</v>
      </c>
      <c r="C1745" s="1">
        <f t="shared" si="712"/>
        <v>3676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32">
        <f t="shared" si="721"/>
        <v>1831</v>
      </c>
      <c r="H1745" s="137">
        <f t="shared" si="722"/>
        <v>0.49809575625680086</v>
      </c>
      <c r="I1745" s="2"/>
      <c r="J1745" s="2">
        <f t="shared" si="713"/>
        <v>0.21789989118607181</v>
      </c>
      <c r="K1745" s="2">
        <f t="shared" si="714"/>
        <v>0.7159956474428727</v>
      </c>
      <c r="L1745" s="2">
        <f t="shared" si="715"/>
        <v>0</v>
      </c>
      <c r="M1745" s="2">
        <f t="shared" si="716"/>
        <v>6.6104461371055523E-2</v>
      </c>
      <c r="N1745" s="63">
        <v>801</v>
      </c>
      <c r="O1745" s="63">
        <v>2632</v>
      </c>
      <c r="P1745" s="63"/>
      <c r="Q1745" s="63">
        <v>191</v>
      </c>
      <c r="R1745" s="63">
        <v>52</v>
      </c>
      <c r="S1745" s="63"/>
      <c r="T1745" s="63"/>
      <c r="U1745" s="63"/>
      <c r="V1745" s="63"/>
      <c r="W1745" s="63">
        <v>0</v>
      </c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W1745" s="5">
        <f>IF(Q1745&gt;0,RANK(Q1745,(N1745:P1745,Q1745:AE1745)),0)</f>
        <v>3</v>
      </c>
      <c r="AX1745" s="5">
        <f>IF(R1745&gt;0,RANK(R1745,(N1745:P1745,Q1745:AE1745)),0)</f>
        <v>4</v>
      </c>
      <c r="AY1745" s="5">
        <f>IF(T1745&gt;0,RANK(T1745,(N1745:P1745,Q1745:AE1745)),0)</f>
        <v>0</v>
      </c>
      <c r="AZ1745" s="5">
        <f>IF(S1745&gt;0,RANK(S1745,(N1745:P1745,Q1745:AE1745)),0)</f>
        <v>0</v>
      </c>
      <c r="BA1745" s="2">
        <f t="shared" si="717"/>
        <v>5.1958650707290534E-2</v>
      </c>
      <c r="BB1745" s="2">
        <f t="shared" si="718"/>
        <v>1.4145810663764961E-2</v>
      </c>
      <c r="BC1745" s="2">
        <f t="shared" si="719"/>
        <v>0</v>
      </c>
      <c r="BD1745" s="2">
        <f t="shared" si="720"/>
        <v>0</v>
      </c>
      <c r="BF1745" t="s">
        <v>609</v>
      </c>
      <c r="BG1745" t="s">
        <v>290</v>
      </c>
      <c r="BH1745">
        <v>3</v>
      </c>
      <c r="BJ1745" s="114">
        <v>31</v>
      </c>
      <c r="BK1745" s="116">
        <v>45</v>
      </c>
      <c r="BL1745" s="120">
        <f t="shared" si="710"/>
        <v>31045</v>
      </c>
      <c r="BN1745" s="5" t="s">
        <v>3154</v>
      </c>
    </row>
    <row r="1746" spans="1:66" hidden="1" outlineLevel="1">
      <c r="A1746" t="s">
        <v>2759</v>
      </c>
      <c r="B1746" t="s">
        <v>290</v>
      </c>
      <c r="C1746" s="1">
        <f t="shared" si="712"/>
        <v>8635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32">
        <f t="shared" si="721"/>
        <v>3848</v>
      </c>
      <c r="H1746" s="137">
        <f t="shared" si="722"/>
        <v>0.44562825709322523</v>
      </c>
      <c r="I1746" s="2"/>
      <c r="J1746" s="2">
        <f t="shared" si="713"/>
        <v>0.24736537348002316</v>
      </c>
      <c r="K1746" s="2">
        <f t="shared" si="714"/>
        <v>0.69299363057324836</v>
      </c>
      <c r="L1746" s="2">
        <f t="shared" si="715"/>
        <v>0</v>
      </c>
      <c r="M1746" s="2">
        <f t="shared" si="716"/>
        <v>5.9640995946728448E-2</v>
      </c>
      <c r="N1746" s="63">
        <v>2136</v>
      </c>
      <c r="O1746" s="63">
        <v>5984</v>
      </c>
      <c r="P1746" s="63"/>
      <c r="Q1746" s="63">
        <v>381</v>
      </c>
      <c r="R1746" s="63">
        <v>58</v>
      </c>
      <c r="S1746" s="63"/>
      <c r="T1746" s="63"/>
      <c r="U1746" s="63"/>
      <c r="V1746" s="63"/>
      <c r="W1746" s="63">
        <v>76</v>
      </c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W1746" s="5">
        <f>IF(Q1746&gt;0,RANK(Q1746,(N1746:P1746,Q1746:AE1746)),0)</f>
        <v>3</v>
      </c>
      <c r="AX1746" s="5">
        <f>IF(R1746&gt;0,RANK(R1746,(N1746:P1746,Q1746:AE1746)),0)</f>
        <v>5</v>
      </c>
      <c r="AY1746" s="5">
        <f>IF(T1746&gt;0,RANK(T1746,(N1746:P1746,Q1746:AE1746)),0)</f>
        <v>0</v>
      </c>
      <c r="AZ1746" s="5">
        <f>IF(S1746&gt;0,RANK(S1746,(N1746:P1746,Q1746:AE1746)),0)</f>
        <v>0</v>
      </c>
      <c r="BA1746" s="2">
        <f t="shared" si="717"/>
        <v>4.4122756224667055E-2</v>
      </c>
      <c r="BB1746" s="2">
        <f t="shared" si="718"/>
        <v>6.7168500289519397E-3</v>
      </c>
      <c r="BC1746" s="2">
        <f t="shared" si="719"/>
        <v>0</v>
      </c>
      <c r="BD1746" s="2">
        <f t="shared" si="720"/>
        <v>0</v>
      </c>
      <c r="BF1746" t="s">
        <v>2759</v>
      </c>
      <c r="BG1746" t="s">
        <v>290</v>
      </c>
      <c r="BH1746">
        <v>3</v>
      </c>
      <c r="BJ1746" s="114">
        <v>31</v>
      </c>
      <c r="BK1746" s="116">
        <v>47</v>
      </c>
      <c r="BL1746" s="120">
        <f t="shared" si="710"/>
        <v>31047</v>
      </c>
      <c r="BN1746" s="5" t="s">
        <v>3154</v>
      </c>
    </row>
    <row r="1747" spans="1:66" hidden="1" outlineLevel="1">
      <c r="A1747" t="s">
        <v>1850</v>
      </c>
      <c r="B1747" t="s">
        <v>290</v>
      </c>
      <c r="C1747" s="1">
        <f t="shared" si="712"/>
        <v>984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32">
        <f t="shared" si="721"/>
        <v>689</v>
      </c>
      <c r="H1747" s="137">
        <f t="shared" si="722"/>
        <v>0.70020325203252032</v>
      </c>
      <c r="I1747" s="2"/>
      <c r="J1747" s="2">
        <f t="shared" si="713"/>
        <v>0.12195121951219512</v>
      </c>
      <c r="K1747" s="2">
        <f t="shared" si="714"/>
        <v>0.82215447154471544</v>
      </c>
      <c r="L1747" s="2">
        <f t="shared" si="715"/>
        <v>0</v>
      </c>
      <c r="M1747" s="2">
        <f t="shared" si="716"/>
        <v>5.5894308943089444E-2</v>
      </c>
      <c r="N1747" s="63">
        <v>120</v>
      </c>
      <c r="O1747" s="63">
        <v>809</v>
      </c>
      <c r="P1747" s="63"/>
      <c r="Q1747" s="63">
        <v>47</v>
      </c>
      <c r="R1747" s="63">
        <v>1</v>
      </c>
      <c r="S1747" s="63"/>
      <c r="T1747" s="63"/>
      <c r="U1747" s="63"/>
      <c r="V1747" s="63"/>
      <c r="W1747" s="63">
        <v>7</v>
      </c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W1747" s="5">
        <f>IF(Q1747&gt;0,RANK(Q1747,(N1747:P1747,Q1747:AE1747)),0)</f>
        <v>3</v>
      </c>
      <c r="AX1747" s="5">
        <f>IF(R1747&gt;0,RANK(R1747,(N1747:P1747,Q1747:AE1747)),0)</f>
        <v>5</v>
      </c>
      <c r="AY1747" s="5">
        <f>IF(T1747&gt;0,RANK(T1747,(N1747:P1747,Q1747:AE1747)),0)</f>
        <v>0</v>
      </c>
      <c r="AZ1747" s="5">
        <f>IF(S1747&gt;0,RANK(S1747,(N1747:P1747,Q1747:AE1747)),0)</f>
        <v>0</v>
      </c>
      <c r="BA1747" s="2">
        <f t="shared" si="717"/>
        <v>4.7764227642276426E-2</v>
      </c>
      <c r="BB1747" s="2">
        <f t="shared" si="718"/>
        <v>1.0162601626016261E-3</v>
      </c>
      <c r="BC1747" s="2">
        <f t="shared" si="719"/>
        <v>0</v>
      </c>
      <c r="BD1747" s="2">
        <f t="shared" si="720"/>
        <v>0</v>
      </c>
      <c r="BF1747" t="s">
        <v>1850</v>
      </c>
      <c r="BG1747" t="s">
        <v>290</v>
      </c>
      <c r="BH1747">
        <v>3</v>
      </c>
      <c r="BJ1747" s="114">
        <v>31</v>
      </c>
      <c r="BK1747" s="116">
        <v>49</v>
      </c>
      <c r="BL1747" s="120">
        <f t="shared" si="710"/>
        <v>31049</v>
      </c>
      <c r="BN1747" s="5" t="s">
        <v>3154</v>
      </c>
    </row>
    <row r="1748" spans="1:66" hidden="1" outlineLevel="1">
      <c r="A1748" t="s">
        <v>682</v>
      </c>
      <c r="B1748" t="s">
        <v>290</v>
      </c>
      <c r="C1748" s="1">
        <f t="shared" si="712"/>
        <v>2782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32">
        <f t="shared" si="721"/>
        <v>1485</v>
      </c>
      <c r="H1748" s="137">
        <f t="shared" si="722"/>
        <v>0.53378864126527681</v>
      </c>
      <c r="I1748" s="2"/>
      <c r="J1748" s="2">
        <f t="shared" si="713"/>
        <v>0.19985621854780733</v>
      </c>
      <c r="K1748" s="2">
        <f t="shared" si="714"/>
        <v>0.73364485981308414</v>
      </c>
      <c r="L1748" s="2">
        <f t="shared" si="715"/>
        <v>0</v>
      </c>
      <c r="M1748" s="2">
        <f t="shared" si="716"/>
        <v>6.6498921639108532E-2</v>
      </c>
      <c r="N1748" s="63">
        <v>556</v>
      </c>
      <c r="O1748" s="63">
        <v>2041</v>
      </c>
      <c r="P1748" s="63"/>
      <c r="Q1748" s="63">
        <v>130</v>
      </c>
      <c r="R1748" s="63">
        <v>17</v>
      </c>
      <c r="S1748" s="63"/>
      <c r="T1748" s="63"/>
      <c r="U1748" s="63"/>
      <c r="V1748" s="63"/>
      <c r="W1748" s="63">
        <v>38</v>
      </c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W1748" s="5">
        <f>IF(Q1748&gt;0,RANK(Q1748,(N1748:P1748,Q1748:AE1748)),0)</f>
        <v>3</v>
      </c>
      <c r="AX1748" s="5">
        <f>IF(R1748&gt;0,RANK(R1748,(N1748:P1748,Q1748:AE1748)),0)</f>
        <v>5</v>
      </c>
      <c r="AY1748" s="5">
        <f>IF(T1748&gt;0,RANK(T1748,(N1748:P1748,Q1748:AE1748)),0)</f>
        <v>0</v>
      </c>
      <c r="AZ1748" s="5">
        <f>IF(S1748&gt;0,RANK(S1748,(N1748:P1748,Q1748:AE1748)),0)</f>
        <v>0</v>
      </c>
      <c r="BA1748" s="2">
        <f t="shared" si="717"/>
        <v>4.6728971962616821E-2</v>
      </c>
      <c r="BB1748" s="2">
        <f t="shared" si="718"/>
        <v>6.1107117181883538E-3</v>
      </c>
      <c r="BC1748" s="2">
        <f t="shared" si="719"/>
        <v>0</v>
      </c>
      <c r="BD1748" s="2">
        <f t="shared" si="720"/>
        <v>0</v>
      </c>
      <c r="BF1748" t="s">
        <v>682</v>
      </c>
      <c r="BG1748" t="s">
        <v>290</v>
      </c>
      <c r="BJ1748" s="114">
        <v>31</v>
      </c>
      <c r="BK1748" s="116">
        <v>51</v>
      </c>
      <c r="BL1748" s="120">
        <f t="shared" si="710"/>
        <v>31051</v>
      </c>
      <c r="BN1748" s="5" t="s">
        <v>3154</v>
      </c>
    </row>
    <row r="1749" spans="1:66" hidden="1" outlineLevel="1">
      <c r="A1749" t="s">
        <v>3139</v>
      </c>
      <c r="B1749" t="s">
        <v>290</v>
      </c>
      <c r="C1749" s="1">
        <f t="shared" si="712"/>
        <v>15529</v>
      </c>
      <c r="D1749" s="5">
        <f>IF(N1749&gt;0, RANK(N1749,(N1749:P1749,Q1749:AE1749)),0)</f>
        <v>2</v>
      </c>
      <c r="E1749" s="5">
        <f>IF(O1749&gt;0,RANK(O1749,(N1749:P1749,Q1749:AE1749)),0)</f>
        <v>1</v>
      </c>
      <c r="F1749" s="5">
        <f>IF(P1749&gt;0,RANK(P1749,(N1749:P1749,Q1749:AE1749)),0)</f>
        <v>0</v>
      </c>
      <c r="G1749" s="132">
        <f t="shared" si="721"/>
        <v>5389</v>
      </c>
      <c r="H1749" s="137">
        <f t="shared" si="722"/>
        <v>0.34702814089767531</v>
      </c>
      <c r="I1749" s="2"/>
      <c r="J1749" s="2">
        <f t="shared" si="713"/>
        <v>0.29261381930581493</v>
      </c>
      <c r="K1749" s="2">
        <f t="shared" si="714"/>
        <v>0.63964196020349029</v>
      </c>
      <c r="L1749" s="2">
        <f t="shared" si="715"/>
        <v>0</v>
      </c>
      <c r="M1749" s="2">
        <f t="shared" si="716"/>
        <v>6.7744220490694729E-2</v>
      </c>
      <c r="N1749" s="63">
        <v>4544</v>
      </c>
      <c r="O1749" s="63">
        <v>9933</v>
      </c>
      <c r="P1749" s="63"/>
      <c r="Q1749" s="63">
        <v>624</v>
      </c>
      <c r="R1749" s="63">
        <v>162</v>
      </c>
      <c r="S1749" s="63"/>
      <c r="T1749" s="63"/>
      <c r="U1749" s="63"/>
      <c r="V1749" s="63"/>
      <c r="W1749" s="63">
        <v>266</v>
      </c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W1749" s="5">
        <f>IF(Q1749&gt;0,RANK(Q1749,(N1749:P1749,Q1749:AE1749)),0)</f>
        <v>3</v>
      </c>
      <c r="AX1749" s="5">
        <f>IF(R1749&gt;0,RANK(R1749,(N1749:P1749,Q1749:AE1749)),0)</f>
        <v>5</v>
      </c>
      <c r="AY1749" s="5">
        <f>IF(T1749&gt;0,RANK(T1749,(N1749:P1749,Q1749:AE1749)),0)</f>
        <v>0</v>
      </c>
      <c r="AZ1749" s="5">
        <f>IF(S1749&gt;0,RANK(S1749,(N1749:P1749,Q1749:AE1749)),0)</f>
        <v>0</v>
      </c>
      <c r="BA1749" s="2">
        <f t="shared" si="717"/>
        <v>4.0182883637066132E-2</v>
      </c>
      <c r="BB1749" s="2">
        <f t="shared" si="718"/>
        <v>1.043209479039217E-2</v>
      </c>
      <c r="BC1749" s="2">
        <f t="shared" si="719"/>
        <v>0</v>
      </c>
      <c r="BD1749" s="2">
        <f t="shared" si="720"/>
        <v>0</v>
      </c>
      <c r="BF1749" t="s">
        <v>3139</v>
      </c>
      <c r="BG1749" t="s">
        <v>290</v>
      </c>
      <c r="BH1749">
        <v>1</v>
      </c>
      <c r="BJ1749" s="114">
        <v>31</v>
      </c>
      <c r="BK1749" s="116">
        <v>53</v>
      </c>
      <c r="BL1749" s="120">
        <f t="shared" si="710"/>
        <v>31053</v>
      </c>
      <c r="BN1749" s="5" t="s">
        <v>3154</v>
      </c>
    </row>
    <row r="1750" spans="1:66" hidden="1" outlineLevel="1">
      <c r="A1750" t="s">
        <v>1148</v>
      </c>
      <c r="B1750" t="s">
        <v>290</v>
      </c>
      <c r="C1750" s="1">
        <f t="shared" si="712"/>
        <v>240433</v>
      </c>
      <c r="D1750" s="5">
        <f>IF(N1750&gt;0, RANK(N1750,(N1750:P1750,Q1750:AE1750)),0)</f>
        <v>1</v>
      </c>
      <c r="E1750" s="5">
        <f>IF(O1750&gt;0,RANK(O1750,(N1750:P1750,Q1750:AE1750)),0)</f>
        <v>2</v>
      </c>
      <c r="F1750" s="5">
        <f>IF(P1750&gt;0,RANK(P1750,(N1750:P1750,Q1750:AE1750)),0)</f>
        <v>0</v>
      </c>
      <c r="G1750" s="132">
        <f t="shared" si="721"/>
        <v>5721</v>
      </c>
      <c r="H1750" s="137">
        <f t="shared" si="722"/>
        <v>2.3794570628823831E-2</v>
      </c>
      <c r="I1750" s="2"/>
      <c r="J1750" s="2">
        <f t="shared" si="713"/>
        <v>0.47330441328769346</v>
      </c>
      <c r="K1750" s="2">
        <f t="shared" si="714"/>
        <v>0.44950984265886962</v>
      </c>
      <c r="L1750" s="2">
        <f t="shared" si="715"/>
        <v>0</v>
      </c>
      <c r="M1750" s="2">
        <f t="shared" si="716"/>
        <v>7.7185744053436922E-2</v>
      </c>
      <c r="N1750" s="63">
        <v>113798</v>
      </c>
      <c r="O1750" s="63">
        <v>108077</v>
      </c>
      <c r="P1750" s="63"/>
      <c r="Q1750" s="63">
        <v>10402</v>
      </c>
      <c r="R1750" s="63">
        <v>2882</v>
      </c>
      <c r="S1750" s="63"/>
      <c r="T1750" s="63"/>
      <c r="U1750" s="63"/>
      <c r="V1750" s="63"/>
      <c r="W1750" s="63">
        <v>5274</v>
      </c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W1750" s="5">
        <f>IF(Q1750&gt;0,RANK(Q1750,(N1750:P1750,Q1750:AE1750)),0)</f>
        <v>3</v>
      </c>
      <c r="AX1750" s="5">
        <f>IF(R1750&gt;0,RANK(R1750,(N1750:P1750,Q1750:AE1750)),0)</f>
        <v>5</v>
      </c>
      <c r="AY1750" s="5">
        <f>IF(T1750&gt;0,RANK(T1750,(N1750:P1750,Q1750:AE1750)),0)</f>
        <v>0</v>
      </c>
      <c r="AZ1750" s="5">
        <f>IF(S1750&gt;0,RANK(S1750,(N1750:P1750,Q1750:AE1750)),0)</f>
        <v>0</v>
      </c>
      <c r="BA1750" s="2">
        <f t="shared" si="717"/>
        <v>4.326361190019673E-2</v>
      </c>
      <c r="BB1750" s="2">
        <f t="shared" si="718"/>
        <v>1.1986707315551525E-2</v>
      </c>
      <c r="BC1750" s="2">
        <f t="shared" si="719"/>
        <v>0</v>
      </c>
      <c r="BD1750" s="2">
        <f t="shared" si="720"/>
        <v>0</v>
      </c>
      <c r="BF1750" t="s">
        <v>1148</v>
      </c>
      <c r="BG1750" t="s">
        <v>290</v>
      </c>
      <c r="BH1750">
        <v>2</v>
      </c>
      <c r="BJ1750" s="114">
        <v>31</v>
      </c>
      <c r="BK1750" s="116">
        <v>55</v>
      </c>
      <c r="BL1750" s="120">
        <f t="shared" si="710"/>
        <v>31055</v>
      </c>
      <c r="BN1750" s="5" t="s">
        <v>3154</v>
      </c>
    </row>
    <row r="1751" spans="1:66" hidden="1" outlineLevel="1">
      <c r="A1751" t="s">
        <v>1492</v>
      </c>
      <c r="B1751" t="s">
        <v>290</v>
      </c>
      <c r="C1751" s="1">
        <f t="shared" si="712"/>
        <v>953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32">
        <f t="shared" si="721"/>
        <v>734</v>
      </c>
      <c r="H1751" s="137">
        <f t="shared" si="722"/>
        <v>0.77019937040923403</v>
      </c>
      <c r="I1751" s="2"/>
      <c r="J1751" s="2">
        <f t="shared" si="713"/>
        <v>9.3389296956977966E-2</v>
      </c>
      <c r="K1751" s="2">
        <f t="shared" si="714"/>
        <v>0.86358866736621198</v>
      </c>
      <c r="L1751" s="2">
        <f t="shared" si="715"/>
        <v>0</v>
      </c>
      <c r="M1751" s="2">
        <f t="shared" si="716"/>
        <v>4.3022035676810066E-2</v>
      </c>
      <c r="N1751" s="63">
        <v>89</v>
      </c>
      <c r="O1751" s="63">
        <v>823</v>
      </c>
      <c r="P1751" s="63"/>
      <c r="Q1751" s="63">
        <v>31</v>
      </c>
      <c r="R1751" s="63">
        <v>6</v>
      </c>
      <c r="S1751" s="63"/>
      <c r="T1751" s="63"/>
      <c r="U1751" s="63"/>
      <c r="V1751" s="63"/>
      <c r="W1751" s="63">
        <v>4</v>
      </c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W1751" s="5">
        <f>IF(Q1751&gt;0,RANK(Q1751,(N1751:P1751,Q1751:AE1751)),0)</f>
        <v>3</v>
      </c>
      <c r="AX1751" s="5">
        <f>IF(R1751&gt;0,RANK(R1751,(N1751:P1751,Q1751:AE1751)),0)</f>
        <v>4</v>
      </c>
      <c r="AY1751" s="5">
        <f>IF(T1751&gt;0,RANK(T1751,(N1751:P1751,Q1751:AE1751)),0)</f>
        <v>0</v>
      </c>
      <c r="AZ1751" s="5">
        <f>IF(S1751&gt;0,RANK(S1751,(N1751:P1751,Q1751:AE1751)),0)</f>
        <v>0</v>
      </c>
      <c r="BA1751" s="2">
        <f t="shared" si="717"/>
        <v>3.2528856243441762E-2</v>
      </c>
      <c r="BB1751" s="2">
        <f t="shared" si="718"/>
        <v>6.2959076600209865E-3</v>
      </c>
      <c r="BC1751" s="2">
        <f t="shared" si="719"/>
        <v>0</v>
      </c>
      <c r="BD1751" s="2">
        <f t="shared" si="720"/>
        <v>0</v>
      </c>
      <c r="BF1751" t="s">
        <v>1492</v>
      </c>
      <c r="BG1751" t="s">
        <v>290</v>
      </c>
      <c r="BH1751">
        <v>3</v>
      </c>
      <c r="BJ1751" s="114">
        <v>31</v>
      </c>
      <c r="BK1751" s="116">
        <v>57</v>
      </c>
      <c r="BL1751" s="120">
        <f t="shared" si="710"/>
        <v>31057</v>
      </c>
      <c r="BN1751" s="5" t="s">
        <v>3154</v>
      </c>
    </row>
    <row r="1752" spans="1:66" hidden="1" outlineLevel="1">
      <c r="A1752" t="s">
        <v>2002</v>
      </c>
      <c r="B1752" t="s">
        <v>290</v>
      </c>
      <c r="C1752" s="1">
        <f t="shared" si="712"/>
        <v>2941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32">
        <f t="shared" si="721"/>
        <v>1517</v>
      </c>
      <c r="H1752" s="137">
        <f t="shared" si="722"/>
        <v>0.51581094865691945</v>
      </c>
      <c r="I1752" s="2"/>
      <c r="J1752" s="2">
        <f t="shared" si="713"/>
        <v>0.20843250595035703</v>
      </c>
      <c r="K1752" s="2">
        <f t="shared" si="714"/>
        <v>0.72424345460727646</v>
      </c>
      <c r="L1752" s="2">
        <f t="shared" si="715"/>
        <v>0</v>
      </c>
      <c r="M1752" s="2">
        <f t="shared" si="716"/>
        <v>6.7324039442366534E-2</v>
      </c>
      <c r="N1752" s="63">
        <v>613</v>
      </c>
      <c r="O1752" s="63">
        <v>2130</v>
      </c>
      <c r="P1752" s="63"/>
      <c r="Q1752" s="63">
        <v>151</v>
      </c>
      <c r="R1752" s="63">
        <v>21</v>
      </c>
      <c r="S1752" s="63"/>
      <c r="T1752" s="63"/>
      <c r="U1752" s="63"/>
      <c r="V1752" s="63"/>
      <c r="W1752" s="63">
        <v>26</v>
      </c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W1752" s="5">
        <f>IF(Q1752&gt;0,RANK(Q1752,(N1752:P1752,Q1752:AE1752)),0)</f>
        <v>3</v>
      </c>
      <c r="AX1752" s="5">
        <f>IF(R1752&gt;0,RANK(R1752,(N1752:P1752,Q1752:AE1752)),0)</f>
        <v>5</v>
      </c>
      <c r="AY1752" s="5">
        <f>IF(T1752&gt;0,RANK(T1752,(N1752:P1752,Q1752:AE1752)),0)</f>
        <v>0</v>
      </c>
      <c r="AZ1752" s="5">
        <f>IF(S1752&gt;0,RANK(S1752,(N1752:P1752,Q1752:AE1752)),0)</f>
        <v>0</v>
      </c>
      <c r="BA1752" s="2">
        <f t="shared" si="717"/>
        <v>5.1343080584835089E-2</v>
      </c>
      <c r="BB1752" s="2">
        <f t="shared" si="718"/>
        <v>7.1404284257055427E-3</v>
      </c>
      <c r="BC1752" s="2">
        <f t="shared" si="719"/>
        <v>0</v>
      </c>
      <c r="BD1752" s="2">
        <f t="shared" si="720"/>
        <v>0</v>
      </c>
      <c r="BF1752" t="s">
        <v>2002</v>
      </c>
      <c r="BG1752" t="s">
        <v>290</v>
      </c>
      <c r="BH1752">
        <v>3</v>
      </c>
      <c r="BJ1752" s="114">
        <v>31</v>
      </c>
      <c r="BK1752" s="116">
        <v>59</v>
      </c>
      <c r="BL1752" s="120">
        <f t="shared" si="710"/>
        <v>31059</v>
      </c>
      <c r="BN1752" s="5" t="s">
        <v>3154</v>
      </c>
    </row>
    <row r="1753" spans="1:66" hidden="1" outlineLevel="1">
      <c r="A1753" t="s">
        <v>1138</v>
      </c>
      <c r="B1753" t="s">
        <v>290</v>
      </c>
      <c r="C1753" s="1">
        <f t="shared" si="712"/>
        <v>1673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32">
        <f t="shared" si="721"/>
        <v>1097</v>
      </c>
      <c r="H1753" s="137">
        <f t="shared" si="722"/>
        <v>0.65570830842797367</v>
      </c>
      <c r="I1753" s="2"/>
      <c r="J1753" s="2">
        <f t="shared" si="713"/>
        <v>0.14943215780035865</v>
      </c>
      <c r="K1753" s="2">
        <f t="shared" si="714"/>
        <v>0.80514046622833235</v>
      </c>
      <c r="L1753" s="2">
        <f t="shared" si="715"/>
        <v>0</v>
      </c>
      <c r="M1753" s="2">
        <f t="shared" si="716"/>
        <v>4.542737597130897E-2</v>
      </c>
      <c r="N1753" s="63">
        <v>250</v>
      </c>
      <c r="O1753" s="63">
        <v>1347</v>
      </c>
      <c r="P1753" s="63"/>
      <c r="Q1753" s="63">
        <v>54</v>
      </c>
      <c r="R1753" s="63">
        <v>7</v>
      </c>
      <c r="S1753" s="63"/>
      <c r="T1753" s="63"/>
      <c r="U1753" s="63"/>
      <c r="V1753" s="63"/>
      <c r="W1753" s="63">
        <v>15</v>
      </c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W1753" s="5">
        <f>IF(Q1753&gt;0,RANK(Q1753,(N1753:P1753,Q1753:AE1753)),0)</f>
        <v>3</v>
      </c>
      <c r="AX1753" s="5">
        <f>IF(R1753&gt;0,RANK(R1753,(N1753:P1753,Q1753:AE1753)),0)</f>
        <v>5</v>
      </c>
      <c r="AY1753" s="5">
        <f>IF(T1753&gt;0,RANK(T1753,(N1753:P1753,Q1753:AE1753)),0)</f>
        <v>0</v>
      </c>
      <c r="AZ1753" s="5">
        <f>IF(S1753&gt;0,RANK(S1753,(N1753:P1753,Q1753:AE1753)),0)</f>
        <v>0</v>
      </c>
      <c r="BA1753" s="2">
        <f t="shared" si="717"/>
        <v>3.2277346084877465E-2</v>
      </c>
      <c r="BB1753" s="2">
        <f t="shared" si="718"/>
        <v>4.1841004184100415E-3</v>
      </c>
      <c r="BC1753" s="2">
        <f t="shared" si="719"/>
        <v>0</v>
      </c>
      <c r="BD1753" s="2">
        <f t="shared" si="720"/>
        <v>0</v>
      </c>
      <c r="BF1753" t="s">
        <v>1138</v>
      </c>
      <c r="BG1753" t="s">
        <v>290</v>
      </c>
      <c r="BH1753">
        <v>3</v>
      </c>
      <c r="BJ1753" s="114">
        <v>31</v>
      </c>
      <c r="BK1753" s="116">
        <v>61</v>
      </c>
      <c r="BL1753" s="120">
        <f t="shared" si="710"/>
        <v>31061</v>
      </c>
      <c r="BN1753" s="5" t="s">
        <v>3154</v>
      </c>
    </row>
    <row r="1754" spans="1:66" hidden="1" outlineLevel="1">
      <c r="A1754" t="s">
        <v>1245</v>
      </c>
      <c r="B1754" t="s">
        <v>290</v>
      </c>
      <c r="C1754" s="1">
        <f t="shared" si="712"/>
        <v>1328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32">
        <f t="shared" si="721"/>
        <v>949</v>
      </c>
      <c r="H1754" s="137">
        <f t="shared" si="722"/>
        <v>0.71460843373493976</v>
      </c>
      <c r="I1754" s="2"/>
      <c r="J1754" s="2">
        <f t="shared" si="713"/>
        <v>0.12123493975903614</v>
      </c>
      <c r="K1754" s="2">
        <f t="shared" si="714"/>
        <v>0.83584337349397586</v>
      </c>
      <c r="L1754" s="2">
        <f t="shared" si="715"/>
        <v>0</v>
      </c>
      <c r="M1754" s="2">
        <f t="shared" si="716"/>
        <v>4.2921686746988041E-2</v>
      </c>
      <c r="N1754" s="63">
        <v>161</v>
      </c>
      <c r="O1754" s="63">
        <v>1110</v>
      </c>
      <c r="P1754" s="63"/>
      <c r="Q1754" s="63">
        <v>36</v>
      </c>
      <c r="R1754" s="63">
        <v>8</v>
      </c>
      <c r="S1754" s="63"/>
      <c r="T1754" s="63"/>
      <c r="U1754" s="63"/>
      <c r="V1754" s="63"/>
      <c r="W1754" s="63">
        <v>13</v>
      </c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W1754" s="5">
        <f>IF(Q1754&gt;0,RANK(Q1754,(N1754:P1754,Q1754:AE1754)),0)</f>
        <v>3</v>
      </c>
      <c r="AX1754" s="5">
        <f>IF(R1754&gt;0,RANK(R1754,(N1754:P1754,Q1754:AE1754)),0)</f>
        <v>5</v>
      </c>
      <c r="AY1754" s="5">
        <f>IF(T1754&gt;0,RANK(T1754,(N1754:P1754,Q1754:AE1754)),0)</f>
        <v>0</v>
      </c>
      <c r="AZ1754" s="5">
        <f>IF(S1754&gt;0,RANK(S1754,(N1754:P1754,Q1754:AE1754)),0)</f>
        <v>0</v>
      </c>
      <c r="BA1754" s="2">
        <f t="shared" si="717"/>
        <v>2.710843373493976E-2</v>
      </c>
      <c r="BB1754" s="2">
        <f t="shared" si="718"/>
        <v>6.024096385542169E-3</v>
      </c>
      <c r="BC1754" s="2">
        <f t="shared" si="719"/>
        <v>0</v>
      </c>
      <c r="BD1754" s="2">
        <f t="shared" si="720"/>
        <v>0</v>
      </c>
      <c r="BF1754" t="s">
        <v>1245</v>
      </c>
      <c r="BG1754" t="s">
        <v>290</v>
      </c>
      <c r="BH1754">
        <v>3</v>
      </c>
      <c r="BJ1754" s="114">
        <v>31</v>
      </c>
      <c r="BK1754" s="116">
        <v>63</v>
      </c>
      <c r="BL1754" s="120">
        <f t="shared" si="710"/>
        <v>31063</v>
      </c>
      <c r="BN1754" s="5" t="s">
        <v>3154</v>
      </c>
    </row>
    <row r="1755" spans="1:66" hidden="1" outlineLevel="1">
      <c r="A1755" t="s">
        <v>1584</v>
      </c>
      <c r="B1755" t="s">
        <v>290</v>
      </c>
      <c r="C1755" s="1">
        <f t="shared" ref="C1755:C1786" si="723">SUM(N1755:AU1755)</f>
        <v>2340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32">
        <f t="shared" si="721"/>
        <v>1617</v>
      </c>
      <c r="H1755" s="137">
        <f t="shared" si="722"/>
        <v>0.69102564102564101</v>
      </c>
      <c r="I1755" s="2"/>
      <c r="J1755" s="2">
        <f t="shared" ref="J1755:J1786" si="724">IF($C1755=0,"-",N1755/$C1755)</f>
        <v>0.12991452991452992</v>
      </c>
      <c r="K1755" s="2">
        <f t="shared" ref="K1755:K1786" si="725">IF($C1755=0,"-",O1755/$C1755)</f>
        <v>0.82094017094017091</v>
      </c>
      <c r="L1755" s="2">
        <f t="shared" ref="L1755:L1786" si="726">IF($C1755=0,"-",P1755/$C1755)</f>
        <v>0</v>
      </c>
      <c r="M1755" s="2">
        <f t="shared" ref="M1755:M1786" si="727">IF(C1755=0,"-",(1-J1755-K1755-L1755))</f>
        <v>4.9145299145299193E-2</v>
      </c>
      <c r="N1755" s="63">
        <v>304</v>
      </c>
      <c r="O1755" s="63">
        <v>1921</v>
      </c>
      <c r="P1755" s="63"/>
      <c r="Q1755" s="63">
        <v>85</v>
      </c>
      <c r="R1755" s="63">
        <v>11</v>
      </c>
      <c r="S1755" s="63"/>
      <c r="T1755" s="63"/>
      <c r="U1755" s="63"/>
      <c r="V1755" s="63"/>
      <c r="W1755" s="63">
        <v>19</v>
      </c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W1755" s="5">
        <f>IF(Q1755&gt;0,RANK(Q1755,(N1755:P1755,Q1755:AE1755)),0)</f>
        <v>3</v>
      </c>
      <c r="AX1755" s="5">
        <f>IF(R1755&gt;0,RANK(R1755,(N1755:P1755,Q1755:AE1755)),0)</f>
        <v>5</v>
      </c>
      <c r="AY1755" s="5">
        <f>IF(T1755&gt;0,RANK(T1755,(N1755:P1755,Q1755:AE1755)),0)</f>
        <v>0</v>
      </c>
      <c r="AZ1755" s="5">
        <f>IF(S1755&gt;0,RANK(S1755,(N1755:P1755,Q1755:AE1755)),0)</f>
        <v>0</v>
      </c>
      <c r="BA1755" s="2">
        <f t="shared" ref="BA1755:BA1786" si="728">IF($C1755=0,"-",Q1755/$C1755)</f>
        <v>3.6324786324786328E-2</v>
      </c>
      <c r="BB1755" s="2">
        <f t="shared" ref="BB1755:BB1786" si="729">IF($C1755=0,"-",R1755/$C1755)</f>
        <v>4.7008547008547006E-3</v>
      </c>
      <c r="BC1755" s="2">
        <f t="shared" ref="BC1755:BC1786" si="730">IF($C1755=0,"-",T1755/$C1755)</f>
        <v>0</v>
      </c>
      <c r="BD1755" s="2">
        <f t="shared" ref="BD1755:BD1786" si="731">IF($C1755=0,"-",S1755/$C1755)</f>
        <v>0</v>
      </c>
      <c r="BF1755" t="s">
        <v>1584</v>
      </c>
      <c r="BG1755" t="s">
        <v>290</v>
      </c>
      <c r="BH1755">
        <v>3</v>
      </c>
      <c r="BJ1755" s="114">
        <v>31</v>
      </c>
      <c r="BK1755" s="116">
        <v>65</v>
      </c>
      <c r="BL1755" s="120">
        <f t="shared" si="710"/>
        <v>31065</v>
      </c>
      <c r="BN1755" s="5" t="s">
        <v>3154</v>
      </c>
    </row>
    <row r="1756" spans="1:66" hidden="1" outlineLevel="1">
      <c r="A1756" t="s">
        <v>1585</v>
      </c>
      <c r="B1756" t="s">
        <v>290</v>
      </c>
      <c r="C1756" s="1">
        <f t="shared" si="723"/>
        <v>10048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32">
        <f t="shared" si="721"/>
        <v>3445</v>
      </c>
      <c r="H1756" s="137">
        <f t="shared" si="722"/>
        <v>0.34285429936305734</v>
      </c>
      <c r="I1756" s="2"/>
      <c r="J1756" s="2">
        <f t="shared" si="724"/>
        <v>0.29209792993630573</v>
      </c>
      <c r="K1756" s="2">
        <f t="shared" si="725"/>
        <v>0.63495222929936301</v>
      </c>
      <c r="L1756" s="2">
        <f t="shared" si="726"/>
        <v>0</v>
      </c>
      <c r="M1756" s="2">
        <f t="shared" si="727"/>
        <v>7.2949840764331197E-2</v>
      </c>
      <c r="N1756" s="63">
        <v>2935</v>
      </c>
      <c r="O1756" s="63">
        <v>6380</v>
      </c>
      <c r="P1756" s="63"/>
      <c r="Q1756" s="63">
        <v>492</v>
      </c>
      <c r="R1756" s="63">
        <v>104</v>
      </c>
      <c r="S1756" s="63"/>
      <c r="T1756" s="63"/>
      <c r="U1756" s="63"/>
      <c r="V1756" s="63"/>
      <c r="W1756" s="63">
        <v>137</v>
      </c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W1756" s="5">
        <f>IF(Q1756&gt;0,RANK(Q1756,(N1756:P1756,Q1756:AE1756)),0)</f>
        <v>3</v>
      </c>
      <c r="AX1756" s="5">
        <f>IF(R1756&gt;0,RANK(R1756,(N1756:P1756,Q1756:AE1756)),0)</f>
        <v>5</v>
      </c>
      <c r="AY1756" s="5">
        <f>IF(T1756&gt;0,RANK(T1756,(N1756:P1756,Q1756:AE1756)),0)</f>
        <v>0</v>
      </c>
      <c r="AZ1756" s="5">
        <f>IF(S1756&gt;0,RANK(S1756,(N1756:P1756,Q1756:AE1756)),0)</f>
        <v>0</v>
      </c>
      <c r="BA1756" s="2">
        <f t="shared" si="728"/>
        <v>4.8964968152866245E-2</v>
      </c>
      <c r="BB1756" s="2">
        <f t="shared" si="729"/>
        <v>1.0350318471337579E-2</v>
      </c>
      <c r="BC1756" s="2">
        <f t="shared" si="730"/>
        <v>0</v>
      </c>
      <c r="BD1756" s="2">
        <f t="shared" si="731"/>
        <v>0</v>
      </c>
      <c r="BF1756" t="s">
        <v>1585</v>
      </c>
      <c r="BG1756" t="s">
        <v>290</v>
      </c>
      <c r="BH1756">
        <v>3</v>
      </c>
      <c r="BJ1756" s="114">
        <v>31</v>
      </c>
      <c r="BK1756" s="116">
        <v>67</v>
      </c>
      <c r="BL1756" s="120">
        <f t="shared" si="710"/>
        <v>31067</v>
      </c>
      <c r="BN1756" s="5" t="s">
        <v>3154</v>
      </c>
    </row>
    <row r="1757" spans="1:66" hidden="1" outlineLevel="1">
      <c r="A1757" t="s">
        <v>340</v>
      </c>
      <c r="B1757" t="s">
        <v>290</v>
      </c>
      <c r="C1757" s="1">
        <f t="shared" si="723"/>
        <v>1075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32">
        <f t="shared" si="721"/>
        <v>716</v>
      </c>
      <c r="H1757" s="137">
        <f t="shared" si="722"/>
        <v>0.66604651162790696</v>
      </c>
      <c r="I1757" s="2"/>
      <c r="J1757" s="2">
        <f t="shared" si="724"/>
        <v>0.14232558139534884</v>
      </c>
      <c r="K1757" s="2">
        <f t="shared" si="725"/>
        <v>0.80837209302325586</v>
      </c>
      <c r="L1757" s="2">
        <f t="shared" si="726"/>
        <v>0</v>
      </c>
      <c r="M1757" s="2">
        <f t="shared" si="727"/>
        <v>4.9302325581395356E-2</v>
      </c>
      <c r="N1757" s="63">
        <v>153</v>
      </c>
      <c r="O1757" s="63">
        <v>869</v>
      </c>
      <c r="P1757" s="63"/>
      <c r="Q1757" s="63">
        <v>39</v>
      </c>
      <c r="R1757" s="63">
        <v>2</v>
      </c>
      <c r="S1757" s="63"/>
      <c r="T1757" s="63"/>
      <c r="U1757" s="63"/>
      <c r="V1757" s="63"/>
      <c r="W1757" s="63">
        <v>12</v>
      </c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W1757" s="5">
        <f>IF(Q1757&gt;0,RANK(Q1757,(N1757:P1757,Q1757:AE1757)),0)</f>
        <v>3</v>
      </c>
      <c r="AX1757" s="5">
        <f>IF(R1757&gt;0,RANK(R1757,(N1757:P1757,Q1757:AE1757)),0)</f>
        <v>5</v>
      </c>
      <c r="AY1757" s="5">
        <f>IF(T1757&gt;0,RANK(T1757,(N1757:P1757,Q1757:AE1757)),0)</f>
        <v>0</v>
      </c>
      <c r="AZ1757" s="5">
        <f>IF(S1757&gt;0,RANK(S1757,(N1757:P1757,Q1757:AE1757)),0)</f>
        <v>0</v>
      </c>
      <c r="BA1757" s="2">
        <f t="shared" si="728"/>
        <v>3.6279069767441857E-2</v>
      </c>
      <c r="BB1757" s="2">
        <f t="shared" si="729"/>
        <v>1.8604651162790699E-3</v>
      </c>
      <c r="BC1757" s="2">
        <f t="shared" si="730"/>
        <v>0</v>
      </c>
      <c r="BD1757" s="2">
        <f t="shared" si="731"/>
        <v>0</v>
      </c>
      <c r="BF1757" t="s">
        <v>340</v>
      </c>
      <c r="BG1757" t="s">
        <v>290</v>
      </c>
      <c r="BH1757">
        <v>3</v>
      </c>
      <c r="BJ1757" s="114">
        <v>31</v>
      </c>
      <c r="BK1757" s="116">
        <v>69</v>
      </c>
      <c r="BL1757" s="120">
        <f t="shared" si="710"/>
        <v>31069</v>
      </c>
      <c r="BN1757" s="5" t="s">
        <v>3154</v>
      </c>
    </row>
    <row r="1758" spans="1:66" hidden="1" outlineLevel="1">
      <c r="A1758" t="s">
        <v>2946</v>
      </c>
      <c r="B1758" t="s">
        <v>290</v>
      </c>
      <c r="C1758" s="1">
        <f t="shared" si="723"/>
        <v>980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32">
        <f t="shared" si="721"/>
        <v>700</v>
      </c>
      <c r="H1758" s="137">
        <f t="shared" si="722"/>
        <v>0.7142857142857143</v>
      </c>
      <c r="I1758" s="2"/>
      <c r="J1758" s="2">
        <f t="shared" si="724"/>
        <v>0.12346938775510204</v>
      </c>
      <c r="K1758" s="2">
        <f t="shared" si="725"/>
        <v>0.83775510204081638</v>
      </c>
      <c r="L1758" s="2">
        <f t="shared" si="726"/>
        <v>0</v>
      </c>
      <c r="M1758" s="2">
        <f t="shared" si="727"/>
        <v>3.8775510204081542E-2</v>
      </c>
      <c r="N1758" s="63">
        <v>121</v>
      </c>
      <c r="O1758" s="63">
        <v>821</v>
      </c>
      <c r="P1758" s="63"/>
      <c r="Q1758" s="63">
        <v>23</v>
      </c>
      <c r="R1758" s="63">
        <v>5</v>
      </c>
      <c r="S1758" s="63"/>
      <c r="T1758" s="63"/>
      <c r="U1758" s="63"/>
      <c r="V1758" s="63"/>
      <c r="W1758" s="63">
        <v>10</v>
      </c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W1758" s="5">
        <f>IF(Q1758&gt;0,RANK(Q1758,(N1758:P1758,Q1758:AE1758)),0)</f>
        <v>3</v>
      </c>
      <c r="AX1758" s="5">
        <f>IF(R1758&gt;0,RANK(R1758,(N1758:P1758,Q1758:AE1758)),0)</f>
        <v>5</v>
      </c>
      <c r="AY1758" s="5">
        <f>IF(T1758&gt;0,RANK(T1758,(N1758:P1758,Q1758:AE1758)),0)</f>
        <v>0</v>
      </c>
      <c r="AZ1758" s="5">
        <f>IF(S1758&gt;0,RANK(S1758,(N1758:P1758,Q1758:AE1758)),0)</f>
        <v>0</v>
      </c>
      <c r="BA1758" s="2">
        <f t="shared" si="728"/>
        <v>2.3469387755102041E-2</v>
      </c>
      <c r="BB1758" s="2">
        <f t="shared" si="729"/>
        <v>5.1020408163265302E-3</v>
      </c>
      <c r="BC1758" s="2">
        <f t="shared" si="730"/>
        <v>0</v>
      </c>
      <c r="BD1758" s="2">
        <f t="shared" si="731"/>
        <v>0</v>
      </c>
      <c r="BF1758" t="s">
        <v>2946</v>
      </c>
      <c r="BG1758" t="s">
        <v>290</v>
      </c>
      <c r="BH1758">
        <v>3</v>
      </c>
      <c r="BJ1758" s="114">
        <v>31</v>
      </c>
      <c r="BK1758" s="116">
        <v>71</v>
      </c>
      <c r="BL1758" s="120">
        <f t="shared" si="710"/>
        <v>31071</v>
      </c>
      <c r="BN1758" s="5" t="s">
        <v>3154</v>
      </c>
    </row>
    <row r="1759" spans="1:66" hidden="1" outlineLevel="1">
      <c r="A1759" t="s">
        <v>144</v>
      </c>
      <c r="B1759" t="s">
        <v>290</v>
      </c>
      <c r="C1759" s="1">
        <f t="shared" si="723"/>
        <v>1010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32">
        <f t="shared" si="721"/>
        <v>628</v>
      </c>
      <c r="H1759" s="137">
        <f t="shared" si="722"/>
        <v>0.62178217821782178</v>
      </c>
      <c r="I1759" s="2"/>
      <c r="J1759" s="2">
        <f t="shared" si="724"/>
        <v>0.16435643564356436</v>
      </c>
      <c r="K1759" s="2">
        <f t="shared" si="725"/>
        <v>0.78613861386138617</v>
      </c>
      <c r="L1759" s="2">
        <f t="shared" si="726"/>
        <v>0</v>
      </c>
      <c r="M1759" s="2">
        <f t="shared" si="727"/>
        <v>4.9504950495049438E-2</v>
      </c>
      <c r="N1759" s="63">
        <v>166</v>
      </c>
      <c r="O1759" s="63">
        <v>794</v>
      </c>
      <c r="P1759" s="63"/>
      <c r="Q1759" s="63">
        <v>38</v>
      </c>
      <c r="R1759" s="63">
        <v>6</v>
      </c>
      <c r="S1759" s="63"/>
      <c r="T1759" s="63"/>
      <c r="U1759" s="63"/>
      <c r="V1759" s="63"/>
      <c r="W1759" s="63">
        <v>6</v>
      </c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W1759" s="5">
        <f>IF(Q1759&gt;0,RANK(Q1759,(N1759:P1759,Q1759:AE1759)),0)</f>
        <v>3</v>
      </c>
      <c r="AX1759" s="5">
        <f>IF(R1759&gt;0,RANK(R1759,(N1759:P1759,Q1759:AE1759)),0)</f>
        <v>4</v>
      </c>
      <c r="AY1759" s="5">
        <f>IF(T1759&gt;0,RANK(T1759,(N1759:P1759,Q1759:AE1759)),0)</f>
        <v>0</v>
      </c>
      <c r="AZ1759" s="5">
        <f>IF(S1759&gt;0,RANK(S1759,(N1759:P1759,Q1759:AE1759)),0)</f>
        <v>0</v>
      </c>
      <c r="BA1759" s="2">
        <f t="shared" si="728"/>
        <v>3.7623762376237622E-2</v>
      </c>
      <c r="BB1759" s="2">
        <f t="shared" si="729"/>
        <v>5.9405940594059407E-3</v>
      </c>
      <c r="BC1759" s="2">
        <f t="shared" si="730"/>
        <v>0</v>
      </c>
      <c r="BD1759" s="2">
        <f t="shared" si="731"/>
        <v>0</v>
      </c>
      <c r="BF1759" t="s">
        <v>144</v>
      </c>
      <c r="BG1759" t="s">
        <v>290</v>
      </c>
      <c r="BH1759">
        <v>3</v>
      </c>
      <c r="BJ1759" s="114">
        <v>31</v>
      </c>
      <c r="BK1759" s="116">
        <v>73</v>
      </c>
      <c r="BL1759" s="120">
        <f t="shared" si="710"/>
        <v>31073</v>
      </c>
      <c r="BN1759" s="5" t="s">
        <v>3154</v>
      </c>
    </row>
    <row r="1760" spans="1:66" hidden="1" outlineLevel="1">
      <c r="A1760" t="s">
        <v>1417</v>
      </c>
      <c r="B1760" t="s">
        <v>290</v>
      </c>
      <c r="C1760" s="1">
        <f t="shared" si="723"/>
        <v>405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32">
        <f t="shared" si="721"/>
        <v>347</v>
      </c>
      <c r="H1760" s="137">
        <f t="shared" si="722"/>
        <v>0.85679012345679018</v>
      </c>
      <c r="I1760" s="2"/>
      <c r="J1760" s="2">
        <f t="shared" si="724"/>
        <v>4.9382716049382713E-2</v>
      </c>
      <c r="K1760" s="2">
        <f t="shared" si="725"/>
        <v>0.90617283950617289</v>
      </c>
      <c r="L1760" s="2">
        <f t="shared" si="726"/>
        <v>0</v>
      </c>
      <c r="M1760" s="2">
        <f t="shared" si="727"/>
        <v>4.4444444444444398E-2</v>
      </c>
      <c r="N1760" s="63">
        <v>20</v>
      </c>
      <c r="O1760" s="63">
        <v>367</v>
      </c>
      <c r="P1760" s="63"/>
      <c r="Q1760" s="63">
        <v>6</v>
      </c>
      <c r="R1760" s="63">
        <v>1</v>
      </c>
      <c r="S1760" s="63"/>
      <c r="T1760" s="63"/>
      <c r="U1760" s="63"/>
      <c r="V1760" s="63"/>
      <c r="W1760" s="63">
        <v>11</v>
      </c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W1760" s="5">
        <f>IF(Q1760&gt;0,RANK(Q1760,(N1760:P1760,Q1760:AE1760)),0)</f>
        <v>4</v>
      </c>
      <c r="AX1760" s="5">
        <f>IF(R1760&gt;0,RANK(R1760,(N1760:P1760,Q1760:AE1760)),0)</f>
        <v>5</v>
      </c>
      <c r="AY1760" s="5">
        <f>IF(T1760&gt;0,RANK(T1760,(N1760:P1760,Q1760:AE1760)),0)</f>
        <v>0</v>
      </c>
      <c r="AZ1760" s="5">
        <f>IF(S1760&gt;0,RANK(S1760,(N1760:P1760,Q1760:AE1760)),0)</f>
        <v>0</v>
      </c>
      <c r="BA1760" s="2">
        <f t="shared" si="728"/>
        <v>1.4814814814814815E-2</v>
      </c>
      <c r="BB1760" s="2">
        <f t="shared" si="729"/>
        <v>2.4691358024691358E-3</v>
      </c>
      <c r="BC1760" s="2">
        <f t="shared" si="730"/>
        <v>0</v>
      </c>
      <c r="BD1760" s="2">
        <f t="shared" si="731"/>
        <v>0</v>
      </c>
      <c r="BF1760" t="s">
        <v>1417</v>
      </c>
      <c r="BG1760" t="s">
        <v>290</v>
      </c>
      <c r="BH1760">
        <v>3</v>
      </c>
      <c r="BJ1760" s="114">
        <v>31</v>
      </c>
      <c r="BK1760" s="116">
        <v>75</v>
      </c>
      <c r="BL1760" s="120">
        <f t="shared" si="710"/>
        <v>31075</v>
      </c>
      <c r="BN1760" s="5" t="s">
        <v>3154</v>
      </c>
    </row>
    <row r="1761" spans="1:66" hidden="1" outlineLevel="1">
      <c r="A1761" t="s">
        <v>2132</v>
      </c>
      <c r="B1761" t="s">
        <v>290</v>
      </c>
      <c r="C1761" s="1">
        <f t="shared" si="723"/>
        <v>1175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32">
        <f t="shared" si="721"/>
        <v>702</v>
      </c>
      <c r="H1761" s="137">
        <f t="shared" si="722"/>
        <v>0.59744680851063825</v>
      </c>
      <c r="I1761" s="2"/>
      <c r="J1761" s="2">
        <f t="shared" si="724"/>
        <v>0.17872340425531916</v>
      </c>
      <c r="K1761" s="2">
        <f t="shared" si="725"/>
        <v>0.77617021276595743</v>
      </c>
      <c r="L1761" s="2">
        <f t="shared" si="726"/>
        <v>0</v>
      </c>
      <c r="M1761" s="2">
        <f t="shared" si="727"/>
        <v>4.5106382978723381E-2</v>
      </c>
      <c r="N1761" s="63">
        <v>210</v>
      </c>
      <c r="O1761" s="63">
        <v>912</v>
      </c>
      <c r="P1761" s="63"/>
      <c r="Q1761" s="63">
        <v>38</v>
      </c>
      <c r="R1761" s="63">
        <v>6</v>
      </c>
      <c r="S1761" s="63"/>
      <c r="T1761" s="63"/>
      <c r="U1761" s="63"/>
      <c r="V1761" s="63"/>
      <c r="W1761" s="63">
        <v>9</v>
      </c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W1761" s="5">
        <f>IF(Q1761&gt;0,RANK(Q1761,(N1761:P1761,Q1761:AE1761)),0)</f>
        <v>3</v>
      </c>
      <c r="AX1761" s="5">
        <f>IF(R1761&gt;0,RANK(R1761,(N1761:P1761,Q1761:AE1761)),0)</f>
        <v>5</v>
      </c>
      <c r="AY1761" s="5">
        <f>IF(T1761&gt;0,RANK(T1761,(N1761:P1761,Q1761:AE1761)),0)</f>
        <v>0</v>
      </c>
      <c r="AZ1761" s="5">
        <f>IF(S1761&gt;0,RANK(S1761,(N1761:P1761,Q1761:AE1761)),0)</f>
        <v>0</v>
      </c>
      <c r="BA1761" s="2">
        <f t="shared" si="728"/>
        <v>3.2340425531914893E-2</v>
      </c>
      <c r="BB1761" s="2">
        <f t="shared" si="729"/>
        <v>5.106382978723404E-3</v>
      </c>
      <c r="BC1761" s="2">
        <f t="shared" si="730"/>
        <v>0</v>
      </c>
      <c r="BD1761" s="2">
        <f t="shared" si="731"/>
        <v>0</v>
      </c>
      <c r="BF1761" t="s">
        <v>2132</v>
      </c>
      <c r="BG1761" t="s">
        <v>290</v>
      </c>
      <c r="BH1761">
        <v>3</v>
      </c>
      <c r="BJ1761" s="114">
        <v>31</v>
      </c>
      <c r="BK1761" s="116">
        <v>77</v>
      </c>
      <c r="BL1761" s="120">
        <f t="shared" si="710"/>
        <v>31077</v>
      </c>
      <c r="BN1761" s="5" t="s">
        <v>3154</v>
      </c>
    </row>
    <row r="1762" spans="1:66" hidden="1" outlineLevel="1">
      <c r="A1762" t="s">
        <v>230</v>
      </c>
      <c r="B1762" t="s">
        <v>290</v>
      </c>
      <c r="C1762" s="1">
        <f t="shared" si="723"/>
        <v>22060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32">
        <f t="shared" si="721"/>
        <v>8126</v>
      </c>
      <c r="H1762" s="137">
        <f t="shared" si="722"/>
        <v>0.36835902085222122</v>
      </c>
      <c r="I1762" s="2"/>
      <c r="J1762" s="2">
        <f t="shared" si="724"/>
        <v>0.28476881233000906</v>
      </c>
      <c r="K1762" s="2">
        <f t="shared" si="725"/>
        <v>0.65312783318223033</v>
      </c>
      <c r="L1762" s="2">
        <f t="shared" si="726"/>
        <v>0</v>
      </c>
      <c r="M1762" s="2">
        <f t="shared" si="727"/>
        <v>6.2103354487760609E-2</v>
      </c>
      <c r="N1762" s="63">
        <v>6282</v>
      </c>
      <c r="O1762" s="63">
        <v>14408</v>
      </c>
      <c r="P1762" s="63"/>
      <c r="Q1762" s="63">
        <v>895</v>
      </c>
      <c r="R1762" s="63">
        <v>192</v>
      </c>
      <c r="S1762" s="63"/>
      <c r="T1762" s="63"/>
      <c r="U1762" s="63"/>
      <c r="V1762" s="63"/>
      <c r="W1762" s="63">
        <v>283</v>
      </c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W1762" s="5">
        <f>IF(Q1762&gt;0,RANK(Q1762,(N1762:P1762,Q1762:AE1762)),0)</f>
        <v>3</v>
      </c>
      <c r="AX1762" s="5">
        <f>IF(R1762&gt;0,RANK(R1762,(N1762:P1762,Q1762:AE1762)),0)</f>
        <v>5</v>
      </c>
      <c r="AY1762" s="5">
        <f>IF(T1762&gt;0,RANK(T1762,(N1762:P1762,Q1762:AE1762)),0)</f>
        <v>0</v>
      </c>
      <c r="AZ1762" s="5">
        <f>IF(S1762&gt;0,RANK(S1762,(N1762:P1762,Q1762:AE1762)),0)</f>
        <v>0</v>
      </c>
      <c r="BA1762" s="2">
        <f t="shared" si="728"/>
        <v>4.0571169537624657E-2</v>
      </c>
      <c r="BB1762" s="2">
        <f t="shared" si="729"/>
        <v>8.7035358114233904E-3</v>
      </c>
      <c r="BC1762" s="2">
        <f t="shared" si="730"/>
        <v>0</v>
      </c>
      <c r="BD1762" s="2">
        <f t="shared" si="731"/>
        <v>0</v>
      </c>
      <c r="BF1762" t="s">
        <v>230</v>
      </c>
      <c r="BG1762" t="s">
        <v>290</v>
      </c>
      <c r="BH1762">
        <v>3</v>
      </c>
      <c r="BJ1762" s="114">
        <v>31</v>
      </c>
      <c r="BK1762" s="116">
        <v>79</v>
      </c>
      <c r="BL1762" s="120">
        <f t="shared" si="710"/>
        <v>31079</v>
      </c>
      <c r="BN1762" s="5" t="s">
        <v>3154</v>
      </c>
    </row>
    <row r="1763" spans="1:66" hidden="1" outlineLevel="1">
      <c r="A1763" t="s">
        <v>2646</v>
      </c>
      <c r="B1763" t="s">
        <v>290</v>
      </c>
      <c r="C1763" s="1">
        <f t="shared" si="723"/>
        <v>5004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32">
        <f t="shared" si="721"/>
        <v>2905</v>
      </c>
      <c r="H1763" s="137">
        <f t="shared" si="722"/>
        <v>0.5805355715427658</v>
      </c>
      <c r="I1763" s="2"/>
      <c r="J1763" s="2">
        <f t="shared" si="724"/>
        <v>0.17545963229416467</v>
      </c>
      <c r="K1763" s="2">
        <f t="shared" si="725"/>
        <v>0.75599520383693042</v>
      </c>
      <c r="L1763" s="2">
        <f t="shared" si="726"/>
        <v>0</v>
      </c>
      <c r="M1763" s="2">
        <f t="shared" si="727"/>
        <v>6.8545163868904968E-2</v>
      </c>
      <c r="N1763" s="63">
        <v>878</v>
      </c>
      <c r="O1763" s="63">
        <v>3783</v>
      </c>
      <c r="P1763" s="63"/>
      <c r="Q1763" s="63">
        <v>224</v>
      </c>
      <c r="R1763" s="63">
        <v>43</v>
      </c>
      <c r="S1763" s="63"/>
      <c r="T1763" s="63"/>
      <c r="U1763" s="63"/>
      <c r="V1763" s="63"/>
      <c r="W1763" s="63">
        <v>76</v>
      </c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W1763" s="5">
        <f>IF(Q1763&gt;0,RANK(Q1763,(N1763:P1763,Q1763:AE1763)),0)</f>
        <v>3</v>
      </c>
      <c r="AX1763" s="5">
        <f>IF(R1763&gt;0,RANK(R1763,(N1763:P1763,Q1763:AE1763)),0)</f>
        <v>5</v>
      </c>
      <c r="AY1763" s="5">
        <f>IF(T1763&gt;0,RANK(T1763,(N1763:P1763,Q1763:AE1763)),0)</f>
        <v>0</v>
      </c>
      <c r="AZ1763" s="5">
        <f>IF(S1763&gt;0,RANK(S1763,(N1763:P1763,Q1763:AE1763)),0)</f>
        <v>0</v>
      </c>
      <c r="BA1763" s="2">
        <f t="shared" si="728"/>
        <v>4.4764188649080737E-2</v>
      </c>
      <c r="BB1763" s="2">
        <f t="shared" si="729"/>
        <v>8.5931254996003195E-3</v>
      </c>
      <c r="BC1763" s="2">
        <f t="shared" si="730"/>
        <v>0</v>
      </c>
      <c r="BD1763" s="2">
        <f t="shared" si="731"/>
        <v>0</v>
      </c>
      <c r="BF1763" t="s">
        <v>2646</v>
      </c>
      <c r="BG1763" t="s">
        <v>290</v>
      </c>
      <c r="BH1763">
        <v>3</v>
      </c>
      <c r="BJ1763" s="114">
        <v>31</v>
      </c>
      <c r="BK1763" s="116">
        <v>81</v>
      </c>
      <c r="BL1763" s="120">
        <f t="shared" si="710"/>
        <v>31081</v>
      </c>
      <c r="BN1763" s="5" t="s">
        <v>3154</v>
      </c>
    </row>
    <row r="1764" spans="1:66" hidden="1" outlineLevel="1">
      <c r="A1764" t="s">
        <v>1433</v>
      </c>
      <c r="B1764" t="s">
        <v>290</v>
      </c>
      <c r="C1764" s="1">
        <f t="shared" si="723"/>
        <v>1832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32">
        <f t="shared" si="721"/>
        <v>1242</v>
      </c>
      <c r="H1764" s="137">
        <f t="shared" si="722"/>
        <v>0.67794759825327511</v>
      </c>
      <c r="I1764" s="2"/>
      <c r="J1764" s="2">
        <f t="shared" si="724"/>
        <v>0.13864628820960698</v>
      </c>
      <c r="K1764" s="2">
        <f t="shared" si="725"/>
        <v>0.81659388646288211</v>
      </c>
      <c r="L1764" s="2">
        <f t="shared" si="726"/>
        <v>0</v>
      </c>
      <c r="M1764" s="2">
        <f t="shared" si="727"/>
        <v>4.4759825327510883E-2</v>
      </c>
      <c r="N1764" s="63">
        <v>254</v>
      </c>
      <c r="O1764" s="63">
        <v>1496</v>
      </c>
      <c r="P1764" s="63"/>
      <c r="Q1764" s="63">
        <v>62</v>
      </c>
      <c r="R1764" s="63">
        <v>7</v>
      </c>
      <c r="S1764" s="63"/>
      <c r="T1764" s="63"/>
      <c r="U1764" s="63"/>
      <c r="V1764" s="63"/>
      <c r="W1764" s="63">
        <v>13</v>
      </c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W1764" s="5">
        <f>IF(Q1764&gt;0,RANK(Q1764,(N1764:P1764,Q1764:AE1764)),0)</f>
        <v>3</v>
      </c>
      <c r="AX1764" s="5">
        <f>IF(R1764&gt;0,RANK(R1764,(N1764:P1764,Q1764:AE1764)),0)</f>
        <v>5</v>
      </c>
      <c r="AY1764" s="5">
        <f>IF(T1764&gt;0,RANK(T1764,(N1764:P1764,Q1764:AE1764)),0)</f>
        <v>0</v>
      </c>
      <c r="AZ1764" s="5">
        <f>IF(S1764&gt;0,RANK(S1764,(N1764:P1764,Q1764:AE1764)),0)</f>
        <v>0</v>
      </c>
      <c r="BA1764" s="2">
        <f t="shared" si="728"/>
        <v>3.384279475982533E-2</v>
      </c>
      <c r="BB1764" s="2">
        <f t="shared" si="729"/>
        <v>3.8209606986899561E-3</v>
      </c>
      <c r="BC1764" s="2">
        <f t="shared" si="730"/>
        <v>0</v>
      </c>
      <c r="BD1764" s="2">
        <f t="shared" si="731"/>
        <v>0</v>
      </c>
      <c r="BF1764" t="s">
        <v>1433</v>
      </c>
      <c r="BG1764" t="s">
        <v>290</v>
      </c>
      <c r="BH1764">
        <v>3</v>
      </c>
      <c r="BJ1764" s="114">
        <v>31</v>
      </c>
      <c r="BK1764" s="116">
        <v>83</v>
      </c>
      <c r="BL1764" s="120">
        <f t="shared" si="710"/>
        <v>31083</v>
      </c>
      <c r="BN1764" s="5" t="s">
        <v>3154</v>
      </c>
    </row>
    <row r="1765" spans="1:66" hidden="1" outlineLevel="1">
      <c r="A1765" t="s">
        <v>1705</v>
      </c>
      <c r="B1765" t="s">
        <v>290</v>
      </c>
      <c r="C1765" s="1">
        <f t="shared" si="723"/>
        <v>514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32">
        <f t="shared" si="721"/>
        <v>442</v>
      </c>
      <c r="H1765" s="137">
        <f t="shared" si="722"/>
        <v>0.8599221789883269</v>
      </c>
      <c r="I1765" s="2"/>
      <c r="J1765" s="2">
        <f t="shared" si="724"/>
        <v>5.8365758754863814E-2</v>
      </c>
      <c r="K1765" s="2">
        <f t="shared" si="725"/>
        <v>0.91828793774319062</v>
      </c>
      <c r="L1765" s="2">
        <f t="shared" si="726"/>
        <v>0</v>
      </c>
      <c r="M1765" s="2">
        <f t="shared" si="727"/>
        <v>2.3346303501945553E-2</v>
      </c>
      <c r="N1765" s="63">
        <v>30</v>
      </c>
      <c r="O1765" s="63">
        <v>472</v>
      </c>
      <c r="P1765" s="63"/>
      <c r="Q1765" s="63">
        <v>8</v>
      </c>
      <c r="R1765" s="63">
        <v>1</v>
      </c>
      <c r="S1765" s="63"/>
      <c r="T1765" s="63"/>
      <c r="U1765" s="63"/>
      <c r="V1765" s="63"/>
      <c r="W1765" s="63">
        <v>3</v>
      </c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W1765" s="5">
        <f>IF(Q1765&gt;0,RANK(Q1765,(N1765:P1765,Q1765:AE1765)),0)</f>
        <v>3</v>
      </c>
      <c r="AX1765" s="5">
        <f>IF(R1765&gt;0,RANK(R1765,(N1765:P1765,Q1765:AE1765)),0)</f>
        <v>5</v>
      </c>
      <c r="AY1765" s="5">
        <f>IF(T1765&gt;0,RANK(T1765,(N1765:P1765,Q1765:AE1765)),0)</f>
        <v>0</v>
      </c>
      <c r="AZ1765" s="5">
        <f>IF(S1765&gt;0,RANK(S1765,(N1765:P1765,Q1765:AE1765)),0)</f>
        <v>0</v>
      </c>
      <c r="BA1765" s="2">
        <f t="shared" si="728"/>
        <v>1.556420233463035E-2</v>
      </c>
      <c r="BB1765" s="2">
        <f t="shared" si="729"/>
        <v>1.9455252918287938E-3</v>
      </c>
      <c r="BC1765" s="2">
        <f t="shared" si="730"/>
        <v>0</v>
      </c>
      <c r="BD1765" s="2">
        <f t="shared" si="731"/>
        <v>0</v>
      </c>
      <c r="BF1765" t="s">
        <v>1705</v>
      </c>
      <c r="BG1765" t="s">
        <v>290</v>
      </c>
      <c r="BH1765">
        <v>3</v>
      </c>
      <c r="BJ1765" s="114">
        <v>31</v>
      </c>
      <c r="BK1765" s="116">
        <v>85</v>
      </c>
      <c r="BL1765" s="120">
        <f t="shared" si="710"/>
        <v>31085</v>
      </c>
      <c r="BN1765" s="5" t="s">
        <v>3154</v>
      </c>
    </row>
    <row r="1766" spans="1:66" hidden="1" outlineLevel="1">
      <c r="A1766" t="s">
        <v>1337</v>
      </c>
      <c r="B1766" t="s">
        <v>290</v>
      </c>
      <c r="C1766" s="1">
        <f t="shared" si="723"/>
        <v>1468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32">
        <f t="shared" si="721"/>
        <v>1071</v>
      </c>
      <c r="H1766" s="137">
        <f t="shared" si="722"/>
        <v>0.72956403269754766</v>
      </c>
      <c r="I1766" s="2"/>
      <c r="J1766" s="2">
        <f t="shared" si="724"/>
        <v>0.10967302452316076</v>
      </c>
      <c r="K1766" s="2">
        <f t="shared" si="725"/>
        <v>0.8392370572207084</v>
      </c>
      <c r="L1766" s="2">
        <f t="shared" si="726"/>
        <v>0</v>
      </c>
      <c r="M1766" s="2">
        <f t="shared" si="727"/>
        <v>5.1089918256130851E-2</v>
      </c>
      <c r="N1766" s="63">
        <v>161</v>
      </c>
      <c r="O1766" s="63">
        <v>1232</v>
      </c>
      <c r="P1766" s="63"/>
      <c r="Q1766" s="63">
        <v>61</v>
      </c>
      <c r="R1766" s="63">
        <v>7</v>
      </c>
      <c r="S1766" s="63"/>
      <c r="T1766" s="63"/>
      <c r="U1766" s="63"/>
      <c r="V1766" s="63"/>
      <c r="W1766" s="63">
        <v>7</v>
      </c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W1766" s="5">
        <f>IF(Q1766&gt;0,RANK(Q1766,(N1766:P1766,Q1766:AE1766)),0)</f>
        <v>3</v>
      </c>
      <c r="AX1766" s="5">
        <f>IF(R1766&gt;0,RANK(R1766,(N1766:P1766,Q1766:AE1766)),0)</f>
        <v>4</v>
      </c>
      <c r="AY1766" s="5">
        <f>IF(T1766&gt;0,RANK(T1766,(N1766:P1766,Q1766:AE1766)),0)</f>
        <v>0</v>
      </c>
      <c r="AZ1766" s="5">
        <f>IF(S1766&gt;0,RANK(S1766,(N1766:P1766,Q1766:AE1766)),0)</f>
        <v>0</v>
      </c>
      <c r="BA1766" s="2">
        <f t="shared" si="728"/>
        <v>4.1553133514986379E-2</v>
      </c>
      <c r="BB1766" s="2">
        <f t="shared" si="729"/>
        <v>4.7683923705722072E-3</v>
      </c>
      <c r="BC1766" s="2">
        <f t="shared" si="730"/>
        <v>0</v>
      </c>
      <c r="BD1766" s="2">
        <f t="shared" si="731"/>
        <v>0</v>
      </c>
      <c r="BF1766" t="s">
        <v>1337</v>
      </c>
      <c r="BG1766" t="s">
        <v>290</v>
      </c>
      <c r="BH1766">
        <v>3</v>
      </c>
      <c r="BJ1766" s="114">
        <v>31</v>
      </c>
      <c r="BK1766" s="116">
        <v>87</v>
      </c>
      <c r="BL1766" s="120">
        <f t="shared" si="710"/>
        <v>31087</v>
      </c>
      <c r="BN1766" s="5" t="s">
        <v>3154</v>
      </c>
    </row>
    <row r="1767" spans="1:66" hidden="1" outlineLevel="1">
      <c r="A1767" t="s">
        <v>370</v>
      </c>
      <c r="B1767" t="s">
        <v>290</v>
      </c>
      <c r="C1767" s="1">
        <f t="shared" si="723"/>
        <v>5118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32">
        <f t="shared" si="721"/>
        <v>3823</v>
      </c>
      <c r="H1767" s="137">
        <f t="shared" si="722"/>
        <v>0.74697147323173119</v>
      </c>
      <c r="I1767" s="2"/>
      <c r="J1767" s="2">
        <f t="shared" si="724"/>
        <v>0.10375146541617819</v>
      </c>
      <c r="K1767" s="2">
        <f t="shared" si="725"/>
        <v>0.85072293864790938</v>
      </c>
      <c r="L1767" s="2">
        <f t="shared" si="726"/>
        <v>0</v>
      </c>
      <c r="M1767" s="2">
        <f t="shared" si="727"/>
        <v>4.5525595935912433E-2</v>
      </c>
      <c r="N1767" s="63">
        <v>531</v>
      </c>
      <c r="O1767" s="63">
        <v>4354</v>
      </c>
      <c r="P1767" s="63"/>
      <c r="Q1767" s="63">
        <v>162</v>
      </c>
      <c r="R1767" s="63">
        <v>27</v>
      </c>
      <c r="S1767" s="63"/>
      <c r="T1767" s="63"/>
      <c r="U1767" s="63"/>
      <c r="V1767" s="63"/>
      <c r="W1767" s="63">
        <v>44</v>
      </c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W1767" s="5">
        <f>IF(Q1767&gt;0,RANK(Q1767,(N1767:P1767,Q1767:AE1767)),0)</f>
        <v>3</v>
      </c>
      <c r="AX1767" s="5">
        <f>IF(R1767&gt;0,RANK(R1767,(N1767:P1767,Q1767:AE1767)),0)</f>
        <v>5</v>
      </c>
      <c r="AY1767" s="5">
        <f>IF(T1767&gt;0,RANK(T1767,(N1767:P1767,Q1767:AE1767)),0)</f>
        <v>0</v>
      </c>
      <c r="AZ1767" s="5">
        <f>IF(S1767&gt;0,RANK(S1767,(N1767:P1767,Q1767:AE1767)),0)</f>
        <v>0</v>
      </c>
      <c r="BA1767" s="2">
        <f t="shared" si="728"/>
        <v>3.1652989449003514E-2</v>
      </c>
      <c r="BB1767" s="2">
        <f t="shared" si="729"/>
        <v>5.275498241500586E-3</v>
      </c>
      <c r="BC1767" s="2">
        <f t="shared" si="730"/>
        <v>0</v>
      </c>
      <c r="BD1767" s="2">
        <f t="shared" si="731"/>
        <v>0</v>
      </c>
      <c r="BF1767" t="s">
        <v>370</v>
      </c>
      <c r="BG1767" t="s">
        <v>290</v>
      </c>
      <c r="BH1767">
        <v>3</v>
      </c>
      <c r="BJ1767" s="114">
        <v>31</v>
      </c>
      <c r="BK1767" s="116">
        <v>89</v>
      </c>
      <c r="BL1767" s="120">
        <f t="shared" si="710"/>
        <v>31089</v>
      </c>
      <c r="BN1767" s="5" t="s">
        <v>3154</v>
      </c>
    </row>
    <row r="1768" spans="1:66" hidden="1" outlineLevel="1">
      <c r="A1768" t="s">
        <v>1262</v>
      </c>
      <c r="B1768" t="s">
        <v>290</v>
      </c>
      <c r="C1768" s="1">
        <f t="shared" si="723"/>
        <v>417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32">
        <f t="shared" si="721"/>
        <v>315</v>
      </c>
      <c r="H1768" s="137">
        <f t="shared" si="722"/>
        <v>0.75539568345323738</v>
      </c>
      <c r="I1768" s="2"/>
      <c r="J1768" s="2">
        <f t="shared" si="724"/>
        <v>9.5923261390887291E-2</v>
      </c>
      <c r="K1768" s="2">
        <f t="shared" si="725"/>
        <v>0.85131894484412474</v>
      </c>
      <c r="L1768" s="2">
        <f t="shared" si="726"/>
        <v>0</v>
      </c>
      <c r="M1768" s="2">
        <f t="shared" si="727"/>
        <v>5.2757793764988015E-2</v>
      </c>
      <c r="N1768" s="63">
        <v>40</v>
      </c>
      <c r="O1768" s="63">
        <v>355</v>
      </c>
      <c r="P1768" s="63"/>
      <c r="Q1768" s="63">
        <v>16</v>
      </c>
      <c r="R1768" s="63">
        <v>3</v>
      </c>
      <c r="S1768" s="63"/>
      <c r="T1768" s="63"/>
      <c r="U1768" s="63"/>
      <c r="V1768" s="63"/>
      <c r="W1768" s="63">
        <v>3</v>
      </c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W1768" s="5">
        <f>IF(Q1768&gt;0,RANK(Q1768,(N1768:P1768,Q1768:AE1768)),0)</f>
        <v>3</v>
      </c>
      <c r="AX1768" s="5">
        <f>IF(R1768&gt;0,RANK(R1768,(N1768:P1768,Q1768:AE1768)),0)</f>
        <v>4</v>
      </c>
      <c r="AY1768" s="5">
        <f>IF(T1768&gt;0,RANK(T1768,(N1768:P1768,Q1768:AE1768)),0)</f>
        <v>0</v>
      </c>
      <c r="AZ1768" s="5">
        <f>IF(S1768&gt;0,RANK(S1768,(N1768:P1768,Q1768:AE1768)),0)</f>
        <v>0</v>
      </c>
      <c r="BA1768" s="2">
        <f t="shared" si="728"/>
        <v>3.8369304556354913E-2</v>
      </c>
      <c r="BB1768" s="2">
        <f t="shared" si="729"/>
        <v>7.1942446043165471E-3</v>
      </c>
      <c r="BC1768" s="2">
        <f t="shared" si="730"/>
        <v>0</v>
      </c>
      <c r="BD1768" s="2">
        <f t="shared" si="731"/>
        <v>0</v>
      </c>
      <c r="BF1768" t="s">
        <v>1262</v>
      </c>
      <c r="BG1768" t="s">
        <v>290</v>
      </c>
      <c r="BH1768">
        <v>3</v>
      </c>
      <c r="BJ1768" s="114">
        <v>31</v>
      </c>
      <c r="BK1768" s="116">
        <v>91</v>
      </c>
      <c r="BL1768" s="120">
        <f t="shared" si="710"/>
        <v>31091</v>
      </c>
      <c r="BN1768" s="5" t="s">
        <v>3154</v>
      </c>
    </row>
    <row r="1769" spans="1:66" hidden="1" outlineLevel="1">
      <c r="A1769" t="s">
        <v>1049</v>
      </c>
      <c r="B1769" t="s">
        <v>290</v>
      </c>
      <c r="C1769" s="1">
        <f t="shared" si="723"/>
        <v>2994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32">
        <f t="shared" si="721"/>
        <v>1740</v>
      </c>
      <c r="H1769" s="137">
        <f t="shared" si="722"/>
        <v>0.58116232464929862</v>
      </c>
      <c r="I1769" s="2"/>
      <c r="J1769" s="2">
        <f t="shared" si="724"/>
        <v>0.18169672678690715</v>
      </c>
      <c r="K1769" s="2">
        <f t="shared" si="725"/>
        <v>0.76285905143620569</v>
      </c>
      <c r="L1769" s="2">
        <f t="shared" si="726"/>
        <v>0</v>
      </c>
      <c r="M1769" s="2">
        <f t="shared" si="727"/>
        <v>5.5444221776887126E-2</v>
      </c>
      <c r="N1769" s="63">
        <v>544</v>
      </c>
      <c r="O1769" s="63">
        <v>2284</v>
      </c>
      <c r="P1769" s="63"/>
      <c r="Q1769" s="63">
        <v>108</v>
      </c>
      <c r="R1769" s="63">
        <v>22</v>
      </c>
      <c r="S1769" s="63"/>
      <c r="T1769" s="63"/>
      <c r="U1769" s="63"/>
      <c r="V1769" s="63"/>
      <c r="W1769" s="63">
        <v>36</v>
      </c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W1769" s="5">
        <f>IF(Q1769&gt;0,RANK(Q1769,(N1769:P1769,Q1769:AE1769)),0)</f>
        <v>3</v>
      </c>
      <c r="AX1769" s="5">
        <f>IF(R1769&gt;0,RANK(R1769,(N1769:P1769,Q1769:AE1769)),0)</f>
        <v>5</v>
      </c>
      <c r="AY1769" s="5">
        <f>IF(T1769&gt;0,RANK(T1769,(N1769:P1769,Q1769:AE1769)),0)</f>
        <v>0</v>
      </c>
      <c r="AZ1769" s="5">
        <f>IF(S1769&gt;0,RANK(S1769,(N1769:P1769,Q1769:AE1769)),0)</f>
        <v>0</v>
      </c>
      <c r="BA1769" s="2">
        <f t="shared" si="728"/>
        <v>3.6072144288577156E-2</v>
      </c>
      <c r="BB1769" s="2">
        <f t="shared" si="729"/>
        <v>7.3480293921175683E-3</v>
      </c>
      <c r="BC1769" s="2">
        <f t="shared" si="730"/>
        <v>0</v>
      </c>
      <c r="BD1769" s="2">
        <f t="shared" si="731"/>
        <v>0</v>
      </c>
      <c r="BF1769" t="s">
        <v>1049</v>
      </c>
      <c r="BG1769" t="s">
        <v>290</v>
      </c>
      <c r="BH1769">
        <v>3</v>
      </c>
      <c r="BJ1769" s="114">
        <v>31</v>
      </c>
      <c r="BK1769" s="116">
        <v>93</v>
      </c>
      <c r="BL1769" s="120">
        <f t="shared" ref="BL1769:BL1832" si="732">1000*BJ1769+BK1769</f>
        <v>31093</v>
      </c>
      <c r="BN1769" s="5" t="s">
        <v>3154</v>
      </c>
    </row>
    <row r="1770" spans="1:66" hidden="1" outlineLevel="1">
      <c r="A1770" t="s">
        <v>1092</v>
      </c>
      <c r="B1770" t="s">
        <v>290</v>
      </c>
      <c r="C1770" s="1">
        <f t="shared" si="723"/>
        <v>3494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32">
        <f t="shared" si="721"/>
        <v>1562</v>
      </c>
      <c r="H1770" s="137">
        <f t="shared" si="722"/>
        <v>0.44705208929593587</v>
      </c>
      <c r="I1770" s="2"/>
      <c r="J1770" s="2">
        <f t="shared" si="724"/>
        <v>0.23955352032054952</v>
      </c>
      <c r="K1770" s="2">
        <f t="shared" si="725"/>
        <v>0.68660560961648542</v>
      </c>
      <c r="L1770" s="2">
        <f t="shared" si="726"/>
        <v>0</v>
      </c>
      <c r="M1770" s="2">
        <f t="shared" si="727"/>
        <v>7.3840870062965025E-2</v>
      </c>
      <c r="N1770" s="63">
        <v>837</v>
      </c>
      <c r="O1770" s="63">
        <v>2399</v>
      </c>
      <c r="P1770" s="63"/>
      <c r="Q1770" s="63">
        <v>182</v>
      </c>
      <c r="R1770" s="63">
        <v>30</v>
      </c>
      <c r="S1770" s="63"/>
      <c r="T1770" s="63"/>
      <c r="U1770" s="63"/>
      <c r="V1770" s="63"/>
      <c r="W1770" s="63">
        <v>46</v>
      </c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W1770" s="5">
        <f>IF(Q1770&gt;0,RANK(Q1770,(N1770:P1770,Q1770:AE1770)),0)</f>
        <v>3</v>
      </c>
      <c r="AX1770" s="5">
        <f>IF(R1770&gt;0,RANK(R1770,(N1770:P1770,Q1770:AE1770)),0)</f>
        <v>5</v>
      </c>
      <c r="AY1770" s="5">
        <f>IF(T1770&gt;0,RANK(T1770,(N1770:P1770,Q1770:AE1770)),0)</f>
        <v>0</v>
      </c>
      <c r="AZ1770" s="5">
        <f>IF(S1770&gt;0,RANK(S1770,(N1770:P1770,Q1770:AE1770)),0)</f>
        <v>0</v>
      </c>
      <c r="BA1770" s="2">
        <f t="shared" si="728"/>
        <v>5.2089295935890095E-2</v>
      </c>
      <c r="BB1770" s="2">
        <f t="shared" si="729"/>
        <v>8.5861476817401267E-3</v>
      </c>
      <c r="BC1770" s="2">
        <f t="shared" si="730"/>
        <v>0</v>
      </c>
      <c r="BD1770" s="2">
        <f t="shared" si="731"/>
        <v>0</v>
      </c>
      <c r="BF1770" t="s">
        <v>1092</v>
      </c>
      <c r="BG1770" t="s">
        <v>290</v>
      </c>
      <c r="BH1770">
        <v>3</v>
      </c>
      <c r="BJ1770" s="114">
        <v>31</v>
      </c>
      <c r="BK1770" s="116">
        <v>95</v>
      </c>
      <c r="BL1770" s="120">
        <f t="shared" si="732"/>
        <v>31095</v>
      </c>
      <c r="BN1770" s="5" t="s">
        <v>3154</v>
      </c>
    </row>
    <row r="1771" spans="1:66" hidden="1" outlineLevel="1">
      <c r="A1771" t="s">
        <v>1361</v>
      </c>
      <c r="B1771" t="s">
        <v>290</v>
      </c>
      <c r="C1771" s="1">
        <f t="shared" si="723"/>
        <v>2089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32">
        <f t="shared" si="721"/>
        <v>792</v>
      </c>
      <c r="H1771" s="137">
        <f t="shared" si="722"/>
        <v>0.37912876974629012</v>
      </c>
      <c r="I1771" s="2"/>
      <c r="J1771" s="2">
        <f t="shared" si="724"/>
        <v>0.26950694112015317</v>
      </c>
      <c r="K1771" s="2">
        <f t="shared" si="725"/>
        <v>0.64863571086644323</v>
      </c>
      <c r="L1771" s="2">
        <f t="shared" si="726"/>
        <v>0</v>
      </c>
      <c r="M1771" s="2">
        <f t="shared" si="727"/>
        <v>8.1857348013403608E-2</v>
      </c>
      <c r="N1771" s="63">
        <v>563</v>
      </c>
      <c r="O1771" s="63">
        <v>1355</v>
      </c>
      <c r="P1771" s="63"/>
      <c r="Q1771" s="63">
        <v>122</v>
      </c>
      <c r="R1771" s="63">
        <v>22</v>
      </c>
      <c r="S1771" s="63"/>
      <c r="T1771" s="63"/>
      <c r="U1771" s="63"/>
      <c r="V1771" s="63"/>
      <c r="W1771" s="63">
        <v>27</v>
      </c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W1771" s="5">
        <f>IF(Q1771&gt;0,RANK(Q1771,(N1771:P1771,Q1771:AE1771)),0)</f>
        <v>3</v>
      </c>
      <c r="AX1771" s="5">
        <f>IF(R1771&gt;0,RANK(R1771,(N1771:P1771,Q1771:AE1771)),0)</f>
        <v>5</v>
      </c>
      <c r="AY1771" s="5">
        <f>IF(T1771&gt;0,RANK(T1771,(N1771:P1771,Q1771:AE1771)),0)</f>
        <v>0</v>
      </c>
      <c r="AZ1771" s="5">
        <f>IF(S1771&gt;0,RANK(S1771,(N1771:P1771,Q1771:AE1771)),0)</f>
        <v>0</v>
      </c>
      <c r="BA1771" s="2">
        <f t="shared" si="728"/>
        <v>5.8401148875059837E-2</v>
      </c>
      <c r="BB1771" s="2">
        <f t="shared" si="729"/>
        <v>1.0531354715174725E-2</v>
      </c>
      <c r="BC1771" s="2">
        <f t="shared" si="730"/>
        <v>0</v>
      </c>
      <c r="BD1771" s="2">
        <f t="shared" si="731"/>
        <v>0</v>
      </c>
      <c r="BF1771" t="s">
        <v>1361</v>
      </c>
      <c r="BG1771" t="s">
        <v>290</v>
      </c>
      <c r="BH1771">
        <v>3</v>
      </c>
      <c r="BJ1771" s="114">
        <v>31</v>
      </c>
      <c r="BK1771" s="116">
        <v>97</v>
      </c>
      <c r="BL1771" s="120">
        <f t="shared" si="732"/>
        <v>31097</v>
      </c>
      <c r="BN1771" s="5" t="s">
        <v>3154</v>
      </c>
    </row>
    <row r="1772" spans="1:66" hidden="1" outlineLevel="1">
      <c r="A1772" t="s">
        <v>1069</v>
      </c>
      <c r="B1772" t="s">
        <v>290</v>
      </c>
      <c r="C1772" s="1">
        <f t="shared" si="723"/>
        <v>3296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32">
        <f t="shared" si="721"/>
        <v>1981</v>
      </c>
      <c r="H1772" s="137">
        <f t="shared" si="722"/>
        <v>0.60103155339805825</v>
      </c>
      <c r="I1772" s="2"/>
      <c r="J1772" s="2">
        <f t="shared" si="724"/>
        <v>0.16686893203883496</v>
      </c>
      <c r="K1772" s="2">
        <f t="shared" si="725"/>
        <v>0.76790048543689315</v>
      </c>
      <c r="L1772" s="2">
        <f t="shared" si="726"/>
        <v>0</v>
      </c>
      <c r="M1772" s="2">
        <f t="shared" si="727"/>
        <v>6.523058252427183E-2</v>
      </c>
      <c r="N1772" s="63">
        <v>550</v>
      </c>
      <c r="O1772" s="63">
        <v>2531</v>
      </c>
      <c r="P1772" s="63"/>
      <c r="Q1772" s="63">
        <v>148</v>
      </c>
      <c r="R1772" s="63">
        <v>26</v>
      </c>
      <c r="S1772" s="63"/>
      <c r="T1772" s="63"/>
      <c r="U1772" s="63"/>
      <c r="V1772" s="63"/>
      <c r="W1772" s="63">
        <v>41</v>
      </c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W1772" s="5">
        <f>IF(Q1772&gt;0,RANK(Q1772,(N1772:P1772,Q1772:AE1772)),0)</f>
        <v>3</v>
      </c>
      <c r="AX1772" s="5">
        <f>IF(R1772&gt;0,RANK(R1772,(N1772:P1772,Q1772:AE1772)),0)</f>
        <v>5</v>
      </c>
      <c r="AY1772" s="5">
        <f>IF(T1772&gt;0,RANK(T1772,(N1772:P1772,Q1772:AE1772)),0)</f>
        <v>0</v>
      </c>
      <c r="AZ1772" s="5">
        <f>IF(S1772&gt;0,RANK(S1772,(N1772:P1772,Q1772:AE1772)),0)</f>
        <v>0</v>
      </c>
      <c r="BA1772" s="2">
        <f t="shared" si="728"/>
        <v>4.4902912621359224E-2</v>
      </c>
      <c r="BB1772" s="2">
        <f t="shared" si="729"/>
        <v>7.8883495145631068E-3</v>
      </c>
      <c r="BC1772" s="2">
        <f t="shared" si="730"/>
        <v>0</v>
      </c>
      <c r="BD1772" s="2">
        <f t="shared" si="731"/>
        <v>0</v>
      </c>
      <c r="BF1772" t="s">
        <v>1069</v>
      </c>
      <c r="BG1772" t="s">
        <v>290</v>
      </c>
      <c r="BH1772">
        <v>3</v>
      </c>
      <c r="BJ1772" s="114">
        <v>31</v>
      </c>
      <c r="BK1772" s="116">
        <v>99</v>
      </c>
      <c r="BL1772" s="120">
        <f t="shared" si="732"/>
        <v>31099</v>
      </c>
      <c r="BN1772" s="5" t="s">
        <v>3154</v>
      </c>
    </row>
    <row r="1773" spans="1:66" hidden="1" outlineLevel="1">
      <c r="A1773" t="s">
        <v>1184</v>
      </c>
      <c r="B1773" t="s">
        <v>290</v>
      </c>
      <c r="C1773" s="1">
        <f t="shared" si="723"/>
        <v>4034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32">
        <f t="shared" si="721"/>
        <v>2664</v>
      </c>
      <c r="H1773" s="137">
        <f t="shared" si="722"/>
        <v>0.66038671294000995</v>
      </c>
      <c r="I1773" s="2"/>
      <c r="J1773" s="2">
        <f t="shared" si="724"/>
        <v>0.14154685176003967</v>
      </c>
      <c r="K1773" s="2">
        <f t="shared" si="725"/>
        <v>0.80193356470004962</v>
      </c>
      <c r="L1773" s="2">
        <f t="shared" si="726"/>
        <v>0</v>
      </c>
      <c r="M1773" s="2">
        <f t="shared" si="727"/>
        <v>5.6519583539910712E-2</v>
      </c>
      <c r="N1773" s="63">
        <v>571</v>
      </c>
      <c r="O1773" s="63">
        <v>3235</v>
      </c>
      <c r="P1773" s="63"/>
      <c r="Q1773" s="63">
        <v>164</v>
      </c>
      <c r="R1773" s="63">
        <v>25</v>
      </c>
      <c r="S1773" s="63"/>
      <c r="T1773" s="63"/>
      <c r="U1773" s="63"/>
      <c r="V1773" s="63"/>
      <c r="W1773" s="63">
        <v>39</v>
      </c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W1773" s="5">
        <f>IF(Q1773&gt;0,RANK(Q1773,(N1773:P1773,Q1773:AE1773)),0)</f>
        <v>3</v>
      </c>
      <c r="AX1773" s="5">
        <f>IF(R1773&gt;0,RANK(R1773,(N1773:P1773,Q1773:AE1773)),0)</f>
        <v>5</v>
      </c>
      <c r="AY1773" s="5">
        <f>IF(T1773&gt;0,RANK(T1773,(N1773:P1773,Q1773:AE1773)),0)</f>
        <v>0</v>
      </c>
      <c r="AZ1773" s="5">
        <f>IF(S1773&gt;0,RANK(S1773,(N1773:P1773,Q1773:AE1773)),0)</f>
        <v>0</v>
      </c>
      <c r="BA1773" s="2">
        <f t="shared" si="728"/>
        <v>4.0654437283093703E-2</v>
      </c>
      <c r="BB1773" s="2">
        <f t="shared" si="729"/>
        <v>6.1973227565691623E-3</v>
      </c>
      <c r="BC1773" s="2">
        <f t="shared" si="730"/>
        <v>0</v>
      </c>
      <c r="BD1773" s="2">
        <f t="shared" si="731"/>
        <v>0</v>
      </c>
      <c r="BF1773" t="s">
        <v>1184</v>
      </c>
      <c r="BG1773" t="s">
        <v>290</v>
      </c>
      <c r="BH1773">
        <v>3</v>
      </c>
      <c r="BJ1773" s="114">
        <v>31</v>
      </c>
      <c r="BK1773" s="116">
        <v>101</v>
      </c>
      <c r="BL1773" s="120">
        <f t="shared" si="732"/>
        <v>31101</v>
      </c>
      <c r="BN1773" s="5" t="s">
        <v>3154</v>
      </c>
    </row>
    <row r="1774" spans="1:66" hidden="1" outlineLevel="1">
      <c r="A1774" t="s">
        <v>918</v>
      </c>
      <c r="B1774" t="s">
        <v>290</v>
      </c>
      <c r="C1774" s="1">
        <f t="shared" si="723"/>
        <v>519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32">
        <f t="shared" si="721"/>
        <v>420</v>
      </c>
      <c r="H1774" s="137">
        <f t="shared" si="722"/>
        <v>0.80924855491329484</v>
      </c>
      <c r="I1774" s="2"/>
      <c r="J1774" s="2">
        <f t="shared" si="724"/>
        <v>7.7071290944123308E-2</v>
      </c>
      <c r="K1774" s="2">
        <f t="shared" si="725"/>
        <v>0.88631984585741808</v>
      </c>
      <c r="L1774" s="2">
        <f t="shared" si="726"/>
        <v>0</v>
      </c>
      <c r="M1774" s="2">
        <f t="shared" si="727"/>
        <v>3.6608863198458574E-2</v>
      </c>
      <c r="N1774" s="63">
        <v>40</v>
      </c>
      <c r="O1774" s="63">
        <v>460</v>
      </c>
      <c r="P1774" s="63"/>
      <c r="Q1774" s="63">
        <v>17</v>
      </c>
      <c r="R1774" s="63">
        <v>0</v>
      </c>
      <c r="S1774" s="63"/>
      <c r="T1774" s="63"/>
      <c r="U1774" s="63"/>
      <c r="V1774" s="63"/>
      <c r="W1774" s="63">
        <v>2</v>
      </c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W1774" s="5">
        <f>IF(Q1774&gt;0,RANK(Q1774,(N1774:P1774,Q1774:AE1774)),0)</f>
        <v>3</v>
      </c>
      <c r="AX1774" s="5">
        <f>IF(R1774&gt;0,RANK(R1774,(N1774:P1774,Q1774:AE1774)),0)</f>
        <v>0</v>
      </c>
      <c r="AY1774" s="5">
        <f>IF(T1774&gt;0,RANK(T1774,(N1774:P1774,Q1774:AE1774)),0)</f>
        <v>0</v>
      </c>
      <c r="AZ1774" s="5">
        <f>IF(S1774&gt;0,RANK(S1774,(N1774:P1774,Q1774:AE1774)),0)</f>
        <v>0</v>
      </c>
      <c r="BA1774" s="2">
        <f t="shared" si="728"/>
        <v>3.2755298651252408E-2</v>
      </c>
      <c r="BB1774" s="2">
        <f t="shared" si="729"/>
        <v>0</v>
      </c>
      <c r="BC1774" s="2">
        <f t="shared" si="730"/>
        <v>0</v>
      </c>
      <c r="BD1774" s="2">
        <f t="shared" si="731"/>
        <v>0</v>
      </c>
      <c r="BF1774" t="s">
        <v>918</v>
      </c>
      <c r="BG1774" t="s">
        <v>290</v>
      </c>
      <c r="BH1774">
        <v>3</v>
      </c>
      <c r="BJ1774" s="114">
        <v>31</v>
      </c>
      <c r="BK1774" s="116">
        <v>103</v>
      </c>
      <c r="BL1774" s="120">
        <f t="shared" si="732"/>
        <v>31103</v>
      </c>
      <c r="BN1774" s="5" t="s">
        <v>3154</v>
      </c>
    </row>
    <row r="1775" spans="1:66" hidden="1" outlineLevel="1">
      <c r="A1775" t="s">
        <v>1747</v>
      </c>
      <c r="B1775" t="s">
        <v>290</v>
      </c>
      <c r="C1775" s="1">
        <f t="shared" si="723"/>
        <v>1677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32">
        <f t="shared" si="721"/>
        <v>1100</v>
      </c>
      <c r="H1775" s="137">
        <f t="shared" si="722"/>
        <v>0.65593321407274896</v>
      </c>
      <c r="I1775" s="2"/>
      <c r="J1775" s="2">
        <f t="shared" si="724"/>
        <v>0.13714967203339296</v>
      </c>
      <c r="K1775" s="2">
        <f t="shared" si="725"/>
        <v>0.79308288610614197</v>
      </c>
      <c r="L1775" s="2">
        <f t="shared" si="726"/>
        <v>0</v>
      </c>
      <c r="M1775" s="2">
        <f t="shared" si="727"/>
        <v>6.9767441860465129E-2</v>
      </c>
      <c r="N1775" s="63">
        <v>230</v>
      </c>
      <c r="O1775" s="63">
        <v>1330</v>
      </c>
      <c r="P1775" s="63"/>
      <c r="Q1775" s="63">
        <v>78</v>
      </c>
      <c r="R1775" s="63">
        <v>18</v>
      </c>
      <c r="S1775" s="63"/>
      <c r="T1775" s="63"/>
      <c r="U1775" s="63"/>
      <c r="V1775" s="63"/>
      <c r="W1775" s="63">
        <v>21</v>
      </c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W1775" s="5">
        <f>IF(Q1775&gt;0,RANK(Q1775,(N1775:P1775,Q1775:AE1775)),0)</f>
        <v>3</v>
      </c>
      <c r="AX1775" s="5">
        <f>IF(R1775&gt;0,RANK(R1775,(N1775:P1775,Q1775:AE1775)),0)</f>
        <v>5</v>
      </c>
      <c r="AY1775" s="5">
        <f>IF(T1775&gt;0,RANK(T1775,(N1775:P1775,Q1775:AE1775)),0)</f>
        <v>0</v>
      </c>
      <c r="AZ1775" s="5">
        <f>IF(S1775&gt;0,RANK(S1775,(N1775:P1775,Q1775:AE1775)),0)</f>
        <v>0</v>
      </c>
      <c r="BA1775" s="2">
        <f t="shared" si="728"/>
        <v>4.6511627906976744E-2</v>
      </c>
      <c r="BB1775" s="2">
        <f t="shared" si="729"/>
        <v>1.0733452593917709E-2</v>
      </c>
      <c r="BC1775" s="2">
        <f t="shared" si="730"/>
        <v>0</v>
      </c>
      <c r="BD1775" s="2">
        <f t="shared" si="731"/>
        <v>0</v>
      </c>
      <c r="BF1775" t="s">
        <v>1747</v>
      </c>
      <c r="BG1775" t="s">
        <v>290</v>
      </c>
      <c r="BH1775">
        <v>3</v>
      </c>
      <c r="BJ1775" s="114">
        <v>31</v>
      </c>
      <c r="BK1775" s="116">
        <v>105</v>
      </c>
      <c r="BL1775" s="120">
        <f t="shared" si="732"/>
        <v>31105</v>
      </c>
      <c r="BN1775" s="5" t="s">
        <v>3154</v>
      </c>
    </row>
    <row r="1776" spans="1:66" hidden="1" outlineLevel="1">
      <c r="A1776" t="s">
        <v>1729</v>
      </c>
      <c r="B1776" t="s">
        <v>290</v>
      </c>
      <c r="C1776" s="1">
        <f t="shared" si="723"/>
        <v>4115</v>
      </c>
      <c r="D1776" s="5">
        <f>IF(N1776&gt;0, RANK(N1776,(N1776:P1776,Q1776:AE1776)),0)</f>
        <v>2</v>
      </c>
      <c r="E1776" s="5">
        <f>IF(O1776&gt;0,RANK(O1776,(N1776:P1776,Q1776:AE1776)),0)</f>
        <v>1</v>
      </c>
      <c r="F1776" s="5">
        <f>IF(P1776&gt;0,RANK(P1776,(N1776:P1776,Q1776:AE1776)),0)</f>
        <v>0</v>
      </c>
      <c r="G1776" s="132">
        <f t="shared" si="721"/>
        <v>2468</v>
      </c>
      <c r="H1776" s="137">
        <f t="shared" si="722"/>
        <v>0.59975698663426491</v>
      </c>
      <c r="I1776" s="2"/>
      <c r="J1776" s="2">
        <f t="shared" si="724"/>
        <v>0.17496962332928312</v>
      </c>
      <c r="K1776" s="2">
        <f t="shared" si="725"/>
        <v>0.77472660996354803</v>
      </c>
      <c r="L1776" s="2">
        <f t="shared" si="726"/>
        <v>0</v>
      </c>
      <c r="M1776" s="2">
        <f t="shared" si="727"/>
        <v>5.0303766707168851E-2</v>
      </c>
      <c r="N1776" s="63">
        <v>720</v>
      </c>
      <c r="O1776" s="63">
        <v>3188</v>
      </c>
      <c r="P1776" s="63"/>
      <c r="Q1776" s="63">
        <v>137</v>
      </c>
      <c r="R1776" s="63">
        <v>29</v>
      </c>
      <c r="S1776" s="63"/>
      <c r="T1776" s="63"/>
      <c r="U1776" s="63"/>
      <c r="V1776" s="63"/>
      <c r="W1776" s="63">
        <v>41</v>
      </c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W1776" s="5">
        <f>IF(Q1776&gt;0,RANK(Q1776,(N1776:P1776,Q1776:AE1776)),0)</f>
        <v>3</v>
      </c>
      <c r="AX1776" s="5">
        <f>IF(R1776&gt;0,RANK(R1776,(N1776:P1776,Q1776:AE1776)),0)</f>
        <v>5</v>
      </c>
      <c r="AY1776" s="5">
        <f>IF(T1776&gt;0,RANK(T1776,(N1776:P1776,Q1776:AE1776)),0)</f>
        <v>0</v>
      </c>
      <c r="AZ1776" s="5">
        <f>IF(S1776&gt;0,RANK(S1776,(N1776:P1776,Q1776:AE1776)),0)</f>
        <v>0</v>
      </c>
      <c r="BA1776" s="2">
        <f t="shared" si="728"/>
        <v>3.3292831105710817E-2</v>
      </c>
      <c r="BB1776" s="2">
        <f t="shared" si="729"/>
        <v>7.0473876063183475E-3</v>
      </c>
      <c r="BC1776" s="2">
        <f t="shared" si="730"/>
        <v>0</v>
      </c>
      <c r="BD1776" s="2">
        <f t="shared" si="731"/>
        <v>0</v>
      </c>
      <c r="BF1776" t="s">
        <v>1729</v>
      </c>
      <c r="BG1776" t="s">
        <v>290</v>
      </c>
      <c r="BH1776">
        <v>3</v>
      </c>
      <c r="BJ1776" s="114">
        <v>31</v>
      </c>
      <c r="BK1776" s="116">
        <v>107</v>
      </c>
      <c r="BL1776" s="120">
        <f t="shared" si="732"/>
        <v>31107</v>
      </c>
      <c r="BN1776" s="5" t="s">
        <v>3154</v>
      </c>
    </row>
    <row r="1777" spans="1:66" hidden="1" outlineLevel="1">
      <c r="A1777" t="s">
        <v>1061</v>
      </c>
      <c r="B1777" t="s">
        <v>290</v>
      </c>
      <c r="C1777" s="1">
        <f t="shared" si="723"/>
        <v>136223</v>
      </c>
      <c r="D1777" s="5">
        <f>IF(N1777&gt;0, RANK(N1777,(N1777:P1777,Q1777:AE1777)),0)</f>
        <v>1</v>
      </c>
      <c r="E1777" s="5">
        <f>IF(O1777&gt;0,RANK(O1777,(N1777:P1777,Q1777:AE1777)),0)</f>
        <v>2</v>
      </c>
      <c r="F1777" s="5">
        <f>IF(P1777&gt;0,RANK(P1777,(N1777:P1777,Q1777:AE1777)),0)</f>
        <v>0</v>
      </c>
      <c r="G1777" s="132">
        <f t="shared" si="721"/>
        <v>310</v>
      </c>
      <c r="H1777" s="137">
        <f t="shared" si="722"/>
        <v>2.2756803183016086E-3</v>
      </c>
      <c r="I1777" s="2"/>
      <c r="J1777" s="2">
        <f t="shared" si="724"/>
        <v>0.45438729142655793</v>
      </c>
      <c r="K1777" s="2">
        <f t="shared" si="725"/>
        <v>0.45211161110825632</v>
      </c>
      <c r="L1777" s="2">
        <f t="shared" si="726"/>
        <v>0</v>
      </c>
      <c r="M1777" s="2">
        <f t="shared" si="727"/>
        <v>9.3501097465185812E-2</v>
      </c>
      <c r="N1777" s="63">
        <v>61898</v>
      </c>
      <c r="O1777" s="63">
        <v>61588</v>
      </c>
      <c r="P1777" s="63"/>
      <c r="Q1777" s="63">
        <v>7109</v>
      </c>
      <c r="R1777" s="63">
        <v>1974</v>
      </c>
      <c r="S1777" s="63"/>
      <c r="T1777" s="63"/>
      <c r="U1777" s="63"/>
      <c r="V1777" s="63"/>
      <c r="W1777" s="63">
        <v>3654</v>
      </c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W1777" s="5">
        <f>IF(Q1777&gt;0,RANK(Q1777,(N1777:P1777,Q1777:AE1777)),0)</f>
        <v>3</v>
      </c>
      <c r="AX1777" s="5">
        <f>IF(R1777&gt;0,RANK(R1777,(N1777:P1777,Q1777:AE1777)),0)</f>
        <v>5</v>
      </c>
      <c r="AY1777" s="5">
        <f>IF(T1777&gt;0,RANK(T1777,(N1777:P1777,Q1777:AE1777)),0)</f>
        <v>0</v>
      </c>
      <c r="AZ1777" s="5">
        <f>IF(S1777&gt;0,RANK(S1777,(N1777:P1777,Q1777:AE1777)),0)</f>
        <v>0</v>
      </c>
      <c r="BA1777" s="2">
        <f t="shared" si="728"/>
        <v>5.218648833163269E-2</v>
      </c>
      <c r="BB1777" s="2">
        <f t="shared" si="729"/>
        <v>1.4490944994604436E-2</v>
      </c>
      <c r="BC1777" s="2">
        <f t="shared" si="730"/>
        <v>0</v>
      </c>
      <c r="BD1777" s="2">
        <f t="shared" si="731"/>
        <v>0</v>
      </c>
      <c r="BF1777" t="s">
        <v>1061</v>
      </c>
      <c r="BG1777" t="s">
        <v>290</v>
      </c>
      <c r="BH1777">
        <v>1</v>
      </c>
      <c r="BJ1777" s="114">
        <v>31</v>
      </c>
      <c r="BK1777" s="116">
        <v>109</v>
      </c>
      <c r="BL1777" s="120">
        <f t="shared" si="732"/>
        <v>31109</v>
      </c>
      <c r="BN1777" s="5" t="s">
        <v>3154</v>
      </c>
    </row>
    <row r="1778" spans="1:66" hidden="1" outlineLevel="1">
      <c r="A1778" t="s">
        <v>1597</v>
      </c>
      <c r="B1778" t="s">
        <v>290</v>
      </c>
      <c r="C1778" s="1">
        <f t="shared" si="723"/>
        <v>16131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32">
        <f t="shared" si="721"/>
        <v>9251</v>
      </c>
      <c r="H1778" s="137">
        <f t="shared" si="722"/>
        <v>0.57349203397185544</v>
      </c>
      <c r="I1778" s="2"/>
      <c r="J1778" s="2">
        <f t="shared" si="724"/>
        <v>0.18058396875581179</v>
      </c>
      <c r="K1778" s="2">
        <f t="shared" si="725"/>
        <v>0.75407600272766717</v>
      </c>
      <c r="L1778" s="2">
        <f t="shared" si="726"/>
        <v>0</v>
      </c>
      <c r="M1778" s="2">
        <f t="shared" si="727"/>
        <v>6.5340028516521098E-2</v>
      </c>
      <c r="N1778" s="63">
        <v>2913</v>
      </c>
      <c r="O1778" s="63">
        <v>12164</v>
      </c>
      <c r="P1778" s="63"/>
      <c r="Q1778" s="63">
        <v>711</v>
      </c>
      <c r="R1778" s="63">
        <v>107</v>
      </c>
      <c r="S1778" s="63"/>
      <c r="T1778" s="63"/>
      <c r="U1778" s="63"/>
      <c r="V1778" s="63"/>
      <c r="W1778" s="63">
        <v>236</v>
      </c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W1778" s="5">
        <f>IF(Q1778&gt;0,RANK(Q1778,(N1778:P1778,Q1778:AE1778)),0)</f>
        <v>3</v>
      </c>
      <c r="AX1778" s="5">
        <f>IF(R1778&gt;0,RANK(R1778,(N1778:P1778,Q1778:AE1778)),0)</f>
        <v>5</v>
      </c>
      <c r="AY1778" s="5">
        <f>IF(T1778&gt;0,RANK(T1778,(N1778:P1778,Q1778:AE1778)),0)</f>
        <v>0</v>
      </c>
      <c r="AZ1778" s="5">
        <f>IF(S1778&gt;0,RANK(S1778,(N1778:P1778,Q1778:AE1778)),0)</f>
        <v>0</v>
      </c>
      <c r="BA1778" s="2">
        <f t="shared" si="728"/>
        <v>4.4076622652036448E-2</v>
      </c>
      <c r="BB1778" s="2">
        <f t="shared" si="729"/>
        <v>6.6331907507284115E-3</v>
      </c>
      <c r="BC1778" s="2">
        <f t="shared" si="730"/>
        <v>0</v>
      </c>
      <c r="BD1778" s="2">
        <f t="shared" si="731"/>
        <v>0</v>
      </c>
      <c r="BF1778" t="s">
        <v>1597</v>
      </c>
      <c r="BG1778" t="s">
        <v>290</v>
      </c>
      <c r="BH1778">
        <v>3</v>
      </c>
      <c r="BJ1778" s="114">
        <v>31</v>
      </c>
      <c r="BK1778" s="116">
        <v>111</v>
      </c>
      <c r="BL1778" s="120">
        <f t="shared" si="732"/>
        <v>31111</v>
      </c>
      <c r="BN1778" s="5" t="s">
        <v>3154</v>
      </c>
    </row>
    <row r="1779" spans="1:66" hidden="1" outlineLevel="1">
      <c r="A1779" t="s">
        <v>844</v>
      </c>
      <c r="B1779" t="s">
        <v>290</v>
      </c>
      <c r="C1779" s="1">
        <f t="shared" si="723"/>
        <v>453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32">
        <f t="shared" si="721"/>
        <v>368</v>
      </c>
      <c r="H1779" s="137">
        <f t="shared" si="722"/>
        <v>0.8123620309050773</v>
      </c>
      <c r="I1779" s="2"/>
      <c r="J1779" s="2">
        <f t="shared" si="724"/>
        <v>7.0640176600441501E-2</v>
      </c>
      <c r="K1779" s="2">
        <f t="shared" si="725"/>
        <v>0.88300220750551872</v>
      </c>
      <c r="L1779" s="2">
        <f t="shared" si="726"/>
        <v>0</v>
      </c>
      <c r="M1779" s="2">
        <f t="shared" si="727"/>
        <v>4.635761589403975E-2</v>
      </c>
      <c r="N1779" s="63">
        <v>32</v>
      </c>
      <c r="O1779" s="63">
        <v>400</v>
      </c>
      <c r="P1779" s="63"/>
      <c r="Q1779" s="63">
        <v>18</v>
      </c>
      <c r="R1779" s="63">
        <v>1</v>
      </c>
      <c r="S1779" s="63"/>
      <c r="T1779" s="63"/>
      <c r="U1779" s="63"/>
      <c r="V1779" s="63"/>
      <c r="W1779" s="63">
        <v>2</v>
      </c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W1779" s="5">
        <f>IF(Q1779&gt;0,RANK(Q1779,(N1779:P1779,Q1779:AE1779)),0)</f>
        <v>3</v>
      </c>
      <c r="AX1779" s="5">
        <f>IF(R1779&gt;0,RANK(R1779,(N1779:P1779,Q1779:AE1779)),0)</f>
        <v>5</v>
      </c>
      <c r="AY1779" s="5">
        <f>IF(T1779&gt;0,RANK(T1779,(N1779:P1779,Q1779:AE1779)),0)</f>
        <v>0</v>
      </c>
      <c r="AZ1779" s="5">
        <f>IF(S1779&gt;0,RANK(S1779,(N1779:P1779,Q1779:AE1779)),0)</f>
        <v>0</v>
      </c>
      <c r="BA1779" s="2">
        <f t="shared" si="728"/>
        <v>3.9735099337748346E-2</v>
      </c>
      <c r="BB1779" s="2">
        <f t="shared" si="729"/>
        <v>2.2075055187637969E-3</v>
      </c>
      <c r="BC1779" s="2">
        <f t="shared" si="730"/>
        <v>0</v>
      </c>
      <c r="BD1779" s="2">
        <f t="shared" si="731"/>
        <v>0</v>
      </c>
      <c r="BF1779" t="s">
        <v>844</v>
      </c>
      <c r="BG1779" t="s">
        <v>290</v>
      </c>
      <c r="BH1779">
        <v>3</v>
      </c>
      <c r="BJ1779" s="114">
        <v>31</v>
      </c>
      <c r="BK1779" s="116">
        <v>113</v>
      </c>
      <c r="BL1779" s="120">
        <f t="shared" si="732"/>
        <v>31113</v>
      </c>
      <c r="BN1779" s="5" t="s">
        <v>3154</v>
      </c>
    </row>
    <row r="1780" spans="1:66" hidden="1" outlineLevel="1">
      <c r="A1780" t="s">
        <v>25</v>
      </c>
      <c r="B1780" t="s">
        <v>290</v>
      </c>
      <c r="C1780" s="1">
        <f t="shared" si="723"/>
        <v>385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32">
        <f t="shared" si="721"/>
        <v>275</v>
      </c>
      <c r="H1780" s="137">
        <f t="shared" si="722"/>
        <v>0.7142857142857143</v>
      </c>
      <c r="I1780" s="2"/>
      <c r="J1780" s="2">
        <f t="shared" si="724"/>
        <v>0.12467532467532468</v>
      </c>
      <c r="K1780" s="2">
        <f t="shared" si="725"/>
        <v>0.83896103896103891</v>
      </c>
      <c r="L1780" s="2">
        <f t="shared" si="726"/>
        <v>0</v>
      </c>
      <c r="M1780" s="2">
        <f t="shared" si="727"/>
        <v>3.6363636363636376E-2</v>
      </c>
      <c r="N1780" s="63">
        <v>48</v>
      </c>
      <c r="O1780" s="63">
        <v>323</v>
      </c>
      <c r="P1780" s="63"/>
      <c r="Q1780" s="63">
        <v>10</v>
      </c>
      <c r="R1780" s="63">
        <v>1</v>
      </c>
      <c r="S1780" s="63"/>
      <c r="T1780" s="63"/>
      <c r="U1780" s="63"/>
      <c r="V1780" s="63"/>
      <c r="W1780" s="63">
        <v>3</v>
      </c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W1780" s="5">
        <f>IF(Q1780&gt;0,RANK(Q1780,(N1780:P1780,Q1780:AE1780)),0)</f>
        <v>3</v>
      </c>
      <c r="AX1780" s="5">
        <f>IF(R1780&gt;0,RANK(R1780,(N1780:P1780,Q1780:AE1780)),0)</f>
        <v>5</v>
      </c>
      <c r="AY1780" s="5">
        <f>IF(T1780&gt;0,RANK(T1780,(N1780:P1780,Q1780:AE1780)),0)</f>
        <v>0</v>
      </c>
      <c r="AZ1780" s="5">
        <f>IF(S1780&gt;0,RANK(S1780,(N1780:P1780,Q1780:AE1780)),0)</f>
        <v>0</v>
      </c>
      <c r="BA1780" s="2">
        <f t="shared" si="728"/>
        <v>2.5974025974025976E-2</v>
      </c>
      <c r="BB1780" s="2">
        <f t="shared" si="729"/>
        <v>2.5974025974025974E-3</v>
      </c>
      <c r="BC1780" s="2">
        <f t="shared" si="730"/>
        <v>0</v>
      </c>
      <c r="BD1780" s="2">
        <f t="shared" si="731"/>
        <v>0</v>
      </c>
      <c r="BF1780" t="s">
        <v>25</v>
      </c>
      <c r="BG1780" t="s">
        <v>290</v>
      </c>
      <c r="BH1780">
        <v>3</v>
      </c>
      <c r="BJ1780" s="114">
        <v>31</v>
      </c>
      <c r="BK1780" s="116">
        <v>115</v>
      </c>
      <c r="BL1780" s="120">
        <f t="shared" si="732"/>
        <v>31115</v>
      </c>
      <c r="BN1780" s="5" t="s">
        <v>3154</v>
      </c>
    </row>
    <row r="1781" spans="1:66" hidden="1" outlineLevel="1">
      <c r="A1781" t="s">
        <v>1334</v>
      </c>
      <c r="B1781" t="s">
        <v>290</v>
      </c>
      <c r="C1781" s="1">
        <f t="shared" si="723"/>
        <v>287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32">
        <f t="shared" si="721"/>
        <v>243</v>
      </c>
      <c r="H1781" s="137">
        <f t="shared" si="722"/>
        <v>0.84668989547038331</v>
      </c>
      <c r="I1781" s="2"/>
      <c r="J1781" s="2">
        <f t="shared" si="724"/>
        <v>4.878048780487805E-2</v>
      </c>
      <c r="K1781" s="2">
        <f t="shared" si="725"/>
        <v>0.89547038327526129</v>
      </c>
      <c r="L1781" s="2">
        <f t="shared" si="726"/>
        <v>0</v>
      </c>
      <c r="M1781" s="2">
        <f t="shared" si="727"/>
        <v>5.5749128919860613E-2</v>
      </c>
      <c r="N1781" s="63">
        <v>14</v>
      </c>
      <c r="O1781" s="63">
        <v>257</v>
      </c>
      <c r="P1781" s="63"/>
      <c r="Q1781" s="63">
        <v>14</v>
      </c>
      <c r="R1781" s="63">
        <v>1</v>
      </c>
      <c r="S1781" s="63"/>
      <c r="T1781" s="63"/>
      <c r="U1781" s="63"/>
      <c r="V1781" s="63"/>
      <c r="W1781" s="63">
        <v>1</v>
      </c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W1781" s="5">
        <f>IF(Q1781&gt;0,RANK(Q1781,(N1781:P1781,Q1781:AE1781)),0)</f>
        <v>2</v>
      </c>
      <c r="AX1781" s="5">
        <f>IF(R1781&gt;0,RANK(R1781,(N1781:P1781,Q1781:AE1781)),0)</f>
        <v>4</v>
      </c>
      <c r="AY1781" s="5">
        <f>IF(T1781&gt;0,RANK(T1781,(N1781:P1781,Q1781:AE1781)),0)</f>
        <v>0</v>
      </c>
      <c r="AZ1781" s="5">
        <f>IF(S1781&gt;0,RANK(S1781,(N1781:P1781,Q1781:AE1781)),0)</f>
        <v>0</v>
      </c>
      <c r="BA1781" s="2">
        <f t="shared" si="728"/>
        <v>4.878048780487805E-2</v>
      </c>
      <c r="BB1781" s="2">
        <f t="shared" si="729"/>
        <v>3.4843205574912892E-3</v>
      </c>
      <c r="BC1781" s="2">
        <f t="shared" si="730"/>
        <v>0</v>
      </c>
      <c r="BD1781" s="2">
        <f t="shared" si="731"/>
        <v>0</v>
      </c>
      <c r="BF1781" t="s">
        <v>1334</v>
      </c>
      <c r="BG1781" t="s">
        <v>290</v>
      </c>
      <c r="BH1781">
        <v>3</v>
      </c>
      <c r="BJ1781" s="114">
        <v>31</v>
      </c>
      <c r="BK1781" s="116">
        <v>117</v>
      </c>
      <c r="BL1781" s="120">
        <f t="shared" si="732"/>
        <v>31117</v>
      </c>
      <c r="BN1781" s="5" t="s">
        <v>3154</v>
      </c>
    </row>
    <row r="1782" spans="1:66" hidden="1" outlineLevel="1">
      <c r="A1782" t="s">
        <v>1650</v>
      </c>
      <c r="B1782" t="s">
        <v>290</v>
      </c>
      <c r="C1782" s="1">
        <f t="shared" si="723"/>
        <v>14343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32">
        <f t="shared" si="721"/>
        <v>7917</v>
      </c>
      <c r="H1782" s="137">
        <f t="shared" si="722"/>
        <v>0.55197657393850663</v>
      </c>
      <c r="I1782" s="2"/>
      <c r="J1782" s="2">
        <f t="shared" si="724"/>
        <v>0.18901206163285225</v>
      </c>
      <c r="K1782" s="2">
        <f t="shared" si="725"/>
        <v>0.74098863557135886</v>
      </c>
      <c r="L1782" s="2">
        <f t="shared" si="726"/>
        <v>0</v>
      </c>
      <c r="M1782" s="2">
        <f t="shared" si="727"/>
        <v>6.999930279578892E-2</v>
      </c>
      <c r="N1782" s="63">
        <v>2711</v>
      </c>
      <c r="O1782" s="63">
        <v>10628</v>
      </c>
      <c r="P1782" s="63"/>
      <c r="Q1782" s="63">
        <v>669</v>
      </c>
      <c r="R1782" s="63">
        <v>126</v>
      </c>
      <c r="S1782" s="63"/>
      <c r="T1782" s="63"/>
      <c r="U1782" s="63"/>
      <c r="V1782" s="63"/>
      <c r="W1782" s="63">
        <v>209</v>
      </c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W1782" s="5">
        <f>IF(Q1782&gt;0,RANK(Q1782,(N1782:P1782,Q1782:AE1782)),0)</f>
        <v>3</v>
      </c>
      <c r="AX1782" s="5">
        <f>IF(R1782&gt;0,RANK(R1782,(N1782:P1782,Q1782:AE1782)),0)</f>
        <v>5</v>
      </c>
      <c r="AY1782" s="5">
        <f>IF(T1782&gt;0,RANK(T1782,(N1782:P1782,Q1782:AE1782)),0)</f>
        <v>0</v>
      </c>
      <c r="AZ1782" s="5">
        <f>IF(S1782&gt;0,RANK(S1782,(N1782:P1782,Q1782:AE1782)),0)</f>
        <v>0</v>
      </c>
      <c r="BA1782" s="2">
        <f t="shared" si="728"/>
        <v>4.6642961723488807E-2</v>
      </c>
      <c r="BB1782" s="2">
        <f t="shared" si="729"/>
        <v>8.7847730600292828E-3</v>
      </c>
      <c r="BC1782" s="2">
        <f t="shared" si="730"/>
        <v>0</v>
      </c>
      <c r="BD1782" s="2">
        <f t="shared" si="731"/>
        <v>0</v>
      </c>
      <c r="BF1782" t="s">
        <v>1650</v>
      </c>
      <c r="BG1782" t="s">
        <v>290</v>
      </c>
      <c r="BH1782">
        <v>1</v>
      </c>
      <c r="BJ1782" s="114">
        <v>31</v>
      </c>
      <c r="BK1782" s="116">
        <v>119</v>
      </c>
      <c r="BL1782" s="120">
        <f t="shared" si="732"/>
        <v>31119</v>
      </c>
      <c r="BN1782" s="5" t="s">
        <v>3154</v>
      </c>
    </row>
    <row r="1783" spans="1:66" hidden="1" outlineLevel="1">
      <c r="A1783" t="s">
        <v>1348</v>
      </c>
      <c r="B1783" t="s">
        <v>290</v>
      </c>
      <c r="C1783" s="1">
        <f t="shared" si="723"/>
        <v>3788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32">
        <f t="shared" si="721"/>
        <v>2324</v>
      </c>
      <c r="H1783" s="137">
        <f t="shared" si="722"/>
        <v>0.61351636747624072</v>
      </c>
      <c r="I1783" s="2"/>
      <c r="J1783" s="2">
        <f t="shared" si="724"/>
        <v>0.15892291446673706</v>
      </c>
      <c r="K1783" s="2">
        <f t="shared" si="725"/>
        <v>0.77243928194297784</v>
      </c>
      <c r="L1783" s="2">
        <f t="shared" si="726"/>
        <v>0</v>
      </c>
      <c r="M1783" s="2">
        <f t="shared" si="727"/>
        <v>6.8637803590285151E-2</v>
      </c>
      <c r="N1783" s="63">
        <v>602</v>
      </c>
      <c r="O1783" s="63">
        <v>2926</v>
      </c>
      <c r="P1783" s="63"/>
      <c r="Q1783" s="63">
        <v>165</v>
      </c>
      <c r="R1783" s="63">
        <v>29</v>
      </c>
      <c r="S1783" s="63"/>
      <c r="T1783" s="63"/>
      <c r="U1783" s="63"/>
      <c r="V1783" s="63"/>
      <c r="W1783" s="63">
        <v>66</v>
      </c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W1783" s="5">
        <f>IF(Q1783&gt;0,RANK(Q1783,(N1783:P1783,Q1783:AE1783)),0)</f>
        <v>3</v>
      </c>
      <c r="AX1783" s="5">
        <f>IF(R1783&gt;0,RANK(R1783,(N1783:P1783,Q1783:AE1783)),0)</f>
        <v>5</v>
      </c>
      <c r="AY1783" s="5">
        <f>IF(T1783&gt;0,RANK(T1783,(N1783:P1783,Q1783:AE1783)),0)</f>
        <v>0</v>
      </c>
      <c r="AZ1783" s="5">
        <f>IF(S1783&gt;0,RANK(S1783,(N1783:P1783,Q1783:AE1783)),0)</f>
        <v>0</v>
      </c>
      <c r="BA1783" s="2">
        <f t="shared" si="728"/>
        <v>4.3558606124604014E-2</v>
      </c>
      <c r="BB1783" s="2">
        <f t="shared" si="729"/>
        <v>7.6557550158394931E-3</v>
      </c>
      <c r="BC1783" s="2">
        <f t="shared" si="730"/>
        <v>0</v>
      </c>
      <c r="BD1783" s="2">
        <f t="shared" si="731"/>
        <v>0</v>
      </c>
      <c r="BF1783" t="s">
        <v>1348</v>
      </c>
      <c r="BG1783" t="s">
        <v>290</v>
      </c>
      <c r="BH1783">
        <v>3</v>
      </c>
      <c r="BJ1783" s="114">
        <v>31</v>
      </c>
      <c r="BK1783" s="116">
        <v>121</v>
      </c>
      <c r="BL1783" s="120">
        <f t="shared" si="732"/>
        <v>31121</v>
      </c>
      <c r="BN1783" s="5" t="s">
        <v>3154</v>
      </c>
    </row>
    <row r="1784" spans="1:66" hidden="1" outlineLevel="1">
      <c r="A1784" t="s">
        <v>2645</v>
      </c>
      <c r="B1784" t="s">
        <v>290</v>
      </c>
      <c r="C1784" s="1">
        <f t="shared" si="723"/>
        <v>2209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32">
        <f t="shared" si="721"/>
        <v>1518</v>
      </c>
      <c r="H1784" s="137">
        <f t="shared" si="722"/>
        <v>0.68718877320054328</v>
      </c>
      <c r="I1784" s="2"/>
      <c r="J1784" s="2">
        <f t="shared" si="724"/>
        <v>0.12856496152105024</v>
      </c>
      <c r="K1784" s="2">
        <f t="shared" si="725"/>
        <v>0.81575373472159352</v>
      </c>
      <c r="L1784" s="2">
        <f t="shared" si="726"/>
        <v>0</v>
      </c>
      <c r="M1784" s="2">
        <f t="shared" si="727"/>
        <v>5.5681303757356249E-2</v>
      </c>
      <c r="N1784" s="63">
        <v>284</v>
      </c>
      <c r="O1784" s="63">
        <v>1802</v>
      </c>
      <c r="P1784" s="63"/>
      <c r="Q1784" s="63">
        <v>84</v>
      </c>
      <c r="R1784" s="63">
        <v>14</v>
      </c>
      <c r="S1784" s="63"/>
      <c r="T1784" s="63"/>
      <c r="U1784" s="63"/>
      <c r="V1784" s="63"/>
      <c r="W1784" s="63">
        <v>25</v>
      </c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W1784" s="5">
        <f>IF(Q1784&gt;0,RANK(Q1784,(N1784:P1784,Q1784:AE1784)),0)</f>
        <v>3</v>
      </c>
      <c r="AX1784" s="5">
        <f>IF(R1784&gt;0,RANK(R1784,(N1784:P1784,Q1784:AE1784)),0)</f>
        <v>5</v>
      </c>
      <c r="AY1784" s="5">
        <f>IF(T1784&gt;0,RANK(T1784,(N1784:P1784,Q1784:AE1784)),0)</f>
        <v>0</v>
      </c>
      <c r="AZ1784" s="5">
        <f>IF(S1784&gt;0,RANK(S1784,(N1784:P1784,Q1784:AE1784)),0)</f>
        <v>0</v>
      </c>
      <c r="BA1784" s="2">
        <f t="shared" si="728"/>
        <v>3.8026256224535988E-2</v>
      </c>
      <c r="BB1784" s="2">
        <f t="shared" si="729"/>
        <v>6.3377093707559983E-3</v>
      </c>
      <c r="BC1784" s="2">
        <f t="shared" si="730"/>
        <v>0</v>
      </c>
      <c r="BD1784" s="2">
        <f t="shared" si="731"/>
        <v>0</v>
      </c>
      <c r="BF1784" t="s">
        <v>2645</v>
      </c>
      <c r="BG1784" t="s">
        <v>290</v>
      </c>
      <c r="BH1784">
        <v>3</v>
      </c>
      <c r="BJ1784" s="114">
        <v>31</v>
      </c>
      <c r="BK1784" s="116">
        <v>123</v>
      </c>
      <c r="BL1784" s="120">
        <f t="shared" si="732"/>
        <v>31123</v>
      </c>
      <c r="BN1784" s="5" t="s">
        <v>3154</v>
      </c>
    </row>
    <row r="1785" spans="1:66" hidden="1" outlineLevel="1">
      <c r="A1785" t="s">
        <v>932</v>
      </c>
      <c r="B1785" t="s">
        <v>290</v>
      </c>
      <c r="C1785" s="1">
        <f t="shared" si="723"/>
        <v>1621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32">
        <f t="shared" si="721"/>
        <v>980</v>
      </c>
      <c r="H1785" s="137">
        <f t="shared" si="722"/>
        <v>0.60456508328192471</v>
      </c>
      <c r="I1785" s="2"/>
      <c r="J1785" s="2">
        <f t="shared" si="724"/>
        <v>0.17334978408389884</v>
      </c>
      <c r="K1785" s="2">
        <f t="shared" si="725"/>
        <v>0.7779148673658236</v>
      </c>
      <c r="L1785" s="2">
        <f t="shared" si="726"/>
        <v>0</v>
      </c>
      <c r="M1785" s="2">
        <f t="shared" si="727"/>
        <v>4.8735348550277502E-2</v>
      </c>
      <c r="N1785" s="63">
        <v>281</v>
      </c>
      <c r="O1785" s="63">
        <v>1261</v>
      </c>
      <c r="P1785" s="63"/>
      <c r="Q1785" s="63">
        <v>48</v>
      </c>
      <c r="R1785" s="63">
        <v>14</v>
      </c>
      <c r="S1785" s="63"/>
      <c r="T1785" s="63"/>
      <c r="U1785" s="63"/>
      <c r="V1785" s="63"/>
      <c r="W1785" s="63">
        <v>17</v>
      </c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W1785" s="5">
        <f>IF(Q1785&gt;0,RANK(Q1785,(N1785:P1785,Q1785:AE1785)),0)</f>
        <v>3</v>
      </c>
      <c r="AX1785" s="5">
        <f>IF(R1785&gt;0,RANK(R1785,(N1785:P1785,Q1785:AE1785)),0)</f>
        <v>5</v>
      </c>
      <c r="AY1785" s="5">
        <f>IF(T1785&gt;0,RANK(T1785,(N1785:P1785,Q1785:AE1785)),0)</f>
        <v>0</v>
      </c>
      <c r="AZ1785" s="5">
        <f>IF(S1785&gt;0,RANK(S1785,(N1785:P1785,Q1785:AE1785)),0)</f>
        <v>0</v>
      </c>
      <c r="BA1785" s="2">
        <f t="shared" si="728"/>
        <v>2.961135101789019E-2</v>
      </c>
      <c r="BB1785" s="2">
        <f t="shared" si="729"/>
        <v>8.6366440468846391E-3</v>
      </c>
      <c r="BC1785" s="2">
        <f t="shared" si="730"/>
        <v>0</v>
      </c>
      <c r="BD1785" s="2">
        <f t="shared" si="731"/>
        <v>0</v>
      </c>
      <c r="BF1785" t="s">
        <v>932</v>
      </c>
      <c r="BG1785" t="s">
        <v>290</v>
      </c>
      <c r="BH1785">
        <v>3</v>
      </c>
      <c r="BJ1785" s="114">
        <v>31</v>
      </c>
      <c r="BK1785" s="116">
        <v>125</v>
      </c>
      <c r="BL1785" s="120">
        <f t="shared" si="732"/>
        <v>31125</v>
      </c>
      <c r="BN1785" s="5" t="s">
        <v>3154</v>
      </c>
    </row>
    <row r="1786" spans="1:66" hidden="1" outlineLevel="1">
      <c r="A1786" t="s">
        <v>414</v>
      </c>
      <c r="B1786" t="s">
        <v>290</v>
      </c>
      <c r="C1786" s="1">
        <f t="shared" si="723"/>
        <v>3161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32">
        <f t="shared" si="721"/>
        <v>1331</v>
      </c>
      <c r="H1786" s="137">
        <f t="shared" si="722"/>
        <v>0.42106928187282505</v>
      </c>
      <c r="I1786" s="2"/>
      <c r="J1786" s="2">
        <f t="shared" si="724"/>
        <v>0.24833913318570072</v>
      </c>
      <c r="K1786" s="2">
        <f t="shared" si="725"/>
        <v>0.66940841505852577</v>
      </c>
      <c r="L1786" s="2">
        <f t="shared" si="726"/>
        <v>0</v>
      </c>
      <c r="M1786" s="2">
        <f t="shared" si="727"/>
        <v>8.2252451755773448E-2</v>
      </c>
      <c r="N1786" s="63">
        <v>785</v>
      </c>
      <c r="O1786" s="63">
        <v>2116</v>
      </c>
      <c r="P1786" s="63"/>
      <c r="Q1786" s="63">
        <v>180</v>
      </c>
      <c r="R1786" s="63">
        <v>27</v>
      </c>
      <c r="S1786" s="63"/>
      <c r="T1786" s="63"/>
      <c r="U1786" s="63"/>
      <c r="V1786" s="63"/>
      <c r="W1786" s="63">
        <v>53</v>
      </c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W1786" s="5">
        <f>IF(Q1786&gt;0,RANK(Q1786,(N1786:P1786,Q1786:AE1786)),0)</f>
        <v>3</v>
      </c>
      <c r="AX1786" s="5">
        <f>IF(R1786&gt;0,RANK(R1786,(N1786:P1786,Q1786:AE1786)),0)</f>
        <v>5</v>
      </c>
      <c r="AY1786" s="5">
        <f>IF(T1786&gt;0,RANK(T1786,(N1786:P1786,Q1786:AE1786)),0)</f>
        <v>0</v>
      </c>
      <c r="AZ1786" s="5">
        <f>IF(S1786&gt;0,RANK(S1786,(N1786:P1786,Q1786:AE1786)),0)</f>
        <v>0</v>
      </c>
      <c r="BA1786" s="2">
        <f t="shared" si="728"/>
        <v>5.694400506168934E-2</v>
      </c>
      <c r="BB1786" s="2">
        <f t="shared" si="729"/>
        <v>8.5416007592534014E-3</v>
      </c>
      <c r="BC1786" s="2">
        <f t="shared" si="730"/>
        <v>0</v>
      </c>
      <c r="BD1786" s="2">
        <f t="shared" si="731"/>
        <v>0</v>
      </c>
      <c r="BF1786" t="s">
        <v>414</v>
      </c>
      <c r="BG1786" t="s">
        <v>290</v>
      </c>
      <c r="BH1786">
        <v>3</v>
      </c>
      <c r="BJ1786" s="114">
        <v>31</v>
      </c>
      <c r="BK1786" s="116">
        <v>127</v>
      </c>
      <c r="BL1786" s="120">
        <f t="shared" si="732"/>
        <v>31127</v>
      </c>
      <c r="BN1786" s="5" t="s">
        <v>3154</v>
      </c>
    </row>
    <row r="1787" spans="1:66" hidden="1" outlineLevel="1">
      <c r="A1787" t="s">
        <v>1260</v>
      </c>
      <c r="B1787" t="s">
        <v>290</v>
      </c>
      <c r="C1787" s="1">
        <f t="shared" ref="C1787:C1816" si="733">SUM(N1787:AU1787)</f>
        <v>2205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32">
        <f t="shared" si="721"/>
        <v>1373</v>
      </c>
      <c r="H1787" s="137">
        <f t="shared" si="722"/>
        <v>0.62267573696145129</v>
      </c>
      <c r="I1787" s="2"/>
      <c r="J1787" s="2">
        <f t="shared" ref="J1787:J1816" si="734">IF($C1787=0,"-",N1787/$C1787)</f>
        <v>0.1600907029478458</v>
      </c>
      <c r="K1787" s="2">
        <f t="shared" ref="K1787:K1816" si="735">IF($C1787=0,"-",O1787/$C1787)</f>
        <v>0.78276643990929706</v>
      </c>
      <c r="L1787" s="2">
        <f t="shared" ref="L1787:L1816" si="736">IF($C1787=0,"-",P1787/$C1787)</f>
        <v>0</v>
      </c>
      <c r="M1787" s="2">
        <f t="shared" ref="M1787:M1816" si="737">IF(C1787=0,"-",(1-J1787-K1787-L1787))</f>
        <v>5.7142857142857162E-2</v>
      </c>
      <c r="N1787" s="63">
        <v>353</v>
      </c>
      <c r="O1787" s="63">
        <v>1726</v>
      </c>
      <c r="P1787" s="63"/>
      <c r="Q1787" s="63">
        <v>88</v>
      </c>
      <c r="R1787" s="63">
        <v>20</v>
      </c>
      <c r="S1787" s="63"/>
      <c r="T1787" s="63"/>
      <c r="U1787" s="63"/>
      <c r="V1787" s="63"/>
      <c r="W1787" s="63">
        <v>18</v>
      </c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W1787" s="5">
        <f>IF(Q1787&gt;0,RANK(Q1787,(N1787:P1787,Q1787:AE1787)),0)</f>
        <v>3</v>
      </c>
      <c r="AX1787" s="5">
        <f>IF(R1787&gt;0,RANK(R1787,(N1787:P1787,Q1787:AE1787)),0)</f>
        <v>4</v>
      </c>
      <c r="AY1787" s="5">
        <f>IF(T1787&gt;0,RANK(T1787,(N1787:P1787,Q1787:AE1787)),0)</f>
        <v>0</v>
      </c>
      <c r="AZ1787" s="5">
        <f>IF(S1787&gt;0,RANK(S1787,(N1787:P1787,Q1787:AE1787)),0)</f>
        <v>0</v>
      </c>
      <c r="BA1787" s="2">
        <f t="shared" ref="BA1787:BA1816" si="738">IF($C1787=0,"-",Q1787/$C1787)</f>
        <v>3.9909297052154194E-2</v>
      </c>
      <c r="BB1787" s="2">
        <f t="shared" ref="BB1787:BB1816" si="739">IF($C1787=0,"-",R1787/$C1787)</f>
        <v>9.0702947845804991E-3</v>
      </c>
      <c r="BC1787" s="2">
        <f t="shared" ref="BC1787:BC1816" si="740">IF($C1787=0,"-",T1787/$C1787)</f>
        <v>0</v>
      </c>
      <c r="BD1787" s="2">
        <f t="shared" ref="BD1787:BD1816" si="741">IF($C1787=0,"-",S1787/$C1787)</f>
        <v>0</v>
      </c>
      <c r="BF1787" t="s">
        <v>1260</v>
      </c>
      <c r="BG1787" t="s">
        <v>290</v>
      </c>
      <c r="BH1787">
        <v>3</v>
      </c>
      <c r="BJ1787" s="114">
        <v>31</v>
      </c>
      <c r="BK1787" s="116">
        <v>129</v>
      </c>
      <c r="BL1787" s="120">
        <f t="shared" si="732"/>
        <v>31129</v>
      </c>
      <c r="BN1787" s="5" t="s">
        <v>3154</v>
      </c>
    </row>
    <row r="1788" spans="1:66" hidden="1" outlineLevel="1">
      <c r="A1788" t="s">
        <v>1791</v>
      </c>
      <c r="B1788" t="s">
        <v>290</v>
      </c>
      <c r="C1788" s="1">
        <f t="shared" si="733"/>
        <v>7457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32">
        <f t="shared" si="721"/>
        <v>2835</v>
      </c>
      <c r="H1788" s="137">
        <f t="shared" si="722"/>
        <v>0.38017969692905995</v>
      </c>
      <c r="I1788" s="2"/>
      <c r="J1788" s="2">
        <f t="shared" si="734"/>
        <v>0.27155692637789997</v>
      </c>
      <c r="K1788" s="2">
        <f t="shared" si="735"/>
        <v>0.65173662330695992</v>
      </c>
      <c r="L1788" s="2">
        <f t="shared" si="736"/>
        <v>0</v>
      </c>
      <c r="M1788" s="2">
        <f t="shared" si="737"/>
        <v>7.6706450315140118E-2</v>
      </c>
      <c r="N1788" s="63">
        <v>2025</v>
      </c>
      <c r="O1788" s="63">
        <v>4860</v>
      </c>
      <c r="P1788" s="63"/>
      <c r="Q1788" s="63">
        <v>375</v>
      </c>
      <c r="R1788" s="63">
        <v>58</v>
      </c>
      <c r="S1788" s="63"/>
      <c r="T1788" s="63"/>
      <c r="U1788" s="63"/>
      <c r="V1788" s="63"/>
      <c r="W1788" s="63">
        <v>139</v>
      </c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W1788" s="5">
        <f>IF(Q1788&gt;0,RANK(Q1788,(N1788:P1788,Q1788:AE1788)),0)</f>
        <v>3</v>
      </c>
      <c r="AX1788" s="5">
        <f>IF(R1788&gt;0,RANK(R1788,(N1788:P1788,Q1788:AE1788)),0)</f>
        <v>5</v>
      </c>
      <c r="AY1788" s="5">
        <f>IF(T1788&gt;0,RANK(T1788,(N1788:P1788,Q1788:AE1788)),0)</f>
        <v>0</v>
      </c>
      <c r="AZ1788" s="5">
        <f>IF(S1788&gt;0,RANK(S1788,(N1788:P1788,Q1788:AE1788)),0)</f>
        <v>0</v>
      </c>
      <c r="BA1788" s="2">
        <f t="shared" si="738"/>
        <v>5.0288319699611103E-2</v>
      </c>
      <c r="BB1788" s="2">
        <f t="shared" si="739"/>
        <v>7.7779267802065176E-3</v>
      </c>
      <c r="BC1788" s="2">
        <f t="shared" si="740"/>
        <v>0</v>
      </c>
      <c r="BD1788" s="2">
        <f t="shared" si="741"/>
        <v>0</v>
      </c>
      <c r="BF1788" t="s">
        <v>1791</v>
      </c>
      <c r="BG1788" t="s">
        <v>290</v>
      </c>
      <c r="BH1788">
        <v>1</v>
      </c>
      <c r="BJ1788" s="114">
        <v>31</v>
      </c>
      <c r="BK1788" s="116">
        <v>131</v>
      </c>
      <c r="BL1788" s="120">
        <f t="shared" si="732"/>
        <v>31131</v>
      </c>
      <c r="BN1788" s="5" t="s">
        <v>3154</v>
      </c>
    </row>
    <row r="1789" spans="1:66" hidden="1" outlineLevel="1">
      <c r="A1789" t="s">
        <v>20</v>
      </c>
      <c r="B1789" t="s">
        <v>290</v>
      </c>
      <c r="C1789" s="1">
        <f t="shared" si="733"/>
        <v>1327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32">
        <f t="shared" si="721"/>
        <v>695</v>
      </c>
      <c r="H1789" s="137">
        <f t="shared" si="722"/>
        <v>0.52373775433308212</v>
      </c>
      <c r="I1789" s="2"/>
      <c r="J1789" s="2">
        <f t="shared" si="734"/>
        <v>0.21024868123587037</v>
      </c>
      <c r="K1789" s="2">
        <f t="shared" si="735"/>
        <v>0.73398643556895249</v>
      </c>
      <c r="L1789" s="2">
        <f t="shared" si="736"/>
        <v>0</v>
      </c>
      <c r="M1789" s="2">
        <f t="shared" si="737"/>
        <v>5.576488319517714E-2</v>
      </c>
      <c r="N1789" s="63">
        <v>279</v>
      </c>
      <c r="O1789" s="63">
        <v>974</v>
      </c>
      <c r="P1789" s="63"/>
      <c r="Q1789" s="63">
        <v>55</v>
      </c>
      <c r="R1789" s="63">
        <v>10</v>
      </c>
      <c r="S1789" s="63"/>
      <c r="T1789" s="63"/>
      <c r="U1789" s="63"/>
      <c r="V1789" s="63"/>
      <c r="W1789" s="63">
        <v>9</v>
      </c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W1789" s="5">
        <f>IF(Q1789&gt;0,RANK(Q1789,(N1789:P1789,Q1789:AE1789)),0)</f>
        <v>3</v>
      </c>
      <c r="AX1789" s="5">
        <f>IF(R1789&gt;0,RANK(R1789,(N1789:P1789,Q1789:AE1789)),0)</f>
        <v>4</v>
      </c>
      <c r="AY1789" s="5">
        <f>IF(T1789&gt;0,RANK(T1789,(N1789:P1789,Q1789:AE1789)),0)</f>
        <v>0</v>
      </c>
      <c r="AZ1789" s="5">
        <f>IF(S1789&gt;0,RANK(S1789,(N1789:P1789,Q1789:AE1789)),0)</f>
        <v>0</v>
      </c>
      <c r="BA1789" s="2">
        <f t="shared" si="738"/>
        <v>4.1446872645064053E-2</v>
      </c>
      <c r="BB1789" s="2">
        <f t="shared" si="739"/>
        <v>7.5357950263752827E-3</v>
      </c>
      <c r="BC1789" s="2">
        <f t="shared" si="740"/>
        <v>0</v>
      </c>
      <c r="BD1789" s="2">
        <f t="shared" si="741"/>
        <v>0</v>
      </c>
      <c r="BF1789" t="s">
        <v>20</v>
      </c>
      <c r="BG1789" t="s">
        <v>290</v>
      </c>
      <c r="BH1789">
        <v>3</v>
      </c>
      <c r="BJ1789" s="114">
        <v>31</v>
      </c>
      <c r="BK1789" s="116">
        <v>133</v>
      </c>
      <c r="BL1789" s="120">
        <f t="shared" si="732"/>
        <v>31133</v>
      </c>
      <c r="BN1789" s="5" t="s">
        <v>3154</v>
      </c>
    </row>
    <row r="1790" spans="1:66" hidden="1" outlineLevel="1">
      <c r="A1790" t="s">
        <v>51</v>
      </c>
      <c r="B1790" t="s">
        <v>290</v>
      </c>
      <c r="C1790" s="1">
        <f t="shared" si="733"/>
        <v>1455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32">
        <f t="shared" si="721"/>
        <v>1056</v>
      </c>
      <c r="H1790" s="137">
        <f t="shared" si="722"/>
        <v>0.72577319587628863</v>
      </c>
      <c r="I1790" s="2"/>
      <c r="J1790" s="2">
        <f t="shared" si="734"/>
        <v>0.11065292096219931</v>
      </c>
      <c r="K1790" s="2">
        <f t="shared" si="735"/>
        <v>0.836426116838488</v>
      </c>
      <c r="L1790" s="2">
        <f t="shared" si="736"/>
        <v>0</v>
      </c>
      <c r="M1790" s="2">
        <f t="shared" si="737"/>
        <v>5.2920962199312638E-2</v>
      </c>
      <c r="N1790" s="63">
        <v>161</v>
      </c>
      <c r="O1790" s="63">
        <v>1217</v>
      </c>
      <c r="P1790" s="63"/>
      <c r="Q1790" s="63">
        <v>54</v>
      </c>
      <c r="R1790" s="63">
        <v>5</v>
      </c>
      <c r="S1790" s="63"/>
      <c r="T1790" s="63"/>
      <c r="U1790" s="63"/>
      <c r="V1790" s="63"/>
      <c r="W1790" s="63">
        <v>18</v>
      </c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W1790" s="5">
        <f>IF(Q1790&gt;0,RANK(Q1790,(N1790:P1790,Q1790:AE1790)),0)</f>
        <v>3</v>
      </c>
      <c r="AX1790" s="5">
        <f>IF(R1790&gt;0,RANK(R1790,(N1790:P1790,Q1790:AE1790)),0)</f>
        <v>5</v>
      </c>
      <c r="AY1790" s="5">
        <f>IF(T1790&gt;0,RANK(T1790,(N1790:P1790,Q1790:AE1790)),0)</f>
        <v>0</v>
      </c>
      <c r="AZ1790" s="5">
        <f>IF(S1790&gt;0,RANK(S1790,(N1790:P1790,Q1790:AE1790)),0)</f>
        <v>0</v>
      </c>
      <c r="BA1790" s="2">
        <f t="shared" si="738"/>
        <v>3.711340206185567E-2</v>
      </c>
      <c r="BB1790" s="2">
        <f t="shared" si="739"/>
        <v>3.4364261168384879E-3</v>
      </c>
      <c r="BC1790" s="2">
        <f t="shared" si="740"/>
        <v>0</v>
      </c>
      <c r="BD1790" s="2">
        <f t="shared" si="741"/>
        <v>0</v>
      </c>
      <c r="BF1790" t="s">
        <v>51</v>
      </c>
      <c r="BG1790" t="s">
        <v>290</v>
      </c>
      <c r="BH1790">
        <v>3</v>
      </c>
      <c r="BJ1790" s="114">
        <v>31</v>
      </c>
      <c r="BK1790" s="116">
        <v>135</v>
      </c>
      <c r="BL1790" s="120">
        <f t="shared" si="732"/>
        <v>31135</v>
      </c>
      <c r="BN1790" s="5" t="s">
        <v>3154</v>
      </c>
    </row>
    <row r="1791" spans="1:66" hidden="1" outlineLevel="1">
      <c r="A1791" t="s">
        <v>2171</v>
      </c>
      <c r="B1791" t="s">
        <v>290</v>
      </c>
      <c r="C1791" s="1">
        <f t="shared" si="733"/>
        <v>4695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32">
        <f t="shared" si="721"/>
        <v>3277</v>
      </c>
      <c r="H1791" s="137">
        <f t="shared" si="722"/>
        <v>0.69797657082002129</v>
      </c>
      <c r="I1791" s="2"/>
      <c r="J1791" s="2">
        <f t="shared" si="734"/>
        <v>0.12183173588924387</v>
      </c>
      <c r="K1791" s="2">
        <f t="shared" si="735"/>
        <v>0.81980830670926519</v>
      </c>
      <c r="L1791" s="2">
        <f t="shared" si="736"/>
        <v>0</v>
      </c>
      <c r="M1791" s="2">
        <f t="shared" si="737"/>
        <v>5.8359957401490914E-2</v>
      </c>
      <c r="N1791" s="63">
        <v>572</v>
      </c>
      <c r="O1791" s="63">
        <v>3849</v>
      </c>
      <c r="P1791" s="63"/>
      <c r="Q1791" s="63">
        <v>190</v>
      </c>
      <c r="R1791" s="63">
        <v>18</v>
      </c>
      <c r="S1791" s="63"/>
      <c r="T1791" s="63"/>
      <c r="U1791" s="63"/>
      <c r="V1791" s="63"/>
      <c r="W1791" s="63">
        <v>66</v>
      </c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W1791" s="5">
        <f>IF(Q1791&gt;0,RANK(Q1791,(N1791:P1791,Q1791:AE1791)),0)</f>
        <v>3</v>
      </c>
      <c r="AX1791" s="5">
        <f>IF(R1791&gt;0,RANK(R1791,(N1791:P1791,Q1791:AE1791)),0)</f>
        <v>5</v>
      </c>
      <c r="AY1791" s="5">
        <f>IF(T1791&gt;0,RANK(T1791,(N1791:P1791,Q1791:AE1791)),0)</f>
        <v>0</v>
      </c>
      <c r="AZ1791" s="5">
        <f>IF(S1791&gt;0,RANK(S1791,(N1791:P1791,Q1791:AE1791)),0)</f>
        <v>0</v>
      </c>
      <c r="BA1791" s="2">
        <f t="shared" si="738"/>
        <v>4.0468583599574018E-2</v>
      </c>
      <c r="BB1791" s="2">
        <f t="shared" si="739"/>
        <v>3.8338658146964857E-3</v>
      </c>
      <c r="BC1791" s="2">
        <f t="shared" si="740"/>
        <v>0</v>
      </c>
      <c r="BD1791" s="2">
        <f t="shared" si="741"/>
        <v>0</v>
      </c>
      <c r="BF1791" t="s">
        <v>2171</v>
      </c>
      <c r="BG1791" t="s">
        <v>290</v>
      </c>
      <c r="BH1791">
        <v>3</v>
      </c>
      <c r="BJ1791" s="114">
        <v>31</v>
      </c>
      <c r="BK1791" s="116">
        <v>137</v>
      </c>
      <c r="BL1791" s="120">
        <f t="shared" si="732"/>
        <v>31137</v>
      </c>
      <c r="BN1791" s="5" t="s">
        <v>3154</v>
      </c>
    </row>
    <row r="1792" spans="1:66" hidden="1" outlineLevel="1">
      <c r="A1792" t="s">
        <v>1762</v>
      </c>
      <c r="B1792" t="s">
        <v>290</v>
      </c>
      <c r="C1792" s="1">
        <f t="shared" si="733"/>
        <v>3630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32">
        <f t="shared" si="721"/>
        <v>2670</v>
      </c>
      <c r="H1792" s="137">
        <f t="shared" si="722"/>
        <v>0.73553719008264462</v>
      </c>
      <c r="I1792" s="2"/>
      <c r="J1792" s="2">
        <f t="shared" si="734"/>
        <v>0.10523415977961433</v>
      </c>
      <c r="K1792" s="2">
        <f t="shared" si="735"/>
        <v>0.84077134986225899</v>
      </c>
      <c r="L1792" s="2">
        <f t="shared" si="736"/>
        <v>0</v>
      </c>
      <c r="M1792" s="2">
        <f t="shared" si="737"/>
        <v>5.3994490358126646E-2</v>
      </c>
      <c r="N1792" s="63">
        <v>382</v>
      </c>
      <c r="O1792" s="63">
        <v>3052</v>
      </c>
      <c r="P1792" s="63"/>
      <c r="Q1792" s="63">
        <v>125</v>
      </c>
      <c r="R1792" s="63">
        <v>21</v>
      </c>
      <c r="S1792" s="63"/>
      <c r="T1792" s="63"/>
      <c r="U1792" s="63"/>
      <c r="V1792" s="63"/>
      <c r="W1792" s="63">
        <v>50</v>
      </c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W1792" s="5">
        <f>IF(Q1792&gt;0,RANK(Q1792,(N1792:P1792,Q1792:AE1792)),0)</f>
        <v>3</v>
      </c>
      <c r="AX1792" s="5">
        <f>IF(R1792&gt;0,RANK(R1792,(N1792:P1792,Q1792:AE1792)),0)</f>
        <v>5</v>
      </c>
      <c r="AY1792" s="5">
        <f>IF(T1792&gt;0,RANK(T1792,(N1792:P1792,Q1792:AE1792)),0)</f>
        <v>0</v>
      </c>
      <c r="AZ1792" s="5">
        <f>IF(S1792&gt;0,RANK(S1792,(N1792:P1792,Q1792:AE1792)),0)</f>
        <v>0</v>
      </c>
      <c r="BA1792" s="2">
        <f t="shared" si="738"/>
        <v>3.4435261707988982E-2</v>
      </c>
      <c r="BB1792" s="2">
        <f t="shared" si="739"/>
        <v>5.7851239669421484E-3</v>
      </c>
      <c r="BC1792" s="2">
        <f t="shared" si="740"/>
        <v>0</v>
      </c>
      <c r="BD1792" s="2">
        <f t="shared" si="741"/>
        <v>0</v>
      </c>
      <c r="BF1792" t="s">
        <v>1762</v>
      </c>
      <c r="BG1792" t="s">
        <v>290</v>
      </c>
      <c r="BH1792">
        <v>3</v>
      </c>
      <c r="BJ1792" s="114">
        <v>31</v>
      </c>
      <c r="BK1792" s="116">
        <v>139</v>
      </c>
      <c r="BL1792" s="120">
        <f t="shared" si="732"/>
        <v>31139</v>
      </c>
      <c r="BN1792" s="5" t="s">
        <v>3154</v>
      </c>
    </row>
    <row r="1793" spans="1:66" hidden="1" outlineLevel="1">
      <c r="A1793" t="s">
        <v>1679</v>
      </c>
      <c r="B1793" t="s">
        <v>290</v>
      </c>
      <c r="C1793" s="1">
        <f t="shared" si="733"/>
        <v>14433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32">
        <f t="shared" si="721"/>
        <v>8319</v>
      </c>
      <c r="H1793" s="137">
        <f t="shared" si="722"/>
        <v>0.57638744543753895</v>
      </c>
      <c r="I1793" s="2"/>
      <c r="J1793" s="2">
        <f t="shared" si="734"/>
        <v>0.18332986905009355</v>
      </c>
      <c r="K1793" s="2">
        <f t="shared" si="735"/>
        <v>0.75971731448763247</v>
      </c>
      <c r="L1793" s="2">
        <f t="shared" si="736"/>
        <v>0</v>
      </c>
      <c r="M1793" s="2">
        <f t="shared" si="737"/>
        <v>5.6952816462274014E-2</v>
      </c>
      <c r="N1793" s="63">
        <v>2646</v>
      </c>
      <c r="O1793" s="63">
        <v>10965</v>
      </c>
      <c r="P1793" s="63"/>
      <c r="Q1793" s="63">
        <v>495</v>
      </c>
      <c r="R1793" s="63">
        <v>86</v>
      </c>
      <c r="S1793" s="63"/>
      <c r="T1793" s="63"/>
      <c r="U1793" s="63"/>
      <c r="V1793" s="63"/>
      <c r="W1793" s="63">
        <v>241</v>
      </c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W1793" s="5">
        <f>IF(Q1793&gt;0,RANK(Q1793,(N1793:P1793,Q1793:AE1793)),0)</f>
        <v>3</v>
      </c>
      <c r="AX1793" s="5">
        <f>IF(R1793&gt;0,RANK(R1793,(N1793:P1793,Q1793:AE1793)),0)</f>
        <v>5</v>
      </c>
      <c r="AY1793" s="5">
        <f>IF(T1793&gt;0,RANK(T1793,(N1793:P1793,Q1793:AE1793)),0)</f>
        <v>0</v>
      </c>
      <c r="AZ1793" s="5">
        <f>IF(S1793&gt;0,RANK(S1793,(N1793:P1793,Q1793:AE1793)),0)</f>
        <v>0</v>
      </c>
      <c r="BA1793" s="2">
        <f t="shared" si="738"/>
        <v>3.4296404073997089E-2</v>
      </c>
      <c r="BB1793" s="2">
        <f t="shared" si="739"/>
        <v>5.9585671724520194E-3</v>
      </c>
      <c r="BC1793" s="2">
        <f t="shared" si="740"/>
        <v>0</v>
      </c>
      <c r="BD1793" s="2">
        <f t="shared" si="741"/>
        <v>0</v>
      </c>
      <c r="BF1793" t="s">
        <v>1679</v>
      </c>
      <c r="BG1793" t="s">
        <v>290</v>
      </c>
      <c r="BH1793">
        <v>1</v>
      </c>
      <c r="BJ1793" s="114">
        <v>31</v>
      </c>
      <c r="BK1793" s="116">
        <v>141</v>
      </c>
      <c r="BL1793" s="120">
        <f t="shared" si="732"/>
        <v>31141</v>
      </c>
      <c r="BN1793" s="5" t="s">
        <v>3154</v>
      </c>
    </row>
    <row r="1794" spans="1:66" hidden="1" outlineLevel="1">
      <c r="A1794" t="s">
        <v>879</v>
      </c>
      <c r="B1794" t="s">
        <v>290</v>
      </c>
      <c r="C1794" s="1">
        <f t="shared" si="733"/>
        <v>2582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32">
        <f t="shared" si="721"/>
        <v>1615</v>
      </c>
      <c r="H1794" s="137">
        <f t="shared" si="722"/>
        <v>0.6254841208365608</v>
      </c>
      <c r="I1794" s="2"/>
      <c r="J1794" s="2">
        <f t="shared" si="734"/>
        <v>0.15995352439969016</v>
      </c>
      <c r="K1794" s="2">
        <f t="shared" si="735"/>
        <v>0.78543764523625093</v>
      </c>
      <c r="L1794" s="2">
        <f t="shared" si="736"/>
        <v>0</v>
      </c>
      <c r="M1794" s="2">
        <f t="shared" si="737"/>
        <v>5.4608830364058947E-2</v>
      </c>
      <c r="N1794" s="63">
        <v>413</v>
      </c>
      <c r="O1794" s="63">
        <v>2028</v>
      </c>
      <c r="P1794" s="63"/>
      <c r="Q1794" s="63">
        <v>102</v>
      </c>
      <c r="R1794" s="63">
        <v>6</v>
      </c>
      <c r="S1794" s="63"/>
      <c r="T1794" s="63"/>
      <c r="U1794" s="63"/>
      <c r="V1794" s="63"/>
      <c r="W1794" s="63">
        <v>33</v>
      </c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W1794" s="5">
        <f>IF(Q1794&gt;0,RANK(Q1794,(N1794:P1794,Q1794:AE1794)),0)</f>
        <v>3</v>
      </c>
      <c r="AX1794" s="5">
        <f>IF(R1794&gt;0,RANK(R1794,(N1794:P1794,Q1794:AE1794)),0)</f>
        <v>5</v>
      </c>
      <c r="AY1794" s="5">
        <f>IF(T1794&gt;0,RANK(T1794,(N1794:P1794,Q1794:AE1794)),0)</f>
        <v>0</v>
      </c>
      <c r="AZ1794" s="5">
        <f>IF(S1794&gt;0,RANK(S1794,(N1794:P1794,Q1794:AE1794)),0)</f>
        <v>0</v>
      </c>
      <c r="BA1794" s="2">
        <f t="shared" si="738"/>
        <v>3.9504260263361735E-2</v>
      </c>
      <c r="BB1794" s="2">
        <f t="shared" si="739"/>
        <v>2.3237800154918666E-3</v>
      </c>
      <c r="BC1794" s="2">
        <f t="shared" si="740"/>
        <v>0</v>
      </c>
      <c r="BD1794" s="2">
        <f t="shared" si="741"/>
        <v>0</v>
      </c>
      <c r="BF1794" t="s">
        <v>879</v>
      </c>
      <c r="BG1794" t="s">
        <v>290</v>
      </c>
      <c r="BH1794">
        <v>1</v>
      </c>
      <c r="BJ1794" s="114">
        <v>31</v>
      </c>
      <c r="BK1794" s="116">
        <v>143</v>
      </c>
      <c r="BL1794" s="120">
        <f t="shared" si="732"/>
        <v>31143</v>
      </c>
      <c r="BN1794" s="5" t="s">
        <v>3154</v>
      </c>
    </row>
    <row r="1795" spans="1:66" hidden="1" outlineLevel="1">
      <c r="A1795" t="s">
        <v>185</v>
      </c>
      <c r="B1795" t="s">
        <v>290</v>
      </c>
      <c r="C1795" s="1">
        <f t="shared" si="733"/>
        <v>5170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32">
        <f t="shared" si="721"/>
        <v>3613</v>
      </c>
      <c r="H1795" s="137">
        <f t="shared" si="722"/>
        <v>0.69883945841392647</v>
      </c>
      <c r="I1795" s="2"/>
      <c r="J1795" s="2">
        <f t="shared" si="734"/>
        <v>0.12475822050290135</v>
      </c>
      <c r="K1795" s="2">
        <f t="shared" si="735"/>
        <v>0.82359767891682789</v>
      </c>
      <c r="L1795" s="2">
        <f t="shared" si="736"/>
        <v>0</v>
      </c>
      <c r="M1795" s="2">
        <f t="shared" si="737"/>
        <v>5.1644100580270802E-2</v>
      </c>
      <c r="N1795" s="63">
        <v>645</v>
      </c>
      <c r="O1795" s="63">
        <v>4258</v>
      </c>
      <c r="P1795" s="63"/>
      <c r="Q1795" s="63">
        <v>191</v>
      </c>
      <c r="R1795" s="63">
        <v>26</v>
      </c>
      <c r="S1795" s="63"/>
      <c r="T1795" s="63"/>
      <c r="U1795" s="63"/>
      <c r="V1795" s="63"/>
      <c r="W1795" s="63">
        <v>50</v>
      </c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W1795" s="5">
        <f>IF(Q1795&gt;0,RANK(Q1795,(N1795:P1795,Q1795:AE1795)),0)</f>
        <v>3</v>
      </c>
      <c r="AX1795" s="5">
        <f>IF(R1795&gt;0,RANK(R1795,(N1795:P1795,Q1795:AE1795)),0)</f>
        <v>5</v>
      </c>
      <c r="AY1795" s="5">
        <f>IF(T1795&gt;0,RANK(T1795,(N1795:P1795,Q1795:AE1795)),0)</f>
        <v>0</v>
      </c>
      <c r="AZ1795" s="5">
        <f>IF(S1795&gt;0,RANK(S1795,(N1795:P1795,Q1795:AE1795)),0)</f>
        <v>0</v>
      </c>
      <c r="BA1795" s="2">
        <f t="shared" si="738"/>
        <v>3.6943907156673117E-2</v>
      </c>
      <c r="BB1795" s="2">
        <f t="shared" si="739"/>
        <v>5.0290135396518377E-3</v>
      </c>
      <c r="BC1795" s="2">
        <f t="shared" si="740"/>
        <v>0</v>
      </c>
      <c r="BD1795" s="2">
        <f t="shared" si="741"/>
        <v>0</v>
      </c>
      <c r="BF1795" t="s">
        <v>185</v>
      </c>
      <c r="BG1795" t="s">
        <v>290</v>
      </c>
      <c r="BH1795">
        <v>3</v>
      </c>
      <c r="BJ1795" s="114">
        <v>31</v>
      </c>
      <c r="BK1795" s="116">
        <v>145</v>
      </c>
      <c r="BL1795" s="120">
        <f t="shared" si="732"/>
        <v>31145</v>
      </c>
      <c r="BN1795" s="5" t="s">
        <v>3154</v>
      </c>
    </row>
    <row r="1796" spans="1:66" hidden="1" outlineLevel="1">
      <c r="A1796" t="s">
        <v>2380</v>
      </c>
      <c r="B1796" t="s">
        <v>290</v>
      </c>
      <c r="C1796" s="1">
        <f t="shared" si="733"/>
        <v>3805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32">
        <f t="shared" si="721"/>
        <v>1951</v>
      </c>
      <c r="H1796" s="137">
        <f t="shared" si="722"/>
        <v>0.51274638633377134</v>
      </c>
      <c r="I1796" s="2"/>
      <c r="J1796" s="2">
        <f t="shared" si="734"/>
        <v>0.2149802890932983</v>
      </c>
      <c r="K1796" s="2">
        <f t="shared" si="735"/>
        <v>0.72772667542706959</v>
      </c>
      <c r="L1796" s="2">
        <f t="shared" si="736"/>
        <v>0</v>
      </c>
      <c r="M1796" s="2">
        <f t="shared" si="737"/>
        <v>5.7293035479632048E-2</v>
      </c>
      <c r="N1796" s="63">
        <v>818</v>
      </c>
      <c r="O1796" s="63">
        <v>2769</v>
      </c>
      <c r="P1796" s="63"/>
      <c r="Q1796" s="63">
        <v>159</v>
      </c>
      <c r="R1796" s="63">
        <v>27</v>
      </c>
      <c r="S1796" s="63"/>
      <c r="T1796" s="63"/>
      <c r="U1796" s="63"/>
      <c r="V1796" s="63"/>
      <c r="W1796" s="63">
        <v>32</v>
      </c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W1796" s="5">
        <f>IF(Q1796&gt;0,RANK(Q1796,(N1796:P1796,Q1796:AE1796)),0)</f>
        <v>3</v>
      </c>
      <c r="AX1796" s="5">
        <f>IF(R1796&gt;0,RANK(R1796,(N1796:P1796,Q1796:AE1796)),0)</f>
        <v>5</v>
      </c>
      <c r="AY1796" s="5">
        <f>IF(T1796&gt;0,RANK(T1796,(N1796:P1796,Q1796:AE1796)),0)</f>
        <v>0</v>
      </c>
      <c r="AZ1796" s="5">
        <f>IF(S1796&gt;0,RANK(S1796,(N1796:P1796,Q1796:AE1796)),0)</f>
        <v>0</v>
      </c>
      <c r="BA1796" s="2">
        <f t="shared" si="738"/>
        <v>4.1787122207621548E-2</v>
      </c>
      <c r="BB1796" s="2">
        <f t="shared" si="739"/>
        <v>7.0959264126149802E-3</v>
      </c>
      <c r="BC1796" s="2">
        <f t="shared" si="740"/>
        <v>0</v>
      </c>
      <c r="BD1796" s="2">
        <f t="shared" si="741"/>
        <v>0</v>
      </c>
      <c r="BF1796" t="s">
        <v>2380</v>
      </c>
      <c r="BG1796" t="s">
        <v>290</v>
      </c>
      <c r="BH1796">
        <v>3</v>
      </c>
      <c r="BJ1796" s="114">
        <v>31</v>
      </c>
      <c r="BK1796" s="116">
        <v>147</v>
      </c>
      <c r="BL1796" s="120">
        <f t="shared" si="732"/>
        <v>31147</v>
      </c>
      <c r="BN1796" s="5" t="s">
        <v>3154</v>
      </c>
    </row>
    <row r="1797" spans="1:66" hidden="1" outlineLevel="1">
      <c r="A1797" t="s">
        <v>1503</v>
      </c>
      <c r="B1797" t="s">
        <v>290</v>
      </c>
      <c r="C1797" s="1">
        <f t="shared" si="733"/>
        <v>798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32">
        <f t="shared" si="721"/>
        <v>617</v>
      </c>
      <c r="H1797" s="137">
        <f t="shared" si="722"/>
        <v>0.77318295739348375</v>
      </c>
      <c r="I1797" s="2"/>
      <c r="J1797" s="2">
        <f t="shared" si="734"/>
        <v>8.771929824561403E-2</v>
      </c>
      <c r="K1797" s="2">
        <f t="shared" si="735"/>
        <v>0.86090225563909772</v>
      </c>
      <c r="L1797" s="2">
        <f t="shared" si="736"/>
        <v>0</v>
      </c>
      <c r="M1797" s="2">
        <f t="shared" si="737"/>
        <v>5.137844611528819E-2</v>
      </c>
      <c r="N1797" s="63">
        <v>70</v>
      </c>
      <c r="O1797" s="63">
        <v>687</v>
      </c>
      <c r="P1797" s="63"/>
      <c r="Q1797" s="63">
        <v>33</v>
      </c>
      <c r="R1797" s="63">
        <v>4</v>
      </c>
      <c r="S1797" s="63"/>
      <c r="T1797" s="63"/>
      <c r="U1797" s="63"/>
      <c r="V1797" s="63"/>
      <c r="W1797" s="63">
        <v>4</v>
      </c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W1797" s="5">
        <f>IF(Q1797&gt;0,RANK(Q1797,(N1797:P1797,Q1797:AE1797)),0)</f>
        <v>3</v>
      </c>
      <c r="AX1797" s="5">
        <f>IF(R1797&gt;0,RANK(R1797,(N1797:P1797,Q1797:AE1797)),0)</f>
        <v>4</v>
      </c>
      <c r="AY1797" s="5">
        <f>IF(T1797&gt;0,RANK(T1797,(N1797:P1797,Q1797:AE1797)),0)</f>
        <v>0</v>
      </c>
      <c r="AZ1797" s="5">
        <f>IF(S1797&gt;0,RANK(S1797,(N1797:P1797,Q1797:AE1797)),0)</f>
        <v>0</v>
      </c>
      <c r="BA1797" s="2">
        <f t="shared" si="738"/>
        <v>4.1353383458646614E-2</v>
      </c>
      <c r="BB1797" s="2">
        <f t="shared" si="739"/>
        <v>5.0125313283208017E-3</v>
      </c>
      <c r="BC1797" s="2">
        <f t="shared" si="740"/>
        <v>0</v>
      </c>
      <c r="BD1797" s="2">
        <f t="shared" si="741"/>
        <v>0</v>
      </c>
      <c r="BF1797" t="s">
        <v>1503</v>
      </c>
      <c r="BG1797" t="s">
        <v>290</v>
      </c>
      <c r="BH1797">
        <v>3</v>
      </c>
      <c r="BJ1797" s="114">
        <v>31</v>
      </c>
      <c r="BK1797" s="116">
        <v>149</v>
      </c>
      <c r="BL1797" s="120">
        <f t="shared" si="732"/>
        <v>31149</v>
      </c>
      <c r="BN1797" s="5" t="s">
        <v>3154</v>
      </c>
    </row>
    <row r="1798" spans="1:66" hidden="1" outlineLevel="1">
      <c r="A1798" t="s">
        <v>649</v>
      </c>
      <c r="B1798" t="s">
        <v>290</v>
      </c>
      <c r="C1798" s="1">
        <f t="shared" si="733"/>
        <v>5136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32">
        <f t="shared" si="721"/>
        <v>1271</v>
      </c>
      <c r="H1798" s="137">
        <f t="shared" si="722"/>
        <v>0.24746884735202493</v>
      </c>
      <c r="I1798" s="2"/>
      <c r="J1798" s="2">
        <f t="shared" si="734"/>
        <v>0.33742211838006231</v>
      </c>
      <c r="K1798" s="2">
        <f t="shared" si="735"/>
        <v>0.58489096573208721</v>
      </c>
      <c r="L1798" s="2">
        <f t="shared" si="736"/>
        <v>0</v>
      </c>
      <c r="M1798" s="2">
        <f t="shared" si="737"/>
        <v>7.7686915887850483E-2</v>
      </c>
      <c r="N1798" s="63">
        <v>1733</v>
      </c>
      <c r="O1798" s="63">
        <v>3004</v>
      </c>
      <c r="P1798" s="63"/>
      <c r="Q1798" s="63">
        <v>284</v>
      </c>
      <c r="R1798" s="63">
        <v>52</v>
      </c>
      <c r="S1798" s="63"/>
      <c r="T1798" s="63"/>
      <c r="U1798" s="63"/>
      <c r="V1798" s="63"/>
      <c r="W1798" s="63">
        <v>63</v>
      </c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W1798" s="5">
        <f>IF(Q1798&gt;0,RANK(Q1798,(N1798:P1798,Q1798:AE1798)),0)</f>
        <v>3</v>
      </c>
      <c r="AX1798" s="5">
        <f>IF(R1798&gt;0,RANK(R1798,(N1798:P1798,Q1798:AE1798)),0)</f>
        <v>5</v>
      </c>
      <c r="AY1798" s="5">
        <f>IF(T1798&gt;0,RANK(T1798,(N1798:P1798,Q1798:AE1798)),0)</f>
        <v>0</v>
      </c>
      <c r="AZ1798" s="5">
        <f>IF(S1798&gt;0,RANK(S1798,(N1798:P1798,Q1798:AE1798)),0)</f>
        <v>0</v>
      </c>
      <c r="BA1798" s="2">
        <f t="shared" si="738"/>
        <v>5.5295950155763239E-2</v>
      </c>
      <c r="BB1798" s="2">
        <f t="shared" si="739"/>
        <v>1.0124610591900311E-2</v>
      </c>
      <c r="BC1798" s="2">
        <f t="shared" si="740"/>
        <v>0</v>
      </c>
      <c r="BD1798" s="2">
        <f t="shared" si="741"/>
        <v>0</v>
      </c>
      <c r="BF1798" t="s">
        <v>649</v>
      </c>
      <c r="BG1798" t="s">
        <v>290</v>
      </c>
      <c r="BH1798">
        <v>3</v>
      </c>
      <c r="BJ1798" s="114">
        <v>31</v>
      </c>
      <c r="BK1798" s="116">
        <v>151</v>
      </c>
      <c r="BL1798" s="120">
        <f t="shared" si="732"/>
        <v>31151</v>
      </c>
      <c r="BN1798" s="5" t="s">
        <v>3154</v>
      </c>
    </row>
    <row r="1799" spans="1:66" hidden="1" outlineLevel="1">
      <c r="A1799" t="s">
        <v>48</v>
      </c>
      <c r="B1799" t="s">
        <v>290</v>
      </c>
      <c r="C1799" s="1">
        <f t="shared" si="733"/>
        <v>80580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32">
        <f t="shared" si="721"/>
        <v>17110</v>
      </c>
      <c r="H1799" s="137">
        <f t="shared" si="722"/>
        <v>0.21233556713824769</v>
      </c>
      <c r="I1799" s="2"/>
      <c r="J1799" s="2">
        <f t="shared" si="734"/>
        <v>0.34789029535864979</v>
      </c>
      <c r="K1799" s="2">
        <f t="shared" si="735"/>
        <v>0.56022586249689754</v>
      </c>
      <c r="L1799" s="2">
        <f t="shared" si="736"/>
        <v>0</v>
      </c>
      <c r="M1799" s="2">
        <f t="shared" si="737"/>
        <v>9.1883842144452665E-2</v>
      </c>
      <c r="N1799" s="63">
        <v>28033</v>
      </c>
      <c r="O1799" s="63">
        <v>45143</v>
      </c>
      <c r="P1799" s="63"/>
      <c r="Q1799" s="63">
        <v>4682</v>
      </c>
      <c r="R1799" s="63">
        <v>836</v>
      </c>
      <c r="S1799" s="63"/>
      <c r="T1799" s="63"/>
      <c r="U1799" s="63"/>
      <c r="V1799" s="63"/>
      <c r="W1799" s="63">
        <v>1886</v>
      </c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W1799" s="5">
        <f>IF(Q1799&gt;0,RANK(Q1799,(N1799:P1799,Q1799:AE1799)),0)</f>
        <v>3</v>
      </c>
      <c r="AX1799" s="5">
        <f>IF(R1799&gt;0,RANK(R1799,(N1799:P1799,Q1799:AE1799)),0)</f>
        <v>5</v>
      </c>
      <c r="AY1799" s="5">
        <f>IF(T1799&gt;0,RANK(T1799,(N1799:P1799,Q1799:AE1799)),0)</f>
        <v>0</v>
      </c>
      <c r="AZ1799" s="5">
        <f>IF(S1799&gt;0,RANK(S1799,(N1799:P1799,Q1799:AE1799)),0)</f>
        <v>0</v>
      </c>
      <c r="BA1799" s="2">
        <f t="shared" si="738"/>
        <v>5.810374782824522E-2</v>
      </c>
      <c r="BB1799" s="2">
        <f t="shared" si="739"/>
        <v>1.0374782824522213E-2</v>
      </c>
      <c r="BC1799" s="2">
        <f t="shared" si="740"/>
        <v>0</v>
      </c>
      <c r="BD1799" s="2">
        <f t="shared" si="741"/>
        <v>0</v>
      </c>
      <c r="BF1799" t="s">
        <v>48</v>
      </c>
      <c r="BG1799" t="s">
        <v>290</v>
      </c>
      <c r="BJ1799" s="114">
        <v>31</v>
      </c>
      <c r="BK1799" s="116">
        <v>153</v>
      </c>
      <c r="BL1799" s="120">
        <f t="shared" si="732"/>
        <v>31153</v>
      </c>
      <c r="BN1799" s="5" t="s">
        <v>3154</v>
      </c>
    </row>
    <row r="1800" spans="1:66" hidden="1" outlineLevel="1">
      <c r="A1800" t="s">
        <v>1083</v>
      </c>
      <c r="B1800" t="s">
        <v>290</v>
      </c>
      <c r="C1800" s="1">
        <f t="shared" si="733"/>
        <v>10860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32">
        <f t="shared" ref="G1800:G1863" si="742">IF(C1800&gt;0,MAX(N1800:P1800)-LARGE(N1800:P1800,2),0)</f>
        <v>5032</v>
      </c>
      <c r="H1800" s="137">
        <f t="shared" ref="H1800:H1863" si="743">IF(C1800&gt;0,G1800/C1800,0)</f>
        <v>0.46335174953959485</v>
      </c>
      <c r="I1800" s="2"/>
      <c r="J1800" s="2">
        <f t="shared" si="734"/>
        <v>0.23232044198895027</v>
      </c>
      <c r="K1800" s="2">
        <f t="shared" si="735"/>
        <v>0.69567219152854509</v>
      </c>
      <c r="L1800" s="2">
        <f t="shared" si="736"/>
        <v>0</v>
      </c>
      <c r="M1800" s="2">
        <f t="shared" si="737"/>
        <v>7.2007366482504609E-2</v>
      </c>
      <c r="N1800" s="63">
        <v>2523</v>
      </c>
      <c r="O1800" s="63">
        <v>7555</v>
      </c>
      <c r="P1800" s="63"/>
      <c r="Q1800" s="63">
        <v>515</v>
      </c>
      <c r="R1800" s="63">
        <v>97</v>
      </c>
      <c r="S1800" s="63"/>
      <c r="T1800" s="63"/>
      <c r="U1800" s="63"/>
      <c r="V1800" s="63"/>
      <c r="W1800" s="63">
        <v>170</v>
      </c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W1800" s="5">
        <f>IF(Q1800&gt;0,RANK(Q1800,(N1800:P1800,Q1800:AE1800)),0)</f>
        <v>3</v>
      </c>
      <c r="AX1800" s="5">
        <f>IF(R1800&gt;0,RANK(R1800,(N1800:P1800,Q1800:AE1800)),0)</f>
        <v>5</v>
      </c>
      <c r="AY1800" s="5">
        <f>IF(T1800&gt;0,RANK(T1800,(N1800:P1800,Q1800:AE1800)),0)</f>
        <v>0</v>
      </c>
      <c r="AZ1800" s="5">
        <f>IF(S1800&gt;0,RANK(S1800,(N1800:P1800,Q1800:AE1800)),0)</f>
        <v>0</v>
      </c>
      <c r="BA1800" s="2">
        <f t="shared" si="738"/>
        <v>4.7421731123388579E-2</v>
      </c>
      <c r="BB1800" s="2">
        <f t="shared" si="739"/>
        <v>8.9318600368324119E-3</v>
      </c>
      <c r="BC1800" s="2">
        <f t="shared" si="740"/>
        <v>0</v>
      </c>
      <c r="BD1800" s="2">
        <f t="shared" si="741"/>
        <v>0</v>
      </c>
      <c r="BF1800" t="s">
        <v>1083</v>
      </c>
      <c r="BG1800" t="s">
        <v>290</v>
      </c>
      <c r="BH1800">
        <v>1</v>
      </c>
      <c r="BJ1800" s="114">
        <v>31</v>
      </c>
      <c r="BK1800" s="116">
        <v>155</v>
      </c>
      <c r="BL1800" s="120">
        <f t="shared" si="732"/>
        <v>31155</v>
      </c>
      <c r="BN1800" s="5" t="s">
        <v>3154</v>
      </c>
    </row>
    <row r="1801" spans="1:66" hidden="1" outlineLevel="1">
      <c r="A1801" t="s">
        <v>2319</v>
      </c>
      <c r="B1801" t="s">
        <v>290</v>
      </c>
      <c r="C1801" s="1">
        <f t="shared" si="733"/>
        <v>14317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32">
        <f t="shared" si="742"/>
        <v>6869</v>
      </c>
      <c r="H1801" s="137">
        <f t="shared" si="743"/>
        <v>0.47977928336942099</v>
      </c>
      <c r="I1801" s="2"/>
      <c r="J1801" s="2">
        <f t="shared" si="734"/>
        <v>0.22399944122372006</v>
      </c>
      <c r="K1801" s="2">
        <f t="shared" si="735"/>
        <v>0.70377872459314106</v>
      </c>
      <c r="L1801" s="2">
        <f t="shared" si="736"/>
        <v>0</v>
      </c>
      <c r="M1801" s="2">
        <f t="shared" si="737"/>
        <v>7.2221834183138878E-2</v>
      </c>
      <c r="N1801" s="63">
        <v>3207</v>
      </c>
      <c r="O1801" s="63">
        <v>10076</v>
      </c>
      <c r="P1801" s="63"/>
      <c r="Q1801" s="63">
        <v>683</v>
      </c>
      <c r="R1801" s="63">
        <v>126</v>
      </c>
      <c r="S1801" s="63"/>
      <c r="T1801" s="63"/>
      <c r="U1801" s="63"/>
      <c r="V1801" s="63"/>
      <c r="W1801" s="63">
        <v>225</v>
      </c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W1801" s="5">
        <f>IF(Q1801&gt;0,RANK(Q1801,(N1801:P1801,Q1801:AE1801)),0)</f>
        <v>3</v>
      </c>
      <c r="AX1801" s="5">
        <f>IF(R1801&gt;0,RANK(R1801,(N1801:P1801,Q1801:AE1801)),0)</f>
        <v>5</v>
      </c>
      <c r="AY1801" s="5">
        <f>IF(T1801&gt;0,RANK(T1801,(N1801:P1801,Q1801:AE1801)),0)</f>
        <v>0</v>
      </c>
      <c r="AZ1801" s="5">
        <f>IF(S1801&gt;0,RANK(S1801,(N1801:P1801,Q1801:AE1801)),0)</f>
        <v>0</v>
      </c>
      <c r="BA1801" s="2">
        <f t="shared" si="738"/>
        <v>4.7705524900467977E-2</v>
      </c>
      <c r="BB1801" s="2">
        <f t="shared" si="739"/>
        <v>8.8007264091639302E-3</v>
      </c>
      <c r="BC1801" s="2">
        <f t="shared" si="740"/>
        <v>0</v>
      </c>
      <c r="BD1801" s="2">
        <f t="shared" si="741"/>
        <v>0</v>
      </c>
      <c r="BF1801" t="s">
        <v>2319</v>
      </c>
      <c r="BG1801" t="s">
        <v>290</v>
      </c>
      <c r="BH1801">
        <v>3</v>
      </c>
      <c r="BJ1801" s="114">
        <v>31</v>
      </c>
      <c r="BK1801" s="116">
        <v>157</v>
      </c>
      <c r="BL1801" s="120">
        <f t="shared" si="732"/>
        <v>31157</v>
      </c>
      <c r="BN1801" s="5" t="s">
        <v>3154</v>
      </c>
    </row>
    <row r="1802" spans="1:66" hidden="1" outlineLevel="1">
      <c r="A1802" t="s">
        <v>650</v>
      </c>
      <c r="B1802" t="s">
        <v>290</v>
      </c>
      <c r="C1802" s="1">
        <f t="shared" si="733"/>
        <v>7922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32">
        <f t="shared" si="742"/>
        <v>3579</v>
      </c>
      <c r="H1802" s="137">
        <f t="shared" si="743"/>
        <v>0.45177985357233019</v>
      </c>
      <c r="I1802" s="2"/>
      <c r="J1802" s="2">
        <f t="shared" si="734"/>
        <v>0.23668265589497603</v>
      </c>
      <c r="K1802" s="2">
        <f t="shared" si="735"/>
        <v>0.68846250946730625</v>
      </c>
      <c r="L1802" s="2">
        <f t="shared" si="736"/>
        <v>0</v>
      </c>
      <c r="M1802" s="2">
        <f t="shared" si="737"/>
        <v>7.4854834637717693E-2</v>
      </c>
      <c r="N1802" s="63">
        <v>1875</v>
      </c>
      <c r="O1802" s="63">
        <v>5454</v>
      </c>
      <c r="P1802" s="63"/>
      <c r="Q1802" s="63">
        <v>337</v>
      </c>
      <c r="R1802" s="63">
        <v>84</v>
      </c>
      <c r="S1802" s="63"/>
      <c r="T1802" s="63"/>
      <c r="U1802" s="63"/>
      <c r="V1802" s="63"/>
      <c r="W1802" s="63">
        <v>172</v>
      </c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W1802" s="5">
        <f>IF(Q1802&gt;0,RANK(Q1802,(N1802:P1802,Q1802:AE1802)),0)</f>
        <v>3</v>
      </c>
      <c r="AX1802" s="5">
        <f>IF(R1802&gt;0,RANK(R1802,(N1802:P1802,Q1802:AE1802)),0)</f>
        <v>5</v>
      </c>
      <c r="AY1802" s="5">
        <f>IF(T1802&gt;0,RANK(T1802,(N1802:P1802,Q1802:AE1802)),0)</f>
        <v>0</v>
      </c>
      <c r="AZ1802" s="5">
        <f>IF(S1802&gt;0,RANK(S1802,(N1802:P1802,Q1802:AE1802)),0)</f>
        <v>0</v>
      </c>
      <c r="BA1802" s="2">
        <f t="shared" si="738"/>
        <v>4.2539762686190356E-2</v>
      </c>
      <c r="BB1802" s="2">
        <f t="shared" si="739"/>
        <v>1.0603382984094925E-2</v>
      </c>
      <c r="BC1802" s="2">
        <f t="shared" si="740"/>
        <v>0</v>
      </c>
      <c r="BD1802" s="2">
        <f t="shared" si="741"/>
        <v>0</v>
      </c>
      <c r="BF1802" t="s">
        <v>650</v>
      </c>
      <c r="BG1802" t="s">
        <v>290</v>
      </c>
      <c r="BH1802">
        <v>1</v>
      </c>
      <c r="BJ1802" s="114">
        <v>31</v>
      </c>
      <c r="BK1802" s="116">
        <v>159</v>
      </c>
      <c r="BL1802" s="120">
        <f t="shared" si="732"/>
        <v>31159</v>
      </c>
      <c r="BN1802" s="5" t="s">
        <v>3154</v>
      </c>
    </row>
    <row r="1803" spans="1:66" hidden="1" outlineLevel="1">
      <c r="A1803" t="s">
        <v>303</v>
      </c>
      <c r="B1803" t="s">
        <v>290</v>
      </c>
      <c r="C1803" s="1">
        <f t="shared" si="733"/>
        <v>2608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32">
        <f t="shared" si="742"/>
        <v>1924</v>
      </c>
      <c r="H1803" s="137">
        <f t="shared" si="743"/>
        <v>0.73773006134969321</v>
      </c>
      <c r="I1803" s="2"/>
      <c r="J1803" s="2">
        <f t="shared" si="734"/>
        <v>0.11004601226993865</v>
      </c>
      <c r="K1803" s="2">
        <f t="shared" si="735"/>
        <v>0.84777607361963192</v>
      </c>
      <c r="L1803" s="2">
        <f t="shared" si="736"/>
        <v>0</v>
      </c>
      <c r="M1803" s="2">
        <f t="shared" si="737"/>
        <v>4.2177914110429371E-2</v>
      </c>
      <c r="N1803" s="63">
        <v>287</v>
      </c>
      <c r="O1803" s="63">
        <v>2211</v>
      </c>
      <c r="P1803" s="63"/>
      <c r="Q1803" s="63">
        <v>70</v>
      </c>
      <c r="R1803" s="63">
        <v>18</v>
      </c>
      <c r="S1803" s="63"/>
      <c r="T1803" s="63"/>
      <c r="U1803" s="63"/>
      <c r="V1803" s="63"/>
      <c r="W1803" s="63">
        <v>22</v>
      </c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W1803" s="5">
        <f>IF(Q1803&gt;0,RANK(Q1803,(N1803:P1803,Q1803:AE1803)),0)</f>
        <v>3</v>
      </c>
      <c r="AX1803" s="5">
        <f>IF(R1803&gt;0,RANK(R1803,(N1803:P1803,Q1803:AE1803)),0)</f>
        <v>5</v>
      </c>
      <c r="AY1803" s="5">
        <f>IF(T1803&gt;0,RANK(T1803,(N1803:P1803,Q1803:AE1803)),0)</f>
        <v>0</v>
      </c>
      <c r="AZ1803" s="5">
        <f>IF(S1803&gt;0,RANK(S1803,(N1803:P1803,Q1803:AE1803)),0)</f>
        <v>0</v>
      </c>
      <c r="BA1803" s="2">
        <f t="shared" si="738"/>
        <v>2.6840490797546013E-2</v>
      </c>
      <c r="BB1803" s="2">
        <f t="shared" si="739"/>
        <v>6.9018404907975461E-3</v>
      </c>
      <c r="BC1803" s="2">
        <f t="shared" si="740"/>
        <v>0</v>
      </c>
      <c r="BD1803" s="2">
        <f t="shared" si="741"/>
        <v>0</v>
      </c>
      <c r="BF1803" t="s">
        <v>303</v>
      </c>
      <c r="BG1803" t="s">
        <v>290</v>
      </c>
      <c r="BH1803">
        <v>3</v>
      </c>
      <c r="BJ1803" s="114">
        <v>31</v>
      </c>
      <c r="BK1803" s="116">
        <v>161</v>
      </c>
      <c r="BL1803" s="120">
        <f t="shared" si="732"/>
        <v>31161</v>
      </c>
      <c r="BN1803" s="5" t="s">
        <v>3154</v>
      </c>
    </row>
    <row r="1804" spans="1:66" hidden="1" outlineLevel="1">
      <c r="A1804" t="s">
        <v>2877</v>
      </c>
      <c r="B1804" t="s">
        <v>290</v>
      </c>
      <c r="C1804" s="1">
        <f t="shared" si="733"/>
        <v>1573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32">
        <f t="shared" si="742"/>
        <v>810</v>
      </c>
      <c r="H1804" s="137">
        <f t="shared" si="743"/>
        <v>0.5149396058486968</v>
      </c>
      <c r="I1804" s="2"/>
      <c r="J1804" s="2">
        <f t="shared" si="734"/>
        <v>0.2161474888747616</v>
      </c>
      <c r="K1804" s="2">
        <f t="shared" si="735"/>
        <v>0.73108709472345834</v>
      </c>
      <c r="L1804" s="2">
        <f t="shared" si="736"/>
        <v>0</v>
      </c>
      <c r="M1804" s="2">
        <f t="shared" si="737"/>
        <v>5.2765416401780008E-2</v>
      </c>
      <c r="N1804" s="63">
        <v>340</v>
      </c>
      <c r="O1804" s="63">
        <v>1150</v>
      </c>
      <c r="P1804" s="63"/>
      <c r="Q1804" s="63">
        <v>59</v>
      </c>
      <c r="R1804" s="63">
        <v>13</v>
      </c>
      <c r="S1804" s="63"/>
      <c r="T1804" s="63"/>
      <c r="U1804" s="63"/>
      <c r="V1804" s="63"/>
      <c r="W1804" s="63">
        <v>11</v>
      </c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W1804" s="5">
        <f>IF(Q1804&gt;0,RANK(Q1804,(N1804:P1804,Q1804:AE1804)),0)</f>
        <v>3</v>
      </c>
      <c r="AX1804" s="5">
        <f>IF(R1804&gt;0,RANK(R1804,(N1804:P1804,Q1804:AE1804)),0)</f>
        <v>4</v>
      </c>
      <c r="AY1804" s="5">
        <f>IF(T1804&gt;0,RANK(T1804,(N1804:P1804,Q1804:AE1804)),0)</f>
        <v>0</v>
      </c>
      <c r="AZ1804" s="5">
        <f>IF(S1804&gt;0,RANK(S1804,(N1804:P1804,Q1804:AE1804)),0)</f>
        <v>0</v>
      </c>
      <c r="BA1804" s="2">
        <f t="shared" si="738"/>
        <v>3.7507946598855688E-2</v>
      </c>
      <c r="BB1804" s="2">
        <f t="shared" si="739"/>
        <v>8.2644628099173556E-3</v>
      </c>
      <c r="BC1804" s="2">
        <f t="shared" si="740"/>
        <v>0</v>
      </c>
      <c r="BD1804" s="2">
        <f t="shared" si="741"/>
        <v>0</v>
      </c>
      <c r="BF1804" t="s">
        <v>2877</v>
      </c>
      <c r="BG1804" t="s">
        <v>290</v>
      </c>
      <c r="BH1804">
        <v>3</v>
      </c>
      <c r="BJ1804" s="114">
        <v>31</v>
      </c>
      <c r="BK1804" s="116">
        <v>163</v>
      </c>
      <c r="BL1804" s="120">
        <f t="shared" si="732"/>
        <v>31163</v>
      </c>
      <c r="BN1804" s="5" t="s">
        <v>3154</v>
      </c>
    </row>
    <row r="1805" spans="1:66" hidden="1" outlineLevel="1">
      <c r="A1805" t="s">
        <v>994</v>
      </c>
      <c r="B1805" t="s">
        <v>290</v>
      </c>
      <c r="C1805" s="1">
        <f t="shared" si="733"/>
        <v>736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32">
        <f t="shared" si="742"/>
        <v>535</v>
      </c>
      <c r="H1805" s="137">
        <f t="shared" si="743"/>
        <v>0.72690217391304346</v>
      </c>
      <c r="I1805" s="2"/>
      <c r="J1805" s="2">
        <f t="shared" si="734"/>
        <v>0.11005434782608696</v>
      </c>
      <c r="K1805" s="2">
        <f t="shared" si="735"/>
        <v>0.83695652173913049</v>
      </c>
      <c r="L1805" s="2">
        <f t="shared" si="736"/>
        <v>0</v>
      </c>
      <c r="M1805" s="2">
        <f t="shared" si="737"/>
        <v>5.2989130434782594E-2</v>
      </c>
      <c r="N1805" s="63">
        <v>81</v>
      </c>
      <c r="O1805" s="63">
        <v>616</v>
      </c>
      <c r="P1805" s="63"/>
      <c r="Q1805" s="63">
        <v>28</v>
      </c>
      <c r="R1805" s="63">
        <v>4</v>
      </c>
      <c r="S1805" s="63"/>
      <c r="T1805" s="63"/>
      <c r="U1805" s="63"/>
      <c r="V1805" s="63"/>
      <c r="W1805" s="63">
        <v>7</v>
      </c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W1805" s="5">
        <f>IF(Q1805&gt;0,RANK(Q1805,(N1805:P1805,Q1805:AE1805)),0)</f>
        <v>3</v>
      </c>
      <c r="AX1805" s="5">
        <f>IF(R1805&gt;0,RANK(R1805,(N1805:P1805,Q1805:AE1805)),0)</f>
        <v>5</v>
      </c>
      <c r="AY1805" s="5">
        <f>IF(T1805&gt;0,RANK(T1805,(N1805:P1805,Q1805:AE1805)),0)</f>
        <v>0</v>
      </c>
      <c r="AZ1805" s="5">
        <f>IF(S1805&gt;0,RANK(S1805,(N1805:P1805,Q1805:AE1805)),0)</f>
        <v>0</v>
      </c>
      <c r="BA1805" s="2">
        <f t="shared" si="738"/>
        <v>3.8043478260869568E-2</v>
      </c>
      <c r="BB1805" s="2">
        <f t="shared" si="739"/>
        <v>5.434782608695652E-3</v>
      </c>
      <c r="BC1805" s="2">
        <f t="shared" si="740"/>
        <v>0</v>
      </c>
      <c r="BD1805" s="2">
        <f t="shared" si="741"/>
        <v>0</v>
      </c>
      <c r="BF1805" t="s">
        <v>994</v>
      </c>
      <c r="BG1805" t="s">
        <v>290</v>
      </c>
      <c r="BH1805">
        <v>3</v>
      </c>
      <c r="BJ1805" s="114">
        <v>31</v>
      </c>
      <c r="BK1805" s="116">
        <v>165</v>
      </c>
      <c r="BL1805" s="120">
        <f t="shared" si="732"/>
        <v>31165</v>
      </c>
      <c r="BN1805" s="5" t="s">
        <v>3154</v>
      </c>
    </row>
    <row r="1806" spans="1:66" hidden="1" outlineLevel="1">
      <c r="A1806" t="s">
        <v>2516</v>
      </c>
      <c r="B1806" t="s">
        <v>290</v>
      </c>
      <c r="C1806" s="1">
        <f t="shared" si="733"/>
        <v>2801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32">
        <f t="shared" si="742"/>
        <v>1770</v>
      </c>
      <c r="H1806" s="137">
        <f t="shared" si="743"/>
        <v>0.63191717243841483</v>
      </c>
      <c r="I1806" s="2"/>
      <c r="J1806" s="2">
        <f t="shared" si="734"/>
        <v>0.14887540164227062</v>
      </c>
      <c r="K1806" s="2">
        <f t="shared" si="735"/>
        <v>0.78079257408068548</v>
      </c>
      <c r="L1806" s="2">
        <f t="shared" si="736"/>
        <v>0</v>
      </c>
      <c r="M1806" s="2">
        <f t="shared" si="737"/>
        <v>7.0332024277043881E-2</v>
      </c>
      <c r="N1806" s="63">
        <v>417</v>
      </c>
      <c r="O1806" s="63">
        <v>2187</v>
      </c>
      <c r="P1806" s="63"/>
      <c r="Q1806" s="63">
        <v>144</v>
      </c>
      <c r="R1806" s="63">
        <v>14</v>
      </c>
      <c r="S1806" s="63"/>
      <c r="T1806" s="63"/>
      <c r="U1806" s="63"/>
      <c r="V1806" s="63"/>
      <c r="W1806" s="63">
        <v>39</v>
      </c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W1806" s="5">
        <f>IF(Q1806&gt;0,RANK(Q1806,(N1806:P1806,Q1806:AE1806)),0)</f>
        <v>3</v>
      </c>
      <c r="AX1806" s="5">
        <f>IF(R1806&gt;0,RANK(R1806,(N1806:P1806,Q1806:AE1806)),0)</f>
        <v>5</v>
      </c>
      <c r="AY1806" s="5">
        <f>IF(T1806&gt;0,RANK(T1806,(N1806:P1806,Q1806:AE1806)),0)</f>
        <v>0</v>
      </c>
      <c r="AZ1806" s="5">
        <f>IF(S1806&gt;0,RANK(S1806,(N1806:P1806,Q1806:AE1806)),0)</f>
        <v>0</v>
      </c>
      <c r="BA1806" s="2">
        <f t="shared" si="738"/>
        <v>5.1410210639057478E-2</v>
      </c>
      <c r="BB1806" s="2">
        <f t="shared" si="739"/>
        <v>4.9982149232416992E-3</v>
      </c>
      <c r="BC1806" s="2">
        <f t="shared" si="740"/>
        <v>0</v>
      </c>
      <c r="BD1806" s="2">
        <f t="shared" si="741"/>
        <v>0</v>
      </c>
      <c r="BF1806" t="s">
        <v>2516</v>
      </c>
      <c r="BG1806" t="s">
        <v>290</v>
      </c>
      <c r="BH1806">
        <v>1</v>
      </c>
      <c r="BJ1806" s="114">
        <v>31</v>
      </c>
      <c r="BK1806" s="116">
        <v>167</v>
      </c>
      <c r="BL1806" s="120">
        <f t="shared" si="732"/>
        <v>31167</v>
      </c>
      <c r="BN1806" s="5" t="s">
        <v>3154</v>
      </c>
    </row>
    <row r="1807" spans="1:66" hidden="1" outlineLevel="1">
      <c r="A1807" t="s">
        <v>1025</v>
      </c>
      <c r="B1807" t="s">
        <v>290</v>
      </c>
      <c r="C1807" s="1">
        <f t="shared" si="733"/>
        <v>2690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32">
        <f t="shared" si="742"/>
        <v>1552</v>
      </c>
      <c r="H1807" s="137">
        <f t="shared" si="743"/>
        <v>0.57695167286245352</v>
      </c>
      <c r="I1807" s="2"/>
      <c r="J1807" s="2">
        <f t="shared" si="734"/>
        <v>0.18550185873605948</v>
      </c>
      <c r="K1807" s="2">
        <f t="shared" si="735"/>
        <v>0.76245353159851303</v>
      </c>
      <c r="L1807" s="2">
        <f t="shared" si="736"/>
        <v>0</v>
      </c>
      <c r="M1807" s="2">
        <f t="shared" si="737"/>
        <v>5.2044609665427455E-2</v>
      </c>
      <c r="N1807" s="63">
        <v>499</v>
      </c>
      <c r="O1807" s="63">
        <v>2051</v>
      </c>
      <c r="P1807" s="63"/>
      <c r="Q1807" s="63">
        <v>124</v>
      </c>
      <c r="R1807" s="63">
        <v>10</v>
      </c>
      <c r="S1807" s="63"/>
      <c r="T1807" s="63"/>
      <c r="U1807" s="63"/>
      <c r="V1807" s="63"/>
      <c r="W1807" s="63">
        <v>6</v>
      </c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W1807" s="5">
        <f>IF(Q1807&gt;0,RANK(Q1807,(N1807:P1807,Q1807:AE1807)),0)</f>
        <v>3</v>
      </c>
      <c r="AX1807" s="5">
        <f>IF(R1807&gt;0,RANK(R1807,(N1807:P1807,Q1807:AE1807)),0)</f>
        <v>4</v>
      </c>
      <c r="AY1807" s="5">
        <f>IF(T1807&gt;0,RANK(T1807,(N1807:P1807,Q1807:AE1807)),0)</f>
        <v>0</v>
      </c>
      <c r="AZ1807" s="5">
        <f>IF(S1807&gt;0,RANK(S1807,(N1807:P1807,Q1807:AE1807)),0)</f>
        <v>0</v>
      </c>
      <c r="BA1807" s="2">
        <f t="shared" si="738"/>
        <v>4.6096654275092935E-2</v>
      </c>
      <c r="BB1807" s="2">
        <f t="shared" si="739"/>
        <v>3.7174721189591076E-3</v>
      </c>
      <c r="BC1807" s="2">
        <f t="shared" si="740"/>
        <v>0</v>
      </c>
      <c r="BD1807" s="2">
        <f t="shared" si="741"/>
        <v>0</v>
      </c>
      <c r="BF1807" t="s">
        <v>1025</v>
      </c>
      <c r="BG1807" t="s">
        <v>290</v>
      </c>
      <c r="BH1807">
        <v>3</v>
      </c>
      <c r="BJ1807" s="114">
        <v>31</v>
      </c>
      <c r="BK1807" s="116">
        <v>169</v>
      </c>
      <c r="BL1807" s="120">
        <f t="shared" si="732"/>
        <v>31169</v>
      </c>
      <c r="BN1807" s="5" t="s">
        <v>3154</v>
      </c>
    </row>
    <row r="1808" spans="1:66" hidden="1" outlineLevel="1">
      <c r="A1808" t="s">
        <v>1917</v>
      </c>
      <c r="B1808" t="s">
        <v>290</v>
      </c>
      <c r="C1808" s="1">
        <f t="shared" si="733"/>
        <v>393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32">
        <f t="shared" si="742"/>
        <v>314</v>
      </c>
      <c r="H1808" s="137">
        <f t="shared" si="743"/>
        <v>0.79898218829516543</v>
      </c>
      <c r="I1808" s="2"/>
      <c r="J1808" s="2">
        <f t="shared" si="734"/>
        <v>7.6335877862595422E-2</v>
      </c>
      <c r="K1808" s="2">
        <f t="shared" si="735"/>
        <v>0.87531806615776087</v>
      </c>
      <c r="L1808" s="2">
        <f t="shared" si="736"/>
        <v>0</v>
      </c>
      <c r="M1808" s="2">
        <f t="shared" si="737"/>
        <v>4.8346055979643698E-2</v>
      </c>
      <c r="N1808" s="63">
        <v>30</v>
      </c>
      <c r="O1808" s="63">
        <v>344</v>
      </c>
      <c r="P1808" s="63"/>
      <c r="Q1808" s="63">
        <v>10</v>
      </c>
      <c r="R1808" s="63">
        <v>3</v>
      </c>
      <c r="S1808" s="63"/>
      <c r="T1808" s="63"/>
      <c r="U1808" s="63"/>
      <c r="V1808" s="63"/>
      <c r="W1808" s="63">
        <v>6</v>
      </c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W1808" s="5">
        <f>IF(Q1808&gt;0,RANK(Q1808,(N1808:P1808,Q1808:AE1808)),0)</f>
        <v>3</v>
      </c>
      <c r="AX1808" s="5">
        <f>IF(R1808&gt;0,RANK(R1808,(N1808:P1808,Q1808:AE1808)),0)</f>
        <v>5</v>
      </c>
      <c r="AY1808" s="5">
        <f>IF(T1808&gt;0,RANK(T1808,(N1808:P1808,Q1808:AE1808)),0)</f>
        <v>0</v>
      </c>
      <c r="AZ1808" s="5">
        <f>IF(S1808&gt;0,RANK(S1808,(N1808:P1808,Q1808:AE1808)),0)</f>
        <v>0</v>
      </c>
      <c r="BA1808" s="2">
        <f t="shared" si="738"/>
        <v>2.5445292620865138E-2</v>
      </c>
      <c r="BB1808" s="2">
        <f t="shared" si="739"/>
        <v>7.6335877862595417E-3</v>
      </c>
      <c r="BC1808" s="2">
        <f t="shared" si="740"/>
        <v>0</v>
      </c>
      <c r="BD1808" s="2">
        <f t="shared" si="741"/>
        <v>0</v>
      </c>
      <c r="BF1808" t="s">
        <v>1917</v>
      </c>
      <c r="BG1808" t="s">
        <v>290</v>
      </c>
      <c r="BH1808">
        <v>3</v>
      </c>
      <c r="BJ1808" s="114">
        <v>31</v>
      </c>
      <c r="BK1808" s="116">
        <v>171</v>
      </c>
      <c r="BL1808" s="120">
        <f t="shared" si="732"/>
        <v>31171</v>
      </c>
      <c r="BN1808" s="5" t="s">
        <v>3154</v>
      </c>
    </row>
    <row r="1809" spans="1:70" hidden="1" outlineLevel="1">
      <c r="A1809" t="s">
        <v>1616</v>
      </c>
      <c r="B1809" t="s">
        <v>290</v>
      </c>
      <c r="C1809" s="1">
        <f t="shared" si="733"/>
        <v>2088</v>
      </c>
      <c r="D1809" s="5">
        <f>IF(N1809&gt;0, RANK(N1809,(N1809:P1809,Q1809:AE1809)),0)</f>
        <v>2</v>
      </c>
      <c r="E1809" s="5">
        <f>IF(O1809&gt;0,RANK(O1809,(N1809:P1809,Q1809:AE1809)),0)</f>
        <v>1</v>
      </c>
      <c r="F1809" s="5">
        <f>IF(P1809&gt;0,RANK(P1809,(N1809:P1809,Q1809:AE1809)),0)</f>
        <v>0</v>
      </c>
      <c r="G1809" s="132">
        <f t="shared" si="742"/>
        <v>124</v>
      </c>
      <c r="H1809" s="137">
        <f t="shared" si="743"/>
        <v>5.938697318007663E-2</v>
      </c>
      <c r="I1809" s="2"/>
      <c r="J1809" s="2">
        <f t="shared" si="734"/>
        <v>0.44013409961685823</v>
      </c>
      <c r="K1809" s="2">
        <f t="shared" si="735"/>
        <v>0.49952107279693486</v>
      </c>
      <c r="L1809" s="2">
        <f t="shared" si="736"/>
        <v>0</v>
      </c>
      <c r="M1809" s="2">
        <f t="shared" si="737"/>
        <v>6.0344827586206906E-2</v>
      </c>
      <c r="N1809" s="63">
        <v>919</v>
      </c>
      <c r="O1809" s="63">
        <v>1043</v>
      </c>
      <c r="P1809" s="63"/>
      <c r="Q1809" s="63">
        <v>56</v>
      </c>
      <c r="R1809" s="63">
        <v>49</v>
      </c>
      <c r="S1809" s="63"/>
      <c r="T1809" s="63"/>
      <c r="U1809" s="63"/>
      <c r="V1809" s="63"/>
      <c r="W1809" s="63">
        <v>21</v>
      </c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W1809" s="5">
        <f>IF(Q1809&gt;0,RANK(Q1809,(N1809:P1809,Q1809:AE1809)),0)</f>
        <v>3</v>
      </c>
      <c r="AX1809" s="5">
        <f>IF(R1809&gt;0,RANK(R1809,(N1809:P1809,Q1809:AE1809)),0)</f>
        <v>4</v>
      </c>
      <c r="AY1809" s="5">
        <f>IF(T1809&gt;0,RANK(T1809,(N1809:P1809,Q1809:AE1809)),0)</f>
        <v>0</v>
      </c>
      <c r="AZ1809" s="5">
        <f>IF(S1809&gt;0,RANK(S1809,(N1809:P1809,Q1809:AE1809)),0)</f>
        <v>0</v>
      </c>
      <c r="BA1809" s="2">
        <f t="shared" si="738"/>
        <v>2.681992337164751E-2</v>
      </c>
      <c r="BB1809" s="2">
        <f t="shared" si="739"/>
        <v>2.3467432950191571E-2</v>
      </c>
      <c r="BC1809" s="2">
        <f t="shared" si="740"/>
        <v>0</v>
      </c>
      <c r="BD1809" s="2">
        <f t="shared" si="741"/>
        <v>0</v>
      </c>
      <c r="BF1809" t="s">
        <v>1616</v>
      </c>
      <c r="BG1809" t="s">
        <v>290</v>
      </c>
      <c r="BH1809">
        <v>1</v>
      </c>
      <c r="BJ1809" s="114">
        <v>31</v>
      </c>
      <c r="BK1809" s="116">
        <v>173</v>
      </c>
      <c r="BL1809" s="120">
        <f t="shared" si="732"/>
        <v>31173</v>
      </c>
      <c r="BN1809" s="5" t="s">
        <v>3154</v>
      </c>
    </row>
    <row r="1810" spans="1:70" hidden="1" outlineLevel="1">
      <c r="A1810" t="s">
        <v>915</v>
      </c>
      <c r="B1810" t="s">
        <v>290</v>
      </c>
      <c r="C1810" s="1">
        <f t="shared" si="733"/>
        <v>2205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32">
        <f t="shared" si="742"/>
        <v>1441</v>
      </c>
      <c r="H1810" s="137">
        <f t="shared" si="743"/>
        <v>0.65351473922902492</v>
      </c>
      <c r="I1810" s="2"/>
      <c r="J1810" s="2">
        <f t="shared" si="734"/>
        <v>0.15374149659863945</v>
      </c>
      <c r="K1810" s="2">
        <f t="shared" si="735"/>
        <v>0.80725623582766437</v>
      </c>
      <c r="L1810" s="2">
        <f t="shared" si="736"/>
        <v>0</v>
      </c>
      <c r="M1810" s="2">
        <f t="shared" si="737"/>
        <v>3.9002267573696181E-2</v>
      </c>
      <c r="N1810" s="63">
        <v>339</v>
      </c>
      <c r="O1810" s="63">
        <v>1780</v>
      </c>
      <c r="P1810" s="63"/>
      <c r="Q1810" s="63">
        <v>53</v>
      </c>
      <c r="R1810" s="63">
        <v>12</v>
      </c>
      <c r="S1810" s="63"/>
      <c r="T1810" s="63"/>
      <c r="U1810" s="63"/>
      <c r="V1810" s="63"/>
      <c r="W1810" s="63">
        <v>21</v>
      </c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W1810" s="5">
        <f>IF(Q1810&gt;0,RANK(Q1810,(N1810:P1810,Q1810:AE1810)),0)</f>
        <v>3</v>
      </c>
      <c r="AX1810" s="5">
        <f>IF(R1810&gt;0,RANK(R1810,(N1810:P1810,Q1810:AE1810)),0)</f>
        <v>5</v>
      </c>
      <c r="AY1810" s="5">
        <f>IF(T1810&gt;0,RANK(T1810,(N1810:P1810,Q1810:AE1810)),0)</f>
        <v>0</v>
      </c>
      <c r="AZ1810" s="5">
        <f>IF(S1810&gt;0,RANK(S1810,(N1810:P1810,Q1810:AE1810)),0)</f>
        <v>0</v>
      </c>
      <c r="BA1810" s="2">
        <f t="shared" si="738"/>
        <v>2.4036281179138322E-2</v>
      </c>
      <c r="BB1810" s="2">
        <f t="shared" si="739"/>
        <v>5.4421768707482989E-3</v>
      </c>
      <c r="BC1810" s="2">
        <f t="shared" si="740"/>
        <v>0</v>
      </c>
      <c r="BD1810" s="2">
        <f t="shared" si="741"/>
        <v>0</v>
      </c>
      <c r="BF1810" t="s">
        <v>915</v>
      </c>
      <c r="BG1810" t="s">
        <v>290</v>
      </c>
      <c r="BH1810">
        <v>3</v>
      </c>
      <c r="BJ1810" s="114">
        <v>31</v>
      </c>
      <c r="BK1810" s="116">
        <v>175</v>
      </c>
      <c r="BL1810" s="120">
        <f t="shared" si="732"/>
        <v>31175</v>
      </c>
      <c r="BN1810" s="5" t="s">
        <v>3154</v>
      </c>
    </row>
    <row r="1811" spans="1:70" hidden="1" outlineLevel="1">
      <c r="A1811" t="s">
        <v>692</v>
      </c>
      <c r="B1811" t="s">
        <v>290</v>
      </c>
      <c r="C1811" s="1">
        <f t="shared" si="733"/>
        <v>10832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32">
        <f t="shared" si="742"/>
        <v>4801</v>
      </c>
      <c r="H1811" s="137">
        <f t="shared" si="743"/>
        <v>0.44322378138847857</v>
      </c>
      <c r="I1811" s="2"/>
      <c r="J1811" s="2">
        <f t="shared" si="734"/>
        <v>0.24215288035450516</v>
      </c>
      <c r="K1811" s="2">
        <f t="shared" si="735"/>
        <v>0.68537666174298373</v>
      </c>
      <c r="L1811" s="2">
        <f t="shared" si="736"/>
        <v>0</v>
      </c>
      <c r="M1811" s="2">
        <f t="shared" si="737"/>
        <v>7.2470457902511054E-2</v>
      </c>
      <c r="N1811" s="63">
        <v>2623</v>
      </c>
      <c r="O1811" s="63">
        <v>7424</v>
      </c>
      <c r="P1811" s="63"/>
      <c r="Q1811" s="63">
        <v>513</v>
      </c>
      <c r="R1811" s="63">
        <v>97</v>
      </c>
      <c r="S1811" s="63"/>
      <c r="T1811" s="63"/>
      <c r="U1811" s="63"/>
      <c r="V1811" s="63"/>
      <c r="W1811" s="63">
        <v>175</v>
      </c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W1811" s="5">
        <f>IF(Q1811&gt;0,RANK(Q1811,(N1811:P1811,Q1811:AE1811)),0)</f>
        <v>3</v>
      </c>
      <c r="AX1811" s="5">
        <f>IF(R1811&gt;0,RANK(R1811,(N1811:P1811,Q1811:AE1811)),0)</f>
        <v>5</v>
      </c>
      <c r="AY1811" s="5">
        <f>IF(T1811&gt;0,RANK(T1811,(N1811:P1811,Q1811:AE1811)),0)</f>
        <v>0</v>
      </c>
      <c r="AZ1811" s="5">
        <f>IF(S1811&gt;0,RANK(S1811,(N1811:P1811,Q1811:AE1811)),0)</f>
        <v>0</v>
      </c>
      <c r="BA1811" s="2">
        <f t="shared" si="738"/>
        <v>4.7359675036927625E-2</v>
      </c>
      <c r="BB1811" s="2">
        <f t="shared" si="739"/>
        <v>8.9549483013293945E-3</v>
      </c>
      <c r="BC1811" s="2">
        <f t="shared" si="740"/>
        <v>0</v>
      </c>
      <c r="BD1811" s="2">
        <f t="shared" si="741"/>
        <v>0</v>
      </c>
      <c r="BF1811" t="s">
        <v>692</v>
      </c>
      <c r="BG1811" t="s">
        <v>290</v>
      </c>
      <c r="BH1811">
        <v>1</v>
      </c>
      <c r="BJ1811" s="114">
        <v>31</v>
      </c>
      <c r="BK1811" s="116">
        <v>177</v>
      </c>
      <c r="BL1811" s="120">
        <f t="shared" si="732"/>
        <v>31177</v>
      </c>
      <c r="BN1811" s="5" t="s">
        <v>3154</v>
      </c>
    </row>
    <row r="1812" spans="1:70" hidden="1" outlineLevel="1">
      <c r="A1812" t="s">
        <v>423</v>
      </c>
      <c r="B1812" t="s">
        <v>290</v>
      </c>
      <c r="C1812" s="1">
        <f t="shared" si="733"/>
        <v>3776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32">
        <f t="shared" si="742"/>
        <v>1858</v>
      </c>
      <c r="H1812" s="137">
        <f t="shared" si="743"/>
        <v>0.49205508474576271</v>
      </c>
      <c r="I1812" s="2"/>
      <c r="J1812" s="2">
        <f t="shared" si="734"/>
        <v>0.22113347457627119</v>
      </c>
      <c r="K1812" s="2">
        <f t="shared" si="735"/>
        <v>0.71318855932203384</v>
      </c>
      <c r="L1812" s="2">
        <f t="shared" si="736"/>
        <v>0</v>
      </c>
      <c r="M1812" s="2">
        <f t="shared" si="737"/>
        <v>6.5677966101694962E-2</v>
      </c>
      <c r="N1812" s="63">
        <v>835</v>
      </c>
      <c r="O1812" s="63">
        <v>2693</v>
      </c>
      <c r="P1812" s="63"/>
      <c r="Q1812" s="63">
        <v>202</v>
      </c>
      <c r="R1812" s="63">
        <v>35</v>
      </c>
      <c r="S1812" s="63"/>
      <c r="T1812" s="63"/>
      <c r="U1812" s="63"/>
      <c r="V1812" s="63"/>
      <c r="W1812" s="63">
        <v>11</v>
      </c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W1812" s="5">
        <f>IF(Q1812&gt;0,RANK(Q1812,(N1812:P1812,Q1812:AE1812)),0)</f>
        <v>3</v>
      </c>
      <c r="AX1812" s="5">
        <f>IF(R1812&gt;0,RANK(R1812,(N1812:P1812,Q1812:AE1812)),0)</f>
        <v>4</v>
      </c>
      <c r="AY1812" s="5">
        <f>IF(T1812&gt;0,RANK(T1812,(N1812:P1812,Q1812:AE1812)),0)</f>
        <v>0</v>
      </c>
      <c r="AZ1812" s="5">
        <f>IF(S1812&gt;0,RANK(S1812,(N1812:P1812,Q1812:AE1812)),0)</f>
        <v>0</v>
      </c>
      <c r="BA1812" s="2">
        <f t="shared" si="738"/>
        <v>5.349576271186441E-2</v>
      </c>
      <c r="BB1812" s="2">
        <f t="shared" si="739"/>
        <v>9.2690677966101691E-3</v>
      </c>
      <c r="BC1812" s="2">
        <f t="shared" si="740"/>
        <v>0</v>
      </c>
      <c r="BD1812" s="2">
        <f t="shared" si="741"/>
        <v>0</v>
      </c>
      <c r="BF1812" t="s">
        <v>423</v>
      </c>
      <c r="BG1812" t="s">
        <v>290</v>
      </c>
      <c r="BH1812">
        <v>3</v>
      </c>
      <c r="BJ1812" s="114">
        <v>31</v>
      </c>
      <c r="BK1812" s="116">
        <v>179</v>
      </c>
      <c r="BL1812" s="120">
        <f t="shared" si="732"/>
        <v>31179</v>
      </c>
      <c r="BN1812" s="5" t="s">
        <v>3154</v>
      </c>
    </row>
    <row r="1813" spans="1:70" hidden="1" outlineLevel="1">
      <c r="A1813" t="s">
        <v>697</v>
      </c>
      <c r="B1813" t="s">
        <v>290</v>
      </c>
      <c r="C1813" s="1">
        <f t="shared" si="733"/>
        <v>1708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32">
        <f t="shared" si="742"/>
        <v>1024</v>
      </c>
      <c r="H1813" s="137">
        <f t="shared" si="743"/>
        <v>0.59953161592505855</v>
      </c>
      <c r="I1813" s="2"/>
      <c r="J1813" s="2">
        <f t="shared" si="734"/>
        <v>0.17915690866510539</v>
      </c>
      <c r="K1813" s="2">
        <f t="shared" si="735"/>
        <v>0.77868852459016391</v>
      </c>
      <c r="L1813" s="2">
        <f t="shared" si="736"/>
        <v>0</v>
      </c>
      <c r="M1813" s="2">
        <f t="shared" si="737"/>
        <v>4.2154566744730726E-2</v>
      </c>
      <c r="N1813" s="63">
        <v>306</v>
      </c>
      <c r="O1813" s="63">
        <v>1330</v>
      </c>
      <c r="P1813" s="63"/>
      <c r="Q1813" s="63">
        <v>51</v>
      </c>
      <c r="R1813" s="63">
        <v>10</v>
      </c>
      <c r="S1813" s="63"/>
      <c r="T1813" s="63"/>
      <c r="U1813" s="63"/>
      <c r="V1813" s="63"/>
      <c r="W1813" s="63">
        <v>11</v>
      </c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W1813" s="5">
        <f>IF(Q1813&gt;0,RANK(Q1813,(N1813:P1813,Q1813:AE1813)),0)</f>
        <v>3</v>
      </c>
      <c r="AX1813" s="5">
        <f>IF(R1813&gt;0,RANK(R1813,(N1813:P1813,Q1813:AE1813)),0)</f>
        <v>5</v>
      </c>
      <c r="AY1813" s="5">
        <f>IF(T1813&gt;0,RANK(T1813,(N1813:P1813,Q1813:AE1813)),0)</f>
        <v>0</v>
      </c>
      <c r="AZ1813" s="5">
        <f>IF(S1813&gt;0,RANK(S1813,(N1813:P1813,Q1813:AE1813)),0)</f>
        <v>0</v>
      </c>
      <c r="BA1813" s="2">
        <f t="shared" si="738"/>
        <v>2.9859484777517563E-2</v>
      </c>
      <c r="BB1813" s="2">
        <f t="shared" si="739"/>
        <v>5.8548009367681503E-3</v>
      </c>
      <c r="BC1813" s="2">
        <f t="shared" si="740"/>
        <v>0</v>
      </c>
      <c r="BD1813" s="2">
        <f t="shared" si="741"/>
        <v>0</v>
      </c>
      <c r="BF1813" t="s">
        <v>697</v>
      </c>
      <c r="BG1813" t="s">
        <v>290</v>
      </c>
      <c r="BH1813">
        <v>3</v>
      </c>
      <c r="BJ1813" s="114">
        <v>31</v>
      </c>
      <c r="BK1813" s="116">
        <v>181</v>
      </c>
      <c r="BL1813" s="120">
        <f t="shared" si="732"/>
        <v>31181</v>
      </c>
      <c r="BN1813" s="5" t="s">
        <v>3154</v>
      </c>
    </row>
    <row r="1814" spans="1:70" hidden="1" outlineLevel="1">
      <c r="A1814" t="s">
        <v>607</v>
      </c>
      <c r="B1814" t="s">
        <v>290</v>
      </c>
      <c r="C1814" s="1">
        <f t="shared" si="733"/>
        <v>465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32">
        <f t="shared" si="742"/>
        <v>315</v>
      </c>
      <c r="H1814" s="137">
        <f t="shared" si="743"/>
        <v>0.67741935483870963</v>
      </c>
      <c r="I1814" s="2"/>
      <c r="J1814" s="2">
        <f t="shared" si="734"/>
        <v>0.13333333333333333</v>
      </c>
      <c r="K1814" s="2">
        <f t="shared" si="735"/>
        <v>0.81075268817204305</v>
      </c>
      <c r="L1814" s="2">
        <f t="shared" si="736"/>
        <v>0</v>
      </c>
      <c r="M1814" s="2">
        <f t="shared" si="737"/>
        <v>5.5913978494623651E-2</v>
      </c>
      <c r="N1814" s="63">
        <v>62</v>
      </c>
      <c r="O1814" s="63">
        <v>377</v>
      </c>
      <c r="P1814" s="63"/>
      <c r="Q1814" s="63">
        <v>17</v>
      </c>
      <c r="R1814" s="63">
        <v>4</v>
      </c>
      <c r="S1814" s="63"/>
      <c r="T1814" s="63"/>
      <c r="U1814" s="63"/>
      <c r="V1814" s="63"/>
      <c r="W1814" s="63">
        <v>5</v>
      </c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W1814" s="5">
        <f>IF(Q1814&gt;0,RANK(Q1814,(N1814:P1814,Q1814:AE1814)),0)</f>
        <v>3</v>
      </c>
      <c r="AX1814" s="5">
        <f>IF(R1814&gt;0,RANK(R1814,(N1814:P1814,Q1814:AE1814)),0)</f>
        <v>5</v>
      </c>
      <c r="AY1814" s="5">
        <f>IF(T1814&gt;0,RANK(T1814,(N1814:P1814,Q1814:AE1814)),0)</f>
        <v>0</v>
      </c>
      <c r="AZ1814" s="5">
        <f>IF(S1814&gt;0,RANK(S1814,(N1814:P1814,Q1814:AE1814)),0)</f>
        <v>0</v>
      </c>
      <c r="BA1814" s="2">
        <f t="shared" si="738"/>
        <v>3.6559139784946237E-2</v>
      </c>
      <c r="BB1814" s="2">
        <f t="shared" si="739"/>
        <v>8.6021505376344086E-3</v>
      </c>
      <c r="BC1814" s="2">
        <f t="shared" si="740"/>
        <v>0</v>
      </c>
      <c r="BD1814" s="2">
        <f t="shared" si="741"/>
        <v>0</v>
      </c>
      <c r="BF1814" t="s">
        <v>607</v>
      </c>
      <c r="BG1814" t="s">
        <v>290</v>
      </c>
      <c r="BH1814">
        <v>3</v>
      </c>
      <c r="BJ1814" s="114">
        <v>31</v>
      </c>
      <c r="BK1814" s="116">
        <v>183</v>
      </c>
      <c r="BL1814" s="120">
        <f t="shared" si="732"/>
        <v>31183</v>
      </c>
      <c r="BN1814" s="5" t="s">
        <v>3154</v>
      </c>
    </row>
    <row r="1815" spans="1:70" hidden="1" outlineLevel="1">
      <c r="A1815" t="s">
        <v>925</v>
      </c>
      <c r="B1815" t="s">
        <v>290</v>
      </c>
      <c r="C1815" s="1">
        <f t="shared" si="733"/>
        <v>6381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32">
        <f t="shared" si="742"/>
        <v>3514</v>
      </c>
      <c r="H1815" s="137">
        <f t="shared" si="743"/>
        <v>0.55069738285535186</v>
      </c>
      <c r="I1815" s="2"/>
      <c r="J1815" s="2">
        <f t="shared" si="734"/>
        <v>0.18586428459489107</v>
      </c>
      <c r="K1815" s="2">
        <f t="shared" si="735"/>
        <v>0.73656166745024287</v>
      </c>
      <c r="L1815" s="2">
        <f t="shared" si="736"/>
        <v>0</v>
      </c>
      <c r="M1815" s="2">
        <f t="shared" si="737"/>
        <v>7.757404795486611E-2</v>
      </c>
      <c r="N1815" s="63">
        <v>1186</v>
      </c>
      <c r="O1815" s="63">
        <v>4700</v>
      </c>
      <c r="P1815" s="63"/>
      <c r="Q1815" s="63">
        <v>345</v>
      </c>
      <c r="R1815" s="63">
        <v>52</v>
      </c>
      <c r="S1815" s="63"/>
      <c r="T1815" s="63"/>
      <c r="U1815" s="63"/>
      <c r="V1815" s="63"/>
      <c r="W1815" s="63">
        <v>98</v>
      </c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W1815" s="5">
        <f>IF(Q1815&gt;0,RANK(Q1815,(N1815:P1815,Q1815:AE1815)),0)</f>
        <v>3</v>
      </c>
      <c r="AX1815" s="5">
        <f>IF(R1815&gt;0,RANK(R1815,(N1815:P1815,Q1815:AE1815)),0)</f>
        <v>5</v>
      </c>
      <c r="AY1815" s="5">
        <f>IF(T1815&gt;0,RANK(T1815,(N1815:P1815,Q1815:AE1815)),0)</f>
        <v>0</v>
      </c>
      <c r="AZ1815" s="5">
        <f>IF(S1815&gt;0,RANK(S1815,(N1815:P1815,Q1815:AE1815)),0)</f>
        <v>0</v>
      </c>
      <c r="BA1815" s="2">
        <f t="shared" si="738"/>
        <v>5.4066760695815702E-2</v>
      </c>
      <c r="BB1815" s="2">
        <f t="shared" si="739"/>
        <v>8.1491929164707721E-3</v>
      </c>
      <c r="BC1815" s="2">
        <f t="shared" si="740"/>
        <v>0</v>
      </c>
      <c r="BD1815" s="2">
        <f t="shared" si="741"/>
        <v>0</v>
      </c>
      <c r="BF1815" t="s">
        <v>925</v>
      </c>
      <c r="BG1815" t="s">
        <v>290</v>
      </c>
      <c r="BH1815">
        <v>3</v>
      </c>
      <c r="BJ1815" s="114">
        <v>31</v>
      </c>
      <c r="BK1815" s="116">
        <v>185</v>
      </c>
      <c r="BL1815" s="120">
        <f t="shared" si="732"/>
        <v>31185</v>
      </c>
      <c r="BN1815" s="5" t="s">
        <v>3154</v>
      </c>
    </row>
    <row r="1816" spans="1:70" collapsed="1">
      <c r="A1816" t="s">
        <v>429</v>
      </c>
      <c r="B1816" t="s">
        <v>544</v>
      </c>
      <c r="C1816" s="1">
        <f t="shared" si="733"/>
        <v>844227</v>
      </c>
      <c r="D1816" s="5">
        <f>IF(N1816&gt;0, RANK(N1816,(N1816:P1816,Q1816:AE1816)),0)</f>
        <v>2</v>
      </c>
      <c r="E1816" s="5">
        <f>IF(O1816&gt;0,RANK(O1816,(N1816:P1816,Q1816:AE1816)),0)</f>
        <v>1</v>
      </c>
      <c r="F1816" s="5">
        <f>IF(P1816&gt;0,RANK(P1816,(N1816:P1816,Q1816:AE1816)),0)</f>
        <v>0</v>
      </c>
      <c r="G1816" s="132">
        <f t="shared" si="742"/>
        <v>211467</v>
      </c>
      <c r="H1816" s="137">
        <f t="shared" si="743"/>
        <v>0.25048594749990227</v>
      </c>
      <c r="I1816" s="2"/>
      <c r="J1816" s="2">
        <f t="shared" si="734"/>
        <v>0.33698756377135536</v>
      </c>
      <c r="K1816" s="2">
        <f t="shared" si="735"/>
        <v>0.58747351127125758</v>
      </c>
      <c r="L1816" s="2">
        <f t="shared" si="736"/>
        <v>0</v>
      </c>
      <c r="M1816" s="2">
        <f t="shared" si="737"/>
        <v>7.5538924957387121E-2</v>
      </c>
      <c r="N1816" s="63">
        <f>SUM(N1723:N1815)</f>
        <v>284494</v>
      </c>
      <c r="O1816" s="63">
        <f>SUM(O1723:O1815)</f>
        <v>495961</v>
      </c>
      <c r="P1816" s="63"/>
      <c r="Q1816" s="63">
        <f>SUM(Q1723:Q1815)</f>
        <v>38946</v>
      </c>
      <c r="R1816" s="63">
        <f>SUM(R1723:R1815)</f>
        <v>8775</v>
      </c>
      <c r="S1816" s="63"/>
      <c r="T1816" s="63"/>
      <c r="U1816" s="63"/>
      <c r="V1816" s="63"/>
      <c r="W1816" s="63">
        <f>SUM(W1723:W1815)</f>
        <v>16051</v>
      </c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W1816" s="5">
        <f>IF(Q1816&gt;0,RANK(Q1816,(N1816:P1816,Q1816:AE1816)),0)</f>
        <v>3</v>
      </c>
      <c r="AX1816" s="5">
        <f>IF(R1816&gt;0,RANK(R1816,(N1816:P1816,Q1816:AE1816)),0)</f>
        <v>5</v>
      </c>
      <c r="AY1816" s="5">
        <f>IF(T1816&gt;0,RANK(T1816,(N1816:P1816,Q1816:AE1816)),0)</f>
        <v>0</v>
      </c>
      <c r="AZ1816" s="5">
        <f>IF(S1816&gt;0,RANK(S1816,(N1816:P1816,Q1816:AE1816)),0)</f>
        <v>0</v>
      </c>
      <c r="BA1816" s="2">
        <f t="shared" si="738"/>
        <v>4.6132142184507251E-2</v>
      </c>
      <c r="BB1816" s="2">
        <f t="shared" si="739"/>
        <v>1.0394123855313795E-2</v>
      </c>
      <c r="BC1816" s="2">
        <f t="shared" si="740"/>
        <v>0</v>
      </c>
      <c r="BD1816" s="2">
        <f t="shared" si="741"/>
        <v>0</v>
      </c>
      <c r="BF1816" t="s">
        <v>429</v>
      </c>
      <c r="BG1816" t="s">
        <v>544</v>
      </c>
      <c r="BJ1816" s="114">
        <v>31</v>
      </c>
      <c r="BK1816" s="116"/>
      <c r="BL1816" s="114">
        <v>31</v>
      </c>
      <c r="BN1816" s="5" t="s">
        <v>711</v>
      </c>
    </row>
    <row r="1817" spans="1:70">
      <c r="C1817" s="1"/>
      <c r="E1817" s="5"/>
      <c r="F1817" s="5"/>
      <c r="G1817" s="132"/>
      <c r="H1817" s="137"/>
      <c r="I1817" s="2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W1817" s="5"/>
      <c r="AX1817" s="5"/>
      <c r="AY1817" s="5"/>
      <c r="AZ1817" s="5"/>
      <c r="BJ1817" s="114"/>
      <c r="BK1817" s="116"/>
      <c r="BL1817" s="120"/>
    </row>
    <row r="1818" spans="1:70" hidden="1" outlineLevel="1">
      <c r="A1818" t="s">
        <v>479</v>
      </c>
      <c r="B1818" t="s">
        <v>270</v>
      </c>
      <c r="C1818" s="1">
        <f t="shared" ref="C1818:C1835" si="744">SUM(N1818:AU1818)</f>
        <v>25016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32">
        <f t="shared" si="742"/>
        <v>3515</v>
      </c>
      <c r="H1818" s="137">
        <f t="shared" si="743"/>
        <v>0.14051007355292613</v>
      </c>
      <c r="I1818" s="2"/>
      <c r="J1818" s="2">
        <f t="shared" ref="J1818:J1835" si="745">IF($C1818=0,"-",N1818/$C1818)</f>
        <v>0.38415414134953629</v>
      </c>
      <c r="K1818" s="2">
        <f t="shared" ref="K1818:K1835" si="746">IF($C1818=0,"-",O1818/$C1818)</f>
        <v>0.5246642149024624</v>
      </c>
      <c r="L1818" s="2">
        <f t="shared" ref="L1818:L1835" si="747">IF($C1818=0,"-",P1818/$C1818)</f>
        <v>0</v>
      </c>
      <c r="M1818" s="2">
        <f t="shared" ref="M1818:M1835" si="748">IF(C1818=0,"-",(1-J1818-K1818-L1818))</f>
        <v>9.1181643748001306E-2</v>
      </c>
      <c r="N1818" s="63">
        <v>9610</v>
      </c>
      <c r="O1818" s="63">
        <v>13125</v>
      </c>
      <c r="P1818" s="63"/>
      <c r="Q1818" s="63">
        <v>1159</v>
      </c>
      <c r="R1818" s="63"/>
      <c r="S1818" s="63">
        <v>153</v>
      </c>
      <c r="T1818" s="63">
        <v>60</v>
      </c>
      <c r="U1818" s="63"/>
      <c r="V1818" s="63"/>
      <c r="W1818" s="63"/>
      <c r="X1818" s="63"/>
      <c r="Y1818" s="63"/>
      <c r="Z1818" s="63"/>
      <c r="AA1818" s="63"/>
      <c r="AB1818" s="63">
        <v>909</v>
      </c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W1818" s="5">
        <f>IF(Q1818&gt;0,RANK(Q1818,(N1818:P1818,Q1818:AE1818)),0)</f>
        <v>3</v>
      </c>
      <c r="AX1818" s="5">
        <f>IF(R1818&gt;0,RANK(R1818,(N1818:P1818,Q1818:AE1818)),0)</f>
        <v>0</v>
      </c>
      <c r="AY1818" s="5">
        <f>IF(T1818&gt;0,RANK(T1818,(N1818:P1818,Q1818:AE1818)),0)</f>
        <v>6</v>
      </c>
      <c r="AZ1818" s="5">
        <f>IF(S1818&gt;0,RANK(S1818,(N1818:P1818,Q1818:AE1818)),0)</f>
        <v>5</v>
      </c>
      <c r="BA1818" s="2">
        <f t="shared" ref="BA1818:BA1835" si="749">IF($C1818=0,"-",Q1818/$C1818)</f>
        <v>4.6330348576910776E-2</v>
      </c>
      <c r="BB1818" s="2">
        <f t="shared" ref="BB1818:BB1835" si="750">IF($C1818=0,"-",R1818/$C1818)</f>
        <v>0</v>
      </c>
      <c r="BC1818" s="2">
        <f t="shared" ref="BC1818:BC1835" si="751">IF($C1818=0,"-",T1818/$C1818)</f>
        <v>2.3984649824112568E-3</v>
      </c>
      <c r="BD1818" s="2">
        <f t="shared" ref="BD1818:BD1835" si="752">IF($C1818=0,"-",S1818/$C1818)</f>
        <v>6.1160857051487045E-3</v>
      </c>
      <c r="BF1818" t="s">
        <v>479</v>
      </c>
      <c r="BG1818" t="s">
        <v>270</v>
      </c>
      <c r="BH1818">
        <v>2</v>
      </c>
      <c r="BJ1818" s="114">
        <v>32</v>
      </c>
      <c r="BK1818" s="116">
        <v>510</v>
      </c>
      <c r="BL1818" s="120">
        <f t="shared" si="732"/>
        <v>32510</v>
      </c>
      <c r="BN1818" s="5" t="s">
        <v>1249</v>
      </c>
      <c r="BR1818" s="63"/>
    </row>
    <row r="1819" spans="1:70" hidden="1" outlineLevel="1">
      <c r="A1819" t="s">
        <v>76</v>
      </c>
      <c r="B1819" t="s">
        <v>270</v>
      </c>
      <c r="C1819" s="1">
        <f t="shared" si="744"/>
        <v>10938</v>
      </c>
      <c r="D1819" s="5">
        <f>IF(N1819&gt;0, RANK(N1819,(N1819:P1819,Q1819:AE1819)),0)</f>
        <v>2</v>
      </c>
      <c r="E1819" s="5">
        <f>IF(O1819&gt;0,RANK(O1819,(N1819:P1819,Q1819:AE1819)),0)</f>
        <v>1</v>
      </c>
      <c r="F1819" s="5">
        <f>IF(P1819&gt;0,RANK(P1819,(N1819:P1819,Q1819:AE1819)),0)</f>
        <v>0</v>
      </c>
      <c r="G1819" s="132">
        <f t="shared" si="742"/>
        <v>5620</v>
      </c>
      <c r="H1819" s="137">
        <f t="shared" si="743"/>
        <v>0.51380508319619678</v>
      </c>
      <c r="I1819" s="2"/>
      <c r="J1819" s="2">
        <f t="shared" si="745"/>
        <v>0.20204790638142256</v>
      </c>
      <c r="K1819" s="2">
        <f t="shared" si="746"/>
        <v>0.71585298957761934</v>
      </c>
      <c r="L1819" s="2">
        <f t="shared" si="747"/>
        <v>0</v>
      </c>
      <c r="M1819" s="2">
        <f t="shared" si="748"/>
        <v>8.2099104040958104E-2</v>
      </c>
      <c r="N1819" s="63">
        <v>2210</v>
      </c>
      <c r="O1819" s="63">
        <v>7830</v>
      </c>
      <c r="P1819" s="63"/>
      <c r="Q1819" s="63">
        <v>450</v>
      </c>
      <c r="R1819" s="63"/>
      <c r="S1819" s="63">
        <v>92</v>
      </c>
      <c r="T1819" s="63">
        <v>25</v>
      </c>
      <c r="U1819" s="63"/>
      <c r="V1819" s="63"/>
      <c r="W1819" s="63"/>
      <c r="X1819" s="63"/>
      <c r="Y1819" s="63"/>
      <c r="Z1819" s="63"/>
      <c r="AA1819" s="63"/>
      <c r="AB1819" s="63">
        <v>331</v>
      </c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W1819" s="5">
        <f>IF(Q1819&gt;0,RANK(Q1819,(N1819:P1819,Q1819:AE1819)),0)</f>
        <v>3</v>
      </c>
      <c r="AX1819" s="5">
        <f>IF(R1819&gt;0,RANK(R1819,(N1819:P1819,Q1819:AE1819)),0)</f>
        <v>0</v>
      </c>
      <c r="AY1819" s="5">
        <f>IF(T1819&gt;0,RANK(T1819,(N1819:P1819,Q1819:AE1819)),0)</f>
        <v>6</v>
      </c>
      <c r="AZ1819" s="5">
        <f>IF(S1819&gt;0,RANK(S1819,(N1819:P1819,Q1819:AE1819)),0)</f>
        <v>5</v>
      </c>
      <c r="BA1819" s="2">
        <f t="shared" si="749"/>
        <v>4.1140976412506858E-2</v>
      </c>
      <c r="BB1819" s="2">
        <f t="shared" si="750"/>
        <v>0</v>
      </c>
      <c r="BC1819" s="2">
        <f t="shared" si="751"/>
        <v>2.2856098006948252E-3</v>
      </c>
      <c r="BD1819" s="2">
        <f t="shared" si="752"/>
        <v>8.4110440665569573E-3</v>
      </c>
      <c r="BF1819" t="s">
        <v>76</v>
      </c>
      <c r="BG1819" t="s">
        <v>270</v>
      </c>
      <c r="BH1819">
        <v>2</v>
      </c>
      <c r="BJ1819" s="114">
        <v>32</v>
      </c>
      <c r="BK1819" s="116">
        <v>1</v>
      </c>
      <c r="BL1819" s="120">
        <f t="shared" si="732"/>
        <v>32001</v>
      </c>
      <c r="BN1819" s="5" t="s">
        <v>3154</v>
      </c>
      <c r="BR1819" s="63"/>
    </row>
    <row r="1820" spans="1:70" hidden="1" outlineLevel="1">
      <c r="A1820" t="s">
        <v>392</v>
      </c>
      <c r="B1820" t="s">
        <v>270</v>
      </c>
      <c r="C1820" s="1">
        <f t="shared" si="744"/>
        <v>767156</v>
      </c>
      <c r="D1820" s="5">
        <f>IF(N1820&gt;0, RANK(N1820,(N1820:P1820,Q1820:AE1820)),0)</f>
        <v>1</v>
      </c>
      <c r="E1820" s="5">
        <f>IF(O1820&gt;0,RANK(O1820,(N1820:P1820,Q1820:AE1820)),0)</f>
        <v>2</v>
      </c>
      <c r="F1820" s="5">
        <f>IF(P1820&gt;0,RANK(P1820,(N1820:P1820,Q1820:AE1820)),0)</f>
        <v>0</v>
      </c>
      <c r="G1820" s="132">
        <f t="shared" si="742"/>
        <v>82170</v>
      </c>
      <c r="H1820" s="137">
        <f t="shared" si="743"/>
        <v>0.10710989681368588</v>
      </c>
      <c r="I1820" s="2"/>
      <c r="J1820" s="2">
        <f t="shared" si="745"/>
        <v>0.5243092669548306</v>
      </c>
      <c r="K1820" s="2">
        <f t="shared" si="746"/>
        <v>0.41719937014114472</v>
      </c>
      <c r="L1820" s="2">
        <f t="shared" si="747"/>
        <v>0</v>
      </c>
      <c r="M1820" s="2">
        <f t="shared" si="748"/>
        <v>5.849136290402468E-2</v>
      </c>
      <c r="N1820" s="63">
        <v>402227</v>
      </c>
      <c r="O1820" s="63">
        <v>320057</v>
      </c>
      <c r="P1820" s="63"/>
      <c r="Q1820" s="63">
        <v>22453</v>
      </c>
      <c r="R1820" s="63"/>
      <c r="S1820" s="63">
        <v>3213</v>
      </c>
      <c r="T1820" s="63">
        <v>1720</v>
      </c>
      <c r="U1820" s="63"/>
      <c r="V1820" s="63"/>
      <c r="W1820" s="63"/>
      <c r="X1820" s="63"/>
      <c r="Y1820" s="63"/>
      <c r="Z1820" s="63"/>
      <c r="AA1820" s="63"/>
      <c r="AB1820" s="63">
        <v>17486</v>
      </c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W1820" s="5">
        <f>IF(Q1820&gt;0,RANK(Q1820,(N1820:P1820,Q1820:AE1820)),0)</f>
        <v>3</v>
      </c>
      <c r="AX1820" s="5">
        <f>IF(R1820&gt;0,RANK(R1820,(N1820:P1820,Q1820:AE1820)),0)</f>
        <v>0</v>
      </c>
      <c r="AY1820" s="5">
        <f>IF(T1820&gt;0,RANK(T1820,(N1820:P1820,Q1820:AE1820)),0)</f>
        <v>6</v>
      </c>
      <c r="AZ1820" s="5">
        <f>IF(S1820&gt;0,RANK(S1820,(N1820:P1820,Q1820:AE1820)),0)</f>
        <v>5</v>
      </c>
      <c r="BA1820" s="2">
        <f t="shared" si="749"/>
        <v>2.9267841221342204E-2</v>
      </c>
      <c r="BB1820" s="2">
        <f t="shared" si="750"/>
        <v>0</v>
      </c>
      <c r="BC1820" s="2">
        <f t="shared" si="751"/>
        <v>2.2420472498422745E-3</v>
      </c>
      <c r="BD1820" s="2">
        <f t="shared" si="752"/>
        <v>4.188196403339086E-3</v>
      </c>
      <c r="BF1820" t="s">
        <v>392</v>
      </c>
      <c r="BG1820" t="s">
        <v>270</v>
      </c>
      <c r="BJ1820" s="114">
        <v>32</v>
      </c>
      <c r="BK1820" s="116">
        <v>3</v>
      </c>
      <c r="BL1820" s="120">
        <f t="shared" si="732"/>
        <v>32003</v>
      </c>
      <c r="BN1820" s="5" t="s">
        <v>3154</v>
      </c>
      <c r="BR1820" s="63"/>
    </row>
    <row r="1821" spans="1:70" hidden="1" outlineLevel="1">
      <c r="A1821" t="s">
        <v>1148</v>
      </c>
      <c r="B1821" t="s">
        <v>270</v>
      </c>
      <c r="C1821" s="1">
        <f t="shared" si="744"/>
        <v>27885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32">
        <f t="shared" si="742"/>
        <v>8961</v>
      </c>
      <c r="H1821" s="137">
        <f t="shared" si="743"/>
        <v>0.32135556750941369</v>
      </c>
      <c r="I1821" s="2"/>
      <c r="J1821" s="2">
        <f t="shared" si="745"/>
        <v>0.3031737493275955</v>
      </c>
      <c r="K1821" s="2">
        <f t="shared" si="746"/>
        <v>0.62452931683700919</v>
      </c>
      <c r="L1821" s="2">
        <f t="shared" si="747"/>
        <v>0</v>
      </c>
      <c r="M1821" s="2">
        <f t="shared" si="748"/>
        <v>7.2296933835395372E-2</v>
      </c>
      <c r="N1821" s="63">
        <v>8454</v>
      </c>
      <c r="O1821" s="63">
        <v>17415</v>
      </c>
      <c r="P1821" s="63"/>
      <c r="Q1821" s="63">
        <v>1004</v>
      </c>
      <c r="R1821" s="63"/>
      <c r="S1821" s="63">
        <v>108</v>
      </c>
      <c r="T1821" s="63">
        <v>50</v>
      </c>
      <c r="U1821" s="63"/>
      <c r="V1821" s="63"/>
      <c r="W1821" s="63"/>
      <c r="X1821" s="63"/>
      <c r="Y1821" s="63"/>
      <c r="Z1821" s="63"/>
      <c r="AA1821" s="63"/>
      <c r="AB1821" s="63">
        <v>854</v>
      </c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W1821" s="5">
        <f>IF(Q1821&gt;0,RANK(Q1821,(N1821:P1821,Q1821:AE1821)),0)</f>
        <v>3</v>
      </c>
      <c r="AX1821" s="5">
        <f>IF(R1821&gt;0,RANK(R1821,(N1821:P1821,Q1821:AE1821)),0)</f>
        <v>0</v>
      </c>
      <c r="AY1821" s="5">
        <f>IF(T1821&gt;0,RANK(T1821,(N1821:P1821,Q1821:AE1821)),0)</f>
        <v>6</v>
      </c>
      <c r="AZ1821" s="5">
        <f>IF(S1821&gt;0,RANK(S1821,(N1821:P1821,Q1821:AE1821)),0)</f>
        <v>5</v>
      </c>
      <c r="BA1821" s="2">
        <f t="shared" si="749"/>
        <v>3.6005020620405233E-2</v>
      </c>
      <c r="BB1821" s="2">
        <f t="shared" si="750"/>
        <v>0</v>
      </c>
      <c r="BC1821" s="2">
        <f t="shared" si="751"/>
        <v>1.7930787161556392E-3</v>
      </c>
      <c r="BD1821" s="2">
        <f t="shared" si="752"/>
        <v>3.8730500268961809E-3</v>
      </c>
      <c r="BF1821" t="s">
        <v>1148</v>
      </c>
      <c r="BG1821" t="s">
        <v>270</v>
      </c>
      <c r="BH1821">
        <v>2</v>
      </c>
      <c r="BJ1821" s="114">
        <v>32</v>
      </c>
      <c r="BK1821" s="116">
        <v>5</v>
      </c>
      <c r="BL1821" s="120">
        <f t="shared" si="732"/>
        <v>32005</v>
      </c>
      <c r="BN1821" s="5" t="s">
        <v>3154</v>
      </c>
      <c r="BR1821" s="63"/>
    </row>
    <row r="1822" spans="1:70" hidden="1" outlineLevel="1">
      <c r="A1822" t="s">
        <v>624</v>
      </c>
      <c r="B1822" t="s">
        <v>270</v>
      </c>
      <c r="C1822" s="1">
        <f t="shared" si="744"/>
        <v>18559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32">
        <f t="shared" si="742"/>
        <v>10150</v>
      </c>
      <c r="H1822" s="137">
        <f t="shared" si="743"/>
        <v>0.54690446683549765</v>
      </c>
      <c r="I1822" s="2"/>
      <c r="J1822" s="2">
        <f t="shared" si="745"/>
        <v>0.1832534080500027</v>
      </c>
      <c r="K1822" s="2">
        <f t="shared" si="746"/>
        <v>0.73015787488550032</v>
      </c>
      <c r="L1822" s="2">
        <f t="shared" si="747"/>
        <v>0</v>
      </c>
      <c r="M1822" s="2">
        <f t="shared" si="748"/>
        <v>8.6588717064497001E-2</v>
      </c>
      <c r="N1822" s="63">
        <v>3401</v>
      </c>
      <c r="O1822" s="63">
        <v>13551</v>
      </c>
      <c r="P1822" s="63"/>
      <c r="Q1822" s="63">
        <v>828</v>
      </c>
      <c r="R1822" s="63"/>
      <c r="S1822" s="63">
        <v>187</v>
      </c>
      <c r="T1822" s="63">
        <v>64</v>
      </c>
      <c r="U1822" s="63"/>
      <c r="V1822" s="63"/>
      <c r="W1822" s="63"/>
      <c r="X1822" s="63"/>
      <c r="Y1822" s="63"/>
      <c r="Z1822" s="63"/>
      <c r="AA1822" s="63"/>
      <c r="AB1822" s="63">
        <v>528</v>
      </c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W1822" s="5">
        <f>IF(Q1822&gt;0,RANK(Q1822,(N1822:P1822,Q1822:AE1822)),0)</f>
        <v>3</v>
      </c>
      <c r="AX1822" s="5">
        <f>IF(R1822&gt;0,RANK(R1822,(N1822:P1822,Q1822:AE1822)),0)</f>
        <v>0</v>
      </c>
      <c r="AY1822" s="5">
        <f>IF(T1822&gt;0,RANK(T1822,(N1822:P1822,Q1822:AE1822)),0)</f>
        <v>6</v>
      </c>
      <c r="AZ1822" s="5">
        <f>IF(S1822&gt;0,RANK(S1822,(N1822:P1822,Q1822:AE1822)),0)</f>
        <v>5</v>
      </c>
      <c r="BA1822" s="2">
        <f t="shared" si="749"/>
        <v>4.4614472762541088E-2</v>
      </c>
      <c r="BB1822" s="2">
        <f t="shared" si="750"/>
        <v>0</v>
      </c>
      <c r="BC1822" s="2">
        <f t="shared" si="751"/>
        <v>3.448461662805108E-3</v>
      </c>
      <c r="BD1822" s="2">
        <f t="shared" si="752"/>
        <v>1.0075973921008676E-2</v>
      </c>
      <c r="BF1822" t="s">
        <v>624</v>
      </c>
      <c r="BG1822" t="s">
        <v>270</v>
      </c>
      <c r="BH1822">
        <v>2</v>
      </c>
      <c r="BJ1822" s="114">
        <v>32</v>
      </c>
      <c r="BK1822" s="116">
        <v>7</v>
      </c>
      <c r="BL1822" s="120">
        <f t="shared" si="732"/>
        <v>32007</v>
      </c>
      <c r="BN1822" s="5" t="s">
        <v>3154</v>
      </c>
      <c r="BR1822" s="63"/>
    </row>
    <row r="1823" spans="1:70" hidden="1" outlineLevel="1">
      <c r="A1823" t="s">
        <v>313</v>
      </c>
      <c r="B1823" t="s">
        <v>270</v>
      </c>
      <c r="C1823" s="1">
        <f t="shared" si="744"/>
        <v>423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32">
        <f t="shared" si="742"/>
        <v>264</v>
      </c>
      <c r="H1823" s="137">
        <f t="shared" si="743"/>
        <v>0.62411347517730498</v>
      </c>
      <c r="I1823" s="2"/>
      <c r="J1823" s="2">
        <f t="shared" si="745"/>
        <v>0.15366430260047281</v>
      </c>
      <c r="K1823" s="2">
        <f t="shared" si="746"/>
        <v>0.77777777777777779</v>
      </c>
      <c r="L1823" s="2">
        <f t="shared" si="747"/>
        <v>0</v>
      </c>
      <c r="M1823" s="2">
        <f t="shared" si="748"/>
        <v>6.8557919621749397E-2</v>
      </c>
      <c r="N1823" s="63">
        <v>65</v>
      </c>
      <c r="O1823" s="63">
        <v>329</v>
      </c>
      <c r="P1823" s="63"/>
      <c r="Q1823" s="63">
        <v>15</v>
      </c>
      <c r="R1823" s="63"/>
      <c r="S1823" s="63">
        <v>3</v>
      </c>
      <c r="T1823" s="63">
        <v>0</v>
      </c>
      <c r="U1823" s="63"/>
      <c r="V1823" s="63"/>
      <c r="W1823" s="63"/>
      <c r="X1823" s="63"/>
      <c r="Y1823" s="63"/>
      <c r="Z1823" s="63"/>
      <c r="AA1823" s="63"/>
      <c r="AB1823" s="63">
        <v>11</v>
      </c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W1823" s="5">
        <f>IF(Q1823&gt;0,RANK(Q1823,(N1823:P1823,Q1823:AE1823)),0)</f>
        <v>3</v>
      </c>
      <c r="AX1823" s="5">
        <f>IF(R1823&gt;0,RANK(R1823,(N1823:P1823,Q1823:AE1823)),0)</f>
        <v>0</v>
      </c>
      <c r="AY1823" s="5">
        <f>IF(T1823&gt;0,RANK(T1823,(N1823:P1823,Q1823:AE1823)),0)</f>
        <v>0</v>
      </c>
      <c r="AZ1823" s="5">
        <f>IF(S1823&gt;0,RANK(S1823,(N1823:P1823,Q1823:AE1823)),0)</f>
        <v>5</v>
      </c>
      <c r="BA1823" s="2">
        <f t="shared" si="749"/>
        <v>3.5460992907801421E-2</v>
      </c>
      <c r="BB1823" s="2">
        <f t="shared" si="750"/>
        <v>0</v>
      </c>
      <c r="BC1823" s="2">
        <f t="shared" si="751"/>
        <v>0</v>
      </c>
      <c r="BD1823" s="2">
        <f t="shared" si="752"/>
        <v>7.0921985815602835E-3</v>
      </c>
      <c r="BF1823" t="s">
        <v>313</v>
      </c>
      <c r="BG1823" t="s">
        <v>270</v>
      </c>
      <c r="BH1823">
        <v>4</v>
      </c>
      <c r="BJ1823" s="114">
        <v>32</v>
      </c>
      <c r="BK1823" s="116">
        <v>9</v>
      </c>
      <c r="BL1823" s="120">
        <f t="shared" si="732"/>
        <v>32009</v>
      </c>
      <c r="BN1823" s="5" t="s">
        <v>3154</v>
      </c>
      <c r="BR1823" s="63"/>
    </row>
    <row r="1824" spans="1:70" hidden="1" outlineLevel="1">
      <c r="A1824" t="s">
        <v>1561</v>
      </c>
      <c r="B1824" t="s">
        <v>270</v>
      </c>
      <c r="C1824" s="1">
        <f t="shared" si="744"/>
        <v>854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32">
        <f t="shared" si="742"/>
        <v>649</v>
      </c>
      <c r="H1824" s="137">
        <f t="shared" si="743"/>
        <v>0.75995316159250581</v>
      </c>
      <c r="I1824" s="2"/>
      <c r="J1824" s="2">
        <f t="shared" si="745"/>
        <v>8.6651053864168617E-2</v>
      </c>
      <c r="K1824" s="2">
        <f t="shared" si="746"/>
        <v>0.84660421545667452</v>
      </c>
      <c r="L1824" s="2">
        <f t="shared" si="747"/>
        <v>0</v>
      </c>
      <c r="M1824" s="2">
        <f t="shared" si="748"/>
        <v>6.6744730679156872E-2</v>
      </c>
      <c r="N1824" s="63">
        <v>74</v>
      </c>
      <c r="O1824" s="63">
        <v>723</v>
      </c>
      <c r="P1824" s="63"/>
      <c r="Q1824" s="63">
        <v>19</v>
      </c>
      <c r="R1824" s="63"/>
      <c r="S1824" s="63">
        <v>8</v>
      </c>
      <c r="T1824" s="63">
        <v>1</v>
      </c>
      <c r="U1824" s="63"/>
      <c r="V1824" s="63"/>
      <c r="W1824" s="63"/>
      <c r="X1824" s="63"/>
      <c r="Y1824" s="63"/>
      <c r="Z1824" s="63"/>
      <c r="AA1824" s="63"/>
      <c r="AB1824" s="63">
        <v>29</v>
      </c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W1824" s="5">
        <f>IF(Q1824&gt;0,RANK(Q1824,(N1824:P1824,Q1824:AE1824)),0)</f>
        <v>4</v>
      </c>
      <c r="AX1824" s="5">
        <f>IF(R1824&gt;0,RANK(R1824,(N1824:P1824,Q1824:AE1824)),0)</f>
        <v>0</v>
      </c>
      <c r="AY1824" s="5">
        <f>IF(T1824&gt;0,RANK(T1824,(N1824:P1824,Q1824:AE1824)),0)</f>
        <v>6</v>
      </c>
      <c r="AZ1824" s="5">
        <f>IF(S1824&gt;0,RANK(S1824,(N1824:P1824,Q1824:AE1824)),0)</f>
        <v>5</v>
      </c>
      <c r="BA1824" s="2">
        <f t="shared" si="749"/>
        <v>2.224824355971897E-2</v>
      </c>
      <c r="BB1824" s="2">
        <f t="shared" si="750"/>
        <v>0</v>
      </c>
      <c r="BC1824" s="2">
        <f t="shared" si="751"/>
        <v>1.17096018735363E-3</v>
      </c>
      <c r="BD1824" s="2">
        <f t="shared" si="752"/>
        <v>9.3676814988290398E-3</v>
      </c>
      <c r="BF1824" t="s">
        <v>1561</v>
      </c>
      <c r="BG1824" t="s">
        <v>270</v>
      </c>
      <c r="BH1824">
        <v>2</v>
      </c>
      <c r="BJ1824" s="114">
        <v>32</v>
      </c>
      <c r="BK1824" s="116">
        <v>11</v>
      </c>
      <c r="BL1824" s="120">
        <f t="shared" si="732"/>
        <v>32011</v>
      </c>
      <c r="BN1824" s="5" t="s">
        <v>3154</v>
      </c>
      <c r="BR1824" s="63"/>
    </row>
    <row r="1825" spans="1:81" hidden="1" outlineLevel="1">
      <c r="A1825" t="s">
        <v>1878</v>
      </c>
      <c r="B1825" t="s">
        <v>270</v>
      </c>
      <c r="C1825" s="1">
        <f t="shared" si="744"/>
        <v>6433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32">
        <f t="shared" si="742"/>
        <v>3135</v>
      </c>
      <c r="H1825" s="137">
        <f t="shared" si="743"/>
        <v>0.48733094979014457</v>
      </c>
      <c r="I1825" s="2"/>
      <c r="J1825" s="2">
        <f t="shared" si="745"/>
        <v>0.21545157780195864</v>
      </c>
      <c r="K1825" s="2">
        <f t="shared" si="746"/>
        <v>0.70278252759210325</v>
      </c>
      <c r="L1825" s="2">
        <f t="shared" si="747"/>
        <v>0</v>
      </c>
      <c r="M1825" s="2">
        <f t="shared" si="748"/>
        <v>8.1765894605938083E-2</v>
      </c>
      <c r="N1825" s="63">
        <v>1386</v>
      </c>
      <c r="O1825" s="63">
        <v>4521</v>
      </c>
      <c r="P1825" s="63"/>
      <c r="Q1825" s="63">
        <v>269</v>
      </c>
      <c r="R1825" s="63"/>
      <c r="S1825" s="63">
        <v>74</v>
      </c>
      <c r="T1825" s="63">
        <v>15</v>
      </c>
      <c r="U1825" s="63"/>
      <c r="V1825" s="63"/>
      <c r="W1825" s="63"/>
      <c r="X1825" s="63"/>
      <c r="Y1825" s="63"/>
      <c r="Z1825" s="63"/>
      <c r="AA1825" s="63"/>
      <c r="AB1825" s="63">
        <v>168</v>
      </c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W1825" s="5">
        <f>IF(Q1825&gt;0,RANK(Q1825,(N1825:P1825,Q1825:AE1825)),0)</f>
        <v>3</v>
      </c>
      <c r="AX1825" s="5">
        <f>IF(R1825&gt;0,RANK(R1825,(N1825:P1825,Q1825:AE1825)),0)</f>
        <v>0</v>
      </c>
      <c r="AY1825" s="5">
        <f>IF(T1825&gt;0,RANK(T1825,(N1825:P1825,Q1825:AE1825)),0)</f>
        <v>6</v>
      </c>
      <c r="AZ1825" s="5">
        <f>IF(S1825&gt;0,RANK(S1825,(N1825:P1825,Q1825:AE1825)),0)</f>
        <v>5</v>
      </c>
      <c r="BA1825" s="2">
        <f t="shared" si="749"/>
        <v>4.181563811596456E-2</v>
      </c>
      <c r="BB1825" s="2">
        <f t="shared" si="750"/>
        <v>0</v>
      </c>
      <c r="BC1825" s="2">
        <f t="shared" si="751"/>
        <v>2.33172703248873E-3</v>
      </c>
      <c r="BD1825" s="2">
        <f t="shared" si="752"/>
        <v>1.1503186693611068E-2</v>
      </c>
      <c r="BF1825" t="s">
        <v>1878</v>
      </c>
      <c r="BG1825" t="s">
        <v>270</v>
      </c>
      <c r="BH1825">
        <v>2</v>
      </c>
      <c r="BJ1825" s="114">
        <v>32</v>
      </c>
      <c r="BK1825" s="116">
        <v>13</v>
      </c>
      <c r="BL1825" s="120">
        <f t="shared" si="732"/>
        <v>32013</v>
      </c>
      <c r="BN1825" s="5" t="s">
        <v>3154</v>
      </c>
      <c r="BR1825" s="63"/>
    </row>
    <row r="1826" spans="1:81" hidden="1" outlineLevel="1">
      <c r="A1826" t="s">
        <v>128</v>
      </c>
      <c r="B1826" t="s">
        <v>270</v>
      </c>
      <c r="C1826" s="1">
        <f t="shared" si="744"/>
        <v>2413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32">
        <f t="shared" si="742"/>
        <v>1425</v>
      </c>
      <c r="H1826" s="137">
        <f t="shared" si="743"/>
        <v>0.59055118110236215</v>
      </c>
      <c r="I1826" s="2"/>
      <c r="J1826" s="2">
        <f t="shared" si="745"/>
        <v>0.1670120182345628</v>
      </c>
      <c r="K1826" s="2">
        <f t="shared" si="746"/>
        <v>0.75756319933692495</v>
      </c>
      <c r="L1826" s="2">
        <f t="shared" si="747"/>
        <v>0</v>
      </c>
      <c r="M1826" s="2">
        <f t="shared" si="748"/>
        <v>7.5424782428512249E-2</v>
      </c>
      <c r="N1826" s="63">
        <v>403</v>
      </c>
      <c r="O1826" s="63">
        <v>1828</v>
      </c>
      <c r="P1826" s="63"/>
      <c r="Q1826" s="63">
        <v>79</v>
      </c>
      <c r="R1826" s="63"/>
      <c r="S1826" s="63">
        <v>16</v>
      </c>
      <c r="T1826" s="63">
        <v>10</v>
      </c>
      <c r="U1826" s="63"/>
      <c r="V1826" s="63"/>
      <c r="W1826" s="63"/>
      <c r="X1826" s="63"/>
      <c r="Y1826" s="63"/>
      <c r="Z1826" s="63"/>
      <c r="AA1826" s="63"/>
      <c r="AB1826" s="63">
        <v>77</v>
      </c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W1826" s="5">
        <f>IF(Q1826&gt;0,RANK(Q1826,(N1826:P1826,Q1826:AE1826)),0)</f>
        <v>3</v>
      </c>
      <c r="AX1826" s="5">
        <f>IF(R1826&gt;0,RANK(R1826,(N1826:P1826,Q1826:AE1826)),0)</f>
        <v>0</v>
      </c>
      <c r="AY1826" s="5">
        <f>IF(T1826&gt;0,RANK(T1826,(N1826:P1826,Q1826:AE1826)),0)</f>
        <v>6</v>
      </c>
      <c r="AZ1826" s="5">
        <f>IF(S1826&gt;0,RANK(S1826,(N1826:P1826,Q1826:AE1826)),0)</f>
        <v>5</v>
      </c>
      <c r="BA1826" s="2">
        <f t="shared" si="749"/>
        <v>3.2739328636552011E-2</v>
      </c>
      <c r="BB1826" s="2">
        <f t="shared" si="750"/>
        <v>0</v>
      </c>
      <c r="BC1826" s="2">
        <f t="shared" si="751"/>
        <v>4.1442188147534191E-3</v>
      </c>
      <c r="BD1826" s="2">
        <f t="shared" si="752"/>
        <v>6.63075010360547E-3</v>
      </c>
      <c r="BF1826" t="s">
        <v>128</v>
      </c>
      <c r="BG1826" t="s">
        <v>270</v>
      </c>
      <c r="BH1826">
        <v>2</v>
      </c>
      <c r="BJ1826" s="114">
        <v>32</v>
      </c>
      <c r="BK1826" s="116">
        <v>15</v>
      </c>
      <c r="BL1826" s="120">
        <f t="shared" si="732"/>
        <v>32015</v>
      </c>
      <c r="BN1826" s="5" t="s">
        <v>3154</v>
      </c>
      <c r="BR1826" s="63"/>
    </row>
    <row r="1827" spans="1:81" hidden="1" outlineLevel="1">
      <c r="A1827" t="s">
        <v>1597</v>
      </c>
      <c r="B1827" t="s">
        <v>270</v>
      </c>
      <c r="C1827" s="1">
        <f t="shared" si="744"/>
        <v>2132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32">
        <f t="shared" si="742"/>
        <v>1386</v>
      </c>
      <c r="H1827" s="137">
        <f t="shared" si="743"/>
        <v>0.65009380863039401</v>
      </c>
      <c r="I1827" s="2"/>
      <c r="J1827" s="2">
        <f t="shared" si="745"/>
        <v>0.13367729831144465</v>
      </c>
      <c r="K1827" s="2">
        <f t="shared" si="746"/>
        <v>0.7837711069418386</v>
      </c>
      <c r="L1827" s="2">
        <f t="shared" si="747"/>
        <v>0</v>
      </c>
      <c r="M1827" s="2">
        <f t="shared" si="748"/>
        <v>8.2551594746716694E-2</v>
      </c>
      <c r="N1827" s="63">
        <v>285</v>
      </c>
      <c r="O1827" s="63">
        <v>1671</v>
      </c>
      <c r="P1827" s="63"/>
      <c r="Q1827" s="63">
        <v>62</v>
      </c>
      <c r="R1827" s="63"/>
      <c r="S1827" s="63">
        <v>25</v>
      </c>
      <c r="T1827" s="63">
        <v>5</v>
      </c>
      <c r="U1827" s="63"/>
      <c r="V1827" s="63"/>
      <c r="W1827" s="63"/>
      <c r="X1827" s="63"/>
      <c r="Y1827" s="63"/>
      <c r="Z1827" s="63"/>
      <c r="AA1827" s="63"/>
      <c r="AB1827" s="63">
        <v>84</v>
      </c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W1827" s="5">
        <f>IF(Q1827&gt;0,RANK(Q1827,(N1827:P1827,Q1827:AE1827)),0)</f>
        <v>4</v>
      </c>
      <c r="AX1827" s="5">
        <f>IF(R1827&gt;0,RANK(R1827,(N1827:P1827,Q1827:AE1827)),0)</f>
        <v>0</v>
      </c>
      <c r="AY1827" s="5">
        <f>IF(T1827&gt;0,RANK(T1827,(N1827:P1827,Q1827:AE1827)),0)</f>
        <v>6</v>
      </c>
      <c r="AZ1827" s="5">
        <f>IF(S1827&gt;0,RANK(S1827,(N1827:P1827,Q1827:AE1827)),0)</f>
        <v>5</v>
      </c>
      <c r="BA1827" s="2">
        <f t="shared" si="749"/>
        <v>2.9080675422138838E-2</v>
      </c>
      <c r="BB1827" s="2">
        <f t="shared" si="750"/>
        <v>0</v>
      </c>
      <c r="BC1827" s="2">
        <f t="shared" si="751"/>
        <v>2.3452157598499064E-3</v>
      </c>
      <c r="BD1827" s="2">
        <f t="shared" si="752"/>
        <v>1.172607879924953E-2</v>
      </c>
      <c r="BF1827" t="s">
        <v>1597</v>
      </c>
      <c r="BG1827" t="s">
        <v>270</v>
      </c>
      <c r="BH1827">
        <v>4</v>
      </c>
      <c r="BJ1827" s="114">
        <v>32</v>
      </c>
      <c r="BK1827" s="116">
        <v>17</v>
      </c>
      <c r="BL1827" s="120">
        <f t="shared" si="732"/>
        <v>32017</v>
      </c>
      <c r="BN1827" s="5" t="s">
        <v>3154</v>
      </c>
      <c r="BR1827" s="63"/>
    </row>
    <row r="1828" spans="1:81" hidden="1" outlineLevel="1">
      <c r="A1828" t="s">
        <v>316</v>
      </c>
      <c r="B1828" t="s">
        <v>270</v>
      </c>
      <c r="C1828" s="1">
        <f t="shared" si="744"/>
        <v>23762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32">
        <f t="shared" si="742"/>
        <v>9859</v>
      </c>
      <c r="H1828" s="137">
        <f t="shared" si="743"/>
        <v>0.41490615268075076</v>
      </c>
      <c r="I1828" s="2"/>
      <c r="J1828" s="2">
        <f t="shared" si="745"/>
        <v>0.25864826193081392</v>
      </c>
      <c r="K1828" s="2">
        <f t="shared" si="746"/>
        <v>0.67355441461156473</v>
      </c>
      <c r="L1828" s="2">
        <f t="shared" si="747"/>
        <v>0</v>
      </c>
      <c r="M1828" s="2">
        <f t="shared" si="748"/>
        <v>6.779732345762135E-2</v>
      </c>
      <c r="N1828" s="63">
        <v>6146</v>
      </c>
      <c r="O1828" s="63">
        <v>16005</v>
      </c>
      <c r="P1828" s="63"/>
      <c r="Q1828" s="63">
        <v>813</v>
      </c>
      <c r="R1828" s="63"/>
      <c r="S1828" s="63">
        <v>159</v>
      </c>
      <c r="T1828" s="63">
        <v>64</v>
      </c>
      <c r="U1828" s="63"/>
      <c r="V1828" s="63"/>
      <c r="W1828" s="63"/>
      <c r="X1828" s="63"/>
      <c r="Y1828" s="63"/>
      <c r="Z1828" s="63"/>
      <c r="AA1828" s="63"/>
      <c r="AB1828" s="63">
        <v>575</v>
      </c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W1828" s="5">
        <f>IF(Q1828&gt;0,RANK(Q1828,(N1828:P1828,Q1828:AE1828)),0)</f>
        <v>3</v>
      </c>
      <c r="AX1828" s="5">
        <f>IF(R1828&gt;0,RANK(R1828,(N1828:P1828,Q1828:AE1828)),0)</f>
        <v>0</v>
      </c>
      <c r="AY1828" s="5">
        <f>IF(T1828&gt;0,RANK(T1828,(N1828:P1828,Q1828:AE1828)),0)</f>
        <v>6</v>
      </c>
      <c r="AZ1828" s="5">
        <f>IF(S1828&gt;0,RANK(S1828,(N1828:P1828,Q1828:AE1828)),0)</f>
        <v>5</v>
      </c>
      <c r="BA1828" s="2">
        <f t="shared" si="749"/>
        <v>3.4214291726285664E-2</v>
      </c>
      <c r="BB1828" s="2">
        <f t="shared" si="750"/>
        <v>0</v>
      </c>
      <c r="BC1828" s="2">
        <f t="shared" si="751"/>
        <v>2.6933759784529923E-3</v>
      </c>
      <c r="BD1828" s="2">
        <f t="shared" si="752"/>
        <v>6.6913559464691526E-3</v>
      </c>
      <c r="BF1828" t="s">
        <v>316</v>
      </c>
      <c r="BG1828" t="s">
        <v>270</v>
      </c>
      <c r="BJ1828" s="114">
        <v>32</v>
      </c>
      <c r="BK1828" s="116">
        <v>19</v>
      </c>
      <c r="BL1828" s="120">
        <f t="shared" si="732"/>
        <v>32019</v>
      </c>
      <c r="BN1828" s="5" t="s">
        <v>3154</v>
      </c>
      <c r="BR1828" s="63"/>
    </row>
    <row r="1829" spans="1:81" hidden="1" outlineLevel="1">
      <c r="A1829" t="s">
        <v>1873</v>
      </c>
      <c r="B1829" t="s">
        <v>270</v>
      </c>
      <c r="C1829" s="1">
        <f t="shared" si="744"/>
        <v>1997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32">
        <f t="shared" si="742"/>
        <v>542</v>
      </c>
      <c r="H1829" s="137">
        <f t="shared" si="743"/>
        <v>0.27140711066599899</v>
      </c>
      <c r="I1829" s="2"/>
      <c r="J1829" s="2">
        <f t="shared" si="745"/>
        <v>0.3189784677015523</v>
      </c>
      <c r="K1829" s="2">
        <f t="shared" si="746"/>
        <v>0.59038557836755134</v>
      </c>
      <c r="L1829" s="2">
        <f t="shared" si="747"/>
        <v>0</v>
      </c>
      <c r="M1829" s="2">
        <f t="shared" si="748"/>
        <v>9.0635953930896296E-2</v>
      </c>
      <c r="N1829" s="63">
        <v>637</v>
      </c>
      <c r="O1829" s="63">
        <v>1179</v>
      </c>
      <c r="P1829" s="63"/>
      <c r="Q1829" s="63">
        <v>88</v>
      </c>
      <c r="R1829" s="63"/>
      <c r="S1829" s="63">
        <v>19</v>
      </c>
      <c r="T1829" s="63">
        <v>15</v>
      </c>
      <c r="U1829" s="63"/>
      <c r="V1829" s="63"/>
      <c r="W1829" s="63"/>
      <c r="X1829" s="63"/>
      <c r="Y1829" s="63"/>
      <c r="Z1829" s="63"/>
      <c r="AA1829" s="63"/>
      <c r="AB1829" s="63">
        <v>59</v>
      </c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W1829" s="5">
        <f>IF(Q1829&gt;0,RANK(Q1829,(N1829:P1829,Q1829:AE1829)),0)</f>
        <v>3</v>
      </c>
      <c r="AX1829" s="5">
        <f>IF(R1829&gt;0,RANK(R1829,(N1829:P1829,Q1829:AE1829)),0)</f>
        <v>0</v>
      </c>
      <c r="AY1829" s="5">
        <f>IF(T1829&gt;0,RANK(T1829,(N1829:P1829,Q1829:AE1829)),0)</f>
        <v>6</v>
      </c>
      <c r="AZ1829" s="5">
        <f>IF(S1829&gt;0,RANK(S1829,(N1829:P1829,Q1829:AE1829)),0)</f>
        <v>5</v>
      </c>
      <c r="BA1829" s="2">
        <f t="shared" si="749"/>
        <v>4.4066099148723087E-2</v>
      </c>
      <c r="BB1829" s="2">
        <f t="shared" si="750"/>
        <v>0</v>
      </c>
      <c r="BC1829" s="2">
        <f t="shared" si="751"/>
        <v>7.5112669003505259E-3</v>
      </c>
      <c r="BD1829" s="2">
        <f t="shared" si="752"/>
        <v>9.5142714071106659E-3</v>
      </c>
      <c r="BF1829" t="s">
        <v>1873</v>
      </c>
      <c r="BG1829" t="s">
        <v>270</v>
      </c>
      <c r="BH1829">
        <v>4</v>
      </c>
      <c r="BJ1829" s="114">
        <v>32</v>
      </c>
      <c r="BK1829" s="116">
        <v>21</v>
      </c>
      <c r="BL1829" s="120">
        <f t="shared" si="732"/>
        <v>32021</v>
      </c>
      <c r="BN1829" s="5" t="s">
        <v>3154</v>
      </c>
      <c r="BR1829" s="63"/>
    </row>
    <row r="1830" spans="1:81" hidden="1" outlineLevel="1">
      <c r="A1830" t="s">
        <v>1702</v>
      </c>
      <c r="B1830" t="s">
        <v>270</v>
      </c>
      <c r="C1830" s="1">
        <f t="shared" si="744"/>
        <v>19595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32">
        <f t="shared" si="742"/>
        <v>8230</v>
      </c>
      <c r="H1830" s="137">
        <f t="shared" si="743"/>
        <v>0.42000510334268948</v>
      </c>
      <c r="I1830" s="2"/>
      <c r="J1830" s="2">
        <f t="shared" si="745"/>
        <v>0.25996427660117377</v>
      </c>
      <c r="K1830" s="2">
        <f t="shared" si="746"/>
        <v>0.67996937994386319</v>
      </c>
      <c r="L1830" s="2">
        <f t="shared" si="747"/>
        <v>0</v>
      </c>
      <c r="M1830" s="2">
        <f t="shared" si="748"/>
        <v>6.0066343454962978E-2</v>
      </c>
      <c r="N1830" s="63">
        <v>5094</v>
      </c>
      <c r="O1830" s="63">
        <v>13324</v>
      </c>
      <c r="P1830" s="63"/>
      <c r="Q1830" s="63">
        <v>552</v>
      </c>
      <c r="R1830" s="63"/>
      <c r="S1830" s="63">
        <v>164</v>
      </c>
      <c r="T1830" s="63">
        <v>47</v>
      </c>
      <c r="U1830" s="63"/>
      <c r="V1830" s="63"/>
      <c r="W1830" s="63"/>
      <c r="X1830" s="63"/>
      <c r="Y1830" s="63"/>
      <c r="Z1830" s="63"/>
      <c r="AA1830" s="63"/>
      <c r="AB1830" s="63">
        <v>414</v>
      </c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W1830" s="5">
        <f>IF(Q1830&gt;0,RANK(Q1830,(N1830:P1830,Q1830:AE1830)),0)</f>
        <v>3</v>
      </c>
      <c r="AX1830" s="5">
        <f>IF(R1830&gt;0,RANK(R1830,(N1830:P1830,Q1830:AE1830)),0)</f>
        <v>0</v>
      </c>
      <c r="AY1830" s="5">
        <f>IF(T1830&gt;0,RANK(T1830,(N1830:P1830,Q1830:AE1830)),0)</f>
        <v>6</v>
      </c>
      <c r="AZ1830" s="5">
        <f>IF(S1830&gt;0,RANK(S1830,(N1830:P1830,Q1830:AE1830)),0)</f>
        <v>5</v>
      </c>
      <c r="BA1830" s="2">
        <f t="shared" si="749"/>
        <v>2.8170451645828019E-2</v>
      </c>
      <c r="BB1830" s="2">
        <f t="shared" si="750"/>
        <v>0</v>
      </c>
      <c r="BC1830" s="2">
        <f t="shared" si="751"/>
        <v>2.3985710640469509E-3</v>
      </c>
      <c r="BD1830" s="2">
        <f t="shared" si="752"/>
        <v>8.3694820107170203E-3</v>
      </c>
      <c r="BF1830" t="s">
        <v>1702</v>
      </c>
      <c r="BG1830" t="s">
        <v>270</v>
      </c>
      <c r="BH1830">
        <v>4</v>
      </c>
      <c r="BJ1830" s="114">
        <v>32</v>
      </c>
      <c r="BK1830" s="116">
        <v>23</v>
      </c>
      <c r="BL1830" s="120">
        <f t="shared" si="732"/>
        <v>32023</v>
      </c>
      <c r="BN1830" s="5" t="s">
        <v>3154</v>
      </c>
      <c r="BR1830" s="63"/>
    </row>
    <row r="1831" spans="1:81" hidden="1" outlineLevel="1">
      <c r="A1831" t="s">
        <v>2041</v>
      </c>
      <c r="B1831" t="s">
        <v>270</v>
      </c>
      <c r="C1831" s="1">
        <f t="shared" si="744"/>
        <v>1982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32">
        <f t="shared" si="742"/>
        <v>973</v>
      </c>
      <c r="H1831" s="137">
        <f t="shared" si="743"/>
        <v>0.49091826437941471</v>
      </c>
      <c r="I1831" s="2"/>
      <c r="J1831" s="2">
        <f t="shared" si="745"/>
        <v>0.21695257315842584</v>
      </c>
      <c r="K1831" s="2">
        <f t="shared" si="746"/>
        <v>0.70787083753784052</v>
      </c>
      <c r="L1831" s="2">
        <f t="shared" si="747"/>
        <v>0</v>
      </c>
      <c r="M1831" s="2">
        <f t="shared" si="748"/>
        <v>7.517658930373361E-2</v>
      </c>
      <c r="N1831" s="63">
        <v>430</v>
      </c>
      <c r="O1831" s="63">
        <v>1403</v>
      </c>
      <c r="P1831" s="63"/>
      <c r="Q1831" s="63">
        <v>58</v>
      </c>
      <c r="R1831" s="63"/>
      <c r="S1831" s="63">
        <v>29</v>
      </c>
      <c r="T1831" s="63">
        <v>6</v>
      </c>
      <c r="U1831" s="63"/>
      <c r="V1831" s="63"/>
      <c r="W1831" s="63"/>
      <c r="X1831" s="63"/>
      <c r="Y1831" s="63"/>
      <c r="Z1831" s="63"/>
      <c r="AA1831" s="63"/>
      <c r="AB1831" s="63">
        <v>56</v>
      </c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W1831" s="5">
        <f>IF(Q1831&gt;0,RANK(Q1831,(N1831:P1831,Q1831:AE1831)),0)</f>
        <v>3</v>
      </c>
      <c r="AX1831" s="5">
        <f>IF(R1831&gt;0,RANK(R1831,(N1831:P1831,Q1831:AE1831)),0)</f>
        <v>0</v>
      </c>
      <c r="AY1831" s="5">
        <f>IF(T1831&gt;0,RANK(T1831,(N1831:P1831,Q1831:AE1831)),0)</f>
        <v>6</v>
      </c>
      <c r="AZ1831" s="5">
        <f>IF(S1831&gt;0,RANK(S1831,(N1831:P1831,Q1831:AE1831)),0)</f>
        <v>5</v>
      </c>
      <c r="BA1831" s="2">
        <f t="shared" si="749"/>
        <v>2.9263370332996974E-2</v>
      </c>
      <c r="BB1831" s="2">
        <f t="shared" si="750"/>
        <v>0</v>
      </c>
      <c r="BC1831" s="2">
        <f t="shared" si="751"/>
        <v>3.0272452068617556E-3</v>
      </c>
      <c r="BD1831" s="2">
        <f t="shared" si="752"/>
        <v>1.4631685166498487E-2</v>
      </c>
      <c r="BF1831" t="s">
        <v>2041</v>
      </c>
      <c r="BG1831" t="s">
        <v>270</v>
      </c>
      <c r="BH1831">
        <v>2</v>
      </c>
      <c r="BJ1831" s="114">
        <v>32</v>
      </c>
      <c r="BK1831" s="116">
        <v>27</v>
      </c>
      <c r="BL1831" s="120">
        <f t="shared" si="732"/>
        <v>32027</v>
      </c>
      <c r="BN1831" s="5" t="s">
        <v>3154</v>
      </c>
      <c r="BR1831" s="63"/>
    </row>
    <row r="1832" spans="1:81" hidden="1" outlineLevel="1">
      <c r="A1832" t="s">
        <v>1938</v>
      </c>
      <c r="B1832" t="s">
        <v>270</v>
      </c>
      <c r="C1832" s="1">
        <f t="shared" si="744"/>
        <v>2558</v>
      </c>
      <c r="D1832" s="5">
        <f>IF(N1832&gt;0, RANK(N1832,(N1832:P1832,Q1832:AE1832)),0)</f>
        <v>2</v>
      </c>
      <c r="E1832" s="5">
        <f>IF(O1832&gt;0,RANK(O1832,(N1832:P1832,Q1832:AE1832)),0)</f>
        <v>1</v>
      </c>
      <c r="F1832" s="5">
        <f>IF(P1832&gt;0,RANK(P1832,(N1832:P1832,Q1832:AE1832)),0)</f>
        <v>0</v>
      </c>
      <c r="G1832" s="132">
        <f t="shared" si="742"/>
        <v>864</v>
      </c>
      <c r="H1832" s="137">
        <f t="shared" si="743"/>
        <v>0.3377638780297107</v>
      </c>
      <c r="I1832" s="2"/>
      <c r="J1832" s="2">
        <f t="shared" si="745"/>
        <v>0.2939796716184519</v>
      </c>
      <c r="K1832" s="2">
        <f t="shared" si="746"/>
        <v>0.63174354964816259</v>
      </c>
      <c r="L1832" s="2">
        <f t="shared" si="747"/>
        <v>0</v>
      </c>
      <c r="M1832" s="2">
        <f t="shared" si="748"/>
        <v>7.4276778733385451E-2</v>
      </c>
      <c r="N1832" s="63">
        <v>752</v>
      </c>
      <c r="O1832" s="63">
        <v>1616</v>
      </c>
      <c r="P1832" s="63"/>
      <c r="Q1832" s="63">
        <v>100</v>
      </c>
      <c r="R1832" s="63"/>
      <c r="S1832" s="63">
        <v>9</v>
      </c>
      <c r="T1832" s="63">
        <v>6</v>
      </c>
      <c r="U1832" s="63"/>
      <c r="V1832" s="63"/>
      <c r="W1832" s="63"/>
      <c r="X1832" s="63"/>
      <c r="Y1832" s="63"/>
      <c r="Z1832" s="63"/>
      <c r="AA1832" s="63"/>
      <c r="AB1832" s="63">
        <v>75</v>
      </c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W1832" s="5">
        <f>IF(Q1832&gt;0,RANK(Q1832,(N1832:P1832,Q1832:AE1832)),0)</f>
        <v>3</v>
      </c>
      <c r="AX1832" s="5">
        <f>IF(R1832&gt;0,RANK(R1832,(N1832:P1832,Q1832:AE1832)),0)</f>
        <v>0</v>
      </c>
      <c r="AY1832" s="5">
        <f>IF(T1832&gt;0,RANK(T1832,(N1832:P1832,Q1832:AE1832)),0)</f>
        <v>6</v>
      </c>
      <c r="AZ1832" s="5">
        <f>IF(S1832&gt;0,RANK(S1832,(N1832:P1832,Q1832:AE1832)),0)</f>
        <v>5</v>
      </c>
      <c r="BA1832" s="2">
        <f t="shared" si="749"/>
        <v>3.9093041438623924E-2</v>
      </c>
      <c r="BB1832" s="2">
        <f t="shared" si="750"/>
        <v>0</v>
      </c>
      <c r="BC1832" s="2">
        <f t="shared" si="751"/>
        <v>2.3455824863174357E-3</v>
      </c>
      <c r="BD1832" s="2">
        <f t="shared" si="752"/>
        <v>3.5183737294761531E-3</v>
      </c>
      <c r="BF1832" t="s">
        <v>1938</v>
      </c>
      <c r="BG1832" t="s">
        <v>270</v>
      </c>
      <c r="BH1832">
        <v>2</v>
      </c>
      <c r="BJ1832" s="114">
        <v>32</v>
      </c>
      <c r="BK1832" s="116">
        <v>29</v>
      </c>
      <c r="BL1832" s="120">
        <f t="shared" si="732"/>
        <v>32029</v>
      </c>
      <c r="BN1832" s="5" t="s">
        <v>3154</v>
      </c>
      <c r="BR1832" s="63"/>
    </row>
    <row r="1833" spans="1:81" hidden="1" outlineLevel="1">
      <c r="A1833" t="s">
        <v>2416</v>
      </c>
      <c r="B1833" t="s">
        <v>270</v>
      </c>
      <c r="C1833" s="1">
        <f t="shared" si="744"/>
        <v>209909</v>
      </c>
      <c r="D1833" s="5">
        <f>IF(N1833&gt;0, RANK(N1833,(N1833:P1833,Q1833:AE1833)),0)</f>
        <v>1</v>
      </c>
      <c r="E1833" s="5">
        <f>IF(O1833&gt;0,RANK(O1833,(N1833:P1833,Q1833:AE1833)),0)</f>
        <v>2</v>
      </c>
      <c r="F1833" s="5">
        <f>IF(P1833&gt;0,RANK(P1833,(N1833:P1833,Q1833:AE1833)),0)</f>
        <v>0</v>
      </c>
      <c r="G1833" s="132">
        <f t="shared" si="742"/>
        <v>2621</v>
      </c>
      <c r="H1833" s="137">
        <f t="shared" si="743"/>
        <v>1.2486363138312317E-2</v>
      </c>
      <c r="I1833" s="2"/>
      <c r="J1833" s="2">
        <f t="shared" si="745"/>
        <v>0.46391055171526707</v>
      </c>
      <c r="K1833" s="2">
        <f t="shared" si="746"/>
        <v>0.45142418857695477</v>
      </c>
      <c r="L1833" s="2">
        <f t="shared" si="747"/>
        <v>0</v>
      </c>
      <c r="M1833" s="2">
        <f t="shared" si="748"/>
        <v>8.4665259707778162E-2</v>
      </c>
      <c r="N1833" s="63">
        <v>97379</v>
      </c>
      <c r="O1833" s="63">
        <v>94758</v>
      </c>
      <c r="P1833" s="63"/>
      <c r="Q1833" s="63">
        <v>9284</v>
      </c>
      <c r="R1833" s="63"/>
      <c r="S1833" s="63">
        <v>969</v>
      </c>
      <c r="T1833" s="63">
        <v>450</v>
      </c>
      <c r="U1833" s="63"/>
      <c r="V1833" s="63"/>
      <c r="W1833" s="63"/>
      <c r="X1833" s="63"/>
      <c r="Y1833" s="63"/>
      <c r="Z1833" s="63"/>
      <c r="AA1833" s="63"/>
      <c r="AB1833" s="63">
        <v>7069</v>
      </c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W1833" s="5">
        <f>IF(Q1833&gt;0,RANK(Q1833,(N1833:P1833,Q1833:AE1833)),0)</f>
        <v>3</v>
      </c>
      <c r="AX1833" s="5">
        <f>IF(R1833&gt;0,RANK(R1833,(N1833:P1833,Q1833:AE1833)),0)</f>
        <v>0</v>
      </c>
      <c r="AY1833" s="5">
        <f>IF(T1833&gt;0,RANK(T1833,(N1833:P1833,Q1833:AE1833)),0)</f>
        <v>6</v>
      </c>
      <c r="AZ1833" s="5">
        <f>IF(S1833&gt;0,RANK(S1833,(N1833:P1833,Q1833:AE1833)),0)</f>
        <v>5</v>
      </c>
      <c r="BA1833" s="2">
        <f t="shared" si="749"/>
        <v>4.4228689575006315E-2</v>
      </c>
      <c r="BB1833" s="2">
        <f t="shared" si="750"/>
        <v>0</v>
      </c>
      <c r="BC1833" s="2">
        <f t="shared" si="751"/>
        <v>2.1437861168411075E-3</v>
      </c>
      <c r="BD1833" s="2">
        <f t="shared" si="752"/>
        <v>4.6162861049311842E-3</v>
      </c>
      <c r="BF1833" t="s">
        <v>2416</v>
      </c>
      <c r="BG1833" t="s">
        <v>270</v>
      </c>
      <c r="BH1833">
        <v>2</v>
      </c>
      <c r="BJ1833" s="114">
        <v>32</v>
      </c>
      <c r="BK1833" s="116">
        <v>31</v>
      </c>
      <c r="BL1833" s="120">
        <f t="shared" ref="BL1833:BL1896" si="753">1000*BJ1833+BK1833</f>
        <v>32031</v>
      </c>
      <c r="BN1833" s="5" t="s">
        <v>3154</v>
      </c>
      <c r="BR1833" s="63"/>
    </row>
    <row r="1834" spans="1:81" hidden="1" outlineLevel="1">
      <c r="A1834" t="s">
        <v>1643</v>
      </c>
      <c r="B1834" t="s">
        <v>270</v>
      </c>
      <c r="C1834" s="1">
        <f t="shared" si="744"/>
        <v>3773</v>
      </c>
      <c r="D1834" s="5">
        <f>IF(N1834&gt;0, RANK(N1834,(N1834:P1834,Q1834:AE1834)),0)</f>
        <v>2</v>
      </c>
      <c r="E1834" s="5">
        <f>IF(O1834&gt;0,RANK(O1834,(N1834:P1834,Q1834:AE1834)),0)</f>
        <v>1</v>
      </c>
      <c r="F1834" s="5">
        <f>IF(P1834&gt;0,RANK(P1834,(N1834:P1834,Q1834:AE1834)),0)</f>
        <v>0</v>
      </c>
      <c r="G1834" s="132">
        <f t="shared" si="742"/>
        <v>2016</v>
      </c>
      <c r="H1834" s="137">
        <f t="shared" si="743"/>
        <v>0.53432282003710574</v>
      </c>
      <c r="I1834" s="2"/>
      <c r="J1834" s="2">
        <f t="shared" si="745"/>
        <v>0.18738404452690166</v>
      </c>
      <c r="K1834" s="2">
        <f t="shared" si="746"/>
        <v>0.72170686456400746</v>
      </c>
      <c r="L1834" s="2">
        <f t="shared" si="747"/>
        <v>0</v>
      </c>
      <c r="M1834" s="2">
        <f t="shared" si="748"/>
        <v>9.0909090909090828E-2</v>
      </c>
      <c r="N1834" s="63">
        <v>707</v>
      </c>
      <c r="O1834" s="63">
        <v>2723</v>
      </c>
      <c r="P1834" s="63"/>
      <c r="Q1834" s="63">
        <v>151</v>
      </c>
      <c r="R1834" s="63"/>
      <c r="S1834" s="63">
        <v>40</v>
      </c>
      <c r="T1834" s="63">
        <v>14</v>
      </c>
      <c r="U1834" s="63"/>
      <c r="V1834" s="63"/>
      <c r="W1834" s="63"/>
      <c r="X1834" s="63"/>
      <c r="Y1834" s="63"/>
      <c r="Z1834" s="63"/>
      <c r="AA1834" s="63"/>
      <c r="AB1834" s="63">
        <v>138</v>
      </c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W1834" s="5">
        <f>IF(Q1834&gt;0,RANK(Q1834,(N1834:P1834,Q1834:AE1834)),0)</f>
        <v>3</v>
      </c>
      <c r="AX1834" s="5">
        <f>IF(R1834&gt;0,RANK(R1834,(N1834:P1834,Q1834:AE1834)),0)</f>
        <v>0</v>
      </c>
      <c r="AY1834" s="5">
        <f>IF(T1834&gt;0,RANK(T1834,(N1834:P1834,Q1834:AE1834)),0)</f>
        <v>6</v>
      </c>
      <c r="AZ1834" s="5">
        <f>IF(S1834&gt;0,RANK(S1834,(N1834:P1834,Q1834:AE1834)),0)</f>
        <v>5</v>
      </c>
      <c r="BA1834" s="2">
        <f t="shared" si="749"/>
        <v>4.0021203286509412E-2</v>
      </c>
      <c r="BB1834" s="2">
        <f t="shared" si="750"/>
        <v>0</v>
      </c>
      <c r="BC1834" s="2">
        <f t="shared" si="751"/>
        <v>3.7105751391465678E-3</v>
      </c>
      <c r="BD1834" s="2">
        <f t="shared" si="752"/>
        <v>1.0601643254704479E-2</v>
      </c>
      <c r="BF1834" t="s">
        <v>1643</v>
      </c>
      <c r="BG1834" t="s">
        <v>270</v>
      </c>
      <c r="BH1834">
        <v>4</v>
      </c>
      <c r="BJ1834" s="114">
        <v>32</v>
      </c>
      <c r="BK1834" s="116">
        <v>33</v>
      </c>
      <c r="BL1834" s="120">
        <f t="shared" si="753"/>
        <v>32033</v>
      </c>
      <c r="BN1834" s="5" t="s">
        <v>3154</v>
      </c>
      <c r="BR1834" s="63"/>
    </row>
    <row r="1835" spans="1:81" collapsed="1">
      <c r="A1835" t="s">
        <v>2354</v>
      </c>
      <c r="B1835" t="s">
        <v>544</v>
      </c>
      <c r="C1835" s="1">
        <f t="shared" si="744"/>
        <v>1125385</v>
      </c>
      <c r="D1835" s="5">
        <f>IF(N1835&gt;0, RANK(N1835,(N1835:P1835,Q1835:AE1835)),0)</f>
        <v>1</v>
      </c>
      <c r="E1835" s="5">
        <f>IF(O1835&gt;0,RANK(O1835,(N1835:P1835,Q1835:AE1835)),0)</f>
        <v>2</v>
      </c>
      <c r="F1835" s="5">
        <f>IF(P1835&gt;0,RANK(P1835,(N1835:P1835,Q1835:AE1835)),0)</f>
        <v>0</v>
      </c>
      <c r="G1835" s="132">
        <f t="shared" si="742"/>
        <v>27202</v>
      </c>
      <c r="H1835" s="137">
        <f t="shared" si="743"/>
        <v>2.4171283605166231E-2</v>
      </c>
      <c r="I1835" s="2"/>
      <c r="J1835" s="2">
        <f t="shared" si="745"/>
        <v>0.47917823678119043</v>
      </c>
      <c r="K1835" s="2">
        <f t="shared" si="746"/>
        <v>0.45500695317602419</v>
      </c>
      <c r="L1835" s="2">
        <f t="shared" si="747"/>
        <v>0</v>
      </c>
      <c r="M1835" s="2">
        <f t="shared" si="748"/>
        <v>6.5814810042785388E-2</v>
      </c>
      <c r="N1835" s="63">
        <f>SUM(N1818:N1834)</f>
        <v>539260</v>
      </c>
      <c r="O1835" s="63">
        <f>SUM(O1818:O1834)</f>
        <v>512058</v>
      </c>
      <c r="P1835" s="63"/>
      <c r="Q1835" s="63">
        <f>SUM(Q1818:Q1834)</f>
        <v>37384</v>
      </c>
      <c r="R1835" s="63"/>
      <c r="S1835" s="63">
        <f>SUM(S1818:S1834)</f>
        <v>5268</v>
      </c>
      <c r="T1835" s="63">
        <f>SUM(T1818:T1834)</f>
        <v>2552</v>
      </c>
      <c r="U1835" s="63"/>
      <c r="V1835" s="63"/>
      <c r="W1835" s="63"/>
      <c r="X1835" s="63"/>
      <c r="Y1835" s="63"/>
      <c r="Z1835" s="63"/>
      <c r="AA1835" s="63"/>
      <c r="AB1835" s="63">
        <f>SUM(AB1818:AB1834)</f>
        <v>28863</v>
      </c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W1835" s="5">
        <f>IF(Q1835&gt;0,RANK(Q1835,(N1835:P1835,Q1835:AE1835)),0)</f>
        <v>3</v>
      </c>
      <c r="AX1835" s="5">
        <f>IF(R1835&gt;0,RANK(R1835,(N1835:P1835,Q1835:AE1835)),0)</f>
        <v>0</v>
      </c>
      <c r="AY1835" s="5">
        <f>IF(T1835&gt;0,RANK(T1835,(N1835:P1835,Q1835:AE1835)),0)</f>
        <v>6</v>
      </c>
      <c r="AZ1835" s="5">
        <f>IF(S1835&gt;0,RANK(S1835,(N1835:P1835,Q1835:AE1835)),0)</f>
        <v>5</v>
      </c>
      <c r="BA1835" s="2">
        <f t="shared" si="749"/>
        <v>3.3218853992189337E-2</v>
      </c>
      <c r="BB1835" s="2">
        <f t="shared" si="750"/>
        <v>0</v>
      </c>
      <c r="BC1835" s="2">
        <f t="shared" si="751"/>
        <v>2.2676683979260433E-3</v>
      </c>
      <c r="BD1835" s="2">
        <f t="shared" si="752"/>
        <v>4.6810647023018785E-3</v>
      </c>
      <c r="BF1835" t="s">
        <v>2354</v>
      </c>
      <c r="BG1835" t="s">
        <v>544</v>
      </c>
      <c r="BJ1835" s="114">
        <v>32</v>
      </c>
      <c r="BK1835" s="116"/>
      <c r="BL1835" s="114">
        <v>32</v>
      </c>
      <c r="BN1835" s="5" t="s">
        <v>711</v>
      </c>
    </row>
    <row r="1836" spans="1:81">
      <c r="C1836" s="1"/>
      <c r="E1836" s="5"/>
      <c r="F1836" s="5"/>
      <c r="G1836" s="132"/>
      <c r="H1836" s="137"/>
      <c r="I1836" s="2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W1836" s="5"/>
      <c r="AX1836" s="5"/>
      <c r="AY1836" s="5"/>
      <c r="AZ1836" s="5"/>
      <c r="BJ1836" s="114"/>
      <c r="BK1836" s="116"/>
      <c r="BL1836" s="120"/>
      <c r="CB1836" s="132"/>
      <c r="CC1836" s="132"/>
    </row>
    <row r="1837" spans="1:81" ht="13" hidden="1" customHeight="1" outlineLevel="1">
      <c r="A1837" t="s">
        <v>1437</v>
      </c>
      <c r="B1837" t="s">
        <v>1799</v>
      </c>
      <c r="C1837" s="1">
        <f t="shared" ref="C1837:C1847" si="754">SUM(N1837:AU1837)</f>
        <v>35045</v>
      </c>
      <c r="D1837" s="5">
        <f>IF(N1837&gt;0, RANK(N1837,(N1837:P1837,Q1837:AE1837)),0)</f>
        <v>2</v>
      </c>
      <c r="E1837" s="5">
        <f>IF(O1837&gt;0,RANK(O1837,(N1837:P1837,Q1837:AE1837)),0)</f>
        <v>1</v>
      </c>
      <c r="F1837" s="5">
        <f>IF(P1837&gt;0,RANK(P1837,(N1837:P1837,Q1837:AE1837)),0)</f>
        <v>6</v>
      </c>
      <c r="G1837" s="132">
        <f t="shared" si="742"/>
        <v>5798</v>
      </c>
      <c r="H1837" s="137">
        <f t="shared" si="743"/>
        <v>0.16544442859181052</v>
      </c>
      <c r="I1837" s="2"/>
      <c r="J1837" s="2">
        <f t="shared" ref="J1837:J1847" si="755">IF($C1837=0,"-",N1837/$C1837)</f>
        <v>0.38570409473534029</v>
      </c>
      <c r="K1837" s="2">
        <f t="shared" ref="K1837:K1847" si="756">IF($C1837=0,"-",O1837/$C1837)</f>
        <v>0.55114852332715081</v>
      </c>
      <c r="L1837" s="2">
        <f t="shared" ref="L1837:L1847" si="757">IF($C1837=0,"-",P1837/$C1837)</f>
        <v>1.0272506777000998E-3</v>
      </c>
      <c r="M1837" s="2">
        <f t="shared" ref="M1837:M1847" si="758">IF(C1837=0,"-",(1-J1837-K1837-L1837))</f>
        <v>6.2120131259808808E-2</v>
      </c>
      <c r="N1837" s="63">
        <f>SUMIF(Town!$BB$1077:$BB$1317,$BL1837,Town!N$1077:N$1317)</f>
        <v>13517</v>
      </c>
      <c r="O1837" s="63">
        <f>SUMIF(Town!$BB$1077:$BB$1317,$BL1837,Town!O$1077:O$1317)</f>
        <v>19315</v>
      </c>
      <c r="P1837" s="63">
        <f>SUMIF(Town!$BB$1077:$BB$1317,$BL1837,Town!P$1077:P$1317)</f>
        <v>36</v>
      </c>
      <c r="Q1837" s="63">
        <f>SUMIF(Town!$BB$1077:$BB$1317,$BL1837,Town!Q$1077:Q$1317)</f>
        <v>1395</v>
      </c>
      <c r="R1837" s="63">
        <f>SUMIF(Town!$BB$1077:$BB$1317,$BL1837,Town!R$1077:R$1317)</f>
        <v>296</v>
      </c>
      <c r="S1837" s="63"/>
      <c r="T1837" s="63">
        <f>SUMIF(Town!$BB$1077:$BB$1317,$BL1837,Town!T$1077:T$1317)</f>
        <v>35</v>
      </c>
      <c r="U1837" s="63"/>
      <c r="V1837" s="63"/>
      <c r="W1837" s="63">
        <f>SUMIF(Town!$BB$1077:$BB$1317,$BL1837,Town!W$1077:W$1317)</f>
        <v>451</v>
      </c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W1837" s="5">
        <f>IF(Q1837&gt;0,RANK(Q1837,(N1837:P1837,Q1837:AE1837)),0)</f>
        <v>3</v>
      </c>
      <c r="AX1837" s="5">
        <f>IF(R1837&gt;0,RANK(R1837,(N1837:P1837,Q1837:AE1837)),0)</f>
        <v>5</v>
      </c>
      <c r="AY1837" s="5">
        <f>IF(T1837&gt;0,RANK(T1837,(N1837:P1837,Q1837:AE1837)),0)</f>
        <v>7</v>
      </c>
      <c r="AZ1837" s="5">
        <f>IF(S1837&gt;0,RANK(S1837,(N1837:P1837,Q1837:AE1837)),0)</f>
        <v>0</v>
      </c>
      <c r="BA1837" s="2">
        <f t="shared" ref="BA1837:BA1847" si="759">IF($C1837=0,"-",Q1837/$C1837)</f>
        <v>3.9805963760878867E-2</v>
      </c>
      <c r="BB1837" s="2">
        <f t="shared" ref="BB1837:BB1847" si="760">IF($C1837=0,"-",R1837/$C1837)</f>
        <v>8.4462833499785988E-3</v>
      </c>
      <c r="BC1837" s="2">
        <f t="shared" ref="BC1837:BC1847" si="761">IF($C1837=0,"-",T1837/$C1837)</f>
        <v>9.987159366528749E-4</v>
      </c>
      <c r="BD1837" s="2">
        <f t="shared" ref="BD1837:BD1847" si="762">IF($C1837=0,"-",S1837/$C1837)</f>
        <v>0</v>
      </c>
      <c r="BF1837" t="s">
        <v>1437</v>
      </c>
      <c r="BG1837" t="s">
        <v>1799</v>
      </c>
      <c r="BJ1837" s="114">
        <v>33</v>
      </c>
      <c r="BK1837" s="116">
        <v>1</v>
      </c>
      <c r="BL1837" s="120">
        <f t="shared" si="753"/>
        <v>33001</v>
      </c>
      <c r="BN1837" s="5" t="s">
        <v>3154</v>
      </c>
      <c r="CA1837" s="63">
        <f>SUMIF(Town!$BB$1077:$BB$1317,$BL1837,Town!BP$1077:BP$1317)</f>
        <v>487</v>
      </c>
      <c r="CC1837" s="63">
        <f>SUMIF(Town!$BB$1077:$BB$1317,$BL1837,Town!BR$1077:BR$1317)</f>
        <v>201</v>
      </c>
    </row>
    <row r="1838" spans="1:81" ht="13" hidden="1" customHeight="1" outlineLevel="1">
      <c r="A1838" t="s">
        <v>1675</v>
      </c>
      <c r="B1838" t="s">
        <v>1799</v>
      </c>
      <c r="C1838" s="1">
        <f t="shared" si="754"/>
        <v>29616</v>
      </c>
      <c r="D1838" s="5">
        <f>IF(N1838&gt;0, RANK(N1838,(N1838:P1838,Q1838:AE1838)),0)</f>
        <v>2</v>
      </c>
      <c r="E1838" s="5">
        <f>IF(O1838&gt;0,RANK(O1838,(N1838:P1838,Q1838:AE1838)),0)</f>
        <v>1</v>
      </c>
      <c r="F1838" s="5">
        <f>IF(P1838&gt;0,RANK(P1838,(N1838:P1838,Q1838:AE1838)),0)</f>
        <v>6</v>
      </c>
      <c r="G1838" s="132">
        <f t="shared" si="742"/>
        <v>1648</v>
      </c>
      <c r="H1838" s="137">
        <f t="shared" si="743"/>
        <v>5.5645596974608323E-2</v>
      </c>
      <c r="I1838" s="2"/>
      <c r="J1838" s="2">
        <f t="shared" si="755"/>
        <v>0.43851296596434358</v>
      </c>
      <c r="K1838" s="2">
        <f t="shared" si="756"/>
        <v>0.49415856293895194</v>
      </c>
      <c r="L1838" s="2">
        <f t="shared" si="757"/>
        <v>1.1480280929227445E-3</v>
      </c>
      <c r="M1838" s="2">
        <f t="shared" si="758"/>
        <v>6.6180443003781675E-2</v>
      </c>
      <c r="N1838" s="63">
        <f>SUMIF(Town!$BB$1077:$BB$1317,$BL1838,Town!N$1077:N$1317)</f>
        <v>12987</v>
      </c>
      <c r="O1838" s="63">
        <f>SUMIF(Town!$BB$1077:$BB$1317,$BL1838,Town!O$1077:O$1317)</f>
        <v>14635</v>
      </c>
      <c r="P1838" s="63">
        <f>SUMIF(Town!$BB$1077:$BB$1317,$BL1838,Town!P$1077:P$1317)</f>
        <v>34</v>
      </c>
      <c r="Q1838" s="63">
        <f>SUMIF(Town!$BB$1077:$BB$1317,$BL1838,Town!Q$1077:Q$1317)</f>
        <v>1185</v>
      </c>
      <c r="R1838" s="63">
        <f>SUMIF(Town!$BB$1077:$BB$1317,$BL1838,Town!R$1077:R$1317)</f>
        <v>275</v>
      </c>
      <c r="S1838" s="63"/>
      <c r="T1838" s="63">
        <f>SUMIF(Town!$BB$1077:$BB$1317,$BL1838,Town!T$1077:T$1317)</f>
        <v>20</v>
      </c>
      <c r="U1838" s="63"/>
      <c r="V1838" s="63"/>
      <c r="W1838" s="63">
        <f>SUMIF(Town!$BB$1077:$BB$1317,$BL1838,Town!W$1077:W$1317)</f>
        <v>480</v>
      </c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W1838" s="5">
        <f>IF(Q1838&gt;0,RANK(Q1838,(N1838:P1838,Q1838:AE1838)),0)</f>
        <v>3</v>
      </c>
      <c r="AX1838" s="5">
        <f>IF(R1838&gt;0,RANK(R1838,(N1838:P1838,Q1838:AE1838)),0)</f>
        <v>5</v>
      </c>
      <c r="AY1838" s="5">
        <f>IF(T1838&gt;0,RANK(T1838,(N1838:P1838,Q1838:AE1838)),0)</f>
        <v>7</v>
      </c>
      <c r="AZ1838" s="5">
        <f>IF(S1838&gt;0,RANK(S1838,(N1838:P1838,Q1838:AE1838)),0)</f>
        <v>0</v>
      </c>
      <c r="BA1838" s="2">
        <f t="shared" si="759"/>
        <v>4.0012155591572125E-2</v>
      </c>
      <c r="BB1838" s="2">
        <f t="shared" si="760"/>
        <v>9.2855213398163154E-3</v>
      </c>
      <c r="BC1838" s="2">
        <f t="shared" si="761"/>
        <v>6.7531064289573202E-4</v>
      </c>
      <c r="BD1838" s="2">
        <f t="shared" si="762"/>
        <v>0</v>
      </c>
      <c r="BF1838" t="s">
        <v>1675</v>
      </c>
      <c r="BG1838" t="s">
        <v>1799</v>
      </c>
      <c r="BH1838">
        <v>1</v>
      </c>
      <c r="BJ1838" s="114">
        <v>33</v>
      </c>
      <c r="BK1838" s="116">
        <v>3</v>
      </c>
      <c r="BL1838" s="120">
        <f t="shared" si="753"/>
        <v>33003</v>
      </c>
      <c r="BN1838" s="5" t="s">
        <v>3154</v>
      </c>
      <c r="CA1838" s="63">
        <f>SUMIF(Town!$BB$1077:$BB$1317,$BL1838,Town!BP$1077:BP$1317)</f>
        <v>514</v>
      </c>
      <c r="CC1838" s="63">
        <f>SUMIF(Town!$BB$1077:$BB$1317,$BL1838,Town!BR$1077:BR$1317)</f>
        <v>164</v>
      </c>
    </row>
    <row r="1839" spans="1:81" ht="13" hidden="1" customHeight="1" outlineLevel="1">
      <c r="A1839" t="s">
        <v>1463</v>
      </c>
      <c r="B1839" t="s">
        <v>1799</v>
      </c>
      <c r="C1839" s="1">
        <f t="shared" si="754"/>
        <v>41895</v>
      </c>
      <c r="D1839" s="5">
        <f>IF(N1839&gt;0, RANK(N1839,(N1839:P1839,Q1839:AE1839)),0)</f>
        <v>1</v>
      </c>
      <c r="E1839" s="5">
        <f>IF(O1839&gt;0,RANK(O1839,(N1839:P1839,Q1839:AE1839)),0)</f>
        <v>2</v>
      </c>
      <c r="F1839" s="5">
        <f>IF(P1839&gt;0,RANK(P1839,(N1839:P1839,Q1839:AE1839)),0)</f>
        <v>6</v>
      </c>
      <c r="G1839" s="132">
        <f t="shared" si="742"/>
        <v>5188</v>
      </c>
      <c r="H1839" s="137">
        <f t="shared" si="743"/>
        <v>0.12383339300632534</v>
      </c>
      <c r="I1839" s="2"/>
      <c r="J1839" s="2">
        <f t="shared" si="755"/>
        <v>0.52664995822890559</v>
      </c>
      <c r="K1839" s="2">
        <f t="shared" si="756"/>
        <v>0.40281656522258025</v>
      </c>
      <c r="L1839" s="2">
        <f t="shared" si="757"/>
        <v>1.5276285952977682E-3</v>
      </c>
      <c r="M1839" s="2">
        <f t="shared" si="758"/>
        <v>6.900584795321639E-2</v>
      </c>
      <c r="N1839" s="63">
        <f>SUMIF(Town!$BB$1077:$BB$1317,$BL1839,Town!N$1077:N$1317)</f>
        <v>22064</v>
      </c>
      <c r="O1839" s="63">
        <f>SUMIF(Town!$BB$1077:$BB$1317,$BL1839,Town!O$1077:O$1317)</f>
        <v>16876</v>
      </c>
      <c r="P1839" s="63">
        <f>SUMIF(Town!$BB$1077:$BB$1317,$BL1839,Town!P$1077:P$1317)</f>
        <v>64</v>
      </c>
      <c r="Q1839" s="63">
        <f>SUMIF(Town!$BB$1077:$BB$1317,$BL1839,Town!Q$1077:Q$1317)</f>
        <v>1656</v>
      </c>
      <c r="R1839" s="63">
        <f>SUMIF(Town!$BB$1077:$BB$1317,$BL1839,Town!R$1077:R$1317)</f>
        <v>484</v>
      </c>
      <c r="S1839" s="63"/>
      <c r="T1839" s="63">
        <f>SUMIF(Town!$BB$1077:$BB$1317,$BL1839,Town!T$1077:T$1317)</f>
        <v>41</v>
      </c>
      <c r="U1839" s="63"/>
      <c r="V1839" s="63"/>
      <c r="W1839" s="63">
        <f>SUMIF(Town!$BB$1077:$BB$1317,$BL1839,Town!W$1077:W$1317)</f>
        <v>710</v>
      </c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W1839" s="5">
        <f>IF(Q1839&gt;0,RANK(Q1839,(N1839:P1839,Q1839:AE1839)),0)</f>
        <v>3</v>
      </c>
      <c r="AX1839" s="5">
        <f>IF(R1839&gt;0,RANK(R1839,(N1839:P1839,Q1839:AE1839)),0)</f>
        <v>5</v>
      </c>
      <c r="AY1839" s="5">
        <f>IF(T1839&gt;0,RANK(T1839,(N1839:P1839,Q1839:AE1839)),0)</f>
        <v>7</v>
      </c>
      <c r="AZ1839" s="5">
        <f>IF(S1839&gt;0,RANK(S1839,(N1839:P1839,Q1839:AE1839)),0)</f>
        <v>0</v>
      </c>
      <c r="BA1839" s="2">
        <f t="shared" si="759"/>
        <v>3.9527389903329754E-2</v>
      </c>
      <c r="BB1839" s="2">
        <f t="shared" si="760"/>
        <v>1.1552691251939372E-2</v>
      </c>
      <c r="BC1839" s="2">
        <f t="shared" si="761"/>
        <v>9.7863706886263269E-4</v>
      </c>
      <c r="BD1839" s="2">
        <f t="shared" si="762"/>
        <v>0</v>
      </c>
      <c r="BF1839" t="s">
        <v>1463</v>
      </c>
      <c r="BG1839" t="s">
        <v>1799</v>
      </c>
      <c r="BH1839">
        <v>2</v>
      </c>
      <c r="BJ1839" s="114">
        <v>33</v>
      </c>
      <c r="BK1839" s="116">
        <v>5</v>
      </c>
      <c r="BL1839" s="120">
        <f t="shared" si="753"/>
        <v>33005</v>
      </c>
      <c r="BN1839" s="5" t="s">
        <v>3154</v>
      </c>
      <c r="CA1839" s="63">
        <f>SUMIF(Town!$BB$1077:$BB$1317,$BL1839,Town!BP$1077:BP$1317)</f>
        <v>774</v>
      </c>
      <c r="CC1839" s="63">
        <f>SUMIF(Town!$BB$1077:$BB$1317,$BL1839,Town!BR$1077:BR$1317)</f>
        <v>392</v>
      </c>
    </row>
    <row r="1840" spans="1:81" ht="13" hidden="1" customHeight="1" outlineLevel="1">
      <c r="A1840" t="s">
        <v>442</v>
      </c>
      <c r="B1840" t="s">
        <v>1799</v>
      </c>
      <c r="C1840" s="1">
        <f t="shared" si="754"/>
        <v>15627</v>
      </c>
      <c r="D1840" s="5">
        <f>IF(N1840&gt;0, RANK(N1840,(N1840:P1840,Q1840:AE1840)),0)</f>
        <v>2</v>
      </c>
      <c r="E1840" s="5">
        <f>IF(O1840&gt;0,RANK(O1840,(N1840:P1840,Q1840:AE1840)),0)</f>
        <v>1</v>
      </c>
      <c r="F1840" s="5">
        <f>IF(P1840&gt;0,RANK(P1840,(N1840:P1840,Q1840:AE1840)),0)</f>
        <v>7</v>
      </c>
      <c r="G1840" s="132">
        <f t="shared" si="742"/>
        <v>1389</v>
      </c>
      <c r="H1840" s="137">
        <f t="shared" si="743"/>
        <v>8.8884622768285654E-2</v>
      </c>
      <c r="I1840" s="2"/>
      <c r="J1840" s="2">
        <f t="shared" si="755"/>
        <v>0.41997824278492352</v>
      </c>
      <c r="K1840" s="2">
        <f t="shared" si="756"/>
        <v>0.50886286555320914</v>
      </c>
      <c r="L1840" s="2">
        <f t="shared" si="757"/>
        <v>5.7592628143597624E-4</v>
      </c>
      <c r="M1840" s="2">
        <f t="shared" si="758"/>
        <v>7.058296538043142E-2</v>
      </c>
      <c r="N1840" s="63">
        <f>SUMIF(Town!$BB$1077:$BB$1317,$BL1840,Town!N$1077:N$1317)</f>
        <v>6563</v>
      </c>
      <c r="O1840" s="63">
        <f>SUMIF(Town!$BB$1077:$BB$1317,$BL1840,Town!O$1077:O$1317)</f>
        <v>7952</v>
      </c>
      <c r="P1840" s="63">
        <f>SUMIF(Town!$BB$1077:$BB$1317,$BL1840,Town!P$1077:P$1317)</f>
        <v>9</v>
      </c>
      <c r="Q1840" s="63">
        <f>SUMIF(Town!$BB$1077:$BB$1317,$BL1840,Town!Q$1077:Q$1317)</f>
        <v>576</v>
      </c>
      <c r="R1840" s="63">
        <f>SUMIF(Town!$BB$1077:$BB$1317,$BL1840,Town!R$1077:R$1317)</f>
        <v>170</v>
      </c>
      <c r="S1840" s="63"/>
      <c r="T1840" s="63">
        <f>SUMIF(Town!$BB$1077:$BB$1317,$BL1840,Town!T$1077:T$1317)</f>
        <v>23</v>
      </c>
      <c r="U1840" s="63"/>
      <c r="V1840" s="63"/>
      <c r="W1840" s="63">
        <f>SUMIF(Town!$BB$1077:$BB$1317,$BL1840,Town!W$1077:W$1317)</f>
        <v>334</v>
      </c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W1840" s="5">
        <f>IF(Q1840&gt;0,RANK(Q1840,(N1840:P1840,Q1840:AE1840)),0)</f>
        <v>3</v>
      </c>
      <c r="AX1840" s="5">
        <f>IF(R1840&gt;0,RANK(R1840,(N1840:P1840,Q1840:AE1840)),0)</f>
        <v>5</v>
      </c>
      <c r="AY1840" s="5">
        <f>IF(T1840&gt;0,RANK(T1840,(N1840:P1840,Q1840:AE1840)),0)</f>
        <v>6</v>
      </c>
      <c r="AZ1840" s="5">
        <f>IF(S1840&gt;0,RANK(S1840,(N1840:P1840,Q1840:AE1840)),0)</f>
        <v>0</v>
      </c>
      <c r="BA1840" s="2">
        <f t="shared" si="759"/>
        <v>3.6859282011902479E-2</v>
      </c>
      <c r="BB1840" s="2">
        <f t="shared" si="760"/>
        <v>1.0878607538235106E-2</v>
      </c>
      <c r="BC1840" s="2">
        <f t="shared" si="761"/>
        <v>1.4718116081141614E-3</v>
      </c>
      <c r="BD1840" s="2">
        <f t="shared" si="762"/>
        <v>0</v>
      </c>
      <c r="BF1840" t="s">
        <v>442</v>
      </c>
      <c r="BG1840" t="s">
        <v>1799</v>
      </c>
      <c r="BH1840">
        <v>2</v>
      </c>
      <c r="BJ1840" s="114">
        <v>33</v>
      </c>
      <c r="BK1840" s="116">
        <v>7</v>
      </c>
      <c r="BL1840" s="120">
        <f t="shared" si="753"/>
        <v>33007</v>
      </c>
      <c r="BN1840" s="5" t="s">
        <v>3154</v>
      </c>
      <c r="CA1840" s="63">
        <f>SUMIF(Town!$BB$1077:$BB$1317,$BL1840,Town!BP$1077:BP$1317)</f>
        <v>343</v>
      </c>
      <c r="CC1840" s="63">
        <f>SUMIF(Town!$BB$1077:$BB$1317,$BL1840,Town!BR$1077:BR$1317)</f>
        <v>208</v>
      </c>
    </row>
    <row r="1841" spans="1:81" ht="13" hidden="1" customHeight="1" outlineLevel="1">
      <c r="A1841" t="s">
        <v>2260</v>
      </c>
      <c r="B1841" t="s">
        <v>1799</v>
      </c>
      <c r="C1841" s="1">
        <f t="shared" si="754"/>
        <v>51191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6</v>
      </c>
      <c r="G1841" s="132">
        <f t="shared" si="742"/>
        <v>9500</v>
      </c>
      <c r="H1841" s="137">
        <f t="shared" si="743"/>
        <v>0.18557949639585083</v>
      </c>
      <c r="I1841" s="2"/>
      <c r="J1841" s="2">
        <f t="shared" si="755"/>
        <v>0.55693383602586388</v>
      </c>
      <c r="K1841" s="2">
        <f t="shared" si="756"/>
        <v>0.37135433963001308</v>
      </c>
      <c r="L1841" s="2">
        <f t="shared" si="757"/>
        <v>1.8557949639585083E-3</v>
      </c>
      <c r="M1841" s="2">
        <f t="shared" si="758"/>
        <v>6.9856029380164539E-2</v>
      </c>
      <c r="N1841" s="63">
        <f>SUMIF(Town!$BB$1077:$BB$1317,$BL1841,Town!N$1077:N$1317)</f>
        <v>28510</v>
      </c>
      <c r="O1841" s="63">
        <f>SUMIF(Town!$BB$1077:$BB$1317,$BL1841,Town!O$1077:O$1317)</f>
        <v>19010</v>
      </c>
      <c r="P1841" s="63">
        <f>SUMIF(Town!$BB$1077:$BB$1317,$BL1841,Town!P$1077:P$1317)</f>
        <v>95</v>
      </c>
      <c r="Q1841" s="63">
        <f>SUMIF(Town!$BB$1077:$BB$1317,$BL1841,Town!Q$1077:Q$1317)</f>
        <v>1967</v>
      </c>
      <c r="R1841" s="63">
        <f>SUMIF(Town!$BB$1077:$BB$1317,$BL1841,Town!R$1077:R$1317)</f>
        <v>578</v>
      </c>
      <c r="S1841" s="63"/>
      <c r="T1841" s="63">
        <f>SUMIF(Town!$BB$1077:$BB$1317,$BL1841,Town!T$1077:T$1317)</f>
        <v>50</v>
      </c>
      <c r="U1841" s="63"/>
      <c r="V1841" s="63"/>
      <c r="W1841" s="63">
        <f>SUMIF(Town!$BB$1077:$BB$1317,$BL1841,Town!W$1077:W$1317)</f>
        <v>981</v>
      </c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W1841" s="5">
        <f>IF(Q1841&gt;0,RANK(Q1841,(N1841:P1841,Q1841:AE1841)),0)</f>
        <v>3</v>
      </c>
      <c r="AX1841" s="5">
        <f>IF(R1841&gt;0,RANK(R1841,(N1841:P1841,Q1841:AE1841)),0)</f>
        <v>5</v>
      </c>
      <c r="AY1841" s="5">
        <f>IF(T1841&gt;0,RANK(T1841,(N1841:P1841,Q1841:AE1841)),0)</f>
        <v>7</v>
      </c>
      <c r="AZ1841" s="5">
        <f>IF(S1841&gt;0,RANK(S1841,(N1841:P1841,Q1841:AE1841)),0)</f>
        <v>0</v>
      </c>
      <c r="BA1841" s="2">
        <f t="shared" si="759"/>
        <v>3.8424723095856692E-2</v>
      </c>
      <c r="BB1841" s="2">
        <f t="shared" si="760"/>
        <v>1.1291047254400187E-2</v>
      </c>
      <c r="BC1841" s="2">
        <f t="shared" si="761"/>
        <v>9.7673419155710974E-4</v>
      </c>
      <c r="BD1841" s="2">
        <f t="shared" si="762"/>
        <v>0</v>
      </c>
      <c r="BF1841" t="s">
        <v>2260</v>
      </c>
      <c r="BG1841" t="s">
        <v>1799</v>
      </c>
      <c r="BJ1841" s="114">
        <v>33</v>
      </c>
      <c r="BK1841" s="116">
        <v>9</v>
      </c>
      <c r="BL1841" s="120">
        <f t="shared" si="753"/>
        <v>33009</v>
      </c>
      <c r="BN1841" s="5" t="s">
        <v>3154</v>
      </c>
      <c r="CA1841" s="63">
        <f>SUMIF(Town!$BB$1077:$BB$1317,$BL1841,Town!BP$1077:BP$1317)</f>
        <v>1076</v>
      </c>
      <c r="CC1841" s="63">
        <f>SUMIF(Town!$BB$1077:$BB$1317,$BL1841,Town!BR$1077:BR$1317)</f>
        <v>511</v>
      </c>
    </row>
    <row r="1842" spans="1:81" ht="13" hidden="1" customHeight="1" outlineLevel="1">
      <c r="A1842" t="s">
        <v>1161</v>
      </c>
      <c r="B1842" t="s">
        <v>1799</v>
      </c>
      <c r="C1842" s="1">
        <f t="shared" si="754"/>
        <v>214157</v>
      </c>
      <c r="D1842" s="5">
        <f>IF(N1842&gt;0, RANK(N1842,(N1842:P1842,Q1842:AE1842)),0)</f>
        <v>2</v>
      </c>
      <c r="E1842" s="5">
        <f>IF(O1842&gt;0,RANK(O1842,(N1842:P1842,Q1842:AE1842)),0)</f>
        <v>1</v>
      </c>
      <c r="F1842" s="5">
        <f>IF(P1842&gt;0,RANK(P1842,(N1842:P1842,Q1842:AE1842)),0)</f>
        <v>6</v>
      </c>
      <c r="G1842" s="132">
        <f t="shared" si="742"/>
        <v>424</v>
      </c>
      <c r="H1842" s="137">
        <f t="shared" si="743"/>
        <v>1.9798559001106665E-3</v>
      </c>
      <c r="I1842" s="2"/>
      <c r="J1842" s="2">
        <f t="shared" si="755"/>
        <v>0.46502799348141782</v>
      </c>
      <c r="K1842" s="2">
        <f t="shared" si="756"/>
        <v>0.46700784938152851</v>
      </c>
      <c r="L1842" s="2">
        <f t="shared" si="757"/>
        <v>1.6856791979715817E-3</v>
      </c>
      <c r="M1842" s="2">
        <f t="shared" si="758"/>
        <v>6.6278477939082037E-2</v>
      </c>
      <c r="N1842" s="63">
        <f>SUMIF(Town!$BB$1077:$BB$1317,$BL1842,Town!N$1077:N$1317)</f>
        <v>99589</v>
      </c>
      <c r="O1842" s="63">
        <f>SUMIF(Town!$BB$1077:$BB$1317,$BL1842,Town!O$1077:O$1317)</f>
        <v>100013</v>
      </c>
      <c r="P1842" s="63">
        <f>SUMIF(Town!$BB$1077:$BB$1317,$BL1842,Town!P$1077:P$1317)</f>
        <v>361</v>
      </c>
      <c r="Q1842" s="63">
        <f>SUMIF(Town!$BB$1077:$BB$1317,$BL1842,Town!Q$1077:Q$1317)</f>
        <v>9170</v>
      </c>
      <c r="R1842" s="63">
        <f>SUMIF(Town!$BB$1077:$BB$1317,$BL1842,Town!R$1077:R$1317)</f>
        <v>1752</v>
      </c>
      <c r="S1842" s="63"/>
      <c r="T1842" s="63">
        <f>SUMIF(Town!$BB$1077:$BB$1317,$BL1842,Town!T$1077:T$1317)</f>
        <v>222</v>
      </c>
      <c r="U1842" s="63"/>
      <c r="V1842" s="63"/>
      <c r="W1842" s="63">
        <f>SUMIF(Town!$BB$1077:$BB$1317,$BL1842,Town!W$1077:W$1317)</f>
        <v>3050</v>
      </c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W1842" s="5">
        <f>IF(Q1842&gt;0,RANK(Q1842,(N1842:P1842,Q1842:AE1842)),0)</f>
        <v>3</v>
      </c>
      <c r="AX1842" s="5">
        <f>IF(R1842&gt;0,RANK(R1842,(N1842:P1842,Q1842:AE1842)),0)</f>
        <v>5</v>
      </c>
      <c r="AY1842" s="5">
        <f>IF(T1842&gt;0,RANK(T1842,(N1842:P1842,Q1842:AE1842)),0)</f>
        <v>7</v>
      </c>
      <c r="AZ1842" s="5">
        <f>IF(S1842&gt;0,RANK(S1842,(N1842:P1842,Q1842:AE1842)),0)</f>
        <v>0</v>
      </c>
      <c r="BA1842" s="2">
        <f t="shared" si="759"/>
        <v>4.2819053311355687E-2</v>
      </c>
      <c r="BB1842" s="2">
        <f t="shared" si="760"/>
        <v>8.1809140023440755E-3</v>
      </c>
      <c r="BC1842" s="2">
        <f t="shared" si="761"/>
        <v>1.0366226646805847E-3</v>
      </c>
      <c r="BD1842" s="2">
        <f t="shared" si="762"/>
        <v>0</v>
      </c>
      <c r="BF1842" t="s">
        <v>1161</v>
      </c>
      <c r="BG1842" t="s">
        <v>1799</v>
      </c>
      <c r="BJ1842" s="114">
        <v>33</v>
      </c>
      <c r="BK1842" s="116">
        <v>11</v>
      </c>
      <c r="BL1842" s="120">
        <f t="shared" si="753"/>
        <v>33011</v>
      </c>
      <c r="BN1842" s="5" t="s">
        <v>3154</v>
      </c>
      <c r="CA1842" s="63">
        <f>SUMIF(Town!$BB$1077:$BB$1317,$BL1842,Town!BP$1077:BP$1317)</f>
        <v>3411</v>
      </c>
      <c r="CC1842" s="63">
        <f>SUMIF(Town!$BB$1077:$BB$1317,$BL1842,Town!BR$1077:BR$1317)</f>
        <v>1093</v>
      </c>
    </row>
    <row r="1843" spans="1:81" ht="13" hidden="1" customHeight="1" outlineLevel="1">
      <c r="A1843" t="s">
        <v>2494</v>
      </c>
      <c r="B1843" t="s">
        <v>1799</v>
      </c>
      <c r="C1843" s="1">
        <f t="shared" si="754"/>
        <v>83648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6</v>
      </c>
      <c r="G1843" s="132">
        <f t="shared" si="742"/>
        <v>2524</v>
      </c>
      <c r="H1843" s="137">
        <f t="shared" si="743"/>
        <v>3.017406273909717E-2</v>
      </c>
      <c r="I1843" s="2"/>
      <c r="J1843" s="2">
        <f t="shared" si="755"/>
        <v>0.48056140015302218</v>
      </c>
      <c r="K1843" s="2">
        <f t="shared" si="756"/>
        <v>0.450387337413925</v>
      </c>
      <c r="L1843" s="2">
        <f t="shared" si="757"/>
        <v>1.6736801836266259E-3</v>
      </c>
      <c r="M1843" s="2">
        <f t="shared" si="758"/>
        <v>6.7377582249426193E-2</v>
      </c>
      <c r="N1843" s="63">
        <f>SUMIF(Town!$BB$1077:$BB$1317,$BL1843,Town!N$1077:N$1317)</f>
        <v>40198</v>
      </c>
      <c r="O1843" s="63">
        <f>SUMIF(Town!$BB$1077:$BB$1317,$BL1843,Town!O$1077:O$1317)</f>
        <v>37674</v>
      </c>
      <c r="P1843" s="63">
        <f>SUMIF(Town!$BB$1077:$BB$1317,$BL1843,Town!P$1077:P$1317)</f>
        <v>140</v>
      </c>
      <c r="Q1843" s="63">
        <f>SUMIF(Town!$BB$1077:$BB$1317,$BL1843,Town!Q$1077:Q$1317)</f>
        <v>3378</v>
      </c>
      <c r="R1843" s="63">
        <f>SUMIF(Town!$BB$1077:$BB$1317,$BL1843,Town!R$1077:R$1317)</f>
        <v>753</v>
      </c>
      <c r="S1843" s="63"/>
      <c r="T1843" s="63">
        <f>SUMIF(Town!$BB$1077:$BB$1317,$BL1843,Town!T$1077:T$1317)</f>
        <v>61</v>
      </c>
      <c r="U1843" s="63"/>
      <c r="V1843" s="63"/>
      <c r="W1843" s="63">
        <f>SUMIF(Town!$BB$1077:$BB$1317,$BL1843,Town!W$1077:W$1317)</f>
        <v>1444</v>
      </c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W1843" s="5">
        <f>IF(Q1843&gt;0,RANK(Q1843,(N1843:P1843,Q1843:AE1843)),0)</f>
        <v>3</v>
      </c>
      <c r="AX1843" s="5">
        <f>IF(R1843&gt;0,RANK(R1843,(N1843:P1843,Q1843:AE1843)),0)</f>
        <v>5</v>
      </c>
      <c r="AY1843" s="5">
        <f>IF(T1843&gt;0,RANK(T1843,(N1843:P1843,Q1843:AE1843)),0)</f>
        <v>7</v>
      </c>
      <c r="AZ1843" s="5">
        <f>IF(S1843&gt;0,RANK(S1843,(N1843:P1843,Q1843:AE1843)),0)</f>
        <v>0</v>
      </c>
      <c r="BA1843" s="2">
        <f t="shared" si="759"/>
        <v>4.0383511859219588E-2</v>
      </c>
      <c r="BB1843" s="2">
        <f t="shared" si="760"/>
        <v>9.0020084162203522E-3</v>
      </c>
      <c r="BC1843" s="2">
        <f t="shared" si="761"/>
        <v>7.2924636572302979E-4</v>
      </c>
      <c r="BD1843" s="2">
        <f t="shared" si="762"/>
        <v>0</v>
      </c>
      <c r="BF1843" t="s">
        <v>2494</v>
      </c>
      <c r="BG1843" t="s">
        <v>1799</v>
      </c>
      <c r="BJ1843" s="114">
        <v>33</v>
      </c>
      <c r="BK1843" s="116">
        <v>13</v>
      </c>
      <c r="BL1843" s="120">
        <f t="shared" si="753"/>
        <v>33013</v>
      </c>
      <c r="BN1843" s="5" t="s">
        <v>3154</v>
      </c>
      <c r="CA1843" s="63">
        <f>SUMIF(Town!$BB$1077:$BB$1317,$BL1843,Town!BP$1077:BP$1317)</f>
        <v>1584</v>
      </c>
      <c r="CC1843" s="63">
        <f>SUMIF(Town!$BB$1077:$BB$1317,$BL1843,Town!BR$1077:BR$1317)</f>
        <v>593</v>
      </c>
    </row>
    <row r="1844" spans="1:81" ht="13" hidden="1" customHeight="1" outlineLevel="1">
      <c r="A1844" t="s">
        <v>2971</v>
      </c>
      <c r="B1844" t="s">
        <v>1799</v>
      </c>
      <c r="C1844" s="1">
        <f t="shared" si="754"/>
        <v>181434</v>
      </c>
      <c r="D1844" s="5">
        <f>IF(N1844&gt;0, RANK(N1844,(N1844:P1844,Q1844:AE1844)),0)</f>
        <v>2</v>
      </c>
      <c r="E1844" s="5">
        <f>IF(O1844&gt;0,RANK(O1844,(N1844:P1844,Q1844:AE1844)),0)</f>
        <v>1</v>
      </c>
      <c r="F1844" s="5">
        <f>IF(P1844&gt;0,RANK(P1844,(N1844:P1844,Q1844:AE1844)),0)</f>
        <v>6</v>
      </c>
      <c r="G1844" s="132">
        <f t="shared" si="742"/>
        <v>10453</v>
      </c>
      <c r="H1844" s="137">
        <f t="shared" si="743"/>
        <v>5.7613236769293516E-2</v>
      </c>
      <c r="I1844" s="2"/>
      <c r="J1844" s="2">
        <f t="shared" si="755"/>
        <v>0.44089861878148529</v>
      </c>
      <c r="K1844" s="2">
        <f t="shared" si="756"/>
        <v>0.49851185555077882</v>
      </c>
      <c r="L1844" s="2">
        <f t="shared" si="757"/>
        <v>8.3777020845045584E-4</v>
      </c>
      <c r="M1844" s="2">
        <f t="shared" si="758"/>
        <v>5.9751755459285447E-2</v>
      </c>
      <c r="N1844" s="63">
        <f>SUMIF(Town!$BB$1077:$BB$1317,$BL1844,Town!N$1077:N$1317)</f>
        <v>79994</v>
      </c>
      <c r="O1844" s="63">
        <f>SUMIF(Town!$BB$1077:$BB$1317,$BL1844,Town!O$1077:O$1317)</f>
        <v>90447</v>
      </c>
      <c r="P1844" s="63">
        <f>SUMIF(Town!$BB$1077:$BB$1317,$BL1844,Town!P$1077:P$1317)</f>
        <v>152</v>
      </c>
      <c r="Q1844" s="63">
        <f>SUMIF(Town!$BB$1077:$BB$1317,$BL1844,Town!Q$1077:Q$1317)</f>
        <v>7335</v>
      </c>
      <c r="R1844" s="63">
        <f>SUMIF(Town!$BB$1077:$BB$1317,$BL1844,Town!R$1077:R$1317)</f>
        <v>1256</v>
      </c>
      <c r="S1844" s="63"/>
      <c r="T1844" s="63">
        <f>SUMIF(Town!$BB$1077:$BB$1317,$BL1844,Town!T$1077:T$1317)</f>
        <v>136</v>
      </c>
      <c r="U1844" s="63"/>
      <c r="V1844" s="63"/>
      <c r="W1844" s="63">
        <f>SUMIF(Town!$BB$1077:$BB$1317,$BL1844,Town!W$1077:W$1317)</f>
        <v>2114</v>
      </c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W1844" s="5">
        <f>IF(Q1844&gt;0,RANK(Q1844,(N1844:P1844,Q1844:AE1844)),0)</f>
        <v>3</v>
      </c>
      <c r="AX1844" s="5">
        <f>IF(R1844&gt;0,RANK(R1844,(N1844:P1844,Q1844:AE1844)),0)</f>
        <v>5</v>
      </c>
      <c r="AY1844" s="5">
        <f>IF(T1844&gt;0,RANK(T1844,(N1844:P1844,Q1844:AE1844)),0)</f>
        <v>7</v>
      </c>
      <c r="AZ1844" s="5">
        <f>IF(S1844&gt;0,RANK(S1844,(N1844:P1844,Q1844:AE1844)),0)</f>
        <v>0</v>
      </c>
      <c r="BA1844" s="2">
        <f t="shared" si="759"/>
        <v>4.0427924203842718E-2</v>
      </c>
      <c r="BB1844" s="2">
        <f t="shared" si="760"/>
        <v>6.9226275119327139E-3</v>
      </c>
      <c r="BC1844" s="2">
        <f t="shared" si="761"/>
        <v>7.4958387071882892E-4</v>
      </c>
      <c r="BD1844" s="2">
        <f t="shared" si="762"/>
        <v>0</v>
      </c>
      <c r="BF1844" t="s">
        <v>2971</v>
      </c>
      <c r="BG1844" t="s">
        <v>1799</v>
      </c>
      <c r="BJ1844" s="114">
        <v>33</v>
      </c>
      <c r="BK1844" s="116">
        <v>15</v>
      </c>
      <c r="BL1844" s="120">
        <f t="shared" si="753"/>
        <v>33015</v>
      </c>
      <c r="BN1844" s="5" t="s">
        <v>3154</v>
      </c>
      <c r="CA1844" s="63">
        <f>SUMIF(Town!$BB$1077:$BB$1317,$BL1844,Town!BP$1077:BP$1317)</f>
        <v>2266</v>
      </c>
      <c r="CC1844" s="63">
        <f>SUMIF(Town!$BB$1077:$BB$1317,$BL1844,Town!BR$1077:BR$1317)</f>
        <v>603</v>
      </c>
    </row>
    <row r="1845" spans="1:81" ht="13" hidden="1" customHeight="1" outlineLevel="1">
      <c r="A1845" t="s">
        <v>2035</v>
      </c>
      <c r="B1845" t="s">
        <v>1799</v>
      </c>
      <c r="C1845" s="1">
        <f t="shared" si="754"/>
        <v>69000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6</v>
      </c>
      <c r="G1845" s="132">
        <f t="shared" si="742"/>
        <v>5822</v>
      </c>
      <c r="H1845" s="137">
        <f t="shared" si="743"/>
        <v>8.4376811594202905E-2</v>
      </c>
      <c r="I1845" s="2"/>
      <c r="J1845" s="2">
        <f t="shared" si="755"/>
        <v>0.50571014492753619</v>
      </c>
      <c r="K1845" s="2">
        <f t="shared" si="756"/>
        <v>0.42133333333333334</v>
      </c>
      <c r="L1845" s="2">
        <f t="shared" si="757"/>
        <v>1.8260869565217392E-3</v>
      </c>
      <c r="M1845" s="2">
        <f t="shared" si="758"/>
        <v>7.1130434782608734E-2</v>
      </c>
      <c r="N1845" s="63">
        <f>SUMIF(Town!$BB$1077:$BB$1317,$BL1845,Town!N$1077:N$1317)</f>
        <v>34894</v>
      </c>
      <c r="O1845" s="63">
        <f>SUMIF(Town!$BB$1077:$BB$1317,$BL1845,Town!O$1077:O$1317)</f>
        <v>29072</v>
      </c>
      <c r="P1845" s="63">
        <f>SUMIF(Town!$BB$1077:$BB$1317,$BL1845,Town!P$1077:P$1317)</f>
        <v>126</v>
      </c>
      <c r="Q1845" s="63">
        <f>SUMIF(Town!$BB$1077:$BB$1317,$BL1845,Town!Q$1077:Q$1317)</f>
        <v>3258</v>
      </c>
      <c r="R1845" s="63">
        <f>SUMIF(Town!$BB$1077:$BB$1317,$BL1845,Town!R$1077:R$1317)</f>
        <v>694</v>
      </c>
      <c r="S1845" s="63"/>
      <c r="T1845" s="63">
        <f>SUMIF(Town!$BB$1077:$BB$1317,$BL1845,Town!T$1077:T$1317)</f>
        <v>62</v>
      </c>
      <c r="U1845" s="63"/>
      <c r="V1845" s="63"/>
      <c r="W1845" s="63">
        <f>SUMIF(Town!$BB$1077:$BB$1317,$BL1845,Town!W$1077:W$1317)</f>
        <v>894</v>
      </c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W1845" s="5">
        <f>IF(Q1845&gt;0,RANK(Q1845,(N1845:P1845,Q1845:AE1845)),0)</f>
        <v>3</v>
      </c>
      <c r="AX1845" s="5">
        <f>IF(R1845&gt;0,RANK(R1845,(N1845:P1845,Q1845:AE1845)),0)</f>
        <v>5</v>
      </c>
      <c r="AY1845" s="5">
        <f>IF(T1845&gt;0,RANK(T1845,(N1845:P1845,Q1845:AE1845)),0)</f>
        <v>7</v>
      </c>
      <c r="AZ1845" s="5">
        <f>IF(S1845&gt;0,RANK(S1845,(N1845:P1845,Q1845:AE1845)),0)</f>
        <v>0</v>
      </c>
      <c r="BA1845" s="2">
        <f t="shared" si="759"/>
        <v>4.7217391304347829E-2</v>
      </c>
      <c r="BB1845" s="2">
        <f t="shared" si="760"/>
        <v>1.0057971014492753E-2</v>
      </c>
      <c r="BC1845" s="2">
        <f t="shared" si="761"/>
        <v>8.9855072463768115E-4</v>
      </c>
      <c r="BD1845" s="2">
        <f t="shared" si="762"/>
        <v>0</v>
      </c>
      <c r="BF1845" t="s">
        <v>2035</v>
      </c>
      <c r="BG1845" t="s">
        <v>1799</v>
      </c>
      <c r="BH1845">
        <v>1</v>
      </c>
      <c r="BJ1845" s="114">
        <v>33</v>
      </c>
      <c r="BK1845" s="116">
        <v>17</v>
      </c>
      <c r="BL1845" s="120">
        <f t="shared" si="753"/>
        <v>33017</v>
      </c>
      <c r="BN1845" s="5" t="s">
        <v>3154</v>
      </c>
      <c r="CA1845" s="63">
        <f>SUMIF(Town!$BB$1077:$BB$1317,$BL1845,Town!BP$1077:BP$1317)</f>
        <v>1020</v>
      </c>
      <c r="CC1845" s="63">
        <f>SUMIF(Town!$BB$1077:$BB$1317,$BL1845,Town!BR$1077:BR$1317)</f>
        <v>421</v>
      </c>
    </row>
    <row r="1846" spans="1:81" ht="13" hidden="1" customHeight="1" outlineLevel="1">
      <c r="A1846" t="s">
        <v>1040</v>
      </c>
      <c r="B1846" t="s">
        <v>1799</v>
      </c>
      <c r="C1846" s="1">
        <f t="shared" si="754"/>
        <v>22683</v>
      </c>
      <c r="D1846" s="5">
        <f>IF(N1846&gt;0, RANK(N1846,(N1846:P1846,Q1846:AE1846)),0)</f>
        <v>2</v>
      </c>
      <c r="E1846" s="5">
        <f>IF(O1846&gt;0,RANK(O1846,(N1846:P1846,Q1846:AE1846)),0)</f>
        <v>1</v>
      </c>
      <c r="F1846" s="5">
        <f>IF(P1846&gt;0,RANK(P1846,(N1846:P1846,Q1846:AE1846)),0)</f>
        <v>6</v>
      </c>
      <c r="G1846" s="132">
        <f t="shared" si="742"/>
        <v>586</v>
      </c>
      <c r="H1846" s="137">
        <f t="shared" si="743"/>
        <v>2.5834325265617422E-2</v>
      </c>
      <c r="I1846" s="2"/>
      <c r="J1846" s="2">
        <f t="shared" si="755"/>
        <v>0.45011682758012611</v>
      </c>
      <c r="K1846" s="2">
        <f t="shared" si="756"/>
        <v>0.47595115284574352</v>
      </c>
      <c r="L1846" s="2">
        <f t="shared" si="757"/>
        <v>2.0720363267645375E-3</v>
      </c>
      <c r="M1846" s="2">
        <f t="shared" si="758"/>
        <v>7.1859983247365783E-2</v>
      </c>
      <c r="N1846" s="63">
        <f>SUMIF(Town!$BB$1077:$BB$1317,$BL1846,Town!N$1077:N$1317)</f>
        <v>10210</v>
      </c>
      <c r="O1846" s="63">
        <f>SUMIF(Town!$BB$1077:$BB$1317,$BL1846,Town!O$1077:O$1317)</f>
        <v>10796</v>
      </c>
      <c r="P1846" s="63">
        <f>SUMIF(Town!$BB$1077:$BB$1317,$BL1846,Town!P$1077:P$1317)</f>
        <v>47</v>
      </c>
      <c r="Q1846" s="63">
        <f>SUMIF(Town!$BB$1077:$BB$1317,$BL1846,Town!Q$1077:Q$1317)</f>
        <v>857</v>
      </c>
      <c r="R1846" s="63">
        <f>SUMIF(Town!$BB$1077:$BB$1317,$BL1846,Town!R$1077:R$1317)</f>
        <v>238</v>
      </c>
      <c r="S1846" s="63"/>
      <c r="T1846" s="63">
        <f>SUMIF(Town!$BB$1077:$BB$1317,$BL1846,Town!T$1077:T$1317)</f>
        <v>28</v>
      </c>
      <c r="U1846" s="63"/>
      <c r="V1846" s="63"/>
      <c r="W1846" s="63">
        <f>SUMIF(Town!$BB$1077:$BB$1317,$BL1846,Town!W$1077:W$1317)</f>
        <v>507</v>
      </c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W1846" s="5">
        <f>IF(Q1846&gt;0,RANK(Q1846,(N1846:P1846,Q1846:AE1846)),0)</f>
        <v>3</v>
      </c>
      <c r="AX1846" s="5">
        <f>IF(R1846&gt;0,RANK(R1846,(N1846:P1846,Q1846:AE1846)),0)</f>
        <v>5</v>
      </c>
      <c r="AY1846" s="5">
        <f>IF(T1846&gt;0,RANK(T1846,(N1846:P1846,Q1846:AE1846)),0)</f>
        <v>7</v>
      </c>
      <c r="AZ1846" s="5">
        <f>IF(S1846&gt;0,RANK(S1846,(N1846:P1846,Q1846:AE1846)),0)</f>
        <v>0</v>
      </c>
      <c r="BA1846" s="2">
        <f t="shared" si="759"/>
        <v>3.7781598553983158E-2</v>
      </c>
      <c r="BB1846" s="2">
        <f t="shared" si="760"/>
        <v>1.0492439271701274E-2</v>
      </c>
      <c r="BC1846" s="2">
        <f t="shared" si="761"/>
        <v>1.2344046202001498E-3</v>
      </c>
      <c r="BD1846" s="2">
        <f t="shared" si="762"/>
        <v>0</v>
      </c>
      <c r="BF1846" t="s">
        <v>1040</v>
      </c>
      <c r="BG1846" t="s">
        <v>1799</v>
      </c>
      <c r="BH1846">
        <v>2</v>
      </c>
      <c r="BJ1846" s="114">
        <v>33</v>
      </c>
      <c r="BK1846" s="116">
        <v>19</v>
      </c>
      <c r="BL1846" s="120">
        <f t="shared" si="753"/>
        <v>33019</v>
      </c>
      <c r="BN1846" s="5" t="s">
        <v>3154</v>
      </c>
      <c r="CA1846" s="63">
        <f>SUMIF(Town!$BB$1077:$BB$1317,$BL1846,Town!BP$1077:BP$1317)</f>
        <v>554</v>
      </c>
      <c r="CC1846" s="63">
        <f>SUMIF(Town!$BB$1077:$BB$1317,$BL1846,Town!BR$1077:BR$1317)</f>
        <v>307</v>
      </c>
    </row>
    <row r="1847" spans="1:81" collapsed="1">
      <c r="A1847" t="s">
        <v>1200</v>
      </c>
      <c r="B1847" t="s">
        <v>544</v>
      </c>
      <c r="C1847" s="1">
        <f t="shared" si="754"/>
        <v>744296</v>
      </c>
      <c r="D1847" s="5">
        <f>IF(N1847&gt;0, RANK(N1847,(N1847:P1847,Q1847:AE1847)),0)</f>
        <v>1</v>
      </c>
      <c r="E1847" s="5">
        <f>IF(O1847&gt;0,RANK(O1847,(N1847:P1847,Q1847:AE1847)),0)</f>
        <v>2</v>
      </c>
      <c r="F1847" s="5">
        <f>IF(P1847&gt;0,RANK(P1847,(N1847:P1847,Q1847:AE1847)),0)</f>
        <v>6</v>
      </c>
      <c r="G1847" s="132">
        <f t="shared" si="742"/>
        <v>2736</v>
      </c>
      <c r="H1847" s="137">
        <f t="shared" si="743"/>
        <v>3.6759568773713685E-3</v>
      </c>
      <c r="I1847" s="2"/>
      <c r="J1847" s="2">
        <f t="shared" si="755"/>
        <v>0.46826262669690555</v>
      </c>
      <c r="K1847" s="2">
        <f t="shared" si="756"/>
        <v>0.46458666981953417</v>
      </c>
      <c r="L1847" s="2">
        <f t="shared" si="757"/>
        <v>1.429538785644421E-3</v>
      </c>
      <c r="M1847" s="2">
        <f t="shared" si="758"/>
        <v>6.5721164697915863E-2</v>
      </c>
      <c r="N1847" s="63">
        <f t="shared" ref="N1847:R1847" si="763">SUM(N1837:N1846)</f>
        <v>348526</v>
      </c>
      <c r="O1847" s="63">
        <f t="shared" si="763"/>
        <v>345790</v>
      </c>
      <c r="P1847" s="63">
        <f t="shared" si="763"/>
        <v>1064</v>
      </c>
      <c r="Q1847" s="63">
        <f t="shared" si="763"/>
        <v>30777</v>
      </c>
      <c r="R1847" s="63">
        <f t="shared" si="763"/>
        <v>6496</v>
      </c>
      <c r="S1847" s="63"/>
      <c r="T1847" s="63">
        <f t="shared" ref="T1847" si="764">SUM(T1837:T1846)</f>
        <v>678</v>
      </c>
      <c r="U1847" s="63"/>
      <c r="V1847" s="63"/>
      <c r="W1847" s="63">
        <f>SUM(W1837:W1846)</f>
        <v>10965</v>
      </c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W1847" s="5">
        <f>IF(Q1847&gt;0,RANK(Q1847,(N1847:P1847,Q1847:AE1847)),0)</f>
        <v>3</v>
      </c>
      <c r="AX1847" s="5">
        <f>IF(R1847&gt;0,RANK(R1847,(N1847:P1847,Q1847:AE1847)),0)</f>
        <v>5</v>
      </c>
      <c r="AY1847" s="5">
        <f>IF(T1847&gt;0,RANK(T1847,(N1847:P1847,Q1847:AE1847)),0)</f>
        <v>7</v>
      </c>
      <c r="AZ1847" s="5">
        <f>IF(S1847&gt;0,RANK(S1847,(N1847:P1847,Q1847:AE1847)),0)</f>
        <v>0</v>
      </c>
      <c r="BA1847" s="2">
        <f t="shared" si="759"/>
        <v>4.1350484215957092E-2</v>
      </c>
      <c r="BB1847" s="2">
        <f t="shared" si="760"/>
        <v>8.7277104807764651E-3</v>
      </c>
      <c r="BC1847" s="2">
        <f t="shared" si="761"/>
        <v>9.1092791040123819E-4</v>
      </c>
      <c r="BD1847" s="2">
        <f t="shared" si="762"/>
        <v>0</v>
      </c>
      <c r="BF1847" t="s">
        <v>1200</v>
      </c>
      <c r="BG1847" t="s">
        <v>544</v>
      </c>
      <c r="BJ1847" s="114">
        <v>33</v>
      </c>
      <c r="BK1847" s="116"/>
      <c r="BL1847" s="114">
        <v>33</v>
      </c>
      <c r="BN1847" s="5" t="s">
        <v>711</v>
      </c>
      <c r="CA1847" s="63">
        <f>SUM(CA1837:CA1846)</f>
        <v>12029</v>
      </c>
      <c r="CC1847" s="63">
        <f>SUM(CC1837:CC1846)</f>
        <v>4493</v>
      </c>
    </row>
    <row r="1848" spans="1:81">
      <c r="A1848" s="1"/>
      <c r="C1848" s="1"/>
      <c r="E1848" s="5"/>
      <c r="F1848" s="5"/>
      <c r="G1848" s="132"/>
      <c r="H1848" s="137"/>
      <c r="I1848" s="2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W1848" s="5"/>
      <c r="AX1848" s="5"/>
      <c r="AY1848" s="5"/>
      <c r="AZ1848" s="5"/>
      <c r="BJ1848" s="114"/>
      <c r="BK1848" s="116"/>
      <c r="BL1848" s="120"/>
      <c r="CA1848" s="132"/>
    </row>
    <row r="1849" spans="1:81" hidden="1" outlineLevel="1">
      <c r="A1849" t="s">
        <v>1189</v>
      </c>
      <c r="B1849" t="s">
        <v>2147</v>
      </c>
      <c r="C1849" s="1">
        <f t="shared" ref="C1849:C1870" si="765">SUM(N1849:AU1849)</f>
        <v>118041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32">
        <f t="shared" si="742"/>
        <v>8234</v>
      </c>
      <c r="H1849" s="137">
        <f t="shared" si="743"/>
        <v>6.9755423962860358E-2</v>
      </c>
      <c r="I1849" s="2"/>
      <c r="J1849" s="2">
        <f t="shared" ref="J1849:J1870" si="766">IF($C1849=0,"-",N1849/$C1849)</f>
        <v>0.51612575291635954</v>
      </c>
      <c r="K1849" s="2">
        <f t="shared" ref="K1849:K1870" si="767">IF($C1849=0,"-",O1849/$C1849)</f>
        <v>0.44637032895349921</v>
      </c>
      <c r="L1849" s="2">
        <f t="shared" ref="L1849:L1870" si="768">IF($C1849=0,"-",P1849/$C1849)</f>
        <v>0</v>
      </c>
      <c r="M1849" s="2">
        <f t="shared" ref="M1849:M1870" si="769">IF(C1849=0,"-",(1-J1849-K1849-L1849))</f>
        <v>3.7503918130141256E-2</v>
      </c>
      <c r="N1849" s="63">
        <v>60924</v>
      </c>
      <c r="O1849" s="63">
        <v>52690</v>
      </c>
      <c r="P1849" s="63"/>
      <c r="Q1849" s="63">
        <v>2109</v>
      </c>
      <c r="R1849" s="63">
        <v>999</v>
      </c>
      <c r="S1849" s="63">
        <v>264</v>
      </c>
      <c r="T1849" s="63">
        <v>56</v>
      </c>
      <c r="U1849" s="63"/>
      <c r="V1849" s="132">
        <v>146</v>
      </c>
      <c r="W1849" s="63">
        <f>IF(Copyright!B$11=1,IF(CA1849&gt;0,CA1849-U1849-SUM(Y1849:Z1849)-SUM(AB1849:AM1849)-SUM(AO1849:AQ1849),0),0)</f>
        <v>750</v>
      </c>
      <c r="X1849" s="63">
        <v>46</v>
      </c>
      <c r="Y1849" s="63"/>
      <c r="Z1849" s="63"/>
      <c r="AA1849" s="63">
        <v>57</v>
      </c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W1849" s="5">
        <f>IF(Q1849&gt;0,RANK(Q1849,(N1849:P1849,Q1849:AE1849)),0)</f>
        <v>3</v>
      </c>
      <c r="AX1849" s="5">
        <f>IF(R1849&gt;0,RANK(R1849,(N1849:P1849,Q1849:AE1849)),0)</f>
        <v>4</v>
      </c>
      <c r="AY1849" s="5">
        <f>IF(T1849&gt;0,RANK(T1849,(N1849:P1849,Q1849:AE1849)),0)</f>
        <v>9</v>
      </c>
      <c r="AZ1849" s="5">
        <f>IF(S1849&gt;0,RANK(S1849,(N1849:P1849,Q1849:AE1849)),0)</f>
        <v>6</v>
      </c>
      <c r="BA1849" s="2">
        <f t="shared" ref="BA1849:BA1870" si="770">IF($C1849=0,"-",Q1849/$C1849)</f>
        <v>1.7866673443972858E-2</v>
      </c>
      <c r="BB1849" s="2">
        <f t="shared" ref="BB1849:BB1870" si="771">IF($C1849=0,"-",R1849/$C1849)</f>
        <v>8.463161105039774E-3</v>
      </c>
      <c r="BC1849" s="2">
        <f t="shared" ref="BC1849:BC1870" si="772">IF($C1849=0,"-",T1849/$C1849)</f>
        <v>4.7441143331554289E-4</v>
      </c>
      <c r="BD1849" s="2">
        <f t="shared" ref="BD1849:BD1870" si="773">IF($C1849=0,"-",S1849/$C1849)</f>
        <v>2.2365110427732737E-3</v>
      </c>
      <c r="BF1849" t="s">
        <v>1189</v>
      </c>
      <c r="BG1849" t="s">
        <v>2147</v>
      </c>
      <c r="BH1849">
        <v>2</v>
      </c>
      <c r="BJ1849" s="114">
        <v>34</v>
      </c>
      <c r="BK1849" s="116">
        <v>1</v>
      </c>
      <c r="BL1849" s="120">
        <f t="shared" si="753"/>
        <v>34001</v>
      </c>
      <c r="BN1849" s="5" t="s">
        <v>3154</v>
      </c>
      <c r="BQ1849" s="67"/>
      <c r="BR1849" s="63"/>
      <c r="BY1849" s="63">
        <f>BZ1849-C1849</f>
        <v>-118041</v>
      </c>
      <c r="CA1849" s="133">
        <v>750</v>
      </c>
    </row>
    <row r="1850" spans="1:81" hidden="1" outlineLevel="1">
      <c r="A1850" t="s">
        <v>1805</v>
      </c>
      <c r="B1850" t="s">
        <v>2147</v>
      </c>
      <c r="C1850" s="1">
        <f t="shared" si="765"/>
        <v>422213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32">
        <f t="shared" si="742"/>
        <v>55682</v>
      </c>
      <c r="H1850" s="137">
        <f t="shared" si="743"/>
        <v>0.13188130161790376</v>
      </c>
      <c r="I1850" s="2"/>
      <c r="J1850" s="2">
        <f t="shared" si="766"/>
        <v>0.5476169611073084</v>
      </c>
      <c r="K1850" s="2">
        <f t="shared" si="767"/>
        <v>0.41573565948940466</v>
      </c>
      <c r="L1850" s="2">
        <f t="shared" si="768"/>
        <v>0</v>
      </c>
      <c r="M1850" s="2">
        <f t="shared" si="769"/>
        <v>3.6647379403286939E-2</v>
      </c>
      <c r="N1850" s="63">
        <v>231211</v>
      </c>
      <c r="O1850" s="63">
        <v>175529</v>
      </c>
      <c r="P1850" s="63"/>
      <c r="Q1850" s="63">
        <v>7764</v>
      </c>
      <c r="R1850" s="63">
        <v>3988</v>
      </c>
      <c r="S1850" s="63">
        <v>381</v>
      </c>
      <c r="T1850" s="63">
        <v>148</v>
      </c>
      <c r="U1850" s="63"/>
      <c r="V1850" s="132">
        <v>53</v>
      </c>
      <c r="W1850" s="63">
        <f>IF(Copyright!B$11=1,IF(CA1850&gt;0,CA1850-U1850-SUM(Y1850:Z1850)-SUM(AB1850:AM1850)-SUM(AO1850:AQ1850),0),0)</f>
        <v>2917</v>
      </c>
      <c r="X1850" s="63">
        <v>130</v>
      </c>
      <c r="Y1850" s="63"/>
      <c r="Z1850" s="63"/>
      <c r="AA1850" s="63">
        <v>92</v>
      </c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W1850" s="5">
        <f>IF(Q1850&gt;0,RANK(Q1850,(N1850:P1850,Q1850:AE1850)),0)</f>
        <v>3</v>
      </c>
      <c r="AX1850" s="5">
        <f>IF(R1850&gt;0,RANK(R1850,(N1850:P1850,Q1850:AE1850)),0)</f>
        <v>4</v>
      </c>
      <c r="AY1850" s="5">
        <f>IF(T1850&gt;0,RANK(T1850,(N1850:P1850,Q1850:AE1850)),0)</f>
        <v>7</v>
      </c>
      <c r="AZ1850" s="5">
        <f>IF(S1850&gt;0,RANK(S1850,(N1850:P1850,Q1850:AE1850)),0)</f>
        <v>6</v>
      </c>
      <c r="BA1850" s="2">
        <f t="shared" si="770"/>
        <v>1.8388822703232728E-2</v>
      </c>
      <c r="BB1850" s="2">
        <f t="shared" si="771"/>
        <v>9.445469466833091E-3</v>
      </c>
      <c r="BC1850" s="2">
        <f t="shared" si="772"/>
        <v>3.5053397218939256E-4</v>
      </c>
      <c r="BD1850" s="2">
        <f t="shared" si="773"/>
        <v>9.0238813110917946E-4</v>
      </c>
      <c r="BF1850" t="s">
        <v>1805</v>
      </c>
      <c r="BG1850" t="s">
        <v>2147</v>
      </c>
      <c r="BJ1850" s="114">
        <v>34</v>
      </c>
      <c r="BK1850" s="116">
        <v>3</v>
      </c>
      <c r="BL1850" s="120">
        <f t="shared" si="753"/>
        <v>34003</v>
      </c>
      <c r="BN1850" s="5" t="s">
        <v>3154</v>
      </c>
      <c r="BR1850" s="63"/>
      <c r="BY1850" s="63">
        <f>BZ1850-C1850</f>
        <v>0</v>
      </c>
      <c r="BZ1850" s="63">
        <f>2917+148+53+130+92+381+3988+7764+231211+175529</f>
        <v>422213</v>
      </c>
      <c r="CA1850" s="63">
        <v>2917</v>
      </c>
    </row>
    <row r="1851" spans="1:81" hidden="1" outlineLevel="1">
      <c r="A1851" t="s">
        <v>2562</v>
      </c>
      <c r="B1851" t="s">
        <v>2147</v>
      </c>
      <c r="C1851" s="1">
        <f t="shared" si="765"/>
        <v>221283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32">
        <f t="shared" si="742"/>
        <v>32453</v>
      </c>
      <c r="H1851" s="137">
        <f t="shared" si="743"/>
        <v>0.14665835152271073</v>
      </c>
      <c r="I1851" s="2"/>
      <c r="J1851" s="2">
        <f t="shared" si="766"/>
        <v>0.55008744458453651</v>
      </c>
      <c r="K1851" s="2">
        <f t="shared" si="767"/>
        <v>0.40342909306182578</v>
      </c>
      <c r="L1851" s="2">
        <f t="shared" si="768"/>
        <v>0</v>
      </c>
      <c r="M1851" s="2">
        <f t="shared" si="769"/>
        <v>4.6483462353637706E-2</v>
      </c>
      <c r="N1851" s="63">
        <v>121725</v>
      </c>
      <c r="O1851" s="63">
        <v>89272</v>
      </c>
      <c r="P1851" s="63"/>
      <c r="Q1851" s="63">
        <v>4946</v>
      </c>
      <c r="R1851" s="63">
        <v>2349</v>
      </c>
      <c r="S1851" s="63">
        <v>351</v>
      </c>
      <c r="T1851" s="63">
        <v>125</v>
      </c>
      <c r="U1851" s="63"/>
      <c r="V1851" s="132">
        <v>98</v>
      </c>
      <c r="W1851" s="63">
        <f>IF(Copyright!B$11=1,IF(CA1851&gt;0,CA1851-U1851-SUM(Y1851:Z1851)-SUM(AB1851:AM1851)-SUM(AO1851:AQ1851),0),0)</f>
        <v>2340</v>
      </c>
      <c r="X1851" s="63">
        <v>32</v>
      </c>
      <c r="Y1851" s="63"/>
      <c r="Z1851" s="63"/>
      <c r="AA1851" s="63">
        <v>45</v>
      </c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W1851" s="5">
        <f>IF(Q1851&gt;0,RANK(Q1851,(N1851:P1851,Q1851:AE1851)),0)</f>
        <v>3</v>
      </c>
      <c r="AX1851" s="5">
        <f>IF(R1851&gt;0,RANK(R1851,(N1851:P1851,Q1851:AE1851)),0)</f>
        <v>4</v>
      </c>
      <c r="AY1851" s="5">
        <f>IF(T1851&gt;0,RANK(T1851,(N1851:P1851,Q1851:AE1851)),0)</f>
        <v>7</v>
      </c>
      <c r="AZ1851" s="5">
        <f>IF(S1851&gt;0,RANK(S1851,(N1851:P1851,Q1851:AE1851)),0)</f>
        <v>6</v>
      </c>
      <c r="BA1851" s="2">
        <f t="shared" si="770"/>
        <v>2.2351468481537216E-2</v>
      </c>
      <c r="BB1851" s="2">
        <f t="shared" si="771"/>
        <v>1.0615365843738562E-2</v>
      </c>
      <c r="BC1851" s="2">
        <f t="shared" si="772"/>
        <v>5.6488749700609625E-4</v>
      </c>
      <c r="BD1851" s="2">
        <f t="shared" si="773"/>
        <v>1.5862040915931184E-3</v>
      </c>
      <c r="BF1851" t="s">
        <v>2562</v>
      </c>
      <c r="BG1851" t="s">
        <v>2147</v>
      </c>
      <c r="BJ1851" s="114">
        <v>34</v>
      </c>
      <c r="BK1851" s="116">
        <v>5</v>
      </c>
      <c r="BL1851" s="120">
        <f t="shared" si="753"/>
        <v>34005</v>
      </c>
      <c r="BN1851" s="5" t="s">
        <v>3154</v>
      </c>
      <c r="BR1851" s="63"/>
      <c r="BY1851" s="63">
        <f>BZ1851-C1851</f>
        <v>0</v>
      </c>
      <c r="BZ1851" s="132">
        <v>221283</v>
      </c>
      <c r="CA1851" s="63">
        <v>2340</v>
      </c>
    </row>
    <row r="1852" spans="1:81" hidden="1" outlineLevel="1">
      <c r="A1852" t="s">
        <v>1605</v>
      </c>
      <c r="B1852" t="s">
        <v>2147</v>
      </c>
      <c r="C1852" s="1">
        <f t="shared" si="765"/>
        <v>229047</v>
      </c>
      <c r="D1852" s="5">
        <f>IF(N1852&gt;0, RANK(N1852,(N1852:P1852,Q1852:AE1852)),0)</f>
        <v>1</v>
      </c>
      <c r="E1852" s="5">
        <f>IF(O1852&gt;0,RANK(O1852,(N1852:P1852,Q1852:AE1852)),0)</f>
        <v>2</v>
      </c>
      <c r="F1852" s="5">
        <f>IF(P1852&gt;0,RANK(P1852,(N1852:P1852,Q1852:AE1852)),0)</f>
        <v>0</v>
      </c>
      <c r="G1852" s="132">
        <f t="shared" si="742"/>
        <v>74086</v>
      </c>
      <c r="H1852" s="137">
        <f t="shared" si="743"/>
        <v>0.3234532650504045</v>
      </c>
      <c r="I1852" s="2"/>
      <c r="J1852" s="2">
        <f t="shared" si="766"/>
        <v>0.64055412207974782</v>
      </c>
      <c r="K1852" s="2">
        <f t="shared" si="767"/>
        <v>0.31710085702934332</v>
      </c>
      <c r="L1852" s="2">
        <f t="shared" si="768"/>
        <v>0</v>
      </c>
      <c r="M1852" s="2">
        <f t="shared" si="769"/>
        <v>4.2345020890908858E-2</v>
      </c>
      <c r="N1852" s="63">
        <v>146717</v>
      </c>
      <c r="O1852" s="63">
        <v>72631</v>
      </c>
      <c r="P1852" s="63"/>
      <c r="Q1852" s="63">
        <v>4245</v>
      </c>
      <c r="R1852" s="63">
        <v>2003</v>
      </c>
      <c r="S1852" s="63">
        <v>752</v>
      </c>
      <c r="T1852" s="63">
        <v>77</v>
      </c>
      <c r="U1852" s="63"/>
      <c r="V1852" s="132">
        <v>50</v>
      </c>
      <c r="W1852" s="63">
        <f>IF(Copyright!B$11=1,IF(CA1852&gt;0,CA1852-U1852-SUM(Y1852:Z1852)-SUM(AB1852:AM1852)-SUM(AO1852:AQ1852),0),0)</f>
        <v>2455</v>
      </c>
      <c r="X1852" s="63">
        <v>43</v>
      </c>
      <c r="Y1852" s="63"/>
      <c r="Z1852" s="63"/>
      <c r="AA1852" s="63">
        <v>74</v>
      </c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W1852" s="5">
        <f>IF(Q1852&gt;0,RANK(Q1852,(N1852:P1852,Q1852:AE1852)),0)</f>
        <v>3</v>
      </c>
      <c r="AX1852" s="5">
        <f>IF(R1852&gt;0,RANK(R1852,(N1852:P1852,Q1852:AE1852)),0)</f>
        <v>5</v>
      </c>
      <c r="AY1852" s="5">
        <f>IF(T1852&gt;0,RANK(T1852,(N1852:P1852,Q1852:AE1852)),0)</f>
        <v>7</v>
      </c>
      <c r="AZ1852" s="5">
        <f>IF(S1852&gt;0,RANK(S1852,(N1852:P1852,Q1852:AE1852)),0)</f>
        <v>6</v>
      </c>
      <c r="BA1852" s="2">
        <f t="shared" si="770"/>
        <v>1.8533314123302204E-2</v>
      </c>
      <c r="BB1852" s="2">
        <f t="shared" si="771"/>
        <v>8.7449300798526069E-3</v>
      </c>
      <c r="BC1852" s="2">
        <f t="shared" si="772"/>
        <v>3.3617554475718958E-4</v>
      </c>
      <c r="BD1852" s="2">
        <f t="shared" si="773"/>
        <v>3.2831689565896954E-3</v>
      </c>
      <c r="BF1852" t="s">
        <v>1605</v>
      </c>
      <c r="BG1852" t="s">
        <v>2147</v>
      </c>
      <c r="BJ1852" s="114">
        <v>34</v>
      </c>
      <c r="BK1852" s="116">
        <v>7</v>
      </c>
      <c r="BL1852" s="120">
        <f t="shared" si="753"/>
        <v>34007</v>
      </c>
      <c r="BN1852" s="5" t="s">
        <v>3154</v>
      </c>
      <c r="BR1852" s="63"/>
      <c r="BY1852" s="63">
        <f t="shared" ref="BY1852:BY1870" si="774">BZ1852-C1852</f>
        <v>0</v>
      </c>
      <c r="BZ1852" s="132">
        <v>229047</v>
      </c>
      <c r="CA1852" s="63">
        <v>2455</v>
      </c>
    </row>
    <row r="1853" spans="1:81" hidden="1" outlineLevel="1">
      <c r="A1853" t="s">
        <v>1506</v>
      </c>
      <c r="B1853" t="s">
        <v>2147</v>
      </c>
      <c r="C1853" s="1">
        <f t="shared" si="765"/>
        <v>49257</v>
      </c>
      <c r="D1853" s="5">
        <f>IF(N1853&gt;0, RANK(N1853,(N1853:P1853,Q1853:AE1853)),0)</f>
        <v>2</v>
      </c>
      <c r="E1853" s="5">
        <f>IF(O1853&gt;0,RANK(O1853,(N1853:P1853,Q1853:AE1853)),0)</f>
        <v>1</v>
      </c>
      <c r="F1853" s="5">
        <f>IF(P1853&gt;0,RANK(P1853,(N1853:P1853,Q1853:AE1853)),0)</f>
        <v>0</v>
      </c>
      <c r="G1853" s="132">
        <f t="shared" si="742"/>
        <v>9696</v>
      </c>
      <c r="H1853" s="137">
        <f t="shared" si="743"/>
        <v>0.19684511846032035</v>
      </c>
      <c r="I1853" s="2"/>
      <c r="J1853" s="2">
        <f t="shared" si="766"/>
        <v>0.38065655642852791</v>
      </c>
      <c r="K1853" s="2">
        <f t="shared" si="767"/>
        <v>0.57750167488884829</v>
      </c>
      <c r="L1853" s="2">
        <f t="shared" si="768"/>
        <v>0</v>
      </c>
      <c r="M1853" s="2">
        <f t="shared" si="769"/>
        <v>4.1841768682623792E-2</v>
      </c>
      <c r="N1853" s="63">
        <v>18750</v>
      </c>
      <c r="O1853" s="63">
        <v>28446</v>
      </c>
      <c r="P1853" s="63"/>
      <c r="Q1853" s="63">
        <v>903</v>
      </c>
      <c r="R1853" s="63">
        <v>390</v>
      </c>
      <c r="S1853" s="63">
        <v>167</v>
      </c>
      <c r="T1853" s="63">
        <v>26</v>
      </c>
      <c r="U1853" s="63"/>
      <c r="V1853" s="132">
        <v>10</v>
      </c>
      <c r="W1853" s="63">
        <f>IF(Copyright!B$11=1,IF(CA1853&gt;0,CA1853-U1853-SUM(Y1853:Z1853)-SUM(AB1853:AM1853)-SUM(AO1853:AQ1853),0),0)</f>
        <v>535</v>
      </c>
      <c r="X1853" s="63">
        <v>10</v>
      </c>
      <c r="Y1853" s="63"/>
      <c r="Z1853" s="63"/>
      <c r="AA1853" s="63">
        <v>20</v>
      </c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W1853" s="5">
        <f>IF(Q1853&gt;0,RANK(Q1853,(N1853:P1853,Q1853:AE1853)),0)</f>
        <v>3</v>
      </c>
      <c r="AX1853" s="5">
        <f>IF(R1853&gt;0,RANK(R1853,(N1853:P1853,Q1853:AE1853)),0)</f>
        <v>5</v>
      </c>
      <c r="AY1853" s="5">
        <f>IF(T1853&gt;0,RANK(T1853,(N1853:P1853,Q1853:AE1853)),0)</f>
        <v>7</v>
      </c>
      <c r="AZ1853" s="5">
        <f>IF(S1853&gt;0,RANK(S1853,(N1853:P1853,Q1853:AE1853)),0)</f>
        <v>6</v>
      </c>
      <c r="BA1853" s="2">
        <f t="shared" si="770"/>
        <v>1.8332419757597904E-2</v>
      </c>
      <c r="BB1853" s="2">
        <f t="shared" si="771"/>
        <v>7.91765637371338E-3</v>
      </c>
      <c r="BC1853" s="2">
        <f t="shared" si="772"/>
        <v>5.2784375824755877E-4</v>
      </c>
      <c r="BD1853" s="2">
        <f t="shared" si="773"/>
        <v>3.3903810625900885E-3</v>
      </c>
      <c r="BF1853" t="s">
        <v>1506</v>
      </c>
      <c r="BG1853" t="s">
        <v>2147</v>
      </c>
      <c r="BH1853">
        <v>2</v>
      </c>
      <c r="BJ1853" s="114">
        <v>34</v>
      </c>
      <c r="BK1853" s="116">
        <v>9</v>
      </c>
      <c r="BL1853" s="120">
        <f t="shared" si="753"/>
        <v>34009</v>
      </c>
      <c r="BN1853" s="5" t="s">
        <v>3154</v>
      </c>
      <c r="BR1853" s="63"/>
      <c r="BY1853" s="63">
        <f t="shared" si="774"/>
        <v>0</v>
      </c>
      <c r="BZ1853" s="132">
        <v>49257</v>
      </c>
      <c r="CA1853" s="63">
        <v>535</v>
      </c>
    </row>
    <row r="1854" spans="1:81" hidden="1" outlineLevel="1">
      <c r="A1854" t="s">
        <v>1531</v>
      </c>
      <c r="B1854" t="s">
        <v>2147</v>
      </c>
      <c r="C1854" s="1">
        <f t="shared" si="765"/>
        <v>54331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32">
        <f t="shared" si="742"/>
        <v>3318</v>
      </c>
      <c r="H1854" s="137">
        <f t="shared" si="743"/>
        <v>6.1070107305221694E-2</v>
      </c>
      <c r="I1854" s="2"/>
      <c r="J1854" s="2">
        <f t="shared" si="766"/>
        <v>0.51114465038375878</v>
      </c>
      <c r="K1854" s="2">
        <f t="shared" si="767"/>
        <v>0.45007454307853711</v>
      </c>
      <c r="L1854" s="2">
        <f t="shared" si="768"/>
        <v>0</v>
      </c>
      <c r="M1854" s="2">
        <f t="shared" si="769"/>
        <v>3.8780806537704104E-2</v>
      </c>
      <c r="N1854" s="63">
        <v>27771</v>
      </c>
      <c r="O1854" s="63">
        <v>24453</v>
      </c>
      <c r="P1854" s="63"/>
      <c r="Q1854" s="63">
        <v>1043</v>
      </c>
      <c r="R1854" s="63">
        <v>489</v>
      </c>
      <c r="S1854" s="63">
        <v>104</v>
      </c>
      <c r="T1854" s="63">
        <v>35</v>
      </c>
      <c r="U1854" s="63"/>
      <c r="V1854" s="132">
        <v>56</v>
      </c>
      <c r="W1854" s="63">
        <f>IF(Copyright!B$11=1,IF(CA1854&gt;0,CA1854-U1854-SUM(Y1854:Z1854)-SUM(AB1854:AM1854)-SUM(AO1854:AQ1854),0),0)</f>
        <v>327</v>
      </c>
      <c r="X1854" s="63">
        <v>31</v>
      </c>
      <c r="Y1854" s="63"/>
      <c r="Z1854" s="63"/>
      <c r="AA1854" s="63">
        <v>22</v>
      </c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W1854" s="5">
        <f>IF(Q1854&gt;0,RANK(Q1854,(N1854:P1854,Q1854:AE1854)),0)</f>
        <v>3</v>
      </c>
      <c r="AX1854" s="5">
        <f>IF(R1854&gt;0,RANK(R1854,(N1854:P1854,Q1854:AE1854)),0)</f>
        <v>4</v>
      </c>
      <c r="AY1854" s="5">
        <f>IF(T1854&gt;0,RANK(T1854,(N1854:P1854,Q1854:AE1854)),0)</f>
        <v>8</v>
      </c>
      <c r="AZ1854" s="5">
        <f>IF(S1854&gt;0,RANK(S1854,(N1854:P1854,Q1854:AE1854)),0)</f>
        <v>6</v>
      </c>
      <c r="BA1854" s="2">
        <f t="shared" si="770"/>
        <v>1.9197143435607664E-2</v>
      </c>
      <c r="BB1854" s="2">
        <f t="shared" si="771"/>
        <v>9.0003865196664895E-3</v>
      </c>
      <c r="BC1854" s="2">
        <f t="shared" si="772"/>
        <v>6.4419944414790815E-4</v>
      </c>
      <c r="BD1854" s="2">
        <f t="shared" si="773"/>
        <v>1.9141926340394985E-3</v>
      </c>
      <c r="BF1854" t="s">
        <v>1531</v>
      </c>
      <c r="BG1854" t="s">
        <v>2147</v>
      </c>
      <c r="BH1854">
        <v>2</v>
      </c>
      <c r="BJ1854" s="114">
        <v>34</v>
      </c>
      <c r="BK1854" s="116">
        <v>11</v>
      </c>
      <c r="BL1854" s="120">
        <f t="shared" si="753"/>
        <v>34011</v>
      </c>
      <c r="BN1854" s="5" t="s">
        <v>3154</v>
      </c>
      <c r="BR1854" s="63"/>
      <c r="BS1854" s="128"/>
      <c r="BY1854" s="63">
        <f t="shared" si="774"/>
        <v>0</v>
      </c>
      <c r="BZ1854" s="132">
        <v>54331</v>
      </c>
      <c r="CA1854" s="63">
        <v>327</v>
      </c>
    </row>
    <row r="1855" spans="1:81" hidden="1" outlineLevel="1">
      <c r="A1855" t="s">
        <v>842</v>
      </c>
      <c r="B1855" t="s">
        <v>2147</v>
      </c>
      <c r="C1855" s="1">
        <f>SUM(N1855:AU1855)</f>
        <v>312884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32">
        <f t="shared" si="742"/>
        <v>177661</v>
      </c>
      <c r="H1855" s="137">
        <f t="shared" si="743"/>
        <v>0.56781746589790461</v>
      </c>
      <c r="I1855" s="2"/>
      <c r="J1855" s="2">
        <f t="shared" si="766"/>
        <v>0.76973255263931684</v>
      </c>
      <c r="K1855" s="2">
        <f t="shared" si="767"/>
        <v>0.20191508674141215</v>
      </c>
      <c r="L1855" s="2">
        <f t="shared" si="768"/>
        <v>0</v>
      </c>
      <c r="M1855" s="2">
        <f t="shared" si="769"/>
        <v>2.8352360619271016E-2</v>
      </c>
      <c r="N1855" s="63">
        <v>240837</v>
      </c>
      <c r="O1855" s="63">
        <v>63176</v>
      </c>
      <c r="P1855" s="63"/>
      <c r="Q1855" s="63">
        <v>3111</v>
      </c>
      <c r="R1855" s="63">
        <v>2921</v>
      </c>
      <c r="S1855" s="63">
        <v>288</v>
      </c>
      <c r="T1855" s="63">
        <v>304</v>
      </c>
      <c r="U1855" s="63"/>
      <c r="V1855" s="132">
        <v>75</v>
      </c>
      <c r="W1855" s="63">
        <f>IF(Copyright!B$11=1,IF(CA1855&gt;0,CA1855-U1855-SUM(Y1855:Z1855)-SUM(AB1855:AM1855)-SUM(AO1855:AQ1855),0),0)</f>
        <v>1950</v>
      </c>
      <c r="X1855" s="63">
        <v>127</v>
      </c>
      <c r="Y1855" s="63"/>
      <c r="Z1855" s="63"/>
      <c r="AA1855" s="63">
        <v>95</v>
      </c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W1855" s="5">
        <f>IF(Q1855&gt;0,RANK(Q1855,(N1855:P1855,Q1855:AE1855)),0)</f>
        <v>3</v>
      </c>
      <c r="AX1855" s="5">
        <f>IF(R1855&gt;0,RANK(R1855,(N1855:P1855,Q1855:AE1855)),0)</f>
        <v>4</v>
      </c>
      <c r="AY1855" s="5">
        <f>IF(T1855&gt;0,RANK(T1855,(N1855:P1855,Q1855:AE1855)),0)</f>
        <v>6</v>
      </c>
      <c r="AZ1855" s="5">
        <f>IF(S1855&gt;0,RANK(S1855,(N1855:P1855,Q1855:AE1855)),0)</f>
        <v>7</v>
      </c>
      <c r="BA1855" s="2">
        <f t="shared" si="770"/>
        <v>9.9429820636401985E-3</v>
      </c>
      <c r="BB1855" s="2">
        <f t="shared" si="771"/>
        <v>9.3357282571176533E-3</v>
      </c>
      <c r="BC1855" s="2">
        <f t="shared" si="772"/>
        <v>9.7160609043607212E-4</v>
      </c>
      <c r="BD1855" s="2">
        <f t="shared" si="773"/>
        <v>9.2046892778154205E-4</v>
      </c>
      <c r="BF1855" t="s">
        <v>842</v>
      </c>
      <c r="BG1855" t="s">
        <v>2147</v>
      </c>
      <c r="BJ1855" s="114">
        <v>34</v>
      </c>
      <c r="BK1855" s="116">
        <v>13</v>
      </c>
      <c r="BL1855" s="120">
        <f t="shared" si="753"/>
        <v>34013</v>
      </c>
      <c r="BN1855" s="5" t="s">
        <v>3154</v>
      </c>
      <c r="BR1855" s="63"/>
      <c r="BY1855" s="63">
        <f t="shared" si="774"/>
        <v>0</v>
      </c>
      <c r="BZ1855" s="132">
        <v>312884</v>
      </c>
      <c r="CA1855" s="63">
        <v>1950</v>
      </c>
    </row>
    <row r="1856" spans="1:81" hidden="1" outlineLevel="1">
      <c r="A1856" t="s">
        <v>2438</v>
      </c>
      <c r="B1856" t="s">
        <v>2147</v>
      </c>
      <c r="C1856" s="1">
        <f t="shared" si="765"/>
        <v>141254</v>
      </c>
      <c r="D1856" s="5">
        <f>IF(N1856&gt;0, RANK(N1856,(N1856:P1856,Q1856:AE1856)),0)</f>
        <v>2</v>
      </c>
      <c r="E1856" s="5">
        <f>IF(O1856&gt;0,RANK(O1856,(N1856:P1856,Q1856:AE1856)),0)</f>
        <v>1</v>
      </c>
      <c r="F1856" s="5">
        <f>IF(P1856&gt;0,RANK(P1856,(N1856:P1856,Q1856:AE1856)),0)</f>
        <v>0</v>
      </c>
      <c r="G1856" s="132">
        <f t="shared" si="742"/>
        <v>674</v>
      </c>
      <c r="H1856" s="137">
        <f t="shared" si="743"/>
        <v>4.7715462924943722E-3</v>
      </c>
      <c r="I1856" s="2"/>
      <c r="J1856" s="2">
        <f t="shared" si="766"/>
        <v>0.47340252311438968</v>
      </c>
      <c r="K1856" s="2">
        <f t="shared" si="767"/>
        <v>0.47817406940688406</v>
      </c>
      <c r="L1856" s="2">
        <f t="shared" si="768"/>
        <v>0</v>
      </c>
      <c r="M1856" s="2">
        <f t="shared" si="769"/>
        <v>4.8423407478726255E-2</v>
      </c>
      <c r="N1856" s="63">
        <v>66870</v>
      </c>
      <c r="O1856" s="63">
        <v>67544</v>
      </c>
      <c r="P1856" s="63"/>
      <c r="Q1856" s="63">
        <v>3216</v>
      </c>
      <c r="R1856" s="63">
        <v>1256</v>
      </c>
      <c r="S1856" s="63">
        <v>283</v>
      </c>
      <c r="T1856" s="63">
        <v>70</v>
      </c>
      <c r="U1856" s="63"/>
      <c r="V1856" s="132">
        <v>31</v>
      </c>
      <c r="W1856" s="63">
        <f>IF(Copyright!B$11=1,IF(CA1856&gt;0,CA1856-U1856-SUM(Y1856:Z1856)-SUM(AB1856:AM1856)-SUM(AO1856:AQ1856),0),0)</f>
        <v>1712</v>
      </c>
      <c r="X1856" s="63">
        <v>48</v>
      </c>
      <c r="Y1856" s="63"/>
      <c r="Z1856" s="63"/>
      <c r="AA1856" s="63">
        <v>224</v>
      </c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W1856" s="5">
        <f>IF(Q1856&gt;0,RANK(Q1856,(N1856:P1856,Q1856:AE1856)),0)</f>
        <v>3</v>
      </c>
      <c r="AX1856" s="5">
        <f>IF(R1856&gt;0,RANK(R1856,(N1856:P1856,Q1856:AE1856)),0)</f>
        <v>5</v>
      </c>
      <c r="AY1856" s="5">
        <f>IF(T1856&gt;0,RANK(T1856,(N1856:P1856,Q1856:AE1856)),0)</f>
        <v>8</v>
      </c>
      <c r="AZ1856" s="5">
        <f>IF(S1856&gt;0,RANK(S1856,(N1856:P1856,Q1856:AE1856)),0)</f>
        <v>6</v>
      </c>
      <c r="BA1856" s="2">
        <f t="shared" si="770"/>
        <v>2.2767496849646737E-2</v>
      </c>
      <c r="BB1856" s="2">
        <f t="shared" si="771"/>
        <v>8.8917835955088006E-3</v>
      </c>
      <c r="BC1856" s="2">
        <f t="shared" si="772"/>
        <v>4.9556118764778343E-4</v>
      </c>
      <c r="BD1856" s="2">
        <f t="shared" si="773"/>
        <v>2.0034830872046102E-3</v>
      </c>
      <c r="BF1856" t="s">
        <v>2438</v>
      </c>
      <c r="BG1856" t="s">
        <v>2147</v>
      </c>
      <c r="BJ1856" s="114">
        <v>34</v>
      </c>
      <c r="BK1856" s="116">
        <v>15</v>
      </c>
      <c r="BL1856" s="120">
        <f t="shared" si="753"/>
        <v>34015</v>
      </c>
      <c r="BN1856" s="5" t="s">
        <v>3154</v>
      </c>
      <c r="BR1856" s="63"/>
      <c r="BY1856" s="63">
        <f t="shared" si="774"/>
        <v>0</v>
      </c>
      <c r="BZ1856" s="132">
        <v>141254</v>
      </c>
      <c r="CA1856" s="63">
        <v>1712</v>
      </c>
    </row>
    <row r="1857" spans="1:79" hidden="1" outlineLevel="1">
      <c r="A1857" t="s">
        <v>2101</v>
      </c>
      <c r="B1857" t="s">
        <v>2147</v>
      </c>
      <c r="C1857" s="1">
        <f t="shared" si="765"/>
        <v>220542</v>
      </c>
      <c r="D1857" s="5">
        <f>IF(N1857&gt;0, RANK(N1857,(N1857:P1857,Q1857:AE1857)),0)</f>
        <v>1</v>
      </c>
      <c r="E1857" s="5">
        <f>IF(O1857&gt;0,RANK(O1857,(N1857:P1857,Q1857:AE1857)),0)</f>
        <v>2</v>
      </c>
      <c r="F1857" s="5">
        <f>IF(P1857&gt;0,RANK(P1857,(N1857:P1857,Q1857:AE1857)),0)</f>
        <v>0</v>
      </c>
      <c r="G1857" s="132">
        <f t="shared" si="742"/>
        <v>114874</v>
      </c>
      <c r="H1857" s="137">
        <f t="shared" si="743"/>
        <v>0.52087130795948167</v>
      </c>
      <c r="I1857" s="2"/>
      <c r="J1857" s="2">
        <f t="shared" si="766"/>
        <v>0.74324618440025025</v>
      </c>
      <c r="K1857" s="2">
        <f t="shared" si="767"/>
        <v>0.22237487644076864</v>
      </c>
      <c r="L1857" s="2">
        <f t="shared" si="768"/>
        <v>0</v>
      </c>
      <c r="M1857" s="2">
        <f t="shared" si="769"/>
        <v>3.4378939158981103E-2</v>
      </c>
      <c r="N1857" s="63">
        <v>163917</v>
      </c>
      <c r="O1857" s="63">
        <v>49043</v>
      </c>
      <c r="P1857" s="63"/>
      <c r="Q1857" s="63">
        <v>2922</v>
      </c>
      <c r="R1857" s="63">
        <v>2657</v>
      </c>
      <c r="S1857" s="63">
        <v>182</v>
      </c>
      <c r="T1857" s="63">
        <v>85</v>
      </c>
      <c r="U1857" s="63"/>
      <c r="V1857" s="132">
        <v>347</v>
      </c>
      <c r="W1857" s="63">
        <f>IF(Copyright!B$11=1,IF(CA1857&gt;0,CA1857-U1857-SUM(Y1857:Z1857)-SUM(AB1857:AM1857)-SUM(AO1857:AQ1857),0),0)</f>
        <v>1167</v>
      </c>
      <c r="X1857" s="63">
        <v>113</v>
      </c>
      <c r="Y1857" s="63"/>
      <c r="Z1857" s="63"/>
      <c r="AA1857" s="63">
        <v>109</v>
      </c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W1857" s="5">
        <f>IF(Q1857&gt;0,RANK(Q1857,(N1857:P1857,Q1857:AE1857)),0)</f>
        <v>3</v>
      </c>
      <c r="AX1857" s="5">
        <f>IF(R1857&gt;0,RANK(R1857,(N1857:P1857,Q1857:AE1857)),0)</f>
        <v>4</v>
      </c>
      <c r="AY1857" s="5">
        <f>IF(T1857&gt;0,RANK(T1857,(N1857:P1857,Q1857:AE1857)),0)</f>
        <v>10</v>
      </c>
      <c r="AZ1857" s="5">
        <f>IF(S1857&gt;0,RANK(S1857,(N1857:P1857,Q1857:AE1857)),0)</f>
        <v>7</v>
      </c>
      <c r="BA1857" s="2">
        <f t="shared" si="770"/>
        <v>1.3249177027504964E-2</v>
      </c>
      <c r="BB1857" s="2">
        <f t="shared" si="771"/>
        <v>1.2047591841916732E-2</v>
      </c>
      <c r="BC1857" s="2">
        <f t="shared" si="772"/>
        <v>3.854141161320746E-4</v>
      </c>
      <c r="BD1857" s="2">
        <f t="shared" si="773"/>
        <v>8.2523963689455973E-4</v>
      </c>
      <c r="BF1857" t="s">
        <v>2101</v>
      </c>
      <c r="BG1857" t="s">
        <v>2147</v>
      </c>
      <c r="BJ1857" s="114">
        <v>34</v>
      </c>
      <c r="BK1857" s="116">
        <v>17</v>
      </c>
      <c r="BL1857" s="120">
        <f t="shared" si="753"/>
        <v>34017</v>
      </c>
      <c r="BN1857" s="5" t="s">
        <v>3154</v>
      </c>
      <c r="BR1857" s="63"/>
      <c r="BY1857" s="63">
        <f t="shared" si="774"/>
        <v>0</v>
      </c>
      <c r="BZ1857" s="132">
        <v>220542</v>
      </c>
      <c r="CA1857" s="63">
        <v>1167</v>
      </c>
    </row>
    <row r="1858" spans="1:79" hidden="1" outlineLevel="1">
      <c r="A1858" t="s">
        <v>2398</v>
      </c>
      <c r="B1858" t="s">
        <v>2147</v>
      </c>
      <c r="C1858" s="1">
        <f t="shared" si="765"/>
        <v>71660</v>
      </c>
      <c r="D1858" s="5">
        <f>IF(N1858&gt;0, RANK(N1858,(N1858:P1858,Q1858:AE1858)),0)</f>
        <v>2</v>
      </c>
      <c r="E1858" s="5">
        <f>IF(O1858&gt;0,RANK(O1858,(N1858:P1858,Q1858:AE1858)),0)</f>
        <v>1</v>
      </c>
      <c r="F1858" s="5">
        <f>IF(P1858&gt;0,RANK(P1858,(N1858:P1858,Q1858:AE1858)),0)</f>
        <v>0</v>
      </c>
      <c r="G1858" s="132">
        <f t="shared" si="742"/>
        <v>9814</v>
      </c>
      <c r="H1858" s="137">
        <f t="shared" si="743"/>
        <v>0.13695227463019816</v>
      </c>
      <c r="I1858" s="2"/>
      <c r="J1858" s="2">
        <f t="shared" si="766"/>
        <v>0.4032654200390734</v>
      </c>
      <c r="K1858" s="2">
        <f t="shared" si="767"/>
        <v>0.54021769466927161</v>
      </c>
      <c r="L1858" s="2">
        <f t="shared" si="768"/>
        <v>0</v>
      </c>
      <c r="M1858" s="2">
        <f t="shared" si="769"/>
        <v>5.6516885291654995E-2</v>
      </c>
      <c r="N1858" s="63">
        <v>28898</v>
      </c>
      <c r="O1858" s="63">
        <v>38712</v>
      </c>
      <c r="P1858" s="63"/>
      <c r="Q1858" s="63">
        <v>2213</v>
      </c>
      <c r="R1858" s="63">
        <v>805</v>
      </c>
      <c r="S1858" s="63">
        <v>94</v>
      </c>
      <c r="T1858" s="63">
        <v>26</v>
      </c>
      <c r="U1858" s="63"/>
      <c r="V1858" s="132">
        <v>54</v>
      </c>
      <c r="W1858" s="63">
        <f>IF(Copyright!B$11=1,IF(CA1858&gt;0,CA1858-U1858-SUM(Y1858:Z1858)-SUM(AB1858:AM1858)-SUM(AO1858:AQ1858),0),0)</f>
        <v>824</v>
      </c>
      <c r="X1858" s="63">
        <v>15</v>
      </c>
      <c r="Y1858" s="63"/>
      <c r="Z1858" s="63"/>
      <c r="AA1858" s="63">
        <v>19</v>
      </c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W1858" s="5">
        <f>IF(Q1858&gt;0,RANK(Q1858,(N1858:P1858,Q1858:AE1858)),0)</f>
        <v>3</v>
      </c>
      <c r="AX1858" s="5">
        <f>IF(R1858&gt;0,RANK(R1858,(N1858:P1858,Q1858:AE1858)),0)</f>
        <v>5</v>
      </c>
      <c r="AY1858" s="5">
        <f>IF(T1858&gt;0,RANK(T1858,(N1858:P1858,Q1858:AE1858)),0)</f>
        <v>8</v>
      </c>
      <c r="AZ1858" s="5">
        <f>IF(S1858&gt;0,RANK(S1858,(N1858:P1858,Q1858:AE1858)),0)</f>
        <v>6</v>
      </c>
      <c r="BA1858" s="2">
        <f t="shared" si="770"/>
        <v>3.0881942506279653E-2</v>
      </c>
      <c r="BB1858" s="2">
        <f t="shared" si="771"/>
        <v>1.1233603125872174E-2</v>
      </c>
      <c r="BC1858" s="2">
        <f t="shared" si="772"/>
        <v>3.6282444878593358E-4</v>
      </c>
      <c r="BD1858" s="2">
        <f t="shared" si="773"/>
        <v>1.3117499302260675E-3</v>
      </c>
      <c r="BF1858" t="s">
        <v>2398</v>
      </c>
      <c r="BG1858" t="s">
        <v>2147</v>
      </c>
      <c r="BH1858">
        <v>7</v>
      </c>
      <c r="BJ1858" s="114">
        <v>34</v>
      </c>
      <c r="BK1858" s="116">
        <v>19</v>
      </c>
      <c r="BL1858" s="120">
        <f t="shared" si="753"/>
        <v>34019</v>
      </c>
      <c r="BN1858" s="5" t="s">
        <v>3154</v>
      </c>
      <c r="BR1858" s="63"/>
      <c r="BS1858" s="128"/>
      <c r="BY1858" s="63">
        <f t="shared" si="774"/>
        <v>0</v>
      </c>
      <c r="BZ1858" s="132">
        <f>824+19+15+26+94+805+2213+54+28898+38712</f>
        <v>71660</v>
      </c>
      <c r="CA1858" s="63">
        <v>824</v>
      </c>
    </row>
    <row r="1859" spans="1:79" hidden="1" outlineLevel="1">
      <c r="A1859" t="s">
        <v>449</v>
      </c>
      <c r="B1859" t="s">
        <v>2147</v>
      </c>
      <c r="C1859" s="1">
        <f t="shared" si="765"/>
        <v>158058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32">
        <f t="shared" si="742"/>
        <v>58582</v>
      </c>
      <c r="H1859" s="137">
        <f t="shared" si="743"/>
        <v>0.37063609561047212</v>
      </c>
      <c r="I1859" s="2"/>
      <c r="J1859" s="2">
        <f t="shared" si="766"/>
        <v>0.66288957218236344</v>
      </c>
      <c r="K1859" s="2">
        <f t="shared" si="767"/>
        <v>0.29225347657189132</v>
      </c>
      <c r="L1859" s="2">
        <f t="shared" si="768"/>
        <v>0</v>
      </c>
      <c r="M1859" s="2">
        <f t="shared" si="769"/>
        <v>4.4856951245745236E-2</v>
      </c>
      <c r="N1859" s="63">
        <v>104775</v>
      </c>
      <c r="O1859" s="63">
        <v>46193</v>
      </c>
      <c r="P1859" s="63"/>
      <c r="Q1859" s="63">
        <v>3267</v>
      </c>
      <c r="R1859" s="63">
        <v>1677</v>
      </c>
      <c r="S1859" s="63">
        <v>207</v>
      </c>
      <c r="T1859" s="63">
        <v>142</v>
      </c>
      <c r="U1859" s="63"/>
      <c r="V1859" s="132">
        <v>38</v>
      </c>
      <c r="W1859" s="63">
        <f>IF(Copyright!B$11=1,IF(CA1859&gt;0,CA1859-U1859-SUM(Y1859:Z1859)-SUM(AB1859:AM1859)-SUM(AO1859:AQ1859),0),0)</f>
        <v>1529</v>
      </c>
      <c r="X1859" s="63">
        <v>61</v>
      </c>
      <c r="Y1859" s="63"/>
      <c r="Z1859" s="63"/>
      <c r="AA1859" s="63">
        <v>169</v>
      </c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W1859" s="5">
        <f>IF(Q1859&gt;0,RANK(Q1859,(N1859:P1859,Q1859:AE1859)),0)</f>
        <v>3</v>
      </c>
      <c r="AX1859" s="5">
        <f>IF(R1859&gt;0,RANK(R1859,(N1859:P1859,Q1859:AE1859)),0)</f>
        <v>4</v>
      </c>
      <c r="AY1859" s="5">
        <f>IF(T1859&gt;0,RANK(T1859,(N1859:P1859,Q1859:AE1859)),0)</f>
        <v>8</v>
      </c>
      <c r="AZ1859" s="5">
        <f>IF(S1859&gt;0,RANK(S1859,(N1859:P1859,Q1859:AE1859)),0)</f>
        <v>6</v>
      </c>
      <c r="BA1859" s="2">
        <f t="shared" si="770"/>
        <v>2.0669627605056373E-2</v>
      </c>
      <c r="BB1859" s="2">
        <f t="shared" si="771"/>
        <v>1.0610029229776411E-2</v>
      </c>
      <c r="BC1859" s="2">
        <f t="shared" si="772"/>
        <v>8.9840438320110344E-4</v>
      </c>
      <c r="BD1859" s="2">
        <f t="shared" si="773"/>
        <v>1.309645826215693E-3</v>
      </c>
      <c r="BF1859" t="s">
        <v>449</v>
      </c>
      <c r="BG1859" t="s">
        <v>2147</v>
      </c>
      <c r="BJ1859" s="114">
        <v>34</v>
      </c>
      <c r="BK1859" s="116">
        <v>21</v>
      </c>
      <c r="BL1859" s="120">
        <f t="shared" si="753"/>
        <v>34021</v>
      </c>
      <c r="BN1859" s="5" t="s">
        <v>3154</v>
      </c>
      <c r="BR1859" s="63"/>
      <c r="BY1859" s="63">
        <f t="shared" si="774"/>
        <v>0</v>
      </c>
      <c r="BZ1859" s="132">
        <v>158058</v>
      </c>
      <c r="CA1859" s="63">
        <v>1529</v>
      </c>
    </row>
    <row r="1860" spans="1:79" hidden="1" outlineLevel="1">
      <c r="A1860" t="s">
        <v>503</v>
      </c>
      <c r="B1860" t="s">
        <v>2147</v>
      </c>
      <c r="C1860" s="1">
        <f t="shared" si="765"/>
        <v>328557</v>
      </c>
      <c r="D1860" s="5">
        <f>IF(N1860&gt;0, RANK(N1860,(N1860:P1860,Q1860:AE1860)),0)</f>
        <v>1</v>
      </c>
      <c r="E1860" s="5">
        <f>IF(O1860&gt;0,RANK(O1860,(N1860:P1860,Q1860:AE1860)),0)</f>
        <v>2</v>
      </c>
      <c r="F1860" s="5">
        <f>IF(P1860&gt;0,RANK(P1860,(N1860:P1860,Q1860:AE1860)),0)</f>
        <v>0</v>
      </c>
      <c r="G1860" s="132">
        <f t="shared" si="742"/>
        <v>70091</v>
      </c>
      <c r="H1860" s="137">
        <f t="shared" si="743"/>
        <v>0.21332980274351179</v>
      </c>
      <c r="I1860" s="2"/>
      <c r="J1860" s="2">
        <f t="shared" si="766"/>
        <v>0.58755101854472735</v>
      </c>
      <c r="K1860" s="2">
        <f t="shared" si="767"/>
        <v>0.37422121580121565</v>
      </c>
      <c r="L1860" s="2">
        <f t="shared" si="768"/>
        <v>0</v>
      </c>
      <c r="M1860" s="2">
        <f t="shared" si="769"/>
        <v>3.8227765654057E-2</v>
      </c>
      <c r="N1860" s="63">
        <v>193044</v>
      </c>
      <c r="O1860" s="63">
        <v>122953</v>
      </c>
      <c r="P1860" s="63"/>
      <c r="Q1860" s="63">
        <v>5446</v>
      </c>
      <c r="R1860" s="63">
        <v>3452</v>
      </c>
      <c r="S1860" s="63">
        <v>368</v>
      </c>
      <c r="T1860" s="63">
        <v>146</v>
      </c>
      <c r="U1860" s="63"/>
      <c r="V1860" s="132">
        <v>90</v>
      </c>
      <c r="W1860" s="63">
        <f>IF(Copyright!B$11=1,IF(CA1860&gt;0,CA1860-U1860-SUM(Y1860:Z1860)-SUM(AB1860:AM1860)-SUM(AO1860:AQ1860),0),0)</f>
        <v>2455</v>
      </c>
      <c r="X1860" s="63">
        <v>436</v>
      </c>
      <c r="Y1860" s="63"/>
      <c r="Z1860" s="63"/>
      <c r="AA1860" s="63">
        <v>167</v>
      </c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W1860" s="5">
        <f>IF(Q1860&gt;0,RANK(Q1860,(N1860:P1860,Q1860:AE1860)),0)</f>
        <v>3</v>
      </c>
      <c r="AX1860" s="5">
        <f>IF(R1860&gt;0,RANK(R1860,(N1860:P1860,Q1860:AE1860)),0)</f>
        <v>4</v>
      </c>
      <c r="AY1860" s="5">
        <f>IF(T1860&gt;0,RANK(T1860,(N1860:P1860,Q1860:AE1860)),0)</f>
        <v>9</v>
      </c>
      <c r="AZ1860" s="5">
        <f>IF(S1860&gt;0,RANK(S1860,(N1860:P1860,Q1860:AE1860)),0)</f>
        <v>7</v>
      </c>
      <c r="BA1860" s="2">
        <f t="shared" si="770"/>
        <v>1.6575510489808466E-2</v>
      </c>
      <c r="BB1860" s="2">
        <f t="shared" si="771"/>
        <v>1.0506548331035407E-2</v>
      </c>
      <c r="BC1860" s="2">
        <f t="shared" si="772"/>
        <v>4.4436733960926111E-4</v>
      </c>
      <c r="BD1860" s="2">
        <f t="shared" si="773"/>
        <v>1.1200491847685485E-3</v>
      </c>
      <c r="BF1860" t="s">
        <v>503</v>
      </c>
      <c r="BG1860" t="s">
        <v>2147</v>
      </c>
      <c r="BJ1860" s="114">
        <v>34</v>
      </c>
      <c r="BK1860" s="116">
        <v>23</v>
      </c>
      <c r="BL1860" s="120">
        <f t="shared" si="753"/>
        <v>34023</v>
      </c>
      <c r="BN1860" s="5" t="s">
        <v>3154</v>
      </c>
      <c r="BR1860" s="63"/>
      <c r="BY1860" s="63">
        <f t="shared" si="774"/>
        <v>-6735</v>
      </c>
      <c r="BZ1860" s="63">
        <v>321822</v>
      </c>
      <c r="CA1860" s="133">
        <v>2455</v>
      </c>
    </row>
    <row r="1861" spans="1:79" hidden="1" outlineLevel="1">
      <c r="A1861" t="s">
        <v>2439</v>
      </c>
      <c r="B1861" t="s">
        <v>2147</v>
      </c>
      <c r="C1861" s="1">
        <f t="shared" si="765"/>
        <v>317750</v>
      </c>
      <c r="D1861" s="5">
        <f>IF(N1861&gt;0, RANK(N1861,(N1861:P1861,Q1861:AE1861)),0)</f>
        <v>2</v>
      </c>
      <c r="E1861" s="5">
        <f>IF(O1861&gt;0,RANK(O1861,(N1861:P1861,Q1861:AE1861)),0)</f>
        <v>1</v>
      </c>
      <c r="F1861" s="5">
        <f>IF(P1861&gt;0,RANK(P1861,(N1861:P1861,Q1861:AE1861)),0)</f>
        <v>0</v>
      </c>
      <c r="G1861" s="132">
        <f t="shared" si="742"/>
        <v>29542</v>
      </c>
      <c r="H1861" s="137">
        <f t="shared" si="743"/>
        <v>9.2972462627852082E-2</v>
      </c>
      <c r="I1861" s="2"/>
      <c r="J1861" s="2">
        <f t="shared" si="766"/>
        <v>0.4317261998426436</v>
      </c>
      <c r="K1861" s="2">
        <f t="shared" si="767"/>
        <v>0.52469866247049568</v>
      </c>
      <c r="L1861" s="2">
        <f t="shared" si="768"/>
        <v>0</v>
      </c>
      <c r="M1861" s="2">
        <f t="shared" si="769"/>
        <v>4.3575137686860721E-2</v>
      </c>
      <c r="N1861" s="63">
        <v>137181</v>
      </c>
      <c r="O1861" s="63">
        <v>166723</v>
      </c>
      <c r="P1861" s="63"/>
      <c r="Q1861" s="63">
        <v>6388</v>
      </c>
      <c r="R1861" s="63">
        <v>3189</v>
      </c>
      <c r="S1861" s="63">
        <v>287</v>
      </c>
      <c r="T1861" s="63">
        <v>104</v>
      </c>
      <c r="U1861" s="63"/>
      <c r="V1861" s="132">
        <v>61</v>
      </c>
      <c r="W1861" s="63">
        <f>IF(Copyright!B$11=1,IF(CA1861&gt;0,CA1861-U1861-SUM(Y1861:Z1861)-SUM(AB1861:AM1861)-SUM(AO1861:AQ1861),0),0)</f>
        <v>3373</v>
      </c>
      <c r="X1861" s="63">
        <v>103</v>
      </c>
      <c r="Y1861" s="63"/>
      <c r="Z1861" s="63"/>
      <c r="AA1861" s="63">
        <v>341</v>
      </c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W1861" s="5">
        <f>IF(Q1861&gt;0,RANK(Q1861,(N1861:P1861,Q1861:AE1861)),0)</f>
        <v>3</v>
      </c>
      <c r="AX1861" s="5">
        <f>IF(R1861&gt;0,RANK(R1861,(N1861:P1861,Q1861:AE1861)),0)</f>
        <v>5</v>
      </c>
      <c r="AY1861" s="5">
        <f>IF(T1861&gt;0,RANK(T1861,(N1861:P1861,Q1861:AE1861)),0)</f>
        <v>8</v>
      </c>
      <c r="AZ1861" s="5">
        <f>IF(S1861&gt;0,RANK(S1861,(N1861:P1861,Q1861:AE1861)),0)</f>
        <v>7</v>
      </c>
      <c r="BA1861" s="2">
        <f t="shared" si="770"/>
        <v>2.0103855232100707E-2</v>
      </c>
      <c r="BB1861" s="2">
        <f t="shared" si="771"/>
        <v>1.0036191974822974E-2</v>
      </c>
      <c r="BC1861" s="2">
        <f t="shared" si="772"/>
        <v>3.2730133752950435E-4</v>
      </c>
      <c r="BD1861" s="2">
        <f t="shared" si="773"/>
        <v>9.0322580645161286E-4</v>
      </c>
      <c r="BF1861" t="s">
        <v>2439</v>
      </c>
      <c r="BG1861" t="s">
        <v>2147</v>
      </c>
      <c r="BJ1861" s="114">
        <v>34</v>
      </c>
      <c r="BK1861" s="116">
        <v>25</v>
      </c>
      <c r="BL1861" s="120">
        <f t="shared" si="753"/>
        <v>34025</v>
      </c>
      <c r="BN1861" s="5" t="s">
        <v>3154</v>
      </c>
      <c r="BR1861" s="63"/>
      <c r="BY1861" s="63">
        <f t="shared" si="774"/>
        <v>0</v>
      </c>
      <c r="BZ1861" s="132">
        <v>317750</v>
      </c>
      <c r="CA1861" s="63">
        <v>3373</v>
      </c>
    </row>
    <row r="1862" spans="1:79" hidden="1" outlineLevel="1">
      <c r="A1862" t="s">
        <v>2619</v>
      </c>
      <c r="B1862" t="s">
        <v>2147</v>
      </c>
      <c r="C1862" s="1">
        <f t="shared" si="765"/>
        <v>253537</v>
      </c>
      <c r="D1862" s="5">
        <f>IF(N1862&gt;0, RANK(N1862,(N1862:P1862,Q1862:AE1862)),0)</f>
        <v>2</v>
      </c>
      <c r="E1862" s="5">
        <f>IF(O1862&gt;0,RANK(O1862,(N1862:P1862,Q1862:AE1862)),0)</f>
        <v>1</v>
      </c>
      <c r="F1862" s="5">
        <f>IF(P1862&gt;0,RANK(P1862,(N1862:P1862,Q1862:AE1862)),0)</f>
        <v>0</v>
      </c>
      <c r="G1862" s="132">
        <f t="shared" si="742"/>
        <v>10822</v>
      </c>
      <c r="H1862" s="137">
        <f t="shared" si="743"/>
        <v>4.2684105278519506E-2</v>
      </c>
      <c r="I1862" s="2"/>
      <c r="J1862" s="2">
        <f t="shared" si="766"/>
        <v>0.45456481696951528</v>
      </c>
      <c r="K1862" s="2">
        <f t="shared" si="767"/>
        <v>0.4972489222480348</v>
      </c>
      <c r="L1862" s="2">
        <f t="shared" si="768"/>
        <v>0</v>
      </c>
      <c r="M1862" s="2">
        <f t="shared" si="769"/>
        <v>4.8186260782449863E-2</v>
      </c>
      <c r="N1862" s="63">
        <v>115249</v>
      </c>
      <c r="O1862" s="63">
        <v>126071</v>
      </c>
      <c r="P1862" s="63"/>
      <c r="Q1862" s="63">
        <v>5943</v>
      </c>
      <c r="R1862" s="63">
        <v>2532</v>
      </c>
      <c r="S1862" s="63">
        <v>334</v>
      </c>
      <c r="T1862" s="63">
        <v>119</v>
      </c>
      <c r="U1862" s="63"/>
      <c r="V1862" s="132">
        <v>34</v>
      </c>
      <c r="W1862" s="63">
        <f>IF(Copyright!B$11=1,IF(CA1862&gt;0,CA1862-U1862-SUM(Y1862:Z1862)-SUM(AB1862:AM1862)-SUM(AO1862:AQ1862),0),0)</f>
        <v>3121</v>
      </c>
      <c r="X1862" s="63">
        <v>75</v>
      </c>
      <c r="Y1862" s="63"/>
      <c r="Z1862" s="63"/>
      <c r="AA1862" s="63">
        <v>59</v>
      </c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W1862" s="5">
        <f>IF(Q1862&gt;0,RANK(Q1862,(N1862:P1862,Q1862:AE1862)),0)</f>
        <v>3</v>
      </c>
      <c r="AX1862" s="5">
        <f>IF(R1862&gt;0,RANK(R1862,(N1862:P1862,Q1862:AE1862)),0)</f>
        <v>5</v>
      </c>
      <c r="AY1862" s="5">
        <f>IF(T1862&gt;0,RANK(T1862,(N1862:P1862,Q1862:AE1862)),0)</f>
        <v>7</v>
      </c>
      <c r="AZ1862" s="5">
        <f>IF(S1862&gt;0,RANK(S1862,(N1862:P1862,Q1862:AE1862)),0)</f>
        <v>6</v>
      </c>
      <c r="BA1862" s="2">
        <f t="shared" si="770"/>
        <v>2.3440365705991631E-2</v>
      </c>
      <c r="BB1862" s="2">
        <f t="shared" si="771"/>
        <v>9.9867080544457018E-3</v>
      </c>
      <c r="BC1862" s="2">
        <f t="shared" si="772"/>
        <v>4.6935950176897259E-4</v>
      </c>
      <c r="BD1862" s="2">
        <f t="shared" si="773"/>
        <v>1.3173619629482088E-3</v>
      </c>
      <c r="BF1862" t="s">
        <v>2619</v>
      </c>
      <c r="BG1862" t="s">
        <v>2147</v>
      </c>
      <c r="BJ1862" s="114">
        <v>34</v>
      </c>
      <c r="BK1862" s="116">
        <v>27</v>
      </c>
      <c r="BL1862" s="120">
        <f t="shared" si="753"/>
        <v>34027</v>
      </c>
      <c r="BN1862" s="5" t="s">
        <v>3154</v>
      </c>
      <c r="BR1862" s="63"/>
      <c r="BY1862" s="63">
        <f t="shared" si="774"/>
        <v>0</v>
      </c>
      <c r="BZ1862" s="63">
        <v>253537</v>
      </c>
      <c r="CA1862" s="63">
        <v>3121</v>
      </c>
    </row>
    <row r="1863" spans="1:79" hidden="1" outlineLevel="1">
      <c r="A1863" t="s">
        <v>2628</v>
      </c>
      <c r="B1863" t="s">
        <v>2147</v>
      </c>
      <c r="C1863" s="1">
        <f t="shared" si="765"/>
        <v>276725</v>
      </c>
      <c r="D1863" s="5">
        <f>IF(N1863&gt;0, RANK(N1863,(N1863:P1863,Q1863:AE1863)),0)</f>
        <v>2</v>
      </c>
      <c r="E1863" s="5">
        <f>IF(O1863&gt;0,RANK(O1863,(N1863:P1863,Q1863:AE1863)),0)</f>
        <v>1</v>
      </c>
      <c r="F1863" s="5">
        <f>IF(P1863&gt;0,RANK(P1863,(N1863:P1863,Q1863:AE1863)),0)</f>
        <v>0</v>
      </c>
      <c r="G1863" s="132">
        <f t="shared" si="742"/>
        <v>91929</v>
      </c>
      <c r="H1863" s="137">
        <f t="shared" si="743"/>
        <v>0.33220345107959165</v>
      </c>
      <c r="I1863" s="2"/>
      <c r="J1863" s="2">
        <f t="shared" si="766"/>
        <v>0.3149335983376999</v>
      </c>
      <c r="K1863" s="2">
        <f t="shared" si="767"/>
        <v>0.64713704941729155</v>
      </c>
      <c r="L1863" s="2">
        <f t="shared" si="768"/>
        <v>0</v>
      </c>
      <c r="M1863" s="2">
        <f t="shared" si="769"/>
        <v>3.7929352245008485E-2</v>
      </c>
      <c r="N1863" s="63">
        <v>87150</v>
      </c>
      <c r="O1863" s="63">
        <v>179079</v>
      </c>
      <c r="P1863" s="63"/>
      <c r="Q1863" s="63">
        <v>4867</v>
      </c>
      <c r="R1863" s="63">
        <v>2122</v>
      </c>
      <c r="S1863" s="63">
        <v>937</v>
      </c>
      <c r="T1863" s="63">
        <v>39</v>
      </c>
      <c r="U1863" s="63"/>
      <c r="V1863" s="132">
        <v>57</v>
      </c>
      <c r="W1863" s="63">
        <f>IF(Copyright!B$11=1,IF(CA1863&gt;0,CA1863-U1863-SUM(Y1863:Z1863)-SUM(AB1863:AM1863)-SUM(AO1863:AQ1863),0),0)</f>
        <v>2363</v>
      </c>
      <c r="X1863" s="63">
        <v>92</v>
      </c>
      <c r="Y1863" s="63"/>
      <c r="Z1863" s="63"/>
      <c r="AA1863" s="63">
        <v>19</v>
      </c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W1863" s="5">
        <f>IF(Q1863&gt;0,RANK(Q1863,(N1863:P1863,Q1863:AE1863)),0)</f>
        <v>3</v>
      </c>
      <c r="AX1863" s="5">
        <f>IF(R1863&gt;0,RANK(R1863,(N1863:P1863,Q1863:AE1863)),0)</f>
        <v>5</v>
      </c>
      <c r="AY1863" s="5">
        <f>IF(T1863&gt;0,RANK(T1863,(N1863:P1863,Q1863:AE1863)),0)</f>
        <v>9</v>
      </c>
      <c r="AZ1863" s="5">
        <f>IF(S1863&gt;0,RANK(S1863,(N1863:P1863,Q1863:AE1863)),0)</f>
        <v>6</v>
      </c>
      <c r="BA1863" s="2">
        <f t="shared" si="770"/>
        <v>1.7587857981750835E-2</v>
      </c>
      <c r="BB1863" s="2">
        <f t="shared" si="771"/>
        <v>7.6682627156924744E-3</v>
      </c>
      <c r="BC1863" s="2">
        <f t="shared" si="772"/>
        <v>1.4093414039208601E-4</v>
      </c>
      <c r="BD1863" s="2">
        <f t="shared" si="773"/>
        <v>3.3860330653175535E-3</v>
      </c>
      <c r="BF1863" t="s">
        <v>2628</v>
      </c>
      <c r="BG1863" t="s">
        <v>2147</v>
      </c>
      <c r="BJ1863" s="114">
        <v>34</v>
      </c>
      <c r="BK1863" s="116">
        <v>29</v>
      </c>
      <c r="BL1863" s="120">
        <f t="shared" si="753"/>
        <v>34029</v>
      </c>
      <c r="BN1863" s="5" t="s">
        <v>3154</v>
      </c>
      <c r="BR1863" s="63"/>
      <c r="BY1863" s="63">
        <f t="shared" si="774"/>
        <v>0</v>
      </c>
      <c r="BZ1863" s="132">
        <v>276725</v>
      </c>
      <c r="CA1863" s="63">
        <v>2363</v>
      </c>
    </row>
    <row r="1864" spans="1:79" hidden="1" outlineLevel="1">
      <c r="A1864" t="s">
        <v>107</v>
      </c>
      <c r="B1864" t="s">
        <v>2147</v>
      </c>
      <c r="C1864" s="1">
        <f t="shared" si="765"/>
        <v>196228</v>
      </c>
      <c r="D1864" s="5">
        <f>IF(N1864&gt;0, RANK(N1864,(N1864:P1864,Q1864:AE1864)),0)</f>
        <v>1</v>
      </c>
      <c r="E1864" s="5">
        <f>IF(O1864&gt;0,RANK(O1864,(N1864:P1864,Q1864:AE1864)),0)</f>
        <v>2</v>
      </c>
      <c r="F1864" s="5">
        <f>IF(P1864&gt;0,RANK(P1864,(N1864:P1864,Q1864:AE1864)),0)</f>
        <v>0</v>
      </c>
      <c r="G1864" s="132">
        <f t="shared" ref="G1864:G1927" si="775">IF(C1864&gt;0,MAX(N1864:P1864)-LARGE(N1864:P1864,2),0)</f>
        <v>43857</v>
      </c>
      <c r="H1864" s="137">
        <f t="shared" ref="H1864:H1927" si="776">IF(C1864&gt;0,G1864/C1864,0)</f>
        <v>0.22350021403673279</v>
      </c>
      <c r="I1864" s="2"/>
      <c r="J1864" s="2">
        <f t="shared" si="766"/>
        <v>0.59501702101636866</v>
      </c>
      <c r="K1864" s="2">
        <f t="shared" si="767"/>
        <v>0.37151680697963596</v>
      </c>
      <c r="L1864" s="2">
        <f t="shared" si="768"/>
        <v>0</v>
      </c>
      <c r="M1864" s="2">
        <f t="shared" si="769"/>
        <v>3.3466172003995376E-2</v>
      </c>
      <c r="N1864" s="63">
        <v>116759</v>
      </c>
      <c r="O1864" s="63">
        <v>72902</v>
      </c>
      <c r="P1864" s="63"/>
      <c r="Q1864" s="63">
        <v>2541</v>
      </c>
      <c r="R1864" s="63">
        <v>1948</v>
      </c>
      <c r="S1864" s="63">
        <v>212</v>
      </c>
      <c r="T1864" s="63">
        <v>83</v>
      </c>
      <c r="U1864" s="63"/>
      <c r="V1864" s="132">
        <v>242</v>
      </c>
      <c r="W1864" s="63">
        <f>IF(Copyright!B$11=1,IF(CA1864&gt;0,CA1864-U1864-SUM(Y1864:Z1864)-SUM(AB1864:AM1864)-SUM(AO1864:AQ1864),0),0)</f>
        <v>1426</v>
      </c>
      <c r="X1864" s="63">
        <v>61</v>
      </c>
      <c r="Y1864" s="63"/>
      <c r="Z1864" s="63"/>
      <c r="AA1864" s="63">
        <v>54</v>
      </c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W1864" s="5">
        <f>IF(Q1864&gt;0,RANK(Q1864,(N1864:P1864,Q1864:AE1864)),0)</f>
        <v>3</v>
      </c>
      <c r="AX1864" s="5">
        <f>IF(R1864&gt;0,RANK(R1864,(N1864:P1864,Q1864:AE1864)),0)</f>
        <v>4</v>
      </c>
      <c r="AY1864" s="5">
        <f>IF(T1864&gt;0,RANK(T1864,(N1864:P1864,Q1864:AE1864)),0)</f>
        <v>8</v>
      </c>
      <c r="AZ1864" s="5">
        <f>IF(S1864&gt;0,RANK(S1864,(N1864:P1864,Q1864:AE1864)),0)</f>
        <v>7</v>
      </c>
      <c r="BA1864" s="2">
        <f t="shared" si="770"/>
        <v>1.2949222333204231E-2</v>
      </c>
      <c r="BB1864" s="2">
        <f t="shared" si="771"/>
        <v>9.9272275108547199E-3</v>
      </c>
      <c r="BC1864" s="2">
        <f t="shared" si="772"/>
        <v>4.2297735287522676E-4</v>
      </c>
      <c r="BD1864" s="2">
        <f t="shared" si="773"/>
        <v>1.0803758892716636E-3</v>
      </c>
      <c r="BF1864" t="s">
        <v>107</v>
      </c>
      <c r="BG1864" t="s">
        <v>2147</v>
      </c>
      <c r="BJ1864" s="114">
        <v>34</v>
      </c>
      <c r="BK1864" s="116">
        <v>31</v>
      </c>
      <c r="BL1864" s="120">
        <f t="shared" si="753"/>
        <v>34031</v>
      </c>
      <c r="BN1864" s="5" t="s">
        <v>3154</v>
      </c>
      <c r="BR1864" s="63"/>
      <c r="BY1864" s="63">
        <f t="shared" si="774"/>
        <v>0</v>
      </c>
      <c r="BZ1864" s="132">
        <v>196228</v>
      </c>
      <c r="CA1864" s="63">
        <v>1426</v>
      </c>
    </row>
    <row r="1865" spans="1:79" hidden="1" outlineLevel="1">
      <c r="A1865" t="s">
        <v>2880</v>
      </c>
      <c r="B1865" t="s">
        <v>2147</v>
      </c>
      <c r="C1865" s="1">
        <f t="shared" si="765"/>
        <v>29853</v>
      </c>
      <c r="D1865" s="5">
        <f>IF(N1865&gt;0, RANK(N1865,(N1865:P1865,Q1865:AE1865)),0)</f>
        <v>2</v>
      </c>
      <c r="E1865" s="5">
        <f>IF(O1865&gt;0,RANK(O1865,(N1865:P1865,Q1865:AE1865)),0)</f>
        <v>1</v>
      </c>
      <c r="F1865" s="5">
        <f>IF(P1865&gt;0,RANK(P1865,(N1865:P1865,Q1865:AE1865)),0)</f>
        <v>0</v>
      </c>
      <c r="G1865" s="132">
        <f t="shared" si="775"/>
        <v>4477</v>
      </c>
      <c r="H1865" s="137">
        <f t="shared" si="776"/>
        <v>0.1499681774026061</v>
      </c>
      <c r="I1865" s="2"/>
      <c r="J1865" s="2">
        <f t="shared" si="766"/>
        <v>0.39875389408099687</v>
      </c>
      <c r="K1865" s="2">
        <f t="shared" si="767"/>
        <v>0.54872207148360297</v>
      </c>
      <c r="L1865" s="2">
        <f t="shared" si="768"/>
        <v>0</v>
      </c>
      <c r="M1865" s="2">
        <f t="shared" si="769"/>
        <v>5.2524034435400102E-2</v>
      </c>
      <c r="N1865" s="63">
        <v>11904</v>
      </c>
      <c r="O1865" s="63">
        <v>16381</v>
      </c>
      <c r="P1865" s="63"/>
      <c r="Q1865" s="63">
        <v>862</v>
      </c>
      <c r="R1865" s="63">
        <v>238</v>
      </c>
      <c r="S1865" s="63">
        <v>72</v>
      </c>
      <c r="T1865" s="63">
        <v>6</v>
      </c>
      <c r="U1865" s="63"/>
      <c r="V1865" s="132">
        <v>5</v>
      </c>
      <c r="W1865" s="63">
        <f>IF(Copyright!B$11=1,IF(CA1865&gt;0,CA1865-U1865-SUM(Y1865:Z1865)-SUM(AB1865:AM1865)-SUM(AO1865:AQ1865),0),0)</f>
        <v>359</v>
      </c>
      <c r="X1865" s="63">
        <v>10</v>
      </c>
      <c r="Y1865" s="63"/>
      <c r="Z1865" s="63"/>
      <c r="AA1865" s="63">
        <v>16</v>
      </c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W1865" s="5">
        <f>IF(Q1865&gt;0,RANK(Q1865,(N1865:P1865,Q1865:AE1865)),0)</f>
        <v>3</v>
      </c>
      <c r="AX1865" s="5">
        <f>IF(R1865&gt;0,RANK(R1865,(N1865:P1865,Q1865:AE1865)),0)</f>
        <v>5</v>
      </c>
      <c r="AY1865" s="5">
        <f>IF(T1865&gt;0,RANK(T1865,(N1865:P1865,Q1865:AE1865)),0)</f>
        <v>9</v>
      </c>
      <c r="AZ1865" s="5">
        <f>IF(S1865&gt;0,RANK(S1865,(N1865:P1865,Q1865:AE1865)),0)</f>
        <v>6</v>
      </c>
      <c r="BA1865" s="2">
        <f t="shared" si="770"/>
        <v>2.8874819951093693E-2</v>
      </c>
      <c r="BB1865" s="2">
        <f t="shared" si="771"/>
        <v>7.9723980839446623E-3</v>
      </c>
      <c r="BC1865" s="2">
        <f t="shared" si="772"/>
        <v>2.0098482564566376E-4</v>
      </c>
      <c r="BD1865" s="2">
        <f t="shared" si="773"/>
        <v>2.411817907747965E-3</v>
      </c>
      <c r="BF1865" t="s">
        <v>2880</v>
      </c>
      <c r="BG1865" t="s">
        <v>2147</v>
      </c>
      <c r="BH1865">
        <v>2</v>
      </c>
      <c r="BJ1865" s="114">
        <v>34</v>
      </c>
      <c r="BK1865" s="116">
        <v>33</v>
      </c>
      <c r="BL1865" s="120">
        <f t="shared" si="753"/>
        <v>34033</v>
      </c>
      <c r="BN1865" s="5" t="s">
        <v>3154</v>
      </c>
      <c r="BR1865" s="63"/>
      <c r="BY1865" s="63">
        <f t="shared" si="774"/>
        <v>0</v>
      </c>
      <c r="BZ1865" s="63">
        <v>29853</v>
      </c>
      <c r="CA1865" s="63">
        <v>359</v>
      </c>
    </row>
    <row r="1866" spans="1:79" hidden="1" outlineLevel="1">
      <c r="A1866" t="s">
        <v>1787</v>
      </c>
      <c r="B1866" t="s">
        <v>2147</v>
      </c>
      <c r="C1866" s="1">
        <f t="shared" si="765"/>
        <v>157092</v>
      </c>
      <c r="D1866" s="5">
        <f>IF(N1866&gt;0, RANK(N1866,(N1866:P1866,Q1866:AE1866)),0)</f>
        <v>1</v>
      </c>
      <c r="E1866" s="5">
        <f>IF(O1866&gt;0,RANK(O1866,(N1866:P1866,Q1866:AE1866)),0)</f>
        <v>2</v>
      </c>
      <c r="F1866" s="5">
        <f>IF(P1866&gt;0,RANK(P1866,(N1866:P1866,Q1866:AE1866)),0)</f>
        <v>0</v>
      </c>
      <c r="G1866" s="132">
        <f t="shared" si="775"/>
        <v>20184</v>
      </c>
      <c r="H1866" s="137">
        <f t="shared" si="776"/>
        <v>0.12848521885264685</v>
      </c>
      <c r="I1866" s="2"/>
      <c r="J1866" s="2">
        <f t="shared" si="766"/>
        <v>0.54547017034603928</v>
      </c>
      <c r="K1866" s="2">
        <f t="shared" si="767"/>
        <v>0.41698495149339243</v>
      </c>
      <c r="L1866" s="2">
        <f t="shared" si="768"/>
        <v>0</v>
      </c>
      <c r="M1866" s="2">
        <f t="shared" si="769"/>
        <v>3.7544878160568285E-2</v>
      </c>
      <c r="N1866" s="63">
        <v>85689</v>
      </c>
      <c r="O1866" s="63">
        <v>65505</v>
      </c>
      <c r="P1866" s="63"/>
      <c r="Q1866" s="63">
        <v>3776</v>
      </c>
      <c r="R1866" s="63">
        <v>1568</v>
      </c>
      <c r="S1866" s="63">
        <v>206</v>
      </c>
      <c r="T1866" s="63">
        <v>80</v>
      </c>
      <c r="U1866" s="63"/>
      <c r="V1866" s="132">
        <v>35</v>
      </c>
      <c r="W1866" s="63">
        <f>IF(Copyright!B$11=1,IF(CA1866&gt;0,CA1866-U1866-SUM(Y1866:Z1866)-SUM(AB1866:AM1866)-SUM(AO1866:AQ1866),0),0)</f>
        <v>0</v>
      </c>
      <c r="X1866" s="63">
        <v>193</v>
      </c>
      <c r="Y1866" s="63"/>
      <c r="Z1866" s="63"/>
      <c r="AA1866" s="63">
        <v>40</v>
      </c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W1866" s="5">
        <f>IF(Q1866&gt;0,RANK(Q1866,(N1866:P1866,Q1866:AE1866)),0)</f>
        <v>3</v>
      </c>
      <c r="AX1866" s="5">
        <f>IF(R1866&gt;0,RANK(R1866,(N1866:P1866,Q1866:AE1866)),0)</f>
        <v>4</v>
      </c>
      <c r="AY1866" s="5">
        <f>IF(T1866&gt;0,RANK(T1866,(N1866:P1866,Q1866:AE1866)),0)</f>
        <v>7</v>
      </c>
      <c r="AZ1866" s="5">
        <f>IF(S1866&gt;0,RANK(S1866,(N1866:P1866,Q1866:AE1866)),0)</f>
        <v>5</v>
      </c>
      <c r="BA1866" s="2">
        <f t="shared" si="770"/>
        <v>2.403687011432791E-2</v>
      </c>
      <c r="BB1866" s="2">
        <f t="shared" si="771"/>
        <v>9.9814121661192176E-3</v>
      </c>
      <c r="BC1866" s="2">
        <f t="shared" si="772"/>
        <v>5.0925572276118458E-4</v>
      </c>
      <c r="BD1866" s="2">
        <f t="shared" si="773"/>
        <v>1.3113334861100502E-3</v>
      </c>
      <c r="BF1866" t="s">
        <v>1787</v>
      </c>
      <c r="BG1866" t="s">
        <v>2147</v>
      </c>
      <c r="BJ1866" s="114">
        <v>34</v>
      </c>
      <c r="BK1866" s="116">
        <v>35</v>
      </c>
      <c r="BL1866" s="120">
        <f t="shared" si="753"/>
        <v>34035</v>
      </c>
      <c r="BN1866" s="5" t="s">
        <v>3154</v>
      </c>
      <c r="BR1866" s="63"/>
      <c r="BY1866" s="63">
        <f t="shared" si="774"/>
        <v>0</v>
      </c>
      <c r="BZ1866" s="63">
        <v>157092</v>
      </c>
    </row>
    <row r="1867" spans="1:79" hidden="1" outlineLevel="1">
      <c r="A1867" t="s">
        <v>56</v>
      </c>
      <c r="B1867" t="s">
        <v>2147</v>
      </c>
      <c r="C1867" s="1">
        <f t="shared" si="765"/>
        <v>75158</v>
      </c>
      <c r="D1867" s="5">
        <f>IF(N1867&gt;0, RANK(N1867,(N1867:P1867,Q1867:AE1867)),0)</f>
        <v>2</v>
      </c>
      <c r="E1867" s="5">
        <f>IF(O1867&gt;0,RANK(O1867,(N1867:P1867,Q1867:AE1867)),0)</f>
        <v>1</v>
      </c>
      <c r="F1867" s="5">
        <f>IF(P1867&gt;0,RANK(P1867,(N1867:P1867,Q1867:AE1867)),0)</f>
        <v>0</v>
      </c>
      <c r="G1867" s="132">
        <f t="shared" si="775"/>
        <v>22446</v>
      </c>
      <c r="H1867" s="137">
        <f t="shared" si="776"/>
        <v>0.29865084222571114</v>
      </c>
      <c r="I1867" s="2"/>
      <c r="J1867" s="2">
        <f t="shared" si="766"/>
        <v>0.32214800819606693</v>
      </c>
      <c r="K1867" s="2">
        <f t="shared" si="767"/>
        <v>0.62079885042177807</v>
      </c>
      <c r="L1867" s="2">
        <f t="shared" si="768"/>
        <v>0</v>
      </c>
      <c r="M1867" s="2">
        <f t="shared" si="769"/>
        <v>5.7053141382155004E-2</v>
      </c>
      <c r="N1867" s="63">
        <v>24212</v>
      </c>
      <c r="O1867" s="63">
        <v>46658</v>
      </c>
      <c r="P1867" s="63"/>
      <c r="Q1867" s="63">
        <v>2026</v>
      </c>
      <c r="R1867" s="63">
        <v>845</v>
      </c>
      <c r="S1867" s="63">
        <v>248</v>
      </c>
      <c r="T1867" s="63">
        <v>46</v>
      </c>
      <c r="U1867" s="63"/>
      <c r="V1867" s="132">
        <v>22</v>
      </c>
      <c r="W1867" s="63">
        <f>IF(Copyright!B$11=1,IF(CA1867&gt;0,CA1867-U1867-SUM(Y1867:Z1867)-SUM(AB1867:AM1867)-SUM(AO1867:AQ1867),0),0)</f>
        <v>1032</v>
      </c>
      <c r="X1867" s="63">
        <v>29</v>
      </c>
      <c r="Y1867" s="63"/>
      <c r="Z1867" s="63"/>
      <c r="AA1867" s="63">
        <v>40</v>
      </c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W1867" s="5">
        <f>IF(Q1867&gt;0,RANK(Q1867,(N1867:P1867,Q1867:AE1867)),0)</f>
        <v>3</v>
      </c>
      <c r="AX1867" s="5">
        <f>IF(R1867&gt;0,RANK(R1867,(N1867:P1867,Q1867:AE1867)),0)</f>
        <v>5</v>
      </c>
      <c r="AY1867" s="5">
        <f>IF(T1867&gt;0,RANK(T1867,(N1867:P1867,Q1867:AE1867)),0)</f>
        <v>7</v>
      </c>
      <c r="AZ1867" s="5">
        <f>IF(S1867&gt;0,RANK(S1867,(N1867:P1867,Q1867:AE1867)),0)</f>
        <v>6</v>
      </c>
      <c r="BA1867" s="2">
        <f t="shared" si="770"/>
        <v>2.6956544878788687E-2</v>
      </c>
      <c r="BB1867" s="2">
        <f t="shared" si="771"/>
        <v>1.1242981452406929E-2</v>
      </c>
      <c r="BC1867" s="2">
        <f t="shared" si="772"/>
        <v>6.1204396072274414E-4</v>
      </c>
      <c r="BD1867" s="2">
        <f t="shared" si="773"/>
        <v>3.2997152665052288E-3</v>
      </c>
      <c r="BF1867" t="s">
        <v>56</v>
      </c>
      <c r="BG1867" t="s">
        <v>2147</v>
      </c>
      <c r="BJ1867" s="114">
        <v>34</v>
      </c>
      <c r="BK1867" s="116">
        <v>37</v>
      </c>
      <c r="BL1867" s="120">
        <f t="shared" si="753"/>
        <v>34037</v>
      </c>
      <c r="BN1867" s="5" t="s">
        <v>3154</v>
      </c>
      <c r="BR1867" s="63"/>
      <c r="BY1867" s="63">
        <f t="shared" si="774"/>
        <v>0</v>
      </c>
      <c r="BZ1867" s="132">
        <f>24212+46658+248+2026+40+29+46+22+845+1032</f>
        <v>75158</v>
      </c>
      <c r="CA1867" s="63">
        <v>1032</v>
      </c>
    </row>
    <row r="1868" spans="1:79" hidden="1" outlineLevel="1">
      <c r="A1868" t="s">
        <v>1513</v>
      </c>
      <c r="B1868" t="s">
        <v>2147</v>
      </c>
      <c r="C1868" s="1">
        <f t="shared" si="765"/>
        <v>223570</v>
      </c>
      <c r="D1868" s="5">
        <f>IF(N1868&gt;0, RANK(N1868,(N1868:P1868,Q1868:AE1868)),0)</f>
        <v>1</v>
      </c>
      <c r="E1868" s="5">
        <f>IF(O1868&gt;0,RANK(O1868,(N1868:P1868,Q1868:AE1868)),0)</f>
        <v>2</v>
      </c>
      <c r="F1868" s="5">
        <f>IF(P1868&gt;0,RANK(P1868,(N1868:P1868,Q1868:AE1868)),0)</f>
        <v>0</v>
      </c>
      <c r="G1868" s="132">
        <f t="shared" si="775"/>
        <v>79300</v>
      </c>
      <c r="H1868" s="137">
        <f t="shared" si="776"/>
        <v>0.35469875206870333</v>
      </c>
      <c r="I1868" s="2"/>
      <c r="J1868" s="2">
        <f t="shared" si="766"/>
        <v>0.65936395759717314</v>
      </c>
      <c r="K1868" s="2">
        <f t="shared" si="767"/>
        <v>0.30466520552846982</v>
      </c>
      <c r="L1868" s="2">
        <f t="shared" si="768"/>
        <v>0</v>
      </c>
      <c r="M1868" s="2">
        <f t="shared" si="769"/>
        <v>3.5970836874357037E-2</v>
      </c>
      <c r="N1868" s="63">
        <v>147414</v>
      </c>
      <c r="O1868" s="63">
        <v>68114</v>
      </c>
      <c r="P1868" s="63"/>
      <c r="Q1868" s="63">
        <v>3628</v>
      </c>
      <c r="R1868" s="63">
        <v>1779</v>
      </c>
      <c r="S1868" s="63">
        <v>311</v>
      </c>
      <c r="T1868" s="63">
        <v>91</v>
      </c>
      <c r="U1868" s="63"/>
      <c r="V1868" s="132">
        <v>149</v>
      </c>
      <c r="W1868" s="63">
        <f>IF(Copyright!B$11=1,IF(CA1868&gt;0,CA1868-U1868-SUM(Y1868:Z1868)-SUM(AB1868:AM1868)-SUM(AO1868:AQ1868),0),0)</f>
        <v>1595</v>
      </c>
      <c r="X1868" s="63">
        <v>450</v>
      </c>
      <c r="Y1868" s="63"/>
      <c r="Z1868" s="63"/>
      <c r="AA1868" s="63">
        <v>39</v>
      </c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W1868" s="5">
        <f>IF(Q1868&gt;0,RANK(Q1868,(N1868:P1868,Q1868:AE1868)),0)</f>
        <v>3</v>
      </c>
      <c r="AX1868" s="5">
        <f>IF(R1868&gt;0,RANK(R1868,(N1868:P1868,Q1868:AE1868)),0)</f>
        <v>4</v>
      </c>
      <c r="AY1868" s="5">
        <f>IF(T1868&gt;0,RANK(T1868,(N1868:P1868,Q1868:AE1868)),0)</f>
        <v>9</v>
      </c>
      <c r="AZ1868" s="5">
        <f>IF(S1868&gt;0,RANK(S1868,(N1868:P1868,Q1868:AE1868)),0)</f>
        <v>7</v>
      </c>
      <c r="BA1868" s="2">
        <f t="shared" si="770"/>
        <v>1.6227579728943956E-2</v>
      </c>
      <c r="BB1868" s="2">
        <f t="shared" si="771"/>
        <v>7.9572393433823864E-3</v>
      </c>
      <c r="BC1868" s="2">
        <f t="shared" si="772"/>
        <v>4.0703135483293823E-4</v>
      </c>
      <c r="BD1868" s="2">
        <f t="shared" si="773"/>
        <v>1.3910632016817998E-3</v>
      </c>
      <c r="BF1868" t="s">
        <v>1513</v>
      </c>
      <c r="BG1868" t="s">
        <v>2147</v>
      </c>
      <c r="BJ1868" s="114">
        <v>34</v>
      </c>
      <c r="BK1868" s="116">
        <v>39</v>
      </c>
      <c r="BL1868" s="120">
        <f t="shared" si="753"/>
        <v>34039</v>
      </c>
      <c r="BN1868" s="5" t="s">
        <v>3154</v>
      </c>
      <c r="BR1868" s="63"/>
      <c r="BS1868" s="128"/>
      <c r="BY1868" s="63">
        <f t="shared" si="774"/>
        <v>0</v>
      </c>
      <c r="BZ1868" s="132">
        <v>223570</v>
      </c>
      <c r="CA1868" s="63">
        <v>1595</v>
      </c>
    </row>
    <row r="1869" spans="1:79" hidden="1" outlineLevel="1">
      <c r="A1869" t="s">
        <v>422</v>
      </c>
      <c r="B1869" t="s">
        <v>2147</v>
      </c>
      <c r="C1869" s="1">
        <f t="shared" si="765"/>
        <v>49683</v>
      </c>
      <c r="D1869" s="5">
        <f>IF(N1869&gt;0, RANK(N1869,(N1869:P1869,Q1869:AE1869)),0)</f>
        <v>2</v>
      </c>
      <c r="E1869" s="5">
        <f>IF(O1869&gt;0,RANK(O1869,(N1869:P1869,Q1869:AE1869)),0)</f>
        <v>1</v>
      </c>
      <c r="F1869" s="5">
        <f>IF(P1869&gt;0,RANK(P1869,(N1869:P1869,Q1869:AE1869)),0)</f>
        <v>0</v>
      </c>
      <c r="G1869" s="132">
        <f t="shared" si="775"/>
        <v>12577</v>
      </c>
      <c r="H1869" s="137">
        <f t="shared" si="776"/>
        <v>0.25314493891270656</v>
      </c>
      <c r="I1869" s="2"/>
      <c r="J1869" s="2">
        <f t="shared" si="766"/>
        <v>0.34782521184308518</v>
      </c>
      <c r="K1869" s="2">
        <f t="shared" si="767"/>
        <v>0.60097015075579174</v>
      </c>
      <c r="L1869" s="2">
        <f t="shared" si="768"/>
        <v>0</v>
      </c>
      <c r="M1869" s="2">
        <f t="shared" si="769"/>
        <v>5.1204637401123132E-2</v>
      </c>
      <c r="N1869" s="63">
        <v>17281</v>
      </c>
      <c r="O1869" s="63">
        <v>29858</v>
      </c>
      <c r="P1869" s="63"/>
      <c r="Q1869" s="63">
        <v>1261</v>
      </c>
      <c r="R1869" s="63">
        <v>565</v>
      </c>
      <c r="S1869" s="63">
        <v>113</v>
      </c>
      <c r="T1869" s="63">
        <v>30</v>
      </c>
      <c r="U1869" s="63"/>
      <c r="V1869" s="132">
        <v>29</v>
      </c>
      <c r="W1869" s="63">
        <f>IF(Copyright!B$11=1,IF(CA1869&gt;0,CA1869-U1869-SUM(Y1869:Z1869)-SUM(AB1869:AM1869)-SUM(AO1869:AQ1869),0),0)</f>
        <v>447</v>
      </c>
      <c r="X1869" s="63">
        <v>51</v>
      </c>
      <c r="Y1869" s="63"/>
      <c r="Z1869" s="63"/>
      <c r="AA1869" s="63">
        <v>48</v>
      </c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W1869" s="5">
        <f>IF(Q1869&gt;0,RANK(Q1869,(N1869:P1869,Q1869:AE1869)),0)</f>
        <v>3</v>
      </c>
      <c r="AX1869" s="5">
        <f>IF(R1869&gt;0,RANK(R1869,(N1869:P1869,Q1869:AE1869)),0)</f>
        <v>4</v>
      </c>
      <c r="AY1869" s="5">
        <f>IF(T1869&gt;0,RANK(T1869,(N1869:P1869,Q1869:AE1869)),0)</f>
        <v>9</v>
      </c>
      <c r="AZ1869" s="5">
        <f>IF(S1869&gt;0,RANK(S1869,(N1869:P1869,Q1869:AE1869)),0)</f>
        <v>6</v>
      </c>
      <c r="BA1869" s="2">
        <f t="shared" si="770"/>
        <v>2.5380915001107018E-2</v>
      </c>
      <c r="BB1869" s="2">
        <f t="shared" si="771"/>
        <v>1.137209910834692E-2</v>
      </c>
      <c r="BC1869" s="2">
        <f t="shared" si="772"/>
        <v>6.0382827123965947E-4</v>
      </c>
      <c r="BD1869" s="2">
        <f t="shared" si="773"/>
        <v>2.2744198216693838E-3</v>
      </c>
      <c r="BF1869" t="s">
        <v>422</v>
      </c>
      <c r="BG1869" t="s">
        <v>2147</v>
      </c>
      <c r="BJ1869" s="114">
        <v>34</v>
      </c>
      <c r="BK1869" s="116">
        <v>41</v>
      </c>
      <c r="BL1869" s="120">
        <f t="shared" si="753"/>
        <v>34041</v>
      </c>
      <c r="BN1869" s="5" t="s">
        <v>3154</v>
      </c>
      <c r="BR1869" s="63"/>
      <c r="BY1869" s="63">
        <f t="shared" si="774"/>
        <v>-49683</v>
      </c>
      <c r="BZ1869" s="132"/>
      <c r="CA1869" s="63">
        <v>447</v>
      </c>
    </row>
    <row r="1870" spans="1:79" collapsed="1">
      <c r="A1870" t="s">
        <v>2405</v>
      </c>
      <c r="B1870" t="s">
        <v>544</v>
      </c>
      <c r="C1870" s="1">
        <f t="shared" si="765"/>
        <v>3906723</v>
      </c>
      <c r="D1870" s="5">
        <f>IF(N1870&gt;0, RANK(N1870,(N1870:P1870,Q1870:AE1870)),0)</f>
        <v>1</v>
      </c>
      <c r="E1870" s="5">
        <f>IF(O1870&gt;0,RANK(O1870,(N1870:P1870,Q1870:AE1870)),0)</f>
        <v>2</v>
      </c>
      <c r="F1870" s="5">
        <f>IF(P1870&gt;0,RANK(P1870,(N1870:P1870,Q1870:AE1870)),0)</f>
        <v>0</v>
      </c>
      <c r="G1870" s="132">
        <f t="shared" si="775"/>
        <v>546345</v>
      </c>
      <c r="H1870" s="137">
        <f t="shared" si="776"/>
        <v>0.13984738615970468</v>
      </c>
      <c r="I1870" s="2"/>
      <c r="J1870" s="2">
        <f t="shared" si="766"/>
        <v>0.54989258260695728</v>
      </c>
      <c r="K1870" s="2">
        <f t="shared" si="767"/>
        <v>0.41004519644725257</v>
      </c>
      <c r="L1870" s="2">
        <f t="shared" si="768"/>
        <v>0</v>
      </c>
      <c r="M1870" s="2">
        <f t="shared" si="769"/>
        <v>4.006222094579015E-2</v>
      </c>
      <c r="N1870" s="132">
        <f t="shared" ref="N1870:T1870" si="777">SUM(N1849:N1869)</f>
        <v>2148278</v>
      </c>
      <c r="O1870" s="132">
        <f t="shared" si="777"/>
        <v>1601933</v>
      </c>
      <c r="P1870" s="132"/>
      <c r="Q1870" s="132">
        <f t="shared" si="777"/>
        <v>72477</v>
      </c>
      <c r="R1870" s="132">
        <f t="shared" si="777"/>
        <v>37772</v>
      </c>
      <c r="S1870" s="132">
        <f t="shared" si="777"/>
        <v>6161</v>
      </c>
      <c r="T1870" s="132">
        <f t="shared" si="777"/>
        <v>1838</v>
      </c>
      <c r="U1870" s="133"/>
      <c r="V1870" s="132">
        <f>SUM(V1849:V1869)</f>
        <v>1682</v>
      </c>
      <c r="W1870" s="132">
        <f>SUM(W1849:W1869)</f>
        <v>32677</v>
      </c>
      <c r="X1870" s="132">
        <f>SUM(X1849:X1869)</f>
        <v>2156</v>
      </c>
      <c r="Y1870" s="133"/>
      <c r="Z1870" s="133"/>
      <c r="AA1870" s="132">
        <f>SUM(AA1849:AA1869)</f>
        <v>1749</v>
      </c>
      <c r="AB1870" s="133"/>
      <c r="AC1870" s="133"/>
      <c r="AD1870" s="132">
        <f>SUM(AD1849:AD1869)</f>
        <v>0</v>
      </c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132"/>
      <c r="AO1870" s="63"/>
      <c r="AP1870" s="63"/>
      <c r="AQ1870" s="63"/>
      <c r="AR1870" s="63"/>
      <c r="AS1870" s="63"/>
      <c r="AT1870" s="63"/>
      <c r="AU1870" s="63"/>
      <c r="AW1870" s="5">
        <f>IF(Q1870&gt;0,RANK(Q1870,(N1870:P1870,Q1870:AE1870)),0)</f>
        <v>3</v>
      </c>
      <c r="AX1870" s="5">
        <f>IF(R1870&gt;0,RANK(R1870,(N1870:P1870,Q1870:AE1870)),0)</f>
        <v>4</v>
      </c>
      <c r="AY1870" s="5">
        <f>IF(T1870&gt;0,RANK(T1870,(N1870:P1870,Q1870:AE1870)),0)</f>
        <v>8</v>
      </c>
      <c r="AZ1870" s="5">
        <f>IF(S1870&gt;0,RANK(S1870,(N1870:P1870,Q1870:AE1870)),0)</f>
        <v>6</v>
      </c>
      <c r="BA1870" s="2">
        <f t="shared" si="770"/>
        <v>1.8551865591699232E-2</v>
      </c>
      <c r="BB1870" s="2">
        <f t="shared" si="771"/>
        <v>9.6684612653622996E-3</v>
      </c>
      <c r="BC1870" s="2">
        <f t="shared" si="772"/>
        <v>4.7047103160372515E-4</v>
      </c>
      <c r="BD1870" s="2">
        <f t="shared" si="773"/>
        <v>1.5770250411918122E-3</v>
      </c>
      <c r="BF1870" t="s">
        <v>2405</v>
      </c>
      <c r="BG1870" t="s">
        <v>544</v>
      </c>
      <c r="BJ1870" s="114">
        <v>34</v>
      </c>
      <c r="BK1870" s="116"/>
      <c r="BL1870" s="114">
        <v>34</v>
      </c>
      <c r="BN1870" s="5" t="s">
        <v>711</v>
      </c>
      <c r="BO1870" s="63">
        <f>SUM(BO1849:BO1869)</f>
        <v>0</v>
      </c>
      <c r="BP1870" s="63">
        <f>SUM(BP1849:BP1869)</f>
        <v>0</v>
      </c>
      <c r="BR1870" s="63"/>
      <c r="BY1870" s="63">
        <f t="shared" si="774"/>
        <v>-174459</v>
      </c>
      <c r="BZ1870" s="63">
        <f>SUM(BZ1849:BZ1869)</f>
        <v>3732264</v>
      </c>
      <c r="CA1870" s="63">
        <f>SUM(CA1849:CA1869)</f>
        <v>32677</v>
      </c>
    </row>
    <row r="1871" spans="1:79">
      <c r="C1871" s="1"/>
      <c r="E1871" s="5"/>
      <c r="F1871" s="5"/>
      <c r="G1871" s="132"/>
      <c r="H1871" s="137"/>
      <c r="I1871" s="2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W1871" s="5"/>
      <c r="AX1871" s="5"/>
      <c r="AY1871" s="5"/>
      <c r="AZ1871" s="5"/>
      <c r="BJ1871" s="114"/>
      <c r="BK1871" s="116"/>
      <c r="BL1871" s="120"/>
    </row>
    <row r="1872" spans="1:79" hidden="1" outlineLevel="1">
      <c r="A1872" t="s">
        <v>345</v>
      </c>
      <c r="B1872" t="s">
        <v>2458</v>
      </c>
      <c r="C1872" s="1">
        <f t="shared" ref="C1872:C1905" si="778">SUM(N1872:AU1872)</f>
        <v>274662</v>
      </c>
      <c r="D1872" s="5">
        <f>IF(N1872&gt;0, RANK(N1872,(N1872:P1872,Q1872:AE1872)),0)</f>
        <v>1</v>
      </c>
      <c r="E1872" s="5">
        <f>IF(O1872&gt;0,RANK(O1872,(N1872:P1872,Q1872:AE1872)),0)</f>
        <v>2</v>
      </c>
      <c r="F1872" s="5">
        <f>IF(P1872&gt;0,RANK(P1872,(N1872:P1872,Q1872:AE1872)),0)</f>
        <v>5</v>
      </c>
      <c r="G1872" s="132">
        <f t="shared" si="775"/>
        <v>48719</v>
      </c>
      <c r="H1872" s="137">
        <f t="shared" si="776"/>
        <v>0.17737801370411632</v>
      </c>
      <c r="I1872" s="2"/>
      <c r="J1872" s="2">
        <f t="shared" ref="J1872:J1905" si="779">IF($C1872=0,"-",N1872/$C1872)</f>
        <v>0.52215814346360256</v>
      </c>
      <c r="K1872" s="2">
        <f t="shared" ref="K1872:K1905" si="780">IF($C1872=0,"-",O1872/$C1872)</f>
        <v>0.34478012975948619</v>
      </c>
      <c r="L1872" s="2">
        <f t="shared" ref="L1872:L1905" si="781">IF($C1872=0,"-",P1872/$C1872)</f>
        <v>7.9406688948598647E-3</v>
      </c>
      <c r="M1872" s="2">
        <f t="shared" ref="M1872:M1905" si="782">IF(C1872=0,"-",(1-J1872-K1872-L1872))</f>
        <v>0.12512105788205138</v>
      </c>
      <c r="N1872" s="63">
        <v>143417</v>
      </c>
      <c r="O1872" s="63">
        <v>94698</v>
      </c>
      <c r="P1872" s="63">
        <v>2181</v>
      </c>
      <c r="Q1872" s="63">
        <v>29682</v>
      </c>
      <c r="R1872" s="63">
        <v>3614</v>
      </c>
      <c r="S1872" s="63">
        <v>474</v>
      </c>
      <c r="T1872" s="63">
        <v>151</v>
      </c>
      <c r="U1872" s="63"/>
      <c r="V1872" s="63">
        <v>445</v>
      </c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W1872" s="5">
        <f>IF(Q1872&gt;0,RANK(Q1872,(N1872:P1872,Q1872:AE1872)),0)</f>
        <v>3</v>
      </c>
      <c r="AX1872" s="5">
        <f>IF(R1872&gt;0,RANK(R1872,(N1872:P1872,Q1872:AE1872)),0)</f>
        <v>4</v>
      </c>
      <c r="AY1872" s="5">
        <f>IF(T1872&gt;0,RANK(T1872,(N1872:P1872,Q1872:AE1872)),0)</f>
        <v>8</v>
      </c>
      <c r="AZ1872" s="5">
        <f>IF(S1872&gt;0,RANK(S1872,(N1872:P1872,Q1872:AE1872)),0)</f>
        <v>6</v>
      </c>
      <c r="BA1872" s="2">
        <f t="shared" ref="BA1872:BA1905" si="783">IF($C1872=0,"-",Q1872/$C1872)</f>
        <v>0.10806737007667606</v>
      </c>
      <c r="BB1872" s="2">
        <f t="shared" ref="BB1872:BB1905" si="784">IF($C1872=0,"-",R1872/$C1872)</f>
        <v>1.3157990548383104E-2</v>
      </c>
      <c r="BC1872" s="2">
        <f t="shared" ref="BC1872:BC1905" si="785">IF($C1872=0,"-",T1872/$C1872)</f>
        <v>5.497666222484363E-4</v>
      </c>
      <c r="BD1872" s="2">
        <f t="shared" ref="BD1872:BD1905" si="786">IF($C1872=0,"-",S1872/$C1872)</f>
        <v>1.7257574764619787E-3</v>
      </c>
      <c r="BF1872" t="s">
        <v>345</v>
      </c>
      <c r="BG1872" t="s">
        <v>2458</v>
      </c>
      <c r="BJ1872" s="114">
        <v>35</v>
      </c>
      <c r="BK1872" s="116">
        <v>1</v>
      </c>
      <c r="BL1872" s="120">
        <f t="shared" si="753"/>
        <v>35001</v>
      </c>
      <c r="BN1872" s="5" t="s">
        <v>3154</v>
      </c>
    </row>
    <row r="1873" spans="1:66" hidden="1" outlineLevel="1">
      <c r="A1873" t="s">
        <v>1521</v>
      </c>
      <c r="B1873" t="s">
        <v>2458</v>
      </c>
      <c r="C1873" s="1">
        <f t="shared" si="778"/>
        <v>2049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6</v>
      </c>
      <c r="G1873" s="132">
        <f t="shared" si="775"/>
        <v>1037</v>
      </c>
      <c r="H1873" s="137">
        <f t="shared" si="776"/>
        <v>0.50610053684724254</v>
      </c>
      <c r="I1873" s="2"/>
      <c r="J1873" s="2">
        <f t="shared" si="779"/>
        <v>0.20839433870180576</v>
      </c>
      <c r="K1873" s="2">
        <f t="shared" si="780"/>
        <v>0.71449487554904834</v>
      </c>
      <c r="L1873" s="2">
        <f t="shared" si="781"/>
        <v>5.3684724255734506E-3</v>
      </c>
      <c r="M1873" s="2">
        <f t="shared" si="782"/>
        <v>7.1742313323572421E-2</v>
      </c>
      <c r="N1873" s="63">
        <v>427</v>
      </c>
      <c r="O1873" s="63">
        <v>1464</v>
      </c>
      <c r="P1873" s="63">
        <v>11</v>
      </c>
      <c r="Q1873" s="63">
        <v>111</v>
      </c>
      <c r="R1873" s="63">
        <v>23</v>
      </c>
      <c r="S1873" s="63">
        <v>12</v>
      </c>
      <c r="T1873" s="63">
        <v>1</v>
      </c>
      <c r="U1873" s="63"/>
      <c r="V1873" s="63">
        <v>0</v>
      </c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W1873" s="5">
        <f>IF(Q1873&gt;0,RANK(Q1873,(N1873:P1873,Q1873:AE1873)),0)</f>
        <v>3</v>
      </c>
      <c r="AX1873" s="5">
        <f>IF(R1873&gt;0,RANK(R1873,(N1873:P1873,Q1873:AE1873)),0)</f>
        <v>4</v>
      </c>
      <c r="AY1873" s="5">
        <f>IF(T1873&gt;0,RANK(T1873,(N1873:P1873,Q1873:AE1873)),0)</f>
        <v>7</v>
      </c>
      <c r="AZ1873" s="5">
        <f>IF(S1873&gt;0,RANK(S1873,(N1873:P1873,Q1873:AE1873)),0)</f>
        <v>5</v>
      </c>
      <c r="BA1873" s="2">
        <f t="shared" si="783"/>
        <v>5.4172767203513911E-2</v>
      </c>
      <c r="BB1873" s="2">
        <f t="shared" si="784"/>
        <v>1.1224987798926306E-2</v>
      </c>
      <c r="BC1873" s="2">
        <f t="shared" si="785"/>
        <v>4.880429477794046E-4</v>
      </c>
      <c r="BD1873" s="2">
        <f t="shared" si="786"/>
        <v>5.8565153733528552E-3</v>
      </c>
      <c r="BF1873" t="s">
        <v>1521</v>
      </c>
      <c r="BG1873" t="s">
        <v>2458</v>
      </c>
      <c r="BH1873">
        <v>2</v>
      </c>
      <c r="BJ1873" s="114">
        <v>35</v>
      </c>
      <c r="BK1873" s="116">
        <v>3</v>
      </c>
      <c r="BL1873" s="120">
        <f t="shared" si="753"/>
        <v>35003</v>
      </c>
      <c r="BN1873" s="5" t="s">
        <v>3154</v>
      </c>
    </row>
    <row r="1874" spans="1:66" hidden="1" outlineLevel="1">
      <c r="A1874" t="s">
        <v>3019</v>
      </c>
      <c r="B1874" t="s">
        <v>2458</v>
      </c>
      <c r="C1874" s="1">
        <f t="shared" si="778"/>
        <v>20271</v>
      </c>
      <c r="D1874" s="5">
        <f>IF(N1874&gt;0, RANK(N1874,(N1874:P1874,Q1874:AE1874)),0)</f>
        <v>2</v>
      </c>
      <c r="E1874" s="5">
        <f>IF(O1874&gt;0,RANK(O1874,(N1874:P1874,Q1874:AE1874)),0)</f>
        <v>1</v>
      </c>
      <c r="F1874" s="5">
        <f>IF(P1874&gt;0,RANK(P1874,(N1874:P1874,Q1874:AE1874)),0)</f>
        <v>4</v>
      </c>
      <c r="G1874" s="132">
        <f t="shared" si="775"/>
        <v>7338</v>
      </c>
      <c r="H1874" s="137">
        <f t="shared" si="776"/>
        <v>0.36199496818114546</v>
      </c>
      <c r="I1874" s="2"/>
      <c r="J1874" s="2">
        <f t="shared" si="779"/>
        <v>0.27300083863647573</v>
      </c>
      <c r="K1874" s="2">
        <f t="shared" si="780"/>
        <v>0.63499580681762124</v>
      </c>
      <c r="L1874" s="2">
        <f t="shared" si="781"/>
        <v>5.0318188545212372E-3</v>
      </c>
      <c r="M1874" s="2">
        <f t="shared" si="782"/>
        <v>8.6971535691381788E-2</v>
      </c>
      <c r="N1874" s="63">
        <v>5534</v>
      </c>
      <c r="O1874" s="63">
        <v>12872</v>
      </c>
      <c r="P1874" s="63">
        <v>102</v>
      </c>
      <c r="Q1874" s="63">
        <v>1609</v>
      </c>
      <c r="R1874" s="63">
        <v>86</v>
      </c>
      <c r="S1874" s="63">
        <v>32</v>
      </c>
      <c r="T1874" s="63">
        <v>14</v>
      </c>
      <c r="U1874" s="63"/>
      <c r="V1874" s="63">
        <v>22</v>
      </c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W1874" s="5">
        <f>IF(Q1874&gt;0,RANK(Q1874,(N1874:P1874,Q1874:AE1874)),0)</f>
        <v>3</v>
      </c>
      <c r="AX1874" s="5">
        <f>IF(R1874&gt;0,RANK(R1874,(N1874:P1874,Q1874:AE1874)),0)</f>
        <v>5</v>
      </c>
      <c r="AY1874" s="5">
        <f>IF(T1874&gt;0,RANK(T1874,(N1874:P1874,Q1874:AE1874)),0)</f>
        <v>8</v>
      </c>
      <c r="AZ1874" s="5">
        <f>IF(S1874&gt;0,RANK(S1874,(N1874:P1874,Q1874:AE1874)),0)</f>
        <v>6</v>
      </c>
      <c r="BA1874" s="2">
        <f t="shared" si="783"/>
        <v>7.9374475852202656E-2</v>
      </c>
      <c r="BB1874" s="2">
        <f t="shared" si="784"/>
        <v>4.2425139361649648E-3</v>
      </c>
      <c r="BC1874" s="2">
        <f t="shared" si="785"/>
        <v>6.9064180356173839E-4</v>
      </c>
      <c r="BD1874" s="2">
        <f t="shared" si="786"/>
        <v>1.5786098367125451E-3</v>
      </c>
      <c r="BF1874" t="s">
        <v>3019</v>
      </c>
      <c r="BG1874" t="s">
        <v>2458</v>
      </c>
      <c r="BH1874">
        <v>2</v>
      </c>
      <c r="BJ1874" s="114">
        <v>35</v>
      </c>
      <c r="BK1874" s="116">
        <v>5</v>
      </c>
      <c r="BL1874" s="120">
        <f t="shared" si="753"/>
        <v>35005</v>
      </c>
      <c r="BN1874" s="5" t="s">
        <v>3154</v>
      </c>
    </row>
    <row r="1875" spans="1:66" hidden="1" outlineLevel="1">
      <c r="A1875" t="s">
        <v>1332</v>
      </c>
      <c r="B1875" t="s">
        <v>2458</v>
      </c>
      <c r="C1875" s="1">
        <f t="shared" si="778"/>
        <v>8063</v>
      </c>
      <c r="D1875" s="5">
        <f>IF(N1875&gt;0, RANK(N1875,(N1875:P1875,Q1875:AE1875)),0)</f>
        <v>1</v>
      </c>
      <c r="E1875" s="5">
        <f>IF(O1875&gt;0,RANK(O1875,(N1875:P1875,Q1875:AE1875)),0)</f>
        <v>2</v>
      </c>
      <c r="F1875" s="5">
        <f>IF(P1875&gt;0,RANK(P1875,(N1875:P1875,Q1875:AE1875)),0)</f>
        <v>5</v>
      </c>
      <c r="G1875" s="132">
        <f t="shared" si="775"/>
        <v>546</v>
      </c>
      <c r="H1875" s="137">
        <f t="shared" si="776"/>
        <v>6.7716730745380135E-2</v>
      </c>
      <c r="I1875" s="2"/>
      <c r="J1875" s="2">
        <f t="shared" si="779"/>
        <v>0.46397122659059903</v>
      </c>
      <c r="K1875" s="2">
        <f t="shared" si="780"/>
        <v>0.39625449584521888</v>
      </c>
      <c r="L1875" s="2">
        <f t="shared" si="781"/>
        <v>5.333002604489644E-3</v>
      </c>
      <c r="M1875" s="2">
        <f t="shared" si="782"/>
        <v>0.13444127495969238</v>
      </c>
      <c r="N1875" s="63">
        <v>3741</v>
      </c>
      <c r="O1875" s="63">
        <v>3195</v>
      </c>
      <c r="P1875" s="63">
        <v>43</v>
      </c>
      <c r="Q1875" s="63">
        <v>970</v>
      </c>
      <c r="R1875" s="63">
        <v>73</v>
      </c>
      <c r="S1875" s="63">
        <v>16</v>
      </c>
      <c r="T1875" s="63">
        <v>5</v>
      </c>
      <c r="U1875" s="63"/>
      <c r="V1875" s="63">
        <v>20</v>
      </c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W1875" s="5">
        <f>IF(Q1875&gt;0,RANK(Q1875,(N1875:P1875,Q1875:AE1875)),0)</f>
        <v>3</v>
      </c>
      <c r="AX1875" s="5">
        <f>IF(R1875&gt;0,RANK(R1875,(N1875:P1875,Q1875:AE1875)),0)</f>
        <v>4</v>
      </c>
      <c r="AY1875" s="5">
        <f>IF(T1875&gt;0,RANK(T1875,(N1875:P1875,Q1875:AE1875)),0)</f>
        <v>8</v>
      </c>
      <c r="AZ1875" s="5">
        <f>IF(S1875&gt;0,RANK(S1875,(N1875:P1875,Q1875:AE1875)),0)</f>
        <v>7</v>
      </c>
      <c r="BA1875" s="2">
        <f t="shared" si="783"/>
        <v>0.12030261689197569</v>
      </c>
      <c r="BB1875" s="2">
        <f t="shared" si="784"/>
        <v>9.0537020959940463E-3</v>
      </c>
      <c r="BC1875" s="2">
        <f t="shared" si="785"/>
        <v>6.2011658191740043E-4</v>
      </c>
      <c r="BD1875" s="2">
        <f t="shared" si="786"/>
        <v>1.9843730621356814E-3</v>
      </c>
      <c r="BF1875" t="s">
        <v>1332</v>
      </c>
      <c r="BG1875" t="s">
        <v>2458</v>
      </c>
      <c r="BH1875">
        <v>2</v>
      </c>
      <c r="BJ1875" s="114">
        <v>35</v>
      </c>
      <c r="BK1875" s="116">
        <v>6</v>
      </c>
      <c r="BL1875" s="120">
        <f t="shared" si="753"/>
        <v>35006</v>
      </c>
      <c r="BN1875" s="5" t="s">
        <v>3154</v>
      </c>
    </row>
    <row r="1876" spans="1:66" hidden="1" outlineLevel="1">
      <c r="A1876" t="s">
        <v>2737</v>
      </c>
      <c r="B1876" t="s">
        <v>2458</v>
      </c>
      <c r="C1876" s="1">
        <f t="shared" si="778"/>
        <v>5332</v>
      </c>
      <c r="D1876" s="5">
        <f>IF(N1876&gt;0, RANK(N1876,(N1876:P1876,Q1876:AE1876)),0)</f>
        <v>2</v>
      </c>
      <c r="E1876" s="5">
        <f>IF(O1876&gt;0,RANK(O1876,(N1876:P1876,Q1876:AE1876)),0)</f>
        <v>1</v>
      </c>
      <c r="F1876" s="5">
        <f>IF(P1876&gt;0,RANK(P1876,(N1876:P1876,Q1876:AE1876)),0)</f>
        <v>5</v>
      </c>
      <c r="G1876" s="132">
        <f t="shared" si="775"/>
        <v>456</v>
      </c>
      <c r="H1876" s="137">
        <f t="shared" si="776"/>
        <v>8.5521380345086273E-2</v>
      </c>
      <c r="I1876" s="2"/>
      <c r="J1876" s="2">
        <f t="shared" si="779"/>
        <v>0.39928732183045762</v>
      </c>
      <c r="K1876" s="2">
        <f t="shared" si="780"/>
        <v>0.48480870217554389</v>
      </c>
      <c r="L1876" s="2">
        <f t="shared" si="781"/>
        <v>5.8139534883720929E-3</v>
      </c>
      <c r="M1876" s="2">
        <f t="shared" si="782"/>
        <v>0.11009002250562645</v>
      </c>
      <c r="N1876" s="63">
        <v>2129</v>
      </c>
      <c r="O1876" s="63">
        <v>2585</v>
      </c>
      <c r="P1876" s="63">
        <v>31</v>
      </c>
      <c r="Q1876" s="63">
        <v>527</v>
      </c>
      <c r="R1876" s="63">
        <v>37</v>
      </c>
      <c r="S1876" s="63">
        <v>12</v>
      </c>
      <c r="T1876" s="63">
        <v>6</v>
      </c>
      <c r="U1876" s="63"/>
      <c r="V1876" s="63">
        <v>5</v>
      </c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W1876" s="5">
        <f>IF(Q1876&gt;0,RANK(Q1876,(N1876:P1876,Q1876:AE1876)),0)</f>
        <v>3</v>
      </c>
      <c r="AX1876" s="5">
        <f>IF(R1876&gt;0,RANK(R1876,(N1876:P1876,Q1876:AE1876)),0)</f>
        <v>4</v>
      </c>
      <c r="AY1876" s="5">
        <f>IF(T1876&gt;0,RANK(T1876,(N1876:P1876,Q1876:AE1876)),0)</f>
        <v>7</v>
      </c>
      <c r="AZ1876" s="5">
        <f>IF(S1876&gt;0,RANK(S1876,(N1876:P1876,Q1876:AE1876)),0)</f>
        <v>6</v>
      </c>
      <c r="BA1876" s="2">
        <f t="shared" si="783"/>
        <v>9.8837209302325577E-2</v>
      </c>
      <c r="BB1876" s="2">
        <f t="shared" si="784"/>
        <v>6.9392348087021754E-3</v>
      </c>
      <c r="BC1876" s="2">
        <f t="shared" si="785"/>
        <v>1.1252813203300824E-3</v>
      </c>
      <c r="BD1876" s="2">
        <f t="shared" si="786"/>
        <v>2.2505626406601649E-3</v>
      </c>
      <c r="BF1876" t="s">
        <v>2737</v>
      </c>
      <c r="BG1876" t="s">
        <v>2458</v>
      </c>
      <c r="BH1876">
        <v>3</v>
      </c>
      <c r="BJ1876" s="114">
        <v>35</v>
      </c>
      <c r="BK1876" s="116">
        <v>7</v>
      </c>
      <c r="BL1876" s="120">
        <f t="shared" si="753"/>
        <v>35007</v>
      </c>
      <c r="BN1876" s="5" t="s">
        <v>3154</v>
      </c>
    </row>
    <row r="1877" spans="1:66" hidden="1" outlineLevel="1">
      <c r="A1877" t="s">
        <v>111</v>
      </c>
      <c r="B1877" t="s">
        <v>2458</v>
      </c>
      <c r="C1877" s="1">
        <f t="shared" si="778"/>
        <v>13370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4</v>
      </c>
      <c r="G1877" s="132">
        <f t="shared" si="775"/>
        <v>5914</v>
      </c>
      <c r="H1877" s="137">
        <f t="shared" si="776"/>
        <v>0.44233358264771877</v>
      </c>
      <c r="I1877" s="2"/>
      <c r="J1877" s="2">
        <f t="shared" si="779"/>
        <v>0.23343305908750936</v>
      </c>
      <c r="K1877" s="2">
        <f t="shared" si="780"/>
        <v>0.67576664173522816</v>
      </c>
      <c r="L1877" s="2">
        <f t="shared" si="781"/>
        <v>8.3769633507853412E-3</v>
      </c>
      <c r="M1877" s="2">
        <f t="shared" si="782"/>
        <v>8.2423335826477165E-2</v>
      </c>
      <c r="N1877" s="63">
        <v>3121</v>
      </c>
      <c r="O1877" s="63">
        <v>9035</v>
      </c>
      <c r="P1877" s="63">
        <v>112</v>
      </c>
      <c r="Q1877" s="63">
        <v>973</v>
      </c>
      <c r="R1877" s="63">
        <v>74</v>
      </c>
      <c r="S1877" s="63">
        <v>39</v>
      </c>
      <c r="T1877" s="63">
        <v>6</v>
      </c>
      <c r="U1877" s="63"/>
      <c r="V1877" s="63">
        <v>10</v>
      </c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W1877" s="5">
        <f>IF(Q1877&gt;0,RANK(Q1877,(N1877:P1877,Q1877:AE1877)),0)</f>
        <v>3</v>
      </c>
      <c r="AX1877" s="5">
        <f>IF(R1877&gt;0,RANK(R1877,(N1877:P1877,Q1877:AE1877)),0)</f>
        <v>5</v>
      </c>
      <c r="AY1877" s="5">
        <f>IF(T1877&gt;0,RANK(T1877,(N1877:P1877,Q1877:AE1877)),0)</f>
        <v>8</v>
      </c>
      <c r="AZ1877" s="5">
        <f>IF(S1877&gt;0,RANK(S1877,(N1877:P1877,Q1877:AE1877)),0)</f>
        <v>6</v>
      </c>
      <c r="BA1877" s="2">
        <f t="shared" si="783"/>
        <v>7.277486910994764E-2</v>
      </c>
      <c r="BB1877" s="2">
        <f t="shared" si="784"/>
        <v>5.5347793567688854E-3</v>
      </c>
      <c r="BC1877" s="2">
        <f t="shared" si="785"/>
        <v>4.4876589379207183E-4</v>
      </c>
      <c r="BD1877" s="2">
        <f t="shared" si="786"/>
        <v>2.9169783096484668E-3</v>
      </c>
      <c r="BF1877" t="s">
        <v>111</v>
      </c>
      <c r="BG1877" t="s">
        <v>2458</v>
      </c>
      <c r="BH1877">
        <v>3</v>
      </c>
      <c r="BJ1877" s="114">
        <v>35</v>
      </c>
      <c r="BK1877" s="116">
        <v>9</v>
      </c>
      <c r="BL1877" s="120">
        <f t="shared" si="753"/>
        <v>35009</v>
      </c>
      <c r="BN1877" s="5" t="s">
        <v>3154</v>
      </c>
    </row>
    <row r="1878" spans="1:66" hidden="1" outlineLevel="1">
      <c r="A1878" t="s">
        <v>1660</v>
      </c>
      <c r="B1878" t="s">
        <v>2458</v>
      </c>
      <c r="C1878" s="1">
        <f t="shared" si="778"/>
        <v>910</v>
      </c>
      <c r="D1878" s="5">
        <f>IF(N1878&gt;0, RANK(N1878,(N1878:P1878,Q1878:AE1878)),0)</f>
        <v>2</v>
      </c>
      <c r="E1878" s="5">
        <f>IF(O1878&gt;0,RANK(O1878,(N1878:P1878,Q1878:AE1878)),0)</f>
        <v>1</v>
      </c>
      <c r="F1878" s="5">
        <f>IF(P1878&gt;0,RANK(P1878,(N1878:P1878,Q1878:AE1878)),0)</f>
        <v>5</v>
      </c>
      <c r="G1878" s="132">
        <f t="shared" si="775"/>
        <v>427</v>
      </c>
      <c r="H1878" s="137">
        <f t="shared" si="776"/>
        <v>0.46923076923076923</v>
      </c>
      <c r="I1878" s="2"/>
      <c r="J1878" s="2">
        <f t="shared" si="779"/>
        <v>0.21208791208791208</v>
      </c>
      <c r="K1878" s="2">
        <f t="shared" si="780"/>
        <v>0.68131868131868134</v>
      </c>
      <c r="L1878" s="2">
        <f t="shared" si="781"/>
        <v>2.1978021978021978E-3</v>
      </c>
      <c r="M1878" s="2">
        <f t="shared" si="782"/>
        <v>0.10439560439560434</v>
      </c>
      <c r="N1878" s="63">
        <v>193</v>
      </c>
      <c r="O1878" s="63">
        <v>620</v>
      </c>
      <c r="P1878" s="63">
        <v>2</v>
      </c>
      <c r="Q1878" s="63">
        <v>89</v>
      </c>
      <c r="R1878" s="63">
        <v>6</v>
      </c>
      <c r="S1878" s="63">
        <v>0</v>
      </c>
      <c r="T1878" s="63">
        <v>0</v>
      </c>
      <c r="U1878" s="63"/>
      <c r="V1878" s="63">
        <v>0</v>
      </c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W1878" s="5">
        <f>IF(Q1878&gt;0,RANK(Q1878,(N1878:P1878,Q1878:AE1878)),0)</f>
        <v>3</v>
      </c>
      <c r="AX1878" s="5">
        <f>IF(R1878&gt;0,RANK(R1878,(N1878:P1878,Q1878:AE1878)),0)</f>
        <v>4</v>
      </c>
      <c r="AY1878" s="5">
        <f>IF(T1878&gt;0,RANK(T1878,(N1878:P1878,Q1878:AE1878)),0)</f>
        <v>0</v>
      </c>
      <c r="AZ1878" s="5">
        <f>IF(S1878&gt;0,RANK(S1878,(N1878:P1878,Q1878:AE1878)),0)</f>
        <v>0</v>
      </c>
      <c r="BA1878" s="2">
        <f t="shared" si="783"/>
        <v>9.7802197802197802E-2</v>
      </c>
      <c r="BB1878" s="2">
        <f t="shared" si="784"/>
        <v>6.5934065934065934E-3</v>
      </c>
      <c r="BC1878" s="2">
        <f t="shared" si="785"/>
        <v>0</v>
      </c>
      <c r="BD1878" s="2">
        <f t="shared" si="786"/>
        <v>0</v>
      </c>
      <c r="BF1878" t="s">
        <v>1660</v>
      </c>
      <c r="BG1878" t="s">
        <v>2458</v>
      </c>
      <c r="BH1878">
        <v>2</v>
      </c>
      <c r="BJ1878" s="114">
        <v>35</v>
      </c>
      <c r="BK1878" s="116">
        <v>11</v>
      </c>
      <c r="BL1878" s="120">
        <f t="shared" si="753"/>
        <v>35011</v>
      </c>
      <c r="BN1878" s="5" t="s">
        <v>3154</v>
      </c>
    </row>
    <row r="1879" spans="1:66" hidden="1" outlineLevel="1">
      <c r="A1879" t="s">
        <v>3205</v>
      </c>
      <c r="B1879" t="s">
        <v>2458</v>
      </c>
      <c r="C1879" s="1">
        <f t="shared" si="778"/>
        <v>70648</v>
      </c>
      <c r="D1879" s="5">
        <f>IF(N1879&gt;0, RANK(N1879,(N1879:P1879,Q1879:AE1879)),0)</f>
        <v>1</v>
      </c>
      <c r="E1879" s="5">
        <f>IF(O1879&gt;0,RANK(O1879,(N1879:P1879,Q1879:AE1879)),0)</f>
        <v>2</v>
      </c>
      <c r="F1879" s="5">
        <f>IF(P1879&gt;0,RANK(P1879,(N1879:P1879,Q1879:AE1879)),0)</f>
        <v>5</v>
      </c>
      <c r="G1879" s="132">
        <f t="shared" si="775"/>
        <v>12573</v>
      </c>
      <c r="H1879" s="137">
        <f t="shared" si="776"/>
        <v>0.17796682142452724</v>
      </c>
      <c r="I1879" s="2"/>
      <c r="J1879" s="2">
        <f t="shared" si="779"/>
        <v>0.53712773185369722</v>
      </c>
      <c r="K1879" s="2">
        <f t="shared" si="780"/>
        <v>0.35916091042916998</v>
      </c>
      <c r="L1879" s="2">
        <f t="shared" si="781"/>
        <v>8.0115502208130442E-3</v>
      </c>
      <c r="M1879" s="2">
        <f t="shared" si="782"/>
        <v>9.5699807496319761E-2</v>
      </c>
      <c r="N1879" s="63">
        <v>37947</v>
      </c>
      <c r="O1879" s="63">
        <v>25374</v>
      </c>
      <c r="P1879" s="63">
        <v>566</v>
      </c>
      <c r="Q1879" s="63">
        <v>5471</v>
      </c>
      <c r="R1879" s="63">
        <v>953</v>
      </c>
      <c r="S1879" s="63">
        <v>157</v>
      </c>
      <c r="T1879" s="63">
        <v>65</v>
      </c>
      <c r="U1879" s="63"/>
      <c r="V1879" s="63">
        <v>115</v>
      </c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W1879" s="5">
        <f>IF(Q1879&gt;0,RANK(Q1879,(N1879:P1879,Q1879:AE1879)),0)</f>
        <v>3</v>
      </c>
      <c r="AX1879" s="5">
        <f>IF(R1879&gt;0,RANK(R1879,(N1879:P1879,Q1879:AE1879)),0)</f>
        <v>4</v>
      </c>
      <c r="AY1879" s="5">
        <f>IF(T1879&gt;0,RANK(T1879,(N1879:P1879,Q1879:AE1879)),0)</f>
        <v>8</v>
      </c>
      <c r="AZ1879" s="5">
        <f>IF(S1879&gt;0,RANK(S1879,(N1879:P1879,Q1879:AE1879)),0)</f>
        <v>6</v>
      </c>
      <c r="BA1879" s="2">
        <f t="shared" si="783"/>
        <v>7.7440267240403121E-2</v>
      </c>
      <c r="BB1879" s="2">
        <f t="shared" si="784"/>
        <v>1.3489412297588042E-2</v>
      </c>
      <c r="BC1879" s="2">
        <f t="shared" si="785"/>
        <v>9.2005435398029669E-4</v>
      </c>
      <c r="BD1879" s="2">
        <f t="shared" si="786"/>
        <v>2.2222851319216395E-3</v>
      </c>
      <c r="BF1879" t="s">
        <v>3205</v>
      </c>
      <c r="BG1879" t="s">
        <v>2458</v>
      </c>
      <c r="BH1879">
        <v>2</v>
      </c>
      <c r="BJ1879" s="114">
        <v>35</v>
      </c>
      <c r="BK1879" s="116">
        <v>13</v>
      </c>
      <c r="BL1879" s="120">
        <f t="shared" si="753"/>
        <v>35013</v>
      </c>
      <c r="BN1879" s="5" t="s">
        <v>3154</v>
      </c>
    </row>
    <row r="1880" spans="1:66" hidden="1" outlineLevel="1">
      <c r="A1880" t="s">
        <v>2898</v>
      </c>
      <c r="B1880" t="s">
        <v>2458</v>
      </c>
      <c r="C1880" s="1">
        <f t="shared" si="778"/>
        <v>19667</v>
      </c>
      <c r="D1880" s="5">
        <f>IF(N1880&gt;0, RANK(N1880,(N1880:P1880,Q1880:AE1880)),0)</f>
        <v>2</v>
      </c>
      <c r="E1880" s="5">
        <f>IF(O1880&gt;0,RANK(O1880,(N1880:P1880,Q1880:AE1880)),0)</f>
        <v>1</v>
      </c>
      <c r="F1880" s="5">
        <f>IF(P1880&gt;0,RANK(P1880,(N1880:P1880,Q1880:AE1880)),0)</f>
        <v>5</v>
      </c>
      <c r="G1880" s="132">
        <f t="shared" si="775"/>
        <v>8114</v>
      </c>
      <c r="H1880" s="137">
        <f t="shared" si="776"/>
        <v>0.4125692784868053</v>
      </c>
      <c r="I1880" s="2"/>
      <c r="J1880" s="2">
        <f t="shared" si="779"/>
        <v>0.25591091676412264</v>
      </c>
      <c r="K1880" s="2">
        <f t="shared" si="780"/>
        <v>0.66848019525092794</v>
      </c>
      <c r="L1880" s="2">
        <f t="shared" si="781"/>
        <v>4.2202674530940152E-3</v>
      </c>
      <c r="M1880" s="2">
        <f t="shared" si="782"/>
        <v>7.1388620531855337E-2</v>
      </c>
      <c r="N1880" s="63">
        <v>5033</v>
      </c>
      <c r="O1880" s="63">
        <v>13147</v>
      </c>
      <c r="P1880" s="63">
        <v>83</v>
      </c>
      <c r="Q1880" s="63">
        <v>1275</v>
      </c>
      <c r="R1880" s="63">
        <v>84</v>
      </c>
      <c r="S1880" s="63">
        <v>27</v>
      </c>
      <c r="T1880" s="63">
        <v>6</v>
      </c>
      <c r="U1880" s="63"/>
      <c r="V1880" s="63">
        <v>12</v>
      </c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W1880" s="5">
        <f>IF(Q1880&gt;0,RANK(Q1880,(N1880:P1880,Q1880:AE1880)),0)</f>
        <v>3</v>
      </c>
      <c r="AX1880" s="5">
        <f>IF(R1880&gt;0,RANK(R1880,(N1880:P1880,Q1880:AE1880)),0)</f>
        <v>4</v>
      </c>
      <c r="AY1880" s="5">
        <f>IF(T1880&gt;0,RANK(T1880,(N1880:P1880,Q1880:AE1880)),0)</f>
        <v>8</v>
      </c>
      <c r="AZ1880" s="5">
        <f>IF(S1880&gt;0,RANK(S1880,(N1880:P1880,Q1880:AE1880)),0)</f>
        <v>6</v>
      </c>
      <c r="BA1880" s="2">
        <f t="shared" si="783"/>
        <v>6.482940967102252E-2</v>
      </c>
      <c r="BB1880" s="2">
        <f t="shared" si="784"/>
        <v>4.2711140489144249E-3</v>
      </c>
      <c r="BC1880" s="2">
        <f t="shared" si="785"/>
        <v>3.0507957492245896E-4</v>
      </c>
      <c r="BD1880" s="2">
        <f t="shared" si="786"/>
        <v>1.3728580871510652E-3</v>
      </c>
      <c r="BF1880" t="s">
        <v>2898</v>
      </c>
      <c r="BG1880" t="s">
        <v>2458</v>
      </c>
      <c r="BH1880">
        <v>2</v>
      </c>
      <c r="BJ1880" s="114">
        <v>35</v>
      </c>
      <c r="BK1880" s="116">
        <v>15</v>
      </c>
      <c r="BL1880" s="120">
        <f t="shared" si="753"/>
        <v>35015</v>
      </c>
      <c r="BN1880" s="5" t="s">
        <v>3154</v>
      </c>
    </row>
    <row r="1881" spans="1:66" hidden="1" outlineLevel="1">
      <c r="A1881" t="s">
        <v>1417</v>
      </c>
      <c r="B1881" t="s">
        <v>2458</v>
      </c>
      <c r="C1881" s="1">
        <f t="shared" si="778"/>
        <v>12811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5</v>
      </c>
      <c r="G1881" s="132">
        <f t="shared" si="775"/>
        <v>988</v>
      </c>
      <c r="H1881" s="137">
        <f t="shared" si="776"/>
        <v>7.7121223948169546E-2</v>
      </c>
      <c r="I1881" s="2"/>
      <c r="J1881" s="2">
        <f t="shared" si="779"/>
        <v>0.48989149949262351</v>
      </c>
      <c r="K1881" s="2">
        <f t="shared" si="780"/>
        <v>0.412770275544454</v>
      </c>
      <c r="L1881" s="2">
        <f t="shared" si="781"/>
        <v>6.2446335180704081E-3</v>
      </c>
      <c r="M1881" s="2">
        <f t="shared" si="782"/>
        <v>9.1093591444852032E-2</v>
      </c>
      <c r="N1881" s="63">
        <v>6276</v>
      </c>
      <c r="O1881" s="63">
        <v>5288</v>
      </c>
      <c r="P1881" s="63">
        <v>80</v>
      </c>
      <c r="Q1881" s="63">
        <v>899</v>
      </c>
      <c r="R1881" s="63">
        <v>218</v>
      </c>
      <c r="S1881" s="63">
        <v>25</v>
      </c>
      <c r="T1881" s="63">
        <v>6</v>
      </c>
      <c r="U1881" s="63"/>
      <c r="V1881" s="63">
        <v>19</v>
      </c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W1881" s="5">
        <f>IF(Q1881&gt;0,RANK(Q1881,(N1881:P1881,Q1881:AE1881)),0)</f>
        <v>3</v>
      </c>
      <c r="AX1881" s="5">
        <f>IF(R1881&gt;0,RANK(R1881,(N1881:P1881,Q1881:AE1881)),0)</f>
        <v>4</v>
      </c>
      <c r="AY1881" s="5">
        <f>IF(T1881&gt;0,RANK(T1881,(N1881:P1881,Q1881:AE1881)),0)</f>
        <v>8</v>
      </c>
      <c r="AZ1881" s="5">
        <f>IF(S1881&gt;0,RANK(S1881,(N1881:P1881,Q1881:AE1881)),0)</f>
        <v>6</v>
      </c>
      <c r="BA1881" s="2">
        <f t="shared" si="783"/>
        <v>7.0174069159316219E-2</v>
      </c>
      <c r="BB1881" s="2">
        <f t="shared" si="784"/>
        <v>1.7016626336741864E-2</v>
      </c>
      <c r="BC1881" s="2">
        <f t="shared" si="785"/>
        <v>4.6834751385528063E-4</v>
      </c>
      <c r="BD1881" s="2">
        <f t="shared" si="786"/>
        <v>1.9514479743970026E-3</v>
      </c>
      <c r="BF1881" t="s">
        <v>1417</v>
      </c>
      <c r="BG1881" t="s">
        <v>2458</v>
      </c>
      <c r="BH1881">
        <v>2</v>
      </c>
      <c r="BJ1881" s="114">
        <v>35</v>
      </c>
      <c r="BK1881" s="116">
        <v>17</v>
      </c>
      <c r="BL1881" s="120">
        <f t="shared" si="753"/>
        <v>35017</v>
      </c>
      <c r="BN1881" s="5" t="s">
        <v>3154</v>
      </c>
    </row>
    <row r="1882" spans="1:66" hidden="1" outlineLevel="1">
      <c r="A1882" t="s">
        <v>2876</v>
      </c>
      <c r="B1882" t="s">
        <v>2458</v>
      </c>
      <c r="C1882" s="1">
        <f t="shared" si="778"/>
        <v>1827</v>
      </c>
      <c r="D1882" s="5">
        <f>IF(N1882&gt;0, RANK(N1882,(N1882:P1882,Q1882:AE1882)),0)</f>
        <v>1</v>
      </c>
      <c r="E1882" s="5">
        <f>IF(O1882&gt;0,RANK(O1882,(N1882:P1882,Q1882:AE1882)),0)</f>
        <v>2</v>
      </c>
      <c r="F1882" s="5">
        <f>IF(P1882&gt;0,RANK(P1882,(N1882:P1882,Q1882:AE1882)),0)</f>
        <v>5</v>
      </c>
      <c r="G1882" s="132">
        <f t="shared" si="775"/>
        <v>375</v>
      </c>
      <c r="H1882" s="137">
        <f t="shared" si="776"/>
        <v>0.20525451559934318</v>
      </c>
      <c r="I1882" s="2"/>
      <c r="J1882" s="2">
        <f t="shared" si="779"/>
        <v>0.53092501368363443</v>
      </c>
      <c r="K1882" s="2">
        <f t="shared" si="780"/>
        <v>0.32567049808429116</v>
      </c>
      <c r="L1882" s="2">
        <f t="shared" si="781"/>
        <v>2.7367268746579091E-3</v>
      </c>
      <c r="M1882" s="2">
        <f t="shared" si="782"/>
        <v>0.14066776135741652</v>
      </c>
      <c r="N1882" s="63">
        <v>970</v>
      </c>
      <c r="O1882" s="63">
        <v>595</v>
      </c>
      <c r="P1882" s="63">
        <v>5</v>
      </c>
      <c r="Q1882" s="63">
        <v>238</v>
      </c>
      <c r="R1882" s="63">
        <v>18</v>
      </c>
      <c r="S1882" s="63">
        <v>1</v>
      </c>
      <c r="T1882" s="63">
        <v>0</v>
      </c>
      <c r="U1882" s="63"/>
      <c r="V1882" s="63">
        <v>0</v>
      </c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W1882" s="5">
        <f>IF(Q1882&gt;0,RANK(Q1882,(N1882:P1882,Q1882:AE1882)),0)</f>
        <v>3</v>
      </c>
      <c r="AX1882" s="5">
        <f>IF(R1882&gt;0,RANK(R1882,(N1882:P1882,Q1882:AE1882)),0)</f>
        <v>4</v>
      </c>
      <c r="AY1882" s="5">
        <f>IF(T1882&gt;0,RANK(T1882,(N1882:P1882,Q1882:AE1882)),0)</f>
        <v>0</v>
      </c>
      <c r="AZ1882" s="5">
        <f>IF(S1882&gt;0,RANK(S1882,(N1882:P1882,Q1882:AE1882)),0)</f>
        <v>6</v>
      </c>
      <c r="BA1882" s="2">
        <f t="shared" si="783"/>
        <v>0.13026819923371646</v>
      </c>
      <c r="BB1882" s="2">
        <f t="shared" si="784"/>
        <v>9.852216748768473E-3</v>
      </c>
      <c r="BC1882" s="2">
        <f t="shared" si="785"/>
        <v>0</v>
      </c>
      <c r="BD1882" s="2">
        <f t="shared" si="786"/>
        <v>5.4734537493158185E-4</v>
      </c>
      <c r="BF1882" t="s">
        <v>2876</v>
      </c>
      <c r="BG1882" t="s">
        <v>2458</v>
      </c>
      <c r="BH1882">
        <v>2</v>
      </c>
      <c r="BJ1882" s="114">
        <v>35</v>
      </c>
      <c r="BK1882" s="116">
        <v>19</v>
      </c>
      <c r="BL1882" s="120">
        <f t="shared" si="753"/>
        <v>35019</v>
      </c>
      <c r="BN1882" s="5" t="s">
        <v>3154</v>
      </c>
    </row>
    <row r="1883" spans="1:66" hidden="1" outlineLevel="1">
      <c r="A1883" t="s">
        <v>2978</v>
      </c>
      <c r="B1883" t="s">
        <v>2458</v>
      </c>
      <c r="C1883" s="1">
        <f t="shared" si="778"/>
        <v>527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32">
        <f t="shared" si="775"/>
        <v>155</v>
      </c>
      <c r="H1883" s="137">
        <f t="shared" si="776"/>
        <v>0.29411764705882354</v>
      </c>
      <c r="I1883" s="2"/>
      <c r="J1883" s="2">
        <f t="shared" si="779"/>
        <v>0.29601518026565465</v>
      </c>
      <c r="K1883" s="2">
        <f t="shared" si="780"/>
        <v>0.59013282732447814</v>
      </c>
      <c r="L1883" s="2">
        <f t="shared" si="781"/>
        <v>0</v>
      </c>
      <c r="M1883" s="2">
        <f t="shared" si="782"/>
        <v>0.11385199240986721</v>
      </c>
      <c r="N1883" s="63">
        <v>156</v>
      </c>
      <c r="O1883" s="63">
        <v>311</v>
      </c>
      <c r="P1883" s="63">
        <v>0</v>
      </c>
      <c r="Q1883" s="63">
        <v>55</v>
      </c>
      <c r="R1883" s="63">
        <v>3</v>
      </c>
      <c r="S1883" s="63">
        <v>2</v>
      </c>
      <c r="T1883" s="63">
        <v>0</v>
      </c>
      <c r="U1883" s="63"/>
      <c r="V1883" s="63">
        <v>0</v>
      </c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W1883" s="5">
        <f>IF(Q1883&gt;0,RANK(Q1883,(N1883:P1883,Q1883:AE1883)),0)</f>
        <v>3</v>
      </c>
      <c r="AX1883" s="5">
        <f>IF(R1883&gt;0,RANK(R1883,(N1883:P1883,Q1883:AE1883)),0)</f>
        <v>4</v>
      </c>
      <c r="AY1883" s="5">
        <f>IF(T1883&gt;0,RANK(T1883,(N1883:P1883,Q1883:AE1883)),0)</f>
        <v>0</v>
      </c>
      <c r="AZ1883" s="5">
        <f>IF(S1883&gt;0,RANK(S1883,(N1883:P1883,Q1883:AE1883)),0)</f>
        <v>5</v>
      </c>
      <c r="BA1883" s="2">
        <f t="shared" si="783"/>
        <v>0.10436432637571158</v>
      </c>
      <c r="BB1883" s="2">
        <f t="shared" si="784"/>
        <v>5.6925996204933585E-3</v>
      </c>
      <c r="BC1883" s="2">
        <f t="shared" si="785"/>
        <v>0</v>
      </c>
      <c r="BD1883" s="2">
        <f t="shared" si="786"/>
        <v>3.7950664136622392E-3</v>
      </c>
      <c r="BF1883" t="s">
        <v>2978</v>
      </c>
      <c r="BG1883" t="s">
        <v>2458</v>
      </c>
      <c r="BH1883">
        <v>3</v>
      </c>
      <c r="BJ1883" s="114">
        <v>35</v>
      </c>
      <c r="BK1883" s="116">
        <v>21</v>
      </c>
      <c r="BL1883" s="120">
        <f t="shared" si="753"/>
        <v>35021</v>
      </c>
      <c r="BN1883" s="5" t="s">
        <v>3154</v>
      </c>
    </row>
    <row r="1884" spans="1:66" hidden="1" outlineLevel="1">
      <c r="A1884" t="s">
        <v>2343</v>
      </c>
      <c r="B1884" t="s">
        <v>2458</v>
      </c>
      <c r="C1884" s="1">
        <f t="shared" si="778"/>
        <v>1872</v>
      </c>
      <c r="D1884" s="5">
        <f>IF(N1884&gt;0, RANK(N1884,(N1884:P1884,Q1884:AE1884)),0)</f>
        <v>2</v>
      </c>
      <c r="E1884" s="5">
        <f>IF(O1884&gt;0,RANK(O1884,(N1884:P1884,Q1884:AE1884)),0)</f>
        <v>1</v>
      </c>
      <c r="F1884" s="5">
        <f>IF(P1884&gt;0,RANK(P1884,(N1884:P1884,Q1884:AE1884)),0)</f>
        <v>4</v>
      </c>
      <c r="G1884" s="132">
        <f t="shared" si="775"/>
        <v>126</v>
      </c>
      <c r="H1884" s="137">
        <f t="shared" si="776"/>
        <v>6.7307692307692304E-2</v>
      </c>
      <c r="I1884" s="2"/>
      <c r="J1884" s="2">
        <f t="shared" si="779"/>
        <v>0.41880341880341881</v>
      </c>
      <c r="K1884" s="2">
        <f t="shared" si="780"/>
        <v>0.4861111111111111</v>
      </c>
      <c r="L1884" s="2">
        <f t="shared" si="781"/>
        <v>1.4423076923076924E-2</v>
      </c>
      <c r="M1884" s="2">
        <f t="shared" si="782"/>
        <v>8.0662393162393098E-2</v>
      </c>
      <c r="N1884" s="63">
        <v>784</v>
      </c>
      <c r="O1884" s="63">
        <v>910</v>
      </c>
      <c r="P1884" s="63">
        <v>27</v>
      </c>
      <c r="Q1884" s="63">
        <v>137</v>
      </c>
      <c r="R1884" s="63">
        <v>6</v>
      </c>
      <c r="S1884" s="63">
        <v>2</v>
      </c>
      <c r="T1884" s="63">
        <v>3</v>
      </c>
      <c r="U1884" s="63"/>
      <c r="V1884" s="63">
        <v>3</v>
      </c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W1884" s="5">
        <f>IF(Q1884&gt;0,RANK(Q1884,(N1884:P1884,Q1884:AE1884)),0)</f>
        <v>3</v>
      </c>
      <c r="AX1884" s="5">
        <f>IF(R1884&gt;0,RANK(R1884,(N1884:P1884,Q1884:AE1884)),0)</f>
        <v>5</v>
      </c>
      <c r="AY1884" s="5">
        <f>IF(T1884&gt;0,RANK(T1884,(N1884:P1884,Q1884:AE1884)),0)</f>
        <v>6</v>
      </c>
      <c r="AZ1884" s="5">
        <f>IF(S1884&gt;0,RANK(S1884,(N1884:P1884,Q1884:AE1884)),0)</f>
        <v>8</v>
      </c>
      <c r="BA1884" s="2">
        <f t="shared" si="783"/>
        <v>7.3183760683760687E-2</v>
      </c>
      <c r="BB1884" s="2">
        <f t="shared" si="784"/>
        <v>3.205128205128205E-3</v>
      </c>
      <c r="BC1884" s="2">
        <f t="shared" si="785"/>
        <v>1.6025641025641025E-3</v>
      </c>
      <c r="BD1884" s="2">
        <f t="shared" si="786"/>
        <v>1.0683760683760685E-3</v>
      </c>
      <c r="BF1884" t="s">
        <v>2343</v>
      </c>
      <c r="BG1884" t="s">
        <v>2458</v>
      </c>
      <c r="BH1884">
        <v>2</v>
      </c>
      <c r="BJ1884" s="114">
        <v>35</v>
      </c>
      <c r="BK1884" s="116">
        <v>23</v>
      </c>
      <c r="BL1884" s="120">
        <f t="shared" si="753"/>
        <v>35023</v>
      </c>
      <c r="BN1884" s="5" t="s">
        <v>3154</v>
      </c>
    </row>
    <row r="1885" spans="1:66" hidden="1" outlineLevel="1">
      <c r="A1885" t="s">
        <v>855</v>
      </c>
      <c r="B1885" t="s">
        <v>2458</v>
      </c>
      <c r="C1885" s="1">
        <f t="shared" si="778"/>
        <v>17712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4</v>
      </c>
      <c r="G1885" s="132">
        <f t="shared" si="775"/>
        <v>8565</v>
      </c>
      <c r="H1885" s="137">
        <f t="shared" si="776"/>
        <v>0.48357046070460702</v>
      </c>
      <c r="I1885" s="2"/>
      <c r="J1885" s="2">
        <f t="shared" si="779"/>
        <v>0.22188346883468835</v>
      </c>
      <c r="K1885" s="2">
        <f t="shared" si="780"/>
        <v>0.70545392953929542</v>
      </c>
      <c r="L1885" s="2">
        <f t="shared" si="781"/>
        <v>4.5167118337850042E-3</v>
      </c>
      <c r="M1885" s="2">
        <f t="shared" si="782"/>
        <v>6.8145889792231226E-2</v>
      </c>
      <c r="N1885" s="63">
        <v>3930</v>
      </c>
      <c r="O1885" s="63">
        <v>12495</v>
      </c>
      <c r="P1885" s="63">
        <v>80</v>
      </c>
      <c r="Q1885" s="63">
        <v>1098</v>
      </c>
      <c r="R1885" s="63">
        <v>56</v>
      </c>
      <c r="S1885" s="63">
        <v>26</v>
      </c>
      <c r="T1885" s="63">
        <v>10</v>
      </c>
      <c r="U1885" s="63"/>
      <c r="V1885" s="63">
        <v>17</v>
      </c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W1885" s="5">
        <f>IF(Q1885&gt;0,RANK(Q1885,(N1885:P1885,Q1885:AE1885)),0)</f>
        <v>3</v>
      </c>
      <c r="AX1885" s="5">
        <f>IF(R1885&gt;0,RANK(R1885,(N1885:P1885,Q1885:AE1885)),0)</f>
        <v>5</v>
      </c>
      <c r="AY1885" s="5">
        <f>IF(T1885&gt;0,RANK(T1885,(N1885:P1885,Q1885:AE1885)),0)</f>
        <v>8</v>
      </c>
      <c r="AZ1885" s="5">
        <f>IF(S1885&gt;0,RANK(S1885,(N1885:P1885,Q1885:AE1885)),0)</f>
        <v>6</v>
      </c>
      <c r="BA1885" s="2">
        <f t="shared" si="783"/>
        <v>6.1991869918699184E-2</v>
      </c>
      <c r="BB1885" s="2">
        <f t="shared" si="784"/>
        <v>3.1616982836495033E-3</v>
      </c>
      <c r="BC1885" s="2">
        <f t="shared" si="785"/>
        <v>5.6458897922312553E-4</v>
      </c>
      <c r="BD1885" s="2">
        <f t="shared" si="786"/>
        <v>1.4679313459801265E-3</v>
      </c>
      <c r="BF1885" t="s">
        <v>855</v>
      </c>
      <c r="BG1885" t="s">
        <v>2458</v>
      </c>
      <c r="BH1885">
        <v>2</v>
      </c>
      <c r="BJ1885" s="114">
        <v>35</v>
      </c>
      <c r="BK1885" s="116">
        <v>25</v>
      </c>
      <c r="BL1885" s="120">
        <f t="shared" si="753"/>
        <v>35025</v>
      </c>
      <c r="BN1885" s="5" t="s">
        <v>3154</v>
      </c>
    </row>
    <row r="1886" spans="1:66" hidden="1" outlineLevel="1">
      <c r="A1886" t="s">
        <v>1597</v>
      </c>
      <c r="B1886" t="s">
        <v>2458</v>
      </c>
      <c r="C1886" s="1">
        <f t="shared" si="778"/>
        <v>8902</v>
      </c>
      <c r="D1886" s="5">
        <f>IF(N1886&gt;0, RANK(N1886,(N1886:P1886,Q1886:AE1886)),0)</f>
        <v>2</v>
      </c>
      <c r="E1886" s="5">
        <f>IF(O1886&gt;0,RANK(O1886,(N1886:P1886,Q1886:AE1886)),0)</f>
        <v>1</v>
      </c>
      <c r="F1886" s="5">
        <f>IF(P1886&gt;0,RANK(P1886,(N1886:P1886,Q1886:AE1886)),0)</f>
        <v>5</v>
      </c>
      <c r="G1886" s="132">
        <f t="shared" si="775"/>
        <v>3565</v>
      </c>
      <c r="H1886" s="137">
        <f t="shared" si="776"/>
        <v>0.40047180408896876</v>
      </c>
      <c r="I1886" s="2"/>
      <c r="J1886" s="2">
        <f t="shared" si="779"/>
        <v>0.26185126937766795</v>
      </c>
      <c r="K1886" s="2">
        <f t="shared" si="780"/>
        <v>0.66232307346663666</v>
      </c>
      <c r="L1886" s="2">
        <f t="shared" si="781"/>
        <v>4.0440350483037521E-3</v>
      </c>
      <c r="M1886" s="2">
        <f t="shared" si="782"/>
        <v>7.1781622107391585E-2</v>
      </c>
      <c r="N1886" s="63">
        <v>2331</v>
      </c>
      <c r="O1886" s="63">
        <v>5896</v>
      </c>
      <c r="P1886" s="63">
        <v>36</v>
      </c>
      <c r="Q1886" s="63">
        <v>560</v>
      </c>
      <c r="R1886" s="63">
        <v>59</v>
      </c>
      <c r="S1886" s="63">
        <v>9</v>
      </c>
      <c r="T1886" s="63">
        <v>2</v>
      </c>
      <c r="U1886" s="63"/>
      <c r="V1886" s="63">
        <v>9</v>
      </c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W1886" s="5">
        <f>IF(Q1886&gt;0,RANK(Q1886,(N1886:P1886,Q1886:AE1886)),0)</f>
        <v>3</v>
      </c>
      <c r="AX1886" s="5">
        <f>IF(R1886&gt;0,RANK(R1886,(N1886:P1886,Q1886:AE1886)),0)</f>
        <v>4</v>
      </c>
      <c r="AY1886" s="5">
        <f>IF(T1886&gt;0,RANK(T1886,(N1886:P1886,Q1886:AE1886)),0)</f>
        <v>8</v>
      </c>
      <c r="AZ1886" s="5">
        <f>IF(S1886&gt;0,RANK(S1886,(N1886:P1886,Q1886:AE1886)),0)</f>
        <v>6</v>
      </c>
      <c r="BA1886" s="2">
        <f t="shared" si="783"/>
        <v>6.290721186250281E-2</v>
      </c>
      <c r="BB1886" s="2">
        <f t="shared" si="784"/>
        <v>6.6277241069422604E-3</v>
      </c>
      <c r="BC1886" s="2">
        <f t="shared" si="785"/>
        <v>2.2466861379465288E-4</v>
      </c>
      <c r="BD1886" s="2">
        <f t="shared" si="786"/>
        <v>1.011008762075938E-3</v>
      </c>
      <c r="BF1886" t="s">
        <v>1597</v>
      </c>
      <c r="BG1886" t="s">
        <v>2458</v>
      </c>
      <c r="BH1886">
        <v>2</v>
      </c>
      <c r="BJ1886" s="114">
        <v>35</v>
      </c>
      <c r="BK1886" s="116">
        <v>27</v>
      </c>
      <c r="BL1886" s="120">
        <f t="shared" si="753"/>
        <v>35027</v>
      </c>
      <c r="BN1886" s="5" t="s">
        <v>3154</v>
      </c>
    </row>
    <row r="1887" spans="1:66" hidden="1" outlineLevel="1">
      <c r="A1887" t="s">
        <v>868</v>
      </c>
      <c r="B1887" t="s">
        <v>2458</v>
      </c>
      <c r="C1887" s="1">
        <f t="shared" si="778"/>
        <v>10885</v>
      </c>
      <c r="D1887" s="5">
        <f>IF(N1887&gt;0, RANK(N1887,(N1887:P1887,Q1887:AE1887)),0)</f>
        <v>1</v>
      </c>
      <c r="E1887" s="5">
        <f>IF(O1887&gt;0,RANK(O1887,(N1887:P1887,Q1887:AE1887)),0)</f>
        <v>2</v>
      </c>
      <c r="F1887" s="5">
        <f>IF(P1887&gt;0,RANK(P1887,(N1887:P1887,Q1887:AE1887)),0)</f>
        <v>4</v>
      </c>
      <c r="G1887" s="132">
        <f t="shared" si="775"/>
        <v>2203</v>
      </c>
      <c r="H1887" s="137">
        <f t="shared" si="776"/>
        <v>0.20238860817638954</v>
      </c>
      <c r="I1887" s="2"/>
      <c r="J1887" s="2">
        <f t="shared" si="779"/>
        <v>0.51097841065686722</v>
      </c>
      <c r="K1887" s="2">
        <f t="shared" si="780"/>
        <v>0.30858980248047774</v>
      </c>
      <c r="L1887" s="2">
        <f t="shared" si="781"/>
        <v>2.6734037666513551E-2</v>
      </c>
      <c r="M1887" s="2">
        <f t="shared" si="782"/>
        <v>0.15369774919614149</v>
      </c>
      <c r="N1887" s="63">
        <v>5562</v>
      </c>
      <c r="O1887" s="63">
        <v>3359</v>
      </c>
      <c r="P1887" s="63">
        <v>291</v>
      </c>
      <c r="Q1887" s="63">
        <v>1512</v>
      </c>
      <c r="R1887" s="63">
        <v>120</v>
      </c>
      <c r="S1887" s="63">
        <v>29</v>
      </c>
      <c r="T1887" s="63">
        <v>5</v>
      </c>
      <c r="U1887" s="63"/>
      <c r="V1887" s="63">
        <v>7</v>
      </c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W1887" s="5">
        <f>IF(Q1887&gt;0,RANK(Q1887,(N1887:P1887,Q1887:AE1887)),0)</f>
        <v>3</v>
      </c>
      <c r="AX1887" s="5">
        <f>IF(R1887&gt;0,RANK(R1887,(N1887:P1887,Q1887:AE1887)),0)</f>
        <v>5</v>
      </c>
      <c r="AY1887" s="5">
        <f>IF(T1887&gt;0,RANK(T1887,(N1887:P1887,Q1887:AE1887)),0)</f>
        <v>8</v>
      </c>
      <c r="AZ1887" s="5">
        <f>IF(S1887&gt;0,RANK(S1887,(N1887:P1887,Q1887:AE1887)),0)</f>
        <v>6</v>
      </c>
      <c r="BA1887" s="2">
        <f t="shared" si="783"/>
        <v>0.13890675241157557</v>
      </c>
      <c r="BB1887" s="2">
        <f t="shared" si="784"/>
        <v>1.1024345429490124E-2</v>
      </c>
      <c r="BC1887" s="2">
        <f t="shared" si="785"/>
        <v>4.5934772622875517E-4</v>
      </c>
      <c r="BD1887" s="2">
        <f t="shared" si="786"/>
        <v>2.66421681212678E-3</v>
      </c>
      <c r="BF1887" t="s">
        <v>868</v>
      </c>
      <c r="BG1887" t="s">
        <v>2458</v>
      </c>
      <c r="BH1887">
        <v>3</v>
      </c>
      <c r="BJ1887" s="114">
        <v>35</v>
      </c>
      <c r="BK1887" s="116">
        <v>28</v>
      </c>
      <c r="BL1887" s="120">
        <f t="shared" si="753"/>
        <v>35028</v>
      </c>
      <c r="BN1887" s="5" t="s">
        <v>3154</v>
      </c>
    </row>
    <row r="1888" spans="1:66" hidden="1" outlineLevel="1">
      <c r="A1888" t="s">
        <v>2065</v>
      </c>
      <c r="B1888" t="s">
        <v>2458</v>
      </c>
      <c r="C1888" s="1">
        <f t="shared" si="778"/>
        <v>7295</v>
      </c>
      <c r="D1888" s="5">
        <f>IF(N1888&gt;0, RANK(N1888,(N1888:P1888,Q1888:AE1888)),0)</f>
        <v>2</v>
      </c>
      <c r="E1888" s="5">
        <f>IF(O1888&gt;0,RANK(O1888,(N1888:P1888,Q1888:AE1888)),0)</f>
        <v>1</v>
      </c>
      <c r="F1888" s="5">
        <f>IF(P1888&gt;0,RANK(P1888,(N1888:P1888,Q1888:AE1888)),0)</f>
        <v>5</v>
      </c>
      <c r="G1888" s="132">
        <f t="shared" si="775"/>
        <v>283</v>
      </c>
      <c r="H1888" s="137">
        <f t="shared" si="776"/>
        <v>3.8793694311172036E-2</v>
      </c>
      <c r="I1888" s="2"/>
      <c r="J1888" s="2">
        <f t="shared" si="779"/>
        <v>0.43797121315969845</v>
      </c>
      <c r="K1888" s="2">
        <f t="shared" si="780"/>
        <v>0.47676490747087047</v>
      </c>
      <c r="L1888" s="2">
        <f t="shared" si="781"/>
        <v>6.8540095956134339E-3</v>
      </c>
      <c r="M1888" s="2">
        <f t="shared" si="782"/>
        <v>7.8409869773817656E-2</v>
      </c>
      <c r="N1888" s="63">
        <v>3195</v>
      </c>
      <c r="O1888" s="63">
        <v>3478</v>
      </c>
      <c r="P1888" s="63">
        <v>50</v>
      </c>
      <c r="Q1888" s="63">
        <v>481</v>
      </c>
      <c r="R1888" s="63">
        <v>66</v>
      </c>
      <c r="S1888" s="63">
        <v>13</v>
      </c>
      <c r="T1888" s="63">
        <v>7</v>
      </c>
      <c r="U1888" s="63"/>
      <c r="V1888" s="63">
        <v>5</v>
      </c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W1888" s="5">
        <f>IF(Q1888&gt;0,RANK(Q1888,(N1888:P1888,Q1888:AE1888)),0)</f>
        <v>3</v>
      </c>
      <c r="AX1888" s="5">
        <f>IF(R1888&gt;0,RANK(R1888,(N1888:P1888,Q1888:AE1888)),0)</f>
        <v>4</v>
      </c>
      <c r="AY1888" s="5">
        <f>IF(T1888&gt;0,RANK(T1888,(N1888:P1888,Q1888:AE1888)),0)</f>
        <v>7</v>
      </c>
      <c r="AZ1888" s="5">
        <f>IF(S1888&gt;0,RANK(S1888,(N1888:P1888,Q1888:AE1888)),0)</f>
        <v>6</v>
      </c>
      <c r="BA1888" s="2">
        <f t="shared" si="783"/>
        <v>6.5935572309801238E-2</v>
      </c>
      <c r="BB1888" s="2">
        <f t="shared" si="784"/>
        <v>9.0472926662097334E-3</v>
      </c>
      <c r="BC1888" s="2">
        <f t="shared" si="785"/>
        <v>9.5956134338588076E-4</v>
      </c>
      <c r="BD1888" s="2">
        <f t="shared" si="786"/>
        <v>1.7820424948594928E-3</v>
      </c>
      <c r="BF1888" t="s">
        <v>2065</v>
      </c>
      <c r="BG1888" t="s">
        <v>2458</v>
      </c>
      <c r="BH1888">
        <v>2</v>
      </c>
      <c r="BJ1888" s="114">
        <v>35</v>
      </c>
      <c r="BK1888" s="116">
        <v>29</v>
      </c>
      <c r="BL1888" s="120">
        <f t="shared" si="753"/>
        <v>35029</v>
      </c>
      <c r="BN1888" s="5" t="s">
        <v>3154</v>
      </c>
    </row>
    <row r="1889" spans="1:66" hidden="1" outlineLevel="1">
      <c r="A1889" t="s">
        <v>1701</v>
      </c>
      <c r="B1889" t="s">
        <v>2458</v>
      </c>
      <c r="C1889" s="1">
        <f t="shared" si="778"/>
        <v>21703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5</v>
      </c>
      <c r="G1889" s="132">
        <f t="shared" si="775"/>
        <v>8472</v>
      </c>
      <c r="H1889" s="137">
        <f t="shared" si="776"/>
        <v>0.39036077961572135</v>
      </c>
      <c r="I1889" s="2"/>
      <c r="J1889" s="2">
        <f t="shared" si="779"/>
        <v>0.62553564023406905</v>
      </c>
      <c r="K1889" s="2">
        <f t="shared" si="780"/>
        <v>0.23517486061834769</v>
      </c>
      <c r="L1889" s="2">
        <f t="shared" si="781"/>
        <v>7.9712482145325534E-3</v>
      </c>
      <c r="M1889" s="2">
        <f t="shared" si="782"/>
        <v>0.13131825093305072</v>
      </c>
      <c r="N1889" s="63">
        <v>13576</v>
      </c>
      <c r="O1889" s="63">
        <v>5104</v>
      </c>
      <c r="P1889" s="63">
        <v>173</v>
      </c>
      <c r="Q1889" s="63">
        <v>2412</v>
      </c>
      <c r="R1889" s="63">
        <v>284</v>
      </c>
      <c r="S1889" s="63">
        <v>58</v>
      </c>
      <c r="T1889" s="63">
        <v>20</v>
      </c>
      <c r="U1889" s="63"/>
      <c r="V1889" s="63">
        <v>76</v>
      </c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W1889" s="5">
        <f>IF(Q1889&gt;0,RANK(Q1889,(N1889:P1889,Q1889:AE1889)),0)</f>
        <v>3</v>
      </c>
      <c r="AX1889" s="5">
        <f>IF(R1889&gt;0,RANK(R1889,(N1889:P1889,Q1889:AE1889)),0)</f>
        <v>4</v>
      </c>
      <c r="AY1889" s="5">
        <f>IF(T1889&gt;0,RANK(T1889,(N1889:P1889,Q1889:AE1889)),0)</f>
        <v>8</v>
      </c>
      <c r="AZ1889" s="5">
        <f>IF(S1889&gt;0,RANK(S1889,(N1889:P1889,Q1889:AE1889)),0)</f>
        <v>7</v>
      </c>
      <c r="BA1889" s="2">
        <f t="shared" si="783"/>
        <v>0.1111367092107082</v>
      </c>
      <c r="BB1889" s="2">
        <f t="shared" si="784"/>
        <v>1.3085748514030318E-2</v>
      </c>
      <c r="BC1889" s="2">
        <f t="shared" si="785"/>
        <v>9.2153158549509279E-4</v>
      </c>
      <c r="BD1889" s="2">
        <f t="shared" si="786"/>
        <v>2.6724415979357693E-3</v>
      </c>
      <c r="BF1889" t="s">
        <v>1701</v>
      </c>
      <c r="BG1889" t="s">
        <v>2458</v>
      </c>
      <c r="BJ1889" s="114">
        <v>35</v>
      </c>
      <c r="BK1889" s="116">
        <v>31</v>
      </c>
      <c r="BL1889" s="120">
        <f t="shared" si="753"/>
        <v>35031</v>
      </c>
      <c r="BN1889" s="5" t="s">
        <v>3154</v>
      </c>
    </row>
    <row r="1890" spans="1:66" hidden="1" outlineLevel="1">
      <c r="A1890" t="s">
        <v>2920</v>
      </c>
      <c r="B1890" t="s">
        <v>2458</v>
      </c>
      <c r="C1890" s="1">
        <f t="shared" si="778"/>
        <v>2441</v>
      </c>
      <c r="D1890" s="5">
        <f>IF(N1890&gt;0, RANK(N1890,(N1890:P1890,Q1890:AE1890)),0)</f>
        <v>1</v>
      </c>
      <c r="E1890" s="5">
        <f>IF(O1890&gt;0,RANK(O1890,(N1890:P1890,Q1890:AE1890)),0)</f>
        <v>2</v>
      </c>
      <c r="F1890" s="5">
        <f>IF(P1890&gt;0,RANK(P1890,(N1890:P1890,Q1890:AE1890)),0)</f>
        <v>5</v>
      </c>
      <c r="G1890" s="132">
        <f t="shared" si="775"/>
        <v>871</v>
      </c>
      <c r="H1890" s="137">
        <f t="shared" si="776"/>
        <v>0.35682097501024168</v>
      </c>
      <c r="I1890" s="2"/>
      <c r="J1890" s="2">
        <f t="shared" si="779"/>
        <v>0.62925030725112663</v>
      </c>
      <c r="K1890" s="2">
        <f t="shared" si="780"/>
        <v>0.27242933224088489</v>
      </c>
      <c r="L1890" s="2">
        <f t="shared" si="781"/>
        <v>2.0483408439164277E-3</v>
      </c>
      <c r="M1890" s="2">
        <f t="shared" si="782"/>
        <v>9.6272019664072048E-2</v>
      </c>
      <c r="N1890" s="63">
        <v>1536</v>
      </c>
      <c r="O1890" s="63">
        <v>665</v>
      </c>
      <c r="P1890" s="63">
        <v>5</v>
      </c>
      <c r="Q1890" s="63">
        <v>194</v>
      </c>
      <c r="R1890" s="63">
        <v>35</v>
      </c>
      <c r="S1890" s="63">
        <v>4</v>
      </c>
      <c r="T1890" s="63">
        <v>1</v>
      </c>
      <c r="U1890" s="63"/>
      <c r="V1890" s="63">
        <v>1</v>
      </c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W1890" s="5">
        <f>IF(Q1890&gt;0,RANK(Q1890,(N1890:P1890,Q1890:AE1890)),0)</f>
        <v>3</v>
      </c>
      <c r="AX1890" s="5">
        <f>IF(R1890&gt;0,RANK(R1890,(N1890:P1890,Q1890:AE1890)),0)</f>
        <v>4</v>
      </c>
      <c r="AY1890" s="5">
        <f>IF(T1890&gt;0,RANK(T1890,(N1890:P1890,Q1890:AE1890)),0)</f>
        <v>7</v>
      </c>
      <c r="AZ1890" s="5">
        <f>IF(S1890&gt;0,RANK(S1890,(N1890:P1890,Q1890:AE1890)),0)</f>
        <v>6</v>
      </c>
      <c r="BA1890" s="2">
        <f t="shared" si="783"/>
        <v>7.947562474395739E-2</v>
      </c>
      <c r="BB1890" s="2">
        <f t="shared" si="784"/>
        <v>1.4338385907414994E-2</v>
      </c>
      <c r="BC1890" s="2">
        <f t="shared" si="785"/>
        <v>4.0966816878328555E-4</v>
      </c>
      <c r="BD1890" s="2">
        <f t="shared" si="786"/>
        <v>1.6386726751331422E-3</v>
      </c>
      <c r="BF1890" t="s">
        <v>2920</v>
      </c>
      <c r="BG1890" t="s">
        <v>2458</v>
      </c>
      <c r="BH1890">
        <v>3</v>
      </c>
      <c r="BJ1890" s="114">
        <v>35</v>
      </c>
      <c r="BK1890" s="116">
        <v>33</v>
      </c>
      <c r="BL1890" s="120">
        <f t="shared" si="753"/>
        <v>35033</v>
      </c>
      <c r="BN1890" s="5" t="s">
        <v>3154</v>
      </c>
    </row>
    <row r="1891" spans="1:66" hidden="1" outlineLevel="1">
      <c r="A1891" t="s">
        <v>2051</v>
      </c>
      <c r="B1891" t="s">
        <v>2458</v>
      </c>
      <c r="C1891" s="1">
        <f t="shared" si="778"/>
        <v>20060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5</v>
      </c>
      <c r="G1891" s="132">
        <f t="shared" si="775"/>
        <v>5763</v>
      </c>
      <c r="H1891" s="137">
        <f t="shared" si="776"/>
        <v>0.28728813559322036</v>
      </c>
      <c r="I1891" s="2"/>
      <c r="J1891" s="2">
        <f t="shared" si="779"/>
        <v>0.30528414755732802</v>
      </c>
      <c r="K1891" s="2">
        <f t="shared" si="780"/>
        <v>0.59257228315054833</v>
      </c>
      <c r="L1891" s="2">
        <f t="shared" si="781"/>
        <v>8.0757726819541374E-3</v>
      </c>
      <c r="M1891" s="2">
        <f t="shared" si="782"/>
        <v>9.4067796610169507E-2</v>
      </c>
      <c r="N1891" s="63">
        <v>6124</v>
      </c>
      <c r="O1891" s="63">
        <v>11887</v>
      </c>
      <c r="P1891" s="63">
        <v>162</v>
      </c>
      <c r="Q1891" s="63">
        <v>1613</v>
      </c>
      <c r="R1891" s="63">
        <v>169</v>
      </c>
      <c r="S1891" s="63">
        <v>67</v>
      </c>
      <c r="T1891" s="63">
        <v>15</v>
      </c>
      <c r="U1891" s="63"/>
      <c r="V1891" s="63">
        <v>23</v>
      </c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W1891" s="5">
        <f>IF(Q1891&gt;0,RANK(Q1891,(N1891:P1891,Q1891:AE1891)),0)</f>
        <v>3</v>
      </c>
      <c r="AX1891" s="5">
        <f>IF(R1891&gt;0,RANK(R1891,(N1891:P1891,Q1891:AE1891)),0)</f>
        <v>4</v>
      </c>
      <c r="AY1891" s="5">
        <f>IF(T1891&gt;0,RANK(T1891,(N1891:P1891,Q1891:AE1891)),0)</f>
        <v>8</v>
      </c>
      <c r="AZ1891" s="5">
        <f>IF(S1891&gt;0,RANK(S1891,(N1891:P1891,Q1891:AE1891)),0)</f>
        <v>6</v>
      </c>
      <c r="BA1891" s="2">
        <f t="shared" si="783"/>
        <v>8.0408773678963111E-2</v>
      </c>
      <c r="BB1891" s="2">
        <f t="shared" si="784"/>
        <v>8.4247258225324025E-3</v>
      </c>
      <c r="BC1891" s="2">
        <f t="shared" si="785"/>
        <v>7.4775672981056834E-4</v>
      </c>
      <c r="BD1891" s="2">
        <f t="shared" si="786"/>
        <v>3.3399800598205385E-3</v>
      </c>
      <c r="BF1891" t="s">
        <v>2051</v>
      </c>
      <c r="BG1891" t="s">
        <v>2458</v>
      </c>
      <c r="BH1891">
        <v>2</v>
      </c>
      <c r="BJ1891" s="114">
        <v>35</v>
      </c>
      <c r="BK1891" s="116">
        <v>35</v>
      </c>
      <c r="BL1891" s="120">
        <f t="shared" si="753"/>
        <v>35035</v>
      </c>
      <c r="BN1891" s="5" t="s">
        <v>3154</v>
      </c>
    </row>
    <row r="1892" spans="1:66" hidden="1" outlineLevel="1">
      <c r="A1892" t="s">
        <v>2048</v>
      </c>
      <c r="B1892" t="s">
        <v>2458</v>
      </c>
      <c r="C1892" s="1">
        <f t="shared" si="778"/>
        <v>3572</v>
      </c>
      <c r="D1892" s="5">
        <f>IF(N1892&gt;0, RANK(N1892,(N1892:P1892,Q1892:AE1892)),0)</f>
        <v>2</v>
      </c>
      <c r="E1892" s="5">
        <f>IF(O1892&gt;0,RANK(O1892,(N1892:P1892,Q1892:AE1892)),0)</f>
        <v>1</v>
      </c>
      <c r="F1892" s="5">
        <f>IF(P1892&gt;0,RANK(P1892,(N1892:P1892,Q1892:AE1892)),0)</f>
        <v>4</v>
      </c>
      <c r="G1892" s="132">
        <f t="shared" si="775"/>
        <v>1195</v>
      </c>
      <c r="H1892" s="137">
        <f t="shared" si="776"/>
        <v>0.33454647256438969</v>
      </c>
      <c r="I1892" s="2"/>
      <c r="J1892" s="2">
        <f t="shared" si="779"/>
        <v>0.28471444568868981</v>
      </c>
      <c r="K1892" s="2">
        <f t="shared" si="780"/>
        <v>0.6192609182530795</v>
      </c>
      <c r="L1892" s="2">
        <f t="shared" si="781"/>
        <v>4.7592385218365061E-3</v>
      </c>
      <c r="M1892" s="2">
        <f t="shared" si="782"/>
        <v>9.1265397536394136E-2</v>
      </c>
      <c r="N1892" s="63">
        <v>1017</v>
      </c>
      <c r="O1892" s="63">
        <v>2212</v>
      </c>
      <c r="P1892" s="63">
        <v>17</v>
      </c>
      <c r="Q1892" s="63">
        <v>299</v>
      </c>
      <c r="R1892" s="63">
        <v>15</v>
      </c>
      <c r="S1892" s="63">
        <v>8</v>
      </c>
      <c r="T1892" s="63">
        <v>2</v>
      </c>
      <c r="U1892" s="63"/>
      <c r="V1892" s="63">
        <v>2</v>
      </c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W1892" s="5">
        <f>IF(Q1892&gt;0,RANK(Q1892,(N1892:P1892,Q1892:AE1892)),0)</f>
        <v>3</v>
      </c>
      <c r="AX1892" s="5">
        <f>IF(R1892&gt;0,RANK(R1892,(N1892:P1892,Q1892:AE1892)),0)</f>
        <v>5</v>
      </c>
      <c r="AY1892" s="5">
        <f>IF(T1892&gt;0,RANK(T1892,(N1892:P1892,Q1892:AE1892)),0)</f>
        <v>7</v>
      </c>
      <c r="AZ1892" s="5">
        <f>IF(S1892&gt;0,RANK(S1892,(N1892:P1892,Q1892:AE1892)),0)</f>
        <v>6</v>
      </c>
      <c r="BA1892" s="2">
        <f t="shared" si="783"/>
        <v>8.3706606942889145E-2</v>
      </c>
      <c r="BB1892" s="2">
        <f t="shared" si="784"/>
        <v>4.1993281075027996E-3</v>
      </c>
      <c r="BC1892" s="2">
        <f t="shared" si="785"/>
        <v>5.5991041433370661E-4</v>
      </c>
      <c r="BD1892" s="2">
        <f t="shared" si="786"/>
        <v>2.2396416573348264E-3</v>
      </c>
      <c r="BF1892" t="s">
        <v>2048</v>
      </c>
      <c r="BG1892" t="s">
        <v>2458</v>
      </c>
      <c r="BH1892">
        <v>3</v>
      </c>
      <c r="BJ1892" s="114">
        <v>35</v>
      </c>
      <c r="BK1892" s="116">
        <v>37</v>
      </c>
      <c r="BL1892" s="120">
        <f t="shared" si="753"/>
        <v>35037</v>
      </c>
      <c r="BN1892" s="5" t="s">
        <v>3154</v>
      </c>
    </row>
    <row r="1893" spans="1:66" hidden="1" outlineLevel="1">
      <c r="A1893" t="s">
        <v>1583</v>
      </c>
      <c r="B1893" t="s">
        <v>2458</v>
      </c>
      <c r="C1893" s="1">
        <f t="shared" si="778"/>
        <v>14878</v>
      </c>
      <c r="D1893" s="5">
        <f>IF(N1893&gt;0, RANK(N1893,(N1893:P1893,Q1893:AE1893)),0)</f>
        <v>1</v>
      </c>
      <c r="E1893" s="5">
        <f>IF(O1893&gt;0,RANK(O1893,(N1893:P1893,Q1893:AE1893)),0)</f>
        <v>2</v>
      </c>
      <c r="F1893" s="5">
        <f>IF(P1893&gt;0,RANK(P1893,(N1893:P1893,Q1893:AE1893)),0)</f>
        <v>5</v>
      </c>
      <c r="G1893" s="132">
        <f t="shared" si="775"/>
        <v>5993</v>
      </c>
      <c r="H1893" s="137">
        <f t="shared" si="776"/>
        <v>0.40280951740825377</v>
      </c>
      <c r="I1893" s="2"/>
      <c r="J1893" s="2">
        <f t="shared" si="779"/>
        <v>0.64471031052560823</v>
      </c>
      <c r="K1893" s="2">
        <f t="shared" si="780"/>
        <v>0.24190079311735449</v>
      </c>
      <c r="L1893" s="2">
        <f t="shared" si="781"/>
        <v>1.8819733835192902E-3</v>
      </c>
      <c r="M1893" s="2">
        <f t="shared" si="782"/>
        <v>0.11150692297351798</v>
      </c>
      <c r="N1893" s="63">
        <v>9592</v>
      </c>
      <c r="O1893" s="63">
        <v>3599</v>
      </c>
      <c r="P1893" s="63">
        <v>28</v>
      </c>
      <c r="Q1893" s="63">
        <v>1425</v>
      </c>
      <c r="R1893" s="63">
        <v>188</v>
      </c>
      <c r="S1893" s="63">
        <v>17</v>
      </c>
      <c r="T1893" s="63">
        <v>13</v>
      </c>
      <c r="U1893" s="63"/>
      <c r="V1893" s="63">
        <v>16</v>
      </c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W1893" s="5">
        <f>IF(Q1893&gt;0,RANK(Q1893,(N1893:P1893,Q1893:AE1893)),0)</f>
        <v>3</v>
      </c>
      <c r="AX1893" s="5">
        <f>IF(R1893&gt;0,RANK(R1893,(N1893:P1893,Q1893:AE1893)),0)</f>
        <v>4</v>
      </c>
      <c r="AY1893" s="5">
        <f>IF(T1893&gt;0,RANK(T1893,(N1893:P1893,Q1893:AE1893)),0)</f>
        <v>8</v>
      </c>
      <c r="AZ1893" s="5">
        <f>IF(S1893&gt;0,RANK(S1893,(N1893:P1893,Q1893:AE1893)),0)</f>
        <v>6</v>
      </c>
      <c r="BA1893" s="2">
        <f t="shared" si="783"/>
        <v>9.5779002554106735E-2</v>
      </c>
      <c r="BB1893" s="2">
        <f t="shared" si="784"/>
        <v>1.2636107003629521E-2</v>
      </c>
      <c r="BC1893" s="2">
        <f t="shared" si="785"/>
        <v>8.737733566339562E-4</v>
      </c>
      <c r="BD1893" s="2">
        <f t="shared" si="786"/>
        <v>1.142626697136712E-3</v>
      </c>
      <c r="BF1893" t="s">
        <v>1583</v>
      </c>
      <c r="BG1893" t="s">
        <v>2458</v>
      </c>
      <c r="BH1893">
        <v>3</v>
      </c>
      <c r="BJ1893" s="114">
        <v>35</v>
      </c>
      <c r="BK1893" s="116">
        <v>39</v>
      </c>
      <c r="BL1893" s="120">
        <f t="shared" si="753"/>
        <v>35039</v>
      </c>
      <c r="BN1893" s="5" t="s">
        <v>3154</v>
      </c>
    </row>
    <row r="1894" spans="1:66" hidden="1" outlineLevel="1">
      <c r="A1894" t="s">
        <v>571</v>
      </c>
      <c r="B1894" t="s">
        <v>2458</v>
      </c>
      <c r="C1894" s="1">
        <f t="shared" si="778"/>
        <v>5950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4</v>
      </c>
      <c r="G1894" s="132">
        <f t="shared" si="775"/>
        <v>2430</v>
      </c>
      <c r="H1894" s="137">
        <f t="shared" si="776"/>
        <v>0.40840336134453781</v>
      </c>
      <c r="I1894" s="2"/>
      <c r="J1894" s="2">
        <f t="shared" si="779"/>
        <v>0.24436974789915966</v>
      </c>
      <c r="K1894" s="2">
        <f t="shared" si="780"/>
        <v>0.65277310924369747</v>
      </c>
      <c r="L1894" s="2">
        <f t="shared" si="781"/>
        <v>9.7478991596638663E-3</v>
      </c>
      <c r="M1894" s="2">
        <f t="shared" si="782"/>
        <v>9.3109243697478999E-2</v>
      </c>
      <c r="N1894" s="63">
        <v>1454</v>
      </c>
      <c r="O1894" s="63">
        <v>3884</v>
      </c>
      <c r="P1894" s="63">
        <v>58</v>
      </c>
      <c r="Q1894" s="63">
        <v>482</v>
      </c>
      <c r="R1894" s="63">
        <v>48</v>
      </c>
      <c r="S1894" s="63">
        <v>11</v>
      </c>
      <c r="T1894" s="63">
        <v>5</v>
      </c>
      <c r="U1894" s="63"/>
      <c r="V1894" s="63">
        <v>8</v>
      </c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W1894" s="5">
        <f>IF(Q1894&gt;0,RANK(Q1894,(N1894:P1894,Q1894:AE1894)),0)</f>
        <v>3</v>
      </c>
      <c r="AX1894" s="5">
        <f>IF(R1894&gt;0,RANK(R1894,(N1894:P1894,Q1894:AE1894)),0)</f>
        <v>5</v>
      </c>
      <c r="AY1894" s="5">
        <f>IF(T1894&gt;0,RANK(T1894,(N1894:P1894,Q1894:AE1894)),0)</f>
        <v>8</v>
      </c>
      <c r="AZ1894" s="5">
        <f>IF(S1894&gt;0,RANK(S1894,(N1894:P1894,Q1894:AE1894)),0)</f>
        <v>6</v>
      </c>
      <c r="BA1894" s="2">
        <f t="shared" si="783"/>
        <v>8.1008403361344544E-2</v>
      </c>
      <c r="BB1894" s="2">
        <f t="shared" si="784"/>
        <v>8.0672268907563023E-3</v>
      </c>
      <c r="BC1894" s="2">
        <f t="shared" si="785"/>
        <v>8.4033613445378156E-4</v>
      </c>
      <c r="BD1894" s="2">
        <f t="shared" si="786"/>
        <v>1.8487394957983194E-3</v>
      </c>
      <c r="BF1894" t="s">
        <v>571</v>
      </c>
      <c r="BG1894" t="s">
        <v>2458</v>
      </c>
      <c r="BJ1894" s="114">
        <v>35</v>
      </c>
      <c r="BK1894" s="116">
        <v>41</v>
      </c>
      <c r="BL1894" s="120">
        <f t="shared" si="753"/>
        <v>35041</v>
      </c>
      <c r="BN1894" s="5" t="s">
        <v>3154</v>
      </c>
    </row>
    <row r="1895" spans="1:66" hidden="1" outlineLevel="1">
      <c r="A1895" t="s">
        <v>2682</v>
      </c>
      <c r="B1895" t="s">
        <v>2458</v>
      </c>
      <c r="C1895" s="1">
        <f t="shared" si="778"/>
        <v>61690</v>
      </c>
      <c r="D1895" s="5">
        <f>IF(N1895&gt;0, RANK(N1895,(N1895:P1895,Q1895:AE1895)),0)</f>
        <v>1</v>
      </c>
      <c r="E1895" s="5">
        <f>IF(O1895&gt;0,RANK(O1895,(N1895:P1895,Q1895:AE1895)),0)</f>
        <v>2</v>
      </c>
      <c r="F1895" s="5">
        <f>IF(P1895&gt;0,RANK(P1895,(N1895:P1895,Q1895:AE1895)),0)</f>
        <v>5</v>
      </c>
      <c r="G1895" s="132">
        <f t="shared" si="775"/>
        <v>1802</v>
      </c>
      <c r="H1895" s="137">
        <f t="shared" si="776"/>
        <v>2.9210568973901768E-2</v>
      </c>
      <c r="I1895" s="2"/>
      <c r="J1895" s="2">
        <f t="shared" si="779"/>
        <v>0.44913276057707896</v>
      </c>
      <c r="K1895" s="2">
        <f t="shared" si="780"/>
        <v>0.41992219160317718</v>
      </c>
      <c r="L1895" s="2">
        <f t="shared" si="781"/>
        <v>8.9641757172961578E-3</v>
      </c>
      <c r="M1895" s="2">
        <f t="shared" si="782"/>
        <v>0.12198087210244771</v>
      </c>
      <c r="N1895" s="63">
        <v>27707</v>
      </c>
      <c r="O1895" s="63">
        <v>25905</v>
      </c>
      <c r="P1895" s="63">
        <v>553</v>
      </c>
      <c r="Q1895" s="63">
        <v>6657</v>
      </c>
      <c r="R1895" s="63">
        <v>627</v>
      </c>
      <c r="S1895" s="63">
        <v>129</v>
      </c>
      <c r="T1895" s="63">
        <v>36</v>
      </c>
      <c r="U1895" s="63"/>
      <c r="V1895" s="63">
        <v>76</v>
      </c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W1895" s="5">
        <f>IF(Q1895&gt;0,RANK(Q1895,(N1895:P1895,Q1895:AE1895)),0)</f>
        <v>3</v>
      </c>
      <c r="AX1895" s="5">
        <f>IF(R1895&gt;0,RANK(R1895,(N1895:P1895,Q1895:AE1895)),0)</f>
        <v>4</v>
      </c>
      <c r="AY1895" s="5">
        <f>IF(T1895&gt;0,RANK(T1895,(N1895:P1895,Q1895:AE1895)),0)</f>
        <v>8</v>
      </c>
      <c r="AZ1895" s="5">
        <f>IF(S1895&gt;0,RANK(S1895,(N1895:P1895,Q1895:AE1895)),0)</f>
        <v>6</v>
      </c>
      <c r="BA1895" s="2">
        <f t="shared" si="783"/>
        <v>0.10791052034365375</v>
      </c>
      <c r="BB1895" s="2">
        <f t="shared" si="784"/>
        <v>1.0163721834981359E-2</v>
      </c>
      <c r="BC1895" s="2">
        <f t="shared" si="785"/>
        <v>5.8356297617117843E-4</v>
      </c>
      <c r="BD1895" s="2">
        <f t="shared" si="786"/>
        <v>2.0911006646133893E-3</v>
      </c>
      <c r="BF1895" t="s">
        <v>2682</v>
      </c>
      <c r="BG1895" t="s">
        <v>2458</v>
      </c>
      <c r="BJ1895" s="114">
        <v>35</v>
      </c>
      <c r="BK1895" s="116">
        <v>43</v>
      </c>
      <c r="BL1895" s="120">
        <f t="shared" si="753"/>
        <v>35043</v>
      </c>
      <c r="BN1895" s="5" t="s">
        <v>3154</v>
      </c>
    </row>
    <row r="1896" spans="1:66" hidden="1" outlineLevel="1">
      <c r="A1896" t="s">
        <v>2518</v>
      </c>
      <c r="B1896" t="s">
        <v>2458</v>
      </c>
      <c r="C1896" s="1">
        <f t="shared" si="778"/>
        <v>46110</v>
      </c>
      <c r="D1896" s="5">
        <f>IF(N1896&gt;0, RANK(N1896,(N1896:P1896,Q1896:AE1896)),0)</f>
        <v>2</v>
      </c>
      <c r="E1896" s="5">
        <f>IF(O1896&gt;0,RANK(O1896,(N1896:P1896,Q1896:AE1896)),0)</f>
        <v>1</v>
      </c>
      <c r="F1896" s="5">
        <f>IF(P1896&gt;0,RANK(P1896,(N1896:P1896,Q1896:AE1896)),0)</f>
        <v>4</v>
      </c>
      <c r="G1896" s="132">
        <f t="shared" si="775"/>
        <v>15081</v>
      </c>
      <c r="H1896" s="137">
        <f t="shared" si="776"/>
        <v>0.32706571242680549</v>
      </c>
      <c r="I1896" s="2"/>
      <c r="J1896" s="2">
        <f t="shared" si="779"/>
        <v>0.27900672305356755</v>
      </c>
      <c r="K1896" s="2">
        <f t="shared" si="780"/>
        <v>0.60607243548037304</v>
      </c>
      <c r="L1896" s="2">
        <f t="shared" si="781"/>
        <v>1.0908696595098678E-2</v>
      </c>
      <c r="M1896" s="2">
        <f t="shared" si="782"/>
        <v>0.10401214487096073</v>
      </c>
      <c r="N1896" s="63">
        <v>12865</v>
      </c>
      <c r="O1896" s="63">
        <v>27946</v>
      </c>
      <c r="P1896" s="63">
        <v>503</v>
      </c>
      <c r="Q1896" s="63">
        <v>4200</v>
      </c>
      <c r="R1896" s="63">
        <v>352</v>
      </c>
      <c r="S1896" s="63">
        <v>125</v>
      </c>
      <c r="T1896" s="63">
        <v>22</v>
      </c>
      <c r="U1896" s="63"/>
      <c r="V1896" s="63">
        <v>97</v>
      </c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W1896" s="5">
        <f>IF(Q1896&gt;0,RANK(Q1896,(N1896:P1896,Q1896:AE1896)),0)</f>
        <v>3</v>
      </c>
      <c r="AX1896" s="5">
        <f>IF(R1896&gt;0,RANK(R1896,(N1896:P1896,Q1896:AE1896)),0)</f>
        <v>5</v>
      </c>
      <c r="AY1896" s="5">
        <f>IF(T1896&gt;0,RANK(T1896,(N1896:P1896,Q1896:AE1896)),0)</f>
        <v>8</v>
      </c>
      <c r="AZ1896" s="5">
        <f>IF(S1896&gt;0,RANK(S1896,(N1896:P1896,Q1896:AE1896)),0)</f>
        <v>6</v>
      </c>
      <c r="BA1896" s="2">
        <f t="shared" si="783"/>
        <v>9.1086532205595316E-2</v>
      </c>
      <c r="BB1896" s="2">
        <f t="shared" si="784"/>
        <v>7.6339188896117982E-3</v>
      </c>
      <c r="BC1896" s="2">
        <f t="shared" si="785"/>
        <v>4.7711993060073739E-4</v>
      </c>
      <c r="BD1896" s="2">
        <f t="shared" si="786"/>
        <v>2.7109086965950986E-3</v>
      </c>
      <c r="BF1896" t="s">
        <v>2518</v>
      </c>
      <c r="BG1896" t="s">
        <v>2458</v>
      </c>
      <c r="BH1896">
        <v>3</v>
      </c>
      <c r="BJ1896" s="114">
        <v>35</v>
      </c>
      <c r="BK1896" s="116">
        <v>45</v>
      </c>
      <c r="BL1896" s="120">
        <f t="shared" si="753"/>
        <v>35045</v>
      </c>
      <c r="BN1896" s="5" t="s">
        <v>3154</v>
      </c>
    </row>
    <row r="1897" spans="1:66" hidden="1" outlineLevel="1">
      <c r="A1897" t="s">
        <v>2473</v>
      </c>
      <c r="B1897" t="s">
        <v>2458</v>
      </c>
      <c r="C1897" s="1">
        <f t="shared" si="778"/>
        <v>10751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5</v>
      </c>
      <c r="G1897" s="132">
        <f t="shared" si="775"/>
        <v>4972</v>
      </c>
      <c r="H1897" s="137">
        <f t="shared" si="776"/>
        <v>0.46246860757138869</v>
      </c>
      <c r="I1897" s="2"/>
      <c r="J1897" s="2">
        <f t="shared" si="779"/>
        <v>0.677611384987443</v>
      </c>
      <c r="K1897" s="2">
        <f t="shared" si="780"/>
        <v>0.21514277741605431</v>
      </c>
      <c r="L1897" s="2">
        <f t="shared" si="781"/>
        <v>3.2555111152450934E-3</v>
      </c>
      <c r="M1897" s="2">
        <f t="shared" si="782"/>
        <v>0.1039903264812576</v>
      </c>
      <c r="N1897" s="63">
        <v>7285</v>
      </c>
      <c r="O1897" s="63">
        <v>2313</v>
      </c>
      <c r="P1897" s="63">
        <v>35</v>
      </c>
      <c r="Q1897" s="63">
        <v>915</v>
      </c>
      <c r="R1897" s="63">
        <v>160</v>
      </c>
      <c r="S1897" s="63">
        <v>25</v>
      </c>
      <c r="T1897" s="63">
        <v>8</v>
      </c>
      <c r="U1897" s="63"/>
      <c r="V1897" s="63">
        <v>10</v>
      </c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W1897" s="5">
        <f>IF(Q1897&gt;0,RANK(Q1897,(N1897:P1897,Q1897:AE1897)),0)</f>
        <v>3</v>
      </c>
      <c r="AX1897" s="5">
        <f>IF(R1897&gt;0,RANK(R1897,(N1897:P1897,Q1897:AE1897)),0)</f>
        <v>4</v>
      </c>
      <c r="AY1897" s="5">
        <f>IF(T1897&gt;0,RANK(T1897,(N1897:P1897,Q1897:AE1897)),0)</f>
        <v>8</v>
      </c>
      <c r="AZ1897" s="5">
        <f>IF(S1897&gt;0,RANK(S1897,(N1897:P1897,Q1897:AE1897)),0)</f>
        <v>6</v>
      </c>
      <c r="BA1897" s="2">
        <f t="shared" si="783"/>
        <v>8.5108362012836017E-2</v>
      </c>
      <c r="BB1897" s="2">
        <f t="shared" si="784"/>
        <v>1.4882336526834712E-2</v>
      </c>
      <c r="BC1897" s="2">
        <f t="shared" si="785"/>
        <v>7.4411682634173567E-4</v>
      </c>
      <c r="BD1897" s="2">
        <f t="shared" si="786"/>
        <v>2.325365082317924E-3</v>
      </c>
      <c r="BF1897" t="s">
        <v>2473</v>
      </c>
      <c r="BG1897" t="s">
        <v>2458</v>
      </c>
      <c r="BH1897">
        <v>3</v>
      </c>
      <c r="BJ1897" s="114">
        <v>35</v>
      </c>
      <c r="BK1897" s="116">
        <v>47</v>
      </c>
      <c r="BL1897" s="120">
        <f t="shared" ref="BL1897:BL1960" si="787">1000*BJ1897+BK1897</f>
        <v>35047</v>
      </c>
      <c r="BN1897" s="5" t="s">
        <v>3154</v>
      </c>
    </row>
    <row r="1898" spans="1:66" hidden="1" outlineLevel="1">
      <c r="A1898" t="s">
        <v>1446</v>
      </c>
      <c r="B1898" t="s">
        <v>2458</v>
      </c>
      <c r="C1898" s="1">
        <f t="shared" si="778"/>
        <v>71434</v>
      </c>
      <c r="D1898" s="5">
        <f>IF(N1898&gt;0, RANK(N1898,(N1898:P1898,Q1898:AE1898)),0)</f>
        <v>1</v>
      </c>
      <c r="E1898" s="5">
        <f>IF(O1898&gt;0,RANK(O1898,(N1898:P1898,Q1898:AE1898)),0)</f>
        <v>2</v>
      </c>
      <c r="F1898" s="5">
        <f>IF(P1898&gt;0,RANK(P1898,(N1898:P1898,Q1898:AE1898)),0)</f>
        <v>5</v>
      </c>
      <c r="G1898" s="132">
        <f t="shared" si="775"/>
        <v>36461</v>
      </c>
      <c r="H1898" s="137">
        <f t="shared" si="776"/>
        <v>0.51041520844415822</v>
      </c>
      <c r="I1898" s="2"/>
      <c r="J1898" s="2">
        <f t="shared" si="779"/>
        <v>0.71104796035501305</v>
      </c>
      <c r="K1898" s="2">
        <f t="shared" si="780"/>
        <v>0.20063275191085478</v>
      </c>
      <c r="L1898" s="2">
        <f t="shared" si="781"/>
        <v>4.1296861438530671E-3</v>
      </c>
      <c r="M1898" s="2">
        <f t="shared" si="782"/>
        <v>8.4189601590279106E-2</v>
      </c>
      <c r="N1898" s="63">
        <v>50793</v>
      </c>
      <c r="O1898" s="63">
        <v>14332</v>
      </c>
      <c r="P1898" s="63">
        <v>295</v>
      </c>
      <c r="Q1898" s="63">
        <v>4362</v>
      </c>
      <c r="R1898" s="63">
        <v>1452</v>
      </c>
      <c r="S1898" s="63">
        <v>75</v>
      </c>
      <c r="T1898" s="63">
        <v>30</v>
      </c>
      <c r="U1898" s="63"/>
      <c r="V1898" s="63">
        <v>95</v>
      </c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W1898" s="5">
        <f>IF(Q1898&gt;0,RANK(Q1898,(N1898:P1898,Q1898:AE1898)),0)</f>
        <v>3</v>
      </c>
      <c r="AX1898" s="5">
        <f>IF(R1898&gt;0,RANK(R1898,(N1898:P1898,Q1898:AE1898)),0)</f>
        <v>4</v>
      </c>
      <c r="AY1898" s="5">
        <f>IF(T1898&gt;0,RANK(T1898,(N1898:P1898,Q1898:AE1898)),0)</f>
        <v>8</v>
      </c>
      <c r="AZ1898" s="5">
        <f>IF(S1898&gt;0,RANK(S1898,(N1898:P1898,Q1898:AE1898)),0)</f>
        <v>7</v>
      </c>
      <c r="BA1898" s="2">
        <f t="shared" si="783"/>
        <v>6.106335918470196E-2</v>
      </c>
      <c r="BB1898" s="2">
        <f t="shared" si="784"/>
        <v>2.0326455189405606E-2</v>
      </c>
      <c r="BC1898" s="2">
        <f t="shared" si="785"/>
        <v>4.1996808242573562E-4</v>
      </c>
      <c r="BD1898" s="2">
        <f t="shared" si="786"/>
        <v>1.0499202060643392E-3</v>
      </c>
      <c r="BF1898" t="s">
        <v>1446</v>
      </c>
      <c r="BG1898" t="s">
        <v>2458</v>
      </c>
      <c r="BJ1898" s="114">
        <v>35</v>
      </c>
      <c r="BK1898" s="116">
        <v>49</v>
      </c>
      <c r="BL1898" s="120">
        <f t="shared" si="787"/>
        <v>35049</v>
      </c>
      <c r="BN1898" s="5" t="s">
        <v>3154</v>
      </c>
    </row>
    <row r="1899" spans="1:66" hidden="1" outlineLevel="1">
      <c r="A1899" t="s">
        <v>2605</v>
      </c>
      <c r="B1899" t="s">
        <v>2458</v>
      </c>
      <c r="C1899" s="1">
        <f t="shared" si="778"/>
        <v>5181</v>
      </c>
      <c r="D1899" s="5">
        <f>IF(N1899&gt;0, RANK(N1899,(N1899:P1899,Q1899:AE1899)),0)</f>
        <v>2</v>
      </c>
      <c r="E1899" s="5">
        <f>IF(O1899&gt;0,RANK(O1899,(N1899:P1899,Q1899:AE1899)),0)</f>
        <v>1</v>
      </c>
      <c r="F1899" s="5">
        <f>IF(P1899&gt;0,RANK(P1899,(N1899:P1899,Q1899:AE1899)),0)</f>
        <v>5</v>
      </c>
      <c r="G1899" s="132">
        <f t="shared" si="775"/>
        <v>1398</v>
      </c>
      <c r="H1899" s="137">
        <f t="shared" si="776"/>
        <v>0.26983207874927623</v>
      </c>
      <c r="I1899" s="2"/>
      <c r="J1899" s="2">
        <f t="shared" si="779"/>
        <v>0.3111368461686933</v>
      </c>
      <c r="K1899" s="2">
        <f t="shared" si="780"/>
        <v>0.58096892491796948</v>
      </c>
      <c r="L1899" s="2">
        <f t="shared" si="781"/>
        <v>3.8602586373287012E-3</v>
      </c>
      <c r="M1899" s="2">
        <f t="shared" si="782"/>
        <v>0.10403397027600852</v>
      </c>
      <c r="N1899" s="63">
        <v>1612</v>
      </c>
      <c r="O1899" s="63">
        <v>3010</v>
      </c>
      <c r="P1899" s="63">
        <v>20</v>
      </c>
      <c r="Q1899" s="63">
        <v>442</v>
      </c>
      <c r="R1899" s="63">
        <v>78</v>
      </c>
      <c r="S1899" s="63">
        <v>12</v>
      </c>
      <c r="T1899" s="63">
        <v>1</v>
      </c>
      <c r="U1899" s="63"/>
      <c r="V1899" s="63">
        <v>6</v>
      </c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W1899" s="5">
        <f>IF(Q1899&gt;0,RANK(Q1899,(N1899:P1899,Q1899:AE1899)),0)</f>
        <v>3</v>
      </c>
      <c r="AX1899" s="5">
        <f>IF(R1899&gt;0,RANK(R1899,(N1899:P1899,Q1899:AE1899)),0)</f>
        <v>4</v>
      </c>
      <c r="AY1899" s="5">
        <f>IF(T1899&gt;0,RANK(T1899,(N1899:P1899,Q1899:AE1899)),0)</f>
        <v>8</v>
      </c>
      <c r="AZ1899" s="5">
        <f>IF(S1899&gt;0,RANK(S1899,(N1899:P1899,Q1899:AE1899)),0)</f>
        <v>6</v>
      </c>
      <c r="BA1899" s="2">
        <f t="shared" si="783"/>
        <v>8.5311715884964293E-2</v>
      </c>
      <c r="BB1899" s="2">
        <f t="shared" si="784"/>
        <v>1.5055008685581933E-2</v>
      </c>
      <c r="BC1899" s="2">
        <f t="shared" si="785"/>
        <v>1.9301293186643504E-4</v>
      </c>
      <c r="BD1899" s="2">
        <f t="shared" si="786"/>
        <v>2.3161551823972205E-3</v>
      </c>
      <c r="BF1899" t="s">
        <v>2605</v>
      </c>
      <c r="BG1899" t="s">
        <v>2458</v>
      </c>
      <c r="BH1899">
        <v>2</v>
      </c>
      <c r="BJ1899" s="114">
        <v>35</v>
      </c>
      <c r="BK1899" s="116">
        <v>51</v>
      </c>
      <c r="BL1899" s="120">
        <f t="shared" si="787"/>
        <v>35051</v>
      </c>
      <c r="BN1899" s="5" t="s">
        <v>3154</v>
      </c>
    </row>
    <row r="1900" spans="1:66" hidden="1" outlineLevel="1">
      <c r="A1900" t="s">
        <v>1772</v>
      </c>
      <c r="B1900" t="s">
        <v>2458</v>
      </c>
      <c r="C1900" s="1">
        <f t="shared" si="778"/>
        <v>6868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5</v>
      </c>
      <c r="G1900" s="132">
        <f t="shared" si="775"/>
        <v>697</v>
      </c>
      <c r="H1900" s="137">
        <f t="shared" si="776"/>
        <v>0.10148514851485149</v>
      </c>
      <c r="I1900" s="2"/>
      <c r="J1900" s="2">
        <f t="shared" si="779"/>
        <v>0.48238206173558534</v>
      </c>
      <c r="K1900" s="2">
        <f t="shared" si="780"/>
        <v>0.38089691322073382</v>
      </c>
      <c r="L1900" s="2">
        <f t="shared" si="781"/>
        <v>5.6785090273733258E-3</v>
      </c>
      <c r="M1900" s="2">
        <f t="shared" si="782"/>
        <v>0.13104251601630745</v>
      </c>
      <c r="N1900" s="63">
        <v>3313</v>
      </c>
      <c r="O1900" s="63">
        <v>2616</v>
      </c>
      <c r="P1900" s="63">
        <v>39</v>
      </c>
      <c r="Q1900" s="63">
        <v>802</v>
      </c>
      <c r="R1900" s="63">
        <v>60</v>
      </c>
      <c r="S1900" s="63">
        <v>15</v>
      </c>
      <c r="T1900" s="63">
        <v>3</v>
      </c>
      <c r="U1900" s="63"/>
      <c r="V1900" s="63">
        <v>20</v>
      </c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W1900" s="5">
        <f>IF(Q1900&gt;0,RANK(Q1900,(N1900:P1900,Q1900:AE1900)),0)</f>
        <v>3</v>
      </c>
      <c r="AX1900" s="5">
        <f>IF(R1900&gt;0,RANK(R1900,(N1900:P1900,Q1900:AE1900)),0)</f>
        <v>4</v>
      </c>
      <c r="AY1900" s="5">
        <f>IF(T1900&gt;0,RANK(T1900,(N1900:P1900,Q1900:AE1900)),0)</f>
        <v>8</v>
      </c>
      <c r="AZ1900" s="5">
        <f>IF(S1900&gt;0,RANK(S1900,(N1900:P1900,Q1900:AE1900)),0)</f>
        <v>7</v>
      </c>
      <c r="BA1900" s="2">
        <f t="shared" si="783"/>
        <v>0.11677344205008736</v>
      </c>
      <c r="BB1900" s="2">
        <f t="shared" si="784"/>
        <v>8.7361677344205014E-3</v>
      </c>
      <c r="BC1900" s="2">
        <f t="shared" si="785"/>
        <v>4.3680838672102506E-4</v>
      </c>
      <c r="BD1900" s="2">
        <f t="shared" si="786"/>
        <v>2.1840419336051253E-3</v>
      </c>
      <c r="BF1900" t="s">
        <v>1772</v>
      </c>
      <c r="BG1900" t="s">
        <v>2458</v>
      </c>
      <c r="BH1900">
        <v>2</v>
      </c>
      <c r="BJ1900" s="114">
        <v>35</v>
      </c>
      <c r="BK1900" s="116">
        <v>53</v>
      </c>
      <c r="BL1900" s="120">
        <f t="shared" si="787"/>
        <v>35053</v>
      </c>
      <c r="BN1900" s="5" t="s">
        <v>3154</v>
      </c>
    </row>
    <row r="1901" spans="1:66" hidden="1" outlineLevel="1">
      <c r="A1901" t="s">
        <v>2428</v>
      </c>
      <c r="B1901" t="s">
        <v>2458</v>
      </c>
      <c r="C1901" s="1">
        <f t="shared" si="778"/>
        <v>15260</v>
      </c>
      <c r="D1901" s="5">
        <f>IF(N1901&gt;0, RANK(N1901,(N1901:P1901,Q1901:AE1901)),0)</f>
        <v>1</v>
      </c>
      <c r="E1901" s="5">
        <f>IF(O1901&gt;0,RANK(O1901,(N1901:P1901,Q1901:AE1901)),0)</f>
        <v>2</v>
      </c>
      <c r="F1901" s="5">
        <f>IF(P1901&gt;0,RANK(P1901,(N1901:P1901,Q1901:AE1901)),0)</f>
        <v>5</v>
      </c>
      <c r="G1901" s="132">
        <f t="shared" si="775"/>
        <v>7941</v>
      </c>
      <c r="H1901" s="137">
        <f t="shared" si="776"/>
        <v>0.52038007863695934</v>
      </c>
      <c r="I1901" s="2"/>
      <c r="J1901" s="2">
        <f t="shared" si="779"/>
        <v>0.69908256880733943</v>
      </c>
      <c r="K1901" s="2">
        <f t="shared" si="780"/>
        <v>0.17870249017038009</v>
      </c>
      <c r="L1901" s="2">
        <f t="shared" si="781"/>
        <v>2.0314547837483616E-3</v>
      </c>
      <c r="M1901" s="2">
        <f t="shared" si="782"/>
        <v>0.12018348623853212</v>
      </c>
      <c r="N1901" s="63">
        <v>10668</v>
      </c>
      <c r="O1901" s="63">
        <v>2727</v>
      </c>
      <c r="P1901" s="63">
        <v>31</v>
      </c>
      <c r="Q1901" s="63">
        <v>1179</v>
      </c>
      <c r="R1901" s="63">
        <v>617</v>
      </c>
      <c r="S1901" s="63">
        <v>6</v>
      </c>
      <c r="T1901" s="63">
        <v>5</v>
      </c>
      <c r="U1901" s="63"/>
      <c r="V1901" s="63">
        <v>27</v>
      </c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W1901" s="5">
        <f>IF(Q1901&gt;0,RANK(Q1901,(N1901:P1901,Q1901:AE1901)),0)</f>
        <v>3</v>
      </c>
      <c r="AX1901" s="5">
        <f>IF(R1901&gt;0,RANK(R1901,(N1901:P1901,Q1901:AE1901)),0)</f>
        <v>4</v>
      </c>
      <c r="AY1901" s="5">
        <f>IF(T1901&gt;0,RANK(T1901,(N1901:P1901,Q1901:AE1901)),0)</f>
        <v>8</v>
      </c>
      <c r="AZ1901" s="5">
        <f>IF(S1901&gt;0,RANK(S1901,(N1901:P1901,Q1901:AE1901)),0)</f>
        <v>7</v>
      </c>
      <c r="BA1901" s="2">
        <f t="shared" si="783"/>
        <v>7.7260812581913502E-2</v>
      </c>
      <c r="BB1901" s="2">
        <f t="shared" si="784"/>
        <v>4.0432503276539973E-2</v>
      </c>
      <c r="BC1901" s="2">
        <f t="shared" si="785"/>
        <v>3.2765399737876802E-4</v>
      </c>
      <c r="BD1901" s="2">
        <f t="shared" si="786"/>
        <v>3.9318479685452164E-4</v>
      </c>
      <c r="BF1901" t="s">
        <v>2428</v>
      </c>
      <c r="BG1901" t="s">
        <v>2458</v>
      </c>
      <c r="BH1901">
        <v>3</v>
      </c>
      <c r="BJ1901" s="114">
        <v>35</v>
      </c>
      <c r="BK1901" s="116">
        <v>55</v>
      </c>
      <c r="BL1901" s="120">
        <f t="shared" si="787"/>
        <v>35055</v>
      </c>
      <c r="BN1901" s="5" t="s">
        <v>3154</v>
      </c>
    </row>
    <row r="1902" spans="1:66" hidden="1" outlineLevel="1">
      <c r="A1902" t="s">
        <v>807</v>
      </c>
      <c r="B1902" t="s">
        <v>2458</v>
      </c>
      <c r="C1902" s="1">
        <f t="shared" si="778"/>
        <v>6324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5</v>
      </c>
      <c r="G1902" s="132">
        <f t="shared" si="775"/>
        <v>1929</v>
      </c>
      <c r="H1902" s="137">
        <f t="shared" si="776"/>
        <v>0.30502846299810249</v>
      </c>
      <c r="I1902" s="2"/>
      <c r="J1902" s="2">
        <f t="shared" si="779"/>
        <v>0.28225806451612906</v>
      </c>
      <c r="K1902" s="2">
        <f t="shared" si="780"/>
        <v>0.58728652751423149</v>
      </c>
      <c r="L1902" s="2">
        <f t="shared" si="781"/>
        <v>5.6925996204933585E-3</v>
      </c>
      <c r="M1902" s="2">
        <f t="shared" si="782"/>
        <v>0.12476280834914615</v>
      </c>
      <c r="N1902" s="63">
        <v>1785</v>
      </c>
      <c r="O1902" s="63">
        <v>3714</v>
      </c>
      <c r="P1902" s="63">
        <v>36</v>
      </c>
      <c r="Q1902" s="63">
        <v>692</v>
      </c>
      <c r="R1902" s="63">
        <v>66</v>
      </c>
      <c r="S1902" s="63">
        <v>16</v>
      </c>
      <c r="T1902" s="63">
        <v>6</v>
      </c>
      <c r="U1902" s="63"/>
      <c r="V1902" s="63">
        <v>9</v>
      </c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W1902" s="5">
        <f>IF(Q1902&gt;0,RANK(Q1902,(N1902:P1902,Q1902:AE1902)),0)</f>
        <v>3</v>
      </c>
      <c r="AX1902" s="5">
        <f>IF(R1902&gt;0,RANK(R1902,(N1902:P1902,Q1902:AE1902)),0)</f>
        <v>4</v>
      </c>
      <c r="AY1902" s="5">
        <f>IF(T1902&gt;0,RANK(T1902,(N1902:P1902,Q1902:AE1902)),0)</f>
        <v>8</v>
      </c>
      <c r="AZ1902" s="5">
        <f>IF(S1902&gt;0,RANK(S1902,(N1902:P1902,Q1902:AE1902)),0)</f>
        <v>6</v>
      </c>
      <c r="BA1902" s="2">
        <f t="shared" si="783"/>
        <v>0.10942441492726122</v>
      </c>
      <c r="BB1902" s="2">
        <f t="shared" si="784"/>
        <v>1.0436432637571158E-2</v>
      </c>
      <c r="BC1902" s="2">
        <f t="shared" si="785"/>
        <v>9.4876660341555979E-4</v>
      </c>
      <c r="BD1902" s="2">
        <f t="shared" si="786"/>
        <v>2.5300442757748261E-3</v>
      </c>
      <c r="BF1902" t="s">
        <v>807</v>
      </c>
      <c r="BG1902" t="s">
        <v>2458</v>
      </c>
      <c r="BH1902">
        <v>1</v>
      </c>
      <c r="BJ1902" s="114">
        <v>35</v>
      </c>
      <c r="BK1902" s="116">
        <v>57</v>
      </c>
      <c r="BL1902" s="120">
        <f t="shared" si="787"/>
        <v>35057</v>
      </c>
      <c r="BN1902" s="5" t="s">
        <v>3154</v>
      </c>
    </row>
    <row r="1903" spans="1:66" hidden="1" outlineLevel="1">
      <c r="A1903" t="s">
        <v>1513</v>
      </c>
      <c r="B1903" t="s">
        <v>2458</v>
      </c>
      <c r="C1903" s="1">
        <f t="shared" si="778"/>
        <v>1702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5</v>
      </c>
      <c r="G1903" s="132">
        <f t="shared" si="775"/>
        <v>896</v>
      </c>
      <c r="H1903" s="137">
        <f t="shared" si="776"/>
        <v>0.52643948296122212</v>
      </c>
      <c r="I1903" s="2"/>
      <c r="J1903" s="2">
        <f t="shared" si="779"/>
        <v>0.18801410105757932</v>
      </c>
      <c r="K1903" s="2">
        <f t="shared" si="780"/>
        <v>0.71445358401880144</v>
      </c>
      <c r="L1903" s="2">
        <f t="shared" si="781"/>
        <v>5.2878965922444187E-3</v>
      </c>
      <c r="M1903" s="2">
        <f t="shared" si="782"/>
        <v>9.2244418331374825E-2</v>
      </c>
      <c r="N1903" s="63">
        <v>320</v>
      </c>
      <c r="O1903" s="63">
        <v>1216</v>
      </c>
      <c r="P1903" s="63">
        <v>9</v>
      </c>
      <c r="Q1903" s="63">
        <v>134</v>
      </c>
      <c r="R1903" s="63">
        <v>13</v>
      </c>
      <c r="S1903" s="63">
        <v>7</v>
      </c>
      <c r="T1903" s="63">
        <v>2</v>
      </c>
      <c r="U1903" s="63"/>
      <c r="V1903" s="63">
        <v>1</v>
      </c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W1903" s="5">
        <f>IF(Q1903&gt;0,RANK(Q1903,(N1903:P1903,Q1903:AE1903)),0)</f>
        <v>3</v>
      </c>
      <c r="AX1903" s="5">
        <f>IF(R1903&gt;0,RANK(R1903,(N1903:P1903,Q1903:AE1903)),0)</f>
        <v>4</v>
      </c>
      <c r="AY1903" s="5">
        <f>IF(T1903&gt;0,RANK(T1903,(N1903:P1903,Q1903:AE1903)),0)</f>
        <v>7</v>
      </c>
      <c r="AZ1903" s="5">
        <f>IF(S1903&gt;0,RANK(S1903,(N1903:P1903,Q1903:AE1903)),0)</f>
        <v>6</v>
      </c>
      <c r="BA1903" s="2">
        <f t="shared" si="783"/>
        <v>7.8730904817861339E-2</v>
      </c>
      <c r="BB1903" s="2">
        <f t="shared" si="784"/>
        <v>7.6380728554641597E-3</v>
      </c>
      <c r="BC1903" s="2">
        <f t="shared" si="785"/>
        <v>1.1750881316098707E-3</v>
      </c>
      <c r="BD1903" s="2">
        <f t="shared" si="786"/>
        <v>4.1128084606345478E-3</v>
      </c>
      <c r="BF1903" t="s">
        <v>1513</v>
      </c>
      <c r="BG1903" t="s">
        <v>2458</v>
      </c>
      <c r="BH1903">
        <v>3</v>
      </c>
      <c r="BJ1903" s="114">
        <v>35</v>
      </c>
      <c r="BK1903" s="116">
        <v>59</v>
      </c>
      <c r="BL1903" s="120">
        <f t="shared" si="787"/>
        <v>35059</v>
      </c>
      <c r="BN1903" s="5" t="s">
        <v>3154</v>
      </c>
    </row>
    <row r="1904" spans="1:66" hidden="1" outlineLevel="1">
      <c r="A1904" t="s">
        <v>484</v>
      </c>
      <c r="B1904" t="s">
        <v>2458</v>
      </c>
      <c r="C1904" s="1">
        <f t="shared" si="778"/>
        <v>27592</v>
      </c>
      <c r="D1904" s="5">
        <f>IF(N1904&gt;0, RANK(N1904,(N1904:P1904,Q1904:AE1904)),0)</f>
        <v>2</v>
      </c>
      <c r="E1904" s="5">
        <f>IF(O1904&gt;0,RANK(O1904,(N1904:P1904,Q1904:AE1904)),0)</f>
        <v>1</v>
      </c>
      <c r="F1904" s="5">
        <f>IF(P1904&gt;0,RANK(P1904,(N1904:P1904,Q1904:AE1904)),0)</f>
        <v>5</v>
      </c>
      <c r="G1904" s="132">
        <f t="shared" si="775"/>
        <v>2374</v>
      </c>
      <c r="H1904" s="137">
        <f t="shared" si="776"/>
        <v>8.6039431719338935E-2</v>
      </c>
      <c r="I1904" s="2"/>
      <c r="J1904" s="2">
        <f t="shared" si="779"/>
        <v>0.39290374021455493</v>
      </c>
      <c r="K1904" s="2">
        <f t="shared" si="780"/>
        <v>0.47894317193389391</v>
      </c>
      <c r="L1904" s="2">
        <f t="shared" si="781"/>
        <v>5.8350246448245872E-3</v>
      </c>
      <c r="M1904" s="2">
        <f t="shared" si="782"/>
        <v>0.12231806320672652</v>
      </c>
      <c r="N1904" s="63">
        <v>10841</v>
      </c>
      <c r="O1904" s="63">
        <v>13215</v>
      </c>
      <c r="P1904" s="63">
        <v>161</v>
      </c>
      <c r="Q1904" s="63">
        <v>3046</v>
      </c>
      <c r="R1904" s="63">
        <v>219</v>
      </c>
      <c r="S1904" s="63">
        <v>63</v>
      </c>
      <c r="T1904" s="63">
        <v>19</v>
      </c>
      <c r="U1904" s="63"/>
      <c r="V1904" s="63">
        <v>28</v>
      </c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W1904" s="5">
        <f>IF(Q1904&gt;0,RANK(Q1904,(N1904:P1904,Q1904:AE1904)),0)</f>
        <v>3</v>
      </c>
      <c r="AX1904" s="5">
        <f>IF(R1904&gt;0,RANK(R1904,(N1904:P1904,Q1904:AE1904)),0)</f>
        <v>4</v>
      </c>
      <c r="AY1904" s="5">
        <f>IF(T1904&gt;0,RANK(T1904,(N1904:P1904,Q1904:AE1904)),0)</f>
        <v>8</v>
      </c>
      <c r="AZ1904" s="5">
        <f>IF(S1904&gt;0,RANK(S1904,(N1904:P1904,Q1904:AE1904)),0)</f>
        <v>6</v>
      </c>
      <c r="BA1904" s="2">
        <f t="shared" si="783"/>
        <v>0.11039431719338939</v>
      </c>
      <c r="BB1904" s="2">
        <f t="shared" si="784"/>
        <v>7.9370832125253699E-3</v>
      </c>
      <c r="BC1904" s="2">
        <f t="shared" si="785"/>
        <v>6.8860539286749788E-4</v>
      </c>
      <c r="BD1904" s="2">
        <f t="shared" si="786"/>
        <v>2.2832705131922296E-3</v>
      </c>
      <c r="BF1904" t="s">
        <v>484</v>
      </c>
      <c r="BG1904" t="s">
        <v>2458</v>
      </c>
      <c r="BJ1904" s="114">
        <v>35</v>
      </c>
      <c r="BK1904" s="116">
        <v>61</v>
      </c>
      <c r="BL1904" s="120">
        <f t="shared" si="787"/>
        <v>35061</v>
      </c>
      <c r="BN1904" s="5" t="s">
        <v>3154</v>
      </c>
    </row>
    <row r="1905" spans="1:103" collapsed="1">
      <c r="A1905" t="s">
        <v>2756</v>
      </c>
      <c r="B1905" t="s">
        <v>544</v>
      </c>
      <c r="C1905" s="1">
        <f t="shared" si="778"/>
        <v>798319</v>
      </c>
      <c r="D1905" s="5">
        <f>IF(N1905&gt;0, RANK(N1905,(N1905:P1905,Q1905:AE1905)),0)</f>
        <v>1</v>
      </c>
      <c r="E1905" s="5">
        <f>IF(O1905&gt;0,RANK(O1905,(N1905:P1905,Q1905:AE1905)),0)</f>
        <v>2</v>
      </c>
      <c r="F1905" s="5">
        <f>IF(P1905&gt;0,RANK(P1905,(N1905:P1905,Q1905:AE1905)),0)</f>
        <v>5</v>
      </c>
      <c r="G1905" s="132">
        <f t="shared" si="775"/>
        <v>65567</v>
      </c>
      <c r="H1905" s="137">
        <f t="shared" si="776"/>
        <v>8.2131328453913785E-2</v>
      </c>
      <c r="I1905" s="2"/>
      <c r="J1905" s="2">
        <f t="shared" si="779"/>
        <v>0.48255647178634103</v>
      </c>
      <c r="K1905" s="2">
        <f t="shared" si="780"/>
        <v>0.40042514333242724</v>
      </c>
      <c r="L1905" s="2">
        <f t="shared" si="781"/>
        <v>7.2965819428073243E-3</v>
      </c>
      <c r="M1905" s="2">
        <f t="shared" si="782"/>
        <v>0.10972180293842435</v>
      </c>
      <c r="N1905" s="63">
        <f t="shared" ref="N1905:V1905" si="788">SUM(N1872:N1904)</f>
        <v>385234</v>
      </c>
      <c r="O1905" s="63">
        <f t="shared" si="788"/>
        <v>319667</v>
      </c>
      <c r="P1905" s="63">
        <f t="shared" si="788"/>
        <v>5825</v>
      </c>
      <c r="Q1905" s="63">
        <f t="shared" si="788"/>
        <v>74541</v>
      </c>
      <c r="R1905" s="63">
        <f t="shared" si="788"/>
        <v>9879</v>
      </c>
      <c r="S1905" s="63">
        <f t="shared" si="788"/>
        <v>1514</v>
      </c>
      <c r="T1905" s="63">
        <f t="shared" si="788"/>
        <v>475</v>
      </c>
      <c r="U1905" s="63"/>
      <c r="V1905" s="63">
        <f t="shared" si="788"/>
        <v>1184</v>
      </c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W1905" s="5">
        <f>IF(Q1905&gt;0,RANK(Q1905,(N1905:P1905,Q1905:AE1905)),0)</f>
        <v>3</v>
      </c>
      <c r="AX1905" s="5">
        <f>IF(R1905&gt;0,RANK(R1905,(N1905:P1905,Q1905:AE1905)),0)</f>
        <v>4</v>
      </c>
      <c r="AY1905" s="5">
        <f>IF(T1905&gt;0,RANK(T1905,(N1905:P1905,Q1905:AE1905)),0)</f>
        <v>8</v>
      </c>
      <c r="AZ1905" s="5">
        <f>IF(S1905&gt;0,RANK(S1905,(N1905:P1905,Q1905:AE1905)),0)</f>
        <v>6</v>
      </c>
      <c r="BA1905" s="2">
        <f t="shared" si="783"/>
        <v>9.3372448858163218E-2</v>
      </c>
      <c r="BB1905" s="2">
        <f t="shared" si="784"/>
        <v>1.2374752448582584E-2</v>
      </c>
      <c r="BC1905" s="2">
        <f t="shared" si="785"/>
        <v>5.9500024426325821E-4</v>
      </c>
      <c r="BD1905" s="2">
        <f t="shared" si="786"/>
        <v>1.8964849890833113E-3</v>
      </c>
      <c r="BF1905" t="s">
        <v>2756</v>
      </c>
      <c r="BG1905" t="s">
        <v>544</v>
      </c>
      <c r="BJ1905" s="114">
        <v>35</v>
      </c>
      <c r="BK1905" s="116"/>
      <c r="BL1905" s="114">
        <v>35</v>
      </c>
      <c r="BN1905" s="5" t="s">
        <v>711</v>
      </c>
    </row>
    <row r="1906" spans="1:103">
      <c r="C1906" s="1"/>
      <c r="E1906" s="5"/>
      <c r="F1906" s="5"/>
      <c r="G1906" s="132"/>
      <c r="H1906" s="137"/>
      <c r="I1906" s="2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W1906" s="5"/>
      <c r="AX1906" s="5"/>
      <c r="AY1906" s="5"/>
      <c r="AZ1906" s="5"/>
      <c r="BJ1906" s="114"/>
      <c r="BK1906" s="116"/>
      <c r="BL1906" s="120"/>
      <c r="BT1906" s="132" t="s">
        <v>3412</v>
      </c>
      <c r="BU1906" s="132" t="s">
        <v>3414</v>
      </c>
      <c r="BV1906" s="132" t="s">
        <v>3415</v>
      </c>
      <c r="BW1906" s="132" t="s">
        <v>3413</v>
      </c>
      <c r="BX1906" s="132" t="s">
        <v>4269</v>
      </c>
      <c r="BY1906" s="132" t="s">
        <v>4271</v>
      </c>
      <c r="BZ1906" s="132" t="s">
        <v>4270</v>
      </c>
      <c r="CB1906" s="132" t="s">
        <v>3266</v>
      </c>
      <c r="CC1906" s="132"/>
      <c r="CD1906" s="132" t="s">
        <v>4272</v>
      </c>
      <c r="CE1906" s="63" t="s">
        <v>4273</v>
      </c>
      <c r="CF1906" s="63" t="s">
        <v>4274</v>
      </c>
      <c r="CG1906" s="8" t="s">
        <v>3626</v>
      </c>
      <c r="CH1906" s="8" t="s">
        <v>4275</v>
      </c>
      <c r="CI1906" s="8" t="s">
        <v>4276</v>
      </c>
      <c r="CJ1906" s="8" t="s">
        <v>4277</v>
      </c>
      <c r="CK1906" s="8" t="s">
        <v>4278</v>
      </c>
      <c r="CL1906" s="8" t="s">
        <v>4279</v>
      </c>
      <c r="CM1906" s="8" t="s">
        <v>4280</v>
      </c>
      <c r="CN1906" s="8" t="s">
        <v>3510</v>
      </c>
      <c r="CO1906" s="8" t="s">
        <v>4281</v>
      </c>
      <c r="CP1906" t="s">
        <v>4282</v>
      </c>
      <c r="CQ1906" t="s">
        <v>4283</v>
      </c>
      <c r="CR1906" t="s">
        <v>4284</v>
      </c>
      <c r="CS1906" t="s">
        <v>3512</v>
      </c>
      <c r="CT1906" t="s">
        <v>3323</v>
      </c>
      <c r="CU1906" t="s">
        <v>4285</v>
      </c>
      <c r="CV1906" t="s">
        <v>4286</v>
      </c>
      <c r="CW1906" t="s">
        <v>4287</v>
      </c>
      <c r="CX1906" t="s">
        <v>4288</v>
      </c>
      <c r="CY1906" t="s">
        <v>4289</v>
      </c>
    </row>
    <row r="1907" spans="1:103" hidden="1" outlineLevel="1">
      <c r="A1907" t="s">
        <v>233</v>
      </c>
      <c r="B1907" t="s">
        <v>193</v>
      </c>
      <c r="C1907" s="1">
        <f t="shared" ref="C1907:C1938" si="789">SUM(N1907:AU1907)</f>
        <v>139818</v>
      </c>
      <c r="D1907" s="5">
        <f>IF(N1907&gt;0, RANK(N1907,(N1907:P1907,Q1907:AE1907)),0)</f>
        <v>1</v>
      </c>
      <c r="E1907" s="5">
        <f>IF(O1907&gt;0,RANK(O1907,(N1907:P1907,Q1907:AE1907)),0)</f>
        <v>2</v>
      </c>
      <c r="F1907" s="5">
        <f>IF(P1907&gt;0,RANK(P1907,(N1907:P1907,Q1907:AE1907)),0)</f>
        <v>6</v>
      </c>
      <c r="G1907" s="132">
        <f t="shared" si="775"/>
        <v>35263</v>
      </c>
      <c r="H1907" s="137">
        <f t="shared" si="776"/>
        <v>0.25220643980031182</v>
      </c>
      <c r="I1907" s="2"/>
      <c r="J1907" s="2">
        <f t="shared" ref="J1907:J1933" si="790">IF($C1907=0,"-",N1907/$C1907)</f>
        <v>0.59413666337667537</v>
      </c>
      <c r="K1907" s="2">
        <f t="shared" ref="K1907:K1933" si="791">IF($C1907=0,"-",O1907/$C1907)</f>
        <v>0.34193022357636355</v>
      </c>
      <c r="L1907" s="2">
        <f t="shared" ref="L1907:L1933" si="792">IF($C1907=0,"-",P1907/$C1907)</f>
        <v>1.9525382997897267E-3</v>
      </c>
      <c r="M1907" s="2">
        <f t="shared" ref="M1907:M1933" si="793">IF(C1907=0,"-",(1-J1907-K1907-L1907))</f>
        <v>6.1980574747171363E-2</v>
      </c>
      <c r="N1907" s="63">
        <f t="shared" ref="N1907:N1938" si="794">BT1907+BW1907+BY1907</f>
        <v>83071</v>
      </c>
      <c r="O1907" s="63">
        <f t="shared" ref="O1907:O1938" si="795">BU1907+BV1907</f>
        <v>47808</v>
      </c>
      <c r="P1907" s="63">
        <v>273</v>
      </c>
      <c r="Q1907" s="63">
        <f t="shared" ref="Q1907:Q1938" si="796">BX1907+BZ1907</f>
        <v>4792</v>
      </c>
      <c r="R1907" s="63">
        <v>2475</v>
      </c>
      <c r="S1907" s="63">
        <v>18</v>
      </c>
      <c r="T1907" s="63">
        <v>0</v>
      </c>
      <c r="U1907" s="63">
        <v>3</v>
      </c>
      <c r="V1907" s="63">
        <v>3</v>
      </c>
      <c r="W1907" s="63">
        <f>SUM(CB1907:CY1907)</f>
        <v>1355</v>
      </c>
      <c r="X1907" s="63"/>
      <c r="Y1907" s="63">
        <v>1</v>
      </c>
      <c r="Z1907" s="63"/>
      <c r="AA1907" s="63">
        <v>1</v>
      </c>
      <c r="AB1907" s="63"/>
      <c r="AC1907" s="63"/>
      <c r="AD1907" s="63"/>
      <c r="AE1907" s="63"/>
      <c r="AF1907" s="63"/>
      <c r="AG1907" s="63">
        <v>4</v>
      </c>
      <c r="AH1907" s="63"/>
      <c r="AI1907" s="63"/>
      <c r="AJ1907" s="63"/>
      <c r="AK1907" s="63"/>
      <c r="AL1907" s="63">
        <v>5</v>
      </c>
      <c r="AM1907" s="63"/>
      <c r="AN1907" s="63">
        <v>9</v>
      </c>
      <c r="AO1907" s="63"/>
      <c r="AP1907" s="63"/>
      <c r="AQ1907" s="63"/>
      <c r="AR1907" s="63"/>
      <c r="AS1907" s="63"/>
      <c r="AT1907" s="63"/>
      <c r="AU1907" s="63"/>
      <c r="AW1907" s="5">
        <f>IF(Q1907&gt;0,RANK(Q1907,(N1907:P1907,Q1907:AE1907)),0)</f>
        <v>3</v>
      </c>
      <c r="AX1907" s="5">
        <f>IF(R1907&gt;0,RANK(R1907,(N1907:P1907,Q1907:AE1907)),0)</f>
        <v>4</v>
      </c>
      <c r="AY1907" s="5">
        <f>IF(T1907&gt;0,RANK(T1907,(N1907:P1907,Q1907:AE1907)),0)</f>
        <v>0</v>
      </c>
      <c r="AZ1907" s="5">
        <f>IF(S1907&gt;0,RANK(S1907,(N1907:P1907,Q1907:AE1907)),0)</f>
        <v>7</v>
      </c>
      <c r="BA1907" s="2">
        <f t="shared" ref="BA1907:BA1938" si="797">IF($C1907=0,"-",Q1907/$C1907)</f>
        <v>3.4273126493012347E-2</v>
      </c>
      <c r="BB1907" s="2">
        <f t="shared" ref="BB1907:BB1938" si="798">IF($C1907=0,"-",R1907/$C1907)</f>
        <v>1.7701583487104666E-2</v>
      </c>
      <c r="BC1907" s="2">
        <f t="shared" ref="BC1907:BC1938" si="799">IF($C1907=0,"-",T1907/$C1907)</f>
        <v>0</v>
      </c>
      <c r="BD1907" s="2">
        <f t="shared" ref="BD1907:BD1938" si="800">IF($C1907=0,"-",S1907/$C1907)</f>
        <v>1.2873878899712484E-4</v>
      </c>
      <c r="BF1907" t="s">
        <v>233</v>
      </c>
      <c r="BG1907" t="s">
        <v>193</v>
      </c>
      <c r="BH1907">
        <v>20</v>
      </c>
      <c r="BJ1907" s="114">
        <v>36</v>
      </c>
      <c r="BK1907" s="116">
        <v>1</v>
      </c>
      <c r="BL1907" s="120">
        <f t="shared" si="787"/>
        <v>36001</v>
      </c>
      <c r="BN1907" s="5" t="s">
        <v>3154</v>
      </c>
      <c r="BO1907" s="63">
        <v>1350</v>
      </c>
      <c r="BP1907" s="63">
        <v>145</v>
      </c>
      <c r="BR1907" s="63"/>
      <c r="BT1907" s="63">
        <v>78504</v>
      </c>
      <c r="BU1907" s="63">
        <v>42554</v>
      </c>
      <c r="BV1907" s="63">
        <v>5254</v>
      </c>
      <c r="BW1907" s="63">
        <v>3419</v>
      </c>
      <c r="BX1907" s="63">
        <v>3099</v>
      </c>
      <c r="BY1907" s="63">
        <v>1148</v>
      </c>
      <c r="BZ1907" s="63">
        <v>1693</v>
      </c>
      <c r="CB1907" s="63">
        <v>1318</v>
      </c>
      <c r="CD1907" s="63">
        <v>0</v>
      </c>
      <c r="CE1907" s="63">
        <v>0</v>
      </c>
      <c r="CF1907" s="63">
        <v>0</v>
      </c>
      <c r="CG1907" s="8">
        <v>4</v>
      </c>
      <c r="CH1907" s="8">
        <v>0</v>
      </c>
      <c r="CI1907" s="8">
        <v>0</v>
      </c>
      <c r="CJ1907" s="8">
        <v>1</v>
      </c>
      <c r="CK1907" s="8">
        <v>6</v>
      </c>
      <c r="CL1907" s="8">
        <v>0</v>
      </c>
      <c r="CM1907" s="8">
        <v>5</v>
      </c>
      <c r="CN1907" s="8">
        <v>1</v>
      </c>
      <c r="CO1907" s="8">
        <v>1</v>
      </c>
      <c r="CP1907">
        <v>1</v>
      </c>
      <c r="CQ1907">
        <v>14</v>
      </c>
      <c r="CR1907">
        <v>3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</row>
    <row r="1908" spans="1:103" hidden="1" outlineLevel="1">
      <c r="A1908" t="s">
        <v>2501</v>
      </c>
      <c r="B1908" t="s">
        <v>193</v>
      </c>
      <c r="C1908" s="1">
        <f t="shared" si="789"/>
        <v>18692</v>
      </c>
      <c r="D1908" s="5">
        <f>IF(N1908&gt;0, RANK(N1908,(N1908:P1908,Q1908:AE1908)),0)</f>
        <v>2</v>
      </c>
      <c r="E1908" s="5">
        <f>IF(O1908&gt;0,RANK(O1908,(N1908:P1908,Q1908:AE1908)),0)</f>
        <v>1</v>
      </c>
      <c r="F1908" s="5">
        <f>IF(P1908&gt;0,RANK(P1908,(N1908:P1908,Q1908:AE1908)),0)</f>
        <v>6</v>
      </c>
      <c r="G1908" s="132">
        <f t="shared" si="775"/>
        <v>7643</v>
      </c>
      <c r="H1908" s="137">
        <f t="shared" si="776"/>
        <v>0.40889150438690347</v>
      </c>
      <c r="I1908" s="2"/>
      <c r="J1908" s="2">
        <f t="shared" si="790"/>
        <v>0.26118125401241171</v>
      </c>
      <c r="K1908" s="2">
        <f t="shared" si="791"/>
        <v>0.67007275839931524</v>
      </c>
      <c r="L1908" s="2">
        <f t="shared" si="792"/>
        <v>4.8148940723304091E-3</v>
      </c>
      <c r="M1908" s="2">
        <f t="shared" si="793"/>
        <v>6.39310935159427E-2</v>
      </c>
      <c r="N1908" s="63">
        <f t="shared" si="794"/>
        <v>4882</v>
      </c>
      <c r="O1908" s="63">
        <f t="shared" si="795"/>
        <v>12525</v>
      </c>
      <c r="P1908" s="63">
        <v>90</v>
      </c>
      <c r="Q1908" s="63">
        <f t="shared" si="796"/>
        <v>735</v>
      </c>
      <c r="R1908" s="63">
        <v>275</v>
      </c>
      <c r="S1908" s="63">
        <v>7</v>
      </c>
      <c r="T1908" s="63">
        <v>0</v>
      </c>
      <c r="U1908" s="63">
        <v>0</v>
      </c>
      <c r="V1908" s="63">
        <v>0</v>
      </c>
      <c r="W1908" s="63">
        <f t="shared" ref="W1908:W1968" si="801">SUM(CB1908:CY1908)</f>
        <v>176</v>
      </c>
      <c r="X1908" s="63"/>
      <c r="Y1908" s="63">
        <v>1</v>
      </c>
      <c r="Z1908" s="63"/>
      <c r="AA1908" s="63">
        <v>0</v>
      </c>
      <c r="AB1908" s="63"/>
      <c r="AC1908" s="63"/>
      <c r="AD1908" s="63"/>
      <c r="AE1908" s="63"/>
      <c r="AF1908" s="63"/>
      <c r="AG1908" s="63">
        <v>0</v>
      </c>
      <c r="AH1908" s="63"/>
      <c r="AI1908" s="63"/>
      <c r="AJ1908" s="63"/>
      <c r="AK1908" s="63"/>
      <c r="AL1908" s="63">
        <v>0</v>
      </c>
      <c r="AM1908" s="63"/>
      <c r="AN1908" s="63">
        <v>1</v>
      </c>
      <c r="AO1908" s="63"/>
      <c r="AP1908" s="63"/>
      <c r="AQ1908" s="63"/>
      <c r="AR1908" s="63"/>
      <c r="AS1908" s="63"/>
      <c r="AT1908" s="63"/>
      <c r="AU1908" s="63"/>
      <c r="AW1908" s="5">
        <f>IF(Q1908&gt;0,RANK(Q1908,(N1908:P1908,Q1908:AE1908)),0)</f>
        <v>3</v>
      </c>
      <c r="AX1908" s="5">
        <f>IF(R1908&gt;0,RANK(R1908,(N1908:P1908,Q1908:AE1908)),0)</f>
        <v>4</v>
      </c>
      <c r="AY1908" s="5">
        <f>IF(T1908&gt;0,RANK(T1908,(N1908:P1908,Q1908:AE1908)),0)</f>
        <v>0</v>
      </c>
      <c r="AZ1908" s="5">
        <f>IF(S1908&gt;0,RANK(S1908,(N1908:P1908,Q1908:AE1908)),0)</f>
        <v>7</v>
      </c>
      <c r="BA1908" s="2">
        <f t="shared" si="797"/>
        <v>3.9321634924031672E-2</v>
      </c>
      <c r="BB1908" s="2">
        <f t="shared" si="798"/>
        <v>1.4712176332120692E-2</v>
      </c>
      <c r="BC1908" s="2">
        <f t="shared" si="799"/>
        <v>0</v>
      </c>
      <c r="BD1908" s="2">
        <f t="shared" si="800"/>
        <v>3.74491761181254E-4</v>
      </c>
      <c r="BF1908" t="s">
        <v>2501</v>
      </c>
      <c r="BG1908" t="s">
        <v>193</v>
      </c>
      <c r="BH1908">
        <v>23</v>
      </c>
      <c r="BJ1908" s="114">
        <v>36</v>
      </c>
      <c r="BK1908" s="116">
        <v>3</v>
      </c>
      <c r="BL1908" s="120">
        <f t="shared" si="787"/>
        <v>36003</v>
      </c>
      <c r="BN1908" s="5" t="s">
        <v>3154</v>
      </c>
      <c r="BO1908" s="63">
        <v>178</v>
      </c>
      <c r="BP1908" s="63">
        <v>2</v>
      </c>
      <c r="BR1908" s="63"/>
      <c r="BT1908" s="63">
        <v>4646</v>
      </c>
      <c r="BU1908" s="63">
        <v>11421</v>
      </c>
      <c r="BV1908" s="63">
        <v>1104</v>
      </c>
      <c r="BW1908" s="63">
        <v>173</v>
      </c>
      <c r="BX1908" s="63">
        <v>527</v>
      </c>
      <c r="BY1908" s="63">
        <v>63</v>
      </c>
      <c r="BZ1908" s="63">
        <v>208</v>
      </c>
      <c r="CB1908" s="63">
        <v>176</v>
      </c>
      <c r="CD1908" s="63">
        <v>0</v>
      </c>
      <c r="CE1908" s="63">
        <v>0</v>
      </c>
      <c r="CF1908" s="63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hidden="1" outlineLevel="1">
      <c r="A1909" t="s">
        <v>1369</v>
      </c>
      <c r="B1909" t="s">
        <v>193</v>
      </c>
      <c r="C1909" s="1">
        <f t="shared" si="789"/>
        <v>86072</v>
      </c>
      <c r="D1909" s="5">
        <f>IF(N1909&gt;0, RANK(N1909,(N1909:P1909,Q1909:AE1909)),0)</f>
        <v>2</v>
      </c>
      <c r="E1909" s="5">
        <f>IF(O1909&gt;0,RANK(O1909,(N1909:P1909,Q1909:AE1909)),0)</f>
        <v>1</v>
      </c>
      <c r="F1909" s="5">
        <f>IF(P1909&gt;0,RANK(P1909,(N1909:P1909,Q1909:AE1909)),0)</f>
        <v>6</v>
      </c>
      <c r="G1909" s="132">
        <f t="shared" si="775"/>
        <v>1731</v>
      </c>
      <c r="H1909" s="137">
        <f t="shared" si="776"/>
        <v>2.0111069802026212E-2</v>
      </c>
      <c r="I1909" s="2"/>
      <c r="J1909" s="2">
        <f t="shared" si="790"/>
        <v>0.45557207918951576</v>
      </c>
      <c r="K1909" s="2">
        <f t="shared" si="791"/>
        <v>0.47568314899154196</v>
      </c>
      <c r="L1909" s="2">
        <f t="shared" si="792"/>
        <v>2.4862905474486476E-3</v>
      </c>
      <c r="M1909" s="2">
        <f t="shared" si="793"/>
        <v>6.6258481271493697E-2</v>
      </c>
      <c r="N1909" s="63">
        <f t="shared" si="794"/>
        <v>39212</v>
      </c>
      <c r="O1909" s="63">
        <f t="shared" si="795"/>
        <v>40943</v>
      </c>
      <c r="P1909" s="63">
        <v>214</v>
      </c>
      <c r="Q1909" s="63">
        <f t="shared" si="796"/>
        <v>3246</v>
      </c>
      <c r="R1909" s="63">
        <v>1546</v>
      </c>
      <c r="S1909" s="63">
        <v>27</v>
      </c>
      <c r="T1909" s="63">
        <v>1</v>
      </c>
      <c r="U1909" s="63">
        <v>1</v>
      </c>
      <c r="V1909" s="63">
        <v>2</v>
      </c>
      <c r="W1909" s="63">
        <f t="shared" si="801"/>
        <v>867</v>
      </c>
      <c r="X1909" s="63"/>
      <c r="Y1909" s="63">
        <v>2</v>
      </c>
      <c r="Z1909" s="63"/>
      <c r="AA1909" s="63">
        <v>0</v>
      </c>
      <c r="AB1909" s="63"/>
      <c r="AC1909" s="63"/>
      <c r="AD1909" s="63"/>
      <c r="AE1909" s="63"/>
      <c r="AF1909" s="63"/>
      <c r="AG1909" s="63">
        <v>0</v>
      </c>
      <c r="AH1909" s="63"/>
      <c r="AI1909" s="63"/>
      <c r="AJ1909" s="63"/>
      <c r="AK1909" s="63"/>
      <c r="AL1909" s="63">
        <v>1</v>
      </c>
      <c r="AM1909" s="63"/>
      <c r="AN1909" s="63">
        <v>10</v>
      </c>
      <c r="AO1909" s="63"/>
      <c r="AP1909" s="63"/>
      <c r="AQ1909" s="63"/>
      <c r="AR1909" s="63"/>
      <c r="AS1909" s="63"/>
      <c r="AT1909" s="63"/>
      <c r="AU1909" s="63"/>
      <c r="AW1909" s="5">
        <f>IF(Q1909&gt;0,RANK(Q1909,(N1909:P1909,Q1909:AE1909)),0)</f>
        <v>3</v>
      </c>
      <c r="AX1909" s="5">
        <f>IF(R1909&gt;0,RANK(R1909,(N1909:P1909,Q1909:AE1909)),0)</f>
        <v>4</v>
      </c>
      <c r="AY1909" s="5">
        <f>IF(T1909&gt;0,RANK(T1909,(N1909:P1909,Q1909:AE1909)),0)</f>
        <v>10</v>
      </c>
      <c r="AZ1909" s="5">
        <f>IF(S1909&gt;0,RANK(S1909,(N1909:P1909,Q1909:AE1909)),0)</f>
        <v>7</v>
      </c>
      <c r="BA1909" s="2">
        <f t="shared" si="797"/>
        <v>3.7712612696347243E-2</v>
      </c>
      <c r="BB1909" s="2">
        <f t="shared" si="798"/>
        <v>1.796170647829724E-2</v>
      </c>
      <c r="BC1909" s="2">
        <f t="shared" si="799"/>
        <v>1.1618180128264709E-5</v>
      </c>
      <c r="BD1909" s="2">
        <f t="shared" si="800"/>
        <v>3.1369086346314711E-4</v>
      </c>
      <c r="BF1909" t="s">
        <v>1369</v>
      </c>
      <c r="BG1909" t="s">
        <v>193</v>
      </c>
      <c r="BJ1909" s="114">
        <v>36</v>
      </c>
      <c r="BK1909" s="116">
        <v>7</v>
      </c>
      <c r="BL1909" s="120">
        <f t="shared" si="787"/>
        <v>36007</v>
      </c>
      <c r="BN1909" s="5" t="s">
        <v>3154</v>
      </c>
      <c r="BO1909" s="63">
        <v>1038</v>
      </c>
      <c r="BP1909" s="63">
        <v>67</v>
      </c>
      <c r="BR1909" s="63"/>
      <c r="BT1909" s="63">
        <v>37106</v>
      </c>
      <c r="BU1909" s="63">
        <v>37337</v>
      </c>
      <c r="BV1909" s="63">
        <v>3606</v>
      </c>
      <c r="BW1909" s="63">
        <v>1631</v>
      </c>
      <c r="BX1909" s="63">
        <v>2187</v>
      </c>
      <c r="BY1909" s="63">
        <v>475</v>
      </c>
      <c r="BZ1909" s="63">
        <v>1059</v>
      </c>
      <c r="CB1909" s="63">
        <v>864</v>
      </c>
      <c r="CD1909" s="63">
        <v>0</v>
      </c>
      <c r="CE1909" s="63">
        <v>0</v>
      </c>
      <c r="CF1909" s="63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2</v>
      </c>
      <c r="CN1909" s="8">
        <v>0</v>
      </c>
      <c r="CO1909" s="8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</row>
    <row r="1910" spans="1:103" hidden="1" outlineLevel="1">
      <c r="A1910" t="s">
        <v>1431</v>
      </c>
      <c r="B1910" t="s">
        <v>193</v>
      </c>
      <c r="C1910" s="1">
        <f t="shared" si="789"/>
        <v>31161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6</v>
      </c>
      <c r="G1910" s="132">
        <f t="shared" si="775"/>
        <v>10195</v>
      </c>
      <c r="H1910" s="137">
        <f t="shared" si="776"/>
        <v>0.32717178524437596</v>
      </c>
      <c r="I1910" s="2"/>
      <c r="J1910" s="2">
        <f t="shared" si="790"/>
        <v>0.30477199062931226</v>
      </c>
      <c r="K1910" s="2">
        <f t="shared" si="791"/>
        <v>0.63194377587368822</v>
      </c>
      <c r="L1910" s="2">
        <f t="shared" si="792"/>
        <v>2.3426719296556595E-3</v>
      </c>
      <c r="M1910" s="2">
        <f t="shared" si="793"/>
        <v>6.0941561567343858E-2</v>
      </c>
      <c r="N1910" s="63">
        <f t="shared" si="794"/>
        <v>9497</v>
      </c>
      <c r="O1910" s="63">
        <f t="shared" si="795"/>
        <v>19692</v>
      </c>
      <c r="P1910" s="63">
        <v>73</v>
      </c>
      <c r="Q1910" s="63">
        <f t="shared" si="796"/>
        <v>1246</v>
      </c>
      <c r="R1910" s="63">
        <v>440</v>
      </c>
      <c r="S1910" s="63">
        <v>3</v>
      </c>
      <c r="T1910" s="63">
        <v>0</v>
      </c>
      <c r="U1910" s="63">
        <v>0</v>
      </c>
      <c r="V1910" s="63">
        <v>0</v>
      </c>
      <c r="W1910" s="63">
        <f t="shared" si="801"/>
        <v>207</v>
      </c>
      <c r="X1910" s="63"/>
      <c r="Y1910" s="63">
        <v>0</v>
      </c>
      <c r="Z1910" s="63"/>
      <c r="AA1910" s="63">
        <v>0</v>
      </c>
      <c r="AB1910" s="63"/>
      <c r="AC1910" s="63"/>
      <c r="AD1910" s="63"/>
      <c r="AE1910" s="63"/>
      <c r="AF1910" s="63"/>
      <c r="AG1910" s="63">
        <v>2</v>
      </c>
      <c r="AH1910" s="63"/>
      <c r="AI1910" s="63"/>
      <c r="AJ1910" s="63"/>
      <c r="AK1910" s="63"/>
      <c r="AL1910" s="63">
        <v>0</v>
      </c>
      <c r="AM1910" s="63"/>
      <c r="AN1910" s="63">
        <v>1</v>
      </c>
      <c r="AO1910" s="63"/>
      <c r="AP1910" s="63"/>
      <c r="AQ1910" s="63"/>
      <c r="AR1910" s="63"/>
      <c r="AS1910" s="63"/>
      <c r="AT1910" s="63"/>
      <c r="AU1910" s="63"/>
      <c r="AW1910" s="5">
        <f>IF(Q1910&gt;0,RANK(Q1910,(N1910:P1910,Q1910:AE1910)),0)</f>
        <v>3</v>
      </c>
      <c r="AX1910" s="5">
        <f>IF(R1910&gt;0,RANK(R1910,(N1910:P1910,Q1910:AE1910)),0)</f>
        <v>4</v>
      </c>
      <c r="AY1910" s="5">
        <f>IF(T1910&gt;0,RANK(T1910,(N1910:P1910,Q1910:AE1910)),0)</f>
        <v>0</v>
      </c>
      <c r="AZ1910" s="5">
        <f>IF(S1910&gt;0,RANK(S1910,(N1910:P1910,Q1910:AE1910)),0)</f>
        <v>7</v>
      </c>
      <c r="BA1910" s="2">
        <f t="shared" si="797"/>
        <v>3.9985879785629473E-2</v>
      </c>
      <c r="BB1910" s="2">
        <f t="shared" si="798"/>
        <v>1.4120214370527262E-2</v>
      </c>
      <c r="BC1910" s="2">
        <f t="shared" si="799"/>
        <v>0</v>
      </c>
      <c r="BD1910" s="2">
        <f t="shared" si="800"/>
        <v>9.6274188889958599E-5</v>
      </c>
      <c r="BF1910" t="s">
        <v>1431</v>
      </c>
      <c r="BG1910" t="s">
        <v>193</v>
      </c>
      <c r="BH1910">
        <v>23</v>
      </c>
      <c r="BJ1910" s="114">
        <v>36</v>
      </c>
      <c r="BK1910" s="116">
        <v>9</v>
      </c>
      <c r="BL1910" s="120">
        <f t="shared" si="787"/>
        <v>36009</v>
      </c>
      <c r="BN1910" s="5" t="s">
        <v>3154</v>
      </c>
      <c r="BO1910" s="63">
        <v>320</v>
      </c>
      <c r="BP1910" s="63">
        <v>72</v>
      </c>
      <c r="BR1910" s="63"/>
      <c r="BT1910" s="63">
        <v>9077</v>
      </c>
      <c r="BU1910" s="63">
        <v>17485</v>
      </c>
      <c r="BV1910" s="63">
        <v>2207</v>
      </c>
      <c r="BW1910" s="63">
        <v>274</v>
      </c>
      <c r="BX1910" s="63">
        <v>932</v>
      </c>
      <c r="BY1910" s="63">
        <v>146</v>
      </c>
      <c r="BZ1910" s="63">
        <v>314</v>
      </c>
      <c r="CB1910" s="63">
        <v>205</v>
      </c>
      <c r="CD1910" s="63">
        <v>0</v>
      </c>
      <c r="CE1910" s="63">
        <v>0</v>
      </c>
      <c r="CF1910" s="63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1</v>
      </c>
      <c r="CL1910" s="8">
        <v>0</v>
      </c>
      <c r="CM1910" s="8">
        <v>0</v>
      </c>
      <c r="CN1910" s="8">
        <v>0</v>
      </c>
      <c r="CO1910" s="8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hidden="1" outlineLevel="1">
      <c r="A1911" t="s">
        <v>935</v>
      </c>
      <c r="B1911" t="s">
        <v>193</v>
      </c>
      <c r="C1911" s="1">
        <f t="shared" si="789"/>
        <v>33172</v>
      </c>
      <c r="D1911" s="5">
        <f>IF(N1911&gt;0, RANK(N1911,(N1911:P1911,Q1911:AE1911)),0)</f>
        <v>2</v>
      </c>
      <c r="E1911" s="5">
        <f>IF(O1911&gt;0,RANK(O1911,(N1911:P1911,Q1911:AE1911)),0)</f>
        <v>1</v>
      </c>
      <c r="F1911" s="5">
        <f>IF(P1911&gt;0,RANK(P1911,(N1911:P1911,Q1911:AE1911)),0)</f>
        <v>6</v>
      </c>
      <c r="G1911" s="132">
        <f t="shared" si="775"/>
        <v>3862</v>
      </c>
      <c r="H1911" s="137">
        <f t="shared" si="776"/>
        <v>0.11642348969010008</v>
      </c>
      <c r="I1911" s="2"/>
      <c r="J1911" s="2">
        <f t="shared" si="790"/>
        <v>0.40763294344627998</v>
      </c>
      <c r="K1911" s="2">
        <f t="shared" si="791"/>
        <v>0.52405643313638006</v>
      </c>
      <c r="L1911" s="2">
        <f t="shared" si="792"/>
        <v>1.9594839020860965E-3</v>
      </c>
      <c r="M1911" s="2">
        <f t="shared" si="793"/>
        <v>6.6351139515253857E-2</v>
      </c>
      <c r="N1911" s="63">
        <f t="shared" si="794"/>
        <v>13522</v>
      </c>
      <c r="O1911" s="63">
        <f t="shared" si="795"/>
        <v>17384</v>
      </c>
      <c r="P1911" s="63">
        <v>65</v>
      </c>
      <c r="Q1911" s="63">
        <f t="shared" si="796"/>
        <v>1358</v>
      </c>
      <c r="R1911" s="63">
        <v>501</v>
      </c>
      <c r="S1911" s="63">
        <v>22</v>
      </c>
      <c r="T1911" s="63">
        <v>0</v>
      </c>
      <c r="U1911" s="63">
        <v>1</v>
      </c>
      <c r="V1911" s="63">
        <v>0</v>
      </c>
      <c r="W1911" s="63">
        <f t="shared" si="801"/>
        <v>313</v>
      </c>
      <c r="X1911" s="63"/>
      <c r="Y1911" s="63">
        <v>0</v>
      </c>
      <c r="Z1911" s="63"/>
      <c r="AA1911" s="63">
        <v>0</v>
      </c>
      <c r="AB1911" s="63"/>
      <c r="AC1911" s="63"/>
      <c r="AD1911" s="63"/>
      <c r="AE1911" s="63"/>
      <c r="AF1911" s="63"/>
      <c r="AG1911" s="63">
        <v>0</v>
      </c>
      <c r="AH1911" s="63"/>
      <c r="AI1911" s="63"/>
      <c r="AJ1911" s="63"/>
      <c r="AK1911" s="63"/>
      <c r="AL1911" s="63">
        <v>4</v>
      </c>
      <c r="AM1911" s="63"/>
      <c r="AN1911" s="63">
        <v>2</v>
      </c>
      <c r="AO1911" s="63"/>
      <c r="AP1911" s="63"/>
      <c r="AQ1911" s="63"/>
      <c r="AR1911" s="63"/>
      <c r="AS1911" s="63"/>
      <c r="AT1911" s="63"/>
      <c r="AU1911" s="63"/>
      <c r="AW1911" s="5">
        <f>IF(Q1911&gt;0,RANK(Q1911,(N1911:P1911,Q1911:AE1911)),0)</f>
        <v>3</v>
      </c>
      <c r="AX1911" s="5">
        <f>IF(R1911&gt;0,RANK(R1911,(N1911:P1911,Q1911:AE1911)),0)</f>
        <v>4</v>
      </c>
      <c r="AY1911" s="5">
        <f>IF(T1911&gt;0,RANK(T1911,(N1911:P1911,Q1911:AE1911)),0)</f>
        <v>0</v>
      </c>
      <c r="AZ1911" s="5">
        <f>IF(S1911&gt;0,RANK(S1911,(N1911:P1911,Q1911:AE1911)),0)</f>
        <v>7</v>
      </c>
      <c r="BA1911" s="2">
        <f t="shared" si="797"/>
        <v>4.0938140600506448E-2</v>
      </c>
      <c r="BB1911" s="2">
        <f t="shared" si="798"/>
        <v>1.5103098999155915E-2</v>
      </c>
      <c r="BC1911" s="2">
        <f t="shared" si="799"/>
        <v>0</v>
      </c>
      <c r="BD1911" s="2">
        <f t="shared" si="800"/>
        <v>6.6320993609067893E-4</v>
      </c>
      <c r="BF1911" t="s">
        <v>935</v>
      </c>
      <c r="BG1911" t="s">
        <v>193</v>
      </c>
      <c r="BH1911">
        <v>24</v>
      </c>
      <c r="BJ1911" s="114">
        <v>36</v>
      </c>
      <c r="BK1911" s="116">
        <v>11</v>
      </c>
      <c r="BL1911" s="120">
        <f t="shared" si="787"/>
        <v>36011</v>
      </c>
      <c r="BN1911" s="5" t="s">
        <v>3154</v>
      </c>
      <c r="BO1911" s="63">
        <v>259</v>
      </c>
      <c r="BP1911" s="63">
        <v>16</v>
      </c>
      <c r="BR1911" s="63"/>
      <c r="BT1911" s="63">
        <v>12779</v>
      </c>
      <c r="BU1911" s="63">
        <v>15316</v>
      </c>
      <c r="BV1911" s="63">
        <v>2068</v>
      </c>
      <c r="BW1911" s="63">
        <v>541</v>
      </c>
      <c r="BX1911" s="63">
        <v>1008</v>
      </c>
      <c r="BY1911" s="63">
        <v>202</v>
      </c>
      <c r="BZ1911" s="63">
        <v>350</v>
      </c>
      <c r="CB1911" s="63">
        <v>307</v>
      </c>
      <c r="CD1911" s="63">
        <v>0</v>
      </c>
      <c r="CE1911" s="63">
        <v>0</v>
      </c>
      <c r="CF1911" s="63">
        <v>0</v>
      </c>
      <c r="CG1911" s="8">
        <v>0</v>
      </c>
      <c r="CH1911" s="8">
        <v>0</v>
      </c>
      <c r="CI1911" s="8">
        <v>2</v>
      </c>
      <c r="CJ1911" s="8">
        <v>0</v>
      </c>
      <c r="CK1911" s="8">
        <v>1</v>
      </c>
      <c r="CL1911" s="8">
        <v>0</v>
      </c>
      <c r="CM1911" s="8">
        <v>1</v>
      </c>
      <c r="CN1911" s="8">
        <v>0</v>
      </c>
      <c r="CO1911" s="8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</row>
    <row r="1912" spans="1:103" hidden="1" outlineLevel="1">
      <c r="A1912" t="s">
        <v>1370</v>
      </c>
      <c r="B1912" t="s">
        <v>193</v>
      </c>
      <c r="C1912" s="1">
        <f t="shared" si="789"/>
        <v>54234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6</v>
      </c>
      <c r="G1912" s="132">
        <f t="shared" si="775"/>
        <v>12503</v>
      </c>
      <c r="H1912" s="137">
        <f t="shared" si="776"/>
        <v>0.23053803886860641</v>
      </c>
      <c r="I1912" s="2"/>
      <c r="J1912" s="2">
        <f t="shared" si="790"/>
        <v>0.35201165320647565</v>
      </c>
      <c r="K1912" s="2">
        <f t="shared" si="791"/>
        <v>0.582549692075082</v>
      </c>
      <c r="L1912" s="2">
        <f t="shared" si="792"/>
        <v>1.7516686949146292E-3</v>
      </c>
      <c r="M1912" s="2">
        <f t="shared" si="793"/>
        <v>6.3686986023527722E-2</v>
      </c>
      <c r="N1912" s="63">
        <f t="shared" si="794"/>
        <v>19091</v>
      </c>
      <c r="O1912" s="63">
        <f t="shared" si="795"/>
        <v>31594</v>
      </c>
      <c r="P1912" s="63">
        <v>95</v>
      </c>
      <c r="Q1912" s="63">
        <f t="shared" si="796"/>
        <v>2203</v>
      </c>
      <c r="R1912" s="63">
        <v>757</v>
      </c>
      <c r="S1912" s="63">
        <v>9</v>
      </c>
      <c r="T1912" s="63">
        <v>0</v>
      </c>
      <c r="U1912" s="63">
        <v>0</v>
      </c>
      <c r="V1912" s="63">
        <v>0</v>
      </c>
      <c r="W1912" s="63">
        <f t="shared" si="801"/>
        <v>485</v>
      </c>
      <c r="X1912" s="63"/>
      <c r="Y1912" s="63">
        <v>0</v>
      </c>
      <c r="Z1912" s="63"/>
      <c r="AA1912" s="63">
        <v>0</v>
      </c>
      <c r="AB1912" s="63"/>
      <c r="AC1912" s="63"/>
      <c r="AD1912" s="63"/>
      <c r="AE1912" s="63"/>
      <c r="AF1912" s="63"/>
      <c r="AG1912" s="63">
        <v>0</v>
      </c>
      <c r="AH1912" s="63"/>
      <c r="AI1912" s="63"/>
      <c r="AJ1912" s="63"/>
      <c r="AK1912" s="63"/>
      <c r="AL1912" s="63">
        <v>0</v>
      </c>
      <c r="AM1912" s="63"/>
      <c r="AN1912" s="63">
        <v>0</v>
      </c>
      <c r="AO1912" s="63"/>
      <c r="AP1912" s="63"/>
      <c r="AQ1912" s="63"/>
      <c r="AR1912" s="63"/>
      <c r="AS1912" s="63"/>
      <c r="AT1912" s="63"/>
      <c r="AU1912" s="63"/>
      <c r="AW1912" s="5">
        <f>IF(Q1912&gt;0,RANK(Q1912,(N1912:P1912,Q1912:AE1912)),0)</f>
        <v>3</v>
      </c>
      <c r="AX1912" s="5">
        <f>IF(R1912&gt;0,RANK(R1912,(N1912:P1912,Q1912:AE1912)),0)</f>
        <v>4</v>
      </c>
      <c r="AY1912" s="5">
        <f>IF(T1912&gt;0,RANK(T1912,(N1912:P1912,Q1912:AE1912)),0)</f>
        <v>0</v>
      </c>
      <c r="AZ1912" s="5">
        <f>IF(S1912&gt;0,RANK(S1912,(N1912:P1912,Q1912:AE1912)),0)</f>
        <v>7</v>
      </c>
      <c r="BA1912" s="2">
        <f t="shared" si="797"/>
        <v>4.0620275104178191E-2</v>
      </c>
      <c r="BB1912" s="2">
        <f t="shared" si="798"/>
        <v>1.3958033705793413E-2</v>
      </c>
      <c r="BC1912" s="2">
        <f t="shared" si="799"/>
        <v>0</v>
      </c>
      <c r="BD1912" s="2">
        <f t="shared" si="800"/>
        <v>1.6594756057085962E-4</v>
      </c>
      <c r="BF1912" t="s">
        <v>1370</v>
      </c>
      <c r="BG1912" t="s">
        <v>193</v>
      </c>
      <c r="BH1912">
        <v>23</v>
      </c>
      <c r="BJ1912" s="114">
        <v>36</v>
      </c>
      <c r="BK1912" s="116">
        <v>13</v>
      </c>
      <c r="BL1912" s="120">
        <f t="shared" si="787"/>
        <v>36013</v>
      </c>
      <c r="BN1912" s="5" t="s">
        <v>3154</v>
      </c>
      <c r="BO1912" s="63">
        <v>576</v>
      </c>
      <c r="BP1912" s="63">
        <v>0</v>
      </c>
      <c r="BR1912" s="63"/>
      <c r="BT1912" s="63">
        <v>18112</v>
      </c>
      <c r="BU1912" s="63">
        <v>27516</v>
      </c>
      <c r="BV1912" s="63">
        <v>4078</v>
      </c>
      <c r="BW1912" s="63">
        <v>704</v>
      </c>
      <c r="BX1912" s="63">
        <v>1601</v>
      </c>
      <c r="BY1912" s="63">
        <v>275</v>
      </c>
      <c r="BZ1912" s="63">
        <v>602</v>
      </c>
      <c r="CB1912" s="63">
        <v>485</v>
      </c>
      <c r="CD1912" s="63">
        <v>0</v>
      </c>
      <c r="CE1912" s="63">
        <v>0</v>
      </c>
      <c r="CF1912" s="63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hidden="1" outlineLevel="1">
      <c r="A1913" t="s">
        <v>2036</v>
      </c>
      <c r="B1913" t="s">
        <v>193</v>
      </c>
      <c r="C1913" s="1">
        <f t="shared" si="789"/>
        <v>36119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6</v>
      </c>
      <c r="G1913" s="132">
        <f t="shared" si="775"/>
        <v>6340</v>
      </c>
      <c r="H1913" s="137">
        <f t="shared" si="776"/>
        <v>0.17553088402225975</v>
      </c>
      <c r="I1913" s="2"/>
      <c r="J1913" s="2">
        <f t="shared" si="790"/>
        <v>0.38087986932085605</v>
      </c>
      <c r="K1913" s="2">
        <f t="shared" si="791"/>
        <v>0.55641075334311585</v>
      </c>
      <c r="L1913" s="2">
        <f t="shared" si="792"/>
        <v>2.1041557075223566E-3</v>
      </c>
      <c r="M1913" s="2">
        <f t="shared" si="793"/>
        <v>6.0605221628505748E-2</v>
      </c>
      <c r="N1913" s="63">
        <f t="shared" si="794"/>
        <v>13757</v>
      </c>
      <c r="O1913" s="63">
        <f t="shared" si="795"/>
        <v>20097</v>
      </c>
      <c r="P1913" s="63">
        <v>76</v>
      </c>
      <c r="Q1913" s="63">
        <f t="shared" si="796"/>
        <v>1447</v>
      </c>
      <c r="R1913" s="63">
        <v>463</v>
      </c>
      <c r="S1913" s="63">
        <v>11</v>
      </c>
      <c r="T1913" s="63">
        <v>0</v>
      </c>
      <c r="U1913" s="63">
        <v>0</v>
      </c>
      <c r="V1913" s="63">
        <v>0</v>
      </c>
      <c r="W1913" s="63">
        <f t="shared" si="801"/>
        <v>263</v>
      </c>
      <c r="X1913" s="63"/>
      <c r="Y1913" s="63">
        <v>2</v>
      </c>
      <c r="Z1913" s="63"/>
      <c r="AA1913" s="63">
        <v>0</v>
      </c>
      <c r="AB1913" s="63"/>
      <c r="AC1913" s="63"/>
      <c r="AD1913" s="63"/>
      <c r="AE1913" s="63"/>
      <c r="AF1913" s="63"/>
      <c r="AG1913" s="63">
        <v>3</v>
      </c>
      <c r="AH1913" s="63"/>
      <c r="AI1913" s="63"/>
      <c r="AJ1913" s="63"/>
      <c r="AK1913" s="63"/>
      <c r="AL1913" s="63">
        <v>0</v>
      </c>
      <c r="AM1913" s="63"/>
      <c r="AN1913" s="63">
        <v>0</v>
      </c>
      <c r="AO1913" s="63"/>
      <c r="AP1913" s="63"/>
      <c r="AQ1913" s="63"/>
      <c r="AR1913" s="63"/>
      <c r="AS1913" s="63"/>
      <c r="AT1913" s="63"/>
      <c r="AU1913" s="63"/>
      <c r="AW1913" s="5">
        <f>IF(Q1913&gt;0,RANK(Q1913,(N1913:P1913,Q1913:AE1913)),0)</f>
        <v>3</v>
      </c>
      <c r="AX1913" s="5">
        <f>IF(R1913&gt;0,RANK(R1913,(N1913:P1913,Q1913:AE1913)),0)</f>
        <v>4</v>
      </c>
      <c r="AY1913" s="5">
        <f>IF(T1913&gt;0,RANK(T1913,(N1913:P1913,Q1913:AE1913)),0)</f>
        <v>0</v>
      </c>
      <c r="AZ1913" s="5">
        <f>IF(S1913&gt;0,RANK(S1913,(N1913:P1913,Q1913:AE1913)),0)</f>
        <v>7</v>
      </c>
      <c r="BA1913" s="2">
        <f t="shared" si="797"/>
        <v>4.0062017220853292E-2</v>
      </c>
      <c r="BB1913" s="2">
        <f t="shared" si="798"/>
        <v>1.2818738060300672E-2</v>
      </c>
      <c r="BC1913" s="2">
        <f t="shared" si="799"/>
        <v>0</v>
      </c>
      <c r="BD1913" s="2">
        <f t="shared" si="800"/>
        <v>3.0454885240455165E-4</v>
      </c>
      <c r="BF1913" t="s">
        <v>2036</v>
      </c>
      <c r="BG1913" t="s">
        <v>193</v>
      </c>
      <c r="BH1913">
        <v>23</v>
      </c>
      <c r="BJ1913" s="114">
        <v>36</v>
      </c>
      <c r="BK1913" s="116">
        <v>15</v>
      </c>
      <c r="BL1913" s="120">
        <f t="shared" si="787"/>
        <v>36015</v>
      </c>
      <c r="BN1913" s="5" t="s">
        <v>3154</v>
      </c>
      <c r="BO1913" s="63">
        <v>395</v>
      </c>
      <c r="BP1913" s="63">
        <v>0</v>
      </c>
      <c r="BR1913" s="63"/>
      <c r="BT1913" s="63">
        <v>13277</v>
      </c>
      <c r="BU1913" s="63">
        <v>18347</v>
      </c>
      <c r="BV1913" s="63">
        <v>1750</v>
      </c>
      <c r="BW1913" s="63">
        <v>326</v>
      </c>
      <c r="BX1913" s="63">
        <v>1012</v>
      </c>
      <c r="BY1913" s="63">
        <v>154</v>
      </c>
      <c r="BZ1913" s="63">
        <v>435</v>
      </c>
      <c r="CB1913" s="63">
        <v>261</v>
      </c>
      <c r="CD1913" s="63">
        <v>0</v>
      </c>
      <c r="CE1913" s="63">
        <v>0</v>
      </c>
      <c r="CF1913" s="63">
        <v>0</v>
      </c>
      <c r="CG1913" s="8">
        <v>0</v>
      </c>
      <c r="CH1913" s="8">
        <v>0</v>
      </c>
      <c r="CI1913" s="8">
        <v>0</v>
      </c>
      <c r="CJ1913" s="8">
        <v>2</v>
      </c>
      <c r="CK1913" s="8">
        <v>0</v>
      </c>
      <c r="CL1913" s="8">
        <v>0</v>
      </c>
      <c r="CM1913" s="8">
        <v>0</v>
      </c>
      <c r="CN1913" s="8">
        <v>0</v>
      </c>
      <c r="CO1913" s="8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hidden="1" outlineLevel="1">
      <c r="A1914" t="s">
        <v>1072</v>
      </c>
      <c r="B1914" t="s">
        <v>193</v>
      </c>
      <c r="C1914" s="1">
        <f t="shared" si="789"/>
        <v>20160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6</v>
      </c>
      <c r="G1914" s="132">
        <f t="shared" si="775"/>
        <v>5146</v>
      </c>
      <c r="H1914" s="137">
        <f t="shared" si="776"/>
        <v>0.25525793650793649</v>
      </c>
      <c r="I1914" s="2"/>
      <c r="J1914" s="2">
        <f t="shared" si="790"/>
        <v>0.33606150793650796</v>
      </c>
      <c r="K1914" s="2">
        <f t="shared" si="791"/>
        <v>0.5913194444444444</v>
      </c>
      <c r="L1914" s="2">
        <f t="shared" si="792"/>
        <v>8.4325396825396829E-4</v>
      </c>
      <c r="M1914" s="2">
        <f t="shared" si="793"/>
        <v>7.1775793650793729E-2</v>
      </c>
      <c r="N1914" s="63">
        <f t="shared" si="794"/>
        <v>6775</v>
      </c>
      <c r="O1914" s="63">
        <f t="shared" si="795"/>
        <v>11921</v>
      </c>
      <c r="P1914" s="63">
        <v>17</v>
      </c>
      <c r="Q1914" s="63">
        <f t="shared" si="796"/>
        <v>916</v>
      </c>
      <c r="R1914" s="63">
        <v>358</v>
      </c>
      <c r="S1914" s="63">
        <v>2</v>
      </c>
      <c r="T1914" s="63">
        <v>0</v>
      </c>
      <c r="U1914" s="63">
        <v>0</v>
      </c>
      <c r="V1914" s="63">
        <v>0</v>
      </c>
      <c r="W1914" s="63">
        <f t="shared" si="801"/>
        <v>171</v>
      </c>
      <c r="X1914" s="63"/>
      <c r="Y1914" s="63">
        <v>0</v>
      </c>
      <c r="Z1914" s="63"/>
      <c r="AA1914" s="63">
        <v>0</v>
      </c>
      <c r="AB1914" s="63"/>
      <c r="AC1914" s="63"/>
      <c r="AD1914" s="63"/>
      <c r="AE1914" s="63"/>
      <c r="AF1914" s="63"/>
      <c r="AG1914" s="63">
        <v>0</v>
      </c>
      <c r="AH1914" s="63"/>
      <c r="AI1914" s="63"/>
      <c r="AJ1914" s="63"/>
      <c r="AK1914" s="63"/>
      <c r="AL1914" s="63">
        <v>0</v>
      </c>
      <c r="AM1914" s="63"/>
      <c r="AN1914" s="63">
        <v>0</v>
      </c>
      <c r="AO1914" s="63"/>
      <c r="AP1914" s="63"/>
      <c r="AQ1914" s="63"/>
      <c r="AR1914" s="63"/>
      <c r="AS1914" s="63"/>
      <c r="AT1914" s="63"/>
      <c r="AU1914" s="63"/>
      <c r="AW1914" s="5">
        <f>IF(Q1914&gt;0,RANK(Q1914,(N1914:P1914,Q1914:AE1914)),0)</f>
        <v>3</v>
      </c>
      <c r="AX1914" s="5">
        <f>IF(R1914&gt;0,RANK(R1914,(N1914:P1914,Q1914:AE1914)),0)</f>
        <v>4</v>
      </c>
      <c r="AY1914" s="5">
        <f>IF(T1914&gt;0,RANK(T1914,(N1914:P1914,Q1914:AE1914)),0)</f>
        <v>0</v>
      </c>
      <c r="AZ1914" s="5">
        <f>IF(S1914&gt;0,RANK(S1914,(N1914:P1914,Q1914:AE1914)),0)</f>
        <v>7</v>
      </c>
      <c r="BA1914" s="2">
        <f t="shared" si="797"/>
        <v>4.5436507936507935E-2</v>
      </c>
      <c r="BB1914" s="2">
        <f t="shared" si="798"/>
        <v>1.7757936507936507E-2</v>
      </c>
      <c r="BC1914" s="2">
        <f t="shared" si="799"/>
        <v>0</v>
      </c>
      <c r="BD1914" s="2">
        <f t="shared" si="800"/>
        <v>9.9206349206349206E-5</v>
      </c>
      <c r="BF1914" t="s">
        <v>1072</v>
      </c>
      <c r="BG1914" t="s">
        <v>193</v>
      </c>
      <c r="BH1914">
        <v>22</v>
      </c>
      <c r="BJ1914" s="114">
        <v>36</v>
      </c>
      <c r="BK1914" s="116">
        <v>17</v>
      </c>
      <c r="BL1914" s="120">
        <f t="shared" si="787"/>
        <v>36017</v>
      </c>
      <c r="BN1914" s="5" t="s">
        <v>3154</v>
      </c>
      <c r="BO1914" s="63">
        <v>148</v>
      </c>
      <c r="BP1914" s="63">
        <v>11</v>
      </c>
      <c r="BR1914" s="63"/>
      <c r="BT1914" s="63">
        <v>6417</v>
      </c>
      <c r="BU1914" s="63">
        <v>10849</v>
      </c>
      <c r="BV1914" s="63">
        <v>1072</v>
      </c>
      <c r="BW1914" s="63">
        <v>258</v>
      </c>
      <c r="BX1914" s="63">
        <v>634</v>
      </c>
      <c r="BY1914" s="63">
        <v>100</v>
      </c>
      <c r="BZ1914" s="63">
        <v>282</v>
      </c>
      <c r="CB1914" s="63">
        <v>169</v>
      </c>
      <c r="CD1914" s="63">
        <v>0</v>
      </c>
      <c r="CE1914" s="63">
        <v>0</v>
      </c>
      <c r="CF1914" s="63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2</v>
      </c>
      <c r="CN1914" s="8">
        <v>0</v>
      </c>
      <c r="CO1914" s="8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hidden="1" outlineLevel="1">
      <c r="A1915" t="s">
        <v>1285</v>
      </c>
      <c r="B1915" t="s">
        <v>193</v>
      </c>
      <c r="C1915" s="1">
        <f t="shared" si="789"/>
        <v>32105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6</v>
      </c>
      <c r="G1915" s="132">
        <f t="shared" si="775"/>
        <v>610</v>
      </c>
      <c r="H1915" s="137">
        <f t="shared" si="776"/>
        <v>1.9000155738981468E-2</v>
      </c>
      <c r="I1915" s="2"/>
      <c r="J1915" s="2">
        <f t="shared" si="790"/>
        <v>0.46905466438249493</v>
      </c>
      <c r="K1915" s="2">
        <f t="shared" si="791"/>
        <v>0.45005450864351348</v>
      </c>
      <c r="L1915" s="2">
        <f t="shared" si="792"/>
        <v>1.4950942220837875E-3</v>
      </c>
      <c r="M1915" s="2">
        <f t="shared" si="793"/>
        <v>7.9395732751907852E-2</v>
      </c>
      <c r="N1915" s="63">
        <f t="shared" si="794"/>
        <v>15059</v>
      </c>
      <c r="O1915" s="63">
        <f t="shared" si="795"/>
        <v>14449</v>
      </c>
      <c r="P1915" s="63">
        <v>48</v>
      </c>
      <c r="Q1915" s="63">
        <f t="shared" si="796"/>
        <v>1312</v>
      </c>
      <c r="R1915" s="63">
        <v>613</v>
      </c>
      <c r="S1915" s="63">
        <v>2</v>
      </c>
      <c r="T1915" s="63">
        <v>0</v>
      </c>
      <c r="U1915" s="63">
        <v>2</v>
      </c>
      <c r="V1915" s="63">
        <v>1</v>
      </c>
      <c r="W1915" s="63">
        <f t="shared" si="801"/>
        <v>604</v>
      </c>
      <c r="X1915" s="63"/>
      <c r="Y1915" s="63">
        <v>2</v>
      </c>
      <c r="Z1915" s="63"/>
      <c r="AA1915" s="63">
        <v>0</v>
      </c>
      <c r="AB1915" s="63"/>
      <c r="AC1915" s="63"/>
      <c r="AD1915" s="63"/>
      <c r="AE1915" s="63"/>
      <c r="AF1915" s="63"/>
      <c r="AG1915" s="63">
        <v>1</v>
      </c>
      <c r="AH1915" s="63"/>
      <c r="AI1915" s="63"/>
      <c r="AJ1915" s="63"/>
      <c r="AK1915" s="63"/>
      <c r="AL1915" s="63">
        <v>7</v>
      </c>
      <c r="AM1915" s="63"/>
      <c r="AN1915" s="63">
        <v>5</v>
      </c>
      <c r="AO1915" s="63"/>
      <c r="AP1915" s="63"/>
      <c r="AQ1915" s="63"/>
      <c r="AR1915" s="63"/>
      <c r="AS1915" s="63"/>
      <c r="AT1915" s="63"/>
      <c r="AU1915" s="63"/>
      <c r="AW1915" s="5">
        <f>IF(Q1915&gt;0,RANK(Q1915,(N1915:P1915,Q1915:AE1915)),0)</f>
        <v>3</v>
      </c>
      <c r="AX1915" s="5">
        <f>IF(R1915&gt;0,RANK(R1915,(N1915:P1915,Q1915:AE1915)),0)</f>
        <v>4</v>
      </c>
      <c r="AY1915" s="5">
        <f>IF(T1915&gt;0,RANK(T1915,(N1915:P1915,Q1915:AE1915)),0)</f>
        <v>0</v>
      </c>
      <c r="AZ1915" s="5">
        <f>IF(S1915&gt;0,RANK(S1915,(N1915:P1915,Q1915:AE1915)),0)</f>
        <v>7</v>
      </c>
      <c r="BA1915" s="2">
        <f t="shared" si="797"/>
        <v>4.0865908736956863E-2</v>
      </c>
      <c r="BB1915" s="2">
        <f t="shared" si="798"/>
        <v>1.9093599127861703E-2</v>
      </c>
      <c r="BC1915" s="2">
        <f t="shared" si="799"/>
        <v>0</v>
      </c>
      <c r="BD1915" s="2">
        <f t="shared" si="800"/>
        <v>6.2295592586824485E-5</v>
      </c>
      <c r="BF1915" t="s">
        <v>1285</v>
      </c>
      <c r="BG1915" t="s">
        <v>193</v>
      </c>
      <c r="BH1915">
        <v>21</v>
      </c>
      <c r="BJ1915" s="114">
        <v>36</v>
      </c>
      <c r="BK1915" s="116">
        <v>19</v>
      </c>
      <c r="BL1915" s="120">
        <f t="shared" si="787"/>
        <v>36019</v>
      </c>
      <c r="BN1915" s="5" t="s">
        <v>3154</v>
      </c>
      <c r="BO1915" s="63">
        <v>2414</v>
      </c>
      <c r="BP1915" s="63">
        <v>17</v>
      </c>
      <c r="BR1915" s="63"/>
      <c r="BT1915" s="63">
        <v>14217</v>
      </c>
      <c r="BU1915" s="63">
        <v>13312</v>
      </c>
      <c r="BV1915" s="63">
        <v>1137</v>
      </c>
      <c r="BW1915" s="63">
        <v>634</v>
      </c>
      <c r="BX1915" s="63">
        <v>964</v>
      </c>
      <c r="BY1915" s="63">
        <v>208</v>
      </c>
      <c r="BZ1915" s="63">
        <v>348</v>
      </c>
      <c r="CB1915" s="63">
        <v>602</v>
      </c>
      <c r="CD1915" s="63">
        <v>0</v>
      </c>
      <c r="CE1915" s="63">
        <v>0</v>
      </c>
      <c r="CF1915" s="63">
        <v>0</v>
      </c>
      <c r="CG1915" s="8">
        <v>0</v>
      </c>
      <c r="CH1915" s="8">
        <v>0</v>
      </c>
      <c r="CI1915" s="8">
        <v>1</v>
      </c>
      <c r="CJ1915" s="8">
        <v>0</v>
      </c>
      <c r="CK1915" s="8">
        <v>0</v>
      </c>
      <c r="CL1915" s="8">
        <v>0</v>
      </c>
      <c r="CM1915" s="8">
        <v>0</v>
      </c>
      <c r="CN1915" s="8">
        <v>1</v>
      </c>
      <c r="CO1915" s="8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hidden="1" outlineLevel="1">
      <c r="A1916" t="s">
        <v>1496</v>
      </c>
      <c r="B1916" t="s">
        <v>193</v>
      </c>
      <c r="C1916" s="1">
        <f t="shared" si="789"/>
        <v>30902</v>
      </c>
      <c r="D1916" s="5">
        <f>IF(N1916&gt;0, RANK(N1916,(N1916:P1916,Q1916:AE1916)),0)</f>
        <v>1</v>
      </c>
      <c r="E1916" s="5">
        <f>IF(O1916&gt;0,RANK(O1916,(N1916:P1916,Q1916:AE1916)),0)</f>
        <v>2</v>
      </c>
      <c r="F1916" s="5">
        <f>IF(P1916&gt;0,RANK(P1916,(N1916:P1916,Q1916:AE1916)),0)</f>
        <v>6</v>
      </c>
      <c r="G1916" s="132">
        <f t="shared" si="775"/>
        <v>1528</v>
      </c>
      <c r="H1916" s="137">
        <f t="shared" si="776"/>
        <v>4.9446637758073911E-2</v>
      </c>
      <c r="I1916" s="2"/>
      <c r="J1916" s="2">
        <f t="shared" si="790"/>
        <v>0.49459581904083877</v>
      </c>
      <c r="K1916" s="2">
        <f t="shared" si="791"/>
        <v>0.44514918128276487</v>
      </c>
      <c r="L1916" s="2">
        <f t="shared" si="792"/>
        <v>2.0387029965698014E-3</v>
      </c>
      <c r="M1916" s="2">
        <f t="shared" si="793"/>
        <v>5.8216296679826501E-2</v>
      </c>
      <c r="N1916" s="63">
        <f t="shared" si="794"/>
        <v>15284</v>
      </c>
      <c r="O1916" s="63">
        <f t="shared" si="795"/>
        <v>13756</v>
      </c>
      <c r="P1916" s="63">
        <v>63</v>
      </c>
      <c r="Q1916" s="63">
        <f t="shared" si="796"/>
        <v>944</v>
      </c>
      <c r="R1916" s="63">
        <v>598</v>
      </c>
      <c r="S1916" s="63">
        <v>8</v>
      </c>
      <c r="T1916" s="63">
        <v>1</v>
      </c>
      <c r="U1916" s="63">
        <v>0</v>
      </c>
      <c r="V1916" s="63">
        <v>0</v>
      </c>
      <c r="W1916" s="63">
        <f t="shared" si="801"/>
        <v>244</v>
      </c>
      <c r="X1916" s="63"/>
      <c r="Y1916" s="63">
        <v>0</v>
      </c>
      <c r="Z1916" s="63"/>
      <c r="AA1916" s="63">
        <v>0</v>
      </c>
      <c r="AB1916" s="63"/>
      <c r="AC1916" s="63"/>
      <c r="AD1916" s="63"/>
      <c r="AE1916" s="63"/>
      <c r="AF1916" s="63"/>
      <c r="AG1916" s="63">
        <v>0</v>
      </c>
      <c r="AH1916" s="63"/>
      <c r="AI1916" s="63"/>
      <c r="AJ1916" s="63"/>
      <c r="AK1916" s="63"/>
      <c r="AL1916" s="63">
        <v>3</v>
      </c>
      <c r="AM1916" s="63"/>
      <c r="AN1916" s="63">
        <v>1</v>
      </c>
      <c r="AO1916" s="63"/>
      <c r="AP1916" s="63"/>
      <c r="AQ1916" s="63"/>
      <c r="AR1916" s="63"/>
      <c r="AS1916" s="63"/>
      <c r="AT1916" s="63"/>
      <c r="AU1916" s="63"/>
      <c r="AW1916" s="5">
        <f>IF(Q1916&gt;0,RANK(Q1916,(N1916:P1916,Q1916:AE1916)),0)</f>
        <v>3</v>
      </c>
      <c r="AX1916" s="5">
        <f>IF(R1916&gt;0,RANK(R1916,(N1916:P1916,Q1916:AE1916)),0)</f>
        <v>4</v>
      </c>
      <c r="AY1916" s="5">
        <f>IF(T1916&gt;0,RANK(T1916,(N1916:P1916,Q1916:AE1916)),0)</f>
        <v>8</v>
      </c>
      <c r="AZ1916" s="5">
        <f>IF(S1916&gt;0,RANK(S1916,(N1916:P1916,Q1916:AE1916)),0)</f>
        <v>7</v>
      </c>
      <c r="BA1916" s="2">
        <f t="shared" si="797"/>
        <v>3.0548184583522101E-2</v>
      </c>
      <c r="BB1916" s="2">
        <f t="shared" si="798"/>
        <v>1.9351498284900653E-2</v>
      </c>
      <c r="BC1916" s="2">
        <f t="shared" si="799"/>
        <v>3.236036502491748E-5</v>
      </c>
      <c r="BD1916" s="2">
        <f t="shared" si="800"/>
        <v>2.5888292019933984E-4</v>
      </c>
      <c r="BF1916" t="s">
        <v>1496</v>
      </c>
      <c r="BG1916" t="s">
        <v>193</v>
      </c>
      <c r="BH1916">
        <v>19</v>
      </c>
      <c r="BJ1916" s="114">
        <v>36</v>
      </c>
      <c r="BK1916" s="116">
        <v>21</v>
      </c>
      <c r="BL1916" s="120">
        <f t="shared" si="787"/>
        <v>36021</v>
      </c>
      <c r="BN1916" s="5" t="s">
        <v>3154</v>
      </c>
      <c r="BO1916" s="63">
        <v>230</v>
      </c>
      <c r="BP1916" s="63">
        <v>20</v>
      </c>
      <c r="BR1916" s="63"/>
      <c r="BT1916" s="63">
        <v>14146</v>
      </c>
      <c r="BU1916" s="63">
        <v>11867</v>
      </c>
      <c r="BV1916" s="63">
        <v>1889</v>
      </c>
      <c r="BW1916" s="63">
        <v>865</v>
      </c>
      <c r="BX1916" s="63">
        <v>626</v>
      </c>
      <c r="BY1916" s="63">
        <v>273</v>
      </c>
      <c r="BZ1916" s="63">
        <v>318</v>
      </c>
      <c r="CB1916" s="63">
        <v>238</v>
      </c>
      <c r="CD1916" s="63">
        <v>0</v>
      </c>
      <c r="CE1916" s="63">
        <v>0</v>
      </c>
      <c r="CF1916" s="63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3</v>
      </c>
      <c r="CL1916" s="8">
        <v>0</v>
      </c>
      <c r="CM1916" s="8">
        <v>2</v>
      </c>
      <c r="CN1916" s="8">
        <v>0</v>
      </c>
      <c r="CO1916" s="8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hidden="1" outlineLevel="1">
      <c r="A1917" t="s">
        <v>2135</v>
      </c>
      <c r="B1917" t="s">
        <v>193</v>
      </c>
      <c r="C1917" s="1">
        <f t="shared" si="789"/>
        <v>20244</v>
      </c>
      <c r="D1917" s="5">
        <f>IF(N1917&gt;0, RANK(N1917,(N1917:P1917,Q1917:AE1917)),0)</f>
        <v>2</v>
      </c>
      <c r="E1917" s="5">
        <f>IF(O1917&gt;0,RANK(O1917,(N1917:P1917,Q1917:AE1917)),0)</f>
        <v>1</v>
      </c>
      <c r="F1917" s="5">
        <f>IF(P1917&gt;0,RANK(P1917,(N1917:P1917,Q1917:AE1917)),0)</f>
        <v>6</v>
      </c>
      <c r="G1917" s="132">
        <f t="shared" si="775"/>
        <v>1129</v>
      </c>
      <c r="H1917" s="137">
        <f t="shared" si="776"/>
        <v>5.5769610748863864E-2</v>
      </c>
      <c r="I1917" s="2"/>
      <c r="J1917" s="2">
        <f t="shared" si="790"/>
        <v>0.43326417704011067</v>
      </c>
      <c r="K1917" s="2">
        <f t="shared" si="791"/>
        <v>0.48903378778897449</v>
      </c>
      <c r="L1917" s="2">
        <f t="shared" si="792"/>
        <v>2.8156490812092472E-3</v>
      </c>
      <c r="M1917" s="2">
        <f t="shared" si="793"/>
        <v>7.4886386089705589E-2</v>
      </c>
      <c r="N1917" s="63">
        <f t="shared" si="794"/>
        <v>8771</v>
      </c>
      <c r="O1917" s="63">
        <f t="shared" si="795"/>
        <v>9900</v>
      </c>
      <c r="P1917" s="63">
        <v>57</v>
      </c>
      <c r="Q1917" s="63">
        <f t="shared" si="796"/>
        <v>957</v>
      </c>
      <c r="R1917" s="63">
        <v>374</v>
      </c>
      <c r="S1917" s="63">
        <v>1</v>
      </c>
      <c r="T1917" s="63">
        <v>0</v>
      </c>
      <c r="U1917" s="63">
        <v>0</v>
      </c>
      <c r="V1917" s="63">
        <v>1</v>
      </c>
      <c r="W1917" s="63">
        <f t="shared" si="801"/>
        <v>182</v>
      </c>
      <c r="X1917" s="63"/>
      <c r="Y1917" s="63">
        <v>1</v>
      </c>
      <c r="Z1917" s="63"/>
      <c r="AA1917" s="63">
        <v>0</v>
      </c>
      <c r="AB1917" s="63"/>
      <c r="AC1917" s="63"/>
      <c r="AD1917" s="63"/>
      <c r="AE1917" s="63"/>
      <c r="AF1917" s="63"/>
      <c r="AG1917" s="63">
        <v>0</v>
      </c>
      <c r="AH1917" s="63"/>
      <c r="AI1917" s="63"/>
      <c r="AJ1917" s="63"/>
      <c r="AK1917" s="63"/>
      <c r="AL1917" s="63">
        <v>0</v>
      </c>
      <c r="AM1917" s="63"/>
      <c r="AN1917" s="63">
        <v>0</v>
      </c>
      <c r="AO1917" s="63"/>
      <c r="AP1917" s="63"/>
      <c r="AQ1917" s="63"/>
      <c r="AR1917" s="63"/>
      <c r="AS1917" s="63"/>
      <c r="AT1917" s="63"/>
      <c r="AU1917" s="63"/>
      <c r="AW1917" s="5">
        <f>IF(Q1917&gt;0,RANK(Q1917,(N1917:P1917,Q1917:AE1917)),0)</f>
        <v>3</v>
      </c>
      <c r="AX1917" s="5">
        <f>IF(R1917&gt;0,RANK(R1917,(N1917:P1917,Q1917:AE1917)),0)</f>
        <v>4</v>
      </c>
      <c r="AY1917" s="5">
        <f>IF(T1917&gt;0,RANK(T1917,(N1917:P1917,Q1917:AE1917)),0)</f>
        <v>0</v>
      </c>
      <c r="AZ1917" s="5">
        <f>IF(S1917&gt;0,RANK(S1917,(N1917:P1917,Q1917:AE1917)),0)</f>
        <v>7</v>
      </c>
      <c r="BA1917" s="2">
        <f t="shared" si="797"/>
        <v>4.7273266152934201E-2</v>
      </c>
      <c r="BB1917" s="2">
        <f t="shared" si="798"/>
        <v>1.8474609760916815E-2</v>
      </c>
      <c r="BC1917" s="2">
        <f t="shared" si="799"/>
        <v>0</v>
      </c>
      <c r="BD1917" s="2">
        <f t="shared" si="800"/>
        <v>4.9397352301916618E-5</v>
      </c>
      <c r="BF1917" t="s">
        <v>2135</v>
      </c>
      <c r="BG1917" t="s">
        <v>193</v>
      </c>
      <c r="BH1917">
        <v>22</v>
      </c>
      <c r="BJ1917" s="114">
        <v>36</v>
      </c>
      <c r="BK1917" s="116">
        <v>23</v>
      </c>
      <c r="BL1917" s="120">
        <f t="shared" si="787"/>
        <v>36023</v>
      </c>
      <c r="BN1917" s="5" t="s">
        <v>3154</v>
      </c>
      <c r="BO1917" s="63">
        <v>209</v>
      </c>
      <c r="BP1917" s="63">
        <v>0</v>
      </c>
      <c r="BR1917" s="63"/>
      <c r="BT1917" s="63">
        <v>8307</v>
      </c>
      <c r="BU1917" s="63">
        <v>8930</v>
      </c>
      <c r="BV1917" s="63">
        <v>970</v>
      </c>
      <c r="BW1917" s="63">
        <v>309</v>
      </c>
      <c r="BX1917" s="63">
        <v>682</v>
      </c>
      <c r="BY1917" s="63">
        <v>155</v>
      </c>
      <c r="BZ1917" s="63">
        <v>275</v>
      </c>
      <c r="CB1917" s="63">
        <v>180</v>
      </c>
      <c r="CD1917" s="63">
        <v>0</v>
      </c>
      <c r="CE1917" s="63">
        <v>0</v>
      </c>
      <c r="CF1917" s="63">
        <v>0</v>
      </c>
      <c r="CG1917" s="8">
        <v>1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1</v>
      </c>
      <c r="CN1917" s="8">
        <v>0</v>
      </c>
      <c r="CO1917" s="8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hidden="1" outlineLevel="1">
      <c r="A1918" t="s">
        <v>1708</v>
      </c>
      <c r="B1918" t="s">
        <v>193</v>
      </c>
      <c r="C1918" s="1">
        <f t="shared" si="789"/>
        <v>19792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6</v>
      </c>
      <c r="G1918" s="132">
        <f t="shared" si="775"/>
        <v>5315</v>
      </c>
      <c r="H1918" s="137">
        <f t="shared" si="776"/>
        <v>0.26854284559417946</v>
      </c>
      <c r="I1918" s="2"/>
      <c r="J1918" s="2">
        <f t="shared" si="790"/>
        <v>0.33483225545675022</v>
      </c>
      <c r="K1918" s="2">
        <f t="shared" si="791"/>
        <v>0.60337510105092962</v>
      </c>
      <c r="L1918" s="2">
        <f t="shared" si="792"/>
        <v>1.9704931285367826E-3</v>
      </c>
      <c r="M1918" s="2">
        <f t="shared" si="793"/>
        <v>5.9822150363783383E-2</v>
      </c>
      <c r="N1918" s="63">
        <f t="shared" si="794"/>
        <v>6627</v>
      </c>
      <c r="O1918" s="63">
        <f t="shared" si="795"/>
        <v>11942</v>
      </c>
      <c r="P1918" s="63">
        <v>39</v>
      </c>
      <c r="Q1918" s="63">
        <f t="shared" si="796"/>
        <v>650</v>
      </c>
      <c r="R1918" s="63">
        <v>377</v>
      </c>
      <c r="S1918" s="63">
        <v>10</v>
      </c>
      <c r="T1918" s="63">
        <v>0</v>
      </c>
      <c r="U1918" s="63">
        <v>0</v>
      </c>
      <c r="V1918" s="63">
        <v>0</v>
      </c>
      <c r="W1918" s="63">
        <f t="shared" si="801"/>
        <v>143</v>
      </c>
      <c r="X1918" s="63"/>
      <c r="Y1918" s="63">
        <v>0</v>
      </c>
      <c r="Z1918" s="63"/>
      <c r="AA1918" s="63">
        <v>0</v>
      </c>
      <c r="AB1918" s="63"/>
      <c r="AC1918" s="63"/>
      <c r="AD1918" s="63"/>
      <c r="AE1918" s="63"/>
      <c r="AF1918" s="63"/>
      <c r="AG1918" s="63">
        <v>1</v>
      </c>
      <c r="AH1918" s="63"/>
      <c r="AI1918" s="63"/>
      <c r="AJ1918" s="63"/>
      <c r="AK1918" s="63"/>
      <c r="AL1918" s="63">
        <v>0</v>
      </c>
      <c r="AM1918" s="63"/>
      <c r="AN1918" s="63">
        <v>3</v>
      </c>
      <c r="AO1918" s="63"/>
      <c r="AP1918" s="63"/>
      <c r="AQ1918" s="63"/>
      <c r="AR1918" s="63"/>
      <c r="AS1918" s="63"/>
      <c r="AT1918" s="63"/>
      <c r="AU1918" s="63"/>
      <c r="AW1918" s="5">
        <f>IF(Q1918&gt;0,RANK(Q1918,(N1918:P1918,Q1918:AE1918)),0)</f>
        <v>3</v>
      </c>
      <c r="AX1918" s="5">
        <f>IF(R1918&gt;0,RANK(R1918,(N1918:P1918,Q1918:AE1918)),0)</f>
        <v>4</v>
      </c>
      <c r="AY1918" s="5">
        <f>IF(T1918&gt;0,RANK(T1918,(N1918:P1918,Q1918:AE1918)),0)</f>
        <v>0</v>
      </c>
      <c r="AZ1918" s="5">
        <f>IF(S1918&gt;0,RANK(S1918,(N1918:P1918,Q1918:AE1918)),0)</f>
        <v>7</v>
      </c>
      <c r="BA1918" s="2">
        <f t="shared" si="797"/>
        <v>3.2841552142279712E-2</v>
      </c>
      <c r="BB1918" s="2">
        <f t="shared" si="798"/>
        <v>1.904810024252223E-2</v>
      </c>
      <c r="BC1918" s="2">
        <f t="shared" si="799"/>
        <v>0</v>
      </c>
      <c r="BD1918" s="2">
        <f t="shared" si="800"/>
        <v>5.0525464834276479E-4</v>
      </c>
      <c r="BF1918" t="s">
        <v>1708</v>
      </c>
      <c r="BG1918" t="s">
        <v>193</v>
      </c>
      <c r="BH1918">
        <v>19</v>
      </c>
      <c r="BJ1918" s="114">
        <v>36</v>
      </c>
      <c r="BK1918" s="116">
        <v>25</v>
      </c>
      <c r="BL1918" s="120">
        <f t="shared" si="787"/>
        <v>36025</v>
      </c>
      <c r="BN1918" s="5" t="s">
        <v>3154</v>
      </c>
      <c r="BO1918" s="63">
        <v>131</v>
      </c>
      <c r="BP1918" s="63">
        <v>9</v>
      </c>
      <c r="BR1918" s="63"/>
      <c r="BT1918" s="63">
        <v>6194</v>
      </c>
      <c r="BU1918" s="63">
        <v>10827</v>
      </c>
      <c r="BV1918" s="63">
        <v>1115</v>
      </c>
      <c r="BW1918" s="63">
        <v>333</v>
      </c>
      <c r="BX1918" s="63">
        <v>476</v>
      </c>
      <c r="BY1918" s="63">
        <v>100</v>
      </c>
      <c r="BZ1918" s="63">
        <v>174</v>
      </c>
      <c r="CB1918" s="63">
        <v>143</v>
      </c>
      <c r="CD1918" s="63">
        <v>0</v>
      </c>
      <c r="CE1918" s="63">
        <v>0</v>
      </c>
      <c r="CF1918" s="63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hidden="1" outlineLevel="1">
      <c r="A1919" t="s">
        <v>1851</v>
      </c>
      <c r="B1919" t="s">
        <v>193</v>
      </c>
      <c r="C1919" s="1">
        <f t="shared" si="789"/>
        <v>131018</v>
      </c>
      <c r="D1919" s="5">
        <f>IF(N1919&gt;0, RANK(N1919,(N1919:P1919,Q1919:AE1919)),0)</f>
        <v>1</v>
      </c>
      <c r="E1919" s="5">
        <f>IF(O1919&gt;0,RANK(O1919,(N1919:P1919,Q1919:AE1919)),0)</f>
        <v>2</v>
      </c>
      <c r="F1919" s="5">
        <f>IF(P1919&gt;0,RANK(P1919,(N1919:P1919,Q1919:AE1919)),0)</f>
        <v>6</v>
      </c>
      <c r="G1919" s="132">
        <f t="shared" si="775"/>
        <v>464</v>
      </c>
      <c r="H1919" s="137">
        <f t="shared" si="776"/>
        <v>3.5414981147628569E-3</v>
      </c>
      <c r="I1919" s="2"/>
      <c r="J1919" s="2">
        <f t="shared" si="790"/>
        <v>0.4753926941336305</v>
      </c>
      <c r="K1919" s="2">
        <f t="shared" si="791"/>
        <v>0.47185119601886766</v>
      </c>
      <c r="L1919" s="2">
        <f t="shared" si="792"/>
        <v>1.8852371429879864E-3</v>
      </c>
      <c r="M1919" s="2">
        <f t="shared" si="793"/>
        <v>5.0870872704513855E-2</v>
      </c>
      <c r="N1919" s="63">
        <f t="shared" si="794"/>
        <v>62285</v>
      </c>
      <c r="O1919" s="63">
        <f t="shared" si="795"/>
        <v>61821</v>
      </c>
      <c r="P1919" s="63">
        <v>247</v>
      </c>
      <c r="Q1919" s="63">
        <f t="shared" si="796"/>
        <v>3602</v>
      </c>
      <c r="R1919" s="63">
        <v>1988</v>
      </c>
      <c r="S1919" s="63">
        <v>32</v>
      </c>
      <c r="T1919" s="63">
        <v>3</v>
      </c>
      <c r="U1919" s="63">
        <v>1</v>
      </c>
      <c r="V1919" s="63">
        <v>2</v>
      </c>
      <c r="W1919" s="63">
        <f t="shared" si="801"/>
        <v>1019</v>
      </c>
      <c r="X1919" s="63"/>
      <c r="Y1919" s="63">
        <v>2</v>
      </c>
      <c r="Z1919" s="63"/>
      <c r="AA1919" s="63">
        <v>1</v>
      </c>
      <c r="AB1919" s="63"/>
      <c r="AC1919" s="63"/>
      <c r="AD1919" s="63"/>
      <c r="AE1919" s="63"/>
      <c r="AF1919" s="63"/>
      <c r="AG1919" s="63">
        <v>4</v>
      </c>
      <c r="AH1919" s="63"/>
      <c r="AI1919" s="63"/>
      <c r="AJ1919" s="63"/>
      <c r="AK1919" s="63"/>
      <c r="AL1919" s="63">
        <v>1</v>
      </c>
      <c r="AM1919" s="63"/>
      <c r="AN1919" s="63">
        <v>10</v>
      </c>
      <c r="AO1919" s="63"/>
      <c r="AP1919" s="63"/>
      <c r="AQ1919" s="63"/>
      <c r="AR1919" s="63"/>
      <c r="AS1919" s="63"/>
      <c r="AT1919" s="63"/>
      <c r="AU1919" s="63"/>
      <c r="AW1919" s="5">
        <f>IF(Q1919&gt;0,RANK(Q1919,(N1919:P1919,Q1919:AE1919)),0)</f>
        <v>3</v>
      </c>
      <c r="AX1919" s="5">
        <f>IF(R1919&gt;0,RANK(R1919,(N1919:P1919,Q1919:AE1919)),0)</f>
        <v>4</v>
      </c>
      <c r="AY1919" s="5">
        <f>IF(T1919&gt;0,RANK(T1919,(N1919:P1919,Q1919:AE1919)),0)</f>
        <v>8</v>
      </c>
      <c r="AZ1919" s="5">
        <f>IF(S1919&gt;0,RANK(S1919,(N1919:P1919,Q1919:AE1919)),0)</f>
        <v>7</v>
      </c>
      <c r="BA1919" s="2">
        <f t="shared" si="797"/>
        <v>2.7492405623654764E-2</v>
      </c>
      <c r="BB1919" s="2">
        <f t="shared" si="798"/>
        <v>1.5173487612389137E-2</v>
      </c>
      <c r="BC1919" s="2">
        <f t="shared" si="799"/>
        <v>2.2897617121311577E-5</v>
      </c>
      <c r="BD1919" s="2">
        <f t="shared" si="800"/>
        <v>2.4424124929399015E-4</v>
      </c>
      <c r="BF1919" t="s">
        <v>1851</v>
      </c>
      <c r="BG1919" t="s">
        <v>193</v>
      </c>
      <c r="BJ1919" s="114">
        <v>36</v>
      </c>
      <c r="BK1919" s="116">
        <v>27</v>
      </c>
      <c r="BL1919" s="120">
        <f t="shared" si="787"/>
        <v>36027</v>
      </c>
      <c r="BN1919" s="5" t="s">
        <v>3154</v>
      </c>
      <c r="BO1919" s="63">
        <v>1085</v>
      </c>
      <c r="BP1919" s="63">
        <v>185</v>
      </c>
      <c r="BR1919" s="63"/>
      <c r="BT1919" s="63">
        <v>58933</v>
      </c>
      <c r="BU1919" s="63">
        <v>54387</v>
      </c>
      <c r="BV1919" s="63">
        <v>7434</v>
      </c>
      <c r="BW1919" s="63">
        <v>2602</v>
      </c>
      <c r="BX1919" s="63">
        <v>2368</v>
      </c>
      <c r="BY1919" s="63">
        <v>750</v>
      </c>
      <c r="BZ1919" s="63">
        <v>1234</v>
      </c>
      <c r="CB1919" s="63">
        <v>1016</v>
      </c>
      <c r="CD1919" s="63">
        <v>0</v>
      </c>
      <c r="CE1919" s="63">
        <v>1</v>
      </c>
      <c r="CF1919" s="63">
        <v>0</v>
      </c>
      <c r="CG1919" s="8">
        <v>1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1</v>
      </c>
      <c r="CN1919" s="8">
        <v>0</v>
      </c>
      <c r="CO1919" s="8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hidden="1" outlineLevel="1">
      <c r="A1920" t="s">
        <v>12</v>
      </c>
      <c r="B1920" t="s">
        <v>193</v>
      </c>
      <c r="C1920" s="1">
        <f t="shared" si="789"/>
        <v>423625</v>
      </c>
      <c r="D1920" s="5">
        <f>IF(N1920&gt;0, RANK(N1920,(N1920:P1920,Q1920:AE1920)),0)</f>
        <v>1</v>
      </c>
      <c r="E1920" s="5">
        <f>IF(O1920&gt;0,RANK(O1920,(N1920:P1920,Q1920:AE1920)),0)</f>
        <v>2</v>
      </c>
      <c r="F1920" s="5">
        <f>IF(P1920&gt;0,RANK(P1920,(N1920:P1920,Q1920:AE1920)),0)</f>
        <v>5</v>
      </c>
      <c r="G1920" s="132">
        <f t="shared" si="775"/>
        <v>27153</v>
      </c>
      <c r="H1920" s="137">
        <f t="shared" si="776"/>
        <v>6.4096783712009442E-2</v>
      </c>
      <c r="I1920" s="2"/>
      <c r="J1920" s="2">
        <f t="shared" si="790"/>
        <v>0.5086007671879611</v>
      </c>
      <c r="K1920" s="2">
        <f t="shared" si="791"/>
        <v>0.4445039834759516</v>
      </c>
      <c r="L1920" s="2">
        <f t="shared" si="792"/>
        <v>1.399822956624373E-3</v>
      </c>
      <c r="M1920" s="2">
        <f t="shared" si="793"/>
        <v>4.5495426379462925E-2</v>
      </c>
      <c r="N1920" s="63">
        <f t="shared" si="794"/>
        <v>215456</v>
      </c>
      <c r="O1920" s="63">
        <f t="shared" si="795"/>
        <v>188303</v>
      </c>
      <c r="P1920" s="63">
        <v>593</v>
      </c>
      <c r="Q1920" s="63">
        <f t="shared" si="796"/>
        <v>12720</v>
      </c>
      <c r="R1920" s="63">
        <v>6367</v>
      </c>
      <c r="S1920" s="63">
        <v>57</v>
      </c>
      <c r="T1920" s="63">
        <v>0</v>
      </c>
      <c r="U1920" s="63">
        <v>0</v>
      </c>
      <c r="V1920" s="63">
        <v>4</v>
      </c>
      <c r="W1920" s="63">
        <f t="shared" si="801"/>
        <v>47</v>
      </c>
      <c r="X1920" s="63"/>
      <c r="Y1920" s="63">
        <v>7</v>
      </c>
      <c r="Z1920" s="63"/>
      <c r="AA1920" s="63">
        <v>9</v>
      </c>
      <c r="AB1920" s="63"/>
      <c r="AC1920" s="63"/>
      <c r="AD1920" s="63"/>
      <c r="AE1920" s="63"/>
      <c r="AF1920" s="63"/>
      <c r="AG1920" s="63">
        <v>5</v>
      </c>
      <c r="AH1920" s="63"/>
      <c r="AI1920" s="63"/>
      <c r="AJ1920" s="63"/>
      <c r="AK1920" s="63"/>
      <c r="AL1920" s="63">
        <v>4</v>
      </c>
      <c r="AM1920" s="63"/>
      <c r="AN1920" s="63">
        <v>53</v>
      </c>
      <c r="AO1920" s="63"/>
      <c r="AP1920" s="63"/>
      <c r="AQ1920" s="63"/>
      <c r="AR1920" s="63"/>
      <c r="AS1920" s="63"/>
      <c r="AT1920" s="63"/>
      <c r="AU1920" s="63"/>
      <c r="AW1920" s="5">
        <f>IF(Q1920&gt;0,RANK(Q1920,(N1920:P1920,Q1920:AE1920)),0)</f>
        <v>3</v>
      </c>
      <c r="AX1920" s="5">
        <f>IF(R1920&gt;0,RANK(R1920,(N1920:P1920,Q1920:AE1920)),0)</f>
        <v>4</v>
      </c>
      <c r="AY1920" s="5">
        <f>IF(T1920&gt;0,RANK(T1920,(N1920:P1920,Q1920:AE1920)),0)</f>
        <v>0</v>
      </c>
      <c r="AZ1920" s="5">
        <f>IF(S1920&gt;0,RANK(S1920,(N1920:P1920,Q1920:AE1920)),0)</f>
        <v>6</v>
      </c>
      <c r="BA1920" s="2">
        <f t="shared" si="797"/>
        <v>3.0026556506344053E-2</v>
      </c>
      <c r="BB1920" s="2">
        <f t="shared" si="798"/>
        <v>1.5029802301563883E-2</v>
      </c>
      <c r="BC1920" s="2">
        <f t="shared" si="799"/>
        <v>0</v>
      </c>
      <c r="BD1920" s="2">
        <f t="shared" si="800"/>
        <v>1.3455296547654175E-4</v>
      </c>
      <c r="BF1920" t="s">
        <v>12</v>
      </c>
      <c r="BG1920" t="s">
        <v>193</v>
      </c>
      <c r="BJ1920" s="114">
        <v>36</v>
      </c>
      <c r="BK1920" s="116">
        <v>29</v>
      </c>
      <c r="BL1920" s="120">
        <f t="shared" si="787"/>
        <v>36029</v>
      </c>
      <c r="BN1920" s="5" t="s">
        <v>3154</v>
      </c>
      <c r="BO1920" s="63">
        <v>7912</v>
      </c>
      <c r="BP1920" s="63">
        <v>0</v>
      </c>
      <c r="BR1920" s="63"/>
      <c r="BT1920" s="63">
        <v>205773</v>
      </c>
      <c r="BU1920" s="63">
        <v>159742</v>
      </c>
      <c r="BV1920" s="63">
        <v>28561</v>
      </c>
      <c r="BW1920" s="63">
        <v>7302</v>
      </c>
      <c r="BX1920" s="63">
        <v>8463</v>
      </c>
      <c r="BY1920" s="63">
        <v>2381</v>
      </c>
      <c r="BZ1920" s="63">
        <v>4257</v>
      </c>
      <c r="CB1920" s="63">
        <v>0</v>
      </c>
      <c r="CD1920" s="63">
        <v>0</v>
      </c>
      <c r="CE1920" s="63">
        <v>0</v>
      </c>
      <c r="CF1920" s="63">
        <v>0</v>
      </c>
      <c r="CG1920" s="8">
        <v>23</v>
      </c>
      <c r="CH1920" s="8">
        <v>1</v>
      </c>
      <c r="CI1920" s="8">
        <v>0</v>
      </c>
      <c r="CJ1920" s="8">
        <v>0</v>
      </c>
      <c r="CK1920" s="8">
        <v>1</v>
      </c>
      <c r="CL1920" s="8">
        <v>1</v>
      </c>
      <c r="CM1920" s="8">
        <v>7</v>
      </c>
      <c r="CN1920" s="8">
        <v>9</v>
      </c>
      <c r="CO1920" s="8">
        <v>0</v>
      </c>
      <c r="CP1920">
        <v>0</v>
      </c>
      <c r="CQ1920">
        <v>1</v>
      </c>
      <c r="CR1920">
        <v>4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hidden="1" outlineLevel="1">
      <c r="A1921" t="s">
        <v>842</v>
      </c>
      <c r="B1921" t="s">
        <v>193</v>
      </c>
      <c r="C1921" s="1">
        <f t="shared" si="789"/>
        <v>17218</v>
      </c>
      <c r="D1921" s="5">
        <f>IF(N1921&gt;0, RANK(N1921,(N1921:P1921,Q1921:AE1921)),0)</f>
        <v>2</v>
      </c>
      <c r="E1921" s="5">
        <f>IF(O1921&gt;0,RANK(O1921,(N1921:P1921,Q1921:AE1921)),0)</f>
        <v>1</v>
      </c>
      <c r="F1921" s="5">
        <f>IF(P1921&gt;0,RANK(P1921,(N1921:P1921,Q1921:AE1921)),0)</f>
        <v>6</v>
      </c>
      <c r="G1921" s="132">
        <f t="shared" si="775"/>
        <v>196</v>
      </c>
      <c r="H1921" s="137">
        <f t="shared" si="776"/>
        <v>1.1383435939133464E-2</v>
      </c>
      <c r="I1921" s="2"/>
      <c r="J1921" s="2">
        <f t="shared" si="790"/>
        <v>0.4508072946916018</v>
      </c>
      <c r="K1921" s="2">
        <f t="shared" si="791"/>
        <v>0.46219073063073529</v>
      </c>
      <c r="L1921" s="2">
        <f t="shared" si="792"/>
        <v>2.4393077012428853E-3</v>
      </c>
      <c r="M1921" s="2">
        <f t="shared" si="793"/>
        <v>8.4562666976420078E-2</v>
      </c>
      <c r="N1921" s="63">
        <f t="shared" si="794"/>
        <v>7762</v>
      </c>
      <c r="O1921" s="63">
        <f t="shared" si="795"/>
        <v>7958</v>
      </c>
      <c r="P1921" s="63">
        <v>42</v>
      </c>
      <c r="Q1921" s="63">
        <f t="shared" si="796"/>
        <v>728</v>
      </c>
      <c r="R1921" s="63">
        <v>420</v>
      </c>
      <c r="S1921" s="63">
        <v>0</v>
      </c>
      <c r="T1921" s="63">
        <v>0</v>
      </c>
      <c r="U1921" s="63">
        <v>0</v>
      </c>
      <c r="V1921" s="63">
        <v>0</v>
      </c>
      <c r="W1921" s="63">
        <f t="shared" si="801"/>
        <v>302</v>
      </c>
      <c r="X1921" s="63"/>
      <c r="Y1921" s="63">
        <v>0</v>
      </c>
      <c r="Z1921" s="63"/>
      <c r="AA1921" s="63">
        <v>0</v>
      </c>
      <c r="AB1921" s="63"/>
      <c r="AC1921" s="63"/>
      <c r="AD1921" s="63"/>
      <c r="AE1921" s="63"/>
      <c r="AF1921" s="63"/>
      <c r="AG1921" s="63">
        <v>0</v>
      </c>
      <c r="AH1921" s="63"/>
      <c r="AI1921" s="63"/>
      <c r="AJ1921" s="63"/>
      <c r="AK1921" s="63"/>
      <c r="AL1921" s="63">
        <v>4</v>
      </c>
      <c r="AM1921" s="63"/>
      <c r="AN1921" s="63">
        <v>2</v>
      </c>
      <c r="AO1921" s="63"/>
      <c r="AP1921" s="63"/>
      <c r="AQ1921" s="63"/>
      <c r="AR1921" s="63"/>
      <c r="AS1921" s="63"/>
      <c r="AT1921" s="63"/>
      <c r="AU1921" s="63"/>
      <c r="AW1921" s="5">
        <f>IF(Q1921&gt;0,RANK(Q1921,(N1921:P1921,Q1921:AE1921)),0)</f>
        <v>3</v>
      </c>
      <c r="AX1921" s="5">
        <f>IF(R1921&gt;0,RANK(R1921,(N1921:P1921,Q1921:AE1921)),0)</f>
        <v>4</v>
      </c>
      <c r="AY1921" s="5">
        <f>IF(T1921&gt;0,RANK(T1921,(N1921:P1921,Q1921:AE1921)),0)</f>
        <v>0</v>
      </c>
      <c r="AZ1921" s="5">
        <f>IF(S1921&gt;0,RANK(S1921,(N1921:P1921,Q1921:AE1921)),0)</f>
        <v>0</v>
      </c>
      <c r="BA1921" s="2">
        <f t="shared" si="797"/>
        <v>4.2281333488210011E-2</v>
      </c>
      <c r="BB1921" s="2">
        <f t="shared" si="798"/>
        <v>2.4393077012428852E-2</v>
      </c>
      <c r="BC1921" s="2">
        <f t="shared" si="799"/>
        <v>0</v>
      </c>
      <c r="BD1921" s="2">
        <f t="shared" si="800"/>
        <v>0</v>
      </c>
      <c r="BF1921" t="s">
        <v>842</v>
      </c>
      <c r="BG1921" t="s">
        <v>193</v>
      </c>
      <c r="BH1921">
        <v>21</v>
      </c>
      <c r="BJ1921" s="114">
        <v>36</v>
      </c>
      <c r="BK1921" s="116">
        <v>31</v>
      </c>
      <c r="BL1921" s="120">
        <f t="shared" si="787"/>
        <v>36031</v>
      </c>
      <c r="BN1921" s="5" t="s">
        <v>3154</v>
      </c>
      <c r="BO1921" s="63">
        <v>244</v>
      </c>
      <c r="BP1921" s="63">
        <v>0</v>
      </c>
      <c r="BR1921" s="63"/>
      <c r="BT1921" s="63">
        <v>7341</v>
      </c>
      <c r="BU1921" s="63">
        <v>7347</v>
      </c>
      <c r="BV1921" s="63">
        <v>611</v>
      </c>
      <c r="BW1921" s="63">
        <v>282</v>
      </c>
      <c r="BX1921" s="63">
        <v>533</v>
      </c>
      <c r="BY1921" s="63">
        <v>139</v>
      </c>
      <c r="BZ1921" s="63">
        <v>195</v>
      </c>
      <c r="CB1921" s="63">
        <v>297</v>
      </c>
      <c r="CD1921" s="63">
        <v>0</v>
      </c>
      <c r="CE1921" s="63">
        <v>0</v>
      </c>
      <c r="CF1921" s="63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0</v>
      </c>
      <c r="CN1921" s="8">
        <v>1</v>
      </c>
      <c r="CO1921" s="8">
        <v>2</v>
      </c>
      <c r="CP1921">
        <v>0</v>
      </c>
      <c r="CQ1921">
        <v>0</v>
      </c>
      <c r="CR1921">
        <v>2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hidden="1" outlineLevel="1">
      <c r="A1922" t="s">
        <v>1138</v>
      </c>
      <c r="B1922" t="s">
        <v>193</v>
      </c>
      <c r="C1922" s="1">
        <f t="shared" si="789"/>
        <v>16952</v>
      </c>
      <c r="D1922" s="5">
        <f>IF(N1922&gt;0, RANK(N1922,(N1922:P1922,Q1922:AE1922)),0)</f>
        <v>2</v>
      </c>
      <c r="E1922" s="5">
        <f>IF(O1922&gt;0,RANK(O1922,(N1922:P1922,Q1922:AE1922)),0)</f>
        <v>1</v>
      </c>
      <c r="F1922" s="5">
        <f>IF(P1922&gt;0,RANK(P1922,(N1922:P1922,Q1922:AE1922)),0)</f>
        <v>6</v>
      </c>
      <c r="G1922" s="132">
        <f t="shared" si="775"/>
        <v>924</v>
      </c>
      <c r="H1922" s="137">
        <f t="shared" si="776"/>
        <v>5.4506842850401131E-2</v>
      </c>
      <c r="I1922" s="2"/>
      <c r="J1922" s="2">
        <f t="shared" si="790"/>
        <v>0.43045068428504013</v>
      </c>
      <c r="K1922" s="2">
        <f t="shared" si="791"/>
        <v>0.48495752713544127</v>
      </c>
      <c r="L1922" s="2">
        <f t="shared" si="792"/>
        <v>2.3596035865974517E-3</v>
      </c>
      <c r="M1922" s="2">
        <f t="shared" si="793"/>
        <v>8.2232184992921092E-2</v>
      </c>
      <c r="N1922" s="63">
        <f t="shared" si="794"/>
        <v>7297</v>
      </c>
      <c r="O1922" s="63">
        <f t="shared" si="795"/>
        <v>8221</v>
      </c>
      <c r="P1922" s="63">
        <v>40</v>
      </c>
      <c r="Q1922" s="63">
        <f t="shared" si="796"/>
        <v>717</v>
      </c>
      <c r="R1922" s="63">
        <v>359</v>
      </c>
      <c r="S1922" s="63">
        <v>5</v>
      </c>
      <c r="T1922" s="63">
        <v>0</v>
      </c>
      <c r="U1922" s="63">
        <v>0</v>
      </c>
      <c r="V1922" s="63">
        <v>0</v>
      </c>
      <c r="W1922" s="63">
        <f t="shared" si="801"/>
        <v>312</v>
      </c>
      <c r="X1922" s="63"/>
      <c r="Y1922" s="63">
        <v>0</v>
      </c>
      <c r="Z1922" s="63"/>
      <c r="AA1922" s="63">
        <v>0</v>
      </c>
      <c r="AB1922" s="63"/>
      <c r="AC1922" s="63"/>
      <c r="AD1922" s="63"/>
      <c r="AE1922" s="63"/>
      <c r="AF1922" s="63"/>
      <c r="AG1922" s="63">
        <v>0</v>
      </c>
      <c r="AH1922" s="63"/>
      <c r="AI1922" s="63"/>
      <c r="AJ1922" s="63"/>
      <c r="AK1922" s="63"/>
      <c r="AL1922" s="63">
        <v>1</v>
      </c>
      <c r="AM1922" s="63"/>
      <c r="AN1922" s="63">
        <v>0</v>
      </c>
      <c r="AO1922" s="63"/>
      <c r="AP1922" s="63"/>
      <c r="AQ1922" s="63"/>
      <c r="AR1922" s="63"/>
      <c r="AS1922" s="63"/>
      <c r="AT1922" s="63"/>
      <c r="AU1922" s="63"/>
      <c r="AW1922" s="5">
        <f>IF(Q1922&gt;0,RANK(Q1922,(N1922:P1922,Q1922:AE1922)),0)</f>
        <v>3</v>
      </c>
      <c r="AX1922" s="5">
        <f>IF(R1922&gt;0,RANK(R1922,(N1922:P1922,Q1922:AE1922)),0)</f>
        <v>4</v>
      </c>
      <c r="AY1922" s="5">
        <f>IF(T1922&gt;0,RANK(T1922,(N1922:P1922,Q1922:AE1922)),0)</f>
        <v>0</v>
      </c>
      <c r="AZ1922" s="5">
        <f>IF(S1922&gt;0,RANK(S1922,(N1922:P1922,Q1922:AE1922)),0)</f>
        <v>7</v>
      </c>
      <c r="BA1922" s="2">
        <f t="shared" si="797"/>
        <v>4.2295894289759321E-2</v>
      </c>
      <c r="BB1922" s="2">
        <f t="shared" si="798"/>
        <v>2.1177442189712129E-2</v>
      </c>
      <c r="BC1922" s="2">
        <f t="shared" si="799"/>
        <v>0</v>
      </c>
      <c r="BD1922" s="2">
        <f t="shared" si="800"/>
        <v>2.9495044832468146E-4</v>
      </c>
      <c r="BF1922" t="s">
        <v>1138</v>
      </c>
      <c r="BG1922" t="s">
        <v>193</v>
      </c>
      <c r="BH1922">
        <v>21</v>
      </c>
      <c r="BJ1922" s="114">
        <v>36</v>
      </c>
      <c r="BK1922" s="116">
        <v>33</v>
      </c>
      <c r="BL1922" s="120">
        <f t="shared" si="787"/>
        <v>36033</v>
      </c>
      <c r="BN1922" s="5" t="s">
        <v>3154</v>
      </c>
      <c r="BO1922" s="63">
        <v>227</v>
      </c>
      <c r="BP1922" s="63">
        <v>10</v>
      </c>
      <c r="BR1922" s="63"/>
      <c r="BT1922" s="63">
        <v>6994</v>
      </c>
      <c r="BU1922" s="63">
        <v>7670</v>
      </c>
      <c r="BV1922" s="63">
        <v>551</v>
      </c>
      <c r="BW1922" s="63">
        <v>225</v>
      </c>
      <c r="BX1922" s="63">
        <v>505</v>
      </c>
      <c r="BY1922" s="63">
        <v>78</v>
      </c>
      <c r="BZ1922" s="63">
        <v>212</v>
      </c>
      <c r="CB1922" s="63">
        <v>312</v>
      </c>
      <c r="CD1922" s="63">
        <v>0</v>
      </c>
      <c r="CE1922" s="63">
        <v>0</v>
      </c>
      <c r="CF1922" s="63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hidden="1" outlineLevel="1">
      <c r="A1923" t="s">
        <v>2388</v>
      </c>
      <c r="B1923" t="s">
        <v>193</v>
      </c>
      <c r="C1923" s="1">
        <f t="shared" si="789"/>
        <v>21214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6</v>
      </c>
      <c r="G1923" s="132">
        <f t="shared" si="775"/>
        <v>6966</v>
      </c>
      <c r="H1923" s="137">
        <f t="shared" si="776"/>
        <v>0.32836805882907516</v>
      </c>
      <c r="I1923" s="2"/>
      <c r="J1923" s="2">
        <f t="shared" si="790"/>
        <v>0.3062128782879231</v>
      </c>
      <c r="K1923" s="2">
        <f t="shared" si="791"/>
        <v>0.63458093711699826</v>
      </c>
      <c r="L1923" s="2">
        <f t="shared" si="792"/>
        <v>8.0135759404167061E-4</v>
      </c>
      <c r="M1923" s="2">
        <f t="shared" si="793"/>
        <v>5.8404827001036975E-2</v>
      </c>
      <c r="N1923" s="63">
        <f t="shared" si="794"/>
        <v>6496</v>
      </c>
      <c r="O1923" s="63">
        <f t="shared" si="795"/>
        <v>13462</v>
      </c>
      <c r="P1923" s="63">
        <v>17</v>
      </c>
      <c r="Q1923" s="63">
        <f t="shared" si="796"/>
        <v>779</v>
      </c>
      <c r="R1923" s="63">
        <v>311</v>
      </c>
      <c r="S1923" s="63">
        <v>3</v>
      </c>
      <c r="T1923" s="63">
        <v>0</v>
      </c>
      <c r="U1923" s="63">
        <v>0</v>
      </c>
      <c r="V1923" s="63">
        <v>0</v>
      </c>
      <c r="W1923" s="63">
        <f t="shared" si="801"/>
        <v>146</v>
      </c>
      <c r="X1923" s="63"/>
      <c r="Y1923" s="63">
        <v>0</v>
      </c>
      <c r="Z1923" s="63"/>
      <c r="AA1923" s="63">
        <v>0</v>
      </c>
      <c r="AB1923" s="63"/>
      <c r="AC1923" s="63"/>
      <c r="AD1923" s="63"/>
      <c r="AE1923" s="63"/>
      <c r="AF1923" s="63"/>
      <c r="AG1923" s="63">
        <v>0</v>
      </c>
      <c r="AH1923" s="63"/>
      <c r="AI1923" s="63"/>
      <c r="AJ1923" s="63"/>
      <c r="AK1923" s="63"/>
      <c r="AL1923" s="63">
        <v>0</v>
      </c>
      <c r="AM1923" s="63"/>
      <c r="AN1923" s="63">
        <v>0</v>
      </c>
      <c r="AO1923" s="63"/>
      <c r="AP1923" s="63"/>
      <c r="AQ1923" s="63"/>
      <c r="AR1923" s="63"/>
      <c r="AS1923" s="63"/>
      <c r="AT1923" s="63"/>
      <c r="AU1923" s="63"/>
      <c r="AW1923" s="5">
        <f>IF(Q1923&gt;0,RANK(Q1923,(N1923:P1923,Q1923:AE1923)),0)</f>
        <v>3</v>
      </c>
      <c r="AX1923" s="5">
        <f>IF(R1923&gt;0,RANK(R1923,(N1923:P1923,Q1923:AE1923)),0)</f>
        <v>4</v>
      </c>
      <c r="AY1923" s="5">
        <f>IF(T1923&gt;0,RANK(T1923,(N1923:P1923,Q1923:AE1923)),0)</f>
        <v>0</v>
      </c>
      <c r="AZ1923" s="5">
        <f>IF(S1923&gt;0,RANK(S1923,(N1923:P1923,Q1923:AE1923)),0)</f>
        <v>7</v>
      </c>
      <c r="BA1923" s="2">
        <f t="shared" si="797"/>
        <v>3.6721033279909492E-2</v>
      </c>
      <c r="BB1923" s="2">
        <f t="shared" si="798"/>
        <v>1.4660130102762327E-2</v>
      </c>
      <c r="BC1923" s="2">
        <f t="shared" si="799"/>
        <v>0</v>
      </c>
      <c r="BD1923" s="2">
        <f t="shared" si="800"/>
        <v>1.4141604600735364E-4</v>
      </c>
      <c r="BF1923" t="s">
        <v>2388</v>
      </c>
      <c r="BG1923" t="s">
        <v>193</v>
      </c>
      <c r="BH1923">
        <v>21</v>
      </c>
      <c r="BJ1923" s="114">
        <v>36</v>
      </c>
      <c r="BK1923" s="116">
        <v>35</v>
      </c>
      <c r="BL1923" s="120">
        <f t="shared" si="787"/>
        <v>36035</v>
      </c>
      <c r="BN1923" s="5" t="s">
        <v>3154</v>
      </c>
      <c r="BO1923" s="63">
        <v>238</v>
      </c>
      <c r="BP1923" s="63">
        <v>12</v>
      </c>
      <c r="BR1923" s="63"/>
      <c r="BT1923" s="63">
        <v>6215</v>
      </c>
      <c r="BU1923" s="63">
        <v>12331</v>
      </c>
      <c r="BV1923" s="63">
        <v>1131</v>
      </c>
      <c r="BW1923" s="63">
        <v>177</v>
      </c>
      <c r="BX1923" s="63">
        <v>532</v>
      </c>
      <c r="BY1923" s="63">
        <v>104</v>
      </c>
      <c r="BZ1923" s="63">
        <v>247</v>
      </c>
      <c r="CB1923" s="63">
        <v>145</v>
      </c>
      <c r="CD1923" s="63">
        <v>0</v>
      </c>
      <c r="CE1923" s="63">
        <v>0</v>
      </c>
      <c r="CF1923" s="63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hidden="1" outlineLevel="1">
      <c r="A1924" t="s">
        <v>500</v>
      </c>
      <c r="B1924" t="s">
        <v>193</v>
      </c>
      <c r="C1924" s="1">
        <f t="shared" si="789"/>
        <v>26432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6</v>
      </c>
      <c r="G1924" s="132">
        <f t="shared" si="775"/>
        <v>9265</v>
      </c>
      <c r="H1924" s="137">
        <f t="shared" si="776"/>
        <v>0.35052209443099275</v>
      </c>
      <c r="I1924" s="2"/>
      <c r="J1924" s="2">
        <f t="shared" si="790"/>
        <v>0.28942191283292978</v>
      </c>
      <c r="K1924" s="2">
        <f t="shared" si="791"/>
        <v>0.63994400726392253</v>
      </c>
      <c r="L1924" s="2">
        <f t="shared" si="792"/>
        <v>1.5133171912832929E-3</v>
      </c>
      <c r="M1924" s="2">
        <f t="shared" si="793"/>
        <v>6.9120762711864334E-2</v>
      </c>
      <c r="N1924" s="63">
        <f t="shared" si="794"/>
        <v>7650</v>
      </c>
      <c r="O1924" s="63">
        <f t="shared" si="795"/>
        <v>16915</v>
      </c>
      <c r="P1924" s="63">
        <v>40</v>
      </c>
      <c r="Q1924" s="63">
        <f t="shared" si="796"/>
        <v>1319</v>
      </c>
      <c r="R1924" s="63">
        <v>324</v>
      </c>
      <c r="S1924" s="63">
        <v>5</v>
      </c>
      <c r="T1924" s="63">
        <v>0</v>
      </c>
      <c r="U1924" s="63">
        <v>0</v>
      </c>
      <c r="V1924" s="63">
        <v>0</v>
      </c>
      <c r="W1924" s="63">
        <f t="shared" si="801"/>
        <v>177</v>
      </c>
      <c r="X1924" s="63"/>
      <c r="Y1924" s="63">
        <v>0</v>
      </c>
      <c r="Z1924" s="63"/>
      <c r="AA1924" s="63">
        <v>0</v>
      </c>
      <c r="AB1924" s="63"/>
      <c r="AC1924" s="63"/>
      <c r="AD1924" s="63"/>
      <c r="AE1924" s="63"/>
      <c r="AF1924" s="63"/>
      <c r="AG1924" s="63">
        <v>1</v>
      </c>
      <c r="AH1924" s="63"/>
      <c r="AI1924" s="63"/>
      <c r="AJ1924" s="63"/>
      <c r="AK1924" s="63"/>
      <c r="AL1924" s="63">
        <v>0</v>
      </c>
      <c r="AM1924" s="63"/>
      <c r="AN1924" s="63">
        <v>1</v>
      </c>
      <c r="AO1924" s="63"/>
      <c r="AP1924" s="63"/>
      <c r="AQ1924" s="63"/>
      <c r="AR1924" s="63"/>
      <c r="AS1924" s="63"/>
      <c r="AT1924" s="63"/>
      <c r="AU1924" s="63"/>
      <c r="AW1924" s="5">
        <f>IF(Q1924&gt;0,RANK(Q1924,(N1924:P1924,Q1924:AE1924)),0)</f>
        <v>3</v>
      </c>
      <c r="AX1924" s="5">
        <f>IF(R1924&gt;0,RANK(R1924,(N1924:P1924,Q1924:AE1924)),0)</f>
        <v>4</v>
      </c>
      <c r="AY1924" s="5">
        <f>IF(T1924&gt;0,RANK(T1924,(N1924:P1924,Q1924:AE1924)),0)</f>
        <v>0</v>
      </c>
      <c r="AZ1924" s="5">
        <f>IF(S1924&gt;0,RANK(S1924,(N1924:P1924,Q1924:AE1924)),0)</f>
        <v>7</v>
      </c>
      <c r="BA1924" s="2">
        <f t="shared" si="797"/>
        <v>4.9901634382566583E-2</v>
      </c>
      <c r="BB1924" s="2">
        <f t="shared" si="798"/>
        <v>1.2257869249394673E-2</v>
      </c>
      <c r="BC1924" s="2">
        <f t="shared" si="799"/>
        <v>0</v>
      </c>
      <c r="BD1924" s="2">
        <f t="shared" si="800"/>
        <v>1.8916464891041162E-4</v>
      </c>
      <c r="BF1924" t="s">
        <v>500</v>
      </c>
      <c r="BG1924" t="s">
        <v>193</v>
      </c>
      <c r="BH1924">
        <v>27</v>
      </c>
      <c r="BJ1924" s="114">
        <v>36</v>
      </c>
      <c r="BK1924" s="116">
        <v>37</v>
      </c>
      <c r="BL1924" s="120">
        <f t="shared" si="787"/>
        <v>36037</v>
      </c>
      <c r="BN1924" s="5" t="s">
        <v>3154</v>
      </c>
      <c r="BO1924" s="63">
        <v>240</v>
      </c>
      <c r="BP1924" s="63">
        <v>4</v>
      </c>
      <c r="BR1924" s="63"/>
      <c r="BT1924" s="63">
        <v>7276</v>
      </c>
      <c r="BU1924" s="63">
        <v>14646</v>
      </c>
      <c r="BV1924" s="63">
        <v>2269</v>
      </c>
      <c r="BW1924" s="63">
        <v>258</v>
      </c>
      <c r="BX1924" s="63">
        <v>902</v>
      </c>
      <c r="BY1924" s="63">
        <v>116</v>
      </c>
      <c r="BZ1924" s="63">
        <v>417</v>
      </c>
      <c r="CB1924" s="63">
        <v>177</v>
      </c>
      <c r="CD1924" s="63">
        <v>0</v>
      </c>
      <c r="CE1924" s="63">
        <v>0</v>
      </c>
      <c r="CF1924" s="63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hidden="1" outlineLevel="1">
      <c r="A1925" t="s">
        <v>2189</v>
      </c>
      <c r="B1925" t="s">
        <v>193</v>
      </c>
      <c r="C1925" s="1">
        <f t="shared" si="789"/>
        <v>22050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7</v>
      </c>
      <c r="G1925" s="132">
        <f t="shared" si="775"/>
        <v>5668</v>
      </c>
      <c r="H1925" s="137">
        <f t="shared" si="776"/>
        <v>0.25705215419501132</v>
      </c>
      <c r="I1925" s="2"/>
      <c r="J1925" s="2">
        <f t="shared" si="790"/>
        <v>0.33582766439909295</v>
      </c>
      <c r="K1925" s="2">
        <f t="shared" si="791"/>
        <v>0.59287981859410432</v>
      </c>
      <c r="L1925" s="2">
        <f t="shared" si="792"/>
        <v>1.1337868480725624E-3</v>
      </c>
      <c r="M1925" s="2">
        <f t="shared" si="793"/>
        <v>7.0158730158730157E-2</v>
      </c>
      <c r="N1925" s="63">
        <f t="shared" si="794"/>
        <v>7405</v>
      </c>
      <c r="O1925" s="63">
        <f t="shared" si="795"/>
        <v>13073</v>
      </c>
      <c r="P1925" s="63">
        <v>25</v>
      </c>
      <c r="Q1925" s="63">
        <f t="shared" si="796"/>
        <v>647</v>
      </c>
      <c r="R1925" s="63">
        <v>442</v>
      </c>
      <c r="S1925" s="63">
        <v>58</v>
      </c>
      <c r="T1925" s="63">
        <v>0</v>
      </c>
      <c r="U1925" s="63">
        <v>0</v>
      </c>
      <c r="V1925" s="63">
        <v>1</v>
      </c>
      <c r="W1925" s="63">
        <f t="shared" si="801"/>
        <v>398</v>
      </c>
      <c r="X1925" s="63"/>
      <c r="Y1925" s="63">
        <v>1</v>
      </c>
      <c r="Z1925" s="63"/>
      <c r="AA1925" s="63">
        <v>0</v>
      </c>
      <c r="AB1925" s="63"/>
      <c r="AC1925" s="63"/>
      <c r="AD1925" s="63"/>
      <c r="AE1925" s="63"/>
      <c r="AF1925" s="63"/>
      <c r="AG1925" s="63">
        <v>0</v>
      </c>
      <c r="AH1925" s="63"/>
      <c r="AI1925" s="63"/>
      <c r="AJ1925" s="63"/>
      <c r="AK1925" s="63"/>
      <c r="AL1925" s="63">
        <v>0</v>
      </c>
      <c r="AM1925" s="63"/>
      <c r="AN1925" s="63">
        <v>0</v>
      </c>
      <c r="AO1925" s="63"/>
      <c r="AP1925" s="63"/>
      <c r="AQ1925" s="63"/>
      <c r="AR1925" s="63"/>
      <c r="AS1925" s="63"/>
      <c r="AT1925" s="63"/>
      <c r="AU1925" s="63"/>
      <c r="AW1925" s="5">
        <f>IF(Q1925&gt;0,RANK(Q1925,(N1925:P1925,Q1925:AE1925)),0)</f>
        <v>3</v>
      </c>
      <c r="AX1925" s="5">
        <f>IF(R1925&gt;0,RANK(R1925,(N1925:P1925,Q1925:AE1925)),0)</f>
        <v>4</v>
      </c>
      <c r="AY1925" s="5">
        <f>IF(T1925&gt;0,RANK(T1925,(N1925:P1925,Q1925:AE1925)),0)</f>
        <v>0</v>
      </c>
      <c r="AZ1925" s="5">
        <f>IF(S1925&gt;0,RANK(S1925,(N1925:P1925,Q1925:AE1925)),0)</f>
        <v>6</v>
      </c>
      <c r="BA1925" s="2">
        <f t="shared" si="797"/>
        <v>2.9342403628117915E-2</v>
      </c>
      <c r="BB1925" s="2">
        <f t="shared" si="798"/>
        <v>2.0045351473922904E-2</v>
      </c>
      <c r="BC1925" s="2">
        <f t="shared" si="799"/>
        <v>0</v>
      </c>
      <c r="BD1925" s="2">
        <f t="shared" si="800"/>
        <v>2.6303854875283448E-3</v>
      </c>
      <c r="BF1925" t="s">
        <v>2189</v>
      </c>
      <c r="BG1925" t="s">
        <v>193</v>
      </c>
      <c r="BH1925">
        <v>19</v>
      </c>
      <c r="BJ1925" s="114">
        <v>36</v>
      </c>
      <c r="BK1925" s="116">
        <v>39</v>
      </c>
      <c r="BL1925" s="120">
        <f t="shared" si="787"/>
        <v>36039</v>
      </c>
      <c r="BN1925" s="5" t="s">
        <v>3154</v>
      </c>
      <c r="BO1925" s="63">
        <v>269</v>
      </c>
      <c r="BP1925" s="63">
        <v>6</v>
      </c>
      <c r="BR1925" s="63"/>
      <c r="BT1925" s="63">
        <v>6914</v>
      </c>
      <c r="BU1925" s="63">
        <v>11620</v>
      </c>
      <c r="BV1925" s="63">
        <v>1453</v>
      </c>
      <c r="BW1925" s="63">
        <v>365</v>
      </c>
      <c r="BX1925" s="63">
        <v>458</v>
      </c>
      <c r="BY1925" s="63">
        <v>126</v>
      </c>
      <c r="BZ1925" s="63">
        <v>189</v>
      </c>
      <c r="CB1925" s="63">
        <v>391</v>
      </c>
      <c r="CD1925" s="63">
        <v>0</v>
      </c>
      <c r="CE1925" s="63">
        <v>0</v>
      </c>
      <c r="CF1925" s="63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3</v>
      </c>
      <c r="CL1925" s="8">
        <v>0</v>
      </c>
      <c r="CM1925" s="8">
        <v>0</v>
      </c>
      <c r="CN1925" s="8">
        <v>0</v>
      </c>
      <c r="CO1925" s="8">
        <v>0</v>
      </c>
      <c r="CP1925">
        <v>0</v>
      </c>
      <c r="CQ1925">
        <v>2</v>
      </c>
      <c r="CR1925">
        <v>2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hidden="1" outlineLevel="1">
      <c r="A1926" t="s">
        <v>2646</v>
      </c>
      <c r="B1926" t="s">
        <v>193</v>
      </c>
      <c r="C1926" s="1">
        <f t="shared" si="789"/>
        <v>3225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0</v>
      </c>
      <c r="G1926" s="132">
        <f t="shared" si="775"/>
        <v>1115</v>
      </c>
      <c r="H1926" s="137">
        <f t="shared" si="776"/>
        <v>0.34573643410852711</v>
      </c>
      <c r="I1926" s="2"/>
      <c r="J1926" s="2">
        <f t="shared" si="790"/>
        <v>0.29426356589147284</v>
      </c>
      <c r="K1926" s="2">
        <f t="shared" si="791"/>
        <v>0.64</v>
      </c>
      <c r="L1926" s="2">
        <f t="shared" si="792"/>
        <v>0</v>
      </c>
      <c r="M1926" s="2">
        <f t="shared" si="793"/>
        <v>6.5736434108527142E-2</v>
      </c>
      <c r="N1926" s="63">
        <f t="shared" si="794"/>
        <v>949</v>
      </c>
      <c r="O1926" s="63">
        <f t="shared" si="795"/>
        <v>2064</v>
      </c>
      <c r="P1926" s="63">
        <v>0</v>
      </c>
      <c r="Q1926" s="63">
        <f t="shared" si="796"/>
        <v>119</v>
      </c>
      <c r="R1926" s="63">
        <v>44</v>
      </c>
      <c r="S1926" s="63">
        <v>0</v>
      </c>
      <c r="T1926" s="63">
        <v>0</v>
      </c>
      <c r="U1926" s="63">
        <v>0</v>
      </c>
      <c r="V1926" s="63">
        <v>0</v>
      </c>
      <c r="W1926" s="63">
        <f t="shared" si="801"/>
        <v>49</v>
      </c>
      <c r="X1926" s="63"/>
      <c r="Y1926" s="63">
        <v>0</v>
      </c>
      <c r="Z1926" s="63"/>
      <c r="AA1926" s="63">
        <v>0</v>
      </c>
      <c r="AB1926" s="63"/>
      <c r="AC1926" s="63"/>
      <c r="AD1926" s="63"/>
      <c r="AE1926" s="63"/>
      <c r="AF1926" s="63"/>
      <c r="AG1926" s="63">
        <v>0</v>
      </c>
      <c r="AH1926" s="63"/>
      <c r="AI1926" s="63"/>
      <c r="AJ1926" s="63"/>
      <c r="AK1926" s="63"/>
      <c r="AL1926" s="63">
        <v>0</v>
      </c>
      <c r="AM1926" s="63"/>
      <c r="AN1926" s="63">
        <v>0</v>
      </c>
      <c r="AO1926" s="63"/>
      <c r="AP1926" s="63"/>
      <c r="AQ1926" s="63"/>
      <c r="AR1926" s="63"/>
      <c r="AS1926" s="63"/>
      <c r="AT1926" s="63"/>
      <c r="AU1926" s="63"/>
      <c r="AW1926" s="5">
        <f>IF(Q1926&gt;0,RANK(Q1926,(N1926:P1926,Q1926:AE1926)),0)</f>
        <v>3</v>
      </c>
      <c r="AX1926" s="5">
        <f>IF(R1926&gt;0,RANK(R1926,(N1926:P1926,Q1926:AE1926)),0)</f>
        <v>5</v>
      </c>
      <c r="AY1926" s="5">
        <f>IF(T1926&gt;0,RANK(T1926,(N1926:P1926,Q1926:AE1926)),0)</f>
        <v>0</v>
      </c>
      <c r="AZ1926" s="5">
        <f>IF(S1926&gt;0,RANK(S1926,(N1926:P1926,Q1926:AE1926)),0)</f>
        <v>0</v>
      </c>
      <c r="BA1926" s="2">
        <f t="shared" si="797"/>
        <v>3.6899224806201551E-2</v>
      </c>
      <c r="BB1926" s="2">
        <f t="shared" si="798"/>
        <v>1.3643410852713178E-2</v>
      </c>
      <c r="BC1926" s="2">
        <f t="shared" si="799"/>
        <v>0</v>
      </c>
      <c r="BD1926" s="2">
        <f t="shared" si="800"/>
        <v>0</v>
      </c>
      <c r="BF1926" t="s">
        <v>2646</v>
      </c>
      <c r="BG1926" t="s">
        <v>193</v>
      </c>
      <c r="BH1926">
        <v>21</v>
      </c>
      <c r="BJ1926" s="114">
        <v>36</v>
      </c>
      <c r="BK1926" s="116">
        <v>41</v>
      </c>
      <c r="BL1926" s="120">
        <f t="shared" si="787"/>
        <v>36041</v>
      </c>
      <c r="BN1926" s="5" t="s">
        <v>3154</v>
      </c>
      <c r="BO1926" s="63">
        <v>52</v>
      </c>
      <c r="BP1926" s="63">
        <v>0</v>
      </c>
      <c r="BR1926" s="63"/>
      <c r="BT1926" s="63">
        <v>906</v>
      </c>
      <c r="BU1926" s="63">
        <v>1897</v>
      </c>
      <c r="BV1926" s="63">
        <v>167</v>
      </c>
      <c r="BW1926" s="63">
        <v>24</v>
      </c>
      <c r="BX1926" s="63">
        <v>79</v>
      </c>
      <c r="BY1926" s="63">
        <v>19</v>
      </c>
      <c r="BZ1926" s="63">
        <v>40</v>
      </c>
      <c r="CB1926" s="63">
        <v>49</v>
      </c>
      <c r="CD1926" s="63">
        <v>0</v>
      </c>
      <c r="CE1926" s="63">
        <v>0</v>
      </c>
      <c r="CF1926" s="63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0</v>
      </c>
      <c r="CN1926" s="8">
        <v>0</v>
      </c>
      <c r="CO1926" s="8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hidden="1" outlineLevel="1">
      <c r="A1927" t="s">
        <v>166</v>
      </c>
      <c r="B1927" t="s">
        <v>193</v>
      </c>
      <c r="C1927" s="1">
        <f t="shared" si="789"/>
        <v>26255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5</v>
      </c>
      <c r="G1927" s="132">
        <f t="shared" si="775"/>
        <v>8616</v>
      </c>
      <c r="H1927" s="137">
        <f t="shared" si="776"/>
        <v>0.32816606360693201</v>
      </c>
      <c r="I1927" s="2"/>
      <c r="J1927" s="2">
        <f t="shared" si="790"/>
        <v>0.30786516853932583</v>
      </c>
      <c r="K1927" s="2">
        <f t="shared" si="791"/>
        <v>0.6360312321462579</v>
      </c>
      <c r="L1927" s="2">
        <f t="shared" si="792"/>
        <v>1.8663111788230814E-3</v>
      </c>
      <c r="M1927" s="2">
        <f t="shared" si="793"/>
        <v>5.4237288135593135E-2</v>
      </c>
      <c r="N1927" s="63">
        <f t="shared" si="794"/>
        <v>8083</v>
      </c>
      <c r="O1927" s="63">
        <f t="shared" si="795"/>
        <v>16699</v>
      </c>
      <c r="P1927" s="63">
        <v>49</v>
      </c>
      <c r="Q1927" s="63">
        <f t="shared" si="796"/>
        <v>1002</v>
      </c>
      <c r="R1927" s="63">
        <v>403</v>
      </c>
      <c r="S1927" s="63">
        <v>17</v>
      </c>
      <c r="T1927" s="63">
        <v>0</v>
      </c>
      <c r="U1927" s="63">
        <v>0</v>
      </c>
      <c r="V1927" s="63">
        <v>0</v>
      </c>
      <c r="W1927" s="63">
        <f t="shared" si="801"/>
        <v>1</v>
      </c>
      <c r="X1927" s="63"/>
      <c r="Y1927" s="63">
        <v>0</v>
      </c>
      <c r="Z1927" s="63"/>
      <c r="AA1927" s="63">
        <v>0</v>
      </c>
      <c r="AB1927" s="63"/>
      <c r="AC1927" s="63"/>
      <c r="AD1927" s="63"/>
      <c r="AE1927" s="63"/>
      <c r="AF1927" s="63"/>
      <c r="AG1927" s="63">
        <v>0</v>
      </c>
      <c r="AH1927" s="63"/>
      <c r="AI1927" s="63"/>
      <c r="AJ1927" s="63"/>
      <c r="AK1927" s="63"/>
      <c r="AL1927" s="63">
        <v>0</v>
      </c>
      <c r="AM1927" s="63"/>
      <c r="AN1927" s="63">
        <v>1</v>
      </c>
      <c r="AO1927" s="63"/>
      <c r="AP1927" s="63"/>
      <c r="AQ1927" s="63"/>
      <c r="AR1927" s="63"/>
      <c r="AS1927" s="63"/>
      <c r="AT1927" s="63"/>
      <c r="AU1927" s="63"/>
      <c r="AW1927" s="5">
        <f>IF(Q1927&gt;0,RANK(Q1927,(N1927:P1927,Q1927:AE1927)),0)</f>
        <v>3</v>
      </c>
      <c r="AX1927" s="5">
        <f>IF(R1927&gt;0,RANK(R1927,(N1927:P1927,Q1927:AE1927)),0)</f>
        <v>4</v>
      </c>
      <c r="AY1927" s="5">
        <f>IF(T1927&gt;0,RANK(T1927,(N1927:P1927,Q1927:AE1927)),0)</f>
        <v>0</v>
      </c>
      <c r="AZ1927" s="5">
        <f>IF(S1927&gt;0,RANK(S1927,(N1927:P1927,Q1927:AE1927)),0)</f>
        <v>6</v>
      </c>
      <c r="BA1927" s="2">
        <f t="shared" si="797"/>
        <v>3.816415920776995E-2</v>
      </c>
      <c r="BB1927" s="2">
        <f t="shared" si="798"/>
        <v>1.5349457246238811E-2</v>
      </c>
      <c r="BC1927" s="2">
        <f t="shared" si="799"/>
        <v>0</v>
      </c>
      <c r="BD1927" s="2">
        <f t="shared" si="800"/>
        <v>6.4749571510188536E-4</v>
      </c>
      <c r="BF1927" t="s">
        <v>166</v>
      </c>
      <c r="BG1927" t="s">
        <v>193</v>
      </c>
      <c r="BJ1927" s="114">
        <v>36</v>
      </c>
      <c r="BK1927" s="116">
        <v>43</v>
      </c>
      <c r="BL1927" s="120">
        <f t="shared" si="787"/>
        <v>36043</v>
      </c>
      <c r="BN1927" s="5" t="s">
        <v>3154</v>
      </c>
      <c r="BO1927" s="63">
        <v>227</v>
      </c>
      <c r="BP1927" s="63">
        <v>215</v>
      </c>
      <c r="BR1927" s="63"/>
      <c r="BT1927" s="63">
        <v>7708</v>
      </c>
      <c r="BU1927" s="63">
        <v>15110</v>
      </c>
      <c r="BV1927" s="63">
        <v>1589</v>
      </c>
      <c r="BW1927" s="63">
        <v>262</v>
      </c>
      <c r="BX1927" s="63">
        <v>740</v>
      </c>
      <c r="BY1927" s="63">
        <v>113</v>
      </c>
      <c r="BZ1927" s="63">
        <v>262</v>
      </c>
      <c r="CB1927" s="63">
        <v>0</v>
      </c>
      <c r="CD1927" s="63">
        <v>0</v>
      </c>
      <c r="CE1927" s="63">
        <v>0</v>
      </c>
      <c r="CF1927" s="63">
        <v>0</v>
      </c>
      <c r="CG1927" s="8">
        <v>1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0</v>
      </c>
      <c r="CN1927" s="8">
        <v>0</v>
      </c>
      <c r="CO1927" s="8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hidden="1" outlineLevel="1">
      <c r="A1928" t="s">
        <v>1092</v>
      </c>
      <c r="B1928" t="s">
        <v>193</v>
      </c>
      <c r="C1928" s="1">
        <f t="shared" si="789"/>
        <v>38236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6</v>
      </c>
      <c r="G1928" s="132">
        <f t="shared" ref="G1928:G1991" si="802">IF(C1928&gt;0,MAX(N1928:P1928)-LARGE(N1928:P1928,2),0)</f>
        <v>7954</v>
      </c>
      <c r="H1928" s="137">
        <f t="shared" ref="H1928:H1991" si="803">IF(C1928&gt;0,G1928/C1928,0)</f>
        <v>0.20802385186735015</v>
      </c>
      <c r="I1928" s="2"/>
      <c r="J1928" s="2">
        <f t="shared" si="790"/>
        <v>0.3611517941207239</v>
      </c>
      <c r="K1928" s="2">
        <f t="shared" si="791"/>
        <v>0.56917564598807402</v>
      </c>
      <c r="L1928" s="2">
        <f t="shared" si="792"/>
        <v>1.5692017993513966E-3</v>
      </c>
      <c r="M1928" s="2">
        <f t="shared" si="793"/>
        <v>6.8103358091850738E-2</v>
      </c>
      <c r="N1928" s="63">
        <f t="shared" si="794"/>
        <v>13809</v>
      </c>
      <c r="O1928" s="63">
        <f t="shared" si="795"/>
        <v>21763</v>
      </c>
      <c r="P1928" s="63">
        <v>60</v>
      </c>
      <c r="Q1928" s="63">
        <f t="shared" si="796"/>
        <v>1670</v>
      </c>
      <c r="R1928" s="63">
        <v>617</v>
      </c>
      <c r="S1928" s="63">
        <v>15</v>
      </c>
      <c r="T1928" s="63">
        <v>0</v>
      </c>
      <c r="U1928" s="63">
        <v>0</v>
      </c>
      <c r="V1928" s="63">
        <v>0</v>
      </c>
      <c r="W1928" s="63">
        <f t="shared" si="801"/>
        <v>297</v>
      </c>
      <c r="X1928" s="63"/>
      <c r="Y1928" s="63">
        <v>0</v>
      </c>
      <c r="Z1928" s="63"/>
      <c r="AA1928" s="63">
        <v>0</v>
      </c>
      <c r="AB1928" s="63"/>
      <c r="AC1928" s="63"/>
      <c r="AD1928" s="63"/>
      <c r="AE1928" s="63"/>
      <c r="AF1928" s="63"/>
      <c r="AG1928" s="63">
        <v>0</v>
      </c>
      <c r="AH1928" s="63"/>
      <c r="AI1928" s="63"/>
      <c r="AJ1928" s="63"/>
      <c r="AK1928" s="63"/>
      <c r="AL1928" s="63">
        <v>0</v>
      </c>
      <c r="AM1928" s="63"/>
      <c r="AN1928" s="63">
        <v>5</v>
      </c>
      <c r="AO1928" s="63"/>
      <c r="AP1928" s="63"/>
      <c r="AQ1928" s="63"/>
      <c r="AR1928" s="63"/>
      <c r="AS1928" s="63"/>
      <c r="AT1928" s="63"/>
      <c r="AU1928" s="63"/>
      <c r="AW1928" s="5">
        <f>IF(Q1928&gt;0,RANK(Q1928,(N1928:P1928,Q1928:AE1928)),0)</f>
        <v>3</v>
      </c>
      <c r="AX1928" s="5">
        <f>IF(R1928&gt;0,RANK(R1928,(N1928:P1928,Q1928:AE1928)),0)</f>
        <v>4</v>
      </c>
      <c r="AY1928" s="5">
        <f>IF(T1928&gt;0,RANK(T1928,(N1928:P1928,Q1928:AE1928)),0)</f>
        <v>0</v>
      </c>
      <c r="AZ1928" s="5">
        <f>IF(S1928&gt;0,RANK(S1928,(N1928:P1928,Q1928:AE1928)),0)</f>
        <v>7</v>
      </c>
      <c r="BA1928" s="2">
        <f t="shared" si="797"/>
        <v>4.3676116748613873E-2</v>
      </c>
      <c r="BB1928" s="2">
        <f t="shared" si="798"/>
        <v>1.6136625169996862E-2</v>
      </c>
      <c r="BC1928" s="2">
        <f t="shared" si="799"/>
        <v>0</v>
      </c>
      <c r="BD1928" s="2">
        <f t="shared" si="800"/>
        <v>3.9230044983784915E-4</v>
      </c>
      <c r="BF1928" t="s">
        <v>1092</v>
      </c>
      <c r="BG1928" t="s">
        <v>193</v>
      </c>
      <c r="BH1928">
        <v>21</v>
      </c>
      <c r="BJ1928" s="114">
        <v>36</v>
      </c>
      <c r="BK1928" s="116">
        <v>45</v>
      </c>
      <c r="BL1928" s="120">
        <f t="shared" si="787"/>
        <v>36045</v>
      </c>
      <c r="BN1928" s="5" t="s">
        <v>3154</v>
      </c>
      <c r="BO1928" s="63">
        <v>327</v>
      </c>
      <c r="BP1928" s="63">
        <v>50</v>
      </c>
      <c r="BR1928" s="63"/>
      <c r="BT1928" s="63">
        <v>13150</v>
      </c>
      <c r="BU1928" s="63">
        <v>19894</v>
      </c>
      <c r="BV1928" s="63">
        <v>1869</v>
      </c>
      <c r="BW1928" s="63">
        <v>466</v>
      </c>
      <c r="BX1928" s="63">
        <v>1238</v>
      </c>
      <c r="BY1928" s="63">
        <v>193</v>
      </c>
      <c r="BZ1928" s="63">
        <v>432</v>
      </c>
      <c r="CB1928" s="63">
        <v>297</v>
      </c>
      <c r="CD1928" s="63">
        <v>0</v>
      </c>
      <c r="CE1928" s="63">
        <v>0</v>
      </c>
      <c r="CF1928" s="63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</v>
      </c>
      <c r="CN1928" s="8">
        <v>0</v>
      </c>
      <c r="CO1928" s="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hidden="1" outlineLevel="1">
      <c r="A1929" t="s">
        <v>2787</v>
      </c>
      <c r="B1929" t="s">
        <v>193</v>
      </c>
      <c r="C1929" s="1">
        <f t="shared" si="789"/>
        <v>11325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6</v>
      </c>
      <c r="G1929" s="132">
        <f t="shared" si="802"/>
        <v>4254</v>
      </c>
      <c r="H1929" s="137">
        <f t="shared" si="803"/>
        <v>0.37562913907284767</v>
      </c>
      <c r="I1929" s="2"/>
      <c r="J1929" s="2">
        <f t="shared" si="790"/>
        <v>0.27779249448123622</v>
      </c>
      <c r="K1929" s="2">
        <f t="shared" si="791"/>
        <v>0.65342163355408389</v>
      </c>
      <c r="L1929" s="2">
        <f t="shared" si="792"/>
        <v>2.6490066225165563E-3</v>
      </c>
      <c r="M1929" s="2">
        <f t="shared" si="793"/>
        <v>6.6136865342163328E-2</v>
      </c>
      <c r="N1929" s="63">
        <f t="shared" si="794"/>
        <v>3146</v>
      </c>
      <c r="O1929" s="63">
        <f t="shared" si="795"/>
        <v>7400</v>
      </c>
      <c r="P1929" s="63">
        <v>30</v>
      </c>
      <c r="Q1929" s="63">
        <f t="shared" si="796"/>
        <v>496</v>
      </c>
      <c r="R1929" s="63">
        <v>132</v>
      </c>
      <c r="S1929" s="63">
        <v>7</v>
      </c>
      <c r="T1929" s="63">
        <v>0</v>
      </c>
      <c r="U1929" s="63">
        <v>0</v>
      </c>
      <c r="V1929" s="63">
        <v>0</v>
      </c>
      <c r="W1929" s="63">
        <f t="shared" si="801"/>
        <v>111</v>
      </c>
      <c r="X1929" s="63"/>
      <c r="Y1929" s="63">
        <v>0</v>
      </c>
      <c r="Z1929" s="63"/>
      <c r="AA1929" s="63">
        <v>0</v>
      </c>
      <c r="AB1929" s="63"/>
      <c r="AC1929" s="63"/>
      <c r="AD1929" s="63"/>
      <c r="AE1929" s="63"/>
      <c r="AF1929" s="63"/>
      <c r="AG1929" s="63">
        <v>1</v>
      </c>
      <c r="AH1929" s="63"/>
      <c r="AI1929" s="63"/>
      <c r="AJ1929" s="63"/>
      <c r="AK1929" s="63"/>
      <c r="AL1929" s="63">
        <v>0</v>
      </c>
      <c r="AM1929" s="63"/>
      <c r="AN1929" s="63">
        <v>2</v>
      </c>
      <c r="AO1929" s="63"/>
      <c r="AP1929" s="63"/>
      <c r="AQ1929" s="63"/>
      <c r="AR1929" s="63"/>
      <c r="AS1929" s="63"/>
      <c r="AT1929" s="63"/>
      <c r="AU1929" s="63"/>
      <c r="AW1929" s="5">
        <f>IF(Q1929&gt;0,RANK(Q1929,(N1929:P1929,Q1929:AE1929)),0)</f>
        <v>3</v>
      </c>
      <c r="AX1929" s="5">
        <f>IF(R1929&gt;0,RANK(R1929,(N1929:P1929,Q1929:AE1929)),0)</f>
        <v>4</v>
      </c>
      <c r="AY1929" s="5">
        <f>IF(T1929&gt;0,RANK(T1929,(N1929:P1929,Q1929:AE1929)),0)</f>
        <v>0</v>
      </c>
      <c r="AZ1929" s="5">
        <f>IF(S1929&gt;0,RANK(S1929,(N1929:P1929,Q1929:AE1929)),0)</f>
        <v>7</v>
      </c>
      <c r="BA1929" s="2">
        <f t="shared" si="797"/>
        <v>4.3796909492273731E-2</v>
      </c>
      <c r="BB1929" s="2">
        <f t="shared" si="798"/>
        <v>1.1655629139072848E-2</v>
      </c>
      <c r="BC1929" s="2">
        <f t="shared" si="799"/>
        <v>0</v>
      </c>
      <c r="BD1929" s="2">
        <f t="shared" si="800"/>
        <v>6.1810154525386313E-4</v>
      </c>
      <c r="BF1929" t="s">
        <v>2787</v>
      </c>
      <c r="BG1929" t="s">
        <v>193</v>
      </c>
      <c r="BH1929">
        <v>21</v>
      </c>
      <c r="BJ1929" s="114">
        <v>36</v>
      </c>
      <c r="BK1929" s="116">
        <v>49</v>
      </c>
      <c r="BL1929" s="120">
        <f t="shared" si="787"/>
        <v>36049</v>
      </c>
      <c r="BN1929" s="5" t="s">
        <v>3154</v>
      </c>
      <c r="BO1929" s="63">
        <v>125</v>
      </c>
      <c r="BP1929" s="63">
        <v>5</v>
      </c>
      <c r="BR1929" s="63"/>
      <c r="BT1929" s="63">
        <v>3009</v>
      </c>
      <c r="BU1929" s="63">
        <v>6698</v>
      </c>
      <c r="BV1929" s="63">
        <v>702</v>
      </c>
      <c r="BW1929" s="63">
        <v>96</v>
      </c>
      <c r="BX1929" s="63">
        <v>396</v>
      </c>
      <c r="BY1929" s="63">
        <v>41</v>
      </c>
      <c r="BZ1929" s="63">
        <v>100</v>
      </c>
      <c r="CB1929" s="63">
        <v>111</v>
      </c>
      <c r="CD1929" s="63">
        <v>0</v>
      </c>
      <c r="CE1929" s="63">
        <v>0</v>
      </c>
      <c r="CF1929" s="63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0</v>
      </c>
      <c r="CN1929" s="8">
        <v>0</v>
      </c>
      <c r="CO1929" s="8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hidden="1" outlineLevel="1">
      <c r="A1930" t="s">
        <v>616</v>
      </c>
      <c r="B1930" t="s">
        <v>193</v>
      </c>
      <c r="C1930" s="1">
        <f t="shared" si="789"/>
        <v>30031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6</v>
      </c>
      <c r="G1930" s="132">
        <f t="shared" si="802"/>
        <v>6593</v>
      </c>
      <c r="H1930" s="137">
        <f t="shared" si="803"/>
        <v>0.21953980886417368</v>
      </c>
      <c r="I1930" s="2"/>
      <c r="J1930" s="2">
        <f t="shared" si="790"/>
        <v>0.35619859478538846</v>
      </c>
      <c r="K1930" s="2">
        <f t="shared" si="791"/>
        <v>0.57573840364956208</v>
      </c>
      <c r="L1930" s="2">
        <f t="shared" si="792"/>
        <v>3.3964902933635243E-3</v>
      </c>
      <c r="M1930" s="2">
        <f t="shared" si="793"/>
        <v>6.4666511271685878E-2</v>
      </c>
      <c r="N1930" s="63">
        <f t="shared" si="794"/>
        <v>10697</v>
      </c>
      <c r="O1930" s="63">
        <f t="shared" si="795"/>
        <v>17290</v>
      </c>
      <c r="P1930" s="63">
        <v>102</v>
      </c>
      <c r="Q1930" s="63">
        <f t="shared" si="796"/>
        <v>1276</v>
      </c>
      <c r="R1930" s="63">
        <v>449</v>
      </c>
      <c r="S1930" s="63">
        <v>12</v>
      </c>
      <c r="T1930" s="63">
        <v>1</v>
      </c>
      <c r="U1930" s="63">
        <v>0</v>
      </c>
      <c r="V1930" s="63">
        <v>0</v>
      </c>
      <c r="W1930" s="63">
        <f t="shared" si="801"/>
        <v>200</v>
      </c>
      <c r="X1930" s="63"/>
      <c r="Y1930" s="63">
        <v>3</v>
      </c>
      <c r="Z1930" s="63"/>
      <c r="AA1930" s="63">
        <v>0</v>
      </c>
      <c r="AB1930" s="63"/>
      <c r="AC1930" s="63"/>
      <c r="AD1930" s="63"/>
      <c r="AE1930" s="63"/>
      <c r="AF1930" s="63"/>
      <c r="AG1930" s="63">
        <v>0</v>
      </c>
      <c r="AH1930" s="63"/>
      <c r="AI1930" s="63"/>
      <c r="AJ1930" s="63"/>
      <c r="AK1930" s="63"/>
      <c r="AL1930" s="63">
        <v>1</v>
      </c>
      <c r="AM1930" s="63"/>
      <c r="AN1930" s="63">
        <v>0</v>
      </c>
      <c r="AO1930" s="63"/>
      <c r="AP1930" s="63"/>
      <c r="AQ1930" s="63"/>
      <c r="AR1930" s="63"/>
      <c r="AS1930" s="63"/>
      <c r="AT1930" s="63"/>
      <c r="AU1930" s="63"/>
      <c r="AW1930" s="5">
        <f>IF(Q1930&gt;0,RANK(Q1930,(N1930:P1930,Q1930:AE1930)),0)</f>
        <v>3</v>
      </c>
      <c r="AX1930" s="5">
        <f>IF(R1930&gt;0,RANK(R1930,(N1930:P1930,Q1930:AE1930)),0)</f>
        <v>4</v>
      </c>
      <c r="AY1930" s="5">
        <f>IF(T1930&gt;0,RANK(T1930,(N1930:P1930,Q1930:AE1930)),0)</f>
        <v>9</v>
      </c>
      <c r="AZ1930" s="5">
        <f>IF(S1930&gt;0,RANK(S1930,(N1930:P1930,Q1930:AE1930)),0)</f>
        <v>7</v>
      </c>
      <c r="BA1930" s="2">
        <f t="shared" si="797"/>
        <v>4.2489427591488792E-2</v>
      </c>
      <c r="BB1930" s="2">
        <f t="shared" si="798"/>
        <v>1.4951217075688455E-2</v>
      </c>
      <c r="BC1930" s="2">
        <f t="shared" si="799"/>
        <v>3.3298924444740435E-5</v>
      </c>
      <c r="BD1930" s="2">
        <f t="shared" si="800"/>
        <v>3.9958709333688523E-4</v>
      </c>
      <c r="BF1930" t="s">
        <v>616</v>
      </c>
      <c r="BG1930" t="s">
        <v>193</v>
      </c>
      <c r="BH1930">
        <v>27</v>
      </c>
      <c r="BJ1930" s="114">
        <v>36</v>
      </c>
      <c r="BK1930" s="116">
        <v>51</v>
      </c>
      <c r="BL1930" s="120">
        <f t="shared" si="787"/>
        <v>36051</v>
      </c>
      <c r="BN1930" s="5" t="s">
        <v>3154</v>
      </c>
      <c r="BO1930" s="63">
        <v>253</v>
      </c>
      <c r="BP1930" s="63">
        <v>29</v>
      </c>
      <c r="BR1930" s="63"/>
      <c r="BT1930" s="63">
        <v>10140</v>
      </c>
      <c r="BU1930" s="63">
        <v>15168</v>
      </c>
      <c r="BV1930" s="63">
        <v>2122</v>
      </c>
      <c r="BW1930" s="63">
        <v>370</v>
      </c>
      <c r="BX1930" s="63">
        <v>862</v>
      </c>
      <c r="BY1930" s="63">
        <v>187</v>
      </c>
      <c r="BZ1930" s="63">
        <v>414</v>
      </c>
      <c r="CB1930" s="63">
        <v>197</v>
      </c>
      <c r="CD1930" s="63">
        <v>0</v>
      </c>
      <c r="CE1930" s="63">
        <v>0</v>
      </c>
      <c r="CF1930" s="63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1</v>
      </c>
      <c r="CN1930" s="8">
        <v>0</v>
      </c>
      <c r="CO1930" s="8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</row>
    <row r="1931" spans="1:103" hidden="1" outlineLevel="1">
      <c r="A1931" t="s">
        <v>1650</v>
      </c>
      <c r="B1931" t="s">
        <v>193</v>
      </c>
      <c r="C1931" s="1">
        <f t="shared" si="789"/>
        <v>30064</v>
      </c>
      <c r="D1931" s="5">
        <f>IF(N1931&gt;0, RANK(N1931,(N1931:P1931,Q1931:AE1931)),0)</f>
        <v>2</v>
      </c>
      <c r="E1931" s="5">
        <f>IF(O1931&gt;0,RANK(O1931,(N1931:P1931,Q1931:AE1931)),0)</f>
        <v>1</v>
      </c>
      <c r="F1931" s="5">
        <f>IF(P1931&gt;0,RANK(P1931,(N1931:P1931,Q1931:AE1931)),0)</f>
        <v>6</v>
      </c>
      <c r="G1931" s="132">
        <f t="shared" si="802"/>
        <v>4269</v>
      </c>
      <c r="H1931" s="137">
        <f t="shared" si="803"/>
        <v>0.14199707291112293</v>
      </c>
      <c r="I1931" s="2"/>
      <c r="J1931" s="2">
        <f t="shared" si="790"/>
        <v>0.38807211282597126</v>
      </c>
      <c r="K1931" s="2">
        <f t="shared" si="791"/>
        <v>0.53006918573709416</v>
      </c>
      <c r="L1931" s="2">
        <f t="shared" si="792"/>
        <v>2.7607770090473656E-3</v>
      </c>
      <c r="M1931" s="2">
        <f t="shared" si="793"/>
        <v>7.9097924427887267E-2</v>
      </c>
      <c r="N1931" s="63">
        <f t="shared" si="794"/>
        <v>11667</v>
      </c>
      <c r="O1931" s="63">
        <f t="shared" si="795"/>
        <v>15936</v>
      </c>
      <c r="P1931" s="63">
        <v>83</v>
      </c>
      <c r="Q1931" s="63">
        <f t="shared" si="796"/>
        <v>1582</v>
      </c>
      <c r="R1931" s="63">
        <v>516</v>
      </c>
      <c r="S1931" s="63">
        <v>11</v>
      </c>
      <c r="T1931" s="63">
        <v>0</v>
      </c>
      <c r="U1931" s="63">
        <v>0</v>
      </c>
      <c r="V1931" s="63">
        <v>0</v>
      </c>
      <c r="W1931" s="63">
        <f t="shared" si="801"/>
        <v>265</v>
      </c>
      <c r="X1931" s="63"/>
      <c r="Y1931" s="63">
        <v>1</v>
      </c>
      <c r="Z1931" s="63"/>
      <c r="AA1931" s="63">
        <v>0</v>
      </c>
      <c r="AB1931" s="63"/>
      <c r="AC1931" s="63"/>
      <c r="AD1931" s="63"/>
      <c r="AE1931" s="63"/>
      <c r="AF1931" s="63"/>
      <c r="AG1931" s="63">
        <v>1</v>
      </c>
      <c r="AH1931" s="63"/>
      <c r="AI1931" s="63"/>
      <c r="AJ1931" s="63"/>
      <c r="AK1931" s="63"/>
      <c r="AL1931" s="63">
        <v>0</v>
      </c>
      <c r="AM1931" s="63"/>
      <c r="AN1931" s="63">
        <v>2</v>
      </c>
      <c r="AO1931" s="63"/>
      <c r="AP1931" s="63"/>
      <c r="AQ1931" s="63"/>
      <c r="AR1931" s="63"/>
      <c r="AS1931" s="63"/>
      <c r="AT1931" s="63"/>
      <c r="AU1931" s="63"/>
      <c r="AW1931" s="5">
        <f>IF(Q1931&gt;0,RANK(Q1931,(N1931:P1931,Q1931:AE1931)),0)</f>
        <v>3</v>
      </c>
      <c r="AX1931" s="5">
        <f>IF(R1931&gt;0,RANK(R1931,(N1931:P1931,Q1931:AE1931)),0)</f>
        <v>4</v>
      </c>
      <c r="AY1931" s="5">
        <f>IF(T1931&gt;0,RANK(T1931,(N1931:P1931,Q1931:AE1931)),0)</f>
        <v>0</v>
      </c>
      <c r="AZ1931" s="5">
        <f>IF(S1931&gt;0,RANK(S1931,(N1931:P1931,Q1931:AE1931)),0)</f>
        <v>7</v>
      </c>
      <c r="BA1931" s="2">
        <f t="shared" si="797"/>
        <v>5.2621075039914846E-2</v>
      </c>
      <c r="BB1931" s="2">
        <f t="shared" si="798"/>
        <v>1.7163384779137838E-2</v>
      </c>
      <c r="BC1931" s="2">
        <f t="shared" si="799"/>
        <v>0</v>
      </c>
      <c r="BD1931" s="2">
        <f t="shared" si="800"/>
        <v>3.6588610963278337E-4</v>
      </c>
      <c r="BF1931" t="s">
        <v>1650</v>
      </c>
      <c r="BG1931" t="s">
        <v>193</v>
      </c>
      <c r="BH1931">
        <v>22</v>
      </c>
      <c r="BJ1931" s="114">
        <v>36</v>
      </c>
      <c r="BK1931" s="116">
        <v>53</v>
      </c>
      <c r="BL1931" s="120">
        <f t="shared" si="787"/>
        <v>36053</v>
      </c>
      <c r="BN1931" s="5" t="s">
        <v>3154</v>
      </c>
      <c r="BO1931" s="63">
        <v>288</v>
      </c>
      <c r="BP1931" s="63">
        <v>1</v>
      </c>
      <c r="BR1931" s="63"/>
      <c r="BT1931" s="63">
        <v>10988</v>
      </c>
      <c r="BU1931" s="63">
        <v>14144</v>
      </c>
      <c r="BV1931" s="63">
        <v>1792</v>
      </c>
      <c r="BW1931" s="63">
        <v>482</v>
      </c>
      <c r="BX1931" s="63">
        <v>1097</v>
      </c>
      <c r="BY1931" s="63">
        <v>197</v>
      </c>
      <c r="BZ1931" s="63">
        <v>485</v>
      </c>
      <c r="CB1931" s="63">
        <v>263</v>
      </c>
      <c r="CD1931" s="63">
        <v>0</v>
      </c>
      <c r="CE1931" s="63">
        <v>0</v>
      </c>
      <c r="CF1931" s="63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1</v>
      </c>
      <c r="CN1931" s="8">
        <v>1</v>
      </c>
      <c r="CO1931" s="8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hidden="1" outlineLevel="1">
      <c r="A1932" t="s">
        <v>644</v>
      </c>
      <c r="B1932" t="s">
        <v>193</v>
      </c>
      <c r="C1932" s="1">
        <f t="shared" si="789"/>
        <v>347790</v>
      </c>
      <c r="D1932" s="5">
        <f>IF(N1932&gt;0, RANK(N1932,(N1932:P1932,Q1932:AE1932)),0)</f>
        <v>1</v>
      </c>
      <c r="E1932" s="5">
        <f>IF(O1932&gt;0,RANK(O1932,(N1932:P1932,Q1932:AE1932)),0)</f>
        <v>2</v>
      </c>
      <c r="F1932" s="5">
        <f>IF(P1932&gt;0,RANK(P1932,(N1932:P1932,Q1932:AE1932)),0)</f>
        <v>6</v>
      </c>
      <c r="G1932" s="132">
        <f t="shared" si="802"/>
        <v>52010</v>
      </c>
      <c r="H1932" s="137">
        <f t="shared" si="803"/>
        <v>0.14954426521751632</v>
      </c>
      <c r="I1932" s="2"/>
      <c r="J1932" s="2">
        <f t="shared" si="790"/>
        <v>0.54225825929440175</v>
      </c>
      <c r="K1932" s="2">
        <f t="shared" si="791"/>
        <v>0.39271399407688545</v>
      </c>
      <c r="L1932" s="2">
        <f t="shared" si="792"/>
        <v>2.8465453290778919E-3</v>
      </c>
      <c r="M1932" s="2">
        <f t="shared" si="793"/>
        <v>6.2181201299634913E-2</v>
      </c>
      <c r="N1932" s="63">
        <f t="shared" si="794"/>
        <v>188592</v>
      </c>
      <c r="O1932" s="63">
        <f t="shared" si="795"/>
        <v>136582</v>
      </c>
      <c r="P1932" s="63">
        <v>990</v>
      </c>
      <c r="Q1932" s="63">
        <f t="shared" si="796"/>
        <v>13205</v>
      </c>
      <c r="R1932" s="63">
        <v>5289</v>
      </c>
      <c r="S1932" s="63">
        <v>57</v>
      </c>
      <c r="T1932" s="63">
        <v>5</v>
      </c>
      <c r="U1932" s="63">
        <v>2</v>
      </c>
      <c r="V1932" s="63">
        <v>12</v>
      </c>
      <c r="W1932" s="63">
        <f t="shared" si="801"/>
        <v>2946</v>
      </c>
      <c r="X1932" s="63"/>
      <c r="Y1932" s="63">
        <v>47</v>
      </c>
      <c r="Z1932" s="63"/>
      <c r="AA1932" s="63">
        <v>6</v>
      </c>
      <c r="AB1932" s="63"/>
      <c r="AC1932" s="63"/>
      <c r="AD1932" s="63"/>
      <c r="AE1932" s="63"/>
      <c r="AF1932" s="63"/>
      <c r="AG1932" s="63">
        <v>8</v>
      </c>
      <c r="AH1932" s="63"/>
      <c r="AI1932" s="63"/>
      <c r="AJ1932" s="63"/>
      <c r="AK1932" s="63"/>
      <c r="AL1932" s="63">
        <v>7</v>
      </c>
      <c r="AM1932" s="63"/>
      <c r="AN1932" s="63">
        <v>42</v>
      </c>
      <c r="AO1932" s="63"/>
      <c r="AP1932" s="63"/>
      <c r="AQ1932" s="63"/>
      <c r="AR1932" s="63"/>
      <c r="AS1932" s="63"/>
      <c r="AT1932" s="63"/>
      <c r="AU1932" s="63"/>
      <c r="AW1932" s="5">
        <f>IF(Q1932&gt;0,RANK(Q1932,(N1932:P1932,Q1932:AE1932)),0)</f>
        <v>3</v>
      </c>
      <c r="AX1932" s="5">
        <f>IF(R1932&gt;0,RANK(R1932,(N1932:P1932,Q1932:AE1932)),0)</f>
        <v>4</v>
      </c>
      <c r="AY1932" s="5">
        <f>IF(T1932&gt;0,RANK(T1932,(N1932:P1932,Q1932:AE1932)),0)</f>
        <v>11</v>
      </c>
      <c r="AZ1932" s="5">
        <f>IF(S1932&gt;0,RANK(S1932,(N1932:P1932,Q1932:AE1932)),0)</f>
        <v>7</v>
      </c>
      <c r="BA1932" s="2">
        <f t="shared" si="797"/>
        <v>3.7968314212599559E-2</v>
      </c>
      <c r="BB1932" s="2">
        <f t="shared" si="798"/>
        <v>1.5207452773225221E-2</v>
      </c>
      <c r="BC1932" s="2">
        <f t="shared" si="799"/>
        <v>1.4376491560999454E-5</v>
      </c>
      <c r="BD1932" s="2">
        <f t="shared" si="800"/>
        <v>1.6389200379539378E-4</v>
      </c>
      <c r="BF1932" t="s">
        <v>644</v>
      </c>
      <c r="BG1932" t="s">
        <v>193</v>
      </c>
      <c r="BJ1932" s="114">
        <v>36</v>
      </c>
      <c r="BK1932" s="116">
        <v>55</v>
      </c>
      <c r="BL1932" s="120">
        <f t="shared" si="787"/>
        <v>36055</v>
      </c>
      <c r="BN1932" s="5" t="s">
        <v>3154</v>
      </c>
      <c r="BO1932" s="63">
        <v>2984</v>
      </c>
      <c r="BP1932" s="63">
        <v>194</v>
      </c>
      <c r="BR1932" s="63"/>
      <c r="BT1932" s="63">
        <v>179142</v>
      </c>
      <c r="BU1932" s="63">
        <v>116476</v>
      </c>
      <c r="BV1932" s="63">
        <v>20106</v>
      </c>
      <c r="BW1932" s="63">
        <v>6588</v>
      </c>
      <c r="BX1932" s="63">
        <v>8640</v>
      </c>
      <c r="BY1932" s="63">
        <v>2862</v>
      </c>
      <c r="BZ1932" s="63">
        <v>4565</v>
      </c>
      <c r="CB1932" s="63">
        <v>2902</v>
      </c>
      <c r="CD1932" s="63">
        <v>0</v>
      </c>
      <c r="CE1932" s="63">
        <v>0</v>
      </c>
      <c r="CF1932" s="63">
        <v>0</v>
      </c>
      <c r="CG1932" s="8">
        <v>7</v>
      </c>
      <c r="CH1932" s="8">
        <v>1</v>
      </c>
      <c r="CI1932" s="8">
        <v>1</v>
      </c>
      <c r="CJ1932" s="8">
        <v>1</v>
      </c>
      <c r="CK1932" s="8">
        <v>0</v>
      </c>
      <c r="CL1932" s="8">
        <v>0</v>
      </c>
      <c r="CM1932" s="8">
        <v>15</v>
      </c>
      <c r="CN1932" s="8">
        <v>4</v>
      </c>
      <c r="CO1932" s="8">
        <v>0</v>
      </c>
      <c r="CP1932">
        <v>0</v>
      </c>
      <c r="CQ1932">
        <v>8</v>
      </c>
      <c r="CR1932">
        <v>2</v>
      </c>
      <c r="CS1932">
        <v>2</v>
      </c>
      <c r="CT1932">
        <v>1</v>
      </c>
      <c r="CU1932">
        <v>1</v>
      </c>
      <c r="CV1932">
        <v>0</v>
      </c>
      <c r="CW1932">
        <v>1</v>
      </c>
      <c r="CX1932">
        <v>0</v>
      </c>
      <c r="CY1932">
        <v>0</v>
      </c>
    </row>
    <row r="1933" spans="1:103" hidden="1" outlineLevel="1">
      <c r="A1933" t="s">
        <v>1406</v>
      </c>
      <c r="B1933" t="s">
        <v>193</v>
      </c>
      <c r="C1933" s="1">
        <f t="shared" si="789"/>
        <v>19054</v>
      </c>
      <c r="D1933" s="5">
        <f>IF(N1933&gt;0, RANK(N1933,(N1933:P1933,Q1933:AE1933)),0)</f>
        <v>2</v>
      </c>
      <c r="E1933" s="5">
        <f>IF(O1933&gt;0,RANK(O1933,(N1933:P1933,Q1933:AE1933)),0)</f>
        <v>1</v>
      </c>
      <c r="F1933" s="5">
        <f>IF(P1933&gt;0,RANK(P1933,(N1933:P1933,Q1933:AE1933)),0)</f>
        <v>6</v>
      </c>
      <c r="G1933" s="132">
        <f t="shared" si="802"/>
        <v>4706</v>
      </c>
      <c r="H1933" s="137">
        <f t="shared" si="803"/>
        <v>0.24698226094258424</v>
      </c>
      <c r="I1933" s="2"/>
      <c r="J1933" s="2">
        <f t="shared" si="790"/>
        <v>0.34612154928099087</v>
      </c>
      <c r="K1933" s="2">
        <f t="shared" si="791"/>
        <v>0.59310381022357506</v>
      </c>
      <c r="L1933" s="2">
        <f t="shared" si="792"/>
        <v>1.8893670620342186E-3</v>
      </c>
      <c r="M1933" s="2">
        <f t="shared" si="793"/>
        <v>5.8885273433399908E-2</v>
      </c>
      <c r="N1933" s="63">
        <f t="shared" si="794"/>
        <v>6595</v>
      </c>
      <c r="O1933" s="63">
        <f t="shared" si="795"/>
        <v>11301</v>
      </c>
      <c r="P1933" s="63">
        <v>36</v>
      </c>
      <c r="Q1933" s="63">
        <f t="shared" si="796"/>
        <v>690</v>
      </c>
      <c r="R1933" s="63">
        <v>268</v>
      </c>
      <c r="S1933" s="63">
        <v>12</v>
      </c>
      <c r="T1933" s="63">
        <v>0</v>
      </c>
      <c r="U1933" s="63">
        <v>0</v>
      </c>
      <c r="V1933" s="63">
        <v>2</v>
      </c>
      <c r="W1933" s="63">
        <f t="shared" si="801"/>
        <v>147</v>
      </c>
      <c r="X1933" s="63"/>
      <c r="Y1933" s="63">
        <v>1</v>
      </c>
      <c r="Z1933" s="63"/>
      <c r="AA1933" s="63">
        <v>0</v>
      </c>
      <c r="AB1933" s="63"/>
      <c r="AC1933" s="63"/>
      <c r="AD1933" s="63"/>
      <c r="AE1933" s="63"/>
      <c r="AF1933" s="63"/>
      <c r="AG1933" s="63">
        <v>1</v>
      </c>
      <c r="AH1933" s="63"/>
      <c r="AI1933" s="63"/>
      <c r="AJ1933" s="63"/>
      <c r="AK1933" s="63"/>
      <c r="AL1933" s="63">
        <v>0</v>
      </c>
      <c r="AM1933" s="63"/>
      <c r="AN1933" s="63">
        <v>1</v>
      </c>
      <c r="AO1933" s="63"/>
      <c r="AP1933" s="63"/>
      <c r="AQ1933" s="63"/>
      <c r="AR1933" s="63"/>
      <c r="AS1933" s="63"/>
      <c r="AT1933" s="63"/>
      <c r="AU1933" s="63"/>
      <c r="AW1933" s="5">
        <f>IF(Q1933&gt;0,RANK(Q1933,(N1933:P1933,Q1933:AE1933)),0)</f>
        <v>3</v>
      </c>
      <c r="AX1933" s="5">
        <f>IF(R1933&gt;0,RANK(R1933,(N1933:P1933,Q1933:AE1933)),0)</f>
        <v>4</v>
      </c>
      <c r="AY1933" s="5">
        <f>IF(T1933&gt;0,RANK(T1933,(N1933:P1933,Q1933:AE1933)),0)</f>
        <v>0</v>
      </c>
      <c r="AZ1933" s="5">
        <f>IF(S1933&gt;0,RANK(S1933,(N1933:P1933,Q1933:AE1933)),0)</f>
        <v>7</v>
      </c>
      <c r="BA1933" s="2">
        <f t="shared" si="797"/>
        <v>3.6212868688989187E-2</v>
      </c>
      <c r="BB1933" s="2">
        <f t="shared" si="798"/>
        <v>1.406528812847696E-2</v>
      </c>
      <c r="BC1933" s="2">
        <f t="shared" si="799"/>
        <v>0</v>
      </c>
      <c r="BD1933" s="2">
        <f t="shared" si="800"/>
        <v>6.2978902067807282E-4</v>
      </c>
      <c r="BF1933" t="s">
        <v>1406</v>
      </c>
      <c r="BG1933" t="s">
        <v>193</v>
      </c>
      <c r="BJ1933" s="114">
        <v>36</v>
      </c>
      <c r="BK1933" s="116">
        <v>57</v>
      </c>
      <c r="BL1933" s="120">
        <f t="shared" si="787"/>
        <v>36057</v>
      </c>
      <c r="BN1933" s="5" t="s">
        <v>3154</v>
      </c>
      <c r="BO1933" s="63">
        <v>203</v>
      </c>
      <c r="BP1933" s="63">
        <v>17</v>
      </c>
      <c r="BR1933" s="63"/>
      <c r="BT1933" s="63">
        <v>6264</v>
      </c>
      <c r="BU1933" s="63">
        <v>9894</v>
      </c>
      <c r="BV1933" s="63">
        <v>1407</v>
      </c>
      <c r="BW1933" s="63">
        <v>230</v>
      </c>
      <c r="BX1933" s="63">
        <v>460</v>
      </c>
      <c r="BY1933" s="63">
        <v>101</v>
      </c>
      <c r="BZ1933" s="63">
        <v>230</v>
      </c>
      <c r="CB1933" s="63">
        <v>143</v>
      </c>
      <c r="CD1933" s="63">
        <v>0</v>
      </c>
      <c r="CE1933" s="63">
        <v>0</v>
      </c>
      <c r="CF1933" s="63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>
        <v>0</v>
      </c>
      <c r="CQ1933">
        <v>4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hidden="1" outlineLevel="1">
      <c r="A1934" t="s">
        <v>83</v>
      </c>
      <c r="B1934" t="s">
        <v>193</v>
      </c>
      <c r="C1934" s="1">
        <f t="shared" si="789"/>
        <v>647122</v>
      </c>
      <c r="D1934" s="5">
        <f>IF(N1934&gt;0, RANK(N1934,(N1934:P1934,Q1934:AE1934)),0)</f>
        <v>1</v>
      </c>
      <c r="E1934" s="5">
        <f>IF(O1934&gt;0,RANK(O1934,(N1934:P1934,Q1934:AE1934)),0)</f>
        <v>2</v>
      </c>
      <c r="F1934" s="5">
        <f>IF(P1934&gt;0,RANK(P1934,(N1934:P1934,Q1934:AE1934)),0)</f>
        <v>6</v>
      </c>
      <c r="G1934" s="132">
        <f t="shared" ref="G1934:G1958" si="804">IF(C1934&gt;0,MAX(N1934:P1934)-LARGE(N1934:P1934,2),0)</f>
        <v>40129</v>
      </c>
      <c r="H1934" s="137">
        <f t="shared" ref="H1934:H1958" si="805">IF(C1934&gt;0,G1934/C1934,0)</f>
        <v>6.2011490878072451E-2</v>
      </c>
      <c r="I1934" s="2"/>
      <c r="J1934" s="2">
        <f t="shared" ref="J1934:J1958" si="806">IF($C1934=0,"-",N1934/$C1934)</f>
        <v>0.51327879441589064</v>
      </c>
      <c r="K1934" s="2">
        <f t="shared" ref="K1934:K1958" si="807">IF($C1934=0,"-",O1934/$C1934)</f>
        <v>0.45126730353781824</v>
      </c>
      <c r="L1934" s="2">
        <f t="shared" ref="L1934:L1958" si="808">IF($C1934=0,"-",P1934/$C1934)</f>
        <v>9.3181811157710601E-4</v>
      </c>
      <c r="M1934" s="2">
        <f t="shared" ref="M1934:M1958" si="809">IF(C1934=0,"-",(1-J1934-K1934-L1934))</f>
        <v>3.4522083934714017E-2</v>
      </c>
      <c r="N1934" s="63">
        <f t="shared" si="794"/>
        <v>332154</v>
      </c>
      <c r="O1934" s="63">
        <f t="shared" si="795"/>
        <v>292025</v>
      </c>
      <c r="P1934" s="63">
        <v>603</v>
      </c>
      <c r="Q1934" s="63">
        <f t="shared" si="796"/>
        <v>11337</v>
      </c>
      <c r="R1934" s="63">
        <v>6734</v>
      </c>
      <c r="S1934" s="63">
        <v>37</v>
      </c>
      <c r="T1934" s="63">
        <v>1</v>
      </c>
      <c r="U1934" s="63">
        <v>2</v>
      </c>
      <c r="V1934" s="63">
        <v>8</v>
      </c>
      <c r="W1934" s="63">
        <f t="shared" si="801"/>
        <v>4189</v>
      </c>
      <c r="X1934" s="63"/>
      <c r="Y1934" s="63">
        <v>2</v>
      </c>
      <c r="Z1934" s="63"/>
      <c r="AA1934" s="63">
        <v>2</v>
      </c>
      <c r="AB1934" s="63"/>
      <c r="AC1934" s="63"/>
      <c r="AD1934" s="63"/>
      <c r="AE1934" s="63"/>
      <c r="AF1934" s="63"/>
      <c r="AG1934" s="63">
        <v>4</v>
      </c>
      <c r="AH1934" s="63"/>
      <c r="AI1934" s="63"/>
      <c r="AJ1934" s="63"/>
      <c r="AK1934" s="63"/>
      <c r="AL1934" s="63">
        <v>0</v>
      </c>
      <c r="AM1934" s="63"/>
      <c r="AN1934" s="63">
        <v>24</v>
      </c>
      <c r="AO1934" s="63"/>
      <c r="AP1934" s="63"/>
      <c r="AQ1934" s="63"/>
      <c r="AR1934" s="63"/>
      <c r="AS1934" s="63"/>
      <c r="AT1934" s="63"/>
      <c r="AU1934" s="63"/>
      <c r="AW1934" s="5">
        <f>IF(Q1934&gt;0,RANK(Q1934,(N1934:P1934,Q1934:AE1934)),0)</f>
        <v>3</v>
      </c>
      <c r="AX1934" s="5">
        <f>IF(R1934&gt;0,RANK(R1934,(N1934:P1934,Q1934:AE1934)),0)</f>
        <v>4</v>
      </c>
      <c r="AY1934" s="5">
        <f>IF(T1934&gt;0,RANK(T1934,(N1934:P1934,Q1934:AE1934)),0)</f>
        <v>12</v>
      </c>
      <c r="AZ1934" s="5">
        <f>IF(S1934&gt;0,RANK(S1934,(N1934:P1934,Q1934:AE1934)),0)</f>
        <v>7</v>
      </c>
      <c r="BA1934" s="2">
        <f t="shared" si="797"/>
        <v>1.7519107679850168E-2</v>
      </c>
      <c r="BB1934" s="2">
        <f t="shared" si="798"/>
        <v>1.0406074897778162E-2</v>
      </c>
      <c r="BC1934" s="2">
        <f t="shared" si="799"/>
        <v>1.5453036676237247E-6</v>
      </c>
      <c r="BD1934" s="2">
        <f t="shared" si="800"/>
        <v>5.7176235702077813E-5</v>
      </c>
      <c r="BF1934" t="s">
        <v>83</v>
      </c>
      <c r="BG1934" t="s">
        <v>193</v>
      </c>
      <c r="BJ1934" s="114">
        <v>36</v>
      </c>
      <c r="BK1934" s="116">
        <v>59</v>
      </c>
      <c r="BL1934" s="120">
        <f t="shared" si="787"/>
        <v>36059</v>
      </c>
      <c r="BN1934" s="5" t="s">
        <v>3154</v>
      </c>
      <c r="BO1934" s="63">
        <v>5865</v>
      </c>
      <c r="BP1934" s="63">
        <v>689</v>
      </c>
      <c r="BR1934" s="63"/>
      <c r="BT1934" s="63">
        <v>324212</v>
      </c>
      <c r="BU1934" s="63">
        <v>272873</v>
      </c>
      <c r="BV1934" s="63">
        <v>19152</v>
      </c>
      <c r="BW1934" s="63">
        <v>5671</v>
      </c>
      <c r="BX1934" s="63">
        <v>7195</v>
      </c>
      <c r="BY1934" s="63">
        <v>2271</v>
      </c>
      <c r="BZ1934" s="63">
        <v>4142</v>
      </c>
      <c r="CB1934" s="63">
        <v>4147</v>
      </c>
      <c r="CD1934" s="63">
        <v>0</v>
      </c>
      <c r="CE1934" s="63">
        <v>1</v>
      </c>
      <c r="CF1934" s="63">
        <v>0</v>
      </c>
      <c r="CG1934" s="8">
        <v>1</v>
      </c>
      <c r="CH1934" s="8">
        <v>0</v>
      </c>
      <c r="CI1934" s="8">
        <v>0</v>
      </c>
      <c r="CJ1934" s="8">
        <v>17</v>
      </c>
      <c r="CK1934" s="8">
        <v>0</v>
      </c>
      <c r="CL1934" s="8">
        <v>0</v>
      </c>
      <c r="CM1934" s="8">
        <v>5</v>
      </c>
      <c r="CN1934" s="8">
        <v>9</v>
      </c>
      <c r="CO1934" s="8">
        <v>1</v>
      </c>
      <c r="CP1934">
        <v>0</v>
      </c>
      <c r="CQ1934">
        <v>1</v>
      </c>
      <c r="CR1934">
        <v>7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hidden="1" outlineLevel="1">
      <c r="A1935" t="s">
        <v>2547</v>
      </c>
      <c r="B1935" t="s">
        <v>193</v>
      </c>
      <c r="C1935" s="1">
        <f t="shared" si="789"/>
        <v>92402</v>
      </c>
      <c r="D1935" s="5">
        <f>IF(N1935&gt;0, RANK(N1935,(N1935:P1935,Q1935:AE1935)),0)</f>
        <v>2</v>
      </c>
      <c r="E1935" s="5">
        <f>IF(O1935&gt;0,RANK(O1935,(N1935:P1935,Q1935:AE1935)),0)</f>
        <v>1</v>
      </c>
      <c r="F1935" s="5">
        <f>IF(P1935&gt;0,RANK(P1935,(N1935:P1935,Q1935:AE1935)),0)</f>
        <v>6</v>
      </c>
      <c r="G1935" s="132">
        <f t="shared" si="804"/>
        <v>16402</v>
      </c>
      <c r="H1935" s="137">
        <f t="shared" si="805"/>
        <v>0.1775069803683903</v>
      </c>
      <c r="I1935" s="2"/>
      <c r="J1935" s="2">
        <f t="shared" si="806"/>
        <v>0.38482933269842645</v>
      </c>
      <c r="K1935" s="2">
        <f t="shared" si="807"/>
        <v>0.56233631306681675</v>
      </c>
      <c r="L1935" s="2">
        <f t="shared" si="808"/>
        <v>1.2770286357438152E-3</v>
      </c>
      <c r="M1935" s="2">
        <f t="shared" si="809"/>
        <v>5.1557325599012979E-2</v>
      </c>
      <c r="N1935" s="63">
        <f t="shared" si="794"/>
        <v>35559</v>
      </c>
      <c r="O1935" s="63">
        <f t="shared" si="795"/>
        <v>51961</v>
      </c>
      <c r="P1935" s="63">
        <v>118</v>
      </c>
      <c r="Q1935" s="63">
        <f t="shared" si="796"/>
        <v>2865</v>
      </c>
      <c r="R1935" s="63">
        <v>1287</v>
      </c>
      <c r="S1935" s="63">
        <v>8</v>
      </c>
      <c r="T1935" s="63">
        <v>0</v>
      </c>
      <c r="U1935" s="63">
        <v>0</v>
      </c>
      <c r="V1935" s="63">
        <v>0</v>
      </c>
      <c r="W1935" s="63">
        <f t="shared" si="801"/>
        <v>601</v>
      </c>
      <c r="X1935" s="63"/>
      <c r="Y1935" s="63">
        <v>1</v>
      </c>
      <c r="Z1935" s="63"/>
      <c r="AA1935" s="63">
        <v>0</v>
      </c>
      <c r="AB1935" s="63"/>
      <c r="AC1935" s="63"/>
      <c r="AD1935" s="63"/>
      <c r="AE1935" s="63"/>
      <c r="AF1935" s="63"/>
      <c r="AG1935" s="63">
        <v>2</v>
      </c>
      <c r="AH1935" s="63"/>
      <c r="AI1935" s="63"/>
      <c r="AJ1935" s="63"/>
      <c r="AK1935" s="63"/>
      <c r="AL1935" s="63">
        <v>0</v>
      </c>
      <c r="AM1935" s="63"/>
      <c r="AN1935" s="63">
        <v>0</v>
      </c>
      <c r="AO1935" s="63"/>
      <c r="AP1935" s="63"/>
      <c r="AQ1935" s="63"/>
      <c r="AR1935" s="63"/>
      <c r="AS1935" s="63"/>
      <c r="AT1935" s="63"/>
      <c r="AU1935" s="63"/>
      <c r="AW1935" s="5">
        <f>IF(Q1935&gt;0,RANK(Q1935,(N1935:P1935,Q1935:AE1935)),0)</f>
        <v>3</v>
      </c>
      <c r="AX1935" s="5">
        <f>IF(R1935&gt;0,RANK(R1935,(N1935:P1935,Q1935:AE1935)),0)</f>
        <v>4</v>
      </c>
      <c r="AY1935" s="5">
        <f>IF(T1935&gt;0,RANK(T1935,(N1935:P1935,Q1935:AE1935)),0)</f>
        <v>0</v>
      </c>
      <c r="AZ1935" s="5">
        <f>IF(S1935&gt;0,RANK(S1935,(N1935:P1935,Q1935:AE1935)),0)</f>
        <v>7</v>
      </c>
      <c r="BA1935" s="2">
        <f t="shared" si="797"/>
        <v>3.1005822384796867E-2</v>
      </c>
      <c r="BB1935" s="2">
        <f t="shared" si="798"/>
        <v>1.3928269950866864E-2</v>
      </c>
      <c r="BC1935" s="2">
        <f t="shared" si="799"/>
        <v>0</v>
      </c>
      <c r="BD1935" s="2">
        <f t="shared" si="800"/>
        <v>8.6578212592801026E-5</v>
      </c>
      <c r="BF1935" t="s">
        <v>2547</v>
      </c>
      <c r="BG1935" t="s">
        <v>193</v>
      </c>
      <c r="BJ1935" s="114">
        <v>36</v>
      </c>
      <c r="BK1935" s="116">
        <v>63</v>
      </c>
      <c r="BL1935" s="120">
        <f t="shared" si="787"/>
        <v>36063</v>
      </c>
      <c r="BN1935" s="5" t="s">
        <v>3154</v>
      </c>
      <c r="BO1935" s="63">
        <v>1891</v>
      </c>
      <c r="BP1935" s="63">
        <v>0</v>
      </c>
      <c r="BR1935" s="63"/>
      <c r="BT1935" s="63">
        <v>33927</v>
      </c>
      <c r="BU1935" s="63">
        <v>44289</v>
      </c>
      <c r="BV1935" s="63">
        <v>7672</v>
      </c>
      <c r="BW1935" s="63">
        <v>1228</v>
      </c>
      <c r="BX1935" s="63">
        <v>2059</v>
      </c>
      <c r="BY1935" s="63">
        <v>404</v>
      </c>
      <c r="BZ1935" s="63">
        <v>806</v>
      </c>
      <c r="CB1935" s="63">
        <v>601</v>
      </c>
      <c r="CD1935" s="63">
        <v>0</v>
      </c>
      <c r="CE1935" s="63">
        <v>0</v>
      </c>
      <c r="CF1935" s="63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hidden="1" outlineLevel="1">
      <c r="A1936" t="s">
        <v>3090</v>
      </c>
      <c r="B1936" t="s">
        <v>193</v>
      </c>
      <c r="C1936" s="1">
        <f t="shared" si="789"/>
        <v>91009</v>
      </c>
      <c r="D1936" s="5">
        <f>IF(N1936&gt;0, RANK(N1936,(N1936:P1936,Q1936:AE1936)),0)</f>
        <v>2</v>
      </c>
      <c r="E1936" s="5">
        <f>IF(O1936&gt;0,RANK(O1936,(N1936:P1936,Q1936:AE1936)),0)</f>
        <v>1</v>
      </c>
      <c r="F1936" s="5">
        <f>IF(P1936&gt;0,RANK(P1936,(N1936:P1936,Q1936:AE1936)),0)</f>
        <v>6</v>
      </c>
      <c r="G1936" s="132">
        <f t="shared" si="804"/>
        <v>17694</v>
      </c>
      <c r="H1936" s="137">
        <f t="shared" si="805"/>
        <v>0.19442033205507148</v>
      </c>
      <c r="I1936" s="2"/>
      <c r="J1936" s="2">
        <f t="shared" si="806"/>
        <v>0.37076552868397633</v>
      </c>
      <c r="K1936" s="2">
        <f t="shared" si="807"/>
        <v>0.56518586073904775</v>
      </c>
      <c r="L1936" s="2">
        <f t="shared" si="808"/>
        <v>1.7360920348536957E-3</v>
      </c>
      <c r="M1936" s="2">
        <f t="shared" si="809"/>
        <v>6.2312518542122164E-2</v>
      </c>
      <c r="N1936" s="63">
        <f t="shared" si="794"/>
        <v>33743</v>
      </c>
      <c r="O1936" s="63">
        <f t="shared" si="795"/>
        <v>51437</v>
      </c>
      <c r="P1936" s="63">
        <v>158</v>
      </c>
      <c r="Q1936" s="63">
        <f t="shared" si="796"/>
        <v>3754</v>
      </c>
      <c r="R1936" s="63">
        <v>1235</v>
      </c>
      <c r="S1936" s="63">
        <v>17</v>
      </c>
      <c r="T1936" s="63">
        <v>2</v>
      </c>
      <c r="U1936" s="63">
        <v>0</v>
      </c>
      <c r="V1936" s="63">
        <v>1</v>
      </c>
      <c r="W1936" s="63">
        <f t="shared" si="801"/>
        <v>653</v>
      </c>
      <c r="X1936" s="63"/>
      <c r="Y1936" s="63">
        <v>4</v>
      </c>
      <c r="Z1936" s="63"/>
      <c r="AA1936" s="63">
        <v>0</v>
      </c>
      <c r="AB1936" s="63"/>
      <c r="AC1936" s="63"/>
      <c r="AD1936" s="63"/>
      <c r="AE1936" s="63"/>
      <c r="AF1936" s="63"/>
      <c r="AG1936" s="63">
        <v>0</v>
      </c>
      <c r="AH1936" s="63"/>
      <c r="AI1936" s="63"/>
      <c r="AJ1936" s="63"/>
      <c r="AK1936" s="63"/>
      <c r="AL1936" s="63">
        <v>0</v>
      </c>
      <c r="AM1936" s="63"/>
      <c r="AN1936" s="63">
        <v>5</v>
      </c>
      <c r="AO1936" s="63"/>
      <c r="AP1936" s="63"/>
      <c r="AQ1936" s="63"/>
      <c r="AR1936" s="63"/>
      <c r="AS1936" s="63"/>
      <c r="AT1936" s="63"/>
      <c r="AU1936" s="63"/>
      <c r="AW1936" s="5">
        <f>IF(Q1936&gt;0,RANK(Q1936,(N1936:P1936,Q1936:AE1936)),0)</f>
        <v>3</v>
      </c>
      <c r="AX1936" s="5">
        <f>IF(R1936&gt;0,RANK(R1936,(N1936:P1936,Q1936:AE1936)),0)</f>
        <v>4</v>
      </c>
      <c r="AY1936" s="5">
        <f>IF(T1936&gt;0,RANK(T1936,(N1936:P1936,Q1936:AE1936)),0)</f>
        <v>9</v>
      </c>
      <c r="AZ1936" s="5">
        <f>IF(S1936&gt;0,RANK(S1936,(N1936:P1936,Q1936:AE1936)),0)</f>
        <v>7</v>
      </c>
      <c r="BA1936" s="2">
        <f t="shared" si="797"/>
        <v>4.1248667714182112E-2</v>
      </c>
      <c r="BB1936" s="2">
        <f t="shared" si="798"/>
        <v>1.3570086474964015E-2</v>
      </c>
      <c r="BC1936" s="2">
        <f t="shared" si="799"/>
        <v>2.1975848542451844E-5</v>
      </c>
      <c r="BD1936" s="2">
        <f t="shared" si="800"/>
        <v>1.867947126108407E-4</v>
      </c>
      <c r="BF1936" t="s">
        <v>3090</v>
      </c>
      <c r="BG1936" t="s">
        <v>193</v>
      </c>
      <c r="BH1936">
        <v>22</v>
      </c>
      <c r="BJ1936" s="114">
        <v>36</v>
      </c>
      <c r="BK1936" s="116">
        <v>65</v>
      </c>
      <c r="BL1936" s="120">
        <f t="shared" si="787"/>
        <v>36065</v>
      </c>
      <c r="BN1936" s="5" t="s">
        <v>3154</v>
      </c>
      <c r="BO1936" s="63">
        <v>864</v>
      </c>
      <c r="BP1936" s="63">
        <v>39</v>
      </c>
      <c r="BR1936" s="63"/>
      <c r="BT1936" s="63">
        <v>32217</v>
      </c>
      <c r="BU1936" s="63">
        <v>46282</v>
      </c>
      <c r="BV1936" s="63">
        <v>5155</v>
      </c>
      <c r="BW1936" s="63">
        <v>1070</v>
      </c>
      <c r="BX1936" s="63">
        <v>2682</v>
      </c>
      <c r="BY1936" s="63">
        <v>456</v>
      </c>
      <c r="BZ1936" s="63">
        <v>1072</v>
      </c>
      <c r="CB1936" s="63">
        <v>651</v>
      </c>
      <c r="CD1936" s="63">
        <v>0</v>
      </c>
      <c r="CE1936" s="63">
        <v>0</v>
      </c>
      <c r="CF1936" s="63">
        <v>0</v>
      </c>
      <c r="CG1936" s="8">
        <v>1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1</v>
      </c>
      <c r="CN1936" s="8">
        <v>0</v>
      </c>
      <c r="CO1936" s="8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hidden="1" outlineLevel="1">
      <c r="A1937" t="s">
        <v>972</v>
      </c>
      <c r="B1937" t="s">
        <v>193</v>
      </c>
      <c r="C1937" s="1">
        <f t="shared" si="789"/>
        <v>208440</v>
      </c>
      <c r="D1937" s="5">
        <f>IF(N1937&gt;0, RANK(N1937,(N1937:P1937,Q1937:AE1937)),0)</f>
        <v>1</v>
      </c>
      <c r="E1937" s="5">
        <f>IF(O1937&gt;0,RANK(O1937,(N1937:P1937,Q1937:AE1937)),0)</f>
        <v>2</v>
      </c>
      <c r="F1937" s="5">
        <f>IF(P1937&gt;0,RANK(P1937,(N1937:P1937,Q1937:AE1937)),0)</f>
        <v>5</v>
      </c>
      <c r="G1937" s="132">
        <f t="shared" si="804"/>
        <v>28688</v>
      </c>
      <c r="H1937" s="137">
        <f t="shared" si="805"/>
        <v>0.1376319324505853</v>
      </c>
      <c r="I1937" s="2"/>
      <c r="J1937" s="2">
        <f t="shared" si="806"/>
        <v>0.53894166186912296</v>
      </c>
      <c r="K1937" s="2">
        <f t="shared" si="807"/>
        <v>0.40130972941853771</v>
      </c>
      <c r="L1937" s="2">
        <f t="shared" si="808"/>
        <v>2.9936672423719057E-3</v>
      </c>
      <c r="M1937" s="2">
        <f t="shared" si="809"/>
        <v>5.6754941469967429E-2</v>
      </c>
      <c r="N1937" s="63">
        <f t="shared" si="794"/>
        <v>112337</v>
      </c>
      <c r="O1937" s="63">
        <f t="shared" si="795"/>
        <v>83649</v>
      </c>
      <c r="P1937" s="63">
        <v>624</v>
      </c>
      <c r="Q1937" s="63">
        <f t="shared" si="796"/>
        <v>8524</v>
      </c>
      <c r="R1937" s="63">
        <v>3185</v>
      </c>
      <c r="S1937" s="63">
        <v>51</v>
      </c>
      <c r="T1937" s="63">
        <v>0</v>
      </c>
      <c r="U1937" s="63">
        <v>1</v>
      </c>
      <c r="V1937" s="63">
        <v>4</v>
      </c>
      <c r="W1937" s="63">
        <f t="shared" si="801"/>
        <v>23</v>
      </c>
      <c r="X1937" s="63"/>
      <c r="Y1937" s="63">
        <v>2</v>
      </c>
      <c r="Z1937" s="63"/>
      <c r="AA1937" s="63">
        <v>4</v>
      </c>
      <c r="AB1937" s="63"/>
      <c r="AC1937" s="63"/>
      <c r="AD1937" s="63"/>
      <c r="AE1937" s="63"/>
      <c r="AF1937" s="63"/>
      <c r="AG1937" s="63">
        <v>1</v>
      </c>
      <c r="AH1937" s="63"/>
      <c r="AI1937" s="63"/>
      <c r="AJ1937" s="63"/>
      <c r="AK1937" s="63"/>
      <c r="AL1937" s="63">
        <v>2</v>
      </c>
      <c r="AM1937" s="63"/>
      <c r="AN1937" s="63">
        <v>33</v>
      </c>
      <c r="AO1937" s="63"/>
      <c r="AP1937" s="63"/>
      <c r="AQ1937" s="63"/>
      <c r="AR1937" s="63"/>
      <c r="AS1937" s="63"/>
      <c r="AT1937" s="63"/>
      <c r="AU1937" s="63"/>
      <c r="AW1937" s="5">
        <f>IF(Q1937&gt;0,RANK(Q1937,(N1937:P1937,Q1937:AE1937)),0)</f>
        <v>3</v>
      </c>
      <c r="AX1937" s="5">
        <f>IF(R1937&gt;0,RANK(R1937,(N1937:P1937,Q1937:AE1937)),0)</f>
        <v>4</v>
      </c>
      <c r="AY1937" s="5">
        <f>IF(T1937&gt;0,RANK(T1937,(N1937:P1937,Q1937:AE1937)),0)</f>
        <v>0</v>
      </c>
      <c r="AZ1937" s="5">
        <f>IF(S1937&gt;0,RANK(S1937,(N1937:P1937,Q1937:AE1937)),0)</f>
        <v>6</v>
      </c>
      <c r="BA1937" s="2">
        <f t="shared" si="797"/>
        <v>4.089426213778545E-2</v>
      </c>
      <c r="BB1937" s="2">
        <f t="shared" si="798"/>
        <v>1.5280176549606601E-2</v>
      </c>
      <c r="BC1937" s="2">
        <f t="shared" si="799"/>
        <v>0</v>
      </c>
      <c r="BD1937" s="2">
        <f t="shared" si="800"/>
        <v>2.4467472654001154E-4</v>
      </c>
      <c r="BF1937" t="s">
        <v>972</v>
      </c>
      <c r="BG1937" t="s">
        <v>193</v>
      </c>
      <c r="BH1937">
        <v>24</v>
      </c>
      <c r="BJ1937" s="114">
        <v>36</v>
      </c>
      <c r="BK1937" s="116">
        <v>67</v>
      </c>
      <c r="BL1937" s="120">
        <f t="shared" si="787"/>
        <v>36067</v>
      </c>
      <c r="BN1937" s="5" t="s">
        <v>3154</v>
      </c>
      <c r="BO1937" s="63">
        <v>4424</v>
      </c>
      <c r="BP1937" s="63">
        <v>0</v>
      </c>
      <c r="BR1937" s="63"/>
      <c r="BT1937" s="63">
        <v>107049</v>
      </c>
      <c r="BU1937" s="63">
        <v>73700</v>
      </c>
      <c r="BV1937" s="63">
        <v>9949</v>
      </c>
      <c r="BW1937" s="63">
        <v>3781</v>
      </c>
      <c r="BX1937" s="63">
        <v>5853</v>
      </c>
      <c r="BY1937" s="63">
        <v>1507</v>
      </c>
      <c r="BZ1937" s="63">
        <v>2671</v>
      </c>
      <c r="CB1937" s="63">
        <v>0</v>
      </c>
      <c r="CD1937" s="63">
        <v>0</v>
      </c>
      <c r="CE1937" s="63">
        <v>0</v>
      </c>
      <c r="CF1937" s="63">
        <v>0</v>
      </c>
      <c r="CG1937" s="8">
        <v>3</v>
      </c>
      <c r="CH1937" s="8">
        <v>1</v>
      </c>
      <c r="CI1937" s="8">
        <v>3</v>
      </c>
      <c r="CJ1937" s="8">
        <v>0</v>
      </c>
      <c r="CK1937" s="8">
        <v>8</v>
      </c>
      <c r="CL1937" s="8">
        <v>0</v>
      </c>
      <c r="CM1937" s="8">
        <v>1</v>
      </c>
      <c r="CN1937" s="8">
        <v>4</v>
      </c>
      <c r="CO1937" s="8">
        <v>0</v>
      </c>
      <c r="CP1937">
        <v>0</v>
      </c>
      <c r="CQ1937">
        <v>2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</row>
    <row r="1938" spans="1:103" hidden="1" outlineLevel="1">
      <c r="A1938" t="s">
        <v>519</v>
      </c>
      <c r="B1938" t="s">
        <v>193</v>
      </c>
      <c r="C1938" s="1">
        <f t="shared" si="789"/>
        <v>52527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6</v>
      </c>
      <c r="G1938" s="132">
        <f t="shared" si="804"/>
        <v>3796</v>
      </c>
      <c r="H1938" s="137">
        <f t="shared" si="805"/>
        <v>7.2267595712681099E-2</v>
      </c>
      <c r="I1938" s="2"/>
      <c r="J1938" s="2">
        <f t="shared" si="806"/>
        <v>0.42326803358272891</v>
      </c>
      <c r="K1938" s="2">
        <f t="shared" si="807"/>
        <v>0.49553562929541001</v>
      </c>
      <c r="L1938" s="2">
        <f t="shared" si="808"/>
        <v>3.2935442724693967E-3</v>
      </c>
      <c r="M1938" s="2">
        <f t="shared" si="809"/>
        <v>7.7902792849391694E-2</v>
      </c>
      <c r="N1938" s="63">
        <f t="shared" si="794"/>
        <v>22233</v>
      </c>
      <c r="O1938" s="63">
        <f t="shared" si="795"/>
        <v>26029</v>
      </c>
      <c r="P1938" s="63">
        <v>173</v>
      </c>
      <c r="Q1938" s="63">
        <f t="shared" si="796"/>
        <v>2486</v>
      </c>
      <c r="R1938" s="63">
        <v>852</v>
      </c>
      <c r="S1938" s="63">
        <v>11</v>
      </c>
      <c r="T1938" s="63">
        <v>0</v>
      </c>
      <c r="U1938" s="63">
        <v>0</v>
      </c>
      <c r="V1938" s="63">
        <v>5</v>
      </c>
      <c r="W1938" s="63">
        <f t="shared" si="801"/>
        <v>714</v>
      </c>
      <c r="X1938" s="63"/>
      <c r="Y1938" s="63">
        <v>5</v>
      </c>
      <c r="Z1938" s="63"/>
      <c r="AA1938" s="63">
        <v>0</v>
      </c>
      <c r="AB1938" s="63"/>
      <c r="AC1938" s="63"/>
      <c r="AD1938" s="63"/>
      <c r="AE1938" s="63"/>
      <c r="AF1938" s="63"/>
      <c r="AG1938" s="63">
        <v>2</v>
      </c>
      <c r="AH1938" s="63"/>
      <c r="AI1938" s="63"/>
      <c r="AJ1938" s="63"/>
      <c r="AK1938" s="63"/>
      <c r="AL1938" s="63">
        <v>12</v>
      </c>
      <c r="AM1938" s="63"/>
      <c r="AN1938" s="63">
        <v>5</v>
      </c>
      <c r="AO1938" s="63"/>
      <c r="AP1938" s="63"/>
      <c r="AQ1938" s="63"/>
      <c r="AR1938" s="63"/>
      <c r="AS1938" s="63"/>
      <c r="AT1938" s="63"/>
      <c r="AU1938" s="63"/>
      <c r="AW1938" s="5">
        <f>IF(Q1938&gt;0,RANK(Q1938,(N1938:P1938,Q1938:AE1938)),0)</f>
        <v>3</v>
      </c>
      <c r="AX1938" s="5">
        <f>IF(R1938&gt;0,RANK(R1938,(N1938:P1938,Q1938:AE1938)),0)</f>
        <v>4</v>
      </c>
      <c r="AY1938" s="5">
        <f>IF(T1938&gt;0,RANK(T1938,(N1938:P1938,Q1938:AE1938)),0)</f>
        <v>0</v>
      </c>
      <c r="AZ1938" s="5">
        <f>IF(S1938&gt;0,RANK(S1938,(N1938:P1938,Q1938:AE1938)),0)</f>
        <v>7</v>
      </c>
      <c r="BA1938" s="2">
        <f t="shared" si="797"/>
        <v>4.7328040817103588E-2</v>
      </c>
      <c r="BB1938" s="2">
        <f t="shared" si="798"/>
        <v>1.6220229596207666E-2</v>
      </c>
      <c r="BC1938" s="2">
        <f t="shared" si="799"/>
        <v>0</v>
      </c>
      <c r="BD1938" s="2">
        <f t="shared" si="800"/>
        <v>2.0941610981019284E-4</v>
      </c>
      <c r="BF1938" t="s">
        <v>519</v>
      </c>
      <c r="BG1938" t="s">
        <v>193</v>
      </c>
      <c r="BJ1938" s="114">
        <v>36</v>
      </c>
      <c r="BK1938" s="116">
        <v>69</v>
      </c>
      <c r="BL1938" s="120">
        <f t="shared" si="787"/>
        <v>36069</v>
      </c>
      <c r="BN1938" s="5" t="s">
        <v>3154</v>
      </c>
      <c r="BO1938" s="63">
        <v>415</v>
      </c>
      <c r="BP1938" s="63">
        <v>18</v>
      </c>
      <c r="BR1938" s="63"/>
      <c r="BT1938" s="63">
        <v>21062</v>
      </c>
      <c r="BU1938" s="63">
        <v>22788</v>
      </c>
      <c r="BV1938" s="63">
        <v>3241</v>
      </c>
      <c r="BW1938" s="63">
        <v>799</v>
      </c>
      <c r="BX1938" s="63">
        <v>1721</v>
      </c>
      <c r="BY1938" s="63">
        <v>372</v>
      </c>
      <c r="BZ1938" s="63">
        <v>765</v>
      </c>
      <c r="CB1938" s="63">
        <f>429+269</f>
        <v>698</v>
      </c>
      <c r="CD1938" s="63">
        <v>0</v>
      </c>
      <c r="CE1938" s="63">
        <v>0</v>
      </c>
      <c r="CF1938" s="63">
        <v>0</v>
      </c>
      <c r="CG1938" s="8">
        <v>0</v>
      </c>
      <c r="CH1938" s="8">
        <v>0</v>
      </c>
      <c r="CI1938" s="8">
        <v>6</v>
      </c>
      <c r="CJ1938" s="8">
        <v>0</v>
      </c>
      <c r="CK1938" s="8">
        <v>0</v>
      </c>
      <c r="CL1938" s="8">
        <v>0</v>
      </c>
      <c r="CM1938" s="8">
        <v>1</v>
      </c>
      <c r="CN1938" s="8">
        <v>0</v>
      </c>
      <c r="CO1938" s="8">
        <v>0</v>
      </c>
      <c r="CP1938">
        <v>0</v>
      </c>
      <c r="CQ1938">
        <v>9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hidden="1" outlineLevel="1">
      <c r="A1939" t="s">
        <v>2013</v>
      </c>
      <c r="B1939" t="s">
        <v>193</v>
      </c>
      <c r="C1939" s="1">
        <f t="shared" ref="C1939:C1969" si="810">SUM(N1939:AU1939)</f>
        <v>152021</v>
      </c>
      <c r="D1939" s="5">
        <f>IF(N1939&gt;0, RANK(N1939,(N1939:P1939,Q1939:AE1939)),0)</f>
        <v>2</v>
      </c>
      <c r="E1939" s="5">
        <f>IF(O1939&gt;0,RANK(O1939,(N1939:P1939,Q1939:AE1939)),0)</f>
        <v>1</v>
      </c>
      <c r="F1939" s="5">
        <f>IF(P1939&gt;0,RANK(P1939,(N1939:P1939,Q1939:AE1939)),0)</f>
        <v>6</v>
      </c>
      <c r="G1939" s="132">
        <f t="shared" si="804"/>
        <v>8367</v>
      </c>
      <c r="H1939" s="137">
        <f t="shared" si="805"/>
        <v>5.50384486353859E-2</v>
      </c>
      <c r="I1939" s="2"/>
      <c r="J1939" s="2">
        <f t="shared" si="806"/>
        <v>0.44913531683122726</v>
      </c>
      <c r="K1939" s="2">
        <f t="shared" si="807"/>
        <v>0.50417376546661319</v>
      </c>
      <c r="L1939" s="2">
        <f t="shared" si="808"/>
        <v>9.0119128278329968E-4</v>
      </c>
      <c r="M1939" s="2">
        <f t="shared" si="809"/>
        <v>4.5789726419376196E-2</v>
      </c>
      <c r="N1939" s="63">
        <f t="shared" ref="N1939:N1968" si="811">BT1939+BW1939+BY1939</f>
        <v>68278</v>
      </c>
      <c r="O1939" s="63">
        <f t="shared" ref="O1939:O1968" si="812">BU1939+BV1939</f>
        <v>76645</v>
      </c>
      <c r="P1939" s="63">
        <v>137</v>
      </c>
      <c r="Q1939" s="63">
        <f t="shared" ref="Q1939:Q1968" si="813">BX1939+BZ1939</f>
        <v>3867</v>
      </c>
      <c r="R1939" s="63">
        <v>2154</v>
      </c>
      <c r="S1939" s="63">
        <v>22</v>
      </c>
      <c r="T1939" s="63">
        <v>2</v>
      </c>
      <c r="U1939" s="63">
        <v>0</v>
      </c>
      <c r="V1939" s="63">
        <v>1</v>
      </c>
      <c r="W1939" s="63">
        <f t="shared" si="801"/>
        <v>901</v>
      </c>
      <c r="X1939" s="63"/>
      <c r="Y1939" s="63">
        <v>3</v>
      </c>
      <c r="Z1939" s="63"/>
      <c r="AA1939" s="63">
        <v>0</v>
      </c>
      <c r="AB1939" s="63"/>
      <c r="AC1939" s="63"/>
      <c r="AD1939" s="63"/>
      <c r="AE1939" s="63"/>
      <c r="AF1939" s="63"/>
      <c r="AG1939" s="63">
        <v>2</v>
      </c>
      <c r="AH1939" s="63"/>
      <c r="AI1939" s="63"/>
      <c r="AJ1939" s="63"/>
      <c r="AK1939" s="63"/>
      <c r="AL1939" s="63">
        <v>0</v>
      </c>
      <c r="AM1939" s="63"/>
      <c r="AN1939" s="63">
        <v>9</v>
      </c>
      <c r="AO1939" s="63"/>
      <c r="AP1939" s="63"/>
      <c r="AQ1939" s="63"/>
      <c r="AR1939" s="63"/>
      <c r="AS1939" s="63"/>
      <c r="AT1939" s="63"/>
      <c r="AU1939" s="63"/>
      <c r="AW1939" s="5">
        <f>IF(Q1939&gt;0,RANK(Q1939,(N1939:P1939,Q1939:AE1939)),0)</f>
        <v>3</v>
      </c>
      <c r="AX1939" s="5">
        <f>IF(R1939&gt;0,RANK(R1939,(N1939:P1939,Q1939:AE1939)),0)</f>
        <v>4</v>
      </c>
      <c r="AY1939" s="5">
        <f>IF(T1939&gt;0,RANK(T1939,(N1939:P1939,Q1939:AE1939)),0)</f>
        <v>9</v>
      </c>
      <c r="AZ1939" s="5">
        <f>IF(S1939&gt;0,RANK(S1939,(N1939:P1939,Q1939:AE1939)),0)</f>
        <v>7</v>
      </c>
      <c r="BA1939" s="2">
        <f t="shared" ref="BA1939:BA1963" si="814">IF($C1939=0,"-",Q1939/$C1939)</f>
        <v>2.5437275113306713E-2</v>
      </c>
      <c r="BB1939" s="2">
        <f t="shared" ref="BB1939:BB1963" si="815">IF($C1939=0,"-",R1939/$C1939)</f>
        <v>1.4169095059235238E-2</v>
      </c>
      <c r="BC1939" s="2">
        <f t="shared" ref="BC1939:BC1963" si="816">IF($C1939=0,"-",T1939/$C1939)</f>
        <v>1.3156077120924083E-5</v>
      </c>
      <c r="BD1939" s="2">
        <f t="shared" ref="BD1939:BD1963" si="817">IF($C1939=0,"-",S1939/$C1939)</f>
        <v>1.4471684833016491E-4</v>
      </c>
      <c r="BF1939" t="s">
        <v>2013</v>
      </c>
      <c r="BG1939" t="s">
        <v>193</v>
      </c>
      <c r="BH1939">
        <v>18</v>
      </c>
      <c r="BJ1939" s="114">
        <v>36</v>
      </c>
      <c r="BK1939" s="116">
        <v>71</v>
      </c>
      <c r="BL1939" s="120">
        <f t="shared" si="787"/>
        <v>36071</v>
      </c>
      <c r="BN1939" s="5" t="s">
        <v>3154</v>
      </c>
      <c r="BO1939" s="63">
        <v>4521</v>
      </c>
      <c r="BP1939" s="63">
        <v>124</v>
      </c>
      <c r="BR1939" s="63"/>
      <c r="BT1939" s="63">
        <v>65532</v>
      </c>
      <c r="BU1939" s="63">
        <v>68509</v>
      </c>
      <c r="BV1939" s="63">
        <v>8136</v>
      </c>
      <c r="BW1939" s="63">
        <v>1997</v>
      </c>
      <c r="BX1939" s="63">
        <v>2687</v>
      </c>
      <c r="BY1939" s="63">
        <v>749</v>
      </c>
      <c r="BZ1939" s="63">
        <v>1180</v>
      </c>
      <c r="CB1939" s="63">
        <v>894</v>
      </c>
      <c r="CD1939" s="63">
        <v>0</v>
      </c>
      <c r="CE1939" s="63">
        <v>0</v>
      </c>
      <c r="CF1939" s="63">
        <v>0</v>
      </c>
      <c r="CG1939" s="8">
        <v>3</v>
      </c>
      <c r="CH1939" s="8">
        <v>0</v>
      </c>
      <c r="CI1939" s="8">
        <v>1</v>
      </c>
      <c r="CJ1939" s="8">
        <v>0</v>
      </c>
      <c r="CK1939" s="8">
        <v>0</v>
      </c>
      <c r="CL1939" s="8">
        <v>0</v>
      </c>
      <c r="CM1939" s="8">
        <v>0</v>
      </c>
      <c r="CN1939" s="8">
        <v>0</v>
      </c>
      <c r="CO1939" s="8">
        <v>0</v>
      </c>
      <c r="CP1939">
        <v>0</v>
      </c>
      <c r="CQ1939">
        <v>0</v>
      </c>
      <c r="CR1939">
        <v>3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hidden="1" outlineLevel="1">
      <c r="A1940" t="s">
        <v>405</v>
      </c>
      <c r="B1940" t="s">
        <v>193</v>
      </c>
      <c r="C1940" s="1">
        <f t="shared" si="810"/>
        <v>16380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6</v>
      </c>
      <c r="G1940" s="132">
        <f t="shared" si="804"/>
        <v>6466</v>
      </c>
      <c r="H1940" s="137">
        <f t="shared" si="805"/>
        <v>0.39474969474969474</v>
      </c>
      <c r="I1940" s="2"/>
      <c r="J1940" s="2">
        <f t="shared" si="806"/>
        <v>0.27289377289377287</v>
      </c>
      <c r="K1940" s="2">
        <f t="shared" si="807"/>
        <v>0.6676434676434676</v>
      </c>
      <c r="L1940" s="2">
        <f t="shared" si="808"/>
        <v>1.4041514041514042E-3</v>
      </c>
      <c r="M1940" s="2">
        <f t="shared" si="809"/>
        <v>5.8058608058608178E-2</v>
      </c>
      <c r="N1940" s="63">
        <f t="shared" si="811"/>
        <v>4470</v>
      </c>
      <c r="O1940" s="63">
        <f t="shared" si="812"/>
        <v>10936</v>
      </c>
      <c r="P1940" s="63">
        <v>23</v>
      </c>
      <c r="Q1940" s="63">
        <f t="shared" si="813"/>
        <v>680</v>
      </c>
      <c r="R1940" s="63">
        <v>184</v>
      </c>
      <c r="S1940" s="63">
        <v>4</v>
      </c>
      <c r="T1940" s="63">
        <v>1</v>
      </c>
      <c r="U1940" s="63">
        <v>0</v>
      </c>
      <c r="V1940" s="63">
        <v>0</v>
      </c>
      <c r="W1940" s="63">
        <f t="shared" si="801"/>
        <v>80</v>
      </c>
      <c r="X1940" s="63"/>
      <c r="Y1940" s="63">
        <v>0</v>
      </c>
      <c r="Z1940" s="63"/>
      <c r="AA1940" s="63">
        <v>0</v>
      </c>
      <c r="AB1940" s="63"/>
      <c r="AC1940" s="63"/>
      <c r="AD1940" s="63"/>
      <c r="AE1940" s="63"/>
      <c r="AF1940" s="63"/>
      <c r="AG1940" s="63">
        <v>0</v>
      </c>
      <c r="AH1940" s="63"/>
      <c r="AI1940" s="63"/>
      <c r="AJ1940" s="63"/>
      <c r="AK1940" s="63"/>
      <c r="AL1940" s="63">
        <v>0</v>
      </c>
      <c r="AM1940" s="63"/>
      <c r="AN1940" s="63">
        <v>2</v>
      </c>
      <c r="AO1940" s="63"/>
      <c r="AP1940" s="63"/>
      <c r="AQ1940" s="63"/>
      <c r="AR1940" s="63"/>
      <c r="AS1940" s="63"/>
      <c r="AT1940" s="63"/>
      <c r="AU1940" s="63"/>
      <c r="AW1940" s="5">
        <f>IF(Q1940&gt;0,RANK(Q1940,(N1940:P1940,Q1940:AE1940)),0)</f>
        <v>3</v>
      </c>
      <c r="AX1940" s="5">
        <f>IF(R1940&gt;0,RANK(R1940,(N1940:P1940,Q1940:AE1940)),0)</f>
        <v>4</v>
      </c>
      <c r="AY1940" s="5">
        <f>IF(T1940&gt;0,RANK(T1940,(N1940:P1940,Q1940:AE1940)),0)</f>
        <v>8</v>
      </c>
      <c r="AZ1940" s="5">
        <f>IF(S1940&gt;0,RANK(S1940,(N1940:P1940,Q1940:AE1940)),0)</f>
        <v>7</v>
      </c>
      <c r="BA1940" s="2">
        <f t="shared" si="814"/>
        <v>4.1514041514041512E-2</v>
      </c>
      <c r="BB1940" s="2">
        <f t="shared" si="815"/>
        <v>1.1233211233211233E-2</v>
      </c>
      <c r="BC1940" s="2">
        <f t="shared" si="816"/>
        <v>6.105006105006105E-5</v>
      </c>
      <c r="BD1940" s="2">
        <f t="shared" si="817"/>
        <v>2.442002442002442E-4</v>
      </c>
      <c r="BF1940" t="s">
        <v>405</v>
      </c>
      <c r="BG1940" t="s">
        <v>193</v>
      </c>
      <c r="BH1940">
        <v>27</v>
      </c>
      <c r="BJ1940" s="114">
        <v>36</v>
      </c>
      <c r="BK1940" s="116">
        <v>73</v>
      </c>
      <c r="BL1940" s="120">
        <f t="shared" si="787"/>
        <v>36073</v>
      </c>
      <c r="BN1940" s="5" t="s">
        <v>3154</v>
      </c>
      <c r="BO1940" s="63">
        <v>182</v>
      </c>
      <c r="BP1940" s="63">
        <v>7</v>
      </c>
      <c r="BR1940" s="63"/>
      <c r="BT1940" s="63">
        <v>4239</v>
      </c>
      <c r="BU1940" s="63">
        <v>9700</v>
      </c>
      <c r="BV1940" s="63">
        <v>1236</v>
      </c>
      <c r="BW1940" s="63">
        <v>150</v>
      </c>
      <c r="BX1940" s="63">
        <v>470</v>
      </c>
      <c r="BY1940" s="63">
        <v>81</v>
      </c>
      <c r="BZ1940" s="63">
        <v>210</v>
      </c>
      <c r="CB1940" s="63">
        <v>79</v>
      </c>
      <c r="CD1940" s="63">
        <v>0</v>
      </c>
      <c r="CE1940" s="63">
        <v>0</v>
      </c>
      <c r="CF1940" s="63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1</v>
      </c>
      <c r="CO1940" s="8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hidden="1" outlineLevel="1">
      <c r="A1941" t="s">
        <v>970</v>
      </c>
      <c r="B1941" t="s">
        <v>193</v>
      </c>
      <c r="C1941" s="1">
        <f t="shared" si="810"/>
        <v>48180</v>
      </c>
      <c r="D1941" s="5">
        <f>IF(N1941&gt;0, RANK(N1941,(N1941:P1941,Q1941:AE1941)),0)</f>
        <v>2</v>
      </c>
      <c r="E1941" s="5">
        <f>IF(O1941&gt;0,RANK(O1941,(N1941:P1941,Q1941:AE1941)),0)</f>
        <v>1</v>
      </c>
      <c r="F1941" s="5">
        <f>IF(P1941&gt;0,RANK(P1941,(N1941:P1941,Q1941:AE1941)),0)</f>
        <v>6</v>
      </c>
      <c r="G1941" s="132">
        <f t="shared" si="804"/>
        <v>10593</v>
      </c>
      <c r="H1941" s="137">
        <f t="shared" si="805"/>
        <v>0.21986301369863015</v>
      </c>
      <c r="I1941" s="2"/>
      <c r="J1941" s="2">
        <f t="shared" si="806"/>
        <v>0.35481527604815277</v>
      </c>
      <c r="K1941" s="2">
        <f t="shared" si="807"/>
        <v>0.57467828974678292</v>
      </c>
      <c r="L1941" s="2">
        <f t="shared" si="808"/>
        <v>2.32461602324616E-3</v>
      </c>
      <c r="M1941" s="2">
        <f t="shared" si="809"/>
        <v>6.8181818181818149E-2</v>
      </c>
      <c r="N1941" s="63">
        <f t="shared" si="811"/>
        <v>17095</v>
      </c>
      <c r="O1941" s="63">
        <f t="shared" si="812"/>
        <v>27688</v>
      </c>
      <c r="P1941" s="63">
        <v>112</v>
      </c>
      <c r="Q1941" s="63">
        <f t="shared" si="813"/>
        <v>2137</v>
      </c>
      <c r="R1941" s="63">
        <v>705</v>
      </c>
      <c r="S1941" s="63">
        <v>21</v>
      </c>
      <c r="T1941" s="63">
        <v>0</v>
      </c>
      <c r="U1941" s="63">
        <v>1</v>
      </c>
      <c r="V1941" s="63">
        <v>3</v>
      </c>
      <c r="W1941" s="63">
        <f t="shared" si="801"/>
        <v>397</v>
      </c>
      <c r="X1941" s="63"/>
      <c r="Y1941" s="63">
        <v>2</v>
      </c>
      <c r="Z1941" s="63"/>
      <c r="AA1941" s="63">
        <v>0</v>
      </c>
      <c r="AB1941" s="63"/>
      <c r="AC1941" s="63"/>
      <c r="AD1941" s="63"/>
      <c r="AE1941" s="63"/>
      <c r="AF1941" s="63"/>
      <c r="AG1941" s="63">
        <v>1</v>
      </c>
      <c r="AH1941" s="63"/>
      <c r="AI1941" s="63"/>
      <c r="AJ1941" s="63"/>
      <c r="AK1941" s="63"/>
      <c r="AL1941" s="63">
        <v>1</v>
      </c>
      <c r="AM1941" s="63"/>
      <c r="AN1941" s="63">
        <v>17</v>
      </c>
      <c r="AO1941" s="63"/>
      <c r="AP1941" s="63"/>
      <c r="AQ1941" s="63"/>
      <c r="AR1941" s="63"/>
      <c r="AS1941" s="63"/>
      <c r="AT1941" s="63"/>
      <c r="AU1941" s="63"/>
      <c r="AW1941" s="5">
        <f>IF(Q1941&gt;0,RANK(Q1941,(N1941:P1941,Q1941:AE1941)),0)</f>
        <v>3</v>
      </c>
      <c r="AX1941" s="5">
        <f>IF(R1941&gt;0,RANK(R1941,(N1941:P1941,Q1941:AE1941)),0)</f>
        <v>4</v>
      </c>
      <c r="AY1941" s="5">
        <f>IF(T1941&gt;0,RANK(T1941,(N1941:P1941,Q1941:AE1941)),0)</f>
        <v>0</v>
      </c>
      <c r="AZ1941" s="5">
        <f>IF(S1941&gt;0,RANK(S1941,(N1941:P1941,Q1941:AE1941)),0)</f>
        <v>7</v>
      </c>
      <c r="BA1941" s="2">
        <f t="shared" si="814"/>
        <v>4.4354503943545037E-2</v>
      </c>
      <c r="BB1941" s="2">
        <f t="shared" si="815"/>
        <v>1.4632627646326276E-2</v>
      </c>
      <c r="BC1941" s="2">
        <f t="shared" si="816"/>
        <v>0</v>
      </c>
      <c r="BD1941" s="2">
        <f t="shared" si="817"/>
        <v>4.3586550435865506E-4</v>
      </c>
      <c r="BF1941" t="s">
        <v>970</v>
      </c>
      <c r="BG1941" t="s">
        <v>193</v>
      </c>
      <c r="BJ1941" s="114">
        <v>36</v>
      </c>
      <c r="BK1941" s="116">
        <v>75</v>
      </c>
      <c r="BL1941" s="120">
        <f t="shared" si="787"/>
        <v>36075</v>
      </c>
      <c r="BN1941" s="5" t="s">
        <v>3154</v>
      </c>
      <c r="BO1941" s="63">
        <v>343</v>
      </c>
      <c r="BP1941" s="63">
        <v>24</v>
      </c>
      <c r="BR1941" s="63"/>
      <c r="BT1941" s="63">
        <v>16186</v>
      </c>
      <c r="BU1941" s="63">
        <v>24794</v>
      </c>
      <c r="BV1941" s="63">
        <v>2894</v>
      </c>
      <c r="BW1941" s="63">
        <v>663</v>
      </c>
      <c r="BX1941" s="63">
        <v>1554</v>
      </c>
      <c r="BY1941" s="63">
        <v>246</v>
      </c>
      <c r="BZ1941" s="63">
        <v>583</v>
      </c>
      <c r="CB1941" s="63">
        <v>392</v>
      </c>
      <c r="CD1941" s="63">
        <v>0</v>
      </c>
      <c r="CE1941" s="63">
        <v>0</v>
      </c>
      <c r="CF1941" s="63">
        <v>0</v>
      </c>
      <c r="CG1941" s="8">
        <v>0</v>
      </c>
      <c r="CH1941" s="8">
        <v>1</v>
      </c>
      <c r="CI1941" s="8">
        <v>0</v>
      </c>
      <c r="CJ1941" s="8">
        <v>1</v>
      </c>
      <c r="CK1941" s="8">
        <v>1</v>
      </c>
      <c r="CL1941" s="8">
        <v>0</v>
      </c>
      <c r="CM1941" s="8">
        <v>0</v>
      </c>
      <c r="CN1941" s="8">
        <v>0</v>
      </c>
      <c r="CO1941" s="8">
        <v>0</v>
      </c>
      <c r="CP1941">
        <v>0</v>
      </c>
      <c r="CQ1941">
        <v>1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hidden="1" outlineLevel="1">
      <c r="A1942" t="s">
        <v>2983</v>
      </c>
      <c r="B1942" t="s">
        <v>193</v>
      </c>
      <c r="C1942" s="1">
        <f t="shared" si="810"/>
        <v>25668</v>
      </c>
      <c r="D1942" s="5">
        <f>IF(N1942&gt;0, RANK(N1942,(N1942:P1942,Q1942:AE1942)),0)</f>
        <v>2</v>
      </c>
      <c r="E1942" s="5">
        <f>IF(O1942&gt;0,RANK(O1942,(N1942:P1942,Q1942:AE1942)),0)</f>
        <v>1</v>
      </c>
      <c r="F1942" s="5">
        <f>IF(P1942&gt;0,RANK(P1942,(N1942:P1942,Q1942:AE1942)),0)</f>
        <v>6</v>
      </c>
      <c r="G1942" s="132">
        <f t="shared" si="804"/>
        <v>2857</v>
      </c>
      <c r="H1942" s="137">
        <f t="shared" si="805"/>
        <v>0.1113059061866916</v>
      </c>
      <c r="I1942" s="2"/>
      <c r="J1942" s="2">
        <f t="shared" si="806"/>
        <v>0.4071606669783388</v>
      </c>
      <c r="K1942" s="2">
        <f t="shared" si="807"/>
        <v>0.51846657316503042</v>
      </c>
      <c r="L1942" s="2">
        <f t="shared" si="808"/>
        <v>2.2596228767336763E-3</v>
      </c>
      <c r="M1942" s="2">
        <f t="shared" si="809"/>
        <v>7.2113136979897158E-2</v>
      </c>
      <c r="N1942" s="63">
        <f t="shared" si="811"/>
        <v>10451</v>
      </c>
      <c r="O1942" s="63">
        <f t="shared" si="812"/>
        <v>13308</v>
      </c>
      <c r="P1942" s="63">
        <v>58</v>
      </c>
      <c r="Q1942" s="63">
        <f t="shared" si="813"/>
        <v>1066</v>
      </c>
      <c r="R1942" s="63">
        <v>520</v>
      </c>
      <c r="S1942" s="63">
        <v>7</v>
      </c>
      <c r="T1942" s="63">
        <v>0</v>
      </c>
      <c r="U1942" s="63">
        <v>1</v>
      </c>
      <c r="V1942" s="63">
        <v>0</v>
      </c>
      <c r="W1942" s="63">
        <f t="shared" si="801"/>
        <v>253</v>
      </c>
      <c r="X1942" s="63"/>
      <c r="Y1942" s="63">
        <v>2</v>
      </c>
      <c r="Z1942" s="63"/>
      <c r="AA1942" s="63">
        <v>0</v>
      </c>
      <c r="AB1942" s="63"/>
      <c r="AC1942" s="63"/>
      <c r="AD1942" s="63"/>
      <c r="AE1942" s="63"/>
      <c r="AF1942" s="63"/>
      <c r="AG1942" s="63">
        <v>1</v>
      </c>
      <c r="AH1942" s="63"/>
      <c r="AI1942" s="63"/>
      <c r="AJ1942" s="63"/>
      <c r="AK1942" s="63"/>
      <c r="AL1942" s="63">
        <v>0</v>
      </c>
      <c r="AM1942" s="63"/>
      <c r="AN1942" s="63">
        <v>1</v>
      </c>
      <c r="AO1942" s="63"/>
      <c r="AP1942" s="63"/>
      <c r="AQ1942" s="63"/>
      <c r="AR1942" s="63"/>
      <c r="AS1942" s="63"/>
      <c r="AT1942" s="63"/>
      <c r="AU1942" s="63"/>
      <c r="AW1942" s="5">
        <f>IF(Q1942&gt;0,RANK(Q1942,(N1942:P1942,Q1942:AE1942)),0)</f>
        <v>3</v>
      </c>
      <c r="AX1942" s="5">
        <f>IF(R1942&gt;0,RANK(R1942,(N1942:P1942,Q1942:AE1942)),0)</f>
        <v>4</v>
      </c>
      <c r="AY1942" s="5">
        <f>IF(T1942&gt;0,RANK(T1942,(N1942:P1942,Q1942:AE1942)),0)</f>
        <v>0</v>
      </c>
      <c r="AZ1942" s="5">
        <f>IF(S1942&gt;0,RANK(S1942,(N1942:P1942,Q1942:AE1942)),0)</f>
        <v>7</v>
      </c>
      <c r="BA1942" s="2">
        <f t="shared" si="814"/>
        <v>4.1530310113760321E-2</v>
      </c>
      <c r="BB1942" s="2">
        <f t="shared" si="815"/>
        <v>2.025868786037089E-2</v>
      </c>
      <c r="BC1942" s="2">
        <f t="shared" si="816"/>
        <v>0</v>
      </c>
      <c r="BD1942" s="2">
        <f t="shared" si="817"/>
        <v>2.7271310581268506E-4</v>
      </c>
      <c r="BF1942" t="s">
        <v>2983</v>
      </c>
      <c r="BG1942" t="s">
        <v>193</v>
      </c>
      <c r="BH1942">
        <v>19</v>
      </c>
      <c r="BJ1942" s="114">
        <v>36</v>
      </c>
      <c r="BK1942" s="116">
        <v>77</v>
      </c>
      <c r="BL1942" s="120">
        <f t="shared" si="787"/>
        <v>36077</v>
      </c>
      <c r="BN1942" s="5" t="s">
        <v>3154</v>
      </c>
      <c r="BO1942" s="63">
        <v>221</v>
      </c>
      <c r="BP1942" s="63">
        <v>48</v>
      </c>
      <c r="BR1942" s="63"/>
      <c r="BT1942" s="63">
        <v>9809</v>
      </c>
      <c r="BU1942" s="63">
        <v>12156</v>
      </c>
      <c r="BV1942" s="63">
        <v>1152</v>
      </c>
      <c r="BW1942" s="63">
        <v>476</v>
      </c>
      <c r="BX1942" s="63">
        <v>723</v>
      </c>
      <c r="BY1942" s="63">
        <v>166</v>
      </c>
      <c r="BZ1942" s="63">
        <v>343</v>
      </c>
      <c r="CB1942" s="63">
        <v>253</v>
      </c>
      <c r="CD1942" s="63">
        <v>0</v>
      </c>
      <c r="CE1942" s="63">
        <v>0</v>
      </c>
      <c r="CF1942" s="63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hidden="1" outlineLevel="1">
      <c r="A1943" t="s">
        <v>955</v>
      </c>
      <c r="B1943" t="s">
        <v>193</v>
      </c>
      <c r="C1943" s="1">
        <f t="shared" si="810"/>
        <v>48563</v>
      </c>
      <c r="D1943" s="5">
        <f>IF(N1943&gt;0, RANK(N1943,(N1943:P1943,Q1943:AE1943)),0)</f>
        <v>2</v>
      </c>
      <c r="E1943" s="5">
        <f>IF(O1943&gt;0,RANK(O1943,(N1943:P1943,Q1943:AE1943)),0)</f>
        <v>1</v>
      </c>
      <c r="F1943" s="5">
        <f>IF(P1943&gt;0,RANK(P1943,(N1943:P1943,Q1943:AE1943)),0)</f>
        <v>6</v>
      </c>
      <c r="G1943" s="132">
        <f t="shared" si="804"/>
        <v>7658</v>
      </c>
      <c r="H1943" s="137">
        <f t="shared" si="805"/>
        <v>0.15769207009451641</v>
      </c>
      <c r="I1943" s="2"/>
      <c r="J1943" s="2">
        <f t="shared" si="806"/>
        <v>0.39878096493214998</v>
      </c>
      <c r="K1943" s="2">
        <f t="shared" si="807"/>
        <v>0.55647303502666634</v>
      </c>
      <c r="L1943" s="2">
        <f t="shared" si="808"/>
        <v>1.0707740460844677E-3</v>
      </c>
      <c r="M1943" s="2">
        <f t="shared" si="809"/>
        <v>4.3675225995099209E-2</v>
      </c>
      <c r="N1943" s="63">
        <f t="shared" si="811"/>
        <v>19366</v>
      </c>
      <c r="O1943" s="63">
        <f t="shared" si="812"/>
        <v>27024</v>
      </c>
      <c r="P1943" s="63">
        <v>52</v>
      </c>
      <c r="Q1943" s="63">
        <f t="shared" si="813"/>
        <v>1171</v>
      </c>
      <c r="R1943" s="63">
        <v>590</v>
      </c>
      <c r="S1943" s="63">
        <v>3</v>
      </c>
      <c r="T1943" s="63">
        <v>0</v>
      </c>
      <c r="U1943" s="63">
        <v>0</v>
      </c>
      <c r="V1943" s="63">
        <v>0</v>
      </c>
      <c r="W1943" s="63">
        <f t="shared" si="801"/>
        <v>355</v>
      </c>
      <c r="X1943" s="63"/>
      <c r="Y1943" s="63">
        <v>0</v>
      </c>
      <c r="Z1943" s="63"/>
      <c r="AA1943" s="63">
        <v>0</v>
      </c>
      <c r="AB1943" s="63"/>
      <c r="AC1943" s="63"/>
      <c r="AD1943" s="63"/>
      <c r="AE1943" s="63"/>
      <c r="AF1943" s="63"/>
      <c r="AG1943" s="63">
        <v>2</v>
      </c>
      <c r="AH1943" s="63"/>
      <c r="AI1943" s="63"/>
      <c r="AJ1943" s="63"/>
      <c r="AK1943" s="63"/>
      <c r="AL1943" s="63">
        <v>0</v>
      </c>
      <c r="AM1943" s="63"/>
      <c r="AN1943" s="63">
        <v>0</v>
      </c>
      <c r="AO1943" s="63"/>
      <c r="AP1943" s="63"/>
      <c r="AQ1943" s="63"/>
      <c r="AR1943" s="63"/>
      <c r="AS1943" s="63"/>
      <c r="AT1943" s="63"/>
      <c r="AU1943" s="63"/>
      <c r="AW1943" s="5">
        <f>IF(Q1943&gt;0,RANK(Q1943,(N1943:P1943,Q1943:AE1943)),0)</f>
        <v>3</v>
      </c>
      <c r="AX1943" s="5">
        <f>IF(R1943&gt;0,RANK(R1943,(N1943:P1943,Q1943:AE1943)),0)</f>
        <v>4</v>
      </c>
      <c r="AY1943" s="5">
        <f>IF(T1943&gt;0,RANK(T1943,(N1943:P1943,Q1943:AE1943)),0)</f>
        <v>0</v>
      </c>
      <c r="AZ1943" s="5">
        <f>IF(S1943&gt;0,RANK(S1943,(N1943:P1943,Q1943:AE1943)),0)</f>
        <v>7</v>
      </c>
      <c r="BA1943" s="2">
        <f t="shared" si="814"/>
        <v>2.4113007845479068E-2</v>
      </c>
      <c r="BB1943" s="2">
        <f t="shared" si="815"/>
        <v>1.2149167061342997E-2</v>
      </c>
      <c r="BC1943" s="2">
        <f t="shared" si="816"/>
        <v>0</v>
      </c>
      <c r="BD1943" s="2">
        <f t="shared" si="817"/>
        <v>6.1775425735642361E-5</v>
      </c>
      <c r="BF1943" t="s">
        <v>955</v>
      </c>
      <c r="BG1943" t="s">
        <v>193</v>
      </c>
      <c r="BH1943">
        <v>18</v>
      </c>
      <c r="BJ1943" s="114">
        <v>36</v>
      </c>
      <c r="BK1943" s="116">
        <v>79</v>
      </c>
      <c r="BL1943" s="120">
        <f t="shared" si="787"/>
        <v>36079</v>
      </c>
      <c r="BN1943" s="5" t="s">
        <v>3154</v>
      </c>
      <c r="BO1943" s="63">
        <v>302</v>
      </c>
      <c r="BP1943" s="63">
        <v>0</v>
      </c>
      <c r="BR1943" s="63"/>
      <c r="BT1943" s="63">
        <v>18324</v>
      </c>
      <c r="BU1943" s="63">
        <v>23905</v>
      </c>
      <c r="BV1943" s="63">
        <v>3119</v>
      </c>
      <c r="BW1943" s="63">
        <v>806</v>
      </c>
      <c r="BX1943" s="63">
        <v>751</v>
      </c>
      <c r="BY1943" s="63">
        <v>236</v>
      </c>
      <c r="BZ1943" s="63">
        <v>420</v>
      </c>
      <c r="CB1943" s="63">
        <v>352</v>
      </c>
      <c r="CD1943" s="63">
        <v>0</v>
      </c>
      <c r="CE1943" s="63">
        <v>0</v>
      </c>
      <c r="CF1943" s="63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0</v>
      </c>
      <c r="CN1943" s="8">
        <v>1</v>
      </c>
      <c r="CO1943" s="8">
        <v>0</v>
      </c>
      <c r="CP1943">
        <v>0</v>
      </c>
      <c r="CQ1943">
        <v>0</v>
      </c>
      <c r="CR1943">
        <v>2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hidden="1" outlineLevel="1">
      <c r="A1944" t="s">
        <v>1962</v>
      </c>
      <c r="B1944" t="s">
        <v>193</v>
      </c>
      <c r="C1944" s="1">
        <f t="shared" si="810"/>
        <v>71562</v>
      </c>
      <c r="D1944" s="5">
        <f>IF(N1944&gt;0, RANK(N1944,(N1944:P1944,Q1944:AE1944)),0)</f>
        <v>2</v>
      </c>
      <c r="E1944" s="5">
        <f>IF(O1944&gt;0,RANK(O1944,(N1944:P1944,Q1944:AE1944)),0)</f>
        <v>1</v>
      </c>
      <c r="F1944" s="5">
        <f>IF(P1944&gt;0,RANK(P1944,(N1944:P1944,Q1944:AE1944)),0)</f>
        <v>6</v>
      </c>
      <c r="G1944" s="132">
        <f t="shared" si="804"/>
        <v>1009</v>
      </c>
      <c r="H1944" s="137">
        <f t="shared" si="805"/>
        <v>1.4099661831698387E-2</v>
      </c>
      <c r="I1944" s="2"/>
      <c r="J1944" s="2">
        <f t="shared" si="806"/>
        <v>0.45718398032475338</v>
      </c>
      <c r="K1944" s="2">
        <f t="shared" si="807"/>
        <v>0.47128364215645174</v>
      </c>
      <c r="L1944" s="2">
        <f t="shared" si="808"/>
        <v>1.6628937145412369E-3</v>
      </c>
      <c r="M1944" s="2">
        <f t="shared" si="809"/>
        <v>6.9869483804253646E-2</v>
      </c>
      <c r="N1944" s="63">
        <f t="shared" si="811"/>
        <v>32717</v>
      </c>
      <c r="O1944" s="63">
        <f t="shared" si="812"/>
        <v>33726</v>
      </c>
      <c r="P1944" s="63">
        <v>119</v>
      </c>
      <c r="Q1944" s="63">
        <f t="shared" si="813"/>
        <v>2944</v>
      </c>
      <c r="R1944" s="63">
        <v>1355</v>
      </c>
      <c r="S1944" s="63">
        <v>13</v>
      </c>
      <c r="T1944" s="63">
        <v>1</v>
      </c>
      <c r="U1944" s="63">
        <v>0</v>
      </c>
      <c r="V1944" s="63">
        <v>5</v>
      </c>
      <c r="W1944" s="63">
        <f t="shared" si="801"/>
        <v>670</v>
      </c>
      <c r="X1944" s="63"/>
      <c r="Y1944" s="63">
        <v>0</v>
      </c>
      <c r="Z1944" s="63"/>
      <c r="AA1944" s="63">
        <v>0</v>
      </c>
      <c r="AB1944" s="63"/>
      <c r="AC1944" s="63"/>
      <c r="AD1944" s="63"/>
      <c r="AE1944" s="63"/>
      <c r="AF1944" s="63"/>
      <c r="AG1944" s="63">
        <v>4</v>
      </c>
      <c r="AH1944" s="63"/>
      <c r="AI1944" s="63"/>
      <c r="AJ1944" s="63"/>
      <c r="AK1944" s="63"/>
      <c r="AL1944" s="63">
        <v>4</v>
      </c>
      <c r="AM1944" s="63"/>
      <c r="AN1944" s="63">
        <v>4</v>
      </c>
      <c r="AO1944" s="63"/>
      <c r="AP1944" s="63"/>
      <c r="AQ1944" s="63"/>
      <c r="AR1944" s="63"/>
      <c r="AS1944" s="63"/>
      <c r="AT1944" s="63"/>
      <c r="AU1944" s="63"/>
      <c r="AW1944" s="5">
        <f>IF(Q1944&gt;0,RANK(Q1944,(N1944:P1944,Q1944:AE1944)),0)</f>
        <v>3</v>
      </c>
      <c r="AX1944" s="5">
        <f>IF(R1944&gt;0,RANK(R1944,(N1944:P1944,Q1944:AE1944)),0)</f>
        <v>4</v>
      </c>
      <c r="AY1944" s="5">
        <f>IF(T1944&gt;0,RANK(T1944,(N1944:P1944,Q1944:AE1944)),0)</f>
        <v>9</v>
      </c>
      <c r="AZ1944" s="5">
        <f>IF(S1944&gt;0,RANK(S1944,(N1944:P1944,Q1944:AE1944)),0)</f>
        <v>7</v>
      </c>
      <c r="BA1944" s="2">
        <f t="shared" si="814"/>
        <v>4.1139152063944549E-2</v>
      </c>
      <c r="BB1944" s="2">
        <f t="shared" si="815"/>
        <v>1.8934630110952741E-2</v>
      </c>
      <c r="BC1944" s="2">
        <f t="shared" si="816"/>
        <v>1.3973896760850731E-5</v>
      </c>
      <c r="BD1944" s="2">
        <f t="shared" si="817"/>
        <v>1.8166065789105949E-4</v>
      </c>
      <c r="BF1944" t="s">
        <v>1962</v>
      </c>
      <c r="BG1944" t="s">
        <v>193</v>
      </c>
      <c r="BJ1944" s="114">
        <v>36</v>
      </c>
      <c r="BK1944" s="116">
        <v>83</v>
      </c>
      <c r="BL1944" s="120">
        <f t="shared" si="787"/>
        <v>36083</v>
      </c>
      <c r="BN1944" s="5" t="s">
        <v>3154</v>
      </c>
      <c r="BO1944" s="63">
        <v>558</v>
      </c>
      <c r="BP1944" s="63">
        <v>15</v>
      </c>
      <c r="BR1944" s="63"/>
      <c r="BT1944" s="63">
        <v>30506</v>
      </c>
      <c r="BU1944" s="63">
        <v>28591</v>
      </c>
      <c r="BV1944" s="63">
        <v>5135</v>
      </c>
      <c r="BW1944" s="63">
        <v>1576</v>
      </c>
      <c r="BX1944" s="63">
        <v>1959</v>
      </c>
      <c r="BY1944" s="63">
        <v>635</v>
      </c>
      <c r="BZ1944" s="63">
        <v>985</v>
      </c>
      <c r="CB1944" s="63">
        <v>651</v>
      </c>
      <c r="CD1944" s="63">
        <v>0</v>
      </c>
      <c r="CE1944" s="63">
        <v>0</v>
      </c>
      <c r="CF1944" s="63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1</v>
      </c>
      <c r="CL1944" s="8">
        <v>1</v>
      </c>
      <c r="CM1944" s="8">
        <v>0</v>
      </c>
      <c r="CN1944" s="8">
        <v>0</v>
      </c>
      <c r="CO1944" s="8">
        <v>1</v>
      </c>
      <c r="CP1944">
        <v>0</v>
      </c>
      <c r="CQ1944">
        <v>11</v>
      </c>
      <c r="CR1944">
        <v>5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hidden="1" outlineLevel="1">
      <c r="A1945" t="s">
        <v>535</v>
      </c>
      <c r="B1945" t="s">
        <v>193</v>
      </c>
      <c r="C1945" s="1">
        <f t="shared" si="810"/>
        <v>135087</v>
      </c>
      <c r="D1945" s="5">
        <f>IF(N1945&gt;0, RANK(N1945,(N1945:P1945,Q1945:AE1945)),0)</f>
        <v>1</v>
      </c>
      <c r="E1945" s="5">
        <f>IF(O1945&gt;0,RANK(O1945,(N1945:P1945,Q1945:AE1945)),0)</f>
        <v>2</v>
      </c>
      <c r="F1945" s="5">
        <f>IF(P1945&gt;0,RANK(P1945,(N1945:P1945,Q1945:AE1945)),0)</f>
        <v>6</v>
      </c>
      <c r="G1945" s="132">
        <f t="shared" si="804"/>
        <v>8431</v>
      </c>
      <c r="H1945" s="137">
        <f t="shared" si="805"/>
        <v>6.2411631022970385E-2</v>
      </c>
      <c r="I1945" s="2"/>
      <c r="J1945" s="2">
        <f t="shared" si="806"/>
        <v>0.51331364231939414</v>
      </c>
      <c r="K1945" s="2">
        <f t="shared" si="807"/>
        <v>0.45090201129642377</v>
      </c>
      <c r="L1945" s="2">
        <f t="shared" si="808"/>
        <v>1.1474087069814267E-3</v>
      </c>
      <c r="M1945" s="2">
        <f t="shared" si="809"/>
        <v>3.463693767720067E-2</v>
      </c>
      <c r="N1945" s="63">
        <f t="shared" si="811"/>
        <v>69342</v>
      </c>
      <c r="O1945" s="63">
        <f t="shared" si="812"/>
        <v>60911</v>
      </c>
      <c r="P1945" s="63">
        <v>155</v>
      </c>
      <c r="Q1945" s="63">
        <f t="shared" si="813"/>
        <v>2284</v>
      </c>
      <c r="R1945" s="63">
        <v>1348</v>
      </c>
      <c r="S1945" s="63">
        <v>12</v>
      </c>
      <c r="T1945" s="63">
        <v>2</v>
      </c>
      <c r="U1945" s="63">
        <v>0</v>
      </c>
      <c r="V1945" s="63">
        <v>2</v>
      </c>
      <c r="W1945" s="63">
        <f t="shared" si="801"/>
        <v>1009</v>
      </c>
      <c r="X1945" s="63"/>
      <c r="Y1945" s="63">
        <v>0</v>
      </c>
      <c r="Z1945" s="63"/>
      <c r="AA1945" s="63">
        <v>0</v>
      </c>
      <c r="AB1945" s="63"/>
      <c r="AC1945" s="63"/>
      <c r="AD1945" s="63"/>
      <c r="AE1945" s="63"/>
      <c r="AF1945" s="63"/>
      <c r="AG1945" s="63">
        <v>0</v>
      </c>
      <c r="AH1945" s="63"/>
      <c r="AI1945" s="63"/>
      <c r="AJ1945" s="63"/>
      <c r="AK1945" s="63"/>
      <c r="AL1945" s="63">
        <v>0</v>
      </c>
      <c r="AM1945" s="63"/>
      <c r="AN1945" s="63">
        <v>22</v>
      </c>
      <c r="AO1945" s="63"/>
      <c r="AP1945" s="63"/>
      <c r="AQ1945" s="63"/>
      <c r="AR1945" s="63"/>
      <c r="AS1945" s="63"/>
      <c r="AT1945" s="63"/>
      <c r="AU1945" s="63"/>
      <c r="AW1945" s="5">
        <f>IF(Q1945&gt;0,RANK(Q1945,(N1945:P1945,Q1945:AE1945)),0)</f>
        <v>3</v>
      </c>
      <c r="AX1945" s="5">
        <f>IF(R1945&gt;0,RANK(R1945,(N1945:P1945,Q1945:AE1945)),0)</f>
        <v>4</v>
      </c>
      <c r="AY1945" s="5">
        <f>IF(T1945&gt;0,RANK(T1945,(N1945:P1945,Q1945:AE1945)),0)</f>
        <v>8</v>
      </c>
      <c r="AZ1945" s="5">
        <f>IF(S1945&gt;0,RANK(S1945,(N1945:P1945,Q1945:AE1945)),0)</f>
        <v>7</v>
      </c>
      <c r="BA1945" s="2">
        <f t="shared" si="814"/>
        <v>1.6907622495132765E-2</v>
      </c>
      <c r="BB1945" s="2">
        <f t="shared" si="815"/>
        <v>9.9787544323287954E-3</v>
      </c>
      <c r="BC1945" s="2">
        <f t="shared" si="816"/>
        <v>1.4805273638470023E-5</v>
      </c>
      <c r="BD1945" s="2">
        <f t="shared" si="817"/>
        <v>8.8831641830820144E-5</v>
      </c>
      <c r="BF1945" t="s">
        <v>535</v>
      </c>
      <c r="BG1945" t="s">
        <v>193</v>
      </c>
      <c r="BH1945">
        <v>17</v>
      </c>
      <c r="BJ1945" s="114">
        <v>36</v>
      </c>
      <c r="BK1945" s="116">
        <v>87</v>
      </c>
      <c r="BL1945" s="120">
        <f t="shared" si="787"/>
        <v>36087</v>
      </c>
      <c r="BN1945" s="5" t="s">
        <v>3154</v>
      </c>
      <c r="BO1945" s="63">
        <v>2865</v>
      </c>
      <c r="BP1945" s="63">
        <v>97</v>
      </c>
      <c r="BR1945" s="63"/>
      <c r="BT1945" s="63">
        <v>67098</v>
      </c>
      <c r="BU1945" s="63">
        <v>54873</v>
      </c>
      <c r="BV1945" s="63">
        <v>6038</v>
      </c>
      <c r="BW1945" s="63">
        <v>1640</v>
      </c>
      <c r="BX1945" s="63">
        <v>1529</v>
      </c>
      <c r="BY1945" s="63">
        <v>604</v>
      </c>
      <c r="BZ1945" s="63">
        <v>755</v>
      </c>
      <c r="CB1945" s="63">
        <v>1008</v>
      </c>
      <c r="CD1945" s="63">
        <v>0</v>
      </c>
      <c r="CE1945" s="63">
        <v>0</v>
      </c>
      <c r="CF1945" s="63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hidden="1" outlineLevel="1">
      <c r="A1946" t="s">
        <v>1141</v>
      </c>
      <c r="B1946" t="s">
        <v>193</v>
      </c>
      <c r="C1946" s="1">
        <f t="shared" si="810"/>
        <v>39158</v>
      </c>
      <c r="D1946" s="5">
        <f>IF(N1946&gt;0, RANK(N1946,(N1946:P1946,Q1946:AE1946)),0)</f>
        <v>2</v>
      </c>
      <c r="E1946" s="5">
        <f>IF(O1946&gt;0,RANK(O1946,(N1946:P1946,Q1946:AE1946)),0)</f>
        <v>1</v>
      </c>
      <c r="F1946" s="5">
        <f>IF(P1946&gt;0,RANK(P1946,(N1946:P1946,Q1946:AE1946)),0)</f>
        <v>6</v>
      </c>
      <c r="G1946" s="132">
        <f t="shared" si="804"/>
        <v>3454</v>
      </c>
      <c r="H1946" s="137">
        <f t="shared" si="805"/>
        <v>8.820675213238674E-2</v>
      </c>
      <c r="I1946" s="2"/>
      <c r="J1946" s="2">
        <f t="shared" si="806"/>
        <v>0.42106338423821443</v>
      </c>
      <c r="K1946" s="2">
        <f t="shared" si="807"/>
        <v>0.50927013637060115</v>
      </c>
      <c r="L1946" s="2">
        <f t="shared" si="808"/>
        <v>1.9408549977016191E-3</v>
      </c>
      <c r="M1946" s="2">
        <f t="shared" si="809"/>
        <v>6.77256243934828E-2</v>
      </c>
      <c r="N1946" s="63">
        <f t="shared" si="811"/>
        <v>16488</v>
      </c>
      <c r="O1946" s="63">
        <f t="shared" si="812"/>
        <v>19942</v>
      </c>
      <c r="P1946" s="63">
        <v>76</v>
      </c>
      <c r="Q1946" s="63">
        <f t="shared" si="813"/>
        <v>1445</v>
      </c>
      <c r="R1946" s="63">
        <v>807</v>
      </c>
      <c r="S1946" s="63">
        <v>3</v>
      </c>
      <c r="T1946" s="63">
        <v>0</v>
      </c>
      <c r="U1946" s="63">
        <v>0</v>
      </c>
      <c r="V1946" s="63">
        <v>0</v>
      </c>
      <c r="W1946" s="63">
        <f t="shared" si="801"/>
        <v>397</v>
      </c>
      <c r="X1946" s="63"/>
      <c r="Y1946" s="63">
        <v>0</v>
      </c>
      <c r="Z1946" s="63"/>
      <c r="AA1946" s="63">
        <v>0</v>
      </c>
      <c r="AB1946" s="63"/>
      <c r="AC1946" s="63"/>
      <c r="AD1946" s="63"/>
      <c r="AE1946" s="63"/>
      <c r="AF1946" s="63"/>
      <c r="AG1946" s="63">
        <v>0</v>
      </c>
      <c r="AH1946" s="63"/>
      <c r="AI1946" s="63"/>
      <c r="AJ1946" s="63"/>
      <c r="AK1946" s="63"/>
      <c r="AL1946" s="63">
        <v>0</v>
      </c>
      <c r="AM1946" s="63"/>
      <c r="AN1946" s="63">
        <v>0</v>
      </c>
      <c r="AO1946" s="63"/>
      <c r="AP1946" s="63"/>
      <c r="AQ1946" s="63"/>
      <c r="AR1946" s="63"/>
      <c r="AS1946" s="63"/>
      <c r="AT1946" s="63"/>
      <c r="AU1946" s="63"/>
      <c r="AW1946" s="5">
        <f>IF(Q1946&gt;0,RANK(Q1946,(N1946:P1946,Q1946:AE1946)),0)</f>
        <v>3</v>
      </c>
      <c r="AX1946" s="5">
        <f>IF(R1946&gt;0,RANK(R1946,(N1946:P1946,Q1946:AE1946)),0)</f>
        <v>4</v>
      </c>
      <c r="AY1946" s="5">
        <f>IF(T1946&gt;0,RANK(T1946,(N1946:P1946,Q1946:AE1946)),0)</f>
        <v>0</v>
      </c>
      <c r="AZ1946" s="5">
        <f>IF(S1946&gt;0,RANK(S1946,(N1946:P1946,Q1946:AE1946)),0)</f>
        <v>7</v>
      </c>
      <c r="BA1946" s="2">
        <f t="shared" si="814"/>
        <v>3.6901782522089997E-2</v>
      </c>
      <c r="BB1946" s="2">
        <f t="shared" si="815"/>
        <v>2.0608815567700087E-2</v>
      </c>
      <c r="BC1946" s="2">
        <f t="shared" si="816"/>
        <v>0</v>
      </c>
      <c r="BD1946" s="2">
        <f t="shared" si="817"/>
        <v>7.6612697277695494E-5</v>
      </c>
      <c r="BF1946" t="s">
        <v>1141</v>
      </c>
      <c r="BG1946" t="s">
        <v>193</v>
      </c>
      <c r="BH1946">
        <v>21</v>
      </c>
      <c r="BJ1946" s="114">
        <v>36</v>
      </c>
      <c r="BK1946" s="116">
        <v>89</v>
      </c>
      <c r="BL1946" s="120">
        <f t="shared" si="787"/>
        <v>36089</v>
      </c>
      <c r="BN1946" s="5" t="s">
        <v>3154</v>
      </c>
      <c r="BO1946" s="63">
        <v>474</v>
      </c>
      <c r="BP1946" s="63">
        <v>0</v>
      </c>
      <c r="BR1946" s="63"/>
      <c r="BT1946" s="63">
        <v>15749</v>
      </c>
      <c r="BU1946" s="63">
        <v>18236</v>
      </c>
      <c r="BV1946" s="63">
        <v>1706</v>
      </c>
      <c r="BW1946" s="63">
        <v>534</v>
      </c>
      <c r="BX1946" s="63">
        <v>1034</v>
      </c>
      <c r="BY1946" s="63">
        <v>205</v>
      </c>
      <c r="BZ1946" s="63">
        <v>411</v>
      </c>
      <c r="CB1946" s="63">
        <v>397</v>
      </c>
      <c r="CD1946" s="63">
        <v>0</v>
      </c>
      <c r="CE1946" s="63">
        <v>0</v>
      </c>
      <c r="CF1946" s="63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0</v>
      </c>
      <c r="CO1946" s="8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hidden="1" outlineLevel="1">
      <c r="A1947" t="s">
        <v>2598</v>
      </c>
      <c r="B1947" t="s">
        <v>193</v>
      </c>
      <c r="C1947" s="1">
        <f t="shared" si="810"/>
        <v>114094</v>
      </c>
      <c r="D1947" s="5">
        <f>IF(N1947&gt;0, RANK(N1947,(N1947:P1947,Q1947:AE1947)),0)</f>
        <v>2</v>
      </c>
      <c r="E1947" s="5">
        <f>IF(O1947&gt;0,RANK(O1947,(N1947:P1947,Q1947:AE1947)),0)</f>
        <v>1</v>
      </c>
      <c r="F1947" s="5">
        <f>IF(P1947&gt;0,RANK(P1947,(N1947:P1947,Q1947:AE1947)),0)</f>
        <v>6</v>
      </c>
      <c r="G1947" s="132">
        <f t="shared" si="804"/>
        <v>3662</v>
      </c>
      <c r="H1947" s="137">
        <f t="shared" si="805"/>
        <v>3.2096341613055898E-2</v>
      </c>
      <c r="I1947" s="2"/>
      <c r="J1947" s="2">
        <f t="shared" si="806"/>
        <v>0.44623731309271303</v>
      </c>
      <c r="K1947" s="2">
        <f t="shared" si="807"/>
        <v>0.47833365470576894</v>
      </c>
      <c r="L1947" s="2">
        <f t="shared" si="808"/>
        <v>2.8923519203463812E-3</v>
      </c>
      <c r="M1947" s="2">
        <f t="shared" si="809"/>
        <v>7.2536680281171592E-2</v>
      </c>
      <c r="N1947" s="63">
        <f t="shared" si="811"/>
        <v>50913</v>
      </c>
      <c r="O1947" s="63">
        <f t="shared" si="812"/>
        <v>54575</v>
      </c>
      <c r="P1947" s="63">
        <v>330</v>
      </c>
      <c r="Q1947" s="63">
        <f t="shared" si="813"/>
        <v>5116</v>
      </c>
      <c r="R1947" s="63">
        <v>1825</v>
      </c>
      <c r="S1947" s="63">
        <v>38</v>
      </c>
      <c r="T1947" s="63">
        <v>0</v>
      </c>
      <c r="U1947" s="63">
        <v>0</v>
      </c>
      <c r="V1947" s="63">
        <v>1</v>
      </c>
      <c r="W1947" s="63">
        <f t="shared" si="801"/>
        <v>1276</v>
      </c>
      <c r="X1947" s="63"/>
      <c r="Y1947" s="63">
        <v>1</v>
      </c>
      <c r="Z1947" s="63"/>
      <c r="AA1947" s="63">
        <v>0</v>
      </c>
      <c r="AB1947" s="63"/>
      <c r="AC1947" s="63"/>
      <c r="AD1947" s="63"/>
      <c r="AE1947" s="63"/>
      <c r="AF1947" s="63"/>
      <c r="AG1947" s="63">
        <v>5</v>
      </c>
      <c r="AH1947" s="63"/>
      <c r="AI1947" s="63"/>
      <c r="AJ1947" s="63"/>
      <c r="AK1947" s="63"/>
      <c r="AL1947" s="63">
        <v>4</v>
      </c>
      <c r="AM1947" s="63"/>
      <c r="AN1947" s="63">
        <v>10</v>
      </c>
      <c r="AO1947" s="63"/>
      <c r="AP1947" s="63"/>
      <c r="AQ1947" s="63"/>
      <c r="AR1947" s="63"/>
      <c r="AS1947" s="63"/>
      <c r="AT1947" s="63"/>
      <c r="AU1947" s="63"/>
      <c r="AW1947" s="5">
        <f>IF(Q1947&gt;0,RANK(Q1947,(N1947:P1947,Q1947:AE1947)),0)</f>
        <v>3</v>
      </c>
      <c r="AX1947" s="5">
        <f>IF(R1947&gt;0,RANK(R1947,(N1947:P1947,Q1947:AE1947)),0)</f>
        <v>4</v>
      </c>
      <c r="AY1947" s="5">
        <f>IF(T1947&gt;0,RANK(T1947,(N1947:P1947,Q1947:AE1947)),0)</f>
        <v>0</v>
      </c>
      <c r="AZ1947" s="5">
        <f>IF(S1947&gt;0,RANK(S1947,(N1947:P1947,Q1947:AE1947)),0)</f>
        <v>7</v>
      </c>
      <c r="BA1947" s="2">
        <f t="shared" si="814"/>
        <v>4.4840219468157833E-2</v>
      </c>
      <c r="BB1947" s="2">
        <f t="shared" si="815"/>
        <v>1.5995582589794381E-2</v>
      </c>
      <c r="BC1947" s="2">
        <f t="shared" si="816"/>
        <v>0</v>
      </c>
      <c r="BD1947" s="2">
        <f t="shared" si="817"/>
        <v>3.3305870597928025E-4</v>
      </c>
      <c r="BF1947" t="s">
        <v>2598</v>
      </c>
      <c r="BG1947" t="s">
        <v>193</v>
      </c>
      <c r="BJ1947" s="114">
        <v>36</v>
      </c>
      <c r="BK1947" s="116">
        <v>91</v>
      </c>
      <c r="BL1947" s="120">
        <f t="shared" si="787"/>
        <v>36091</v>
      </c>
      <c r="BN1947" s="5" t="s">
        <v>3154</v>
      </c>
      <c r="BO1947" s="63">
        <v>1024</v>
      </c>
      <c r="BP1947" s="63">
        <v>0</v>
      </c>
      <c r="BR1947" s="63"/>
      <c r="BT1947" s="63">
        <v>48503</v>
      </c>
      <c r="BU1947" s="63">
        <v>48584</v>
      </c>
      <c r="BV1947" s="63">
        <v>5991</v>
      </c>
      <c r="BW1947" s="63">
        <v>1653</v>
      </c>
      <c r="BX1947" s="63">
        <v>3354</v>
      </c>
      <c r="BY1947" s="63">
        <v>757</v>
      </c>
      <c r="BZ1947" s="63">
        <v>1762</v>
      </c>
      <c r="CB1947" s="63">
        <v>1266</v>
      </c>
      <c r="CD1947" s="63">
        <v>0</v>
      </c>
      <c r="CE1947" s="63">
        <v>0</v>
      </c>
      <c r="CF1947" s="63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0</v>
      </c>
      <c r="CN1947" s="8">
        <v>1</v>
      </c>
      <c r="CO1947" s="8">
        <v>0</v>
      </c>
      <c r="CP1947">
        <v>0</v>
      </c>
      <c r="CQ1947">
        <v>9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hidden="1" outlineLevel="1">
      <c r="A1948" t="s">
        <v>1723</v>
      </c>
      <c r="B1948" t="s">
        <v>193</v>
      </c>
      <c r="C1948" s="1">
        <f t="shared" si="810"/>
        <v>67280</v>
      </c>
      <c r="D1948" s="5">
        <f>IF(N1948&gt;0, RANK(N1948,(N1948:P1948,Q1948:AE1948)),0)</f>
        <v>1</v>
      </c>
      <c r="E1948" s="5">
        <f>IF(O1948&gt;0,RANK(O1948,(N1948:P1948,Q1948:AE1948)),0)</f>
        <v>2</v>
      </c>
      <c r="F1948" s="5">
        <f>IF(P1948&gt;0,RANK(P1948,(N1948:P1948,Q1948:AE1948)),0)</f>
        <v>6</v>
      </c>
      <c r="G1948" s="132">
        <f t="shared" si="804"/>
        <v>4794</v>
      </c>
      <c r="H1948" s="137">
        <f t="shared" si="805"/>
        <v>7.1254458977407842E-2</v>
      </c>
      <c r="I1948" s="2"/>
      <c r="J1948" s="2">
        <f t="shared" si="806"/>
        <v>0.50159036860879902</v>
      </c>
      <c r="K1948" s="2">
        <f t="shared" si="807"/>
        <v>0.43033590963139118</v>
      </c>
      <c r="L1948" s="2">
        <f t="shared" si="808"/>
        <v>1.961950059453032E-3</v>
      </c>
      <c r="M1948" s="2">
        <f t="shared" si="809"/>
        <v>6.6111771700356772E-2</v>
      </c>
      <c r="N1948" s="63">
        <f t="shared" si="811"/>
        <v>33747</v>
      </c>
      <c r="O1948" s="63">
        <f t="shared" si="812"/>
        <v>28953</v>
      </c>
      <c r="P1948" s="63">
        <v>132</v>
      </c>
      <c r="Q1948" s="63">
        <f t="shared" si="813"/>
        <v>2624</v>
      </c>
      <c r="R1948" s="63">
        <v>1127</v>
      </c>
      <c r="S1948" s="63">
        <v>17</v>
      </c>
      <c r="T1948" s="63">
        <v>0</v>
      </c>
      <c r="U1948" s="63">
        <v>0</v>
      </c>
      <c r="V1948" s="63">
        <v>0</v>
      </c>
      <c r="W1948" s="63">
        <f t="shared" si="801"/>
        <v>670</v>
      </c>
      <c r="X1948" s="63"/>
      <c r="Y1948" s="63">
        <v>4</v>
      </c>
      <c r="Z1948" s="63"/>
      <c r="AA1948" s="63">
        <v>0</v>
      </c>
      <c r="AB1948" s="63"/>
      <c r="AC1948" s="63"/>
      <c r="AD1948" s="63"/>
      <c r="AE1948" s="63"/>
      <c r="AF1948" s="63"/>
      <c r="AG1948" s="63">
        <v>1</v>
      </c>
      <c r="AH1948" s="63"/>
      <c r="AI1948" s="63"/>
      <c r="AJ1948" s="63"/>
      <c r="AK1948" s="63"/>
      <c r="AL1948" s="63">
        <v>1</v>
      </c>
      <c r="AM1948" s="63"/>
      <c r="AN1948" s="63">
        <v>4</v>
      </c>
      <c r="AO1948" s="63"/>
      <c r="AP1948" s="63"/>
      <c r="AQ1948" s="63"/>
      <c r="AR1948" s="63"/>
      <c r="AS1948" s="63"/>
      <c r="AT1948" s="63"/>
      <c r="AU1948" s="63"/>
      <c r="AW1948" s="5">
        <f>IF(Q1948&gt;0,RANK(Q1948,(N1948:P1948,Q1948:AE1948)),0)</f>
        <v>3</v>
      </c>
      <c r="AX1948" s="5">
        <f>IF(R1948&gt;0,RANK(R1948,(N1948:P1948,Q1948:AE1948)),0)</f>
        <v>4</v>
      </c>
      <c r="AY1948" s="5">
        <f>IF(T1948&gt;0,RANK(T1948,(N1948:P1948,Q1948:AE1948)),0)</f>
        <v>0</v>
      </c>
      <c r="AZ1948" s="5">
        <f>IF(S1948&gt;0,RANK(S1948,(N1948:P1948,Q1948:AE1948)),0)</f>
        <v>7</v>
      </c>
      <c r="BA1948" s="2">
        <f t="shared" si="814"/>
        <v>3.9001189060642094E-2</v>
      </c>
      <c r="BB1948" s="2">
        <f t="shared" si="815"/>
        <v>1.675089179548157E-2</v>
      </c>
      <c r="BC1948" s="2">
        <f t="shared" si="816"/>
        <v>0</v>
      </c>
      <c r="BD1948" s="2">
        <f t="shared" si="817"/>
        <v>2.526753864447087E-4</v>
      </c>
      <c r="BF1948" t="s">
        <v>1723</v>
      </c>
      <c r="BG1948" t="s">
        <v>193</v>
      </c>
      <c r="BH1948">
        <v>20</v>
      </c>
      <c r="BJ1948" s="114">
        <v>36</v>
      </c>
      <c r="BK1948" s="116">
        <v>93</v>
      </c>
      <c r="BL1948" s="120">
        <f t="shared" si="787"/>
        <v>36093</v>
      </c>
      <c r="BN1948" s="5" t="s">
        <v>3154</v>
      </c>
      <c r="BO1948" s="63">
        <v>583</v>
      </c>
      <c r="BP1948" s="63">
        <v>42</v>
      </c>
      <c r="BR1948" s="63"/>
      <c r="BT1948" s="63">
        <v>32072</v>
      </c>
      <c r="BU1948" s="63">
        <v>25203</v>
      </c>
      <c r="BV1948" s="63">
        <v>3750</v>
      </c>
      <c r="BW1948" s="63">
        <v>1165</v>
      </c>
      <c r="BX1948" s="63">
        <v>1770</v>
      </c>
      <c r="BY1948" s="63">
        <v>510</v>
      </c>
      <c r="BZ1948" s="63">
        <v>854</v>
      </c>
      <c r="CB1948" s="63">
        <v>646</v>
      </c>
      <c r="CD1948" s="63">
        <v>0</v>
      </c>
      <c r="CE1948" s="63">
        <v>0</v>
      </c>
      <c r="CF1948" s="63">
        <v>0</v>
      </c>
      <c r="CG1948" s="8">
        <v>1</v>
      </c>
      <c r="CH1948" s="8">
        <v>0</v>
      </c>
      <c r="CI1948" s="8">
        <v>2</v>
      </c>
      <c r="CJ1948" s="8">
        <v>1</v>
      </c>
      <c r="CK1948" s="8">
        <v>1</v>
      </c>
      <c r="CL1948" s="8">
        <v>0</v>
      </c>
      <c r="CM1948" s="8">
        <v>1</v>
      </c>
      <c r="CN1948" s="8">
        <v>1</v>
      </c>
      <c r="CO1948" s="8">
        <v>0</v>
      </c>
      <c r="CP1948">
        <v>0</v>
      </c>
      <c r="CQ1948">
        <v>12</v>
      </c>
      <c r="CR1948">
        <v>5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hidden="1" outlineLevel="1">
      <c r="A1949" t="s">
        <v>3201</v>
      </c>
      <c r="B1949" t="s">
        <v>193</v>
      </c>
      <c r="C1949" s="1">
        <f t="shared" si="810"/>
        <v>14050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6</v>
      </c>
      <c r="G1949" s="132">
        <f t="shared" si="804"/>
        <v>4591</v>
      </c>
      <c r="H1949" s="137">
        <f t="shared" si="805"/>
        <v>0.32676156583629895</v>
      </c>
      <c r="I1949" s="2"/>
      <c r="J1949" s="2">
        <f t="shared" si="806"/>
        <v>0.30177935943060497</v>
      </c>
      <c r="K1949" s="2">
        <f t="shared" si="807"/>
        <v>0.62854092526690386</v>
      </c>
      <c r="L1949" s="2">
        <f t="shared" si="808"/>
        <v>2.6334519572953738E-3</v>
      </c>
      <c r="M1949" s="2">
        <f t="shared" si="809"/>
        <v>6.7046263345195797E-2</v>
      </c>
      <c r="N1949" s="63">
        <f t="shared" si="811"/>
        <v>4240</v>
      </c>
      <c r="O1949" s="63">
        <f t="shared" si="812"/>
        <v>8831</v>
      </c>
      <c r="P1949" s="63">
        <v>37</v>
      </c>
      <c r="Q1949" s="63">
        <f t="shared" si="813"/>
        <v>531</v>
      </c>
      <c r="R1949" s="63">
        <v>274</v>
      </c>
      <c r="S1949" s="63">
        <v>8</v>
      </c>
      <c r="T1949" s="63">
        <v>0</v>
      </c>
      <c r="U1949" s="63">
        <v>0</v>
      </c>
      <c r="V1949" s="63">
        <v>0</v>
      </c>
      <c r="W1949" s="63">
        <f t="shared" si="801"/>
        <v>122</v>
      </c>
      <c r="X1949" s="63"/>
      <c r="Y1949" s="63">
        <v>0</v>
      </c>
      <c r="Z1949" s="63"/>
      <c r="AA1949" s="63">
        <v>0</v>
      </c>
      <c r="AB1949" s="63"/>
      <c r="AC1949" s="63"/>
      <c r="AD1949" s="63"/>
      <c r="AE1949" s="63"/>
      <c r="AF1949" s="63"/>
      <c r="AG1949" s="63">
        <v>1</v>
      </c>
      <c r="AH1949" s="63"/>
      <c r="AI1949" s="63"/>
      <c r="AJ1949" s="63"/>
      <c r="AK1949" s="63"/>
      <c r="AL1949" s="63">
        <v>0</v>
      </c>
      <c r="AM1949" s="63"/>
      <c r="AN1949" s="63">
        <v>6</v>
      </c>
      <c r="AO1949" s="63"/>
      <c r="AP1949" s="63"/>
      <c r="AQ1949" s="63"/>
      <c r="AR1949" s="63"/>
      <c r="AS1949" s="63"/>
      <c r="AT1949" s="63"/>
      <c r="AU1949" s="63"/>
      <c r="AW1949" s="5">
        <f>IF(Q1949&gt;0,RANK(Q1949,(N1949:P1949,Q1949:AE1949)),0)</f>
        <v>3</v>
      </c>
      <c r="AX1949" s="5">
        <f>IF(R1949&gt;0,RANK(R1949,(N1949:P1949,Q1949:AE1949)),0)</f>
        <v>4</v>
      </c>
      <c r="AY1949" s="5">
        <f>IF(T1949&gt;0,RANK(T1949,(N1949:P1949,Q1949:AE1949)),0)</f>
        <v>0</v>
      </c>
      <c r="AZ1949" s="5">
        <f>IF(S1949&gt;0,RANK(S1949,(N1949:P1949,Q1949:AE1949)),0)</f>
        <v>7</v>
      </c>
      <c r="BA1949" s="2">
        <f t="shared" si="814"/>
        <v>3.7793594306049824E-2</v>
      </c>
      <c r="BB1949" s="2">
        <f t="shared" si="815"/>
        <v>1.9501779359430604E-2</v>
      </c>
      <c r="BC1949" s="2">
        <f t="shared" si="816"/>
        <v>0</v>
      </c>
      <c r="BD1949" s="2">
        <f t="shared" si="817"/>
        <v>5.6939501779359428E-4</v>
      </c>
      <c r="BF1949" t="s">
        <v>3201</v>
      </c>
      <c r="BG1949" t="s">
        <v>193</v>
      </c>
      <c r="BH1949">
        <v>19</v>
      </c>
      <c r="BJ1949" s="114">
        <v>36</v>
      </c>
      <c r="BK1949" s="116">
        <v>95</v>
      </c>
      <c r="BL1949" s="120">
        <f t="shared" si="787"/>
        <v>36095</v>
      </c>
      <c r="BN1949" s="5" t="s">
        <v>3154</v>
      </c>
      <c r="BO1949" s="63">
        <v>111</v>
      </c>
      <c r="BP1949" s="63">
        <v>4</v>
      </c>
      <c r="BR1949" s="63"/>
      <c r="BT1949" s="63">
        <v>3966</v>
      </c>
      <c r="BU1949" s="63">
        <v>7705</v>
      </c>
      <c r="BV1949" s="63">
        <v>1126</v>
      </c>
      <c r="BW1949" s="63">
        <v>191</v>
      </c>
      <c r="BX1949" s="63">
        <v>382</v>
      </c>
      <c r="BY1949" s="63">
        <v>83</v>
      </c>
      <c r="BZ1949" s="63">
        <v>149</v>
      </c>
      <c r="CB1949" s="63">
        <v>118</v>
      </c>
      <c r="CD1949" s="63">
        <v>0</v>
      </c>
      <c r="CE1949" s="63">
        <v>0</v>
      </c>
      <c r="CF1949" s="63">
        <v>0</v>
      </c>
      <c r="CG1949" s="8">
        <v>4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0</v>
      </c>
      <c r="CN1949" s="8">
        <v>0</v>
      </c>
      <c r="CO1949" s="8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hidden="1" outlineLevel="1">
      <c r="A1950" t="s">
        <v>1222</v>
      </c>
      <c r="B1950" t="s">
        <v>193</v>
      </c>
      <c r="C1950" s="1">
        <f t="shared" si="810"/>
        <v>8772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6</v>
      </c>
      <c r="G1950" s="132">
        <f t="shared" si="804"/>
        <v>1959</v>
      </c>
      <c r="H1950" s="137">
        <f t="shared" si="805"/>
        <v>0.22332421340629274</v>
      </c>
      <c r="I1950" s="2"/>
      <c r="J1950" s="2">
        <f t="shared" si="806"/>
        <v>0.35237118103055176</v>
      </c>
      <c r="K1950" s="2">
        <f t="shared" si="807"/>
        <v>0.57569539443684448</v>
      </c>
      <c r="L1950" s="2">
        <f t="shared" si="808"/>
        <v>2.0519835841313269E-3</v>
      </c>
      <c r="M1950" s="2">
        <f t="shared" si="809"/>
        <v>6.9881440948472429E-2</v>
      </c>
      <c r="N1950" s="63">
        <f t="shared" si="811"/>
        <v>3091</v>
      </c>
      <c r="O1950" s="63">
        <f t="shared" si="812"/>
        <v>5050</v>
      </c>
      <c r="P1950" s="63">
        <v>18</v>
      </c>
      <c r="Q1950" s="63">
        <f t="shared" si="813"/>
        <v>309</v>
      </c>
      <c r="R1950" s="63">
        <v>216</v>
      </c>
      <c r="S1950" s="63">
        <v>3</v>
      </c>
      <c r="T1950" s="63">
        <v>0</v>
      </c>
      <c r="U1950" s="63">
        <v>0</v>
      </c>
      <c r="V1950" s="63">
        <v>0</v>
      </c>
      <c r="W1950" s="63">
        <f t="shared" si="801"/>
        <v>82</v>
      </c>
      <c r="X1950" s="63"/>
      <c r="Y1950" s="63">
        <v>0</v>
      </c>
      <c r="Z1950" s="63"/>
      <c r="AA1950" s="63">
        <v>1</v>
      </c>
      <c r="AB1950" s="63"/>
      <c r="AC1950" s="63"/>
      <c r="AD1950" s="63"/>
      <c r="AE1950" s="63"/>
      <c r="AF1950" s="63"/>
      <c r="AG1950" s="63">
        <v>2</v>
      </c>
      <c r="AH1950" s="63"/>
      <c r="AI1950" s="63"/>
      <c r="AJ1950" s="63"/>
      <c r="AK1950" s="63"/>
      <c r="AL1950" s="63">
        <v>0</v>
      </c>
      <c r="AM1950" s="63"/>
      <c r="AN1950" s="63">
        <v>0</v>
      </c>
      <c r="AO1950" s="63"/>
      <c r="AP1950" s="63"/>
      <c r="AQ1950" s="63"/>
      <c r="AR1950" s="63"/>
      <c r="AS1950" s="63"/>
      <c r="AT1950" s="63"/>
      <c r="AU1950" s="63"/>
      <c r="AW1950" s="5">
        <f>IF(Q1950&gt;0,RANK(Q1950,(N1950:P1950,Q1950:AE1950)),0)</f>
        <v>3</v>
      </c>
      <c r="AX1950" s="5">
        <f>IF(R1950&gt;0,RANK(R1950,(N1950:P1950,Q1950:AE1950)),0)</f>
        <v>4</v>
      </c>
      <c r="AY1950" s="5">
        <f>IF(T1950&gt;0,RANK(T1950,(N1950:P1950,Q1950:AE1950)),0)</f>
        <v>0</v>
      </c>
      <c r="AZ1950" s="5">
        <f>IF(S1950&gt;0,RANK(S1950,(N1950:P1950,Q1950:AE1950)),0)</f>
        <v>7</v>
      </c>
      <c r="BA1950" s="2">
        <f t="shared" si="814"/>
        <v>3.5225718194254449E-2</v>
      </c>
      <c r="BB1950" s="2">
        <f t="shared" si="815"/>
        <v>2.4623803009575923E-2</v>
      </c>
      <c r="BC1950" s="2">
        <f t="shared" si="816"/>
        <v>0</v>
      </c>
      <c r="BD1950" s="2">
        <f t="shared" si="817"/>
        <v>3.4199726402188782E-4</v>
      </c>
      <c r="BF1950" t="s">
        <v>1222</v>
      </c>
      <c r="BG1950" t="s">
        <v>193</v>
      </c>
      <c r="BH1950">
        <v>23</v>
      </c>
      <c r="BJ1950" s="114">
        <v>36</v>
      </c>
      <c r="BK1950" s="116">
        <v>97</v>
      </c>
      <c r="BL1950" s="120">
        <f t="shared" si="787"/>
        <v>36097</v>
      </c>
      <c r="BN1950" s="5" t="s">
        <v>3154</v>
      </c>
      <c r="BO1950" s="63">
        <v>59</v>
      </c>
      <c r="BP1950" s="63">
        <v>2</v>
      </c>
      <c r="BR1950" s="63"/>
      <c r="BT1950" s="63">
        <v>2817</v>
      </c>
      <c r="BU1950" s="63">
        <v>4517</v>
      </c>
      <c r="BV1950" s="63">
        <v>533</v>
      </c>
      <c r="BW1950" s="63">
        <v>205</v>
      </c>
      <c r="BX1950" s="63">
        <v>206</v>
      </c>
      <c r="BY1950" s="63">
        <v>69</v>
      </c>
      <c r="BZ1950" s="63">
        <v>103</v>
      </c>
      <c r="CB1950" s="63">
        <v>82</v>
      </c>
      <c r="CD1950" s="63">
        <v>0</v>
      </c>
      <c r="CE1950" s="63">
        <v>0</v>
      </c>
      <c r="CF1950" s="63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hidden="1" outlineLevel="1">
      <c r="A1951" t="s">
        <v>2336</v>
      </c>
      <c r="B1951" t="s">
        <v>193</v>
      </c>
      <c r="C1951" s="1">
        <f t="shared" si="810"/>
        <v>13980</v>
      </c>
      <c r="D1951" s="5">
        <f>IF(N1951&gt;0, RANK(N1951,(N1951:P1951,Q1951:AE1951)),0)</f>
        <v>2</v>
      </c>
      <c r="E1951" s="5">
        <f>IF(O1951&gt;0,RANK(O1951,(N1951:P1951,Q1951:AE1951)),0)</f>
        <v>1</v>
      </c>
      <c r="F1951" s="5">
        <f>IF(P1951&gt;0,RANK(P1951,(N1951:P1951,Q1951:AE1951)),0)</f>
        <v>6</v>
      </c>
      <c r="G1951" s="132">
        <f t="shared" si="804"/>
        <v>1539</v>
      </c>
      <c r="H1951" s="137">
        <f t="shared" si="805"/>
        <v>0.11008583690987124</v>
      </c>
      <c r="I1951" s="2"/>
      <c r="J1951" s="2">
        <f t="shared" si="806"/>
        <v>0.40751072961373391</v>
      </c>
      <c r="K1951" s="2">
        <f t="shared" si="807"/>
        <v>0.51759656652360519</v>
      </c>
      <c r="L1951" s="2">
        <f t="shared" si="808"/>
        <v>2.5035765379113019E-3</v>
      </c>
      <c r="M1951" s="2">
        <f t="shared" si="809"/>
        <v>7.2389127324749586E-2</v>
      </c>
      <c r="N1951" s="63">
        <f t="shared" si="811"/>
        <v>5697</v>
      </c>
      <c r="O1951" s="63">
        <f t="shared" si="812"/>
        <v>7236</v>
      </c>
      <c r="P1951" s="63">
        <v>35</v>
      </c>
      <c r="Q1951" s="63">
        <f t="shared" si="813"/>
        <v>638</v>
      </c>
      <c r="R1951" s="63">
        <v>259</v>
      </c>
      <c r="S1951" s="63">
        <v>3</v>
      </c>
      <c r="T1951" s="63">
        <v>0</v>
      </c>
      <c r="U1951" s="63">
        <v>0</v>
      </c>
      <c r="V1951" s="63">
        <v>0</v>
      </c>
      <c r="W1951" s="63">
        <f t="shared" si="801"/>
        <v>109</v>
      </c>
      <c r="X1951" s="63"/>
      <c r="Y1951" s="63">
        <v>0</v>
      </c>
      <c r="Z1951" s="63"/>
      <c r="AA1951" s="63">
        <v>0</v>
      </c>
      <c r="AB1951" s="63"/>
      <c r="AC1951" s="63"/>
      <c r="AD1951" s="63"/>
      <c r="AE1951" s="63"/>
      <c r="AF1951" s="63"/>
      <c r="AG1951" s="63">
        <v>0</v>
      </c>
      <c r="AH1951" s="63"/>
      <c r="AI1951" s="63"/>
      <c r="AJ1951" s="63"/>
      <c r="AK1951" s="63"/>
      <c r="AL1951" s="63">
        <v>0</v>
      </c>
      <c r="AM1951" s="63"/>
      <c r="AN1951" s="63">
        <v>3</v>
      </c>
      <c r="AO1951" s="63"/>
      <c r="AP1951" s="63"/>
      <c r="AQ1951" s="63"/>
      <c r="AR1951" s="63"/>
      <c r="AS1951" s="63"/>
      <c r="AT1951" s="63"/>
      <c r="AU1951" s="63"/>
      <c r="AW1951" s="5">
        <f>IF(Q1951&gt;0,RANK(Q1951,(N1951:P1951,Q1951:AE1951)),0)</f>
        <v>3</v>
      </c>
      <c r="AX1951" s="5">
        <f>IF(R1951&gt;0,RANK(R1951,(N1951:P1951,Q1951:AE1951)),0)</f>
        <v>4</v>
      </c>
      <c r="AY1951" s="5">
        <f>IF(T1951&gt;0,RANK(T1951,(N1951:P1951,Q1951:AE1951)),0)</f>
        <v>0</v>
      </c>
      <c r="AZ1951" s="5">
        <f>IF(S1951&gt;0,RANK(S1951,(N1951:P1951,Q1951:AE1951)),0)</f>
        <v>7</v>
      </c>
      <c r="BA1951" s="2">
        <f t="shared" si="814"/>
        <v>4.563662374821173E-2</v>
      </c>
      <c r="BB1951" s="2">
        <f t="shared" si="815"/>
        <v>1.8526466380543633E-2</v>
      </c>
      <c r="BC1951" s="2">
        <f t="shared" si="816"/>
        <v>0</v>
      </c>
      <c r="BD1951" s="2">
        <f t="shared" si="817"/>
        <v>2.1459227467811158E-4</v>
      </c>
      <c r="BF1951" t="s">
        <v>2336</v>
      </c>
      <c r="BG1951" t="s">
        <v>193</v>
      </c>
      <c r="BH1951">
        <v>23</v>
      </c>
      <c r="BJ1951" s="114">
        <v>36</v>
      </c>
      <c r="BK1951" s="116">
        <v>99</v>
      </c>
      <c r="BL1951" s="120">
        <f t="shared" si="787"/>
        <v>36099</v>
      </c>
      <c r="BN1951" s="5" t="s">
        <v>3154</v>
      </c>
      <c r="BO1951" s="63">
        <v>104</v>
      </c>
      <c r="BP1951" s="63">
        <v>6</v>
      </c>
      <c r="BR1951" s="63"/>
      <c r="BT1951" s="63">
        <v>5350</v>
      </c>
      <c r="BU1951" s="63">
        <v>6488</v>
      </c>
      <c r="BV1951" s="63">
        <v>748</v>
      </c>
      <c r="BW1951" s="63">
        <v>235</v>
      </c>
      <c r="BX1951" s="63">
        <v>464</v>
      </c>
      <c r="BY1951" s="63">
        <v>112</v>
      </c>
      <c r="BZ1951" s="63">
        <v>174</v>
      </c>
      <c r="CB1951" s="63">
        <v>109</v>
      </c>
      <c r="CD1951" s="63">
        <v>0</v>
      </c>
      <c r="CE1951" s="63">
        <v>0</v>
      </c>
      <c r="CF1951" s="63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0</v>
      </c>
      <c r="CN1951" s="8">
        <v>0</v>
      </c>
      <c r="CO1951" s="8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hidden="1" outlineLevel="1">
      <c r="A1952" t="s">
        <v>161</v>
      </c>
      <c r="B1952" t="s">
        <v>193</v>
      </c>
      <c r="C1952" s="1">
        <f t="shared" si="810"/>
        <v>42002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6</v>
      </c>
      <c r="G1952" s="132">
        <f t="shared" si="804"/>
        <v>14305</v>
      </c>
      <c r="H1952" s="137">
        <f t="shared" si="805"/>
        <v>0.34057902004666446</v>
      </c>
      <c r="I1952" s="2"/>
      <c r="J1952" s="2">
        <f t="shared" si="806"/>
        <v>0.29822389410028094</v>
      </c>
      <c r="K1952" s="2">
        <f t="shared" si="807"/>
        <v>0.63880291414694534</v>
      </c>
      <c r="L1952" s="2">
        <f t="shared" si="808"/>
        <v>2.1665634969763345E-3</v>
      </c>
      <c r="M1952" s="2">
        <f t="shared" si="809"/>
        <v>6.0806628255797385E-2</v>
      </c>
      <c r="N1952" s="63">
        <f t="shared" si="811"/>
        <v>12526</v>
      </c>
      <c r="O1952" s="63">
        <f t="shared" si="812"/>
        <v>26831</v>
      </c>
      <c r="P1952" s="63">
        <v>91</v>
      </c>
      <c r="Q1952" s="63">
        <f t="shared" si="813"/>
        <v>1666</v>
      </c>
      <c r="R1952" s="63">
        <v>585</v>
      </c>
      <c r="S1952" s="63">
        <v>6</v>
      </c>
      <c r="T1952" s="63">
        <v>0</v>
      </c>
      <c r="U1952" s="63">
        <v>0</v>
      </c>
      <c r="V1952" s="63">
        <v>0</v>
      </c>
      <c r="W1952" s="63">
        <f t="shared" si="801"/>
        <v>291</v>
      </c>
      <c r="X1952" s="63"/>
      <c r="Y1952" s="63">
        <v>1</v>
      </c>
      <c r="Z1952" s="63"/>
      <c r="AA1952" s="63">
        <v>0</v>
      </c>
      <c r="AB1952" s="63"/>
      <c r="AC1952" s="63"/>
      <c r="AD1952" s="63"/>
      <c r="AE1952" s="63"/>
      <c r="AF1952" s="63"/>
      <c r="AG1952" s="63">
        <v>1</v>
      </c>
      <c r="AH1952" s="63"/>
      <c r="AI1952" s="63"/>
      <c r="AJ1952" s="63"/>
      <c r="AK1952" s="63"/>
      <c r="AL1952" s="63">
        <v>1</v>
      </c>
      <c r="AM1952" s="63"/>
      <c r="AN1952" s="63">
        <v>3</v>
      </c>
      <c r="AO1952" s="63"/>
      <c r="AP1952" s="63"/>
      <c r="AQ1952" s="63"/>
      <c r="AR1952" s="63"/>
      <c r="AS1952" s="63"/>
      <c r="AT1952" s="63"/>
      <c r="AU1952" s="63"/>
      <c r="AW1952" s="5">
        <f>IF(Q1952&gt;0,RANK(Q1952,(N1952:P1952,Q1952:AE1952)),0)</f>
        <v>3</v>
      </c>
      <c r="AX1952" s="5">
        <f>IF(R1952&gt;0,RANK(R1952,(N1952:P1952,Q1952:AE1952)),0)</f>
        <v>4</v>
      </c>
      <c r="AY1952" s="5">
        <f>IF(T1952&gt;0,RANK(T1952,(N1952:P1952,Q1952:AE1952)),0)</f>
        <v>0</v>
      </c>
      <c r="AZ1952" s="5">
        <f>IF(S1952&gt;0,RANK(S1952,(N1952:P1952,Q1952:AE1952)),0)</f>
        <v>7</v>
      </c>
      <c r="BA1952" s="2">
        <f t="shared" si="814"/>
        <v>3.9664777867720588E-2</v>
      </c>
      <c r="BB1952" s="2">
        <f t="shared" si="815"/>
        <v>1.3927908194847865E-2</v>
      </c>
      <c r="BC1952" s="2">
        <f t="shared" si="816"/>
        <v>0</v>
      </c>
      <c r="BD1952" s="2">
        <f t="shared" si="817"/>
        <v>1.4285034045997808E-4</v>
      </c>
      <c r="BF1952" t="s">
        <v>161</v>
      </c>
      <c r="BG1952" t="s">
        <v>193</v>
      </c>
      <c r="BH1952">
        <v>23</v>
      </c>
      <c r="BJ1952" s="114">
        <v>36</v>
      </c>
      <c r="BK1952" s="116">
        <v>101</v>
      </c>
      <c r="BL1952" s="120">
        <f t="shared" si="787"/>
        <v>36101</v>
      </c>
      <c r="BN1952" s="5" t="s">
        <v>3154</v>
      </c>
      <c r="BO1952" s="63">
        <v>309</v>
      </c>
      <c r="BP1952" s="63">
        <v>23</v>
      </c>
      <c r="BR1952" s="63"/>
      <c r="BT1952" s="63">
        <v>11982</v>
      </c>
      <c r="BU1952" s="63">
        <v>24743</v>
      </c>
      <c r="BV1952" s="63">
        <v>2088</v>
      </c>
      <c r="BW1952" s="63">
        <v>389</v>
      </c>
      <c r="BX1952" s="63">
        <v>1167</v>
      </c>
      <c r="BY1952" s="63">
        <v>155</v>
      </c>
      <c r="BZ1952" s="63">
        <v>499</v>
      </c>
      <c r="CB1952" s="63">
        <v>291</v>
      </c>
      <c r="CD1952" s="63">
        <v>0</v>
      </c>
      <c r="CE1952" s="63">
        <v>0</v>
      </c>
      <c r="CF1952" s="63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hidden="1" outlineLevel="1">
      <c r="A1953" t="s">
        <v>1468</v>
      </c>
      <c r="B1953" t="s">
        <v>193</v>
      </c>
      <c r="C1953" s="1">
        <f t="shared" si="810"/>
        <v>681254</v>
      </c>
      <c r="D1953" s="5">
        <f>IF(N1953&gt;0, RANK(N1953,(N1953:P1953,Q1953:AE1953)),0)</f>
        <v>2</v>
      </c>
      <c r="E1953" s="5">
        <f>IF(O1953&gt;0,RANK(O1953,(N1953:P1953,Q1953:AE1953)),0)</f>
        <v>1</v>
      </c>
      <c r="F1953" s="5">
        <f>IF(P1953&gt;0,RANK(P1953,(N1953:P1953,Q1953:AE1953)),0)</f>
        <v>6</v>
      </c>
      <c r="G1953" s="132">
        <f t="shared" si="804"/>
        <v>46619</v>
      </c>
      <c r="H1953" s="137">
        <f t="shared" si="805"/>
        <v>6.843115783540353E-2</v>
      </c>
      <c r="I1953" s="2"/>
      <c r="J1953" s="2">
        <f t="shared" si="806"/>
        <v>0.44616398582613825</v>
      </c>
      <c r="K1953" s="2">
        <f t="shared" si="807"/>
        <v>0.5145951436615418</v>
      </c>
      <c r="L1953" s="2">
        <f t="shared" si="808"/>
        <v>7.471515763577168E-4</v>
      </c>
      <c r="M1953" s="2">
        <f t="shared" si="809"/>
        <v>3.8493718935962228E-2</v>
      </c>
      <c r="N1953" s="63">
        <f t="shared" si="811"/>
        <v>303951</v>
      </c>
      <c r="O1953" s="63">
        <f t="shared" si="812"/>
        <v>350570</v>
      </c>
      <c r="P1953" s="63">
        <v>509</v>
      </c>
      <c r="Q1953" s="63">
        <f t="shared" si="813"/>
        <v>13916</v>
      </c>
      <c r="R1953" s="63">
        <v>8099</v>
      </c>
      <c r="S1953" s="63">
        <v>74</v>
      </c>
      <c r="T1953" s="63">
        <v>2</v>
      </c>
      <c r="U1953" s="63">
        <v>3</v>
      </c>
      <c r="V1953" s="63">
        <v>5</v>
      </c>
      <c r="W1953" s="63">
        <f t="shared" si="801"/>
        <v>4103</v>
      </c>
      <c r="X1953" s="63"/>
      <c r="Y1953" s="63">
        <v>6</v>
      </c>
      <c r="Z1953" s="63"/>
      <c r="AA1953" s="63">
        <v>0</v>
      </c>
      <c r="AB1953" s="63"/>
      <c r="AC1953" s="63"/>
      <c r="AD1953" s="63"/>
      <c r="AE1953" s="63"/>
      <c r="AF1953" s="63"/>
      <c r="AG1953" s="63">
        <v>5</v>
      </c>
      <c r="AH1953" s="63"/>
      <c r="AI1953" s="63"/>
      <c r="AJ1953" s="63"/>
      <c r="AK1953" s="63"/>
      <c r="AL1953" s="63">
        <v>0</v>
      </c>
      <c r="AM1953" s="63"/>
      <c r="AN1953" s="63">
        <v>11</v>
      </c>
      <c r="AO1953" s="63"/>
      <c r="AP1953" s="63"/>
      <c r="AQ1953" s="63"/>
      <c r="AR1953" s="63"/>
      <c r="AS1953" s="63"/>
      <c r="AT1953" s="63"/>
      <c r="AU1953" s="63"/>
      <c r="AW1953" s="5">
        <f>IF(Q1953&gt;0,RANK(Q1953,(N1953:P1953,Q1953:AE1953)),0)</f>
        <v>3</v>
      </c>
      <c r="AX1953" s="5">
        <f>IF(R1953&gt;0,RANK(R1953,(N1953:P1953,Q1953:AE1953)),0)</f>
        <v>4</v>
      </c>
      <c r="AY1953" s="5">
        <f>IF(T1953&gt;0,RANK(T1953,(N1953:P1953,Q1953:AE1953)),0)</f>
        <v>11</v>
      </c>
      <c r="AZ1953" s="5">
        <f>IF(S1953&gt;0,RANK(S1953,(N1953:P1953,Q1953:AE1953)),0)</f>
        <v>7</v>
      </c>
      <c r="BA1953" s="2">
        <f t="shared" si="814"/>
        <v>2.0427036024742606E-2</v>
      </c>
      <c r="BB1953" s="2">
        <f t="shared" si="815"/>
        <v>1.1888370563695773E-2</v>
      </c>
      <c r="BC1953" s="2">
        <f t="shared" si="816"/>
        <v>2.9357625790087103E-6</v>
      </c>
      <c r="BD1953" s="2">
        <f t="shared" si="817"/>
        <v>1.0862321542332228E-4</v>
      </c>
      <c r="BF1953" t="s">
        <v>1468</v>
      </c>
      <c r="BG1953" t="s">
        <v>193</v>
      </c>
      <c r="BJ1953" s="114">
        <v>36</v>
      </c>
      <c r="BK1953" s="116">
        <v>103</v>
      </c>
      <c r="BL1953" s="120">
        <f t="shared" si="787"/>
        <v>36103</v>
      </c>
      <c r="BN1953" s="5" t="s">
        <v>3154</v>
      </c>
      <c r="BO1953" s="63">
        <v>5028</v>
      </c>
      <c r="BP1953" s="63">
        <v>208</v>
      </c>
      <c r="BR1953" s="63"/>
      <c r="BT1953" s="63">
        <v>292720</v>
      </c>
      <c r="BU1953" s="63">
        <v>314639</v>
      </c>
      <c r="BV1953" s="63">
        <v>35931</v>
      </c>
      <c r="BW1953" s="63">
        <v>8001</v>
      </c>
      <c r="BX1953" s="63">
        <v>9169</v>
      </c>
      <c r="BY1953" s="63">
        <v>3230</v>
      </c>
      <c r="BZ1953" s="63">
        <v>4747</v>
      </c>
      <c r="CB1953" s="63">
        <v>4087</v>
      </c>
      <c r="CD1953" s="63">
        <v>0</v>
      </c>
      <c r="CE1953" s="63">
        <v>0</v>
      </c>
      <c r="CF1953" s="63">
        <v>0</v>
      </c>
      <c r="CG1953" s="8">
        <v>1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6</v>
      </c>
      <c r="CN1953" s="8">
        <v>2</v>
      </c>
      <c r="CO1953" s="8">
        <v>0</v>
      </c>
      <c r="CP1953">
        <v>0</v>
      </c>
      <c r="CQ1953">
        <v>0</v>
      </c>
      <c r="CR1953">
        <v>7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hidden="1" outlineLevel="1">
      <c r="A1954" t="s">
        <v>1040</v>
      </c>
      <c r="B1954" t="s">
        <v>193</v>
      </c>
      <c r="C1954" s="1">
        <f t="shared" si="810"/>
        <v>29955</v>
      </c>
      <c r="D1954" s="5">
        <f>IF(N1954&gt;0, RANK(N1954,(N1954:P1954,Q1954:AE1954)),0)</f>
        <v>2</v>
      </c>
      <c r="E1954" s="5">
        <f>IF(O1954&gt;0,RANK(O1954,(N1954:P1954,Q1954:AE1954)),0)</f>
        <v>1</v>
      </c>
      <c r="F1954" s="5">
        <f>IF(P1954&gt;0,RANK(P1954,(N1954:P1954,Q1954:AE1954)),0)</f>
        <v>6</v>
      </c>
      <c r="G1954" s="132">
        <f t="shared" si="804"/>
        <v>3363</v>
      </c>
      <c r="H1954" s="137">
        <f t="shared" si="805"/>
        <v>0.11226840260390586</v>
      </c>
      <c r="I1954" s="2"/>
      <c r="J1954" s="2">
        <f t="shared" si="806"/>
        <v>0.41956267734935737</v>
      </c>
      <c r="K1954" s="2">
        <f t="shared" si="807"/>
        <v>0.53183107995326317</v>
      </c>
      <c r="L1954" s="2">
        <f t="shared" si="808"/>
        <v>6.0090135202804206E-4</v>
      </c>
      <c r="M1954" s="2">
        <f t="shared" si="809"/>
        <v>4.8005341345351414E-2</v>
      </c>
      <c r="N1954" s="63">
        <f t="shared" si="811"/>
        <v>12568</v>
      </c>
      <c r="O1954" s="63">
        <f t="shared" si="812"/>
        <v>15931</v>
      </c>
      <c r="P1954" s="63">
        <v>18</v>
      </c>
      <c r="Q1954" s="63">
        <f t="shared" si="813"/>
        <v>734</v>
      </c>
      <c r="R1954" s="63">
        <v>504</v>
      </c>
      <c r="S1954" s="63">
        <v>4</v>
      </c>
      <c r="T1954" s="63">
        <v>0</v>
      </c>
      <c r="U1954" s="63">
        <v>0</v>
      </c>
      <c r="V1954" s="63">
        <v>0</v>
      </c>
      <c r="W1954" s="63">
        <f t="shared" si="801"/>
        <v>194</v>
      </c>
      <c r="X1954" s="63"/>
      <c r="Y1954" s="63">
        <v>0</v>
      </c>
      <c r="Z1954" s="63"/>
      <c r="AA1954" s="63">
        <v>0</v>
      </c>
      <c r="AB1954" s="63"/>
      <c r="AC1954" s="63"/>
      <c r="AD1954" s="63"/>
      <c r="AE1954" s="63"/>
      <c r="AF1954" s="63"/>
      <c r="AG1954" s="63">
        <v>1</v>
      </c>
      <c r="AH1954" s="63"/>
      <c r="AI1954" s="63"/>
      <c r="AJ1954" s="63"/>
      <c r="AK1954" s="63"/>
      <c r="AL1954" s="63">
        <v>0</v>
      </c>
      <c r="AM1954" s="63"/>
      <c r="AN1954" s="63">
        <v>1</v>
      </c>
      <c r="AO1954" s="63"/>
      <c r="AP1954" s="63"/>
      <c r="AQ1954" s="63"/>
      <c r="AR1954" s="63"/>
      <c r="AS1954" s="63"/>
      <c r="AT1954" s="63"/>
      <c r="AU1954" s="63"/>
      <c r="AW1954" s="5">
        <f>IF(Q1954&gt;0,RANK(Q1954,(N1954:P1954,Q1954:AE1954)),0)</f>
        <v>3</v>
      </c>
      <c r="AX1954" s="5">
        <f>IF(R1954&gt;0,RANK(R1954,(N1954:P1954,Q1954:AE1954)),0)</f>
        <v>4</v>
      </c>
      <c r="AY1954" s="5">
        <f>IF(T1954&gt;0,RANK(T1954,(N1954:P1954,Q1954:AE1954)),0)</f>
        <v>0</v>
      </c>
      <c r="AZ1954" s="5">
        <f>IF(S1954&gt;0,RANK(S1954,(N1954:P1954,Q1954:AE1954)),0)</f>
        <v>7</v>
      </c>
      <c r="BA1954" s="2">
        <f t="shared" si="814"/>
        <v>2.4503421799365717E-2</v>
      </c>
      <c r="BB1954" s="2">
        <f t="shared" si="815"/>
        <v>1.6825237856785177E-2</v>
      </c>
      <c r="BC1954" s="2">
        <f t="shared" si="816"/>
        <v>0</v>
      </c>
      <c r="BD1954" s="2">
        <f t="shared" si="817"/>
        <v>1.3353363378400935E-4</v>
      </c>
      <c r="BF1954" t="s">
        <v>1040</v>
      </c>
      <c r="BG1954" t="s">
        <v>193</v>
      </c>
      <c r="BH1954">
        <v>19</v>
      </c>
      <c r="BJ1954" s="114">
        <v>36</v>
      </c>
      <c r="BK1954" s="116">
        <v>105</v>
      </c>
      <c r="BL1954" s="120">
        <f t="shared" si="787"/>
        <v>36105</v>
      </c>
      <c r="BN1954" s="5" t="s">
        <v>3154</v>
      </c>
      <c r="BO1954" s="63">
        <v>502</v>
      </c>
      <c r="BP1954" s="63">
        <v>27</v>
      </c>
      <c r="BR1954" s="63"/>
      <c r="BT1954" s="63">
        <v>11913</v>
      </c>
      <c r="BU1954" s="63">
        <v>13929</v>
      </c>
      <c r="BV1954" s="63">
        <v>2002</v>
      </c>
      <c r="BW1954" s="63">
        <v>498</v>
      </c>
      <c r="BX1954" s="63">
        <v>538</v>
      </c>
      <c r="BY1954" s="63">
        <v>157</v>
      </c>
      <c r="BZ1954" s="63">
        <v>196</v>
      </c>
      <c r="CB1954" s="63">
        <v>194</v>
      </c>
      <c r="CD1954" s="63">
        <v>0</v>
      </c>
      <c r="CE1954" s="63">
        <v>0</v>
      </c>
      <c r="CF1954" s="63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0</v>
      </c>
      <c r="CN1954" s="8">
        <v>0</v>
      </c>
      <c r="CO1954" s="8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hidden="1" outlineLevel="1">
      <c r="A1955" t="s">
        <v>2344</v>
      </c>
      <c r="B1955" t="s">
        <v>193</v>
      </c>
      <c r="C1955" s="1">
        <f t="shared" si="810"/>
        <v>22299</v>
      </c>
      <c r="D1955" s="5">
        <f>IF(N1955&gt;0, RANK(N1955,(N1955:P1955,Q1955:AE1955)),0)</f>
        <v>2</v>
      </c>
      <c r="E1955" s="5">
        <f>IF(O1955&gt;0,RANK(O1955,(N1955:P1955,Q1955:AE1955)),0)</f>
        <v>1</v>
      </c>
      <c r="F1955" s="5">
        <f>IF(P1955&gt;0,RANK(P1955,(N1955:P1955,Q1955:AE1955)),0)</f>
        <v>6</v>
      </c>
      <c r="G1955" s="132">
        <f t="shared" si="804"/>
        <v>5734</v>
      </c>
      <c r="H1955" s="137">
        <f t="shared" si="805"/>
        <v>0.25714157585541952</v>
      </c>
      <c r="I1955" s="2"/>
      <c r="J1955" s="2">
        <f t="shared" si="806"/>
        <v>0.33750392394277773</v>
      </c>
      <c r="K1955" s="2">
        <f t="shared" si="807"/>
        <v>0.59464549979819725</v>
      </c>
      <c r="L1955" s="2">
        <f t="shared" si="808"/>
        <v>2.2422530158303063E-3</v>
      </c>
      <c r="M1955" s="2">
        <f t="shared" si="809"/>
        <v>6.5608323243194711E-2</v>
      </c>
      <c r="N1955" s="63">
        <f t="shared" si="811"/>
        <v>7526</v>
      </c>
      <c r="O1955" s="63">
        <f t="shared" si="812"/>
        <v>13260</v>
      </c>
      <c r="P1955" s="63">
        <v>50</v>
      </c>
      <c r="Q1955" s="63">
        <f t="shared" si="813"/>
        <v>930</v>
      </c>
      <c r="R1955" s="63">
        <v>337</v>
      </c>
      <c r="S1955" s="63">
        <v>3</v>
      </c>
      <c r="T1955" s="63">
        <v>0</v>
      </c>
      <c r="U1955" s="63">
        <v>0</v>
      </c>
      <c r="V1955" s="63">
        <v>1</v>
      </c>
      <c r="W1955" s="63">
        <f t="shared" si="801"/>
        <v>192</v>
      </c>
      <c r="X1955" s="63"/>
      <c r="Y1955" s="63">
        <v>0</v>
      </c>
      <c r="Z1955" s="63"/>
      <c r="AA1955" s="63">
        <v>0</v>
      </c>
      <c r="AB1955" s="63"/>
      <c r="AC1955" s="63"/>
      <c r="AD1955" s="63"/>
      <c r="AE1955" s="63"/>
      <c r="AF1955" s="63"/>
      <c r="AG1955" s="63">
        <v>0</v>
      </c>
      <c r="AH1955" s="63"/>
      <c r="AI1955" s="63"/>
      <c r="AJ1955" s="63"/>
      <c r="AK1955" s="63"/>
      <c r="AL1955" s="63">
        <v>0</v>
      </c>
      <c r="AM1955" s="63"/>
      <c r="AN1955" s="63">
        <v>0</v>
      </c>
      <c r="AO1955" s="63"/>
      <c r="AP1955" s="63"/>
      <c r="AQ1955" s="63"/>
      <c r="AR1955" s="63"/>
      <c r="AS1955" s="63"/>
      <c r="AT1955" s="63"/>
      <c r="AU1955" s="63"/>
      <c r="AW1955" s="5">
        <f>IF(Q1955&gt;0,RANK(Q1955,(N1955:P1955,Q1955:AE1955)),0)</f>
        <v>3</v>
      </c>
      <c r="AX1955" s="5">
        <f>IF(R1955&gt;0,RANK(R1955,(N1955:P1955,Q1955:AE1955)),0)</f>
        <v>4</v>
      </c>
      <c r="AY1955" s="5">
        <f>IF(T1955&gt;0,RANK(T1955,(N1955:P1955,Q1955:AE1955)),0)</f>
        <v>0</v>
      </c>
      <c r="AZ1955" s="5">
        <f>IF(S1955&gt;0,RANK(S1955,(N1955:P1955,Q1955:AE1955)),0)</f>
        <v>7</v>
      </c>
      <c r="BA1955" s="2">
        <f t="shared" si="814"/>
        <v>4.1705906094443697E-2</v>
      </c>
      <c r="BB1955" s="2">
        <f t="shared" si="815"/>
        <v>1.5112785326696264E-2</v>
      </c>
      <c r="BC1955" s="2">
        <f t="shared" si="816"/>
        <v>0</v>
      </c>
      <c r="BD1955" s="2">
        <f t="shared" si="817"/>
        <v>1.3453518094981839E-4</v>
      </c>
      <c r="BF1955" t="s">
        <v>2344</v>
      </c>
      <c r="BG1955" t="s">
        <v>193</v>
      </c>
      <c r="BJ1955" s="114">
        <v>36</v>
      </c>
      <c r="BK1955" s="116">
        <v>107</v>
      </c>
      <c r="BL1955" s="120">
        <f t="shared" si="787"/>
        <v>36107</v>
      </c>
      <c r="BN1955" s="5" t="s">
        <v>3154</v>
      </c>
      <c r="BO1955" s="63">
        <v>247</v>
      </c>
      <c r="BP1955" s="63">
        <v>9</v>
      </c>
      <c r="BR1955" s="63"/>
      <c r="BT1955" s="63">
        <v>7123</v>
      </c>
      <c r="BU1955" s="63">
        <v>12206</v>
      </c>
      <c r="BV1955" s="63">
        <v>1054</v>
      </c>
      <c r="BW1955" s="63">
        <v>299</v>
      </c>
      <c r="BX1955" s="63">
        <v>623</v>
      </c>
      <c r="BY1955" s="63">
        <v>104</v>
      </c>
      <c r="BZ1955" s="63">
        <v>307</v>
      </c>
      <c r="CB1955" s="63">
        <v>192</v>
      </c>
      <c r="CD1955" s="63">
        <v>0</v>
      </c>
      <c r="CE1955" s="63">
        <v>0</v>
      </c>
      <c r="CF1955" s="63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0</v>
      </c>
      <c r="CN1955" s="8">
        <v>0</v>
      </c>
      <c r="CO1955" s="8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hidden="1" outlineLevel="1">
      <c r="A1956" t="s">
        <v>2810</v>
      </c>
      <c r="B1956" t="s">
        <v>193</v>
      </c>
      <c r="C1956" s="1">
        <f t="shared" si="810"/>
        <v>42678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6</v>
      </c>
      <c r="G1956" s="132">
        <f t="shared" si="804"/>
        <v>18519</v>
      </c>
      <c r="H1956" s="137">
        <f t="shared" si="805"/>
        <v>0.43392380149022913</v>
      </c>
      <c r="I1956" s="2"/>
      <c r="J1956" s="2">
        <f t="shared" si="806"/>
        <v>0.67692956558414175</v>
      </c>
      <c r="K1956" s="2">
        <f t="shared" si="807"/>
        <v>0.24300576409391256</v>
      </c>
      <c r="L1956" s="2">
        <f t="shared" si="808"/>
        <v>3.2803786494212473E-3</v>
      </c>
      <c r="M1956" s="2">
        <f t="shared" si="809"/>
        <v>7.6784291672524443E-2</v>
      </c>
      <c r="N1956" s="63">
        <f t="shared" si="811"/>
        <v>28890</v>
      </c>
      <c r="O1956" s="63">
        <f t="shared" si="812"/>
        <v>10371</v>
      </c>
      <c r="P1956" s="63">
        <v>140</v>
      </c>
      <c r="Q1956" s="63">
        <f t="shared" si="813"/>
        <v>1393</v>
      </c>
      <c r="R1956" s="63">
        <v>1380</v>
      </c>
      <c r="S1956" s="63">
        <v>8</v>
      </c>
      <c r="T1956" s="63">
        <v>2</v>
      </c>
      <c r="U1956" s="63">
        <v>0</v>
      </c>
      <c r="V1956" s="63">
        <v>3</v>
      </c>
      <c r="W1956" s="63">
        <f t="shared" si="801"/>
        <v>485</v>
      </c>
      <c r="X1956" s="63"/>
      <c r="Y1956" s="63">
        <v>1</v>
      </c>
      <c r="Z1956" s="63"/>
      <c r="AA1956" s="63">
        <v>1</v>
      </c>
      <c r="AB1956" s="63"/>
      <c r="AC1956" s="63"/>
      <c r="AD1956" s="63"/>
      <c r="AE1956" s="63"/>
      <c r="AF1956" s="63"/>
      <c r="AG1956" s="63">
        <v>1</v>
      </c>
      <c r="AH1956" s="63"/>
      <c r="AI1956" s="63"/>
      <c r="AJ1956" s="63"/>
      <c r="AK1956" s="63"/>
      <c r="AL1956" s="63">
        <v>0</v>
      </c>
      <c r="AM1956" s="63"/>
      <c r="AN1956" s="63">
        <v>3</v>
      </c>
      <c r="AO1956" s="63"/>
      <c r="AP1956" s="63"/>
      <c r="AQ1956" s="63"/>
      <c r="AR1956" s="63"/>
      <c r="AS1956" s="63"/>
      <c r="AT1956" s="63"/>
      <c r="AU1956" s="63"/>
      <c r="AW1956" s="5">
        <f>IF(Q1956&gt;0,RANK(Q1956,(N1956:P1956,Q1956:AE1956)),0)</f>
        <v>3</v>
      </c>
      <c r="AX1956" s="5">
        <f>IF(R1956&gt;0,RANK(R1956,(N1956:P1956,Q1956:AE1956)),0)</f>
        <v>4</v>
      </c>
      <c r="AY1956" s="5">
        <f>IF(T1956&gt;0,RANK(T1956,(N1956:P1956,Q1956:AE1956)),0)</f>
        <v>9</v>
      </c>
      <c r="AZ1956" s="5">
        <f>IF(S1956&gt;0,RANK(S1956,(N1956:P1956,Q1956:AE1956)),0)</f>
        <v>7</v>
      </c>
      <c r="BA1956" s="2">
        <f t="shared" si="814"/>
        <v>3.263976756174141E-2</v>
      </c>
      <c r="BB1956" s="2">
        <f t="shared" si="815"/>
        <v>3.2335160972866581E-2</v>
      </c>
      <c r="BC1956" s="2">
        <f t="shared" si="816"/>
        <v>4.6862552134589249E-5</v>
      </c>
      <c r="BD1956" s="2">
        <f t="shared" si="817"/>
        <v>1.87450208538357E-4</v>
      </c>
      <c r="BF1956" t="s">
        <v>2810</v>
      </c>
      <c r="BG1956" t="s">
        <v>193</v>
      </c>
      <c r="BH1956">
        <v>23</v>
      </c>
      <c r="BJ1956" s="114">
        <v>36</v>
      </c>
      <c r="BK1956" s="116">
        <v>109</v>
      </c>
      <c r="BL1956" s="120">
        <f t="shared" si="787"/>
        <v>36109</v>
      </c>
      <c r="BN1956" s="5" t="s">
        <v>3154</v>
      </c>
      <c r="BO1956" s="63">
        <v>338</v>
      </c>
      <c r="BP1956" s="63">
        <v>23</v>
      </c>
      <c r="BR1956" s="63"/>
      <c r="BT1956" s="63">
        <v>26093</v>
      </c>
      <c r="BU1956" s="63">
        <v>9370</v>
      </c>
      <c r="BV1956" s="63">
        <v>1001</v>
      </c>
      <c r="BW1956" s="63">
        <v>2358</v>
      </c>
      <c r="BX1956" s="63">
        <v>855</v>
      </c>
      <c r="BY1956" s="63">
        <v>439</v>
      </c>
      <c r="BZ1956" s="63">
        <v>538</v>
      </c>
      <c r="CB1956" s="63">
        <v>479</v>
      </c>
      <c r="CD1956" s="63">
        <v>0</v>
      </c>
      <c r="CE1956" s="63">
        <v>0</v>
      </c>
      <c r="CF1956" s="63">
        <v>0</v>
      </c>
      <c r="CG1956" s="8">
        <v>1</v>
      </c>
      <c r="CH1956" s="8">
        <v>0</v>
      </c>
      <c r="CI1956" s="8">
        <v>0</v>
      </c>
      <c r="CJ1956" s="8">
        <v>0</v>
      </c>
      <c r="CK1956" s="8">
        <v>1</v>
      </c>
      <c r="CL1956" s="8">
        <v>0</v>
      </c>
      <c r="CM1956" s="8">
        <v>2</v>
      </c>
      <c r="CN1956" s="8">
        <v>0</v>
      </c>
      <c r="CO1956" s="8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2</v>
      </c>
      <c r="CV1956">
        <v>0</v>
      </c>
      <c r="CW1956">
        <v>0</v>
      </c>
      <c r="CX1956">
        <v>0</v>
      </c>
      <c r="CY1956">
        <v>0</v>
      </c>
    </row>
    <row r="1957" spans="1:103" hidden="1" outlineLevel="1">
      <c r="A1957" t="s">
        <v>1325</v>
      </c>
      <c r="B1957" t="s">
        <v>193</v>
      </c>
      <c r="C1957" s="1">
        <f t="shared" si="810"/>
        <v>85290</v>
      </c>
      <c r="D1957" s="5">
        <f>IF(N1957&gt;0, RANK(N1957,(N1957:P1957,Q1957:AE1957)),0)</f>
        <v>1</v>
      </c>
      <c r="E1957" s="5">
        <f>IF(O1957&gt;0,RANK(O1957,(N1957:P1957,Q1957:AE1957)),0)</f>
        <v>2</v>
      </c>
      <c r="F1957" s="5">
        <f>IF(P1957&gt;0,RANK(P1957,(N1957:P1957,Q1957:AE1957)),0)</f>
        <v>6</v>
      </c>
      <c r="G1957" s="132">
        <f t="shared" si="804"/>
        <v>9358</v>
      </c>
      <c r="H1957" s="137">
        <f t="shared" si="805"/>
        <v>0.10971977957556572</v>
      </c>
      <c r="I1957" s="2"/>
      <c r="J1957" s="2">
        <f t="shared" si="806"/>
        <v>0.52288662211279169</v>
      </c>
      <c r="K1957" s="2">
        <f t="shared" si="807"/>
        <v>0.41316684253722591</v>
      </c>
      <c r="L1957" s="2">
        <f t="shared" si="808"/>
        <v>1.3131668425372259E-3</v>
      </c>
      <c r="M1957" s="2">
        <f t="shared" si="809"/>
        <v>6.2633368507445178E-2</v>
      </c>
      <c r="N1957" s="63">
        <f t="shared" si="811"/>
        <v>44597</v>
      </c>
      <c r="O1957" s="63">
        <f t="shared" si="812"/>
        <v>35239</v>
      </c>
      <c r="P1957" s="63">
        <v>112</v>
      </c>
      <c r="Q1957" s="63">
        <f t="shared" si="813"/>
        <v>2392</v>
      </c>
      <c r="R1957" s="63">
        <v>2147</v>
      </c>
      <c r="S1957" s="63">
        <v>22</v>
      </c>
      <c r="T1957" s="63">
        <v>0</v>
      </c>
      <c r="U1957" s="63">
        <v>2</v>
      </c>
      <c r="V1957" s="63">
        <v>1</v>
      </c>
      <c r="W1957" s="63">
        <f t="shared" si="801"/>
        <v>768</v>
      </c>
      <c r="X1957" s="63"/>
      <c r="Y1957" s="63">
        <v>0</v>
      </c>
      <c r="Z1957" s="63"/>
      <c r="AA1957" s="63">
        <v>0</v>
      </c>
      <c r="AB1957" s="63"/>
      <c r="AC1957" s="63"/>
      <c r="AD1957" s="63"/>
      <c r="AE1957" s="63"/>
      <c r="AF1957" s="63"/>
      <c r="AG1957" s="63">
        <v>4</v>
      </c>
      <c r="AH1957" s="63"/>
      <c r="AI1957" s="63"/>
      <c r="AJ1957" s="63"/>
      <c r="AK1957" s="63"/>
      <c r="AL1957" s="63">
        <v>0</v>
      </c>
      <c r="AM1957" s="63"/>
      <c r="AN1957" s="63">
        <v>6</v>
      </c>
      <c r="AO1957" s="63"/>
      <c r="AP1957" s="63"/>
      <c r="AQ1957" s="63"/>
      <c r="AR1957" s="63"/>
      <c r="AS1957" s="63"/>
      <c r="AT1957" s="63"/>
      <c r="AU1957" s="63"/>
      <c r="AW1957" s="5">
        <f>IF(Q1957&gt;0,RANK(Q1957,(N1957:P1957,Q1957:AE1957)),0)</f>
        <v>3</v>
      </c>
      <c r="AX1957" s="5">
        <f>IF(R1957&gt;0,RANK(R1957,(N1957:P1957,Q1957:AE1957)),0)</f>
        <v>4</v>
      </c>
      <c r="AY1957" s="5">
        <f>IF(T1957&gt;0,RANK(T1957,(N1957:P1957,Q1957:AE1957)),0)</f>
        <v>0</v>
      </c>
      <c r="AZ1957" s="5">
        <f>IF(S1957&gt;0,RANK(S1957,(N1957:P1957,Q1957:AE1957)),0)</f>
        <v>7</v>
      </c>
      <c r="BA1957" s="2">
        <f t="shared" si="814"/>
        <v>2.8045491851330755E-2</v>
      </c>
      <c r="BB1957" s="2">
        <f t="shared" si="815"/>
        <v>2.5172939383280572E-2</v>
      </c>
      <c r="BC1957" s="2">
        <f t="shared" si="816"/>
        <v>0</v>
      </c>
      <c r="BD1957" s="2">
        <f t="shared" si="817"/>
        <v>2.5794348692695509E-4</v>
      </c>
      <c r="BF1957" t="s">
        <v>1325</v>
      </c>
      <c r="BG1957" t="s">
        <v>193</v>
      </c>
      <c r="BH1957">
        <v>19</v>
      </c>
      <c r="BJ1957" s="114">
        <v>36</v>
      </c>
      <c r="BK1957" s="116">
        <v>111</v>
      </c>
      <c r="BL1957" s="120">
        <f t="shared" si="787"/>
        <v>36111</v>
      </c>
      <c r="BN1957" s="5" t="s">
        <v>3154</v>
      </c>
      <c r="BO1957" s="63">
        <v>889</v>
      </c>
      <c r="BP1957" s="63">
        <v>844</v>
      </c>
      <c r="BR1957" s="63"/>
      <c r="BS1957" s="63"/>
      <c r="BT1957" s="63">
        <v>40674</v>
      </c>
      <c r="BU1957" s="63">
        <v>30288</v>
      </c>
      <c r="BV1957" s="63">
        <v>4951</v>
      </c>
      <c r="BW1957" s="63">
        <v>3192</v>
      </c>
      <c r="BX1957" s="63">
        <v>1570</v>
      </c>
      <c r="BY1957" s="63">
        <v>731</v>
      </c>
      <c r="BZ1957" s="63">
        <v>822</v>
      </c>
      <c r="CB1957" s="63">
        <v>755</v>
      </c>
      <c r="CD1957" s="63">
        <v>0</v>
      </c>
      <c r="CE1957" s="63">
        <v>0</v>
      </c>
      <c r="CF1957" s="63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1</v>
      </c>
      <c r="CL1957" s="8">
        <v>0</v>
      </c>
      <c r="CM1957" s="8">
        <v>1</v>
      </c>
      <c r="CN1957" s="8">
        <v>1</v>
      </c>
      <c r="CO1957" s="8">
        <v>0</v>
      </c>
      <c r="CP1957">
        <v>1</v>
      </c>
      <c r="CQ1957">
        <v>3</v>
      </c>
      <c r="CR1957">
        <v>6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hidden="1" outlineLevel="1">
      <c r="A1958" t="s">
        <v>422</v>
      </c>
      <c r="B1958" t="s">
        <v>193</v>
      </c>
      <c r="C1958" s="1">
        <f t="shared" si="810"/>
        <v>31408</v>
      </c>
      <c r="D1958" s="5">
        <f>IF(N1958&gt;0, RANK(N1958,(N1958:P1958,Q1958:AE1958)),0)</f>
        <v>2</v>
      </c>
      <c r="E1958" s="5">
        <f>IF(O1958&gt;0,RANK(O1958,(N1958:P1958,Q1958:AE1958)),0)</f>
        <v>1</v>
      </c>
      <c r="F1958" s="5">
        <f>IF(P1958&gt;0,RANK(P1958,(N1958:P1958,Q1958:AE1958)),0)</f>
        <v>6</v>
      </c>
      <c r="G1958" s="132">
        <f t="shared" si="804"/>
        <v>2660</v>
      </c>
      <c r="H1958" s="137">
        <f t="shared" si="805"/>
        <v>8.4691798267957211E-2</v>
      </c>
      <c r="I1958" s="2"/>
      <c r="J1958" s="2">
        <f t="shared" si="806"/>
        <v>0.41680463576158938</v>
      </c>
      <c r="K1958" s="2">
        <f t="shared" si="807"/>
        <v>0.50149643402954658</v>
      </c>
      <c r="L1958" s="2">
        <f t="shared" si="808"/>
        <v>2.0376974019358125E-3</v>
      </c>
      <c r="M1958" s="2">
        <f t="shared" si="809"/>
        <v>7.9661232806928287E-2</v>
      </c>
      <c r="N1958" s="63">
        <f t="shared" si="811"/>
        <v>13091</v>
      </c>
      <c r="O1958" s="63">
        <f t="shared" si="812"/>
        <v>15751</v>
      </c>
      <c r="P1958" s="63">
        <v>64</v>
      </c>
      <c r="Q1958" s="63">
        <f t="shared" si="813"/>
        <v>1255</v>
      </c>
      <c r="R1958" s="63">
        <v>863</v>
      </c>
      <c r="S1958" s="63">
        <v>11</v>
      </c>
      <c r="T1958" s="63">
        <v>0</v>
      </c>
      <c r="U1958" s="63">
        <v>0</v>
      </c>
      <c r="V1958" s="63">
        <v>0</v>
      </c>
      <c r="W1958" s="63">
        <f t="shared" si="801"/>
        <v>367</v>
      </c>
      <c r="X1958" s="63"/>
      <c r="Y1958" s="63">
        <v>0</v>
      </c>
      <c r="Z1958" s="63"/>
      <c r="AA1958" s="63">
        <v>0</v>
      </c>
      <c r="AB1958" s="63"/>
      <c r="AC1958" s="63"/>
      <c r="AD1958" s="63"/>
      <c r="AE1958" s="63"/>
      <c r="AF1958" s="63"/>
      <c r="AG1958" s="63">
        <v>0</v>
      </c>
      <c r="AH1958" s="63"/>
      <c r="AI1958" s="63"/>
      <c r="AJ1958" s="63"/>
      <c r="AK1958" s="63"/>
      <c r="AL1958" s="63">
        <v>2</v>
      </c>
      <c r="AM1958" s="63"/>
      <c r="AN1958" s="63">
        <v>4</v>
      </c>
      <c r="AO1958" s="63"/>
      <c r="AP1958" s="63"/>
      <c r="AQ1958" s="63"/>
      <c r="AR1958" s="63"/>
      <c r="AS1958" s="63"/>
      <c r="AT1958" s="63"/>
      <c r="AU1958" s="63"/>
      <c r="AW1958" s="5">
        <f>IF(Q1958&gt;0,RANK(Q1958,(N1958:P1958,Q1958:AE1958)),0)</f>
        <v>3</v>
      </c>
      <c r="AX1958" s="5">
        <f>IF(R1958&gt;0,RANK(R1958,(N1958:P1958,Q1958:AE1958)),0)</f>
        <v>4</v>
      </c>
      <c r="AY1958" s="5">
        <f>IF(T1958&gt;0,RANK(T1958,(N1958:P1958,Q1958:AE1958)),0)</f>
        <v>0</v>
      </c>
      <c r="AZ1958" s="5">
        <f>IF(S1958&gt;0,RANK(S1958,(N1958:P1958,Q1958:AE1958)),0)</f>
        <v>7</v>
      </c>
      <c r="BA1958" s="2">
        <f t="shared" si="814"/>
        <v>3.9957972491085077E-2</v>
      </c>
      <c r="BB1958" s="2">
        <f t="shared" si="815"/>
        <v>2.7477075904228224E-2</v>
      </c>
      <c r="BC1958" s="2">
        <f t="shared" si="816"/>
        <v>0</v>
      </c>
      <c r="BD1958" s="2">
        <f t="shared" si="817"/>
        <v>3.5022924095771778E-4</v>
      </c>
      <c r="BF1958" t="s">
        <v>422</v>
      </c>
      <c r="BG1958" t="s">
        <v>193</v>
      </c>
      <c r="BH1958">
        <v>21</v>
      </c>
      <c r="BJ1958" s="114">
        <v>36</v>
      </c>
      <c r="BK1958" s="116">
        <v>113</v>
      </c>
      <c r="BL1958" s="120">
        <f t="shared" si="787"/>
        <v>36113</v>
      </c>
      <c r="BN1958" s="5" t="s">
        <v>3154</v>
      </c>
      <c r="BO1958" s="63">
        <v>291</v>
      </c>
      <c r="BP1958" s="63">
        <v>17</v>
      </c>
      <c r="BR1958" s="63"/>
      <c r="BT1958" s="63">
        <v>12461</v>
      </c>
      <c r="BU1958" s="63">
        <v>14317</v>
      </c>
      <c r="BV1958" s="63">
        <v>1434</v>
      </c>
      <c r="BW1958" s="63">
        <v>420</v>
      </c>
      <c r="BX1958" s="63">
        <v>854</v>
      </c>
      <c r="BY1958" s="63">
        <v>210</v>
      </c>
      <c r="BZ1958" s="63">
        <v>401</v>
      </c>
      <c r="CB1958" s="63">
        <v>364</v>
      </c>
      <c r="CD1958" s="63">
        <v>0</v>
      </c>
      <c r="CE1958" s="63">
        <v>0</v>
      </c>
      <c r="CF1958" s="63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>
        <v>0</v>
      </c>
      <c r="CQ1958">
        <v>3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hidden="1" outlineLevel="1">
      <c r="A1959" t="s">
        <v>692</v>
      </c>
      <c r="B1959" t="s">
        <v>193</v>
      </c>
      <c r="C1959" s="1">
        <f t="shared" si="810"/>
        <v>24528</v>
      </c>
      <c r="D1959" s="5">
        <f>IF(N1959&gt;0, RANK(N1959,(N1959:P1959,Q1959:AE1959)),0)</f>
        <v>2</v>
      </c>
      <c r="E1959" s="5">
        <f>IF(O1959&gt;0,RANK(O1959,(N1959:P1959,Q1959:AE1959)),0)</f>
        <v>1</v>
      </c>
      <c r="F1959" s="5">
        <f>IF(P1959&gt;0,RANK(P1959,(N1959:P1959,Q1959:AE1959)),0)</f>
        <v>6</v>
      </c>
      <c r="G1959" s="132">
        <f t="shared" si="802"/>
        <v>4512</v>
      </c>
      <c r="H1959" s="137">
        <f t="shared" si="803"/>
        <v>0.18395303326810175</v>
      </c>
      <c r="I1959" s="2"/>
      <c r="J1959" s="2">
        <f t="shared" ref="J1959:J1969" si="818">IF($C1959=0,"-",N1959/$C1959)</f>
        <v>0.37092302674494454</v>
      </c>
      <c r="K1959" s="2">
        <f t="shared" ref="K1959:K1969" si="819">IF($C1959=0,"-",O1959/$C1959)</f>
        <v>0.55487606001304635</v>
      </c>
      <c r="L1959" s="2">
        <f t="shared" ref="L1959:L1969" si="820">IF($C1959=0,"-",P1959/$C1959)</f>
        <v>2.976190476190476E-3</v>
      </c>
      <c r="M1959" s="2">
        <f t="shared" ref="M1959:M1969" si="821">IF(C1959=0,"-",(1-J1959-K1959-L1959))</f>
        <v>7.1224722765818579E-2</v>
      </c>
      <c r="N1959" s="63">
        <f t="shared" si="811"/>
        <v>9098</v>
      </c>
      <c r="O1959" s="63">
        <f t="shared" si="812"/>
        <v>13610</v>
      </c>
      <c r="P1959" s="63">
        <v>73</v>
      </c>
      <c r="Q1959" s="63">
        <f t="shared" si="813"/>
        <v>926</v>
      </c>
      <c r="R1959" s="63">
        <v>578</v>
      </c>
      <c r="S1959" s="63">
        <v>3</v>
      </c>
      <c r="T1959" s="63">
        <v>0</v>
      </c>
      <c r="U1959" s="63">
        <v>1</v>
      </c>
      <c r="V1959" s="63">
        <v>1</v>
      </c>
      <c r="W1959" s="63">
        <f t="shared" si="801"/>
        <v>236</v>
      </c>
      <c r="X1959" s="63"/>
      <c r="Y1959" s="63">
        <v>2</v>
      </c>
      <c r="Z1959" s="63"/>
      <c r="AA1959" s="63">
        <v>0</v>
      </c>
      <c r="AB1959" s="63"/>
      <c r="AC1959" s="63"/>
      <c r="AD1959" s="63"/>
      <c r="AE1959" s="63"/>
      <c r="AF1959" s="63"/>
      <c r="AG1959" s="63">
        <v>0</v>
      </c>
      <c r="AH1959" s="63"/>
      <c r="AI1959" s="63"/>
      <c r="AJ1959" s="63"/>
      <c r="AK1959" s="63"/>
      <c r="AL1959" s="63">
        <v>0</v>
      </c>
      <c r="AM1959" s="63"/>
      <c r="AN1959" s="63">
        <v>0</v>
      </c>
      <c r="AO1959" s="63"/>
      <c r="AP1959" s="63"/>
      <c r="AQ1959" s="63"/>
      <c r="AR1959" s="63"/>
      <c r="AS1959" s="63"/>
      <c r="AT1959" s="63"/>
      <c r="AU1959" s="63"/>
      <c r="AW1959" s="5">
        <f>IF(Q1959&gt;0,RANK(Q1959,(N1959:P1959,Q1959:AE1959)),0)</f>
        <v>3</v>
      </c>
      <c r="AX1959" s="5">
        <f>IF(R1959&gt;0,RANK(R1959,(N1959:P1959,Q1959:AE1959)),0)</f>
        <v>4</v>
      </c>
      <c r="AY1959" s="5">
        <f>IF(T1959&gt;0,RANK(T1959,(N1959:P1959,Q1959:AE1959)),0)</f>
        <v>0</v>
      </c>
      <c r="AZ1959" s="5">
        <f>IF(S1959&gt;0,RANK(S1959,(N1959:P1959,Q1959:AE1959)),0)</f>
        <v>7</v>
      </c>
      <c r="BA1959" s="2">
        <f t="shared" si="814"/>
        <v>3.7752772341813436E-2</v>
      </c>
      <c r="BB1959" s="2">
        <f t="shared" si="815"/>
        <v>2.3564905414220481E-2</v>
      </c>
      <c r="BC1959" s="2">
        <f t="shared" si="816"/>
        <v>0</v>
      </c>
      <c r="BD1959" s="2">
        <f t="shared" si="817"/>
        <v>1.223091976516634E-4</v>
      </c>
      <c r="BF1959" t="s">
        <v>692</v>
      </c>
      <c r="BG1959" t="s">
        <v>193</v>
      </c>
      <c r="BH1959">
        <v>21</v>
      </c>
      <c r="BJ1959" s="114">
        <v>36</v>
      </c>
      <c r="BK1959" s="116">
        <v>115</v>
      </c>
      <c r="BL1959" s="120">
        <f t="shared" si="787"/>
        <v>36115</v>
      </c>
      <c r="BN1959" s="5" t="s">
        <v>3154</v>
      </c>
      <c r="BO1959" s="63">
        <v>245</v>
      </c>
      <c r="BP1959" s="63">
        <v>0</v>
      </c>
      <c r="BR1959" s="63"/>
      <c r="BT1959" s="63">
        <v>8564</v>
      </c>
      <c r="BU1959" s="63">
        <v>12170</v>
      </c>
      <c r="BV1959" s="63">
        <v>1440</v>
      </c>
      <c r="BW1959" s="63">
        <v>373</v>
      </c>
      <c r="BX1959" s="63">
        <v>644</v>
      </c>
      <c r="BY1959" s="63">
        <v>161</v>
      </c>
      <c r="BZ1959" s="63">
        <v>282</v>
      </c>
      <c r="CB1959" s="63">
        <v>236</v>
      </c>
      <c r="CD1959" s="63">
        <v>0</v>
      </c>
      <c r="CE1959" s="63">
        <v>0</v>
      </c>
      <c r="CF1959" s="63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</row>
    <row r="1960" spans="1:103" hidden="1" outlineLevel="1">
      <c r="A1960" t="s">
        <v>423</v>
      </c>
      <c r="B1960" t="s">
        <v>193</v>
      </c>
      <c r="C1960" s="1">
        <f t="shared" si="810"/>
        <v>39687</v>
      </c>
      <c r="D1960" s="5">
        <f>IF(N1960&gt;0, RANK(N1960,(N1960:P1960,Q1960:AE1960)),0)</f>
        <v>2</v>
      </c>
      <c r="E1960" s="5">
        <f>IF(O1960&gt;0,RANK(O1960,(N1960:P1960,Q1960:AE1960)),0)</f>
        <v>1</v>
      </c>
      <c r="F1960" s="5">
        <f>IF(P1960&gt;0,RANK(P1960,(N1960:P1960,Q1960:AE1960)),0)</f>
        <v>6</v>
      </c>
      <c r="G1960" s="132">
        <f t="shared" si="802"/>
        <v>9907</v>
      </c>
      <c r="H1960" s="137">
        <f t="shared" si="803"/>
        <v>0.24962834177438456</v>
      </c>
      <c r="I1960" s="2"/>
      <c r="J1960" s="2">
        <f t="shared" si="818"/>
        <v>0.33948144228588706</v>
      </c>
      <c r="K1960" s="2">
        <f t="shared" si="819"/>
        <v>0.58910978406027159</v>
      </c>
      <c r="L1960" s="2">
        <f t="shared" si="820"/>
        <v>2.9228714692468567E-3</v>
      </c>
      <c r="M1960" s="2">
        <f t="shared" si="821"/>
        <v>6.8485902184594494E-2</v>
      </c>
      <c r="N1960" s="63">
        <f t="shared" si="811"/>
        <v>13473</v>
      </c>
      <c r="O1960" s="63">
        <f t="shared" si="812"/>
        <v>23380</v>
      </c>
      <c r="P1960" s="63">
        <v>116</v>
      </c>
      <c r="Q1960" s="63">
        <f t="shared" si="813"/>
        <v>1911</v>
      </c>
      <c r="R1960" s="63">
        <v>567</v>
      </c>
      <c r="S1960" s="63">
        <v>9</v>
      </c>
      <c r="T1960" s="63">
        <v>0</v>
      </c>
      <c r="U1960" s="63">
        <v>0</v>
      </c>
      <c r="V1960" s="63">
        <v>0</v>
      </c>
      <c r="W1960" s="63">
        <f t="shared" si="801"/>
        <v>211</v>
      </c>
      <c r="X1960" s="63"/>
      <c r="Y1960" s="63">
        <v>6</v>
      </c>
      <c r="Z1960" s="63"/>
      <c r="AA1960" s="63">
        <v>0</v>
      </c>
      <c r="AB1960" s="63"/>
      <c r="AC1960" s="63"/>
      <c r="AD1960" s="63"/>
      <c r="AE1960" s="63"/>
      <c r="AF1960" s="63"/>
      <c r="AG1960" s="63">
        <v>9</v>
      </c>
      <c r="AH1960" s="63"/>
      <c r="AI1960" s="63"/>
      <c r="AJ1960" s="63"/>
      <c r="AK1960" s="63"/>
      <c r="AL1960" s="63">
        <v>2</v>
      </c>
      <c r="AM1960" s="63"/>
      <c r="AN1960" s="63">
        <v>3</v>
      </c>
      <c r="AO1960" s="63"/>
      <c r="AP1960" s="63"/>
      <c r="AQ1960" s="63"/>
      <c r="AR1960" s="63"/>
      <c r="AS1960" s="63"/>
      <c r="AT1960" s="63"/>
      <c r="AU1960" s="63"/>
      <c r="AW1960" s="5">
        <f>IF(Q1960&gt;0,RANK(Q1960,(N1960:P1960,Q1960:AE1960)),0)</f>
        <v>3</v>
      </c>
      <c r="AX1960" s="5">
        <f>IF(R1960&gt;0,RANK(R1960,(N1960:P1960,Q1960:AE1960)),0)</f>
        <v>4</v>
      </c>
      <c r="AY1960" s="5">
        <f>IF(T1960&gt;0,RANK(T1960,(N1960:P1960,Q1960:AE1960)),0)</f>
        <v>0</v>
      </c>
      <c r="AZ1960" s="5">
        <f>IF(S1960&gt;0,RANK(S1960,(N1960:P1960,Q1960:AE1960)),0)</f>
        <v>7</v>
      </c>
      <c r="BA1960" s="2">
        <f t="shared" si="814"/>
        <v>4.8151787739058129E-2</v>
      </c>
      <c r="BB1960" s="2">
        <f t="shared" si="815"/>
        <v>1.4286794164335929E-2</v>
      </c>
      <c r="BC1960" s="2">
        <f t="shared" si="816"/>
        <v>0</v>
      </c>
      <c r="BD1960" s="2">
        <f t="shared" si="817"/>
        <v>2.2677451054501475E-4</v>
      </c>
      <c r="BF1960" t="s">
        <v>423</v>
      </c>
      <c r="BG1960" t="s">
        <v>193</v>
      </c>
      <c r="BH1960">
        <v>24</v>
      </c>
      <c r="BJ1960" s="114">
        <v>36</v>
      </c>
      <c r="BK1960" s="116">
        <v>117</v>
      </c>
      <c r="BL1960" s="120">
        <f t="shared" si="787"/>
        <v>36117</v>
      </c>
      <c r="BN1960" s="5" t="s">
        <v>3154</v>
      </c>
      <c r="BO1960" s="63">
        <v>289</v>
      </c>
      <c r="BP1960" s="63">
        <v>33</v>
      </c>
      <c r="BR1960" s="63"/>
      <c r="BT1960" s="63">
        <v>12728</v>
      </c>
      <c r="BU1960" s="63">
        <v>20221</v>
      </c>
      <c r="BV1960" s="63">
        <v>3159</v>
      </c>
      <c r="BW1960" s="63">
        <v>531</v>
      </c>
      <c r="BX1960" s="63">
        <v>1391</v>
      </c>
      <c r="BY1960" s="63">
        <v>214</v>
      </c>
      <c r="BZ1960" s="63">
        <v>520</v>
      </c>
      <c r="CB1960" s="63">
        <v>208</v>
      </c>
      <c r="CD1960" s="63">
        <v>0</v>
      </c>
      <c r="CE1960" s="63">
        <v>0</v>
      </c>
      <c r="CF1960" s="63">
        <v>0</v>
      </c>
      <c r="CG1960" s="8">
        <v>2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1</v>
      </c>
      <c r="CN1960" s="8">
        <v>0</v>
      </c>
      <c r="CO1960" s="8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</row>
    <row r="1961" spans="1:103" hidden="1" outlineLevel="1">
      <c r="A1961" t="s">
        <v>84</v>
      </c>
      <c r="B1961" t="s">
        <v>193</v>
      </c>
      <c r="C1961" s="1">
        <f t="shared" si="810"/>
        <v>420655</v>
      </c>
      <c r="D1961" s="5">
        <f>IF(N1961&gt;0, RANK(N1961,(N1961:P1961,Q1961:AE1961)),0)</f>
        <v>1</v>
      </c>
      <c r="E1961" s="5">
        <f>IF(O1961&gt;0,RANK(O1961,(N1961:P1961,Q1961:AE1961)),0)</f>
        <v>2</v>
      </c>
      <c r="F1961" s="5">
        <f>IF(P1961&gt;0,RANK(P1961,(N1961:P1961,Q1961:AE1961)),0)</f>
        <v>6</v>
      </c>
      <c r="G1961" s="132">
        <f t="shared" si="802"/>
        <v>141688</v>
      </c>
      <c r="H1961" s="137">
        <f t="shared" si="803"/>
        <v>0.3368270910841426</v>
      </c>
      <c r="I1961" s="2"/>
      <c r="J1961" s="2">
        <f t="shared" si="818"/>
        <v>0.64881197180587413</v>
      </c>
      <c r="K1961" s="2">
        <f t="shared" si="819"/>
        <v>0.31198488072173158</v>
      </c>
      <c r="L1961" s="2">
        <f t="shared" si="820"/>
        <v>1.269448835744256E-3</v>
      </c>
      <c r="M1961" s="2">
        <f t="shared" si="821"/>
        <v>3.7933698636650026E-2</v>
      </c>
      <c r="N1961" s="63">
        <f t="shared" si="811"/>
        <v>272926</v>
      </c>
      <c r="O1961" s="63">
        <f t="shared" si="812"/>
        <v>131238</v>
      </c>
      <c r="P1961" s="63">
        <v>534</v>
      </c>
      <c r="Q1961" s="63">
        <f t="shared" si="813"/>
        <v>8042</v>
      </c>
      <c r="R1961" s="63">
        <v>4358</v>
      </c>
      <c r="S1961" s="63">
        <v>20</v>
      </c>
      <c r="T1961" s="63">
        <v>2</v>
      </c>
      <c r="U1961" s="63">
        <v>2</v>
      </c>
      <c r="V1961" s="63">
        <v>10</v>
      </c>
      <c r="W1961" s="63">
        <f t="shared" si="801"/>
        <v>3489</v>
      </c>
      <c r="X1961" s="63"/>
      <c r="Y1961" s="63">
        <v>2</v>
      </c>
      <c r="Z1961" s="63"/>
      <c r="AA1961" s="63">
        <v>2</v>
      </c>
      <c r="AB1961" s="63"/>
      <c r="AC1961" s="63"/>
      <c r="AD1961" s="63"/>
      <c r="AE1961" s="63"/>
      <c r="AF1961" s="63"/>
      <c r="AG1961" s="63">
        <v>4</v>
      </c>
      <c r="AH1961" s="63"/>
      <c r="AI1961" s="63"/>
      <c r="AJ1961" s="63"/>
      <c r="AK1961" s="63"/>
      <c r="AL1961" s="63">
        <v>2</v>
      </c>
      <c r="AM1961" s="63"/>
      <c r="AN1961" s="63">
        <v>24</v>
      </c>
      <c r="AO1961" s="63"/>
      <c r="AP1961" s="63"/>
      <c r="AQ1961" s="63"/>
      <c r="AR1961" s="63"/>
      <c r="AS1961" s="63"/>
      <c r="AT1961" s="63"/>
      <c r="AU1961" s="63"/>
      <c r="AW1961" s="5">
        <f>IF(Q1961&gt;0,RANK(Q1961,(N1961:P1961,Q1961:AE1961)),0)</f>
        <v>3</v>
      </c>
      <c r="AX1961" s="5">
        <f>IF(R1961&gt;0,RANK(R1961,(N1961:P1961,Q1961:AE1961)),0)</f>
        <v>4</v>
      </c>
      <c r="AY1961" s="5">
        <f>IF(T1961&gt;0,RANK(T1961,(N1961:P1961,Q1961:AE1961)),0)</f>
        <v>9</v>
      </c>
      <c r="AZ1961" s="5">
        <f>IF(S1961&gt;0,RANK(S1961,(N1961:P1961,Q1961:AE1961)),0)</f>
        <v>7</v>
      </c>
      <c r="BA1961" s="2">
        <f t="shared" si="814"/>
        <v>1.9117804376508066E-2</v>
      </c>
      <c r="BB1961" s="2">
        <f t="shared" si="815"/>
        <v>1.0360033756879152E-2</v>
      </c>
      <c r="BC1961" s="2">
        <f t="shared" si="816"/>
        <v>4.7544900215140678E-6</v>
      </c>
      <c r="BD1961" s="2">
        <f t="shared" si="817"/>
        <v>4.7544900215140676E-5</v>
      </c>
      <c r="BF1961" t="s">
        <v>84</v>
      </c>
      <c r="BG1961" t="s">
        <v>193</v>
      </c>
      <c r="BJ1961" s="114">
        <v>36</v>
      </c>
      <c r="BK1961" s="116">
        <v>119</v>
      </c>
      <c r="BL1961" s="120">
        <f t="shared" ref="BL1961:BL2024" si="822">1000*BJ1961+BK1961</f>
        <v>36119</v>
      </c>
      <c r="BN1961" s="5" t="s">
        <v>3154</v>
      </c>
      <c r="BO1961" s="63">
        <v>3400</v>
      </c>
      <c r="BP1961" s="63">
        <v>0</v>
      </c>
      <c r="BR1961" s="63"/>
      <c r="BT1961" s="63">
        <v>265256</v>
      </c>
      <c r="BU1961" s="63">
        <v>119658</v>
      </c>
      <c r="BV1961" s="63">
        <v>11580</v>
      </c>
      <c r="BW1961" s="63">
        <v>5658</v>
      </c>
      <c r="BX1961" s="63">
        <v>4898</v>
      </c>
      <c r="BY1961" s="63">
        <v>2012</v>
      </c>
      <c r="BZ1961" s="63">
        <v>3144</v>
      </c>
      <c r="CB1961" s="63">
        <v>3475</v>
      </c>
      <c r="CD1961" s="63">
        <v>0</v>
      </c>
      <c r="CE1961" s="63">
        <v>0</v>
      </c>
      <c r="CF1961" s="63">
        <v>0</v>
      </c>
      <c r="CG1961" s="8">
        <v>1</v>
      </c>
      <c r="CH1961" s="8">
        <v>0</v>
      </c>
      <c r="CI1961" s="8">
        <v>1</v>
      </c>
      <c r="CJ1961" s="8">
        <v>1</v>
      </c>
      <c r="CK1961" s="8">
        <v>0</v>
      </c>
      <c r="CL1961" s="8">
        <v>0</v>
      </c>
      <c r="CM1961" s="8">
        <v>4</v>
      </c>
      <c r="CN1961" s="8">
        <v>0</v>
      </c>
      <c r="CO1961" s="8">
        <v>0</v>
      </c>
      <c r="CP1961">
        <v>0</v>
      </c>
      <c r="CQ1961">
        <v>1</v>
      </c>
      <c r="CR1961">
        <v>6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hidden="1" outlineLevel="1">
      <c r="A1962" t="s">
        <v>709</v>
      </c>
      <c r="B1962" t="s">
        <v>193</v>
      </c>
      <c r="C1962" s="1">
        <f t="shared" si="810"/>
        <v>17298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6</v>
      </c>
      <c r="G1962" s="132">
        <f t="shared" si="802"/>
        <v>8538</v>
      </c>
      <c r="H1962" s="137">
        <f t="shared" si="803"/>
        <v>0.49358307318765177</v>
      </c>
      <c r="I1962" s="2"/>
      <c r="J1962" s="2">
        <f t="shared" si="818"/>
        <v>0.22569083130997802</v>
      </c>
      <c r="K1962" s="2">
        <f t="shared" si="819"/>
        <v>0.71927390449762973</v>
      </c>
      <c r="L1962" s="2">
        <f t="shared" si="820"/>
        <v>1.734304543877905E-3</v>
      </c>
      <c r="M1962" s="2">
        <f t="shared" si="821"/>
        <v>5.3300959648514334E-2</v>
      </c>
      <c r="N1962" s="63">
        <f t="shared" si="811"/>
        <v>3904</v>
      </c>
      <c r="O1962" s="63">
        <f t="shared" si="812"/>
        <v>12442</v>
      </c>
      <c r="P1962" s="63">
        <v>30</v>
      </c>
      <c r="Q1962" s="63">
        <f t="shared" si="813"/>
        <v>673</v>
      </c>
      <c r="R1962" s="63">
        <v>180</v>
      </c>
      <c r="S1962" s="63">
        <v>4</v>
      </c>
      <c r="T1962" s="63">
        <v>1</v>
      </c>
      <c r="U1962" s="63">
        <v>0</v>
      </c>
      <c r="V1962" s="63">
        <v>0</v>
      </c>
      <c r="W1962" s="63">
        <f t="shared" si="801"/>
        <v>64</v>
      </c>
      <c r="X1962" s="63"/>
      <c r="Y1962" s="63">
        <v>0</v>
      </c>
      <c r="Z1962" s="63"/>
      <c r="AA1962" s="63">
        <v>0</v>
      </c>
      <c r="AB1962" s="63"/>
      <c r="AC1962" s="63"/>
      <c r="AD1962" s="63"/>
      <c r="AE1962" s="63"/>
      <c r="AF1962" s="63"/>
      <c r="AG1962" s="63">
        <v>0</v>
      </c>
      <c r="AH1962" s="63"/>
      <c r="AI1962" s="63"/>
      <c r="AJ1962" s="63"/>
      <c r="AK1962" s="63"/>
      <c r="AL1962" s="63">
        <v>0</v>
      </c>
      <c r="AM1962" s="63"/>
      <c r="AN1962" s="63">
        <v>0</v>
      </c>
      <c r="AO1962" s="63"/>
      <c r="AP1962" s="63"/>
      <c r="AQ1962" s="63"/>
      <c r="AR1962" s="63"/>
      <c r="AS1962" s="63"/>
      <c r="AT1962" s="63"/>
      <c r="AU1962" s="63"/>
      <c r="AW1962" s="5">
        <f>IF(Q1962&gt;0,RANK(Q1962,(N1962:P1962,Q1962:AE1962)),0)</f>
        <v>3</v>
      </c>
      <c r="AX1962" s="5">
        <f>IF(R1962&gt;0,RANK(R1962,(N1962:P1962,Q1962:AE1962)),0)</f>
        <v>4</v>
      </c>
      <c r="AY1962" s="5">
        <f>IF(T1962&gt;0,RANK(T1962,(N1962:P1962,Q1962:AE1962)),0)</f>
        <v>8</v>
      </c>
      <c r="AZ1962" s="5">
        <f>IF(S1962&gt;0,RANK(S1962,(N1962:P1962,Q1962:AE1962)),0)</f>
        <v>7</v>
      </c>
      <c r="BA1962" s="2">
        <f t="shared" si="814"/>
        <v>3.890623193432767E-2</v>
      </c>
      <c r="BB1962" s="2">
        <f t="shared" si="815"/>
        <v>1.040582726326743E-2</v>
      </c>
      <c r="BC1962" s="2">
        <f t="shared" si="816"/>
        <v>5.7810151462596829E-5</v>
      </c>
      <c r="BD1962" s="2">
        <f t="shared" si="817"/>
        <v>2.3124060585038732E-4</v>
      </c>
      <c r="BF1962" t="s">
        <v>709</v>
      </c>
      <c r="BG1962" t="s">
        <v>193</v>
      </c>
      <c r="BH1962">
        <v>27</v>
      </c>
      <c r="BJ1962" s="114">
        <v>36</v>
      </c>
      <c r="BK1962" s="116">
        <v>121</v>
      </c>
      <c r="BL1962" s="120">
        <f t="shared" si="822"/>
        <v>36121</v>
      </c>
      <c r="BN1962" s="5" t="s">
        <v>3154</v>
      </c>
      <c r="BO1962" s="63">
        <v>183</v>
      </c>
      <c r="BP1962" s="63">
        <v>20</v>
      </c>
      <c r="BR1962" s="63"/>
      <c r="BT1962" s="63">
        <v>3716</v>
      </c>
      <c r="BU1962" s="63">
        <v>10928</v>
      </c>
      <c r="BV1962" s="63">
        <v>1514</v>
      </c>
      <c r="BW1962" s="63">
        <v>134</v>
      </c>
      <c r="BX1962" s="63">
        <v>474</v>
      </c>
      <c r="BY1962" s="63">
        <v>54</v>
      </c>
      <c r="BZ1962" s="63">
        <v>199</v>
      </c>
      <c r="CB1962" s="63">
        <v>64</v>
      </c>
      <c r="CD1962" s="63">
        <v>0</v>
      </c>
      <c r="CE1962" s="63">
        <v>0</v>
      </c>
      <c r="CF1962" s="63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hidden="1" outlineLevel="1">
      <c r="A1963" t="s">
        <v>121</v>
      </c>
      <c r="B1963" t="s">
        <v>193</v>
      </c>
      <c r="C1963" s="1">
        <f t="shared" si="810"/>
        <v>10066</v>
      </c>
      <c r="D1963" s="5">
        <f>IF(N1963&gt;0, RANK(N1963,(N1963:P1963,Q1963:AE1963)),0)</f>
        <v>2</v>
      </c>
      <c r="E1963" s="5">
        <f>IF(O1963&gt;0,RANK(O1963,(N1963:P1963,Q1963:AE1963)),0)</f>
        <v>1</v>
      </c>
      <c r="F1963" s="5">
        <f>IF(P1963&gt;0,RANK(P1963,(N1963:P1963,Q1963:AE1963)),0)</f>
        <v>6</v>
      </c>
      <c r="G1963" s="132">
        <f t="shared" si="802"/>
        <v>2001</v>
      </c>
      <c r="H1963" s="137">
        <f t="shared" si="803"/>
        <v>0.19878799920524537</v>
      </c>
      <c r="I1963" s="2"/>
      <c r="J1963" s="2">
        <f t="shared" si="818"/>
        <v>0.36350089409894693</v>
      </c>
      <c r="K1963" s="2">
        <f t="shared" si="819"/>
        <v>0.56228889330419229</v>
      </c>
      <c r="L1963" s="2">
        <f t="shared" si="820"/>
        <v>2.6822968408503874E-3</v>
      </c>
      <c r="M1963" s="2">
        <f t="shared" si="821"/>
        <v>7.1527915756010391E-2</v>
      </c>
      <c r="N1963" s="63">
        <f t="shared" si="811"/>
        <v>3659</v>
      </c>
      <c r="O1963" s="63">
        <f t="shared" si="812"/>
        <v>5660</v>
      </c>
      <c r="P1963" s="63">
        <v>27</v>
      </c>
      <c r="Q1963" s="63">
        <f t="shared" si="813"/>
        <v>494</v>
      </c>
      <c r="R1963" s="63">
        <v>146</v>
      </c>
      <c r="S1963" s="63">
        <v>5</v>
      </c>
      <c r="T1963" s="63">
        <v>0</v>
      </c>
      <c r="U1963" s="63">
        <v>0</v>
      </c>
      <c r="V1963" s="63">
        <v>0</v>
      </c>
      <c r="W1963" s="63">
        <f t="shared" si="801"/>
        <v>74</v>
      </c>
      <c r="X1963" s="63"/>
      <c r="Y1963" s="63">
        <v>1</v>
      </c>
      <c r="Z1963" s="63"/>
      <c r="AA1963" s="63">
        <v>0</v>
      </c>
      <c r="AB1963" s="63"/>
      <c r="AC1963" s="63"/>
      <c r="AD1963" s="63"/>
      <c r="AE1963" s="63"/>
      <c r="AF1963" s="63"/>
      <c r="AG1963" s="63">
        <v>0</v>
      </c>
      <c r="AH1963" s="63"/>
      <c r="AI1963" s="63"/>
      <c r="AJ1963" s="63"/>
      <c r="AK1963" s="63"/>
      <c r="AL1963" s="63">
        <v>0</v>
      </c>
      <c r="AM1963" s="63"/>
      <c r="AN1963" s="63">
        <v>0</v>
      </c>
      <c r="AO1963" s="63"/>
      <c r="AP1963" s="63"/>
      <c r="AQ1963" s="63"/>
      <c r="AR1963" s="63"/>
      <c r="AS1963" s="63"/>
      <c r="AT1963" s="63"/>
      <c r="AU1963" s="63"/>
      <c r="AW1963" s="5">
        <f>IF(Q1963&gt;0,RANK(Q1963,(N1963:P1963,Q1963:AE1963)),0)</f>
        <v>3</v>
      </c>
      <c r="AX1963" s="5">
        <f>IF(R1963&gt;0,RANK(R1963,(N1963:P1963,Q1963:AE1963)),0)</f>
        <v>4</v>
      </c>
      <c r="AY1963" s="5">
        <f>IF(T1963&gt;0,RANK(T1963,(N1963:P1963,Q1963:AE1963)),0)</f>
        <v>0</v>
      </c>
      <c r="AZ1963" s="5">
        <f>IF(S1963&gt;0,RANK(S1963,(N1963:P1963,Q1963:AE1963)),0)</f>
        <v>7</v>
      </c>
      <c r="BA1963" s="2">
        <f t="shared" si="814"/>
        <v>4.90760977548182E-2</v>
      </c>
      <c r="BB1963" s="2">
        <f t="shared" si="815"/>
        <v>1.4504271806079872E-2</v>
      </c>
      <c r="BC1963" s="2">
        <f t="shared" si="816"/>
        <v>0</v>
      </c>
      <c r="BD1963" s="2">
        <f t="shared" si="817"/>
        <v>4.9672163719451622E-4</v>
      </c>
      <c r="BF1963" t="s">
        <v>121</v>
      </c>
      <c r="BG1963" t="s">
        <v>193</v>
      </c>
      <c r="BH1963">
        <v>23</v>
      </c>
      <c r="BJ1963" s="114">
        <v>36</v>
      </c>
      <c r="BK1963" s="116">
        <v>123</v>
      </c>
      <c r="BL1963" s="120">
        <f t="shared" si="822"/>
        <v>36123</v>
      </c>
      <c r="BN1963" s="5" t="s">
        <v>3154</v>
      </c>
      <c r="BO1963" s="63">
        <v>152</v>
      </c>
      <c r="BP1963" s="63">
        <v>3</v>
      </c>
      <c r="BR1963" s="63"/>
      <c r="BT1963" s="63">
        <v>3473</v>
      </c>
      <c r="BU1963" s="63">
        <v>5089</v>
      </c>
      <c r="BV1963" s="63">
        <v>571</v>
      </c>
      <c r="BW1963" s="63">
        <v>126</v>
      </c>
      <c r="BX1963" s="63">
        <v>345</v>
      </c>
      <c r="BY1963" s="63">
        <v>60</v>
      </c>
      <c r="BZ1963" s="63">
        <v>149</v>
      </c>
      <c r="CB1963" s="63">
        <v>72</v>
      </c>
      <c r="CD1963" s="63">
        <v>0</v>
      </c>
      <c r="CE1963" s="63">
        <v>0</v>
      </c>
      <c r="CF1963" s="63">
        <v>0</v>
      </c>
      <c r="CG1963" s="8">
        <v>1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0</v>
      </c>
      <c r="CN1963" s="8">
        <v>0</v>
      </c>
      <c r="CO1963" s="8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</row>
    <row r="1964" spans="1:103" hidden="1" outlineLevel="1">
      <c r="A1964" t="s">
        <v>209</v>
      </c>
      <c r="B1964" t="s">
        <v>193</v>
      </c>
      <c r="C1964" s="1">
        <f t="shared" si="810"/>
        <v>399522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6</v>
      </c>
      <c r="G1964" s="132">
        <f t="shared" si="802"/>
        <v>315849</v>
      </c>
      <c r="H1964" s="137">
        <f t="shared" si="803"/>
        <v>0.79056722783726552</v>
      </c>
      <c r="I1964" s="2"/>
      <c r="J1964" s="2">
        <f t="shared" si="818"/>
        <v>0.88517278147386125</v>
      </c>
      <c r="K1964" s="2">
        <f t="shared" si="819"/>
        <v>9.4605553636595729E-2</v>
      </c>
      <c r="L1964" s="2">
        <f t="shared" si="820"/>
        <v>2.7032303602805353E-4</v>
      </c>
      <c r="M1964" s="2">
        <f t="shared" si="821"/>
        <v>1.9951341853514968E-2</v>
      </c>
      <c r="N1964" s="132">
        <f t="shared" si="811"/>
        <v>353646</v>
      </c>
      <c r="O1964" s="63">
        <f t="shared" si="812"/>
        <v>37797</v>
      </c>
      <c r="P1964" s="63">
        <v>108</v>
      </c>
      <c r="Q1964" s="63">
        <f t="shared" si="813"/>
        <v>2312</v>
      </c>
      <c r="R1964" s="63">
        <v>4341</v>
      </c>
      <c r="S1964" s="63">
        <v>11</v>
      </c>
      <c r="T1964" s="63">
        <v>1</v>
      </c>
      <c r="U1964" s="63">
        <v>0</v>
      </c>
      <c r="V1964" s="63">
        <v>15</v>
      </c>
      <c r="W1964" s="63">
        <f t="shared" si="801"/>
        <v>1272</v>
      </c>
      <c r="X1964" s="63"/>
      <c r="Y1964" s="63">
        <v>3</v>
      </c>
      <c r="Z1964" s="63"/>
      <c r="AA1964" s="63">
        <v>1</v>
      </c>
      <c r="AB1964" s="63"/>
      <c r="AC1964" s="63"/>
      <c r="AD1964" s="63"/>
      <c r="AE1964" s="63"/>
      <c r="AF1964" s="63"/>
      <c r="AG1964" s="63">
        <v>0</v>
      </c>
      <c r="AH1964" s="63"/>
      <c r="AI1964" s="63"/>
      <c r="AJ1964" s="63"/>
      <c r="AK1964" s="63"/>
      <c r="AL1964" s="63">
        <v>0</v>
      </c>
      <c r="AM1964" s="63"/>
      <c r="AN1964" s="63">
        <v>15</v>
      </c>
      <c r="AO1964" s="63"/>
      <c r="AP1964" s="63"/>
      <c r="AQ1964" s="63"/>
      <c r="AR1964" s="63"/>
      <c r="AS1964" s="63"/>
      <c r="AT1964" s="63"/>
      <c r="AU1964" s="63"/>
      <c r="AW1964" s="5">
        <f>IF(Q1964&gt;0,RANK(Q1964,(N1964:P1964,Q1964:AE1964)),0)</f>
        <v>4</v>
      </c>
      <c r="AX1964" s="5">
        <f>IF(R1964&gt;0,RANK(R1964,(N1964:P1964,Q1964:AE1964)),0)</f>
        <v>3</v>
      </c>
      <c r="AY1964" s="5">
        <f>IF(T1964&gt;0,RANK(T1964,(N1964:P1964,Q1964:AE1964)),0)</f>
        <v>10</v>
      </c>
      <c r="AZ1964" s="5">
        <f>IF(S1964&gt;0,RANK(S1964,(N1964:P1964,Q1964:AE1964)),0)</f>
        <v>8</v>
      </c>
      <c r="BA1964" s="2">
        <f t="shared" ref="BA1964:BB1969" si="823">IF($C1964=0,"-",Q1964/$C1964)</f>
        <v>5.7869153638598122E-3</v>
      </c>
      <c r="BB1964" s="2">
        <f t="shared" si="823"/>
        <v>1.0865484253683151E-2</v>
      </c>
      <c r="BC1964" s="2">
        <f t="shared" ref="BC1964:BC1969" si="824">IF($C1964=0,"-",T1964/$C1964)</f>
        <v>2.5029910743338288E-6</v>
      </c>
      <c r="BD1964" s="2">
        <f t="shared" ref="BD1964:BD1969" si="825">IF($C1964=0,"-",S1964/$C1964)</f>
        <v>2.7532901817672117E-5</v>
      </c>
      <c r="BF1964" t="s">
        <v>209</v>
      </c>
      <c r="BG1964" t="s">
        <v>193</v>
      </c>
      <c r="BJ1964" s="114">
        <v>36</v>
      </c>
      <c r="BK1964" s="116">
        <v>5</v>
      </c>
      <c r="BL1964" s="120">
        <f t="shared" si="822"/>
        <v>36005</v>
      </c>
      <c r="BN1964" s="5" t="s">
        <v>3154</v>
      </c>
      <c r="BO1964" s="63">
        <v>3455</v>
      </c>
      <c r="BP1964" s="63">
        <v>0</v>
      </c>
      <c r="BR1964" s="63"/>
      <c r="BT1964" s="63">
        <v>347893</v>
      </c>
      <c r="BU1964" s="63">
        <v>34089</v>
      </c>
      <c r="BV1964" s="63">
        <v>3708</v>
      </c>
      <c r="BW1964" s="63">
        <v>5016</v>
      </c>
      <c r="BX1964" s="63">
        <v>1832</v>
      </c>
      <c r="BY1964" s="63">
        <v>737</v>
      </c>
      <c r="BZ1964" s="63">
        <v>480</v>
      </c>
      <c r="CB1964" s="63">
        <v>1268</v>
      </c>
      <c r="CD1964" s="63">
        <v>0</v>
      </c>
      <c r="CE1964" s="63">
        <v>1</v>
      </c>
      <c r="CF1964" s="63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2</v>
      </c>
      <c r="CN1964" s="8">
        <v>1</v>
      </c>
      <c r="CO1964" s="8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hidden="1" outlineLevel="1">
      <c r="A1965" t="s">
        <v>463</v>
      </c>
      <c r="B1965" t="s">
        <v>193</v>
      </c>
      <c r="C1965" s="1">
        <f t="shared" si="810"/>
        <v>805605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6</v>
      </c>
      <c r="G1965" s="132">
        <f t="shared" si="802"/>
        <v>499509</v>
      </c>
      <c r="H1965" s="137">
        <f t="shared" si="803"/>
        <v>0.62004208017576856</v>
      </c>
      <c r="I1965" s="2"/>
      <c r="J1965" s="2">
        <f t="shared" si="818"/>
        <v>0.79512043743521954</v>
      </c>
      <c r="K1965" s="2">
        <f t="shared" si="819"/>
        <v>0.17507835725945098</v>
      </c>
      <c r="L1965" s="2">
        <f t="shared" si="820"/>
        <v>6.6657977544826554E-4</v>
      </c>
      <c r="M1965" s="2">
        <f t="shared" si="821"/>
        <v>2.9134625529881216E-2</v>
      </c>
      <c r="N1965" s="63">
        <f t="shared" si="811"/>
        <v>640553</v>
      </c>
      <c r="O1965" s="63">
        <f t="shared" si="812"/>
        <v>141044</v>
      </c>
      <c r="P1965" s="63">
        <v>537</v>
      </c>
      <c r="Q1965" s="63">
        <f t="shared" si="813"/>
        <v>6864</v>
      </c>
      <c r="R1965" s="63">
        <v>11932</v>
      </c>
      <c r="S1965" s="63">
        <v>29</v>
      </c>
      <c r="T1965" s="63">
        <v>1</v>
      </c>
      <c r="U1965" s="63">
        <v>10</v>
      </c>
      <c r="V1965" s="63">
        <v>33</v>
      </c>
      <c r="W1965" s="63">
        <f t="shared" si="801"/>
        <v>4551</v>
      </c>
      <c r="X1965" s="63"/>
      <c r="Y1965" s="63">
        <v>16</v>
      </c>
      <c r="Z1965" s="63"/>
      <c r="AA1965" s="63">
        <v>11</v>
      </c>
      <c r="AB1965" s="63"/>
      <c r="AC1965" s="63"/>
      <c r="AD1965" s="63"/>
      <c r="AE1965" s="63"/>
      <c r="AF1965" s="63"/>
      <c r="AG1965" s="63">
        <v>1</v>
      </c>
      <c r="AH1965" s="63"/>
      <c r="AI1965" s="63"/>
      <c r="AJ1965" s="63"/>
      <c r="AK1965" s="63"/>
      <c r="AL1965" s="63">
        <v>1</v>
      </c>
      <c r="AM1965" s="63"/>
      <c r="AN1965" s="63">
        <v>22</v>
      </c>
      <c r="AO1965" s="63"/>
      <c r="AP1965" s="63"/>
      <c r="AQ1965" s="63"/>
      <c r="AR1965" s="63"/>
      <c r="AS1965" s="63"/>
      <c r="AT1965" s="63"/>
      <c r="AU1965" s="63"/>
      <c r="AW1965" s="5">
        <f>IF(Q1965&gt;0,RANK(Q1965,(N1965:P1965,Q1965:AE1965)),0)</f>
        <v>4</v>
      </c>
      <c r="AX1965" s="5">
        <f>IF(R1965&gt;0,RANK(R1965,(N1965:P1965,Q1965:AE1965)),0)</f>
        <v>3</v>
      </c>
      <c r="AY1965" s="5">
        <f>IF(T1965&gt;0,RANK(T1965,(N1965:P1965,Q1965:AE1965)),0)</f>
        <v>12</v>
      </c>
      <c r="AZ1965" s="5">
        <f>IF(S1965&gt;0,RANK(S1965,(N1965:P1965,Q1965:AE1965)),0)</f>
        <v>8</v>
      </c>
      <c r="BA1965" s="2">
        <f t="shared" si="823"/>
        <v>8.520304615785651E-3</v>
      </c>
      <c r="BB1965" s="2">
        <f t="shared" si="823"/>
        <v>1.4811228828023659E-2</v>
      </c>
      <c r="BC1965" s="2">
        <f t="shared" si="824"/>
        <v>1.2413031200153922E-6</v>
      </c>
      <c r="BD1965" s="2">
        <f t="shared" si="825"/>
        <v>3.5997790480446373E-5</v>
      </c>
      <c r="BF1965" t="s">
        <v>463</v>
      </c>
      <c r="BG1965" t="s">
        <v>193</v>
      </c>
      <c r="BJ1965" s="114">
        <v>36</v>
      </c>
      <c r="BK1965" s="116">
        <v>47</v>
      </c>
      <c r="BL1965" s="120">
        <f t="shared" si="822"/>
        <v>36047</v>
      </c>
      <c r="BN1965" s="5" t="s">
        <v>3154</v>
      </c>
      <c r="BO1965" s="63">
        <v>4900</v>
      </c>
      <c r="BP1965" s="63">
        <v>0</v>
      </c>
      <c r="BR1965" s="63"/>
      <c r="BT1965" s="63">
        <v>611439</v>
      </c>
      <c r="BU1965" s="63">
        <v>129368</v>
      </c>
      <c r="BV1965" s="63">
        <v>11676</v>
      </c>
      <c r="BW1965" s="63">
        <v>26578</v>
      </c>
      <c r="BX1965" s="63">
        <v>4786</v>
      </c>
      <c r="BY1965" s="63">
        <v>2536</v>
      </c>
      <c r="BZ1965" s="63">
        <v>2078</v>
      </c>
      <c r="CB1965" s="63">
        <v>4516</v>
      </c>
      <c r="CD1965" s="63">
        <v>0</v>
      </c>
      <c r="CE1965" s="63">
        <v>2</v>
      </c>
      <c r="CF1965" s="63">
        <v>0</v>
      </c>
      <c r="CG1965" s="8">
        <v>1</v>
      </c>
      <c r="CH1965" s="8">
        <v>0</v>
      </c>
      <c r="CI1965" s="8">
        <v>1</v>
      </c>
      <c r="CJ1965" s="8">
        <v>0</v>
      </c>
      <c r="CK1965" s="8">
        <v>1</v>
      </c>
      <c r="CL1965" s="8">
        <v>2</v>
      </c>
      <c r="CM1965" s="8">
        <v>2</v>
      </c>
      <c r="CN1965" s="8">
        <v>3</v>
      </c>
      <c r="CO1965" s="8">
        <v>1</v>
      </c>
      <c r="CP1965">
        <v>7</v>
      </c>
      <c r="CQ1965">
        <v>1</v>
      </c>
      <c r="CR1965">
        <v>13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hidden="1" outlineLevel="1">
      <c r="A1966" t="s">
        <v>192</v>
      </c>
      <c r="B1966" t="s">
        <v>193</v>
      </c>
      <c r="C1966" s="1">
        <f t="shared" si="810"/>
        <v>668940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6</v>
      </c>
      <c r="G1966" s="132">
        <f t="shared" si="802"/>
        <v>514083</v>
      </c>
      <c r="H1966" s="137">
        <f t="shared" si="803"/>
        <v>0.76850390169521932</v>
      </c>
      <c r="I1966" s="2"/>
      <c r="J1966" s="2">
        <f t="shared" si="818"/>
        <v>0.86556791341525396</v>
      </c>
      <c r="K1966" s="2">
        <f t="shared" si="819"/>
        <v>9.7064011720034676E-2</v>
      </c>
      <c r="L1966" s="2">
        <f t="shared" si="820"/>
        <v>1.4380960923251712E-3</v>
      </c>
      <c r="M1966" s="2">
        <f t="shared" si="821"/>
        <v>3.5929978772386191E-2</v>
      </c>
      <c r="N1966" s="67">
        <f t="shared" si="811"/>
        <v>579013</v>
      </c>
      <c r="O1966" s="63">
        <f t="shared" si="812"/>
        <v>64930</v>
      </c>
      <c r="P1966" s="63">
        <v>962</v>
      </c>
      <c r="Q1966" s="63">
        <f t="shared" si="813"/>
        <v>9408</v>
      </c>
      <c r="R1966" s="63">
        <v>9441</v>
      </c>
      <c r="S1966" s="63">
        <v>12</v>
      </c>
      <c r="T1966" s="63">
        <v>5</v>
      </c>
      <c r="U1966" s="63">
        <v>0</v>
      </c>
      <c r="V1966" s="63">
        <v>24</v>
      </c>
      <c r="W1966" s="63">
        <f t="shared" si="801"/>
        <v>5097</v>
      </c>
      <c r="X1966" s="63"/>
      <c r="Y1966" s="63">
        <v>0</v>
      </c>
      <c r="Z1966" s="63"/>
      <c r="AA1966" s="63">
        <v>17</v>
      </c>
      <c r="AB1966" s="63"/>
      <c r="AC1966" s="63"/>
      <c r="AD1966" s="63"/>
      <c r="AE1966" s="63"/>
      <c r="AF1966" s="63"/>
      <c r="AG1966" s="63">
        <v>0</v>
      </c>
      <c r="AH1966" s="63"/>
      <c r="AI1966" s="63"/>
      <c r="AJ1966" s="63"/>
      <c r="AK1966" s="63"/>
      <c r="AL1966" s="63">
        <v>1</v>
      </c>
      <c r="AM1966" s="63"/>
      <c r="AN1966" s="63">
        <v>30</v>
      </c>
      <c r="AO1966" s="63"/>
      <c r="AP1966" s="63"/>
      <c r="AQ1966" s="63"/>
      <c r="AR1966" s="63"/>
      <c r="AS1966" s="63"/>
      <c r="AT1966" s="63"/>
      <c r="AU1966" s="63"/>
      <c r="AW1966" s="5">
        <f>IF(Q1966&gt;0,RANK(Q1966,(N1966:P1966,Q1966:AE1966)),0)</f>
        <v>4</v>
      </c>
      <c r="AX1966" s="5">
        <f>IF(R1966&gt;0,RANK(R1966,(N1966:P1966,Q1966:AE1966)),0)</f>
        <v>3</v>
      </c>
      <c r="AY1966" s="5">
        <f>IF(T1966&gt;0,RANK(T1966,(N1966:P1966,Q1966:AE1966)),0)</f>
        <v>10</v>
      </c>
      <c r="AZ1966" s="5">
        <f>IF(S1966&gt;0,RANK(S1966,(N1966:P1966,Q1966:AE1966)),0)</f>
        <v>9</v>
      </c>
      <c r="BA1966" s="2">
        <f t="shared" si="823"/>
        <v>1.406404161808234E-2</v>
      </c>
      <c r="BB1966" s="2">
        <f t="shared" si="823"/>
        <v>1.4113373396717194E-2</v>
      </c>
      <c r="BC1966" s="2">
        <f t="shared" si="824"/>
        <v>7.4745119143719914E-6</v>
      </c>
      <c r="BD1966" s="2">
        <f t="shared" si="825"/>
        <v>1.7938828594492779E-5</v>
      </c>
      <c r="BF1966" t="s">
        <v>192</v>
      </c>
      <c r="BG1966" t="s">
        <v>193</v>
      </c>
      <c r="BJ1966" s="114">
        <v>36</v>
      </c>
      <c r="BK1966" s="116">
        <v>61</v>
      </c>
      <c r="BL1966" s="120">
        <f t="shared" si="822"/>
        <v>36061</v>
      </c>
      <c r="BN1966" s="5" t="s">
        <v>3154</v>
      </c>
      <c r="BO1966" s="63">
        <v>4172</v>
      </c>
      <c r="BP1966" s="63">
        <v>0</v>
      </c>
      <c r="BR1966" s="63"/>
      <c r="BT1966" s="63">
        <v>557859</v>
      </c>
      <c r="BU1966" s="63">
        <v>60638</v>
      </c>
      <c r="BV1966" s="63">
        <v>4292</v>
      </c>
      <c r="BW1966" s="63">
        <v>18396</v>
      </c>
      <c r="BX1966" s="63">
        <v>5588</v>
      </c>
      <c r="BY1966" s="63">
        <v>2758</v>
      </c>
      <c r="BZ1966" s="63">
        <v>3820</v>
      </c>
      <c r="CB1966" s="63">
        <v>5071</v>
      </c>
      <c r="CD1966" s="63">
        <v>0</v>
      </c>
      <c r="CE1966" s="63">
        <v>3</v>
      </c>
      <c r="CF1966" s="63">
        <v>1</v>
      </c>
      <c r="CG1966" s="8">
        <v>1</v>
      </c>
      <c r="CH1966" s="8">
        <v>0</v>
      </c>
      <c r="CI1966" s="8">
        <v>0</v>
      </c>
      <c r="CJ1966" s="8">
        <v>0</v>
      </c>
      <c r="CK1966" s="8">
        <v>1</v>
      </c>
      <c r="CL1966" s="8">
        <v>0</v>
      </c>
      <c r="CM1966" s="8">
        <v>6</v>
      </c>
      <c r="CN1966" s="8">
        <v>0</v>
      </c>
      <c r="CO1966" s="8">
        <v>1</v>
      </c>
      <c r="CP1966">
        <v>4</v>
      </c>
      <c r="CQ1966">
        <v>0</v>
      </c>
      <c r="CR1966">
        <v>6</v>
      </c>
      <c r="CS1966">
        <v>0</v>
      </c>
      <c r="CT1966">
        <v>2</v>
      </c>
      <c r="CU1966">
        <v>0</v>
      </c>
      <c r="CV1966">
        <v>0</v>
      </c>
      <c r="CW1966">
        <v>0</v>
      </c>
      <c r="CX1966">
        <v>1</v>
      </c>
      <c r="CY1966">
        <v>0</v>
      </c>
    </row>
    <row r="1967" spans="1:103" hidden="1" outlineLevel="1">
      <c r="A1967" t="s">
        <v>581</v>
      </c>
      <c r="B1967" t="s">
        <v>193</v>
      </c>
      <c r="C1967" s="1">
        <f t="shared" si="810"/>
        <v>686393</v>
      </c>
      <c r="D1967" s="5">
        <f>IF(N1967&gt;0, RANK(N1967,(N1967:P1967,Q1967:AE1967)),0)</f>
        <v>1</v>
      </c>
      <c r="E1967" s="5">
        <f>IF(O1967&gt;0,RANK(O1967,(N1967:P1967,Q1967:AE1967)),0)</f>
        <v>2</v>
      </c>
      <c r="F1967" s="5">
        <f>IF(P1967&gt;0,RANK(P1967,(N1967:P1967,Q1967:AE1967)),0)</f>
        <v>6</v>
      </c>
      <c r="G1967" s="132">
        <f t="shared" si="802"/>
        <v>367879</v>
      </c>
      <c r="H1967" s="137">
        <f t="shared" si="803"/>
        <v>0.53595971986893809</v>
      </c>
      <c r="I1967" s="2"/>
      <c r="J1967" s="2">
        <f t="shared" si="818"/>
        <v>0.75353332566037245</v>
      </c>
      <c r="K1967" s="2">
        <f t="shared" si="819"/>
        <v>0.21757360579143437</v>
      </c>
      <c r="L1967" s="2">
        <f t="shared" si="820"/>
        <v>6.9493715699315119E-4</v>
      </c>
      <c r="M1967" s="2">
        <f t="shared" si="821"/>
        <v>2.8198131391200029E-2</v>
      </c>
      <c r="N1967" s="63">
        <f t="shared" si="811"/>
        <v>517220</v>
      </c>
      <c r="O1967" s="63">
        <f t="shared" si="812"/>
        <v>149341</v>
      </c>
      <c r="P1967" s="63">
        <v>477</v>
      </c>
      <c r="Q1967" s="63">
        <f t="shared" si="813"/>
        <v>7116</v>
      </c>
      <c r="R1967" s="63">
        <v>9230</v>
      </c>
      <c r="S1967" s="63">
        <v>33</v>
      </c>
      <c r="T1967" s="63">
        <v>0</v>
      </c>
      <c r="U1967" s="63">
        <v>2</v>
      </c>
      <c r="V1967" s="63">
        <v>22</v>
      </c>
      <c r="W1967" s="63">
        <f t="shared" si="801"/>
        <v>2910</v>
      </c>
      <c r="X1967" s="63"/>
      <c r="Y1967" s="63">
        <v>2</v>
      </c>
      <c r="Z1967" s="63"/>
      <c r="AA1967" s="63">
        <v>8</v>
      </c>
      <c r="AB1967" s="63"/>
      <c r="AC1967" s="63"/>
      <c r="AD1967" s="63"/>
      <c r="AE1967" s="63"/>
      <c r="AF1967" s="63"/>
      <c r="AG1967" s="63">
        <v>1</v>
      </c>
      <c r="AH1967" s="63"/>
      <c r="AI1967" s="63"/>
      <c r="AJ1967" s="63"/>
      <c r="AK1967" s="63"/>
      <c r="AL1967" s="63">
        <v>1</v>
      </c>
      <c r="AM1967" s="63"/>
      <c r="AN1967" s="63">
        <v>30</v>
      </c>
      <c r="AO1967" s="63"/>
      <c r="AP1967" s="63"/>
      <c r="AQ1967" s="63"/>
      <c r="AR1967" s="63"/>
      <c r="AS1967" s="63"/>
      <c r="AT1967" s="63"/>
      <c r="AU1967" s="63"/>
      <c r="AW1967" s="5">
        <f>IF(Q1967&gt;0,RANK(Q1967,(N1967:P1967,Q1967:AE1967)),0)</f>
        <v>4</v>
      </c>
      <c r="AX1967" s="5">
        <f>IF(R1967&gt;0,RANK(R1967,(N1967:P1967,Q1967:AE1967)),0)</f>
        <v>3</v>
      </c>
      <c r="AY1967" s="5">
        <f>IF(T1967&gt;0,RANK(T1967,(N1967:P1967,Q1967:AE1967)),0)</f>
        <v>0</v>
      </c>
      <c r="AZ1967" s="5">
        <f>IF(S1967&gt;0,RANK(S1967,(N1967:P1967,Q1967:AE1967)),0)</f>
        <v>7</v>
      </c>
      <c r="BA1967" s="2">
        <f t="shared" si="823"/>
        <v>1.0367238593633676E-2</v>
      </c>
      <c r="BB1967" s="2">
        <f t="shared" si="823"/>
        <v>1.3447106832383197E-2</v>
      </c>
      <c r="BC1967" s="2">
        <f t="shared" si="824"/>
        <v>0</v>
      </c>
      <c r="BD1967" s="2">
        <f t="shared" si="825"/>
        <v>4.8077413376884671E-5</v>
      </c>
      <c r="BF1967" t="s">
        <v>581</v>
      </c>
      <c r="BG1967" t="s">
        <v>193</v>
      </c>
      <c r="BJ1967" s="114">
        <v>36</v>
      </c>
      <c r="BK1967" s="116">
        <v>81</v>
      </c>
      <c r="BL1967" s="120">
        <f t="shared" si="822"/>
        <v>36081</v>
      </c>
      <c r="BN1967" s="5" t="s">
        <v>3154</v>
      </c>
      <c r="BO1967" s="63">
        <v>4816</v>
      </c>
      <c r="BP1967" s="63">
        <v>0</v>
      </c>
      <c r="BR1967" s="63"/>
      <c r="BT1967" s="63">
        <v>502411</v>
      </c>
      <c r="BU1967" s="63">
        <v>137148</v>
      </c>
      <c r="BV1967" s="63">
        <v>12193</v>
      </c>
      <c r="BW1967" s="63">
        <v>12666</v>
      </c>
      <c r="BX1967" s="63">
        <v>5270</v>
      </c>
      <c r="BY1967" s="63">
        <v>2143</v>
      </c>
      <c r="BZ1967" s="63">
        <v>1846</v>
      </c>
      <c r="CB1967" s="63">
        <v>2888</v>
      </c>
      <c r="CD1967" s="63">
        <v>0</v>
      </c>
      <c r="CE1967" s="63">
        <v>0</v>
      </c>
      <c r="CF1967" s="63">
        <v>1</v>
      </c>
      <c r="CG1967" s="8">
        <v>0</v>
      </c>
      <c r="CH1967" s="8">
        <v>1</v>
      </c>
      <c r="CI1967" s="8">
        <v>0</v>
      </c>
      <c r="CJ1967" s="8">
        <v>1</v>
      </c>
      <c r="CK1967" s="8">
        <v>0</v>
      </c>
      <c r="CL1967" s="8">
        <v>2</v>
      </c>
      <c r="CM1967" s="8">
        <v>5</v>
      </c>
      <c r="CN1967" s="8">
        <v>1</v>
      </c>
      <c r="CO1967" s="8">
        <v>0</v>
      </c>
      <c r="CP1967">
        <v>1</v>
      </c>
      <c r="CQ1967">
        <v>1</v>
      </c>
      <c r="CR1967">
        <v>9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hidden="1" outlineLevel="1">
      <c r="A1968" t="s">
        <v>1881</v>
      </c>
      <c r="B1968" t="s">
        <v>193</v>
      </c>
      <c r="C1968" s="1">
        <f t="shared" si="810"/>
        <v>180960</v>
      </c>
      <c r="D1968" s="5">
        <f>IF(N1968&gt;0, RANK(N1968,(N1968:P1968,Q1968:AE1968)),0)</f>
        <v>2</v>
      </c>
      <c r="E1968" s="5">
        <f>IF(O1968&gt;0,RANK(O1968,(N1968:P1968,Q1968:AE1968)),0)</f>
        <v>1</v>
      </c>
      <c r="F1968" s="5">
        <f>IF(P1968&gt;0,RANK(P1968,(N1968:P1968,Q1968:AE1968)),0)</f>
        <v>6</v>
      </c>
      <c r="G1968" s="132">
        <f t="shared" si="802"/>
        <v>27294</v>
      </c>
      <c r="H1968" s="137">
        <f t="shared" si="803"/>
        <v>0.15082891246684349</v>
      </c>
      <c r="I1968" s="2"/>
      <c r="J1968" s="2">
        <f t="shared" si="818"/>
        <v>0.40972038019451812</v>
      </c>
      <c r="K1968" s="2">
        <f t="shared" si="819"/>
        <v>0.56054929266136166</v>
      </c>
      <c r="L1968" s="2">
        <f t="shared" si="820"/>
        <v>7.7917771883289125E-4</v>
      </c>
      <c r="M1968" s="2">
        <f t="shared" si="821"/>
        <v>2.895114942528727E-2</v>
      </c>
      <c r="N1968" s="63">
        <f t="shared" si="811"/>
        <v>74143</v>
      </c>
      <c r="O1968" s="63">
        <f t="shared" si="812"/>
        <v>101437</v>
      </c>
      <c r="P1968" s="63">
        <v>141</v>
      </c>
      <c r="Q1968" s="63">
        <f t="shared" si="813"/>
        <v>2432</v>
      </c>
      <c r="R1968" s="63">
        <v>1886</v>
      </c>
      <c r="S1968" s="63">
        <v>13</v>
      </c>
      <c r="T1968" s="63">
        <v>1</v>
      </c>
      <c r="U1968" s="63">
        <v>1</v>
      </c>
      <c r="V1968" s="63">
        <v>2</v>
      </c>
      <c r="W1968" s="63">
        <f t="shared" si="801"/>
        <v>886</v>
      </c>
      <c r="X1968" s="63"/>
      <c r="Y1968" s="63">
        <v>0</v>
      </c>
      <c r="Z1968" s="63"/>
      <c r="AA1968" s="63">
        <v>4</v>
      </c>
      <c r="AB1968" s="63"/>
      <c r="AC1968" s="63"/>
      <c r="AD1968" s="63"/>
      <c r="AE1968" s="63"/>
      <c r="AF1968" s="63"/>
      <c r="AG1968" s="63">
        <v>3</v>
      </c>
      <c r="AH1968" s="63"/>
      <c r="AI1968" s="63"/>
      <c r="AJ1968" s="63"/>
      <c r="AK1968" s="63"/>
      <c r="AL1968" s="63">
        <v>0</v>
      </c>
      <c r="AM1968" s="63"/>
      <c r="AN1968" s="63">
        <v>11</v>
      </c>
      <c r="AO1968" s="63"/>
      <c r="AP1968" s="63"/>
      <c r="AQ1968" s="63"/>
      <c r="AR1968" s="63"/>
      <c r="AS1968" s="63"/>
      <c r="AT1968" s="63"/>
      <c r="AU1968" s="63"/>
      <c r="AW1968" s="5">
        <f>IF(Q1968&gt;0,RANK(Q1968,(N1968:P1968,Q1968:AE1968)),0)</f>
        <v>3</v>
      </c>
      <c r="AX1968" s="5">
        <f>IF(R1968&gt;0,RANK(R1968,(N1968:P1968,Q1968:AE1968)),0)</f>
        <v>4</v>
      </c>
      <c r="AY1968" s="5">
        <f>IF(T1968&gt;0,RANK(T1968,(N1968:P1968,Q1968:AE1968)),0)</f>
        <v>10</v>
      </c>
      <c r="AZ1968" s="5">
        <f>IF(S1968&gt;0,RANK(S1968,(N1968:P1968,Q1968:AE1968)),0)</f>
        <v>7</v>
      </c>
      <c r="BA1968" s="2">
        <f t="shared" si="823"/>
        <v>1.3439434129089302E-2</v>
      </c>
      <c r="BB1968" s="2">
        <f t="shared" si="823"/>
        <v>1.0422192749778956E-2</v>
      </c>
      <c r="BC1968" s="2">
        <f t="shared" si="824"/>
        <v>5.5260831122900089E-6</v>
      </c>
      <c r="BD1968" s="2">
        <f t="shared" si="825"/>
        <v>7.1839080459770114E-5</v>
      </c>
      <c r="BF1968" t="s">
        <v>1881</v>
      </c>
      <c r="BG1968" t="s">
        <v>193</v>
      </c>
      <c r="BH1968">
        <v>11</v>
      </c>
      <c r="BJ1968" s="114">
        <v>36</v>
      </c>
      <c r="BK1968" s="116">
        <v>85</v>
      </c>
      <c r="BL1968" s="120">
        <f t="shared" si="822"/>
        <v>36085</v>
      </c>
      <c r="BN1968" s="5" t="s">
        <v>3154</v>
      </c>
      <c r="BO1968" s="63">
        <v>1160</v>
      </c>
      <c r="BP1968" s="63">
        <v>0</v>
      </c>
      <c r="BR1968" s="63"/>
      <c r="BT1968" s="63">
        <v>71348</v>
      </c>
      <c r="BU1968" s="63">
        <v>92383</v>
      </c>
      <c r="BV1968" s="63">
        <v>9054</v>
      </c>
      <c r="BW1968" s="63">
        <v>2372</v>
      </c>
      <c r="BX1968" s="63">
        <v>1744</v>
      </c>
      <c r="BY1968" s="63">
        <v>423</v>
      </c>
      <c r="BZ1968" s="63">
        <v>688</v>
      </c>
      <c r="CB1968" s="63">
        <v>882</v>
      </c>
      <c r="CD1968" s="63">
        <v>0</v>
      </c>
      <c r="CE1968" s="63">
        <v>1</v>
      </c>
      <c r="CF1968" s="63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>
        <v>0</v>
      </c>
      <c r="CQ1968">
        <v>0</v>
      </c>
      <c r="CR1968">
        <v>3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collapsed="1">
      <c r="A1969" t="s">
        <v>192</v>
      </c>
      <c r="B1969" t="s">
        <v>544</v>
      </c>
      <c r="C1969" s="1">
        <f t="shared" si="810"/>
        <v>7721795</v>
      </c>
      <c r="D1969" s="5">
        <f>IF(N1969&gt;0, RANK(N1969,(N1969:P1969,Q1969:AE1969)),0)</f>
        <v>1</v>
      </c>
      <c r="E1969" s="5">
        <f>IF(O1969&gt;0,RANK(O1969,(N1969:P1969,Q1969:AE1969)),0)</f>
        <v>2</v>
      </c>
      <c r="F1969" s="5">
        <f>IF(P1969&gt;0,RANK(P1969,(N1969:P1969,Q1969:AE1969)),0)</f>
        <v>6</v>
      </c>
      <c r="G1969" s="132">
        <f t="shared" si="802"/>
        <v>1736585</v>
      </c>
      <c r="H1969" s="137">
        <f t="shared" si="803"/>
        <v>0.22489395276616383</v>
      </c>
      <c r="I1969" s="2"/>
      <c r="J1969" s="2">
        <f t="shared" si="818"/>
        <v>0.59003664303442394</v>
      </c>
      <c r="K1969" s="2">
        <f t="shared" si="819"/>
        <v>0.36514269026826018</v>
      </c>
      <c r="L1969" s="2">
        <f t="shared" si="820"/>
        <v>1.3485206483725611E-3</v>
      </c>
      <c r="M1969" s="2">
        <f t="shared" si="821"/>
        <v>4.3472146048943318E-2</v>
      </c>
      <c r="N1969" s="63">
        <f t="shared" ref="N1969:R1969" si="826">SUM(N1907:N1968)</f>
        <v>4556142</v>
      </c>
      <c r="O1969" s="63">
        <f t="shared" si="826"/>
        <v>2819557</v>
      </c>
      <c r="P1969" s="63">
        <f t="shared" si="826"/>
        <v>10413</v>
      </c>
      <c r="Q1969" s="63">
        <f t="shared" si="826"/>
        <v>176600</v>
      </c>
      <c r="R1969" s="63">
        <f t="shared" si="826"/>
        <v>107937</v>
      </c>
      <c r="S1969" s="63">
        <f t="shared" ref="S1969" si="827">SUM(S1907:S1968)</f>
        <v>956</v>
      </c>
      <c r="T1969" s="63">
        <f>SUM(T1907:T1968)</f>
        <v>35</v>
      </c>
      <c r="U1969" s="63">
        <f>SUM(U1907:U1968)</f>
        <v>36</v>
      </c>
      <c r="V1969" s="63">
        <f>SUM(V1907:V1968)</f>
        <v>175</v>
      </c>
      <c r="W1969" s="63">
        <f>SUM(W1907:W1968)</f>
        <v>49118</v>
      </c>
      <c r="X1969" s="63"/>
      <c r="Y1969" s="63">
        <f>SUM(Y1907:Y1968)</f>
        <v>137</v>
      </c>
      <c r="Z1969" s="63"/>
      <c r="AA1969" s="63">
        <f>SUM(AA1907:AA1968)</f>
        <v>68</v>
      </c>
      <c r="AB1969" s="63"/>
      <c r="AC1969" s="63"/>
      <c r="AD1969" s="63"/>
      <c r="AE1969" s="63"/>
      <c r="AF1969" s="63"/>
      <c r="AG1969" s="63">
        <f>SUM(AG1907:AG1968)</f>
        <v>90</v>
      </c>
      <c r="AH1969" s="63"/>
      <c r="AI1969" s="63"/>
      <c r="AJ1969" s="63"/>
      <c r="AK1969" s="63"/>
      <c r="AL1969" s="63">
        <f>SUM(AL1907:AL1968)</f>
        <v>72</v>
      </c>
      <c r="AM1969" s="63"/>
      <c r="AN1969" s="63">
        <f t="shared" ref="AN1969" si="828">SUM(AN1907:AN1968)</f>
        <v>459</v>
      </c>
      <c r="AO1969" s="63"/>
      <c r="AP1969" s="63"/>
      <c r="AQ1969" s="63"/>
      <c r="AR1969" s="63"/>
      <c r="AS1969" s="63"/>
      <c r="AT1969" s="63"/>
      <c r="AU1969" s="63"/>
      <c r="AW1969" s="5">
        <f>IF(Q1969&gt;0,RANK(Q1969,(N1969:P1969,Q1969:AE1969)),0)</f>
        <v>3</v>
      </c>
      <c r="AX1969" s="5">
        <f>IF(R1969&gt;0,RANK(R1969,(N1969:P1969,Q1969:AE1969)),0)</f>
        <v>4</v>
      </c>
      <c r="AY1969" s="5">
        <f>IF(T1969&gt;0,RANK(T1969,(N1969:P1969,Q1969:AE1969)),0)</f>
        <v>12</v>
      </c>
      <c r="AZ1969" s="5">
        <f>IF(S1969&gt;0,RANK(S1969,(N1969:P1969,Q1969:AE1969)),0)</f>
        <v>7</v>
      </c>
      <c r="BA1969" s="2">
        <f t="shared" si="823"/>
        <v>2.2870330020416236E-2</v>
      </c>
      <c r="BB1969" s="2">
        <f t="shared" si="823"/>
        <v>1.3978226565196305E-2</v>
      </c>
      <c r="BC1969" s="2">
        <f t="shared" si="824"/>
        <v>4.5326248624833994E-6</v>
      </c>
      <c r="BD1969" s="2">
        <f t="shared" si="825"/>
        <v>1.2380541052954655E-4</v>
      </c>
      <c r="BF1969" t="s">
        <v>192</v>
      </c>
      <c r="BG1969" t="s">
        <v>544</v>
      </c>
      <c r="BJ1969" s="114">
        <v>36</v>
      </c>
      <c r="BK1969" s="116"/>
      <c r="BL1969" s="114">
        <v>36</v>
      </c>
      <c r="BN1969" s="5" t="s">
        <v>711</v>
      </c>
      <c r="BO1969" s="63">
        <f>SUM(BO1907:BO1968)</f>
        <v>77104</v>
      </c>
      <c r="BP1969" s="63">
        <f>SUM(BP1907:BP1968)</f>
        <v>3409</v>
      </c>
      <c r="BR1969" s="63"/>
      <c r="BT1969" s="63">
        <f t="shared" ref="BT1969:BZ1969" si="829">SUM(BT1907:BT1968)</f>
        <v>4379806</v>
      </c>
      <c r="BU1969" s="63">
        <f t="shared" si="829"/>
        <v>2527162</v>
      </c>
      <c r="BV1969" s="63">
        <f t="shared" si="829"/>
        <v>292395</v>
      </c>
      <c r="BW1969" s="63">
        <f t="shared" si="829"/>
        <v>140043</v>
      </c>
      <c r="BX1969" s="63">
        <f t="shared" si="829"/>
        <v>119162</v>
      </c>
      <c r="BY1969" s="63">
        <f t="shared" si="829"/>
        <v>36293</v>
      </c>
      <c r="BZ1969" s="63">
        <f t="shared" si="829"/>
        <v>57438</v>
      </c>
      <c r="CB1969" s="63">
        <f>SUM(CB1907:CB1968)</f>
        <v>48634</v>
      </c>
      <c r="CD1969" s="63">
        <f>SUM(CD1907:CD1968)</f>
        <v>0</v>
      </c>
      <c r="CE1969" s="63">
        <f t="shared" ref="CE1969:CY1969" si="830">SUM(CE1907:CE1968)</f>
        <v>9</v>
      </c>
      <c r="CF1969" s="63">
        <f t="shared" si="830"/>
        <v>2</v>
      </c>
      <c r="CG1969" s="63">
        <f t="shared" si="830"/>
        <v>58</v>
      </c>
      <c r="CH1969" s="63">
        <f t="shared" si="830"/>
        <v>5</v>
      </c>
      <c r="CI1969" s="63">
        <f t="shared" si="830"/>
        <v>18</v>
      </c>
      <c r="CJ1969" s="63">
        <f t="shared" si="830"/>
        <v>25</v>
      </c>
      <c r="CK1969" s="63">
        <f t="shared" si="830"/>
        <v>30</v>
      </c>
      <c r="CL1969" s="63">
        <f t="shared" si="830"/>
        <v>6</v>
      </c>
      <c r="CM1969" s="63">
        <f t="shared" si="830"/>
        <v>76</v>
      </c>
      <c r="CN1969" s="63">
        <f t="shared" si="830"/>
        <v>42</v>
      </c>
      <c r="CO1969" s="63">
        <f t="shared" si="830"/>
        <v>8</v>
      </c>
      <c r="CP1969" s="63">
        <f t="shared" si="830"/>
        <v>15</v>
      </c>
      <c r="CQ1969" s="63">
        <f t="shared" si="830"/>
        <v>85</v>
      </c>
      <c r="CR1969" s="63">
        <f t="shared" si="830"/>
        <v>88</v>
      </c>
      <c r="CS1969" s="63">
        <f t="shared" si="830"/>
        <v>3</v>
      </c>
      <c r="CT1969" s="63">
        <f t="shared" si="830"/>
        <v>3</v>
      </c>
      <c r="CU1969" s="63">
        <f t="shared" si="830"/>
        <v>4</v>
      </c>
      <c r="CV1969" s="63">
        <f t="shared" si="830"/>
        <v>0</v>
      </c>
      <c r="CW1969" s="63">
        <f t="shared" si="830"/>
        <v>1</v>
      </c>
      <c r="CX1969" s="63">
        <f t="shared" si="830"/>
        <v>1</v>
      </c>
      <c r="CY1969" s="63">
        <f t="shared" si="830"/>
        <v>5</v>
      </c>
    </row>
    <row r="1970" spans="1:103">
      <c r="C1970" s="1"/>
      <c r="E1970" s="5"/>
      <c r="F1970" s="5"/>
      <c r="G1970" s="132"/>
      <c r="H1970" s="137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W1970" s="5"/>
      <c r="AX1970" s="5"/>
      <c r="AY1970" s="5"/>
      <c r="AZ1970" s="5"/>
      <c r="BH1970" s="1"/>
      <c r="BI1970" s="1"/>
      <c r="BJ1970" s="114"/>
      <c r="BK1970" s="116"/>
      <c r="BL1970" s="120"/>
      <c r="BM1970" s="1"/>
    </row>
    <row r="1971" spans="1:103" ht="13" hidden="1" customHeight="1" outlineLevel="1">
      <c r="A1971" t="s">
        <v>194</v>
      </c>
      <c r="B1971" t="s">
        <v>2652</v>
      </c>
      <c r="C1971" s="1">
        <f t="shared" ref="C1971:C2002" si="831">SUM(N1971:AU1971)</f>
        <v>71157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32">
        <f t="shared" si="802"/>
        <v>8982</v>
      </c>
      <c r="H1971" s="137">
        <f t="shared" si="803"/>
        <v>0.12622791854631307</v>
      </c>
      <c r="I1971" s="2"/>
      <c r="J1971" s="2">
        <f t="shared" ref="J1971:J2002" si="832">IF($C1971=0,"-",N1971/$C1971)</f>
        <v>0.41925601135517238</v>
      </c>
      <c r="K1971" s="2">
        <f t="shared" ref="K1971:K2002" si="833">IF($C1971=0,"-",O1971/$C1971)</f>
        <v>0.54548392990148542</v>
      </c>
      <c r="L1971" s="2">
        <f t="shared" ref="L1971:L2002" si="834">IF($C1971=0,"-",P1971/$C1971)</f>
        <v>0</v>
      </c>
      <c r="M1971" s="2">
        <f t="shared" ref="M1971:M2002" si="835">IF(C1971=0,"-",(1-J1971-K1971-L1971))</f>
        <v>3.5260058743342149E-2</v>
      </c>
      <c r="N1971" s="63">
        <v>29833</v>
      </c>
      <c r="O1971" s="63">
        <v>38815</v>
      </c>
      <c r="P1971" s="63"/>
      <c r="Q1971" s="63">
        <v>1795</v>
      </c>
      <c r="R1971" s="63">
        <v>216</v>
      </c>
      <c r="S1971" s="63"/>
      <c r="T1971" s="63"/>
      <c r="U1971" s="63"/>
      <c r="V1971" s="63"/>
      <c r="W1971" s="63">
        <v>498</v>
      </c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W1971" s="5">
        <f>IF(Q1971&gt;0,RANK(Q1971,(N1971:P1971,Q1971:AE1971)),0)</f>
        <v>3</v>
      </c>
      <c r="AX1971" s="5">
        <f>IF(R1971&gt;0,RANK(R1971,(N1971:P1971,Q1971:AE1971)),0)</f>
        <v>5</v>
      </c>
      <c r="AY1971" s="5">
        <f>IF(T1971&gt;0,RANK(T1971,(N1971:P1971,Q1971:AE1971)),0)</f>
        <v>0</v>
      </c>
      <c r="AZ1971" s="5">
        <f>IF(S1971&gt;0,RANK(S1971,(N1971:P1971,Q1971:AE1971)),0)</f>
        <v>0</v>
      </c>
      <c r="BA1971" s="2">
        <f t="shared" ref="BA1971:BA2002" si="836">IF($C1971=0,"-",Q1971/$C1971)</f>
        <v>2.5225908905659317E-2</v>
      </c>
      <c r="BB1971" s="2">
        <f t="shared" ref="BB1971:BB2002" si="837">IF($C1971=0,"-",R1971/$C1971)</f>
        <v>3.0355411273662466E-3</v>
      </c>
      <c r="BC1971" s="2">
        <f t="shared" ref="BC1971:BC2002" si="838">IF($C1971=0,"-",T1971/$C1971)</f>
        <v>0</v>
      </c>
      <c r="BD1971" s="2">
        <f t="shared" ref="BD1971:BD2002" si="839">IF($C1971=0,"-",S1971/$C1971)</f>
        <v>0</v>
      </c>
      <c r="BF1971" t="s">
        <v>194</v>
      </c>
      <c r="BG1971" t="s">
        <v>2652</v>
      </c>
      <c r="BH1971">
        <v>6</v>
      </c>
      <c r="BJ1971" s="114">
        <v>37</v>
      </c>
      <c r="BK1971" s="116">
        <v>1</v>
      </c>
      <c r="BL1971" s="120">
        <f t="shared" si="822"/>
        <v>37001</v>
      </c>
      <c r="BN1971" s="5" t="s">
        <v>3154</v>
      </c>
    </row>
    <row r="1972" spans="1:103" ht="13" hidden="1" customHeight="1" outlineLevel="1">
      <c r="A1972" t="s">
        <v>26</v>
      </c>
      <c r="B1972" t="s">
        <v>2652</v>
      </c>
      <c r="C1972" s="1">
        <f t="shared" si="831"/>
        <v>18271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32">
        <f t="shared" si="802"/>
        <v>10126</v>
      </c>
      <c r="H1972" s="137">
        <f t="shared" si="803"/>
        <v>0.5542115921405506</v>
      </c>
      <c r="I1972" s="2"/>
      <c r="J1972" s="2">
        <f t="shared" si="832"/>
        <v>0.20617371791363362</v>
      </c>
      <c r="K1972" s="2">
        <f t="shared" si="833"/>
        <v>0.76038531005418419</v>
      </c>
      <c r="L1972" s="2">
        <f t="shared" si="834"/>
        <v>0</v>
      </c>
      <c r="M1972" s="2">
        <f t="shared" si="835"/>
        <v>3.3440972032182215E-2</v>
      </c>
      <c r="N1972" s="63">
        <v>3767</v>
      </c>
      <c r="O1972" s="63">
        <v>13893</v>
      </c>
      <c r="P1972" s="63"/>
      <c r="Q1972" s="63">
        <v>437</v>
      </c>
      <c r="R1972" s="63">
        <v>23</v>
      </c>
      <c r="S1972" s="63"/>
      <c r="T1972" s="63"/>
      <c r="U1972" s="63"/>
      <c r="V1972" s="63"/>
      <c r="W1972" s="63">
        <v>151</v>
      </c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W1972" s="5">
        <f>IF(Q1972&gt;0,RANK(Q1972,(N1972:P1972,Q1972:AE1972)),0)</f>
        <v>3</v>
      </c>
      <c r="AX1972" s="5">
        <f>IF(R1972&gt;0,RANK(R1972,(N1972:P1972,Q1972:AE1972)),0)</f>
        <v>5</v>
      </c>
      <c r="AY1972" s="5">
        <f>IF(T1972&gt;0,RANK(T1972,(N1972:P1972,Q1972:AE1972)),0)</f>
        <v>0</v>
      </c>
      <c r="AZ1972" s="5">
        <f>IF(S1972&gt;0,RANK(S1972,(N1972:P1972,Q1972:AE1972)),0)</f>
        <v>0</v>
      </c>
      <c r="BA1972" s="2">
        <f t="shared" si="836"/>
        <v>2.391768376115155E-2</v>
      </c>
      <c r="BB1972" s="2">
        <f t="shared" si="837"/>
        <v>1.2588254611132395E-3</v>
      </c>
      <c r="BC1972" s="2">
        <f t="shared" si="838"/>
        <v>0</v>
      </c>
      <c r="BD1972" s="2">
        <f t="shared" si="839"/>
        <v>0</v>
      </c>
      <c r="BF1972" t="s">
        <v>26</v>
      </c>
      <c r="BG1972" t="s">
        <v>2652</v>
      </c>
      <c r="BH1972">
        <v>5</v>
      </c>
      <c r="BJ1972" s="114">
        <v>37</v>
      </c>
      <c r="BK1972" s="116">
        <v>3</v>
      </c>
      <c r="BL1972" s="120">
        <f t="shared" si="822"/>
        <v>37003</v>
      </c>
      <c r="BN1972" s="5" t="s">
        <v>3154</v>
      </c>
    </row>
    <row r="1973" spans="1:103" ht="13" hidden="1" customHeight="1" outlineLevel="1">
      <c r="A1973" t="s">
        <v>1888</v>
      </c>
      <c r="B1973" t="s">
        <v>2652</v>
      </c>
      <c r="C1973" s="1">
        <f t="shared" si="831"/>
        <v>5315</v>
      </c>
      <c r="D1973" s="5">
        <f>IF(N1973&gt;0, RANK(N1973,(N1973:P1973,Q1973:AE1973)),0)</f>
        <v>2</v>
      </c>
      <c r="E1973" s="5">
        <f>IF(O1973&gt;0,RANK(O1973,(N1973:P1973,Q1973:AE1973)),0)</f>
        <v>1</v>
      </c>
      <c r="F1973" s="5">
        <f>IF(P1973&gt;0,RANK(P1973,(N1973:P1973,Q1973:AE1973)),0)</f>
        <v>0</v>
      </c>
      <c r="G1973" s="132">
        <f t="shared" si="802"/>
        <v>2508</v>
      </c>
      <c r="H1973" s="137">
        <f t="shared" si="803"/>
        <v>0.47187206020696143</v>
      </c>
      <c r="I1973" s="2"/>
      <c r="J1973" s="2">
        <f t="shared" si="832"/>
        <v>0.24571966133584194</v>
      </c>
      <c r="K1973" s="2">
        <f t="shared" si="833"/>
        <v>0.71759172154280337</v>
      </c>
      <c r="L1973" s="2">
        <f t="shared" si="834"/>
        <v>0</v>
      </c>
      <c r="M1973" s="2">
        <f t="shared" si="835"/>
        <v>3.6688617121354739E-2</v>
      </c>
      <c r="N1973" s="63">
        <v>1306</v>
      </c>
      <c r="O1973" s="63">
        <v>3814</v>
      </c>
      <c r="P1973" s="63"/>
      <c r="Q1973" s="63">
        <v>129</v>
      </c>
      <c r="R1973" s="63">
        <v>0</v>
      </c>
      <c r="S1973" s="63"/>
      <c r="T1973" s="63"/>
      <c r="U1973" s="63"/>
      <c r="V1973" s="63"/>
      <c r="W1973" s="63">
        <v>66</v>
      </c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W1973" s="5">
        <f>IF(Q1973&gt;0,RANK(Q1973,(N1973:P1973,Q1973:AE1973)),0)</f>
        <v>3</v>
      </c>
      <c r="AX1973" s="5">
        <f>IF(R1973&gt;0,RANK(R1973,(N1973:P1973,Q1973:AE1973)),0)</f>
        <v>0</v>
      </c>
      <c r="AY1973" s="5">
        <f>IF(T1973&gt;0,RANK(T1973,(N1973:P1973,Q1973:AE1973)),0)</f>
        <v>0</v>
      </c>
      <c r="AZ1973" s="5">
        <f>IF(S1973&gt;0,RANK(S1973,(N1973:P1973,Q1973:AE1973)),0)</f>
        <v>0</v>
      </c>
      <c r="BA1973" s="2">
        <f t="shared" si="836"/>
        <v>2.4270931326434618E-2</v>
      </c>
      <c r="BB1973" s="2">
        <f t="shared" si="837"/>
        <v>0</v>
      </c>
      <c r="BC1973" s="2">
        <f t="shared" si="838"/>
        <v>0</v>
      </c>
      <c r="BD1973" s="2">
        <f t="shared" si="839"/>
        <v>0</v>
      </c>
      <c r="BF1973" t="s">
        <v>1888</v>
      </c>
      <c r="BG1973" t="s">
        <v>2652</v>
      </c>
      <c r="BH1973">
        <v>5</v>
      </c>
      <c r="BJ1973" s="114">
        <v>37</v>
      </c>
      <c r="BK1973" s="116">
        <v>5</v>
      </c>
      <c r="BL1973" s="120">
        <f t="shared" si="822"/>
        <v>37005</v>
      </c>
      <c r="BN1973" s="5" t="s">
        <v>3154</v>
      </c>
    </row>
    <row r="1974" spans="1:103" ht="13" hidden="1" customHeight="1" outlineLevel="1">
      <c r="A1974" t="s">
        <v>68</v>
      </c>
      <c r="B1974" t="s">
        <v>2652</v>
      </c>
      <c r="C1974" s="1">
        <f t="shared" si="831"/>
        <v>10545</v>
      </c>
      <c r="D1974" s="5">
        <f>IF(N1974&gt;0, RANK(N1974,(N1974:P1974,Q1974:AE1974)),0)</f>
        <v>1</v>
      </c>
      <c r="E1974" s="5">
        <f>IF(O1974&gt;0,RANK(O1974,(N1974:P1974,Q1974:AE1974)),0)</f>
        <v>2</v>
      </c>
      <c r="F1974" s="5">
        <f>IF(P1974&gt;0,RANK(P1974,(N1974:P1974,Q1974:AE1974)),0)</f>
        <v>0</v>
      </c>
      <c r="G1974" s="132">
        <f t="shared" si="802"/>
        <v>1353</v>
      </c>
      <c r="H1974" s="137">
        <f t="shared" si="803"/>
        <v>0.1283072546230441</v>
      </c>
      <c r="I1974" s="2"/>
      <c r="J1974" s="2">
        <f t="shared" si="832"/>
        <v>0.55561877667140824</v>
      </c>
      <c r="K1974" s="2">
        <f t="shared" si="833"/>
        <v>0.42731152204836415</v>
      </c>
      <c r="L1974" s="2">
        <f t="shared" si="834"/>
        <v>0</v>
      </c>
      <c r="M1974" s="2">
        <f t="shared" si="835"/>
        <v>1.7069701280227612E-2</v>
      </c>
      <c r="N1974" s="63">
        <v>5859</v>
      </c>
      <c r="O1974" s="63">
        <v>4506</v>
      </c>
      <c r="P1974" s="63"/>
      <c r="Q1974" s="63">
        <v>129</v>
      </c>
      <c r="R1974" s="63">
        <v>3</v>
      </c>
      <c r="S1974" s="63"/>
      <c r="T1974" s="63"/>
      <c r="U1974" s="63"/>
      <c r="V1974" s="63"/>
      <c r="W1974" s="63">
        <v>48</v>
      </c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W1974" s="5">
        <f>IF(Q1974&gt;0,RANK(Q1974,(N1974:P1974,Q1974:AE1974)),0)</f>
        <v>3</v>
      </c>
      <c r="AX1974" s="5">
        <f>IF(R1974&gt;0,RANK(R1974,(N1974:P1974,Q1974:AE1974)),0)</f>
        <v>5</v>
      </c>
      <c r="AY1974" s="5">
        <f>IF(T1974&gt;0,RANK(T1974,(N1974:P1974,Q1974:AE1974)),0)</f>
        <v>0</v>
      </c>
      <c r="AZ1974" s="5">
        <f>IF(S1974&gt;0,RANK(S1974,(N1974:P1974,Q1974:AE1974)),0)</f>
        <v>0</v>
      </c>
      <c r="BA1974" s="2">
        <f t="shared" si="836"/>
        <v>1.2233285917496443E-2</v>
      </c>
      <c r="BB1974" s="2">
        <f t="shared" si="837"/>
        <v>2.8449502133712662E-4</v>
      </c>
      <c r="BC1974" s="2">
        <f t="shared" si="838"/>
        <v>0</v>
      </c>
      <c r="BD1974" s="2">
        <f t="shared" si="839"/>
        <v>0</v>
      </c>
      <c r="BF1974" t="s">
        <v>68</v>
      </c>
      <c r="BG1974" t="s">
        <v>2652</v>
      </c>
      <c r="BH1974">
        <v>9</v>
      </c>
      <c r="BJ1974" s="114">
        <v>37</v>
      </c>
      <c r="BK1974" s="116">
        <v>7</v>
      </c>
      <c r="BL1974" s="120">
        <f t="shared" si="822"/>
        <v>37007</v>
      </c>
      <c r="BN1974" s="5" t="s">
        <v>3154</v>
      </c>
    </row>
    <row r="1975" spans="1:103" ht="13" hidden="1" customHeight="1" outlineLevel="1">
      <c r="A1975" t="s">
        <v>887</v>
      </c>
      <c r="B1975" t="s">
        <v>2652</v>
      </c>
      <c r="C1975" s="1">
        <f t="shared" si="831"/>
        <v>13424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32">
        <f t="shared" si="802"/>
        <v>5912</v>
      </c>
      <c r="H1975" s="137">
        <f t="shared" si="803"/>
        <v>0.4404052443384982</v>
      </c>
      <c r="I1975" s="2"/>
      <c r="J1975" s="2">
        <f t="shared" si="832"/>
        <v>0.26072705601907031</v>
      </c>
      <c r="K1975" s="2">
        <f t="shared" si="833"/>
        <v>0.70113230035756857</v>
      </c>
      <c r="L1975" s="2">
        <f t="shared" si="834"/>
        <v>0</v>
      </c>
      <c r="M1975" s="2">
        <f t="shared" si="835"/>
        <v>3.8140643623361115E-2</v>
      </c>
      <c r="N1975" s="63">
        <v>3500</v>
      </c>
      <c r="O1975" s="63">
        <v>9412</v>
      </c>
      <c r="P1975" s="63"/>
      <c r="Q1975" s="63">
        <v>332</v>
      </c>
      <c r="R1975" s="63">
        <v>0</v>
      </c>
      <c r="S1975" s="63"/>
      <c r="T1975" s="63"/>
      <c r="U1975" s="63"/>
      <c r="V1975" s="63"/>
      <c r="W1975" s="63">
        <v>180</v>
      </c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W1975" s="5">
        <f>IF(Q1975&gt;0,RANK(Q1975,(N1975:P1975,Q1975:AE1975)),0)</f>
        <v>3</v>
      </c>
      <c r="AX1975" s="5">
        <f>IF(R1975&gt;0,RANK(R1975,(N1975:P1975,Q1975:AE1975)),0)</f>
        <v>0</v>
      </c>
      <c r="AY1975" s="5">
        <f>IF(T1975&gt;0,RANK(T1975,(N1975:P1975,Q1975:AE1975)),0)</f>
        <v>0</v>
      </c>
      <c r="AZ1975" s="5">
        <f>IF(S1975&gt;0,RANK(S1975,(N1975:P1975,Q1975:AE1975)),0)</f>
        <v>0</v>
      </c>
      <c r="BA1975" s="2">
        <f t="shared" si="836"/>
        <v>2.4731823599523244E-2</v>
      </c>
      <c r="BB1975" s="2">
        <f t="shared" si="837"/>
        <v>0</v>
      </c>
      <c r="BC1975" s="2">
        <f t="shared" si="838"/>
        <v>0</v>
      </c>
      <c r="BD1975" s="2">
        <f t="shared" si="839"/>
        <v>0</v>
      </c>
      <c r="BF1975" t="s">
        <v>887</v>
      </c>
      <c r="BG1975" t="s">
        <v>2652</v>
      </c>
      <c r="BH1975">
        <v>5</v>
      </c>
      <c r="BJ1975" s="114">
        <v>37</v>
      </c>
      <c r="BK1975" s="116">
        <v>9</v>
      </c>
      <c r="BL1975" s="120">
        <f t="shared" si="822"/>
        <v>37009</v>
      </c>
      <c r="BN1975" s="5" t="s">
        <v>3154</v>
      </c>
    </row>
    <row r="1976" spans="1:103" ht="13" hidden="1" customHeight="1" outlineLevel="1">
      <c r="A1976" t="s">
        <v>888</v>
      </c>
      <c r="B1976" t="s">
        <v>2652</v>
      </c>
      <c r="C1976" s="1">
        <f t="shared" si="831"/>
        <v>8249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32">
        <f t="shared" si="802"/>
        <v>4609</v>
      </c>
      <c r="H1976" s="137">
        <f t="shared" si="803"/>
        <v>0.55873439204752096</v>
      </c>
      <c r="I1976" s="2"/>
      <c r="J1976" s="2">
        <f t="shared" si="832"/>
        <v>0.20475209116256515</v>
      </c>
      <c r="K1976" s="2">
        <f t="shared" si="833"/>
        <v>0.76348648321008605</v>
      </c>
      <c r="L1976" s="2">
        <f t="shared" si="834"/>
        <v>0</v>
      </c>
      <c r="M1976" s="2">
        <f t="shared" si="835"/>
        <v>3.1761425627348849E-2</v>
      </c>
      <c r="N1976" s="63">
        <v>1689</v>
      </c>
      <c r="O1976" s="63">
        <v>6298</v>
      </c>
      <c r="P1976" s="63"/>
      <c r="Q1976" s="63">
        <v>166</v>
      </c>
      <c r="R1976" s="63">
        <v>23</v>
      </c>
      <c r="S1976" s="63"/>
      <c r="T1976" s="63"/>
      <c r="U1976" s="63"/>
      <c r="V1976" s="63"/>
      <c r="W1976" s="63">
        <v>73</v>
      </c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W1976" s="5">
        <f>IF(Q1976&gt;0,RANK(Q1976,(N1976:P1976,Q1976:AE1976)),0)</f>
        <v>3</v>
      </c>
      <c r="AX1976" s="5">
        <f>IF(R1976&gt;0,RANK(R1976,(N1976:P1976,Q1976:AE1976)),0)</f>
        <v>5</v>
      </c>
      <c r="AY1976" s="5">
        <f>IF(T1976&gt;0,RANK(T1976,(N1976:P1976,Q1976:AE1976)),0)</f>
        <v>0</v>
      </c>
      <c r="AZ1976" s="5">
        <f>IF(S1976&gt;0,RANK(S1976,(N1976:P1976,Q1976:AE1976)),0)</f>
        <v>0</v>
      </c>
      <c r="BA1976" s="2">
        <f t="shared" si="836"/>
        <v>2.0123651351678991E-2</v>
      </c>
      <c r="BB1976" s="2">
        <f t="shared" si="837"/>
        <v>2.7882167535458842E-3</v>
      </c>
      <c r="BC1976" s="2">
        <f t="shared" si="838"/>
        <v>0</v>
      </c>
      <c r="BD1976" s="2">
        <f t="shared" si="839"/>
        <v>0</v>
      </c>
      <c r="BF1976" t="s">
        <v>888</v>
      </c>
      <c r="BG1976" t="s">
        <v>2652</v>
      </c>
      <c r="BH1976">
        <v>5</v>
      </c>
      <c r="BJ1976" s="114">
        <v>37</v>
      </c>
      <c r="BK1976" s="116">
        <v>11</v>
      </c>
      <c r="BL1976" s="120">
        <f t="shared" si="822"/>
        <v>37011</v>
      </c>
      <c r="BN1976" s="5" t="s">
        <v>3154</v>
      </c>
    </row>
    <row r="1977" spans="1:103" ht="13" hidden="1" customHeight="1" outlineLevel="1">
      <c r="A1977" t="s">
        <v>279</v>
      </c>
      <c r="B1977" t="s">
        <v>2652</v>
      </c>
      <c r="C1977" s="1">
        <f t="shared" si="831"/>
        <v>23938</v>
      </c>
      <c r="D1977" s="5">
        <f>IF(N1977&gt;0, RANK(N1977,(N1977:P1977,Q1977:AE1977)),0)</f>
        <v>2</v>
      </c>
      <c r="E1977" s="5">
        <f>IF(O1977&gt;0,RANK(O1977,(N1977:P1977,Q1977:AE1977)),0)</f>
        <v>1</v>
      </c>
      <c r="F1977" s="5">
        <f>IF(P1977&gt;0,RANK(P1977,(N1977:P1977,Q1977:AE1977)),0)</f>
        <v>0</v>
      </c>
      <c r="G1977" s="132">
        <f t="shared" si="802"/>
        <v>5779</v>
      </c>
      <c r="H1977" s="137">
        <f t="shared" si="803"/>
        <v>0.24141532291753698</v>
      </c>
      <c r="I1977" s="2"/>
      <c r="J1977" s="2">
        <f t="shared" si="832"/>
        <v>0.36611245718105107</v>
      </c>
      <c r="K1977" s="2">
        <f t="shared" si="833"/>
        <v>0.60752778009858799</v>
      </c>
      <c r="L1977" s="2">
        <f t="shared" si="834"/>
        <v>0</v>
      </c>
      <c r="M1977" s="2">
        <f t="shared" si="835"/>
        <v>2.6359762720361002E-2</v>
      </c>
      <c r="N1977" s="63">
        <v>8764</v>
      </c>
      <c r="O1977" s="63">
        <v>14543</v>
      </c>
      <c r="P1977" s="63"/>
      <c r="Q1977" s="63">
        <v>426</v>
      </c>
      <c r="R1977" s="63">
        <v>25</v>
      </c>
      <c r="S1977" s="63"/>
      <c r="T1977" s="63"/>
      <c r="U1977" s="63"/>
      <c r="V1977" s="63"/>
      <c r="W1977" s="63">
        <v>180</v>
      </c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W1977" s="5">
        <f>IF(Q1977&gt;0,RANK(Q1977,(N1977:P1977,Q1977:AE1977)),0)</f>
        <v>3</v>
      </c>
      <c r="AX1977" s="5">
        <f>IF(R1977&gt;0,RANK(R1977,(N1977:P1977,Q1977:AE1977)),0)</f>
        <v>5</v>
      </c>
      <c r="AY1977" s="5">
        <f>IF(T1977&gt;0,RANK(T1977,(N1977:P1977,Q1977:AE1977)),0)</f>
        <v>0</v>
      </c>
      <c r="AZ1977" s="5">
        <f>IF(S1977&gt;0,RANK(S1977,(N1977:P1977,Q1977:AE1977)),0)</f>
        <v>0</v>
      </c>
      <c r="BA1977" s="2">
        <f t="shared" si="836"/>
        <v>1.7795972930069345E-2</v>
      </c>
      <c r="BB1977" s="2">
        <f t="shared" si="837"/>
        <v>1.0443646085721446E-3</v>
      </c>
      <c r="BC1977" s="2">
        <f t="shared" si="838"/>
        <v>0</v>
      </c>
      <c r="BD1977" s="2">
        <f t="shared" si="839"/>
        <v>0</v>
      </c>
      <c r="BF1977" t="s">
        <v>279</v>
      </c>
      <c r="BG1977" t="s">
        <v>2652</v>
      </c>
      <c r="BH1977">
        <v>3</v>
      </c>
      <c r="BJ1977" s="114">
        <v>37</v>
      </c>
      <c r="BK1977" s="116">
        <v>13</v>
      </c>
      <c r="BL1977" s="120">
        <f t="shared" si="822"/>
        <v>37013</v>
      </c>
      <c r="BN1977" s="5" t="s">
        <v>3154</v>
      </c>
    </row>
    <row r="1978" spans="1:103" ht="13" hidden="1" customHeight="1" outlineLevel="1">
      <c r="A1978" t="s">
        <v>971</v>
      </c>
      <c r="B1978" t="s">
        <v>2652</v>
      </c>
      <c r="C1978" s="1">
        <f t="shared" si="831"/>
        <v>9347</v>
      </c>
      <c r="D1978" s="5">
        <f>IF(N1978&gt;0, RANK(N1978,(N1978:P1978,Q1978:AE1978)),0)</f>
        <v>1</v>
      </c>
      <c r="E1978" s="5">
        <f>IF(O1978&gt;0,RANK(O1978,(N1978:P1978,Q1978:AE1978)),0)</f>
        <v>2</v>
      </c>
      <c r="F1978" s="5">
        <f>IF(P1978&gt;0,RANK(P1978,(N1978:P1978,Q1978:AE1978)),0)</f>
        <v>0</v>
      </c>
      <c r="G1978" s="132">
        <f t="shared" si="802"/>
        <v>2322</v>
      </c>
      <c r="H1978" s="137">
        <f t="shared" si="803"/>
        <v>0.24842195356798974</v>
      </c>
      <c r="I1978" s="2"/>
      <c r="J1978" s="2">
        <f t="shared" si="832"/>
        <v>0.61816625655290469</v>
      </c>
      <c r="K1978" s="2">
        <f t="shared" si="833"/>
        <v>0.36974430298491495</v>
      </c>
      <c r="L1978" s="2">
        <f t="shared" si="834"/>
        <v>0</v>
      </c>
      <c r="M1978" s="2">
        <f t="shared" si="835"/>
        <v>1.2089440462180356E-2</v>
      </c>
      <c r="N1978" s="63">
        <v>5778</v>
      </c>
      <c r="O1978" s="63">
        <v>3456</v>
      </c>
      <c r="P1978" s="63"/>
      <c r="Q1978" s="63">
        <v>70</v>
      </c>
      <c r="R1978" s="63">
        <v>3</v>
      </c>
      <c r="S1978" s="63"/>
      <c r="T1978" s="63"/>
      <c r="U1978" s="63"/>
      <c r="V1978" s="63"/>
      <c r="W1978" s="63">
        <v>40</v>
      </c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W1978" s="5">
        <f>IF(Q1978&gt;0,RANK(Q1978,(N1978:P1978,Q1978:AE1978)),0)</f>
        <v>3</v>
      </c>
      <c r="AX1978" s="5">
        <f>IF(R1978&gt;0,RANK(R1978,(N1978:P1978,Q1978:AE1978)),0)</f>
        <v>5</v>
      </c>
      <c r="AY1978" s="5">
        <f>IF(T1978&gt;0,RANK(T1978,(N1978:P1978,Q1978:AE1978)),0)</f>
        <v>0</v>
      </c>
      <c r="AZ1978" s="5">
        <f>IF(S1978&gt;0,RANK(S1978,(N1978:P1978,Q1978:AE1978)),0)</f>
        <v>0</v>
      </c>
      <c r="BA1978" s="2">
        <f t="shared" si="836"/>
        <v>7.4890339146250137E-3</v>
      </c>
      <c r="BB1978" s="2">
        <f t="shared" si="837"/>
        <v>3.2095859634107199E-4</v>
      </c>
      <c r="BC1978" s="2">
        <f t="shared" si="838"/>
        <v>0</v>
      </c>
      <c r="BD1978" s="2">
        <f t="shared" si="839"/>
        <v>0</v>
      </c>
      <c r="BF1978" t="s">
        <v>971</v>
      </c>
      <c r="BG1978" t="s">
        <v>2652</v>
      </c>
      <c r="BH1978">
        <v>1</v>
      </c>
      <c r="BJ1978" s="114">
        <v>37</v>
      </c>
      <c r="BK1978" s="116">
        <v>15</v>
      </c>
      <c r="BL1978" s="120">
        <f t="shared" si="822"/>
        <v>37015</v>
      </c>
      <c r="BN1978" s="5" t="s">
        <v>3154</v>
      </c>
    </row>
    <row r="1979" spans="1:103" ht="13" hidden="1" customHeight="1" outlineLevel="1">
      <c r="A1979" t="s">
        <v>1696</v>
      </c>
      <c r="B1979" t="s">
        <v>2652</v>
      </c>
      <c r="C1979" s="1">
        <f t="shared" si="831"/>
        <v>15897</v>
      </c>
      <c r="D1979" s="5">
        <f>IF(N1979&gt;0, RANK(N1979,(N1979:P1979,Q1979:AE1979)),0)</f>
        <v>2</v>
      </c>
      <c r="E1979" s="5">
        <f>IF(O1979&gt;0,RANK(O1979,(N1979:P1979,Q1979:AE1979)),0)</f>
        <v>1</v>
      </c>
      <c r="F1979" s="5">
        <f>IF(P1979&gt;0,RANK(P1979,(N1979:P1979,Q1979:AE1979)),0)</f>
        <v>0</v>
      </c>
      <c r="G1979" s="132">
        <f t="shared" si="802"/>
        <v>1492</v>
      </c>
      <c r="H1979" s="137">
        <f t="shared" si="803"/>
        <v>9.385418632446374E-2</v>
      </c>
      <c r="I1979" s="2"/>
      <c r="J1979" s="2">
        <f t="shared" si="832"/>
        <v>0.44398314147323392</v>
      </c>
      <c r="K1979" s="2">
        <f t="shared" si="833"/>
        <v>0.53783732779769766</v>
      </c>
      <c r="L1979" s="2">
        <f t="shared" si="834"/>
        <v>0</v>
      </c>
      <c r="M1979" s="2">
        <f t="shared" si="835"/>
        <v>1.8179530729068416E-2</v>
      </c>
      <c r="N1979" s="63">
        <v>7058</v>
      </c>
      <c r="O1979" s="63">
        <v>8550</v>
      </c>
      <c r="P1979" s="63"/>
      <c r="Q1979" s="63">
        <v>212</v>
      </c>
      <c r="R1979" s="63">
        <v>11</v>
      </c>
      <c r="S1979" s="63"/>
      <c r="T1979" s="63"/>
      <c r="U1979" s="63"/>
      <c r="V1979" s="63"/>
      <c r="W1979" s="63">
        <v>66</v>
      </c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W1979" s="5">
        <f>IF(Q1979&gt;0,RANK(Q1979,(N1979:P1979,Q1979:AE1979)),0)</f>
        <v>3</v>
      </c>
      <c r="AX1979" s="5">
        <f>IF(R1979&gt;0,RANK(R1979,(N1979:P1979,Q1979:AE1979)),0)</f>
        <v>5</v>
      </c>
      <c r="AY1979" s="5">
        <f>IF(T1979&gt;0,RANK(T1979,(N1979:P1979,Q1979:AE1979)),0)</f>
        <v>0</v>
      </c>
      <c r="AZ1979" s="5">
        <f>IF(S1979&gt;0,RANK(S1979,(N1979:P1979,Q1979:AE1979)),0)</f>
        <v>0</v>
      </c>
      <c r="BA1979" s="2">
        <f t="shared" si="836"/>
        <v>1.3335849531358118E-2</v>
      </c>
      <c r="BB1979" s="2">
        <f t="shared" si="837"/>
        <v>6.919544568157514E-4</v>
      </c>
      <c r="BC1979" s="2">
        <f t="shared" si="838"/>
        <v>0</v>
      </c>
      <c r="BD1979" s="2">
        <f t="shared" si="839"/>
        <v>0</v>
      </c>
      <c r="BF1979" t="s">
        <v>1696</v>
      </c>
      <c r="BG1979" t="s">
        <v>2652</v>
      </c>
      <c r="BJ1979" s="114">
        <v>37</v>
      </c>
      <c r="BK1979" s="116">
        <v>17</v>
      </c>
      <c r="BL1979" s="120">
        <f t="shared" si="822"/>
        <v>37017</v>
      </c>
      <c r="BN1979" s="5" t="s">
        <v>3154</v>
      </c>
    </row>
    <row r="1980" spans="1:103" ht="13" hidden="1" customHeight="1" outlineLevel="1">
      <c r="A1980" t="s">
        <v>1808</v>
      </c>
      <c r="B1980" t="s">
        <v>2652</v>
      </c>
      <c r="C1980" s="1">
        <f t="shared" si="831"/>
        <v>68351</v>
      </c>
      <c r="D1980" s="5">
        <f>IF(N1980&gt;0, RANK(N1980,(N1980:P1980,Q1980:AE1980)),0)</f>
        <v>2</v>
      </c>
      <c r="E1980" s="5">
        <f>IF(O1980&gt;0,RANK(O1980,(N1980:P1980,Q1980:AE1980)),0)</f>
        <v>1</v>
      </c>
      <c r="F1980" s="5">
        <f>IF(P1980&gt;0,RANK(P1980,(N1980:P1980,Q1980:AE1980)),0)</f>
        <v>0</v>
      </c>
      <c r="G1980" s="132">
        <f t="shared" si="802"/>
        <v>19438</v>
      </c>
      <c r="H1980" s="137">
        <f t="shared" si="803"/>
        <v>0.28438501265526472</v>
      </c>
      <c r="I1980" s="2"/>
      <c r="J1980" s="2">
        <f t="shared" si="832"/>
        <v>0.34062413132214597</v>
      </c>
      <c r="K1980" s="2">
        <f t="shared" si="833"/>
        <v>0.6250091439774107</v>
      </c>
      <c r="L1980" s="2">
        <f t="shared" si="834"/>
        <v>0</v>
      </c>
      <c r="M1980" s="2">
        <f t="shared" si="835"/>
        <v>3.436672470044333E-2</v>
      </c>
      <c r="N1980" s="63">
        <v>23282</v>
      </c>
      <c r="O1980" s="63">
        <v>42720</v>
      </c>
      <c r="P1980" s="63"/>
      <c r="Q1980" s="63">
        <v>1717</v>
      </c>
      <c r="R1980" s="63">
        <v>96</v>
      </c>
      <c r="S1980" s="63"/>
      <c r="T1980" s="63"/>
      <c r="U1980" s="63"/>
      <c r="V1980" s="63"/>
      <c r="W1980" s="63">
        <v>536</v>
      </c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W1980" s="5">
        <f>IF(Q1980&gt;0,RANK(Q1980,(N1980:P1980,Q1980:AE1980)),0)</f>
        <v>3</v>
      </c>
      <c r="AX1980" s="5">
        <f>IF(R1980&gt;0,RANK(R1980,(N1980:P1980,Q1980:AE1980)),0)</f>
        <v>5</v>
      </c>
      <c r="AY1980" s="5">
        <f>IF(T1980&gt;0,RANK(T1980,(N1980:P1980,Q1980:AE1980)),0)</f>
        <v>0</v>
      </c>
      <c r="AZ1980" s="5">
        <f>IF(S1980&gt;0,RANK(S1980,(N1980:P1980,Q1980:AE1980)),0)</f>
        <v>0</v>
      </c>
      <c r="BA1980" s="2">
        <f t="shared" si="836"/>
        <v>2.5120334742725053E-2</v>
      </c>
      <c r="BB1980" s="2">
        <f t="shared" si="837"/>
        <v>1.4045149302863162E-3</v>
      </c>
      <c r="BC1980" s="2">
        <f t="shared" si="838"/>
        <v>0</v>
      </c>
      <c r="BD1980" s="2">
        <f t="shared" si="839"/>
        <v>0</v>
      </c>
      <c r="BF1980" t="s">
        <v>1808</v>
      </c>
      <c r="BG1980" t="s">
        <v>2652</v>
      </c>
      <c r="BH1980">
        <v>7</v>
      </c>
      <c r="BJ1980" s="114">
        <v>37</v>
      </c>
      <c r="BK1980" s="116">
        <v>19</v>
      </c>
      <c r="BL1980" s="120">
        <f t="shared" si="822"/>
        <v>37019</v>
      </c>
      <c r="BN1980" s="5" t="s">
        <v>3154</v>
      </c>
    </row>
    <row r="1981" spans="1:103" ht="13" hidden="1" customHeight="1" outlineLevel="1">
      <c r="A1981" t="s">
        <v>1558</v>
      </c>
      <c r="B1981" t="s">
        <v>2652</v>
      </c>
      <c r="C1981" s="1">
        <f t="shared" si="831"/>
        <v>138947</v>
      </c>
      <c r="D1981" s="5">
        <f>IF(N1981&gt;0, RANK(N1981,(N1981:P1981,Q1981:AE1981)),0)</f>
        <v>1</v>
      </c>
      <c r="E1981" s="5">
        <f>IF(O1981&gt;0,RANK(O1981,(N1981:P1981,Q1981:AE1981)),0)</f>
        <v>2</v>
      </c>
      <c r="F1981" s="5">
        <f>IF(P1981&gt;0,RANK(P1981,(N1981:P1981,Q1981:AE1981)),0)</f>
        <v>0</v>
      </c>
      <c r="G1981" s="132">
        <f t="shared" si="802"/>
        <v>19736</v>
      </c>
      <c r="H1981" s="137">
        <f t="shared" si="803"/>
        <v>0.1420397705599977</v>
      </c>
      <c r="I1981" s="2"/>
      <c r="J1981" s="2">
        <f t="shared" si="832"/>
        <v>0.54302719742059924</v>
      </c>
      <c r="K1981" s="2">
        <f t="shared" si="833"/>
        <v>0.40098742686060151</v>
      </c>
      <c r="L1981" s="2">
        <f t="shared" si="834"/>
        <v>0</v>
      </c>
      <c r="M1981" s="2">
        <f t="shared" si="835"/>
        <v>5.5985375718799246E-2</v>
      </c>
      <c r="N1981" s="63">
        <v>75452</v>
      </c>
      <c r="O1981" s="63">
        <v>55716</v>
      </c>
      <c r="P1981" s="63"/>
      <c r="Q1981" s="63">
        <v>4285</v>
      </c>
      <c r="R1981" s="63">
        <v>1535</v>
      </c>
      <c r="S1981" s="63"/>
      <c r="T1981" s="63"/>
      <c r="U1981" s="63"/>
      <c r="V1981" s="63"/>
      <c r="W1981" s="63">
        <v>1959</v>
      </c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W1981" s="5">
        <f>IF(Q1981&gt;0,RANK(Q1981,(N1981:P1981,Q1981:AE1981)),0)</f>
        <v>3</v>
      </c>
      <c r="AX1981" s="5">
        <f>IF(R1981&gt;0,RANK(R1981,(N1981:P1981,Q1981:AE1981)),0)</f>
        <v>5</v>
      </c>
      <c r="AY1981" s="5">
        <f>IF(T1981&gt;0,RANK(T1981,(N1981:P1981,Q1981:AE1981)),0)</f>
        <v>0</v>
      </c>
      <c r="AZ1981" s="5">
        <f>IF(S1981&gt;0,RANK(S1981,(N1981:P1981,Q1981:AE1981)),0)</f>
        <v>0</v>
      </c>
      <c r="BA1981" s="2">
        <f t="shared" si="836"/>
        <v>3.08390969218479E-2</v>
      </c>
      <c r="BB1981" s="2">
        <f t="shared" si="837"/>
        <v>1.1047377777138045E-2</v>
      </c>
      <c r="BC1981" s="2">
        <f t="shared" si="838"/>
        <v>0</v>
      </c>
      <c r="BD1981" s="2">
        <f t="shared" si="839"/>
        <v>0</v>
      </c>
      <c r="BF1981" t="s">
        <v>1558</v>
      </c>
      <c r="BG1981" t="s">
        <v>2652</v>
      </c>
      <c r="BJ1981" s="114">
        <v>37</v>
      </c>
      <c r="BK1981" s="116">
        <v>21</v>
      </c>
      <c r="BL1981" s="120">
        <f t="shared" si="822"/>
        <v>37021</v>
      </c>
      <c r="BN1981" s="5" t="s">
        <v>3154</v>
      </c>
    </row>
    <row r="1982" spans="1:103" ht="13" hidden="1" customHeight="1" outlineLevel="1">
      <c r="A1982" t="s">
        <v>2930</v>
      </c>
      <c r="B1982" t="s">
        <v>2652</v>
      </c>
      <c r="C1982" s="1">
        <f t="shared" si="831"/>
        <v>38920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32">
        <f t="shared" si="802"/>
        <v>14987</v>
      </c>
      <c r="H1982" s="137">
        <f t="shared" si="803"/>
        <v>0.38507194244604315</v>
      </c>
      <c r="I1982" s="2"/>
      <c r="J1982" s="2">
        <f t="shared" si="832"/>
        <v>0.28908016443987666</v>
      </c>
      <c r="K1982" s="2">
        <f t="shared" si="833"/>
        <v>0.67415210688591987</v>
      </c>
      <c r="L1982" s="2">
        <f t="shared" si="834"/>
        <v>0</v>
      </c>
      <c r="M1982" s="2">
        <f t="shared" si="835"/>
        <v>3.6767728674203526E-2</v>
      </c>
      <c r="N1982" s="63">
        <v>11251</v>
      </c>
      <c r="O1982" s="63">
        <v>26238</v>
      </c>
      <c r="P1982" s="63"/>
      <c r="Q1982" s="63">
        <v>988</v>
      </c>
      <c r="R1982" s="63">
        <v>119</v>
      </c>
      <c r="S1982" s="63"/>
      <c r="T1982" s="63"/>
      <c r="U1982" s="63"/>
      <c r="V1982" s="63"/>
      <c r="W1982" s="63">
        <v>324</v>
      </c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W1982" s="5">
        <f>IF(Q1982&gt;0,RANK(Q1982,(N1982:P1982,Q1982:AE1982)),0)</f>
        <v>3</v>
      </c>
      <c r="AX1982" s="5">
        <f>IF(R1982&gt;0,RANK(R1982,(N1982:P1982,Q1982:AE1982)),0)</f>
        <v>5</v>
      </c>
      <c r="AY1982" s="5">
        <f>IF(T1982&gt;0,RANK(T1982,(N1982:P1982,Q1982:AE1982)),0)</f>
        <v>0</v>
      </c>
      <c r="AZ1982" s="5">
        <f>IF(S1982&gt;0,RANK(S1982,(N1982:P1982,Q1982:AE1982)),0)</f>
        <v>0</v>
      </c>
      <c r="BA1982" s="2">
        <f t="shared" si="836"/>
        <v>2.5385405960945528E-2</v>
      </c>
      <c r="BB1982" s="2">
        <f t="shared" si="837"/>
        <v>3.0575539568345324E-3</v>
      </c>
      <c r="BC1982" s="2">
        <f t="shared" si="838"/>
        <v>0</v>
      </c>
      <c r="BD1982" s="2">
        <f t="shared" si="839"/>
        <v>0</v>
      </c>
      <c r="BF1982" t="s">
        <v>2930</v>
      </c>
      <c r="BG1982" t="s">
        <v>2652</v>
      </c>
      <c r="BH1982">
        <v>11</v>
      </c>
      <c r="BJ1982" s="114">
        <v>37</v>
      </c>
      <c r="BK1982" s="116">
        <v>23</v>
      </c>
      <c r="BL1982" s="120">
        <f t="shared" si="822"/>
        <v>37023</v>
      </c>
      <c r="BN1982" s="5" t="s">
        <v>3154</v>
      </c>
    </row>
    <row r="1983" spans="1:103" ht="13" hidden="1" customHeight="1" outlineLevel="1">
      <c r="A1983" t="s">
        <v>2670</v>
      </c>
      <c r="B1983" t="s">
        <v>2652</v>
      </c>
      <c r="C1983" s="1">
        <f t="shared" si="831"/>
        <v>93289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32">
        <f t="shared" si="802"/>
        <v>18298</v>
      </c>
      <c r="H1983" s="137">
        <f t="shared" si="803"/>
        <v>0.19614316800480228</v>
      </c>
      <c r="I1983" s="2"/>
      <c r="J1983" s="2">
        <f t="shared" si="832"/>
        <v>0.38076300528465307</v>
      </c>
      <c r="K1983" s="2">
        <f t="shared" si="833"/>
        <v>0.57690617328945537</v>
      </c>
      <c r="L1983" s="2">
        <f t="shared" si="834"/>
        <v>0</v>
      </c>
      <c r="M1983" s="2">
        <f t="shared" si="835"/>
        <v>4.2330821425891507E-2</v>
      </c>
      <c r="N1983" s="63">
        <v>35521</v>
      </c>
      <c r="O1983" s="63">
        <v>53819</v>
      </c>
      <c r="P1983" s="63"/>
      <c r="Q1983" s="63">
        <v>2786</v>
      </c>
      <c r="R1983" s="63">
        <v>190</v>
      </c>
      <c r="S1983" s="63"/>
      <c r="T1983" s="63"/>
      <c r="U1983" s="63"/>
      <c r="V1983" s="63"/>
      <c r="W1983" s="63">
        <v>973</v>
      </c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W1983" s="5">
        <f>IF(Q1983&gt;0,RANK(Q1983,(N1983:P1983,Q1983:AE1983)),0)</f>
        <v>3</v>
      </c>
      <c r="AX1983" s="5">
        <f>IF(R1983&gt;0,RANK(R1983,(N1983:P1983,Q1983:AE1983)),0)</f>
        <v>5</v>
      </c>
      <c r="AY1983" s="5">
        <f>IF(T1983&gt;0,RANK(T1983,(N1983:P1983,Q1983:AE1983)),0)</f>
        <v>0</v>
      </c>
      <c r="AZ1983" s="5">
        <f>IF(S1983&gt;0,RANK(S1983,(N1983:P1983,Q1983:AE1983)),0)</f>
        <v>0</v>
      </c>
      <c r="BA1983" s="2">
        <f t="shared" si="836"/>
        <v>2.9864185488106852E-2</v>
      </c>
      <c r="BB1983" s="2">
        <f t="shared" si="837"/>
        <v>2.0366817095263108E-3</v>
      </c>
      <c r="BC1983" s="2">
        <f t="shared" si="838"/>
        <v>0</v>
      </c>
      <c r="BD1983" s="2">
        <f t="shared" si="839"/>
        <v>0</v>
      </c>
      <c r="BF1983" t="s">
        <v>2670</v>
      </c>
      <c r="BG1983" t="s">
        <v>2652</v>
      </c>
      <c r="BH1983">
        <v>8</v>
      </c>
      <c r="BJ1983" s="114">
        <v>37</v>
      </c>
      <c r="BK1983" s="116">
        <v>25</v>
      </c>
      <c r="BL1983" s="120">
        <f t="shared" si="822"/>
        <v>37025</v>
      </c>
      <c r="BN1983" s="5" t="s">
        <v>3154</v>
      </c>
    </row>
    <row r="1984" spans="1:103" ht="13" hidden="1" customHeight="1" outlineLevel="1">
      <c r="A1984" t="s">
        <v>317</v>
      </c>
      <c r="B1984" t="s">
        <v>2652</v>
      </c>
      <c r="C1984" s="1">
        <f t="shared" si="831"/>
        <v>36320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32">
        <f t="shared" si="802"/>
        <v>18196</v>
      </c>
      <c r="H1984" s="137">
        <f t="shared" si="803"/>
        <v>0.5009911894273128</v>
      </c>
      <c r="I1984" s="2"/>
      <c r="J1984" s="2">
        <f t="shared" si="832"/>
        <v>0.231965859030837</v>
      </c>
      <c r="K1984" s="2">
        <f t="shared" si="833"/>
        <v>0.7329570484581498</v>
      </c>
      <c r="L1984" s="2">
        <f t="shared" si="834"/>
        <v>0</v>
      </c>
      <c r="M1984" s="2">
        <f t="shared" si="835"/>
        <v>3.5077092511013208E-2</v>
      </c>
      <c r="N1984" s="63">
        <v>8425</v>
      </c>
      <c r="O1984" s="63">
        <v>26621</v>
      </c>
      <c r="P1984" s="63"/>
      <c r="Q1984" s="63">
        <v>849</v>
      </c>
      <c r="R1984" s="63">
        <v>123</v>
      </c>
      <c r="S1984" s="63"/>
      <c r="T1984" s="63"/>
      <c r="U1984" s="63"/>
      <c r="V1984" s="63"/>
      <c r="W1984" s="63">
        <v>302</v>
      </c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W1984" s="5">
        <f>IF(Q1984&gt;0,RANK(Q1984,(N1984:P1984,Q1984:AE1984)),0)</f>
        <v>3</v>
      </c>
      <c r="AX1984" s="5">
        <f>IF(R1984&gt;0,RANK(R1984,(N1984:P1984,Q1984:AE1984)),0)</f>
        <v>5</v>
      </c>
      <c r="AY1984" s="5">
        <f>IF(T1984&gt;0,RANK(T1984,(N1984:P1984,Q1984:AE1984)),0)</f>
        <v>0</v>
      </c>
      <c r="AZ1984" s="5">
        <f>IF(S1984&gt;0,RANK(S1984,(N1984:P1984,Q1984:AE1984)),0)</f>
        <v>0</v>
      </c>
      <c r="BA1984" s="2">
        <f t="shared" si="836"/>
        <v>2.337555066079295E-2</v>
      </c>
      <c r="BB1984" s="2">
        <f t="shared" si="837"/>
        <v>3.3865638766519823E-3</v>
      </c>
      <c r="BC1984" s="2">
        <f t="shared" si="838"/>
        <v>0</v>
      </c>
      <c r="BD1984" s="2">
        <f t="shared" si="839"/>
        <v>0</v>
      </c>
      <c r="BF1984" t="s">
        <v>317</v>
      </c>
      <c r="BG1984" t="s">
        <v>2652</v>
      </c>
      <c r="BH1984">
        <v>11</v>
      </c>
      <c r="BJ1984" s="114">
        <v>37</v>
      </c>
      <c r="BK1984" s="116">
        <v>27</v>
      </c>
      <c r="BL1984" s="120">
        <f t="shared" si="822"/>
        <v>37027</v>
      </c>
      <c r="BN1984" s="5" t="s">
        <v>3154</v>
      </c>
    </row>
    <row r="1985" spans="1:66" ht="13" hidden="1" customHeight="1" outlineLevel="1">
      <c r="A1985" t="s">
        <v>1605</v>
      </c>
      <c r="B1985" t="s">
        <v>2652</v>
      </c>
      <c r="C1985" s="1">
        <f t="shared" si="831"/>
        <v>5006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32">
        <f t="shared" si="802"/>
        <v>2272</v>
      </c>
      <c r="H1985" s="137">
        <f t="shared" si="803"/>
        <v>0.45385537355173794</v>
      </c>
      <c r="I1985" s="2"/>
      <c r="J1985" s="2">
        <f t="shared" si="832"/>
        <v>0.25449460647223332</v>
      </c>
      <c r="K1985" s="2">
        <f t="shared" si="833"/>
        <v>0.7083499800239712</v>
      </c>
      <c r="L1985" s="2">
        <f t="shared" si="834"/>
        <v>0</v>
      </c>
      <c r="M1985" s="2">
        <f t="shared" si="835"/>
        <v>3.7155413503795476E-2</v>
      </c>
      <c r="N1985" s="63">
        <v>1274</v>
      </c>
      <c r="O1985" s="63">
        <v>3546</v>
      </c>
      <c r="P1985" s="63"/>
      <c r="Q1985" s="63">
        <v>149</v>
      </c>
      <c r="R1985" s="63">
        <v>8</v>
      </c>
      <c r="S1985" s="63"/>
      <c r="T1985" s="63"/>
      <c r="U1985" s="63"/>
      <c r="V1985" s="63"/>
      <c r="W1985" s="63">
        <v>29</v>
      </c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W1985" s="5">
        <f>IF(Q1985&gt;0,RANK(Q1985,(N1985:P1985,Q1985:AE1985)),0)</f>
        <v>3</v>
      </c>
      <c r="AX1985" s="5">
        <f>IF(R1985&gt;0,RANK(R1985,(N1985:P1985,Q1985:AE1985)),0)</f>
        <v>5</v>
      </c>
      <c r="AY1985" s="5">
        <f>IF(T1985&gt;0,RANK(T1985,(N1985:P1985,Q1985:AE1985)),0)</f>
        <v>0</v>
      </c>
      <c r="AZ1985" s="5">
        <f>IF(S1985&gt;0,RANK(S1985,(N1985:P1985,Q1985:AE1985)),0)</f>
        <v>0</v>
      </c>
      <c r="BA1985" s="2">
        <f t="shared" si="836"/>
        <v>2.9764282860567318E-2</v>
      </c>
      <c r="BB1985" s="2">
        <f t="shared" si="837"/>
        <v>1.5980823012385138E-3</v>
      </c>
      <c r="BC1985" s="2">
        <f t="shared" si="838"/>
        <v>0</v>
      </c>
      <c r="BD1985" s="2">
        <f t="shared" si="839"/>
        <v>0</v>
      </c>
      <c r="BF1985" t="s">
        <v>1605</v>
      </c>
      <c r="BG1985" t="s">
        <v>2652</v>
      </c>
      <c r="BH1985">
        <v>3</v>
      </c>
      <c r="BJ1985" s="114">
        <v>37</v>
      </c>
      <c r="BK1985" s="116">
        <v>29</v>
      </c>
      <c r="BL1985" s="120">
        <f t="shared" si="822"/>
        <v>37029</v>
      </c>
      <c r="BN1985" s="5" t="s">
        <v>3154</v>
      </c>
    </row>
    <row r="1986" spans="1:66" ht="13" hidden="1" customHeight="1" outlineLevel="1">
      <c r="A1986" t="s">
        <v>243</v>
      </c>
      <c r="B1986" t="s">
        <v>2652</v>
      </c>
      <c r="C1986" s="1">
        <f t="shared" si="831"/>
        <v>37781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32">
        <f t="shared" si="802"/>
        <v>16630</v>
      </c>
      <c r="H1986" s="137">
        <f t="shared" si="803"/>
        <v>0.44016833858288557</v>
      </c>
      <c r="I1986" s="2"/>
      <c r="J1986" s="2">
        <f t="shared" si="832"/>
        <v>0.2630687382546783</v>
      </c>
      <c r="K1986" s="2">
        <f t="shared" si="833"/>
        <v>0.70323707683756387</v>
      </c>
      <c r="L1986" s="2">
        <f t="shared" si="834"/>
        <v>0</v>
      </c>
      <c r="M1986" s="2">
        <f t="shared" si="835"/>
        <v>3.3694184907757774E-2</v>
      </c>
      <c r="N1986" s="63">
        <v>9939</v>
      </c>
      <c r="O1986" s="63">
        <v>26569</v>
      </c>
      <c r="P1986" s="63"/>
      <c r="Q1986" s="63">
        <v>913</v>
      </c>
      <c r="R1986" s="63">
        <v>82</v>
      </c>
      <c r="S1986" s="63"/>
      <c r="T1986" s="63"/>
      <c r="U1986" s="63"/>
      <c r="V1986" s="63"/>
      <c r="W1986" s="63">
        <v>278</v>
      </c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W1986" s="5">
        <f>IF(Q1986&gt;0,RANK(Q1986,(N1986:P1986,Q1986:AE1986)),0)</f>
        <v>3</v>
      </c>
      <c r="AX1986" s="5">
        <f>IF(R1986&gt;0,RANK(R1986,(N1986:P1986,Q1986:AE1986)),0)</f>
        <v>5</v>
      </c>
      <c r="AY1986" s="5">
        <f>IF(T1986&gt;0,RANK(T1986,(N1986:P1986,Q1986:AE1986)),0)</f>
        <v>0</v>
      </c>
      <c r="AZ1986" s="5">
        <f>IF(S1986&gt;0,RANK(S1986,(N1986:P1986,Q1986:AE1986)),0)</f>
        <v>0</v>
      </c>
      <c r="BA1986" s="2">
        <f t="shared" si="836"/>
        <v>2.4165585876498769E-2</v>
      </c>
      <c r="BB1986" s="2">
        <f t="shared" si="837"/>
        <v>2.1704031126756835E-3</v>
      </c>
      <c r="BC1986" s="2">
        <f t="shared" si="838"/>
        <v>0</v>
      </c>
      <c r="BD1986" s="2">
        <f t="shared" si="839"/>
        <v>0</v>
      </c>
      <c r="BF1986" t="s">
        <v>243</v>
      </c>
      <c r="BG1986" t="s">
        <v>2652</v>
      </c>
      <c r="BH1986">
        <v>3</v>
      </c>
      <c r="BJ1986" s="114">
        <v>37</v>
      </c>
      <c r="BK1986" s="116">
        <v>31</v>
      </c>
      <c r="BL1986" s="120">
        <f t="shared" si="822"/>
        <v>37031</v>
      </c>
      <c r="BN1986" s="5" t="s">
        <v>3154</v>
      </c>
    </row>
    <row r="1987" spans="1:66" ht="13" hidden="1" customHeight="1" outlineLevel="1">
      <c r="A1987" t="s">
        <v>1247</v>
      </c>
      <c r="B1987" t="s">
        <v>2652</v>
      </c>
      <c r="C1987" s="1">
        <f t="shared" si="831"/>
        <v>11070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32">
        <f t="shared" si="802"/>
        <v>1234</v>
      </c>
      <c r="H1987" s="137">
        <f t="shared" si="803"/>
        <v>0.11147244805781391</v>
      </c>
      <c r="I1987" s="2"/>
      <c r="J1987" s="2">
        <f t="shared" si="832"/>
        <v>0.43288166214995483</v>
      </c>
      <c r="K1987" s="2">
        <f t="shared" si="833"/>
        <v>0.54435411020776869</v>
      </c>
      <c r="L1987" s="2">
        <f t="shared" si="834"/>
        <v>0</v>
      </c>
      <c r="M1987" s="2">
        <f t="shared" si="835"/>
        <v>2.276422764227648E-2</v>
      </c>
      <c r="N1987" s="63">
        <v>4792</v>
      </c>
      <c r="O1987" s="63">
        <v>6026</v>
      </c>
      <c r="P1987" s="63"/>
      <c r="Q1987" s="63">
        <v>214</v>
      </c>
      <c r="R1987" s="63">
        <v>9</v>
      </c>
      <c r="S1987" s="63"/>
      <c r="T1987" s="63"/>
      <c r="U1987" s="63"/>
      <c r="V1987" s="63"/>
      <c r="W1987" s="63">
        <v>29</v>
      </c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W1987" s="5">
        <f>IF(Q1987&gt;0,RANK(Q1987,(N1987:P1987,Q1987:AE1987)),0)</f>
        <v>3</v>
      </c>
      <c r="AX1987" s="5">
        <f>IF(R1987&gt;0,RANK(R1987,(N1987:P1987,Q1987:AE1987)),0)</f>
        <v>5</v>
      </c>
      <c r="AY1987" s="5">
        <f>IF(T1987&gt;0,RANK(T1987,(N1987:P1987,Q1987:AE1987)),0)</f>
        <v>0</v>
      </c>
      <c r="AZ1987" s="5">
        <f>IF(S1987&gt;0,RANK(S1987,(N1987:P1987,Q1987:AE1987)),0)</f>
        <v>0</v>
      </c>
      <c r="BA1987" s="2">
        <f t="shared" si="836"/>
        <v>1.9331526648599818E-2</v>
      </c>
      <c r="BB1987" s="2">
        <f t="shared" si="837"/>
        <v>8.1300813008130081E-4</v>
      </c>
      <c r="BC1987" s="2">
        <f t="shared" si="838"/>
        <v>0</v>
      </c>
      <c r="BD1987" s="2">
        <f t="shared" si="839"/>
        <v>0</v>
      </c>
      <c r="BF1987" t="s">
        <v>1247</v>
      </c>
      <c r="BG1987" t="s">
        <v>2652</v>
      </c>
      <c r="BH1987">
        <v>6</v>
      </c>
      <c r="BJ1987" s="114">
        <v>37</v>
      </c>
      <c r="BK1987" s="116">
        <v>33</v>
      </c>
      <c r="BL1987" s="120">
        <f t="shared" si="822"/>
        <v>37033</v>
      </c>
      <c r="BN1987" s="5" t="s">
        <v>3154</v>
      </c>
    </row>
    <row r="1988" spans="1:66" ht="13" hidden="1" customHeight="1" outlineLevel="1">
      <c r="A1988" t="s">
        <v>928</v>
      </c>
      <c r="B1988" t="s">
        <v>2652</v>
      </c>
      <c r="C1988" s="1">
        <f t="shared" si="831"/>
        <v>72351</v>
      </c>
      <c r="D1988" s="5">
        <f>IF(N1988&gt;0, RANK(N1988,(N1988:P1988,Q1988:AE1988)),0)</f>
        <v>2</v>
      </c>
      <c r="E1988" s="5">
        <f>IF(O1988&gt;0,RANK(O1988,(N1988:P1988,Q1988:AE1988)),0)</f>
        <v>1</v>
      </c>
      <c r="F1988" s="5">
        <f>IF(P1988&gt;0,RANK(P1988,(N1988:P1988,Q1988:AE1988)),0)</f>
        <v>0</v>
      </c>
      <c r="G1988" s="132">
        <f t="shared" si="802"/>
        <v>27108</v>
      </c>
      <c r="H1988" s="137">
        <f t="shared" si="803"/>
        <v>0.37467346684911057</v>
      </c>
      <c r="I1988" s="2"/>
      <c r="J1988" s="2">
        <f t="shared" si="832"/>
        <v>0.29323713563046816</v>
      </c>
      <c r="K1988" s="2">
        <f t="shared" si="833"/>
        <v>0.66791060247957867</v>
      </c>
      <c r="L1988" s="2">
        <f t="shared" si="834"/>
        <v>0</v>
      </c>
      <c r="M1988" s="2">
        <f t="shared" si="835"/>
        <v>3.8852261889953166E-2</v>
      </c>
      <c r="N1988" s="63">
        <v>21216</v>
      </c>
      <c r="O1988" s="63">
        <v>48324</v>
      </c>
      <c r="P1988" s="63"/>
      <c r="Q1988" s="63">
        <v>1973</v>
      </c>
      <c r="R1988" s="63">
        <v>153</v>
      </c>
      <c r="S1988" s="63"/>
      <c r="T1988" s="63"/>
      <c r="U1988" s="63"/>
      <c r="V1988" s="63"/>
      <c r="W1988" s="63">
        <v>685</v>
      </c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W1988" s="5">
        <f>IF(Q1988&gt;0,RANK(Q1988,(N1988:P1988,Q1988:AE1988)),0)</f>
        <v>3</v>
      </c>
      <c r="AX1988" s="5">
        <f>IF(R1988&gt;0,RANK(R1988,(N1988:P1988,Q1988:AE1988)),0)</f>
        <v>5</v>
      </c>
      <c r="AY1988" s="5">
        <f>IF(T1988&gt;0,RANK(T1988,(N1988:P1988,Q1988:AE1988)),0)</f>
        <v>0</v>
      </c>
      <c r="AZ1988" s="5">
        <f>IF(S1988&gt;0,RANK(S1988,(N1988:P1988,Q1988:AE1988)),0)</f>
        <v>0</v>
      </c>
      <c r="BA1988" s="2">
        <f t="shared" si="836"/>
        <v>2.7269837320838691E-2</v>
      </c>
      <c r="BB1988" s="2">
        <f t="shared" si="837"/>
        <v>2.1146908819504912E-3</v>
      </c>
      <c r="BC1988" s="2">
        <f t="shared" si="838"/>
        <v>0</v>
      </c>
      <c r="BD1988" s="2">
        <f t="shared" si="839"/>
        <v>0</v>
      </c>
      <c r="BF1988" t="s">
        <v>928</v>
      </c>
      <c r="BG1988" t="s">
        <v>2652</v>
      </c>
      <c r="BJ1988" s="114">
        <v>37</v>
      </c>
      <c r="BK1988" s="116">
        <v>35</v>
      </c>
      <c r="BL1988" s="120">
        <f t="shared" si="822"/>
        <v>37035</v>
      </c>
      <c r="BN1988" s="5" t="s">
        <v>3154</v>
      </c>
    </row>
    <row r="1989" spans="1:66" ht="13" hidden="1" customHeight="1" outlineLevel="1">
      <c r="A1989" t="s">
        <v>261</v>
      </c>
      <c r="B1989" t="s">
        <v>2652</v>
      </c>
      <c r="C1989" s="1">
        <f t="shared" si="831"/>
        <v>39849</v>
      </c>
      <c r="D1989" s="5">
        <f>IF(N1989&gt;0, RANK(N1989,(N1989:P1989,Q1989:AE1989)),0)</f>
        <v>1</v>
      </c>
      <c r="E1989" s="5">
        <f>IF(O1989&gt;0,RANK(O1989,(N1989:P1989,Q1989:AE1989)),0)</f>
        <v>2</v>
      </c>
      <c r="F1989" s="5">
        <f>IF(P1989&gt;0,RANK(P1989,(N1989:P1989,Q1989:AE1989)),0)</f>
        <v>0</v>
      </c>
      <c r="G1989" s="132">
        <f t="shared" si="802"/>
        <v>3960</v>
      </c>
      <c r="H1989" s="137">
        <f t="shared" si="803"/>
        <v>9.9375141157870966E-2</v>
      </c>
      <c r="I1989" s="2"/>
      <c r="J1989" s="2">
        <f t="shared" si="832"/>
        <v>0.52862054254811919</v>
      </c>
      <c r="K1989" s="2">
        <f t="shared" si="833"/>
        <v>0.42924540139024819</v>
      </c>
      <c r="L1989" s="2">
        <f t="shared" si="834"/>
        <v>0</v>
      </c>
      <c r="M1989" s="2">
        <f t="shared" si="835"/>
        <v>4.2134056061632619E-2</v>
      </c>
      <c r="N1989" s="63">
        <v>21065</v>
      </c>
      <c r="O1989" s="63">
        <v>17105</v>
      </c>
      <c r="P1989" s="63"/>
      <c r="Q1989" s="63">
        <v>1130</v>
      </c>
      <c r="R1989" s="63">
        <v>137</v>
      </c>
      <c r="S1989" s="63"/>
      <c r="T1989" s="63"/>
      <c r="U1989" s="63"/>
      <c r="V1989" s="63"/>
      <c r="W1989" s="63">
        <v>412</v>
      </c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W1989" s="5">
        <f>IF(Q1989&gt;0,RANK(Q1989,(N1989:P1989,Q1989:AE1989)),0)</f>
        <v>3</v>
      </c>
      <c r="AX1989" s="5">
        <f>IF(R1989&gt;0,RANK(R1989,(N1989:P1989,Q1989:AE1989)),0)</f>
        <v>5</v>
      </c>
      <c r="AY1989" s="5">
        <f>IF(T1989&gt;0,RANK(T1989,(N1989:P1989,Q1989:AE1989)),0)</f>
        <v>0</v>
      </c>
      <c r="AZ1989" s="5">
        <f>IF(S1989&gt;0,RANK(S1989,(N1989:P1989,Q1989:AE1989)),0)</f>
        <v>0</v>
      </c>
      <c r="BA1989" s="2">
        <f t="shared" si="836"/>
        <v>2.8357047855655099E-2</v>
      </c>
      <c r="BB1989" s="2">
        <f t="shared" si="837"/>
        <v>3.4379783683404852E-3</v>
      </c>
      <c r="BC1989" s="2">
        <f t="shared" si="838"/>
        <v>0</v>
      </c>
      <c r="BD1989" s="2">
        <f t="shared" si="839"/>
        <v>0</v>
      </c>
      <c r="BF1989" t="s">
        <v>261</v>
      </c>
      <c r="BG1989" t="s">
        <v>2652</v>
      </c>
      <c r="BH1989">
        <v>6</v>
      </c>
      <c r="BJ1989" s="114">
        <v>37</v>
      </c>
      <c r="BK1989" s="116">
        <v>37</v>
      </c>
      <c r="BL1989" s="120">
        <f t="shared" si="822"/>
        <v>37037</v>
      </c>
      <c r="BN1989" s="5" t="s">
        <v>3154</v>
      </c>
    </row>
    <row r="1990" spans="1:66" ht="13" hidden="1" customHeight="1" outlineLevel="1">
      <c r="A1990" t="s">
        <v>1652</v>
      </c>
      <c r="B1990" t="s">
        <v>2652</v>
      </c>
      <c r="C1990" s="1">
        <f t="shared" si="831"/>
        <v>14181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32">
        <f t="shared" si="802"/>
        <v>7984</v>
      </c>
      <c r="H1990" s="137">
        <f t="shared" si="803"/>
        <v>0.56300684013821312</v>
      </c>
      <c r="I1990" s="2"/>
      <c r="J1990" s="2">
        <f t="shared" si="832"/>
        <v>0.20167830195331782</v>
      </c>
      <c r="K1990" s="2">
        <f t="shared" si="833"/>
        <v>0.76468514209153093</v>
      </c>
      <c r="L1990" s="2">
        <f t="shared" si="834"/>
        <v>0</v>
      </c>
      <c r="M1990" s="2">
        <f t="shared" si="835"/>
        <v>3.3636555955151248E-2</v>
      </c>
      <c r="N1990" s="63">
        <v>2860</v>
      </c>
      <c r="O1990" s="63">
        <v>10844</v>
      </c>
      <c r="P1990" s="63"/>
      <c r="Q1990" s="63">
        <v>346</v>
      </c>
      <c r="R1990" s="63">
        <v>33</v>
      </c>
      <c r="S1990" s="63"/>
      <c r="T1990" s="63"/>
      <c r="U1990" s="63"/>
      <c r="V1990" s="63"/>
      <c r="W1990" s="63">
        <v>98</v>
      </c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W1990" s="5">
        <f>IF(Q1990&gt;0,RANK(Q1990,(N1990:P1990,Q1990:AE1990)),0)</f>
        <v>3</v>
      </c>
      <c r="AX1990" s="5">
        <f>IF(R1990&gt;0,RANK(R1990,(N1990:P1990,Q1990:AE1990)),0)</f>
        <v>5</v>
      </c>
      <c r="AY1990" s="5">
        <f>IF(T1990&gt;0,RANK(T1990,(N1990:P1990,Q1990:AE1990)),0)</f>
        <v>0</v>
      </c>
      <c r="AZ1990" s="5">
        <f>IF(S1990&gt;0,RANK(S1990,(N1990:P1990,Q1990:AE1990)),0)</f>
        <v>0</v>
      </c>
      <c r="BA1990" s="2">
        <f t="shared" si="836"/>
        <v>2.4398843523023763E-2</v>
      </c>
      <c r="BB1990" s="2">
        <f t="shared" si="837"/>
        <v>2.3270573302305903E-3</v>
      </c>
      <c r="BC1990" s="2">
        <f t="shared" si="838"/>
        <v>0</v>
      </c>
      <c r="BD1990" s="2">
        <f t="shared" si="839"/>
        <v>0</v>
      </c>
      <c r="BF1990" t="s">
        <v>1652</v>
      </c>
      <c r="BG1990" t="s">
        <v>2652</v>
      </c>
      <c r="BH1990">
        <v>11</v>
      </c>
      <c r="BJ1990" s="114">
        <v>37</v>
      </c>
      <c r="BK1990" s="116">
        <v>39</v>
      </c>
      <c r="BL1990" s="120">
        <f t="shared" si="822"/>
        <v>37039</v>
      </c>
      <c r="BN1990" s="5" t="s">
        <v>3154</v>
      </c>
    </row>
    <row r="1991" spans="1:66" ht="13" hidden="1" customHeight="1" outlineLevel="1">
      <c r="A1991" t="s">
        <v>2917</v>
      </c>
      <c r="B1991" t="s">
        <v>2652</v>
      </c>
      <c r="C1991" s="1">
        <f t="shared" si="831"/>
        <v>7228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32">
        <f t="shared" si="802"/>
        <v>1022</v>
      </c>
      <c r="H1991" s="137">
        <f t="shared" si="803"/>
        <v>0.1413945766463752</v>
      </c>
      <c r="I1991" s="2"/>
      <c r="J1991" s="2">
        <f t="shared" si="832"/>
        <v>0.41394576646375209</v>
      </c>
      <c r="K1991" s="2">
        <f t="shared" si="833"/>
        <v>0.55534034311012725</v>
      </c>
      <c r="L1991" s="2">
        <f t="shared" si="834"/>
        <v>0</v>
      </c>
      <c r="M1991" s="2">
        <f t="shared" si="835"/>
        <v>3.0713890426120716E-2</v>
      </c>
      <c r="N1991" s="63">
        <v>2992</v>
      </c>
      <c r="O1991" s="63">
        <v>4014</v>
      </c>
      <c r="P1991" s="63"/>
      <c r="Q1991" s="63">
        <v>162</v>
      </c>
      <c r="R1991" s="63">
        <v>11</v>
      </c>
      <c r="S1991" s="63"/>
      <c r="T1991" s="63"/>
      <c r="U1991" s="63"/>
      <c r="V1991" s="63"/>
      <c r="W1991" s="63">
        <v>49</v>
      </c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W1991" s="5">
        <f>IF(Q1991&gt;0,RANK(Q1991,(N1991:P1991,Q1991:AE1991)),0)</f>
        <v>3</v>
      </c>
      <c r="AX1991" s="5">
        <f>IF(R1991&gt;0,RANK(R1991,(N1991:P1991,Q1991:AE1991)),0)</f>
        <v>5</v>
      </c>
      <c r="AY1991" s="5">
        <f>IF(T1991&gt;0,RANK(T1991,(N1991:P1991,Q1991:AE1991)),0)</f>
        <v>0</v>
      </c>
      <c r="AZ1991" s="5">
        <f>IF(S1991&gt;0,RANK(S1991,(N1991:P1991,Q1991:AE1991)),0)</f>
        <v>0</v>
      </c>
      <c r="BA1991" s="2">
        <f t="shared" si="836"/>
        <v>2.2412838959601548E-2</v>
      </c>
      <c r="BB1991" s="2">
        <f t="shared" si="837"/>
        <v>1.5218594355285002E-3</v>
      </c>
      <c r="BC1991" s="2">
        <f t="shared" si="838"/>
        <v>0</v>
      </c>
      <c r="BD1991" s="2">
        <f t="shared" si="839"/>
        <v>0</v>
      </c>
      <c r="BF1991" t="s">
        <v>2917</v>
      </c>
      <c r="BG1991" t="s">
        <v>2652</v>
      </c>
      <c r="BH1991">
        <v>3</v>
      </c>
      <c r="BJ1991" s="114">
        <v>37</v>
      </c>
      <c r="BK1991" s="116">
        <v>41</v>
      </c>
      <c r="BL1991" s="120">
        <f t="shared" si="822"/>
        <v>37041</v>
      </c>
      <c r="BN1991" s="5" t="s">
        <v>3154</v>
      </c>
    </row>
    <row r="1992" spans="1:66" ht="13" hidden="1" customHeight="1" outlineLevel="1">
      <c r="A1992" t="s">
        <v>3093</v>
      </c>
      <c r="B1992" t="s">
        <v>2652</v>
      </c>
      <c r="C1992" s="1">
        <f t="shared" si="831"/>
        <v>6010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32">
        <f t="shared" ref="G1992:G2055" si="840">IF(C1992&gt;0,MAX(N1992:P1992)-LARGE(N1992:P1992,2),0)</f>
        <v>3070</v>
      </c>
      <c r="H1992" s="137">
        <f t="shared" ref="H1992:H2055" si="841">IF(C1992&gt;0,G1992/C1992,0)</f>
        <v>0.51081530782029949</v>
      </c>
      <c r="I1992" s="2"/>
      <c r="J1992" s="2">
        <f t="shared" si="832"/>
        <v>0.22745424292845257</v>
      </c>
      <c r="K1992" s="2">
        <f t="shared" si="833"/>
        <v>0.73826955074875211</v>
      </c>
      <c r="L1992" s="2">
        <f t="shared" si="834"/>
        <v>0</v>
      </c>
      <c r="M1992" s="2">
        <f t="shared" si="835"/>
        <v>3.4276206322795377E-2</v>
      </c>
      <c r="N1992" s="63">
        <v>1367</v>
      </c>
      <c r="O1992" s="63">
        <v>4437</v>
      </c>
      <c r="P1992" s="63"/>
      <c r="Q1992" s="63">
        <v>143</v>
      </c>
      <c r="R1992" s="63">
        <v>9</v>
      </c>
      <c r="S1992" s="63"/>
      <c r="T1992" s="63"/>
      <c r="U1992" s="63"/>
      <c r="V1992" s="63"/>
      <c r="W1992" s="63">
        <v>54</v>
      </c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W1992" s="5">
        <f>IF(Q1992&gt;0,RANK(Q1992,(N1992:P1992,Q1992:AE1992)),0)</f>
        <v>3</v>
      </c>
      <c r="AX1992" s="5">
        <f>IF(R1992&gt;0,RANK(R1992,(N1992:P1992,Q1992:AE1992)),0)</f>
        <v>5</v>
      </c>
      <c r="AY1992" s="5">
        <f>IF(T1992&gt;0,RANK(T1992,(N1992:P1992,Q1992:AE1992)),0)</f>
        <v>0</v>
      </c>
      <c r="AZ1992" s="5">
        <f>IF(S1992&gt;0,RANK(S1992,(N1992:P1992,Q1992:AE1992)),0)</f>
        <v>0</v>
      </c>
      <c r="BA1992" s="2">
        <f t="shared" si="836"/>
        <v>2.37936772046589E-2</v>
      </c>
      <c r="BB1992" s="2">
        <f t="shared" si="837"/>
        <v>1.497504159733777E-3</v>
      </c>
      <c r="BC1992" s="2">
        <f t="shared" si="838"/>
        <v>0</v>
      </c>
      <c r="BD1992" s="2">
        <f t="shared" si="839"/>
        <v>0</v>
      </c>
      <c r="BF1992" t="s">
        <v>3093</v>
      </c>
      <c r="BG1992" t="s">
        <v>2652</v>
      </c>
      <c r="BH1992">
        <v>11</v>
      </c>
      <c r="BJ1992" s="114">
        <v>37</v>
      </c>
      <c r="BK1992" s="116">
        <v>43</v>
      </c>
      <c r="BL1992" s="120">
        <f t="shared" si="822"/>
        <v>37043</v>
      </c>
      <c r="BN1992" s="5" t="s">
        <v>3154</v>
      </c>
    </row>
    <row r="1993" spans="1:66" ht="13" hidden="1" customHeight="1" outlineLevel="1">
      <c r="A1993" t="s">
        <v>2925</v>
      </c>
      <c r="B1993" t="s">
        <v>2652</v>
      </c>
      <c r="C1993" s="1">
        <f t="shared" si="831"/>
        <v>44673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32">
        <f t="shared" si="840"/>
        <v>13515</v>
      </c>
      <c r="H1993" s="137">
        <f t="shared" si="841"/>
        <v>0.30253173057551541</v>
      </c>
      <c r="I1993" s="2"/>
      <c r="J1993" s="2">
        <f t="shared" si="832"/>
        <v>0.33496742999126988</v>
      </c>
      <c r="K1993" s="2">
        <f t="shared" si="833"/>
        <v>0.63749916056678535</v>
      </c>
      <c r="L1993" s="2">
        <f t="shared" si="834"/>
        <v>0</v>
      </c>
      <c r="M1993" s="2">
        <f t="shared" si="835"/>
        <v>2.7533409441944712E-2</v>
      </c>
      <c r="N1993" s="63">
        <v>14964</v>
      </c>
      <c r="O1993" s="63">
        <v>28479</v>
      </c>
      <c r="P1993" s="63"/>
      <c r="Q1993" s="63">
        <v>850</v>
      </c>
      <c r="R1993" s="63">
        <v>75</v>
      </c>
      <c r="S1993" s="63"/>
      <c r="T1993" s="63"/>
      <c r="U1993" s="63"/>
      <c r="V1993" s="63"/>
      <c r="W1993" s="63">
        <v>305</v>
      </c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W1993" s="5">
        <f>IF(Q1993&gt;0,RANK(Q1993,(N1993:P1993,Q1993:AE1993)),0)</f>
        <v>3</v>
      </c>
      <c r="AX1993" s="5">
        <f>IF(R1993&gt;0,RANK(R1993,(N1993:P1993,Q1993:AE1993)),0)</f>
        <v>5</v>
      </c>
      <c r="AY1993" s="5">
        <f>IF(T1993&gt;0,RANK(T1993,(N1993:P1993,Q1993:AE1993)),0)</f>
        <v>0</v>
      </c>
      <c r="AZ1993" s="5">
        <f>IF(S1993&gt;0,RANK(S1993,(N1993:P1993,Q1993:AE1993)),0)</f>
        <v>0</v>
      </c>
      <c r="BA1993" s="2">
        <f t="shared" si="836"/>
        <v>1.9027152866384615E-2</v>
      </c>
      <c r="BB1993" s="2">
        <f t="shared" si="837"/>
        <v>1.678866429386878E-3</v>
      </c>
      <c r="BC1993" s="2">
        <f t="shared" si="838"/>
        <v>0</v>
      </c>
      <c r="BD1993" s="2">
        <f t="shared" si="839"/>
        <v>0</v>
      </c>
      <c r="BF1993" t="s">
        <v>2925</v>
      </c>
      <c r="BG1993" t="s">
        <v>2652</v>
      </c>
      <c r="BH1993">
        <v>10</v>
      </c>
      <c r="BJ1993" s="114">
        <v>37</v>
      </c>
      <c r="BK1993" s="116">
        <v>45</v>
      </c>
      <c r="BL1993" s="120">
        <f t="shared" si="822"/>
        <v>37045</v>
      </c>
      <c r="BN1993" s="5" t="s">
        <v>3154</v>
      </c>
    </row>
    <row r="1994" spans="1:66" ht="13" hidden="1" customHeight="1" outlineLevel="1">
      <c r="A1994" t="s">
        <v>1703</v>
      </c>
      <c r="B1994" t="s">
        <v>2652</v>
      </c>
      <c r="C1994" s="1">
        <f t="shared" si="831"/>
        <v>23732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32">
        <f t="shared" si="840"/>
        <v>5209</v>
      </c>
      <c r="H1994" s="137">
        <f t="shared" si="841"/>
        <v>0.21949266812742288</v>
      </c>
      <c r="I1994" s="2"/>
      <c r="J1994" s="2">
        <f t="shared" si="832"/>
        <v>0.38188943199056125</v>
      </c>
      <c r="K1994" s="2">
        <f t="shared" si="833"/>
        <v>0.60138210011798421</v>
      </c>
      <c r="L1994" s="2">
        <f t="shared" si="834"/>
        <v>0</v>
      </c>
      <c r="M1994" s="2">
        <f t="shared" si="835"/>
        <v>1.6728467891454546E-2</v>
      </c>
      <c r="N1994" s="63">
        <v>9063</v>
      </c>
      <c r="O1994" s="63">
        <v>14272</v>
      </c>
      <c r="P1994" s="63"/>
      <c r="Q1994" s="63">
        <v>306</v>
      </c>
      <c r="R1994" s="63">
        <v>0</v>
      </c>
      <c r="S1994" s="63"/>
      <c r="T1994" s="63"/>
      <c r="U1994" s="63"/>
      <c r="V1994" s="63"/>
      <c r="W1994" s="63">
        <v>91</v>
      </c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W1994" s="5">
        <f>IF(Q1994&gt;0,RANK(Q1994,(N1994:P1994,Q1994:AE1994)),0)</f>
        <v>3</v>
      </c>
      <c r="AX1994" s="5">
        <f>IF(R1994&gt;0,RANK(R1994,(N1994:P1994,Q1994:AE1994)),0)</f>
        <v>0</v>
      </c>
      <c r="AY1994" s="5">
        <f>IF(T1994&gt;0,RANK(T1994,(N1994:P1994,Q1994:AE1994)),0)</f>
        <v>0</v>
      </c>
      <c r="AZ1994" s="5">
        <f>IF(S1994&gt;0,RANK(S1994,(N1994:P1994,Q1994:AE1994)),0)</f>
        <v>0</v>
      </c>
      <c r="BA1994" s="2">
        <f t="shared" si="836"/>
        <v>1.2893982808022923E-2</v>
      </c>
      <c r="BB1994" s="2">
        <f t="shared" si="837"/>
        <v>0</v>
      </c>
      <c r="BC1994" s="2">
        <f t="shared" si="838"/>
        <v>0</v>
      </c>
      <c r="BD1994" s="2">
        <f t="shared" si="839"/>
        <v>0</v>
      </c>
      <c r="BF1994" t="s">
        <v>1703</v>
      </c>
      <c r="BG1994" t="s">
        <v>2652</v>
      </c>
      <c r="BH1994">
        <v>7</v>
      </c>
      <c r="BJ1994" s="114">
        <v>37</v>
      </c>
      <c r="BK1994" s="116">
        <v>47</v>
      </c>
      <c r="BL1994" s="120">
        <f t="shared" si="822"/>
        <v>37047</v>
      </c>
      <c r="BN1994" s="5" t="s">
        <v>3154</v>
      </c>
    </row>
    <row r="1995" spans="1:66" ht="13" hidden="1" customHeight="1" outlineLevel="1">
      <c r="A1995" t="s">
        <v>1102</v>
      </c>
      <c r="B1995" t="s">
        <v>2652</v>
      </c>
      <c r="C1995" s="1">
        <f t="shared" si="831"/>
        <v>47001</v>
      </c>
      <c r="D1995" s="5">
        <f>IF(N1995&gt;0, RANK(N1995,(N1995:P1995,Q1995:AE1995)),0)</f>
        <v>2</v>
      </c>
      <c r="E1995" s="5">
        <f>IF(O1995&gt;0,RANK(O1995,(N1995:P1995,Q1995:AE1995)),0)</f>
        <v>1</v>
      </c>
      <c r="F1995" s="5">
        <f>IF(P1995&gt;0,RANK(P1995,(N1995:P1995,Q1995:AE1995)),0)</f>
        <v>0</v>
      </c>
      <c r="G1995" s="132">
        <f t="shared" si="840"/>
        <v>10101</v>
      </c>
      <c r="H1995" s="137">
        <f t="shared" si="841"/>
        <v>0.21491032105699878</v>
      </c>
      <c r="I1995" s="2"/>
      <c r="J1995" s="2">
        <f t="shared" si="832"/>
        <v>0.37509840216165613</v>
      </c>
      <c r="K1995" s="2">
        <f t="shared" si="833"/>
        <v>0.59000872321865494</v>
      </c>
      <c r="L1995" s="2">
        <f t="shared" si="834"/>
        <v>0</v>
      </c>
      <c r="M1995" s="2">
        <f t="shared" si="835"/>
        <v>3.4892874619688929E-2</v>
      </c>
      <c r="N1995" s="63">
        <v>17630</v>
      </c>
      <c r="O1995" s="63">
        <v>27731</v>
      </c>
      <c r="P1995" s="63"/>
      <c r="Q1995" s="63">
        <v>1210</v>
      </c>
      <c r="R1995" s="63">
        <v>50</v>
      </c>
      <c r="S1995" s="63"/>
      <c r="T1995" s="63"/>
      <c r="U1995" s="63"/>
      <c r="V1995" s="63"/>
      <c r="W1995" s="63">
        <v>380</v>
      </c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W1995" s="5">
        <f>IF(Q1995&gt;0,RANK(Q1995,(N1995:P1995,Q1995:AE1995)),0)</f>
        <v>3</v>
      </c>
      <c r="AX1995" s="5">
        <f>IF(R1995&gt;0,RANK(R1995,(N1995:P1995,Q1995:AE1995)),0)</f>
        <v>5</v>
      </c>
      <c r="AY1995" s="5">
        <f>IF(T1995&gt;0,RANK(T1995,(N1995:P1995,Q1995:AE1995)),0)</f>
        <v>0</v>
      </c>
      <c r="AZ1995" s="5">
        <f>IF(S1995&gt;0,RANK(S1995,(N1995:P1995,Q1995:AE1995)),0)</f>
        <v>0</v>
      </c>
      <c r="BA1995" s="2">
        <f t="shared" si="836"/>
        <v>2.574413310355099E-2</v>
      </c>
      <c r="BB1995" s="2">
        <f t="shared" si="837"/>
        <v>1.0638071530392971E-3</v>
      </c>
      <c r="BC1995" s="2">
        <f t="shared" si="838"/>
        <v>0</v>
      </c>
      <c r="BD1995" s="2">
        <f t="shared" si="839"/>
        <v>0</v>
      </c>
      <c r="BF1995" t="s">
        <v>1102</v>
      </c>
      <c r="BG1995" t="s">
        <v>2652</v>
      </c>
      <c r="BH1995">
        <v>3</v>
      </c>
      <c r="BJ1995" s="114">
        <v>37</v>
      </c>
      <c r="BK1995" s="116">
        <v>49</v>
      </c>
      <c r="BL1995" s="120">
        <f t="shared" si="822"/>
        <v>37049</v>
      </c>
      <c r="BN1995" s="5" t="s">
        <v>3154</v>
      </c>
    </row>
    <row r="1996" spans="1:66" ht="13" hidden="1" customHeight="1" outlineLevel="1">
      <c r="A1996" t="s">
        <v>1531</v>
      </c>
      <c r="B1996" t="s">
        <v>2652</v>
      </c>
      <c r="C1996" s="1">
        <f t="shared" si="831"/>
        <v>127506</v>
      </c>
      <c r="D1996" s="5">
        <f>IF(N1996&gt;0, RANK(N1996,(N1996:P1996,Q1996:AE1996)),0)</f>
        <v>1</v>
      </c>
      <c r="E1996" s="5">
        <f>IF(O1996&gt;0,RANK(O1996,(N1996:P1996,Q1996:AE1996)),0)</f>
        <v>2</v>
      </c>
      <c r="F1996" s="5">
        <f>IF(P1996&gt;0,RANK(P1996,(N1996:P1996,Q1996:AE1996)),0)</f>
        <v>0</v>
      </c>
      <c r="G1996" s="132">
        <f t="shared" si="840"/>
        <v>20340</v>
      </c>
      <c r="H1996" s="137">
        <f t="shared" si="841"/>
        <v>0.15952190485153639</v>
      </c>
      <c r="I1996" s="2"/>
      <c r="J1996" s="2">
        <f t="shared" si="832"/>
        <v>0.56158141577651244</v>
      </c>
      <c r="K1996" s="2">
        <f t="shared" si="833"/>
        <v>0.4020595109249761</v>
      </c>
      <c r="L1996" s="2">
        <f t="shared" si="834"/>
        <v>0</v>
      </c>
      <c r="M1996" s="2">
        <f t="shared" si="835"/>
        <v>3.6359073298511457E-2</v>
      </c>
      <c r="N1996" s="63">
        <v>71605</v>
      </c>
      <c r="O1996" s="63">
        <v>51265</v>
      </c>
      <c r="P1996" s="63"/>
      <c r="Q1996" s="63">
        <v>3373</v>
      </c>
      <c r="R1996" s="63">
        <v>179</v>
      </c>
      <c r="S1996" s="63"/>
      <c r="T1996" s="63"/>
      <c r="U1996" s="63"/>
      <c r="V1996" s="63"/>
      <c r="W1996" s="63">
        <v>1084</v>
      </c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W1996" s="5">
        <f>IF(Q1996&gt;0,RANK(Q1996,(N1996:P1996,Q1996:AE1996)),0)</f>
        <v>3</v>
      </c>
      <c r="AX1996" s="5">
        <f>IF(R1996&gt;0,RANK(R1996,(N1996:P1996,Q1996:AE1996)),0)</f>
        <v>5</v>
      </c>
      <c r="AY1996" s="5">
        <f>IF(T1996&gt;0,RANK(T1996,(N1996:P1996,Q1996:AE1996)),0)</f>
        <v>0</v>
      </c>
      <c r="AZ1996" s="5">
        <f>IF(S1996&gt;0,RANK(S1996,(N1996:P1996,Q1996:AE1996)),0)</f>
        <v>0</v>
      </c>
      <c r="BA1996" s="2">
        <f t="shared" si="836"/>
        <v>2.6453657082803946E-2</v>
      </c>
      <c r="BB1996" s="2">
        <f t="shared" si="837"/>
        <v>1.403855504838988E-3</v>
      </c>
      <c r="BC1996" s="2">
        <f t="shared" si="838"/>
        <v>0</v>
      </c>
      <c r="BD1996" s="2">
        <f t="shared" si="839"/>
        <v>0</v>
      </c>
      <c r="BF1996" t="s">
        <v>1531</v>
      </c>
      <c r="BG1996" t="s">
        <v>2652</v>
      </c>
      <c r="BJ1996" s="114">
        <v>37</v>
      </c>
      <c r="BK1996" s="116">
        <v>51</v>
      </c>
      <c r="BL1996" s="120">
        <f t="shared" si="822"/>
        <v>37051</v>
      </c>
      <c r="BN1996" s="5" t="s">
        <v>3154</v>
      </c>
    </row>
    <row r="1997" spans="1:66" ht="13" hidden="1" customHeight="1" outlineLevel="1">
      <c r="A1997" t="s">
        <v>1498</v>
      </c>
      <c r="B1997" t="s">
        <v>2652</v>
      </c>
      <c r="C1997" s="1">
        <f t="shared" si="831"/>
        <v>12669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32">
        <f t="shared" si="840"/>
        <v>6250</v>
      </c>
      <c r="H1997" s="137">
        <f t="shared" si="841"/>
        <v>0.49333017602020679</v>
      </c>
      <c r="I1997" s="2"/>
      <c r="J1997" s="2">
        <f t="shared" si="832"/>
        <v>0.22993132843949798</v>
      </c>
      <c r="K1997" s="2">
        <f t="shared" si="833"/>
        <v>0.72326150445970483</v>
      </c>
      <c r="L1997" s="2">
        <f t="shared" si="834"/>
        <v>0</v>
      </c>
      <c r="M1997" s="2">
        <f t="shared" si="835"/>
        <v>4.6807167100797242E-2</v>
      </c>
      <c r="N1997" s="63">
        <v>2913</v>
      </c>
      <c r="O1997" s="63">
        <v>9163</v>
      </c>
      <c r="P1997" s="63"/>
      <c r="Q1997" s="63">
        <v>482</v>
      </c>
      <c r="R1997" s="63">
        <v>27</v>
      </c>
      <c r="S1997" s="63"/>
      <c r="T1997" s="63"/>
      <c r="U1997" s="63"/>
      <c r="V1997" s="63"/>
      <c r="W1997" s="63">
        <v>84</v>
      </c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W1997" s="5">
        <f>IF(Q1997&gt;0,RANK(Q1997,(N1997:P1997,Q1997:AE1997)),0)</f>
        <v>3</v>
      </c>
      <c r="AX1997" s="5">
        <f>IF(R1997&gt;0,RANK(R1997,(N1997:P1997,Q1997:AE1997)),0)</f>
        <v>5</v>
      </c>
      <c r="AY1997" s="5">
        <f>IF(T1997&gt;0,RANK(T1997,(N1997:P1997,Q1997:AE1997)),0)</f>
        <v>0</v>
      </c>
      <c r="AZ1997" s="5">
        <f>IF(S1997&gt;0,RANK(S1997,(N1997:P1997,Q1997:AE1997)),0)</f>
        <v>0</v>
      </c>
      <c r="BA1997" s="2">
        <f t="shared" si="836"/>
        <v>3.8045623174678349E-2</v>
      </c>
      <c r="BB1997" s="2">
        <f t="shared" si="837"/>
        <v>2.1311863604072932E-3</v>
      </c>
      <c r="BC1997" s="2">
        <f t="shared" si="838"/>
        <v>0</v>
      </c>
      <c r="BD1997" s="2">
        <f t="shared" si="839"/>
        <v>0</v>
      </c>
      <c r="BF1997" t="s">
        <v>1498</v>
      </c>
      <c r="BG1997" t="s">
        <v>2652</v>
      </c>
      <c r="BH1997">
        <v>3</v>
      </c>
      <c r="BJ1997" s="114">
        <v>37</v>
      </c>
      <c r="BK1997" s="116">
        <v>53</v>
      </c>
      <c r="BL1997" s="120">
        <f t="shared" si="822"/>
        <v>37053</v>
      </c>
      <c r="BN1997" s="5" t="s">
        <v>3154</v>
      </c>
    </row>
    <row r="1998" spans="1:66" ht="13" hidden="1" customHeight="1" outlineLevel="1">
      <c r="A1998" t="s">
        <v>2063</v>
      </c>
      <c r="B1998" t="s">
        <v>2652</v>
      </c>
      <c r="C1998" s="1">
        <f t="shared" si="831"/>
        <v>19609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32">
        <f t="shared" si="840"/>
        <v>4238</v>
      </c>
      <c r="H1998" s="137">
        <f t="shared" si="841"/>
        <v>0.216125248610332</v>
      </c>
      <c r="I1998" s="2"/>
      <c r="J1998" s="2">
        <f t="shared" si="832"/>
        <v>0.36830027028405327</v>
      </c>
      <c r="K1998" s="2">
        <f t="shared" si="833"/>
        <v>0.58442551889438521</v>
      </c>
      <c r="L1998" s="2">
        <f t="shared" si="834"/>
        <v>0</v>
      </c>
      <c r="M1998" s="2">
        <f t="shared" si="835"/>
        <v>4.727421082156158E-2</v>
      </c>
      <c r="N1998" s="63">
        <v>7222</v>
      </c>
      <c r="O1998" s="63">
        <v>11460</v>
      </c>
      <c r="P1998" s="63"/>
      <c r="Q1998" s="63">
        <v>674</v>
      </c>
      <c r="R1998" s="63">
        <v>52</v>
      </c>
      <c r="S1998" s="63"/>
      <c r="T1998" s="63"/>
      <c r="U1998" s="63"/>
      <c r="V1998" s="63"/>
      <c r="W1998" s="63">
        <v>201</v>
      </c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W1998" s="5">
        <f>IF(Q1998&gt;0,RANK(Q1998,(N1998:P1998,Q1998:AE1998)),0)</f>
        <v>3</v>
      </c>
      <c r="AX1998" s="5">
        <f>IF(R1998&gt;0,RANK(R1998,(N1998:P1998,Q1998:AE1998)),0)</f>
        <v>5</v>
      </c>
      <c r="AY1998" s="5">
        <f>IF(T1998&gt;0,RANK(T1998,(N1998:P1998,Q1998:AE1998)),0)</f>
        <v>0</v>
      </c>
      <c r="AZ1998" s="5">
        <f>IF(S1998&gt;0,RANK(S1998,(N1998:P1998,Q1998:AE1998)),0)</f>
        <v>0</v>
      </c>
      <c r="BA1998" s="2">
        <f t="shared" si="836"/>
        <v>3.4371972053648836E-2</v>
      </c>
      <c r="BB1998" s="2">
        <f t="shared" si="837"/>
        <v>2.6518435412310674E-3</v>
      </c>
      <c r="BC1998" s="2">
        <f t="shared" si="838"/>
        <v>0</v>
      </c>
      <c r="BD1998" s="2">
        <f t="shared" si="839"/>
        <v>0</v>
      </c>
      <c r="BF1998" t="s">
        <v>2063</v>
      </c>
      <c r="BG1998" t="s">
        <v>2652</v>
      </c>
      <c r="BH1998">
        <v>3</v>
      </c>
      <c r="BJ1998" s="114">
        <v>37</v>
      </c>
      <c r="BK1998" s="116">
        <v>55</v>
      </c>
      <c r="BL1998" s="120">
        <f t="shared" si="822"/>
        <v>37055</v>
      </c>
      <c r="BN1998" s="5" t="s">
        <v>3154</v>
      </c>
    </row>
    <row r="1999" spans="1:66" ht="13" hidden="1" customHeight="1" outlineLevel="1">
      <c r="A1999" t="s">
        <v>411</v>
      </c>
      <c r="B1999" t="s">
        <v>2652</v>
      </c>
      <c r="C1999" s="1">
        <f t="shared" si="831"/>
        <v>74856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32">
        <f t="shared" si="840"/>
        <v>36208</v>
      </c>
      <c r="H1999" s="137">
        <f t="shared" si="841"/>
        <v>0.48370204125253818</v>
      </c>
      <c r="I1999" s="2"/>
      <c r="J1999" s="2">
        <f t="shared" si="832"/>
        <v>0.24191781553916852</v>
      </c>
      <c r="K1999" s="2">
        <f t="shared" si="833"/>
        <v>0.72561985679170671</v>
      </c>
      <c r="L1999" s="2">
        <f t="shared" si="834"/>
        <v>0</v>
      </c>
      <c r="M1999" s="2">
        <f t="shared" si="835"/>
        <v>3.2462327669124713E-2</v>
      </c>
      <c r="N1999" s="63">
        <v>18109</v>
      </c>
      <c r="O1999" s="63">
        <v>54317</v>
      </c>
      <c r="P1999" s="63"/>
      <c r="Q1999" s="63">
        <v>1859</v>
      </c>
      <c r="R1999" s="63">
        <v>87</v>
      </c>
      <c r="S1999" s="63"/>
      <c r="T1999" s="63"/>
      <c r="U1999" s="63"/>
      <c r="V1999" s="63"/>
      <c r="W1999" s="63">
        <v>484</v>
      </c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W1999" s="5">
        <f>IF(Q1999&gt;0,RANK(Q1999,(N1999:P1999,Q1999:AE1999)),0)</f>
        <v>3</v>
      </c>
      <c r="AX1999" s="5">
        <f>IF(R1999&gt;0,RANK(R1999,(N1999:P1999,Q1999:AE1999)),0)</f>
        <v>5</v>
      </c>
      <c r="AY1999" s="5">
        <f>IF(T1999&gt;0,RANK(T1999,(N1999:P1999,Q1999:AE1999)),0)</f>
        <v>0</v>
      </c>
      <c r="AZ1999" s="5">
        <f>IF(S1999&gt;0,RANK(S1999,(N1999:P1999,Q1999:AE1999)),0)</f>
        <v>0</v>
      </c>
      <c r="BA1999" s="2">
        <f t="shared" si="836"/>
        <v>2.4834348616009406E-2</v>
      </c>
      <c r="BB1999" s="2">
        <f t="shared" si="837"/>
        <v>1.1622314844501442E-3</v>
      </c>
      <c r="BC1999" s="2">
        <f t="shared" si="838"/>
        <v>0</v>
      </c>
      <c r="BD1999" s="2">
        <f t="shared" si="839"/>
        <v>0</v>
      </c>
      <c r="BF1999" t="s">
        <v>411</v>
      </c>
      <c r="BG1999" t="s">
        <v>2652</v>
      </c>
      <c r="BH1999">
        <v>13</v>
      </c>
      <c r="BJ1999" s="114">
        <v>37</v>
      </c>
      <c r="BK1999" s="116">
        <v>57</v>
      </c>
      <c r="BL1999" s="120">
        <f t="shared" si="822"/>
        <v>37057</v>
      </c>
      <c r="BN1999" s="5" t="s">
        <v>3154</v>
      </c>
    </row>
    <row r="2000" spans="1:66" ht="13" hidden="1" customHeight="1" outlineLevel="1">
      <c r="A2000" t="s">
        <v>2064</v>
      </c>
      <c r="B2000" t="s">
        <v>2652</v>
      </c>
      <c r="C2000" s="1">
        <f t="shared" si="831"/>
        <v>21756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32">
        <f t="shared" si="840"/>
        <v>10332</v>
      </c>
      <c r="H2000" s="137">
        <f t="shared" si="841"/>
        <v>0.4749034749034749</v>
      </c>
      <c r="I2000" s="2"/>
      <c r="J2000" s="2">
        <f t="shared" si="832"/>
        <v>0.24223202794631365</v>
      </c>
      <c r="K2000" s="2">
        <f t="shared" si="833"/>
        <v>0.71713550284978855</v>
      </c>
      <c r="L2000" s="2">
        <f t="shared" si="834"/>
        <v>0</v>
      </c>
      <c r="M2000" s="2">
        <f t="shared" si="835"/>
        <v>4.0632469203897736E-2</v>
      </c>
      <c r="N2000" s="63">
        <v>5270</v>
      </c>
      <c r="O2000" s="63">
        <v>15602</v>
      </c>
      <c r="P2000" s="63"/>
      <c r="Q2000" s="63">
        <v>631</v>
      </c>
      <c r="R2000" s="63">
        <v>47</v>
      </c>
      <c r="S2000" s="63"/>
      <c r="T2000" s="63"/>
      <c r="U2000" s="63"/>
      <c r="V2000" s="63"/>
      <c r="W2000" s="63">
        <v>206</v>
      </c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W2000" s="5">
        <f>IF(Q2000&gt;0,RANK(Q2000,(N2000:P2000,Q2000:AE2000)),0)</f>
        <v>3</v>
      </c>
      <c r="AX2000" s="5">
        <f>IF(R2000&gt;0,RANK(R2000,(N2000:P2000,Q2000:AE2000)),0)</f>
        <v>5</v>
      </c>
      <c r="AY2000" s="5">
        <f>IF(T2000&gt;0,RANK(T2000,(N2000:P2000,Q2000:AE2000)),0)</f>
        <v>0</v>
      </c>
      <c r="AZ2000" s="5">
        <f>IF(S2000&gt;0,RANK(S2000,(N2000:P2000,Q2000:AE2000)),0)</f>
        <v>0</v>
      </c>
      <c r="BA2000" s="2">
        <f t="shared" si="836"/>
        <v>2.9003493289207576E-2</v>
      </c>
      <c r="BB2000" s="2">
        <f t="shared" si="837"/>
        <v>2.1603235888950174E-3</v>
      </c>
      <c r="BC2000" s="2">
        <f t="shared" si="838"/>
        <v>0</v>
      </c>
      <c r="BD2000" s="2">
        <f t="shared" si="839"/>
        <v>0</v>
      </c>
      <c r="BF2000" t="s">
        <v>2064</v>
      </c>
      <c r="BG2000" t="s">
        <v>2652</v>
      </c>
      <c r="BH2000">
        <v>13</v>
      </c>
      <c r="BJ2000" s="114">
        <v>37</v>
      </c>
      <c r="BK2000" s="116">
        <v>59</v>
      </c>
      <c r="BL2000" s="120">
        <f t="shared" si="822"/>
        <v>37059</v>
      </c>
      <c r="BN2000" s="5" t="s">
        <v>3154</v>
      </c>
    </row>
    <row r="2001" spans="1:66" ht="13" hidden="1" customHeight="1" outlineLevel="1">
      <c r="A2001" t="s">
        <v>2202</v>
      </c>
      <c r="B2001" t="s">
        <v>2652</v>
      </c>
      <c r="C2001" s="1">
        <f t="shared" si="831"/>
        <v>20856</v>
      </c>
      <c r="D2001" s="5">
        <f>IF(N2001&gt;0, RANK(N2001,(N2001:P2001,Q2001:AE2001)),0)</f>
        <v>2</v>
      </c>
      <c r="E2001" s="5">
        <f>IF(O2001&gt;0,RANK(O2001,(N2001:P2001,Q2001:AE2001)),0)</f>
        <v>1</v>
      </c>
      <c r="F2001" s="5">
        <f>IF(P2001&gt;0,RANK(P2001,(N2001:P2001,Q2001:AE2001)),0)</f>
        <v>0</v>
      </c>
      <c r="G2001" s="132">
        <f t="shared" si="840"/>
        <v>3934</v>
      </c>
      <c r="H2001" s="137">
        <f t="shared" si="841"/>
        <v>0.18862677406981204</v>
      </c>
      <c r="I2001" s="2"/>
      <c r="J2001" s="2">
        <f t="shared" si="832"/>
        <v>0.39715189873417722</v>
      </c>
      <c r="K2001" s="2">
        <f t="shared" si="833"/>
        <v>0.58577867280398921</v>
      </c>
      <c r="L2001" s="2">
        <f t="shared" si="834"/>
        <v>0</v>
      </c>
      <c r="M2001" s="2">
        <f t="shared" si="835"/>
        <v>1.7069428461833569E-2</v>
      </c>
      <c r="N2001" s="63">
        <v>8283</v>
      </c>
      <c r="O2001" s="63">
        <v>12217</v>
      </c>
      <c r="P2001" s="63"/>
      <c r="Q2001" s="63">
        <v>260</v>
      </c>
      <c r="R2001" s="63">
        <v>11</v>
      </c>
      <c r="S2001" s="63"/>
      <c r="T2001" s="63"/>
      <c r="U2001" s="63"/>
      <c r="V2001" s="63"/>
      <c r="W2001" s="63">
        <v>85</v>
      </c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W2001" s="5">
        <f>IF(Q2001&gt;0,RANK(Q2001,(N2001:P2001,Q2001:AE2001)),0)</f>
        <v>3</v>
      </c>
      <c r="AX2001" s="5">
        <f>IF(R2001&gt;0,RANK(R2001,(N2001:P2001,Q2001:AE2001)),0)</f>
        <v>5</v>
      </c>
      <c r="AY2001" s="5">
        <f>IF(T2001&gt;0,RANK(T2001,(N2001:P2001,Q2001:AE2001)),0)</f>
        <v>0</v>
      </c>
      <c r="AZ2001" s="5">
        <f>IF(S2001&gt;0,RANK(S2001,(N2001:P2001,Q2001:AE2001)),0)</f>
        <v>0</v>
      </c>
      <c r="BA2001" s="2">
        <f t="shared" si="836"/>
        <v>1.2466436517069428E-2</v>
      </c>
      <c r="BB2001" s="2">
        <f t="shared" si="837"/>
        <v>5.274261603375527E-4</v>
      </c>
      <c r="BC2001" s="2">
        <f t="shared" si="838"/>
        <v>0</v>
      </c>
      <c r="BD2001" s="2">
        <f t="shared" si="839"/>
        <v>0</v>
      </c>
      <c r="BF2001" t="s">
        <v>2202</v>
      </c>
      <c r="BG2001" t="s">
        <v>2652</v>
      </c>
      <c r="BH2001">
        <v>7</v>
      </c>
      <c r="BJ2001" s="114">
        <v>37</v>
      </c>
      <c r="BK2001" s="116">
        <v>61</v>
      </c>
      <c r="BL2001" s="120">
        <f t="shared" si="822"/>
        <v>37061</v>
      </c>
      <c r="BN2001" s="5" t="s">
        <v>3154</v>
      </c>
    </row>
    <row r="2002" spans="1:66" ht="13" hidden="1" customHeight="1" outlineLevel="1">
      <c r="A2002" t="s">
        <v>2221</v>
      </c>
      <c r="B2002" t="s">
        <v>2652</v>
      </c>
      <c r="C2002" s="1">
        <f t="shared" si="831"/>
        <v>156134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32">
        <f t="shared" si="840"/>
        <v>92900</v>
      </c>
      <c r="H2002" s="137">
        <f t="shared" si="841"/>
        <v>0.59500172928382034</v>
      </c>
      <c r="I2002" s="2"/>
      <c r="J2002" s="2">
        <f t="shared" si="832"/>
        <v>0.77657653041618102</v>
      </c>
      <c r="K2002" s="2">
        <f t="shared" si="833"/>
        <v>0.18157480113236066</v>
      </c>
      <c r="L2002" s="2">
        <f t="shared" si="834"/>
        <v>0</v>
      </c>
      <c r="M2002" s="2">
        <f t="shared" si="835"/>
        <v>4.1848668451458321E-2</v>
      </c>
      <c r="N2002" s="63">
        <v>121250</v>
      </c>
      <c r="O2002" s="63">
        <v>28350</v>
      </c>
      <c r="P2002" s="63"/>
      <c r="Q2002" s="63">
        <v>3999</v>
      </c>
      <c r="R2002" s="63">
        <v>535</v>
      </c>
      <c r="S2002" s="63"/>
      <c r="T2002" s="63"/>
      <c r="U2002" s="63"/>
      <c r="V2002" s="63"/>
      <c r="W2002" s="63">
        <v>2000</v>
      </c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W2002" s="5">
        <f>IF(Q2002&gt;0,RANK(Q2002,(N2002:P2002,Q2002:AE2002)),0)</f>
        <v>3</v>
      </c>
      <c r="AX2002" s="5">
        <f>IF(R2002&gt;0,RANK(R2002,(N2002:P2002,Q2002:AE2002)),0)</f>
        <v>5</v>
      </c>
      <c r="AY2002" s="5">
        <f>IF(T2002&gt;0,RANK(T2002,(N2002:P2002,Q2002:AE2002)),0)</f>
        <v>0</v>
      </c>
      <c r="AZ2002" s="5">
        <f>IF(S2002&gt;0,RANK(S2002,(N2002:P2002,Q2002:AE2002)),0)</f>
        <v>0</v>
      </c>
      <c r="BA2002" s="2">
        <f t="shared" si="836"/>
        <v>2.5612614805231405E-2</v>
      </c>
      <c r="BB2002" s="2">
        <f t="shared" si="837"/>
        <v>3.4265438661662418E-3</v>
      </c>
      <c r="BC2002" s="2">
        <f t="shared" si="838"/>
        <v>0</v>
      </c>
      <c r="BD2002" s="2">
        <f t="shared" si="839"/>
        <v>0</v>
      </c>
      <c r="BF2002" t="s">
        <v>2221</v>
      </c>
      <c r="BG2002" t="s">
        <v>2652</v>
      </c>
      <c r="BJ2002" s="114">
        <v>37</v>
      </c>
      <c r="BK2002" s="116">
        <v>63</v>
      </c>
      <c r="BL2002" s="120">
        <f t="shared" si="822"/>
        <v>37063</v>
      </c>
      <c r="BN2002" s="5" t="s">
        <v>3154</v>
      </c>
    </row>
    <row r="2003" spans="1:66" ht="13" hidden="1" customHeight="1" outlineLevel="1">
      <c r="A2003" t="s">
        <v>1149</v>
      </c>
      <c r="B2003" t="s">
        <v>2652</v>
      </c>
      <c r="C2003" s="1">
        <f t="shared" ref="C2003:C2034" si="842">SUM(N2003:AU2003)</f>
        <v>24886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32">
        <f t="shared" si="840"/>
        <v>7963</v>
      </c>
      <c r="H2003" s="137">
        <f t="shared" si="841"/>
        <v>0.31997910471751184</v>
      </c>
      <c r="I2003" s="2"/>
      <c r="J2003" s="2">
        <f t="shared" ref="J2003:J2034" si="843">IF($C2003=0,"-",N2003/$C2003)</f>
        <v>0.65193281363015354</v>
      </c>
      <c r="K2003" s="2">
        <f t="shared" ref="K2003:K2034" si="844">IF($C2003=0,"-",O2003/$C2003)</f>
        <v>0.33195370891264164</v>
      </c>
      <c r="L2003" s="2">
        <f t="shared" ref="L2003:L2034" si="845">IF($C2003=0,"-",P2003/$C2003)</f>
        <v>0</v>
      </c>
      <c r="M2003" s="2">
        <f t="shared" ref="M2003:M2034" si="846">IF(C2003=0,"-",(1-J2003-K2003-L2003))</f>
        <v>1.6113477457204817E-2</v>
      </c>
      <c r="N2003" s="63">
        <v>16224</v>
      </c>
      <c r="O2003" s="63">
        <v>8261</v>
      </c>
      <c r="P2003" s="63"/>
      <c r="Q2003" s="63">
        <v>284</v>
      </c>
      <c r="R2003" s="63">
        <v>11</v>
      </c>
      <c r="S2003" s="63"/>
      <c r="T2003" s="63"/>
      <c r="U2003" s="63"/>
      <c r="V2003" s="63"/>
      <c r="W2003" s="63">
        <v>106</v>
      </c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W2003" s="5">
        <f>IF(Q2003&gt;0,RANK(Q2003,(N2003:P2003,Q2003:AE2003)),0)</f>
        <v>3</v>
      </c>
      <c r="AX2003" s="5">
        <f>IF(R2003&gt;0,RANK(R2003,(N2003:P2003,Q2003:AE2003)),0)</f>
        <v>5</v>
      </c>
      <c r="AY2003" s="5">
        <f>IF(T2003&gt;0,RANK(T2003,(N2003:P2003,Q2003:AE2003)),0)</f>
        <v>0</v>
      </c>
      <c r="AZ2003" s="5">
        <f>IF(S2003&gt;0,RANK(S2003,(N2003:P2003,Q2003:AE2003)),0)</f>
        <v>0</v>
      </c>
      <c r="BA2003" s="2">
        <f t="shared" ref="BA2003:BA2034" si="847">IF($C2003=0,"-",Q2003/$C2003)</f>
        <v>1.1412038897372016E-2</v>
      </c>
      <c r="BB2003" s="2">
        <f t="shared" ref="BB2003:BB2034" si="848">IF($C2003=0,"-",R2003/$C2003)</f>
        <v>4.4201559109539499E-4</v>
      </c>
      <c r="BC2003" s="2">
        <f t="shared" ref="BC2003:BC2034" si="849">IF($C2003=0,"-",T2003/$C2003)</f>
        <v>0</v>
      </c>
      <c r="BD2003" s="2">
        <f t="shared" ref="BD2003:BD2034" si="850">IF($C2003=0,"-",S2003/$C2003)</f>
        <v>0</v>
      </c>
      <c r="BF2003" t="s">
        <v>1149</v>
      </c>
      <c r="BG2003" t="s">
        <v>2652</v>
      </c>
      <c r="BH2003">
        <v>1</v>
      </c>
      <c r="BJ2003" s="114">
        <v>37</v>
      </c>
      <c r="BK2003" s="116">
        <v>65</v>
      </c>
      <c r="BL2003" s="120">
        <f t="shared" si="822"/>
        <v>37065</v>
      </c>
      <c r="BN2003" s="5" t="s">
        <v>3154</v>
      </c>
    </row>
    <row r="2004" spans="1:66" ht="13" hidden="1" customHeight="1" outlineLevel="1">
      <c r="A2004" t="s">
        <v>3040</v>
      </c>
      <c r="B2004" t="s">
        <v>2652</v>
      </c>
      <c r="C2004" s="1">
        <f t="shared" si="842"/>
        <v>178312</v>
      </c>
      <c r="D2004" s="5">
        <f>IF(N2004&gt;0, RANK(N2004,(N2004:P2004,Q2004:AE2004)),0)</f>
        <v>1</v>
      </c>
      <c r="E2004" s="5">
        <f>IF(O2004&gt;0,RANK(O2004,(N2004:P2004,Q2004:AE2004)),0)</f>
        <v>2</v>
      </c>
      <c r="F2004" s="5">
        <f>IF(P2004&gt;0,RANK(P2004,(N2004:P2004,Q2004:AE2004)),0)</f>
        <v>0</v>
      </c>
      <c r="G2004" s="132">
        <f t="shared" si="840"/>
        <v>18489</v>
      </c>
      <c r="H2004" s="137">
        <f t="shared" si="841"/>
        <v>0.10368903943649334</v>
      </c>
      <c r="I2004" s="2"/>
      <c r="J2004" s="2">
        <f t="shared" si="843"/>
        <v>0.52976804701870883</v>
      </c>
      <c r="K2004" s="2">
        <f t="shared" si="844"/>
        <v>0.42607900758221545</v>
      </c>
      <c r="L2004" s="2">
        <f t="shared" si="845"/>
        <v>0</v>
      </c>
      <c r="M2004" s="2">
        <f t="shared" si="846"/>
        <v>4.4152945399075716E-2</v>
      </c>
      <c r="N2004" s="63">
        <v>94464</v>
      </c>
      <c r="O2004" s="63">
        <v>75975</v>
      </c>
      <c r="P2004" s="63"/>
      <c r="Q2004" s="63">
        <v>5370</v>
      </c>
      <c r="R2004" s="63">
        <v>449</v>
      </c>
      <c r="S2004" s="63"/>
      <c r="T2004" s="63"/>
      <c r="U2004" s="63"/>
      <c r="V2004" s="63"/>
      <c r="W2004" s="63">
        <v>2054</v>
      </c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W2004" s="5">
        <f>IF(Q2004&gt;0,RANK(Q2004,(N2004:P2004,Q2004:AE2004)),0)</f>
        <v>3</v>
      </c>
      <c r="AX2004" s="5">
        <f>IF(R2004&gt;0,RANK(R2004,(N2004:P2004,Q2004:AE2004)),0)</f>
        <v>5</v>
      </c>
      <c r="AY2004" s="5">
        <f>IF(T2004&gt;0,RANK(T2004,(N2004:P2004,Q2004:AE2004)),0)</f>
        <v>0</v>
      </c>
      <c r="AZ2004" s="5">
        <f>IF(S2004&gt;0,RANK(S2004,(N2004:P2004,Q2004:AE2004)),0)</f>
        <v>0</v>
      </c>
      <c r="BA2004" s="2">
        <f t="shared" si="847"/>
        <v>3.0115752164744942E-2</v>
      </c>
      <c r="BB2004" s="2">
        <f t="shared" si="848"/>
        <v>2.5180582350038134E-3</v>
      </c>
      <c r="BC2004" s="2">
        <f t="shared" si="849"/>
        <v>0</v>
      </c>
      <c r="BD2004" s="2">
        <f t="shared" si="850"/>
        <v>0</v>
      </c>
      <c r="BF2004" t="s">
        <v>3040</v>
      </c>
      <c r="BG2004" t="s">
        <v>2652</v>
      </c>
      <c r="BH2004">
        <v>5</v>
      </c>
      <c r="BJ2004" s="114">
        <v>37</v>
      </c>
      <c r="BK2004" s="116">
        <v>67</v>
      </c>
      <c r="BL2004" s="120">
        <f t="shared" si="822"/>
        <v>37067</v>
      </c>
      <c r="BN2004" s="5" t="s">
        <v>3154</v>
      </c>
    </row>
    <row r="2005" spans="1:66" ht="13" hidden="1" customHeight="1" outlineLevel="1">
      <c r="A2005" t="s">
        <v>1138</v>
      </c>
      <c r="B2005" t="s">
        <v>2652</v>
      </c>
      <c r="C2005" s="1">
        <f t="shared" si="842"/>
        <v>30368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32">
        <f t="shared" si="840"/>
        <v>3494</v>
      </c>
      <c r="H2005" s="137">
        <f t="shared" si="841"/>
        <v>0.11505532139093783</v>
      </c>
      <c r="I2005" s="2"/>
      <c r="J2005" s="2">
        <f t="shared" si="843"/>
        <v>0.42393308746048475</v>
      </c>
      <c r="K2005" s="2">
        <f t="shared" si="844"/>
        <v>0.53898840885142252</v>
      </c>
      <c r="L2005" s="2">
        <f t="shared" si="845"/>
        <v>0</v>
      </c>
      <c r="M2005" s="2">
        <f t="shared" si="846"/>
        <v>3.7078503688092734E-2</v>
      </c>
      <c r="N2005" s="63">
        <v>12874</v>
      </c>
      <c r="O2005" s="63">
        <v>16368</v>
      </c>
      <c r="P2005" s="63"/>
      <c r="Q2005" s="63">
        <v>777</v>
      </c>
      <c r="R2005" s="63">
        <v>53</v>
      </c>
      <c r="S2005" s="63"/>
      <c r="T2005" s="63"/>
      <c r="U2005" s="63"/>
      <c r="V2005" s="63"/>
      <c r="W2005" s="63">
        <v>296</v>
      </c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W2005" s="5">
        <f>IF(Q2005&gt;0,RANK(Q2005,(N2005:P2005,Q2005:AE2005)),0)</f>
        <v>3</v>
      </c>
      <c r="AX2005" s="5">
        <f>IF(R2005&gt;0,RANK(R2005,(N2005:P2005,Q2005:AE2005)),0)</f>
        <v>5</v>
      </c>
      <c r="AY2005" s="5">
        <f>IF(T2005&gt;0,RANK(T2005,(N2005:P2005,Q2005:AE2005)),0)</f>
        <v>0</v>
      </c>
      <c r="AZ2005" s="5">
        <f>IF(S2005&gt;0,RANK(S2005,(N2005:P2005,Q2005:AE2005)),0)</f>
        <v>0</v>
      </c>
      <c r="BA2005" s="2">
        <f t="shared" si="847"/>
        <v>2.5586143308746048E-2</v>
      </c>
      <c r="BB2005" s="2">
        <f t="shared" si="848"/>
        <v>1.7452581664910431E-3</v>
      </c>
      <c r="BC2005" s="2">
        <f t="shared" si="849"/>
        <v>0</v>
      </c>
      <c r="BD2005" s="2">
        <f t="shared" si="850"/>
        <v>0</v>
      </c>
      <c r="BF2005" t="s">
        <v>1138</v>
      </c>
      <c r="BG2005" t="s">
        <v>2652</v>
      </c>
      <c r="BH2005">
        <v>2</v>
      </c>
      <c r="BJ2005" s="114">
        <v>37</v>
      </c>
      <c r="BK2005" s="116">
        <v>69</v>
      </c>
      <c r="BL2005" s="120">
        <f t="shared" si="822"/>
        <v>37069</v>
      </c>
      <c r="BN2005" s="5" t="s">
        <v>3154</v>
      </c>
    </row>
    <row r="2006" spans="1:66" ht="13" hidden="1" customHeight="1" outlineLevel="1">
      <c r="A2006" t="s">
        <v>2879</v>
      </c>
      <c r="B2006" t="s">
        <v>2652</v>
      </c>
      <c r="C2006" s="1">
        <f t="shared" si="842"/>
        <v>96431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32">
        <f t="shared" si="840"/>
        <v>30621</v>
      </c>
      <c r="H2006" s="137">
        <f t="shared" si="841"/>
        <v>0.31754311372898758</v>
      </c>
      <c r="I2006" s="2"/>
      <c r="J2006" s="2">
        <f t="shared" si="843"/>
        <v>0.32330889444265848</v>
      </c>
      <c r="K2006" s="2">
        <f t="shared" si="844"/>
        <v>0.640852008171646</v>
      </c>
      <c r="L2006" s="2">
        <f t="shared" si="845"/>
        <v>0</v>
      </c>
      <c r="M2006" s="2">
        <f t="shared" si="846"/>
        <v>3.5839097385695462E-2</v>
      </c>
      <c r="N2006" s="63">
        <v>31177</v>
      </c>
      <c r="O2006" s="63">
        <v>61798</v>
      </c>
      <c r="P2006" s="63"/>
      <c r="Q2006" s="63">
        <v>2445</v>
      </c>
      <c r="R2006" s="63">
        <v>138</v>
      </c>
      <c r="S2006" s="63"/>
      <c r="T2006" s="63"/>
      <c r="U2006" s="63"/>
      <c r="V2006" s="63"/>
      <c r="W2006" s="63">
        <v>873</v>
      </c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W2006" s="5">
        <f>IF(Q2006&gt;0,RANK(Q2006,(N2006:P2006,Q2006:AE2006)),0)</f>
        <v>3</v>
      </c>
      <c r="AX2006" s="5">
        <f>IF(R2006&gt;0,RANK(R2006,(N2006:P2006,Q2006:AE2006)),0)</f>
        <v>5</v>
      </c>
      <c r="AY2006" s="5">
        <f>IF(T2006&gt;0,RANK(T2006,(N2006:P2006,Q2006:AE2006)),0)</f>
        <v>0</v>
      </c>
      <c r="AZ2006" s="5">
        <f>IF(S2006&gt;0,RANK(S2006,(N2006:P2006,Q2006:AE2006)),0)</f>
        <v>0</v>
      </c>
      <c r="BA2006" s="2">
        <f t="shared" si="847"/>
        <v>2.5354916987275877E-2</v>
      </c>
      <c r="BB2006" s="2">
        <f t="shared" si="848"/>
        <v>1.4310750692204789E-3</v>
      </c>
      <c r="BC2006" s="2">
        <f t="shared" si="849"/>
        <v>0</v>
      </c>
      <c r="BD2006" s="2">
        <f t="shared" si="850"/>
        <v>0</v>
      </c>
      <c r="BF2006" t="s">
        <v>2879</v>
      </c>
      <c r="BG2006" t="s">
        <v>2652</v>
      </c>
      <c r="BH2006">
        <v>10</v>
      </c>
      <c r="BJ2006" s="114">
        <v>37</v>
      </c>
      <c r="BK2006" s="116">
        <v>71</v>
      </c>
      <c r="BL2006" s="120">
        <f t="shared" si="822"/>
        <v>37071</v>
      </c>
      <c r="BN2006" s="5" t="s">
        <v>3154</v>
      </c>
    </row>
    <row r="2007" spans="1:66" ht="13" hidden="1" customHeight="1" outlineLevel="1">
      <c r="A2007" t="s">
        <v>3186</v>
      </c>
      <c r="B2007" t="s">
        <v>2652</v>
      </c>
      <c r="C2007" s="1">
        <f t="shared" si="842"/>
        <v>5392</v>
      </c>
      <c r="D2007" s="5">
        <f>IF(N2007&gt;0, RANK(N2007,(N2007:P2007,Q2007:AE2007)),0)</f>
        <v>2</v>
      </c>
      <c r="E2007" s="5">
        <f>IF(O2007&gt;0,RANK(O2007,(N2007:P2007,Q2007:AE2007)),0)</f>
        <v>1</v>
      </c>
      <c r="F2007" s="5">
        <f>IF(P2007&gt;0,RANK(P2007,(N2007:P2007,Q2007:AE2007)),0)</f>
        <v>0</v>
      </c>
      <c r="G2007" s="132">
        <f t="shared" si="840"/>
        <v>489</v>
      </c>
      <c r="H2007" s="137">
        <f t="shared" si="841"/>
        <v>9.0689910979228489E-2</v>
      </c>
      <c r="I2007" s="2"/>
      <c r="J2007" s="2">
        <f t="shared" si="843"/>
        <v>0.44232195845697331</v>
      </c>
      <c r="K2007" s="2">
        <f t="shared" si="844"/>
        <v>0.53301186943620182</v>
      </c>
      <c r="L2007" s="2">
        <f t="shared" si="845"/>
        <v>0</v>
      </c>
      <c r="M2007" s="2">
        <f t="shared" si="846"/>
        <v>2.4666172106824868E-2</v>
      </c>
      <c r="N2007" s="63">
        <v>2385</v>
      </c>
      <c r="O2007" s="63">
        <v>2874</v>
      </c>
      <c r="P2007" s="63"/>
      <c r="Q2007" s="63">
        <v>108</v>
      </c>
      <c r="R2007" s="63">
        <v>0</v>
      </c>
      <c r="S2007" s="63"/>
      <c r="T2007" s="63"/>
      <c r="U2007" s="63"/>
      <c r="V2007" s="63"/>
      <c r="W2007" s="63">
        <v>25</v>
      </c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W2007" s="5">
        <f>IF(Q2007&gt;0,RANK(Q2007,(N2007:P2007,Q2007:AE2007)),0)</f>
        <v>3</v>
      </c>
      <c r="AX2007" s="5">
        <f>IF(R2007&gt;0,RANK(R2007,(N2007:P2007,Q2007:AE2007)),0)</f>
        <v>0</v>
      </c>
      <c r="AY2007" s="5">
        <f>IF(T2007&gt;0,RANK(T2007,(N2007:P2007,Q2007:AE2007)),0)</f>
        <v>0</v>
      </c>
      <c r="AZ2007" s="5">
        <f>IF(S2007&gt;0,RANK(S2007,(N2007:P2007,Q2007:AE2007)),0)</f>
        <v>0</v>
      </c>
      <c r="BA2007" s="2">
        <f t="shared" si="847"/>
        <v>2.0029673590504452E-2</v>
      </c>
      <c r="BB2007" s="2">
        <f t="shared" si="848"/>
        <v>0</v>
      </c>
      <c r="BC2007" s="2">
        <f t="shared" si="849"/>
        <v>0</v>
      </c>
      <c r="BD2007" s="2">
        <f t="shared" si="850"/>
        <v>0</v>
      </c>
      <c r="BF2007" t="s">
        <v>3186</v>
      </c>
      <c r="BG2007" t="s">
        <v>2652</v>
      </c>
      <c r="BH2007">
        <v>1</v>
      </c>
      <c r="BJ2007" s="114">
        <v>37</v>
      </c>
      <c r="BK2007" s="116">
        <v>73</v>
      </c>
      <c r="BL2007" s="120">
        <f t="shared" si="822"/>
        <v>37073</v>
      </c>
      <c r="BN2007" s="5" t="s">
        <v>3154</v>
      </c>
    </row>
    <row r="2008" spans="1:66" ht="13" hidden="1" customHeight="1" outlineLevel="1">
      <c r="A2008" t="s">
        <v>938</v>
      </c>
      <c r="B2008" t="s">
        <v>2652</v>
      </c>
      <c r="C2008" s="1">
        <f t="shared" si="842"/>
        <v>4168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32">
        <f t="shared" si="840"/>
        <v>2515</v>
      </c>
      <c r="H2008" s="137">
        <f t="shared" si="841"/>
        <v>0.60340690978886757</v>
      </c>
      <c r="I2008" s="2"/>
      <c r="J2008" s="2">
        <f t="shared" si="843"/>
        <v>0.18426103646833014</v>
      </c>
      <c r="K2008" s="2">
        <f t="shared" si="844"/>
        <v>0.78766794625719772</v>
      </c>
      <c r="L2008" s="2">
        <f t="shared" si="845"/>
        <v>0</v>
      </c>
      <c r="M2008" s="2">
        <f t="shared" si="846"/>
        <v>2.8071017274472143E-2</v>
      </c>
      <c r="N2008" s="63">
        <v>768</v>
      </c>
      <c r="O2008" s="63">
        <v>3283</v>
      </c>
      <c r="P2008" s="63"/>
      <c r="Q2008" s="63">
        <v>74</v>
      </c>
      <c r="R2008" s="63">
        <v>0</v>
      </c>
      <c r="S2008" s="63"/>
      <c r="T2008" s="63"/>
      <c r="U2008" s="63"/>
      <c r="V2008" s="63"/>
      <c r="W2008" s="63">
        <v>43</v>
      </c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W2008" s="5">
        <f>IF(Q2008&gt;0,RANK(Q2008,(N2008:P2008,Q2008:AE2008)),0)</f>
        <v>3</v>
      </c>
      <c r="AX2008" s="5">
        <f>IF(R2008&gt;0,RANK(R2008,(N2008:P2008,Q2008:AE2008)),0)</f>
        <v>0</v>
      </c>
      <c r="AY2008" s="5">
        <f>IF(T2008&gt;0,RANK(T2008,(N2008:P2008,Q2008:AE2008)),0)</f>
        <v>0</v>
      </c>
      <c r="AZ2008" s="5">
        <f>IF(S2008&gt;0,RANK(S2008,(N2008:P2008,Q2008:AE2008)),0)</f>
        <v>0</v>
      </c>
      <c r="BA2008" s="2">
        <f t="shared" si="847"/>
        <v>1.7754318618042227E-2</v>
      </c>
      <c r="BB2008" s="2">
        <f t="shared" si="848"/>
        <v>0</v>
      </c>
      <c r="BC2008" s="2">
        <f t="shared" si="849"/>
        <v>0</v>
      </c>
      <c r="BD2008" s="2">
        <f t="shared" si="850"/>
        <v>0</v>
      </c>
      <c r="BF2008" t="s">
        <v>938</v>
      </c>
      <c r="BG2008" t="s">
        <v>2652</v>
      </c>
      <c r="BH2008">
        <v>11</v>
      </c>
      <c r="BJ2008" s="114">
        <v>37</v>
      </c>
      <c r="BK2008" s="116">
        <v>75</v>
      </c>
      <c r="BL2008" s="120">
        <f t="shared" si="822"/>
        <v>37075</v>
      </c>
      <c r="BN2008" s="5" t="s">
        <v>3154</v>
      </c>
    </row>
    <row r="2009" spans="1:66" ht="13" hidden="1" customHeight="1" outlineLevel="1">
      <c r="A2009" t="s">
        <v>866</v>
      </c>
      <c r="B2009" t="s">
        <v>2652</v>
      </c>
      <c r="C2009" s="1">
        <f t="shared" si="842"/>
        <v>27353</v>
      </c>
      <c r="D2009" s="5">
        <f>IF(N2009&gt;0, RANK(N2009,(N2009:P2009,Q2009:AE2009)),0)</f>
        <v>2</v>
      </c>
      <c r="E2009" s="5">
        <f>IF(O2009&gt;0,RANK(O2009,(N2009:P2009,Q2009:AE2009)),0)</f>
        <v>1</v>
      </c>
      <c r="F2009" s="5">
        <f>IF(P2009&gt;0,RANK(P2009,(N2009:P2009,Q2009:AE2009)),0)</f>
        <v>0</v>
      </c>
      <c r="G2009" s="132">
        <f t="shared" si="840"/>
        <v>682</v>
      </c>
      <c r="H2009" s="137">
        <f t="shared" si="841"/>
        <v>2.4933279713376961E-2</v>
      </c>
      <c r="I2009" s="2"/>
      <c r="J2009" s="2">
        <f t="shared" si="843"/>
        <v>0.47194092055716008</v>
      </c>
      <c r="K2009" s="2">
        <f t="shared" si="844"/>
        <v>0.49687420027053703</v>
      </c>
      <c r="L2009" s="2">
        <f t="shared" si="845"/>
        <v>0</v>
      </c>
      <c r="M2009" s="2">
        <f t="shared" si="846"/>
        <v>3.1184879172302893E-2</v>
      </c>
      <c r="N2009" s="63">
        <v>12909</v>
      </c>
      <c r="O2009" s="63">
        <v>13591</v>
      </c>
      <c r="P2009" s="63"/>
      <c r="Q2009" s="63">
        <v>596</v>
      </c>
      <c r="R2009" s="63">
        <v>42</v>
      </c>
      <c r="S2009" s="63"/>
      <c r="T2009" s="63"/>
      <c r="U2009" s="63"/>
      <c r="V2009" s="63"/>
      <c r="W2009" s="63">
        <v>215</v>
      </c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W2009" s="5">
        <f>IF(Q2009&gt;0,RANK(Q2009,(N2009:P2009,Q2009:AE2009)),0)</f>
        <v>3</v>
      </c>
      <c r="AX2009" s="5">
        <f>IF(R2009&gt;0,RANK(R2009,(N2009:P2009,Q2009:AE2009)),0)</f>
        <v>5</v>
      </c>
      <c r="AY2009" s="5">
        <f>IF(T2009&gt;0,RANK(T2009,(N2009:P2009,Q2009:AE2009)),0)</f>
        <v>0</v>
      </c>
      <c r="AZ2009" s="5">
        <f>IF(S2009&gt;0,RANK(S2009,(N2009:P2009,Q2009:AE2009)),0)</f>
        <v>0</v>
      </c>
      <c r="BA2009" s="2">
        <f t="shared" si="847"/>
        <v>2.1789200453332359E-2</v>
      </c>
      <c r="BB2009" s="2">
        <f t="shared" si="848"/>
        <v>1.5354805688589917E-3</v>
      </c>
      <c r="BC2009" s="2">
        <f t="shared" si="849"/>
        <v>0</v>
      </c>
      <c r="BD2009" s="2">
        <f t="shared" si="850"/>
        <v>0</v>
      </c>
      <c r="BF2009" t="s">
        <v>866</v>
      </c>
      <c r="BG2009" t="s">
        <v>2652</v>
      </c>
      <c r="BH2009">
        <v>1</v>
      </c>
      <c r="BJ2009" s="114">
        <v>37</v>
      </c>
      <c r="BK2009" s="116">
        <v>77</v>
      </c>
      <c r="BL2009" s="120">
        <f t="shared" si="822"/>
        <v>37077</v>
      </c>
      <c r="BN2009" s="5" t="s">
        <v>3154</v>
      </c>
    </row>
    <row r="2010" spans="1:66" ht="13" hidden="1" customHeight="1" outlineLevel="1">
      <c r="A2010" t="s">
        <v>2189</v>
      </c>
      <c r="B2010" t="s">
        <v>2652</v>
      </c>
      <c r="C2010" s="1">
        <f t="shared" si="842"/>
        <v>8095</v>
      </c>
      <c r="D2010" s="5">
        <f>IF(N2010&gt;0, RANK(N2010,(N2010:P2010,Q2010:AE2010)),0)</f>
        <v>2</v>
      </c>
      <c r="E2010" s="5">
        <f>IF(O2010&gt;0,RANK(O2010,(N2010:P2010,Q2010:AE2010)),0)</f>
        <v>1</v>
      </c>
      <c r="F2010" s="5">
        <f>IF(P2010&gt;0,RANK(P2010,(N2010:P2010,Q2010:AE2010)),0)</f>
        <v>0</v>
      </c>
      <c r="G2010" s="132">
        <f t="shared" si="840"/>
        <v>769</v>
      </c>
      <c r="H2010" s="137">
        <f t="shared" si="841"/>
        <v>9.4996911673872766E-2</v>
      </c>
      <c r="I2010" s="2"/>
      <c r="J2010" s="2">
        <f t="shared" si="843"/>
        <v>0.44533662754786907</v>
      </c>
      <c r="K2010" s="2">
        <f t="shared" si="844"/>
        <v>0.54033353922174177</v>
      </c>
      <c r="L2010" s="2">
        <f t="shared" si="845"/>
        <v>0</v>
      </c>
      <c r="M2010" s="2">
        <f t="shared" si="846"/>
        <v>1.4329833230389166E-2</v>
      </c>
      <c r="N2010" s="63">
        <v>3605</v>
      </c>
      <c r="O2010" s="63">
        <v>4374</v>
      </c>
      <c r="P2010" s="63"/>
      <c r="Q2010" s="63">
        <v>85</v>
      </c>
      <c r="R2010" s="63">
        <v>4</v>
      </c>
      <c r="S2010" s="63"/>
      <c r="T2010" s="63"/>
      <c r="U2010" s="63"/>
      <c r="V2010" s="63"/>
      <c r="W2010" s="63">
        <v>27</v>
      </c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W2010" s="5">
        <f>IF(Q2010&gt;0,RANK(Q2010,(N2010:P2010,Q2010:AE2010)),0)</f>
        <v>3</v>
      </c>
      <c r="AX2010" s="5">
        <f>IF(R2010&gt;0,RANK(R2010,(N2010:P2010,Q2010:AE2010)),0)</f>
        <v>5</v>
      </c>
      <c r="AY2010" s="5">
        <f>IF(T2010&gt;0,RANK(T2010,(N2010:P2010,Q2010:AE2010)),0)</f>
        <v>0</v>
      </c>
      <c r="AZ2010" s="5">
        <f>IF(S2010&gt;0,RANK(S2010,(N2010:P2010,Q2010:AE2010)),0)</f>
        <v>0</v>
      </c>
      <c r="BA2010" s="2">
        <f t="shared" si="847"/>
        <v>1.0500308832612723E-2</v>
      </c>
      <c r="BB2010" s="2">
        <f t="shared" si="848"/>
        <v>4.941321803582458E-4</v>
      </c>
      <c r="BC2010" s="2">
        <f t="shared" si="849"/>
        <v>0</v>
      </c>
      <c r="BD2010" s="2">
        <f t="shared" si="850"/>
        <v>0</v>
      </c>
      <c r="BF2010" t="s">
        <v>2189</v>
      </c>
      <c r="BG2010" t="s">
        <v>2652</v>
      </c>
      <c r="BH2010">
        <v>3</v>
      </c>
      <c r="BJ2010" s="114">
        <v>37</v>
      </c>
      <c r="BK2010" s="116">
        <v>79</v>
      </c>
      <c r="BL2010" s="120">
        <f t="shared" si="822"/>
        <v>37079</v>
      </c>
      <c r="BN2010" s="5" t="s">
        <v>3154</v>
      </c>
    </row>
    <row r="2011" spans="1:66" ht="13" hidden="1" customHeight="1" outlineLevel="1">
      <c r="A2011" t="s">
        <v>1036</v>
      </c>
      <c r="B2011" t="s">
        <v>2652</v>
      </c>
      <c r="C2011" s="1">
        <f t="shared" si="842"/>
        <v>257405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32">
        <f t="shared" si="840"/>
        <v>51186</v>
      </c>
      <c r="H2011" s="137">
        <f t="shared" si="841"/>
        <v>0.19885394611604282</v>
      </c>
      <c r="I2011" s="2"/>
      <c r="J2011" s="2">
        <f t="shared" si="843"/>
        <v>0.57981779685709289</v>
      </c>
      <c r="K2011" s="2">
        <f t="shared" si="844"/>
        <v>0.3809638507410501</v>
      </c>
      <c r="L2011" s="2">
        <f t="shared" si="845"/>
        <v>0</v>
      </c>
      <c r="M2011" s="2">
        <f t="shared" si="846"/>
        <v>3.9218352401857004E-2</v>
      </c>
      <c r="N2011" s="63">
        <v>149248</v>
      </c>
      <c r="O2011" s="63">
        <v>98062</v>
      </c>
      <c r="P2011" s="63"/>
      <c r="Q2011" s="63">
        <v>6754</v>
      </c>
      <c r="R2011" s="63">
        <v>674</v>
      </c>
      <c r="S2011" s="63"/>
      <c r="T2011" s="63"/>
      <c r="U2011" s="63"/>
      <c r="V2011" s="63"/>
      <c r="W2011" s="63">
        <v>2667</v>
      </c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W2011" s="5">
        <f>IF(Q2011&gt;0,RANK(Q2011,(N2011:P2011,Q2011:AE2011)),0)</f>
        <v>3</v>
      </c>
      <c r="AX2011" s="5">
        <f>IF(R2011&gt;0,RANK(R2011,(N2011:P2011,Q2011:AE2011)),0)</f>
        <v>5</v>
      </c>
      <c r="AY2011" s="5">
        <f>IF(T2011&gt;0,RANK(T2011,(N2011:P2011,Q2011:AE2011)),0)</f>
        <v>0</v>
      </c>
      <c r="AZ2011" s="5">
        <f>IF(S2011&gt;0,RANK(S2011,(N2011:P2011,Q2011:AE2011)),0)</f>
        <v>0</v>
      </c>
      <c r="BA2011" s="2">
        <f t="shared" si="847"/>
        <v>2.6238806549989318E-2</v>
      </c>
      <c r="BB2011" s="2">
        <f t="shared" si="848"/>
        <v>2.6184417552106601E-3</v>
      </c>
      <c r="BC2011" s="2">
        <f t="shared" si="849"/>
        <v>0</v>
      </c>
      <c r="BD2011" s="2">
        <f t="shared" si="850"/>
        <v>0</v>
      </c>
      <c r="BF2011" t="s">
        <v>1036</v>
      </c>
      <c r="BG2011" t="s">
        <v>2652</v>
      </c>
      <c r="BJ2011" s="114">
        <v>37</v>
      </c>
      <c r="BK2011" s="116">
        <v>81</v>
      </c>
      <c r="BL2011" s="120">
        <f t="shared" si="822"/>
        <v>37081</v>
      </c>
      <c r="BN2011" s="5" t="s">
        <v>3154</v>
      </c>
    </row>
    <row r="2012" spans="1:66" ht="13" hidden="1" customHeight="1" outlineLevel="1">
      <c r="A2012" t="s">
        <v>391</v>
      </c>
      <c r="B2012" t="s">
        <v>2652</v>
      </c>
      <c r="C2012" s="1">
        <f t="shared" si="842"/>
        <v>25167</v>
      </c>
      <c r="D2012" s="5">
        <f>IF(N2012&gt;0, RANK(N2012,(N2012:P2012,Q2012:AE2012)),0)</f>
        <v>1</v>
      </c>
      <c r="E2012" s="5">
        <f>IF(O2012&gt;0,RANK(O2012,(N2012:P2012,Q2012:AE2012)),0)</f>
        <v>2</v>
      </c>
      <c r="F2012" s="5">
        <f>IF(P2012&gt;0,RANK(P2012,(N2012:P2012,Q2012:AE2012)),0)</f>
        <v>0</v>
      </c>
      <c r="G2012" s="132">
        <f t="shared" si="840"/>
        <v>6717</v>
      </c>
      <c r="H2012" s="137">
        <f t="shared" si="841"/>
        <v>0.26689712719036834</v>
      </c>
      <c r="I2012" s="2"/>
      <c r="J2012" s="2">
        <f t="shared" si="843"/>
        <v>0.62574005642309372</v>
      </c>
      <c r="K2012" s="2">
        <f t="shared" si="844"/>
        <v>0.35884292923272537</v>
      </c>
      <c r="L2012" s="2">
        <f t="shared" si="845"/>
        <v>0</v>
      </c>
      <c r="M2012" s="2">
        <f t="shared" si="846"/>
        <v>1.5417014344180913E-2</v>
      </c>
      <c r="N2012" s="63">
        <v>15748</v>
      </c>
      <c r="O2012" s="63">
        <v>9031</v>
      </c>
      <c r="P2012" s="63"/>
      <c r="Q2012" s="63">
        <v>290</v>
      </c>
      <c r="R2012" s="63">
        <v>0</v>
      </c>
      <c r="S2012" s="63"/>
      <c r="T2012" s="63"/>
      <c r="U2012" s="63"/>
      <c r="V2012" s="63"/>
      <c r="W2012" s="63">
        <v>98</v>
      </c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W2012" s="5">
        <f>IF(Q2012&gt;0,RANK(Q2012,(N2012:P2012,Q2012:AE2012)),0)</f>
        <v>3</v>
      </c>
      <c r="AX2012" s="5">
        <f>IF(R2012&gt;0,RANK(R2012,(N2012:P2012,Q2012:AE2012)),0)</f>
        <v>0</v>
      </c>
      <c r="AY2012" s="5">
        <f>IF(T2012&gt;0,RANK(T2012,(N2012:P2012,Q2012:AE2012)),0)</f>
        <v>0</v>
      </c>
      <c r="AZ2012" s="5">
        <f>IF(S2012&gt;0,RANK(S2012,(N2012:P2012,Q2012:AE2012)),0)</f>
        <v>0</v>
      </c>
      <c r="BA2012" s="2">
        <f t="shared" si="847"/>
        <v>1.1523026185083642E-2</v>
      </c>
      <c r="BB2012" s="2">
        <f t="shared" si="848"/>
        <v>0</v>
      </c>
      <c r="BC2012" s="2">
        <f t="shared" si="849"/>
        <v>0</v>
      </c>
      <c r="BD2012" s="2">
        <f t="shared" si="850"/>
        <v>0</v>
      </c>
      <c r="BF2012" t="s">
        <v>391</v>
      </c>
      <c r="BG2012" t="s">
        <v>2652</v>
      </c>
      <c r="BH2012">
        <v>1</v>
      </c>
      <c r="BJ2012" s="114">
        <v>37</v>
      </c>
      <c r="BK2012" s="116">
        <v>83</v>
      </c>
      <c r="BL2012" s="120">
        <f t="shared" si="822"/>
        <v>37083</v>
      </c>
      <c r="BN2012" s="5" t="s">
        <v>3154</v>
      </c>
    </row>
    <row r="2013" spans="1:66" ht="13" hidden="1" customHeight="1" outlineLevel="1">
      <c r="A2013" t="s">
        <v>1014</v>
      </c>
      <c r="B2013" t="s">
        <v>2652</v>
      </c>
      <c r="C2013" s="1">
        <f t="shared" si="842"/>
        <v>46065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32">
        <f t="shared" si="840"/>
        <v>10877</v>
      </c>
      <c r="H2013" s="137">
        <f t="shared" si="841"/>
        <v>0.23612286985780961</v>
      </c>
      <c r="I2013" s="2"/>
      <c r="J2013" s="2">
        <f t="shared" si="843"/>
        <v>0.3633344187561055</v>
      </c>
      <c r="K2013" s="2">
        <f t="shared" si="844"/>
        <v>0.59945728861391512</v>
      </c>
      <c r="L2013" s="2">
        <f t="shared" si="845"/>
        <v>0</v>
      </c>
      <c r="M2013" s="2">
        <f t="shared" si="846"/>
        <v>3.7208292629979378E-2</v>
      </c>
      <c r="N2013" s="63">
        <v>16737</v>
      </c>
      <c r="O2013" s="63">
        <v>27614</v>
      </c>
      <c r="P2013" s="63"/>
      <c r="Q2013" s="63">
        <v>1252</v>
      </c>
      <c r="R2013" s="63">
        <v>73</v>
      </c>
      <c r="S2013" s="63"/>
      <c r="T2013" s="63"/>
      <c r="U2013" s="63"/>
      <c r="V2013" s="63"/>
      <c r="W2013" s="63">
        <v>389</v>
      </c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W2013" s="5">
        <f>IF(Q2013&gt;0,RANK(Q2013,(N2013:P2013,Q2013:AE2013)),0)</f>
        <v>3</v>
      </c>
      <c r="AX2013" s="5">
        <f>IF(R2013&gt;0,RANK(R2013,(N2013:P2013,Q2013:AE2013)),0)</f>
        <v>5</v>
      </c>
      <c r="AY2013" s="5">
        <f>IF(T2013&gt;0,RANK(T2013,(N2013:P2013,Q2013:AE2013)),0)</f>
        <v>0</v>
      </c>
      <c r="AZ2013" s="5">
        <f>IF(S2013&gt;0,RANK(S2013,(N2013:P2013,Q2013:AE2013)),0)</f>
        <v>0</v>
      </c>
      <c r="BA2013" s="2">
        <f t="shared" si="847"/>
        <v>2.7178986215130794E-2</v>
      </c>
      <c r="BB2013" s="2">
        <f t="shared" si="848"/>
        <v>1.5847172473678498E-3</v>
      </c>
      <c r="BC2013" s="2">
        <f t="shared" si="849"/>
        <v>0</v>
      </c>
      <c r="BD2013" s="2">
        <f t="shared" si="850"/>
        <v>0</v>
      </c>
      <c r="BF2013" t="s">
        <v>1014</v>
      </c>
      <c r="BG2013" t="s">
        <v>2652</v>
      </c>
      <c r="BH2013">
        <v>2</v>
      </c>
      <c r="BJ2013" s="114">
        <v>37</v>
      </c>
      <c r="BK2013" s="116">
        <v>85</v>
      </c>
      <c r="BL2013" s="120">
        <f t="shared" si="822"/>
        <v>37085</v>
      </c>
      <c r="BN2013" s="5" t="s">
        <v>3154</v>
      </c>
    </row>
    <row r="2014" spans="1:66" ht="13" hidden="1" customHeight="1" outlineLevel="1">
      <c r="A2014" t="s">
        <v>109</v>
      </c>
      <c r="B2014" t="s">
        <v>2652</v>
      </c>
      <c r="C2014" s="1">
        <f t="shared" si="842"/>
        <v>30727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32">
        <f t="shared" si="840"/>
        <v>8456</v>
      </c>
      <c r="H2014" s="137">
        <f t="shared" si="841"/>
        <v>0.27519770885540407</v>
      </c>
      <c r="I2014" s="2"/>
      <c r="J2014" s="2">
        <f t="shared" si="843"/>
        <v>0.34084030331630161</v>
      </c>
      <c r="K2014" s="2">
        <f t="shared" si="844"/>
        <v>0.61603801217170562</v>
      </c>
      <c r="L2014" s="2">
        <f t="shared" si="845"/>
        <v>0</v>
      </c>
      <c r="M2014" s="2">
        <f t="shared" si="846"/>
        <v>4.3121684511992719E-2</v>
      </c>
      <c r="N2014" s="63">
        <v>10473</v>
      </c>
      <c r="O2014" s="63">
        <v>18929</v>
      </c>
      <c r="P2014" s="63"/>
      <c r="Q2014" s="63">
        <v>905</v>
      </c>
      <c r="R2014" s="63">
        <v>117</v>
      </c>
      <c r="S2014" s="63"/>
      <c r="T2014" s="63"/>
      <c r="U2014" s="63"/>
      <c r="V2014" s="63"/>
      <c r="W2014" s="63">
        <v>303</v>
      </c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W2014" s="5">
        <f>IF(Q2014&gt;0,RANK(Q2014,(N2014:P2014,Q2014:AE2014)),0)</f>
        <v>3</v>
      </c>
      <c r="AX2014" s="5">
        <f>IF(R2014&gt;0,RANK(R2014,(N2014:P2014,Q2014:AE2014)),0)</f>
        <v>5</v>
      </c>
      <c r="AY2014" s="5">
        <f>IF(T2014&gt;0,RANK(T2014,(N2014:P2014,Q2014:AE2014)),0)</f>
        <v>0</v>
      </c>
      <c r="AZ2014" s="5">
        <f>IF(S2014&gt;0,RANK(S2014,(N2014:P2014,Q2014:AE2014)),0)</f>
        <v>0</v>
      </c>
      <c r="BA2014" s="2">
        <f t="shared" si="847"/>
        <v>2.9452924138379927E-2</v>
      </c>
      <c r="BB2014" s="2">
        <f t="shared" si="848"/>
        <v>3.807726104077847E-3</v>
      </c>
      <c r="BC2014" s="2">
        <f t="shared" si="849"/>
        <v>0</v>
      </c>
      <c r="BD2014" s="2">
        <f t="shared" si="850"/>
        <v>0</v>
      </c>
      <c r="BF2014" t="s">
        <v>109</v>
      </c>
      <c r="BG2014" t="s">
        <v>2652</v>
      </c>
      <c r="BH2014">
        <v>11</v>
      </c>
      <c r="BJ2014" s="114">
        <v>37</v>
      </c>
      <c r="BK2014" s="116">
        <v>87</v>
      </c>
      <c r="BL2014" s="120">
        <f t="shared" si="822"/>
        <v>37087</v>
      </c>
      <c r="BN2014" s="5" t="s">
        <v>3154</v>
      </c>
    </row>
    <row r="2015" spans="1:66" ht="13" hidden="1" customHeight="1" outlineLevel="1">
      <c r="A2015" t="s">
        <v>954</v>
      </c>
      <c r="B2015" t="s">
        <v>2652</v>
      </c>
      <c r="C2015" s="1">
        <f t="shared" si="842"/>
        <v>58176</v>
      </c>
      <c r="D2015" s="5">
        <f>IF(N2015&gt;0, RANK(N2015,(N2015:P2015,Q2015:AE2015)),0)</f>
        <v>2</v>
      </c>
      <c r="E2015" s="5">
        <f>IF(O2015&gt;0,RANK(O2015,(N2015:P2015,Q2015:AE2015)),0)</f>
        <v>1</v>
      </c>
      <c r="F2015" s="5">
        <f>IF(P2015&gt;0,RANK(P2015,(N2015:P2015,Q2015:AE2015)),0)</f>
        <v>0</v>
      </c>
      <c r="G2015" s="132">
        <f t="shared" si="840"/>
        <v>15982</v>
      </c>
      <c r="H2015" s="137">
        <f t="shared" si="841"/>
        <v>0.27471809680968096</v>
      </c>
      <c r="I2015" s="2"/>
      <c r="J2015" s="2">
        <f t="shared" si="843"/>
        <v>0.34081064356435642</v>
      </c>
      <c r="K2015" s="2">
        <f t="shared" si="844"/>
        <v>0.61552874037403738</v>
      </c>
      <c r="L2015" s="2">
        <f t="shared" si="845"/>
        <v>0</v>
      </c>
      <c r="M2015" s="2">
        <f t="shared" si="846"/>
        <v>4.3660616061606206E-2</v>
      </c>
      <c r="N2015" s="63">
        <v>19827</v>
      </c>
      <c r="O2015" s="63">
        <v>35809</v>
      </c>
      <c r="P2015" s="63"/>
      <c r="Q2015" s="63">
        <v>1626</v>
      </c>
      <c r="R2015" s="63">
        <v>227</v>
      </c>
      <c r="S2015" s="63"/>
      <c r="T2015" s="63"/>
      <c r="U2015" s="63"/>
      <c r="V2015" s="63"/>
      <c r="W2015" s="63">
        <v>687</v>
      </c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W2015" s="5">
        <f>IF(Q2015&gt;0,RANK(Q2015,(N2015:P2015,Q2015:AE2015)),0)</f>
        <v>3</v>
      </c>
      <c r="AX2015" s="5">
        <f>IF(R2015&gt;0,RANK(R2015,(N2015:P2015,Q2015:AE2015)),0)</f>
        <v>5</v>
      </c>
      <c r="AY2015" s="5">
        <f>IF(T2015&gt;0,RANK(T2015,(N2015:P2015,Q2015:AE2015)),0)</f>
        <v>0</v>
      </c>
      <c r="AZ2015" s="5">
        <f>IF(S2015&gt;0,RANK(S2015,(N2015:P2015,Q2015:AE2015)),0)</f>
        <v>0</v>
      </c>
      <c r="BA2015" s="2">
        <f t="shared" si="847"/>
        <v>2.7949669966996701E-2</v>
      </c>
      <c r="BB2015" s="2">
        <f t="shared" si="848"/>
        <v>3.901952695269527E-3</v>
      </c>
      <c r="BC2015" s="2">
        <f t="shared" si="849"/>
        <v>0</v>
      </c>
      <c r="BD2015" s="2">
        <f t="shared" si="850"/>
        <v>0</v>
      </c>
      <c r="BF2015" t="s">
        <v>954</v>
      </c>
      <c r="BG2015" t="s">
        <v>2652</v>
      </c>
      <c r="BH2015">
        <v>11</v>
      </c>
      <c r="BJ2015" s="114">
        <v>37</v>
      </c>
      <c r="BK2015" s="116">
        <v>89</v>
      </c>
      <c r="BL2015" s="120">
        <f t="shared" si="822"/>
        <v>37089</v>
      </c>
      <c r="BN2015" s="5" t="s">
        <v>3154</v>
      </c>
    </row>
    <row r="2016" spans="1:66" ht="13" hidden="1" customHeight="1" outlineLevel="1">
      <c r="A2016" t="s">
        <v>2485</v>
      </c>
      <c r="B2016" t="s">
        <v>2652</v>
      </c>
      <c r="C2016" s="1">
        <f t="shared" si="842"/>
        <v>10186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32">
        <f t="shared" si="840"/>
        <v>3811</v>
      </c>
      <c r="H2016" s="137">
        <f t="shared" si="841"/>
        <v>0.37414097781268407</v>
      </c>
      <c r="I2016" s="2"/>
      <c r="J2016" s="2">
        <f t="shared" si="843"/>
        <v>0.67838209306891817</v>
      </c>
      <c r="K2016" s="2">
        <f t="shared" si="844"/>
        <v>0.30424111525623404</v>
      </c>
      <c r="L2016" s="2">
        <f t="shared" si="845"/>
        <v>0</v>
      </c>
      <c r="M2016" s="2">
        <f t="shared" si="846"/>
        <v>1.7376791674847791E-2</v>
      </c>
      <c r="N2016" s="63">
        <v>6910</v>
      </c>
      <c r="O2016" s="63">
        <v>3099</v>
      </c>
      <c r="P2016" s="63"/>
      <c r="Q2016" s="63">
        <v>133</v>
      </c>
      <c r="R2016" s="63">
        <v>0</v>
      </c>
      <c r="S2016" s="63"/>
      <c r="T2016" s="63"/>
      <c r="U2016" s="63"/>
      <c r="V2016" s="63"/>
      <c r="W2016" s="63">
        <v>44</v>
      </c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W2016" s="5">
        <f>IF(Q2016&gt;0,RANK(Q2016,(N2016:P2016,Q2016:AE2016)),0)</f>
        <v>3</v>
      </c>
      <c r="AX2016" s="5">
        <f>IF(R2016&gt;0,RANK(R2016,(N2016:P2016,Q2016:AE2016)),0)</f>
        <v>0</v>
      </c>
      <c r="AY2016" s="5">
        <f>IF(T2016&gt;0,RANK(T2016,(N2016:P2016,Q2016:AE2016)),0)</f>
        <v>0</v>
      </c>
      <c r="AZ2016" s="5">
        <f>IF(S2016&gt;0,RANK(S2016,(N2016:P2016,Q2016:AE2016)),0)</f>
        <v>0</v>
      </c>
      <c r="BA2016" s="2">
        <f t="shared" si="847"/>
        <v>1.3057137247202042E-2</v>
      </c>
      <c r="BB2016" s="2">
        <f t="shared" si="848"/>
        <v>0</v>
      </c>
      <c r="BC2016" s="2">
        <f t="shared" si="849"/>
        <v>0</v>
      </c>
      <c r="BD2016" s="2">
        <f t="shared" si="850"/>
        <v>0</v>
      </c>
      <c r="BF2016" t="s">
        <v>2485</v>
      </c>
      <c r="BG2016" t="s">
        <v>2652</v>
      </c>
      <c r="BH2016">
        <v>1</v>
      </c>
      <c r="BJ2016" s="114">
        <v>37</v>
      </c>
      <c r="BK2016" s="116">
        <v>91</v>
      </c>
      <c r="BL2016" s="120">
        <f t="shared" si="822"/>
        <v>37091</v>
      </c>
      <c r="BN2016" s="5" t="s">
        <v>3154</v>
      </c>
    </row>
    <row r="2017" spans="1:66" ht="13" hidden="1" customHeight="1" outlineLevel="1">
      <c r="A2017" t="s">
        <v>3070</v>
      </c>
      <c r="B2017" t="s">
        <v>2652</v>
      </c>
      <c r="C2017" s="1">
        <f t="shared" si="842"/>
        <v>18230</v>
      </c>
      <c r="D2017" s="5">
        <f>IF(N2017&gt;0, RANK(N2017,(N2017:P2017,Q2017:AE2017)),0)</f>
        <v>1</v>
      </c>
      <c r="E2017" s="5">
        <f>IF(O2017&gt;0,RANK(O2017,(N2017:P2017,Q2017:AE2017)),0)</f>
        <v>2</v>
      </c>
      <c r="F2017" s="5">
        <f>IF(P2017&gt;0,RANK(P2017,(N2017:P2017,Q2017:AE2017)),0)</f>
        <v>0</v>
      </c>
      <c r="G2017" s="132">
        <f t="shared" si="840"/>
        <v>1966</v>
      </c>
      <c r="H2017" s="137">
        <f t="shared" si="841"/>
        <v>0.10784421283598464</v>
      </c>
      <c r="I2017" s="2"/>
      <c r="J2017" s="2">
        <f t="shared" si="843"/>
        <v>0.53351618211738894</v>
      </c>
      <c r="K2017" s="2">
        <f t="shared" si="844"/>
        <v>0.42567196928140427</v>
      </c>
      <c r="L2017" s="2">
        <f t="shared" si="845"/>
        <v>0</v>
      </c>
      <c r="M2017" s="2">
        <f t="shared" si="846"/>
        <v>4.081184860120679E-2</v>
      </c>
      <c r="N2017" s="63">
        <v>9726</v>
      </c>
      <c r="O2017" s="63">
        <v>7760</v>
      </c>
      <c r="P2017" s="63"/>
      <c r="Q2017" s="63">
        <v>577</v>
      </c>
      <c r="R2017" s="63">
        <v>27</v>
      </c>
      <c r="S2017" s="63"/>
      <c r="T2017" s="63"/>
      <c r="U2017" s="63"/>
      <c r="V2017" s="63"/>
      <c r="W2017" s="63">
        <v>140</v>
      </c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W2017" s="5">
        <f>IF(Q2017&gt;0,RANK(Q2017,(N2017:P2017,Q2017:AE2017)),0)</f>
        <v>3</v>
      </c>
      <c r="AX2017" s="5">
        <f>IF(R2017&gt;0,RANK(R2017,(N2017:P2017,Q2017:AE2017)),0)</f>
        <v>5</v>
      </c>
      <c r="AY2017" s="5">
        <f>IF(T2017&gt;0,RANK(T2017,(N2017:P2017,Q2017:AE2017)),0)</f>
        <v>0</v>
      </c>
      <c r="AZ2017" s="5">
        <f>IF(S2017&gt;0,RANK(S2017,(N2017:P2017,Q2017:AE2017)),0)</f>
        <v>0</v>
      </c>
      <c r="BA2017" s="2">
        <f t="shared" si="847"/>
        <v>3.1651124520021945E-2</v>
      </c>
      <c r="BB2017" s="2">
        <f t="shared" si="848"/>
        <v>1.4810751508502469E-3</v>
      </c>
      <c r="BC2017" s="2">
        <f t="shared" si="849"/>
        <v>0</v>
      </c>
      <c r="BD2017" s="2">
        <f t="shared" si="850"/>
        <v>0</v>
      </c>
      <c r="BF2017" t="s">
        <v>3070</v>
      </c>
      <c r="BG2017" t="s">
        <v>2652</v>
      </c>
      <c r="BH2017">
        <v>8</v>
      </c>
      <c r="BJ2017" s="114">
        <v>37</v>
      </c>
      <c r="BK2017" s="116">
        <v>93</v>
      </c>
      <c r="BL2017" s="120">
        <f t="shared" si="822"/>
        <v>37093</v>
      </c>
      <c r="BN2017" s="5" t="s">
        <v>3154</v>
      </c>
    </row>
    <row r="2018" spans="1:66" ht="13" hidden="1" customHeight="1" outlineLevel="1">
      <c r="A2018" t="s">
        <v>2199</v>
      </c>
      <c r="B2018" t="s">
        <v>2652</v>
      </c>
      <c r="C2018" s="1">
        <f t="shared" si="842"/>
        <v>2304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32">
        <f t="shared" si="840"/>
        <v>323</v>
      </c>
      <c r="H2018" s="137">
        <f t="shared" si="841"/>
        <v>0.14019097222222221</v>
      </c>
      <c r="I2018" s="2"/>
      <c r="J2018" s="2">
        <f t="shared" si="843"/>
        <v>0.41883680555555558</v>
      </c>
      <c r="K2018" s="2">
        <f t="shared" si="844"/>
        <v>0.55902777777777779</v>
      </c>
      <c r="L2018" s="2">
        <f t="shared" si="845"/>
        <v>0</v>
      </c>
      <c r="M2018" s="2">
        <f t="shared" si="846"/>
        <v>2.213541666666663E-2</v>
      </c>
      <c r="N2018" s="63">
        <v>965</v>
      </c>
      <c r="O2018" s="63">
        <v>1288</v>
      </c>
      <c r="P2018" s="63"/>
      <c r="Q2018" s="63">
        <v>42</v>
      </c>
      <c r="R2018" s="63">
        <v>1</v>
      </c>
      <c r="S2018" s="63"/>
      <c r="T2018" s="63"/>
      <c r="U2018" s="63"/>
      <c r="V2018" s="63"/>
      <c r="W2018" s="63">
        <v>8</v>
      </c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W2018" s="5">
        <f>IF(Q2018&gt;0,RANK(Q2018,(N2018:P2018,Q2018:AE2018)),0)</f>
        <v>3</v>
      </c>
      <c r="AX2018" s="5">
        <f>IF(R2018&gt;0,RANK(R2018,(N2018:P2018,Q2018:AE2018)),0)</f>
        <v>5</v>
      </c>
      <c r="AY2018" s="5">
        <f>IF(T2018&gt;0,RANK(T2018,(N2018:P2018,Q2018:AE2018)),0)</f>
        <v>0</v>
      </c>
      <c r="AZ2018" s="5">
        <f>IF(S2018&gt;0,RANK(S2018,(N2018:P2018,Q2018:AE2018)),0)</f>
        <v>0</v>
      </c>
      <c r="BA2018" s="2">
        <f t="shared" si="847"/>
        <v>1.8229166666666668E-2</v>
      </c>
      <c r="BB2018" s="2">
        <f t="shared" si="848"/>
        <v>4.3402777777777775E-4</v>
      </c>
      <c r="BC2018" s="2">
        <f t="shared" si="849"/>
        <v>0</v>
      </c>
      <c r="BD2018" s="2">
        <f t="shared" si="850"/>
        <v>0</v>
      </c>
      <c r="BF2018" t="s">
        <v>2199</v>
      </c>
      <c r="BG2018" t="s">
        <v>2652</v>
      </c>
      <c r="BH2018">
        <v>3</v>
      </c>
      <c r="BJ2018" s="114">
        <v>37</v>
      </c>
      <c r="BK2018" s="116">
        <v>95</v>
      </c>
      <c r="BL2018" s="120">
        <f t="shared" si="822"/>
        <v>37095</v>
      </c>
      <c r="BN2018" s="5" t="s">
        <v>3154</v>
      </c>
    </row>
    <row r="2019" spans="1:66" ht="13" hidden="1" customHeight="1" outlineLevel="1">
      <c r="A2019" t="s">
        <v>1790</v>
      </c>
      <c r="B2019" t="s">
        <v>2652</v>
      </c>
      <c r="C2019" s="1">
        <f t="shared" si="842"/>
        <v>82567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32">
        <f t="shared" si="840"/>
        <v>30020</v>
      </c>
      <c r="H2019" s="137">
        <f t="shared" si="841"/>
        <v>0.36358351399469524</v>
      </c>
      <c r="I2019" s="2"/>
      <c r="J2019" s="2">
        <f t="shared" si="843"/>
        <v>0.29956277931861397</v>
      </c>
      <c r="K2019" s="2">
        <f t="shared" si="844"/>
        <v>0.66314629331330921</v>
      </c>
      <c r="L2019" s="2">
        <f t="shared" si="845"/>
        <v>0</v>
      </c>
      <c r="M2019" s="2">
        <f t="shared" si="846"/>
        <v>3.7290927368076821E-2</v>
      </c>
      <c r="N2019" s="63">
        <v>24734</v>
      </c>
      <c r="O2019" s="63">
        <v>54754</v>
      </c>
      <c r="P2019" s="63"/>
      <c r="Q2019" s="63">
        <v>2185</v>
      </c>
      <c r="R2019" s="63">
        <v>140</v>
      </c>
      <c r="S2019" s="63"/>
      <c r="T2019" s="63"/>
      <c r="U2019" s="63"/>
      <c r="V2019" s="63"/>
      <c r="W2019" s="63">
        <v>754</v>
      </c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W2019" s="5">
        <f>IF(Q2019&gt;0,RANK(Q2019,(N2019:P2019,Q2019:AE2019)),0)</f>
        <v>3</v>
      </c>
      <c r="AX2019" s="5">
        <f>IF(R2019&gt;0,RANK(R2019,(N2019:P2019,Q2019:AE2019)),0)</f>
        <v>5</v>
      </c>
      <c r="AY2019" s="5">
        <f>IF(T2019&gt;0,RANK(T2019,(N2019:P2019,Q2019:AE2019)),0)</f>
        <v>0</v>
      </c>
      <c r="AZ2019" s="5">
        <f>IF(S2019&gt;0,RANK(S2019,(N2019:P2019,Q2019:AE2019)),0)</f>
        <v>0</v>
      </c>
      <c r="BA2019" s="2">
        <f t="shared" si="847"/>
        <v>2.6463357031259464E-2</v>
      </c>
      <c r="BB2019" s="2">
        <f t="shared" si="848"/>
        <v>1.6955926701951144E-3</v>
      </c>
      <c r="BC2019" s="2">
        <f t="shared" si="849"/>
        <v>0</v>
      </c>
      <c r="BD2019" s="2">
        <f t="shared" si="850"/>
        <v>0</v>
      </c>
      <c r="BF2019" t="s">
        <v>1790</v>
      </c>
      <c r="BG2019" t="s">
        <v>2652</v>
      </c>
      <c r="BJ2019" s="114">
        <v>37</v>
      </c>
      <c r="BK2019" s="116">
        <v>97</v>
      </c>
      <c r="BL2019" s="120">
        <f t="shared" si="822"/>
        <v>37097</v>
      </c>
      <c r="BN2019" s="5" t="s">
        <v>3154</v>
      </c>
    </row>
    <row r="2020" spans="1:66" ht="13" hidden="1" customHeight="1" outlineLevel="1">
      <c r="A2020" t="s">
        <v>2921</v>
      </c>
      <c r="B2020" t="s">
        <v>2652</v>
      </c>
      <c r="C2020" s="1">
        <f t="shared" si="842"/>
        <v>18713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32">
        <f t="shared" si="840"/>
        <v>2157</v>
      </c>
      <c r="H2020" s="137">
        <f t="shared" si="841"/>
        <v>0.11526746112328327</v>
      </c>
      <c r="I2020" s="2"/>
      <c r="J2020" s="2">
        <f t="shared" si="843"/>
        <v>0.41217335542136485</v>
      </c>
      <c r="K2020" s="2">
        <f t="shared" si="844"/>
        <v>0.52744081654464814</v>
      </c>
      <c r="L2020" s="2">
        <f t="shared" si="845"/>
        <v>0</v>
      </c>
      <c r="M2020" s="2">
        <f t="shared" si="846"/>
        <v>6.0385828033986955E-2</v>
      </c>
      <c r="N2020" s="63">
        <v>7713</v>
      </c>
      <c r="O2020" s="63">
        <v>9870</v>
      </c>
      <c r="P2020" s="63"/>
      <c r="Q2020" s="63">
        <v>742</v>
      </c>
      <c r="R2020" s="63">
        <v>112</v>
      </c>
      <c r="S2020" s="63"/>
      <c r="T2020" s="63"/>
      <c r="U2020" s="63"/>
      <c r="V2020" s="63"/>
      <c r="W2020" s="63">
        <v>276</v>
      </c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W2020" s="5">
        <f>IF(Q2020&gt;0,RANK(Q2020,(N2020:P2020,Q2020:AE2020)),0)</f>
        <v>3</v>
      </c>
      <c r="AX2020" s="5">
        <f>IF(R2020&gt;0,RANK(R2020,(N2020:P2020,Q2020:AE2020)),0)</f>
        <v>5</v>
      </c>
      <c r="AY2020" s="5">
        <f>IF(T2020&gt;0,RANK(T2020,(N2020:P2020,Q2020:AE2020)),0)</f>
        <v>0</v>
      </c>
      <c r="AZ2020" s="5">
        <f>IF(S2020&gt;0,RANK(S2020,(N2020:P2020,Q2020:AE2020)),0)</f>
        <v>0</v>
      </c>
      <c r="BA2020" s="2">
        <f t="shared" si="847"/>
        <v>3.9651579116122479E-2</v>
      </c>
      <c r="BB2020" s="2">
        <f t="shared" si="848"/>
        <v>5.9851440175279214E-3</v>
      </c>
      <c r="BC2020" s="2">
        <f t="shared" si="849"/>
        <v>0</v>
      </c>
      <c r="BD2020" s="2">
        <f t="shared" si="850"/>
        <v>0</v>
      </c>
      <c r="BF2020" t="s">
        <v>2921</v>
      </c>
      <c r="BG2020" t="s">
        <v>2652</v>
      </c>
      <c r="BH2020">
        <v>11</v>
      </c>
      <c r="BJ2020" s="114">
        <v>37</v>
      </c>
      <c r="BK2020" s="116">
        <v>99</v>
      </c>
      <c r="BL2020" s="120">
        <f t="shared" si="822"/>
        <v>37099</v>
      </c>
      <c r="BN2020" s="5" t="s">
        <v>3154</v>
      </c>
    </row>
    <row r="2021" spans="1:66" ht="13" hidden="1" customHeight="1" outlineLevel="1">
      <c r="A2021" t="s">
        <v>1255</v>
      </c>
      <c r="B2021" t="s">
        <v>2652</v>
      </c>
      <c r="C2021" s="1">
        <f t="shared" si="842"/>
        <v>85909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32">
        <f t="shared" si="840"/>
        <v>26010</v>
      </c>
      <c r="H2021" s="137">
        <f t="shared" si="841"/>
        <v>0.30276222514521178</v>
      </c>
      <c r="I2021" s="2"/>
      <c r="J2021" s="2">
        <f t="shared" si="843"/>
        <v>0.33014003189421365</v>
      </c>
      <c r="K2021" s="2">
        <f t="shared" si="844"/>
        <v>0.63290225703942549</v>
      </c>
      <c r="L2021" s="2">
        <f t="shared" si="845"/>
        <v>0</v>
      </c>
      <c r="M2021" s="2">
        <f t="shared" si="846"/>
        <v>3.6957711066360921E-2</v>
      </c>
      <c r="N2021" s="63">
        <v>28362</v>
      </c>
      <c r="O2021" s="63">
        <v>54372</v>
      </c>
      <c r="P2021" s="63"/>
      <c r="Q2021" s="63">
        <v>2347</v>
      </c>
      <c r="R2021" s="63">
        <v>112</v>
      </c>
      <c r="S2021" s="63"/>
      <c r="T2021" s="63"/>
      <c r="U2021" s="63"/>
      <c r="V2021" s="63"/>
      <c r="W2021" s="63">
        <v>716</v>
      </c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W2021" s="5">
        <f>IF(Q2021&gt;0,RANK(Q2021,(N2021:P2021,Q2021:AE2021)),0)</f>
        <v>3</v>
      </c>
      <c r="AX2021" s="5">
        <f>IF(R2021&gt;0,RANK(R2021,(N2021:P2021,Q2021:AE2021)),0)</f>
        <v>5</v>
      </c>
      <c r="AY2021" s="5">
        <f>IF(T2021&gt;0,RANK(T2021,(N2021:P2021,Q2021:AE2021)),0)</f>
        <v>0</v>
      </c>
      <c r="AZ2021" s="5">
        <f>IF(S2021&gt;0,RANK(S2021,(N2021:P2021,Q2021:AE2021)),0)</f>
        <v>0</v>
      </c>
      <c r="BA2021" s="2">
        <f t="shared" si="847"/>
        <v>2.7319605629212308E-2</v>
      </c>
      <c r="BB2021" s="2">
        <f t="shared" si="848"/>
        <v>1.3037050832858024E-3</v>
      </c>
      <c r="BC2021" s="2">
        <f t="shared" si="849"/>
        <v>0</v>
      </c>
      <c r="BD2021" s="2">
        <f t="shared" si="850"/>
        <v>0</v>
      </c>
      <c r="BF2021" t="s">
        <v>1255</v>
      </c>
      <c r="BG2021" t="s">
        <v>2652</v>
      </c>
      <c r="BJ2021" s="114">
        <v>37</v>
      </c>
      <c r="BK2021" s="116">
        <v>101</v>
      </c>
      <c r="BL2021" s="120">
        <f t="shared" si="822"/>
        <v>37101</v>
      </c>
      <c r="BN2021" s="5" t="s">
        <v>3154</v>
      </c>
    </row>
    <row r="2022" spans="1:66" ht="13" hidden="1" customHeight="1" outlineLevel="1">
      <c r="A2022" t="s">
        <v>241</v>
      </c>
      <c r="B2022" t="s">
        <v>2652</v>
      </c>
      <c r="C2022" s="1">
        <f t="shared" si="842"/>
        <v>5135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32">
        <f t="shared" si="840"/>
        <v>909</v>
      </c>
      <c r="H2022" s="137">
        <f t="shared" si="841"/>
        <v>0.17702044790652385</v>
      </c>
      <c r="I2022" s="2"/>
      <c r="J2022" s="2">
        <f t="shared" si="843"/>
        <v>0.4021421616358325</v>
      </c>
      <c r="K2022" s="2">
        <f t="shared" si="844"/>
        <v>0.57916260954235643</v>
      </c>
      <c r="L2022" s="2">
        <f t="shared" si="845"/>
        <v>0</v>
      </c>
      <c r="M2022" s="2">
        <f t="shared" si="846"/>
        <v>1.8695228821811072E-2</v>
      </c>
      <c r="N2022" s="63">
        <v>2065</v>
      </c>
      <c r="O2022" s="63">
        <v>2974</v>
      </c>
      <c r="P2022" s="63"/>
      <c r="Q2022" s="63">
        <v>59</v>
      </c>
      <c r="R2022" s="63">
        <v>0</v>
      </c>
      <c r="S2022" s="63"/>
      <c r="T2022" s="63"/>
      <c r="U2022" s="63"/>
      <c r="V2022" s="63"/>
      <c r="W2022" s="63">
        <v>37</v>
      </c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W2022" s="5">
        <f>IF(Q2022&gt;0,RANK(Q2022,(N2022:P2022,Q2022:AE2022)),0)</f>
        <v>3</v>
      </c>
      <c r="AX2022" s="5">
        <f>IF(R2022&gt;0,RANK(R2022,(N2022:P2022,Q2022:AE2022)),0)</f>
        <v>0</v>
      </c>
      <c r="AY2022" s="5">
        <f>IF(T2022&gt;0,RANK(T2022,(N2022:P2022,Q2022:AE2022)),0)</f>
        <v>0</v>
      </c>
      <c r="AZ2022" s="5">
        <f>IF(S2022&gt;0,RANK(S2022,(N2022:P2022,Q2022:AE2022)),0)</f>
        <v>0</v>
      </c>
      <c r="BA2022" s="2">
        <f t="shared" si="847"/>
        <v>1.1489776046738072E-2</v>
      </c>
      <c r="BB2022" s="2">
        <f t="shared" si="848"/>
        <v>0</v>
      </c>
      <c r="BC2022" s="2">
        <f t="shared" si="849"/>
        <v>0</v>
      </c>
      <c r="BD2022" s="2">
        <f t="shared" si="850"/>
        <v>0</v>
      </c>
      <c r="BF2022" t="s">
        <v>241</v>
      </c>
      <c r="BG2022" t="s">
        <v>2652</v>
      </c>
      <c r="BH2022">
        <v>3</v>
      </c>
      <c r="BJ2022" s="114">
        <v>37</v>
      </c>
      <c r="BK2022" s="116">
        <v>103</v>
      </c>
      <c r="BL2022" s="120">
        <f t="shared" si="822"/>
        <v>37103</v>
      </c>
      <c r="BN2022" s="5" t="s">
        <v>3154</v>
      </c>
    </row>
    <row r="2023" spans="1:66" ht="13" hidden="1" customHeight="1" outlineLevel="1">
      <c r="A2023" t="s">
        <v>97</v>
      </c>
      <c r="B2023" t="s">
        <v>2652</v>
      </c>
      <c r="C2023" s="1">
        <f t="shared" si="842"/>
        <v>25084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32">
        <f t="shared" si="840"/>
        <v>3243</v>
      </c>
      <c r="H2023" s="137">
        <f t="shared" si="841"/>
        <v>0.12928560038271408</v>
      </c>
      <c r="I2023" s="2"/>
      <c r="J2023" s="2">
        <f t="shared" si="843"/>
        <v>0.41735767820124381</v>
      </c>
      <c r="K2023" s="2">
        <f t="shared" si="844"/>
        <v>0.54664327858395789</v>
      </c>
      <c r="L2023" s="2">
        <f t="shared" si="845"/>
        <v>0</v>
      </c>
      <c r="M2023" s="2">
        <f t="shared" si="846"/>
        <v>3.5999043214798299E-2</v>
      </c>
      <c r="N2023" s="63">
        <v>10469</v>
      </c>
      <c r="O2023" s="63">
        <v>13712</v>
      </c>
      <c r="P2023" s="63"/>
      <c r="Q2023" s="63">
        <v>684</v>
      </c>
      <c r="R2023" s="63">
        <v>28</v>
      </c>
      <c r="S2023" s="63"/>
      <c r="T2023" s="63"/>
      <c r="U2023" s="63"/>
      <c r="V2023" s="63"/>
      <c r="W2023" s="63">
        <v>191</v>
      </c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W2023" s="5">
        <f>IF(Q2023&gt;0,RANK(Q2023,(N2023:P2023,Q2023:AE2023)),0)</f>
        <v>3</v>
      </c>
      <c r="AX2023" s="5">
        <f>IF(R2023&gt;0,RANK(R2023,(N2023:P2023,Q2023:AE2023)),0)</f>
        <v>5</v>
      </c>
      <c r="AY2023" s="5">
        <f>IF(T2023&gt;0,RANK(T2023,(N2023:P2023,Q2023:AE2023)),0)</f>
        <v>0</v>
      </c>
      <c r="AZ2023" s="5">
        <f>IF(S2023&gt;0,RANK(S2023,(N2023:P2023,Q2023:AE2023)),0)</f>
        <v>0</v>
      </c>
      <c r="BA2023" s="2">
        <f t="shared" si="847"/>
        <v>2.726837824908308E-2</v>
      </c>
      <c r="BB2023" s="2">
        <f t="shared" si="848"/>
        <v>1.116249402009249E-3</v>
      </c>
      <c r="BC2023" s="2">
        <f t="shared" si="849"/>
        <v>0</v>
      </c>
      <c r="BD2023" s="2">
        <f t="shared" si="850"/>
        <v>0</v>
      </c>
      <c r="BF2023" t="s">
        <v>97</v>
      </c>
      <c r="BG2023" t="s">
        <v>2652</v>
      </c>
      <c r="BH2023">
        <v>6</v>
      </c>
      <c r="BJ2023" s="114">
        <v>37</v>
      </c>
      <c r="BK2023" s="116">
        <v>105</v>
      </c>
      <c r="BL2023" s="120">
        <f t="shared" si="822"/>
        <v>37105</v>
      </c>
      <c r="BN2023" s="5" t="s">
        <v>3154</v>
      </c>
    </row>
    <row r="2024" spans="1:66" ht="13" hidden="1" customHeight="1" outlineLevel="1">
      <c r="A2024" t="s">
        <v>1895</v>
      </c>
      <c r="B2024" t="s">
        <v>2652</v>
      </c>
      <c r="C2024" s="1">
        <f t="shared" si="842"/>
        <v>26807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32">
        <f t="shared" si="840"/>
        <v>979</v>
      </c>
      <c r="H2024" s="137">
        <f t="shared" si="841"/>
        <v>3.6520311858842837E-2</v>
      </c>
      <c r="I2024" s="2"/>
      <c r="J2024" s="2">
        <f t="shared" si="843"/>
        <v>0.47129481105681353</v>
      </c>
      <c r="K2024" s="2">
        <f t="shared" si="844"/>
        <v>0.50781512291565634</v>
      </c>
      <c r="L2024" s="2">
        <f t="shared" si="845"/>
        <v>0</v>
      </c>
      <c r="M2024" s="2">
        <f t="shared" si="846"/>
        <v>2.0890066027530074E-2</v>
      </c>
      <c r="N2024" s="63">
        <v>12634</v>
      </c>
      <c r="O2024" s="63">
        <v>13613</v>
      </c>
      <c r="P2024" s="63"/>
      <c r="Q2024" s="63">
        <v>398</v>
      </c>
      <c r="R2024" s="63">
        <v>19</v>
      </c>
      <c r="S2024" s="63"/>
      <c r="T2024" s="63"/>
      <c r="U2024" s="63"/>
      <c r="V2024" s="63"/>
      <c r="W2024" s="63">
        <v>143</v>
      </c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W2024" s="5">
        <f>IF(Q2024&gt;0,RANK(Q2024,(N2024:P2024,Q2024:AE2024)),0)</f>
        <v>3</v>
      </c>
      <c r="AX2024" s="5">
        <f>IF(R2024&gt;0,RANK(R2024,(N2024:P2024,Q2024:AE2024)),0)</f>
        <v>5</v>
      </c>
      <c r="AY2024" s="5">
        <f>IF(T2024&gt;0,RANK(T2024,(N2024:P2024,Q2024:AE2024)),0)</f>
        <v>0</v>
      </c>
      <c r="AZ2024" s="5">
        <f>IF(S2024&gt;0,RANK(S2024,(N2024:P2024,Q2024:AE2024)),0)</f>
        <v>0</v>
      </c>
      <c r="BA2024" s="2">
        <f t="shared" si="847"/>
        <v>1.4846868355280337E-2</v>
      </c>
      <c r="BB2024" s="2">
        <f t="shared" si="848"/>
        <v>7.0877009736262919E-4</v>
      </c>
      <c r="BC2024" s="2">
        <f t="shared" si="849"/>
        <v>0</v>
      </c>
      <c r="BD2024" s="2">
        <f t="shared" si="850"/>
        <v>0</v>
      </c>
      <c r="BF2024" t="s">
        <v>1895</v>
      </c>
      <c r="BG2024" t="s">
        <v>2652</v>
      </c>
      <c r="BH2024">
        <v>3</v>
      </c>
      <c r="BJ2024" s="114">
        <v>37</v>
      </c>
      <c r="BK2024" s="116">
        <v>107</v>
      </c>
      <c r="BL2024" s="120">
        <f t="shared" si="822"/>
        <v>37107</v>
      </c>
      <c r="BN2024" s="5" t="s">
        <v>3154</v>
      </c>
    </row>
    <row r="2025" spans="1:66" ht="13" hidden="1" customHeight="1" outlineLevel="1">
      <c r="A2025" t="s">
        <v>1597</v>
      </c>
      <c r="B2025" t="s">
        <v>2652</v>
      </c>
      <c r="C2025" s="1">
        <f t="shared" si="842"/>
        <v>40023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32">
        <f t="shared" si="840"/>
        <v>18909</v>
      </c>
      <c r="H2025" s="137">
        <f t="shared" si="841"/>
        <v>0.47245333932988531</v>
      </c>
      <c r="I2025" s="2"/>
      <c r="J2025" s="2">
        <f t="shared" si="843"/>
        <v>0.24728281238287986</v>
      </c>
      <c r="K2025" s="2">
        <f t="shared" si="844"/>
        <v>0.71973615171276517</v>
      </c>
      <c r="L2025" s="2">
        <f t="shared" si="845"/>
        <v>0</v>
      </c>
      <c r="M2025" s="2">
        <f t="shared" si="846"/>
        <v>3.2981035904354972E-2</v>
      </c>
      <c r="N2025" s="63">
        <v>9897</v>
      </c>
      <c r="O2025" s="63">
        <v>28806</v>
      </c>
      <c r="P2025" s="63"/>
      <c r="Q2025" s="63">
        <v>971</v>
      </c>
      <c r="R2025" s="63">
        <v>44</v>
      </c>
      <c r="S2025" s="63"/>
      <c r="T2025" s="63"/>
      <c r="U2025" s="63"/>
      <c r="V2025" s="63"/>
      <c r="W2025" s="63">
        <v>305</v>
      </c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W2025" s="5">
        <f>IF(Q2025&gt;0,RANK(Q2025,(N2025:P2025,Q2025:AE2025)),0)</f>
        <v>3</v>
      </c>
      <c r="AX2025" s="5">
        <f>IF(R2025&gt;0,RANK(R2025,(N2025:P2025,Q2025:AE2025)),0)</f>
        <v>5</v>
      </c>
      <c r="AY2025" s="5">
        <f>IF(T2025&gt;0,RANK(T2025,(N2025:P2025,Q2025:AE2025)),0)</f>
        <v>0</v>
      </c>
      <c r="AZ2025" s="5">
        <f>IF(S2025&gt;0,RANK(S2025,(N2025:P2025,Q2025:AE2025)),0)</f>
        <v>0</v>
      </c>
      <c r="BA2025" s="2">
        <f t="shared" si="847"/>
        <v>2.4261049896309624E-2</v>
      </c>
      <c r="BB2025" s="2">
        <f t="shared" si="848"/>
        <v>1.0993678634784998E-3</v>
      </c>
      <c r="BC2025" s="2">
        <f t="shared" si="849"/>
        <v>0</v>
      </c>
      <c r="BD2025" s="2">
        <f t="shared" si="850"/>
        <v>0</v>
      </c>
      <c r="BF2025" t="s">
        <v>1597</v>
      </c>
      <c r="BG2025" t="s">
        <v>2652</v>
      </c>
      <c r="BH2025">
        <v>10</v>
      </c>
      <c r="BJ2025" s="114">
        <v>37</v>
      </c>
      <c r="BK2025" s="116">
        <v>109</v>
      </c>
      <c r="BL2025" s="120">
        <f t="shared" ref="BL2025:BL2088" si="851">1000*BJ2025+BK2025</f>
        <v>37109</v>
      </c>
      <c r="BN2025" s="5" t="s">
        <v>3154</v>
      </c>
    </row>
    <row r="2026" spans="1:66" ht="13" hidden="1" customHeight="1" outlineLevel="1">
      <c r="A2026" t="s">
        <v>1719</v>
      </c>
      <c r="B2026" t="s">
        <v>2652</v>
      </c>
      <c r="C2026" s="1">
        <f t="shared" si="842"/>
        <v>19875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32">
        <f t="shared" si="840"/>
        <v>9901</v>
      </c>
      <c r="H2026" s="137">
        <f t="shared" si="841"/>
        <v>0.49816352201257863</v>
      </c>
      <c r="I2026" s="2"/>
      <c r="J2026" s="2">
        <f t="shared" si="843"/>
        <v>0.23481761006289309</v>
      </c>
      <c r="K2026" s="2">
        <f t="shared" si="844"/>
        <v>0.73298113207547166</v>
      </c>
      <c r="L2026" s="2">
        <f t="shared" si="845"/>
        <v>0</v>
      </c>
      <c r="M2026" s="2">
        <f t="shared" si="846"/>
        <v>3.2201257861635191E-2</v>
      </c>
      <c r="N2026" s="63">
        <v>4667</v>
      </c>
      <c r="O2026" s="63">
        <v>14568</v>
      </c>
      <c r="P2026" s="63"/>
      <c r="Q2026" s="63">
        <v>396</v>
      </c>
      <c r="R2026" s="63">
        <v>15</v>
      </c>
      <c r="S2026" s="63"/>
      <c r="T2026" s="63"/>
      <c r="U2026" s="63"/>
      <c r="V2026" s="63"/>
      <c r="W2026" s="63">
        <v>229</v>
      </c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W2026" s="5">
        <f>IF(Q2026&gt;0,RANK(Q2026,(N2026:P2026,Q2026:AE2026)),0)</f>
        <v>3</v>
      </c>
      <c r="AX2026" s="5">
        <f>IF(R2026&gt;0,RANK(R2026,(N2026:P2026,Q2026:AE2026)),0)</f>
        <v>5</v>
      </c>
      <c r="AY2026" s="5">
        <f>IF(T2026&gt;0,RANK(T2026,(N2026:P2026,Q2026:AE2026)),0)</f>
        <v>0</v>
      </c>
      <c r="AZ2026" s="5">
        <f>IF(S2026&gt;0,RANK(S2026,(N2026:P2026,Q2026:AE2026)),0)</f>
        <v>0</v>
      </c>
      <c r="BA2026" s="2">
        <f t="shared" si="847"/>
        <v>1.9924528301886794E-2</v>
      </c>
      <c r="BB2026" s="2">
        <f t="shared" si="848"/>
        <v>7.5471698113207543E-4</v>
      </c>
      <c r="BC2026" s="2">
        <f t="shared" si="849"/>
        <v>0</v>
      </c>
      <c r="BD2026" s="2">
        <f t="shared" si="850"/>
        <v>0</v>
      </c>
      <c r="BF2026" t="s">
        <v>1719</v>
      </c>
      <c r="BG2026" t="s">
        <v>2652</v>
      </c>
      <c r="BH2026">
        <v>11</v>
      </c>
      <c r="BJ2026" s="114">
        <v>37</v>
      </c>
      <c r="BK2026" s="116">
        <v>111</v>
      </c>
      <c r="BL2026" s="120">
        <f t="shared" si="851"/>
        <v>37111</v>
      </c>
      <c r="BN2026" s="5" t="s">
        <v>3154</v>
      </c>
    </row>
    <row r="2027" spans="1:66" ht="13" hidden="1" customHeight="1" outlineLevel="1">
      <c r="A2027" t="s">
        <v>1649</v>
      </c>
      <c r="B2027" t="s">
        <v>2652</v>
      </c>
      <c r="C2027" s="1">
        <f t="shared" si="842"/>
        <v>17734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32">
        <f t="shared" si="840"/>
        <v>7251</v>
      </c>
      <c r="H2027" s="137">
        <f t="shared" si="841"/>
        <v>0.40887560618021879</v>
      </c>
      <c r="I2027" s="2"/>
      <c r="J2027" s="2">
        <f t="shared" si="843"/>
        <v>0.27495206947107254</v>
      </c>
      <c r="K2027" s="2">
        <f t="shared" si="844"/>
        <v>0.68382767565129132</v>
      </c>
      <c r="L2027" s="2">
        <f t="shared" si="845"/>
        <v>0</v>
      </c>
      <c r="M2027" s="2">
        <f t="shared" si="846"/>
        <v>4.1220254877636142E-2</v>
      </c>
      <c r="N2027" s="63">
        <v>4876</v>
      </c>
      <c r="O2027" s="63">
        <v>12127</v>
      </c>
      <c r="P2027" s="63"/>
      <c r="Q2027" s="63">
        <v>467</v>
      </c>
      <c r="R2027" s="63">
        <v>36</v>
      </c>
      <c r="S2027" s="63"/>
      <c r="T2027" s="63"/>
      <c r="U2027" s="63"/>
      <c r="V2027" s="63"/>
      <c r="W2027" s="63">
        <v>228</v>
      </c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W2027" s="5">
        <f>IF(Q2027&gt;0,RANK(Q2027,(N2027:P2027,Q2027:AE2027)),0)</f>
        <v>3</v>
      </c>
      <c r="AX2027" s="5">
        <f>IF(R2027&gt;0,RANK(R2027,(N2027:P2027,Q2027:AE2027)),0)</f>
        <v>5</v>
      </c>
      <c r="AY2027" s="5">
        <f>IF(T2027&gt;0,RANK(T2027,(N2027:P2027,Q2027:AE2027)),0)</f>
        <v>0</v>
      </c>
      <c r="AZ2027" s="5">
        <f>IF(S2027&gt;0,RANK(S2027,(N2027:P2027,Q2027:AE2027)),0)</f>
        <v>0</v>
      </c>
      <c r="BA2027" s="2">
        <f t="shared" si="847"/>
        <v>2.6333596481335288E-2</v>
      </c>
      <c r="BB2027" s="2">
        <f t="shared" si="848"/>
        <v>2.0299988722228489E-3</v>
      </c>
      <c r="BC2027" s="2">
        <f t="shared" si="849"/>
        <v>0</v>
      </c>
      <c r="BD2027" s="2">
        <f t="shared" si="850"/>
        <v>0</v>
      </c>
      <c r="BF2027" t="s">
        <v>1649</v>
      </c>
      <c r="BG2027" t="s">
        <v>2652</v>
      </c>
      <c r="BH2027">
        <v>11</v>
      </c>
      <c r="BJ2027" s="114">
        <v>37</v>
      </c>
      <c r="BK2027" s="116">
        <v>113</v>
      </c>
      <c r="BL2027" s="120">
        <f t="shared" si="851"/>
        <v>37113</v>
      </c>
      <c r="BN2027" s="5" t="s">
        <v>3154</v>
      </c>
    </row>
    <row r="2028" spans="1:66" ht="13" hidden="1" customHeight="1" outlineLevel="1">
      <c r="A2028" t="s">
        <v>1650</v>
      </c>
      <c r="B2028" t="s">
        <v>2652</v>
      </c>
      <c r="C2028" s="1">
        <f t="shared" si="842"/>
        <v>11269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32">
        <f t="shared" si="840"/>
        <v>2857</v>
      </c>
      <c r="H2028" s="137">
        <f t="shared" si="841"/>
        <v>0.25352737598722158</v>
      </c>
      <c r="I2028" s="2"/>
      <c r="J2028" s="2">
        <f t="shared" si="843"/>
        <v>0.34838938681338183</v>
      </c>
      <c r="K2028" s="2">
        <f t="shared" si="844"/>
        <v>0.60191676280060347</v>
      </c>
      <c r="L2028" s="2">
        <f t="shared" si="845"/>
        <v>0</v>
      </c>
      <c r="M2028" s="2">
        <f t="shared" si="846"/>
        <v>4.9693850386014704E-2</v>
      </c>
      <c r="N2028" s="63">
        <v>3926</v>
      </c>
      <c r="O2028" s="63">
        <v>6783</v>
      </c>
      <c r="P2028" s="63"/>
      <c r="Q2028" s="63">
        <v>336</v>
      </c>
      <c r="R2028" s="63">
        <v>121</v>
      </c>
      <c r="S2028" s="63"/>
      <c r="T2028" s="63"/>
      <c r="U2028" s="63"/>
      <c r="V2028" s="63"/>
      <c r="W2028" s="63">
        <v>103</v>
      </c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W2028" s="5">
        <f>IF(Q2028&gt;0,RANK(Q2028,(N2028:P2028,Q2028:AE2028)),0)</f>
        <v>3</v>
      </c>
      <c r="AX2028" s="5">
        <f>IF(R2028&gt;0,RANK(R2028,(N2028:P2028,Q2028:AE2028)),0)</f>
        <v>4</v>
      </c>
      <c r="AY2028" s="5">
        <f>IF(T2028&gt;0,RANK(T2028,(N2028:P2028,Q2028:AE2028)),0)</f>
        <v>0</v>
      </c>
      <c r="AZ2028" s="5">
        <f>IF(S2028&gt;0,RANK(S2028,(N2028:P2028,Q2028:AE2028)),0)</f>
        <v>0</v>
      </c>
      <c r="BA2028" s="2">
        <f t="shared" si="847"/>
        <v>2.9816310231608838E-2</v>
      </c>
      <c r="BB2028" s="2">
        <f t="shared" si="848"/>
        <v>1.073742124412104E-2</v>
      </c>
      <c r="BC2028" s="2">
        <f t="shared" si="849"/>
        <v>0</v>
      </c>
      <c r="BD2028" s="2">
        <f t="shared" si="850"/>
        <v>0</v>
      </c>
      <c r="BF2028" t="s">
        <v>1650</v>
      </c>
      <c r="BG2028" t="s">
        <v>2652</v>
      </c>
      <c r="BH2028">
        <v>11</v>
      </c>
      <c r="BJ2028" s="114">
        <v>37</v>
      </c>
      <c r="BK2028" s="116">
        <v>115</v>
      </c>
      <c r="BL2028" s="120">
        <f t="shared" si="851"/>
        <v>37115</v>
      </c>
      <c r="BN2028" s="5" t="s">
        <v>3154</v>
      </c>
    </row>
    <row r="2029" spans="1:66" ht="13" hidden="1" customHeight="1" outlineLevel="1">
      <c r="A2029" t="s">
        <v>1</v>
      </c>
      <c r="B2029" t="s">
        <v>2652</v>
      </c>
      <c r="C2029" s="1">
        <f t="shared" si="842"/>
        <v>11964</v>
      </c>
      <c r="D2029" s="5">
        <f>IF(N2029&gt;0, RANK(N2029,(N2029:P2029,Q2029:AE2029)),0)</f>
        <v>2</v>
      </c>
      <c r="E2029" s="5">
        <f>IF(O2029&gt;0,RANK(O2029,(N2029:P2029,Q2029:AE2029)),0)</f>
        <v>1</v>
      </c>
      <c r="F2029" s="5">
        <f>IF(P2029&gt;0,RANK(P2029,(N2029:P2029,Q2029:AE2029)),0)</f>
        <v>0</v>
      </c>
      <c r="G2029" s="132">
        <f t="shared" si="840"/>
        <v>51</v>
      </c>
      <c r="H2029" s="137">
        <f t="shared" si="841"/>
        <v>4.2627883650952856E-3</v>
      </c>
      <c r="I2029" s="2"/>
      <c r="J2029" s="2">
        <f t="shared" si="843"/>
        <v>0.48863256435974589</v>
      </c>
      <c r="K2029" s="2">
        <f t="shared" si="844"/>
        <v>0.4928953527248412</v>
      </c>
      <c r="L2029" s="2">
        <f t="shared" si="845"/>
        <v>0</v>
      </c>
      <c r="M2029" s="2">
        <f t="shared" si="846"/>
        <v>1.8472082915412913E-2</v>
      </c>
      <c r="N2029" s="63">
        <v>5846</v>
      </c>
      <c r="O2029" s="63">
        <v>5897</v>
      </c>
      <c r="P2029" s="63"/>
      <c r="Q2029" s="63">
        <v>165</v>
      </c>
      <c r="R2029" s="63">
        <v>9</v>
      </c>
      <c r="S2029" s="63"/>
      <c r="T2029" s="63"/>
      <c r="U2029" s="63"/>
      <c r="V2029" s="63"/>
      <c r="W2029" s="63">
        <v>47</v>
      </c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W2029" s="5">
        <f>IF(Q2029&gt;0,RANK(Q2029,(N2029:P2029,Q2029:AE2029)),0)</f>
        <v>3</v>
      </c>
      <c r="AX2029" s="5">
        <f>IF(R2029&gt;0,RANK(R2029,(N2029:P2029,Q2029:AE2029)),0)</f>
        <v>5</v>
      </c>
      <c r="AY2029" s="5">
        <f>IF(T2029&gt;0,RANK(T2029,(N2029:P2029,Q2029:AE2029)),0)</f>
        <v>0</v>
      </c>
      <c r="AZ2029" s="5">
        <f>IF(S2029&gt;0,RANK(S2029,(N2029:P2029,Q2029:AE2029)),0)</f>
        <v>0</v>
      </c>
      <c r="BA2029" s="2">
        <f t="shared" si="847"/>
        <v>1.3791374122367101E-2</v>
      </c>
      <c r="BB2029" s="2">
        <f t="shared" si="848"/>
        <v>7.5225677031093275E-4</v>
      </c>
      <c r="BC2029" s="2">
        <f t="shared" si="849"/>
        <v>0</v>
      </c>
      <c r="BD2029" s="2">
        <f t="shared" si="850"/>
        <v>0</v>
      </c>
      <c r="BF2029" t="s">
        <v>1</v>
      </c>
      <c r="BG2029" t="s">
        <v>2652</v>
      </c>
      <c r="BH2029">
        <v>1</v>
      </c>
      <c r="BJ2029" s="114">
        <v>37</v>
      </c>
      <c r="BK2029" s="116">
        <v>117</v>
      </c>
      <c r="BL2029" s="120">
        <f t="shared" si="851"/>
        <v>37117</v>
      </c>
      <c r="BN2029" s="5" t="s">
        <v>3154</v>
      </c>
    </row>
    <row r="2030" spans="1:66" ht="13" hidden="1" customHeight="1" outlineLevel="1">
      <c r="A2030" t="s">
        <v>1475</v>
      </c>
      <c r="B2030" t="s">
        <v>2652</v>
      </c>
      <c r="C2030" s="1">
        <f t="shared" si="842"/>
        <v>472857</v>
      </c>
      <c r="D2030" s="5">
        <f>IF(N2030&gt;0, RANK(N2030,(N2030:P2030,Q2030:AE2030)),0)</f>
        <v>1</v>
      </c>
      <c r="E2030" s="5">
        <f>IF(O2030&gt;0,RANK(O2030,(N2030:P2030,Q2030:AE2030)),0)</f>
        <v>2</v>
      </c>
      <c r="F2030" s="5">
        <f>IF(P2030&gt;0,RANK(P2030,(N2030:P2030,Q2030:AE2030)),0)</f>
        <v>0</v>
      </c>
      <c r="G2030" s="132">
        <f t="shared" si="840"/>
        <v>139044</v>
      </c>
      <c r="H2030" s="137">
        <f t="shared" si="841"/>
        <v>0.29405084412412208</v>
      </c>
      <c r="I2030" s="2"/>
      <c r="J2030" s="2">
        <f t="shared" si="843"/>
        <v>0.62294097369817936</v>
      </c>
      <c r="K2030" s="2">
        <f t="shared" si="844"/>
        <v>0.32889012957405728</v>
      </c>
      <c r="L2030" s="2">
        <f t="shared" si="845"/>
        <v>0</v>
      </c>
      <c r="M2030" s="2">
        <f t="shared" si="846"/>
        <v>4.8168896727763366E-2</v>
      </c>
      <c r="N2030" s="63">
        <v>294562</v>
      </c>
      <c r="O2030" s="63">
        <v>155518</v>
      </c>
      <c r="P2030" s="63"/>
      <c r="Q2030" s="63">
        <v>15488</v>
      </c>
      <c r="R2030" s="63">
        <v>1352</v>
      </c>
      <c r="S2030" s="63"/>
      <c r="T2030" s="63"/>
      <c r="U2030" s="63"/>
      <c r="V2030" s="63"/>
      <c r="W2030" s="63">
        <v>5937</v>
      </c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W2030" s="5">
        <f>IF(Q2030&gt;0,RANK(Q2030,(N2030:P2030,Q2030:AE2030)),0)</f>
        <v>3</v>
      </c>
      <c r="AX2030" s="5">
        <f>IF(R2030&gt;0,RANK(R2030,(N2030:P2030,Q2030:AE2030)),0)</f>
        <v>5</v>
      </c>
      <c r="AY2030" s="5">
        <f>IF(T2030&gt;0,RANK(T2030,(N2030:P2030,Q2030:AE2030)),0)</f>
        <v>0</v>
      </c>
      <c r="AZ2030" s="5">
        <f>IF(S2030&gt;0,RANK(S2030,(N2030:P2030,Q2030:AE2030)),0)</f>
        <v>0</v>
      </c>
      <c r="BA2030" s="2">
        <f t="shared" si="847"/>
        <v>3.2754088445343943E-2</v>
      </c>
      <c r="BB2030" s="2">
        <f t="shared" si="848"/>
        <v>2.8592153653218626E-3</v>
      </c>
      <c r="BC2030" s="2">
        <f t="shared" si="849"/>
        <v>0</v>
      </c>
      <c r="BD2030" s="2">
        <f t="shared" si="850"/>
        <v>0</v>
      </c>
      <c r="BF2030" t="s">
        <v>1475</v>
      </c>
      <c r="BG2030" t="s">
        <v>2652</v>
      </c>
      <c r="BJ2030" s="114">
        <v>37</v>
      </c>
      <c r="BK2030" s="116">
        <v>119</v>
      </c>
      <c r="BL2030" s="120">
        <f t="shared" si="851"/>
        <v>37119</v>
      </c>
      <c r="BN2030" s="5" t="s">
        <v>3154</v>
      </c>
    </row>
    <row r="2031" spans="1:66" ht="13" hidden="1" customHeight="1" outlineLevel="1">
      <c r="A2031" t="s">
        <v>312</v>
      </c>
      <c r="B2031" t="s">
        <v>2652</v>
      </c>
      <c r="C2031" s="1">
        <f t="shared" si="842"/>
        <v>8096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32">
        <f t="shared" si="840"/>
        <v>4686</v>
      </c>
      <c r="H2031" s="137">
        <f t="shared" si="841"/>
        <v>0.57880434782608692</v>
      </c>
      <c r="I2031" s="2"/>
      <c r="J2031" s="2">
        <f t="shared" si="843"/>
        <v>0.19713438735177866</v>
      </c>
      <c r="K2031" s="2">
        <f t="shared" si="844"/>
        <v>0.7759387351778656</v>
      </c>
      <c r="L2031" s="2">
        <f t="shared" si="845"/>
        <v>0</v>
      </c>
      <c r="M2031" s="2">
        <f t="shared" si="846"/>
        <v>2.6926877470355715E-2</v>
      </c>
      <c r="N2031" s="63">
        <v>1596</v>
      </c>
      <c r="O2031" s="63">
        <v>6282</v>
      </c>
      <c r="P2031" s="63"/>
      <c r="Q2031" s="63">
        <v>138</v>
      </c>
      <c r="R2031" s="63">
        <v>24</v>
      </c>
      <c r="S2031" s="63"/>
      <c r="T2031" s="63"/>
      <c r="U2031" s="63"/>
      <c r="V2031" s="63"/>
      <c r="W2031" s="63">
        <v>56</v>
      </c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W2031" s="5">
        <f>IF(Q2031&gt;0,RANK(Q2031,(N2031:P2031,Q2031:AE2031)),0)</f>
        <v>3</v>
      </c>
      <c r="AX2031" s="5">
        <f>IF(R2031&gt;0,RANK(R2031,(N2031:P2031,Q2031:AE2031)),0)</f>
        <v>5</v>
      </c>
      <c r="AY2031" s="5">
        <f>IF(T2031&gt;0,RANK(T2031,(N2031:P2031,Q2031:AE2031)),0)</f>
        <v>0</v>
      </c>
      <c r="AZ2031" s="5">
        <f>IF(S2031&gt;0,RANK(S2031,(N2031:P2031,Q2031:AE2031)),0)</f>
        <v>0</v>
      </c>
      <c r="BA2031" s="2">
        <f t="shared" si="847"/>
        <v>1.7045454545454544E-2</v>
      </c>
      <c r="BB2031" s="2">
        <f t="shared" si="848"/>
        <v>2.9644268774703555E-3</v>
      </c>
      <c r="BC2031" s="2">
        <f t="shared" si="849"/>
        <v>0</v>
      </c>
      <c r="BD2031" s="2">
        <f t="shared" si="850"/>
        <v>0</v>
      </c>
      <c r="BF2031" t="s">
        <v>312</v>
      </c>
      <c r="BG2031" t="s">
        <v>2652</v>
      </c>
      <c r="BH2031">
        <v>11</v>
      </c>
      <c r="BJ2031" s="114">
        <v>37</v>
      </c>
      <c r="BK2031" s="116">
        <v>121</v>
      </c>
      <c r="BL2031" s="120">
        <f t="shared" si="851"/>
        <v>37121</v>
      </c>
      <c r="BN2031" s="5" t="s">
        <v>3154</v>
      </c>
    </row>
    <row r="2032" spans="1:66" ht="13" hidden="1" customHeight="1" outlineLevel="1">
      <c r="A2032" t="s">
        <v>1406</v>
      </c>
      <c r="B2032" t="s">
        <v>2652</v>
      </c>
      <c r="C2032" s="1">
        <f t="shared" si="842"/>
        <v>11540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32">
        <f t="shared" si="840"/>
        <v>2980</v>
      </c>
      <c r="H2032" s="137">
        <f t="shared" si="841"/>
        <v>0.2582322357019064</v>
      </c>
      <c r="I2032" s="2"/>
      <c r="J2032" s="2">
        <f t="shared" si="843"/>
        <v>0.35961871750433277</v>
      </c>
      <c r="K2032" s="2">
        <f t="shared" si="844"/>
        <v>0.61785095320623917</v>
      </c>
      <c r="L2032" s="2">
        <f t="shared" si="845"/>
        <v>0</v>
      </c>
      <c r="M2032" s="2">
        <f t="shared" si="846"/>
        <v>2.2530329289427997E-2</v>
      </c>
      <c r="N2032" s="63">
        <v>4150</v>
      </c>
      <c r="O2032" s="63">
        <v>7130</v>
      </c>
      <c r="P2032" s="63"/>
      <c r="Q2032" s="63">
        <v>203</v>
      </c>
      <c r="R2032" s="63">
        <v>6</v>
      </c>
      <c r="S2032" s="63"/>
      <c r="T2032" s="63"/>
      <c r="U2032" s="63"/>
      <c r="V2032" s="63"/>
      <c r="W2032" s="63">
        <v>51</v>
      </c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W2032" s="5">
        <f>IF(Q2032&gt;0,RANK(Q2032,(N2032:P2032,Q2032:AE2032)),0)</f>
        <v>3</v>
      </c>
      <c r="AX2032" s="5">
        <f>IF(R2032&gt;0,RANK(R2032,(N2032:P2032,Q2032:AE2032)),0)</f>
        <v>5</v>
      </c>
      <c r="AY2032" s="5">
        <f>IF(T2032&gt;0,RANK(T2032,(N2032:P2032,Q2032:AE2032)),0)</f>
        <v>0</v>
      </c>
      <c r="AZ2032" s="5">
        <f>IF(S2032&gt;0,RANK(S2032,(N2032:P2032,Q2032:AE2032)),0)</f>
        <v>0</v>
      </c>
      <c r="BA2032" s="2">
        <f t="shared" si="847"/>
        <v>1.7590987868284228E-2</v>
      </c>
      <c r="BB2032" s="2">
        <f t="shared" si="848"/>
        <v>5.1993067590987868E-4</v>
      </c>
      <c r="BC2032" s="2">
        <f t="shared" si="849"/>
        <v>0</v>
      </c>
      <c r="BD2032" s="2">
        <f t="shared" si="850"/>
        <v>0</v>
      </c>
      <c r="BF2032" t="s">
        <v>1406</v>
      </c>
      <c r="BG2032" t="s">
        <v>2652</v>
      </c>
      <c r="BH2032">
        <v>8</v>
      </c>
      <c r="BJ2032" s="114">
        <v>37</v>
      </c>
      <c r="BK2032" s="116">
        <v>123</v>
      </c>
      <c r="BL2032" s="120">
        <f t="shared" si="851"/>
        <v>37123</v>
      </c>
      <c r="BN2032" s="5" t="s">
        <v>3154</v>
      </c>
    </row>
    <row r="2033" spans="1:66" ht="13" hidden="1" customHeight="1" outlineLevel="1">
      <c r="A2033" t="s">
        <v>2659</v>
      </c>
      <c r="B2033" t="s">
        <v>2652</v>
      </c>
      <c r="C2033" s="1">
        <f t="shared" si="842"/>
        <v>48692</v>
      </c>
      <c r="D2033" s="5">
        <f>IF(N2033&gt;0, RANK(N2033,(N2033:P2033,Q2033:AE2033)),0)</f>
        <v>2</v>
      </c>
      <c r="E2033" s="5">
        <f>IF(O2033&gt;0,RANK(O2033,(N2033:P2033,Q2033:AE2033)),0)</f>
        <v>1</v>
      </c>
      <c r="F2033" s="5">
        <f>IF(P2033&gt;0,RANK(P2033,(N2033:P2033,Q2033:AE2033)),0)</f>
        <v>0</v>
      </c>
      <c r="G2033" s="132">
        <f t="shared" si="840"/>
        <v>14161</v>
      </c>
      <c r="H2033" s="137">
        <f t="shared" si="841"/>
        <v>0.29082806210465784</v>
      </c>
      <c r="I2033" s="2"/>
      <c r="J2033" s="2">
        <f t="shared" si="843"/>
        <v>0.3353528300336811</v>
      </c>
      <c r="K2033" s="2">
        <f t="shared" si="844"/>
        <v>0.62618089213833894</v>
      </c>
      <c r="L2033" s="2">
        <f t="shared" si="845"/>
        <v>0</v>
      </c>
      <c r="M2033" s="2">
        <f t="shared" si="846"/>
        <v>3.8466277827979956E-2</v>
      </c>
      <c r="N2033" s="63">
        <v>16329</v>
      </c>
      <c r="O2033" s="63">
        <v>30490</v>
      </c>
      <c r="P2033" s="63"/>
      <c r="Q2033" s="63">
        <v>1355</v>
      </c>
      <c r="R2033" s="63">
        <v>54</v>
      </c>
      <c r="S2033" s="63"/>
      <c r="T2033" s="63"/>
      <c r="U2033" s="63"/>
      <c r="V2033" s="63"/>
      <c r="W2033" s="63">
        <v>464</v>
      </c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W2033" s="5">
        <f>IF(Q2033&gt;0,RANK(Q2033,(N2033:P2033,Q2033:AE2033)),0)</f>
        <v>3</v>
      </c>
      <c r="AX2033" s="5">
        <f>IF(R2033&gt;0,RANK(R2033,(N2033:P2033,Q2033:AE2033)),0)</f>
        <v>5</v>
      </c>
      <c r="AY2033" s="5">
        <f>IF(T2033&gt;0,RANK(T2033,(N2033:P2033,Q2033:AE2033)),0)</f>
        <v>0</v>
      </c>
      <c r="AZ2033" s="5">
        <f>IF(S2033&gt;0,RANK(S2033,(N2033:P2033,Q2033:AE2033)),0)</f>
        <v>0</v>
      </c>
      <c r="BA2033" s="2">
        <f t="shared" si="847"/>
        <v>2.7827979955639529E-2</v>
      </c>
      <c r="BB2033" s="2">
        <f t="shared" si="848"/>
        <v>1.1090117473096196E-3</v>
      </c>
      <c r="BC2033" s="2">
        <f t="shared" si="849"/>
        <v>0</v>
      </c>
      <c r="BD2033" s="2">
        <f t="shared" si="850"/>
        <v>0</v>
      </c>
      <c r="BF2033" t="s">
        <v>2659</v>
      </c>
      <c r="BG2033" t="s">
        <v>2652</v>
      </c>
      <c r="BH2033">
        <v>8</v>
      </c>
      <c r="BJ2033" s="114">
        <v>37</v>
      </c>
      <c r="BK2033" s="116">
        <v>125</v>
      </c>
      <c r="BL2033" s="120">
        <f t="shared" si="851"/>
        <v>37125</v>
      </c>
      <c r="BN2033" s="5" t="s">
        <v>3154</v>
      </c>
    </row>
    <row r="2034" spans="1:66" ht="13" hidden="1" customHeight="1" outlineLevel="1">
      <c r="A2034" t="s">
        <v>1896</v>
      </c>
      <c r="B2034" t="s">
        <v>2652</v>
      </c>
      <c r="C2034" s="1">
        <f t="shared" si="842"/>
        <v>47665</v>
      </c>
      <c r="D2034" s="5">
        <f>IF(N2034&gt;0, RANK(N2034,(N2034:P2034,Q2034:AE2034)),0)</f>
        <v>2</v>
      </c>
      <c r="E2034" s="5">
        <f>IF(O2034&gt;0,RANK(O2034,(N2034:P2034,Q2034:AE2034)),0)</f>
        <v>1</v>
      </c>
      <c r="F2034" s="5">
        <f>IF(P2034&gt;0,RANK(P2034,(N2034:P2034,Q2034:AE2034)),0)</f>
        <v>0</v>
      </c>
      <c r="G2034" s="132">
        <f t="shared" si="840"/>
        <v>84</v>
      </c>
      <c r="H2034" s="137">
        <f t="shared" si="841"/>
        <v>1.7622993810972412E-3</v>
      </c>
      <c r="I2034" s="2"/>
      <c r="J2034" s="2">
        <f t="shared" si="843"/>
        <v>0.48746459666421904</v>
      </c>
      <c r="K2034" s="2">
        <f t="shared" si="844"/>
        <v>0.48922689604531627</v>
      </c>
      <c r="L2034" s="2">
        <f t="shared" si="845"/>
        <v>0</v>
      </c>
      <c r="M2034" s="2">
        <f t="shared" si="846"/>
        <v>2.3308507290464686E-2</v>
      </c>
      <c r="N2034" s="63">
        <v>23235</v>
      </c>
      <c r="O2034" s="63">
        <v>23319</v>
      </c>
      <c r="P2034" s="63"/>
      <c r="Q2034" s="63">
        <v>750</v>
      </c>
      <c r="R2034" s="63">
        <v>60</v>
      </c>
      <c r="S2034" s="63"/>
      <c r="T2034" s="63"/>
      <c r="U2034" s="63"/>
      <c r="V2034" s="63"/>
      <c r="W2034" s="63">
        <v>301</v>
      </c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W2034" s="5">
        <f>IF(Q2034&gt;0,RANK(Q2034,(N2034:P2034,Q2034:AE2034)),0)</f>
        <v>3</v>
      </c>
      <c r="AX2034" s="5">
        <f>IF(R2034&gt;0,RANK(R2034,(N2034:P2034,Q2034:AE2034)),0)</f>
        <v>5</v>
      </c>
      <c r="AY2034" s="5">
        <f>IF(T2034&gt;0,RANK(T2034,(N2034:P2034,Q2034:AE2034)),0)</f>
        <v>0</v>
      </c>
      <c r="AZ2034" s="5">
        <f>IF(S2034&gt;0,RANK(S2034,(N2034:P2034,Q2034:AE2034)),0)</f>
        <v>0</v>
      </c>
      <c r="BA2034" s="2">
        <f t="shared" si="847"/>
        <v>1.573481590265394E-2</v>
      </c>
      <c r="BB2034" s="2">
        <f t="shared" si="848"/>
        <v>1.2587852722123151E-3</v>
      </c>
      <c r="BC2034" s="2">
        <f t="shared" si="849"/>
        <v>0</v>
      </c>
      <c r="BD2034" s="2">
        <f t="shared" si="850"/>
        <v>0</v>
      </c>
      <c r="BF2034" t="s">
        <v>1896</v>
      </c>
      <c r="BG2034" t="s">
        <v>2652</v>
      </c>
      <c r="BH2034">
        <v>2</v>
      </c>
      <c r="BJ2034" s="114">
        <v>37</v>
      </c>
      <c r="BK2034" s="116">
        <v>127</v>
      </c>
      <c r="BL2034" s="120">
        <f t="shared" si="851"/>
        <v>37127</v>
      </c>
      <c r="BN2034" s="5" t="s">
        <v>3154</v>
      </c>
    </row>
    <row r="2035" spans="1:66" ht="13" hidden="1" customHeight="1" outlineLevel="1">
      <c r="A2035" t="s">
        <v>1655</v>
      </c>
      <c r="B2035" t="s">
        <v>2652</v>
      </c>
      <c r="C2035" s="1">
        <f t="shared" ref="C2035:C2071" si="852">SUM(N2035:AU2035)</f>
        <v>111905</v>
      </c>
      <c r="D2035" s="5">
        <f>IF(N2035&gt;0, RANK(N2035,(N2035:P2035,Q2035:AE2035)),0)</f>
        <v>2</v>
      </c>
      <c r="E2035" s="5">
        <f>IF(O2035&gt;0,RANK(O2035,(N2035:P2035,Q2035:AE2035)),0)</f>
        <v>1</v>
      </c>
      <c r="F2035" s="5">
        <f>IF(P2035&gt;0,RANK(P2035,(N2035:P2035,Q2035:AE2035)),0)</f>
        <v>0</v>
      </c>
      <c r="G2035" s="132">
        <f t="shared" si="840"/>
        <v>4365</v>
      </c>
      <c r="H2035" s="137">
        <f t="shared" si="841"/>
        <v>3.9006299986595772E-2</v>
      </c>
      <c r="I2035" s="2"/>
      <c r="J2035" s="2">
        <f t="shared" ref="J2035:J2071" si="853">IF($C2035=0,"-",N2035/$C2035)</f>
        <v>0.45555605200839999</v>
      </c>
      <c r="K2035" s="2">
        <f t="shared" ref="K2035:K2071" si="854">IF($C2035=0,"-",O2035/$C2035)</f>
        <v>0.49456235199499576</v>
      </c>
      <c r="L2035" s="2">
        <f t="shared" ref="L2035:L2071" si="855">IF($C2035=0,"-",P2035/$C2035)</f>
        <v>0</v>
      </c>
      <c r="M2035" s="2">
        <f t="shared" ref="M2035:M2066" si="856">IF(C2035=0,"-",(1-J2035-K2035-L2035))</f>
        <v>4.9881595996604244E-2</v>
      </c>
      <c r="N2035" s="63">
        <v>50979</v>
      </c>
      <c r="O2035" s="63">
        <v>55344</v>
      </c>
      <c r="P2035" s="63"/>
      <c r="Q2035" s="63">
        <v>3949</v>
      </c>
      <c r="R2035" s="63">
        <v>449</v>
      </c>
      <c r="S2035" s="63"/>
      <c r="T2035" s="63"/>
      <c r="U2035" s="63"/>
      <c r="V2035" s="63"/>
      <c r="W2035" s="63">
        <v>1184</v>
      </c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W2035" s="5">
        <f>IF(Q2035&gt;0,RANK(Q2035,(N2035:P2035,Q2035:AE2035)),0)</f>
        <v>3</v>
      </c>
      <c r="AX2035" s="5">
        <f>IF(R2035&gt;0,RANK(R2035,(N2035:P2035,Q2035:AE2035)),0)</f>
        <v>5</v>
      </c>
      <c r="AY2035" s="5">
        <f>IF(T2035&gt;0,RANK(T2035,(N2035:P2035,Q2035:AE2035)),0)</f>
        <v>0</v>
      </c>
      <c r="AZ2035" s="5">
        <f>IF(S2035&gt;0,RANK(S2035,(N2035:P2035,Q2035:AE2035)),0)</f>
        <v>0</v>
      </c>
      <c r="BA2035" s="2">
        <f t="shared" ref="BA2035:BA2071" si="857">IF($C2035=0,"-",Q2035/$C2035)</f>
        <v>3.5288861087529599E-2</v>
      </c>
      <c r="BB2035" s="2">
        <f t="shared" ref="BB2035:BB2071" si="858">IF($C2035=0,"-",R2035/$C2035)</f>
        <v>4.0123318886555563E-3</v>
      </c>
      <c r="BC2035" s="2">
        <f t="shared" ref="BC2035:BC2071" si="859">IF($C2035=0,"-",T2035/$C2035)</f>
        <v>0</v>
      </c>
      <c r="BD2035" s="2">
        <f t="shared" ref="BD2035:BD2071" si="860">IF($C2035=0,"-",S2035/$C2035)</f>
        <v>0</v>
      </c>
      <c r="BF2035" t="s">
        <v>1655</v>
      </c>
      <c r="BG2035" t="s">
        <v>2652</v>
      </c>
      <c r="BH2035">
        <v>7</v>
      </c>
      <c r="BJ2035" s="114">
        <v>37</v>
      </c>
      <c r="BK2035" s="116">
        <v>129</v>
      </c>
      <c r="BL2035" s="120">
        <f t="shared" si="851"/>
        <v>37129</v>
      </c>
      <c r="BN2035" s="5" t="s">
        <v>3154</v>
      </c>
    </row>
    <row r="2036" spans="1:66" ht="13" hidden="1" customHeight="1" outlineLevel="1">
      <c r="A2036" t="s">
        <v>2751</v>
      </c>
      <c r="B2036" t="s">
        <v>2652</v>
      </c>
      <c r="C2036" s="1">
        <f t="shared" si="852"/>
        <v>9848</v>
      </c>
      <c r="D2036" s="5">
        <f>IF(N2036&gt;0, RANK(N2036,(N2036:P2036,Q2036:AE2036)),0)</f>
        <v>1</v>
      </c>
      <c r="E2036" s="5">
        <f>IF(O2036&gt;0,RANK(O2036,(N2036:P2036,Q2036:AE2036)),0)</f>
        <v>2</v>
      </c>
      <c r="F2036" s="5">
        <f>IF(P2036&gt;0,RANK(P2036,(N2036:P2036,Q2036:AE2036)),0)</f>
        <v>0</v>
      </c>
      <c r="G2036" s="132">
        <f t="shared" si="840"/>
        <v>2562</v>
      </c>
      <c r="H2036" s="137">
        <f t="shared" si="841"/>
        <v>0.26015434606011373</v>
      </c>
      <c r="I2036" s="2"/>
      <c r="J2036" s="2">
        <f t="shared" si="853"/>
        <v>0.62388302193338752</v>
      </c>
      <c r="K2036" s="2">
        <f t="shared" si="854"/>
        <v>0.36372867587327379</v>
      </c>
      <c r="L2036" s="2">
        <f t="shared" si="855"/>
        <v>0</v>
      </c>
      <c r="M2036" s="2">
        <f t="shared" si="856"/>
        <v>1.2388302193338696E-2</v>
      </c>
      <c r="N2036" s="63">
        <v>6144</v>
      </c>
      <c r="O2036" s="63">
        <v>3582</v>
      </c>
      <c r="P2036" s="63"/>
      <c r="Q2036" s="63">
        <v>93</v>
      </c>
      <c r="R2036" s="63">
        <v>0</v>
      </c>
      <c r="S2036" s="63"/>
      <c r="T2036" s="63"/>
      <c r="U2036" s="63"/>
      <c r="V2036" s="63"/>
      <c r="W2036" s="63">
        <v>29</v>
      </c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W2036" s="5">
        <f>IF(Q2036&gt;0,RANK(Q2036,(N2036:P2036,Q2036:AE2036)),0)</f>
        <v>3</v>
      </c>
      <c r="AX2036" s="5">
        <f>IF(R2036&gt;0,RANK(R2036,(N2036:P2036,Q2036:AE2036)),0)</f>
        <v>0</v>
      </c>
      <c r="AY2036" s="5">
        <f>IF(T2036&gt;0,RANK(T2036,(N2036:P2036,Q2036:AE2036)),0)</f>
        <v>0</v>
      </c>
      <c r="AZ2036" s="5">
        <f>IF(S2036&gt;0,RANK(S2036,(N2036:P2036,Q2036:AE2036)),0)</f>
        <v>0</v>
      </c>
      <c r="BA2036" s="2">
        <f t="shared" si="857"/>
        <v>9.443541835905768E-3</v>
      </c>
      <c r="BB2036" s="2">
        <f t="shared" si="858"/>
        <v>0</v>
      </c>
      <c r="BC2036" s="2">
        <f t="shared" si="859"/>
        <v>0</v>
      </c>
      <c r="BD2036" s="2">
        <f t="shared" si="860"/>
        <v>0</v>
      </c>
      <c r="BF2036" t="s">
        <v>2751</v>
      </c>
      <c r="BG2036" t="s">
        <v>2652</v>
      </c>
      <c r="BH2036">
        <v>1</v>
      </c>
      <c r="BJ2036" s="114">
        <v>37</v>
      </c>
      <c r="BK2036" s="116">
        <v>131</v>
      </c>
      <c r="BL2036" s="120">
        <f t="shared" si="851"/>
        <v>37131</v>
      </c>
      <c r="BN2036" s="5" t="s">
        <v>3154</v>
      </c>
    </row>
    <row r="2037" spans="1:66" ht="13" hidden="1" customHeight="1" outlineLevel="1">
      <c r="A2037" t="s">
        <v>3199</v>
      </c>
      <c r="B2037" t="s">
        <v>2652</v>
      </c>
      <c r="C2037" s="1">
        <f t="shared" si="852"/>
        <v>57135</v>
      </c>
      <c r="D2037" s="5">
        <f>IF(N2037&gt;0, RANK(N2037,(N2037:P2037,Q2037:AE2037)),0)</f>
        <v>2</v>
      </c>
      <c r="E2037" s="5">
        <f>IF(O2037&gt;0,RANK(O2037,(N2037:P2037,Q2037:AE2037)),0)</f>
        <v>1</v>
      </c>
      <c r="F2037" s="5">
        <f>IF(P2037&gt;0,RANK(P2037,(N2037:P2037,Q2037:AE2037)),0)</f>
        <v>0</v>
      </c>
      <c r="G2037" s="132">
        <f t="shared" si="840"/>
        <v>19608</v>
      </c>
      <c r="H2037" s="137">
        <f t="shared" si="841"/>
        <v>0.34318718823838279</v>
      </c>
      <c r="I2037" s="2"/>
      <c r="J2037" s="2">
        <f t="shared" si="853"/>
        <v>0.30653714885796796</v>
      </c>
      <c r="K2037" s="2">
        <f t="shared" si="854"/>
        <v>0.6497243370963508</v>
      </c>
      <c r="L2037" s="2">
        <f t="shared" si="855"/>
        <v>0</v>
      </c>
      <c r="M2037" s="2">
        <f t="shared" si="856"/>
        <v>4.3738514045681187E-2</v>
      </c>
      <c r="N2037" s="63">
        <v>17514</v>
      </c>
      <c r="O2037" s="63">
        <v>37122</v>
      </c>
      <c r="P2037" s="63"/>
      <c r="Q2037" s="63">
        <v>1926</v>
      </c>
      <c r="R2037" s="63">
        <v>92</v>
      </c>
      <c r="S2037" s="63"/>
      <c r="T2037" s="63"/>
      <c r="U2037" s="63"/>
      <c r="V2037" s="63"/>
      <c r="W2037" s="63">
        <v>481</v>
      </c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W2037" s="5">
        <f>IF(Q2037&gt;0,RANK(Q2037,(N2037:P2037,Q2037:AE2037)),0)</f>
        <v>3</v>
      </c>
      <c r="AX2037" s="5">
        <f>IF(R2037&gt;0,RANK(R2037,(N2037:P2037,Q2037:AE2037)),0)</f>
        <v>5</v>
      </c>
      <c r="AY2037" s="5">
        <f>IF(T2037&gt;0,RANK(T2037,(N2037:P2037,Q2037:AE2037)),0)</f>
        <v>0</v>
      </c>
      <c r="AZ2037" s="5">
        <f>IF(S2037&gt;0,RANK(S2037,(N2037:P2037,Q2037:AE2037)),0)</f>
        <v>0</v>
      </c>
      <c r="BA2037" s="2">
        <f t="shared" si="857"/>
        <v>3.3709635074822789E-2</v>
      </c>
      <c r="BB2037" s="2">
        <f t="shared" si="858"/>
        <v>1.6102214054432484E-3</v>
      </c>
      <c r="BC2037" s="2">
        <f t="shared" si="859"/>
        <v>0</v>
      </c>
      <c r="BD2037" s="2">
        <f t="shared" si="860"/>
        <v>0</v>
      </c>
      <c r="BF2037" t="s">
        <v>3199</v>
      </c>
      <c r="BG2037" t="s">
        <v>2652</v>
      </c>
      <c r="BH2037">
        <v>3</v>
      </c>
      <c r="BJ2037" s="114">
        <v>37</v>
      </c>
      <c r="BK2037" s="116">
        <v>133</v>
      </c>
      <c r="BL2037" s="120">
        <f t="shared" si="851"/>
        <v>37133</v>
      </c>
      <c r="BN2037" s="5" t="s">
        <v>3154</v>
      </c>
    </row>
    <row r="2038" spans="1:66" ht="13" hidden="1" customHeight="1" outlineLevel="1">
      <c r="A2038" t="s">
        <v>2013</v>
      </c>
      <c r="B2038" t="s">
        <v>2652</v>
      </c>
      <c r="C2038" s="1">
        <f t="shared" si="852"/>
        <v>82340</v>
      </c>
      <c r="D2038" s="5">
        <f>IF(N2038&gt;0, RANK(N2038,(N2038:P2038,Q2038:AE2038)),0)</f>
        <v>1</v>
      </c>
      <c r="E2038" s="5">
        <f>IF(O2038&gt;0,RANK(O2038,(N2038:P2038,Q2038:AE2038)),0)</f>
        <v>2</v>
      </c>
      <c r="F2038" s="5">
        <f>IF(P2038&gt;0,RANK(P2038,(N2038:P2038,Q2038:AE2038)),0)</f>
        <v>0</v>
      </c>
      <c r="G2038" s="132">
        <f t="shared" si="840"/>
        <v>41366</v>
      </c>
      <c r="H2038" s="137">
        <f t="shared" si="841"/>
        <v>0.50238037405878067</v>
      </c>
      <c r="I2038" s="2"/>
      <c r="J2038" s="2">
        <f t="shared" si="853"/>
        <v>0.72775078940976434</v>
      </c>
      <c r="K2038" s="2">
        <f t="shared" si="854"/>
        <v>0.22537041535098373</v>
      </c>
      <c r="L2038" s="2">
        <f t="shared" si="855"/>
        <v>0</v>
      </c>
      <c r="M2038" s="2">
        <f t="shared" si="856"/>
        <v>4.6878795239251925E-2</v>
      </c>
      <c r="N2038" s="63">
        <v>59923</v>
      </c>
      <c r="O2038" s="63">
        <v>18557</v>
      </c>
      <c r="P2038" s="63"/>
      <c r="Q2038" s="63">
        <v>2404</v>
      </c>
      <c r="R2038" s="63">
        <v>459</v>
      </c>
      <c r="S2038" s="63"/>
      <c r="T2038" s="63"/>
      <c r="U2038" s="63"/>
      <c r="V2038" s="63"/>
      <c r="W2038" s="63">
        <v>997</v>
      </c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W2038" s="5">
        <f>IF(Q2038&gt;0,RANK(Q2038,(N2038:P2038,Q2038:AE2038)),0)</f>
        <v>3</v>
      </c>
      <c r="AX2038" s="5">
        <f>IF(R2038&gt;0,RANK(R2038,(N2038:P2038,Q2038:AE2038)),0)</f>
        <v>5</v>
      </c>
      <c r="AY2038" s="5">
        <f>IF(T2038&gt;0,RANK(T2038,(N2038:P2038,Q2038:AE2038)),0)</f>
        <v>0</v>
      </c>
      <c r="AZ2038" s="5">
        <f>IF(S2038&gt;0,RANK(S2038,(N2038:P2038,Q2038:AE2038)),0)</f>
        <v>0</v>
      </c>
      <c r="BA2038" s="2">
        <f t="shared" si="857"/>
        <v>2.9196016516881224E-2</v>
      </c>
      <c r="BB2038" s="2">
        <f t="shared" si="858"/>
        <v>5.5744474131649256E-3</v>
      </c>
      <c r="BC2038" s="2">
        <f t="shared" si="859"/>
        <v>0</v>
      </c>
      <c r="BD2038" s="2">
        <f t="shared" si="860"/>
        <v>0</v>
      </c>
      <c r="BF2038" t="s">
        <v>2013</v>
      </c>
      <c r="BG2038" t="s">
        <v>2652</v>
      </c>
      <c r="BH2038">
        <v>4</v>
      </c>
      <c r="BJ2038" s="114">
        <v>37</v>
      </c>
      <c r="BK2038" s="116">
        <v>135</v>
      </c>
      <c r="BL2038" s="120">
        <f t="shared" si="851"/>
        <v>37135</v>
      </c>
      <c r="BN2038" s="5" t="s">
        <v>3154</v>
      </c>
    </row>
    <row r="2039" spans="1:66" ht="13" hidden="1" customHeight="1" outlineLevel="1">
      <c r="A2039" t="s">
        <v>3171</v>
      </c>
      <c r="B2039" t="s">
        <v>2652</v>
      </c>
      <c r="C2039" s="1">
        <f t="shared" si="852"/>
        <v>6870</v>
      </c>
      <c r="D2039" s="5">
        <f>IF(N2039&gt;0, RANK(N2039,(N2039:P2039,Q2039:AE2039)),0)</f>
        <v>2</v>
      </c>
      <c r="E2039" s="5">
        <f>IF(O2039&gt;0,RANK(O2039,(N2039:P2039,Q2039:AE2039)),0)</f>
        <v>1</v>
      </c>
      <c r="F2039" s="5">
        <f>IF(P2039&gt;0,RANK(P2039,(N2039:P2039,Q2039:AE2039)),0)</f>
        <v>0</v>
      </c>
      <c r="G2039" s="132">
        <f t="shared" si="840"/>
        <v>1810</v>
      </c>
      <c r="H2039" s="137">
        <f t="shared" si="841"/>
        <v>0.26346433770014555</v>
      </c>
      <c r="I2039" s="2"/>
      <c r="J2039" s="2">
        <f t="shared" si="853"/>
        <v>0.35633187772925762</v>
      </c>
      <c r="K2039" s="2">
        <f t="shared" si="854"/>
        <v>0.61979621542940322</v>
      </c>
      <c r="L2039" s="2">
        <f t="shared" si="855"/>
        <v>0</v>
      </c>
      <c r="M2039" s="2">
        <f t="shared" si="856"/>
        <v>2.3871906841339108E-2</v>
      </c>
      <c r="N2039" s="63">
        <v>2448</v>
      </c>
      <c r="O2039" s="63">
        <v>4258</v>
      </c>
      <c r="P2039" s="63"/>
      <c r="Q2039" s="63">
        <v>124</v>
      </c>
      <c r="R2039" s="63">
        <v>10</v>
      </c>
      <c r="S2039" s="63"/>
      <c r="T2039" s="63"/>
      <c r="U2039" s="63"/>
      <c r="V2039" s="63"/>
      <c r="W2039" s="63">
        <v>30</v>
      </c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W2039" s="5">
        <f>IF(Q2039&gt;0,RANK(Q2039,(N2039:P2039,Q2039:AE2039)),0)</f>
        <v>3</v>
      </c>
      <c r="AX2039" s="5">
        <f>IF(R2039&gt;0,RANK(R2039,(N2039:P2039,Q2039:AE2039)),0)</f>
        <v>5</v>
      </c>
      <c r="AY2039" s="5">
        <f>IF(T2039&gt;0,RANK(T2039,(N2039:P2039,Q2039:AE2039)),0)</f>
        <v>0</v>
      </c>
      <c r="AZ2039" s="5">
        <f>IF(S2039&gt;0,RANK(S2039,(N2039:P2039,Q2039:AE2039)),0)</f>
        <v>0</v>
      </c>
      <c r="BA2039" s="2">
        <f t="shared" si="857"/>
        <v>1.8049490538573507E-2</v>
      </c>
      <c r="BB2039" s="2">
        <f t="shared" si="858"/>
        <v>1.455604075691412E-3</v>
      </c>
      <c r="BC2039" s="2">
        <f t="shared" si="859"/>
        <v>0</v>
      </c>
      <c r="BD2039" s="2">
        <f t="shared" si="860"/>
        <v>0</v>
      </c>
      <c r="BF2039" t="s">
        <v>3171</v>
      </c>
      <c r="BG2039" t="s">
        <v>2652</v>
      </c>
      <c r="BH2039">
        <v>3</v>
      </c>
      <c r="BJ2039" s="114">
        <v>37</v>
      </c>
      <c r="BK2039" s="116">
        <v>137</v>
      </c>
      <c r="BL2039" s="120">
        <f t="shared" si="851"/>
        <v>37137</v>
      </c>
      <c r="BN2039" s="5" t="s">
        <v>3154</v>
      </c>
    </row>
    <row r="2040" spans="1:66" ht="13" hidden="1" customHeight="1" outlineLevel="1">
      <c r="A2040" t="s">
        <v>3056</v>
      </c>
      <c r="B2040" t="s">
        <v>2652</v>
      </c>
      <c r="C2040" s="1">
        <f t="shared" si="852"/>
        <v>17391</v>
      </c>
      <c r="D2040" s="5">
        <f>IF(N2040&gt;0, RANK(N2040,(N2040:P2040,Q2040:AE2040)),0)</f>
        <v>1</v>
      </c>
      <c r="E2040" s="5">
        <f>IF(O2040&gt;0,RANK(O2040,(N2040:P2040,Q2040:AE2040)),0)</f>
        <v>2</v>
      </c>
      <c r="F2040" s="5">
        <f>IF(P2040&gt;0,RANK(P2040,(N2040:P2040,Q2040:AE2040)),0)</f>
        <v>0</v>
      </c>
      <c r="G2040" s="132">
        <f t="shared" si="840"/>
        <v>435</v>
      </c>
      <c r="H2040" s="137">
        <f t="shared" si="841"/>
        <v>2.5012937726410212E-2</v>
      </c>
      <c r="I2040" s="2"/>
      <c r="J2040" s="2">
        <f t="shared" si="853"/>
        <v>0.49537116899545741</v>
      </c>
      <c r="K2040" s="2">
        <f t="shared" si="854"/>
        <v>0.47035823126904719</v>
      </c>
      <c r="L2040" s="2">
        <f t="shared" si="855"/>
        <v>0</v>
      </c>
      <c r="M2040" s="2">
        <f t="shared" si="856"/>
        <v>3.42705997354954E-2</v>
      </c>
      <c r="N2040" s="63">
        <v>8615</v>
      </c>
      <c r="O2040" s="63">
        <v>8180</v>
      </c>
      <c r="P2040" s="63"/>
      <c r="Q2040" s="63">
        <v>442</v>
      </c>
      <c r="R2040" s="63">
        <v>32</v>
      </c>
      <c r="S2040" s="63"/>
      <c r="T2040" s="63"/>
      <c r="U2040" s="63"/>
      <c r="V2040" s="63"/>
      <c r="W2040" s="63">
        <v>122</v>
      </c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W2040" s="5">
        <f>IF(Q2040&gt;0,RANK(Q2040,(N2040:P2040,Q2040:AE2040)),0)</f>
        <v>3</v>
      </c>
      <c r="AX2040" s="5">
        <f>IF(R2040&gt;0,RANK(R2040,(N2040:P2040,Q2040:AE2040)),0)</f>
        <v>5</v>
      </c>
      <c r="AY2040" s="5">
        <f>IF(T2040&gt;0,RANK(T2040,(N2040:P2040,Q2040:AE2040)),0)</f>
        <v>0</v>
      </c>
      <c r="AZ2040" s="5">
        <f>IF(S2040&gt;0,RANK(S2040,(N2040:P2040,Q2040:AE2040)),0)</f>
        <v>0</v>
      </c>
      <c r="BA2040" s="2">
        <f t="shared" si="857"/>
        <v>2.5415444770283482E-2</v>
      </c>
      <c r="BB2040" s="2">
        <f t="shared" si="858"/>
        <v>1.8400322005635099E-3</v>
      </c>
      <c r="BC2040" s="2">
        <f t="shared" si="859"/>
        <v>0</v>
      </c>
      <c r="BD2040" s="2">
        <f t="shared" si="860"/>
        <v>0</v>
      </c>
      <c r="BF2040" t="s">
        <v>3056</v>
      </c>
      <c r="BG2040" t="s">
        <v>2652</v>
      </c>
      <c r="BH2040">
        <v>3</v>
      </c>
      <c r="BJ2040" s="114">
        <v>37</v>
      </c>
      <c r="BK2040" s="116">
        <v>139</v>
      </c>
      <c r="BL2040" s="120">
        <f t="shared" si="851"/>
        <v>37139</v>
      </c>
      <c r="BN2040" s="5" t="s">
        <v>3154</v>
      </c>
    </row>
    <row r="2041" spans="1:66" ht="13" hidden="1" customHeight="1" outlineLevel="1">
      <c r="A2041" t="s">
        <v>2327</v>
      </c>
      <c r="B2041" t="s">
        <v>2652</v>
      </c>
      <c r="C2041" s="1">
        <f t="shared" si="852"/>
        <v>27885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32">
        <f t="shared" si="840"/>
        <v>8285</v>
      </c>
      <c r="H2041" s="137">
        <f t="shared" si="841"/>
        <v>0.2971131432669894</v>
      </c>
      <c r="I2041" s="2"/>
      <c r="J2041" s="2">
        <f t="shared" si="853"/>
        <v>0.33544916621839699</v>
      </c>
      <c r="K2041" s="2">
        <f t="shared" si="854"/>
        <v>0.63256230948538639</v>
      </c>
      <c r="L2041" s="2">
        <f t="shared" si="855"/>
        <v>0</v>
      </c>
      <c r="M2041" s="2">
        <f t="shared" si="856"/>
        <v>3.198852429621668E-2</v>
      </c>
      <c r="N2041" s="63">
        <v>9354</v>
      </c>
      <c r="O2041" s="63">
        <v>17639</v>
      </c>
      <c r="P2041" s="63"/>
      <c r="Q2041" s="63">
        <v>683</v>
      </c>
      <c r="R2041" s="63">
        <v>52</v>
      </c>
      <c r="S2041" s="63"/>
      <c r="T2041" s="63"/>
      <c r="U2041" s="63"/>
      <c r="V2041" s="63"/>
      <c r="W2041" s="63">
        <v>157</v>
      </c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W2041" s="5">
        <f>IF(Q2041&gt;0,RANK(Q2041,(N2041:P2041,Q2041:AE2041)),0)</f>
        <v>3</v>
      </c>
      <c r="AX2041" s="5">
        <f>IF(R2041&gt;0,RANK(R2041,(N2041:P2041,Q2041:AE2041)),0)</f>
        <v>5</v>
      </c>
      <c r="AY2041" s="5">
        <f>IF(T2041&gt;0,RANK(T2041,(N2041:P2041,Q2041:AE2041)),0)</f>
        <v>0</v>
      </c>
      <c r="AZ2041" s="5">
        <f>IF(S2041&gt;0,RANK(S2041,(N2041:P2041,Q2041:AE2041)),0)</f>
        <v>0</v>
      </c>
      <c r="BA2041" s="2">
        <f t="shared" si="857"/>
        <v>2.4493455262686033E-2</v>
      </c>
      <c r="BB2041" s="2">
        <f t="shared" si="858"/>
        <v>1.8648018648018648E-3</v>
      </c>
      <c r="BC2041" s="2">
        <f t="shared" si="859"/>
        <v>0</v>
      </c>
      <c r="BD2041" s="2">
        <f t="shared" si="860"/>
        <v>0</v>
      </c>
      <c r="BF2041" t="s">
        <v>2327</v>
      </c>
      <c r="BG2041" t="s">
        <v>2652</v>
      </c>
      <c r="BH2041">
        <v>7</v>
      </c>
      <c r="BJ2041" s="114">
        <v>37</v>
      </c>
      <c r="BK2041" s="116">
        <v>141</v>
      </c>
      <c r="BL2041" s="120">
        <f t="shared" si="851"/>
        <v>37141</v>
      </c>
      <c r="BN2041" s="5" t="s">
        <v>3154</v>
      </c>
    </row>
    <row r="2042" spans="1:66" ht="13" hidden="1" customHeight="1" outlineLevel="1">
      <c r="A2042" t="s">
        <v>390</v>
      </c>
      <c r="B2042" t="s">
        <v>2652</v>
      </c>
      <c r="C2042" s="1">
        <f t="shared" si="852"/>
        <v>6708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32">
        <f t="shared" si="840"/>
        <v>1858</v>
      </c>
      <c r="H2042" s="137">
        <f t="shared" si="841"/>
        <v>0.27698270721526536</v>
      </c>
      <c r="I2042" s="2"/>
      <c r="J2042" s="2">
        <f t="shared" si="853"/>
        <v>0.34570661896243293</v>
      </c>
      <c r="K2042" s="2">
        <f t="shared" si="854"/>
        <v>0.62268932617769823</v>
      </c>
      <c r="L2042" s="2">
        <f t="shared" si="855"/>
        <v>0</v>
      </c>
      <c r="M2042" s="2">
        <f t="shared" si="856"/>
        <v>3.1604054859868835E-2</v>
      </c>
      <c r="N2042" s="63">
        <v>2319</v>
      </c>
      <c r="O2042" s="63">
        <v>4177</v>
      </c>
      <c r="P2042" s="63"/>
      <c r="Q2042" s="63">
        <v>162</v>
      </c>
      <c r="R2042" s="63">
        <v>7</v>
      </c>
      <c r="S2042" s="63"/>
      <c r="T2042" s="63"/>
      <c r="U2042" s="63"/>
      <c r="V2042" s="63"/>
      <c r="W2042" s="63">
        <v>43</v>
      </c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W2042" s="5">
        <f>IF(Q2042&gt;0,RANK(Q2042,(N2042:P2042,Q2042:AE2042)),0)</f>
        <v>3</v>
      </c>
      <c r="AX2042" s="5">
        <f>IF(R2042&gt;0,RANK(R2042,(N2042:P2042,Q2042:AE2042)),0)</f>
        <v>5</v>
      </c>
      <c r="AY2042" s="5">
        <f>IF(T2042&gt;0,RANK(T2042,(N2042:P2042,Q2042:AE2042)),0)</f>
        <v>0</v>
      </c>
      <c r="AZ2042" s="5">
        <f>IF(S2042&gt;0,RANK(S2042,(N2042:P2042,Q2042:AE2042)),0)</f>
        <v>0</v>
      </c>
      <c r="BA2042" s="2">
        <f t="shared" si="857"/>
        <v>2.4150268336314847E-2</v>
      </c>
      <c r="BB2042" s="2">
        <f t="shared" si="858"/>
        <v>1.0435301132975551E-3</v>
      </c>
      <c r="BC2042" s="2">
        <f t="shared" si="859"/>
        <v>0</v>
      </c>
      <c r="BD2042" s="2">
        <f t="shared" si="860"/>
        <v>0</v>
      </c>
      <c r="BF2042" t="s">
        <v>390</v>
      </c>
      <c r="BG2042" t="s">
        <v>2652</v>
      </c>
      <c r="BH2042">
        <v>3</v>
      </c>
      <c r="BJ2042" s="114">
        <v>37</v>
      </c>
      <c r="BK2042" s="116">
        <v>143</v>
      </c>
      <c r="BL2042" s="120">
        <f t="shared" si="851"/>
        <v>37143</v>
      </c>
      <c r="BN2042" s="5" t="s">
        <v>3154</v>
      </c>
    </row>
    <row r="2043" spans="1:66" ht="13" hidden="1" customHeight="1" outlineLevel="1">
      <c r="A2043" t="s">
        <v>613</v>
      </c>
      <c r="B2043" t="s">
        <v>2652</v>
      </c>
      <c r="C2043" s="1">
        <f t="shared" si="852"/>
        <v>19615</v>
      </c>
      <c r="D2043" s="5">
        <f>IF(N2043&gt;0, RANK(N2043,(N2043:P2043,Q2043:AE2043)),0)</f>
        <v>2</v>
      </c>
      <c r="E2043" s="5">
        <f>IF(O2043&gt;0,RANK(O2043,(N2043:P2043,Q2043:AE2043)),0)</f>
        <v>1</v>
      </c>
      <c r="F2043" s="5">
        <f>IF(P2043&gt;0,RANK(P2043,(N2043:P2043,Q2043:AE2043)),0)</f>
        <v>0</v>
      </c>
      <c r="G2043" s="132">
        <f t="shared" si="840"/>
        <v>3352</v>
      </c>
      <c r="H2043" s="137">
        <f t="shared" si="841"/>
        <v>0.17088962528677032</v>
      </c>
      <c r="I2043" s="2"/>
      <c r="J2043" s="2">
        <f t="shared" si="853"/>
        <v>0.39933724190670405</v>
      </c>
      <c r="K2043" s="2">
        <f t="shared" si="854"/>
        <v>0.57022686719347437</v>
      </c>
      <c r="L2043" s="2">
        <f t="shared" si="855"/>
        <v>0</v>
      </c>
      <c r="M2043" s="2">
        <f t="shared" si="856"/>
        <v>3.0435890899821572E-2</v>
      </c>
      <c r="N2043" s="63">
        <v>7833</v>
      </c>
      <c r="O2043" s="63">
        <v>11185</v>
      </c>
      <c r="P2043" s="63"/>
      <c r="Q2043" s="63">
        <v>419</v>
      </c>
      <c r="R2043" s="63">
        <v>36</v>
      </c>
      <c r="S2043" s="63"/>
      <c r="T2043" s="63"/>
      <c r="U2043" s="63"/>
      <c r="V2043" s="63"/>
      <c r="W2043" s="63">
        <v>142</v>
      </c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W2043" s="5">
        <f>IF(Q2043&gt;0,RANK(Q2043,(N2043:P2043,Q2043:AE2043)),0)</f>
        <v>3</v>
      </c>
      <c r="AX2043" s="5">
        <f>IF(R2043&gt;0,RANK(R2043,(N2043:P2043,Q2043:AE2043)),0)</f>
        <v>5</v>
      </c>
      <c r="AY2043" s="5">
        <f>IF(T2043&gt;0,RANK(T2043,(N2043:P2043,Q2043:AE2043)),0)</f>
        <v>0</v>
      </c>
      <c r="AZ2043" s="5">
        <f>IF(S2043&gt;0,RANK(S2043,(N2043:P2043,Q2043:AE2043)),0)</f>
        <v>0</v>
      </c>
      <c r="BA2043" s="2">
        <f t="shared" si="857"/>
        <v>2.136120316084629E-2</v>
      </c>
      <c r="BB2043" s="2">
        <f t="shared" si="858"/>
        <v>1.8353301045118532E-3</v>
      </c>
      <c r="BC2043" s="2">
        <f t="shared" si="859"/>
        <v>0</v>
      </c>
      <c r="BD2043" s="2">
        <f t="shared" si="860"/>
        <v>0</v>
      </c>
      <c r="BF2043" t="s">
        <v>613</v>
      </c>
      <c r="BG2043" t="s">
        <v>2652</v>
      </c>
      <c r="BH2043">
        <v>6</v>
      </c>
      <c r="BJ2043" s="114">
        <v>37</v>
      </c>
      <c r="BK2043" s="116">
        <v>145</v>
      </c>
      <c r="BL2043" s="120">
        <f t="shared" si="851"/>
        <v>37145</v>
      </c>
      <c r="BN2043" s="5" t="s">
        <v>3154</v>
      </c>
    </row>
    <row r="2044" spans="1:66" ht="13" hidden="1" customHeight="1" outlineLevel="1">
      <c r="A2044" t="s">
        <v>1191</v>
      </c>
      <c r="B2044" t="s">
        <v>2652</v>
      </c>
      <c r="C2044" s="1">
        <f t="shared" si="852"/>
        <v>80527</v>
      </c>
      <c r="D2044" s="5">
        <f>IF(N2044&gt;0, RANK(N2044,(N2044:P2044,Q2044:AE2044)),0)</f>
        <v>1</v>
      </c>
      <c r="E2044" s="5">
        <f>IF(O2044&gt;0,RANK(O2044,(N2044:P2044,Q2044:AE2044)),0)</f>
        <v>2</v>
      </c>
      <c r="F2044" s="5">
        <f>IF(P2044&gt;0,RANK(P2044,(N2044:P2044,Q2044:AE2044)),0)</f>
        <v>0</v>
      </c>
      <c r="G2044" s="132">
        <f t="shared" si="840"/>
        <v>6133</v>
      </c>
      <c r="H2044" s="137">
        <f t="shared" si="841"/>
        <v>7.6160790790666483E-2</v>
      </c>
      <c r="I2044" s="2"/>
      <c r="J2044" s="2">
        <f t="shared" si="853"/>
        <v>0.51937859351521853</v>
      </c>
      <c r="K2044" s="2">
        <f t="shared" si="854"/>
        <v>0.44321780272455202</v>
      </c>
      <c r="L2044" s="2">
        <f t="shared" si="855"/>
        <v>0</v>
      </c>
      <c r="M2044" s="2">
        <f t="shared" si="856"/>
        <v>3.7403603760229442E-2</v>
      </c>
      <c r="N2044" s="63">
        <v>41824</v>
      </c>
      <c r="O2044" s="63">
        <v>35691</v>
      </c>
      <c r="P2044" s="63"/>
      <c r="Q2044" s="63">
        <v>2162</v>
      </c>
      <c r="R2044" s="63">
        <v>170</v>
      </c>
      <c r="S2044" s="63"/>
      <c r="T2044" s="63"/>
      <c r="U2044" s="63"/>
      <c r="V2044" s="63"/>
      <c r="W2044" s="63">
        <v>680</v>
      </c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W2044" s="5">
        <f>IF(Q2044&gt;0,RANK(Q2044,(N2044:P2044,Q2044:AE2044)),0)</f>
        <v>3</v>
      </c>
      <c r="AX2044" s="5">
        <f>IF(R2044&gt;0,RANK(R2044,(N2044:P2044,Q2044:AE2044)),0)</f>
        <v>5</v>
      </c>
      <c r="AY2044" s="5">
        <f>IF(T2044&gt;0,RANK(T2044,(N2044:P2044,Q2044:AE2044)),0)</f>
        <v>0</v>
      </c>
      <c r="AZ2044" s="5">
        <f>IF(S2044&gt;0,RANK(S2044,(N2044:P2044,Q2044:AE2044)),0)</f>
        <v>0</v>
      </c>
      <c r="BA2044" s="2">
        <f t="shared" si="857"/>
        <v>2.684813789163883E-2</v>
      </c>
      <c r="BB2044" s="2">
        <f t="shared" si="858"/>
        <v>2.111093173718132E-3</v>
      </c>
      <c r="BC2044" s="2">
        <f t="shared" si="859"/>
        <v>0</v>
      </c>
      <c r="BD2044" s="2">
        <f t="shared" si="860"/>
        <v>0</v>
      </c>
      <c r="BF2044" t="s">
        <v>1191</v>
      </c>
      <c r="BG2044" t="s">
        <v>2652</v>
      </c>
      <c r="BJ2044" s="114">
        <v>37</v>
      </c>
      <c r="BK2044" s="116">
        <v>147</v>
      </c>
      <c r="BL2044" s="120">
        <f t="shared" si="851"/>
        <v>37147</v>
      </c>
      <c r="BN2044" s="5" t="s">
        <v>3154</v>
      </c>
    </row>
    <row r="2045" spans="1:66" ht="13" hidden="1" customHeight="1" outlineLevel="1">
      <c r="A2045" t="s">
        <v>879</v>
      </c>
      <c r="B2045" t="s">
        <v>2652</v>
      </c>
      <c r="C2045" s="1">
        <f t="shared" si="852"/>
        <v>10934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32">
        <f t="shared" si="840"/>
        <v>3033</v>
      </c>
      <c r="H2045" s="137">
        <f t="shared" si="841"/>
        <v>0.27739162246204502</v>
      </c>
      <c r="I2045" s="2"/>
      <c r="J2045" s="2">
        <f t="shared" si="853"/>
        <v>0.34159502469361624</v>
      </c>
      <c r="K2045" s="2">
        <f t="shared" si="854"/>
        <v>0.61898664715566121</v>
      </c>
      <c r="L2045" s="2">
        <f t="shared" si="855"/>
        <v>0</v>
      </c>
      <c r="M2045" s="2">
        <f t="shared" si="856"/>
        <v>3.9418328150722548E-2</v>
      </c>
      <c r="N2045" s="63">
        <v>3735</v>
      </c>
      <c r="O2045" s="63">
        <v>6768</v>
      </c>
      <c r="P2045" s="63"/>
      <c r="Q2045" s="63">
        <v>272</v>
      </c>
      <c r="R2045" s="63">
        <v>52</v>
      </c>
      <c r="S2045" s="63"/>
      <c r="T2045" s="63"/>
      <c r="U2045" s="63"/>
      <c r="V2045" s="63"/>
      <c r="W2045" s="63">
        <v>107</v>
      </c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W2045" s="5">
        <f>IF(Q2045&gt;0,RANK(Q2045,(N2045:P2045,Q2045:AE2045)),0)</f>
        <v>3</v>
      </c>
      <c r="AX2045" s="5">
        <f>IF(R2045&gt;0,RANK(R2045,(N2045:P2045,Q2045:AE2045)),0)</f>
        <v>5</v>
      </c>
      <c r="AY2045" s="5">
        <f>IF(T2045&gt;0,RANK(T2045,(N2045:P2045,Q2045:AE2045)),0)</f>
        <v>0</v>
      </c>
      <c r="AZ2045" s="5">
        <f>IF(S2045&gt;0,RANK(S2045,(N2045:P2045,Q2045:AE2045)),0)</f>
        <v>0</v>
      </c>
      <c r="BA2045" s="2">
        <f t="shared" si="857"/>
        <v>2.487653191878544E-2</v>
      </c>
      <c r="BB2045" s="2">
        <f t="shared" si="858"/>
        <v>4.7558075727089809E-3</v>
      </c>
      <c r="BC2045" s="2">
        <f t="shared" si="859"/>
        <v>0</v>
      </c>
      <c r="BD2045" s="2">
        <f t="shared" si="860"/>
        <v>0</v>
      </c>
      <c r="BF2045" t="s">
        <v>879</v>
      </c>
      <c r="BG2045" t="s">
        <v>2652</v>
      </c>
      <c r="BH2045">
        <v>10</v>
      </c>
      <c r="BJ2045" s="114">
        <v>37</v>
      </c>
      <c r="BK2045" s="116">
        <v>149</v>
      </c>
      <c r="BL2045" s="120">
        <f t="shared" si="851"/>
        <v>37149</v>
      </c>
      <c r="BN2045" s="5" t="s">
        <v>3154</v>
      </c>
    </row>
    <row r="2046" spans="1:66" ht="13" hidden="1" customHeight="1" outlineLevel="1">
      <c r="A2046" t="s">
        <v>1460</v>
      </c>
      <c r="B2046" t="s">
        <v>2652</v>
      </c>
      <c r="C2046" s="1">
        <f t="shared" si="852"/>
        <v>64575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32">
        <f t="shared" si="840"/>
        <v>36236</v>
      </c>
      <c r="H2046" s="137">
        <f t="shared" si="841"/>
        <v>0.56114595431668601</v>
      </c>
      <c r="I2046" s="2"/>
      <c r="J2046" s="2">
        <f t="shared" si="853"/>
        <v>0.20432055749128919</v>
      </c>
      <c r="K2046" s="2">
        <f t="shared" si="854"/>
        <v>0.7654665118079752</v>
      </c>
      <c r="L2046" s="2">
        <f t="shared" si="855"/>
        <v>0</v>
      </c>
      <c r="M2046" s="2">
        <f t="shared" si="856"/>
        <v>3.0212930700735607E-2</v>
      </c>
      <c r="N2046" s="63">
        <v>13194</v>
      </c>
      <c r="O2046" s="63">
        <v>49430</v>
      </c>
      <c r="P2046" s="63"/>
      <c r="Q2046" s="63">
        <v>1403</v>
      </c>
      <c r="R2046" s="63">
        <v>102</v>
      </c>
      <c r="S2046" s="63"/>
      <c r="T2046" s="63"/>
      <c r="U2046" s="63"/>
      <c r="V2046" s="63"/>
      <c r="W2046" s="63">
        <v>446</v>
      </c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W2046" s="5">
        <f>IF(Q2046&gt;0,RANK(Q2046,(N2046:P2046,Q2046:AE2046)),0)</f>
        <v>3</v>
      </c>
      <c r="AX2046" s="5">
        <f>IF(R2046&gt;0,RANK(R2046,(N2046:P2046,Q2046:AE2046)),0)</f>
        <v>5</v>
      </c>
      <c r="AY2046" s="5">
        <f>IF(T2046&gt;0,RANK(T2046,(N2046:P2046,Q2046:AE2046)),0)</f>
        <v>0</v>
      </c>
      <c r="AZ2046" s="5">
        <f>IF(S2046&gt;0,RANK(S2046,(N2046:P2046,Q2046:AE2046)),0)</f>
        <v>0</v>
      </c>
      <c r="BA2046" s="2">
        <f t="shared" si="857"/>
        <v>2.172667440960124E-2</v>
      </c>
      <c r="BB2046" s="2">
        <f t="shared" si="858"/>
        <v>1.5795586527293844E-3</v>
      </c>
      <c r="BC2046" s="2">
        <f t="shared" si="859"/>
        <v>0</v>
      </c>
      <c r="BD2046" s="2">
        <f t="shared" si="860"/>
        <v>0</v>
      </c>
      <c r="BF2046" t="s">
        <v>1460</v>
      </c>
      <c r="BG2046" t="s">
        <v>2652</v>
      </c>
      <c r="BH2046">
        <v>6</v>
      </c>
      <c r="BJ2046" s="114">
        <v>37</v>
      </c>
      <c r="BK2046" s="116">
        <v>151</v>
      </c>
      <c r="BL2046" s="120">
        <f t="shared" si="851"/>
        <v>37151</v>
      </c>
      <c r="BN2046" s="5" t="s">
        <v>3154</v>
      </c>
    </row>
    <row r="2047" spans="1:66" ht="13" hidden="1" customHeight="1" outlineLevel="1">
      <c r="A2047" t="s">
        <v>1881</v>
      </c>
      <c r="B2047" t="s">
        <v>2652</v>
      </c>
      <c r="C2047" s="1">
        <f t="shared" si="852"/>
        <v>19328</v>
      </c>
      <c r="D2047" s="5">
        <f>IF(N2047&gt;0, RANK(N2047,(N2047:P2047,Q2047:AE2047)),0)</f>
        <v>2</v>
      </c>
      <c r="E2047" s="5">
        <f>IF(O2047&gt;0,RANK(O2047,(N2047:P2047,Q2047:AE2047)),0)</f>
        <v>1</v>
      </c>
      <c r="F2047" s="5">
        <f>IF(P2047&gt;0,RANK(P2047,(N2047:P2047,Q2047:AE2047)),0)</f>
        <v>0</v>
      </c>
      <c r="G2047" s="132">
        <f t="shared" si="840"/>
        <v>1882</v>
      </c>
      <c r="H2047" s="137">
        <f t="shared" si="841"/>
        <v>9.7371688741721849E-2</v>
      </c>
      <c r="I2047" s="2"/>
      <c r="J2047" s="2">
        <f t="shared" si="853"/>
        <v>0.43982822847682118</v>
      </c>
      <c r="K2047" s="2">
        <f t="shared" si="854"/>
        <v>0.5371999172185431</v>
      </c>
      <c r="L2047" s="2">
        <f t="shared" si="855"/>
        <v>0</v>
      </c>
      <c r="M2047" s="2">
        <f t="shared" si="856"/>
        <v>2.2971854304635775E-2</v>
      </c>
      <c r="N2047" s="63">
        <v>8501</v>
      </c>
      <c r="O2047" s="63">
        <v>10383</v>
      </c>
      <c r="P2047" s="63"/>
      <c r="Q2047" s="63">
        <v>333</v>
      </c>
      <c r="R2047" s="63">
        <v>24</v>
      </c>
      <c r="S2047" s="63"/>
      <c r="T2047" s="63"/>
      <c r="U2047" s="63"/>
      <c r="V2047" s="63"/>
      <c r="W2047" s="63">
        <v>87</v>
      </c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W2047" s="5">
        <f>IF(Q2047&gt;0,RANK(Q2047,(N2047:P2047,Q2047:AE2047)),0)</f>
        <v>3</v>
      </c>
      <c r="AX2047" s="5">
        <f>IF(R2047&gt;0,RANK(R2047,(N2047:P2047,Q2047:AE2047)),0)</f>
        <v>5</v>
      </c>
      <c r="AY2047" s="5">
        <f>IF(T2047&gt;0,RANK(T2047,(N2047:P2047,Q2047:AE2047)),0)</f>
        <v>0</v>
      </c>
      <c r="AZ2047" s="5">
        <f>IF(S2047&gt;0,RANK(S2047,(N2047:P2047,Q2047:AE2047)),0)</f>
        <v>0</v>
      </c>
      <c r="BA2047" s="2">
        <f t="shared" si="857"/>
        <v>1.7228890728476821E-2</v>
      </c>
      <c r="BB2047" s="2">
        <f t="shared" si="858"/>
        <v>1.2417218543046358E-3</v>
      </c>
      <c r="BC2047" s="2">
        <f t="shared" si="859"/>
        <v>0</v>
      </c>
      <c r="BD2047" s="2">
        <f t="shared" si="860"/>
        <v>0</v>
      </c>
      <c r="BF2047" t="s">
        <v>1881</v>
      </c>
      <c r="BG2047" t="s">
        <v>2652</v>
      </c>
      <c r="BH2047">
        <v>9</v>
      </c>
      <c r="BJ2047" s="114">
        <v>37</v>
      </c>
      <c r="BK2047" s="116">
        <v>153</v>
      </c>
      <c r="BL2047" s="120">
        <f t="shared" si="851"/>
        <v>37153</v>
      </c>
      <c r="BN2047" s="5" t="s">
        <v>3154</v>
      </c>
    </row>
    <row r="2048" spans="1:66" ht="13" hidden="1" customHeight="1" outlineLevel="1">
      <c r="A2048" t="s">
        <v>1767</v>
      </c>
      <c r="B2048" t="s">
        <v>2652</v>
      </c>
      <c r="C2048" s="1">
        <f t="shared" si="852"/>
        <v>40858</v>
      </c>
      <c r="D2048" s="5">
        <f>IF(N2048&gt;0, RANK(N2048,(N2048:P2048,Q2048:AE2048)),0)</f>
        <v>2</v>
      </c>
      <c r="E2048" s="5">
        <f>IF(O2048&gt;0,RANK(O2048,(N2048:P2048,Q2048:AE2048)),0)</f>
        <v>1</v>
      </c>
      <c r="F2048" s="5">
        <f>IF(P2048&gt;0,RANK(P2048,(N2048:P2048,Q2048:AE2048)),0)</f>
        <v>0</v>
      </c>
      <c r="G2048" s="132">
        <f t="shared" si="840"/>
        <v>1746</v>
      </c>
      <c r="H2048" s="137">
        <f t="shared" si="841"/>
        <v>4.2733369230016152E-2</v>
      </c>
      <c r="I2048" s="2"/>
      <c r="J2048" s="2">
        <f t="shared" si="853"/>
        <v>0.46541680943756425</v>
      </c>
      <c r="K2048" s="2">
        <f t="shared" si="854"/>
        <v>0.50815017866758039</v>
      </c>
      <c r="L2048" s="2">
        <f t="shared" si="855"/>
        <v>0</v>
      </c>
      <c r="M2048" s="2">
        <f t="shared" si="856"/>
        <v>2.6433011894855363E-2</v>
      </c>
      <c r="N2048" s="63">
        <v>19016</v>
      </c>
      <c r="O2048" s="63">
        <v>20762</v>
      </c>
      <c r="P2048" s="63"/>
      <c r="Q2048" s="63">
        <v>803</v>
      </c>
      <c r="R2048" s="63">
        <v>25</v>
      </c>
      <c r="S2048" s="63"/>
      <c r="T2048" s="63"/>
      <c r="U2048" s="63"/>
      <c r="V2048" s="63"/>
      <c r="W2048" s="63">
        <v>252</v>
      </c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W2048" s="5">
        <f>IF(Q2048&gt;0,RANK(Q2048,(N2048:P2048,Q2048:AE2048)),0)</f>
        <v>3</v>
      </c>
      <c r="AX2048" s="5">
        <f>IF(R2048&gt;0,RANK(R2048,(N2048:P2048,Q2048:AE2048)),0)</f>
        <v>5</v>
      </c>
      <c r="AY2048" s="5">
        <f>IF(T2048&gt;0,RANK(T2048,(N2048:P2048,Q2048:AE2048)),0)</f>
        <v>0</v>
      </c>
      <c r="AZ2048" s="5">
        <f>IF(S2048&gt;0,RANK(S2048,(N2048:P2048,Q2048:AE2048)),0)</f>
        <v>0</v>
      </c>
      <c r="BA2048" s="2">
        <f t="shared" si="857"/>
        <v>1.9653433844045231E-2</v>
      </c>
      <c r="BB2048" s="2">
        <f t="shared" si="858"/>
        <v>6.118752753438739E-4</v>
      </c>
      <c r="BC2048" s="2">
        <f t="shared" si="859"/>
        <v>0</v>
      </c>
      <c r="BD2048" s="2">
        <f t="shared" si="860"/>
        <v>0</v>
      </c>
      <c r="BF2048" t="s">
        <v>1767</v>
      </c>
      <c r="BG2048" t="s">
        <v>2652</v>
      </c>
      <c r="BH2048">
        <v>9</v>
      </c>
      <c r="BJ2048" s="114">
        <v>37</v>
      </c>
      <c r="BK2048" s="116">
        <v>155</v>
      </c>
      <c r="BL2048" s="120">
        <f t="shared" si="851"/>
        <v>37155</v>
      </c>
      <c r="BN2048" s="5" t="s">
        <v>3154</v>
      </c>
    </row>
    <row r="2049" spans="1:66" ht="13" hidden="1" customHeight="1" outlineLevel="1">
      <c r="A2049" t="s">
        <v>2971</v>
      </c>
      <c r="B2049" t="s">
        <v>2652</v>
      </c>
      <c r="C2049" s="1">
        <f t="shared" si="852"/>
        <v>42278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32">
        <f t="shared" si="840"/>
        <v>12602</v>
      </c>
      <c r="H2049" s="137">
        <f t="shared" si="841"/>
        <v>0.29807464875348882</v>
      </c>
      <c r="I2049" s="2"/>
      <c r="J2049" s="2">
        <f t="shared" si="853"/>
        <v>0.33653436775627987</v>
      </c>
      <c r="K2049" s="2">
        <f t="shared" si="854"/>
        <v>0.63460901650976864</v>
      </c>
      <c r="L2049" s="2">
        <f t="shared" si="855"/>
        <v>0</v>
      </c>
      <c r="M2049" s="2">
        <f t="shared" si="856"/>
        <v>2.8856615733951485E-2</v>
      </c>
      <c r="N2049" s="63">
        <v>14228</v>
      </c>
      <c r="O2049" s="63">
        <v>26830</v>
      </c>
      <c r="P2049" s="63"/>
      <c r="Q2049" s="63">
        <v>871</v>
      </c>
      <c r="R2049" s="63">
        <v>55</v>
      </c>
      <c r="S2049" s="63"/>
      <c r="T2049" s="63"/>
      <c r="U2049" s="63"/>
      <c r="V2049" s="63"/>
      <c r="W2049" s="63">
        <v>294</v>
      </c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W2049" s="5">
        <f>IF(Q2049&gt;0,RANK(Q2049,(N2049:P2049,Q2049:AE2049)),0)</f>
        <v>3</v>
      </c>
      <c r="AX2049" s="5">
        <f>IF(R2049&gt;0,RANK(R2049,(N2049:P2049,Q2049:AE2049)),0)</f>
        <v>5</v>
      </c>
      <c r="AY2049" s="5">
        <f>IF(T2049&gt;0,RANK(T2049,(N2049:P2049,Q2049:AE2049)),0)</f>
        <v>0</v>
      </c>
      <c r="AZ2049" s="5">
        <f>IF(S2049&gt;0,RANK(S2049,(N2049:P2049,Q2049:AE2049)),0)</f>
        <v>0</v>
      </c>
      <c r="BA2049" s="2">
        <f t="shared" si="857"/>
        <v>2.0601731396944038E-2</v>
      </c>
      <c r="BB2049" s="2">
        <f t="shared" si="858"/>
        <v>1.3009130043994512E-3</v>
      </c>
      <c r="BC2049" s="2">
        <f t="shared" si="859"/>
        <v>0</v>
      </c>
      <c r="BD2049" s="2">
        <f t="shared" si="860"/>
        <v>0</v>
      </c>
      <c r="BF2049" t="s">
        <v>2971</v>
      </c>
      <c r="BG2049" t="s">
        <v>2652</v>
      </c>
      <c r="BH2049">
        <v>6</v>
      </c>
      <c r="BJ2049" s="114">
        <v>37</v>
      </c>
      <c r="BK2049" s="116">
        <v>157</v>
      </c>
      <c r="BL2049" s="120">
        <f t="shared" si="851"/>
        <v>37157</v>
      </c>
      <c r="BN2049" s="5" t="s">
        <v>3154</v>
      </c>
    </row>
    <row r="2050" spans="1:66" ht="13" hidden="1" customHeight="1" outlineLevel="1">
      <c r="A2050" t="s">
        <v>168</v>
      </c>
      <c r="B2050" t="s">
        <v>2652</v>
      </c>
      <c r="C2050" s="1">
        <f t="shared" si="852"/>
        <v>64369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32">
        <f t="shared" si="840"/>
        <v>23410</v>
      </c>
      <c r="H2050" s="137">
        <f t="shared" si="841"/>
        <v>0.36368438223368393</v>
      </c>
      <c r="I2050" s="2"/>
      <c r="J2050" s="2">
        <f t="shared" si="853"/>
        <v>0.30138731376905031</v>
      </c>
      <c r="K2050" s="2">
        <f t="shared" si="854"/>
        <v>0.66507169600273419</v>
      </c>
      <c r="L2050" s="2">
        <f t="shared" si="855"/>
        <v>0</v>
      </c>
      <c r="M2050" s="2">
        <f t="shared" si="856"/>
        <v>3.3540990228215439E-2</v>
      </c>
      <c r="N2050" s="63">
        <v>19400</v>
      </c>
      <c r="O2050" s="63">
        <v>42810</v>
      </c>
      <c r="P2050" s="63"/>
      <c r="Q2050" s="63">
        <v>1517</v>
      </c>
      <c r="R2050" s="63">
        <v>78</v>
      </c>
      <c r="S2050" s="63"/>
      <c r="T2050" s="63"/>
      <c r="U2050" s="63"/>
      <c r="V2050" s="63"/>
      <c r="W2050" s="63">
        <v>564</v>
      </c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W2050" s="5">
        <f>IF(Q2050&gt;0,RANK(Q2050,(N2050:P2050,Q2050:AE2050)),0)</f>
        <v>3</v>
      </c>
      <c r="AX2050" s="5">
        <f>IF(R2050&gt;0,RANK(R2050,(N2050:P2050,Q2050:AE2050)),0)</f>
        <v>5</v>
      </c>
      <c r="AY2050" s="5">
        <f>IF(T2050&gt;0,RANK(T2050,(N2050:P2050,Q2050:AE2050)),0)</f>
        <v>0</v>
      </c>
      <c r="AZ2050" s="5">
        <f>IF(S2050&gt;0,RANK(S2050,(N2050:P2050,Q2050:AE2050)),0)</f>
        <v>0</v>
      </c>
      <c r="BA2050" s="2">
        <f t="shared" si="857"/>
        <v>2.3567245102456152E-2</v>
      </c>
      <c r="BB2050" s="2">
        <f t="shared" si="858"/>
        <v>1.2117634264941198E-3</v>
      </c>
      <c r="BC2050" s="2">
        <f t="shared" si="859"/>
        <v>0</v>
      </c>
      <c r="BD2050" s="2">
        <f t="shared" si="860"/>
        <v>0</v>
      </c>
      <c r="BF2050" t="s">
        <v>168</v>
      </c>
      <c r="BG2050" t="s">
        <v>2652</v>
      </c>
      <c r="BJ2050" s="114">
        <v>37</v>
      </c>
      <c r="BK2050" s="116">
        <v>159</v>
      </c>
      <c r="BL2050" s="120">
        <f t="shared" si="851"/>
        <v>37159</v>
      </c>
      <c r="BN2050" s="5" t="s">
        <v>3154</v>
      </c>
    </row>
    <row r="2051" spans="1:66" ht="13" hidden="1" customHeight="1" outlineLevel="1">
      <c r="A2051" t="s">
        <v>2098</v>
      </c>
      <c r="B2051" t="s">
        <v>2652</v>
      </c>
      <c r="C2051" s="1">
        <f t="shared" si="852"/>
        <v>30307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32">
        <f t="shared" si="840"/>
        <v>14359</v>
      </c>
      <c r="H2051" s="137">
        <f t="shared" si="841"/>
        <v>0.47378493417362327</v>
      </c>
      <c r="I2051" s="2"/>
      <c r="J2051" s="2">
        <f t="shared" si="853"/>
        <v>0.24786352987758603</v>
      </c>
      <c r="K2051" s="2">
        <f t="shared" si="854"/>
        <v>0.7216484640512093</v>
      </c>
      <c r="L2051" s="2">
        <f t="shared" si="855"/>
        <v>0</v>
      </c>
      <c r="M2051" s="2">
        <f t="shared" si="856"/>
        <v>3.0488006071204721E-2</v>
      </c>
      <c r="N2051" s="63">
        <v>7512</v>
      </c>
      <c r="O2051" s="63">
        <v>21871</v>
      </c>
      <c r="P2051" s="63"/>
      <c r="Q2051" s="63">
        <v>624</v>
      </c>
      <c r="R2051" s="63">
        <v>39</v>
      </c>
      <c r="S2051" s="63"/>
      <c r="T2051" s="63"/>
      <c r="U2051" s="63"/>
      <c r="V2051" s="63"/>
      <c r="W2051" s="63">
        <v>261</v>
      </c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W2051" s="5">
        <f>IF(Q2051&gt;0,RANK(Q2051,(N2051:P2051,Q2051:AE2051)),0)</f>
        <v>3</v>
      </c>
      <c r="AX2051" s="5">
        <f>IF(R2051&gt;0,RANK(R2051,(N2051:P2051,Q2051:AE2051)),0)</f>
        <v>5</v>
      </c>
      <c r="AY2051" s="5">
        <f>IF(T2051&gt;0,RANK(T2051,(N2051:P2051,Q2051:AE2051)),0)</f>
        <v>0</v>
      </c>
      <c r="AZ2051" s="5">
        <f>IF(S2051&gt;0,RANK(S2051,(N2051:P2051,Q2051:AE2051)),0)</f>
        <v>0</v>
      </c>
      <c r="BA2051" s="2">
        <f t="shared" si="857"/>
        <v>2.0589302801333025E-2</v>
      </c>
      <c r="BB2051" s="2">
        <f t="shared" si="858"/>
        <v>1.286831425083314E-3</v>
      </c>
      <c r="BC2051" s="2">
        <f t="shared" si="859"/>
        <v>0</v>
      </c>
      <c r="BD2051" s="2">
        <f t="shared" si="860"/>
        <v>0</v>
      </c>
      <c r="BF2051" t="s">
        <v>2098</v>
      </c>
      <c r="BG2051" t="s">
        <v>2652</v>
      </c>
      <c r="BH2051">
        <v>10</v>
      </c>
      <c r="BJ2051" s="114">
        <v>37</v>
      </c>
      <c r="BK2051" s="116">
        <v>161</v>
      </c>
      <c r="BL2051" s="120">
        <f t="shared" si="851"/>
        <v>37161</v>
      </c>
      <c r="BN2051" s="5" t="s">
        <v>3154</v>
      </c>
    </row>
    <row r="2052" spans="1:66" ht="13" hidden="1" customHeight="1" outlineLevel="1">
      <c r="A2052" t="s">
        <v>1768</v>
      </c>
      <c r="B2052" t="s">
        <v>2652</v>
      </c>
      <c r="C2052" s="1">
        <f t="shared" si="852"/>
        <v>25928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32">
        <f t="shared" si="840"/>
        <v>4291</v>
      </c>
      <c r="H2052" s="137">
        <f t="shared" si="841"/>
        <v>0.16549676025917925</v>
      </c>
      <c r="I2052" s="2"/>
      <c r="J2052" s="2">
        <f t="shared" si="853"/>
        <v>0.40678031471767973</v>
      </c>
      <c r="K2052" s="2">
        <f t="shared" si="854"/>
        <v>0.57227707497685898</v>
      </c>
      <c r="L2052" s="2">
        <f t="shared" si="855"/>
        <v>0</v>
      </c>
      <c r="M2052" s="2">
        <f t="shared" si="856"/>
        <v>2.0942610305461296E-2</v>
      </c>
      <c r="N2052" s="63">
        <v>10547</v>
      </c>
      <c r="O2052" s="63">
        <v>14838</v>
      </c>
      <c r="P2052" s="63"/>
      <c r="Q2052" s="63">
        <v>393</v>
      </c>
      <c r="R2052" s="63">
        <v>0</v>
      </c>
      <c r="S2052" s="63"/>
      <c r="T2052" s="63"/>
      <c r="U2052" s="63"/>
      <c r="V2052" s="63"/>
      <c r="W2052" s="63">
        <v>150</v>
      </c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W2052" s="5">
        <f>IF(Q2052&gt;0,RANK(Q2052,(N2052:P2052,Q2052:AE2052)),0)</f>
        <v>3</v>
      </c>
      <c r="AX2052" s="5">
        <f>IF(R2052&gt;0,RANK(R2052,(N2052:P2052,Q2052:AE2052)),0)</f>
        <v>0</v>
      </c>
      <c r="AY2052" s="5">
        <f>IF(T2052&gt;0,RANK(T2052,(N2052:P2052,Q2052:AE2052)),0)</f>
        <v>0</v>
      </c>
      <c r="AZ2052" s="5">
        <f>IF(S2052&gt;0,RANK(S2052,(N2052:P2052,Q2052:AE2052)),0)</f>
        <v>0</v>
      </c>
      <c r="BA2052" s="2">
        <f t="shared" si="857"/>
        <v>1.515735883986424E-2</v>
      </c>
      <c r="BB2052" s="2">
        <f t="shared" si="858"/>
        <v>0</v>
      </c>
      <c r="BC2052" s="2">
        <f t="shared" si="859"/>
        <v>0</v>
      </c>
      <c r="BD2052" s="2">
        <f t="shared" si="860"/>
        <v>0</v>
      </c>
      <c r="BF2052" t="s">
        <v>1768</v>
      </c>
      <c r="BG2052" t="s">
        <v>2652</v>
      </c>
      <c r="BH2052">
        <v>7</v>
      </c>
      <c r="BJ2052" s="114">
        <v>37</v>
      </c>
      <c r="BK2052" s="116">
        <v>163</v>
      </c>
      <c r="BL2052" s="120">
        <f t="shared" si="851"/>
        <v>37163</v>
      </c>
      <c r="BN2052" s="5" t="s">
        <v>3154</v>
      </c>
    </row>
    <row r="2053" spans="1:66" ht="13" hidden="1" customHeight="1" outlineLevel="1">
      <c r="A2053" t="s">
        <v>1548</v>
      </c>
      <c r="B2053" t="s">
        <v>2652</v>
      </c>
      <c r="C2053" s="1">
        <f t="shared" si="852"/>
        <v>13928</v>
      </c>
      <c r="D2053" s="5">
        <f>IF(N2053&gt;0, RANK(N2053,(N2053:P2053,Q2053:AE2053)),0)</f>
        <v>1</v>
      </c>
      <c r="E2053" s="5">
        <f>IF(O2053&gt;0,RANK(O2053,(N2053:P2053,Q2053:AE2053)),0)</f>
        <v>2</v>
      </c>
      <c r="F2053" s="5">
        <f>IF(P2053&gt;0,RANK(P2053,(N2053:P2053,Q2053:AE2053)),0)</f>
        <v>0</v>
      </c>
      <c r="G2053" s="132">
        <f t="shared" si="840"/>
        <v>1063</v>
      </c>
      <c r="H2053" s="137">
        <f t="shared" si="841"/>
        <v>7.6321079839172884E-2</v>
      </c>
      <c r="I2053" s="2"/>
      <c r="J2053" s="2">
        <f t="shared" si="853"/>
        <v>0.52548822515795524</v>
      </c>
      <c r="K2053" s="2">
        <f t="shared" si="854"/>
        <v>0.44916714531878232</v>
      </c>
      <c r="L2053" s="2">
        <f t="shared" si="855"/>
        <v>0</v>
      </c>
      <c r="M2053" s="2">
        <f t="shared" si="856"/>
        <v>2.5344629523262441E-2</v>
      </c>
      <c r="N2053" s="63">
        <v>7319</v>
      </c>
      <c r="O2053" s="63">
        <v>6256</v>
      </c>
      <c r="P2053" s="63"/>
      <c r="Q2053" s="63">
        <v>254</v>
      </c>
      <c r="R2053" s="63">
        <v>26</v>
      </c>
      <c r="S2053" s="63"/>
      <c r="T2053" s="63"/>
      <c r="U2053" s="63"/>
      <c r="V2053" s="63"/>
      <c r="W2053" s="63">
        <v>73</v>
      </c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W2053" s="5">
        <f>IF(Q2053&gt;0,RANK(Q2053,(N2053:P2053,Q2053:AE2053)),0)</f>
        <v>3</v>
      </c>
      <c r="AX2053" s="5">
        <f>IF(R2053&gt;0,RANK(R2053,(N2053:P2053,Q2053:AE2053)),0)</f>
        <v>5</v>
      </c>
      <c r="AY2053" s="5">
        <f>IF(T2053&gt;0,RANK(T2053,(N2053:P2053,Q2053:AE2053)),0)</f>
        <v>0</v>
      </c>
      <c r="AZ2053" s="5">
        <f>IF(S2053&gt;0,RANK(S2053,(N2053:P2053,Q2053:AE2053)),0)</f>
        <v>0</v>
      </c>
      <c r="BA2053" s="2">
        <f t="shared" si="857"/>
        <v>1.823664560597358E-2</v>
      </c>
      <c r="BB2053" s="2">
        <f t="shared" si="858"/>
        <v>1.8667432510051695E-3</v>
      </c>
      <c r="BC2053" s="2">
        <f t="shared" si="859"/>
        <v>0</v>
      </c>
      <c r="BD2053" s="2">
        <f t="shared" si="860"/>
        <v>0</v>
      </c>
      <c r="BF2053" t="s">
        <v>1548</v>
      </c>
      <c r="BG2053" t="s">
        <v>2652</v>
      </c>
      <c r="BH2053">
        <v>9</v>
      </c>
      <c r="BJ2053" s="114">
        <v>37</v>
      </c>
      <c r="BK2053" s="116">
        <v>165</v>
      </c>
      <c r="BL2053" s="120">
        <f t="shared" si="851"/>
        <v>37165</v>
      </c>
      <c r="BN2053" s="5" t="s">
        <v>3154</v>
      </c>
    </row>
    <row r="2054" spans="1:66" ht="13" hidden="1" customHeight="1" outlineLevel="1">
      <c r="A2054" t="s">
        <v>3128</v>
      </c>
      <c r="B2054" t="s">
        <v>2652</v>
      </c>
      <c r="C2054" s="1">
        <f t="shared" si="852"/>
        <v>29917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32">
        <f t="shared" si="840"/>
        <v>14870</v>
      </c>
      <c r="H2054" s="137">
        <f t="shared" si="841"/>
        <v>0.49704181569007588</v>
      </c>
      <c r="I2054" s="2"/>
      <c r="J2054" s="2">
        <f t="shared" si="853"/>
        <v>0.23712270615369188</v>
      </c>
      <c r="K2054" s="2">
        <f t="shared" si="854"/>
        <v>0.73416452184376779</v>
      </c>
      <c r="L2054" s="2">
        <f t="shared" si="855"/>
        <v>0</v>
      </c>
      <c r="M2054" s="2">
        <f t="shared" si="856"/>
        <v>2.8712772002540299E-2</v>
      </c>
      <c r="N2054" s="63">
        <v>7094</v>
      </c>
      <c r="O2054" s="63">
        <v>21964</v>
      </c>
      <c r="P2054" s="63"/>
      <c r="Q2054" s="63">
        <v>664</v>
      </c>
      <c r="R2054" s="63">
        <v>26</v>
      </c>
      <c r="S2054" s="63"/>
      <c r="T2054" s="63"/>
      <c r="U2054" s="63"/>
      <c r="V2054" s="63"/>
      <c r="W2054" s="63">
        <v>169</v>
      </c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W2054" s="5">
        <f>IF(Q2054&gt;0,RANK(Q2054,(N2054:P2054,Q2054:AE2054)),0)</f>
        <v>3</v>
      </c>
      <c r="AX2054" s="5">
        <f>IF(R2054&gt;0,RANK(R2054,(N2054:P2054,Q2054:AE2054)),0)</f>
        <v>5</v>
      </c>
      <c r="AY2054" s="5">
        <f>IF(T2054&gt;0,RANK(T2054,(N2054:P2054,Q2054:AE2054)),0)</f>
        <v>0</v>
      </c>
      <c r="AZ2054" s="5">
        <f>IF(S2054&gt;0,RANK(S2054,(N2054:P2054,Q2054:AE2054)),0)</f>
        <v>0</v>
      </c>
      <c r="BA2054" s="2">
        <f t="shared" si="857"/>
        <v>2.2194738777283819E-2</v>
      </c>
      <c r="BB2054" s="2">
        <f t="shared" si="858"/>
        <v>8.6907109670087237E-4</v>
      </c>
      <c r="BC2054" s="2">
        <f t="shared" si="859"/>
        <v>0</v>
      </c>
      <c r="BD2054" s="2">
        <f t="shared" si="860"/>
        <v>0</v>
      </c>
      <c r="BF2054" t="s">
        <v>3128</v>
      </c>
      <c r="BG2054" t="s">
        <v>2652</v>
      </c>
      <c r="BH2054">
        <v>8</v>
      </c>
      <c r="BJ2054" s="114">
        <v>37</v>
      </c>
      <c r="BK2054" s="116">
        <v>167</v>
      </c>
      <c r="BL2054" s="120">
        <f t="shared" si="851"/>
        <v>37167</v>
      </c>
      <c r="BN2054" s="5" t="s">
        <v>3154</v>
      </c>
    </row>
    <row r="2055" spans="1:66" ht="13" hidden="1" customHeight="1" outlineLevel="1">
      <c r="A2055" t="s">
        <v>3129</v>
      </c>
      <c r="B2055" t="s">
        <v>2652</v>
      </c>
      <c r="C2055" s="1">
        <f t="shared" si="852"/>
        <v>22550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32">
        <f t="shared" si="840"/>
        <v>12451</v>
      </c>
      <c r="H2055" s="137">
        <f t="shared" si="841"/>
        <v>0.55215077605321505</v>
      </c>
      <c r="I2055" s="2"/>
      <c r="J2055" s="2">
        <f t="shared" si="853"/>
        <v>0.20687361419068737</v>
      </c>
      <c r="K2055" s="2">
        <f t="shared" si="854"/>
        <v>0.75902439024390245</v>
      </c>
      <c r="L2055" s="2">
        <f t="shared" si="855"/>
        <v>0</v>
      </c>
      <c r="M2055" s="2">
        <f t="shared" si="856"/>
        <v>3.4101995565410159E-2</v>
      </c>
      <c r="N2055" s="63">
        <v>4665</v>
      </c>
      <c r="O2055" s="63">
        <v>17116</v>
      </c>
      <c r="P2055" s="63"/>
      <c r="Q2055" s="63">
        <v>571</v>
      </c>
      <c r="R2055" s="63">
        <v>25</v>
      </c>
      <c r="S2055" s="63"/>
      <c r="T2055" s="63"/>
      <c r="U2055" s="63"/>
      <c r="V2055" s="63"/>
      <c r="W2055" s="63">
        <v>173</v>
      </c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W2055" s="5">
        <f>IF(Q2055&gt;0,RANK(Q2055,(N2055:P2055,Q2055:AE2055)),0)</f>
        <v>3</v>
      </c>
      <c r="AX2055" s="5">
        <f>IF(R2055&gt;0,RANK(R2055,(N2055:P2055,Q2055:AE2055)),0)</f>
        <v>5</v>
      </c>
      <c r="AY2055" s="5">
        <f>IF(T2055&gt;0,RANK(T2055,(N2055:P2055,Q2055:AE2055)),0)</f>
        <v>0</v>
      </c>
      <c r="AZ2055" s="5">
        <f>IF(S2055&gt;0,RANK(S2055,(N2055:P2055,Q2055:AE2055)),0)</f>
        <v>0</v>
      </c>
      <c r="BA2055" s="2">
        <f t="shared" si="857"/>
        <v>2.5321507760532151E-2</v>
      </c>
      <c r="BB2055" s="2">
        <f t="shared" si="858"/>
        <v>1.1086474501108647E-3</v>
      </c>
      <c r="BC2055" s="2">
        <f t="shared" si="859"/>
        <v>0</v>
      </c>
      <c r="BD2055" s="2">
        <f t="shared" si="860"/>
        <v>0</v>
      </c>
      <c r="BF2055" t="s">
        <v>3129</v>
      </c>
      <c r="BG2055" t="s">
        <v>2652</v>
      </c>
      <c r="BH2055">
        <v>5</v>
      </c>
      <c r="BJ2055" s="114">
        <v>37</v>
      </c>
      <c r="BK2055" s="116">
        <v>169</v>
      </c>
      <c r="BL2055" s="120">
        <f t="shared" si="851"/>
        <v>37169</v>
      </c>
      <c r="BN2055" s="5" t="s">
        <v>3154</v>
      </c>
    </row>
    <row r="2056" spans="1:66" ht="13" hidden="1" customHeight="1" outlineLevel="1">
      <c r="A2056" t="s">
        <v>1469</v>
      </c>
      <c r="B2056" t="s">
        <v>2652</v>
      </c>
      <c r="C2056" s="1">
        <f t="shared" si="852"/>
        <v>32196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32">
        <f t="shared" ref="G2056:G2119" si="861">IF(C2056&gt;0,MAX(N2056:P2056)-LARGE(N2056:P2056,2),0)</f>
        <v>16183</v>
      </c>
      <c r="H2056" s="137">
        <f t="shared" ref="H2056:H2119" si="862">IF(C2056&gt;0,G2056/C2056,0)</f>
        <v>0.50264007951298295</v>
      </c>
      <c r="I2056" s="2"/>
      <c r="J2056" s="2">
        <f t="shared" si="853"/>
        <v>0.23257547521431235</v>
      </c>
      <c r="K2056" s="2">
        <f t="shared" si="854"/>
        <v>0.73521555472729527</v>
      </c>
      <c r="L2056" s="2">
        <f t="shared" si="855"/>
        <v>0</v>
      </c>
      <c r="M2056" s="2">
        <f t="shared" si="856"/>
        <v>3.2208970058392405E-2</v>
      </c>
      <c r="N2056" s="63">
        <v>7488</v>
      </c>
      <c r="O2056" s="63">
        <v>23671</v>
      </c>
      <c r="P2056" s="63"/>
      <c r="Q2056" s="63">
        <v>739</v>
      </c>
      <c r="R2056" s="63">
        <v>48</v>
      </c>
      <c r="S2056" s="63"/>
      <c r="T2056" s="63"/>
      <c r="U2056" s="63"/>
      <c r="V2056" s="63"/>
      <c r="W2056" s="63">
        <v>250</v>
      </c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W2056" s="5">
        <f>IF(Q2056&gt;0,RANK(Q2056,(N2056:P2056,Q2056:AE2056)),0)</f>
        <v>3</v>
      </c>
      <c r="AX2056" s="5">
        <f>IF(R2056&gt;0,RANK(R2056,(N2056:P2056,Q2056:AE2056)),0)</f>
        <v>5</v>
      </c>
      <c r="AY2056" s="5">
        <f>IF(T2056&gt;0,RANK(T2056,(N2056:P2056,Q2056:AE2056)),0)</f>
        <v>0</v>
      </c>
      <c r="AZ2056" s="5">
        <f>IF(S2056&gt;0,RANK(S2056,(N2056:P2056,Q2056:AE2056)),0)</f>
        <v>0</v>
      </c>
      <c r="BA2056" s="2">
        <f t="shared" si="857"/>
        <v>2.2953161883463784E-2</v>
      </c>
      <c r="BB2056" s="2">
        <f t="shared" si="858"/>
        <v>1.4908684308609765E-3</v>
      </c>
      <c r="BC2056" s="2">
        <f t="shared" si="859"/>
        <v>0</v>
      </c>
      <c r="BD2056" s="2">
        <f t="shared" si="860"/>
        <v>0</v>
      </c>
      <c r="BF2056" t="s">
        <v>1469</v>
      </c>
      <c r="BG2056" t="s">
        <v>2652</v>
      </c>
      <c r="BH2056">
        <v>5</v>
      </c>
      <c r="BJ2056" s="114">
        <v>37</v>
      </c>
      <c r="BK2056" s="116">
        <v>171</v>
      </c>
      <c r="BL2056" s="120">
        <f t="shared" si="851"/>
        <v>37171</v>
      </c>
      <c r="BN2056" s="5" t="s">
        <v>3154</v>
      </c>
    </row>
    <row r="2057" spans="1:66" ht="13" hidden="1" customHeight="1" outlineLevel="1">
      <c r="A2057" t="s">
        <v>3158</v>
      </c>
      <c r="B2057" t="s">
        <v>2652</v>
      </c>
      <c r="C2057" s="1">
        <f t="shared" si="852"/>
        <v>6124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32">
        <f t="shared" si="861"/>
        <v>1369</v>
      </c>
      <c r="H2057" s="137">
        <f t="shared" si="862"/>
        <v>0.22354670150228609</v>
      </c>
      <c r="I2057" s="2"/>
      <c r="J2057" s="2">
        <f t="shared" si="853"/>
        <v>0.35858915741345526</v>
      </c>
      <c r="K2057" s="2">
        <f t="shared" si="854"/>
        <v>0.58213585891574138</v>
      </c>
      <c r="L2057" s="2">
        <f t="shared" si="855"/>
        <v>0</v>
      </c>
      <c r="M2057" s="2">
        <f t="shared" si="856"/>
        <v>5.9274983670803416E-2</v>
      </c>
      <c r="N2057" s="63">
        <v>2196</v>
      </c>
      <c r="O2057" s="63">
        <v>3565</v>
      </c>
      <c r="P2057" s="63"/>
      <c r="Q2057" s="63">
        <v>240</v>
      </c>
      <c r="R2057" s="63">
        <v>29</v>
      </c>
      <c r="S2057" s="63"/>
      <c r="T2057" s="63"/>
      <c r="U2057" s="63"/>
      <c r="V2057" s="63"/>
      <c r="W2057" s="63">
        <v>94</v>
      </c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W2057" s="5">
        <f>IF(Q2057&gt;0,RANK(Q2057,(N2057:P2057,Q2057:AE2057)),0)</f>
        <v>3</v>
      </c>
      <c r="AX2057" s="5">
        <f>IF(R2057&gt;0,RANK(R2057,(N2057:P2057,Q2057:AE2057)),0)</f>
        <v>5</v>
      </c>
      <c r="AY2057" s="5">
        <f>IF(T2057&gt;0,RANK(T2057,(N2057:P2057,Q2057:AE2057)),0)</f>
        <v>0</v>
      </c>
      <c r="AZ2057" s="5">
        <f>IF(S2057&gt;0,RANK(S2057,(N2057:P2057,Q2057:AE2057)),0)</f>
        <v>0</v>
      </c>
      <c r="BA2057" s="2">
        <f t="shared" si="857"/>
        <v>3.9190071848465055E-2</v>
      </c>
      <c r="BB2057" s="2">
        <f t="shared" si="858"/>
        <v>4.7354670150228607E-3</v>
      </c>
      <c r="BC2057" s="2">
        <f t="shared" si="859"/>
        <v>0</v>
      </c>
      <c r="BD2057" s="2">
        <f t="shared" si="860"/>
        <v>0</v>
      </c>
      <c r="BF2057" t="s">
        <v>3158</v>
      </c>
      <c r="BG2057" t="s">
        <v>2652</v>
      </c>
      <c r="BH2057">
        <v>11</v>
      </c>
      <c r="BJ2057" s="114">
        <v>37</v>
      </c>
      <c r="BK2057" s="116">
        <v>173</v>
      </c>
      <c r="BL2057" s="120">
        <f t="shared" si="851"/>
        <v>37173</v>
      </c>
      <c r="BN2057" s="5" t="s">
        <v>3154</v>
      </c>
    </row>
    <row r="2058" spans="1:66" ht="13" hidden="1" customHeight="1" outlineLevel="1">
      <c r="A2058" t="s">
        <v>1372</v>
      </c>
      <c r="B2058" t="s">
        <v>2652</v>
      </c>
      <c r="C2058" s="1">
        <f t="shared" si="852"/>
        <v>17869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32">
        <f t="shared" si="861"/>
        <v>3962</v>
      </c>
      <c r="H2058" s="137">
        <f t="shared" si="862"/>
        <v>0.22172477474956628</v>
      </c>
      <c r="I2058" s="2"/>
      <c r="J2058" s="2">
        <f t="shared" si="853"/>
        <v>0.36700430913873189</v>
      </c>
      <c r="K2058" s="2">
        <f t="shared" si="854"/>
        <v>0.58872908388829814</v>
      </c>
      <c r="L2058" s="2">
        <f t="shared" si="855"/>
        <v>0</v>
      </c>
      <c r="M2058" s="2">
        <f t="shared" si="856"/>
        <v>4.4266606972970024E-2</v>
      </c>
      <c r="N2058" s="63">
        <v>6558</v>
      </c>
      <c r="O2058" s="63">
        <v>10520</v>
      </c>
      <c r="P2058" s="63"/>
      <c r="Q2058" s="63">
        <v>489</v>
      </c>
      <c r="R2058" s="63">
        <v>82</v>
      </c>
      <c r="S2058" s="63"/>
      <c r="T2058" s="63"/>
      <c r="U2058" s="63"/>
      <c r="V2058" s="63"/>
      <c r="W2058" s="63">
        <v>220</v>
      </c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W2058" s="5">
        <f>IF(Q2058&gt;0,RANK(Q2058,(N2058:P2058,Q2058:AE2058)),0)</f>
        <v>3</v>
      </c>
      <c r="AX2058" s="5">
        <f>IF(R2058&gt;0,RANK(R2058,(N2058:P2058,Q2058:AE2058)),0)</f>
        <v>5</v>
      </c>
      <c r="AY2058" s="5">
        <f>IF(T2058&gt;0,RANK(T2058,(N2058:P2058,Q2058:AE2058)),0)</f>
        <v>0</v>
      </c>
      <c r="AZ2058" s="5">
        <f>IF(S2058&gt;0,RANK(S2058,(N2058:P2058,Q2058:AE2058)),0)</f>
        <v>0</v>
      </c>
      <c r="BA2058" s="2">
        <f t="shared" si="857"/>
        <v>2.7365829089484581E-2</v>
      </c>
      <c r="BB2058" s="2">
        <f t="shared" si="858"/>
        <v>4.5889529352509933E-3</v>
      </c>
      <c r="BC2058" s="2">
        <f t="shared" si="859"/>
        <v>0</v>
      </c>
      <c r="BD2058" s="2">
        <f t="shared" si="860"/>
        <v>0</v>
      </c>
      <c r="BF2058" t="s">
        <v>1372</v>
      </c>
      <c r="BG2058" t="s">
        <v>2652</v>
      </c>
      <c r="BH2058">
        <v>11</v>
      </c>
      <c r="BJ2058" s="114">
        <v>37</v>
      </c>
      <c r="BK2058" s="116">
        <v>175</v>
      </c>
      <c r="BL2058" s="120">
        <f t="shared" si="851"/>
        <v>37175</v>
      </c>
      <c r="BN2058" s="5" t="s">
        <v>3154</v>
      </c>
    </row>
    <row r="2059" spans="1:66" ht="13" hidden="1" customHeight="1" outlineLevel="1">
      <c r="A2059" t="s">
        <v>1198</v>
      </c>
      <c r="B2059" t="s">
        <v>2652</v>
      </c>
      <c r="C2059" s="1">
        <f t="shared" si="852"/>
        <v>1739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32">
        <f t="shared" si="861"/>
        <v>255</v>
      </c>
      <c r="H2059" s="137">
        <f t="shared" si="862"/>
        <v>0.14663599769982749</v>
      </c>
      <c r="I2059" s="2"/>
      <c r="J2059" s="2">
        <f t="shared" si="853"/>
        <v>0.41403105232892468</v>
      </c>
      <c r="K2059" s="2">
        <f t="shared" si="854"/>
        <v>0.56066705002875217</v>
      </c>
      <c r="L2059" s="2">
        <f t="shared" si="855"/>
        <v>0</v>
      </c>
      <c r="M2059" s="2">
        <f t="shared" si="856"/>
        <v>2.5301897642323157E-2</v>
      </c>
      <c r="N2059" s="63">
        <v>720</v>
      </c>
      <c r="O2059" s="63">
        <v>975</v>
      </c>
      <c r="P2059" s="63"/>
      <c r="Q2059" s="63">
        <v>28</v>
      </c>
      <c r="R2059" s="63">
        <v>5</v>
      </c>
      <c r="S2059" s="63"/>
      <c r="T2059" s="63"/>
      <c r="U2059" s="63"/>
      <c r="V2059" s="63"/>
      <c r="W2059" s="63">
        <v>11</v>
      </c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W2059" s="5">
        <f>IF(Q2059&gt;0,RANK(Q2059,(N2059:P2059,Q2059:AE2059)),0)</f>
        <v>3</v>
      </c>
      <c r="AX2059" s="5">
        <f>IF(R2059&gt;0,RANK(R2059,(N2059:P2059,Q2059:AE2059)),0)</f>
        <v>5</v>
      </c>
      <c r="AY2059" s="5">
        <f>IF(T2059&gt;0,RANK(T2059,(N2059:P2059,Q2059:AE2059)),0)</f>
        <v>0</v>
      </c>
      <c r="AZ2059" s="5">
        <f>IF(S2059&gt;0,RANK(S2059,(N2059:P2059,Q2059:AE2059)),0)</f>
        <v>0</v>
      </c>
      <c r="BA2059" s="2">
        <f t="shared" si="857"/>
        <v>1.6101207590569294E-2</v>
      </c>
      <c r="BB2059" s="2">
        <f t="shared" si="858"/>
        <v>2.8752156411730881E-3</v>
      </c>
      <c r="BC2059" s="2">
        <f t="shared" si="859"/>
        <v>0</v>
      </c>
      <c r="BD2059" s="2">
        <f t="shared" si="860"/>
        <v>0</v>
      </c>
      <c r="BF2059" t="s">
        <v>1198</v>
      </c>
      <c r="BG2059" t="s">
        <v>2652</v>
      </c>
      <c r="BH2059">
        <v>3</v>
      </c>
      <c r="BJ2059" s="114">
        <v>37</v>
      </c>
      <c r="BK2059" s="116">
        <v>177</v>
      </c>
      <c r="BL2059" s="120">
        <f t="shared" si="851"/>
        <v>37177</v>
      </c>
      <c r="BN2059" s="5" t="s">
        <v>3154</v>
      </c>
    </row>
    <row r="2060" spans="1:66" ht="13" hidden="1" customHeight="1" outlineLevel="1">
      <c r="A2060" t="s">
        <v>1513</v>
      </c>
      <c r="B2060" t="s">
        <v>2652</v>
      </c>
      <c r="C2060" s="1">
        <f t="shared" si="852"/>
        <v>105710</v>
      </c>
      <c r="D2060" s="5">
        <f>IF(N2060&gt;0, RANK(N2060,(N2060:P2060,Q2060:AE2060)),0)</f>
        <v>2</v>
      </c>
      <c r="E2060" s="5">
        <f>IF(O2060&gt;0,RANK(O2060,(N2060:P2060,Q2060:AE2060)),0)</f>
        <v>1</v>
      </c>
      <c r="F2060" s="5">
        <f>IF(P2060&gt;0,RANK(P2060,(N2060:P2060,Q2060:AE2060)),0)</f>
        <v>0</v>
      </c>
      <c r="G2060" s="132">
        <f t="shared" si="861"/>
        <v>32370</v>
      </c>
      <c r="H2060" s="137">
        <f t="shared" si="862"/>
        <v>0.30621511682906066</v>
      </c>
      <c r="I2060" s="2"/>
      <c r="J2060" s="2">
        <f t="shared" si="853"/>
        <v>0.32482262794437611</v>
      </c>
      <c r="K2060" s="2">
        <f t="shared" si="854"/>
        <v>0.63103774477343677</v>
      </c>
      <c r="L2060" s="2">
        <f t="shared" si="855"/>
        <v>0</v>
      </c>
      <c r="M2060" s="2">
        <f t="shared" si="856"/>
        <v>4.4139627282187122E-2</v>
      </c>
      <c r="N2060" s="63">
        <v>34337</v>
      </c>
      <c r="O2060" s="63">
        <v>66707</v>
      </c>
      <c r="P2060" s="63"/>
      <c r="Q2060" s="63">
        <v>3327</v>
      </c>
      <c r="R2060" s="63">
        <v>163</v>
      </c>
      <c r="S2060" s="63"/>
      <c r="T2060" s="63"/>
      <c r="U2060" s="63"/>
      <c r="V2060" s="63"/>
      <c r="W2060" s="63">
        <v>1176</v>
      </c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W2060" s="5">
        <f>IF(Q2060&gt;0,RANK(Q2060,(N2060:P2060,Q2060:AE2060)),0)</f>
        <v>3</v>
      </c>
      <c r="AX2060" s="5">
        <f>IF(R2060&gt;0,RANK(R2060,(N2060:P2060,Q2060:AE2060)),0)</f>
        <v>5</v>
      </c>
      <c r="AY2060" s="5">
        <f>IF(T2060&gt;0,RANK(T2060,(N2060:P2060,Q2060:AE2060)),0)</f>
        <v>0</v>
      </c>
      <c r="AZ2060" s="5">
        <f>IF(S2060&gt;0,RANK(S2060,(N2060:P2060,Q2060:AE2060)),0)</f>
        <v>0</v>
      </c>
      <c r="BA2060" s="2">
        <f t="shared" si="857"/>
        <v>3.1472897549900673E-2</v>
      </c>
      <c r="BB2060" s="2">
        <f t="shared" si="858"/>
        <v>1.5419544035569009E-3</v>
      </c>
      <c r="BC2060" s="2">
        <f t="shared" si="859"/>
        <v>0</v>
      </c>
      <c r="BD2060" s="2">
        <f t="shared" si="860"/>
        <v>0</v>
      </c>
      <c r="BF2060" t="s">
        <v>1513</v>
      </c>
      <c r="BG2060" t="s">
        <v>2652</v>
      </c>
      <c r="BH2060">
        <v>9</v>
      </c>
      <c r="BJ2060" s="114">
        <v>37</v>
      </c>
      <c r="BK2060" s="116">
        <v>179</v>
      </c>
      <c r="BL2060" s="120">
        <f t="shared" si="851"/>
        <v>37179</v>
      </c>
      <c r="BN2060" s="5" t="s">
        <v>3154</v>
      </c>
    </row>
    <row r="2061" spans="1:66" ht="13" hidden="1" customHeight="1" outlineLevel="1">
      <c r="A2061" t="s">
        <v>2222</v>
      </c>
      <c r="B2061" t="s">
        <v>2652</v>
      </c>
      <c r="C2061" s="1">
        <f t="shared" si="852"/>
        <v>19977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32">
        <f t="shared" si="861"/>
        <v>4897</v>
      </c>
      <c r="H2061" s="137">
        <f t="shared" si="862"/>
        <v>0.24513190168693999</v>
      </c>
      <c r="I2061" s="2"/>
      <c r="J2061" s="2">
        <f t="shared" si="853"/>
        <v>0.61215397707363473</v>
      </c>
      <c r="K2061" s="2">
        <f t="shared" si="854"/>
        <v>0.36702207538669468</v>
      </c>
      <c r="L2061" s="2">
        <f t="shared" si="855"/>
        <v>0</v>
      </c>
      <c r="M2061" s="2">
        <f t="shared" si="856"/>
        <v>2.0823947539670595E-2</v>
      </c>
      <c r="N2061" s="63">
        <v>12229</v>
      </c>
      <c r="O2061" s="63">
        <v>7332</v>
      </c>
      <c r="P2061" s="63"/>
      <c r="Q2061" s="63">
        <v>294</v>
      </c>
      <c r="R2061" s="63">
        <v>25</v>
      </c>
      <c r="S2061" s="63"/>
      <c r="T2061" s="63"/>
      <c r="U2061" s="63"/>
      <c r="V2061" s="63"/>
      <c r="W2061" s="63">
        <v>97</v>
      </c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W2061" s="5">
        <f>IF(Q2061&gt;0,RANK(Q2061,(N2061:P2061,Q2061:AE2061)),0)</f>
        <v>3</v>
      </c>
      <c r="AX2061" s="5">
        <f>IF(R2061&gt;0,RANK(R2061,(N2061:P2061,Q2061:AE2061)),0)</f>
        <v>5</v>
      </c>
      <c r="AY2061" s="5">
        <f>IF(T2061&gt;0,RANK(T2061,(N2061:P2061,Q2061:AE2061)),0)</f>
        <v>0</v>
      </c>
      <c r="AZ2061" s="5">
        <f>IF(S2061&gt;0,RANK(S2061,(N2061:P2061,Q2061:AE2061)),0)</f>
        <v>0</v>
      </c>
      <c r="BA2061" s="2">
        <f t="shared" si="857"/>
        <v>1.4716924463132603E-2</v>
      </c>
      <c r="BB2061" s="2">
        <f t="shared" si="858"/>
        <v>1.2514391550282826E-3</v>
      </c>
      <c r="BC2061" s="2">
        <f t="shared" si="859"/>
        <v>0</v>
      </c>
      <c r="BD2061" s="2">
        <f t="shared" si="860"/>
        <v>0</v>
      </c>
      <c r="BF2061" t="s">
        <v>2222</v>
      </c>
      <c r="BG2061" t="s">
        <v>2652</v>
      </c>
      <c r="BH2061">
        <v>1</v>
      </c>
      <c r="BJ2061" s="114">
        <v>37</v>
      </c>
      <c r="BK2061" s="116">
        <v>181</v>
      </c>
      <c r="BL2061" s="120">
        <f t="shared" si="851"/>
        <v>37181</v>
      </c>
      <c r="BN2061" s="5" t="s">
        <v>3154</v>
      </c>
    </row>
    <row r="2062" spans="1:66" ht="13" hidden="1" customHeight="1" outlineLevel="1">
      <c r="A2062" t="s">
        <v>1293</v>
      </c>
      <c r="B2062" t="s">
        <v>2652</v>
      </c>
      <c r="C2062" s="1">
        <f t="shared" si="852"/>
        <v>527624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32">
        <f t="shared" si="861"/>
        <v>106654</v>
      </c>
      <c r="H2062" s="137">
        <f t="shared" si="862"/>
        <v>0.20214016041726685</v>
      </c>
      <c r="I2062" s="2"/>
      <c r="J2062" s="2">
        <f t="shared" si="853"/>
        <v>0.57377223174078507</v>
      </c>
      <c r="K2062" s="2">
        <f t="shared" si="854"/>
        <v>0.37163207132351828</v>
      </c>
      <c r="L2062" s="2">
        <f t="shared" si="855"/>
        <v>0</v>
      </c>
      <c r="M2062" s="2">
        <f t="shared" si="856"/>
        <v>5.4595696935696658E-2</v>
      </c>
      <c r="N2062" s="63">
        <v>302736</v>
      </c>
      <c r="O2062" s="63">
        <v>196082</v>
      </c>
      <c r="P2062" s="63"/>
      <c r="Q2062" s="63">
        <v>19460</v>
      </c>
      <c r="R2062" s="63">
        <v>1740</v>
      </c>
      <c r="S2062" s="63"/>
      <c r="T2062" s="63"/>
      <c r="U2062" s="63"/>
      <c r="V2062" s="63"/>
      <c r="W2062" s="63">
        <v>7606</v>
      </c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W2062" s="5">
        <f>IF(Q2062&gt;0,RANK(Q2062,(N2062:P2062,Q2062:AE2062)),0)</f>
        <v>3</v>
      </c>
      <c r="AX2062" s="5">
        <f>IF(R2062&gt;0,RANK(R2062,(N2062:P2062,Q2062:AE2062)),0)</f>
        <v>5</v>
      </c>
      <c r="AY2062" s="5">
        <f>IF(T2062&gt;0,RANK(T2062,(N2062:P2062,Q2062:AE2062)),0)</f>
        <v>0</v>
      </c>
      <c r="AZ2062" s="5">
        <f>IF(S2062&gt;0,RANK(S2062,(N2062:P2062,Q2062:AE2062)),0)</f>
        <v>0</v>
      </c>
      <c r="BA2062" s="2">
        <f t="shared" si="857"/>
        <v>3.6882325292253576E-2</v>
      </c>
      <c r="BB2062" s="2">
        <f t="shared" si="858"/>
        <v>3.2978029809106486E-3</v>
      </c>
      <c r="BC2062" s="2">
        <f t="shared" si="859"/>
        <v>0</v>
      </c>
      <c r="BD2062" s="2">
        <f t="shared" si="860"/>
        <v>0</v>
      </c>
      <c r="BF2062" t="s">
        <v>1293</v>
      </c>
      <c r="BG2062" t="s">
        <v>2652</v>
      </c>
      <c r="BJ2062" s="114">
        <v>37</v>
      </c>
      <c r="BK2062" s="116">
        <v>183</v>
      </c>
      <c r="BL2062" s="120">
        <f t="shared" si="851"/>
        <v>37183</v>
      </c>
      <c r="BN2062" s="5" t="s">
        <v>3154</v>
      </c>
    </row>
    <row r="2063" spans="1:66" ht="13" hidden="1" customHeight="1" outlineLevel="1">
      <c r="A2063" t="s">
        <v>422</v>
      </c>
      <c r="B2063" t="s">
        <v>2652</v>
      </c>
      <c r="C2063" s="1">
        <f t="shared" si="852"/>
        <v>9842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32">
        <f t="shared" si="861"/>
        <v>3199</v>
      </c>
      <c r="H2063" s="137">
        <f t="shared" si="862"/>
        <v>0.32503556187766713</v>
      </c>
      <c r="I2063" s="2"/>
      <c r="J2063" s="2">
        <f t="shared" si="853"/>
        <v>0.65159520422678319</v>
      </c>
      <c r="K2063" s="2">
        <f t="shared" si="854"/>
        <v>0.32655964234911605</v>
      </c>
      <c r="L2063" s="2">
        <f t="shared" si="855"/>
        <v>0</v>
      </c>
      <c r="M2063" s="2">
        <f t="shared" si="856"/>
        <v>2.1845153424100761E-2</v>
      </c>
      <c r="N2063" s="63">
        <v>6413</v>
      </c>
      <c r="O2063" s="63">
        <v>3214</v>
      </c>
      <c r="P2063" s="63"/>
      <c r="Q2063" s="63">
        <v>146</v>
      </c>
      <c r="R2063" s="63">
        <v>0</v>
      </c>
      <c r="S2063" s="63"/>
      <c r="T2063" s="63"/>
      <c r="U2063" s="63"/>
      <c r="V2063" s="63"/>
      <c r="W2063" s="63">
        <v>69</v>
      </c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W2063" s="5">
        <f>IF(Q2063&gt;0,RANK(Q2063,(N2063:P2063,Q2063:AE2063)),0)</f>
        <v>3</v>
      </c>
      <c r="AX2063" s="5">
        <f>IF(R2063&gt;0,RANK(R2063,(N2063:P2063,Q2063:AE2063)),0)</f>
        <v>0</v>
      </c>
      <c r="AY2063" s="5">
        <f>IF(T2063&gt;0,RANK(T2063,(N2063:P2063,Q2063:AE2063)),0)</f>
        <v>0</v>
      </c>
      <c r="AZ2063" s="5">
        <f>IF(S2063&gt;0,RANK(S2063,(N2063:P2063,Q2063:AE2063)),0)</f>
        <v>0</v>
      </c>
      <c r="BA2063" s="2">
        <f t="shared" si="857"/>
        <v>1.4834383255435887E-2</v>
      </c>
      <c r="BB2063" s="2">
        <f t="shared" si="858"/>
        <v>0</v>
      </c>
      <c r="BC2063" s="2">
        <f t="shared" si="859"/>
        <v>0</v>
      </c>
      <c r="BD2063" s="2">
        <f t="shared" si="860"/>
        <v>0</v>
      </c>
      <c r="BF2063" t="s">
        <v>422</v>
      </c>
      <c r="BG2063" t="s">
        <v>2652</v>
      </c>
      <c r="BH2063">
        <v>1</v>
      </c>
      <c r="BJ2063" s="114">
        <v>37</v>
      </c>
      <c r="BK2063" s="116">
        <v>185</v>
      </c>
      <c r="BL2063" s="120">
        <f t="shared" si="851"/>
        <v>37185</v>
      </c>
      <c r="BN2063" s="5" t="s">
        <v>3154</v>
      </c>
    </row>
    <row r="2064" spans="1:66" ht="13" hidden="1" customHeight="1" outlineLevel="1">
      <c r="A2064" t="s">
        <v>692</v>
      </c>
      <c r="B2064" t="s">
        <v>2652</v>
      </c>
      <c r="C2064" s="1">
        <f t="shared" si="852"/>
        <v>6165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32">
        <f t="shared" si="861"/>
        <v>946</v>
      </c>
      <c r="H2064" s="137">
        <f t="shared" si="862"/>
        <v>0.15344687753446878</v>
      </c>
      <c r="I2064" s="2"/>
      <c r="J2064" s="2">
        <f t="shared" si="853"/>
        <v>0.56934306569343063</v>
      </c>
      <c r="K2064" s="2">
        <f t="shared" si="854"/>
        <v>0.4158961881589619</v>
      </c>
      <c r="L2064" s="2">
        <f t="shared" si="855"/>
        <v>0</v>
      </c>
      <c r="M2064" s="2">
        <f t="shared" si="856"/>
        <v>1.4760746147607473E-2</v>
      </c>
      <c r="N2064" s="63">
        <v>3510</v>
      </c>
      <c r="O2064" s="63">
        <v>2564</v>
      </c>
      <c r="P2064" s="63"/>
      <c r="Q2064" s="63">
        <v>65</v>
      </c>
      <c r="R2064" s="63">
        <v>1</v>
      </c>
      <c r="S2064" s="63"/>
      <c r="T2064" s="63"/>
      <c r="U2064" s="63"/>
      <c r="V2064" s="63"/>
      <c r="W2064" s="63">
        <v>25</v>
      </c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W2064" s="5">
        <f>IF(Q2064&gt;0,RANK(Q2064,(N2064:P2064,Q2064:AE2064)),0)</f>
        <v>3</v>
      </c>
      <c r="AX2064" s="5">
        <f>IF(R2064&gt;0,RANK(R2064,(N2064:P2064,Q2064:AE2064)),0)</f>
        <v>5</v>
      </c>
      <c r="AY2064" s="5">
        <f>IF(T2064&gt;0,RANK(T2064,(N2064:P2064,Q2064:AE2064)),0)</f>
        <v>0</v>
      </c>
      <c r="AZ2064" s="5">
        <f>IF(S2064&gt;0,RANK(S2064,(N2064:P2064,Q2064:AE2064)),0)</f>
        <v>0</v>
      </c>
      <c r="BA2064" s="2">
        <f t="shared" si="857"/>
        <v>1.0543390105433901E-2</v>
      </c>
      <c r="BB2064" s="2">
        <f t="shared" si="858"/>
        <v>1.6220600162206002E-4</v>
      </c>
      <c r="BC2064" s="2">
        <f t="shared" si="859"/>
        <v>0</v>
      </c>
      <c r="BD2064" s="2">
        <f t="shared" si="860"/>
        <v>0</v>
      </c>
      <c r="BF2064" t="s">
        <v>692</v>
      </c>
      <c r="BG2064" t="s">
        <v>2652</v>
      </c>
      <c r="BH2064">
        <v>1</v>
      </c>
      <c r="BJ2064" s="114">
        <v>37</v>
      </c>
      <c r="BK2064" s="116">
        <v>187</v>
      </c>
      <c r="BL2064" s="120">
        <f t="shared" si="851"/>
        <v>37187</v>
      </c>
      <c r="BN2064" s="5" t="s">
        <v>3154</v>
      </c>
    </row>
    <row r="2065" spans="1:66" ht="13" hidden="1" customHeight="1" outlineLevel="1">
      <c r="A2065" t="s">
        <v>1816</v>
      </c>
      <c r="B2065" t="s">
        <v>2652</v>
      </c>
      <c r="C2065" s="1">
        <f t="shared" si="852"/>
        <v>29985</v>
      </c>
      <c r="D2065" s="5">
        <f>IF(N2065&gt;0, RANK(N2065,(N2065:P2065,Q2065:AE2065)),0)</f>
        <v>1</v>
      </c>
      <c r="E2065" s="5">
        <f>IF(O2065&gt;0,RANK(O2065,(N2065:P2065,Q2065:AE2065)),0)</f>
        <v>2</v>
      </c>
      <c r="F2065" s="5">
        <f>IF(P2065&gt;0,RANK(P2065,(N2065:P2065,Q2065:AE2065)),0)</f>
        <v>0</v>
      </c>
      <c r="G2065" s="132">
        <f t="shared" si="861"/>
        <v>441</v>
      </c>
      <c r="H2065" s="137">
        <f t="shared" si="862"/>
        <v>1.470735367683842E-2</v>
      </c>
      <c r="I2065" s="2"/>
      <c r="J2065" s="2">
        <f t="shared" si="853"/>
        <v>0.47150241787560448</v>
      </c>
      <c r="K2065" s="2">
        <f t="shared" si="854"/>
        <v>0.45679506419876603</v>
      </c>
      <c r="L2065" s="2">
        <f t="shared" si="855"/>
        <v>0</v>
      </c>
      <c r="M2065" s="2">
        <f t="shared" si="856"/>
        <v>7.1702517925629539E-2</v>
      </c>
      <c r="N2065" s="63">
        <v>14138</v>
      </c>
      <c r="O2065" s="63">
        <v>13697</v>
      </c>
      <c r="P2065" s="63"/>
      <c r="Q2065" s="63">
        <v>1336</v>
      </c>
      <c r="R2065" s="63">
        <v>275</v>
      </c>
      <c r="S2065" s="63"/>
      <c r="T2065" s="63"/>
      <c r="U2065" s="63"/>
      <c r="V2065" s="63"/>
      <c r="W2065" s="63">
        <v>539</v>
      </c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W2065" s="5">
        <f>IF(Q2065&gt;0,RANK(Q2065,(N2065:P2065,Q2065:AE2065)),0)</f>
        <v>3</v>
      </c>
      <c r="AX2065" s="5">
        <f>IF(R2065&gt;0,RANK(R2065,(N2065:P2065,Q2065:AE2065)),0)</f>
        <v>5</v>
      </c>
      <c r="AY2065" s="5">
        <f>IF(T2065&gt;0,RANK(T2065,(N2065:P2065,Q2065:AE2065)),0)</f>
        <v>0</v>
      </c>
      <c r="AZ2065" s="5">
        <f>IF(S2065&gt;0,RANK(S2065,(N2065:P2065,Q2065:AE2065)),0)</f>
        <v>0</v>
      </c>
      <c r="BA2065" s="2">
        <f t="shared" si="857"/>
        <v>4.4555611138902787E-2</v>
      </c>
      <c r="BB2065" s="2">
        <f t="shared" si="858"/>
        <v>9.1712522928130737E-3</v>
      </c>
      <c r="BC2065" s="2">
        <f t="shared" si="859"/>
        <v>0</v>
      </c>
      <c r="BD2065" s="2">
        <f t="shared" si="860"/>
        <v>0</v>
      </c>
      <c r="BF2065" t="s">
        <v>1816</v>
      </c>
      <c r="BG2065" t="s">
        <v>2652</v>
      </c>
      <c r="BH2065">
        <v>5</v>
      </c>
      <c r="BJ2065" s="114">
        <v>37</v>
      </c>
      <c r="BK2065" s="116">
        <v>189</v>
      </c>
      <c r="BL2065" s="120">
        <f t="shared" si="851"/>
        <v>37189</v>
      </c>
      <c r="BN2065" s="5" t="s">
        <v>3154</v>
      </c>
    </row>
    <row r="2066" spans="1:66" ht="13" hidden="1" customHeight="1" outlineLevel="1">
      <c r="A2066" t="s">
        <v>423</v>
      </c>
      <c r="B2066" t="s">
        <v>2652</v>
      </c>
      <c r="C2066" s="1">
        <f t="shared" si="852"/>
        <v>50689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32">
        <f t="shared" si="861"/>
        <v>5770</v>
      </c>
      <c r="H2066" s="137">
        <f t="shared" si="862"/>
        <v>0.11383140326303537</v>
      </c>
      <c r="I2066" s="2"/>
      <c r="J2066" s="2">
        <f t="shared" si="853"/>
        <v>0.42948174160074176</v>
      </c>
      <c r="K2066" s="2">
        <f t="shared" si="854"/>
        <v>0.54331314486377713</v>
      </c>
      <c r="L2066" s="2">
        <f t="shared" si="855"/>
        <v>0</v>
      </c>
      <c r="M2066" s="2">
        <f t="shared" si="856"/>
        <v>2.7205113535481162E-2</v>
      </c>
      <c r="N2066" s="63">
        <v>21770</v>
      </c>
      <c r="O2066" s="63">
        <v>27540</v>
      </c>
      <c r="P2066" s="63"/>
      <c r="Q2066" s="63">
        <v>963</v>
      </c>
      <c r="R2066" s="63">
        <v>33</v>
      </c>
      <c r="S2066" s="63"/>
      <c r="T2066" s="63"/>
      <c r="U2066" s="63"/>
      <c r="V2066" s="63"/>
      <c r="W2066" s="63">
        <v>383</v>
      </c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W2066" s="5">
        <f>IF(Q2066&gt;0,RANK(Q2066,(N2066:P2066,Q2066:AE2066)),0)</f>
        <v>3</v>
      </c>
      <c r="AX2066" s="5">
        <f>IF(R2066&gt;0,RANK(R2066,(N2066:P2066,Q2066:AE2066)),0)</f>
        <v>5</v>
      </c>
      <c r="AY2066" s="5">
        <f>IF(T2066&gt;0,RANK(T2066,(N2066:P2066,Q2066:AE2066)),0)</f>
        <v>0</v>
      </c>
      <c r="AZ2066" s="5">
        <f>IF(S2066&gt;0,RANK(S2066,(N2066:P2066,Q2066:AE2066)),0)</f>
        <v>0</v>
      </c>
      <c r="BA2066" s="2">
        <f t="shared" si="857"/>
        <v>1.8998204738700706E-2</v>
      </c>
      <c r="BB2066" s="2">
        <f t="shared" si="858"/>
        <v>6.5102882282151947E-4</v>
      </c>
      <c r="BC2066" s="2">
        <f t="shared" si="859"/>
        <v>0</v>
      </c>
      <c r="BD2066" s="2">
        <f t="shared" si="860"/>
        <v>0</v>
      </c>
      <c r="BF2066" t="s">
        <v>423</v>
      </c>
      <c r="BG2066" t="s">
        <v>2652</v>
      </c>
      <c r="BH2066">
        <v>7</v>
      </c>
      <c r="BJ2066" s="114">
        <v>37</v>
      </c>
      <c r="BK2066" s="116">
        <v>191</v>
      </c>
      <c r="BL2066" s="120">
        <f t="shared" si="851"/>
        <v>37191</v>
      </c>
      <c r="BN2066" s="5" t="s">
        <v>3154</v>
      </c>
    </row>
    <row r="2067" spans="1:66" ht="13" hidden="1" customHeight="1" outlineLevel="1">
      <c r="A2067" t="s">
        <v>566</v>
      </c>
      <c r="B2067" t="s">
        <v>2652</v>
      </c>
      <c r="C2067" s="1">
        <f t="shared" si="852"/>
        <v>31296</v>
      </c>
      <c r="D2067" s="5">
        <f>IF(N2067&gt;0, RANK(N2067,(N2067:P2067,Q2067:AE2067)),0)</f>
        <v>2</v>
      </c>
      <c r="E2067" s="5">
        <f>IF(O2067&gt;0,RANK(O2067,(N2067:P2067,Q2067:AE2067)),0)</f>
        <v>1</v>
      </c>
      <c r="F2067" s="5">
        <f>IF(P2067&gt;0,RANK(P2067,(N2067:P2067,Q2067:AE2067)),0)</f>
        <v>0</v>
      </c>
      <c r="G2067" s="132">
        <f t="shared" si="861"/>
        <v>17114</v>
      </c>
      <c r="H2067" s="137">
        <f t="shared" si="862"/>
        <v>0.54684304703476483</v>
      </c>
      <c r="I2067" s="2"/>
      <c r="J2067" s="2">
        <f t="shared" si="853"/>
        <v>0.21210378323108384</v>
      </c>
      <c r="K2067" s="2">
        <f t="shared" si="854"/>
        <v>0.75894683026584864</v>
      </c>
      <c r="L2067" s="2">
        <f t="shared" si="855"/>
        <v>0</v>
      </c>
      <c r="M2067" s="2">
        <f>IF(C2067=0,"-",(1-J2067-K2067-L2067))</f>
        <v>2.8949386503067553E-2</v>
      </c>
      <c r="N2067" s="63">
        <v>6638</v>
      </c>
      <c r="O2067" s="63">
        <v>23752</v>
      </c>
      <c r="P2067" s="63"/>
      <c r="Q2067" s="63">
        <v>647</v>
      </c>
      <c r="R2067" s="63">
        <v>31</v>
      </c>
      <c r="S2067" s="63"/>
      <c r="T2067" s="63"/>
      <c r="U2067" s="63"/>
      <c r="V2067" s="63"/>
      <c r="W2067" s="63">
        <v>228</v>
      </c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W2067" s="5">
        <f>IF(Q2067&gt;0,RANK(Q2067,(N2067:P2067,Q2067:AE2067)),0)</f>
        <v>3</v>
      </c>
      <c r="AX2067" s="5">
        <f>IF(R2067&gt;0,RANK(R2067,(N2067:P2067,Q2067:AE2067)),0)</f>
        <v>5</v>
      </c>
      <c r="AY2067" s="5">
        <f>IF(T2067&gt;0,RANK(T2067,(N2067:P2067,Q2067:AE2067)),0)</f>
        <v>0</v>
      </c>
      <c r="AZ2067" s="5">
        <f>IF(S2067&gt;0,RANK(S2067,(N2067:P2067,Q2067:AE2067)),0)</f>
        <v>0</v>
      </c>
      <c r="BA2067" s="2">
        <f t="shared" si="857"/>
        <v>2.0673568507157465E-2</v>
      </c>
      <c r="BB2067" s="2">
        <f t="shared" si="858"/>
        <v>9.9054192229038854E-4</v>
      </c>
      <c r="BC2067" s="2">
        <f t="shared" si="859"/>
        <v>0</v>
      </c>
      <c r="BD2067" s="2">
        <f t="shared" si="860"/>
        <v>0</v>
      </c>
      <c r="BF2067" t="s">
        <v>566</v>
      </c>
      <c r="BG2067" t="s">
        <v>2652</v>
      </c>
      <c r="BH2067">
        <v>5</v>
      </c>
      <c r="BJ2067" s="114">
        <v>37</v>
      </c>
      <c r="BK2067" s="116">
        <v>193</v>
      </c>
      <c r="BL2067" s="120">
        <f t="shared" si="851"/>
        <v>37193</v>
      </c>
      <c r="BN2067" s="5" t="s">
        <v>3154</v>
      </c>
    </row>
    <row r="2068" spans="1:66" ht="13" hidden="1" customHeight="1" outlineLevel="1">
      <c r="A2068" t="s">
        <v>1232</v>
      </c>
      <c r="B2068" t="s">
        <v>2652</v>
      </c>
      <c r="C2068" s="1">
        <f t="shared" si="852"/>
        <v>38135</v>
      </c>
      <c r="D2068" s="5">
        <f>IF(N2068&gt;0, RANK(N2068,(N2068:P2068,Q2068:AE2068)),0)</f>
        <v>1</v>
      </c>
      <c r="E2068" s="5">
        <f>IF(O2068&gt;0,RANK(O2068,(N2068:P2068,Q2068:AE2068)),0)</f>
        <v>2</v>
      </c>
      <c r="F2068" s="5">
        <f>IF(P2068&gt;0,RANK(P2068,(N2068:P2068,Q2068:AE2068)),0)</f>
        <v>0</v>
      </c>
      <c r="G2068" s="132">
        <f t="shared" si="861"/>
        <v>2132</v>
      </c>
      <c r="H2068" s="137">
        <f t="shared" si="862"/>
        <v>5.5906647436737907E-2</v>
      </c>
      <c r="I2068" s="2"/>
      <c r="J2068" s="2">
        <f t="shared" si="853"/>
        <v>0.51561557624229715</v>
      </c>
      <c r="K2068" s="2">
        <f t="shared" si="854"/>
        <v>0.45970892880555919</v>
      </c>
      <c r="L2068" s="2">
        <f t="shared" si="855"/>
        <v>0</v>
      </c>
      <c r="M2068" s="2">
        <f>IF(C2068=0,"-",(1-J2068-K2068-L2068))</f>
        <v>2.4675494952143662E-2</v>
      </c>
      <c r="N2068" s="63">
        <v>19663</v>
      </c>
      <c r="O2068" s="63">
        <v>17531</v>
      </c>
      <c r="P2068" s="63"/>
      <c r="Q2068" s="63">
        <v>667</v>
      </c>
      <c r="R2068" s="63">
        <v>18</v>
      </c>
      <c r="S2068" s="63"/>
      <c r="T2068" s="63"/>
      <c r="U2068" s="63"/>
      <c r="V2068" s="63"/>
      <c r="W2068" s="63">
        <v>256</v>
      </c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W2068" s="5">
        <f>IF(Q2068&gt;0,RANK(Q2068,(N2068:P2068,Q2068:AE2068)),0)</f>
        <v>3</v>
      </c>
      <c r="AX2068" s="5">
        <f>IF(R2068&gt;0,RANK(R2068,(N2068:P2068,Q2068:AE2068)),0)</f>
        <v>5</v>
      </c>
      <c r="AY2068" s="5">
        <f>IF(T2068&gt;0,RANK(T2068,(N2068:P2068,Q2068:AE2068)),0)</f>
        <v>0</v>
      </c>
      <c r="AZ2068" s="5">
        <f>IF(S2068&gt;0,RANK(S2068,(N2068:P2068,Q2068:AE2068)),0)</f>
        <v>0</v>
      </c>
      <c r="BA2068" s="2">
        <f t="shared" si="857"/>
        <v>1.7490494296577948E-2</v>
      </c>
      <c r="BB2068" s="2">
        <f t="shared" si="858"/>
        <v>4.7200734233643636E-4</v>
      </c>
      <c r="BC2068" s="2">
        <f t="shared" si="859"/>
        <v>0</v>
      </c>
      <c r="BD2068" s="2">
        <f t="shared" si="860"/>
        <v>0</v>
      </c>
      <c r="BF2068" t="s">
        <v>1232</v>
      </c>
      <c r="BG2068" t="s">
        <v>2652</v>
      </c>
      <c r="BJ2068" s="114">
        <v>37</v>
      </c>
      <c r="BK2068" s="116">
        <v>195</v>
      </c>
      <c r="BL2068" s="120">
        <f t="shared" si="851"/>
        <v>37195</v>
      </c>
      <c r="BN2068" s="5" t="s">
        <v>3154</v>
      </c>
    </row>
    <row r="2069" spans="1:66" ht="13" hidden="1" customHeight="1" outlineLevel="1">
      <c r="A2069" t="s">
        <v>2957</v>
      </c>
      <c r="B2069" t="s">
        <v>2652</v>
      </c>
      <c r="C2069" s="1">
        <f t="shared" si="852"/>
        <v>17624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32">
        <f t="shared" si="861"/>
        <v>10720</v>
      </c>
      <c r="H2069" s="137">
        <f t="shared" si="862"/>
        <v>0.60826146164321382</v>
      </c>
      <c r="I2069" s="2"/>
      <c r="J2069" s="2">
        <f t="shared" si="853"/>
        <v>0.17930095324557421</v>
      </c>
      <c r="K2069" s="2">
        <f t="shared" si="854"/>
        <v>0.78756241488878798</v>
      </c>
      <c r="L2069" s="2">
        <f t="shared" si="855"/>
        <v>0</v>
      </c>
      <c r="M2069" s="2">
        <f>IF(C2069=0,"-",(1-J2069-K2069-L2069))</f>
        <v>3.3136631865637756E-2</v>
      </c>
      <c r="N2069" s="63">
        <v>3160</v>
      </c>
      <c r="O2069" s="63">
        <v>13880</v>
      </c>
      <c r="P2069" s="63"/>
      <c r="Q2069" s="63">
        <v>398</v>
      </c>
      <c r="R2069" s="63">
        <v>35</v>
      </c>
      <c r="S2069" s="63"/>
      <c r="T2069" s="63"/>
      <c r="U2069" s="63"/>
      <c r="V2069" s="63"/>
      <c r="W2069" s="63">
        <v>151</v>
      </c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W2069" s="5">
        <f>IF(Q2069&gt;0,RANK(Q2069,(N2069:P2069,Q2069:AE2069)),0)</f>
        <v>3</v>
      </c>
      <c r="AX2069" s="5">
        <f>IF(R2069&gt;0,RANK(R2069,(N2069:P2069,Q2069:AE2069)),0)</f>
        <v>5</v>
      </c>
      <c r="AY2069" s="5">
        <f>IF(T2069&gt;0,RANK(T2069,(N2069:P2069,Q2069:AE2069)),0)</f>
        <v>0</v>
      </c>
      <c r="AZ2069" s="5">
        <f>IF(S2069&gt;0,RANK(S2069,(N2069:P2069,Q2069:AE2069)),0)</f>
        <v>0</v>
      </c>
      <c r="BA2069" s="2">
        <f t="shared" si="857"/>
        <v>2.2582841579664094E-2</v>
      </c>
      <c r="BB2069" s="2">
        <f t="shared" si="858"/>
        <v>1.985928279618702E-3</v>
      </c>
      <c r="BC2069" s="2">
        <f t="shared" si="859"/>
        <v>0</v>
      </c>
      <c r="BD2069" s="2">
        <f t="shared" si="860"/>
        <v>0</v>
      </c>
      <c r="BF2069" t="s">
        <v>2957</v>
      </c>
      <c r="BG2069" t="s">
        <v>2652</v>
      </c>
      <c r="BH2069">
        <v>5</v>
      </c>
      <c r="BJ2069" s="114">
        <v>37</v>
      </c>
      <c r="BK2069" s="116">
        <v>197</v>
      </c>
      <c r="BL2069" s="120">
        <f t="shared" si="851"/>
        <v>37197</v>
      </c>
      <c r="BN2069" s="5" t="s">
        <v>3154</v>
      </c>
    </row>
    <row r="2070" spans="1:66" ht="13" hidden="1" customHeight="1" outlineLevel="1">
      <c r="A2070" t="s">
        <v>2856</v>
      </c>
      <c r="B2070" t="s">
        <v>2652</v>
      </c>
      <c r="C2070" s="1">
        <f t="shared" si="852"/>
        <v>9960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32">
        <f t="shared" si="861"/>
        <v>3189</v>
      </c>
      <c r="H2070" s="137">
        <f t="shared" si="862"/>
        <v>0.32018072289156624</v>
      </c>
      <c r="I2070" s="2"/>
      <c r="J2070" s="2">
        <f t="shared" si="853"/>
        <v>0.32088353413654619</v>
      </c>
      <c r="K2070" s="2">
        <f t="shared" si="854"/>
        <v>0.64106425702811243</v>
      </c>
      <c r="L2070" s="2">
        <f t="shared" si="855"/>
        <v>0</v>
      </c>
      <c r="M2070" s="2">
        <f>IF(C2070=0,"-",(1-J2070-K2070-L2070))</f>
        <v>3.8052208835341439E-2</v>
      </c>
      <c r="N2070" s="63">
        <v>3196</v>
      </c>
      <c r="O2070" s="63">
        <v>6385</v>
      </c>
      <c r="P2070" s="63"/>
      <c r="Q2070" s="63">
        <v>261</v>
      </c>
      <c r="R2070" s="63">
        <v>41</v>
      </c>
      <c r="S2070" s="63"/>
      <c r="T2070" s="63"/>
      <c r="U2070" s="63"/>
      <c r="V2070" s="63"/>
      <c r="W2070" s="63">
        <v>77</v>
      </c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W2070" s="5">
        <f>IF(Q2070&gt;0,RANK(Q2070,(N2070:P2070,Q2070:AE2070)),0)</f>
        <v>3</v>
      </c>
      <c r="AX2070" s="5">
        <f>IF(R2070&gt;0,RANK(R2070,(N2070:P2070,Q2070:AE2070)),0)</f>
        <v>5</v>
      </c>
      <c r="AY2070" s="5">
        <f>IF(T2070&gt;0,RANK(T2070,(N2070:P2070,Q2070:AE2070)),0)</f>
        <v>0</v>
      </c>
      <c r="AZ2070" s="5">
        <f>IF(S2070&gt;0,RANK(S2070,(N2070:P2070,Q2070:AE2070)),0)</f>
        <v>0</v>
      </c>
      <c r="BA2070" s="2">
        <f t="shared" si="857"/>
        <v>2.6204819277108434E-2</v>
      </c>
      <c r="BB2070" s="2">
        <f t="shared" si="858"/>
        <v>4.1164658634538151E-3</v>
      </c>
      <c r="BC2070" s="2">
        <f t="shared" si="859"/>
        <v>0</v>
      </c>
      <c r="BD2070" s="2">
        <f t="shared" si="860"/>
        <v>0</v>
      </c>
      <c r="BF2070" t="s">
        <v>2856</v>
      </c>
      <c r="BG2070" t="s">
        <v>2652</v>
      </c>
      <c r="BH2070">
        <v>11</v>
      </c>
      <c r="BJ2070" s="114">
        <v>37</v>
      </c>
      <c r="BK2070" s="116">
        <v>199</v>
      </c>
      <c r="BL2070" s="120">
        <f t="shared" si="851"/>
        <v>37199</v>
      </c>
      <c r="BN2070" s="5" t="s">
        <v>3154</v>
      </c>
    </row>
    <row r="2071" spans="1:66" collapsed="1">
      <c r="A2071" t="s">
        <v>1107</v>
      </c>
      <c r="B2071" t="s">
        <v>544</v>
      </c>
      <c r="C2071" s="1">
        <f t="shared" si="852"/>
        <v>4741564</v>
      </c>
      <c r="D2071" s="5">
        <f>IF(N2071&gt;0, RANK(N2071,(N2071:P2071,Q2071:AE2071)),0)</f>
        <v>2</v>
      </c>
      <c r="E2071" s="5">
        <f>IF(O2071&gt;0,RANK(O2071,(N2071:P2071,Q2071:AE2071)),0)</f>
        <v>1</v>
      </c>
      <c r="F2071" s="5">
        <f>IF(P2071&gt;0,RANK(P2071,(N2071:P2071,Q2071:AE2071)),0)</f>
        <v>0</v>
      </c>
      <c r="G2071" s="132">
        <f t="shared" si="861"/>
        <v>173315</v>
      </c>
      <c r="H2071" s="137">
        <f t="shared" si="862"/>
        <v>3.6552285279709398E-2</v>
      </c>
      <c r="I2071" s="2"/>
      <c r="J2071" s="2">
        <f t="shared" si="853"/>
        <v>0.46172866168209475</v>
      </c>
      <c r="K2071" s="2">
        <f t="shared" si="854"/>
        <v>0.49828094696180414</v>
      </c>
      <c r="L2071" s="2">
        <f t="shared" si="855"/>
        <v>0</v>
      </c>
      <c r="M2071" s="2">
        <f>IF(C2071=0,"-",(1-J2071-K2071-L2071))</f>
        <v>3.9990391356101052E-2</v>
      </c>
      <c r="N2071" s="63">
        <f>SUM(N1971:N2070)</f>
        <v>2189316</v>
      </c>
      <c r="O2071" s="63">
        <f>SUM(O1971:O2070)</f>
        <v>2362631</v>
      </c>
      <c r="P2071" s="63"/>
      <c r="Q2071" s="63">
        <f>SUM(Q1971:Q2070)</f>
        <v>130126</v>
      </c>
      <c r="R2071" s="63">
        <f>SUM(R1971:R2070)</f>
        <v>12105</v>
      </c>
      <c r="S2071" s="63"/>
      <c r="T2071" s="63"/>
      <c r="U2071" s="63"/>
      <c r="V2071" s="63"/>
      <c r="W2071" s="63">
        <f>SUM(W1971:W2070)</f>
        <v>47386</v>
      </c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W2071" s="5">
        <f>IF(Q2071&gt;0,RANK(Q2071,(N2071:P2071,Q2071:AE2071)),0)</f>
        <v>3</v>
      </c>
      <c r="AX2071" s="5">
        <f>IF(R2071&gt;0,RANK(R2071,(N2071:P2071,Q2071:AE2071)),0)</f>
        <v>5</v>
      </c>
      <c r="AY2071" s="5">
        <f>IF(T2071&gt;0,RANK(T2071,(N2071:P2071,Q2071:AE2071)),0)</f>
        <v>0</v>
      </c>
      <c r="AZ2071" s="5">
        <f>IF(S2071&gt;0,RANK(S2071,(N2071:P2071,Q2071:AE2071)),0)</f>
        <v>0</v>
      </c>
      <c r="BA2071" s="2">
        <f t="shared" si="857"/>
        <v>2.744368735716738E-2</v>
      </c>
      <c r="BB2071" s="2">
        <f t="shared" si="858"/>
        <v>2.552955100890761E-3</v>
      </c>
      <c r="BC2071" s="2">
        <f t="shared" si="859"/>
        <v>0</v>
      </c>
      <c r="BD2071" s="2">
        <f t="shared" si="860"/>
        <v>0</v>
      </c>
      <c r="BF2071" t="s">
        <v>1107</v>
      </c>
      <c r="BG2071" t="s">
        <v>544</v>
      </c>
      <c r="BJ2071" s="114">
        <v>37</v>
      </c>
      <c r="BK2071" s="116"/>
      <c r="BL2071" s="114">
        <v>37</v>
      </c>
      <c r="BN2071" s="5" t="s">
        <v>711</v>
      </c>
    </row>
    <row r="2072" spans="1:66">
      <c r="C2072" s="1"/>
      <c r="E2072" s="5"/>
      <c r="F2072" s="5"/>
      <c r="G2072" s="132"/>
      <c r="H2072" s="137"/>
      <c r="I2072" s="2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W2072" s="5"/>
      <c r="AX2072" s="5"/>
      <c r="AY2072" s="5"/>
      <c r="AZ2072" s="5"/>
      <c r="BJ2072" s="114"/>
      <c r="BK2072" s="116"/>
      <c r="BL2072" s="120"/>
    </row>
    <row r="2073" spans="1:66" hidden="1" outlineLevel="1">
      <c r="A2073" t="s">
        <v>1026</v>
      </c>
      <c r="B2073" t="s">
        <v>1615</v>
      </c>
      <c r="C2073" s="1">
        <f t="shared" ref="C2073:C2104" si="863">SUM(N2073:AU2073)</f>
        <v>1218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32">
        <f t="shared" si="861"/>
        <v>693</v>
      </c>
      <c r="H2073" s="137">
        <f t="shared" si="862"/>
        <v>0.56896551724137934</v>
      </c>
      <c r="I2073" s="2"/>
      <c r="J2073" s="2">
        <f t="shared" ref="J2073:J2104" si="864">IF($C2073=0,"-",N2073/$C2073)</f>
        <v>0.17733990147783252</v>
      </c>
      <c r="K2073" s="2">
        <f t="shared" ref="K2073:K2104" si="865">IF($C2073=0,"-",O2073/$C2073)</f>
        <v>0.74630541871921185</v>
      </c>
      <c r="L2073" s="2">
        <f t="shared" ref="L2073:L2104" si="866">IF($C2073=0,"-",P2073/$C2073)</f>
        <v>0</v>
      </c>
      <c r="M2073" s="2">
        <f t="shared" ref="M2073:M2104" si="867">IF(C2073=0,"-",(1-J2073-K2073-L2073))</f>
        <v>7.6354679802955627E-2</v>
      </c>
      <c r="N2073" s="63">
        <v>216</v>
      </c>
      <c r="O2073" s="63">
        <v>909</v>
      </c>
      <c r="P2073" s="63"/>
      <c r="Q2073" s="63">
        <v>65</v>
      </c>
      <c r="R2073" s="63">
        <v>8</v>
      </c>
      <c r="S2073" s="63">
        <v>13</v>
      </c>
      <c r="T2073" s="63">
        <v>0</v>
      </c>
      <c r="U2073" s="63"/>
      <c r="V2073" s="63"/>
      <c r="W2073" s="63">
        <v>7</v>
      </c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W2073" s="5">
        <f>IF(Q2073&gt;0,RANK(Q2073,(N2073:P2073,Q2073:AE2073)),0)</f>
        <v>3</v>
      </c>
      <c r="AX2073" s="5">
        <f>IF(R2073&gt;0,RANK(R2073,(N2073:P2073,Q2073:AE2073)),0)</f>
        <v>5</v>
      </c>
      <c r="AY2073" s="5">
        <f>IF(T2073&gt;0,RANK(T2073,(N2073:P2073,Q2073:AE2073)),0)</f>
        <v>0</v>
      </c>
      <c r="AZ2073" s="5">
        <f>IF(S2073&gt;0,RANK(S2073,(N2073:P2073,Q2073:AE2073)),0)</f>
        <v>4</v>
      </c>
      <c r="BA2073" s="2">
        <f t="shared" ref="BA2073:BA2104" si="868">IF($C2073=0,"-",Q2073/$C2073)</f>
        <v>5.3366174055829226E-2</v>
      </c>
      <c r="BB2073" s="2">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<c r="BD2073" s="2">
        <f t="shared" ref="BD2073:BD2104" si="871">IF($C2073=0,"-",S2073/$C2073)</f>
        <v>1.0673234811165846E-2</v>
      </c>
      <c r="BF2073" t="s">
        <v>1026</v>
      </c>
      <c r="BG2073" t="s">
        <v>1615</v>
      </c>
      <c r="BH2073">
        <v>1</v>
      </c>
      <c r="BJ2073" s="114">
        <v>38</v>
      </c>
      <c r="BK2073" s="116">
        <v>1</v>
      </c>
      <c r="BL2073" s="120">
        <f t="shared" si="851"/>
        <v>38001</v>
      </c>
      <c r="BN2073" s="5" t="s">
        <v>3154</v>
      </c>
    </row>
    <row r="2074" spans="1:66" hidden="1" outlineLevel="1">
      <c r="A2074" t="s">
        <v>2258</v>
      </c>
      <c r="B2074" t="s">
        <v>1615</v>
      </c>
      <c r="C2074" s="1">
        <f t="shared" si="863"/>
        <v>5344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32">
        <f t="shared" si="861"/>
        <v>1563</v>
      </c>
      <c r="H2074" s="137">
        <f t="shared" si="862"/>
        <v>0.29247754491017963</v>
      </c>
      <c r="I2074" s="2"/>
      <c r="J2074" s="2">
        <f t="shared" si="864"/>
        <v>0.29883982035928142</v>
      </c>
      <c r="K2074" s="2">
        <f t="shared" si="865"/>
        <v>0.5913173652694611</v>
      </c>
      <c r="L2074" s="2">
        <f t="shared" si="866"/>
        <v>0</v>
      </c>
      <c r="M2074" s="2">
        <f t="shared" si="867"/>
        <v>0.10984281437125742</v>
      </c>
      <c r="N2074" s="63">
        <v>1597</v>
      </c>
      <c r="O2074" s="63">
        <v>3160</v>
      </c>
      <c r="P2074" s="63"/>
      <c r="Q2074" s="63">
        <v>407</v>
      </c>
      <c r="R2074" s="63">
        <v>47</v>
      </c>
      <c r="S2074" s="63">
        <v>41</v>
      </c>
      <c r="T2074" s="63">
        <v>6</v>
      </c>
      <c r="U2074" s="63"/>
      <c r="V2074" s="63"/>
      <c r="W2074" s="63">
        <v>86</v>
      </c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W2074" s="5">
        <f>IF(Q2074&gt;0,RANK(Q2074,(N2074:P2074,Q2074:AE2074)),0)</f>
        <v>3</v>
      </c>
      <c r="AX2074" s="5">
        <f>IF(R2074&gt;0,RANK(R2074,(N2074:P2074,Q2074:AE2074)),0)</f>
        <v>5</v>
      </c>
      <c r="AY2074" s="5">
        <f>IF(T2074&gt;0,RANK(T2074,(N2074:P2074,Q2074:AE2074)),0)</f>
        <v>7</v>
      </c>
      <c r="AZ2074" s="5">
        <f>IF(S2074&gt;0,RANK(S2074,(N2074:P2074,Q2074:AE2074)),0)</f>
        <v>6</v>
      </c>
      <c r="BA2074" s="2">
        <f t="shared" si="868"/>
        <v>7.6160179640718556E-2</v>
      </c>
      <c r="BB2074" s="2">
        <f t="shared" si="869"/>
        <v>8.7949101796407185E-3</v>
      </c>
      <c r="BC2074" s="2">
        <f t="shared" si="870"/>
        <v>1.122754491017964E-3</v>
      </c>
      <c r="BD2074" s="2">
        <f t="shared" si="871"/>
        <v>7.6721556886227543E-3</v>
      </c>
      <c r="BF2074" t="s">
        <v>2258</v>
      </c>
      <c r="BG2074" t="s">
        <v>1615</v>
      </c>
      <c r="BH2074">
        <v>1</v>
      </c>
      <c r="BJ2074" s="114">
        <v>38</v>
      </c>
      <c r="BK2074" s="116">
        <v>3</v>
      </c>
      <c r="BL2074" s="120">
        <f t="shared" si="851"/>
        <v>38003</v>
      </c>
      <c r="BN2074" s="5" t="s">
        <v>3154</v>
      </c>
    </row>
    <row r="2075" spans="1:66" hidden="1" outlineLevel="1">
      <c r="A2075" t="s">
        <v>2800</v>
      </c>
      <c r="B2075" t="s">
        <v>1615</v>
      </c>
      <c r="C2075" s="1">
        <f t="shared" si="863"/>
        <v>2011</v>
      </c>
      <c r="D2075" s="5">
        <f>IF(N2075&gt;0, RANK(N2075,(N2075:P2075,Q2075:AE2075)),0)</f>
        <v>2</v>
      </c>
      <c r="E2075" s="5">
        <f>IF(O2075&gt;0,RANK(O2075,(N2075:P2075,Q2075:AE2075)),0)</f>
        <v>1</v>
      </c>
      <c r="F2075" s="5">
        <f>IF(P2075&gt;0,RANK(P2075,(N2075:P2075,Q2075:AE2075)),0)</f>
        <v>0</v>
      </c>
      <c r="G2075" s="132">
        <f t="shared" si="861"/>
        <v>87</v>
      </c>
      <c r="H2075" s="137">
        <f t="shared" si="862"/>
        <v>4.3262058677274985E-2</v>
      </c>
      <c r="I2075" s="2"/>
      <c r="J2075" s="2">
        <f t="shared" si="864"/>
        <v>0.41869716558925907</v>
      </c>
      <c r="K2075" s="2">
        <f t="shared" si="865"/>
        <v>0.46195922426653407</v>
      </c>
      <c r="L2075" s="2">
        <f t="shared" si="866"/>
        <v>0</v>
      </c>
      <c r="M2075" s="2">
        <f t="shared" si="867"/>
        <v>0.11934361014420686</v>
      </c>
      <c r="N2075" s="63">
        <v>842</v>
      </c>
      <c r="O2075" s="63">
        <v>929</v>
      </c>
      <c r="P2075" s="63"/>
      <c r="Q2075" s="63">
        <v>112</v>
      </c>
      <c r="R2075" s="63">
        <v>41</v>
      </c>
      <c r="S2075" s="63">
        <v>17</v>
      </c>
      <c r="T2075" s="63">
        <v>1</v>
      </c>
      <c r="U2075" s="63"/>
      <c r="V2075" s="63"/>
      <c r="W2075" s="63">
        <v>69</v>
      </c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W2075" s="5">
        <f>IF(Q2075&gt;0,RANK(Q2075,(N2075:P2075,Q2075:AE2075)),0)</f>
        <v>3</v>
      </c>
      <c r="AX2075" s="5">
        <f>IF(R2075&gt;0,RANK(R2075,(N2075:P2075,Q2075:AE2075)),0)</f>
        <v>5</v>
      </c>
      <c r="AY2075" s="5">
        <f>IF(T2075&gt;0,RANK(T2075,(N2075:P2075,Q2075:AE2075)),0)</f>
        <v>7</v>
      </c>
      <c r="AZ2075" s="5">
        <f>IF(S2075&gt;0,RANK(S2075,(N2075:P2075,Q2075:AE2075)),0)</f>
        <v>6</v>
      </c>
      <c r="BA2075" s="2">
        <f t="shared" si="868"/>
        <v>5.5693684733963203E-2</v>
      </c>
      <c r="BB2075" s="2">
        <f t="shared" si="869"/>
        <v>2.0387866732968673E-2</v>
      </c>
      <c r="BC2075" s="2">
        <f t="shared" si="870"/>
        <v>4.9726504226752855E-4</v>
      </c>
      <c r="BD2075" s="2">
        <f t="shared" si="871"/>
        <v>8.4535057185479868E-3</v>
      </c>
      <c r="BF2075" t="s">
        <v>2800</v>
      </c>
      <c r="BG2075" t="s">
        <v>1615</v>
      </c>
      <c r="BH2075">
        <v>1</v>
      </c>
      <c r="BJ2075" s="114">
        <v>38</v>
      </c>
      <c r="BK2075" s="116">
        <v>5</v>
      </c>
      <c r="BL2075" s="120">
        <f t="shared" si="851"/>
        <v>38005</v>
      </c>
      <c r="BN2075" s="5" t="s">
        <v>3154</v>
      </c>
    </row>
    <row r="2076" spans="1:66" hidden="1" outlineLevel="1">
      <c r="A2076" t="s">
        <v>283</v>
      </c>
      <c r="B2076" t="s">
        <v>1615</v>
      </c>
      <c r="C2076" s="1">
        <f t="shared" si="863"/>
        <v>605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32">
        <f t="shared" si="861"/>
        <v>436</v>
      </c>
      <c r="H2076" s="137">
        <f t="shared" si="862"/>
        <v>0.72066115702479339</v>
      </c>
      <c r="I2076" s="2"/>
      <c r="J2076" s="2">
        <f t="shared" si="864"/>
        <v>9.7520661157024791E-2</v>
      </c>
      <c r="K2076" s="2">
        <f t="shared" si="865"/>
        <v>0.81818181818181823</v>
      </c>
      <c r="L2076" s="2">
        <f t="shared" si="866"/>
        <v>0</v>
      </c>
      <c r="M2076" s="2">
        <f t="shared" si="867"/>
        <v>8.4297520661157033E-2</v>
      </c>
      <c r="N2076" s="63">
        <v>59</v>
      </c>
      <c r="O2076" s="63">
        <v>495</v>
      </c>
      <c r="P2076" s="63"/>
      <c r="Q2076" s="63">
        <v>33</v>
      </c>
      <c r="R2076" s="63">
        <v>4</v>
      </c>
      <c r="S2076" s="63">
        <v>6</v>
      </c>
      <c r="T2076" s="63">
        <v>1</v>
      </c>
      <c r="U2076" s="63"/>
      <c r="V2076" s="63"/>
      <c r="W2076" s="63">
        <v>7</v>
      </c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W2076" s="5">
        <f>IF(Q2076&gt;0,RANK(Q2076,(N2076:P2076,Q2076:AE2076)),0)</f>
        <v>3</v>
      </c>
      <c r="AX2076" s="5">
        <f>IF(R2076&gt;0,RANK(R2076,(N2076:P2076,Q2076:AE2076)),0)</f>
        <v>6</v>
      </c>
      <c r="AY2076" s="5">
        <f>IF(T2076&gt;0,RANK(T2076,(N2076:P2076,Q2076:AE2076)),0)</f>
        <v>7</v>
      </c>
      <c r="AZ2076" s="5">
        <f>IF(S2076&gt;0,RANK(S2076,(N2076:P2076,Q2076:AE2076)),0)</f>
        <v>5</v>
      </c>
      <c r="BA2076" s="2">
        <f t="shared" si="868"/>
        <v>5.4545454545454543E-2</v>
      </c>
      <c r="BB2076" s="2">
        <f t="shared" si="869"/>
        <v>6.6115702479338841E-3</v>
      </c>
      <c r="BC2076" s="2">
        <f t="shared" si="870"/>
        <v>1.652892561983471E-3</v>
      </c>
      <c r="BD2076" s="2">
        <f t="shared" si="871"/>
        <v>9.9173553719008271E-3</v>
      </c>
      <c r="BF2076" t="s">
        <v>283</v>
      </c>
      <c r="BG2076" t="s">
        <v>1615</v>
      </c>
      <c r="BH2076">
        <v>1</v>
      </c>
      <c r="BJ2076" s="114">
        <v>38</v>
      </c>
      <c r="BK2076" s="116">
        <v>7</v>
      </c>
      <c r="BL2076" s="120">
        <f t="shared" si="851"/>
        <v>38007</v>
      </c>
      <c r="BN2076" s="5" t="s">
        <v>3154</v>
      </c>
    </row>
    <row r="2077" spans="1:66" hidden="1" outlineLevel="1">
      <c r="A2077" t="s">
        <v>1341</v>
      </c>
      <c r="B2077" t="s">
        <v>1615</v>
      </c>
      <c r="C2077" s="1">
        <f t="shared" si="863"/>
        <v>3494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32">
        <f t="shared" si="861"/>
        <v>1758</v>
      </c>
      <c r="H2077" s="137">
        <f t="shared" si="862"/>
        <v>0.50314825414997133</v>
      </c>
      <c r="I2077" s="2"/>
      <c r="J2077" s="2">
        <f t="shared" si="864"/>
        <v>0.21064682312535776</v>
      </c>
      <c r="K2077" s="2">
        <f t="shared" si="865"/>
        <v>0.71379507727532909</v>
      </c>
      <c r="L2077" s="2">
        <f t="shared" si="866"/>
        <v>0</v>
      </c>
      <c r="M2077" s="2">
        <f t="shared" si="867"/>
        <v>7.5558099599313144E-2</v>
      </c>
      <c r="N2077" s="63">
        <v>736</v>
      </c>
      <c r="O2077" s="63">
        <v>2494</v>
      </c>
      <c r="P2077" s="63"/>
      <c r="Q2077" s="63">
        <v>177</v>
      </c>
      <c r="R2077" s="63">
        <v>30</v>
      </c>
      <c r="S2077" s="63">
        <v>11</v>
      </c>
      <c r="T2077" s="63">
        <v>3</v>
      </c>
      <c r="U2077" s="63"/>
      <c r="V2077" s="63"/>
      <c r="W2077" s="63">
        <v>43</v>
      </c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W2077" s="5">
        <f>IF(Q2077&gt;0,RANK(Q2077,(N2077:P2077,Q2077:AE2077)),0)</f>
        <v>3</v>
      </c>
      <c r="AX2077" s="5">
        <f>IF(R2077&gt;0,RANK(R2077,(N2077:P2077,Q2077:AE2077)),0)</f>
        <v>5</v>
      </c>
      <c r="AY2077" s="5">
        <f>IF(T2077&gt;0,RANK(T2077,(N2077:P2077,Q2077:AE2077)),0)</f>
        <v>7</v>
      </c>
      <c r="AZ2077" s="5">
        <f>IF(S2077&gt;0,RANK(S2077,(N2077:P2077,Q2077:AE2077)),0)</f>
        <v>6</v>
      </c>
      <c r="BA2077" s="2">
        <f t="shared" si="868"/>
        <v>5.0658271322266746E-2</v>
      </c>
      <c r="BB2077" s="2">
        <f t="shared" si="869"/>
        <v>8.5861476817401267E-3</v>
      </c>
      <c r="BC2077" s="2">
        <f t="shared" si="870"/>
        <v>8.5861476817401263E-4</v>
      </c>
      <c r="BD2077" s="2">
        <f t="shared" si="871"/>
        <v>3.1482541499713796E-3</v>
      </c>
      <c r="BF2077" t="s">
        <v>1341</v>
      </c>
      <c r="BG2077" t="s">
        <v>1615</v>
      </c>
      <c r="BH2077">
        <v>1</v>
      </c>
      <c r="BJ2077" s="114">
        <v>38</v>
      </c>
      <c r="BK2077" s="116">
        <v>9</v>
      </c>
      <c r="BL2077" s="120">
        <f t="shared" si="851"/>
        <v>38009</v>
      </c>
      <c r="BN2077" s="5" t="s">
        <v>3154</v>
      </c>
    </row>
    <row r="2078" spans="1:66" hidden="1" outlineLevel="1">
      <c r="A2078" t="s">
        <v>1678</v>
      </c>
      <c r="B2078" t="s">
        <v>1615</v>
      </c>
      <c r="C2078" s="1">
        <f t="shared" si="863"/>
        <v>1787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32">
        <f t="shared" si="861"/>
        <v>1219</v>
      </c>
      <c r="H2078" s="137">
        <f t="shared" si="862"/>
        <v>0.68214885282596527</v>
      </c>
      <c r="I2078" s="2"/>
      <c r="J2078" s="2">
        <f t="shared" si="864"/>
        <v>0.12702853945159484</v>
      </c>
      <c r="K2078" s="2">
        <f t="shared" si="865"/>
        <v>0.80917739227756014</v>
      </c>
      <c r="L2078" s="2">
        <f t="shared" si="866"/>
        <v>0</v>
      </c>
      <c r="M2078" s="2">
        <f t="shared" si="867"/>
        <v>6.3794068270844995E-2</v>
      </c>
      <c r="N2078" s="63">
        <v>227</v>
      </c>
      <c r="O2078" s="63">
        <v>1446</v>
      </c>
      <c r="P2078" s="63"/>
      <c r="Q2078" s="63">
        <v>79</v>
      </c>
      <c r="R2078" s="63">
        <v>13</v>
      </c>
      <c r="S2078" s="63">
        <v>4</v>
      </c>
      <c r="T2078" s="63">
        <v>2</v>
      </c>
      <c r="U2078" s="63"/>
      <c r="V2078" s="63"/>
      <c r="W2078" s="63">
        <v>16</v>
      </c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W2078" s="5">
        <f>IF(Q2078&gt;0,RANK(Q2078,(N2078:P2078,Q2078:AE2078)),0)</f>
        <v>3</v>
      </c>
      <c r="AX2078" s="5">
        <f>IF(R2078&gt;0,RANK(R2078,(N2078:P2078,Q2078:AE2078)),0)</f>
        <v>5</v>
      </c>
      <c r="AY2078" s="5">
        <f>IF(T2078&gt;0,RANK(T2078,(N2078:P2078,Q2078:AE2078)),0)</f>
        <v>7</v>
      </c>
      <c r="AZ2078" s="5">
        <f>IF(S2078&gt;0,RANK(S2078,(N2078:P2078,Q2078:AE2078)),0)</f>
        <v>6</v>
      </c>
      <c r="BA2078" s="2">
        <f t="shared" si="868"/>
        <v>4.4208170117515391E-2</v>
      </c>
      <c r="BB2078" s="2">
        <f t="shared" si="869"/>
        <v>7.2747621712367094E-3</v>
      </c>
      <c r="BC2078" s="2">
        <f t="shared" si="870"/>
        <v>1.1191941801902631E-3</v>
      </c>
      <c r="BD2078" s="2">
        <f t="shared" si="871"/>
        <v>2.2383883603805262E-3</v>
      </c>
      <c r="BF2078" t="s">
        <v>1678</v>
      </c>
      <c r="BG2078" t="s">
        <v>1615</v>
      </c>
      <c r="BH2078">
        <v>1</v>
      </c>
      <c r="BJ2078" s="114">
        <v>38</v>
      </c>
      <c r="BK2078" s="116">
        <v>11</v>
      </c>
      <c r="BL2078" s="120">
        <f t="shared" si="851"/>
        <v>38011</v>
      </c>
      <c r="BN2078" s="5" t="s">
        <v>3154</v>
      </c>
    </row>
    <row r="2079" spans="1:66" hidden="1" outlineLevel="1">
      <c r="A2079" t="s">
        <v>2930</v>
      </c>
      <c r="B2079" t="s">
        <v>1615</v>
      </c>
      <c r="C2079" s="1">
        <f t="shared" si="863"/>
        <v>1052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32">
        <f t="shared" si="861"/>
        <v>776</v>
      </c>
      <c r="H2079" s="137">
        <f t="shared" si="862"/>
        <v>0.73764258555133078</v>
      </c>
      <c r="I2079" s="2"/>
      <c r="J2079" s="2">
        <f t="shared" si="864"/>
        <v>0.11311787072243346</v>
      </c>
      <c r="K2079" s="2">
        <f t="shared" si="865"/>
        <v>0.85076045627376429</v>
      </c>
      <c r="L2079" s="2">
        <f t="shared" si="866"/>
        <v>0</v>
      </c>
      <c r="M2079" s="2">
        <f t="shared" si="867"/>
        <v>3.6121673003802313E-2</v>
      </c>
      <c r="N2079" s="63">
        <v>119</v>
      </c>
      <c r="O2079" s="63">
        <v>895</v>
      </c>
      <c r="P2079" s="63"/>
      <c r="Q2079" s="63">
        <v>26</v>
      </c>
      <c r="R2079" s="63">
        <v>5</v>
      </c>
      <c r="S2079" s="63">
        <v>3</v>
      </c>
      <c r="T2079" s="63">
        <v>0</v>
      </c>
      <c r="U2079" s="63"/>
      <c r="V2079" s="63"/>
      <c r="W2079" s="63">
        <v>4</v>
      </c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W2079" s="5">
        <f>IF(Q2079&gt;0,RANK(Q2079,(N2079:P2079,Q2079:AE2079)),0)</f>
        <v>3</v>
      </c>
      <c r="AX2079" s="5">
        <f>IF(R2079&gt;0,RANK(R2079,(N2079:P2079,Q2079:AE2079)),0)</f>
        <v>4</v>
      </c>
      <c r="AY2079" s="5">
        <f>IF(T2079&gt;0,RANK(T2079,(N2079:P2079,Q2079:AE2079)),0)</f>
        <v>0</v>
      </c>
      <c r="AZ2079" s="5">
        <f>IF(S2079&gt;0,RANK(S2079,(N2079:P2079,Q2079:AE2079)),0)</f>
        <v>6</v>
      </c>
      <c r="BA2079" s="2">
        <f t="shared" si="868"/>
        <v>2.4714828897338403E-2</v>
      </c>
      <c r="BB2079" s="2">
        <f t="shared" si="869"/>
        <v>4.7528517110266158E-3</v>
      </c>
      <c r="BC2079" s="2">
        <f t="shared" si="870"/>
        <v>0</v>
      </c>
      <c r="BD2079" s="2">
        <f t="shared" si="871"/>
        <v>2.8517110266159697E-3</v>
      </c>
      <c r="BF2079" t="s">
        <v>2930</v>
      </c>
      <c r="BG2079" t="s">
        <v>1615</v>
      </c>
      <c r="BH2079">
        <v>1</v>
      </c>
      <c r="BJ2079" s="114">
        <v>38</v>
      </c>
      <c r="BK2079" s="116">
        <v>13</v>
      </c>
      <c r="BL2079" s="120">
        <f t="shared" si="851"/>
        <v>38013</v>
      </c>
      <c r="BN2079" s="5" t="s">
        <v>3154</v>
      </c>
    </row>
    <row r="2080" spans="1:66" hidden="1" outlineLevel="1">
      <c r="A2080" t="s">
        <v>361</v>
      </c>
      <c r="B2080" t="s">
        <v>1615</v>
      </c>
      <c r="C2080" s="1">
        <f t="shared" si="863"/>
        <v>47979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32">
        <f t="shared" si="861"/>
        <v>21651</v>
      </c>
      <c r="H2080" s="137">
        <f t="shared" si="862"/>
        <v>0.45125992621772026</v>
      </c>
      <c r="I2080" s="2"/>
      <c r="J2080" s="2">
        <f t="shared" si="864"/>
        <v>0.22678671918964546</v>
      </c>
      <c r="K2080" s="2">
        <f t="shared" si="865"/>
        <v>0.6780466454073657</v>
      </c>
      <c r="L2080" s="2">
        <f t="shared" si="866"/>
        <v>0</v>
      </c>
      <c r="M2080" s="2">
        <f t="shared" si="867"/>
        <v>9.5166635402988864E-2</v>
      </c>
      <c r="N2080" s="63">
        <v>10881</v>
      </c>
      <c r="O2080" s="63">
        <v>32532</v>
      </c>
      <c r="P2080" s="63"/>
      <c r="Q2080" s="63">
        <v>2722</v>
      </c>
      <c r="R2080" s="63">
        <v>480</v>
      </c>
      <c r="S2080" s="63">
        <v>263</v>
      </c>
      <c r="T2080" s="63">
        <v>49</v>
      </c>
      <c r="U2080" s="63"/>
      <c r="V2080" s="63"/>
      <c r="W2080" s="63">
        <v>1052</v>
      </c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W2080" s="5">
        <f>IF(Q2080&gt;0,RANK(Q2080,(N2080:P2080,Q2080:AE2080)),0)</f>
        <v>3</v>
      </c>
      <c r="AX2080" s="5">
        <f>IF(R2080&gt;0,RANK(R2080,(N2080:P2080,Q2080:AE2080)),0)</f>
        <v>5</v>
      </c>
      <c r="AY2080" s="5">
        <f>IF(T2080&gt;0,RANK(T2080,(N2080:P2080,Q2080:AE2080)),0)</f>
        <v>7</v>
      </c>
      <c r="AZ2080" s="5">
        <f>IF(S2080&gt;0,RANK(S2080,(N2080:P2080,Q2080:AE2080)),0)</f>
        <v>6</v>
      </c>
      <c r="BA2080" s="2">
        <f t="shared" si="868"/>
        <v>5.6733154088246938E-2</v>
      </c>
      <c r="BB2080" s="2">
        <f t="shared" si="869"/>
        <v>1.0004376914900269E-2</v>
      </c>
      <c r="BC2080" s="2">
        <f t="shared" si="870"/>
        <v>1.0212801433960692E-3</v>
      </c>
      <c r="BD2080" s="2">
        <f t="shared" si="871"/>
        <v>5.4815648512891056E-3</v>
      </c>
      <c r="BF2080" t="s">
        <v>361</v>
      </c>
      <c r="BG2080" t="s">
        <v>1615</v>
      </c>
      <c r="BH2080">
        <v>1</v>
      </c>
      <c r="BJ2080" s="114">
        <v>38</v>
      </c>
      <c r="BK2080" s="116">
        <v>15</v>
      </c>
      <c r="BL2080" s="120">
        <f t="shared" si="851"/>
        <v>38015</v>
      </c>
      <c r="BN2080" s="5" t="s">
        <v>3154</v>
      </c>
    </row>
    <row r="2081" spans="1:66" hidden="1" outlineLevel="1">
      <c r="A2081" t="s">
        <v>339</v>
      </c>
      <c r="B2081" t="s">
        <v>1615</v>
      </c>
      <c r="C2081" s="1">
        <f t="shared" si="863"/>
        <v>80821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32">
        <f t="shared" si="861"/>
        <v>8455</v>
      </c>
      <c r="H2081" s="137">
        <f t="shared" si="862"/>
        <v>0.10461389985276104</v>
      </c>
      <c r="I2081" s="2"/>
      <c r="J2081" s="2">
        <f t="shared" si="864"/>
        <v>0.3880303386496084</v>
      </c>
      <c r="K2081" s="2">
        <f t="shared" si="865"/>
        <v>0.49264423850236944</v>
      </c>
      <c r="L2081" s="2">
        <f t="shared" si="866"/>
        <v>0</v>
      </c>
      <c r="M2081" s="2">
        <f t="shared" si="867"/>
        <v>0.11932542284802211</v>
      </c>
      <c r="N2081" s="63">
        <v>31361</v>
      </c>
      <c r="O2081" s="63">
        <v>39816</v>
      </c>
      <c r="P2081" s="63"/>
      <c r="Q2081" s="63">
        <v>6085</v>
      </c>
      <c r="R2081" s="63">
        <v>1209</v>
      </c>
      <c r="S2081" s="63">
        <v>399</v>
      </c>
      <c r="T2081" s="63">
        <v>99</v>
      </c>
      <c r="U2081" s="63"/>
      <c r="V2081" s="63"/>
      <c r="W2081" s="63">
        <v>1852</v>
      </c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W2081" s="5">
        <f>IF(Q2081&gt;0,RANK(Q2081,(N2081:P2081,Q2081:AE2081)),0)</f>
        <v>3</v>
      </c>
      <c r="AX2081" s="5">
        <f>IF(R2081&gt;0,RANK(R2081,(N2081:P2081,Q2081:AE2081)),0)</f>
        <v>5</v>
      </c>
      <c r="AY2081" s="5">
        <f>IF(T2081&gt;0,RANK(T2081,(N2081:P2081,Q2081:AE2081)),0)</f>
        <v>7</v>
      </c>
      <c r="AZ2081" s="5">
        <f>IF(S2081&gt;0,RANK(S2081,(N2081:P2081,Q2081:AE2081)),0)</f>
        <v>6</v>
      </c>
      <c r="BA2081" s="2">
        <f t="shared" si="868"/>
        <v>7.5289838037143814E-2</v>
      </c>
      <c r="BB2081" s="2">
        <f t="shared" si="869"/>
        <v>1.4958983432523726E-2</v>
      </c>
      <c r="BC2081" s="2">
        <f t="shared" si="870"/>
        <v>1.2249291644498336E-3</v>
      </c>
      <c r="BD2081" s="2">
        <f t="shared" si="871"/>
        <v>4.9368357233887236E-3</v>
      </c>
      <c r="BF2081" t="s">
        <v>339</v>
      </c>
      <c r="BG2081" t="s">
        <v>1615</v>
      </c>
      <c r="BH2081">
        <v>1</v>
      </c>
      <c r="BJ2081" s="114">
        <v>38</v>
      </c>
      <c r="BK2081" s="116">
        <v>17</v>
      </c>
      <c r="BL2081" s="120">
        <f t="shared" si="851"/>
        <v>38017</v>
      </c>
      <c r="BN2081" s="5" t="s">
        <v>3154</v>
      </c>
    </row>
    <row r="2082" spans="1:66" hidden="1" outlineLevel="1">
      <c r="A2082" t="s">
        <v>2084</v>
      </c>
      <c r="B2082" t="s">
        <v>1615</v>
      </c>
      <c r="C2082" s="1">
        <f t="shared" si="863"/>
        <v>2006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32">
        <f t="shared" si="861"/>
        <v>881</v>
      </c>
      <c r="H2082" s="137">
        <f t="shared" si="862"/>
        <v>0.43918245264207378</v>
      </c>
      <c r="I2082" s="2"/>
      <c r="J2082" s="2">
        <f t="shared" si="864"/>
        <v>0.23728813559322035</v>
      </c>
      <c r="K2082" s="2">
        <f t="shared" si="865"/>
        <v>0.67647058823529416</v>
      </c>
      <c r="L2082" s="2">
        <f t="shared" si="866"/>
        <v>0</v>
      </c>
      <c r="M2082" s="2">
        <f t="shared" si="867"/>
        <v>8.624127617148547E-2</v>
      </c>
      <c r="N2082" s="63">
        <v>476</v>
      </c>
      <c r="O2082" s="63">
        <v>1357</v>
      </c>
      <c r="P2082" s="63"/>
      <c r="Q2082" s="63">
        <v>110</v>
      </c>
      <c r="R2082" s="63">
        <v>19</v>
      </c>
      <c r="S2082" s="63">
        <v>7</v>
      </c>
      <c r="T2082" s="63">
        <v>2</v>
      </c>
      <c r="U2082" s="63"/>
      <c r="V2082" s="63"/>
      <c r="W2082" s="63">
        <v>35</v>
      </c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W2082" s="5">
        <f>IF(Q2082&gt;0,RANK(Q2082,(N2082:P2082,Q2082:AE2082)),0)</f>
        <v>3</v>
      </c>
      <c r="AX2082" s="5">
        <f>IF(R2082&gt;0,RANK(R2082,(N2082:P2082,Q2082:AE2082)),0)</f>
        <v>5</v>
      </c>
      <c r="AY2082" s="5">
        <f>IF(T2082&gt;0,RANK(T2082,(N2082:P2082,Q2082:AE2082)),0)</f>
        <v>7</v>
      </c>
      <c r="AZ2082" s="5">
        <f>IF(S2082&gt;0,RANK(S2082,(N2082:P2082,Q2082:AE2082)),0)</f>
        <v>6</v>
      </c>
      <c r="BA2082" s="2">
        <f t="shared" si="868"/>
        <v>5.4835493519441676E-2</v>
      </c>
      <c r="BB2082" s="2">
        <f t="shared" si="869"/>
        <v>9.4715852442671979E-3</v>
      </c>
      <c r="BC2082" s="2">
        <f t="shared" si="870"/>
        <v>9.9700897308075765E-4</v>
      </c>
      <c r="BD2082" s="2">
        <f t="shared" si="871"/>
        <v>3.489531405782652E-3</v>
      </c>
      <c r="BF2082" t="s">
        <v>2084</v>
      </c>
      <c r="BG2082" t="s">
        <v>1615</v>
      </c>
      <c r="BH2082">
        <v>1</v>
      </c>
      <c r="BJ2082" s="114">
        <v>38</v>
      </c>
      <c r="BK2082" s="116">
        <v>19</v>
      </c>
      <c r="BL2082" s="120">
        <f t="shared" si="851"/>
        <v>38019</v>
      </c>
      <c r="BN2082" s="5" t="s">
        <v>3154</v>
      </c>
    </row>
    <row r="2083" spans="1:66" hidden="1" outlineLevel="1">
      <c r="A2083" t="s">
        <v>939</v>
      </c>
      <c r="B2083" t="s">
        <v>1615</v>
      </c>
      <c r="C2083" s="1">
        <f t="shared" si="863"/>
        <v>2407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32">
        <f t="shared" si="861"/>
        <v>1113</v>
      </c>
      <c r="H2083" s="137">
        <f t="shared" si="862"/>
        <v>0.46240132945575407</v>
      </c>
      <c r="I2083" s="2"/>
      <c r="J2083" s="2">
        <f t="shared" si="864"/>
        <v>0.23016202742002492</v>
      </c>
      <c r="K2083" s="2">
        <f t="shared" si="865"/>
        <v>0.69256335687577897</v>
      </c>
      <c r="L2083" s="2">
        <f t="shared" si="866"/>
        <v>0</v>
      </c>
      <c r="M2083" s="2">
        <f t="shared" si="867"/>
        <v>7.7274615704196137E-2</v>
      </c>
      <c r="N2083" s="63">
        <v>554</v>
      </c>
      <c r="O2083" s="63">
        <v>1667</v>
      </c>
      <c r="P2083" s="63"/>
      <c r="Q2083" s="63">
        <v>123</v>
      </c>
      <c r="R2083" s="63">
        <v>23</v>
      </c>
      <c r="S2083" s="63">
        <v>15</v>
      </c>
      <c r="T2083" s="63">
        <v>6</v>
      </c>
      <c r="U2083" s="63"/>
      <c r="V2083" s="63"/>
      <c r="W2083" s="63">
        <v>19</v>
      </c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W2083" s="5">
        <f>IF(Q2083&gt;0,RANK(Q2083,(N2083:P2083,Q2083:AE2083)),0)</f>
        <v>3</v>
      </c>
      <c r="AX2083" s="5">
        <f>IF(R2083&gt;0,RANK(R2083,(N2083:P2083,Q2083:AE2083)),0)</f>
        <v>4</v>
      </c>
      <c r="AY2083" s="5">
        <f>IF(T2083&gt;0,RANK(T2083,(N2083:P2083,Q2083:AE2083)),0)</f>
        <v>7</v>
      </c>
      <c r="AZ2083" s="5">
        <f>IF(S2083&gt;0,RANK(S2083,(N2083:P2083,Q2083:AE2083)),0)</f>
        <v>6</v>
      </c>
      <c r="BA2083" s="2">
        <f t="shared" si="868"/>
        <v>5.1100955546323226E-2</v>
      </c>
      <c r="BB2083" s="2">
        <f t="shared" si="869"/>
        <v>9.5554632322393026E-3</v>
      </c>
      <c r="BC2083" s="2">
        <f t="shared" si="870"/>
        <v>2.4927295388450354E-3</v>
      </c>
      <c r="BD2083" s="2">
        <f t="shared" si="871"/>
        <v>6.2318238471125885E-3</v>
      </c>
      <c r="BF2083" t="s">
        <v>939</v>
      </c>
      <c r="BG2083" t="s">
        <v>1615</v>
      </c>
      <c r="BH2083">
        <v>1</v>
      </c>
      <c r="BJ2083" s="114">
        <v>38</v>
      </c>
      <c r="BK2083" s="116">
        <v>21</v>
      </c>
      <c r="BL2083" s="120">
        <f t="shared" si="851"/>
        <v>38021</v>
      </c>
      <c r="BN2083" s="5" t="s">
        <v>3154</v>
      </c>
    </row>
    <row r="2084" spans="1:66" hidden="1" outlineLevel="1">
      <c r="A2084" t="s">
        <v>80</v>
      </c>
      <c r="B2084" t="s">
        <v>1615</v>
      </c>
      <c r="C2084" s="1">
        <f t="shared" si="863"/>
        <v>1219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32">
        <f t="shared" si="861"/>
        <v>622</v>
      </c>
      <c r="H2084" s="137">
        <f t="shared" si="862"/>
        <v>0.51025430680885975</v>
      </c>
      <c r="I2084" s="2"/>
      <c r="J2084" s="2">
        <f t="shared" si="864"/>
        <v>0.20098441345365053</v>
      </c>
      <c r="K2084" s="2">
        <f t="shared" si="865"/>
        <v>0.71123872026251023</v>
      </c>
      <c r="L2084" s="2">
        <f t="shared" si="866"/>
        <v>0</v>
      </c>
      <c r="M2084" s="2">
        <f t="shared" si="867"/>
        <v>8.7776866283839294E-2</v>
      </c>
      <c r="N2084" s="63">
        <v>245</v>
      </c>
      <c r="O2084" s="63">
        <v>867</v>
      </c>
      <c r="P2084" s="63"/>
      <c r="Q2084" s="63">
        <v>71</v>
      </c>
      <c r="R2084" s="63">
        <v>9</v>
      </c>
      <c r="S2084" s="63">
        <v>2</v>
      </c>
      <c r="T2084" s="63">
        <v>3</v>
      </c>
      <c r="U2084" s="63"/>
      <c r="V2084" s="63"/>
      <c r="W2084" s="63">
        <v>22</v>
      </c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W2084" s="5">
        <f>IF(Q2084&gt;0,RANK(Q2084,(N2084:P2084,Q2084:AE2084)),0)</f>
        <v>3</v>
      </c>
      <c r="AX2084" s="5">
        <f>IF(R2084&gt;0,RANK(R2084,(N2084:P2084,Q2084:AE2084)),0)</f>
        <v>5</v>
      </c>
      <c r="AY2084" s="5">
        <f>IF(T2084&gt;0,RANK(T2084,(N2084:P2084,Q2084:AE2084)),0)</f>
        <v>6</v>
      </c>
      <c r="AZ2084" s="5">
        <f>IF(S2084&gt;0,RANK(S2084,(N2084:P2084,Q2084:AE2084)),0)</f>
        <v>7</v>
      </c>
      <c r="BA2084" s="2">
        <f t="shared" si="868"/>
        <v>5.8244462674323219E-2</v>
      </c>
      <c r="BB2084" s="2">
        <f t="shared" si="869"/>
        <v>7.3831009023789989E-3</v>
      </c>
      <c r="BC2084" s="2">
        <f t="shared" si="870"/>
        <v>2.4610336341263331E-3</v>
      </c>
      <c r="BD2084" s="2">
        <f t="shared" si="871"/>
        <v>1.6406890894175555E-3</v>
      </c>
      <c r="BF2084" t="s">
        <v>80</v>
      </c>
      <c r="BG2084" t="s">
        <v>1615</v>
      </c>
      <c r="BH2084">
        <v>1</v>
      </c>
      <c r="BJ2084" s="114">
        <v>38</v>
      </c>
      <c r="BK2084" s="116">
        <v>23</v>
      </c>
      <c r="BL2084" s="120">
        <f t="shared" si="851"/>
        <v>38023</v>
      </c>
      <c r="BN2084" s="5" t="s">
        <v>3154</v>
      </c>
    </row>
    <row r="2085" spans="1:66" hidden="1" outlineLevel="1">
      <c r="A2085" t="s">
        <v>537</v>
      </c>
      <c r="B2085" t="s">
        <v>1615</v>
      </c>
      <c r="C2085" s="1">
        <f t="shared" si="863"/>
        <v>2243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32">
        <f t="shared" si="861"/>
        <v>1413</v>
      </c>
      <c r="H2085" s="137">
        <f t="shared" si="862"/>
        <v>0.62995987516718677</v>
      </c>
      <c r="I2085" s="2"/>
      <c r="J2085" s="2">
        <f t="shared" si="864"/>
        <v>0.15960766830138207</v>
      </c>
      <c r="K2085" s="2">
        <f t="shared" si="865"/>
        <v>0.78956754346856883</v>
      </c>
      <c r="L2085" s="2">
        <f t="shared" si="866"/>
        <v>0</v>
      </c>
      <c r="M2085" s="2">
        <f t="shared" si="867"/>
        <v>5.0824788230049101E-2</v>
      </c>
      <c r="N2085" s="63">
        <v>358</v>
      </c>
      <c r="O2085" s="63">
        <v>1771</v>
      </c>
      <c r="P2085" s="63"/>
      <c r="Q2085" s="63">
        <v>60</v>
      </c>
      <c r="R2085" s="63">
        <v>14</v>
      </c>
      <c r="S2085" s="63">
        <v>15</v>
      </c>
      <c r="T2085" s="63">
        <v>1</v>
      </c>
      <c r="U2085" s="63"/>
      <c r="V2085" s="63"/>
      <c r="W2085" s="63">
        <v>24</v>
      </c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W2085" s="5">
        <f>IF(Q2085&gt;0,RANK(Q2085,(N2085:P2085,Q2085:AE2085)),0)</f>
        <v>3</v>
      </c>
      <c r="AX2085" s="5">
        <f>IF(R2085&gt;0,RANK(R2085,(N2085:P2085,Q2085:AE2085)),0)</f>
        <v>6</v>
      </c>
      <c r="AY2085" s="5">
        <f>IF(T2085&gt;0,RANK(T2085,(N2085:P2085,Q2085:AE2085)),0)</f>
        <v>7</v>
      </c>
      <c r="AZ2085" s="5">
        <f>IF(S2085&gt;0,RANK(S2085,(N2085:P2085,Q2085:AE2085)),0)</f>
        <v>5</v>
      </c>
      <c r="BA2085" s="2">
        <f t="shared" si="868"/>
        <v>2.6749888542131076E-2</v>
      </c>
      <c r="BB2085" s="2">
        <f t="shared" si="869"/>
        <v>6.241640659830584E-3</v>
      </c>
      <c r="BC2085" s="2">
        <f t="shared" si="870"/>
        <v>4.4583147570218456E-4</v>
      </c>
      <c r="BD2085" s="2">
        <f t="shared" si="871"/>
        <v>6.6874721355327689E-3</v>
      </c>
      <c r="BF2085" t="s">
        <v>537</v>
      </c>
      <c r="BG2085" t="s">
        <v>1615</v>
      </c>
      <c r="BH2085">
        <v>1</v>
      </c>
      <c r="BJ2085" s="114">
        <v>38</v>
      </c>
      <c r="BK2085" s="116">
        <v>25</v>
      </c>
      <c r="BL2085" s="120">
        <f t="shared" si="851"/>
        <v>38025</v>
      </c>
      <c r="BN2085" s="5" t="s">
        <v>3154</v>
      </c>
    </row>
    <row r="2086" spans="1:66" hidden="1" outlineLevel="1">
      <c r="A2086" t="s">
        <v>2898</v>
      </c>
      <c r="B2086" t="s">
        <v>1615</v>
      </c>
      <c r="C2086" s="1">
        <f t="shared" si="863"/>
        <v>1231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32">
        <f t="shared" si="861"/>
        <v>436</v>
      </c>
      <c r="H2086" s="137">
        <f t="shared" si="862"/>
        <v>0.35418359057676685</v>
      </c>
      <c r="I2086" s="2"/>
      <c r="J2086" s="2">
        <f t="shared" si="864"/>
        <v>0.28838342810722989</v>
      </c>
      <c r="K2086" s="2">
        <f t="shared" si="865"/>
        <v>0.64256701868399679</v>
      </c>
      <c r="L2086" s="2">
        <f t="shared" si="866"/>
        <v>0</v>
      </c>
      <c r="M2086" s="2">
        <f t="shared" si="867"/>
        <v>6.9049553208773262E-2</v>
      </c>
      <c r="N2086" s="63">
        <v>355</v>
      </c>
      <c r="O2086" s="63">
        <v>791</v>
      </c>
      <c r="P2086" s="63"/>
      <c r="Q2086" s="63">
        <v>53</v>
      </c>
      <c r="R2086" s="63">
        <v>15</v>
      </c>
      <c r="S2086" s="63">
        <v>6</v>
      </c>
      <c r="T2086" s="63">
        <v>1</v>
      </c>
      <c r="U2086" s="63"/>
      <c r="V2086" s="63"/>
      <c r="W2086" s="63">
        <v>10</v>
      </c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W2086" s="5">
        <f>IF(Q2086&gt;0,RANK(Q2086,(N2086:P2086,Q2086:AE2086)),0)</f>
        <v>3</v>
      </c>
      <c r="AX2086" s="5">
        <f>IF(R2086&gt;0,RANK(R2086,(N2086:P2086,Q2086:AE2086)),0)</f>
        <v>4</v>
      </c>
      <c r="AY2086" s="5">
        <f>IF(T2086&gt;0,RANK(T2086,(N2086:P2086,Q2086:AE2086)),0)</f>
        <v>7</v>
      </c>
      <c r="AZ2086" s="5">
        <f>IF(S2086&gt;0,RANK(S2086,(N2086:P2086,Q2086:AE2086)),0)</f>
        <v>6</v>
      </c>
      <c r="BA2086" s="2">
        <f t="shared" si="868"/>
        <v>4.3054427294882208E-2</v>
      </c>
      <c r="BB2086" s="2">
        <f t="shared" si="869"/>
        <v>1.2185215272136474E-2</v>
      </c>
      <c r="BC2086" s="2">
        <f t="shared" si="870"/>
        <v>8.1234768480909826E-4</v>
      </c>
      <c r="BD2086" s="2">
        <f t="shared" si="871"/>
        <v>4.87408610885459E-3</v>
      </c>
      <c r="BF2086" t="s">
        <v>2898</v>
      </c>
      <c r="BG2086" t="s">
        <v>1615</v>
      </c>
      <c r="BH2086">
        <v>1</v>
      </c>
      <c r="BJ2086" s="114">
        <v>38</v>
      </c>
      <c r="BK2086" s="116">
        <v>27</v>
      </c>
      <c r="BL2086" s="120">
        <f t="shared" si="851"/>
        <v>38027</v>
      </c>
      <c r="BN2086" s="5" t="s">
        <v>3154</v>
      </c>
    </row>
    <row r="2087" spans="1:66" hidden="1" outlineLevel="1">
      <c r="A2087" t="s">
        <v>1344</v>
      </c>
      <c r="B2087" t="s">
        <v>1615</v>
      </c>
      <c r="C2087" s="1">
        <f t="shared" si="863"/>
        <v>1981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32">
        <f t="shared" si="861"/>
        <v>1462</v>
      </c>
      <c r="H2087" s="137">
        <f t="shared" si="862"/>
        <v>0.73801110550227156</v>
      </c>
      <c r="I2087" s="2"/>
      <c r="J2087" s="2">
        <f t="shared" si="864"/>
        <v>0.10853104492680464</v>
      </c>
      <c r="K2087" s="2">
        <f t="shared" si="865"/>
        <v>0.84654215042907621</v>
      </c>
      <c r="L2087" s="2">
        <f t="shared" si="866"/>
        <v>0</v>
      </c>
      <c r="M2087" s="2">
        <f t="shared" si="867"/>
        <v>4.4926804644119134E-2</v>
      </c>
      <c r="N2087" s="63">
        <v>215</v>
      </c>
      <c r="O2087" s="63">
        <v>1677</v>
      </c>
      <c r="P2087" s="63"/>
      <c r="Q2087" s="63">
        <v>52</v>
      </c>
      <c r="R2087" s="63">
        <v>10</v>
      </c>
      <c r="S2087" s="63">
        <v>9</v>
      </c>
      <c r="T2087" s="63">
        <v>1</v>
      </c>
      <c r="U2087" s="63"/>
      <c r="V2087" s="63"/>
      <c r="W2087" s="63">
        <v>17</v>
      </c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W2087" s="5">
        <f>IF(Q2087&gt;0,RANK(Q2087,(N2087:P2087,Q2087:AE2087)),0)</f>
        <v>3</v>
      </c>
      <c r="AX2087" s="5">
        <f>IF(R2087&gt;0,RANK(R2087,(N2087:P2087,Q2087:AE2087)),0)</f>
        <v>5</v>
      </c>
      <c r="AY2087" s="5">
        <f>IF(T2087&gt;0,RANK(T2087,(N2087:P2087,Q2087:AE2087)),0)</f>
        <v>7</v>
      </c>
      <c r="AZ2087" s="5">
        <f>IF(S2087&gt;0,RANK(S2087,(N2087:P2087,Q2087:AE2087)),0)</f>
        <v>6</v>
      </c>
      <c r="BA2087" s="2">
        <f t="shared" si="868"/>
        <v>2.6249369005552751E-2</v>
      </c>
      <c r="BB2087" s="2">
        <f t="shared" si="869"/>
        <v>5.0479555779909136E-3</v>
      </c>
      <c r="BC2087" s="2">
        <f t="shared" si="870"/>
        <v>5.0479555779909136E-4</v>
      </c>
      <c r="BD2087" s="2">
        <f t="shared" si="871"/>
        <v>4.5431600201918223E-3</v>
      </c>
      <c r="BF2087" t="s">
        <v>1344</v>
      </c>
      <c r="BG2087" t="s">
        <v>1615</v>
      </c>
      <c r="BH2087">
        <v>1</v>
      </c>
      <c r="BJ2087" s="114">
        <v>38</v>
      </c>
      <c r="BK2087" s="116">
        <v>29</v>
      </c>
      <c r="BL2087" s="120">
        <f t="shared" si="851"/>
        <v>38029</v>
      </c>
      <c r="BN2087" s="5" t="s">
        <v>3154</v>
      </c>
    </row>
    <row r="2088" spans="1:66" hidden="1" outlineLevel="1">
      <c r="A2088" t="s">
        <v>790</v>
      </c>
      <c r="B2088" t="s">
        <v>1615</v>
      </c>
      <c r="C2088" s="1">
        <f t="shared" si="863"/>
        <v>1719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32">
        <f t="shared" si="861"/>
        <v>894</v>
      </c>
      <c r="H2088" s="137">
        <f t="shared" si="862"/>
        <v>0.52006980802792324</v>
      </c>
      <c r="I2088" s="2"/>
      <c r="J2088" s="2">
        <f t="shared" si="864"/>
        <v>0.20186154741128562</v>
      </c>
      <c r="K2088" s="2">
        <f t="shared" si="865"/>
        <v>0.72193135543920883</v>
      </c>
      <c r="L2088" s="2">
        <f t="shared" si="866"/>
        <v>0</v>
      </c>
      <c r="M2088" s="2">
        <f t="shared" si="867"/>
        <v>7.6207097149505576E-2</v>
      </c>
      <c r="N2088" s="63">
        <v>347</v>
      </c>
      <c r="O2088" s="63">
        <v>1241</v>
      </c>
      <c r="P2088" s="63"/>
      <c r="Q2088" s="63">
        <v>96</v>
      </c>
      <c r="R2088" s="63">
        <v>10</v>
      </c>
      <c r="S2088" s="63">
        <v>9</v>
      </c>
      <c r="T2088" s="63">
        <v>1</v>
      </c>
      <c r="U2088" s="63"/>
      <c r="V2088" s="63"/>
      <c r="W2088" s="63">
        <v>15</v>
      </c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W2088" s="5">
        <f>IF(Q2088&gt;0,RANK(Q2088,(N2088:P2088,Q2088:AE2088)),0)</f>
        <v>3</v>
      </c>
      <c r="AX2088" s="5">
        <f>IF(R2088&gt;0,RANK(R2088,(N2088:P2088,Q2088:AE2088)),0)</f>
        <v>5</v>
      </c>
      <c r="AY2088" s="5">
        <f>IF(T2088&gt;0,RANK(T2088,(N2088:P2088,Q2088:AE2088)),0)</f>
        <v>7</v>
      </c>
      <c r="AZ2088" s="5">
        <f>IF(S2088&gt;0,RANK(S2088,(N2088:P2088,Q2088:AE2088)),0)</f>
        <v>6</v>
      </c>
      <c r="BA2088" s="2">
        <f t="shared" si="868"/>
        <v>5.5846422338568937E-2</v>
      </c>
      <c r="BB2088" s="2">
        <f t="shared" si="869"/>
        <v>5.8173356602675974E-3</v>
      </c>
      <c r="BC2088" s="2">
        <f t="shared" si="870"/>
        <v>5.8173356602675972E-4</v>
      </c>
      <c r="BD2088" s="2">
        <f t="shared" si="871"/>
        <v>5.235602094240838E-3</v>
      </c>
      <c r="BF2088" t="s">
        <v>790</v>
      </c>
      <c r="BG2088" t="s">
        <v>1615</v>
      </c>
      <c r="BH2088">
        <v>1</v>
      </c>
      <c r="BJ2088" s="114">
        <v>38</v>
      </c>
      <c r="BK2088" s="116">
        <v>31</v>
      </c>
      <c r="BL2088" s="120">
        <f t="shared" si="851"/>
        <v>38031</v>
      </c>
      <c r="BN2088" s="5" t="s">
        <v>3154</v>
      </c>
    </row>
    <row r="2089" spans="1:66" hidden="1" outlineLevel="1">
      <c r="A2089" t="s">
        <v>349</v>
      </c>
      <c r="B2089" t="s">
        <v>1615</v>
      </c>
      <c r="C2089" s="1">
        <f t="shared" si="863"/>
        <v>957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32">
        <f t="shared" si="861"/>
        <v>697</v>
      </c>
      <c r="H2089" s="137">
        <f t="shared" si="862"/>
        <v>0.7283176593521421</v>
      </c>
      <c r="I2089" s="2"/>
      <c r="J2089" s="2">
        <f t="shared" si="864"/>
        <v>0.10344827586206896</v>
      </c>
      <c r="K2089" s="2">
        <f t="shared" si="865"/>
        <v>0.83176593521421105</v>
      </c>
      <c r="L2089" s="2">
        <f t="shared" si="866"/>
        <v>0</v>
      </c>
      <c r="M2089" s="2">
        <f t="shared" si="867"/>
        <v>6.478578892372E-2</v>
      </c>
      <c r="N2089" s="63">
        <v>99</v>
      </c>
      <c r="O2089" s="63">
        <v>796</v>
      </c>
      <c r="P2089" s="63"/>
      <c r="Q2089" s="63">
        <v>40</v>
      </c>
      <c r="R2089" s="63">
        <v>4</v>
      </c>
      <c r="S2089" s="63">
        <v>7</v>
      </c>
      <c r="T2089" s="63">
        <v>0</v>
      </c>
      <c r="U2089" s="63"/>
      <c r="V2089" s="63"/>
      <c r="W2089" s="63">
        <v>11</v>
      </c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W2089" s="5">
        <f>IF(Q2089&gt;0,RANK(Q2089,(N2089:P2089,Q2089:AE2089)),0)</f>
        <v>3</v>
      </c>
      <c r="AX2089" s="5">
        <f>IF(R2089&gt;0,RANK(R2089,(N2089:P2089,Q2089:AE2089)),0)</f>
        <v>6</v>
      </c>
      <c r="AY2089" s="5">
        <f>IF(T2089&gt;0,RANK(T2089,(N2089:P2089,Q2089:AE2089)),0)</f>
        <v>0</v>
      </c>
      <c r="AZ2089" s="5">
        <f>IF(S2089&gt;0,RANK(S2089,(N2089:P2089,Q2089:AE2089)),0)</f>
        <v>5</v>
      </c>
      <c r="BA2089" s="2">
        <f t="shared" si="868"/>
        <v>4.1797283176593522E-2</v>
      </c>
      <c r="BB2089" s="2">
        <f t="shared" si="869"/>
        <v>4.1797283176593526E-3</v>
      </c>
      <c r="BC2089" s="2">
        <f t="shared" si="870"/>
        <v>0</v>
      </c>
      <c r="BD2089" s="2">
        <f t="shared" si="871"/>
        <v>7.3145245559038665E-3</v>
      </c>
      <c r="BF2089" t="s">
        <v>349</v>
      </c>
      <c r="BG2089" t="s">
        <v>1615</v>
      </c>
      <c r="BH2089">
        <v>1</v>
      </c>
      <c r="BJ2089" s="114">
        <v>38</v>
      </c>
      <c r="BK2089" s="116">
        <v>33</v>
      </c>
      <c r="BL2089" s="120">
        <f t="shared" ref="BL2089:BL2152" si="872">1000*BJ2089+BK2089</f>
        <v>38033</v>
      </c>
      <c r="BN2089" s="5" t="s">
        <v>3154</v>
      </c>
    </row>
    <row r="2090" spans="1:66" hidden="1" outlineLevel="1">
      <c r="A2090" t="s">
        <v>1246</v>
      </c>
      <c r="B2090" t="s">
        <v>1615</v>
      </c>
      <c r="C2090" s="1">
        <f t="shared" si="863"/>
        <v>30365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32">
        <f t="shared" si="861"/>
        <v>5489</v>
      </c>
      <c r="H2090" s="137">
        <f t="shared" si="862"/>
        <v>0.18076733080849663</v>
      </c>
      <c r="I2090" s="2"/>
      <c r="J2090" s="2">
        <f t="shared" si="864"/>
        <v>0.35735221472089579</v>
      </c>
      <c r="K2090" s="2">
        <f t="shared" si="865"/>
        <v>0.53811954552939234</v>
      </c>
      <c r="L2090" s="2">
        <f t="shared" si="866"/>
        <v>0</v>
      </c>
      <c r="M2090" s="2">
        <f t="shared" si="867"/>
        <v>0.10452823974971182</v>
      </c>
      <c r="N2090" s="63">
        <v>10851</v>
      </c>
      <c r="O2090" s="63">
        <v>16340</v>
      </c>
      <c r="P2090" s="63"/>
      <c r="Q2090" s="63">
        <v>2004</v>
      </c>
      <c r="R2090" s="63">
        <v>383</v>
      </c>
      <c r="S2090" s="63">
        <v>138</v>
      </c>
      <c r="T2090" s="63">
        <v>37</v>
      </c>
      <c r="U2090" s="63"/>
      <c r="V2090" s="63"/>
      <c r="W2090" s="63">
        <v>612</v>
      </c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W2090" s="5">
        <f>IF(Q2090&gt;0,RANK(Q2090,(N2090:P2090,Q2090:AE2090)),0)</f>
        <v>3</v>
      </c>
      <c r="AX2090" s="5">
        <f>IF(R2090&gt;0,RANK(R2090,(N2090:P2090,Q2090:AE2090)),0)</f>
        <v>5</v>
      </c>
      <c r="AY2090" s="5">
        <f>IF(T2090&gt;0,RANK(T2090,(N2090:P2090,Q2090:AE2090)),0)</f>
        <v>7</v>
      </c>
      <c r="AZ2090" s="5">
        <f>IF(S2090&gt;0,RANK(S2090,(N2090:P2090,Q2090:AE2090)),0)</f>
        <v>6</v>
      </c>
      <c r="BA2090" s="2">
        <f t="shared" si="868"/>
        <v>6.5997036061254732E-2</v>
      </c>
      <c r="BB2090" s="2">
        <f t="shared" si="869"/>
        <v>1.2613205993742795E-2</v>
      </c>
      <c r="BC2090" s="2">
        <f t="shared" si="870"/>
        <v>1.2185081508315494E-3</v>
      </c>
      <c r="BD2090" s="2">
        <f t="shared" si="871"/>
        <v>4.5447060760744279E-3</v>
      </c>
      <c r="BF2090" t="s">
        <v>1246</v>
      </c>
      <c r="BG2090" t="s">
        <v>1615</v>
      </c>
      <c r="BH2090">
        <v>1</v>
      </c>
      <c r="BJ2090" s="114">
        <v>38</v>
      </c>
      <c r="BK2090" s="116">
        <v>35</v>
      </c>
      <c r="BL2090" s="120">
        <f t="shared" si="872"/>
        <v>38035</v>
      </c>
      <c r="BN2090" s="5" t="s">
        <v>3154</v>
      </c>
    </row>
    <row r="2091" spans="1:66" hidden="1" outlineLevel="1">
      <c r="A2091" t="s">
        <v>1417</v>
      </c>
      <c r="B2091" t="s">
        <v>1615</v>
      </c>
      <c r="C2091" s="1">
        <f t="shared" si="863"/>
        <v>1381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32">
        <f t="shared" si="861"/>
        <v>923</v>
      </c>
      <c r="H2091" s="137">
        <f t="shared" si="862"/>
        <v>0.66835626357711808</v>
      </c>
      <c r="I2091" s="2"/>
      <c r="J2091" s="2">
        <f t="shared" si="864"/>
        <v>0.1339608979000724</v>
      </c>
      <c r="K2091" s="2">
        <f t="shared" si="865"/>
        <v>0.80231716147719045</v>
      </c>
      <c r="L2091" s="2">
        <f t="shared" si="866"/>
        <v>0</v>
      </c>
      <c r="M2091" s="2">
        <f t="shared" si="867"/>
        <v>6.3721940622737172E-2</v>
      </c>
      <c r="N2091" s="63">
        <v>185</v>
      </c>
      <c r="O2091" s="63">
        <v>1108</v>
      </c>
      <c r="P2091" s="63"/>
      <c r="Q2091" s="63">
        <v>65</v>
      </c>
      <c r="R2091" s="63">
        <v>7</v>
      </c>
      <c r="S2091" s="63">
        <v>6</v>
      </c>
      <c r="T2091" s="63">
        <v>0</v>
      </c>
      <c r="U2091" s="63"/>
      <c r="V2091" s="63"/>
      <c r="W2091" s="63">
        <v>10</v>
      </c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W2091" s="5">
        <f>IF(Q2091&gt;0,RANK(Q2091,(N2091:P2091,Q2091:AE2091)),0)</f>
        <v>3</v>
      </c>
      <c r="AX2091" s="5">
        <f>IF(R2091&gt;0,RANK(R2091,(N2091:P2091,Q2091:AE2091)),0)</f>
        <v>5</v>
      </c>
      <c r="AY2091" s="5">
        <f>IF(T2091&gt;0,RANK(T2091,(N2091:P2091,Q2091:AE2091)),0)</f>
        <v>0</v>
      </c>
      <c r="AZ2091" s="5">
        <f>IF(S2091&gt;0,RANK(S2091,(N2091:P2091,Q2091:AE2091)),0)</f>
        <v>6</v>
      </c>
      <c r="BA2091" s="2">
        <f t="shared" si="868"/>
        <v>4.7067342505430848E-2</v>
      </c>
      <c r="BB2091" s="2">
        <f t="shared" si="869"/>
        <v>5.0687907313540911E-3</v>
      </c>
      <c r="BC2091" s="2">
        <f t="shared" si="870"/>
        <v>0</v>
      </c>
      <c r="BD2091" s="2">
        <f t="shared" si="871"/>
        <v>4.3446777697320783E-3</v>
      </c>
      <c r="BF2091" t="s">
        <v>1417</v>
      </c>
      <c r="BG2091" t="s">
        <v>1615</v>
      </c>
      <c r="BH2091">
        <v>1</v>
      </c>
      <c r="BJ2091" s="114">
        <v>38</v>
      </c>
      <c r="BK2091" s="116">
        <v>37</v>
      </c>
      <c r="BL2091" s="120">
        <f t="shared" si="872"/>
        <v>38037</v>
      </c>
      <c r="BN2091" s="5" t="s">
        <v>3154</v>
      </c>
    </row>
    <row r="2092" spans="1:66" hidden="1" outlineLevel="1">
      <c r="A2092" t="s">
        <v>3135</v>
      </c>
      <c r="B2092" t="s">
        <v>1615</v>
      </c>
      <c r="C2092" s="1">
        <f t="shared" si="863"/>
        <v>1265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32">
        <f t="shared" si="861"/>
        <v>549</v>
      </c>
      <c r="H2092" s="137">
        <f t="shared" si="862"/>
        <v>0.43399209486166007</v>
      </c>
      <c r="I2092" s="2"/>
      <c r="J2092" s="2">
        <f t="shared" si="864"/>
        <v>0.23557312252964427</v>
      </c>
      <c r="K2092" s="2">
        <f t="shared" si="865"/>
        <v>0.66956521739130437</v>
      </c>
      <c r="L2092" s="2">
        <f t="shared" si="866"/>
        <v>0</v>
      </c>
      <c r="M2092" s="2">
        <f t="shared" si="867"/>
        <v>9.4861660079051391E-2</v>
      </c>
      <c r="N2092" s="63">
        <v>298</v>
      </c>
      <c r="O2092" s="63">
        <v>847</v>
      </c>
      <c r="P2092" s="63"/>
      <c r="Q2092" s="63">
        <v>93</v>
      </c>
      <c r="R2092" s="63">
        <v>6</v>
      </c>
      <c r="S2092" s="63">
        <v>1</v>
      </c>
      <c r="T2092" s="63">
        <v>2</v>
      </c>
      <c r="U2092" s="63"/>
      <c r="V2092" s="63"/>
      <c r="W2092" s="63">
        <v>18</v>
      </c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W2092" s="5">
        <f>IF(Q2092&gt;0,RANK(Q2092,(N2092:P2092,Q2092:AE2092)),0)</f>
        <v>3</v>
      </c>
      <c r="AX2092" s="5">
        <f>IF(R2092&gt;0,RANK(R2092,(N2092:P2092,Q2092:AE2092)),0)</f>
        <v>5</v>
      </c>
      <c r="AY2092" s="5">
        <f>IF(T2092&gt;0,RANK(T2092,(N2092:P2092,Q2092:AE2092)),0)</f>
        <v>6</v>
      </c>
      <c r="AZ2092" s="5">
        <f>IF(S2092&gt;0,RANK(S2092,(N2092:P2092,Q2092:AE2092)),0)</f>
        <v>7</v>
      </c>
      <c r="BA2092" s="2">
        <f t="shared" si="868"/>
        <v>7.3517786561264828E-2</v>
      </c>
      <c r="BB2092" s="2">
        <f t="shared" si="869"/>
        <v>4.7430830039525695E-3</v>
      </c>
      <c r="BC2092" s="2">
        <f t="shared" si="870"/>
        <v>1.5810276679841897E-3</v>
      </c>
      <c r="BD2092" s="2">
        <f t="shared" si="871"/>
        <v>7.9051383399209485E-4</v>
      </c>
      <c r="BF2092" t="s">
        <v>3135</v>
      </c>
      <c r="BG2092" t="s">
        <v>1615</v>
      </c>
      <c r="BH2092">
        <v>1</v>
      </c>
      <c r="BJ2092" s="114">
        <v>38</v>
      </c>
      <c r="BK2092" s="116">
        <v>39</v>
      </c>
      <c r="BL2092" s="120">
        <f t="shared" si="872"/>
        <v>38039</v>
      </c>
      <c r="BN2092" s="5" t="s">
        <v>3154</v>
      </c>
    </row>
    <row r="2093" spans="1:66" hidden="1" outlineLevel="1">
      <c r="A2093" t="s">
        <v>2618</v>
      </c>
      <c r="B2093" t="s">
        <v>1615</v>
      </c>
      <c r="C2093" s="1">
        <f t="shared" si="863"/>
        <v>1296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32">
        <f t="shared" si="861"/>
        <v>882</v>
      </c>
      <c r="H2093" s="137">
        <f t="shared" si="862"/>
        <v>0.68055555555555558</v>
      </c>
      <c r="I2093" s="2"/>
      <c r="J2093" s="2">
        <f t="shared" si="864"/>
        <v>0.12962962962962962</v>
      </c>
      <c r="K2093" s="2">
        <f t="shared" si="865"/>
        <v>0.81018518518518523</v>
      </c>
      <c r="L2093" s="2">
        <f t="shared" si="866"/>
        <v>0</v>
      </c>
      <c r="M2093" s="2">
        <f t="shared" si="867"/>
        <v>6.0185185185185119E-2</v>
      </c>
      <c r="N2093" s="63">
        <v>168</v>
      </c>
      <c r="O2093" s="63">
        <v>1050</v>
      </c>
      <c r="P2093" s="63"/>
      <c r="Q2093" s="63">
        <v>46</v>
      </c>
      <c r="R2093" s="63">
        <v>5</v>
      </c>
      <c r="S2093" s="63">
        <v>9</v>
      </c>
      <c r="T2093" s="63">
        <v>1</v>
      </c>
      <c r="U2093" s="63"/>
      <c r="V2093" s="63"/>
      <c r="W2093" s="63">
        <v>17</v>
      </c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W2093" s="5">
        <f>IF(Q2093&gt;0,RANK(Q2093,(N2093:P2093,Q2093:AE2093)),0)</f>
        <v>3</v>
      </c>
      <c r="AX2093" s="5">
        <f>IF(R2093&gt;0,RANK(R2093,(N2093:P2093,Q2093:AE2093)),0)</f>
        <v>6</v>
      </c>
      <c r="AY2093" s="5">
        <f>IF(T2093&gt;0,RANK(T2093,(N2093:P2093,Q2093:AE2093)),0)</f>
        <v>7</v>
      </c>
      <c r="AZ2093" s="5">
        <f>IF(S2093&gt;0,RANK(S2093,(N2093:P2093,Q2093:AE2093)),0)</f>
        <v>5</v>
      </c>
      <c r="BA2093" s="2">
        <f t="shared" si="868"/>
        <v>3.5493827160493825E-2</v>
      </c>
      <c r="BB2093" s="2">
        <f t="shared" si="869"/>
        <v>3.8580246913580245E-3</v>
      </c>
      <c r="BC2093" s="2">
        <f t="shared" si="870"/>
        <v>7.716049382716049E-4</v>
      </c>
      <c r="BD2093" s="2">
        <f t="shared" si="871"/>
        <v>6.9444444444444441E-3</v>
      </c>
      <c r="BF2093" t="s">
        <v>2618</v>
      </c>
      <c r="BG2093" t="s">
        <v>1615</v>
      </c>
      <c r="BH2093">
        <v>1</v>
      </c>
      <c r="BJ2093" s="114">
        <v>38</v>
      </c>
      <c r="BK2093" s="116">
        <v>41</v>
      </c>
      <c r="BL2093" s="120">
        <f t="shared" si="872"/>
        <v>38041</v>
      </c>
      <c r="BN2093" s="5" t="s">
        <v>3154</v>
      </c>
    </row>
    <row r="2094" spans="1:66" hidden="1" outlineLevel="1">
      <c r="A2094" t="s">
        <v>2905</v>
      </c>
      <c r="B2094" t="s">
        <v>1615</v>
      </c>
      <c r="C2094" s="1">
        <f t="shared" si="863"/>
        <v>1376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32">
        <f t="shared" si="861"/>
        <v>932</v>
      </c>
      <c r="H2094" s="137">
        <f t="shared" si="862"/>
        <v>0.67732558139534882</v>
      </c>
      <c r="I2094" s="2"/>
      <c r="J2094" s="2">
        <f t="shared" si="864"/>
        <v>0.13008720930232559</v>
      </c>
      <c r="K2094" s="2">
        <f t="shared" si="865"/>
        <v>0.80741279069767447</v>
      </c>
      <c r="L2094" s="2">
        <f t="shared" si="866"/>
        <v>0</v>
      </c>
      <c r="M2094" s="2">
        <f t="shared" si="867"/>
        <v>6.25E-2</v>
      </c>
      <c r="N2094" s="63">
        <v>179</v>
      </c>
      <c r="O2094" s="63">
        <v>1111</v>
      </c>
      <c r="P2094" s="63"/>
      <c r="Q2094" s="63">
        <v>64</v>
      </c>
      <c r="R2094" s="63">
        <v>7</v>
      </c>
      <c r="S2094" s="63">
        <v>2</v>
      </c>
      <c r="T2094" s="63">
        <v>1</v>
      </c>
      <c r="U2094" s="63"/>
      <c r="V2094" s="63"/>
      <c r="W2094" s="63">
        <v>12</v>
      </c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W2094" s="5">
        <f>IF(Q2094&gt;0,RANK(Q2094,(N2094:P2094,Q2094:AE2094)),0)</f>
        <v>3</v>
      </c>
      <c r="AX2094" s="5">
        <f>IF(R2094&gt;0,RANK(R2094,(N2094:P2094,Q2094:AE2094)),0)</f>
        <v>5</v>
      </c>
      <c r="AY2094" s="5">
        <f>IF(T2094&gt;0,RANK(T2094,(N2094:P2094,Q2094:AE2094)),0)</f>
        <v>7</v>
      </c>
      <c r="AZ2094" s="5">
        <f>IF(S2094&gt;0,RANK(S2094,(N2094:P2094,Q2094:AE2094)),0)</f>
        <v>6</v>
      </c>
      <c r="BA2094" s="2">
        <f t="shared" si="868"/>
        <v>4.6511627906976744E-2</v>
      </c>
      <c r="BB2094" s="2">
        <f t="shared" si="869"/>
        <v>5.0872093023255818E-3</v>
      </c>
      <c r="BC2094" s="2">
        <f t="shared" si="870"/>
        <v>7.2674418604651162E-4</v>
      </c>
      <c r="BD2094" s="2">
        <f t="shared" si="871"/>
        <v>1.4534883720930232E-3</v>
      </c>
      <c r="BF2094" t="s">
        <v>2905</v>
      </c>
      <c r="BG2094" t="s">
        <v>1615</v>
      </c>
      <c r="BH2094">
        <v>1</v>
      </c>
      <c r="BJ2094" s="114">
        <v>38</v>
      </c>
      <c r="BK2094" s="116">
        <v>43</v>
      </c>
      <c r="BL2094" s="120">
        <f t="shared" si="872"/>
        <v>38043</v>
      </c>
      <c r="BN2094" s="5" t="s">
        <v>3154</v>
      </c>
    </row>
    <row r="2095" spans="1:66" hidden="1" outlineLevel="1">
      <c r="A2095" t="s">
        <v>1758</v>
      </c>
      <c r="B2095" t="s">
        <v>1615</v>
      </c>
      <c r="C2095" s="1">
        <f t="shared" si="863"/>
        <v>2151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32">
        <f t="shared" si="861"/>
        <v>979</v>
      </c>
      <c r="H2095" s="137">
        <f t="shared" si="862"/>
        <v>0.45513714551371454</v>
      </c>
      <c r="I2095" s="2"/>
      <c r="J2095" s="2">
        <f t="shared" si="864"/>
        <v>0.23337982333798232</v>
      </c>
      <c r="K2095" s="2">
        <f t="shared" si="865"/>
        <v>0.68851696885169689</v>
      </c>
      <c r="L2095" s="2">
        <f t="shared" si="866"/>
        <v>0</v>
      </c>
      <c r="M2095" s="2">
        <f t="shared" si="867"/>
        <v>7.8103207810320763E-2</v>
      </c>
      <c r="N2095" s="63">
        <v>502</v>
      </c>
      <c r="O2095" s="63">
        <v>1481</v>
      </c>
      <c r="P2095" s="63"/>
      <c r="Q2095" s="63">
        <v>109</v>
      </c>
      <c r="R2095" s="63">
        <v>13</v>
      </c>
      <c r="S2095" s="63">
        <v>16</v>
      </c>
      <c r="T2095" s="63">
        <v>4</v>
      </c>
      <c r="U2095" s="63"/>
      <c r="V2095" s="63"/>
      <c r="W2095" s="63">
        <v>26</v>
      </c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W2095" s="5">
        <f>IF(Q2095&gt;0,RANK(Q2095,(N2095:P2095,Q2095:AE2095)),0)</f>
        <v>3</v>
      </c>
      <c r="AX2095" s="5">
        <f>IF(R2095&gt;0,RANK(R2095,(N2095:P2095,Q2095:AE2095)),0)</f>
        <v>6</v>
      </c>
      <c r="AY2095" s="5">
        <f>IF(T2095&gt;0,RANK(T2095,(N2095:P2095,Q2095:AE2095)),0)</f>
        <v>7</v>
      </c>
      <c r="AZ2095" s="5">
        <f>IF(S2095&gt;0,RANK(S2095,(N2095:P2095,Q2095:AE2095)),0)</f>
        <v>5</v>
      </c>
      <c r="BA2095" s="2">
        <f t="shared" si="868"/>
        <v>5.0674105067410505E-2</v>
      </c>
      <c r="BB2095" s="2">
        <f t="shared" si="869"/>
        <v>6.04370060437006E-3</v>
      </c>
      <c r="BC2095" s="2">
        <f t="shared" si="870"/>
        <v>1.8596001859600185E-3</v>
      </c>
      <c r="BD2095" s="2">
        <f t="shared" si="871"/>
        <v>7.4384007438400741E-3</v>
      </c>
      <c r="BF2095" t="s">
        <v>1758</v>
      </c>
      <c r="BG2095" t="s">
        <v>1615</v>
      </c>
      <c r="BH2095">
        <v>1</v>
      </c>
      <c r="BJ2095" s="114">
        <v>38</v>
      </c>
      <c r="BK2095" s="116">
        <v>45</v>
      </c>
      <c r="BL2095" s="120">
        <f t="shared" si="872"/>
        <v>38045</v>
      </c>
      <c r="BN2095" s="5" t="s">
        <v>3154</v>
      </c>
    </row>
    <row r="2096" spans="1:66" hidden="1" outlineLevel="1">
      <c r="A2096" t="s">
        <v>844</v>
      </c>
      <c r="B2096" t="s">
        <v>1615</v>
      </c>
      <c r="C2096" s="1">
        <f t="shared" si="863"/>
        <v>1067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32">
        <f t="shared" si="861"/>
        <v>774</v>
      </c>
      <c r="H2096" s="137">
        <f t="shared" si="862"/>
        <v>0.72539831302717905</v>
      </c>
      <c r="I2096" s="2"/>
      <c r="J2096" s="2">
        <f t="shared" si="864"/>
        <v>0.10684161199625117</v>
      </c>
      <c r="K2096" s="2">
        <f t="shared" si="865"/>
        <v>0.83223992502343014</v>
      </c>
      <c r="L2096" s="2">
        <f t="shared" si="866"/>
        <v>0</v>
      </c>
      <c r="M2096" s="2">
        <f t="shared" si="867"/>
        <v>6.0918462980318666E-2</v>
      </c>
      <c r="N2096" s="63">
        <v>114</v>
      </c>
      <c r="O2096" s="63">
        <v>888</v>
      </c>
      <c r="P2096" s="63"/>
      <c r="Q2096" s="63">
        <v>38</v>
      </c>
      <c r="R2096" s="63">
        <v>5</v>
      </c>
      <c r="S2096" s="63">
        <v>6</v>
      </c>
      <c r="T2096" s="63">
        <v>2</v>
      </c>
      <c r="U2096" s="63"/>
      <c r="V2096" s="63"/>
      <c r="W2096" s="63">
        <v>14</v>
      </c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W2096" s="5">
        <f>IF(Q2096&gt;0,RANK(Q2096,(N2096:P2096,Q2096:AE2096)),0)</f>
        <v>3</v>
      </c>
      <c r="AX2096" s="5">
        <f>IF(R2096&gt;0,RANK(R2096,(N2096:P2096,Q2096:AE2096)),0)</f>
        <v>6</v>
      </c>
      <c r="AY2096" s="5">
        <f>IF(T2096&gt;0,RANK(T2096,(N2096:P2096,Q2096:AE2096)),0)</f>
        <v>7</v>
      </c>
      <c r="AZ2096" s="5">
        <f>IF(S2096&gt;0,RANK(S2096,(N2096:P2096,Q2096:AE2096)),0)</f>
        <v>5</v>
      </c>
      <c r="BA2096" s="2">
        <f t="shared" si="868"/>
        <v>3.5613870665417061E-2</v>
      </c>
      <c r="BB2096" s="2">
        <f t="shared" si="869"/>
        <v>4.6860356138706651E-3</v>
      </c>
      <c r="BC2096" s="2">
        <f t="shared" si="870"/>
        <v>1.8744142455482662E-3</v>
      </c>
      <c r="BD2096" s="2">
        <f t="shared" si="871"/>
        <v>5.6232427366447986E-3</v>
      </c>
      <c r="BF2096" t="s">
        <v>844</v>
      </c>
      <c r="BG2096" t="s">
        <v>1615</v>
      </c>
      <c r="BH2096">
        <v>1</v>
      </c>
      <c r="BJ2096" s="114">
        <v>38</v>
      </c>
      <c r="BK2096" s="116">
        <v>47</v>
      </c>
      <c r="BL2096" s="120">
        <f t="shared" si="872"/>
        <v>38047</v>
      </c>
      <c r="BN2096" s="5" t="s">
        <v>3154</v>
      </c>
    </row>
    <row r="2097" spans="1:66" hidden="1" outlineLevel="1">
      <c r="A2097" t="s">
        <v>873</v>
      </c>
      <c r="B2097" t="s">
        <v>1615</v>
      </c>
      <c r="C2097" s="1">
        <f t="shared" si="863"/>
        <v>2820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32">
        <f t="shared" si="861"/>
        <v>1560</v>
      </c>
      <c r="H2097" s="137">
        <f t="shared" si="862"/>
        <v>0.55319148936170215</v>
      </c>
      <c r="I2097" s="2"/>
      <c r="J2097" s="2">
        <f t="shared" si="864"/>
        <v>0.17375886524822695</v>
      </c>
      <c r="K2097" s="2">
        <f t="shared" si="865"/>
        <v>0.72695035460992907</v>
      </c>
      <c r="L2097" s="2">
        <f t="shared" si="866"/>
        <v>0</v>
      </c>
      <c r="M2097" s="2">
        <f t="shared" si="867"/>
        <v>9.9290780141844004E-2</v>
      </c>
      <c r="N2097" s="63">
        <v>490</v>
      </c>
      <c r="O2097" s="63">
        <v>2050</v>
      </c>
      <c r="P2097" s="63"/>
      <c r="Q2097" s="63">
        <v>189</v>
      </c>
      <c r="R2097" s="63">
        <v>20</v>
      </c>
      <c r="S2097" s="63">
        <v>19</v>
      </c>
      <c r="T2097" s="63">
        <v>4</v>
      </c>
      <c r="U2097" s="63"/>
      <c r="V2097" s="63"/>
      <c r="W2097" s="63">
        <v>48</v>
      </c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W2097" s="5">
        <f>IF(Q2097&gt;0,RANK(Q2097,(N2097:P2097,Q2097:AE2097)),0)</f>
        <v>3</v>
      </c>
      <c r="AX2097" s="5">
        <f>IF(R2097&gt;0,RANK(R2097,(N2097:P2097,Q2097:AE2097)),0)</f>
        <v>5</v>
      </c>
      <c r="AY2097" s="5">
        <f>IF(T2097&gt;0,RANK(T2097,(N2097:P2097,Q2097:AE2097)),0)</f>
        <v>7</v>
      </c>
      <c r="AZ2097" s="5">
        <f>IF(S2097&gt;0,RANK(S2097,(N2097:P2097,Q2097:AE2097)),0)</f>
        <v>6</v>
      </c>
      <c r="BA2097" s="2">
        <f t="shared" si="868"/>
        <v>6.702127659574468E-2</v>
      </c>
      <c r="BB2097" s="2">
        <f t="shared" si="869"/>
        <v>7.0921985815602835E-3</v>
      </c>
      <c r="BC2097" s="2">
        <f t="shared" si="870"/>
        <v>1.4184397163120568E-3</v>
      </c>
      <c r="BD2097" s="2">
        <f t="shared" si="871"/>
        <v>6.7375886524822697E-3</v>
      </c>
      <c r="BF2097" t="s">
        <v>873</v>
      </c>
      <c r="BG2097" t="s">
        <v>1615</v>
      </c>
      <c r="BH2097">
        <v>1</v>
      </c>
      <c r="BJ2097" s="114">
        <v>38</v>
      </c>
      <c r="BK2097" s="116">
        <v>49</v>
      </c>
      <c r="BL2097" s="120">
        <f t="shared" si="872"/>
        <v>38049</v>
      </c>
      <c r="BN2097" s="5" t="s">
        <v>3154</v>
      </c>
    </row>
    <row r="2098" spans="1:66" hidden="1" outlineLevel="1">
      <c r="A2098" t="s">
        <v>1205</v>
      </c>
      <c r="B2098" t="s">
        <v>1615</v>
      </c>
      <c r="C2098" s="1">
        <f t="shared" si="863"/>
        <v>1446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32">
        <f t="shared" si="861"/>
        <v>865</v>
      </c>
      <c r="H2098" s="137">
        <f t="shared" si="862"/>
        <v>0.59820193637621022</v>
      </c>
      <c r="I2098" s="2"/>
      <c r="J2098" s="2">
        <f t="shared" si="864"/>
        <v>0.16251728907330568</v>
      </c>
      <c r="K2098" s="2">
        <f t="shared" si="865"/>
        <v>0.76071922544951587</v>
      </c>
      <c r="L2098" s="2">
        <f t="shared" si="866"/>
        <v>0</v>
      </c>
      <c r="M2098" s="2">
        <f t="shared" si="867"/>
        <v>7.6763485477178484E-2</v>
      </c>
      <c r="N2098" s="63">
        <v>235</v>
      </c>
      <c r="O2098" s="63">
        <v>1100</v>
      </c>
      <c r="P2098" s="63"/>
      <c r="Q2098" s="63">
        <v>71</v>
      </c>
      <c r="R2098" s="63">
        <v>10</v>
      </c>
      <c r="S2098" s="63">
        <v>12</v>
      </c>
      <c r="T2098" s="63">
        <v>2</v>
      </c>
      <c r="U2098" s="63"/>
      <c r="V2098" s="63"/>
      <c r="W2098" s="63">
        <v>16</v>
      </c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W2098" s="5">
        <f>IF(Q2098&gt;0,RANK(Q2098,(N2098:P2098,Q2098:AE2098)),0)</f>
        <v>3</v>
      </c>
      <c r="AX2098" s="5">
        <f>IF(R2098&gt;0,RANK(R2098,(N2098:P2098,Q2098:AE2098)),0)</f>
        <v>6</v>
      </c>
      <c r="AY2098" s="5">
        <f>IF(T2098&gt;0,RANK(T2098,(N2098:P2098,Q2098:AE2098)),0)</f>
        <v>7</v>
      </c>
      <c r="AZ2098" s="5">
        <f>IF(S2098&gt;0,RANK(S2098,(N2098:P2098,Q2098:AE2098)),0)</f>
        <v>5</v>
      </c>
      <c r="BA2098" s="2">
        <f t="shared" si="868"/>
        <v>4.9100968188105117E-2</v>
      </c>
      <c r="BB2098" s="2">
        <f t="shared" si="869"/>
        <v>6.9156293222683261E-3</v>
      </c>
      <c r="BC2098" s="2">
        <f t="shared" si="870"/>
        <v>1.3831258644536654E-3</v>
      </c>
      <c r="BD2098" s="2">
        <f t="shared" si="871"/>
        <v>8.2987551867219917E-3</v>
      </c>
      <c r="BF2098" t="s">
        <v>1205</v>
      </c>
      <c r="BG2098" t="s">
        <v>1615</v>
      </c>
      <c r="BH2098">
        <v>1</v>
      </c>
      <c r="BJ2098" s="114">
        <v>38</v>
      </c>
      <c r="BK2098" s="116">
        <v>51</v>
      </c>
      <c r="BL2098" s="120">
        <f t="shared" si="872"/>
        <v>38051</v>
      </c>
      <c r="BN2098" s="5" t="s">
        <v>3154</v>
      </c>
    </row>
    <row r="2099" spans="1:66" hidden="1" outlineLevel="1">
      <c r="A2099" t="s">
        <v>326</v>
      </c>
      <c r="B2099" t="s">
        <v>1615</v>
      </c>
      <c r="C2099" s="1">
        <f t="shared" si="863"/>
        <v>4672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32">
        <f t="shared" si="861"/>
        <v>2972</v>
      </c>
      <c r="H2099" s="137">
        <f t="shared" si="862"/>
        <v>0.63613013698630139</v>
      </c>
      <c r="I2099" s="2"/>
      <c r="J2099" s="2">
        <f t="shared" si="864"/>
        <v>0.14940068493150685</v>
      </c>
      <c r="K2099" s="2">
        <f t="shared" si="865"/>
        <v>0.78553082191780821</v>
      </c>
      <c r="L2099" s="2">
        <f t="shared" si="866"/>
        <v>0</v>
      </c>
      <c r="M2099" s="2">
        <f t="shared" si="867"/>
        <v>6.506849315068497E-2</v>
      </c>
      <c r="N2099" s="63">
        <v>698</v>
      </c>
      <c r="O2099" s="63">
        <v>3670</v>
      </c>
      <c r="P2099" s="63"/>
      <c r="Q2099" s="63">
        <v>172</v>
      </c>
      <c r="R2099" s="63">
        <v>35</v>
      </c>
      <c r="S2099" s="63">
        <v>28</v>
      </c>
      <c r="T2099" s="63">
        <v>3</v>
      </c>
      <c r="U2099" s="63"/>
      <c r="V2099" s="63"/>
      <c r="W2099" s="63">
        <v>66</v>
      </c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W2099" s="5">
        <f>IF(Q2099&gt;0,RANK(Q2099,(N2099:P2099,Q2099:AE2099)),0)</f>
        <v>3</v>
      </c>
      <c r="AX2099" s="5">
        <f>IF(R2099&gt;0,RANK(R2099,(N2099:P2099,Q2099:AE2099)),0)</f>
        <v>5</v>
      </c>
      <c r="AY2099" s="5">
        <f>IF(T2099&gt;0,RANK(T2099,(N2099:P2099,Q2099:AE2099)),0)</f>
        <v>7</v>
      </c>
      <c r="AZ2099" s="5">
        <f>IF(S2099&gt;0,RANK(S2099,(N2099:P2099,Q2099:AE2099)),0)</f>
        <v>6</v>
      </c>
      <c r="BA2099" s="2">
        <f t="shared" si="868"/>
        <v>3.6815068493150686E-2</v>
      </c>
      <c r="BB2099" s="2">
        <f t="shared" si="869"/>
        <v>7.4914383561643831E-3</v>
      </c>
      <c r="BC2099" s="2">
        <f t="shared" si="870"/>
        <v>6.4212328767123284E-4</v>
      </c>
      <c r="BD2099" s="2">
        <f t="shared" si="871"/>
        <v>5.9931506849315065E-3</v>
      </c>
      <c r="BF2099" t="s">
        <v>326</v>
      </c>
      <c r="BG2099" t="s">
        <v>1615</v>
      </c>
      <c r="BH2099">
        <v>1</v>
      </c>
      <c r="BJ2099" s="114">
        <v>38</v>
      </c>
      <c r="BK2099" s="116">
        <v>53</v>
      </c>
      <c r="BL2099" s="120">
        <f t="shared" si="872"/>
        <v>38053</v>
      </c>
      <c r="BN2099" s="5" t="s">
        <v>3154</v>
      </c>
    </row>
    <row r="2100" spans="1:66" hidden="1" outlineLevel="1">
      <c r="A2100" t="s">
        <v>117</v>
      </c>
      <c r="B2100" t="s">
        <v>1615</v>
      </c>
      <c r="C2100" s="1">
        <f t="shared" si="863"/>
        <v>5315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32">
        <f t="shared" si="861"/>
        <v>2779</v>
      </c>
      <c r="H2100" s="137">
        <f t="shared" si="862"/>
        <v>0.52285983066792097</v>
      </c>
      <c r="I2100" s="2"/>
      <c r="J2100" s="2">
        <f t="shared" si="864"/>
        <v>0.20338664158043274</v>
      </c>
      <c r="K2100" s="2">
        <f t="shared" si="865"/>
        <v>0.7262464722483537</v>
      </c>
      <c r="L2100" s="2">
        <f t="shared" si="866"/>
        <v>0</v>
      </c>
      <c r="M2100" s="2">
        <f t="shared" si="867"/>
        <v>7.0366886171213561E-2</v>
      </c>
      <c r="N2100" s="63">
        <v>1081</v>
      </c>
      <c r="O2100" s="63">
        <v>3860</v>
      </c>
      <c r="P2100" s="63"/>
      <c r="Q2100" s="63">
        <v>256</v>
      </c>
      <c r="R2100" s="63">
        <v>29</v>
      </c>
      <c r="S2100" s="63">
        <v>24</v>
      </c>
      <c r="T2100" s="63">
        <v>8</v>
      </c>
      <c r="U2100" s="63"/>
      <c r="V2100" s="63"/>
      <c r="W2100" s="63">
        <v>57</v>
      </c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W2100" s="5">
        <f>IF(Q2100&gt;0,RANK(Q2100,(N2100:P2100,Q2100:AE2100)),0)</f>
        <v>3</v>
      </c>
      <c r="AX2100" s="5">
        <f>IF(R2100&gt;0,RANK(R2100,(N2100:P2100,Q2100:AE2100)),0)</f>
        <v>5</v>
      </c>
      <c r="AY2100" s="5">
        <f>IF(T2100&gt;0,RANK(T2100,(N2100:P2100,Q2100:AE2100)),0)</f>
        <v>7</v>
      </c>
      <c r="AZ2100" s="5">
        <f>IF(S2100&gt;0,RANK(S2100,(N2100:P2100,Q2100:AE2100)),0)</f>
        <v>6</v>
      </c>
      <c r="BA2100" s="2">
        <f t="shared" si="868"/>
        <v>4.8165569143932267E-2</v>
      </c>
      <c r="BB2100" s="2">
        <f t="shared" si="869"/>
        <v>5.4562558795860768E-3</v>
      </c>
      <c r="BC2100" s="2">
        <f t="shared" si="870"/>
        <v>1.5051740357478834E-3</v>
      </c>
      <c r="BD2100" s="2">
        <f t="shared" si="871"/>
        <v>4.5155221072436498E-3</v>
      </c>
      <c r="BF2100" t="s">
        <v>117</v>
      </c>
      <c r="BG2100" t="s">
        <v>1615</v>
      </c>
      <c r="BH2100">
        <v>1</v>
      </c>
      <c r="BJ2100" s="114">
        <v>38</v>
      </c>
      <c r="BK2100" s="116">
        <v>55</v>
      </c>
      <c r="BL2100" s="120">
        <f t="shared" si="872"/>
        <v>38055</v>
      </c>
      <c r="BN2100" s="5" t="s">
        <v>3154</v>
      </c>
    </row>
    <row r="2101" spans="1:66" hidden="1" outlineLevel="1">
      <c r="A2101" t="s">
        <v>449</v>
      </c>
      <c r="B2101" t="s">
        <v>1615</v>
      </c>
      <c r="C2101" s="1">
        <f t="shared" si="863"/>
        <v>4682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32">
        <f t="shared" si="861"/>
        <v>3138</v>
      </c>
      <c r="H2101" s="137">
        <f t="shared" si="862"/>
        <v>0.67022639897479708</v>
      </c>
      <c r="I2101" s="2"/>
      <c r="J2101" s="2">
        <f t="shared" si="864"/>
        <v>0.13263562580093977</v>
      </c>
      <c r="K2101" s="2">
        <f t="shared" si="865"/>
        <v>0.80286202477573687</v>
      </c>
      <c r="L2101" s="2">
        <f t="shared" si="866"/>
        <v>0</v>
      </c>
      <c r="M2101" s="2">
        <f t="shared" si="867"/>
        <v>6.4502349423323335E-2</v>
      </c>
      <c r="N2101" s="63">
        <v>621</v>
      </c>
      <c r="O2101" s="63">
        <v>3759</v>
      </c>
      <c r="P2101" s="63"/>
      <c r="Q2101" s="63">
        <v>190</v>
      </c>
      <c r="R2101" s="63">
        <v>21</v>
      </c>
      <c r="S2101" s="63">
        <v>21</v>
      </c>
      <c r="T2101" s="63">
        <v>4</v>
      </c>
      <c r="U2101" s="63"/>
      <c r="V2101" s="63"/>
      <c r="W2101" s="63">
        <v>66</v>
      </c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W2101" s="5">
        <f>IF(Q2101&gt;0,RANK(Q2101,(N2101:P2101,Q2101:AE2101)),0)</f>
        <v>3</v>
      </c>
      <c r="AX2101" s="5">
        <f>IF(R2101&gt;0,RANK(R2101,(N2101:P2101,Q2101:AE2101)),0)</f>
        <v>5</v>
      </c>
      <c r="AY2101" s="5">
        <f>IF(T2101&gt;0,RANK(T2101,(N2101:P2101,Q2101:AE2101)),0)</f>
        <v>7</v>
      </c>
      <c r="AZ2101" s="5">
        <f>IF(S2101&gt;0,RANK(S2101,(N2101:P2101,Q2101:AE2101)),0)</f>
        <v>5</v>
      </c>
      <c r="BA2101" s="2">
        <f t="shared" si="868"/>
        <v>4.0580948312686889E-2</v>
      </c>
      <c r="BB2101" s="2">
        <f t="shared" si="869"/>
        <v>4.4852627082443402E-3</v>
      </c>
      <c r="BC2101" s="2">
        <f t="shared" si="870"/>
        <v>8.5433575395130288E-4</v>
      </c>
      <c r="BD2101" s="2">
        <f t="shared" si="871"/>
        <v>4.4852627082443402E-3</v>
      </c>
      <c r="BF2101" t="s">
        <v>449</v>
      </c>
      <c r="BG2101" t="s">
        <v>1615</v>
      </c>
      <c r="BH2101">
        <v>1</v>
      </c>
      <c r="BJ2101" s="114">
        <v>38</v>
      </c>
      <c r="BK2101" s="116">
        <v>57</v>
      </c>
      <c r="BL2101" s="120">
        <f t="shared" si="872"/>
        <v>38057</v>
      </c>
      <c r="BN2101" s="5" t="s">
        <v>3154</v>
      </c>
    </row>
    <row r="2102" spans="1:66" hidden="1" outlineLevel="1">
      <c r="A2102" t="s">
        <v>941</v>
      </c>
      <c r="B2102" t="s">
        <v>1615</v>
      </c>
      <c r="C2102" s="1">
        <f t="shared" si="863"/>
        <v>15832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32">
        <f t="shared" si="861"/>
        <v>8256</v>
      </c>
      <c r="H2102" s="137">
        <f t="shared" si="862"/>
        <v>0.52147549267306725</v>
      </c>
      <c r="I2102" s="2"/>
      <c r="J2102" s="2">
        <f t="shared" si="864"/>
        <v>0.19454269833249116</v>
      </c>
      <c r="K2102" s="2">
        <f t="shared" si="865"/>
        <v>0.71601819100555841</v>
      </c>
      <c r="L2102" s="2">
        <f t="shared" si="866"/>
        <v>0</v>
      </c>
      <c r="M2102" s="2">
        <f t="shared" si="867"/>
        <v>8.9439110661950427E-2</v>
      </c>
      <c r="N2102" s="63">
        <v>3080</v>
      </c>
      <c r="O2102" s="63">
        <v>11336</v>
      </c>
      <c r="P2102" s="63"/>
      <c r="Q2102" s="63">
        <v>914</v>
      </c>
      <c r="R2102" s="63">
        <v>141</v>
      </c>
      <c r="S2102" s="63">
        <v>82</v>
      </c>
      <c r="T2102" s="63">
        <v>16</v>
      </c>
      <c r="U2102" s="63"/>
      <c r="V2102" s="63"/>
      <c r="W2102" s="63">
        <v>263</v>
      </c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W2102" s="5">
        <f>IF(Q2102&gt;0,RANK(Q2102,(N2102:P2102,Q2102:AE2102)),0)</f>
        <v>3</v>
      </c>
      <c r="AX2102" s="5">
        <f>IF(R2102&gt;0,RANK(R2102,(N2102:P2102,Q2102:AE2102)),0)</f>
        <v>5</v>
      </c>
      <c r="AY2102" s="5">
        <f>IF(T2102&gt;0,RANK(T2102,(N2102:P2102,Q2102:AE2102)),0)</f>
        <v>7</v>
      </c>
      <c r="AZ2102" s="5">
        <f>IF(S2102&gt;0,RANK(S2102,(N2102:P2102,Q2102:AE2102)),0)</f>
        <v>6</v>
      </c>
      <c r="BA2102" s="2">
        <f t="shared" si="868"/>
        <v>5.7731177362304195E-2</v>
      </c>
      <c r="BB2102" s="2">
        <f t="shared" si="869"/>
        <v>8.906013137948459E-3</v>
      </c>
      <c r="BC2102" s="2">
        <f t="shared" si="870"/>
        <v>1.0106114199090451E-3</v>
      </c>
      <c r="BD2102" s="2">
        <f t="shared" si="871"/>
        <v>5.1793835270338559E-3</v>
      </c>
      <c r="BF2102" t="s">
        <v>941</v>
      </c>
      <c r="BG2102" t="s">
        <v>1615</v>
      </c>
      <c r="BH2102">
        <v>1</v>
      </c>
      <c r="BJ2102" s="114">
        <v>38</v>
      </c>
      <c r="BK2102" s="116">
        <v>59</v>
      </c>
      <c r="BL2102" s="120">
        <f t="shared" si="872"/>
        <v>38059</v>
      </c>
      <c r="BN2102" s="5" t="s">
        <v>3154</v>
      </c>
    </row>
    <row r="2103" spans="1:66" hidden="1" outlineLevel="1">
      <c r="A2103" t="s">
        <v>3137</v>
      </c>
      <c r="B2103" t="s">
        <v>1615</v>
      </c>
      <c r="C2103" s="1">
        <f t="shared" si="863"/>
        <v>4106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32">
        <f t="shared" si="861"/>
        <v>1362</v>
      </c>
      <c r="H2103" s="137">
        <f t="shared" si="862"/>
        <v>0.33170969313200194</v>
      </c>
      <c r="I2103" s="2"/>
      <c r="J2103" s="2">
        <f t="shared" si="864"/>
        <v>0.29712615684364346</v>
      </c>
      <c r="K2103" s="2">
        <f t="shared" si="865"/>
        <v>0.62883584997564534</v>
      </c>
      <c r="L2103" s="2">
        <f t="shared" si="866"/>
        <v>0</v>
      </c>
      <c r="M2103" s="2">
        <f t="shared" si="867"/>
        <v>7.4037993180711248E-2</v>
      </c>
      <c r="N2103" s="63">
        <v>1220</v>
      </c>
      <c r="O2103" s="63">
        <v>2582</v>
      </c>
      <c r="P2103" s="63"/>
      <c r="Q2103" s="63">
        <v>166</v>
      </c>
      <c r="R2103" s="63">
        <v>56</v>
      </c>
      <c r="S2103" s="63">
        <v>24</v>
      </c>
      <c r="T2103" s="63">
        <v>4</v>
      </c>
      <c r="U2103" s="63"/>
      <c r="V2103" s="63"/>
      <c r="W2103" s="63">
        <v>54</v>
      </c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W2103" s="5">
        <f>IF(Q2103&gt;0,RANK(Q2103,(N2103:P2103,Q2103:AE2103)),0)</f>
        <v>3</v>
      </c>
      <c r="AX2103" s="5">
        <f>IF(R2103&gt;0,RANK(R2103,(N2103:P2103,Q2103:AE2103)),0)</f>
        <v>4</v>
      </c>
      <c r="AY2103" s="5">
        <f>IF(T2103&gt;0,RANK(T2103,(N2103:P2103,Q2103:AE2103)),0)</f>
        <v>7</v>
      </c>
      <c r="AZ2103" s="5">
        <f>IF(S2103&gt;0,RANK(S2103,(N2103:P2103,Q2103:AE2103)),0)</f>
        <v>6</v>
      </c>
      <c r="BA2103" s="2">
        <f t="shared" si="868"/>
        <v>4.0428641013151488E-2</v>
      </c>
      <c r="BB2103" s="2">
        <f t="shared" si="869"/>
        <v>1.3638577691183634E-2</v>
      </c>
      <c r="BC2103" s="2">
        <f t="shared" si="870"/>
        <v>9.7418412079883102E-4</v>
      </c>
      <c r="BD2103" s="2">
        <f t="shared" si="871"/>
        <v>5.8451047247929854E-3</v>
      </c>
      <c r="BF2103" t="s">
        <v>3137</v>
      </c>
      <c r="BG2103" t="s">
        <v>1615</v>
      </c>
      <c r="BH2103">
        <v>1</v>
      </c>
      <c r="BJ2103" s="114">
        <v>38</v>
      </c>
      <c r="BK2103" s="116">
        <v>61</v>
      </c>
      <c r="BL2103" s="120">
        <f t="shared" si="872"/>
        <v>38061</v>
      </c>
      <c r="BN2103" s="5" t="s">
        <v>3154</v>
      </c>
    </row>
    <row r="2104" spans="1:66" hidden="1" outlineLevel="1">
      <c r="A2104" t="s">
        <v>424</v>
      </c>
      <c r="B2104" t="s">
        <v>1615</v>
      </c>
      <c r="C2104" s="1">
        <f t="shared" si="863"/>
        <v>1717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32">
        <f t="shared" si="861"/>
        <v>489</v>
      </c>
      <c r="H2104" s="137">
        <f t="shared" si="862"/>
        <v>0.28479906814210831</v>
      </c>
      <c r="I2104" s="2"/>
      <c r="J2104" s="2">
        <f t="shared" si="864"/>
        <v>0.31217239370995925</v>
      </c>
      <c r="K2104" s="2">
        <f t="shared" si="865"/>
        <v>0.59697146185206751</v>
      </c>
      <c r="L2104" s="2">
        <f t="shared" si="866"/>
        <v>0</v>
      </c>
      <c r="M2104" s="2">
        <f t="shared" si="867"/>
        <v>9.0856144437973296E-2</v>
      </c>
      <c r="N2104" s="63">
        <v>536</v>
      </c>
      <c r="O2104" s="63">
        <v>1025</v>
      </c>
      <c r="P2104" s="63"/>
      <c r="Q2104" s="63">
        <v>114</v>
      </c>
      <c r="R2104" s="63">
        <v>11</v>
      </c>
      <c r="S2104" s="63">
        <v>9</v>
      </c>
      <c r="T2104" s="63">
        <v>0</v>
      </c>
      <c r="U2104" s="63"/>
      <c r="V2104" s="63"/>
      <c r="W2104" s="63">
        <v>22</v>
      </c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W2104" s="5">
        <f>IF(Q2104&gt;0,RANK(Q2104,(N2104:P2104,Q2104:AE2104)),0)</f>
        <v>3</v>
      </c>
      <c r="AX2104" s="5">
        <f>IF(R2104&gt;0,RANK(R2104,(N2104:P2104,Q2104:AE2104)),0)</f>
        <v>5</v>
      </c>
      <c r="AY2104" s="5">
        <f>IF(T2104&gt;0,RANK(T2104,(N2104:P2104,Q2104:AE2104)),0)</f>
        <v>0</v>
      </c>
      <c r="AZ2104" s="5">
        <f>IF(S2104&gt;0,RANK(S2104,(N2104:P2104,Q2104:AE2104)),0)</f>
        <v>6</v>
      </c>
      <c r="BA2104" s="2">
        <f t="shared" si="868"/>
        <v>6.6394874781595808E-2</v>
      </c>
      <c r="BB2104" s="2">
        <f t="shared" si="869"/>
        <v>6.4065230052417002E-3</v>
      </c>
      <c r="BC2104" s="2">
        <f t="shared" si="870"/>
        <v>0</v>
      </c>
      <c r="BD2104" s="2">
        <f t="shared" si="871"/>
        <v>5.2417006406523005E-3</v>
      </c>
      <c r="BF2104" t="s">
        <v>424</v>
      </c>
      <c r="BG2104" t="s">
        <v>1615</v>
      </c>
      <c r="BH2104">
        <v>1</v>
      </c>
      <c r="BJ2104" s="114">
        <v>38</v>
      </c>
      <c r="BK2104" s="116">
        <v>63</v>
      </c>
      <c r="BL2104" s="120">
        <f t="shared" si="872"/>
        <v>38063</v>
      </c>
      <c r="BN2104" s="5" t="s">
        <v>3154</v>
      </c>
    </row>
    <row r="2105" spans="1:66" hidden="1" outlineLevel="1">
      <c r="A2105" t="s">
        <v>3066</v>
      </c>
      <c r="B2105" t="s">
        <v>1615</v>
      </c>
      <c r="C2105" s="1">
        <f t="shared" ref="C2105:C2126" si="873">SUM(N2105:AU2105)</f>
        <v>1017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32">
        <f t="shared" si="861"/>
        <v>711</v>
      </c>
      <c r="H2105" s="137">
        <f t="shared" si="862"/>
        <v>0.69911504424778759</v>
      </c>
      <c r="I2105" s="2"/>
      <c r="J2105" s="2">
        <f t="shared" ref="J2105:J2126" si="874">IF($C2105=0,"-",N2105/$C2105)</f>
        <v>0.11701081612586037</v>
      </c>
      <c r="K2105" s="2">
        <f t="shared" ref="K2105:K2126" si="875">IF($C2105=0,"-",O2105/$C2105)</f>
        <v>0.81612586037364798</v>
      </c>
      <c r="L2105" s="2">
        <f t="shared" ref="L2105:L2126" si="876">IF($C2105=0,"-",P2105/$C2105)</f>
        <v>0</v>
      </c>
      <c r="M2105" s="2">
        <f t="shared" ref="M2105:M2126" si="877">IF(C2105=0,"-",(1-J2105-K2105-L2105))</f>
        <v>6.6863323500491623E-2</v>
      </c>
      <c r="N2105" s="63">
        <v>119</v>
      </c>
      <c r="O2105" s="63">
        <v>830</v>
      </c>
      <c r="P2105" s="63"/>
      <c r="Q2105" s="63">
        <v>47</v>
      </c>
      <c r="R2105" s="63">
        <v>3</v>
      </c>
      <c r="S2105" s="63">
        <v>5</v>
      </c>
      <c r="T2105" s="63">
        <v>2</v>
      </c>
      <c r="U2105" s="63"/>
      <c r="V2105" s="63"/>
      <c r="W2105" s="63">
        <v>11</v>
      </c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W2105" s="5">
        <f>IF(Q2105&gt;0,RANK(Q2105,(N2105:P2105,Q2105:AE2105)),0)</f>
        <v>3</v>
      </c>
      <c r="AX2105" s="5">
        <f>IF(R2105&gt;0,RANK(R2105,(N2105:P2105,Q2105:AE2105)),0)</f>
        <v>6</v>
      </c>
      <c r="AY2105" s="5">
        <f>IF(T2105&gt;0,RANK(T2105,(N2105:P2105,Q2105:AE2105)),0)</f>
        <v>7</v>
      </c>
      <c r="AZ2105" s="5">
        <f>IF(S2105&gt;0,RANK(S2105,(N2105:P2105,Q2105:AE2105)),0)</f>
        <v>5</v>
      </c>
      <c r="BA2105" s="2">
        <f t="shared" ref="BA2105:BA2126" si="878">IF($C2105=0,"-",Q2105/$C2105)</f>
        <v>4.6214355948869225E-2</v>
      </c>
      <c r="BB2105" s="2">
        <f t="shared" ref="BB2105:BB2126" si="879">IF($C2105=0,"-",R2105/$C2105)</f>
        <v>2.9498525073746312E-3</v>
      </c>
      <c r="BC2105" s="2">
        <f t="shared" ref="BC2105:BC2126" si="880">IF($C2105=0,"-",T2105/$C2105)</f>
        <v>1.9665683382497543E-3</v>
      </c>
      <c r="BD2105" s="2">
        <f t="shared" ref="BD2105:BD2126" si="881">IF($C2105=0,"-",S2105/$C2105)</f>
        <v>4.9164208456243851E-3</v>
      </c>
      <c r="BF2105" t="s">
        <v>3066</v>
      </c>
      <c r="BG2105" t="s">
        <v>1615</v>
      </c>
      <c r="BH2105">
        <v>1</v>
      </c>
      <c r="BJ2105" s="114">
        <v>38</v>
      </c>
      <c r="BK2105" s="116">
        <v>65</v>
      </c>
      <c r="BL2105" s="120">
        <f t="shared" si="872"/>
        <v>38065</v>
      </c>
      <c r="BN2105" s="5" t="s">
        <v>3154</v>
      </c>
    </row>
    <row r="2106" spans="1:66" hidden="1" outlineLevel="1">
      <c r="A2106" t="s">
        <v>1340</v>
      </c>
      <c r="B2106" t="s">
        <v>1615</v>
      </c>
      <c r="C2106" s="1">
        <f t="shared" si="873"/>
        <v>3153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32">
        <f t="shared" si="861"/>
        <v>1527</v>
      </c>
      <c r="H2106" s="137">
        <f t="shared" si="862"/>
        <v>0.48430066603235017</v>
      </c>
      <c r="I2106" s="2"/>
      <c r="J2106" s="2">
        <f t="shared" si="874"/>
        <v>0.21598477640342531</v>
      </c>
      <c r="K2106" s="2">
        <f t="shared" si="875"/>
        <v>0.70028544243577551</v>
      </c>
      <c r="L2106" s="2">
        <f t="shared" si="876"/>
        <v>0</v>
      </c>
      <c r="M2106" s="2">
        <f t="shared" si="877"/>
        <v>8.372978116079921E-2</v>
      </c>
      <c r="N2106" s="63">
        <v>681</v>
      </c>
      <c r="O2106" s="63">
        <v>2208</v>
      </c>
      <c r="P2106" s="63"/>
      <c r="Q2106" s="63">
        <v>167</v>
      </c>
      <c r="R2106" s="63">
        <v>28</v>
      </c>
      <c r="S2106" s="63">
        <v>12</v>
      </c>
      <c r="T2106" s="63">
        <v>2</v>
      </c>
      <c r="U2106" s="63"/>
      <c r="V2106" s="63"/>
      <c r="W2106" s="63">
        <v>55</v>
      </c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W2106" s="5">
        <f>IF(Q2106&gt;0,RANK(Q2106,(N2106:P2106,Q2106:AE2106)),0)</f>
        <v>3</v>
      </c>
      <c r="AX2106" s="5">
        <f>IF(R2106&gt;0,RANK(R2106,(N2106:P2106,Q2106:AE2106)),0)</f>
        <v>5</v>
      </c>
      <c r="AY2106" s="5">
        <f>IF(T2106&gt;0,RANK(T2106,(N2106:P2106,Q2106:AE2106)),0)</f>
        <v>7</v>
      </c>
      <c r="AZ2106" s="5">
        <f>IF(S2106&gt;0,RANK(S2106,(N2106:P2106,Q2106:AE2106)),0)</f>
        <v>6</v>
      </c>
      <c r="BA2106" s="2">
        <f t="shared" si="878"/>
        <v>5.2965429749444973E-2</v>
      </c>
      <c r="BB2106" s="2">
        <f t="shared" si="879"/>
        <v>8.8804313352362826E-3</v>
      </c>
      <c r="BC2106" s="2">
        <f t="shared" si="880"/>
        <v>6.3431652394544877E-4</v>
      </c>
      <c r="BD2106" s="2">
        <f t="shared" si="881"/>
        <v>3.8058991436726928E-3</v>
      </c>
      <c r="BF2106" t="s">
        <v>1340</v>
      </c>
      <c r="BG2106" t="s">
        <v>1615</v>
      </c>
      <c r="BH2106">
        <v>1</v>
      </c>
      <c r="BJ2106" s="114">
        <v>38</v>
      </c>
      <c r="BK2106" s="116">
        <v>67</v>
      </c>
      <c r="BL2106" s="120">
        <f t="shared" si="872"/>
        <v>38067</v>
      </c>
      <c r="BN2106" s="5" t="s">
        <v>3154</v>
      </c>
    </row>
    <row r="2107" spans="1:66" hidden="1" outlineLevel="1">
      <c r="A2107" t="s">
        <v>1762</v>
      </c>
      <c r="B2107" t="s">
        <v>1615</v>
      </c>
      <c r="C2107" s="1">
        <f t="shared" si="873"/>
        <v>2071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32">
        <f t="shared" si="861"/>
        <v>1006</v>
      </c>
      <c r="H2107" s="137">
        <f t="shared" si="862"/>
        <v>0.48575567358763883</v>
      </c>
      <c r="I2107" s="2"/>
      <c r="J2107" s="2">
        <f t="shared" si="874"/>
        <v>0.20811202317720909</v>
      </c>
      <c r="K2107" s="2">
        <f t="shared" si="875"/>
        <v>0.69386769676484794</v>
      </c>
      <c r="L2107" s="2">
        <f t="shared" si="876"/>
        <v>0</v>
      </c>
      <c r="M2107" s="2">
        <f t="shared" si="877"/>
        <v>9.8020280057942943E-2</v>
      </c>
      <c r="N2107" s="63">
        <v>431</v>
      </c>
      <c r="O2107" s="63">
        <v>1437</v>
      </c>
      <c r="P2107" s="63"/>
      <c r="Q2107" s="63">
        <v>132</v>
      </c>
      <c r="R2107" s="63">
        <v>9</v>
      </c>
      <c r="S2107" s="63">
        <v>14</v>
      </c>
      <c r="T2107" s="63">
        <v>1</v>
      </c>
      <c r="U2107" s="63"/>
      <c r="V2107" s="63"/>
      <c r="W2107" s="63">
        <v>47</v>
      </c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W2107" s="5">
        <f>IF(Q2107&gt;0,RANK(Q2107,(N2107:P2107,Q2107:AE2107)),0)</f>
        <v>3</v>
      </c>
      <c r="AX2107" s="5">
        <f>IF(R2107&gt;0,RANK(R2107,(N2107:P2107,Q2107:AE2107)),0)</f>
        <v>6</v>
      </c>
      <c r="AY2107" s="5">
        <f>IF(T2107&gt;0,RANK(T2107,(N2107:P2107,Q2107:AE2107)),0)</f>
        <v>7</v>
      </c>
      <c r="AZ2107" s="5">
        <f>IF(S2107&gt;0,RANK(S2107,(N2107:P2107,Q2107:AE2107)),0)</f>
        <v>5</v>
      </c>
      <c r="BA2107" s="2">
        <f t="shared" si="878"/>
        <v>6.3737324963785605E-2</v>
      </c>
      <c r="BB2107" s="2">
        <f t="shared" si="879"/>
        <v>4.3457267020762915E-3</v>
      </c>
      <c r="BC2107" s="2">
        <f t="shared" si="880"/>
        <v>4.8285852245292128E-4</v>
      </c>
      <c r="BD2107" s="2">
        <f t="shared" si="881"/>
        <v>6.7600193143408979E-3</v>
      </c>
      <c r="BF2107" t="s">
        <v>1762</v>
      </c>
      <c r="BG2107" t="s">
        <v>1615</v>
      </c>
      <c r="BH2107">
        <v>1</v>
      </c>
      <c r="BJ2107" s="114">
        <v>38</v>
      </c>
      <c r="BK2107" s="116">
        <v>69</v>
      </c>
      <c r="BL2107" s="120">
        <f t="shared" si="872"/>
        <v>38069</v>
      </c>
      <c r="BN2107" s="5" t="s">
        <v>3154</v>
      </c>
    </row>
    <row r="2108" spans="1:66" hidden="1" outlineLevel="1">
      <c r="A2108" t="s">
        <v>235</v>
      </c>
      <c r="B2108" t="s">
        <v>1615</v>
      </c>
      <c r="C2108" s="1">
        <f t="shared" si="873"/>
        <v>5305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32">
        <f t="shared" si="861"/>
        <v>1712</v>
      </c>
      <c r="H2108" s="137">
        <f t="shared" si="862"/>
        <v>0.32271442035815268</v>
      </c>
      <c r="I2108" s="2"/>
      <c r="J2108" s="2">
        <f t="shared" si="874"/>
        <v>0.28369462770970783</v>
      </c>
      <c r="K2108" s="2">
        <f t="shared" si="875"/>
        <v>0.60640904806786056</v>
      </c>
      <c r="L2108" s="2">
        <f t="shared" si="876"/>
        <v>0</v>
      </c>
      <c r="M2108" s="2">
        <f t="shared" si="877"/>
        <v>0.10989632422243156</v>
      </c>
      <c r="N2108" s="63">
        <v>1505</v>
      </c>
      <c r="O2108" s="63">
        <v>3217</v>
      </c>
      <c r="P2108" s="63"/>
      <c r="Q2108" s="63">
        <v>405</v>
      </c>
      <c r="R2108" s="63">
        <v>44</v>
      </c>
      <c r="S2108" s="63">
        <v>43</v>
      </c>
      <c r="T2108" s="63">
        <v>5</v>
      </c>
      <c r="U2108" s="63"/>
      <c r="V2108" s="63"/>
      <c r="W2108" s="63">
        <v>86</v>
      </c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W2108" s="5">
        <f>IF(Q2108&gt;0,RANK(Q2108,(N2108:P2108,Q2108:AE2108)),0)</f>
        <v>3</v>
      </c>
      <c r="AX2108" s="5">
        <f>IF(R2108&gt;0,RANK(R2108,(N2108:P2108,Q2108:AE2108)),0)</f>
        <v>5</v>
      </c>
      <c r="AY2108" s="5">
        <f>IF(T2108&gt;0,RANK(T2108,(N2108:P2108,Q2108:AE2108)),0)</f>
        <v>7</v>
      </c>
      <c r="AZ2108" s="5">
        <f>IF(S2108&gt;0,RANK(S2108,(N2108:P2108,Q2108:AE2108)),0)</f>
        <v>6</v>
      </c>
      <c r="BA2108" s="2">
        <f t="shared" si="878"/>
        <v>7.6343072573044304E-2</v>
      </c>
      <c r="BB2108" s="2">
        <f t="shared" si="879"/>
        <v>8.294062205466541E-3</v>
      </c>
      <c r="BC2108" s="2">
        <f t="shared" si="880"/>
        <v>9.42507068803016E-4</v>
      </c>
      <c r="BD2108" s="2">
        <f t="shared" si="881"/>
        <v>8.1055607917059382E-3</v>
      </c>
      <c r="BF2108" t="s">
        <v>235</v>
      </c>
      <c r="BG2108" t="s">
        <v>1615</v>
      </c>
      <c r="BH2108">
        <v>1</v>
      </c>
      <c r="BJ2108" s="114">
        <v>38</v>
      </c>
      <c r="BK2108" s="116">
        <v>71</v>
      </c>
      <c r="BL2108" s="120">
        <f t="shared" si="872"/>
        <v>38071</v>
      </c>
      <c r="BN2108" s="5" t="s">
        <v>3154</v>
      </c>
    </row>
    <row r="2109" spans="1:66" hidden="1" outlineLevel="1">
      <c r="A2109" t="s">
        <v>1726</v>
      </c>
      <c r="B2109" t="s">
        <v>1615</v>
      </c>
      <c r="C2109" s="1">
        <f t="shared" si="873"/>
        <v>2359</v>
      </c>
      <c r="D2109" s="5">
        <f>IF(N2109&gt;0, RANK(N2109,(N2109:P2109,Q2109:AE2109)),0)</f>
        <v>2</v>
      </c>
      <c r="E2109" s="5">
        <f>IF(O2109&gt;0,RANK(O2109,(N2109:P2109,Q2109:AE2109)),0)</f>
        <v>1</v>
      </c>
      <c r="F2109" s="5">
        <f>IF(P2109&gt;0,RANK(P2109,(N2109:P2109,Q2109:AE2109)),0)</f>
        <v>0</v>
      </c>
      <c r="G2109" s="132">
        <f t="shared" si="861"/>
        <v>372</v>
      </c>
      <c r="H2109" s="137">
        <f t="shared" si="862"/>
        <v>0.15769393810936838</v>
      </c>
      <c r="I2109" s="2"/>
      <c r="J2109" s="2">
        <f t="shared" si="874"/>
        <v>0.35523526918185672</v>
      </c>
      <c r="K2109" s="2">
        <f t="shared" si="875"/>
        <v>0.51292920729122504</v>
      </c>
      <c r="L2109" s="2">
        <f t="shared" si="876"/>
        <v>0</v>
      </c>
      <c r="M2109" s="2">
        <f t="shared" si="877"/>
        <v>0.13183552352691819</v>
      </c>
      <c r="N2109" s="63">
        <v>838</v>
      </c>
      <c r="O2109" s="63">
        <v>1210</v>
      </c>
      <c r="P2109" s="63"/>
      <c r="Q2109" s="63">
        <v>247</v>
      </c>
      <c r="R2109" s="63">
        <v>22</v>
      </c>
      <c r="S2109" s="63">
        <v>4</v>
      </c>
      <c r="T2109" s="63">
        <v>1</v>
      </c>
      <c r="U2109" s="63"/>
      <c r="V2109" s="63"/>
      <c r="W2109" s="63">
        <v>37</v>
      </c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W2109" s="5">
        <f>IF(Q2109&gt;0,RANK(Q2109,(N2109:P2109,Q2109:AE2109)),0)</f>
        <v>3</v>
      </c>
      <c r="AX2109" s="5">
        <f>IF(R2109&gt;0,RANK(R2109,(N2109:P2109,Q2109:AE2109)),0)</f>
        <v>5</v>
      </c>
      <c r="AY2109" s="5">
        <f>IF(T2109&gt;0,RANK(T2109,(N2109:P2109,Q2109:AE2109)),0)</f>
        <v>7</v>
      </c>
      <c r="AZ2109" s="5">
        <f>IF(S2109&gt;0,RANK(S2109,(N2109:P2109,Q2109:AE2109)),0)</f>
        <v>6</v>
      </c>
      <c r="BA2109" s="2">
        <f t="shared" si="878"/>
        <v>0.10470538363713437</v>
      </c>
      <c r="BB2109" s="2">
        <f t="shared" si="879"/>
        <v>9.3259855871131829E-3</v>
      </c>
      <c r="BC2109" s="2">
        <f t="shared" si="880"/>
        <v>4.2390843577787198E-4</v>
      </c>
      <c r="BD2109" s="2">
        <f t="shared" si="881"/>
        <v>1.6956337431114879E-3</v>
      </c>
      <c r="BF2109" t="s">
        <v>1726</v>
      </c>
      <c r="BG2109" t="s">
        <v>1615</v>
      </c>
      <c r="BH2109">
        <v>1</v>
      </c>
      <c r="BJ2109" s="114">
        <v>38</v>
      </c>
      <c r="BK2109" s="116">
        <v>73</v>
      </c>
      <c r="BL2109" s="120">
        <f t="shared" si="872"/>
        <v>38073</v>
      </c>
      <c r="BN2109" s="5" t="s">
        <v>3154</v>
      </c>
    </row>
    <row r="2110" spans="1:66" hidden="1" outlineLevel="1">
      <c r="A2110" t="s">
        <v>2610</v>
      </c>
      <c r="B2110" t="s">
        <v>1615</v>
      </c>
      <c r="C2110" s="1">
        <f t="shared" si="873"/>
        <v>1293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32">
        <f t="shared" si="861"/>
        <v>792</v>
      </c>
      <c r="H2110" s="137">
        <f t="shared" si="862"/>
        <v>0.61252900232018559</v>
      </c>
      <c r="I2110" s="2"/>
      <c r="J2110" s="2">
        <f t="shared" si="874"/>
        <v>0.1554524361948956</v>
      </c>
      <c r="K2110" s="2">
        <f t="shared" si="875"/>
        <v>0.76798143851508116</v>
      </c>
      <c r="L2110" s="2">
        <f t="shared" si="876"/>
        <v>0</v>
      </c>
      <c r="M2110" s="2">
        <f t="shared" si="877"/>
        <v>7.6566125290023268E-2</v>
      </c>
      <c r="N2110" s="63">
        <v>201</v>
      </c>
      <c r="O2110" s="63">
        <v>993</v>
      </c>
      <c r="P2110" s="63"/>
      <c r="Q2110" s="63">
        <v>71</v>
      </c>
      <c r="R2110" s="63">
        <v>4</v>
      </c>
      <c r="S2110" s="63">
        <v>5</v>
      </c>
      <c r="T2110" s="63">
        <v>0</v>
      </c>
      <c r="U2110" s="63"/>
      <c r="V2110" s="63"/>
      <c r="W2110" s="63">
        <v>19</v>
      </c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W2110" s="5">
        <f>IF(Q2110&gt;0,RANK(Q2110,(N2110:P2110,Q2110:AE2110)),0)</f>
        <v>3</v>
      </c>
      <c r="AX2110" s="5">
        <f>IF(R2110&gt;0,RANK(R2110,(N2110:P2110,Q2110:AE2110)),0)</f>
        <v>6</v>
      </c>
      <c r="AY2110" s="5">
        <f>IF(T2110&gt;0,RANK(T2110,(N2110:P2110,Q2110:AE2110)),0)</f>
        <v>0</v>
      </c>
      <c r="AZ2110" s="5">
        <f>IF(S2110&gt;0,RANK(S2110,(N2110:P2110,Q2110:AE2110)),0)</f>
        <v>5</v>
      </c>
      <c r="BA2110" s="2">
        <f t="shared" si="878"/>
        <v>5.4911059551430781E-2</v>
      </c>
      <c r="BB2110" s="2">
        <f t="shared" si="879"/>
        <v>3.0935808197989174E-3</v>
      </c>
      <c r="BC2110" s="2">
        <f t="shared" si="880"/>
        <v>0</v>
      </c>
      <c r="BD2110" s="2">
        <f t="shared" si="881"/>
        <v>3.8669760247486465E-3</v>
      </c>
      <c r="BF2110" t="s">
        <v>2610</v>
      </c>
      <c r="BG2110" t="s">
        <v>1615</v>
      </c>
      <c r="BH2110">
        <v>1</v>
      </c>
      <c r="BJ2110" s="114">
        <v>38</v>
      </c>
      <c r="BK2110" s="116">
        <v>75</v>
      </c>
      <c r="BL2110" s="120">
        <f t="shared" si="872"/>
        <v>38075</v>
      </c>
      <c r="BN2110" s="5" t="s">
        <v>3154</v>
      </c>
    </row>
    <row r="2111" spans="1:66" hidden="1" outlineLevel="1">
      <c r="A2111" t="s">
        <v>50</v>
      </c>
      <c r="B2111" t="s">
        <v>1615</v>
      </c>
      <c r="C2111" s="1">
        <f t="shared" si="873"/>
        <v>7592</v>
      </c>
      <c r="D2111" s="5">
        <f>IF(N2111&gt;0, RANK(N2111,(N2111:P2111,Q2111:AE2111)),0)</f>
        <v>2</v>
      </c>
      <c r="E2111" s="5">
        <f>IF(O2111&gt;0,RANK(O2111,(N2111:P2111,Q2111:AE2111)),0)</f>
        <v>1</v>
      </c>
      <c r="F2111" s="5">
        <f>IF(P2111&gt;0,RANK(P2111,(N2111:P2111,Q2111:AE2111)),0)</f>
        <v>0</v>
      </c>
      <c r="G2111" s="132">
        <f t="shared" si="861"/>
        <v>2703</v>
      </c>
      <c r="H2111" s="137">
        <f t="shared" si="862"/>
        <v>0.35603266596417282</v>
      </c>
      <c r="I2111" s="2"/>
      <c r="J2111" s="2">
        <f t="shared" si="874"/>
        <v>0.27186512118018968</v>
      </c>
      <c r="K2111" s="2">
        <f t="shared" si="875"/>
        <v>0.62789778714436251</v>
      </c>
      <c r="L2111" s="2">
        <f t="shared" si="876"/>
        <v>0</v>
      </c>
      <c r="M2111" s="2">
        <f t="shared" si="877"/>
        <v>0.10023709167544781</v>
      </c>
      <c r="N2111" s="63">
        <v>2064</v>
      </c>
      <c r="O2111" s="63">
        <v>4767</v>
      </c>
      <c r="P2111" s="63"/>
      <c r="Q2111" s="63">
        <v>493</v>
      </c>
      <c r="R2111" s="63">
        <v>76</v>
      </c>
      <c r="S2111" s="63">
        <v>54</v>
      </c>
      <c r="T2111" s="63">
        <v>15</v>
      </c>
      <c r="U2111" s="63"/>
      <c r="V2111" s="63"/>
      <c r="W2111" s="63">
        <v>123</v>
      </c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W2111" s="5">
        <f>IF(Q2111&gt;0,RANK(Q2111,(N2111:P2111,Q2111:AE2111)),0)</f>
        <v>3</v>
      </c>
      <c r="AX2111" s="5">
        <f>IF(R2111&gt;0,RANK(R2111,(N2111:P2111,Q2111:AE2111)),0)</f>
        <v>5</v>
      </c>
      <c r="AY2111" s="5">
        <f>IF(T2111&gt;0,RANK(T2111,(N2111:P2111,Q2111:AE2111)),0)</f>
        <v>7</v>
      </c>
      <c r="AZ2111" s="5">
        <f>IF(S2111&gt;0,RANK(S2111,(N2111:P2111,Q2111:AE2111)),0)</f>
        <v>6</v>
      </c>
      <c r="BA2111" s="2">
        <f t="shared" si="878"/>
        <v>6.4936775553213907E-2</v>
      </c>
      <c r="BB2111" s="2">
        <f t="shared" si="879"/>
        <v>1.0010537407797681E-2</v>
      </c>
      <c r="BC2111" s="2">
        <f t="shared" si="880"/>
        <v>1.9757639620653321E-3</v>
      </c>
      <c r="BD2111" s="2">
        <f t="shared" si="881"/>
        <v>7.1127502634351948E-3</v>
      </c>
      <c r="BF2111" t="s">
        <v>50</v>
      </c>
      <c r="BG2111" t="s">
        <v>1615</v>
      </c>
      <c r="BH2111">
        <v>1</v>
      </c>
      <c r="BJ2111" s="114">
        <v>38</v>
      </c>
      <c r="BK2111" s="116">
        <v>77</v>
      </c>
      <c r="BL2111" s="120">
        <f t="shared" si="872"/>
        <v>38077</v>
      </c>
      <c r="BN2111" s="5" t="s">
        <v>3154</v>
      </c>
    </row>
    <row r="2112" spans="1:66" hidden="1" outlineLevel="1">
      <c r="A2112" t="s">
        <v>2888</v>
      </c>
      <c r="B2112" t="s">
        <v>1615</v>
      </c>
      <c r="C2112" s="1">
        <f t="shared" si="873"/>
        <v>3755</v>
      </c>
      <c r="D2112" s="5">
        <f>IF(N2112&gt;0, RANK(N2112,(N2112:P2112,Q2112:AE2112)),0)</f>
        <v>1</v>
      </c>
      <c r="E2112" s="5">
        <f>IF(O2112&gt;0,RANK(O2112,(N2112:P2112,Q2112:AE2112)),0)</f>
        <v>2</v>
      </c>
      <c r="F2112" s="5">
        <f>IF(P2112&gt;0,RANK(P2112,(N2112:P2112,Q2112:AE2112)),0)</f>
        <v>0</v>
      </c>
      <c r="G2112" s="132">
        <f t="shared" si="861"/>
        <v>882</v>
      </c>
      <c r="H2112" s="137">
        <f t="shared" si="862"/>
        <v>0.23488681757656457</v>
      </c>
      <c r="I2112" s="2"/>
      <c r="J2112" s="2">
        <f t="shared" si="874"/>
        <v>0.55898801597869507</v>
      </c>
      <c r="K2112" s="2">
        <f t="shared" si="875"/>
        <v>0.32410119840213047</v>
      </c>
      <c r="L2112" s="2">
        <f t="shared" si="876"/>
        <v>0</v>
      </c>
      <c r="M2112" s="2">
        <f t="shared" si="877"/>
        <v>0.11691078561917445</v>
      </c>
      <c r="N2112" s="63">
        <v>2099</v>
      </c>
      <c r="O2112" s="63">
        <v>1217</v>
      </c>
      <c r="P2112" s="63"/>
      <c r="Q2112" s="63">
        <v>156</v>
      </c>
      <c r="R2112" s="63">
        <v>175</v>
      </c>
      <c r="S2112" s="63">
        <v>17</v>
      </c>
      <c r="T2112" s="63">
        <v>8</v>
      </c>
      <c r="U2112" s="63"/>
      <c r="V2112" s="63"/>
      <c r="W2112" s="63">
        <v>83</v>
      </c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W2112" s="5">
        <f>IF(Q2112&gt;0,RANK(Q2112,(N2112:P2112,Q2112:AE2112)),0)</f>
        <v>4</v>
      </c>
      <c r="AX2112" s="5">
        <f>IF(R2112&gt;0,RANK(R2112,(N2112:P2112,Q2112:AE2112)),0)</f>
        <v>3</v>
      </c>
      <c r="AY2112" s="5">
        <f>IF(T2112&gt;0,RANK(T2112,(N2112:P2112,Q2112:AE2112)),0)</f>
        <v>7</v>
      </c>
      <c r="AZ2112" s="5">
        <f>IF(S2112&gt;0,RANK(S2112,(N2112:P2112,Q2112:AE2112)),0)</f>
        <v>6</v>
      </c>
      <c r="BA2112" s="2">
        <f t="shared" si="878"/>
        <v>4.154460719041278E-2</v>
      </c>
      <c r="BB2112" s="2">
        <f t="shared" si="879"/>
        <v>4.6604527296937419E-2</v>
      </c>
      <c r="BC2112" s="2">
        <f t="shared" si="880"/>
        <v>2.1304926764314247E-3</v>
      </c>
      <c r="BD2112" s="2">
        <f t="shared" si="881"/>
        <v>4.527296937416778E-3</v>
      </c>
      <c r="BF2112" t="s">
        <v>2888</v>
      </c>
      <c r="BG2112" t="s">
        <v>1615</v>
      </c>
      <c r="BH2112">
        <v>1</v>
      </c>
      <c r="BJ2112" s="114">
        <v>38</v>
      </c>
      <c r="BK2112" s="116">
        <v>79</v>
      </c>
      <c r="BL2112" s="120">
        <f t="shared" si="872"/>
        <v>38079</v>
      </c>
      <c r="BN2112" s="5" t="s">
        <v>3154</v>
      </c>
    </row>
    <row r="2113" spans="1:91" hidden="1" outlineLevel="1">
      <c r="A2113" t="s">
        <v>2623</v>
      </c>
      <c r="B2113" t="s">
        <v>1615</v>
      </c>
      <c r="C2113" s="1">
        <f t="shared" si="873"/>
        <v>1997</v>
      </c>
      <c r="D2113" s="5">
        <f>IF(N2113&gt;0, RANK(N2113,(N2113:P2113,Q2113:AE2113)),0)</f>
        <v>2</v>
      </c>
      <c r="E2113" s="5">
        <f>IF(O2113&gt;0,RANK(O2113,(N2113:P2113,Q2113:AE2113)),0)</f>
        <v>1</v>
      </c>
      <c r="F2113" s="5">
        <f>IF(P2113&gt;0,RANK(P2113,(N2113:P2113,Q2113:AE2113)),0)</f>
        <v>0</v>
      </c>
      <c r="G2113" s="132">
        <f t="shared" si="861"/>
        <v>394</v>
      </c>
      <c r="H2113" s="137">
        <f t="shared" si="862"/>
        <v>0.19729594391587382</v>
      </c>
      <c r="I2113" s="2"/>
      <c r="J2113" s="2">
        <f t="shared" si="874"/>
        <v>0.34752128192288434</v>
      </c>
      <c r="K2113" s="2">
        <f t="shared" si="875"/>
        <v>0.54481722583875813</v>
      </c>
      <c r="L2113" s="2">
        <f t="shared" si="876"/>
        <v>0</v>
      </c>
      <c r="M2113" s="2">
        <f t="shared" si="877"/>
        <v>0.10766149223835753</v>
      </c>
      <c r="N2113" s="63">
        <v>694</v>
      </c>
      <c r="O2113" s="63">
        <v>1088</v>
      </c>
      <c r="P2113" s="63"/>
      <c r="Q2113" s="63">
        <v>167</v>
      </c>
      <c r="R2113" s="63">
        <v>18</v>
      </c>
      <c r="S2113" s="63">
        <v>6</v>
      </c>
      <c r="T2113" s="63">
        <v>7</v>
      </c>
      <c r="U2113" s="63"/>
      <c r="V2113" s="63"/>
      <c r="W2113" s="63">
        <v>17</v>
      </c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W2113" s="5">
        <f>IF(Q2113&gt;0,RANK(Q2113,(N2113:P2113,Q2113:AE2113)),0)</f>
        <v>3</v>
      </c>
      <c r="AX2113" s="5">
        <f>IF(R2113&gt;0,RANK(R2113,(N2113:P2113,Q2113:AE2113)),0)</f>
        <v>4</v>
      </c>
      <c r="AY2113" s="5">
        <f>IF(T2113&gt;0,RANK(T2113,(N2113:P2113,Q2113:AE2113)),0)</f>
        <v>6</v>
      </c>
      <c r="AZ2113" s="5">
        <f>IF(S2113&gt;0,RANK(S2113,(N2113:P2113,Q2113:AE2113)),0)</f>
        <v>7</v>
      </c>
      <c r="BA2113" s="2">
        <f t="shared" si="878"/>
        <v>8.362543815723586E-2</v>
      </c>
      <c r="BB2113" s="2">
        <f t="shared" si="879"/>
        <v>9.0135202804206317E-3</v>
      </c>
      <c r="BC2113" s="2">
        <f t="shared" si="880"/>
        <v>3.5052578868302454E-3</v>
      </c>
      <c r="BD2113" s="2">
        <f t="shared" si="881"/>
        <v>3.0045067601402104E-3</v>
      </c>
      <c r="BF2113" t="s">
        <v>2623</v>
      </c>
      <c r="BG2113" t="s">
        <v>1615</v>
      </c>
      <c r="BH2113">
        <v>1</v>
      </c>
      <c r="BJ2113" s="114">
        <v>38</v>
      </c>
      <c r="BK2113" s="116">
        <v>81</v>
      </c>
      <c r="BL2113" s="120">
        <f t="shared" si="872"/>
        <v>38081</v>
      </c>
      <c r="BN2113" s="5" t="s">
        <v>3154</v>
      </c>
    </row>
    <row r="2114" spans="1:91" hidden="1" outlineLevel="1">
      <c r="A2114" t="s">
        <v>303</v>
      </c>
      <c r="B2114" t="s">
        <v>1615</v>
      </c>
      <c r="C2114" s="1">
        <f t="shared" si="873"/>
        <v>787</v>
      </c>
      <c r="D2114" s="5">
        <f>IF(N2114&gt;0, RANK(N2114,(N2114:P2114,Q2114:AE2114)),0)</f>
        <v>2</v>
      </c>
      <c r="E2114" s="5">
        <f>IF(O2114&gt;0,RANK(O2114,(N2114:P2114,Q2114:AE2114)),0)</f>
        <v>1</v>
      </c>
      <c r="F2114" s="5">
        <f>IF(P2114&gt;0,RANK(P2114,(N2114:P2114,Q2114:AE2114)),0)</f>
        <v>0</v>
      </c>
      <c r="G2114" s="132">
        <f t="shared" si="861"/>
        <v>555</v>
      </c>
      <c r="H2114" s="137">
        <f t="shared" si="862"/>
        <v>0.70520965692503179</v>
      </c>
      <c r="I2114" s="2"/>
      <c r="J2114" s="2">
        <f t="shared" si="874"/>
        <v>0.1207115628970775</v>
      </c>
      <c r="K2114" s="2">
        <f t="shared" si="875"/>
        <v>0.82592121982210931</v>
      </c>
      <c r="L2114" s="2">
        <f t="shared" si="876"/>
        <v>0</v>
      </c>
      <c r="M2114" s="2">
        <f t="shared" si="877"/>
        <v>5.3367217280813173E-2</v>
      </c>
      <c r="N2114" s="63">
        <v>95</v>
      </c>
      <c r="O2114" s="63">
        <v>650</v>
      </c>
      <c r="P2114" s="63"/>
      <c r="Q2114" s="63">
        <v>29</v>
      </c>
      <c r="R2114" s="63">
        <v>1</v>
      </c>
      <c r="S2114" s="63">
        <v>6</v>
      </c>
      <c r="T2114" s="63">
        <v>0</v>
      </c>
      <c r="U2114" s="63"/>
      <c r="V2114" s="63"/>
      <c r="W2114" s="63">
        <v>6</v>
      </c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W2114" s="5">
        <f>IF(Q2114&gt;0,RANK(Q2114,(N2114:P2114,Q2114:AE2114)),0)</f>
        <v>3</v>
      </c>
      <c r="AX2114" s="5">
        <f>IF(R2114&gt;0,RANK(R2114,(N2114:P2114,Q2114:AE2114)),0)</f>
        <v>6</v>
      </c>
      <c r="AY2114" s="5">
        <f>IF(T2114&gt;0,RANK(T2114,(N2114:P2114,Q2114:AE2114)),0)</f>
        <v>0</v>
      </c>
      <c r="AZ2114" s="5">
        <f>IF(S2114&gt;0,RANK(S2114,(N2114:P2114,Q2114:AE2114)),0)</f>
        <v>4</v>
      </c>
      <c r="BA2114" s="2">
        <f t="shared" si="878"/>
        <v>3.6848792884371026E-2</v>
      </c>
      <c r="BB2114" s="2">
        <f t="shared" si="879"/>
        <v>1.2706480304955528E-3</v>
      </c>
      <c r="BC2114" s="2">
        <f t="shared" si="880"/>
        <v>0</v>
      </c>
      <c r="BD2114" s="2">
        <f t="shared" si="881"/>
        <v>7.6238881829733167E-3</v>
      </c>
      <c r="BF2114" t="s">
        <v>303</v>
      </c>
      <c r="BG2114" t="s">
        <v>1615</v>
      </c>
      <c r="BH2114">
        <v>1</v>
      </c>
      <c r="BJ2114" s="114">
        <v>38</v>
      </c>
      <c r="BK2114" s="116">
        <v>83</v>
      </c>
      <c r="BL2114" s="120">
        <f t="shared" si="872"/>
        <v>38083</v>
      </c>
      <c r="BN2114" s="5" t="s">
        <v>3154</v>
      </c>
    </row>
    <row r="2115" spans="1:91" hidden="1" outlineLevel="1">
      <c r="A2115" t="s">
        <v>994</v>
      </c>
      <c r="B2115" t="s">
        <v>1615</v>
      </c>
      <c r="C2115" s="1">
        <f t="shared" si="873"/>
        <v>1232</v>
      </c>
      <c r="D2115" s="5">
        <f>IF(N2115&gt;0, RANK(N2115,(N2115:P2115,Q2115:AE2115)),0)</f>
        <v>1</v>
      </c>
      <c r="E2115" s="5">
        <f>IF(O2115&gt;0,RANK(O2115,(N2115:P2115,Q2115:AE2115)),0)</f>
        <v>2</v>
      </c>
      <c r="F2115" s="5">
        <f>IF(P2115&gt;0,RANK(P2115,(N2115:P2115,Q2115:AE2115)),0)</f>
        <v>0</v>
      </c>
      <c r="G2115" s="132">
        <f t="shared" si="861"/>
        <v>498</v>
      </c>
      <c r="H2115" s="137">
        <f t="shared" si="862"/>
        <v>0.4042207792207792</v>
      </c>
      <c r="I2115" s="2"/>
      <c r="J2115" s="2">
        <f t="shared" si="874"/>
        <v>0.61525974025974028</v>
      </c>
      <c r="K2115" s="2">
        <f t="shared" si="875"/>
        <v>0.21103896103896103</v>
      </c>
      <c r="L2115" s="2">
        <f t="shared" si="876"/>
        <v>0</v>
      </c>
      <c r="M2115" s="2">
        <f t="shared" si="877"/>
        <v>0.17370129870129869</v>
      </c>
      <c r="N2115" s="63">
        <v>758</v>
      </c>
      <c r="O2115" s="63">
        <v>260</v>
      </c>
      <c r="P2115" s="63"/>
      <c r="Q2115" s="63">
        <v>25</v>
      </c>
      <c r="R2115" s="63">
        <v>128</v>
      </c>
      <c r="S2115" s="63">
        <v>5</v>
      </c>
      <c r="T2115" s="63">
        <v>4</v>
      </c>
      <c r="U2115" s="63"/>
      <c r="V2115" s="63"/>
      <c r="W2115" s="63">
        <v>52</v>
      </c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W2115" s="5">
        <f>IF(Q2115&gt;0,RANK(Q2115,(N2115:P2115,Q2115:AE2115)),0)</f>
        <v>5</v>
      </c>
      <c r="AX2115" s="5">
        <f>IF(R2115&gt;0,RANK(R2115,(N2115:P2115,Q2115:AE2115)),0)</f>
        <v>3</v>
      </c>
      <c r="AY2115" s="5">
        <f>IF(T2115&gt;0,RANK(T2115,(N2115:P2115,Q2115:AE2115)),0)</f>
        <v>7</v>
      </c>
      <c r="AZ2115" s="5">
        <f>IF(S2115&gt;0,RANK(S2115,(N2115:P2115,Q2115:AE2115)),0)</f>
        <v>6</v>
      </c>
      <c r="BA2115" s="2">
        <f t="shared" si="878"/>
        <v>2.0292207792207792E-2</v>
      </c>
      <c r="BB2115" s="2">
        <f t="shared" si="879"/>
        <v>0.1038961038961039</v>
      </c>
      <c r="BC2115" s="2">
        <f t="shared" si="880"/>
        <v>3.246753246753247E-3</v>
      </c>
      <c r="BD2115" s="2">
        <f t="shared" si="881"/>
        <v>4.0584415584415581E-3</v>
      </c>
      <c r="BF2115" t="s">
        <v>994</v>
      </c>
      <c r="BG2115" t="s">
        <v>1615</v>
      </c>
      <c r="BH2115">
        <v>1</v>
      </c>
      <c r="BJ2115" s="114">
        <v>38</v>
      </c>
      <c r="BK2115" s="116">
        <v>85</v>
      </c>
      <c r="BL2115" s="120">
        <f t="shared" si="872"/>
        <v>38085</v>
      </c>
      <c r="BN2115" s="5" t="s">
        <v>3154</v>
      </c>
    </row>
    <row r="2116" spans="1:91" hidden="1" outlineLevel="1">
      <c r="A2116" t="s">
        <v>1970</v>
      </c>
      <c r="B2116" t="s">
        <v>1615</v>
      </c>
      <c r="C2116" s="1">
        <f t="shared" si="873"/>
        <v>430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32">
        <f t="shared" si="861"/>
        <v>319</v>
      </c>
      <c r="H2116" s="137">
        <f t="shared" si="862"/>
        <v>0.74186046511627912</v>
      </c>
      <c r="I2116" s="2"/>
      <c r="J2116" s="2">
        <f t="shared" si="874"/>
        <v>0.1</v>
      </c>
      <c r="K2116" s="2">
        <f t="shared" si="875"/>
        <v>0.8418604651162791</v>
      </c>
      <c r="L2116" s="2">
        <f t="shared" si="876"/>
        <v>0</v>
      </c>
      <c r="M2116" s="2">
        <f t="shared" si="877"/>
        <v>5.8139534883720922E-2</v>
      </c>
      <c r="N2116" s="63">
        <v>43</v>
      </c>
      <c r="O2116" s="63">
        <v>362</v>
      </c>
      <c r="P2116" s="63"/>
      <c r="Q2116" s="63">
        <v>19</v>
      </c>
      <c r="R2116" s="63">
        <v>3</v>
      </c>
      <c r="S2116" s="63">
        <v>2</v>
      </c>
      <c r="T2116" s="63">
        <v>0</v>
      </c>
      <c r="U2116" s="63"/>
      <c r="V2116" s="63"/>
      <c r="W2116" s="63">
        <v>1</v>
      </c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W2116" s="5">
        <f>IF(Q2116&gt;0,RANK(Q2116,(N2116:P2116,Q2116:AE2116)),0)</f>
        <v>3</v>
      </c>
      <c r="AX2116" s="5">
        <f>IF(R2116&gt;0,RANK(R2116,(N2116:P2116,Q2116:AE2116)),0)</f>
        <v>4</v>
      </c>
      <c r="AY2116" s="5">
        <f>IF(T2116&gt;0,RANK(T2116,(N2116:P2116,Q2116:AE2116)),0)</f>
        <v>0</v>
      </c>
      <c r="AZ2116" s="5">
        <f>IF(S2116&gt;0,RANK(S2116,(N2116:P2116,Q2116:AE2116)),0)</f>
        <v>5</v>
      </c>
      <c r="BA2116" s="2">
        <f t="shared" si="878"/>
        <v>4.4186046511627906E-2</v>
      </c>
      <c r="BB2116" s="2">
        <f t="shared" si="879"/>
        <v>6.9767441860465115E-3</v>
      </c>
      <c r="BC2116" s="2">
        <f t="shared" si="880"/>
        <v>0</v>
      </c>
      <c r="BD2116" s="2">
        <f t="shared" si="881"/>
        <v>4.6511627906976744E-3</v>
      </c>
      <c r="BF2116" t="s">
        <v>1970</v>
      </c>
      <c r="BG2116" t="s">
        <v>1615</v>
      </c>
      <c r="BH2116">
        <v>1</v>
      </c>
      <c r="BJ2116" s="114">
        <v>38</v>
      </c>
      <c r="BK2116" s="116">
        <v>87</v>
      </c>
      <c r="BL2116" s="120">
        <f t="shared" si="872"/>
        <v>38087</v>
      </c>
      <c r="BN2116" s="5" t="s">
        <v>3154</v>
      </c>
    </row>
    <row r="2117" spans="1:91" hidden="1" outlineLevel="1">
      <c r="A2117" t="s">
        <v>603</v>
      </c>
      <c r="B2117" t="s">
        <v>1615</v>
      </c>
      <c r="C2117" s="1">
        <f t="shared" si="873"/>
        <v>12322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32">
        <f t="shared" si="861"/>
        <v>8002</v>
      </c>
      <c r="H2117" s="137">
        <f t="shared" si="862"/>
        <v>0.64940756370719044</v>
      </c>
      <c r="I2117" s="2"/>
      <c r="J2117" s="2">
        <f t="shared" si="874"/>
        <v>0.14226586593085538</v>
      </c>
      <c r="K2117" s="2">
        <f t="shared" si="875"/>
        <v>0.79167342963804577</v>
      </c>
      <c r="L2117" s="2">
        <f t="shared" si="876"/>
        <v>0</v>
      </c>
      <c r="M2117" s="2">
        <f t="shared" si="877"/>
        <v>6.6060704431098904E-2</v>
      </c>
      <c r="N2117" s="63">
        <v>1753</v>
      </c>
      <c r="O2117" s="63">
        <v>9755</v>
      </c>
      <c r="P2117" s="63"/>
      <c r="Q2117" s="63">
        <v>526</v>
      </c>
      <c r="R2117" s="63">
        <v>60</v>
      </c>
      <c r="S2117" s="63">
        <v>63</v>
      </c>
      <c r="T2117" s="63">
        <v>7</v>
      </c>
      <c r="U2117" s="63"/>
      <c r="V2117" s="63"/>
      <c r="W2117" s="63">
        <v>158</v>
      </c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W2117" s="5">
        <f>IF(Q2117&gt;0,RANK(Q2117,(N2117:P2117,Q2117:AE2117)),0)</f>
        <v>3</v>
      </c>
      <c r="AX2117" s="5">
        <f>IF(R2117&gt;0,RANK(R2117,(N2117:P2117,Q2117:AE2117)),0)</f>
        <v>6</v>
      </c>
      <c r="AY2117" s="5">
        <f>IF(T2117&gt;0,RANK(T2117,(N2117:P2117,Q2117:AE2117)),0)</f>
        <v>7</v>
      </c>
      <c r="AZ2117" s="5">
        <f>IF(S2117&gt;0,RANK(S2117,(N2117:P2117,Q2117:AE2117)),0)</f>
        <v>5</v>
      </c>
      <c r="BA2117" s="2">
        <f t="shared" si="878"/>
        <v>4.2687875344911537E-2</v>
      </c>
      <c r="BB2117" s="2">
        <f t="shared" si="879"/>
        <v>4.8693393929556891E-3</v>
      </c>
      <c r="BC2117" s="2">
        <f t="shared" si="880"/>
        <v>5.6808959584483043E-4</v>
      </c>
      <c r="BD2117" s="2">
        <f t="shared" si="881"/>
        <v>5.1128063626034734E-3</v>
      </c>
      <c r="BF2117" t="s">
        <v>603</v>
      </c>
      <c r="BG2117" t="s">
        <v>1615</v>
      </c>
      <c r="BH2117">
        <v>1</v>
      </c>
      <c r="BJ2117" s="114">
        <v>38</v>
      </c>
      <c r="BK2117" s="116">
        <v>89</v>
      </c>
      <c r="BL2117" s="120">
        <f t="shared" si="872"/>
        <v>38089</v>
      </c>
      <c r="BN2117" s="5" t="s">
        <v>3154</v>
      </c>
    </row>
    <row r="2118" spans="1:91" hidden="1" outlineLevel="1">
      <c r="A2118" t="s">
        <v>1731</v>
      </c>
      <c r="B2118" t="s">
        <v>1615</v>
      </c>
      <c r="C2118" s="1">
        <f t="shared" si="873"/>
        <v>999</v>
      </c>
      <c r="D2118" s="5">
        <f>IF(N2118&gt;0, RANK(N2118,(N2118:P2118,Q2118:AE2118)),0)</f>
        <v>2</v>
      </c>
      <c r="E2118" s="5">
        <f>IF(O2118&gt;0,RANK(O2118,(N2118:P2118,Q2118:AE2118)),0)</f>
        <v>1</v>
      </c>
      <c r="F2118" s="5">
        <f>IF(P2118&gt;0,RANK(P2118,(N2118:P2118,Q2118:AE2118)),0)</f>
        <v>0</v>
      </c>
      <c r="G2118" s="132">
        <f t="shared" si="861"/>
        <v>177</v>
      </c>
      <c r="H2118" s="137">
        <f t="shared" si="862"/>
        <v>0.17717717717717718</v>
      </c>
      <c r="I2118" s="2"/>
      <c r="J2118" s="2">
        <f t="shared" si="874"/>
        <v>0.36136136136136138</v>
      </c>
      <c r="K2118" s="2">
        <f t="shared" si="875"/>
        <v>0.5385385385385385</v>
      </c>
      <c r="L2118" s="2">
        <f t="shared" si="876"/>
        <v>0</v>
      </c>
      <c r="M2118" s="2">
        <f t="shared" si="877"/>
        <v>0.10010010010010018</v>
      </c>
      <c r="N2118" s="63">
        <v>361</v>
      </c>
      <c r="O2118" s="63">
        <v>538</v>
      </c>
      <c r="P2118" s="63"/>
      <c r="Q2118" s="63">
        <v>75</v>
      </c>
      <c r="R2118" s="63">
        <v>6</v>
      </c>
      <c r="S2118" s="63">
        <v>7</v>
      </c>
      <c r="T2118" s="63">
        <v>0</v>
      </c>
      <c r="U2118" s="63"/>
      <c r="V2118" s="63"/>
      <c r="W2118" s="63">
        <v>12</v>
      </c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W2118" s="5">
        <f>IF(Q2118&gt;0,RANK(Q2118,(N2118:P2118,Q2118:AE2118)),0)</f>
        <v>3</v>
      </c>
      <c r="AX2118" s="5">
        <f>IF(R2118&gt;0,RANK(R2118,(N2118:P2118,Q2118:AE2118)),0)</f>
        <v>6</v>
      </c>
      <c r="AY2118" s="5">
        <f>IF(T2118&gt;0,RANK(T2118,(N2118:P2118,Q2118:AE2118)),0)</f>
        <v>0</v>
      </c>
      <c r="AZ2118" s="5">
        <f>IF(S2118&gt;0,RANK(S2118,(N2118:P2118,Q2118:AE2118)),0)</f>
        <v>5</v>
      </c>
      <c r="BA2118" s="2">
        <f t="shared" si="878"/>
        <v>7.5075075075075076E-2</v>
      </c>
      <c r="BB2118" s="2">
        <f t="shared" si="879"/>
        <v>6.006006006006006E-3</v>
      </c>
      <c r="BC2118" s="2">
        <f t="shared" si="880"/>
        <v>0</v>
      </c>
      <c r="BD2118" s="2">
        <f t="shared" si="881"/>
        <v>7.0070070070070069E-3</v>
      </c>
      <c r="BF2118" t="s">
        <v>1731</v>
      </c>
      <c r="BG2118" t="s">
        <v>1615</v>
      </c>
      <c r="BH2118">
        <v>1</v>
      </c>
      <c r="BJ2118" s="114">
        <v>38</v>
      </c>
      <c r="BK2118" s="116">
        <v>91</v>
      </c>
      <c r="BL2118" s="120">
        <f t="shared" si="872"/>
        <v>38091</v>
      </c>
      <c r="BN2118" s="5" t="s">
        <v>3154</v>
      </c>
    </row>
    <row r="2119" spans="1:91" hidden="1" outlineLevel="1">
      <c r="A2119" t="s">
        <v>1727</v>
      </c>
      <c r="B2119" t="s">
        <v>1615</v>
      </c>
      <c r="C2119" s="1">
        <f t="shared" si="873"/>
        <v>10155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32">
        <f t="shared" si="861"/>
        <v>4220</v>
      </c>
      <c r="H2119" s="137">
        <f t="shared" si="862"/>
        <v>0.4155588380108321</v>
      </c>
      <c r="I2119" s="2"/>
      <c r="J2119" s="2">
        <f t="shared" si="874"/>
        <v>0.24598719842442146</v>
      </c>
      <c r="K2119" s="2">
        <f t="shared" si="875"/>
        <v>0.66154603643525356</v>
      </c>
      <c r="L2119" s="2">
        <f t="shared" si="876"/>
        <v>0</v>
      </c>
      <c r="M2119" s="2">
        <f t="shared" si="877"/>
        <v>9.2466765140324925E-2</v>
      </c>
      <c r="N2119" s="63">
        <v>2498</v>
      </c>
      <c r="O2119" s="63">
        <v>6718</v>
      </c>
      <c r="P2119" s="63"/>
      <c r="Q2119" s="63">
        <v>574</v>
      </c>
      <c r="R2119" s="63">
        <v>109</v>
      </c>
      <c r="S2119" s="63">
        <v>55</v>
      </c>
      <c r="T2119" s="63">
        <v>13</v>
      </c>
      <c r="U2119" s="63"/>
      <c r="V2119" s="63"/>
      <c r="W2119" s="63">
        <v>188</v>
      </c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W2119" s="5">
        <f>IF(Q2119&gt;0,RANK(Q2119,(N2119:P2119,Q2119:AE2119)),0)</f>
        <v>3</v>
      </c>
      <c r="AX2119" s="5">
        <f>IF(R2119&gt;0,RANK(R2119,(N2119:P2119,Q2119:AE2119)),0)</f>
        <v>5</v>
      </c>
      <c r="AY2119" s="5">
        <f>IF(T2119&gt;0,RANK(T2119,(N2119:P2119,Q2119:AE2119)),0)</f>
        <v>7</v>
      </c>
      <c r="AZ2119" s="5">
        <f>IF(S2119&gt;0,RANK(S2119,(N2119:P2119,Q2119:AE2119)),0)</f>
        <v>6</v>
      </c>
      <c r="BA2119" s="2">
        <f t="shared" si="878"/>
        <v>5.6523879862136882E-2</v>
      </c>
      <c r="BB2119" s="2">
        <f t="shared" si="879"/>
        <v>1.0733628754308222E-2</v>
      </c>
      <c r="BC2119" s="2">
        <f t="shared" si="880"/>
        <v>1.2801575578532743E-3</v>
      </c>
      <c r="BD2119" s="2">
        <f t="shared" si="881"/>
        <v>5.4160512063023145E-3</v>
      </c>
      <c r="BF2119" t="s">
        <v>1727</v>
      </c>
      <c r="BG2119" t="s">
        <v>1615</v>
      </c>
      <c r="BH2119">
        <v>1</v>
      </c>
      <c r="BJ2119" s="114">
        <v>38</v>
      </c>
      <c r="BK2119" s="116">
        <v>93</v>
      </c>
      <c r="BL2119" s="120">
        <f t="shared" si="872"/>
        <v>38093</v>
      </c>
      <c r="BN2119" s="5" t="s">
        <v>3154</v>
      </c>
    </row>
    <row r="2120" spans="1:91" hidden="1" outlineLevel="1">
      <c r="A2120" t="s">
        <v>1860</v>
      </c>
      <c r="B2120" t="s">
        <v>1615</v>
      </c>
      <c r="C2120" s="1">
        <f t="shared" si="873"/>
        <v>1157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32">
        <f t="shared" ref="G2120:G2183" si="882">IF(C2120&gt;0,MAX(N2120:P2120)-LARGE(N2120:P2120,2),0)</f>
        <v>428</v>
      </c>
      <c r="H2120" s="137">
        <f t="shared" ref="H2120:H2183" si="883">IF(C2120&gt;0,G2120/C2120,0)</f>
        <v>0.36992221261884184</v>
      </c>
      <c r="I2120" s="2"/>
      <c r="J2120" s="2">
        <f t="shared" si="874"/>
        <v>0.26361279170267932</v>
      </c>
      <c r="K2120" s="2">
        <f t="shared" si="875"/>
        <v>0.63353500432152121</v>
      </c>
      <c r="L2120" s="2">
        <f t="shared" si="876"/>
        <v>0</v>
      </c>
      <c r="M2120" s="2">
        <f t="shared" si="877"/>
        <v>0.10285220397579942</v>
      </c>
      <c r="N2120" s="63">
        <v>305</v>
      </c>
      <c r="O2120" s="63">
        <v>733</v>
      </c>
      <c r="P2120" s="63"/>
      <c r="Q2120" s="63">
        <v>90</v>
      </c>
      <c r="R2120" s="63">
        <v>7</v>
      </c>
      <c r="S2120" s="63">
        <v>3</v>
      </c>
      <c r="T2120" s="63">
        <v>0</v>
      </c>
      <c r="U2120" s="63"/>
      <c r="V2120" s="63"/>
      <c r="W2120" s="63">
        <v>19</v>
      </c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W2120" s="5">
        <f>IF(Q2120&gt;0,RANK(Q2120,(N2120:P2120,Q2120:AE2120)),0)</f>
        <v>3</v>
      </c>
      <c r="AX2120" s="5">
        <f>IF(R2120&gt;0,RANK(R2120,(N2120:P2120,Q2120:AE2120)),0)</f>
        <v>5</v>
      </c>
      <c r="AY2120" s="5">
        <f>IF(T2120&gt;0,RANK(T2120,(N2120:P2120,Q2120:AE2120)),0)</f>
        <v>0</v>
      </c>
      <c r="AZ2120" s="5">
        <f>IF(S2120&gt;0,RANK(S2120,(N2120:P2120,Q2120:AE2120)),0)</f>
        <v>6</v>
      </c>
      <c r="BA2120" s="2">
        <f t="shared" si="878"/>
        <v>7.7787381158167676E-2</v>
      </c>
      <c r="BB2120" s="2">
        <f t="shared" si="879"/>
        <v>6.0501296456352636E-3</v>
      </c>
      <c r="BC2120" s="2">
        <f t="shared" si="880"/>
        <v>0</v>
      </c>
      <c r="BD2120" s="2">
        <f t="shared" si="881"/>
        <v>2.5929127052722557E-3</v>
      </c>
      <c r="BF2120" t="s">
        <v>1860</v>
      </c>
      <c r="BG2120" t="s">
        <v>1615</v>
      </c>
      <c r="BH2120">
        <v>1</v>
      </c>
      <c r="BJ2120" s="114">
        <v>38</v>
      </c>
      <c r="BK2120" s="116">
        <v>95</v>
      </c>
      <c r="BL2120" s="120">
        <f t="shared" si="872"/>
        <v>38095</v>
      </c>
      <c r="BN2120" s="5" t="s">
        <v>3154</v>
      </c>
    </row>
    <row r="2121" spans="1:91" hidden="1" outlineLevel="1">
      <c r="A2121" t="s">
        <v>731</v>
      </c>
      <c r="B2121" t="s">
        <v>1615</v>
      </c>
      <c r="C2121" s="1">
        <f t="shared" si="873"/>
        <v>3933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32">
        <f t="shared" si="882"/>
        <v>1024</v>
      </c>
      <c r="H2121" s="137">
        <f t="shared" si="883"/>
        <v>0.26036104754640221</v>
      </c>
      <c r="I2121" s="2"/>
      <c r="J2121" s="2">
        <f t="shared" si="874"/>
        <v>0.31553521484871599</v>
      </c>
      <c r="K2121" s="2">
        <f t="shared" si="875"/>
        <v>0.57589626239511826</v>
      </c>
      <c r="L2121" s="2">
        <f t="shared" si="876"/>
        <v>0</v>
      </c>
      <c r="M2121" s="2">
        <f t="shared" si="877"/>
        <v>0.10856852275616569</v>
      </c>
      <c r="N2121" s="63">
        <v>1241</v>
      </c>
      <c r="O2121" s="63">
        <v>2265</v>
      </c>
      <c r="P2121" s="63"/>
      <c r="Q2121" s="63">
        <v>292</v>
      </c>
      <c r="R2121" s="63">
        <v>35</v>
      </c>
      <c r="S2121" s="63">
        <v>36</v>
      </c>
      <c r="T2121" s="63">
        <v>2</v>
      </c>
      <c r="U2121" s="63"/>
      <c r="V2121" s="63"/>
      <c r="W2121" s="63">
        <v>62</v>
      </c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W2121" s="5">
        <f>IF(Q2121&gt;0,RANK(Q2121,(N2121:P2121,Q2121:AE2121)),0)</f>
        <v>3</v>
      </c>
      <c r="AX2121" s="5">
        <f>IF(R2121&gt;0,RANK(R2121,(N2121:P2121,Q2121:AE2121)),0)</f>
        <v>6</v>
      </c>
      <c r="AY2121" s="5">
        <f>IF(T2121&gt;0,RANK(T2121,(N2121:P2121,Q2121:AE2121)),0)</f>
        <v>7</v>
      </c>
      <c r="AZ2121" s="5">
        <f>IF(S2121&gt;0,RANK(S2121,(N2121:P2121,Q2121:AE2121)),0)</f>
        <v>5</v>
      </c>
      <c r="BA2121" s="2">
        <f t="shared" si="878"/>
        <v>7.4243579964403769E-2</v>
      </c>
      <c r="BB2121" s="2">
        <f t="shared" si="879"/>
        <v>8.8990592423086705E-3</v>
      </c>
      <c r="BC2121" s="2">
        <f t="shared" si="880"/>
        <v>5.0851767098906682E-4</v>
      </c>
      <c r="BD2121" s="2">
        <f t="shared" si="881"/>
        <v>9.1533180778032037E-3</v>
      </c>
      <c r="BF2121" t="s">
        <v>731</v>
      </c>
      <c r="BG2121" t="s">
        <v>1615</v>
      </c>
      <c r="BH2121">
        <v>1</v>
      </c>
      <c r="BJ2121" s="114">
        <v>38</v>
      </c>
      <c r="BK2121" s="116">
        <v>97</v>
      </c>
      <c r="BL2121" s="120">
        <f t="shared" si="872"/>
        <v>38097</v>
      </c>
      <c r="BN2121" s="5" t="s">
        <v>3154</v>
      </c>
    </row>
    <row r="2122" spans="1:91" hidden="1" outlineLevel="1">
      <c r="A2122" t="s">
        <v>1039</v>
      </c>
      <c r="B2122" t="s">
        <v>1615</v>
      </c>
      <c r="C2122" s="1">
        <f t="shared" si="873"/>
        <v>4636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32">
        <f t="shared" si="882"/>
        <v>1828</v>
      </c>
      <c r="H2122" s="137">
        <f t="shared" si="883"/>
        <v>0.39430543572044868</v>
      </c>
      <c r="I2122" s="2"/>
      <c r="J2122" s="2">
        <f t="shared" si="874"/>
        <v>0.25172562553925798</v>
      </c>
      <c r="K2122" s="2">
        <f t="shared" si="875"/>
        <v>0.64603106125970666</v>
      </c>
      <c r="L2122" s="2">
        <f t="shared" si="876"/>
        <v>0</v>
      </c>
      <c r="M2122" s="2">
        <f t="shared" si="877"/>
        <v>0.10224331320103541</v>
      </c>
      <c r="N2122" s="63">
        <v>1167</v>
      </c>
      <c r="O2122" s="63">
        <v>2995</v>
      </c>
      <c r="P2122" s="63"/>
      <c r="Q2122" s="63">
        <v>330</v>
      </c>
      <c r="R2122" s="63">
        <v>32</v>
      </c>
      <c r="S2122" s="63">
        <v>23</v>
      </c>
      <c r="T2122" s="63">
        <v>1</v>
      </c>
      <c r="U2122" s="63"/>
      <c r="V2122" s="63"/>
      <c r="W2122" s="63">
        <v>88</v>
      </c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W2122" s="5">
        <f>IF(Q2122&gt;0,RANK(Q2122,(N2122:P2122,Q2122:AE2122)),0)</f>
        <v>3</v>
      </c>
      <c r="AX2122" s="5">
        <f>IF(R2122&gt;0,RANK(R2122,(N2122:P2122,Q2122:AE2122)),0)</f>
        <v>5</v>
      </c>
      <c r="AY2122" s="5">
        <f>IF(T2122&gt;0,RANK(T2122,(N2122:P2122,Q2122:AE2122)),0)</f>
        <v>7</v>
      </c>
      <c r="AZ2122" s="5">
        <f>IF(S2122&gt;0,RANK(S2122,(N2122:P2122,Q2122:AE2122)),0)</f>
        <v>6</v>
      </c>
      <c r="BA2122" s="2">
        <f t="shared" si="878"/>
        <v>7.1182053494391717E-2</v>
      </c>
      <c r="BB2122" s="2">
        <f t="shared" si="879"/>
        <v>6.9025021570319244E-3</v>
      </c>
      <c r="BC2122" s="2">
        <f t="shared" si="880"/>
        <v>2.1570319240724764E-4</v>
      </c>
      <c r="BD2122" s="2">
        <f t="shared" si="881"/>
        <v>4.9611734253666951E-3</v>
      </c>
      <c r="BF2122" t="s">
        <v>1039</v>
      </c>
      <c r="BG2122" t="s">
        <v>1615</v>
      </c>
      <c r="BH2122">
        <v>1</v>
      </c>
      <c r="BJ2122" s="114">
        <v>38</v>
      </c>
      <c r="BK2122" s="116">
        <v>99</v>
      </c>
      <c r="BL2122" s="120">
        <f t="shared" si="872"/>
        <v>38099</v>
      </c>
      <c r="BN2122" s="5" t="s">
        <v>3154</v>
      </c>
    </row>
    <row r="2123" spans="1:91" hidden="1" outlineLevel="1">
      <c r="A2123" t="s">
        <v>702</v>
      </c>
      <c r="B2123" t="s">
        <v>1615</v>
      </c>
      <c r="C2123" s="1">
        <f t="shared" si="873"/>
        <v>27412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32">
        <f t="shared" si="882"/>
        <v>12830</v>
      </c>
      <c r="H2123" s="137">
        <f t="shared" si="883"/>
        <v>0.46804319276229389</v>
      </c>
      <c r="I2123" s="2"/>
      <c r="J2123" s="2">
        <f t="shared" si="874"/>
        <v>0.21180504888370058</v>
      </c>
      <c r="K2123" s="2">
        <f t="shared" si="875"/>
        <v>0.67984824164599444</v>
      </c>
      <c r="L2123" s="2">
        <f t="shared" si="876"/>
        <v>0</v>
      </c>
      <c r="M2123" s="2">
        <f t="shared" si="877"/>
        <v>0.108346709470305</v>
      </c>
      <c r="N2123" s="63">
        <v>5806</v>
      </c>
      <c r="O2123" s="63">
        <v>18636</v>
      </c>
      <c r="P2123" s="63"/>
      <c r="Q2123" s="63">
        <v>2055</v>
      </c>
      <c r="R2123" s="63">
        <v>242</v>
      </c>
      <c r="S2123" s="63">
        <v>152</v>
      </c>
      <c r="T2123" s="63">
        <v>25</v>
      </c>
      <c r="U2123" s="63"/>
      <c r="V2123" s="63"/>
      <c r="W2123" s="63">
        <v>496</v>
      </c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W2123" s="5">
        <f>IF(Q2123&gt;0,RANK(Q2123,(N2123:P2123,Q2123:AE2123)),0)</f>
        <v>3</v>
      </c>
      <c r="AX2123" s="5">
        <f>IF(R2123&gt;0,RANK(R2123,(N2123:P2123,Q2123:AE2123)),0)</f>
        <v>5</v>
      </c>
      <c r="AY2123" s="5">
        <f>IF(T2123&gt;0,RANK(T2123,(N2123:P2123,Q2123:AE2123)),0)</f>
        <v>7</v>
      </c>
      <c r="AZ2123" s="5">
        <f>IF(S2123&gt;0,RANK(S2123,(N2123:P2123,Q2123:AE2123)),0)</f>
        <v>6</v>
      </c>
      <c r="BA2123" s="2">
        <f t="shared" si="878"/>
        <v>7.496716766379688E-2</v>
      </c>
      <c r="BB2123" s="2">
        <f t="shared" si="879"/>
        <v>8.8282504012841094E-3</v>
      </c>
      <c r="BC2123" s="2">
        <f t="shared" si="880"/>
        <v>9.1200933897563107E-4</v>
      </c>
      <c r="BD2123" s="2">
        <f t="shared" si="881"/>
        <v>5.5450167809718374E-3</v>
      </c>
      <c r="BF2123" t="s">
        <v>702</v>
      </c>
      <c r="BG2123" t="s">
        <v>1615</v>
      </c>
      <c r="BH2123">
        <v>1</v>
      </c>
      <c r="BJ2123" s="114">
        <v>38</v>
      </c>
      <c r="BK2123" s="116">
        <v>101</v>
      </c>
      <c r="BL2123" s="120">
        <f t="shared" si="872"/>
        <v>38101</v>
      </c>
      <c r="BN2123" s="5" t="s">
        <v>3154</v>
      </c>
    </row>
    <row r="2124" spans="1:91" hidden="1" outlineLevel="1">
      <c r="A2124" t="s">
        <v>720</v>
      </c>
      <c r="B2124" t="s">
        <v>1615</v>
      </c>
      <c r="C2124" s="1">
        <f t="shared" si="873"/>
        <v>2383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32">
        <f t="shared" si="882"/>
        <v>1377</v>
      </c>
      <c r="H2124" s="137">
        <f t="shared" si="883"/>
        <v>0.57784305497272348</v>
      </c>
      <c r="I2124" s="2"/>
      <c r="J2124" s="2">
        <f t="shared" si="874"/>
        <v>0.17582878724297105</v>
      </c>
      <c r="K2124" s="2">
        <f t="shared" si="875"/>
        <v>0.7536718422156945</v>
      </c>
      <c r="L2124" s="2">
        <f t="shared" si="876"/>
        <v>0</v>
      </c>
      <c r="M2124" s="2">
        <f t="shared" si="877"/>
        <v>7.0499370541334483E-2</v>
      </c>
      <c r="N2124" s="63">
        <v>419</v>
      </c>
      <c r="O2124" s="63">
        <v>1796</v>
      </c>
      <c r="P2124" s="63"/>
      <c r="Q2124" s="63">
        <v>101</v>
      </c>
      <c r="R2124" s="63">
        <v>14</v>
      </c>
      <c r="S2124" s="63">
        <v>23</v>
      </c>
      <c r="T2124" s="63">
        <v>2</v>
      </c>
      <c r="U2124" s="63"/>
      <c r="V2124" s="63"/>
      <c r="W2124" s="63">
        <v>28</v>
      </c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W2124" s="5">
        <f>IF(Q2124&gt;0,RANK(Q2124,(N2124:P2124,Q2124:AE2124)),0)</f>
        <v>3</v>
      </c>
      <c r="AX2124" s="5">
        <f>IF(R2124&gt;0,RANK(R2124,(N2124:P2124,Q2124:AE2124)),0)</f>
        <v>6</v>
      </c>
      <c r="AY2124" s="5">
        <f>IF(T2124&gt;0,RANK(T2124,(N2124:P2124,Q2124:AE2124)),0)</f>
        <v>7</v>
      </c>
      <c r="AZ2124" s="5">
        <f>IF(S2124&gt;0,RANK(S2124,(N2124:P2124,Q2124:AE2124)),0)</f>
        <v>5</v>
      </c>
      <c r="BA2124" s="2">
        <f t="shared" si="878"/>
        <v>4.2383550146873686E-2</v>
      </c>
      <c r="BB2124" s="2">
        <f t="shared" si="879"/>
        <v>5.8749475451112046E-3</v>
      </c>
      <c r="BC2124" s="2">
        <f t="shared" si="880"/>
        <v>8.3927822073017204E-4</v>
      </c>
      <c r="BD2124" s="2">
        <f t="shared" si="881"/>
        <v>9.6516995383969777E-3</v>
      </c>
      <c r="BF2124" t="s">
        <v>720</v>
      </c>
      <c r="BG2124" t="s">
        <v>1615</v>
      </c>
      <c r="BH2124">
        <v>1</v>
      </c>
      <c r="BJ2124" s="114">
        <v>38</v>
      </c>
      <c r="BK2124" s="116">
        <v>103</v>
      </c>
      <c r="BL2124" s="120">
        <f t="shared" si="872"/>
        <v>38103</v>
      </c>
      <c r="BN2124" s="5" t="s">
        <v>3154</v>
      </c>
    </row>
    <row r="2125" spans="1:91" hidden="1" outlineLevel="1">
      <c r="A2125" t="s">
        <v>305</v>
      </c>
      <c r="B2125" t="s">
        <v>1615</v>
      </c>
      <c r="C2125" s="1">
        <f t="shared" si="873"/>
        <v>12807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32">
        <f t="shared" si="882"/>
        <v>8334</v>
      </c>
      <c r="H2125" s="137">
        <f t="shared" si="883"/>
        <v>0.65073787772312019</v>
      </c>
      <c r="I2125" s="2"/>
      <c r="J2125" s="2">
        <f t="shared" si="874"/>
        <v>0.13547278831888812</v>
      </c>
      <c r="K2125" s="2">
        <f t="shared" si="875"/>
        <v>0.78621066604200829</v>
      </c>
      <c r="L2125" s="2">
        <f t="shared" si="876"/>
        <v>0</v>
      </c>
      <c r="M2125" s="2">
        <f t="shared" si="877"/>
        <v>7.8316545639103619E-2</v>
      </c>
      <c r="N2125" s="63">
        <v>1735</v>
      </c>
      <c r="O2125" s="63">
        <v>10069</v>
      </c>
      <c r="P2125" s="63"/>
      <c r="Q2125" s="63">
        <v>631</v>
      </c>
      <c r="R2125" s="63">
        <v>74</v>
      </c>
      <c r="S2125" s="63">
        <v>74</v>
      </c>
      <c r="T2125" s="63">
        <v>5</v>
      </c>
      <c r="U2125" s="63"/>
      <c r="V2125" s="63"/>
      <c r="W2125" s="63">
        <v>219</v>
      </c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W2125" s="5">
        <f>IF(Q2125&gt;0,RANK(Q2125,(N2125:P2125,Q2125:AE2125)),0)</f>
        <v>3</v>
      </c>
      <c r="AX2125" s="5">
        <f>IF(R2125&gt;0,RANK(R2125,(N2125:P2125,Q2125:AE2125)),0)</f>
        <v>5</v>
      </c>
      <c r="AY2125" s="5">
        <f>IF(T2125&gt;0,RANK(T2125,(N2125:P2125,Q2125:AE2125)),0)</f>
        <v>7</v>
      </c>
      <c r="AZ2125" s="5">
        <f>IF(S2125&gt;0,RANK(S2125,(N2125:P2125,Q2125:AE2125)),0)</f>
        <v>5</v>
      </c>
      <c r="BA2125" s="2">
        <f t="shared" si="878"/>
        <v>4.9269930506754121E-2</v>
      </c>
      <c r="BB2125" s="2">
        <f t="shared" si="879"/>
        <v>5.7780901069727489E-3</v>
      </c>
      <c r="BC2125" s="2">
        <f t="shared" si="880"/>
        <v>3.9041149371437495E-4</v>
      </c>
      <c r="BD2125" s="2">
        <f t="shared" si="881"/>
        <v>5.7780901069727489E-3</v>
      </c>
      <c r="BF2125" t="s">
        <v>305</v>
      </c>
      <c r="BG2125" t="s">
        <v>1615</v>
      </c>
      <c r="BH2125">
        <v>1</v>
      </c>
      <c r="BJ2125" s="114">
        <v>38</v>
      </c>
      <c r="BK2125" s="116">
        <v>105</v>
      </c>
      <c r="BL2125" s="120">
        <f t="shared" si="872"/>
        <v>38105</v>
      </c>
      <c r="BN2125" s="5" t="s">
        <v>3154</v>
      </c>
    </row>
    <row r="2126" spans="1:91" collapsed="1">
      <c r="A2126" t="s">
        <v>2362</v>
      </c>
      <c r="B2126" t="s">
        <v>544</v>
      </c>
      <c r="C2126" s="1">
        <f t="shared" si="873"/>
        <v>344360</v>
      </c>
      <c r="D2126" s="5">
        <f>IF(N2126&gt;0, RANK(N2126,(N2126:P2126,Q2126:AE2126)),0)</f>
        <v>2</v>
      </c>
      <c r="E2126" s="5">
        <f>IF(O2126&gt;0,RANK(O2126,(N2126:P2126,Q2126:AE2126)),0)</f>
        <v>1</v>
      </c>
      <c r="F2126" s="5">
        <f>IF(P2126&gt;0,RANK(P2126,(N2126:P2126,Q2126:AE2126)),0)</f>
        <v>0</v>
      </c>
      <c r="G2126" s="132">
        <f t="shared" si="882"/>
        <v>123036</v>
      </c>
      <c r="H2126" s="137">
        <f t="shared" si="883"/>
        <v>0.35728888372633288</v>
      </c>
      <c r="I2126" s="2"/>
      <c r="J2126" s="2">
        <f t="shared" si="874"/>
        <v>0.27226739458706006</v>
      </c>
      <c r="K2126" s="2">
        <f t="shared" si="875"/>
        <v>0.629556278313393</v>
      </c>
      <c r="L2126" s="2">
        <f t="shared" si="876"/>
        <v>0</v>
      </c>
      <c r="M2126" s="2">
        <f t="shared" si="877"/>
        <v>9.8176327099546934E-2</v>
      </c>
      <c r="N2126" s="63">
        <f t="shared" ref="N2126:T2126" si="884">SUM(N2073:N2125)</f>
        <v>93758</v>
      </c>
      <c r="O2126" s="63">
        <f t="shared" si="884"/>
        <v>216794</v>
      </c>
      <c r="P2126" s="63"/>
      <c r="Q2126" s="63">
        <f t="shared" si="884"/>
        <v>21434</v>
      </c>
      <c r="R2126" s="63">
        <f t="shared" si="884"/>
        <v>3780</v>
      </c>
      <c r="S2126" s="63">
        <f t="shared" si="884"/>
        <v>1833</v>
      </c>
      <c r="T2126" s="63">
        <f t="shared" si="884"/>
        <v>364</v>
      </c>
      <c r="U2126" s="63"/>
      <c r="V2126" s="63"/>
      <c r="W2126" s="63">
        <f>SUM(W2073:W2125)</f>
        <v>6397</v>
      </c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W2126" s="5">
        <f>IF(Q2126&gt;0,RANK(Q2126,(N2126:P2126,Q2126:AE2126)),0)</f>
        <v>3</v>
      </c>
      <c r="AX2126" s="5">
        <f>IF(R2126&gt;0,RANK(R2126,(N2126:P2126,Q2126:AE2126)),0)</f>
        <v>5</v>
      </c>
      <c r="AY2126" s="5">
        <f>IF(T2126&gt;0,RANK(T2126,(N2126:P2126,Q2126:AE2126)),0)</f>
        <v>7</v>
      </c>
      <c r="AZ2126" s="5">
        <f>IF(S2126&gt;0,RANK(S2126,(N2126:P2126,Q2126:AE2126)),0)</f>
        <v>6</v>
      </c>
      <c r="BA2126" s="2">
        <f t="shared" si="878"/>
        <v>6.2243001510047621E-2</v>
      </c>
      <c r="BB2126" s="2">
        <f t="shared" si="879"/>
        <v>1.0976884655592984E-2</v>
      </c>
      <c r="BC2126" s="2">
        <f t="shared" si="880"/>
        <v>1.0570333372052502E-3</v>
      </c>
      <c r="BD2126" s="2">
        <f t="shared" si="881"/>
        <v>5.3229178766407252E-3</v>
      </c>
      <c r="BF2126" t="s">
        <v>2362</v>
      </c>
      <c r="BG2126" t="s">
        <v>544</v>
      </c>
      <c r="BJ2126" s="114">
        <v>38</v>
      </c>
      <c r="BK2126" s="116"/>
      <c r="BL2126" s="114">
        <v>38</v>
      </c>
      <c r="BN2126" s="5" t="s">
        <v>711</v>
      </c>
      <c r="CM2126" s="128"/>
    </row>
    <row r="2127" spans="1:91">
      <c r="C2127" s="1"/>
      <c r="E2127" s="5"/>
      <c r="F2127" s="5"/>
      <c r="G2127" s="132"/>
      <c r="H2127" s="137"/>
      <c r="I2127" s="2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8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W2127" s="5"/>
      <c r="AX2127" s="5"/>
      <c r="AY2127" s="5"/>
      <c r="AZ2127" s="5"/>
      <c r="BJ2127" s="114"/>
      <c r="BK2127" s="116"/>
      <c r="BL2127" s="120"/>
      <c r="CA2127" s="132"/>
      <c r="CB2127" s="132"/>
      <c r="CD2127" s="63" t="s">
        <v>3601</v>
      </c>
      <c r="CE2127" s="63" t="s">
        <v>3602</v>
      </c>
      <c r="CF2127" s="63" t="s">
        <v>3515</v>
      </c>
      <c r="CG2127" s="8" t="s">
        <v>3510</v>
      </c>
      <c r="CH2127" s="8" t="s">
        <v>3603</v>
      </c>
      <c r="CI2127" s="8" t="s">
        <v>3604</v>
      </c>
      <c r="CJ2127" s="8" t="s">
        <v>3605</v>
      </c>
      <c r="CK2127" s="8" t="s">
        <v>3606</v>
      </c>
      <c r="CL2127" s="8" t="s">
        <v>3607</v>
      </c>
    </row>
    <row r="2128" spans="1:91" hidden="1" outlineLevel="1">
      <c r="A2128" t="s">
        <v>1026</v>
      </c>
      <c r="B2128" t="s">
        <v>995</v>
      </c>
      <c r="C2128" s="1">
        <f t="shared" ref="C2128:C2159" si="885">SUM(N2128:AU2128)</f>
        <v>11412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7</v>
      </c>
      <c r="G2128" s="132">
        <f t="shared" si="882"/>
        <v>6333</v>
      </c>
      <c r="H2128" s="137">
        <f t="shared" si="883"/>
        <v>0.5549421661409043</v>
      </c>
      <c r="I2128" s="2"/>
      <c r="J2128" s="2">
        <f t="shared" ref="J2128:J2159" si="886">IF($C2128=0,"-",N2128/$C2128)</f>
        <v>0.20382053978268488</v>
      </c>
      <c r="K2128" s="2">
        <f t="shared" ref="K2128:K2159" si="887">IF($C2128=0,"-",O2128/$C2128)</f>
        <v>0.75876270592358919</v>
      </c>
      <c r="L2128" s="2">
        <f t="shared" ref="L2128:L2159" si="888">IF($C2128=0,"-",P2128/$C2128)</f>
        <v>1.4896600070101647E-3</v>
      </c>
      <c r="M2128" s="2">
        <f t="shared" ref="M2128:M2159" si="889">IF(C2128=0,"-",(1-J2128-K2128-L2128))</f>
        <v>3.5927094286715762E-2</v>
      </c>
      <c r="N2128" s="63">
        <v>2326</v>
      </c>
      <c r="O2128" s="63">
        <v>8659</v>
      </c>
      <c r="P2128" s="63">
        <v>17</v>
      </c>
      <c r="Q2128" s="63">
        <v>226</v>
      </c>
      <c r="R2128" s="63">
        <v>47</v>
      </c>
      <c r="S2128" s="63">
        <v>16</v>
      </c>
      <c r="T2128" s="63"/>
      <c r="U2128" s="63"/>
      <c r="V2128" s="63"/>
      <c r="W2128" s="63">
        <f>IF(Copyright!B$11=1,IF(CA2128&gt;0,CA2128-P2128-SUM(S2128:V2128)-SUM(X2128:Y2128)-SUM(AA2128:AT2128),SUM(CB2128:CM2128)),SUM(CB2128:CM2128))</f>
        <v>55</v>
      </c>
      <c r="X2128" s="63"/>
      <c r="Y2128" s="63">
        <v>4</v>
      </c>
      <c r="Z2128" s="63">
        <v>62</v>
      </c>
      <c r="AA2128" s="63">
        <v>0</v>
      </c>
      <c r="AB2128" s="63"/>
      <c r="AC2128" s="63"/>
      <c r="AD2128" s="63"/>
      <c r="AE2128" s="63">
        <v>0</v>
      </c>
      <c r="AF2128" s="63"/>
      <c r="AG2128" s="63">
        <v>0</v>
      </c>
      <c r="AH2128" s="63"/>
      <c r="AI2128" s="8"/>
      <c r="AJ2128" s="63"/>
      <c r="AK2128" s="63"/>
      <c r="AL2128" s="63"/>
      <c r="AM2128" s="63">
        <v>0</v>
      </c>
      <c r="AN2128" s="63">
        <v>0</v>
      </c>
      <c r="AO2128" s="63"/>
      <c r="AP2128" s="63"/>
      <c r="AQ2128" s="63">
        <v>0</v>
      </c>
      <c r="AR2128" s="63"/>
      <c r="AS2128" s="63"/>
      <c r="AT2128" s="63"/>
      <c r="AU2128" s="63"/>
      <c r="AW2128" s="5">
        <f>IF(Q2128&gt;0,RANK(Q2128,(N2128:P2128,Q2128:AE2128)),0)</f>
        <v>3</v>
      </c>
      <c r="AX2128" s="5">
        <f>IF(R2128&gt;0,RANK(R2128,(N2128:P2128,Q2128:AE2128)),0)</f>
        <v>6</v>
      </c>
      <c r="AY2128" s="5">
        <f>IF(T2128&gt;0,RANK(T2128,(N2128:P2128,Q2128:AE2128)),0)</f>
        <v>0</v>
      </c>
      <c r="AZ2128" s="5">
        <f>IF(S2128&gt;0,RANK(S2128,(N2128:P2128,Q2128:AE2128)),0)</f>
        <v>8</v>
      </c>
      <c r="BA2128" s="2">
        <f t="shared" ref="BA2128:BA2159" si="890">IF($C2128=0,"-",Q2128/$C2128)</f>
        <v>1.9803715387311602E-2</v>
      </c>
      <c r="BB2128" s="2">
        <f t="shared" ref="BB2128:BB2159" si="891">IF($C2128=0,"-",R2128/$C2128)</f>
        <v>4.1184717840869259E-3</v>
      </c>
      <c r="BC2128" s="2">
        <f t="shared" ref="BC2128:BC2159" si="892">IF($C2128=0,"-",T2128/$C2128)</f>
        <v>0</v>
      </c>
      <c r="BD2128" s="2">
        <f t="shared" ref="BD2128:BD2159" si="893">IF($C2128=0,"-",S2128/$C2128)</f>
        <v>1.4020329477742728E-3</v>
      </c>
      <c r="BF2128" t="s">
        <v>1026</v>
      </c>
      <c r="BG2128" t="s">
        <v>995</v>
      </c>
      <c r="BH2128">
        <v>2</v>
      </c>
      <c r="BJ2128" s="114">
        <v>39</v>
      </c>
      <c r="BK2128" s="116">
        <v>1</v>
      </c>
      <c r="BL2128" s="120">
        <f t="shared" si="872"/>
        <v>39001</v>
      </c>
      <c r="BN2128" s="5" t="s">
        <v>3154</v>
      </c>
      <c r="BR2128" s="63"/>
      <c r="BT2128" s="63"/>
      <c r="BY2128" s="63">
        <f>BZ2128-C2128</f>
        <v>0</v>
      </c>
      <c r="BZ2128" s="63">
        <v>11412</v>
      </c>
      <c r="CA2128" s="63">
        <f>53+4+2+17+16</f>
        <v>92</v>
      </c>
      <c r="CB2128" s="132"/>
      <c r="CD2128" s="63">
        <v>0</v>
      </c>
      <c r="CE2128" s="63">
        <v>0</v>
      </c>
      <c r="CF2128" s="63">
        <v>0</v>
      </c>
      <c r="CG2128" s="8">
        <v>0</v>
      </c>
      <c r="CH2128" s="8">
        <v>0</v>
      </c>
      <c r="CI2128" s="8">
        <v>0</v>
      </c>
      <c r="CJ2128" s="8">
        <v>2</v>
      </c>
      <c r="CK2128" s="8">
        <v>0</v>
      </c>
      <c r="CL2128" s="8">
        <v>0</v>
      </c>
    </row>
    <row r="2129" spans="1:90" hidden="1" outlineLevel="1">
      <c r="A2129" t="s">
        <v>1717</v>
      </c>
      <c r="B2129" t="s">
        <v>995</v>
      </c>
      <c r="C2129" s="1">
        <f t="shared" si="885"/>
        <v>46234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7</v>
      </c>
      <c r="G2129" s="132">
        <f t="shared" si="882"/>
        <v>17193</v>
      </c>
      <c r="H2129" s="137">
        <f t="shared" si="883"/>
        <v>0.37186918717826706</v>
      </c>
      <c r="I2129" s="2"/>
      <c r="J2129" s="2">
        <f t="shared" si="886"/>
        <v>0.28753731020461132</v>
      </c>
      <c r="K2129" s="2">
        <f t="shared" si="887"/>
        <v>0.65940649738287838</v>
      </c>
      <c r="L2129" s="2">
        <f t="shared" si="888"/>
        <v>1.4707790803304927E-3</v>
      </c>
      <c r="M2129" s="2">
        <f t="shared" si="889"/>
        <v>5.1585413332179871E-2</v>
      </c>
      <c r="N2129" s="63">
        <v>13294</v>
      </c>
      <c r="O2129" s="63">
        <v>30487</v>
      </c>
      <c r="P2129" s="63">
        <v>68</v>
      </c>
      <c r="Q2129" s="63">
        <v>1486</v>
      </c>
      <c r="R2129" s="63">
        <v>323</v>
      </c>
      <c r="S2129" s="63">
        <v>8</v>
      </c>
      <c r="T2129" s="63"/>
      <c r="U2129" s="63"/>
      <c r="V2129" s="63"/>
      <c r="W2129" s="63">
        <f>IF(Copyright!B$11=1,IF(CA2129&gt;0,CA2129-P2129-SUM(S2129:V2129)-SUM(X2129:Y2129)-SUM(AA2129:AT2129),SUM(CB2129:CM2129)),SUM(CB2129:CM2129))</f>
        <v>341</v>
      </c>
      <c r="X2129" s="63"/>
      <c r="Y2129" s="63">
        <v>0</v>
      </c>
      <c r="Z2129" s="63">
        <v>225</v>
      </c>
      <c r="AA2129" s="63">
        <v>0</v>
      </c>
      <c r="AB2129" s="63"/>
      <c r="AC2129" s="63"/>
      <c r="AD2129" s="63"/>
      <c r="AE2129" s="63">
        <v>0</v>
      </c>
      <c r="AF2129" s="63"/>
      <c r="AG2129" s="63">
        <v>0</v>
      </c>
      <c r="AH2129" s="63"/>
      <c r="AI2129" s="8"/>
      <c r="AJ2129" s="63"/>
      <c r="AK2129" s="63"/>
      <c r="AL2129" s="63"/>
      <c r="AM2129" s="63">
        <v>0</v>
      </c>
      <c r="AN2129" s="63">
        <v>2</v>
      </c>
      <c r="AO2129" s="63"/>
      <c r="AP2129" s="63"/>
      <c r="AQ2129" s="63">
        <v>0</v>
      </c>
      <c r="AR2129" s="63"/>
      <c r="AS2129" s="63"/>
      <c r="AT2129" s="63"/>
      <c r="AU2129" s="63"/>
      <c r="AW2129" s="5">
        <f>IF(Q2129&gt;0,RANK(Q2129,(N2129:P2129,Q2129:AE2129)),0)</f>
        <v>3</v>
      </c>
      <c r="AX2129" s="5">
        <f>IF(R2129&gt;0,RANK(R2129,(N2129:P2129,Q2129:AE2129)),0)</f>
        <v>5</v>
      </c>
      <c r="AY2129" s="5">
        <f>IF(T2129&gt;0,RANK(T2129,(N2129:P2129,Q2129:AE2129)),0)</f>
        <v>0</v>
      </c>
      <c r="AZ2129" s="5">
        <f>IF(S2129&gt;0,RANK(S2129,(N2129:P2129,Q2129:AE2129)),0)</f>
        <v>8</v>
      </c>
      <c r="BA2129" s="2">
        <f t="shared" si="890"/>
        <v>3.2140848726045765E-2</v>
      </c>
      <c r="BB2129" s="2">
        <f t="shared" si="891"/>
        <v>6.9862006315698404E-3</v>
      </c>
      <c r="BC2129" s="2">
        <f t="shared" si="892"/>
        <v>0</v>
      </c>
      <c r="BD2129" s="2">
        <f t="shared" si="893"/>
        <v>1.7303283298005797E-4</v>
      </c>
      <c r="BF2129" t="s">
        <v>1717</v>
      </c>
      <c r="BG2129" t="s">
        <v>995</v>
      </c>
      <c r="BH2129">
        <v>4</v>
      </c>
      <c r="BJ2129" s="114">
        <v>39</v>
      </c>
      <c r="BK2129" s="116">
        <v>3</v>
      </c>
      <c r="BL2129" s="120">
        <f t="shared" si="872"/>
        <v>39003</v>
      </c>
      <c r="BN2129" s="5" t="s">
        <v>3154</v>
      </c>
      <c r="BO2129" s="63">
        <v>290</v>
      </c>
      <c r="BP2129" s="63">
        <v>211</v>
      </c>
      <c r="BR2129" s="63"/>
      <c r="BT2129" s="63"/>
      <c r="BY2129" s="63">
        <f t="shared" ref="BY2129:BY2192" si="894">IF(BO2129&gt;0,BZ2129-C2129-BO2129-BP2129,BZ2129-C2129)</f>
        <v>0</v>
      </c>
      <c r="BZ2129" s="63">
        <v>46735</v>
      </c>
      <c r="CA2129" s="63">
        <v>419</v>
      </c>
      <c r="CB2129" s="132"/>
      <c r="CD2129" s="63">
        <v>0</v>
      </c>
      <c r="CE2129" s="63">
        <v>0</v>
      </c>
      <c r="CF2129" s="63">
        <v>0</v>
      </c>
      <c r="CG2129" s="8">
        <v>0</v>
      </c>
      <c r="CH2129" s="8">
        <v>0</v>
      </c>
      <c r="CI2129" s="8">
        <v>0</v>
      </c>
      <c r="CJ2129" s="8">
        <v>1</v>
      </c>
      <c r="CK2129" s="8">
        <v>0</v>
      </c>
      <c r="CL2129" s="8">
        <v>0</v>
      </c>
    </row>
    <row r="2130" spans="1:90" hidden="1" outlineLevel="1">
      <c r="A2130" t="s">
        <v>196</v>
      </c>
      <c r="B2130" t="s">
        <v>995</v>
      </c>
      <c r="C2130" s="1">
        <f t="shared" si="885"/>
        <v>24737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7</v>
      </c>
      <c r="G2130" s="132">
        <f t="shared" si="882"/>
        <v>11753</v>
      </c>
      <c r="H2130" s="137">
        <f t="shared" si="883"/>
        <v>0.47511824392610258</v>
      </c>
      <c r="I2130" s="2"/>
      <c r="J2130" s="2">
        <f t="shared" si="886"/>
        <v>0.23204107207826333</v>
      </c>
      <c r="K2130" s="2">
        <f t="shared" si="887"/>
        <v>0.70715931600436588</v>
      </c>
      <c r="L2130" s="2">
        <f t="shared" si="888"/>
        <v>2.4659417067550635E-3</v>
      </c>
      <c r="M2130" s="2">
        <f t="shared" si="889"/>
        <v>5.8333670210615758E-2</v>
      </c>
      <c r="N2130" s="63">
        <v>5740</v>
      </c>
      <c r="O2130" s="63">
        <v>17493</v>
      </c>
      <c r="P2130" s="63">
        <v>61</v>
      </c>
      <c r="Q2130" s="63">
        <v>906</v>
      </c>
      <c r="R2130" s="63">
        <v>185</v>
      </c>
      <c r="S2130" s="63">
        <v>15</v>
      </c>
      <c r="T2130" s="63"/>
      <c r="U2130" s="63"/>
      <c r="V2130" s="63"/>
      <c r="W2130" s="63">
        <f>IF(Copyright!B$11=1,IF(CA2130&gt;0,CA2130-P2130-SUM(S2130:V2130)-SUM(X2130:Y2130)-SUM(AA2130:AT2130),SUM(CB2130:CM2130)),SUM(CB2130:CM2130))</f>
        <v>147</v>
      </c>
      <c r="X2130" s="63"/>
      <c r="Y2130" s="63">
        <v>1</v>
      </c>
      <c r="Z2130" s="63">
        <v>183</v>
      </c>
      <c r="AA2130" s="63">
        <v>0</v>
      </c>
      <c r="AB2130" s="63"/>
      <c r="AC2130" s="63"/>
      <c r="AD2130" s="63"/>
      <c r="AE2130" s="63">
        <v>0</v>
      </c>
      <c r="AF2130" s="63"/>
      <c r="AG2130" s="63">
        <v>1</v>
      </c>
      <c r="AH2130" s="63"/>
      <c r="AI2130" s="8"/>
      <c r="AJ2130" s="63"/>
      <c r="AK2130" s="63"/>
      <c r="AL2130" s="63"/>
      <c r="AM2130" s="63">
        <v>0</v>
      </c>
      <c r="AN2130" s="63">
        <v>5</v>
      </c>
      <c r="AO2130" s="63"/>
      <c r="AP2130" s="63"/>
      <c r="AQ2130" s="63">
        <v>0</v>
      </c>
      <c r="AR2130" s="63"/>
      <c r="AS2130" s="63"/>
      <c r="AT2130" s="63"/>
      <c r="AU2130" s="63"/>
      <c r="AW2130" s="5">
        <f>IF(Q2130&gt;0,RANK(Q2130,(N2130:P2130,Q2130:AE2130)),0)</f>
        <v>3</v>
      </c>
      <c r="AX2130" s="5">
        <f>IF(R2130&gt;0,RANK(R2130,(N2130:P2130,Q2130:AE2130)),0)</f>
        <v>4</v>
      </c>
      <c r="AY2130" s="5">
        <f>IF(T2130&gt;0,RANK(T2130,(N2130:P2130,Q2130:AE2130)),0)</f>
        <v>0</v>
      </c>
      <c r="AZ2130" s="5">
        <f>IF(S2130&gt;0,RANK(S2130,(N2130:P2130,Q2130:AE2130)),0)</f>
        <v>8</v>
      </c>
      <c r="BA2130" s="2">
        <f t="shared" si="890"/>
        <v>3.6625298136394875E-2</v>
      </c>
      <c r="BB2130" s="2">
        <f t="shared" si="891"/>
        <v>7.4786756680276512E-3</v>
      </c>
      <c r="BC2130" s="2">
        <f t="shared" si="892"/>
        <v>0</v>
      </c>
      <c r="BD2130" s="2">
        <f t="shared" si="893"/>
        <v>6.0637910821845816E-4</v>
      </c>
      <c r="BF2130" t="s">
        <v>196</v>
      </c>
      <c r="BG2130" t="s">
        <v>995</v>
      </c>
      <c r="BH2130">
        <v>7</v>
      </c>
      <c r="BJ2130" s="114">
        <v>39</v>
      </c>
      <c r="BK2130" s="116">
        <v>5</v>
      </c>
      <c r="BL2130" s="120">
        <f t="shared" si="872"/>
        <v>39005</v>
      </c>
      <c r="BN2130" s="5" t="s">
        <v>3154</v>
      </c>
      <c r="BR2130" s="63"/>
      <c r="BT2130" s="63"/>
      <c r="BY2130" s="63">
        <f t="shared" si="894"/>
        <v>-24737</v>
      </c>
      <c r="CA2130" s="133">
        <v>230</v>
      </c>
      <c r="CB2130" s="132"/>
      <c r="CD2130" s="63">
        <v>0</v>
      </c>
      <c r="CE2130" s="63">
        <v>0</v>
      </c>
      <c r="CF2130" s="63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</row>
    <row r="2131" spans="1:90" hidden="1" outlineLevel="1">
      <c r="A2131" t="s">
        <v>92</v>
      </c>
      <c r="B2131" t="s">
        <v>995</v>
      </c>
      <c r="C2131" s="1">
        <f t="shared" si="885"/>
        <v>41180</v>
      </c>
      <c r="D2131" s="5">
        <f>IF(N2131&gt;0, RANK(N2131,(N2131:P2131,Q2131:AE2131)),0)</f>
        <v>2</v>
      </c>
      <c r="E2131" s="5">
        <f>IF(O2131&gt;0,RANK(O2131,(N2131:P2131,Q2131:AE2131)),0)</f>
        <v>1</v>
      </c>
      <c r="F2131" s="5">
        <f>IF(P2131&gt;0,RANK(P2131,(N2131:P2131,Q2131:AE2131)),0)</f>
        <v>7</v>
      </c>
      <c r="G2131" s="132">
        <f t="shared" si="882"/>
        <v>7741</v>
      </c>
      <c r="H2131" s="137">
        <f t="shared" si="883"/>
        <v>0.18797960174842157</v>
      </c>
      <c r="I2131" s="2"/>
      <c r="J2131" s="2">
        <f t="shared" si="886"/>
        <v>0.37826614861583291</v>
      </c>
      <c r="K2131" s="2">
        <f t="shared" si="887"/>
        <v>0.56624575036425451</v>
      </c>
      <c r="L2131" s="2">
        <f t="shared" si="888"/>
        <v>1.238465274405051E-3</v>
      </c>
      <c r="M2131" s="2">
        <f t="shared" si="889"/>
        <v>5.424963574550748E-2</v>
      </c>
      <c r="N2131" s="63">
        <v>15577</v>
      </c>
      <c r="O2131" s="63">
        <v>23318</v>
      </c>
      <c r="P2131" s="63">
        <v>51</v>
      </c>
      <c r="Q2131" s="63">
        <v>1213</v>
      </c>
      <c r="R2131" s="63">
        <v>427</v>
      </c>
      <c r="S2131" s="63">
        <v>4</v>
      </c>
      <c r="T2131" s="63"/>
      <c r="U2131" s="63"/>
      <c r="V2131" s="63"/>
      <c r="W2131" s="63">
        <f>IF(Copyright!B$11=1,IF(CA2131&gt;0,CA2131-P2131-SUM(S2131:V2131)-SUM(X2131:Y2131)-SUM(AA2131:AT2131),SUM(CB2131:CM2131)),SUM(CB2131:CM2131))</f>
        <v>315</v>
      </c>
      <c r="X2131" s="63"/>
      <c r="Y2131" s="63">
        <v>3</v>
      </c>
      <c r="Z2131" s="63">
        <v>271</v>
      </c>
      <c r="AA2131" s="63">
        <v>0</v>
      </c>
      <c r="AB2131" s="63"/>
      <c r="AC2131" s="63"/>
      <c r="AD2131" s="63"/>
      <c r="AE2131" s="63">
        <v>0</v>
      </c>
      <c r="AF2131" s="63"/>
      <c r="AG2131" s="63">
        <v>0</v>
      </c>
      <c r="AH2131" s="63"/>
      <c r="AI2131" s="8"/>
      <c r="AJ2131" s="63"/>
      <c r="AK2131" s="63"/>
      <c r="AL2131" s="63"/>
      <c r="AM2131" s="63">
        <v>1</v>
      </c>
      <c r="AN2131" s="63">
        <v>0</v>
      </c>
      <c r="AO2131" s="63"/>
      <c r="AP2131" s="63"/>
      <c r="AQ2131" s="63">
        <v>0</v>
      </c>
      <c r="AR2131" s="63"/>
      <c r="AS2131" s="63"/>
      <c r="AT2131" s="63"/>
      <c r="AU2131" s="63"/>
      <c r="AW2131" s="5">
        <f>IF(Q2131&gt;0,RANK(Q2131,(N2131:P2131,Q2131:AE2131)),0)</f>
        <v>3</v>
      </c>
      <c r="AX2131" s="5">
        <f>IF(R2131&gt;0,RANK(R2131,(N2131:P2131,Q2131:AE2131)),0)</f>
        <v>4</v>
      </c>
      <c r="AY2131" s="5">
        <f>IF(T2131&gt;0,RANK(T2131,(N2131:P2131,Q2131:AE2131)),0)</f>
        <v>0</v>
      </c>
      <c r="AZ2131" s="5">
        <f>IF(S2131&gt;0,RANK(S2131,(N2131:P2131,Q2131:AE2131)),0)</f>
        <v>8</v>
      </c>
      <c r="BA2131" s="2">
        <f t="shared" si="890"/>
        <v>2.9456046624575037E-2</v>
      </c>
      <c r="BB2131" s="2">
        <f t="shared" si="891"/>
        <v>1.0369111219038368E-2</v>
      </c>
      <c r="BC2131" s="2">
        <f t="shared" si="892"/>
        <v>0</v>
      </c>
      <c r="BD2131" s="2">
        <f t="shared" si="893"/>
        <v>9.7134531325886346E-5</v>
      </c>
      <c r="BF2131" t="s">
        <v>92</v>
      </c>
      <c r="BG2131" t="s">
        <v>995</v>
      </c>
      <c r="BH2131">
        <v>14</v>
      </c>
      <c r="BJ2131" s="114">
        <v>39</v>
      </c>
      <c r="BK2131" s="116">
        <v>7</v>
      </c>
      <c r="BL2131" s="120">
        <f t="shared" si="872"/>
        <v>39007</v>
      </c>
      <c r="BN2131" s="5" t="s">
        <v>3154</v>
      </c>
      <c r="BR2131" s="63"/>
      <c r="BT2131" s="132"/>
      <c r="BY2131" s="63">
        <f t="shared" si="894"/>
        <v>0</v>
      </c>
      <c r="BZ2131" s="63">
        <v>41180</v>
      </c>
      <c r="CA2131" s="132">
        <v>374</v>
      </c>
      <c r="CB2131" s="132"/>
      <c r="CD2131" s="63">
        <v>0</v>
      </c>
      <c r="CE2131" s="63">
        <v>0</v>
      </c>
      <c r="CF2131" s="63">
        <v>0</v>
      </c>
      <c r="CG2131" s="8">
        <v>1</v>
      </c>
      <c r="CH2131" s="8">
        <v>0</v>
      </c>
      <c r="CI2131" s="8">
        <v>0</v>
      </c>
      <c r="CJ2131" s="8">
        <v>1</v>
      </c>
      <c r="CK2131" s="8">
        <v>0</v>
      </c>
      <c r="CL2131" s="8">
        <v>0</v>
      </c>
    </row>
    <row r="2132" spans="1:90" hidden="1" outlineLevel="1">
      <c r="A2132" t="s">
        <v>1528</v>
      </c>
      <c r="B2132" t="s">
        <v>995</v>
      </c>
      <c r="C2132" s="1">
        <f t="shared" si="885"/>
        <v>29709</v>
      </c>
      <c r="D2132" s="5">
        <f>IF(N2132&gt;0, RANK(N2132,(N2132:P2132,Q2132:AE2132)),0)</f>
        <v>1</v>
      </c>
      <c r="E2132" s="5">
        <f>IF(O2132&gt;0,RANK(O2132,(N2132:P2132,Q2132:AE2132)),0)</f>
        <v>2</v>
      </c>
      <c r="F2132" s="5">
        <f>IF(P2132&gt;0,RANK(P2132,(N2132:P2132,Q2132:AE2132)),0)</f>
        <v>7</v>
      </c>
      <c r="G2132" s="132">
        <f t="shared" si="882"/>
        <v>5016</v>
      </c>
      <c r="H2132" s="137">
        <f t="shared" si="883"/>
        <v>0.16883772594163385</v>
      </c>
      <c r="I2132" s="2"/>
      <c r="J2132" s="2">
        <f t="shared" si="886"/>
        <v>0.55101147800329864</v>
      </c>
      <c r="K2132" s="2">
        <f t="shared" si="887"/>
        <v>0.38217375206166482</v>
      </c>
      <c r="L2132" s="2">
        <f t="shared" si="888"/>
        <v>8.0783600929011407E-4</v>
      </c>
      <c r="M2132" s="2">
        <f t="shared" si="889"/>
        <v>6.6006933925746428E-2</v>
      </c>
      <c r="N2132" s="63">
        <v>16370</v>
      </c>
      <c r="O2132" s="63">
        <v>11354</v>
      </c>
      <c r="P2132" s="63">
        <v>24</v>
      </c>
      <c r="Q2132" s="63">
        <v>1012</v>
      </c>
      <c r="R2132" s="63">
        <v>539</v>
      </c>
      <c r="S2132" s="63">
        <v>8</v>
      </c>
      <c r="T2132" s="63"/>
      <c r="U2132" s="63"/>
      <c r="V2132" s="63"/>
      <c r="W2132" s="63">
        <f>IF(Copyright!B$11=1,IF(CA2132&gt;0,CA2132-P2132-SUM(S2132:V2132)-SUM(X2132:Y2132)-SUM(AA2132:AT2132),SUM(CB2132:CM2132)),SUM(CB2132:CM2132))</f>
        <v>266</v>
      </c>
      <c r="X2132" s="63"/>
      <c r="Y2132" s="63">
        <v>0</v>
      </c>
      <c r="Z2132" s="63">
        <v>130</v>
      </c>
      <c r="AA2132" s="63">
        <v>0</v>
      </c>
      <c r="AB2132" s="63"/>
      <c r="AC2132" s="63"/>
      <c r="AD2132" s="63"/>
      <c r="AE2132" s="63">
        <v>0</v>
      </c>
      <c r="AF2132" s="63"/>
      <c r="AG2132" s="63">
        <v>0</v>
      </c>
      <c r="AH2132" s="63"/>
      <c r="AI2132" s="8"/>
      <c r="AJ2132" s="63"/>
      <c r="AK2132" s="63"/>
      <c r="AL2132" s="63"/>
      <c r="AM2132" s="63">
        <v>0</v>
      </c>
      <c r="AN2132" s="63">
        <v>6</v>
      </c>
      <c r="AO2132" s="63"/>
      <c r="AP2132" s="63"/>
      <c r="AQ2132" s="63">
        <v>0</v>
      </c>
      <c r="AR2132" s="63"/>
      <c r="AS2132" s="63"/>
      <c r="AT2132" s="63"/>
      <c r="AU2132" s="63"/>
      <c r="AW2132" s="5">
        <f>IF(Q2132&gt;0,RANK(Q2132,(N2132:P2132,Q2132:AE2132)),0)</f>
        <v>3</v>
      </c>
      <c r="AX2132" s="5">
        <f>IF(R2132&gt;0,RANK(R2132,(N2132:P2132,Q2132:AE2132)),0)</f>
        <v>4</v>
      </c>
      <c r="AY2132" s="5">
        <f>IF(T2132&gt;0,RANK(T2132,(N2132:P2132,Q2132:AE2132)),0)</f>
        <v>0</v>
      </c>
      <c r="AZ2132" s="5">
        <f>IF(S2132&gt;0,RANK(S2132,(N2132:P2132,Q2132:AE2132)),0)</f>
        <v>8</v>
      </c>
      <c r="BA2132" s="2">
        <f t="shared" si="890"/>
        <v>3.4063751725066475E-2</v>
      </c>
      <c r="BB2132" s="2">
        <f t="shared" si="891"/>
        <v>1.8142650375307146E-2</v>
      </c>
      <c r="BC2132" s="2">
        <f t="shared" si="892"/>
        <v>0</v>
      </c>
      <c r="BD2132" s="2">
        <f t="shared" si="893"/>
        <v>2.6927866976337136E-4</v>
      </c>
      <c r="BF2132" t="s">
        <v>1528</v>
      </c>
      <c r="BG2132" t="s">
        <v>995</v>
      </c>
      <c r="BJ2132" s="114">
        <v>39</v>
      </c>
      <c r="BK2132" s="116">
        <v>9</v>
      </c>
      <c r="BL2132" s="120">
        <f t="shared" si="872"/>
        <v>39009</v>
      </c>
      <c r="BN2132" s="5" t="s">
        <v>3154</v>
      </c>
      <c r="BO2132" s="63">
        <v>313</v>
      </c>
      <c r="BP2132" s="63">
        <v>20</v>
      </c>
      <c r="BR2132" s="63"/>
      <c r="BT2132" s="63"/>
      <c r="BY2132" s="63">
        <f t="shared" si="894"/>
        <v>0</v>
      </c>
      <c r="BZ2132" s="63">
        <v>30042</v>
      </c>
      <c r="CA2132" s="63">
        <v>304</v>
      </c>
      <c r="CB2132" s="132"/>
      <c r="CD2132" s="63">
        <v>0</v>
      </c>
      <c r="CE2132" s="63">
        <v>0</v>
      </c>
      <c r="CF2132" s="63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</row>
    <row r="2133" spans="1:90" hidden="1" outlineLevel="1">
      <c r="A2133" t="s">
        <v>2729</v>
      </c>
      <c r="B2133" t="s">
        <v>995</v>
      </c>
      <c r="C2133" s="1">
        <f t="shared" si="885"/>
        <v>23794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7</v>
      </c>
      <c r="G2133" s="132">
        <f t="shared" si="882"/>
        <v>14678</v>
      </c>
      <c r="H2133" s="137">
        <f t="shared" si="883"/>
        <v>0.61687820458939224</v>
      </c>
      <c r="I2133" s="2"/>
      <c r="J2133" s="2">
        <f t="shared" si="886"/>
        <v>0.16726905942674625</v>
      </c>
      <c r="K2133" s="2">
        <f t="shared" si="887"/>
        <v>0.78414726401613855</v>
      </c>
      <c r="L2133" s="2">
        <f t="shared" si="888"/>
        <v>1.1347398503824494E-3</v>
      </c>
      <c r="M2133" s="2">
        <f t="shared" si="889"/>
        <v>4.7448936706732704E-2</v>
      </c>
      <c r="N2133" s="63">
        <v>3980</v>
      </c>
      <c r="O2133" s="63">
        <v>18658</v>
      </c>
      <c r="P2133" s="63">
        <v>27</v>
      </c>
      <c r="Q2133" s="63">
        <v>701</v>
      </c>
      <c r="R2133" s="63">
        <v>112</v>
      </c>
      <c r="S2133" s="63">
        <v>3</v>
      </c>
      <c r="T2133" s="63"/>
      <c r="U2133" s="63"/>
      <c r="V2133" s="63"/>
      <c r="W2133" s="63">
        <f>IF(Copyright!B$11=1,IF(CA2133&gt;0,CA2133-P2133-SUM(S2133:V2133)-SUM(X2133:Y2133)-SUM(AA2133:AT2133),SUM(CB2133:CM2133)),SUM(CB2133:CM2133))</f>
        <v>169</v>
      </c>
      <c r="X2133" s="63"/>
      <c r="Y2133" s="63">
        <v>4</v>
      </c>
      <c r="Z2133" s="63">
        <v>132</v>
      </c>
      <c r="AA2133" s="63">
        <v>0</v>
      </c>
      <c r="AB2133" s="63"/>
      <c r="AC2133" s="63"/>
      <c r="AD2133" s="63"/>
      <c r="AE2133" s="63">
        <v>2</v>
      </c>
      <c r="AF2133" s="63"/>
      <c r="AG2133" s="63">
        <v>2</v>
      </c>
      <c r="AH2133" s="63"/>
      <c r="AI2133" s="8"/>
      <c r="AJ2133" s="63"/>
      <c r="AK2133" s="63"/>
      <c r="AL2133" s="63"/>
      <c r="AM2133" s="63">
        <v>0</v>
      </c>
      <c r="AN2133" s="63">
        <v>4</v>
      </c>
      <c r="AO2133" s="63"/>
      <c r="AP2133" s="63"/>
      <c r="AQ2133" s="63">
        <v>0</v>
      </c>
      <c r="AR2133" s="63"/>
      <c r="AS2133" s="63"/>
      <c r="AT2133" s="63"/>
      <c r="AU2133" s="63"/>
      <c r="AW2133" s="5">
        <f>IF(Q2133&gt;0,RANK(Q2133,(N2133:P2133,Q2133:AE2133)),0)</f>
        <v>3</v>
      </c>
      <c r="AX2133" s="5">
        <f>IF(R2133&gt;0,RANK(R2133,(N2133:P2133,Q2133:AE2133)),0)</f>
        <v>6</v>
      </c>
      <c r="AY2133" s="5">
        <f>IF(T2133&gt;0,RANK(T2133,(N2133:P2133,Q2133:AE2133)),0)</f>
        <v>0</v>
      </c>
      <c r="AZ2133" s="5">
        <f>IF(S2133&gt;0,RANK(S2133,(N2133:P2133,Q2133:AE2133)),0)</f>
        <v>9</v>
      </c>
      <c r="BA2133" s="2">
        <f t="shared" si="890"/>
        <v>2.9461208708077665E-2</v>
      </c>
      <c r="BB2133" s="2">
        <f t="shared" si="891"/>
        <v>4.7070690089938642E-3</v>
      </c>
      <c r="BC2133" s="2">
        <f t="shared" si="892"/>
        <v>0</v>
      </c>
      <c r="BD2133" s="2">
        <f t="shared" si="893"/>
        <v>1.2608220559804994E-4</v>
      </c>
      <c r="BF2133" t="s">
        <v>2729</v>
      </c>
      <c r="BG2133" t="s">
        <v>995</v>
      </c>
      <c r="BH2133">
        <v>4</v>
      </c>
      <c r="BJ2133" s="114">
        <v>39</v>
      </c>
      <c r="BK2133" s="116">
        <v>11</v>
      </c>
      <c r="BL2133" s="120">
        <f t="shared" si="872"/>
        <v>39011</v>
      </c>
      <c r="BN2133" s="5" t="s">
        <v>3154</v>
      </c>
      <c r="BO2133" s="63">
        <v>162</v>
      </c>
      <c r="BP2133" s="63">
        <v>63</v>
      </c>
      <c r="BR2133" s="63"/>
      <c r="BT2133" s="63"/>
      <c r="BY2133" s="63">
        <f t="shared" si="894"/>
        <v>0</v>
      </c>
      <c r="BZ2133" s="63">
        <v>24019</v>
      </c>
      <c r="CA2133" s="63">
        <v>211</v>
      </c>
      <c r="CB2133" s="132"/>
      <c r="CD2133" s="63">
        <v>0</v>
      </c>
      <c r="CE2133" s="63">
        <v>0</v>
      </c>
      <c r="CF2133" s="63">
        <v>0</v>
      </c>
      <c r="CG2133" s="8">
        <v>0</v>
      </c>
      <c r="CH2133" s="8">
        <v>0</v>
      </c>
      <c r="CI2133" s="8">
        <v>0</v>
      </c>
      <c r="CJ2133" s="8">
        <v>2</v>
      </c>
      <c r="CK2133" s="8">
        <v>0</v>
      </c>
      <c r="CL2133" s="8">
        <v>0</v>
      </c>
    </row>
    <row r="2134" spans="1:90" hidden="1" outlineLevel="1">
      <c r="A2134" t="s">
        <v>899</v>
      </c>
      <c r="B2134" t="s">
        <v>995</v>
      </c>
      <c r="C2134" s="1">
        <f t="shared" si="885"/>
        <v>31331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7</v>
      </c>
      <c r="G2134" s="132">
        <f t="shared" si="882"/>
        <v>12323</v>
      </c>
      <c r="H2134" s="137">
        <f t="shared" si="883"/>
        <v>0.39331652357090424</v>
      </c>
      <c r="I2134" s="2"/>
      <c r="J2134" s="2">
        <f t="shared" si="886"/>
        <v>0.2803932207717596</v>
      </c>
      <c r="K2134" s="2">
        <f t="shared" si="887"/>
        <v>0.67370974434266384</v>
      </c>
      <c r="L2134" s="2">
        <f t="shared" si="888"/>
        <v>1.0851871947911015E-3</v>
      </c>
      <c r="M2134" s="2">
        <f t="shared" si="889"/>
        <v>4.4811847690785403E-2</v>
      </c>
      <c r="N2134" s="63">
        <v>8785</v>
      </c>
      <c r="O2134" s="63">
        <v>21108</v>
      </c>
      <c r="P2134" s="63">
        <v>34</v>
      </c>
      <c r="Q2134" s="63">
        <v>777</v>
      </c>
      <c r="R2134" s="63">
        <v>195</v>
      </c>
      <c r="S2134" s="63">
        <v>4</v>
      </c>
      <c r="T2134" s="63"/>
      <c r="U2134" s="63"/>
      <c r="V2134" s="63"/>
      <c r="W2134" s="63">
        <f>IF(Copyright!B$11=1,IF(CA2134&gt;0,CA2134-P2134-SUM(S2134:V2134)-SUM(X2134:Y2134)-SUM(AA2134:AT2134),SUM(CB2134:CM2134)),SUM(CB2134:CM2134))</f>
        <v>211</v>
      </c>
      <c r="X2134" s="63"/>
      <c r="Y2134" s="63">
        <v>0</v>
      </c>
      <c r="Z2134" s="63">
        <v>214</v>
      </c>
      <c r="AA2134" s="63">
        <v>0</v>
      </c>
      <c r="AB2134" s="63"/>
      <c r="AC2134" s="63"/>
      <c r="AD2134" s="63"/>
      <c r="AE2134" s="63">
        <v>0</v>
      </c>
      <c r="AF2134" s="63"/>
      <c r="AG2134" s="63">
        <v>0</v>
      </c>
      <c r="AH2134" s="63"/>
      <c r="AI2134" s="8"/>
      <c r="AJ2134" s="63"/>
      <c r="AK2134" s="63"/>
      <c r="AL2134" s="63"/>
      <c r="AM2134" s="63">
        <v>0</v>
      </c>
      <c r="AN2134" s="63">
        <v>3</v>
      </c>
      <c r="AO2134" s="63"/>
      <c r="AP2134" s="63"/>
      <c r="AQ2134" s="63">
        <v>0</v>
      </c>
      <c r="AR2134" s="63"/>
      <c r="AS2134" s="63"/>
      <c r="AT2134" s="63"/>
      <c r="AU2134" s="63"/>
      <c r="AW2134" s="5">
        <f>IF(Q2134&gt;0,RANK(Q2134,(N2134:P2134,Q2134:AE2134)),0)</f>
        <v>3</v>
      </c>
      <c r="AX2134" s="5">
        <f>IF(R2134&gt;0,RANK(R2134,(N2134:P2134,Q2134:AE2134)),0)</f>
        <v>6</v>
      </c>
      <c r="AY2134" s="5">
        <f>IF(T2134&gt;0,RANK(T2134,(N2134:P2134,Q2134:AE2134)),0)</f>
        <v>0</v>
      </c>
      <c r="AZ2134" s="5">
        <f>IF(S2134&gt;0,RANK(S2134,(N2134:P2134,Q2134:AE2134)),0)</f>
        <v>8</v>
      </c>
      <c r="BA2134" s="2">
        <f t="shared" si="890"/>
        <v>2.4799719128020172E-2</v>
      </c>
      <c r="BB2134" s="2">
        <f t="shared" si="891"/>
        <v>6.2238677348313174E-3</v>
      </c>
      <c r="BC2134" s="2">
        <f t="shared" si="892"/>
        <v>0</v>
      </c>
      <c r="BD2134" s="2">
        <f t="shared" si="893"/>
        <v>1.2766908174012957E-4</v>
      </c>
      <c r="BF2134" t="s">
        <v>899</v>
      </c>
      <c r="BG2134" t="s">
        <v>995</v>
      </c>
      <c r="BH2134">
        <v>6</v>
      </c>
      <c r="BJ2134" s="114">
        <v>39</v>
      </c>
      <c r="BK2134" s="116">
        <v>13</v>
      </c>
      <c r="BL2134" s="120">
        <f t="shared" si="872"/>
        <v>39013</v>
      </c>
      <c r="BN2134" s="5" t="s">
        <v>3154</v>
      </c>
      <c r="BR2134" s="63"/>
      <c r="BT2134" s="63"/>
      <c r="BY2134" s="63">
        <f t="shared" si="894"/>
        <v>0</v>
      </c>
      <c r="BZ2134" s="63">
        <v>31331</v>
      </c>
      <c r="CA2134" s="63">
        <f>209+3+1+34+4+1</f>
        <v>252</v>
      </c>
      <c r="CB2134" s="132"/>
      <c r="CD2134" s="63">
        <v>0</v>
      </c>
      <c r="CE2134" s="63">
        <v>0</v>
      </c>
      <c r="CF2134" s="63">
        <v>0</v>
      </c>
      <c r="CG2134" s="8">
        <v>1</v>
      </c>
      <c r="CH2134" s="8">
        <v>0</v>
      </c>
      <c r="CI2134" s="8">
        <v>0</v>
      </c>
      <c r="CJ2134" s="8">
        <v>0</v>
      </c>
      <c r="CK2134" s="8">
        <v>1</v>
      </c>
      <c r="CL2134" s="8">
        <v>0</v>
      </c>
    </row>
    <row r="2135" spans="1:90" hidden="1" outlineLevel="1">
      <c r="A2135" t="s">
        <v>578</v>
      </c>
      <c r="B2135" t="s">
        <v>995</v>
      </c>
      <c r="C2135" s="1">
        <f t="shared" si="885"/>
        <v>19682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7</v>
      </c>
      <c r="G2135" s="132">
        <f t="shared" si="882"/>
        <v>10220</v>
      </c>
      <c r="H2135" s="137">
        <f t="shared" si="883"/>
        <v>0.51925617315313488</v>
      </c>
      <c r="I2135" s="2"/>
      <c r="J2135" s="2">
        <f t="shared" si="886"/>
        <v>0.22116654811502895</v>
      </c>
      <c r="K2135" s="2">
        <f t="shared" si="887"/>
        <v>0.74042272126816377</v>
      </c>
      <c r="L2135" s="2">
        <f t="shared" si="888"/>
        <v>2.1847373234427396E-3</v>
      </c>
      <c r="M2135" s="2">
        <f t="shared" si="889"/>
        <v>3.6225993293364595E-2</v>
      </c>
      <c r="N2135" s="63">
        <v>4353</v>
      </c>
      <c r="O2135" s="63">
        <v>14573</v>
      </c>
      <c r="P2135" s="63">
        <v>43</v>
      </c>
      <c r="Q2135" s="63">
        <v>431</v>
      </c>
      <c r="R2135" s="63">
        <v>103</v>
      </c>
      <c r="S2135" s="63">
        <v>4</v>
      </c>
      <c r="T2135" s="63"/>
      <c r="U2135" s="63"/>
      <c r="V2135" s="63"/>
      <c r="W2135" s="63">
        <f>IF(Copyright!B$11=1,IF(CA2135&gt;0,CA2135-P2135-SUM(S2135:V2135)-SUM(X2135:Y2135)-SUM(AA2135:AT2135),SUM(CB2135:CM2135)),SUM(CB2135:CM2135))</f>
        <v>77</v>
      </c>
      <c r="X2135" s="63"/>
      <c r="Y2135" s="63">
        <v>2</v>
      </c>
      <c r="Z2135" s="63">
        <v>95</v>
      </c>
      <c r="AA2135" s="63">
        <v>0</v>
      </c>
      <c r="AB2135" s="63"/>
      <c r="AC2135" s="63"/>
      <c r="AD2135" s="63"/>
      <c r="AE2135" s="63">
        <v>0</v>
      </c>
      <c r="AF2135" s="63"/>
      <c r="AG2135" s="63">
        <v>1</v>
      </c>
      <c r="AH2135" s="63"/>
      <c r="AI2135" s="8"/>
      <c r="AJ2135" s="63"/>
      <c r="AK2135" s="63"/>
      <c r="AL2135" s="63"/>
      <c r="AM2135" s="63">
        <v>0</v>
      </c>
      <c r="AN2135" s="63">
        <v>0</v>
      </c>
      <c r="AO2135" s="63"/>
      <c r="AP2135" s="63"/>
      <c r="AQ2135" s="63">
        <v>0</v>
      </c>
      <c r="AR2135" s="63"/>
      <c r="AS2135" s="63"/>
      <c r="AT2135" s="63"/>
      <c r="AU2135" s="63"/>
      <c r="AW2135" s="5">
        <f>IF(Q2135&gt;0,RANK(Q2135,(N2135:P2135,Q2135:AE2135)),0)</f>
        <v>3</v>
      </c>
      <c r="AX2135" s="5">
        <f>IF(R2135&gt;0,RANK(R2135,(N2135:P2135,Q2135:AE2135)),0)</f>
        <v>4</v>
      </c>
      <c r="AY2135" s="5">
        <f>IF(T2135&gt;0,RANK(T2135,(N2135:P2135,Q2135:AE2135)),0)</f>
        <v>0</v>
      </c>
      <c r="AZ2135" s="5">
        <f>IF(S2135&gt;0,RANK(S2135,(N2135:P2135,Q2135:AE2135)),0)</f>
        <v>8</v>
      </c>
      <c r="BA2135" s="2">
        <f t="shared" si="890"/>
        <v>2.1898181079158623E-2</v>
      </c>
      <c r="BB2135" s="2">
        <f t="shared" si="891"/>
        <v>5.2332080073163294E-3</v>
      </c>
      <c r="BC2135" s="2">
        <f t="shared" si="892"/>
        <v>0</v>
      </c>
      <c r="BD2135" s="2">
        <f t="shared" si="893"/>
        <v>2.03231378924906E-4</v>
      </c>
      <c r="BF2135" t="s">
        <v>578</v>
      </c>
      <c r="BG2135" t="s">
        <v>995</v>
      </c>
      <c r="BH2135">
        <v>2</v>
      </c>
      <c r="BJ2135" s="114">
        <v>39</v>
      </c>
      <c r="BK2135" s="116">
        <v>15</v>
      </c>
      <c r="BL2135" s="120">
        <f t="shared" si="872"/>
        <v>39015</v>
      </c>
      <c r="BN2135" s="5" t="s">
        <v>3154</v>
      </c>
      <c r="BO2135" s="63">
        <v>149</v>
      </c>
      <c r="BP2135" s="63">
        <v>58</v>
      </c>
      <c r="BR2135" s="63"/>
      <c r="BT2135" s="63"/>
      <c r="BY2135" s="63">
        <f t="shared" si="894"/>
        <v>0</v>
      </c>
      <c r="BZ2135" s="63">
        <v>19889</v>
      </c>
      <c r="CA2135" s="63">
        <v>127</v>
      </c>
      <c r="CB2135" s="132"/>
      <c r="CD2135" s="63">
        <v>0</v>
      </c>
      <c r="CE2135" s="63">
        <v>0</v>
      </c>
      <c r="CF2135" s="63">
        <v>0</v>
      </c>
      <c r="CG2135" s="8">
        <v>1</v>
      </c>
      <c r="CH2135" s="8">
        <v>0</v>
      </c>
      <c r="CI2135" s="8">
        <v>0</v>
      </c>
      <c r="CJ2135" s="8">
        <v>1</v>
      </c>
      <c r="CK2135" s="8">
        <v>0</v>
      </c>
      <c r="CL2135" s="8">
        <v>0</v>
      </c>
    </row>
    <row r="2136" spans="1:90" hidden="1" outlineLevel="1">
      <c r="A2136" t="s">
        <v>1806</v>
      </c>
      <c r="B2136" t="s">
        <v>995</v>
      </c>
      <c r="C2136" s="1">
        <f t="shared" si="885"/>
        <v>174994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6</v>
      </c>
      <c r="G2136" s="132">
        <f t="shared" si="882"/>
        <v>48334</v>
      </c>
      <c r="H2136" s="137">
        <f t="shared" si="883"/>
        <v>0.2762037555573334</v>
      </c>
      <c r="I2136" s="2"/>
      <c r="J2136" s="2">
        <f t="shared" si="886"/>
        <v>0.33510863229596444</v>
      </c>
      <c r="K2136" s="2">
        <f t="shared" si="887"/>
        <v>0.61131238785329778</v>
      </c>
      <c r="L2136" s="2">
        <f t="shared" si="888"/>
        <v>3.3086848691955151E-3</v>
      </c>
      <c r="M2136" s="2">
        <f t="shared" si="889"/>
        <v>5.0270294981542271E-2</v>
      </c>
      <c r="N2136" s="63">
        <v>58642</v>
      </c>
      <c r="O2136" s="63">
        <v>106976</v>
      </c>
      <c r="P2136" s="63">
        <v>579</v>
      </c>
      <c r="Q2136" s="63">
        <v>5790</v>
      </c>
      <c r="R2136" s="63">
        <v>1173</v>
      </c>
      <c r="S2136" s="63">
        <v>71</v>
      </c>
      <c r="T2136" s="63"/>
      <c r="U2136" s="63"/>
      <c r="V2136" s="63"/>
      <c r="W2136" s="63">
        <f>IF(Copyright!B$11=1,IF(CA2136&gt;0,CA2136-P2136-SUM(S2136:V2136)-SUM(X2136:Y2136)-SUM(AA2136:AT2136),SUM(CB2136:CM2136)),SUM(CB2136:CM2136))</f>
        <v>1163</v>
      </c>
      <c r="X2136" s="63"/>
      <c r="Y2136" s="63">
        <v>12</v>
      </c>
      <c r="Z2136" s="63">
        <v>566</v>
      </c>
      <c r="AA2136" s="63">
        <v>0</v>
      </c>
      <c r="AB2136" s="63"/>
      <c r="AC2136" s="63"/>
      <c r="AD2136" s="63"/>
      <c r="AE2136" s="63">
        <v>0</v>
      </c>
      <c r="AF2136" s="63"/>
      <c r="AG2136" s="63">
        <v>3</v>
      </c>
      <c r="AH2136" s="63"/>
      <c r="AI2136" s="8"/>
      <c r="AJ2136" s="63"/>
      <c r="AK2136" s="63"/>
      <c r="AL2136" s="63"/>
      <c r="AM2136" s="63">
        <v>0</v>
      </c>
      <c r="AN2136" s="63">
        <v>16</v>
      </c>
      <c r="AO2136" s="63"/>
      <c r="AP2136" s="63"/>
      <c r="AQ2136" s="63">
        <v>3</v>
      </c>
      <c r="AR2136" s="63"/>
      <c r="AS2136" s="63"/>
      <c r="AT2136" s="63"/>
      <c r="AU2136" s="63"/>
      <c r="AW2136" s="5">
        <f>IF(Q2136&gt;0,RANK(Q2136,(N2136:P2136,Q2136:AE2136)),0)</f>
        <v>3</v>
      </c>
      <c r="AX2136" s="5">
        <f>IF(R2136&gt;0,RANK(R2136,(N2136:P2136,Q2136:AE2136)),0)</f>
        <v>4</v>
      </c>
      <c r="AY2136" s="5">
        <f>IF(T2136&gt;0,RANK(T2136,(N2136:P2136,Q2136:AE2136)),0)</f>
        <v>0</v>
      </c>
      <c r="AZ2136" s="5">
        <f>IF(S2136&gt;0,RANK(S2136,(N2136:P2136,Q2136:AE2136)),0)</f>
        <v>8</v>
      </c>
      <c r="BA2136" s="2">
        <f t="shared" si="890"/>
        <v>3.3086848691955155E-2</v>
      </c>
      <c r="BB2136" s="2">
        <f t="shared" si="891"/>
        <v>6.7030869629815882E-3</v>
      </c>
      <c r="BC2136" s="2">
        <f t="shared" si="892"/>
        <v>0</v>
      </c>
      <c r="BD2136" s="2">
        <f t="shared" si="893"/>
        <v>4.0572819639530497E-4</v>
      </c>
      <c r="BF2136" t="s">
        <v>1806</v>
      </c>
      <c r="BG2136" t="s">
        <v>995</v>
      </c>
      <c r="BH2136">
        <v>8</v>
      </c>
      <c r="BJ2136" s="114">
        <v>39</v>
      </c>
      <c r="BK2136" s="116">
        <v>17</v>
      </c>
      <c r="BL2136" s="120">
        <f t="shared" si="872"/>
        <v>39017</v>
      </c>
      <c r="BN2136" s="5" t="s">
        <v>3154</v>
      </c>
      <c r="BR2136" s="63"/>
      <c r="BT2136" s="63"/>
      <c r="BY2136" s="63">
        <f t="shared" si="894"/>
        <v>0</v>
      </c>
      <c r="BZ2136" s="63">
        <v>174994</v>
      </c>
      <c r="CA2136" s="63">
        <f>1155+3+3+579+16+1+3+12+3+1+71</f>
        <v>1847</v>
      </c>
      <c r="CB2136" s="132"/>
      <c r="CD2136" s="63">
        <v>0</v>
      </c>
      <c r="CE2136" s="63">
        <v>0</v>
      </c>
      <c r="CF2136" s="63">
        <v>1</v>
      </c>
      <c r="CG2136" s="8">
        <v>3</v>
      </c>
      <c r="CH2136" s="8">
        <v>0</v>
      </c>
      <c r="CI2136" s="8">
        <v>1</v>
      </c>
      <c r="CJ2136" s="8">
        <v>3</v>
      </c>
      <c r="CK2136" s="8">
        <v>0</v>
      </c>
      <c r="CL2136" s="8">
        <v>0</v>
      </c>
    </row>
    <row r="2137" spans="1:90" hidden="1" outlineLevel="1">
      <c r="A2137" t="s">
        <v>1675</v>
      </c>
      <c r="B2137" t="s">
        <v>995</v>
      </c>
      <c r="C2137" s="1">
        <f t="shared" si="885"/>
        <v>13148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7</v>
      </c>
      <c r="G2137" s="132">
        <f t="shared" si="882"/>
        <v>6100</v>
      </c>
      <c r="H2137" s="137">
        <f t="shared" si="883"/>
        <v>0.46394888956495284</v>
      </c>
      <c r="I2137" s="2"/>
      <c r="J2137" s="2">
        <f t="shared" si="886"/>
        <v>0.23988439306358381</v>
      </c>
      <c r="K2137" s="2">
        <f t="shared" si="887"/>
        <v>0.70383328262853662</v>
      </c>
      <c r="L2137" s="2">
        <f t="shared" si="888"/>
        <v>2.053544265287496E-3</v>
      </c>
      <c r="M2137" s="2">
        <f t="shared" si="889"/>
        <v>5.4228780042592108E-2</v>
      </c>
      <c r="N2137" s="63">
        <v>3154</v>
      </c>
      <c r="O2137" s="63">
        <v>9254</v>
      </c>
      <c r="P2137" s="63">
        <v>27</v>
      </c>
      <c r="Q2137" s="63">
        <v>450</v>
      </c>
      <c r="R2137" s="63">
        <v>91</v>
      </c>
      <c r="S2137" s="63">
        <v>10</v>
      </c>
      <c r="T2137" s="63"/>
      <c r="U2137" s="63"/>
      <c r="V2137" s="63"/>
      <c r="W2137" s="63">
        <f>IF(Copyright!B$11=1,IF(CA2137&gt;0,CA2137-P2137-SUM(S2137:V2137)-SUM(X2137:Y2137)-SUM(AA2137:AT2137),SUM(CB2137:CM2137)),SUM(CB2137:CM2137))</f>
        <v>74</v>
      </c>
      <c r="X2137" s="63"/>
      <c r="Y2137" s="63">
        <v>0</v>
      </c>
      <c r="Z2137" s="63">
        <v>86</v>
      </c>
      <c r="AA2137" s="63">
        <v>0</v>
      </c>
      <c r="AB2137" s="63"/>
      <c r="AC2137" s="63"/>
      <c r="AD2137" s="63"/>
      <c r="AE2137" s="63">
        <v>1</v>
      </c>
      <c r="AF2137" s="63"/>
      <c r="AG2137" s="63">
        <v>1</v>
      </c>
      <c r="AH2137" s="63"/>
      <c r="AI2137" s="8"/>
      <c r="AJ2137" s="63"/>
      <c r="AK2137" s="63"/>
      <c r="AL2137" s="63"/>
      <c r="AM2137" s="63">
        <v>0</v>
      </c>
      <c r="AN2137" s="63">
        <v>0</v>
      </c>
      <c r="AO2137" s="63"/>
      <c r="AP2137" s="63"/>
      <c r="AQ2137" s="63">
        <v>0</v>
      </c>
      <c r="AR2137" s="63"/>
      <c r="AS2137" s="63"/>
      <c r="AT2137" s="63"/>
      <c r="AU2137" s="63"/>
      <c r="AW2137" s="5">
        <f>IF(Q2137&gt;0,RANK(Q2137,(N2137:P2137,Q2137:AE2137)),0)</f>
        <v>3</v>
      </c>
      <c r="AX2137" s="5">
        <f>IF(R2137&gt;0,RANK(R2137,(N2137:P2137,Q2137:AE2137)),0)</f>
        <v>4</v>
      </c>
      <c r="AY2137" s="5">
        <f>IF(T2137&gt;0,RANK(T2137,(N2137:P2137,Q2137:AE2137)),0)</f>
        <v>0</v>
      </c>
      <c r="AZ2137" s="5">
        <f>IF(S2137&gt;0,RANK(S2137,(N2137:P2137,Q2137:AE2137)),0)</f>
        <v>8</v>
      </c>
      <c r="BA2137" s="2">
        <f t="shared" si="890"/>
        <v>3.4225737754791603E-2</v>
      </c>
      <c r="BB2137" s="2">
        <f t="shared" si="891"/>
        <v>6.9212047459689683E-3</v>
      </c>
      <c r="BC2137" s="2">
        <f t="shared" si="892"/>
        <v>0</v>
      </c>
      <c r="BD2137" s="2">
        <f t="shared" si="893"/>
        <v>7.6057195010648007E-4</v>
      </c>
      <c r="BF2137" t="s">
        <v>1675</v>
      </c>
      <c r="BG2137" t="s">
        <v>995</v>
      </c>
      <c r="BH2137">
        <v>6</v>
      </c>
      <c r="BJ2137" s="114">
        <v>39</v>
      </c>
      <c r="BK2137" s="116">
        <v>19</v>
      </c>
      <c r="BL2137" s="120">
        <f t="shared" si="872"/>
        <v>39019</v>
      </c>
      <c r="BN2137" s="5" t="s">
        <v>3154</v>
      </c>
      <c r="BR2137" s="63"/>
      <c r="BT2137" s="63"/>
      <c r="BY2137" s="63">
        <f t="shared" si="894"/>
        <v>0</v>
      </c>
      <c r="BZ2137" s="63">
        <f>3154+86+450+91+9254+113</f>
        <v>13148</v>
      </c>
      <c r="CA2137" s="63">
        <v>113</v>
      </c>
      <c r="CB2137" s="132"/>
      <c r="CD2137" s="63">
        <v>0</v>
      </c>
      <c r="CE2137" s="63">
        <v>0</v>
      </c>
      <c r="CF2137" s="63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</row>
    <row r="2138" spans="1:90" hidden="1" outlineLevel="1">
      <c r="A2138" t="s">
        <v>840</v>
      </c>
      <c r="B2138" t="s">
        <v>995</v>
      </c>
      <c r="C2138" s="1">
        <f t="shared" si="885"/>
        <v>18243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7</v>
      </c>
      <c r="G2138" s="132">
        <f t="shared" si="882"/>
        <v>8037</v>
      </c>
      <c r="H2138" s="137">
        <f t="shared" si="883"/>
        <v>0.44055254070054267</v>
      </c>
      <c r="I2138" s="2"/>
      <c r="J2138" s="2">
        <f t="shared" si="886"/>
        <v>0.2518226168941512</v>
      </c>
      <c r="K2138" s="2">
        <f t="shared" si="887"/>
        <v>0.69237515759469381</v>
      </c>
      <c r="L2138" s="2">
        <f t="shared" si="888"/>
        <v>1.808913007728992E-3</v>
      </c>
      <c r="M2138" s="2">
        <f t="shared" si="889"/>
        <v>5.3993312503425997E-2</v>
      </c>
      <c r="N2138" s="63">
        <v>4594</v>
      </c>
      <c r="O2138" s="63">
        <v>12631</v>
      </c>
      <c r="P2138" s="63">
        <v>33</v>
      </c>
      <c r="Q2138" s="63">
        <v>582</v>
      </c>
      <c r="R2138" s="63">
        <v>147</v>
      </c>
      <c r="S2138" s="63">
        <v>10</v>
      </c>
      <c r="T2138" s="63"/>
      <c r="U2138" s="63"/>
      <c r="V2138" s="63"/>
      <c r="W2138" s="63">
        <f>IF(Copyright!B$11=1,IF(CA2138&gt;0,CA2138-P2138-SUM(S2138:V2138)-SUM(X2138:Y2138)-SUM(AA2138:AT2138),SUM(CB2138:CM2138)),SUM(CB2138:CM2138))</f>
        <v>139</v>
      </c>
      <c r="X2138" s="63"/>
      <c r="Y2138" s="63">
        <v>2</v>
      </c>
      <c r="Z2138" s="63">
        <v>104</v>
      </c>
      <c r="AA2138" s="63">
        <v>0</v>
      </c>
      <c r="AB2138" s="63"/>
      <c r="AC2138" s="63"/>
      <c r="AD2138" s="63"/>
      <c r="AE2138" s="63">
        <v>0</v>
      </c>
      <c r="AF2138" s="63"/>
      <c r="AG2138" s="63">
        <v>0</v>
      </c>
      <c r="AH2138" s="63"/>
      <c r="AI2138" s="8"/>
      <c r="AJ2138" s="63"/>
      <c r="AK2138" s="63"/>
      <c r="AL2138" s="63"/>
      <c r="AM2138" s="63">
        <v>0</v>
      </c>
      <c r="AN2138" s="63">
        <v>1</v>
      </c>
      <c r="AO2138" s="63"/>
      <c r="AP2138" s="63"/>
      <c r="AQ2138" s="63">
        <v>0</v>
      </c>
      <c r="AR2138" s="63"/>
      <c r="AS2138" s="63"/>
      <c r="AT2138" s="63"/>
      <c r="AU2138" s="63"/>
      <c r="AW2138" s="5">
        <f>IF(Q2138&gt;0,RANK(Q2138,(N2138:P2138,Q2138:AE2138)),0)</f>
        <v>3</v>
      </c>
      <c r="AX2138" s="5">
        <f>IF(R2138&gt;0,RANK(R2138,(N2138:P2138,Q2138:AE2138)),0)</f>
        <v>4</v>
      </c>
      <c r="AY2138" s="5">
        <f>IF(T2138&gt;0,RANK(T2138,(N2138:P2138,Q2138:AE2138)),0)</f>
        <v>0</v>
      </c>
      <c r="AZ2138" s="5">
        <f>IF(S2138&gt;0,RANK(S2138,(N2138:P2138,Q2138:AE2138)),0)</f>
        <v>8</v>
      </c>
      <c r="BA2138" s="2">
        <f t="shared" si="890"/>
        <v>3.1902647590856766E-2</v>
      </c>
      <c r="BB2138" s="2">
        <f t="shared" si="891"/>
        <v>8.0578852162473281E-3</v>
      </c>
      <c r="BC2138" s="2">
        <f t="shared" si="892"/>
        <v>0</v>
      </c>
      <c r="BD2138" s="2">
        <f t="shared" si="893"/>
        <v>5.4815545688757328E-4</v>
      </c>
      <c r="BF2138" t="s">
        <v>840</v>
      </c>
      <c r="BG2138" t="s">
        <v>995</v>
      </c>
      <c r="BH2138">
        <v>4</v>
      </c>
      <c r="BJ2138" s="114">
        <v>39</v>
      </c>
      <c r="BK2138" s="116">
        <v>21</v>
      </c>
      <c r="BL2138" s="120">
        <f t="shared" si="872"/>
        <v>39021</v>
      </c>
      <c r="BN2138" s="5" t="s">
        <v>3154</v>
      </c>
      <c r="BO2138" s="63">
        <v>264</v>
      </c>
      <c r="BP2138" s="63">
        <v>41</v>
      </c>
      <c r="BR2138" s="63"/>
      <c r="BT2138" s="63"/>
      <c r="BY2138" s="63">
        <f t="shared" si="894"/>
        <v>0</v>
      </c>
      <c r="BZ2138" s="63">
        <v>18548</v>
      </c>
      <c r="CA2138" s="63">
        <v>185</v>
      </c>
      <c r="CB2138" s="132"/>
      <c r="CD2138" s="63">
        <v>0</v>
      </c>
      <c r="CE2138" s="63">
        <v>0</v>
      </c>
      <c r="CF2138" s="63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</row>
    <row r="2139" spans="1:90" hidden="1" outlineLevel="1">
      <c r="A2139" t="s">
        <v>392</v>
      </c>
      <c r="B2139" t="s">
        <v>995</v>
      </c>
      <c r="C2139" s="1">
        <f t="shared" si="885"/>
        <v>61893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7</v>
      </c>
      <c r="G2139" s="132">
        <f t="shared" si="882"/>
        <v>11877</v>
      </c>
      <c r="H2139" s="137">
        <f t="shared" si="883"/>
        <v>0.19189569095051137</v>
      </c>
      <c r="I2139" s="2"/>
      <c r="J2139" s="2">
        <f t="shared" si="886"/>
        <v>0.3769085356987058</v>
      </c>
      <c r="K2139" s="2">
        <f t="shared" si="887"/>
        <v>0.56880422664921715</v>
      </c>
      <c r="L2139" s="2">
        <f t="shared" si="888"/>
        <v>2.0196144959850064E-3</v>
      </c>
      <c r="M2139" s="2">
        <f t="shared" si="889"/>
        <v>5.2267623156091986E-2</v>
      </c>
      <c r="N2139" s="63">
        <v>23328</v>
      </c>
      <c r="O2139" s="63">
        <v>35205</v>
      </c>
      <c r="P2139" s="63">
        <v>125</v>
      </c>
      <c r="Q2139" s="63">
        <v>1895</v>
      </c>
      <c r="R2139" s="63">
        <v>511</v>
      </c>
      <c r="S2139" s="63">
        <v>18</v>
      </c>
      <c r="T2139" s="63"/>
      <c r="U2139" s="63"/>
      <c r="V2139" s="63"/>
      <c r="W2139" s="63">
        <f>IF(Copyright!B$11=1,IF(CA2139&gt;0,CA2139-P2139-SUM(S2139:V2139)-SUM(X2139:Y2139)-SUM(AA2139:AT2139),SUM(CB2139:CM2139)),SUM(CB2139:CM2139))</f>
        <v>471</v>
      </c>
      <c r="X2139" s="63"/>
      <c r="Y2139" s="63">
        <v>10</v>
      </c>
      <c r="Z2139" s="63">
        <v>326</v>
      </c>
      <c r="AA2139" s="63">
        <v>0</v>
      </c>
      <c r="AB2139" s="63"/>
      <c r="AC2139" s="63"/>
      <c r="AD2139" s="63"/>
      <c r="AE2139" s="63">
        <v>0</v>
      </c>
      <c r="AF2139" s="63"/>
      <c r="AG2139" s="63">
        <v>4</v>
      </c>
      <c r="AH2139" s="63"/>
      <c r="AI2139" s="8"/>
      <c r="AJ2139" s="63"/>
      <c r="AK2139" s="63"/>
      <c r="AL2139" s="63"/>
      <c r="AM2139" s="63">
        <v>0</v>
      </c>
      <c r="AN2139" s="63">
        <v>0</v>
      </c>
      <c r="AO2139" s="63"/>
      <c r="AP2139" s="63"/>
      <c r="AQ2139" s="63">
        <v>0</v>
      </c>
      <c r="AR2139" s="63"/>
      <c r="AS2139" s="63"/>
      <c r="AT2139" s="63"/>
      <c r="AU2139" s="63"/>
      <c r="AW2139" s="5">
        <f>IF(Q2139&gt;0,RANK(Q2139,(N2139:P2139,Q2139:AE2139)),0)</f>
        <v>3</v>
      </c>
      <c r="AX2139" s="5">
        <f>IF(R2139&gt;0,RANK(R2139,(N2139:P2139,Q2139:AE2139)),0)</f>
        <v>4</v>
      </c>
      <c r="AY2139" s="5">
        <f>IF(T2139&gt;0,RANK(T2139,(N2139:P2139,Q2139:AE2139)),0)</f>
        <v>0</v>
      </c>
      <c r="AZ2139" s="5">
        <f>IF(S2139&gt;0,RANK(S2139,(N2139:P2139,Q2139:AE2139)),0)</f>
        <v>8</v>
      </c>
      <c r="BA2139" s="2">
        <f t="shared" si="890"/>
        <v>3.0617355759132697E-2</v>
      </c>
      <c r="BB2139" s="2">
        <f t="shared" si="891"/>
        <v>8.2561840595867068E-3</v>
      </c>
      <c r="BC2139" s="2">
        <f t="shared" si="892"/>
        <v>0</v>
      </c>
      <c r="BD2139" s="2">
        <f t="shared" si="893"/>
        <v>2.9082448742184092E-4</v>
      </c>
      <c r="BF2139" t="s">
        <v>392</v>
      </c>
      <c r="BG2139" t="s">
        <v>995</v>
      </c>
      <c r="BH2139">
        <v>8</v>
      </c>
      <c r="BJ2139" s="114">
        <v>39</v>
      </c>
      <c r="BK2139" s="116">
        <v>23</v>
      </c>
      <c r="BL2139" s="120">
        <f t="shared" si="872"/>
        <v>39023</v>
      </c>
      <c r="BN2139" s="5" t="s">
        <v>3154</v>
      </c>
      <c r="BO2139" s="63">
        <v>756</v>
      </c>
      <c r="BP2139" s="63">
        <v>107</v>
      </c>
      <c r="BR2139" s="63"/>
      <c r="BT2139" s="63"/>
      <c r="BY2139" s="63">
        <f t="shared" si="894"/>
        <v>0</v>
      </c>
      <c r="BZ2139" s="63">
        <v>62756</v>
      </c>
      <c r="CA2139" s="63">
        <v>628</v>
      </c>
      <c r="CB2139" s="132"/>
      <c r="CD2139" s="63">
        <v>0</v>
      </c>
      <c r="CE2139" s="63">
        <v>0</v>
      </c>
      <c r="CF2139" s="63">
        <v>0</v>
      </c>
      <c r="CG2139" s="8">
        <v>6</v>
      </c>
      <c r="CH2139" s="8">
        <v>0</v>
      </c>
      <c r="CI2139" s="8">
        <v>0</v>
      </c>
      <c r="CJ2139" s="8">
        <v>1</v>
      </c>
      <c r="CK2139" s="8">
        <v>0</v>
      </c>
      <c r="CL2139" s="8">
        <v>0</v>
      </c>
    </row>
    <row r="2140" spans="1:90" hidden="1" outlineLevel="1">
      <c r="A2140" t="s">
        <v>1228</v>
      </c>
      <c r="B2140" t="s">
        <v>995</v>
      </c>
      <c r="C2140" s="1">
        <f t="shared" si="885"/>
        <v>99972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7</v>
      </c>
      <c r="G2140" s="132">
        <f t="shared" si="882"/>
        <v>40803</v>
      </c>
      <c r="H2140" s="137">
        <f t="shared" si="883"/>
        <v>0.40814428039851158</v>
      </c>
      <c r="I2140" s="2"/>
      <c r="J2140" s="2">
        <f t="shared" si="886"/>
        <v>0.2672248229504261</v>
      </c>
      <c r="K2140" s="2">
        <f t="shared" si="887"/>
        <v>0.67536910334893774</v>
      </c>
      <c r="L2140" s="2">
        <f t="shared" si="888"/>
        <v>2.7207618133077262E-3</v>
      </c>
      <c r="M2140" s="2">
        <f t="shared" si="889"/>
        <v>5.4685311887328378E-2</v>
      </c>
      <c r="N2140" s="63">
        <v>26715</v>
      </c>
      <c r="O2140" s="63">
        <v>67518</v>
      </c>
      <c r="P2140" s="63">
        <v>272</v>
      </c>
      <c r="Q2140" s="63">
        <v>3504</v>
      </c>
      <c r="R2140" s="63">
        <v>728</v>
      </c>
      <c r="S2140" s="63">
        <v>36</v>
      </c>
      <c r="T2140" s="63"/>
      <c r="U2140" s="63"/>
      <c r="V2140" s="63"/>
      <c r="W2140" s="63">
        <f>IF(Copyright!B$11=1,IF(CA2140&gt;0,CA2140-P2140-SUM(S2140:V2140)-SUM(X2140:Y2140)-SUM(AA2140:AT2140),SUM(CB2140:CM2140)),SUM(CB2140:CM2140))</f>
        <v>859</v>
      </c>
      <c r="X2140" s="63"/>
      <c r="Y2140" s="63">
        <v>7</v>
      </c>
      <c r="Z2140" s="63">
        <v>321</v>
      </c>
      <c r="AA2140" s="63">
        <v>0</v>
      </c>
      <c r="AB2140" s="63"/>
      <c r="AC2140" s="63"/>
      <c r="AD2140" s="63"/>
      <c r="AE2140" s="63">
        <v>1</v>
      </c>
      <c r="AF2140" s="63"/>
      <c r="AG2140" s="63">
        <v>0</v>
      </c>
      <c r="AH2140" s="63"/>
      <c r="AI2140" s="8"/>
      <c r="AJ2140" s="63"/>
      <c r="AK2140" s="63"/>
      <c r="AL2140" s="63"/>
      <c r="AM2140" s="63">
        <v>0</v>
      </c>
      <c r="AN2140" s="63">
        <v>9</v>
      </c>
      <c r="AO2140" s="63"/>
      <c r="AP2140" s="63"/>
      <c r="AQ2140" s="63">
        <v>2</v>
      </c>
      <c r="AR2140" s="63"/>
      <c r="AS2140" s="63"/>
      <c r="AT2140" s="63"/>
      <c r="AU2140" s="63"/>
      <c r="AW2140" s="5">
        <f>IF(Q2140&gt;0,RANK(Q2140,(N2140:P2140,Q2140:AE2140)),0)</f>
        <v>3</v>
      </c>
      <c r="AX2140" s="5">
        <f>IF(R2140&gt;0,RANK(R2140,(N2140:P2140,Q2140:AE2140)),0)</f>
        <v>5</v>
      </c>
      <c r="AY2140" s="5">
        <f>IF(T2140&gt;0,RANK(T2140,(N2140:P2140,Q2140:AE2140)),0)</f>
        <v>0</v>
      </c>
      <c r="AZ2140" s="5">
        <f>IF(S2140&gt;0,RANK(S2140,(N2140:P2140,Q2140:AE2140)),0)</f>
        <v>8</v>
      </c>
      <c r="BA2140" s="2">
        <f t="shared" si="890"/>
        <v>3.5049813947905413E-2</v>
      </c>
      <c r="BB2140" s="2">
        <f t="shared" si="891"/>
        <v>7.2820389709118555E-3</v>
      </c>
      <c r="BC2140" s="2">
        <f t="shared" si="892"/>
        <v>0</v>
      </c>
      <c r="BD2140" s="2">
        <f t="shared" si="893"/>
        <v>3.6010082823190496E-4</v>
      </c>
      <c r="BF2140" t="s">
        <v>1228</v>
      </c>
      <c r="BG2140" t="s">
        <v>995</v>
      </c>
      <c r="BH2140">
        <v>2</v>
      </c>
      <c r="BJ2140" s="114">
        <v>39</v>
      </c>
      <c r="BK2140" s="116">
        <v>25</v>
      </c>
      <c r="BL2140" s="120">
        <f t="shared" si="872"/>
        <v>39025</v>
      </c>
      <c r="BN2140" s="5" t="s">
        <v>3154</v>
      </c>
      <c r="BO2140" s="63">
        <v>726</v>
      </c>
      <c r="BP2140" s="63">
        <v>161</v>
      </c>
      <c r="BR2140" s="63"/>
      <c r="BT2140" s="63"/>
      <c r="BY2140" s="63">
        <f t="shared" si="894"/>
        <v>0</v>
      </c>
      <c r="BZ2140" s="63">
        <v>100859</v>
      </c>
      <c r="CA2140" s="63">
        <v>1186</v>
      </c>
      <c r="CB2140" s="132"/>
      <c r="CD2140" s="63">
        <v>0</v>
      </c>
      <c r="CE2140" s="63">
        <v>0</v>
      </c>
      <c r="CF2140" s="63">
        <v>0</v>
      </c>
      <c r="CG2140" s="8">
        <v>3</v>
      </c>
      <c r="CH2140" s="8">
        <v>0</v>
      </c>
      <c r="CI2140" s="8">
        <v>0</v>
      </c>
      <c r="CJ2140" s="8">
        <v>0</v>
      </c>
      <c r="CK2140" s="8">
        <v>0</v>
      </c>
      <c r="CL2140" s="8">
        <v>5</v>
      </c>
    </row>
    <row r="2141" spans="1:90" hidden="1" outlineLevel="1">
      <c r="A2141" t="s">
        <v>1285</v>
      </c>
      <c r="B2141" t="s">
        <v>995</v>
      </c>
      <c r="C2141" s="1">
        <f t="shared" si="885"/>
        <v>18766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7</v>
      </c>
      <c r="G2141" s="132">
        <f t="shared" si="882"/>
        <v>9772</v>
      </c>
      <c r="H2141" s="137">
        <f t="shared" si="883"/>
        <v>0.52072897793882555</v>
      </c>
      <c r="I2141" s="2"/>
      <c r="J2141" s="2">
        <f t="shared" si="886"/>
        <v>0.21666844292870086</v>
      </c>
      <c r="K2141" s="2">
        <f t="shared" si="887"/>
        <v>0.73739742086752635</v>
      </c>
      <c r="L2141" s="2">
        <f t="shared" si="888"/>
        <v>1.7584994138335288E-3</v>
      </c>
      <c r="M2141" s="2">
        <f t="shared" si="889"/>
        <v>4.4175636789939209E-2</v>
      </c>
      <c r="N2141" s="63">
        <v>4066</v>
      </c>
      <c r="O2141" s="63">
        <v>13838</v>
      </c>
      <c r="P2141" s="63">
        <v>33</v>
      </c>
      <c r="Q2141" s="63">
        <v>514</v>
      </c>
      <c r="R2141" s="63">
        <v>127</v>
      </c>
      <c r="S2141" s="63">
        <v>10</v>
      </c>
      <c r="T2141" s="63"/>
      <c r="U2141" s="63"/>
      <c r="V2141" s="63"/>
      <c r="W2141" s="63">
        <f>IF(Copyright!B$11=1,IF(CA2141&gt;0,CA2141-P2141-SUM(S2141:V2141)-SUM(X2141:Y2141)-SUM(AA2141:AT2141),SUM(CB2141:CM2141)),SUM(CB2141:CM2141))</f>
        <v>92</v>
      </c>
      <c r="X2141" s="63"/>
      <c r="Y2141" s="63">
        <v>3</v>
      </c>
      <c r="Z2141" s="63">
        <v>80</v>
      </c>
      <c r="AA2141" s="63">
        <v>0</v>
      </c>
      <c r="AB2141" s="63"/>
      <c r="AC2141" s="63"/>
      <c r="AD2141" s="63"/>
      <c r="AE2141" s="63">
        <v>0</v>
      </c>
      <c r="AF2141" s="63"/>
      <c r="AG2141" s="63">
        <v>0</v>
      </c>
      <c r="AH2141" s="63"/>
      <c r="AI2141" s="8"/>
      <c r="AJ2141" s="63"/>
      <c r="AK2141" s="63"/>
      <c r="AL2141" s="63"/>
      <c r="AM2141" s="63">
        <v>0</v>
      </c>
      <c r="AN2141" s="63">
        <v>1</v>
      </c>
      <c r="AO2141" s="63"/>
      <c r="AP2141" s="63"/>
      <c r="AQ2141" s="63">
        <v>2</v>
      </c>
      <c r="AR2141" s="63"/>
      <c r="AS2141" s="63"/>
      <c r="AT2141" s="63"/>
      <c r="AU2141" s="63"/>
      <c r="AW2141" s="5">
        <f>IF(Q2141&gt;0,RANK(Q2141,(N2141:P2141,Q2141:AE2141)),0)</f>
        <v>3</v>
      </c>
      <c r="AX2141" s="5">
        <f>IF(R2141&gt;0,RANK(R2141,(N2141:P2141,Q2141:AE2141)),0)</f>
        <v>4</v>
      </c>
      <c r="AY2141" s="5">
        <f>IF(T2141&gt;0,RANK(T2141,(N2141:P2141,Q2141:AE2141)),0)</f>
        <v>0</v>
      </c>
      <c r="AZ2141" s="5">
        <f>IF(S2141&gt;0,RANK(S2141,(N2141:P2141,Q2141:AE2141)),0)</f>
        <v>8</v>
      </c>
      <c r="BA2141" s="2">
        <f t="shared" si="890"/>
        <v>2.7389960566982841E-2</v>
      </c>
      <c r="BB2141" s="2">
        <f t="shared" si="891"/>
        <v>6.7675583502078227E-3</v>
      </c>
      <c r="BC2141" s="2">
        <f t="shared" si="892"/>
        <v>0</v>
      </c>
      <c r="BD2141" s="2">
        <f t="shared" si="893"/>
        <v>5.3287861025258444E-4</v>
      </c>
      <c r="BF2141" t="s">
        <v>1285</v>
      </c>
      <c r="BG2141" t="s">
        <v>995</v>
      </c>
      <c r="BH2141">
        <v>15</v>
      </c>
      <c r="BJ2141" s="114">
        <v>39</v>
      </c>
      <c r="BK2141" s="116">
        <v>27</v>
      </c>
      <c r="BL2141" s="120">
        <f t="shared" si="872"/>
        <v>39027</v>
      </c>
      <c r="BN2141" s="5" t="s">
        <v>3154</v>
      </c>
      <c r="BR2141" s="63"/>
      <c r="BT2141" s="132"/>
      <c r="BY2141" s="63">
        <f t="shared" si="894"/>
        <v>0</v>
      </c>
      <c r="BZ2141" s="63">
        <f>4066+80+514+127+13838+141</f>
        <v>18766</v>
      </c>
      <c r="CA2141" s="132">
        <v>141</v>
      </c>
      <c r="CB2141" s="132"/>
      <c r="CD2141" s="63">
        <v>0</v>
      </c>
      <c r="CE2141" s="63">
        <v>0</v>
      </c>
      <c r="CF2141" s="63">
        <v>0</v>
      </c>
      <c r="CG2141" s="8">
        <v>0</v>
      </c>
      <c r="CH2141" s="8">
        <v>0</v>
      </c>
      <c r="CI2141" s="8">
        <v>0</v>
      </c>
      <c r="CJ2141" s="8">
        <v>1</v>
      </c>
      <c r="CK2141" s="8">
        <v>0</v>
      </c>
      <c r="CL2141" s="8">
        <v>0</v>
      </c>
    </row>
    <row r="2142" spans="1:90" hidden="1" outlineLevel="1">
      <c r="A2142" t="s">
        <v>527</v>
      </c>
      <c r="B2142" t="s">
        <v>995</v>
      </c>
      <c r="C2142" s="1">
        <f t="shared" si="885"/>
        <v>46492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7</v>
      </c>
      <c r="G2142" s="132">
        <f t="shared" si="882"/>
        <v>19244</v>
      </c>
      <c r="H2142" s="137">
        <f t="shared" si="883"/>
        <v>0.41392067452464942</v>
      </c>
      <c r="I2142" s="2"/>
      <c r="J2142" s="2">
        <f t="shared" si="886"/>
        <v>0.26740084315581175</v>
      </c>
      <c r="K2142" s="2">
        <f t="shared" si="887"/>
        <v>0.68132151768046112</v>
      </c>
      <c r="L2142" s="2">
        <f t="shared" si="888"/>
        <v>2.3444893745160457E-3</v>
      </c>
      <c r="M2142" s="2">
        <f t="shared" si="889"/>
        <v>4.8933149789211136E-2</v>
      </c>
      <c r="N2142" s="63">
        <v>12432</v>
      </c>
      <c r="O2142" s="63">
        <v>31676</v>
      </c>
      <c r="P2142" s="63">
        <v>109</v>
      </c>
      <c r="Q2142" s="63">
        <v>1401</v>
      </c>
      <c r="R2142" s="63">
        <v>320</v>
      </c>
      <c r="S2142" s="63">
        <v>30</v>
      </c>
      <c r="T2142" s="63"/>
      <c r="U2142" s="63"/>
      <c r="V2142" s="63"/>
      <c r="W2142" s="63">
        <f>IF(Copyright!B$11=1,IF(CA2142&gt;0,CA2142-P2142-SUM(S2142:V2142)-SUM(X2142:Y2142)-SUM(AA2142:AT2142),SUM(CB2142:CM2142)),SUM(CB2142:CM2142))</f>
        <v>292</v>
      </c>
      <c r="X2142" s="63"/>
      <c r="Y2142" s="63">
        <v>3</v>
      </c>
      <c r="Z2142" s="63">
        <v>228</v>
      </c>
      <c r="AA2142" s="63">
        <v>0</v>
      </c>
      <c r="AB2142" s="63"/>
      <c r="AC2142" s="63"/>
      <c r="AD2142" s="63"/>
      <c r="AE2142" s="63">
        <v>0</v>
      </c>
      <c r="AF2142" s="63"/>
      <c r="AG2142" s="63">
        <v>0</v>
      </c>
      <c r="AH2142" s="63"/>
      <c r="AI2142" s="8"/>
      <c r="AJ2142" s="63"/>
      <c r="AK2142" s="63"/>
      <c r="AL2142" s="63"/>
      <c r="AM2142" s="63">
        <v>1</v>
      </c>
      <c r="AN2142" s="63">
        <v>0</v>
      </c>
      <c r="AO2142" s="63"/>
      <c r="AP2142" s="63"/>
      <c r="AQ2142" s="63">
        <v>0</v>
      </c>
      <c r="AR2142" s="63"/>
      <c r="AS2142" s="63"/>
      <c r="AT2142" s="63"/>
      <c r="AU2142" s="63"/>
      <c r="AW2142" s="5">
        <f>IF(Q2142&gt;0,RANK(Q2142,(N2142:P2142,Q2142:AE2142)),0)</f>
        <v>3</v>
      </c>
      <c r="AX2142" s="5">
        <f>IF(R2142&gt;0,RANK(R2142,(N2142:P2142,Q2142:AE2142)),0)</f>
        <v>4</v>
      </c>
      <c r="AY2142" s="5">
        <f>IF(T2142&gt;0,RANK(T2142,(N2142:P2142,Q2142:AE2142)),0)</f>
        <v>0</v>
      </c>
      <c r="AZ2142" s="5">
        <f>IF(S2142&gt;0,RANK(S2142,(N2142:P2142,Q2142:AE2142)),0)</f>
        <v>8</v>
      </c>
      <c r="BA2142" s="2">
        <f t="shared" si="890"/>
        <v>3.0134216639421837E-2</v>
      </c>
      <c r="BB2142" s="2">
        <f t="shared" si="891"/>
        <v>6.8829045857351804E-3</v>
      </c>
      <c r="BC2142" s="2">
        <f t="shared" si="892"/>
        <v>0</v>
      </c>
      <c r="BD2142" s="2">
        <f t="shared" si="893"/>
        <v>6.4527230491267314E-4</v>
      </c>
      <c r="BF2142" t="s">
        <v>527</v>
      </c>
      <c r="BG2142" t="s">
        <v>995</v>
      </c>
      <c r="BH2142">
        <v>6</v>
      </c>
      <c r="BJ2142" s="114">
        <v>39</v>
      </c>
      <c r="BK2142" s="116">
        <v>29</v>
      </c>
      <c r="BL2142" s="120">
        <f t="shared" si="872"/>
        <v>39029</v>
      </c>
      <c r="BN2142" s="5" t="s">
        <v>3154</v>
      </c>
      <c r="BR2142" s="63"/>
      <c r="BT2142" s="132"/>
      <c r="BY2142" s="63">
        <f t="shared" si="894"/>
        <v>0</v>
      </c>
      <c r="BZ2142" s="63">
        <f>12432+228+1401+320+31676+435</f>
        <v>46492</v>
      </c>
      <c r="CA2142" s="132">
        <v>435</v>
      </c>
      <c r="CB2142" s="132"/>
      <c r="CD2142" s="63">
        <v>0</v>
      </c>
      <c r="CE2142" s="63">
        <v>0</v>
      </c>
      <c r="CF2142" s="63">
        <v>0</v>
      </c>
      <c r="CG2142" s="8">
        <v>1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</row>
    <row r="2143" spans="1:90" hidden="1" outlineLevel="1">
      <c r="A2143" t="s">
        <v>2509</v>
      </c>
      <c r="B2143" t="s">
        <v>995</v>
      </c>
      <c r="C2143" s="1">
        <f t="shared" si="885"/>
        <v>15659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7</v>
      </c>
      <c r="G2143" s="132">
        <f t="shared" si="882"/>
        <v>6772</v>
      </c>
      <c r="H2143" s="137">
        <f t="shared" si="883"/>
        <v>0.43246695191263812</v>
      </c>
      <c r="I2143" s="2"/>
      <c r="J2143" s="2">
        <f t="shared" si="886"/>
        <v>0.25627434702088259</v>
      </c>
      <c r="K2143" s="2">
        <f t="shared" si="887"/>
        <v>0.68874129893352065</v>
      </c>
      <c r="L2143" s="2">
        <f t="shared" si="888"/>
        <v>2.682163611980331E-3</v>
      </c>
      <c r="M2143" s="2">
        <f t="shared" si="889"/>
        <v>5.2302190433616433E-2</v>
      </c>
      <c r="N2143" s="63">
        <v>4013</v>
      </c>
      <c r="O2143" s="63">
        <v>10785</v>
      </c>
      <c r="P2143" s="63">
        <v>42</v>
      </c>
      <c r="Q2143" s="63">
        <v>468</v>
      </c>
      <c r="R2143" s="63">
        <v>118</v>
      </c>
      <c r="S2143" s="63">
        <v>4</v>
      </c>
      <c r="T2143" s="63"/>
      <c r="U2143" s="63"/>
      <c r="V2143" s="63"/>
      <c r="W2143" s="63">
        <f>IF(Copyright!B$11=1,IF(CA2143&gt;0,CA2143-P2143-SUM(S2143:V2143)-SUM(X2143:Y2143)-SUM(AA2143:AT2143),SUM(CB2143:CM2143)),SUM(CB2143:CM2143))</f>
        <v>111</v>
      </c>
      <c r="X2143" s="63"/>
      <c r="Y2143" s="63">
        <v>3</v>
      </c>
      <c r="Z2143" s="63">
        <v>115</v>
      </c>
      <c r="AA2143" s="63">
        <v>0</v>
      </c>
      <c r="AB2143" s="63"/>
      <c r="AC2143" s="63"/>
      <c r="AD2143" s="63"/>
      <c r="AE2143" s="63">
        <v>0</v>
      </c>
      <c r="AF2143" s="63"/>
      <c r="AG2143" s="63">
        <v>0</v>
      </c>
      <c r="AH2143" s="63"/>
      <c r="AI2143" s="8"/>
      <c r="AJ2143" s="63"/>
      <c r="AK2143" s="63"/>
      <c r="AL2143" s="63"/>
      <c r="AM2143" s="63">
        <v>0</v>
      </c>
      <c r="AN2143" s="63">
        <v>0</v>
      </c>
      <c r="AO2143" s="63"/>
      <c r="AP2143" s="63"/>
      <c r="AQ2143" s="63">
        <v>0</v>
      </c>
      <c r="AR2143" s="63"/>
      <c r="AS2143" s="63"/>
      <c r="AT2143" s="63"/>
      <c r="AU2143" s="63"/>
      <c r="AW2143" s="5">
        <f>IF(Q2143&gt;0,RANK(Q2143,(N2143:P2143,Q2143:AE2143)),0)</f>
        <v>3</v>
      </c>
      <c r="AX2143" s="5">
        <f>IF(R2143&gt;0,RANK(R2143,(N2143:P2143,Q2143:AE2143)),0)</f>
        <v>4</v>
      </c>
      <c r="AY2143" s="5">
        <f>IF(T2143&gt;0,RANK(T2143,(N2143:P2143,Q2143:AE2143)),0)</f>
        <v>0</v>
      </c>
      <c r="AZ2143" s="5">
        <f>IF(S2143&gt;0,RANK(S2143,(N2143:P2143,Q2143:AE2143)),0)</f>
        <v>8</v>
      </c>
      <c r="BA2143" s="2">
        <f t="shared" si="890"/>
        <v>2.9886965962066542E-2</v>
      </c>
      <c r="BB2143" s="2">
        <f t="shared" si="891"/>
        <v>7.5356025288971203E-3</v>
      </c>
      <c r="BC2143" s="2">
        <f t="shared" si="892"/>
        <v>0</v>
      </c>
      <c r="BD2143" s="2">
        <f t="shared" si="893"/>
        <v>2.5544415352193628E-4</v>
      </c>
      <c r="BF2143" t="s">
        <v>2509</v>
      </c>
      <c r="BG2143" t="s">
        <v>995</v>
      </c>
      <c r="BH2143">
        <v>7</v>
      </c>
      <c r="BJ2143" s="114">
        <v>39</v>
      </c>
      <c r="BK2143" s="116">
        <v>31</v>
      </c>
      <c r="BL2143" s="120">
        <f t="shared" si="872"/>
        <v>39031</v>
      </c>
      <c r="BN2143" s="5" t="s">
        <v>3154</v>
      </c>
      <c r="BR2143" s="63"/>
      <c r="BT2143" s="132"/>
      <c r="BY2143" s="63">
        <f t="shared" si="894"/>
        <v>0</v>
      </c>
      <c r="BZ2143" s="63">
        <v>15659</v>
      </c>
      <c r="CA2143" s="132">
        <v>160</v>
      </c>
      <c r="CB2143" s="132"/>
      <c r="CD2143" s="63">
        <v>0</v>
      </c>
      <c r="CE2143" s="63">
        <v>0</v>
      </c>
      <c r="CF2143" s="63">
        <v>0</v>
      </c>
      <c r="CG2143" s="8">
        <v>4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</row>
    <row r="2144" spans="1:90" hidden="1" outlineLevel="1">
      <c r="A2144" t="s">
        <v>1875</v>
      </c>
      <c r="B2144" t="s">
        <v>995</v>
      </c>
      <c r="C2144" s="1">
        <f t="shared" si="885"/>
        <v>19329</v>
      </c>
      <c r="D2144" s="5">
        <f>IF(N2144&gt;0, RANK(N2144,(N2144:P2144,Q2144:AE2144)),0)</f>
        <v>2</v>
      </c>
      <c r="E2144" s="5">
        <f>IF(O2144&gt;0,RANK(O2144,(N2144:P2144,Q2144:AE2144)),0)</f>
        <v>1</v>
      </c>
      <c r="F2144" s="5">
        <f>IF(P2144&gt;0,RANK(P2144,(N2144:P2144,Q2144:AE2144)),0)</f>
        <v>7</v>
      </c>
      <c r="G2144" s="132">
        <f t="shared" si="882"/>
        <v>8986</v>
      </c>
      <c r="H2144" s="137">
        <f t="shared" si="883"/>
        <v>0.46489730456826528</v>
      </c>
      <c r="I2144" s="2"/>
      <c r="J2144" s="2">
        <f t="shared" si="886"/>
        <v>0.23927776915515547</v>
      </c>
      <c r="K2144" s="2">
        <f t="shared" si="887"/>
        <v>0.70417507372342081</v>
      </c>
      <c r="L2144" s="2">
        <f t="shared" si="888"/>
        <v>1.9659578871126285E-3</v>
      </c>
      <c r="M2144" s="2">
        <f t="shared" si="889"/>
        <v>5.4581199234311033E-2</v>
      </c>
      <c r="N2144" s="63">
        <v>4625</v>
      </c>
      <c r="O2144" s="63">
        <v>13611</v>
      </c>
      <c r="P2144" s="63">
        <v>38</v>
      </c>
      <c r="Q2144" s="63">
        <v>714</v>
      </c>
      <c r="R2144" s="63">
        <v>119</v>
      </c>
      <c r="S2144" s="63">
        <v>8</v>
      </c>
      <c r="T2144" s="63"/>
      <c r="U2144" s="63"/>
      <c r="V2144" s="63"/>
      <c r="W2144" s="63">
        <f>IF(Copyright!B$11=1,IF(CA2144&gt;0,CA2144-P2144-SUM(S2144:V2144)-SUM(X2144:Y2144)-SUM(AA2144:AT2144),SUM(CB2144:CM2144)),SUM(CB2144:CM2144))</f>
        <v>92</v>
      </c>
      <c r="X2144" s="63"/>
      <c r="Y2144" s="63">
        <v>0</v>
      </c>
      <c r="Z2144" s="63">
        <v>121</v>
      </c>
      <c r="AA2144" s="63">
        <v>0</v>
      </c>
      <c r="AB2144" s="63"/>
      <c r="AC2144" s="63"/>
      <c r="AD2144" s="63"/>
      <c r="AE2144" s="63">
        <v>0</v>
      </c>
      <c r="AF2144" s="63"/>
      <c r="AG2144" s="63">
        <v>1</v>
      </c>
      <c r="AH2144" s="63"/>
      <c r="AI2144" s="8"/>
      <c r="AJ2144" s="63"/>
      <c r="AK2144" s="63"/>
      <c r="AL2144" s="63"/>
      <c r="AM2144" s="63">
        <v>0</v>
      </c>
      <c r="AN2144" s="63">
        <v>0</v>
      </c>
      <c r="AO2144" s="63"/>
      <c r="AP2144" s="63"/>
      <c r="AQ2144" s="63">
        <v>0</v>
      </c>
      <c r="AR2144" s="63"/>
      <c r="AS2144" s="63"/>
      <c r="AT2144" s="63"/>
      <c r="AU2144" s="63"/>
      <c r="AW2144" s="5">
        <f>IF(Q2144&gt;0,RANK(Q2144,(N2144:P2144,Q2144:AE2144)),0)</f>
        <v>3</v>
      </c>
      <c r="AX2144" s="5">
        <f>IF(R2144&gt;0,RANK(R2144,(N2144:P2144,Q2144:AE2144)),0)</f>
        <v>5</v>
      </c>
      <c r="AY2144" s="5">
        <f>IF(T2144&gt;0,RANK(T2144,(N2144:P2144,Q2144:AE2144)),0)</f>
        <v>0</v>
      </c>
      <c r="AZ2144" s="5">
        <f>IF(S2144&gt;0,RANK(S2144,(N2144:P2144,Q2144:AE2144)),0)</f>
        <v>8</v>
      </c>
      <c r="BA2144" s="2">
        <f t="shared" si="890"/>
        <v>3.6939313984168866E-2</v>
      </c>
      <c r="BB2144" s="2">
        <f t="shared" si="891"/>
        <v>6.156552330694811E-3</v>
      </c>
      <c r="BC2144" s="2">
        <f t="shared" si="892"/>
        <v>0</v>
      </c>
      <c r="BD2144" s="2">
        <f t="shared" si="893"/>
        <v>4.1388587097107972E-4</v>
      </c>
      <c r="BF2144" t="s">
        <v>1875</v>
      </c>
      <c r="BG2144" t="s">
        <v>995</v>
      </c>
      <c r="BH2144">
        <v>4</v>
      </c>
      <c r="BJ2144" s="114">
        <v>39</v>
      </c>
      <c r="BK2144" s="116">
        <v>33</v>
      </c>
      <c r="BL2144" s="120">
        <f t="shared" si="872"/>
        <v>39033</v>
      </c>
      <c r="BN2144" s="5" t="s">
        <v>3154</v>
      </c>
      <c r="BR2144" s="63"/>
      <c r="BT2144" s="132"/>
      <c r="BY2144" s="63">
        <f t="shared" si="894"/>
        <v>0</v>
      </c>
      <c r="BZ2144" s="63">
        <v>19329</v>
      </c>
      <c r="CA2144" s="132">
        <v>139</v>
      </c>
      <c r="CB2144" s="132"/>
      <c r="CD2144" s="63">
        <v>0</v>
      </c>
      <c r="CE2144" s="63">
        <v>0</v>
      </c>
      <c r="CF2144" s="63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</row>
    <row r="2145" spans="1:90" hidden="1" outlineLevel="1">
      <c r="A2145" t="s">
        <v>1572</v>
      </c>
      <c r="B2145" t="s">
        <v>995</v>
      </c>
      <c r="C2145" s="1">
        <f t="shared" si="885"/>
        <v>608879</v>
      </c>
      <c r="D2145" s="5">
        <f>IF(N2145&gt;0, RANK(N2145,(N2145:P2145,Q2145:AE2145)),0)</f>
        <v>1</v>
      </c>
      <c r="E2145" s="5">
        <f>IF(O2145&gt;0,RANK(O2145,(N2145:P2145,Q2145:AE2145)),0)</f>
        <v>2</v>
      </c>
      <c r="F2145" s="5">
        <f>IF(P2145&gt;0,RANK(P2145,(N2145:P2145,Q2145:AE2145)),0)</f>
        <v>7</v>
      </c>
      <c r="G2145" s="132">
        <f t="shared" si="882"/>
        <v>214064</v>
      </c>
      <c r="H2145" s="137">
        <f t="shared" si="883"/>
        <v>0.35157067331932945</v>
      </c>
      <c r="I2145" s="2"/>
      <c r="J2145" s="2">
        <f t="shared" si="886"/>
        <v>0.65411354308491509</v>
      </c>
      <c r="K2145" s="2">
        <f t="shared" si="887"/>
        <v>0.30254286976558559</v>
      </c>
      <c r="L2145" s="2">
        <f t="shared" si="888"/>
        <v>1.6752096886245051E-3</v>
      </c>
      <c r="M2145" s="2">
        <f t="shared" si="889"/>
        <v>4.1668377460874817E-2</v>
      </c>
      <c r="N2145" s="63">
        <v>398276</v>
      </c>
      <c r="O2145" s="63">
        <v>184212</v>
      </c>
      <c r="P2145" s="63">
        <v>1020</v>
      </c>
      <c r="Q2145" s="63">
        <v>12993</v>
      </c>
      <c r="R2145" s="63">
        <v>5242</v>
      </c>
      <c r="S2145" s="63">
        <v>99</v>
      </c>
      <c r="T2145" s="63"/>
      <c r="U2145" s="63"/>
      <c r="V2145" s="63"/>
      <c r="W2145" s="63">
        <f>IF(Copyright!B$11=1,IF(CA2145&gt;0,CA2145-P2145-SUM(S2145:V2145)-SUM(X2145:Y2145)-SUM(AA2145:AT2145),SUM(CB2145:CM2145)),SUM(CB2145:CM2145))</f>
        <v>5073</v>
      </c>
      <c r="X2145" s="63"/>
      <c r="Y2145" s="63">
        <v>11</v>
      </c>
      <c r="Z2145" s="63">
        <v>1878</v>
      </c>
      <c r="AA2145" s="63">
        <v>5</v>
      </c>
      <c r="AB2145" s="63"/>
      <c r="AC2145" s="63"/>
      <c r="AD2145" s="63"/>
      <c r="AE2145" s="63">
        <v>5</v>
      </c>
      <c r="AF2145" s="63"/>
      <c r="AG2145" s="63">
        <v>8</v>
      </c>
      <c r="AH2145" s="63"/>
      <c r="AI2145" s="8"/>
      <c r="AJ2145" s="63"/>
      <c r="AK2145" s="63"/>
      <c r="AL2145" s="63"/>
      <c r="AM2145" s="63">
        <v>3</v>
      </c>
      <c r="AN2145" s="63">
        <v>48</v>
      </c>
      <c r="AO2145" s="63"/>
      <c r="AP2145" s="63"/>
      <c r="AQ2145" s="63">
        <v>6</v>
      </c>
      <c r="AR2145" s="63"/>
      <c r="AS2145" s="63"/>
      <c r="AT2145" s="63"/>
      <c r="AU2145" s="63"/>
      <c r="AW2145" s="5">
        <f>IF(Q2145&gt;0,RANK(Q2145,(N2145:P2145,Q2145:AE2145)),0)</f>
        <v>3</v>
      </c>
      <c r="AX2145" s="5">
        <f>IF(R2145&gt;0,RANK(R2145,(N2145:P2145,Q2145:AE2145)),0)</f>
        <v>4</v>
      </c>
      <c r="AY2145" s="5">
        <f>IF(T2145&gt;0,RANK(T2145,(N2145:P2145,Q2145:AE2145)),0)</f>
        <v>0</v>
      </c>
      <c r="AZ2145" s="5">
        <f>IF(S2145&gt;0,RANK(S2145,(N2145:P2145,Q2145:AE2145)),0)</f>
        <v>8</v>
      </c>
      <c r="BA2145" s="2">
        <f t="shared" si="890"/>
        <v>2.1339215180684504E-2</v>
      </c>
      <c r="BB2145" s="2">
        <f t="shared" si="891"/>
        <v>8.6092639095780941E-3</v>
      </c>
      <c r="BC2145" s="2">
        <f t="shared" si="892"/>
        <v>0</v>
      </c>
      <c r="BD2145" s="2">
        <f t="shared" si="893"/>
        <v>1.6259388154296666E-4</v>
      </c>
      <c r="BF2145" t="s">
        <v>1572</v>
      </c>
      <c r="BG2145" t="s">
        <v>995</v>
      </c>
      <c r="BJ2145" s="114">
        <v>39</v>
      </c>
      <c r="BK2145" s="116">
        <v>35</v>
      </c>
      <c r="BL2145" s="120">
        <f t="shared" si="872"/>
        <v>39035</v>
      </c>
      <c r="BN2145" s="5" t="s">
        <v>3154</v>
      </c>
      <c r="BO2145" s="63">
        <v>6714</v>
      </c>
      <c r="BP2145" s="63">
        <v>1763</v>
      </c>
      <c r="BR2145" s="63"/>
      <c r="BT2145" s="132"/>
      <c r="BY2145" s="63">
        <f t="shared" si="894"/>
        <v>-6</v>
      </c>
      <c r="BZ2145" s="63">
        <v>617350</v>
      </c>
      <c r="CA2145" s="132">
        <v>6278</v>
      </c>
      <c r="CB2145" s="132"/>
      <c r="CD2145" s="63">
        <v>2</v>
      </c>
      <c r="CE2145" s="63">
        <v>3</v>
      </c>
      <c r="CF2145" s="63">
        <v>0</v>
      </c>
      <c r="CG2145" s="8">
        <v>9</v>
      </c>
      <c r="CH2145" s="8">
        <v>2</v>
      </c>
      <c r="CI2145" s="8">
        <v>0</v>
      </c>
      <c r="CJ2145" s="8">
        <v>6</v>
      </c>
      <c r="CK2145" s="8">
        <v>0</v>
      </c>
      <c r="CL2145" s="8">
        <v>0</v>
      </c>
    </row>
    <row r="2146" spans="1:90" hidden="1" outlineLevel="1">
      <c r="A2146" t="s">
        <v>296</v>
      </c>
      <c r="B2146" t="s">
        <v>995</v>
      </c>
      <c r="C2146" s="1">
        <f t="shared" si="885"/>
        <v>25601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7</v>
      </c>
      <c r="G2146" s="132">
        <f t="shared" si="882"/>
        <v>15542</v>
      </c>
      <c r="H2146" s="137">
        <f t="shared" si="883"/>
        <v>0.60708566071637826</v>
      </c>
      <c r="I2146" s="2"/>
      <c r="J2146" s="2">
        <f t="shared" si="886"/>
        <v>0.17460255458771143</v>
      </c>
      <c r="K2146" s="2">
        <f t="shared" si="887"/>
        <v>0.78168821530408972</v>
      </c>
      <c r="L2146" s="2">
        <f t="shared" si="888"/>
        <v>2.6561462442873324E-3</v>
      </c>
      <c r="M2146" s="2">
        <f t="shared" si="889"/>
        <v>4.1053083863911495E-2</v>
      </c>
      <c r="N2146" s="63">
        <v>4470</v>
      </c>
      <c r="O2146" s="63">
        <v>20012</v>
      </c>
      <c r="P2146" s="63">
        <v>68</v>
      </c>
      <c r="Q2146" s="63">
        <v>649</v>
      </c>
      <c r="R2146" s="63">
        <v>149</v>
      </c>
      <c r="S2146" s="63">
        <v>10</v>
      </c>
      <c r="T2146" s="63"/>
      <c r="U2146" s="63"/>
      <c r="V2146" s="63"/>
      <c r="W2146" s="63">
        <f>IF(Copyright!B$11=1,IF(CA2146&gt;0,CA2146-P2146-SUM(S2146:V2146)-SUM(X2146:Y2146)-SUM(AA2146:AT2146),SUM(CB2146:CM2146)),SUM(CB2146:CM2146))</f>
        <v>118</v>
      </c>
      <c r="X2146" s="63"/>
      <c r="Y2146" s="63">
        <v>1</v>
      </c>
      <c r="Z2146" s="63">
        <v>123</v>
      </c>
      <c r="AA2146" s="63">
        <v>0</v>
      </c>
      <c r="AB2146" s="63"/>
      <c r="AC2146" s="63"/>
      <c r="AD2146" s="63"/>
      <c r="AE2146" s="63">
        <v>0</v>
      </c>
      <c r="AF2146" s="63"/>
      <c r="AG2146" s="63">
        <v>1</v>
      </c>
      <c r="AH2146" s="63"/>
      <c r="AI2146" s="8"/>
      <c r="AJ2146" s="63"/>
      <c r="AK2146" s="63"/>
      <c r="AL2146" s="63"/>
      <c r="AM2146" s="63">
        <v>0</v>
      </c>
      <c r="AN2146" s="63">
        <v>0</v>
      </c>
      <c r="AO2146" s="63"/>
      <c r="AP2146" s="63"/>
      <c r="AQ2146" s="63">
        <v>0</v>
      </c>
      <c r="AR2146" s="63"/>
      <c r="AS2146" s="63"/>
      <c r="AT2146" s="63"/>
      <c r="AU2146" s="63"/>
      <c r="AW2146" s="5">
        <f>IF(Q2146&gt;0,RANK(Q2146,(N2146:P2146,Q2146:AE2146)),0)</f>
        <v>3</v>
      </c>
      <c r="AX2146" s="5">
        <f>IF(R2146&gt;0,RANK(R2146,(N2146:P2146,Q2146:AE2146)),0)</f>
        <v>4</v>
      </c>
      <c r="AY2146" s="5">
        <f>IF(T2146&gt;0,RANK(T2146,(N2146:P2146,Q2146:AE2146)),0)</f>
        <v>0</v>
      </c>
      <c r="AZ2146" s="5">
        <f>IF(S2146&gt;0,RANK(S2146,(N2146:P2146,Q2146:AE2146)),0)</f>
        <v>8</v>
      </c>
      <c r="BA2146" s="2">
        <f t="shared" si="890"/>
        <v>2.5350572243271748E-2</v>
      </c>
      <c r="BB2146" s="2">
        <f t="shared" si="891"/>
        <v>5.8200851529237136E-3</v>
      </c>
      <c r="BC2146" s="2">
        <f t="shared" si="892"/>
        <v>0</v>
      </c>
      <c r="BD2146" s="2">
        <f t="shared" si="893"/>
        <v>3.9060974180696068E-4</v>
      </c>
      <c r="BF2146" t="s">
        <v>296</v>
      </c>
      <c r="BG2146" t="s">
        <v>995</v>
      </c>
      <c r="BH2146">
        <v>8</v>
      </c>
      <c r="BJ2146" s="114">
        <v>39</v>
      </c>
      <c r="BK2146" s="116">
        <v>37</v>
      </c>
      <c r="BL2146" s="120">
        <f t="shared" si="872"/>
        <v>39037</v>
      </c>
      <c r="BN2146" s="5" t="s">
        <v>3154</v>
      </c>
      <c r="BR2146" s="63"/>
      <c r="BT2146" s="132"/>
      <c r="BY2146" s="63">
        <f t="shared" si="894"/>
        <v>0</v>
      </c>
      <c r="BZ2146" s="63">
        <v>25601</v>
      </c>
      <c r="CA2146" s="132">
        <v>198</v>
      </c>
      <c r="CB2146" s="132"/>
      <c r="CD2146" s="63">
        <v>0</v>
      </c>
      <c r="CE2146" s="63">
        <v>0</v>
      </c>
      <c r="CF2146" s="63">
        <v>0</v>
      </c>
      <c r="CG2146" s="8">
        <v>1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</row>
    <row r="2147" spans="1:90" hidden="1" outlineLevel="1">
      <c r="A2147" t="s">
        <v>2160</v>
      </c>
      <c r="B2147" t="s">
        <v>995</v>
      </c>
      <c r="C2147" s="1">
        <f t="shared" si="885"/>
        <v>18349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7</v>
      </c>
      <c r="G2147" s="132">
        <f t="shared" si="882"/>
        <v>6320</v>
      </c>
      <c r="H2147" s="137">
        <f t="shared" si="883"/>
        <v>0.34443293912474793</v>
      </c>
      <c r="I2147" s="2"/>
      <c r="J2147" s="2">
        <f t="shared" si="886"/>
        <v>0.29255000272494414</v>
      </c>
      <c r="K2147" s="2">
        <f t="shared" si="887"/>
        <v>0.63698294184969206</v>
      </c>
      <c r="L2147" s="2">
        <f t="shared" si="888"/>
        <v>2.6704452558722548E-3</v>
      </c>
      <c r="M2147" s="2">
        <f t="shared" si="889"/>
        <v>6.7796610169491539E-2</v>
      </c>
      <c r="N2147" s="63">
        <v>5368</v>
      </c>
      <c r="O2147" s="63">
        <v>11688</v>
      </c>
      <c r="P2147" s="63">
        <v>49</v>
      </c>
      <c r="Q2147" s="63">
        <v>782</v>
      </c>
      <c r="R2147" s="63">
        <v>153</v>
      </c>
      <c r="S2147" s="63">
        <v>17</v>
      </c>
      <c r="T2147" s="63"/>
      <c r="U2147" s="63"/>
      <c r="V2147" s="63"/>
      <c r="W2147" s="63">
        <f>IF(Copyright!B$11=1,IF(CA2147&gt;0,CA2147-P2147-SUM(S2147:V2147)-SUM(X2147:Y2147)-SUM(AA2147:AT2147),SUM(CB2147:CM2147)),SUM(CB2147:CM2147))</f>
        <v>157</v>
      </c>
      <c r="X2147" s="63"/>
      <c r="Y2147" s="63">
        <v>2</v>
      </c>
      <c r="Z2147" s="63">
        <v>128</v>
      </c>
      <c r="AA2147" s="63">
        <v>0</v>
      </c>
      <c r="AB2147" s="63"/>
      <c r="AC2147" s="63"/>
      <c r="AD2147" s="63"/>
      <c r="AE2147" s="63">
        <v>0</v>
      </c>
      <c r="AF2147" s="63"/>
      <c r="AG2147" s="63">
        <v>0</v>
      </c>
      <c r="AH2147" s="63"/>
      <c r="AI2147" s="8"/>
      <c r="AJ2147" s="63"/>
      <c r="AK2147" s="63"/>
      <c r="AL2147" s="63"/>
      <c r="AM2147" s="63">
        <v>0</v>
      </c>
      <c r="AN2147" s="63">
        <v>5</v>
      </c>
      <c r="AO2147" s="63"/>
      <c r="AP2147" s="63"/>
      <c r="AQ2147" s="63">
        <v>0</v>
      </c>
      <c r="AR2147" s="63"/>
      <c r="AS2147" s="63"/>
      <c r="AT2147" s="63"/>
      <c r="AU2147" s="63"/>
      <c r="AW2147" s="5">
        <f>IF(Q2147&gt;0,RANK(Q2147,(N2147:P2147,Q2147:AE2147)),0)</f>
        <v>3</v>
      </c>
      <c r="AX2147" s="5">
        <f>IF(R2147&gt;0,RANK(R2147,(N2147:P2147,Q2147:AE2147)),0)</f>
        <v>5</v>
      </c>
      <c r="AY2147" s="5">
        <f>IF(T2147&gt;0,RANK(T2147,(N2147:P2147,Q2147:AE2147)),0)</f>
        <v>0</v>
      </c>
      <c r="AZ2147" s="5">
        <f>IF(S2147&gt;0,RANK(S2147,(N2147:P2147,Q2147:AE2147)),0)</f>
        <v>8</v>
      </c>
      <c r="BA2147" s="2">
        <f t="shared" si="890"/>
        <v>4.261812632841027E-2</v>
      </c>
      <c r="BB2147" s="2">
        <f t="shared" si="891"/>
        <v>8.3383290642541821E-3</v>
      </c>
      <c r="BC2147" s="2">
        <f t="shared" si="892"/>
        <v>0</v>
      </c>
      <c r="BD2147" s="2">
        <f t="shared" si="893"/>
        <v>9.2648100713935361E-4</v>
      </c>
      <c r="BF2147" t="s">
        <v>2160</v>
      </c>
      <c r="BG2147" t="s">
        <v>995</v>
      </c>
      <c r="BH2147">
        <v>5</v>
      </c>
      <c r="BJ2147" s="114">
        <v>39</v>
      </c>
      <c r="BK2147" s="116">
        <v>39</v>
      </c>
      <c r="BL2147" s="120">
        <f t="shared" si="872"/>
        <v>39039</v>
      </c>
      <c r="BN2147" s="5" t="s">
        <v>3154</v>
      </c>
      <c r="BR2147" s="63"/>
      <c r="BT2147" s="132"/>
      <c r="BY2147" s="63">
        <f t="shared" si="894"/>
        <v>0</v>
      </c>
      <c r="BZ2147" s="63">
        <v>18349</v>
      </c>
      <c r="CA2147" s="132">
        <v>230</v>
      </c>
      <c r="CB2147" s="132"/>
      <c r="CD2147" s="63">
        <v>0</v>
      </c>
      <c r="CE2147" s="63">
        <v>0</v>
      </c>
      <c r="CF2147" s="63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</row>
    <row r="2148" spans="1:90" hidden="1" outlineLevel="1">
      <c r="A2148" t="s">
        <v>1708</v>
      </c>
      <c r="B2148" t="s">
        <v>995</v>
      </c>
      <c r="C2148" s="1">
        <f t="shared" si="885"/>
        <v>105639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7</v>
      </c>
      <c r="G2148" s="132">
        <f t="shared" si="882"/>
        <v>16696</v>
      </c>
      <c r="H2148" s="137">
        <f t="shared" si="883"/>
        <v>0.15804769072028324</v>
      </c>
      <c r="I2148" s="2"/>
      <c r="J2148" s="2">
        <f t="shared" si="886"/>
        <v>0.3869025643938318</v>
      </c>
      <c r="K2148" s="2">
        <f t="shared" si="887"/>
        <v>0.5449502551141151</v>
      </c>
      <c r="L2148" s="2">
        <f t="shared" si="888"/>
        <v>2.0920304054373859E-3</v>
      </c>
      <c r="M2148" s="2">
        <f t="shared" si="889"/>
        <v>6.6055150086615763E-2</v>
      </c>
      <c r="N2148" s="63">
        <v>40872</v>
      </c>
      <c r="O2148" s="63">
        <v>57568</v>
      </c>
      <c r="P2148" s="63">
        <v>221</v>
      </c>
      <c r="Q2148" s="63">
        <v>4116</v>
      </c>
      <c r="R2148" s="63">
        <v>668</v>
      </c>
      <c r="S2148" s="63">
        <v>27</v>
      </c>
      <c r="T2148" s="63"/>
      <c r="U2148" s="63"/>
      <c r="V2148" s="63"/>
      <c r="W2148" s="63">
        <f>IF(Copyright!B$11=1,IF(CA2148&gt;0,CA2148-P2148-SUM(S2148:V2148)-SUM(X2148:Y2148)-SUM(AA2148:AT2148),SUM(CB2148:CM2148)),SUM(CB2148:CM2148))</f>
        <v>1822</v>
      </c>
      <c r="X2148" s="63"/>
      <c r="Y2148" s="63">
        <v>6</v>
      </c>
      <c r="Z2148" s="63">
        <v>333</v>
      </c>
      <c r="AA2148" s="63">
        <v>0</v>
      </c>
      <c r="AB2148" s="63"/>
      <c r="AC2148" s="63"/>
      <c r="AD2148" s="63"/>
      <c r="AE2148" s="63">
        <v>0</v>
      </c>
      <c r="AF2148" s="63"/>
      <c r="AG2148" s="63">
        <v>0</v>
      </c>
      <c r="AH2148" s="63"/>
      <c r="AI2148" s="8"/>
      <c r="AJ2148" s="63"/>
      <c r="AK2148" s="63"/>
      <c r="AL2148" s="63"/>
      <c r="AM2148" s="63">
        <v>0</v>
      </c>
      <c r="AN2148" s="63">
        <v>6</v>
      </c>
      <c r="AO2148" s="63"/>
      <c r="AP2148" s="63"/>
      <c r="AQ2148" s="63">
        <v>0</v>
      </c>
      <c r="AR2148" s="63"/>
      <c r="AS2148" s="63"/>
      <c r="AT2148" s="63"/>
      <c r="AU2148" s="63"/>
      <c r="AW2148" s="5">
        <f>IF(Q2148&gt;0,RANK(Q2148,(N2148:P2148,Q2148:AE2148)),0)</f>
        <v>3</v>
      </c>
      <c r="AX2148" s="5">
        <f>IF(R2148&gt;0,RANK(R2148,(N2148:P2148,Q2148:AE2148)),0)</f>
        <v>5</v>
      </c>
      <c r="AY2148" s="5">
        <f>IF(T2148&gt;0,RANK(T2148,(N2148:P2148,Q2148:AE2148)),0)</f>
        <v>0</v>
      </c>
      <c r="AZ2148" s="5">
        <f>IF(S2148&gt;0,RANK(S2148,(N2148:P2148,Q2148:AE2148)),0)</f>
        <v>8</v>
      </c>
      <c r="BA2148" s="2">
        <f t="shared" si="890"/>
        <v>3.8962883026155117E-2</v>
      </c>
      <c r="BB2148" s="2">
        <f t="shared" si="891"/>
        <v>6.3234222209600623E-3</v>
      </c>
      <c r="BC2148" s="2">
        <f t="shared" si="892"/>
        <v>0</v>
      </c>
      <c r="BD2148" s="2">
        <f t="shared" si="893"/>
        <v>2.5558742509868514E-4</v>
      </c>
      <c r="BF2148" t="s">
        <v>1708</v>
      </c>
      <c r="BG2148" t="s">
        <v>995</v>
      </c>
      <c r="BH2148">
        <v>12</v>
      </c>
      <c r="BJ2148" s="114">
        <v>39</v>
      </c>
      <c r="BK2148" s="116">
        <v>41</v>
      </c>
      <c r="BL2148" s="120">
        <f t="shared" si="872"/>
        <v>39041</v>
      </c>
      <c r="BN2148" s="5" t="s">
        <v>3154</v>
      </c>
      <c r="BR2148" s="63"/>
      <c r="BT2148" s="63"/>
      <c r="BY2148" s="63">
        <f t="shared" si="894"/>
        <v>0</v>
      </c>
      <c r="BZ2148" s="63">
        <f>40872+333+4116+668+57568+2082</f>
        <v>105639</v>
      </c>
      <c r="CA2148" s="63">
        <v>2082</v>
      </c>
      <c r="CB2148" s="132"/>
      <c r="CD2148" s="63">
        <v>0</v>
      </c>
      <c r="CE2148" s="63">
        <v>0</v>
      </c>
      <c r="CF2148" s="63">
        <v>0</v>
      </c>
      <c r="CG2148" s="8">
        <v>43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</row>
    <row r="2149" spans="1:90" hidden="1" outlineLevel="1">
      <c r="A2149" t="s">
        <v>12</v>
      </c>
      <c r="B2149" t="s">
        <v>995</v>
      </c>
      <c r="C2149" s="1">
        <f t="shared" si="885"/>
        <v>37862</v>
      </c>
      <c r="D2149" s="5">
        <f>IF(N2149&gt;0, RANK(N2149,(N2149:P2149,Q2149:AE2149)),0)</f>
        <v>2</v>
      </c>
      <c r="E2149" s="5">
        <f>IF(O2149&gt;0,RANK(O2149,(N2149:P2149,Q2149:AE2149)),0)</f>
        <v>1</v>
      </c>
      <c r="F2149" s="5">
        <f>IF(P2149&gt;0,RANK(P2149,(N2149:P2149,Q2149:AE2149)),0)</f>
        <v>7</v>
      </c>
      <c r="G2149" s="132">
        <f t="shared" si="882"/>
        <v>3591</v>
      </c>
      <c r="H2149" s="137">
        <f t="shared" si="883"/>
        <v>9.4844435053615769E-2</v>
      </c>
      <c r="I2149" s="2"/>
      <c r="J2149" s="2">
        <f t="shared" si="886"/>
        <v>0.42409275791030587</v>
      </c>
      <c r="K2149" s="2">
        <f t="shared" si="887"/>
        <v>0.5189371929639216</v>
      </c>
      <c r="L2149" s="2">
        <f t="shared" si="888"/>
        <v>1.5847023400771222E-3</v>
      </c>
      <c r="M2149" s="2">
        <f t="shared" si="889"/>
        <v>5.5385346785695407E-2</v>
      </c>
      <c r="N2149" s="63">
        <v>16057</v>
      </c>
      <c r="O2149" s="63">
        <v>19648</v>
      </c>
      <c r="P2149" s="63">
        <v>60</v>
      </c>
      <c r="Q2149" s="63">
        <v>1225</v>
      </c>
      <c r="R2149" s="63">
        <v>342</v>
      </c>
      <c r="S2149" s="63">
        <v>7</v>
      </c>
      <c r="T2149" s="63"/>
      <c r="U2149" s="63"/>
      <c r="V2149" s="63"/>
      <c r="W2149" s="63">
        <f>IF(Copyright!B$11=1,IF(CA2149&gt;0,CA2149-P2149-SUM(S2149:V2149)-SUM(X2149:Y2149)-SUM(AA2149:AT2149),SUM(CB2149:CM2149)),SUM(CB2149:CM2149))</f>
        <v>286</v>
      </c>
      <c r="X2149" s="63"/>
      <c r="Y2149" s="63">
        <v>0</v>
      </c>
      <c r="Z2149" s="63">
        <v>229</v>
      </c>
      <c r="AA2149" s="63">
        <v>2</v>
      </c>
      <c r="AB2149" s="63"/>
      <c r="AC2149" s="63"/>
      <c r="AD2149" s="63"/>
      <c r="AE2149" s="63">
        <v>2</v>
      </c>
      <c r="AF2149" s="63"/>
      <c r="AG2149" s="63">
        <v>0</v>
      </c>
      <c r="AH2149" s="63"/>
      <c r="AI2149" s="8"/>
      <c r="AJ2149" s="63"/>
      <c r="AK2149" s="63"/>
      <c r="AL2149" s="63"/>
      <c r="AM2149" s="63">
        <v>0</v>
      </c>
      <c r="AN2149" s="63">
        <v>4</v>
      </c>
      <c r="AO2149" s="63"/>
      <c r="AP2149" s="63"/>
      <c r="AQ2149" s="63">
        <v>0</v>
      </c>
      <c r="AR2149" s="63"/>
      <c r="AS2149" s="63"/>
      <c r="AT2149" s="63"/>
      <c r="AU2149" s="63"/>
      <c r="AW2149" s="5">
        <f>IF(Q2149&gt;0,RANK(Q2149,(N2149:P2149,Q2149:AE2149)),0)</f>
        <v>3</v>
      </c>
      <c r="AX2149" s="5">
        <f>IF(R2149&gt;0,RANK(R2149,(N2149:P2149,Q2149:AE2149)),0)</f>
        <v>4</v>
      </c>
      <c r="AY2149" s="5">
        <f>IF(T2149&gt;0,RANK(T2149,(N2149:P2149,Q2149:AE2149)),0)</f>
        <v>0</v>
      </c>
      <c r="AZ2149" s="5">
        <f>IF(S2149&gt;0,RANK(S2149,(N2149:P2149,Q2149:AE2149)),0)</f>
        <v>8</v>
      </c>
      <c r="BA2149" s="2">
        <f t="shared" si="890"/>
        <v>3.2354339443241245E-2</v>
      </c>
      <c r="BB2149" s="2">
        <f t="shared" si="891"/>
        <v>9.0328033384395965E-3</v>
      </c>
      <c r="BC2149" s="2">
        <f t="shared" si="892"/>
        <v>0</v>
      </c>
      <c r="BD2149" s="2">
        <f t="shared" si="893"/>
        <v>1.8488193967566426E-4</v>
      </c>
      <c r="BF2149" t="s">
        <v>12</v>
      </c>
      <c r="BG2149" t="s">
        <v>995</v>
      </c>
      <c r="BJ2149" s="114">
        <v>39</v>
      </c>
      <c r="BK2149" s="116">
        <v>43</v>
      </c>
      <c r="BL2149" s="120">
        <f t="shared" si="872"/>
        <v>39043</v>
      </c>
      <c r="BN2149" s="5" t="s">
        <v>3154</v>
      </c>
      <c r="BR2149" s="63"/>
      <c r="BT2149" s="63"/>
      <c r="BY2149" s="63">
        <f t="shared" si="894"/>
        <v>0</v>
      </c>
      <c r="BZ2149" s="63">
        <f>16057+229+1225+342+19648+361</f>
        <v>37862</v>
      </c>
      <c r="CA2149" s="63">
        <v>361</v>
      </c>
      <c r="CB2149" s="132"/>
      <c r="CD2149" s="63">
        <v>0</v>
      </c>
      <c r="CE2149" s="63">
        <v>0</v>
      </c>
      <c r="CF2149" s="63">
        <v>0</v>
      </c>
      <c r="CG2149" s="8">
        <v>0</v>
      </c>
      <c r="CH2149" s="8">
        <v>0</v>
      </c>
      <c r="CI2149" s="8">
        <v>1</v>
      </c>
      <c r="CJ2149" s="8">
        <v>1</v>
      </c>
      <c r="CK2149" s="8">
        <v>0</v>
      </c>
      <c r="CL2149" s="8">
        <v>0</v>
      </c>
    </row>
    <row r="2150" spans="1:90" hidden="1" outlineLevel="1">
      <c r="A2150" t="s">
        <v>280</v>
      </c>
      <c r="B2150" t="s">
        <v>995</v>
      </c>
      <c r="C2150" s="1">
        <f t="shared" si="885"/>
        <v>73554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7</v>
      </c>
      <c r="G2150" s="132">
        <f t="shared" si="882"/>
        <v>19433</v>
      </c>
      <c r="H2150" s="137">
        <f t="shared" si="883"/>
        <v>0.26420045136906217</v>
      </c>
      <c r="I2150" s="2"/>
      <c r="J2150" s="2">
        <f t="shared" si="886"/>
        <v>0.33826848301927837</v>
      </c>
      <c r="K2150" s="2">
        <f t="shared" si="887"/>
        <v>0.60246893438834059</v>
      </c>
      <c r="L2150" s="2">
        <f t="shared" si="888"/>
        <v>3.6299861326372462E-3</v>
      </c>
      <c r="M2150" s="2">
        <f t="shared" si="889"/>
        <v>5.5632596459743798E-2</v>
      </c>
      <c r="N2150" s="63">
        <v>24881</v>
      </c>
      <c r="O2150" s="63">
        <v>44314</v>
      </c>
      <c r="P2150" s="63">
        <v>267</v>
      </c>
      <c r="Q2150" s="63">
        <v>2439</v>
      </c>
      <c r="R2150" s="63">
        <v>558</v>
      </c>
      <c r="S2150" s="63">
        <v>52</v>
      </c>
      <c r="T2150" s="63"/>
      <c r="U2150" s="63"/>
      <c r="V2150" s="63"/>
      <c r="W2150" s="63">
        <f>IF(Copyright!B$11=1,IF(CA2150&gt;0,CA2150-P2150-SUM(S2150:V2150)-SUM(X2150:Y2150)-SUM(AA2150:AT2150),SUM(CB2150:CM2150)),SUM(CB2150:CM2150))</f>
        <v>651</v>
      </c>
      <c r="X2150" s="63"/>
      <c r="Y2150" s="63">
        <v>9</v>
      </c>
      <c r="Z2150" s="63">
        <v>373</v>
      </c>
      <c r="AA2150" s="63">
        <v>0</v>
      </c>
      <c r="AB2150" s="63"/>
      <c r="AC2150" s="63"/>
      <c r="AD2150" s="63"/>
      <c r="AE2150" s="63">
        <v>1</v>
      </c>
      <c r="AF2150" s="63"/>
      <c r="AG2150" s="63">
        <v>1</v>
      </c>
      <c r="AH2150" s="63"/>
      <c r="AI2150" s="8"/>
      <c r="AJ2150" s="63"/>
      <c r="AK2150" s="63"/>
      <c r="AL2150" s="63"/>
      <c r="AM2150" s="63">
        <v>0</v>
      </c>
      <c r="AN2150" s="63">
        <v>7</v>
      </c>
      <c r="AO2150" s="63"/>
      <c r="AP2150" s="63"/>
      <c r="AQ2150" s="63">
        <v>1</v>
      </c>
      <c r="AR2150" s="63"/>
      <c r="AS2150" s="63"/>
      <c r="AT2150" s="63"/>
      <c r="AU2150" s="63"/>
      <c r="AW2150" s="5">
        <f>IF(Q2150&gt;0,RANK(Q2150,(N2150:P2150,Q2150:AE2150)),0)</f>
        <v>3</v>
      </c>
      <c r="AX2150" s="5">
        <f>IF(R2150&gt;0,RANK(R2150,(N2150:P2150,Q2150:AE2150)),0)</f>
        <v>5</v>
      </c>
      <c r="AY2150" s="5">
        <f>IF(T2150&gt;0,RANK(T2150,(N2150:P2150,Q2150:AE2150)),0)</f>
        <v>0</v>
      </c>
      <c r="AZ2150" s="5">
        <f>IF(S2150&gt;0,RANK(S2150,(N2150:P2150,Q2150:AE2150)),0)</f>
        <v>8</v>
      </c>
      <c r="BA2150" s="2">
        <f t="shared" si="890"/>
        <v>3.3159311526225629E-2</v>
      </c>
      <c r="BB2150" s="2">
        <f t="shared" si="891"/>
        <v>7.5862631536014356E-3</v>
      </c>
      <c r="BC2150" s="2">
        <f t="shared" si="892"/>
        <v>0</v>
      </c>
      <c r="BD2150" s="2">
        <f t="shared" si="893"/>
        <v>7.0696359137504422E-4</v>
      </c>
      <c r="BF2150" t="s">
        <v>280</v>
      </c>
      <c r="BG2150" t="s">
        <v>995</v>
      </c>
      <c r="BH2150">
        <v>15</v>
      </c>
      <c r="BJ2150" s="114">
        <v>39</v>
      </c>
      <c r="BK2150" s="116">
        <v>45</v>
      </c>
      <c r="BL2150" s="120">
        <f t="shared" si="872"/>
        <v>39045</v>
      </c>
      <c r="BN2150" s="5" t="s">
        <v>3154</v>
      </c>
      <c r="BR2150" s="63"/>
      <c r="BT2150" s="63"/>
      <c r="BY2150" s="63">
        <f t="shared" si="894"/>
        <v>0</v>
      </c>
      <c r="BZ2150" s="63">
        <v>73554</v>
      </c>
      <c r="CA2150" s="63">
        <f>641+267+29+52</f>
        <v>989</v>
      </c>
      <c r="CB2150" s="132"/>
      <c r="CD2150" s="63">
        <v>0</v>
      </c>
      <c r="CE2150" s="63">
        <v>0</v>
      </c>
      <c r="CF2150" s="63">
        <v>1</v>
      </c>
      <c r="CG2150" s="8">
        <v>9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</row>
    <row r="2151" spans="1:90" hidden="1" outlineLevel="1">
      <c r="A2151" t="s">
        <v>1416</v>
      </c>
      <c r="B2151" t="s">
        <v>995</v>
      </c>
      <c r="C2151" s="1">
        <f t="shared" si="885"/>
        <v>11232</v>
      </c>
      <c r="D2151" s="5">
        <f>IF(N2151&gt;0, RANK(N2151,(N2151:P2151,Q2151:AE2151)),0)</f>
        <v>2</v>
      </c>
      <c r="E2151" s="5">
        <f>IF(O2151&gt;0,RANK(O2151,(N2151:P2151,Q2151:AE2151)),0)</f>
        <v>1</v>
      </c>
      <c r="F2151" s="5">
        <f>IF(P2151&gt;0,RANK(P2151,(N2151:P2151,Q2151:AE2151)),0)</f>
        <v>7</v>
      </c>
      <c r="G2151" s="132">
        <f t="shared" si="882"/>
        <v>5256</v>
      </c>
      <c r="H2151" s="137">
        <f t="shared" si="883"/>
        <v>0.46794871794871795</v>
      </c>
      <c r="I2151" s="2"/>
      <c r="J2151" s="2">
        <f t="shared" si="886"/>
        <v>0.2438568376068376</v>
      </c>
      <c r="K2151" s="2">
        <f t="shared" si="887"/>
        <v>0.71180555555555558</v>
      </c>
      <c r="L2151" s="2">
        <f t="shared" si="888"/>
        <v>1.6915954415954416E-3</v>
      </c>
      <c r="M2151" s="2">
        <f t="shared" si="889"/>
        <v>4.2646011396011346E-2</v>
      </c>
      <c r="N2151" s="63">
        <v>2739</v>
      </c>
      <c r="O2151" s="63">
        <v>7995</v>
      </c>
      <c r="P2151" s="63">
        <v>19</v>
      </c>
      <c r="Q2151" s="63">
        <v>295</v>
      </c>
      <c r="R2151" s="63">
        <v>57</v>
      </c>
      <c r="S2151" s="63">
        <v>6</v>
      </c>
      <c r="T2151" s="63"/>
      <c r="U2151" s="63"/>
      <c r="V2151" s="63"/>
      <c r="W2151" s="63">
        <f>IF(Copyright!B$11=1,IF(CA2151&gt;0,CA2151-P2151-SUM(S2151:V2151)-SUM(X2151:Y2151)-SUM(AA2151:AT2151),SUM(CB2151:CM2151)),SUM(CB2151:CM2151))</f>
        <v>71</v>
      </c>
      <c r="X2151" s="63"/>
      <c r="Y2151" s="63">
        <v>0</v>
      </c>
      <c r="Z2151" s="63">
        <v>50</v>
      </c>
      <c r="AA2151" s="63">
        <v>0</v>
      </c>
      <c r="AB2151" s="63"/>
      <c r="AC2151" s="63"/>
      <c r="AD2151" s="63"/>
      <c r="AE2151" s="63">
        <v>0</v>
      </c>
      <c r="AF2151" s="63"/>
      <c r="AG2151" s="63">
        <v>0</v>
      </c>
      <c r="AH2151" s="63"/>
      <c r="AI2151" s="8"/>
      <c r="AJ2151" s="63"/>
      <c r="AK2151" s="63"/>
      <c r="AL2151" s="63"/>
      <c r="AM2151" s="63">
        <v>0</v>
      </c>
      <c r="AN2151" s="63">
        <v>0</v>
      </c>
      <c r="AO2151" s="63"/>
      <c r="AP2151" s="63"/>
      <c r="AQ2151" s="63">
        <v>0</v>
      </c>
      <c r="AR2151" s="63"/>
      <c r="AS2151" s="63"/>
      <c r="AT2151" s="63"/>
      <c r="AU2151" s="63"/>
      <c r="AW2151" s="5">
        <f>IF(Q2151&gt;0,RANK(Q2151,(N2151:P2151,Q2151:AE2151)),0)</f>
        <v>3</v>
      </c>
      <c r="AX2151" s="5">
        <f>IF(R2151&gt;0,RANK(R2151,(N2151:P2151,Q2151:AE2151)),0)</f>
        <v>5</v>
      </c>
      <c r="AY2151" s="5">
        <f>IF(T2151&gt;0,RANK(T2151,(N2151:P2151,Q2151:AE2151)),0)</f>
        <v>0</v>
      </c>
      <c r="AZ2151" s="5">
        <f>IF(S2151&gt;0,RANK(S2151,(N2151:P2151,Q2151:AE2151)),0)</f>
        <v>8</v>
      </c>
      <c r="BA2151" s="2">
        <f t="shared" si="890"/>
        <v>2.6264245014245013E-2</v>
      </c>
      <c r="BB2151" s="2">
        <f t="shared" si="891"/>
        <v>5.074786324786325E-3</v>
      </c>
      <c r="BC2151" s="2">
        <f t="shared" si="892"/>
        <v>0</v>
      </c>
      <c r="BD2151" s="2">
        <f t="shared" si="893"/>
        <v>5.3418803418803424E-4</v>
      </c>
      <c r="BF2151" t="s">
        <v>1416</v>
      </c>
      <c r="BG2151" t="s">
        <v>995</v>
      </c>
      <c r="BJ2151" s="114">
        <v>39</v>
      </c>
      <c r="BK2151" s="116">
        <v>47</v>
      </c>
      <c r="BL2151" s="120">
        <f t="shared" si="872"/>
        <v>39047</v>
      </c>
      <c r="BN2151" s="5" t="s">
        <v>3154</v>
      </c>
      <c r="BO2151" s="63">
        <v>77</v>
      </c>
      <c r="BP2151" s="63">
        <v>16</v>
      </c>
      <c r="BR2151" s="63"/>
      <c r="BT2151" s="63"/>
      <c r="BY2151" s="63">
        <f t="shared" si="894"/>
        <v>0</v>
      </c>
      <c r="BZ2151" s="63">
        <v>11325</v>
      </c>
      <c r="CA2151" s="63">
        <v>96</v>
      </c>
      <c r="CB2151" s="132"/>
      <c r="CD2151" s="63">
        <v>0</v>
      </c>
      <c r="CE2151" s="63">
        <v>0</v>
      </c>
      <c r="CF2151" s="63">
        <v>0</v>
      </c>
      <c r="CG2151" s="8">
        <v>1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</row>
    <row r="2152" spans="1:90" hidden="1" outlineLevel="1">
      <c r="A2152" t="s">
        <v>1138</v>
      </c>
      <c r="B2152" t="s">
        <v>995</v>
      </c>
      <c r="C2152" s="1">
        <f t="shared" si="885"/>
        <v>587524</v>
      </c>
      <c r="D2152" s="5">
        <f>IF(N2152&gt;0, RANK(N2152,(N2152:P2152,Q2152:AE2152)),0)</f>
        <v>1</v>
      </c>
      <c r="E2152" s="5">
        <f>IF(O2152&gt;0,RANK(O2152,(N2152:P2152,Q2152:AE2152)),0)</f>
        <v>2</v>
      </c>
      <c r="F2152" s="5">
        <f>IF(P2152&gt;0,RANK(P2152,(N2152:P2152,Q2152:AE2152)),0)</f>
        <v>6</v>
      </c>
      <c r="G2152" s="132">
        <f t="shared" si="882"/>
        <v>151867</v>
      </c>
      <c r="H2152" s="137">
        <f t="shared" si="883"/>
        <v>0.25848646182964441</v>
      </c>
      <c r="I2152" s="2"/>
      <c r="J2152" s="2">
        <f t="shared" si="886"/>
        <v>0.59775941067939353</v>
      </c>
      <c r="K2152" s="2">
        <f t="shared" si="887"/>
        <v>0.33927294884974912</v>
      </c>
      <c r="L2152" s="2">
        <f t="shared" si="888"/>
        <v>3.6049591165637487E-3</v>
      </c>
      <c r="M2152" s="2">
        <f t="shared" si="889"/>
        <v>5.9362681354293595E-2</v>
      </c>
      <c r="N2152" s="63">
        <v>351198</v>
      </c>
      <c r="O2152" s="63">
        <v>199331</v>
      </c>
      <c r="P2152" s="63">
        <v>2118</v>
      </c>
      <c r="Q2152" s="63">
        <v>19725</v>
      </c>
      <c r="R2152" s="63">
        <v>6106</v>
      </c>
      <c r="S2152" s="63">
        <v>210</v>
      </c>
      <c r="T2152" s="63"/>
      <c r="U2152" s="63"/>
      <c r="V2152" s="63"/>
      <c r="W2152" s="63">
        <f>IF(Copyright!B$11=1,IF(CA2152&gt;0,CA2152-P2152-SUM(S2152:V2152)-SUM(X2152:Y2152)-SUM(AA2152:AT2152),SUM(CB2152:CM2152)),SUM(CB2152:CM2152))</f>
        <v>6825</v>
      </c>
      <c r="X2152" s="63"/>
      <c r="Y2152" s="63">
        <v>28</v>
      </c>
      <c r="Z2152" s="63">
        <v>1866</v>
      </c>
      <c r="AA2152" s="63">
        <v>2</v>
      </c>
      <c r="AB2152" s="63"/>
      <c r="AC2152" s="63"/>
      <c r="AD2152" s="63"/>
      <c r="AE2152" s="63">
        <v>16</v>
      </c>
      <c r="AF2152" s="63"/>
      <c r="AG2152" s="63">
        <v>11</v>
      </c>
      <c r="AH2152" s="63"/>
      <c r="AI2152" s="8"/>
      <c r="AJ2152" s="63"/>
      <c r="AK2152" s="63"/>
      <c r="AL2152" s="63"/>
      <c r="AM2152" s="63">
        <v>2</v>
      </c>
      <c r="AN2152" s="63">
        <v>73</v>
      </c>
      <c r="AO2152" s="63"/>
      <c r="AP2152" s="63"/>
      <c r="AQ2152" s="63">
        <v>13</v>
      </c>
      <c r="AR2152" s="63"/>
      <c r="AS2152" s="63"/>
      <c r="AT2152" s="63"/>
      <c r="AU2152" s="63"/>
      <c r="AW2152" s="5">
        <f>IF(Q2152&gt;0,RANK(Q2152,(N2152:P2152,Q2152:AE2152)),0)</f>
        <v>3</v>
      </c>
      <c r="AX2152" s="5">
        <f>IF(R2152&gt;0,RANK(R2152,(N2152:P2152,Q2152:AE2152)),0)</f>
        <v>5</v>
      </c>
      <c r="AY2152" s="5">
        <f>IF(T2152&gt;0,RANK(T2152,(N2152:P2152,Q2152:AE2152)),0)</f>
        <v>0</v>
      </c>
      <c r="AZ2152" s="5">
        <f>IF(S2152&gt;0,RANK(S2152,(N2152:P2152,Q2152:AE2152)),0)</f>
        <v>8</v>
      </c>
      <c r="BA2152" s="2">
        <f t="shared" si="890"/>
        <v>3.3573096588394684E-2</v>
      </c>
      <c r="BB2152" s="2">
        <f t="shared" si="891"/>
        <v>1.0392766933776323E-2</v>
      </c>
      <c r="BC2152" s="2">
        <f t="shared" si="892"/>
        <v>0</v>
      </c>
      <c r="BD2152" s="2">
        <f t="shared" si="893"/>
        <v>3.574322070247343E-4</v>
      </c>
      <c r="BF2152" t="s">
        <v>1138</v>
      </c>
      <c r="BG2152" t="s">
        <v>995</v>
      </c>
      <c r="BJ2152" s="114">
        <v>39</v>
      </c>
      <c r="BK2152" s="116">
        <v>49</v>
      </c>
      <c r="BL2152" s="120">
        <f t="shared" si="872"/>
        <v>39049</v>
      </c>
      <c r="BN2152" s="5" t="s">
        <v>3154</v>
      </c>
      <c r="BO2152" s="63">
        <v>5683</v>
      </c>
      <c r="BP2152" s="63">
        <v>228</v>
      </c>
      <c r="BR2152" s="63"/>
      <c r="BT2152" s="63"/>
      <c r="BY2152" s="63">
        <f t="shared" si="894"/>
        <v>0</v>
      </c>
      <c r="BZ2152" s="63">
        <v>593435</v>
      </c>
      <c r="CA2152" s="63">
        <v>9298</v>
      </c>
      <c r="CB2152" s="132"/>
      <c r="CD2152" s="63">
        <v>4</v>
      </c>
      <c r="CE2152" s="63">
        <v>0</v>
      </c>
      <c r="CF2152" s="63">
        <v>0</v>
      </c>
      <c r="CG2152" s="8">
        <v>428</v>
      </c>
      <c r="CH2152" s="8">
        <v>1</v>
      </c>
      <c r="CI2152" s="8">
        <v>0</v>
      </c>
      <c r="CJ2152" s="8">
        <v>5</v>
      </c>
      <c r="CK2152" s="8">
        <v>3</v>
      </c>
      <c r="CL2152" s="8">
        <v>0</v>
      </c>
    </row>
    <row r="2153" spans="1:90" hidden="1" outlineLevel="1">
      <c r="A2153" t="s">
        <v>2388</v>
      </c>
      <c r="B2153" t="s">
        <v>995</v>
      </c>
      <c r="C2153" s="1">
        <f t="shared" si="885"/>
        <v>21353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7</v>
      </c>
      <c r="G2153" s="132">
        <f t="shared" si="882"/>
        <v>7640</v>
      </c>
      <c r="H2153" s="137">
        <f t="shared" si="883"/>
        <v>0.35779515758909752</v>
      </c>
      <c r="I2153" s="2"/>
      <c r="J2153" s="2">
        <f t="shared" si="886"/>
        <v>0.28422235751416663</v>
      </c>
      <c r="K2153" s="2">
        <f t="shared" si="887"/>
        <v>0.64201751510326421</v>
      </c>
      <c r="L2153" s="2">
        <f t="shared" si="888"/>
        <v>3.7933779796749871E-3</v>
      </c>
      <c r="M2153" s="2">
        <f t="shared" si="889"/>
        <v>6.9966749402894116E-2</v>
      </c>
      <c r="N2153" s="63">
        <v>6069</v>
      </c>
      <c r="O2153" s="63">
        <v>13709</v>
      </c>
      <c r="P2153" s="63">
        <v>81</v>
      </c>
      <c r="Q2153" s="63">
        <v>1024</v>
      </c>
      <c r="R2153" s="63">
        <v>167</v>
      </c>
      <c r="S2153" s="63">
        <v>27</v>
      </c>
      <c r="T2153" s="63"/>
      <c r="U2153" s="63"/>
      <c r="V2153" s="63"/>
      <c r="W2153" s="63">
        <f>IF(Copyright!B$11=1,IF(CA2153&gt;0,CA2153-P2153-SUM(S2153:V2153)-SUM(X2153:Y2153)-SUM(AA2153:AT2153),SUM(CB2153:CM2153)),SUM(CB2153:CM2153))</f>
        <v>128</v>
      </c>
      <c r="X2153" s="63"/>
      <c r="Y2153" s="63">
        <v>0</v>
      </c>
      <c r="Z2153" s="63">
        <v>139</v>
      </c>
      <c r="AA2153" s="63">
        <v>0</v>
      </c>
      <c r="AB2153" s="63"/>
      <c r="AC2153" s="63"/>
      <c r="AD2153" s="63"/>
      <c r="AE2153" s="63">
        <v>0</v>
      </c>
      <c r="AF2153" s="63"/>
      <c r="AG2153" s="63">
        <v>7</v>
      </c>
      <c r="AH2153" s="63"/>
      <c r="AI2153" s="8"/>
      <c r="AJ2153" s="63"/>
      <c r="AK2153" s="63"/>
      <c r="AL2153" s="63"/>
      <c r="AM2153" s="63">
        <v>0</v>
      </c>
      <c r="AN2153" s="63">
        <v>2</v>
      </c>
      <c r="AO2153" s="63"/>
      <c r="AP2153" s="63"/>
      <c r="AQ2153" s="63">
        <v>0</v>
      </c>
      <c r="AR2153" s="63"/>
      <c r="AS2153" s="63"/>
      <c r="AT2153" s="63"/>
      <c r="AU2153" s="63"/>
      <c r="AW2153" s="5">
        <f>IF(Q2153&gt;0,RANK(Q2153,(N2153:P2153,Q2153:AE2153)),0)</f>
        <v>3</v>
      </c>
      <c r="AX2153" s="5">
        <f>IF(R2153&gt;0,RANK(R2153,(N2153:P2153,Q2153:AE2153)),0)</f>
        <v>4</v>
      </c>
      <c r="AY2153" s="5">
        <f>IF(T2153&gt;0,RANK(T2153,(N2153:P2153,Q2153:AE2153)),0)</f>
        <v>0</v>
      </c>
      <c r="AZ2153" s="5">
        <f>IF(S2153&gt;0,RANK(S2153,(N2153:P2153,Q2153:AE2153)),0)</f>
        <v>8</v>
      </c>
      <c r="BA2153" s="2">
        <f t="shared" si="890"/>
        <v>4.7955790755397368E-2</v>
      </c>
      <c r="BB2153" s="2">
        <f t="shared" si="891"/>
        <v>7.8209150938978126E-3</v>
      </c>
      <c r="BC2153" s="2">
        <f t="shared" si="892"/>
        <v>0</v>
      </c>
      <c r="BD2153" s="2">
        <f t="shared" si="893"/>
        <v>1.2644593265583291E-3</v>
      </c>
      <c r="BF2153" t="s">
        <v>2388</v>
      </c>
      <c r="BG2153" t="s">
        <v>995</v>
      </c>
      <c r="BH2153">
        <v>5</v>
      </c>
      <c r="BJ2153" s="114">
        <v>39</v>
      </c>
      <c r="BK2153" s="116">
        <v>51</v>
      </c>
      <c r="BL2153" s="120">
        <f t="shared" ref="BL2153:BL2215" si="895">1000*BJ2153+BK2153</f>
        <v>39051</v>
      </c>
      <c r="BN2153" s="5" t="s">
        <v>3154</v>
      </c>
      <c r="BR2153" s="63"/>
      <c r="BT2153" s="63"/>
      <c r="BY2153" s="63">
        <f t="shared" si="894"/>
        <v>0</v>
      </c>
      <c r="BZ2153" s="63">
        <v>21353</v>
      </c>
      <c r="CA2153" s="63">
        <v>245</v>
      </c>
      <c r="CB2153" s="132"/>
      <c r="CD2153" s="63">
        <v>0</v>
      </c>
      <c r="CE2153" s="63">
        <v>0</v>
      </c>
      <c r="CF2153" s="63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</row>
    <row r="2154" spans="1:90" hidden="1" outlineLevel="1">
      <c r="A2154" t="s">
        <v>321</v>
      </c>
      <c r="B2154" t="s">
        <v>995</v>
      </c>
      <c r="C2154" s="1">
        <f t="shared" si="885"/>
        <v>13004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8</v>
      </c>
      <c r="G2154" s="132">
        <f t="shared" si="882"/>
        <v>7194</v>
      </c>
      <c r="H2154" s="137">
        <f t="shared" si="883"/>
        <v>0.55321439557059371</v>
      </c>
      <c r="I2154" s="2"/>
      <c r="J2154" s="2">
        <f t="shared" si="886"/>
        <v>0.2020916641033528</v>
      </c>
      <c r="K2154" s="2">
        <f t="shared" si="887"/>
        <v>0.75530605967394648</v>
      </c>
      <c r="L2154" s="2">
        <f t="shared" si="888"/>
        <v>5.3829590895109196E-4</v>
      </c>
      <c r="M2154" s="2">
        <f t="shared" si="889"/>
        <v>4.2063980313749652E-2</v>
      </c>
      <c r="N2154" s="63">
        <v>2628</v>
      </c>
      <c r="O2154" s="63">
        <v>9822</v>
      </c>
      <c r="P2154" s="63">
        <v>7</v>
      </c>
      <c r="Q2154" s="63">
        <v>285</v>
      </c>
      <c r="R2154" s="63">
        <v>98</v>
      </c>
      <c r="S2154" s="63">
        <v>8</v>
      </c>
      <c r="T2154" s="63"/>
      <c r="U2154" s="63"/>
      <c r="V2154" s="63"/>
      <c r="W2154" s="63">
        <f>IF(Copyright!B$11=1,IF(CA2154&gt;0,CA2154-P2154-SUM(S2154:V2154)-SUM(X2154:Y2154)-SUM(AA2154:AT2154),SUM(CB2154:CM2154)),SUM(CB2154:CM2154))</f>
        <v>73</v>
      </c>
      <c r="X2154" s="63"/>
      <c r="Y2154" s="63">
        <v>0</v>
      </c>
      <c r="Z2154" s="63">
        <v>83</v>
      </c>
      <c r="AA2154" s="63">
        <v>0</v>
      </c>
      <c r="AB2154" s="63"/>
      <c r="AC2154" s="63"/>
      <c r="AD2154" s="63"/>
      <c r="AE2154" s="63">
        <v>0</v>
      </c>
      <c r="AF2154" s="63"/>
      <c r="AG2154" s="63">
        <v>0</v>
      </c>
      <c r="AH2154" s="63"/>
      <c r="AI2154" s="8"/>
      <c r="AJ2154" s="63"/>
      <c r="AK2154" s="63"/>
      <c r="AL2154" s="63"/>
      <c r="AM2154" s="63">
        <v>0</v>
      </c>
      <c r="AN2154" s="63">
        <v>0</v>
      </c>
      <c r="AO2154" s="63"/>
      <c r="AP2154" s="63"/>
      <c r="AQ2154" s="63">
        <v>0</v>
      </c>
      <c r="AR2154" s="63"/>
      <c r="AS2154" s="63"/>
      <c r="AT2154" s="63"/>
      <c r="AU2154" s="63"/>
      <c r="AW2154" s="5">
        <f>IF(Q2154&gt;0,RANK(Q2154,(N2154:P2154,Q2154:AE2154)),0)</f>
        <v>3</v>
      </c>
      <c r="AX2154" s="5">
        <f>IF(R2154&gt;0,RANK(R2154,(N2154:P2154,Q2154:AE2154)),0)</f>
        <v>4</v>
      </c>
      <c r="AY2154" s="5">
        <f>IF(T2154&gt;0,RANK(T2154,(N2154:P2154,Q2154:AE2154)),0)</f>
        <v>0</v>
      </c>
      <c r="AZ2154" s="5">
        <f>IF(S2154&gt;0,RANK(S2154,(N2154:P2154,Q2154:AE2154)),0)</f>
        <v>7</v>
      </c>
      <c r="BA2154" s="2">
        <f t="shared" si="890"/>
        <v>2.1916333435865888E-2</v>
      </c>
      <c r="BB2154" s="2">
        <f t="shared" si="891"/>
        <v>7.5361427253152879E-3</v>
      </c>
      <c r="BC2154" s="2">
        <f t="shared" si="892"/>
        <v>0</v>
      </c>
      <c r="BD2154" s="2">
        <f t="shared" si="893"/>
        <v>6.1519532451553372E-4</v>
      </c>
      <c r="BF2154" t="s">
        <v>321</v>
      </c>
      <c r="BG2154" t="s">
        <v>995</v>
      </c>
      <c r="BH2154">
        <v>6</v>
      </c>
      <c r="BJ2154" s="114">
        <v>39</v>
      </c>
      <c r="BK2154" s="116">
        <v>53</v>
      </c>
      <c r="BL2154" s="120">
        <f t="shared" si="895"/>
        <v>39053</v>
      </c>
      <c r="BN2154" s="5" t="s">
        <v>3154</v>
      </c>
      <c r="BR2154" s="63"/>
      <c r="BT2154" s="63"/>
      <c r="BY2154" s="63">
        <f t="shared" si="894"/>
        <v>0</v>
      </c>
      <c r="BZ2154" s="63">
        <v>13004</v>
      </c>
      <c r="CA2154" s="63">
        <v>88</v>
      </c>
      <c r="CB2154" s="132"/>
      <c r="CD2154" s="63">
        <v>0</v>
      </c>
      <c r="CE2154" s="63">
        <v>0</v>
      </c>
      <c r="CF2154" s="63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</row>
    <row r="2155" spans="1:90" hidden="1" outlineLevel="1">
      <c r="A2155" t="s">
        <v>224</v>
      </c>
      <c r="B2155" t="s">
        <v>995</v>
      </c>
      <c r="C2155" s="1">
        <f t="shared" si="885"/>
        <v>50662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7</v>
      </c>
      <c r="G2155" s="132">
        <f t="shared" si="882"/>
        <v>12658</v>
      </c>
      <c r="H2155" s="137">
        <f t="shared" si="883"/>
        <v>0.24985196004895188</v>
      </c>
      <c r="I2155" s="2"/>
      <c r="J2155" s="2">
        <f t="shared" si="886"/>
        <v>0.34678851999526272</v>
      </c>
      <c r="K2155" s="2">
        <f t="shared" si="887"/>
        <v>0.59664048004421455</v>
      </c>
      <c r="L2155" s="2">
        <f t="shared" si="888"/>
        <v>1.243535588804232E-3</v>
      </c>
      <c r="M2155" s="2">
        <f t="shared" si="889"/>
        <v>5.5327464371718496E-2</v>
      </c>
      <c r="N2155" s="63">
        <v>17569</v>
      </c>
      <c r="O2155" s="63">
        <v>30227</v>
      </c>
      <c r="P2155" s="63">
        <v>63</v>
      </c>
      <c r="Q2155" s="63">
        <v>1502</v>
      </c>
      <c r="R2155" s="63">
        <v>333</v>
      </c>
      <c r="S2155" s="63">
        <v>13</v>
      </c>
      <c r="T2155" s="63"/>
      <c r="U2155" s="63"/>
      <c r="V2155" s="63"/>
      <c r="W2155" s="63">
        <f>IF(Copyright!B$11=1,IF(CA2155&gt;0,CA2155-P2155-SUM(S2155:V2155)-SUM(X2155:Y2155)-SUM(AA2155:AT2155),SUM(CB2155:CM2155)),SUM(CB2155:CM2155))</f>
        <v>722</v>
      </c>
      <c r="X2155" s="63"/>
      <c r="Y2155" s="63">
        <v>1</v>
      </c>
      <c r="Z2155" s="63">
        <v>228</v>
      </c>
      <c r="AA2155" s="63">
        <v>1</v>
      </c>
      <c r="AB2155" s="63"/>
      <c r="AC2155" s="63"/>
      <c r="AD2155" s="63"/>
      <c r="AE2155" s="63">
        <v>1</v>
      </c>
      <c r="AF2155" s="63"/>
      <c r="AG2155" s="63">
        <v>0</v>
      </c>
      <c r="AH2155" s="63"/>
      <c r="AI2155" s="8"/>
      <c r="AJ2155" s="63"/>
      <c r="AK2155" s="63"/>
      <c r="AL2155" s="63"/>
      <c r="AM2155" s="63">
        <v>0</v>
      </c>
      <c r="AN2155" s="63">
        <v>1</v>
      </c>
      <c r="AO2155" s="63"/>
      <c r="AP2155" s="63"/>
      <c r="AQ2155" s="63">
        <v>1</v>
      </c>
      <c r="AR2155" s="63"/>
      <c r="AS2155" s="63"/>
      <c r="AT2155" s="63"/>
      <c r="AU2155" s="63"/>
      <c r="AW2155" s="5">
        <f>IF(Q2155&gt;0,RANK(Q2155,(N2155:P2155,Q2155:AE2155)),0)</f>
        <v>3</v>
      </c>
      <c r="AX2155" s="5">
        <f>IF(R2155&gt;0,RANK(R2155,(N2155:P2155,Q2155:AE2155)),0)</f>
        <v>5</v>
      </c>
      <c r="AY2155" s="5">
        <f>IF(T2155&gt;0,RANK(T2155,(N2155:P2155,Q2155:AE2155)),0)</f>
        <v>0</v>
      </c>
      <c r="AZ2155" s="5">
        <f>IF(S2155&gt;0,RANK(S2155,(N2155:P2155,Q2155:AE2155)),0)</f>
        <v>8</v>
      </c>
      <c r="BA2155" s="2">
        <f t="shared" si="890"/>
        <v>2.9647467529904069E-2</v>
      </c>
      <c r="BB2155" s="2">
        <f t="shared" si="891"/>
        <v>6.5729738265366544E-3</v>
      </c>
      <c r="BC2155" s="2">
        <f t="shared" si="892"/>
        <v>0</v>
      </c>
      <c r="BD2155" s="2">
        <f t="shared" si="893"/>
        <v>2.5660258181674629E-4</v>
      </c>
      <c r="BF2155" t="s">
        <v>224</v>
      </c>
      <c r="BG2155" t="s">
        <v>995</v>
      </c>
      <c r="BH2155">
        <v>14</v>
      </c>
      <c r="BJ2155" s="114">
        <v>39</v>
      </c>
      <c r="BK2155" s="116">
        <v>55</v>
      </c>
      <c r="BL2155" s="120">
        <f t="shared" si="895"/>
        <v>39055</v>
      </c>
      <c r="BN2155" s="5" t="s">
        <v>3154</v>
      </c>
      <c r="BR2155" s="63"/>
      <c r="BT2155" s="63"/>
      <c r="BY2155" s="63">
        <f t="shared" si="894"/>
        <v>0</v>
      </c>
      <c r="BZ2155" s="63">
        <v>50662</v>
      </c>
      <c r="CA2155" s="63">
        <v>803</v>
      </c>
      <c r="CB2155" s="132"/>
      <c r="CD2155" s="63">
        <v>0</v>
      </c>
      <c r="CE2155" s="63">
        <v>0</v>
      </c>
      <c r="CF2155" s="63">
        <v>0</v>
      </c>
      <c r="CG2155" s="8">
        <v>1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</row>
    <row r="2156" spans="1:90" hidden="1" outlineLevel="1">
      <c r="A2156" t="s">
        <v>2189</v>
      </c>
      <c r="B2156" t="s">
        <v>995</v>
      </c>
      <c r="C2156" s="1">
        <f t="shared" si="885"/>
        <v>82937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7</v>
      </c>
      <c r="G2156" s="132">
        <f t="shared" si="882"/>
        <v>19597</v>
      </c>
      <c r="H2156" s="137">
        <f t="shared" si="883"/>
        <v>0.23628778470405248</v>
      </c>
      <c r="I2156" s="2"/>
      <c r="J2156" s="2">
        <f t="shared" si="886"/>
        <v>0.34897572856505538</v>
      </c>
      <c r="K2156" s="2">
        <f t="shared" si="887"/>
        <v>0.58526351326910786</v>
      </c>
      <c r="L2156" s="2">
        <f t="shared" si="888"/>
        <v>1.2177918178858651E-3</v>
      </c>
      <c r="M2156" s="2">
        <f t="shared" si="889"/>
        <v>6.4542966347950842E-2</v>
      </c>
      <c r="N2156" s="63">
        <v>28943</v>
      </c>
      <c r="O2156" s="63">
        <v>48540</v>
      </c>
      <c r="P2156" s="63">
        <v>101</v>
      </c>
      <c r="Q2156" s="63">
        <v>3277</v>
      </c>
      <c r="R2156" s="63">
        <v>680</v>
      </c>
      <c r="S2156" s="63">
        <v>9</v>
      </c>
      <c r="T2156" s="63"/>
      <c r="U2156" s="63"/>
      <c r="V2156" s="63"/>
      <c r="W2156" s="63">
        <f>IF(Copyright!B$11=1,IF(CA2156&gt;0,CA2156-P2156-SUM(S2156:V2156)-SUM(X2156:Y2156)-SUM(AA2156:AT2156),SUM(CB2156:CM2156)),SUM(CB2156:CM2156))</f>
        <v>1079</v>
      </c>
      <c r="X2156" s="63"/>
      <c r="Y2156" s="63">
        <v>0</v>
      </c>
      <c r="Z2156" s="63">
        <v>302</v>
      </c>
      <c r="AA2156" s="63">
        <v>0</v>
      </c>
      <c r="AB2156" s="63"/>
      <c r="AC2156" s="63"/>
      <c r="AD2156" s="63"/>
      <c r="AE2156" s="63">
        <v>0</v>
      </c>
      <c r="AF2156" s="63"/>
      <c r="AG2156" s="63">
        <v>0</v>
      </c>
      <c r="AH2156" s="63"/>
      <c r="AI2156" s="8"/>
      <c r="AJ2156" s="63"/>
      <c r="AK2156" s="63"/>
      <c r="AL2156" s="63"/>
      <c r="AM2156" s="63">
        <v>0</v>
      </c>
      <c r="AN2156" s="63">
        <v>5</v>
      </c>
      <c r="AO2156" s="63"/>
      <c r="AP2156" s="63"/>
      <c r="AQ2156" s="63">
        <v>1</v>
      </c>
      <c r="AR2156" s="63"/>
      <c r="AS2156" s="63"/>
      <c r="AT2156" s="63"/>
      <c r="AU2156" s="63"/>
      <c r="AW2156" s="5">
        <f>IF(Q2156&gt;0,RANK(Q2156,(N2156:P2156,Q2156:AE2156)),0)</f>
        <v>3</v>
      </c>
      <c r="AX2156" s="5">
        <f>IF(R2156&gt;0,RANK(R2156,(N2156:P2156,Q2156:AE2156)),0)</f>
        <v>5</v>
      </c>
      <c r="AY2156" s="5">
        <f>IF(T2156&gt;0,RANK(T2156,(N2156:P2156,Q2156:AE2156)),0)</f>
        <v>0</v>
      </c>
      <c r="AZ2156" s="5">
        <f>IF(S2156&gt;0,RANK(S2156,(N2156:P2156,Q2156:AE2156)),0)</f>
        <v>8</v>
      </c>
      <c r="BA2156" s="2">
        <f t="shared" si="890"/>
        <v>3.9511918685267128E-2</v>
      </c>
      <c r="BB2156" s="2">
        <f t="shared" si="891"/>
        <v>8.1989944174493887E-3</v>
      </c>
      <c r="BC2156" s="2">
        <f t="shared" si="892"/>
        <v>0</v>
      </c>
      <c r="BD2156" s="2">
        <f t="shared" si="893"/>
        <v>1.0851610258388898E-4</v>
      </c>
      <c r="BF2156" t="s">
        <v>2189</v>
      </c>
      <c r="BG2156" t="s">
        <v>995</v>
      </c>
      <c r="BH2156">
        <v>10</v>
      </c>
      <c r="BJ2156" s="114">
        <v>39</v>
      </c>
      <c r="BK2156" s="116">
        <v>57</v>
      </c>
      <c r="BL2156" s="120">
        <f t="shared" si="895"/>
        <v>39057</v>
      </c>
      <c r="BN2156" s="5" t="s">
        <v>3154</v>
      </c>
      <c r="BR2156" s="63"/>
      <c r="BT2156" s="63"/>
      <c r="BY2156" s="63">
        <f t="shared" si="894"/>
        <v>0</v>
      </c>
      <c r="BZ2156" s="63">
        <v>82937</v>
      </c>
      <c r="CA2156" s="63">
        <v>1195</v>
      </c>
      <c r="CB2156" s="132"/>
      <c r="CD2156" s="63">
        <v>0</v>
      </c>
      <c r="CE2156" s="63">
        <v>0</v>
      </c>
      <c r="CF2156" s="63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</row>
    <row r="2157" spans="1:90" hidden="1" outlineLevel="1">
      <c r="A2157" t="s">
        <v>1133</v>
      </c>
      <c r="B2157" t="s">
        <v>995</v>
      </c>
      <c r="C2157" s="1">
        <f t="shared" si="885"/>
        <v>16647</v>
      </c>
      <c r="D2157" s="5">
        <f>IF(N2157&gt;0, RANK(N2157,(N2157:P2157,Q2157:AE2157)),0)</f>
        <v>2</v>
      </c>
      <c r="E2157" s="5">
        <f>IF(O2157&gt;0,RANK(O2157,(N2157:P2157,Q2157:AE2157)),0)</f>
        <v>1</v>
      </c>
      <c r="F2157" s="5">
        <f>IF(P2157&gt;0,RANK(P2157,(N2157:P2157,Q2157:AE2157)),0)</f>
        <v>8</v>
      </c>
      <c r="G2157" s="132">
        <f t="shared" si="882"/>
        <v>7086</v>
      </c>
      <c r="H2157" s="137">
        <f t="shared" si="883"/>
        <v>0.42566228149216073</v>
      </c>
      <c r="I2157" s="2"/>
      <c r="J2157" s="2">
        <f t="shared" si="886"/>
        <v>0.26184898179852223</v>
      </c>
      <c r="K2157" s="2">
        <f t="shared" si="887"/>
        <v>0.68751126329068302</v>
      </c>
      <c r="L2157" s="2">
        <f t="shared" si="888"/>
        <v>6.0070883642698381E-4</v>
      </c>
      <c r="M2157" s="2">
        <f t="shared" si="889"/>
        <v>5.0039046074367773E-2</v>
      </c>
      <c r="N2157" s="63">
        <v>4359</v>
      </c>
      <c r="O2157" s="63">
        <v>11445</v>
      </c>
      <c r="P2157" s="63">
        <v>10</v>
      </c>
      <c r="Q2157" s="63">
        <v>549</v>
      </c>
      <c r="R2157" s="63">
        <v>99</v>
      </c>
      <c r="S2157" s="63">
        <v>11</v>
      </c>
      <c r="T2157" s="63"/>
      <c r="U2157" s="63"/>
      <c r="V2157" s="63"/>
      <c r="W2157" s="63">
        <f>IF(Copyright!B$11=1,IF(CA2157&gt;0,CA2157-P2157-SUM(S2157:V2157)-SUM(X2157:Y2157)-SUM(AA2157:AT2157),SUM(CB2157:CM2157)),SUM(CB2157:CM2157))</f>
        <v>90</v>
      </c>
      <c r="X2157" s="63"/>
      <c r="Y2157" s="63">
        <v>0</v>
      </c>
      <c r="Z2157" s="63">
        <v>84</v>
      </c>
      <c r="AA2157" s="63">
        <v>0</v>
      </c>
      <c r="AB2157" s="63"/>
      <c r="AC2157" s="63"/>
      <c r="AD2157" s="63"/>
      <c r="AE2157" s="63">
        <v>0</v>
      </c>
      <c r="AF2157" s="63"/>
      <c r="AG2157" s="63">
        <v>0</v>
      </c>
      <c r="AH2157" s="63"/>
      <c r="AI2157" s="8"/>
      <c r="AJ2157" s="63"/>
      <c r="AK2157" s="63"/>
      <c r="AL2157" s="63"/>
      <c r="AM2157" s="63">
        <v>0</v>
      </c>
      <c r="AN2157" s="63">
        <v>0</v>
      </c>
      <c r="AO2157" s="63"/>
      <c r="AP2157" s="63"/>
      <c r="AQ2157" s="63">
        <v>0</v>
      </c>
      <c r="AR2157" s="63"/>
      <c r="AS2157" s="63"/>
      <c r="AT2157" s="63"/>
      <c r="AU2157" s="63"/>
      <c r="AW2157" s="5">
        <f>IF(Q2157&gt;0,RANK(Q2157,(N2157:P2157,Q2157:AE2157)),0)</f>
        <v>3</v>
      </c>
      <c r="AX2157" s="5">
        <f>IF(R2157&gt;0,RANK(R2157,(N2157:P2157,Q2157:AE2157)),0)</f>
        <v>4</v>
      </c>
      <c r="AY2157" s="5">
        <f>IF(T2157&gt;0,RANK(T2157,(N2157:P2157,Q2157:AE2157)),0)</f>
        <v>0</v>
      </c>
      <c r="AZ2157" s="5">
        <f>IF(S2157&gt;0,RANK(S2157,(N2157:P2157,Q2157:AE2157)),0)</f>
        <v>7</v>
      </c>
      <c r="BA2157" s="2">
        <f t="shared" si="890"/>
        <v>3.2978915119841412E-2</v>
      </c>
      <c r="BB2157" s="2">
        <f t="shared" si="891"/>
        <v>5.9470174806271403E-3</v>
      </c>
      <c r="BC2157" s="2">
        <f t="shared" si="892"/>
        <v>0</v>
      </c>
      <c r="BD2157" s="2">
        <f t="shared" si="893"/>
        <v>6.6077972006968228E-4</v>
      </c>
      <c r="BF2157" t="s">
        <v>1133</v>
      </c>
      <c r="BG2157" t="s">
        <v>995</v>
      </c>
      <c r="BH2157">
        <v>6</v>
      </c>
      <c r="BJ2157" s="114">
        <v>39</v>
      </c>
      <c r="BK2157" s="116">
        <v>59</v>
      </c>
      <c r="BL2157" s="120">
        <f t="shared" si="895"/>
        <v>39059</v>
      </c>
      <c r="BN2157" s="5" t="s">
        <v>3154</v>
      </c>
      <c r="BR2157" s="63"/>
      <c r="BT2157" s="63"/>
      <c r="BY2157" s="63">
        <f t="shared" si="894"/>
        <v>0</v>
      </c>
      <c r="BZ2157" s="63">
        <v>16647</v>
      </c>
      <c r="CA2157" s="63">
        <v>111</v>
      </c>
      <c r="CB2157" s="132"/>
      <c r="CD2157" s="63">
        <v>0</v>
      </c>
      <c r="CE2157" s="63">
        <v>0</v>
      </c>
      <c r="CF2157" s="63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</row>
    <row r="2158" spans="1:90" hidden="1" outlineLevel="1">
      <c r="A2158" t="s">
        <v>2646</v>
      </c>
      <c r="B2158" t="s">
        <v>995</v>
      </c>
      <c r="C2158" s="1">
        <f t="shared" si="885"/>
        <v>409109</v>
      </c>
      <c r="D2158" s="5">
        <f>IF(N2158&gt;0, RANK(N2158,(N2158:P2158,Q2158:AE2158)),0)</f>
        <v>1</v>
      </c>
      <c r="E2158" s="5">
        <f>IF(O2158&gt;0,RANK(O2158,(N2158:P2158,Q2158:AE2158)),0)</f>
        <v>2</v>
      </c>
      <c r="F2158" s="5">
        <f>IF(P2158&gt;0,RANK(P2158,(N2158:P2158,Q2158:AE2158)),0)</f>
        <v>5</v>
      </c>
      <c r="G2158" s="132">
        <f t="shared" si="882"/>
        <v>42054</v>
      </c>
      <c r="H2158" s="137">
        <f t="shared" si="883"/>
        <v>0.10279412088220988</v>
      </c>
      <c r="I2158" s="2"/>
      <c r="J2158" s="2">
        <f t="shared" si="886"/>
        <v>0.52728979318470137</v>
      </c>
      <c r="K2158" s="2">
        <f t="shared" si="887"/>
        <v>0.42449567230249152</v>
      </c>
      <c r="L2158" s="2">
        <f t="shared" si="888"/>
        <v>3.3658511545822749E-3</v>
      </c>
      <c r="M2158" s="2">
        <f t="shared" si="889"/>
        <v>4.4848683358224832E-2</v>
      </c>
      <c r="N2158" s="63">
        <v>215719</v>
      </c>
      <c r="O2158" s="63">
        <v>173665</v>
      </c>
      <c r="P2158" s="63">
        <v>1377</v>
      </c>
      <c r="Q2158" s="63">
        <v>13200</v>
      </c>
      <c r="R2158" s="63">
        <v>3723</v>
      </c>
      <c r="S2158" s="63">
        <v>98</v>
      </c>
      <c r="T2158" s="63"/>
      <c r="U2158" s="63"/>
      <c r="V2158" s="63"/>
      <c r="W2158" s="63">
        <f>IF(Copyright!B$11=1,IF(CA2158&gt;0,CA2158-P2158-SUM(S2158:V2158)-SUM(X2158:Y2158)-SUM(AA2158:AT2158),SUM(CB2158:CM2158)),SUM(CB2158:CM2158))</f>
        <v>23</v>
      </c>
      <c r="X2158" s="63"/>
      <c r="Y2158" s="63">
        <v>18</v>
      </c>
      <c r="Z2158" s="63">
        <v>1211</v>
      </c>
      <c r="AA2158" s="63">
        <v>1</v>
      </c>
      <c r="AB2158" s="63"/>
      <c r="AC2158" s="63"/>
      <c r="AD2158" s="63"/>
      <c r="AE2158" s="63">
        <v>6</v>
      </c>
      <c r="AF2158" s="63"/>
      <c r="AG2158" s="63">
        <v>2</v>
      </c>
      <c r="AH2158" s="63"/>
      <c r="AI2158" s="8"/>
      <c r="AJ2158" s="63"/>
      <c r="AK2158" s="63"/>
      <c r="AL2158" s="63"/>
      <c r="AM2158" s="63">
        <v>0</v>
      </c>
      <c r="AN2158" s="63">
        <v>64</v>
      </c>
      <c r="AO2158" s="63"/>
      <c r="AP2158" s="63"/>
      <c r="AQ2158" s="63">
        <v>2</v>
      </c>
      <c r="AR2158" s="63"/>
      <c r="AS2158" s="63"/>
      <c r="AT2158" s="63"/>
      <c r="AU2158" s="63"/>
      <c r="AW2158" s="5">
        <f>IF(Q2158&gt;0,RANK(Q2158,(N2158:P2158,Q2158:AE2158)),0)</f>
        <v>3</v>
      </c>
      <c r="AX2158" s="5">
        <f>IF(R2158&gt;0,RANK(R2158,(N2158:P2158,Q2158:AE2158)),0)</f>
        <v>4</v>
      </c>
      <c r="AY2158" s="5">
        <f>IF(T2158&gt;0,RANK(T2158,(N2158:P2158,Q2158:AE2158)),0)</f>
        <v>0</v>
      </c>
      <c r="AZ2158" s="5">
        <f>IF(S2158&gt;0,RANK(S2158,(N2158:P2158,Q2158:AE2158)),0)</f>
        <v>7</v>
      </c>
      <c r="BA2158" s="2">
        <f t="shared" si="890"/>
        <v>3.2265239826061026E-2</v>
      </c>
      <c r="BB2158" s="2">
        <f t="shared" si="891"/>
        <v>9.1002642327594838E-3</v>
      </c>
      <c r="BC2158" s="2">
        <f t="shared" si="892"/>
        <v>0</v>
      </c>
      <c r="BD2158" s="2">
        <f t="shared" si="893"/>
        <v>2.3954496234499851E-4</v>
      </c>
      <c r="BF2158" t="s">
        <v>2646</v>
      </c>
      <c r="BG2158" t="s">
        <v>995</v>
      </c>
      <c r="BJ2158" s="114">
        <v>39</v>
      </c>
      <c r="BK2158" s="116">
        <v>61</v>
      </c>
      <c r="BL2158" s="120">
        <f t="shared" si="895"/>
        <v>39061</v>
      </c>
      <c r="BN2158" s="5" t="s">
        <v>3154</v>
      </c>
      <c r="BO2158" s="63">
        <v>7705</v>
      </c>
      <c r="BP2158" s="63">
        <v>642</v>
      </c>
      <c r="BR2158" s="63"/>
      <c r="BT2158" s="63"/>
      <c r="BY2158" s="63">
        <f t="shared" si="894"/>
        <v>0</v>
      </c>
      <c r="BZ2158" s="63">
        <v>417456</v>
      </c>
      <c r="CA2158" s="63">
        <f>1377+98+64+18+10+12+12</f>
        <v>1591</v>
      </c>
      <c r="CB2158" s="132"/>
      <c r="CD2158" s="63">
        <v>0</v>
      </c>
      <c r="CE2158" s="63">
        <v>0</v>
      </c>
      <c r="CF2158" s="63">
        <v>0</v>
      </c>
      <c r="CG2158" s="8">
        <v>6</v>
      </c>
      <c r="CH2158" s="8">
        <v>0</v>
      </c>
      <c r="CI2158" s="8">
        <v>10</v>
      </c>
      <c r="CJ2158" s="8">
        <v>5</v>
      </c>
      <c r="CK2158" s="8">
        <v>1</v>
      </c>
      <c r="CL2158" s="8">
        <v>1</v>
      </c>
    </row>
    <row r="2159" spans="1:90" hidden="1" outlineLevel="1">
      <c r="A2159" t="s">
        <v>597</v>
      </c>
      <c r="B2159" t="s">
        <v>995</v>
      </c>
      <c r="C2159" s="1">
        <f t="shared" si="885"/>
        <v>36234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7</v>
      </c>
      <c r="G2159" s="132">
        <f t="shared" si="882"/>
        <v>14574</v>
      </c>
      <c r="H2159" s="137">
        <f t="shared" si="883"/>
        <v>0.40221891041563174</v>
      </c>
      <c r="I2159" s="2"/>
      <c r="J2159" s="2">
        <f t="shared" si="886"/>
        <v>0.26519291273389634</v>
      </c>
      <c r="K2159" s="2">
        <f t="shared" si="887"/>
        <v>0.66741182314952807</v>
      </c>
      <c r="L2159" s="2">
        <f t="shared" si="888"/>
        <v>2.6770436606502182E-3</v>
      </c>
      <c r="M2159" s="2">
        <f t="shared" si="889"/>
        <v>6.4718220455925374E-2</v>
      </c>
      <c r="N2159" s="63">
        <v>9609</v>
      </c>
      <c r="O2159" s="63">
        <v>24183</v>
      </c>
      <c r="P2159" s="63">
        <v>97</v>
      </c>
      <c r="Q2159" s="63">
        <v>1535</v>
      </c>
      <c r="R2159" s="63">
        <v>319</v>
      </c>
      <c r="S2159" s="63">
        <v>40</v>
      </c>
      <c r="T2159" s="63"/>
      <c r="U2159" s="63"/>
      <c r="V2159" s="63"/>
      <c r="W2159" s="63">
        <f>IF(Copyright!B$11=1,IF(CA2159&gt;0,CA2159-P2159-SUM(S2159:V2159)-SUM(X2159:Y2159)-SUM(AA2159:AT2159),SUM(CB2159:CM2159)),SUM(CB2159:CM2159))</f>
        <v>217</v>
      </c>
      <c r="X2159" s="63"/>
      <c r="Y2159" s="63">
        <v>5</v>
      </c>
      <c r="Z2159" s="63">
        <v>217</v>
      </c>
      <c r="AA2159" s="63">
        <v>0</v>
      </c>
      <c r="AB2159" s="63"/>
      <c r="AC2159" s="63"/>
      <c r="AD2159" s="63"/>
      <c r="AE2159" s="63">
        <v>1</v>
      </c>
      <c r="AF2159" s="63"/>
      <c r="AG2159" s="63">
        <v>4</v>
      </c>
      <c r="AH2159" s="63"/>
      <c r="AI2159" s="8"/>
      <c r="AJ2159" s="63"/>
      <c r="AK2159" s="63"/>
      <c r="AL2159" s="63"/>
      <c r="AM2159" s="63">
        <v>0</v>
      </c>
      <c r="AN2159" s="63">
        <v>7</v>
      </c>
      <c r="AO2159" s="63"/>
      <c r="AP2159" s="63"/>
      <c r="AQ2159" s="63">
        <v>0</v>
      </c>
      <c r="AR2159" s="63"/>
      <c r="AS2159" s="63"/>
      <c r="AT2159" s="63"/>
      <c r="AU2159" s="63"/>
      <c r="AW2159" s="5">
        <f>IF(Q2159&gt;0,RANK(Q2159,(N2159:P2159,Q2159:AE2159)),0)</f>
        <v>3</v>
      </c>
      <c r="AX2159" s="5">
        <f>IF(R2159&gt;0,RANK(R2159,(N2159:P2159,Q2159:AE2159)),0)</f>
        <v>4</v>
      </c>
      <c r="AY2159" s="5">
        <f>IF(T2159&gt;0,RANK(T2159,(N2159:P2159,Q2159:AE2159)),0)</f>
        <v>0</v>
      </c>
      <c r="AZ2159" s="5">
        <f>IF(S2159&gt;0,RANK(S2159,(N2159:P2159,Q2159:AE2159)),0)</f>
        <v>8</v>
      </c>
      <c r="BA2159" s="2">
        <f t="shared" si="890"/>
        <v>4.2363525970083346E-2</v>
      </c>
      <c r="BB2159" s="2">
        <f t="shared" si="891"/>
        <v>8.8038858530661811E-3</v>
      </c>
      <c r="BC2159" s="2">
        <f t="shared" si="892"/>
        <v>0</v>
      </c>
      <c r="BD2159" s="2">
        <f t="shared" si="893"/>
        <v>1.1039355301650383E-3</v>
      </c>
      <c r="BF2159" t="s">
        <v>597</v>
      </c>
      <c r="BG2159" t="s">
        <v>995</v>
      </c>
      <c r="BH2159">
        <v>5</v>
      </c>
      <c r="BJ2159" s="114">
        <v>39</v>
      </c>
      <c r="BK2159" s="116">
        <v>63</v>
      </c>
      <c r="BL2159" s="120">
        <f t="shared" si="895"/>
        <v>39063</v>
      </c>
      <c r="BN2159" s="5" t="s">
        <v>3154</v>
      </c>
      <c r="BR2159" s="63"/>
      <c r="BT2159" s="63"/>
      <c r="BY2159" s="63">
        <f t="shared" si="894"/>
        <v>0</v>
      </c>
      <c r="BZ2159" s="63">
        <v>36234</v>
      </c>
      <c r="CA2159" s="63">
        <f>211+4+97+7+5+5+1+40+1</f>
        <v>371</v>
      </c>
      <c r="CB2159" s="132"/>
      <c r="CD2159" s="63">
        <v>1</v>
      </c>
      <c r="CE2159" s="63">
        <v>0</v>
      </c>
      <c r="CF2159" s="63">
        <v>0</v>
      </c>
      <c r="CG2159" s="8">
        <v>1</v>
      </c>
      <c r="CH2159" s="8">
        <v>0</v>
      </c>
      <c r="CI2159" s="8">
        <v>0</v>
      </c>
      <c r="CJ2159" s="8">
        <v>4</v>
      </c>
      <c r="CK2159" s="8">
        <v>0</v>
      </c>
      <c r="CL2159" s="8">
        <v>0</v>
      </c>
    </row>
    <row r="2160" spans="1:90" hidden="1" outlineLevel="1">
      <c r="A2160" t="s">
        <v>1648</v>
      </c>
      <c r="B2160" t="s">
        <v>995</v>
      </c>
      <c r="C2160" s="1">
        <f t="shared" ref="C2160:C2191" si="896">SUM(N2160:AU2160)</f>
        <v>12354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7</v>
      </c>
      <c r="G2160" s="132">
        <f t="shared" si="882"/>
        <v>5797</v>
      </c>
      <c r="H2160" s="137">
        <f t="shared" si="883"/>
        <v>0.46924073174680264</v>
      </c>
      <c r="I2160" s="2"/>
      <c r="J2160" s="2">
        <f t="shared" ref="J2160:J2191" si="897">IF($C2160=0,"-",N2160/$C2160)</f>
        <v>0.23636069289299014</v>
      </c>
      <c r="K2160" s="2">
        <f t="shared" ref="K2160:K2191" si="898">IF($C2160=0,"-",O2160/$C2160)</f>
        <v>0.70560142463979281</v>
      </c>
      <c r="L2160" s="2">
        <f t="shared" ref="L2160:L2191" si="899">IF($C2160=0,"-",P2160/$C2160)</f>
        <v>2.104581512060871E-3</v>
      </c>
      <c r="M2160" s="2">
        <f t="shared" ref="M2160:M2191" si="900">IF(C2160=0,"-",(1-J2160-K2160-L2160))</f>
        <v>5.5933300955156209E-2</v>
      </c>
      <c r="N2160" s="63">
        <v>2920</v>
      </c>
      <c r="O2160" s="63">
        <v>8717</v>
      </c>
      <c r="P2160" s="63">
        <v>26</v>
      </c>
      <c r="Q2160" s="63">
        <v>465</v>
      </c>
      <c r="R2160" s="63">
        <v>80</v>
      </c>
      <c r="S2160" s="63">
        <v>1</v>
      </c>
      <c r="T2160" s="63"/>
      <c r="U2160" s="63"/>
      <c r="V2160" s="63"/>
      <c r="W2160" s="63">
        <f>IF(Copyright!B$11=1,IF(CA2160&gt;0,CA2160-P2160-SUM(S2160:V2160)-SUM(X2160:Y2160)-SUM(AA2160:AT2160),SUM(CB2160:CM2160)),SUM(CB2160:CM2160))</f>
        <v>63</v>
      </c>
      <c r="X2160" s="63"/>
      <c r="Y2160" s="63">
        <v>1</v>
      </c>
      <c r="Z2160" s="63">
        <v>79</v>
      </c>
      <c r="AA2160" s="63">
        <v>0</v>
      </c>
      <c r="AB2160" s="63"/>
      <c r="AC2160" s="63"/>
      <c r="AD2160" s="63"/>
      <c r="AE2160" s="63">
        <v>0</v>
      </c>
      <c r="AF2160" s="63"/>
      <c r="AG2160" s="63">
        <v>0</v>
      </c>
      <c r="AH2160" s="63"/>
      <c r="AI2160" s="8"/>
      <c r="AJ2160" s="63"/>
      <c r="AK2160" s="63"/>
      <c r="AL2160" s="63"/>
      <c r="AM2160" s="63">
        <v>0</v>
      </c>
      <c r="AN2160" s="63">
        <v>0</v>
      </c>
      <c r="AO2160" s="63"/>
      <c r="AP2160" s="63"/>
      <c r="AQ2160" s="63">
        <v>2</v>
      </c>
      <c r="AR2160" s="63"/>
      <c r="AS2160" s="63"/>
      <c r="AT2160" s="63"/>
      <c r="AU2160" s="63"/>
      <c r="AW2160" s="5">
        <f>IF(Q2160&gt;0,RANK(Q2160,(N2160:P2160,Q2160:AE2160)),0)</f>
        <v>3</v>
      </c>
      <c r="AX2160" s="5">
        <f>IF(R2160&gt;0,RANK(R2160,(N2160:P2160,Q2160:AE2160)),0)</f>
        <v>4</v>
      </c>
      <c r="AY2160" s="5">
        <f>IF(T2160&gt;0,RANK(T2160,(N2160:P2160,Q2160:AE2160)),0)</f>
        <v>0</v>
      </c>
      <c r="AZ2160" s="5">
        <f>IF(S2160&gt;0,RANK(S2160,(N2160:P2160,Q2160:AE2160)),0)</f>
        <v>8</v>
      </c>
      <c r="BA2160" s="2">
        <f t="shared" ref="BA2160:BA2191" si="901">IF($C2160=0,"-",Q2160/$C2160)</f>
        <v>3.7639630888780959E-2</v>
      </c>
      <c r="BB2160" s="2">
        <f t="shared" ref="BB2160:BB2191" si="902">IF($C2160=0,"-",R2160/$C2160)</f>
        <v>6.4756354217257572E-3</v>
      </c>
      <c r="BC2160" s="2">
        <f t="shared" ref="BC2160:BC2191" si="903">IF($C2160=0,"-",T2160/$C2160)</f>
        <v>0</v>
      </c>
      <c r="BD2160" s="2">
        <f t="shared" ref="BD2160:BD2191" si="904">IF($C2160=0,"-",S2160/$C2160)</f>
        <v>8.0945442771571962E-5</v>
      </c>
      <c r="BF2160" t="s">
        <v>1648</v>
      </c>
      <c r="BG2160" t="s">
        <v>995</v>
      </c>
      <c r="BH2160">
        <v>5</v>
      </c>
      <c r="BJ2160" s="114">
        <v>39</v>
      </c>
      <c r="BK2160" s="116">
        <v>65</v>
      </c>
      <c r="BL2160" s="120">
        <f t="shared" si="895"/>
        <v>39065</v>
      </c>
      <c r="BN2160" s="5" t="s">
        <v>3154</v>
      </c>
      <c r="BR2160" s="63"/>
      <c r="BT2160" s="63"/>
      <c r="BY2160" s="63">
        <f t="shared" si="894"/>
        <v>0</v>
      </c>
      <c r="BZ2160" s="63">
        <v>12354</v>
      </c>
      <c r="CA2160" s="63">
        <f>60+5+26+2</f>
        <v>93</v>
      </c>
      <c r="CB2160" s="132"/>
      <c r="CD2160" s="63">
        <v>0</v>
      </c>
      <c r="CE2160" s="63">
        <v>0</v>
      </c>
      <c r="CF2160" s="63">
        <v>0</v>
      </c>
      <c r="CG2160" s="8">
        <v>0</v>
      </c>
      <c r="CH2160" s="8">
        <v>0</v>
      </c>
      <c r="CI2160" s="8">
        <v>0</v>
      </c>
      <c r="CJ2160" s="8">
        <v>3</v>
      </c>
      <c r="CK2160" s="8">
        <v>0</v>
      </c>
      <c r="CL2160" s="8">
        <v>0</v>
      </c>
    </row>
    <row r="2161" spans="1:90" hidden="1" outlineLevel="1">
      <c r="A2161" t="s">
        <v>875</v>
      </c>
      <c r="B2161" t="s">
        <v>995</v>
      </c>
      <c r="C2161" s="1">
        <f t="shared" si="896"/>
        <v>7105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7</v>
      </c>
      <c r="G2161" s="132">
        <f t="shared" si="882"/>
        <v>3410</v>
      </c>
      <c r="H2161" s="137">
        <f t="shared" si="883"/>
        <v>0.47994370161857847</v>
      </c>
      <c r="I2161" s="2"/>
      <c r="J2161" s="2">
        <f t="shared" si="897"/>
        <v>0.23757916959887404</v>
      </c>
      <c r="K2161" s="2">
        <f t="shared" si="898"/>
        <v>0.71752287121745251</v>
      </c>
      <c r="L2161" s="2">
        <f t="shared" si="899"/>
        <v>8.4447572132301198E-4</v>
      </c>
      <c r="M2161" s="2">
        <f t="shared" si="900"/>
        <v>4.405348346235044E-2</v>
      </c>
      <c r="N2161" s="63">
        <v>1688</v>
      </c>
      <c r="O2161" s="63">
        <v>5098</v>
      </c>
      <c r="P2161" s="63">
        <v>6</v>
      </c>
      <c r="Q2161" s="63">
        <v>178</v>
      </c>
      <c r="R2161" s="63">
        <v>53</v>
      </c>
      <c r="S2161" s="63">
        <v>2</v>
      </c>
      <c r="T2161" s="63"/>
      <c r="U2161" s="63"/>
      <c r="V2161" s="63"/>
      <c r="W2161" s="63">
        <f>IF(Copyright!B$11=1,IF(CA2161&gt;0,CA2161-P2161-SUM(S2161:V2161)-SUM(X2161:Y2161)-SUM(AA2161:AT2161),SUM(CB2161:CM2161)),SUM(CB2161:CM2161))</f>
        <v>27</v>
      </c>
      <c r="X2161" s="63"/>
      <c r="Y2161" s="63">
        <v>0</v>
      </c>
      <c r="Z2161" s="63">
        <v>50</v>
      </c>
      <c r="AA2161" s="63">
        <v>0</v>
      </c>
      <c r="AB2161" s="63"/>
      <c r="AC2161" s="63"/>
      <c r="AD2161" s="63"/>
      <c r="AE2161" s="63">
        <v>0</v>
      </c>
      <c r="AF2161" s="63"/>
      <c r="AG2161" s="63">
        <v>0</v>
      </c>
      <c r="AH2161" s="63"/>
      <c r="AI2161" s="8"/>
      <c r="AJ2161" s="63"/>
      <c r="AK2161" s="63"/>
      <c r="AL2161" s="63"/>
      <c r="AM2161" s="63">
        <v>0</v>
      </c>
      <c r="AN2161" s="63">
        <v>2</v>
      </c>
      <c r="AO2161" s="63"/>
      <c r="AP2161" s="63"/>
      <c r="AQ2161" s="63">
        <v>1</v>
      </c>
      <c r="AR2161" s="63"/>
      <c r="AS2161" s="63"/>
      <c r="AT2161" s="63"/>
      <c r="AU2161" s="63"/>
      <c r="AW2161" s="5">
        <f>IF(Q2161&gt;0,RANK(Q2161,(N2161:P2161,Q2161:AE2161)),0)</f>
        <v>3</v>
      </c>
      <c r="AX2161" s="5">
        <f>IF(R2161&gt;0,RANK(R2161,(N2161:P2161,Q2161:AE2161)),0)</f>
        <v>4</v>
      </c>
      <c r="AY2161" s="5">
        <f>IF(T2161&gt;0,RANK(T2161,(N2161:P2161,Q2161:AE2161)),0)</f>
        <v>0</v>
      </c>
      <c r="AZ2161" s="5">
        <f>IF(S2161&gt;0,RANK(S2161,(N2161:P2161,Q2161:AE2161)),0)</f>
        <v>8</v>
      </c>
      <c r="BA2161" s="2">
        <f t="shared" si="901"/>
        <v>2.505277973258269E-2</v>
      </c>
      <c r="BB2161" s="2">
        <f t="shared" si="902"/>
        <v>7.4595355383532723E-3</v>
      </c>
      <c r="BC2161" s="2">
        <f t="shared" si="903"/>
        <v>0</v>
      </c>
      <c r="BD2161" s="2">
        <f t="shared" si="904"/>
        <v>2.8149190710767064E-4</v>
      </c>
      <c r="BF2161" t="s">
        <v>875</v>
      </c>
      <c r="BG2161" t="s">
        <v>995</v>
      </c>
      <c r="BH2161">
        <v>6</v>
      </c>
      <c r="BJ2161" s="114">
        <v>39</v>
      </c>
      <c r="BK2161" s="116">
        <v>67</v>
      </c>
      <c r="BL2161" s="120">
        <f t="shared" si="895"/>
        <v>39067</v>
      </c>
      <c r="BN2161" s="5" t="s">
        <v>3154</v>
      </c>
      <c r="BR2161" s="63"/>
      <c r="BT2161" s="63"/>
      <c r="BY2161" s="63">
        <f t="shared" si="894"/>
        <v>0</v>
      </c>
      <c r="BZ2161" s="63">
        <v>7105</v>
      </c>
      <c r="CA2161" s="63">
        <v>38</v>
      </c>
      <c r="CB2161" s="132"/>
      <c r="CD2161" s="63">
        <v>0</v>
      </c>
      <c r="CE2161" s="63">
        <v>0</v>
      </c>
      <c r="CF2161" s="63">
        <v>0</v>
      </c>
      <c r="CG2161" s="8">
        <v>0</v>
      </c>
      <c r="CH2161" s="8">
        <v>0</v>
      </c>
      <c r="CI2161" s="8">
        <v>0</v>
      </c>
      <c r="CJ2161" s="8">
        <v>1</v>
      </c>
      <c r="CK2161" s="8">
        <v>0</v>
      </c>
      <c r="CL2161" s="8">
        <v>0</v>
      </c>
    </row>
    <row r="2162" spans="1:90" hidden="1" outlineLevel="1">
      <c r="A2162" t="s">
        <v>3123</v>
      </c>
      <c r="B2162" t="s">
        <v>995</v>
      </c>
      <c r="C2162" s="1">
        <f t="shared" si="896"/>
        <v>14053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7</v>
      </c>
      <c r="G2162" s="132">
        <f t="shared" si="882"/>
        <v>5545</v>
      </c>
      <c r="H2162" s="137">
        <f t="shared" si="883"/>
        <v>0.39457767024834556</v>
      </c>
      <c r="I2162" s="2"/>
      <c r="J2162" s="2">
        <f t="shared" si="897"/>
        <v>0.26727389169572335</v>
      </c>
      <c r="K2162" s="2">
        <f t="shared" si="898"/>
        <v>0.66185156194406891</v>
      </c>
      <c r="L2162" s="2">
        <f t="shared" si="899"/>
        <v>2.134775492777343E-4</v>
      </c>
      <c r="M2162" s="2">
        <f t="shared" si="900"/>
        <v>7.0661068810929997E-2</v>
      </c>
      <c r="N2162" s="63">
        <v>3756</v>
      </c>
      <c r="O2162" s="63">
        <v>9301</v>
      </c>
      <c r="P2162" s="63">
        <v>3</v>
      </c>
      <c r="Q2162" s="63">
        <v>659</v>
      </c>
      <c r="R2162" s="63">
        <v>111</v>
      </c>
      <c r="S2162" s="63">
        <v>1</v>
      </c>
      <c r="T2162" s="63"/>
      <c r="U2162" s="63"/>
      <c r="V2162" s="63"/>
      <c r="W2162" s="63">
        <f>IF(Copyright!B$11=1,IF(CA2162&gt;0,CA2162-P2162-SUM(S2162:V2162)-SUM(X2162:Y2162)-SUM(AA2162:AT2162),SUM(CB2162:CM2162)),SUM(CB2162:CM2162))</f>
        <v>123</v>
      </c>
      <c r="X2162" s="63"/>
      <c r="Y2162" s="63">
        <v>0</v>
      </c>
      <c r="Z2162" s="63">
        <v>99</v>
      </c>
      <c r="AA2162" s="63">
        <v>0</v>
      </c>
      <c r="AB2162" s="63"/>
      <c r="AC2162" s="63"/>
      <c r="AD2162" s="63"/>
      <c r="AE2162" s="63">
        <v>0</v>
      </c>
      <c r="AF2162" s="63"/>
      <c r="AG2162" s="63">
        <v>0</v>
      </c>
      <c r="AH2162" s="63"/>
      <c r="AI2162" s="8"/>
      <c r="AJ2162" s="63"/>
      <c r="AK2162" s="63"/>
      <c r="AL2162" s="63"/>
      <c r="AM2162" s="63">
        <v>0</v>
      </c>
      <c r="AN2162" s="63">
        <v>0</v>
      </c>
      <c r="AO2162" s="63"/>
      <c r="AP2162" s="63"/>
      <c r="AQ2162" s="63">
        <v>0</v>
      </c>
      <c r="AR2162" s="63"/>
      <c r="AS2162" s="63"/>
      <c r="AT2162" s="63"/>
      <c r="AU2162" s="63"/>
      <c r="AW2162" s="5">
        <f>IF(Q2162&gt;0,RANK(Q2162,(N2162:P2162,Q2162:AE2162)),0)</f>
        <v>3</v>
      </c>
      <c r="AX2162" s="5">
        <f>IF(R2162&gt;0,RANK(R2162,(N2162:P2162,Q2162:AE2162)),0)</f>
        <v>5</v>
      </c>
      <c r="AY2162" s="5">
        <f>IF(T2162&gt;0,RANK(T2162,(N2162:P2162,Q2162:AE2162)),0)</f>
        <v>0</v>
      </c>
      <c r="AZ2162" s="5">
        <f>IF(S2162&gt;0,RANK(S2162,(N2162:P2162,Q2162:AE2162)),0)</f>
        <v>8</v>
      </c>
      <c r="BA2162" s="2">
        <f t="shared" si="901"/>
        <v>4.6893901658008968E-2</v>
      </c>
      <c r="BB2162" s="2">
        <f t="shared" si="902"/>
        <v>7.8986693232761685E-3</v>
      </c>
      <c r="BC2162" s="2">
        <f t="shared" si="903"/>
        <v>0</v>
      </c>
      <c r="BD2162" s="2">
        <f t="shared" si="904"/>
        <v>7.1159183092578101E-5</v>
      </c>
      <c r="BF2162" t="s">
        <v>3123</v>
      </c>
      <c r="BG2162" t="s">
        <v>995</v>
      </c>
      <c r="BH2162">
        <v>5</v>
      </c>
      <c r="BJ2162" s="114">
        <v>39</v>
      </c>
      <c r="BK2162" s="116">
        <v>69</v>
      </c>
      <c r="BL2162" s="120">
        <f t="shared" si="895"/>
        <v>39069</v>
      </c>
      <c r="BN2162" s="5" t="s">
        <v>3154</v>
      </c>
      <c r="BR2162" s="63"/>
      <c r="BT2162" s="63"/>
      <c r="BY2162" s="63">
        <f t="shared" si="894"/>
        <v>0</v>
      </c>
      <c r="BZ2162" s="63">
        <v>14053</v>
      </c>
      <c r="CA2162" s="63">
        <v>127</v>
      </c>
      <c r="CB2162" s="132"/>
      <c r="CD2162" s="63">
        <v>0</v>
      </c>
      <c r="CE2162" s="63">
        <v>0</v>
      </c>
      <c r="CF2162" s="63">
        <v>0</v>
      </c>
      <c r="CG2162" s="8">
        <v>0</v>
      </c>
      <c r="CH2162" s="8">
        <v>0</v>
      </c>
      <c r="CI2162" s="8">
        <v>0</v>
      </c>
      <c r="CJ2162" s="8">
        <v>2</v>
      </c>
      <c r="CK2162" s="8">
        <v>0</v>
      </c>
      <c r="CL2162" s="8">
        <v>0</v>
      </c>
    </row>
    <row r="2163" spans="1:90" hidden="1" outlineLevel="1">
      <c r="A2163" t="s">
        <v>1985</v>
      </c>
      <c r="B2163" t="s">
        <v>995</v>
      </c>
      <c r="C2163" s="1">
        <f t="shared" si="896"/>
        <v>18588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7</v>
      </c>
      <c r="G2163" s="132">
        <f t="shared" si="882"/>
        <v>10247</v>
      </c>
      <c r="H2163" s="137">
        <f t="shared" si="883"/>
        <v>0.55126963632451043</v>
      </c>
      <c r="I2163" s="2"/>
      <c r="J2163" s="2">
        <f t="shared" si="897"/>
        <v>0.2029804174736389</v>
      </c>
      <c r="K2163" s="2">
        <f t="shared" si="898"/>
        <v>0.75425005379814936</v>
      </c>
      <c r="L2163" s="2">
        <f t="shared" si="899"/>
        <v>1.6677426296535399E-3</v>
      </c>
      <c r="M2163" s="2">
        <f t="shared" si="900"/>
        <v>4.1101786098558177E-2</v>
      </c>
      <c r="N2163" s="63">
        <v>3773</v>
      </c>
      <c r="O2163" s="63">
        <v>14020</v>
      </c>
      <c r="P2163" s="63">
        <v>31</v>
      </c>
      <c r="Q2163" s="63">
        <v>473</v>
      </c>
      <c r="R2163" s="63">
        <v>103</v>
      </c>
      <c r="S2163" s="63">
        <v>9</v>
      </c>
      <c r="T2163" s="63"/>
      <c r="U2163" s="63"/>
      <c r="V2163" s="63"/>
      <c r="W2163" s="63">
        <f>IF(Copyright!B$11=1,IF(CA2163&gt;0,CA2163-P2163-SUM(S2163:V2163)-SUM(X2163:Y2163)-SUM(AA2163:AT2163),SUM(CB2163:CM2163)),SUM(CB2163:CM2163))</f>
        <v>87</v>
      </c>
      <c r="X2163" s="63"/>
      <c r="Y2163" s="63">
        <v>0</v>
      </c>
      <c r="Z2163" s="63">
        <v>92</v>
      </c>
      <c r="AA2163" s="63">
        <v>0</v>
      </c>
      <c r="AB2163" s="63"/>
      <c r="AC2163" s="63"/>
      <c r="AD2163" s="63"/>
      <c r="AE2163" s="63">
        <v>0</v>
      </c>
      <c r="AF2163" s="63"/>
      <c r="AG2163" s="63">
        <v>0</v>
      </c>
      <c r="AH2163" s="63"/>
      <c r="AI2163" s="8"/>
      <c r="AJ2163" s="63"/>
      <c r="AK2163" s="63"/>
      <c r="AL2163" s="63"/>
      <c r="AM2163" s="63">
        <v>0</v>
      </c>
      <c r="AN2163" s="63">
        <v>0</v>
      </c>
      <c r="AO2163" s="63"/>
      <c r="AP2163" s="63"/>
      <c r="AQ2163" s="63">
        <v>0</v>
      </c>
      <c r="AR2163" s="63"/>
      <c r="AS2163" s="63"/>
      <c r="AT2163" s="63"/>
      <c r="AU2163" s="63"/>
      <c r="AW2163" s="5">
        <f>IF(Q2163&gt;0,RANK(Q2163,(N2163:P2163,Q2163:AE2163)),0)</f>
        <v>3</v>
      </c>
      <c r="AX2163" s="5">
        <f>IF(R2163&gt;0,RANK(R2163,(N2163:P2163,Q2163:AE2163)),0)</f>
        <v>4</v>
      </c>
      <c r="AY2163" s="5">
        <f>IF(T2163&gt;0,RANK(T2163,(N2163:P2163,Q2163:AE2163)),0)</f>
        <v>0</v>
      </c>
      <c r="AZ2163" s="5">
        <f>IF(S2163&gt;0,RANK(S2163,(N2163:P2163,Q2163:AE2163)),0)</f>
        <v>8</v>
      </c>
      <c r="BA2163" s="2">
        <f t="shared" si="901"/>
        <v>2.5446524639552399E-2</v>
      </c>
      <c r="BB2163" s="2">
        <f t="shared" si="902"/>
        <v>5.5412093823972459E-3</v>
      </c>
      <c r="BC2163" s="2">
        <f t="shared" si="903"/>
        <v>0</v>
      </c>
      <c r="BD2163" s="2">
        <f t="shared" si="904"/>
        <v>4.8418334409296322E-4</v>
      </c>
      <c r="BF2163" t="s">
        <v>1985</v>
      </c>
      <c r="BG2163" t="s">
        <v>995</v>
      </c>
      <c r="BH2163">
        <v>2</v>
      </c>
      <c r="BJ2163" s="114">
        <v>39</v>
      </c>
      <c r="BK2163" s="116">
        <v>71</v>
      </c>
      <c r="BL2163" s="120">
        <f t="shared" si="895"/>
        <v>39071</v>
      </c>
      <c r="BN2163" s="5" t="s">
        <v>3154</v>
      </c>
      <c r="BR2163" s="63"/>
      <c r="BT2163" s="63"/>
      <c r="BY2163" s="63">
        <f t="shared" si="894"/>
        <v>0</v>
      </c>
      <c r="BZ2163" s="63">
        <v>18588</v>
      </c>
      <c r="CA2163" s="63">
        <v>127</v>
      </c>
      <c r="CB2163" s="132"/>
      <c r="CD2163" s="63">
        <v>0</v>
      </c>
      <c r="CE2163" s="63">
        <v>0</v>
      </c>
      <c r="CF2163" s="63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</row>
    <row r="2164" spans="1:90" hidden="1" outlineLevel="1">
      <c r="A2164" t="s">
        <v>2674</v>
      </c>
      <c r="B2164" t="s">
        <v>995</v>
      </c>
      <c r="C2164" s="1">
        <f t="shared" si="896"/>
        <v>12929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7</v>
      </c>
      <c r="G2164" s="132">
        <f t="shared" si="882"/>
        <v>4722</v>
      </c>
      <c r="H2164" s="137">
        <f t="shared" si="883"/>
        <v>0.36522546213937662</v>
      </c>
      <c r="I2164" s="2"/>
      <c r="J2164" s="2">
        <f t="shared" si="897"/>
        <v>0.29197927140536778</v>
      </c>
      <c r="K2164" s="2">
        <f t="shared" si="898"/>
        <v>0.6572047335447444</v>
      </c>
      <c r="L2164" s="2">
        <f t="shared" si="899"/>
        <v>1.0828370330265296E-3</v>
      </c>
      <c r="M2164" s="2">
        <f t="shared" si="900"/>
        <v>4.9733158016861345E-2</v>
      </c>
      <c r="N2164" s="63">
        <v>3775</v>
      </c>
      <c r="O2164" s="63">
        <v>8497</v>
      </c>
      <c r="P2164" s="63">
        <v>14</v>
      </c>
      <c r="Q2164" s="63">
        <v>367</v>
      </c>
      <c r="R2164" s="63">
        <v>90</v>
      </c>
      <c r="S2164" s="63">
        <v>6</v>
      </c>
      <c r="T2164" s="63"/>
      <c r="U2164" s="63"/>
      <c r="V2164" s="63"/>
      <c r="W2164" s="63">
        <f>IF(Copyright!B$11=1,IF(CA2164&gt;0,CA2164-P2164-SUM(S2164:V2164)-SUM(X2164:Y2164)-SUM(AA2164:AT2164),SUM(CB2164:CM2164)),SUM(CB2164:CM2164))</f>
        <v>92</v>
      </c>
      <c r="X2164" s="63"/>
      <c r="Y2164" s="63">
        <v>2</v>
      </c>
      <c r="Z2164" s="63">
        <v>82</v>
      </c>
      <c r="AA2164" s="63">
        <v>0</v>
      </c>
      <c r="AB2164" s="63"/>
      <c r="AC2164" s="63"/>
      <c r="AD2164" s="63"/>
      <c r="AE2164" s="63">
        <v>0</v>
      </c>
      <c r="AF2164" s="63"/>
      <c r="AG2164" s="63">
        <v>1</v>
      </c>
      <c r="AH2164" s="63"/>
      <c r="AI2164" s="8"/>
      <c r="AJ2164" s="63"/>
      <c r="AK2164" s="63"/>
      <c r="AL2164" s="63"/>
      <c r="AM2164" s="63">
        <v>0</v>
      </c>
      <c r="AN2164" s="63">
        <v>3</v>
      </c>
      <c r="AO2164" s="63"/>
      <c r="AP2164" s="63"/>
      <c r="AQ2164" s="63">
        <v>0</v>
      </c>
      <c r="AR2164" s="63"/>
      <c r="AS2164" s="63"/>
      <c r="AT2164" s="63"/>
      <c r="AU2164" s="63"/>
      <c r="AW2164" s="5">
        <f>IF(Q2164&gt;0,RANK(Q2164,(N2164:P2164,Q2164:AE2164)),0)</f>
        <v>3</v>
      </c>
      <c r="AX2164" s="5">
        <f>IF(R2164&gt;0,RANK(R2164,(N2164:P2164,Q2164:AE2164)),0)</f>
        <v>5</v>
      </c>
      <c r="AY2164" s="5">
        <f>IF(T2164&gt;0,RANK(T2164,(N2164:P2164,Q2164:AE2164)),0)</f>
        <v>0</v>
      </c>
      <c r="AZ2164" s="5">
        <f>IF(S2164&gt;0,RANK(S2164,(N2164:P2164,Q2164:AE2164)),0)</f>
        <v>8</v>
      </c>
      <c r="BA2164" s="2">
        <f t="shared" si="901"/>
        <v>2.8385799365766882E-2</v>
      </c>
      <c r="BB2164" s="2">
        <f t="shared" si="902"/>
        <v>6.9610952123134043E-3</v>
      </c>
      <c r="BC2164" s="2">
        <f t="shared" si="903"/>
        <v>0</v>
      </c>
      <c r="BD2164" s="2">
        <f t="shared" si="904"/>
        <v>4.6407301415422696E-4</v>
      </c>
      <c r="BF2164" t="s">
        <v>2674</v>
      </c>
      <c r="BG2164" t="s">
        <v>995</v>
      </c>
      <c r="BH2164">
        <v>15</v>
      </c>
      <c r="BJ2164" s="114">
        <v>39</v>
      </c>
      <c r="BK2164" s="116">
        <v>73</v>
      </c>
      <c r="BL2164" s="120">
        <f t="shared" si="895"/>
        <v>39073</v>
      </c>
      <c r="BN2164" s="5" t="s">
        <v>3154</v>
      </c>
      <c r="BR2164" s="63"/>
      <c r="BT2164" s="63"/>
      <c r="BY2164" s="63">
        <f t="shared" si="894"/>
        <v>0</v>
      </c>
      <c r="BZ2164" s="63">
        <v>12929</v>
      </c>
      <c r="CA2164" s="63">
        <v>118</v>
      </c>
      <c r="CB2164" s="132"/>
      <c r="CD2164" s="63">
        <v>0</v>
      </c>
      <c r="CE2164" s="63">
        <v>0</v>
      </c>
      <c r="CF2164" s="63">
        <v>0</v>
      </c>
      <c r="CG2164" s="8">
        <v>1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</row>
    <row r="2165" spans="1:90" hidden="1" outlineLevel="1">
      <c r="A2165" t="s">
        <v>1435</v>
      </c>
      <c r="B2165" t="s">
        <v>995</v>
      </c>
      <c r="C2165" s="1">
        <f t="shared" si="896"/>
        <v>11106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7</v>
      </c>
      <c r="G2165" s="132">
        <f t="shared" si="882"/>
        <v>6932</v>
      </c>
      <c r="H2165" s="137">
        <f t="shared" si="883"/>
        <v>0.62416711687376192</v>
      </c>
      <c r="I2165" s="2"/>
      <c r="J2165" s="2">
        <f t="shared" si="897"/>
        <v>0.16099405726634253</v>
      </c>
      <c r="K2165" s="2">
        <f t="shared" si="898"/>
        <v>0.78516117414010445</v>
      </c>
      <c r="L2165" s="2">
        <f t="shared" si="899"/>
        <v>3.5116153430578066E-3</v>
      </c>
      <c r="M2165" s="2">
        <f t="shared" si="900"/>
        <v>5.033315325049522E-2</v>
      </c>
      <c r="N2165" s="63">
        <v>1788</v>
      </c>
      <c r="O2165" s="63">
        <v>8720</v>
      </c>
      <c r="P2165" s="63">
        <v>39</v>
      </c>
      <c r="Q2165" s="63">
        <v>374</v>
      </c>
      <c r="R2165" s="63">
        <v>53</v>
      </c>
      <c r="S2165" s="63">
        <v>17</v>
      </c>
      <c r="T2165" s="63"/>
      <c r="U2165" s="63"/>
      <c r="V2165" s="63"/>
      <c r="W2165" s="63">
        <f>IF(Copyright!B$11=1,IF(CA2165&gt;0,CA2165-P2165-SUM(S2165:V2165)-SUM(X2165:Y2165)-SUM(AA2165:AT2165),SUM(CB2165:CM2165)),SUM(CB2165:CM2165))</f>
        <v>52</v>
      </c>
      <c r="X2165" s="63"/>
      <c r="Y2165" s="63">
        <v>0</v>
      </c>
      <c r="Z2165" s="63">
        <v>62</v>
      </c>
      <c r="AA2165" s="63">
        <v>0</v>
      </c>
      <c r="AB2165" s="63"/>
      <c r="AC2165" s="63"/>
      <c r="AD2165" s="63"/>
      <c r="AE2165" s="63">
        <v>0</v>
      </c>
      <c r="AF2165" s="63"/>
      <c r="AG2165" s="63">
        <v>1</v>
      </c>
      <c r="AH2165" s="63"/>
      <c r="AI2165" s="8"/>
      <c r="AJ2165" s="63"/>
      <c r="AK2165" s="63"/>
      <c r="AL2165" s="63"/>
      <c r="AM2165" s="63">
        <v>0</v>
      </c>
      <c r="AN2165" s="63">
        <v>0</v>
      </c>
      <c r="AO2165" s="63"/>
      <c r="AP2165" s="63"/>
      <c r="AQ2165" s="63">
        <v>0</v>
      </c>
      <c r="AR2165" s="63"/>
      <c r="AS2165" s="63"/>
      <c r="AT2165" s="63"/>
      <c r="AU2165" s="63"/>
      <c r="AW2165" s="5">
        <f>IF(Q2165&gt;0,RANK(Q2165,(N2165:P2165,Q2165:AE2165)),0)</f>
        <v>3</v>
      </c>
      <c r="AX2165" s="5">
        <f>IF(R2165&gt;0,RANK(R2165,(N2165:P2165,Q2165:AE2165)),0)</f>
        <v>5</v>
      </c>
      <c r="AY2165" s="5">
        <f>IF(T2165&gt;0,RANK(T2165,(N2165:P2165,Q2165:AE2165)),0)</f>
        <v>0</v>
      </c>
      <c r="AZ2165" s="5">
        <f>IF(S2165&gt;0,RANK(S2165,(N2165:P2165,Q2165:AE2165)),0)</f>
        <v>8</v>
      </c>
      <c r="BA2165" s="2">
        <f t="shared" si="901"/>
        <v>3.3675490725733837E-2</v>
      </c>
      <c r="BB2165" s="2">
        <f t="shared" si="902"/>
        <v>4.7721952097965065E-3</v>
      </c>
      <c r="BC2165" s="2">
        <f t="shared" si="903"/>
        <v>0</v>
      </c>
      <c r="BD2165" s="2">
        <f t="shared" si="904"/>
        <v>1.5307041238969926E-3</v>
      </c>
      <c r="BF2165" t="s">
        <v>1435</v>
      </c>
      <c r="BG2165" t="s">
        <v>995</v>
      </c>
      <c r="BH2165">
        <v>7</v>
      </c>
      <c r="BJ2165" s="114">
        <v>39</v>
      </c>
      <c r="BK2165" s="116">
        <v>75</v>
      </c>
      <c r="BL2165" s="120">
        <f t="shared" si="895"/>
        <v>39075</v>
      </c>
      <c r="BN2165" s="5" t="s">
        <v>3154</v>
      </c>
      <c r="BO2165" s="63">
        <v>543</v>
      </c>
      <c r="BP2165" s="63">
        <v>5</v>
      </c>
      <c r="BR2165" s="63"/>
      <c r="BT2165" s="63"/>
      <c r="BY2165" s="63">
        <f t="shared" si="894"/>
        <v>0</v>
      </c>
      <c r="BZ2165" s="63">
        <v>11654</v>
      </c>
      <c r="CA2165" s="63">
        <v>109</v>
      </c>
      <c r="CB2165" s="132"/>
      <c r="CD2165" s="63">
        <v>0</v>
      </c>
      <c r="CE2165" s="63">
        <v>0</v>
      </c>
      <c r="CF2165" s="63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</row>
    <row r="2166" spans="1:90" hidden="1" outlineLevel="1">
      <c r="A2166" t="s">
        <v>1925</v>
      </c>
      <c r="B2166" t="s">
        <v>995</v>
      </c>
      <c r="C2166" s="1">
        <f t="shared" si="896"/>
        <v>25002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7</v>
      </c>
      <c r="G2166" s="132">
        <f t="shared" si="882"/>
        <v>9034</v>
      </c>
      <c r="H2166" s="137">
        <f t="shared" si="883"/>
        <v>0.36133109351251902</v>
      </c>
      <c r="I2166" s="2"/>
      <c r="J2166" s="2">
        <f t="shared" si="897"/>
        <v>0.28765698744100471</v>
      </c>
      <c r="K2166" s="2">
        <f t="shared" si="898"/>
        <v>0.64898808095352367</v>
      </c>
      <c r="L2166" s="2">
        <f t="shared" si="899"/>
        <v>1.7998560115190785E-3</v>
      </c>
      <c r="M2166" s="2">
        <f t="shared" si="900"/>
        <v>6.1555075593952596E-2</v>
      </c>
      <c r="N2166" s="63">
        <v>7192</v>
      </c>
      <c r="O2166" s="63">
        <v>16226</v>
      </c>
      <c r="P2166" s="63">
        <v>45</v>
      </c>
      <c r="Q2166" s="63">
        <v>923</v>
      </c>
      <c r="R2166" s="63">
        <v>192</v>
      </c>
      <c r="S2166" s="63">
        <v>6</v>
      </c>
      <c r="T2166" s="63"/>
      <c r="U2166" s="63"/>
      <c r="V2166" s="63"/>
      <c r="W2166" s="63">
        <f>IF(Copyright!B$11=1,IF(CA2166&gt;0,CA2166-P2166-SUM(S2166:V2166)-SUM(X2166:Y2166)-SUM(AA2166:AT2166),SUM(CB2166:CM2166)),SUM(CB2166:CM2166))</f>
        <v>168</v>
      </c>
      <c r="X2166" s="63"/>
      <c r="Y2166" s="63">
        <v>5</v>
      </c>
      <c r="Z2166" s="63">
        <v>244</v>
      </c>
      <c r="AA2166" s="63">
        <v>0</v>
      </c>
      <c r="AB2166" s="63"/>
      <c r="AC2166" s="63"/>
      <c r="AD2166" s="63"/>
      <c r="AE2166" s="63">
        <v>1</v>
      </c>
      <c r="AF2166" s="63"/>
      <c r="AG2166" s="63">
        <v>0</v>
      </c>
      <c r="AH2166" s="63"/>
      <c r="AI2166" s="8"/>
      <c r="AJ2166" s="63"/>
      <c r="AK2166" s="63"/>
      <c r="AL2166" s="63"/>
      <c r="AM2166" s="63">
        <v>0</v>
      </c>
      <c r="AN2166" s="63">
        <v>0</v>
      </c>
      <c r="AO2166" s="63"/>
      <c r="AP2166" s="63"/>
      <c r="AQ2166" s="63">
        <v>0</v>
      </c>
      <c r="AR2166" s="63"/>
      <c r="AS2166" s="63"/>
      <c r="AT2166" s="63"/>
      <c r="AU2166" s="63"/>
      <c r="AW2166" s="5">
        <f>IF(Q2166&gt;0,RANK(Q2166,(N2166:P2166,Q2166:AE2166)),0)</f>
        <v>3</v>
      </c>
      <c r="AX2166" s="5">
        <f>IF(R2166&gt;0,RANK(R2166,(N2166:P2166,Q2166:AE2166)),0)</f>
        <v>5</v>
      </c>
      <c r="AY2166" s="5">
        <f>IF(T2166&gt;0,RANK(T2166,(N2166:P2166,Q2166:AE2166)),0)</f>
        <v>0</v>
      </c>
      <c r="AZ2166" s="5">
        <f>IF(S2166&gt;0,RANK(S2166,(N2166:P2166,Q2166:AE2166)),0)</f>
        <v>8</v>
      </c>
      <c r="BA2166" s="2">
        <f t="shared" si="901"/>
        <v>3.6917046636269102E-2</v>
      </c>
      <c r="BB2166" s="2">
        <f t="shared" si="902"/>
        <v>7.6793856491480681E-3</v>
      </c>
      <c r="BC2166" s="2">
        <f t="shared" si="903"/>
        <v>0</v>
      </c>
      <c r="BD2166" s="2">
        <f t="shared" si="904"/>
        <v>2.3998080153587713E-4</v>
      </c>
      <c r="BF2166" t="s">
        <v>1925</v>
      </c>
      <c r="BG2166" t="s">
        <v>995</v>
      </c>
      <c r="BJ2166" s="114">
        <v>39</v>
      </c>
      <c r="BK2166" s="116">
        <v>77</v>
      </c>
      <c r="BL2166" s="120">
        <f t="shared" si="895"/>
        <v>39077</v>
      </c>
      <c r="BN2166" s="5" t="s">
        <v>3154</v>
      </c>
      <c r="BR2166" s="63"/>
      <c r="BT2166" s="63"/>
      <c r="BY2166" s="63">
        <f t="shared" si="894"/>
        <v>0</v>
      </c>
      <c r="BZ2166" s="63">
        <v>25002</v>
      </c>
      <c r="CA2166" s="63">
        <v>225</v>
      </c>
      <c r="CB2166" s="132"/>
      <c r="CD2166" s="63">
        <v>0</v>
      </c>
      <c r="CE2166" s="63">
        <v>0</v>
      </c>
      <c r="CF2166" s="63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</row>
    <row r="2167" spans="1:90" hidden="1" outlineLevel="1">
      <c r="A2167" t="s">
        <v>2921</v>
      </c>
      <c r="B2167" t="s">
        <v>995</v>
      </c>
      <c r="C2167" s="1">
        <f t="shared" si="896"/>
        <v>13776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7</v>
      </c>
      <c r="G2167" s="132">
        <f t="shared" si="882"/>
        <v>6723</v>
      </c>
      <c r="H2167" s="137">
        <f t="shared" si="883"/>
        <v>0.48802264808362367</v>
      </c>
      <c r="I2167" s="2"/>
      <c r="J2167" s="2">
        <f t="shared" si="897"/>
        <v>0.23417537746806039</v>
      </c>
      <c r="K2167" s="2">
        <f t="shared" si="898"/>
        <v>0.72219802555168411</v>
      </c>
      <c r="L2167" s="2">
        <f t="shared" si="899"/>
        <v>3.6295005807200929E-4</v>
      </c>
      <c r="M2167" s="2">
        <f t="shared" si="900"/>
        <v>4.3263646922183499E-2</v>
      </c>
      <c r="N2167" s="63">
        <v>3226</v>
      </c>
      <c r="O2167" s="63">
        <v>9949</v>
      </c>
      <c r="P2167" s="63">
        <v>5</v>
      </c>
      <c r="Q2167" s="63">
        <v>373</v>
      </c>
      <c r="R2167" s="63">
        <v>64</v>
      </c>
      <c r="S2167" s="63">
        <v>0</v>
      </c>
      <c r="T2167" s="63"/>
      <c r="U2167" s="63"/>
      <c r="V2167" s="63"/>
      <c r="W2167" s="63">
        <f>IF(Copyright!B$11=1,IF(CA2167&gt;0,CA2167-P2167-SUM(S2167:V2167)-SUM(X2167:Y2167)-SUM(AA2167:AT2167),SUM(CB2167:CM2167)),SUM(CB2167:CM2167))</f>
        <v>83</v>
      </c>
      <c r="X2167" s="63"/>
      <c r="Y2167" s="63">
        <v>0</v>
      </c>
      <c r="Z2167" s="63">
        <v>75</v>
      </c>
      <c r="AA2167" s="63">
        <v>0</v>
      </c>
      <c r="AB2167" s="63"/>
      <c r="AC2167" s="63"/>
      <c r="AD2167" s="63"/>
      <c r="AE2167" s="63">
        <v>0</v>
      </c>
      <c r="AF2167" s="63"/>
      <c r="AG2167" s="63">
        <v>1</v>
      </c>
      <c r="AH2167" s="63"/>
      <c r="AI2167" s="8"/>
      <c r="AJ2167" s="63"/>
      <c r="AK2167" s="63"/>
      <c r="AL2167" s="63"/>
      <c r="AM2167" s="63">
        <v>0</v>
      </c>
      <c r="AN2167" s="63">
        <v>0</v>
      </c>
      <c r="AO2167" s="63"/>
      <c r="AP2167" s="63"/>
      <c r="AQ2167" s="63">
        <v>0</v>
      </c>
      <c r="AR2167" s="63"/>
      <c r="AS2167" s="63"/>
      <c r="AT2167" s="63"/>
      <c r="AU2167" s="63"/>
      <c r="AW2167" s="5">
        <f>IF(Q2167&gt;0,RANK(Q2167,(N2167:P2167,Q2167:AE2167)),0)</f>
        <v>3</v>
      </c>
      <c r="AX2167" s="5">
        <f>IF(R2167&gt;0,RANK(R2167,(N2167:P2167,Q2167:AE2167)),0)</f>
        <v>6</v>
      </c>
      <c r="AY2167" s="5">
        <f>IF(T2167&gt;0,RANK(T2167,(N2167:P2167,Q2167:AE2167)),0)</f>
        <v>0</v>
      </c>
      <c r="AZ2167" s="5">
        <f>IF(S2167&gt;0,RANK(S2167,(N2167:P2167,Q2167:AE2167)),0)</f>
        <v>0</v>
      </c>
      <c r="BA2167" s="2">
        <f t="shared" si="901"/>
        <v>2.7076074332171893E-2</v>
      </c>
      <c r="BB2167" s="2">
        <f t="shared" si="902"/>
        <v>4.6457607433217189E-3</v>
      </c>
      <c r="BC2167" s="2">
        <f t="shared" si="903"/>
        <v>0</v>
      </c>
      <c r="BD2167" s="2">
        <f t="shared" si="904"/>
        <v>0</v>
      </c>
      <c r="BF2167" t="s">
        <v>2921</v>
      </c>
      <c r="BG2167" t="s">
        <v>995</v>
      </c>
      <c r="BH2167">
        <v>6</v>
      </c>
      <c r="BJ2167" s="114">
        <v>39</v>
      </c>
      <c r="BK2167" s="116">
        <v>79</v>
      </c>
      <c r="BL2167" s="120">
        <f t="shared" si="895"/>
        <v>39079</v>
      </c>
      <c r="BN2167" s="5" t="s">
        <v>3154</v>
      </c>
      <c r="BO2167" s="63">
        <v>169</v>
      </c>
      <c r="BR2167" s="63"/>
      <c r="BT2167" s="63"/>
      <c r="BY2167" s="63">
        <f t="shared" si="894"/>
        <v>6</v>
      </c>
      <c r="BZ2167" s="63">
        <v>13951</v>
      </c>
      <c r="CA2167" s="63">
        <v>89</v>
      </c>
      <c r="CB2167" s="132"/>
      <c r="CD2167" s="63">
        <v>0</v>
      </c>
      <c r="CE2167" s="63">
        <v>0</v>
      </c>
      <c r="CF2167" s="63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</row>
    <row r="2168" spans="1:90" hidden="1" outlineLevel="1">
      <c r="A2168" t="s">
        <v>1092</v>
      </c>
      <c r="B2168" t="s">
        <v>995</v>
      </c>
      <c r="C2168" s="1">
        <f t="shared" si="896"/>
        <v>32411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7</v>
      </c>
      <c r="G2168" s="132">
        <f t="shared" si="882"/>
        <v>11442</v>
      </c>
      <c r="H2168" s="137">
        <f t="shared" si="883"/>
        <v>0.35302829286353399</v>
      </c>
      <c r="I2168" s="2"/>
      <c r="J2168" s="2">
        <f t="shared" si="897"/>
        <v>0.29850976520317174</v>
      </c>
      <c r="K2168" s="2">
        <f t="shared" si="898"/>
        <v>0.65153805806670573</v>
      </c>
      <c r="L2168" s="2">
        <f t="shared" si="899"/>
        <v>3.5173243651846595E-3</v>
      </c>
      <c r="M2168" s="2">
        <f t="shared" si="900"/>
        <v>4.643485236493787E-2</v>
      </c>
      <c r="N2168" s="63">
        <v>9675</v>
      </c>
      <c r="O2168" s="63">
        <v>21117</v>
      </c>
      <c r="P2168" s="63">
        <v>114</v>
      </c>
      <c r="Q2168" s="63">
        <v>841</v>
      </c>
      <c r="R2168" s="63">
        <v>194</v>
      </c>
      <c r="S2168" s="63">
        <v>6</v>
      </c>
      <c r="T2168" s="63"/>
      <c r="U2168" s="63"/>
      <c r="V2168" s="63"/>
      <c r="W2168" s="63">
        <f>IF(Copyright!B$11=1,IF(CA2168&gt;0,CA2168-P2168-SUM(S2168:V2168)-SUM(X2168:Y2168)-SUM(AA2168:AT2168),SUM(CB2168:CM2168)),SUM(CB2168:CM2168))</f>
        <v>212</v>
      </c>
      <c r="X2168" s="63"/>
      <c r="Y2168" s="63">
        <v>0</v>
      </c>
      <c r="Z2168" s="63">
        <v>196</v>
      </c>
      <c r="AA2168" s="63">
        <v>0</v>
      </c>
      <c r="AB2168" s="63"/>
      <c r="AC2168" s="63"/>
      <c r="AD2168" s="63"/>
      <c r="AE2168" s="63">
        <v>1</v>
      </c>
      <c r="AF2168" s="63"/>
      <c r="AG2168" s="63">
        <v>0</v>
      </c>
      <c r="AH2168" s="63"/>
      <c r="AI2168" s="8"/>
      <c r="AJ2168" s="63"/>
      <c r="AK2168" s="63"/>
      <c r="AL2168" s="63"/>
      <c r="AM2168" s="63">
        <v>1</v>
      </c>
      <c r="AN2168" s="63">
        <v>54</v>
      </c>
      <c r="AO2168" s="63"/>
      <c r="AP2168" s="63"/>
      <c r="AQ2168" s="63">
        <v>0</v>
      </c>
      <c r="AR2168" s="63"/>
      <c r="AS2168" s="63"/>
      <c r="AT2168" s="63"/>
      <c r="AU2168" s="63"/>
      <c r="AW2168" s="5">
        <f>IF(Q2168&gt;0,RANK(Q2168,(N2168:P2168,Q2168:AE2168)),0)</f>
        <v>3</v>
      </c>
      <c r="AX2168" s="5">
        <f>IF(R2168&gt;0,RANK(R2168,(N2168:P2168,Q2168:AE2168)),0)</f>
        <v>6</v>
      </c>
      <c r="AY2168" s="5">
        <f>IF(T2168&gt;0,RANK(T2168,(N2168:P2168,Q2168:AE2168)),0)</f>
        <v>0</v>
      </c>
      <c r="AZ2168" s="5">
        <f>IF(S2168&gt;0,RANK(S2168,(N2168:P2168,Q2168:AE2168)),0)</f>
        <v>8</v>
      </c>
      <c r="BA2168" s="2">
        <f t="shared" si="901"/>
        <v>2.594798062386227E-2</v>
      </c>
      <c r="BB2168" s="2">
        <f t="shared" si="902"/>
        <v>5.9856221653142453E-3</v>
      </c>
      <c r="BC2168" s="2">
        <f t="shared" si="903"/>
        <v>0</v>
      </c>
      <c r="BD2168" s="2">
        <f t="shared" si="904"/>
        <v>1.8512233500971893E-4</v>
      </c>
      <c r="BF2168" t="s">
        <v>1092</v>
      </c>
      <c r="BG2168" t="s">
        <v>995</v>
      </c>
      <c r="BH2168">
        <v>6</v>
      </c>
      <c r="BJ2168" s="114">
        <v>39</v>
      </c>
      <c r="BK2168" s="116">
        <v>81</v>
      </c>
      <c r="BL2168" s="120">
        <f t="shared" si="895"/>
        <v>39081</v>
      </c>
      <c r="BN2168" s="5" t="s">
        <v>3154</v>
      </c>
      <c r="BR2168" s="63"/>
      <c r="BT2168" s="63"/>
      <c r="BY2168" s="63">
        <f t="shared" si="894"/>
        <v>0</v>
      </c>
      <c r="BZ2168" s="63">
        <v>32411</v>
      </c>
      <c r="CA2168" s="63">
        <f>210+2+114+54+2+6</f>
        <v>388</v>
      </c>
      <c r="CB2168" s="132"/>
      <c r="CD2168" s="63">
        <v>0</v>
      </c>
      <c r="CE2168" s="63">
        <v>0</v>
      </c>
      <c r="CF2168" s="63">
        <v>0</v>
      </c>
      <c r="CG2168" s="8">
        <v>0</v>
      </c>
      <c r="CH2168" s="8">
        <v>0</v>
      </c>
      <c r="CI2168" s="8">
        <v>0</v>
      </c>
      <c r="CJ2168" s="8">
        <v>2</v>
      </c>
      <c r="CK2168" s="8">
        <v>0</v>
      </c>
      <c r="CL2168" s="8">
        <v>0</v>
      </c>
    </row>
    <row r="2169" spans="1:90" hidden="1" outlineLevel="1">
      <c r="A2169" t="s">
        <v>1729</v>
      </c>
      <c r="B2169" t="s">
        <v>995</v>
      </c>
      <c r="C2169" s="1">
        <f t="shared" si="896"/>
        <v>28927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7</v>
      </c>
      <c r="G2169" s="132">
        <f t="shared" si="882"/>
        <v>10960</v>
      </c>
      <c r="H2169" s="137">
        <f t="shared" si="883"/>
        <v>0.37888477892626266</v>
      </c>
      <c r="I2169" s="2"/>
      <c r="J2169" s="2">
        <f t="shared" si="897"/>
        <v>0.28246966501884052</v>
      </c>
      <c r="K2169" s="2">
        <f t="shared" si="898"/>
        <v>0.66135444394510323</v>
      </c>
      <c r="L2169" s="2">
        <f t="shared" si="899"/>
        <v>1.9013378504511356E-3</v>
      </c>
      <c r="M2169" s="2">
        <f t="shared" si="900"/>
        <v>5.4274553185605111E-2</v>
      </c>
      <c r="N2169" s="63">
        <v>8171</v>
      </c>
      <c r="O2169" s="63">
        <v>19131</v>
      </c>
      <c r="P2169" s="63">
        <v>55</v>
      </c>
      <c r="Q2169" s="63">
        <v>936</v>
      </c>
      <c r="R2169" s="63">
        <v>208</v>
      </c>
      <c r="S2169" s="63">
        <v>13</v>
      </c>
      <c r="T2169" s="63"/>
      <c r="U2169" s="63"/>
      <c r="V2169" s="63"/>
      <c r="W2169" s="63">
        <f>IF(Copyright!B$11=1,IF(CA2169&gt;0,CA2169-P2169-SUM(S2169:V2169)-SUM(X2169:Y2169)-SUM(AA2169:AT2169),SUM(CB2169:CM2169)),SUM(CB2169:CM2169))</f>
        <v>245</v>
      </c>
      <c r="X2169" s="63"/>
      <c r="Y2169" s="63">
        <v>0</v>
      </c>
      <c r="Z2169" s="63">
        <v>164</v>
      </c>
      <c r="AA2169" s="63">
        <v>0</v>
      </c>
      <c r="AB2169" s="63"/>
      <c r="AC2169" s="63"/>
      <c r="AD2169" s="63"/>
      <c r="AE2169" s="63">
        <v>0</v>
      </c>
      <c r="AF2169" s="63"/>
      <c r="AG2169" s="63">
        <v>2</v>
      </c>
      <c r="AH2169" s="63"/>
      <c r="AI2169" s="8"/>
      <c r="AJ2169" s="63"/>
      <c r="AK2169" s="63"/>
      <c r="AL2169" s="63"/>
      <c r="AM2169" s="63">
        <v>0</v>
      </c>
      <c r="AN2169" s="63">
        <v>1</v>
      </c>
      <c r="AO2169" s="63"/>
      <c r="AP2169" s="63"/>
      <c r="AQ2169" s="63">
        <v>1</v>
      </c>
      <c r="AR2169" s="63"/>
      <c r="AS2169" s="63"/>
      <c r="AT2169" s="63"/>
      <c r="AU2169" s="63"/>
      <c r="AW2169" s="5">
        <f>IF(Q2169&gt;0,RANK(Q2169,(N2169:P2169,Q2169:AE2169)),0)</f>
        <v>3</v>
      </c>
      <c r="AX2169" s="5">
        <f>IF(R2169&gt;0,RANK(R2169,(N2169:P2169,Q2169:AE2169)),0)</f>
        <v>5</v>
      </c>
      <c r="AY2169" s="5">
        <f>IF(T2169&gt;0,RANK(T2169,(N2169:P2169,Q2169:AE2169)),0)</f>
        <v>0</v>
      </c>
      <c r="AZ2169" s="5">
        <f>IF(S2169&gt;0,RANK(S2169,(N2169:P2169,Q2169:AE2169)),0)</f>
        <v>8</v>
      </c>
      <c r="BA2169" s="2">
        <f t="shared" si="901"/>
        <v>3.2357313236768416E-2</v>
      </c>
      <c r="BB2169" s="2">
        <f t="shared" si="902"/>
        <v>7.1905140526152041E-3</v>
      </c>
      <c r="BC2169" s="2">
        <f t="shared" si="903"/>
        <v>0</v>
      </c>
      <c r="BD2169" s="2">
        <f t="shared" si="904"/>
        <v>4.4940712828845026E-4</v>
      </c>
      <c r="BF2169" t="s">
        <v>1729</v>
      </c>
      <c r="BG2169" t="s">
        <v>995</v>
      </c>
      <c r="BH2169">
        <v>7</v>
      </c>
      <c r="BJ2169" s="114">
        <v>39</v>
      </c>
      <c r="BK2169" s="116">
        <v>83</v>
      </c>
      <c r="BL2169" s="120">
        <f t="shared" si="895"/>
        <v>39083</v>
      </c>
      <c r="BN2169" s="5" t="s">
        <v>3154</v>
      </c>
      <c r="BO2169" s="63">
        <v>331</v>
      </c>
      <c r="BP2169" s="63">
        <v>20</v>
      </c>
      <c r="BR2169" s="63"/>
      <c r="BT2169" s="63"/>
      <c r="BY2169" s="63">
        <f t="shared" si="894"/>
        <v>0</v>
      </c>
      <c r="BZ2169" s="63">
        <v>29278</v>
      </c>
      <c r="CA2169" s="63">
        <v>317</v>
      </c>
      <c r="CB2169" s="132"/>
      <c r="CD2169" s="63">
        <v>0</v>
      </c>
      <c r="CE2169" s="63">
        <v>0</v>
      </c>
      <c r="CF2169" s="63">
        <v>0</v>
      </c>
      <c r="CG2169" s="8">
        <v>3</v>
      </c>
      <c r="CH2169" s="8">
        <v>1</v>
      </c>
      <c r="CI2169" s="8">
        <v>0</v>
      </c>
      <c r="CJ2169" s="8">
        <v>1</v>
      </c>
      <c r="CK2169" s="8">
        <v>0</v>
      </c>
      <c r="CL2169" s="8">
        <v>0</v>
      </c>
    </row>
    <row r="2170" spans="1:90" hidden="1" outlineLevel="1">
      <c r="A2170" t="s">
        <v>820</v>
      </c>
      <c r="B2170" t="s">
        <v>995</v>
      </c>
      <c r="C2170" s="1">
        <f t="shared" si="896"/>
        <v>117190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7</v>
      </c>
      <c r="G2170" s="132">
        <f t="shared" si="882"/>
        <v>17858</v>
      </c>
      <c r="H2170" s="137">
        <f t="shared" si="883"/>
        <v>0.1523850157863299</v>
      </c>
      <c r="I2170" s="2"/>
      <c r="J2170" s="2">
        <f t="shared" si="897"/>
        <v>0.39591262053076198</v>
      </c>
      <c r="K2170" s="2">
        <f t="shared" si="898"/>
        <v>0.54829763631709194</v>
      </c>
      <c r="L2170" s="2">
        <f t="shared" si="899"/>
        <v>2.030890007679836E-3</v>
      </c>
      <c r="M2170" s="2">
        <f t="shared" si="900"/>
        <v>5.3758853144466295E-2</v>
      </c>
      <c r="N2170" s="63">
        <v>46397</v>
      </c>
      <c r="O2170" s="63">
        <v>64255</v>
      </c>
      <c r="P2170" s="63">
        <v>238</v>
      </c>
      <c r="Q2170" s="63">
        <v>3833</v>
      </c>
      <c r="R2170" s="63">
        <v>946</v>
      </c>
      <c r="S2170" s="63">
        <v>27</v>
      </c>
      <c r="T2170" s="63"/>
      <c r="U2170" s="63"/>
      <c r="V2170" s="63"/>
      <c r="W2170" s="63">
        <f>IF(Copyright!B$11=1,IF(CA2170&gt;0,CA2170-P2170-SUM(S2170:V2170)-SUM(X2170:Y2170)-SUM(AA2170:AT2170),SUM(CB2170:CM2170)),SUM(CB2170:CM2170))</f>
        <v>946</v>
      </c>
      <c r="X2170" s="63"/>
      <c r="Y2170" s="63">
        <v>6</v>
      </c>
      <c r="Z2170" s="63">
        <v>522</v>
      </c>
      <c r="AA2170" s="63">
        <v>0</v>
      </c>
      <c r="AB2170" s="63"/>
      <c r="AC2170" s="63"/>
      <c r="AD2170" s="63"/>
      <c r="AE2170" s="63">
        <v>2</v>
      </c>
      <c r="AF2170" s="63"/>
      <c r="AG2170" s="63">
        <v>6</v>
      </c>
      <c r="AH2170" s="63"/>
      <c r="AI2170" s="8"/>
      <c r="AJ2170" s="63"/>
      <c r="AK2170" s="63"/>
      <c r="AL2170" s="63"/>
      <c r="AM2170" s="63">
        <v>0</v>
      </c>
      <c r="AN2170" s="63">
        <v>9</v>
      </c>
      <c r="AO2170" s="63"/>
      <c r="AP2170" s="63"/>
      <c r="AQ2170" s="63">
        <v>3</v>
      </c>
      <c r="AR2170" s="63"/>
      <c r="AS2170" s="63"/>
      <c r="AT2170" s="63"/>
      <c r="AU2170" s="63"/>
      <c r="AW2170" s="5">
        <f>IF(Q2170&gt;0,RANK(Q2170,(N2170:P2170,Q2170:AE2170)),0)</f>
        <v>3</v>
      </c>
      <c r="AX2170" s="5">
        <f>IF(R2170&gt;0,RANK(R2170,(N2170:P2170,Q2170:AE2170)),0)</f>
        <v>4</v>
      </c>
      <c r="AY2170" s="5">
        <f>IF(T2170&gt;0,RANK(T2170,(N2170:P2170,Q2170:AE2170)),0)</f>
        <v>0</v>
      </c>
      <c r="AZ2170" s="5">
        <f>IF(S2170&gt;0,RANK(S2170,(N2170:P2170,Q2170:AE2170)),0)</f>
        <v>8</v>
      </c>
      <c r="BA2170" s="2">
        <f t="shared" si="901"/>
        <v>3.2707568905196688E-2</v>
      </c>
      <c r="BB2170" s="2">
        <f t="shared" si="902"/>
        <v>8.0723611229627096E-3</v>
      </c>
      <c r="BC2170" s="2">
        <f t="shared" si="903"/>
        <v>0</v>
      </c>
      <c r="BD2170" s="2">
        <f t="shared" si="904"/>
        <v>2.3039508490485536E-4</v>
      </c>
      <c r="BF2170" t="s">
        <v>820</v>
      </c>
      <c r="BG2170" t="s">
        <v>995</v>
      </c>
      <c r="BH2170">
        <v>14</v>
      </c>
      <c r="BJ2170" s="114">
        <v>39</v>
      </c>
      <c r="BK2170" s="116">
        <v>85</v>
      </c>
      <c r="BL2170" s="120">
        <f t="shared" si="895"/>
        <v>39085</v>
      </c>
      <c r="BN2170" s="5" t="s">
        <v>3154</v>
      </c>
      <c r="BO2170" s="63">
        <v>1422</v>
      </c>
      <c r="BP2170" s="63">
        <v>117</v>
      </c>
      <c r="BR2170" s="63"/>
      <c r="BT2170" s="63"/>
      <c r="BY2170" s="63">
        <f t="shared" si="894"/>
        <v>0</v>
      </c>
      <c r="BZ2170" s="63">
        <v>118729</v>
      </c>
      <c r="CA2170" s="63">
        <v>1237</v>
      </c>
      <c r="CB2170" s="132"/>
      <c r="CD2170" s="63">
        <v>0</v>
      </c>
      <c r="CE2170" s="63">
        <v>0</v>
      </c>
      <c r="CF2170" s="63">
        <v>0</v>
      </c>
      <c r="CG2170" s="8">
        <v>2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</row>
    <row r="2171" spans="1:90" hidden="1" outlineLevel="1">
      <c r="A2171" t="s">
        <v>548</v>
      </c>
      <c r="B2171" t="s">
        <v>995</v>
      </c>
      <c r="C2171" s="1">
        <f t="shared" si="896"/>
        <v>26789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7</v>
      </c>
      <c r="G2171" s="132">
        <f t="shared" si="882"/>
        <v>11715</v>
      </c>
      <c r="H2171" s="137">
        <f t="shared" si="883"/>
        <v>0.43730635708686399</v>
      </c>
      <c r="I2171" s="2"/>
      <c r="J2171" s="2">
        <f t="shared" si="897"/>
        <v>0.2603307327634477</v>
      </c>
      <c r="K2171" s="2">
        <f t="shared" si="898"/>
        <v>0.6976370898503117</v>
      </c>
      <c r="L2171" s="2">
        <f t="shared" si="899"/>
        <v>1.6051364365971107E-3</v>
      </c>
      <c r="M2171" s="2">
        <f t="shared" si="900"/>
        <v>4.0427040949643542E-2</v>
      </c>
      <c r="N2171" s="63">
        <v>6974</v>
      </c>
      <c r="O2171" s="63">
        <v>18689</v>
      </c>
      <c r="P2171" s="63">
        <v>43</v>
      </c>
      <c r="Q2171" s="63">
        <v>589</v>
      </c>
      <c r="R2171" s="63">
        <v>160</v>
      </c>
      <c r="S2171" s="63">
        <v>6</v>
      </c>
      <c r="T2171" s="63"/>
      <c r="U2171" s="63"/>
      <c r="V2171" s="63"/>
      <c r="W2171" s="63">
        <f>IF(Copyright!B$11=1,IF(CA2171&gt;0,CA2171-P2171-SUM(S2171:V2171)-SUM(X2171:Y2171)-SUM(AA2171:AT2171),SUM(CB2171:CM2171)),SUM(CB2171:CM2171))</f>
        <v>184</v>
      </c>
      <c r="X2171" s="63"/>
      <c r="Y2171" s="63">
        <v>0</v>
      </c>
      <c r="Z2171" s="63">
        <v>142</v>
      </c>
      <c r="AA2171" s="63">
        <v>0</v>
      </c>
      <c r="AB2171" s="63"/>
      <c r="AC2171" s="63"/>
      <c r="AD2171" s="63"/>
      <c r="AE2171" s="63">
        <v>0</v>
      </c>
      <c r="AF2171" s="63"/>
      <c r="AG2171" s="63">
        <v>0</v>
      </c>
      <c r="AH2171" s="63"/>
      <c r="AI2171" s="8"/>
      <c r="AJ2171" s="63"/>
      <c r="AK2171" s="63"/>
      <c r="AL2171" s="63"/>
      <c r="AM2171" s="63">
        <v>0</v>
      </c>
      <c r="AN2171" s="63">
        <v>2</v>
      </c>
      <c r="AO2171" s="63"/>
      <c r="AP2171" s="63"/>
      <c r="AQ2171" s="63">
        <v>0</v>
      </c>
      <c r="AR2171" s="63"/>
      <c r="AS2171" s="63"/>
      <c r="AT2171" s="63"/>
      <c r="AU2171" s="63"/>
      <c r="AW2171" s="5">
        <f>IF(Q2171&gt;0,RANK(Q2171,(N2171:P2171,Q2171:AE2171)),0)</f>
        <v>3</v>
      </c>
      <c r="AX2171" s="5">
        <f>IF(R2171&gt;0,RANK(R2171,(N2171:P2171,Q2171:AE2171)),0)</f>
        <v>5</v>
      </c>
      <c r="AY2171" s="5">
        <f>IF(T2171&gt;0,RANK(T2171,(N2171:P2171,Q2171:AE2171)),0)</f>
        <v>0</v>
      </c>
      <c r="AZ2171" s="5">
        <f>IF(S2171&gt;0,RANK(S2171,(N2171:P2171,Q2171:AE2171)),0)</f>
        <v>8</v>
      </c>
      <c r="BA2171" s="2">
        <f t="shared" si="901"/>
        <v>2.198663630594647E-2</v>
      </c>
      <c r="BB2171" s="2">
        <f t="shared" si="902"/>
        <v>5.9726006943148311E-3</v>
      </c>
      <c r="BC2171" s="2">
        <f t="shared" si="903"/>
        <v>0</v>
      </c>
      <c r="BD2171" s="2">
        <f t="shared" si="904"/>
        <v>2.2397252603680614E-4</v>
      </c>
      <c r="BF2171" t="s">
        <v>548</v>
      </c>
      <c r="BG2171" t="s">
        <v>995</v>
      </c>
      <c r="BH2171">
        <v>6</v>
      </c>
      <c r="BJ2171" s="114">
        <v>39</v>
      </c>
      <c r="BK2171" s="116">
        <v>87</v>
      </c>
      <c r="BL2171" s="120">
        <f t="shared" si="895"/>
        <v>39087</v>
      </c>
      <c r="BN2171" s="5" t="s">
        <v>3154</v>
      </c>
      <c r="BO2171" s="63">
        <v>351</v>
      </c>
      <c r="BP2171" s="63">
        <v>83</v>
      </c>
      <c r="BR2171" s="63"/>
      <c r="BT2171" s="63"/>
      <c r="BY2171" s="63">
        <f t="shared" si="894"/>
        <v>-605</v>
      </c>
      <c r="BZ2171" s="133">
        <v>26618</v>
      </c>
      <c r="CA2171" s="133">
        <v>235</v>
      </c>
      <c r="CB2171" s="132"/>
      <c r="CD2171" s="63">
        <v>0</v>
      </c>
      <c r="CE2171" s="63">
        <v>0</v>
      </c>
      <c r="CF2171" s="63">
        <v>0</v>
      </c>
      <c r="CG2171" s="8">
        <v>2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</row>
    <row r="2172" spans="1:90" hidden="1" outlineLevel="1">
      <c r="A2172" t="s">
        <v>1322</v>
      </c>
      <c r="B2172" t="s">
        <v>995</v>
      </c>
      <c r="C2172" s="1">
        <f t="shared" si="896"/>
        <v>83624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7</v>
      </c>
      <c r="G2172" s="132">
        <f t="shared" si="882"/>
        <v>23865</v>
      </c>
      <c r="H2172" s="137">
        <f t="shared" si="883"/>
        <v>0.28538457858987848</v>
      </c>
      <c r="I2172" s="2"/>
      <c r="J2172" s="2">
        <f t="shared" si="897"/>
        <v>0.32737013297617906</v>
      </c>
      <c r="K2172" s="2">
        <f t="shared" si="898"/>
        <v>0.61275471156605754</v>
      </c>
      <c r="L2172" s="2">
        <f t="shared" si="899"/>
        <v>2.0807423706113077E-3</v>
      </c>
      <c r="M2172" s="2">
        <f t="shared" si="900"/>
        <v>5.7794413087152031E-2</v>
      </c>
      <c r="N2172" s="63">
        <v>27376</v>
      </c>
      <c r="O2172" s="63">
        <v>51241</v>
      </c>
      <c r="P2172" s="63">
        <v>174</v>
      </c>
      <c r="Q2172" s="63">
        <v>2708</v>
      </c>
      <c r="R2172" s="63">
        <v>725</v>
      </c>
      <c r="S2172" s="63">
        <v>49</v>
      </c>
      <c r="T2172" s="63"/>
      <c r="U2172" s="63"/>
      <c r="V2172" s="63"/>
      <c r="W2172" s="63">
        <f>IF(Copyright!B$11=1,IF(CA2172&gt;0,CA2172-P2172-SUM(S2172:V2172)-SUM(X2172:Y2172)-SUM(AA2172:AT2172),SUM(CB2172:CM2172)),SUM(CB2172:CM2172))</f>
        <v>878</v>
      </c>
      <c r="X2172" s="63"/>
      <c r="Y2172" s="63">
        <v>2</v>
      </c>
      <c r="Z2172" s="63">
        <v>462</v>
      </c>
      <c r="AA2172" s="63">
        <v>0</v>
      </c>
      <c r="AB2172" s="63"/>
      <c r="AC2172" s="63"/>
      <c r="AD2172" s="63"/>
      <c r="AE2172" s="63">
        <v>1</v>
      </c>
      <c r="AF2172" s="63"/>
      <c r="AG2172" s="63">
        <v>1</v>
      </c>
      <c r="AH2172" s="63"/>
      <c r="AI2172" s="8"/>
      <c r="AJ2172" s="63"/>
      <c r="AK2172" s="63"/>
      <c r="AL2172" s="63"/>
      <c r="AM2172" s="63">
        <v>0</v>
      </c>
      <c r="AN2172" s="63">
        <v>6</v>
      </c>
      <c r="AO2172" s="63"/>
      <c r="AP2172" s="63"/>
      <c r="AQ2172" s="63">
        <v>1</v>
      </c>
      <c r="AR2172" s="63"/>
      <c r="AS2172" s="63"/>
      <c r="AT2172" s="63"/>
      <c r="AU2172" s="63"/>
      <c r="AW2172" s="5">
        <f>IF(Q2172&gt;0,RANK(Q2172,(N2172:P2172,Q2172:AE2172)),0)</f>
        <v>3</v>
      </c>
      <c r="AX2172" s="5">
        <f>IF(R2172&gt;0,RANK(R2172,(N2172:P2172,Q2172:AE2172)),0)</f>
        <v>5</v>
      </c>
      <c r="AY2172" s="5">
        <f>IF(T2172&gt;0,RANK(T2172,(N2172:P2172,Q2172:AE2172)),0)</f>
        <v>0</v>
      </c>
      <c r="AZ2172" s="5">
        <f>IF(S2172&gt;0,RANK(S2172,(N2172:P2172,Q2172:AE2172)),0)</f>
        <v>8</v>
      </c>
      <c r="BA2172" s="2">
        <f t="shared" si="901"/>
        <v>3.2383047928824259E-2</v>
      </c>
      <c r="BB2172" s="2">
        <f t="shared" si="902"/>
        <v>8.6697598775471157E-3</v>
      </c>
      <c r="BC2172" s="2">
        <f t="shared" si="903"/>
        <v>0</v>
      </c>
      <c r="BD2172" s="2">
        <f t="shared" si="904"/>
        <v>5.8595618482732228E-4</v>
      </c>
      <c r="BF2172" t="s">
        <v>1322</v>
      </c>
      <c r="BG2172" t="s">
        <v>995</v>
      </c>
      <c r="BH2172">
        <v>12</v>
      </c>
      <c r="BJ2172" s="114">
        <v>39</v>
      </c>
      <c r="BK2172" s="116">
        <v>89</v>
      </c>
      <c r="BL2172" s="120">
        <f t="shared" si="895"/>
        <v>39089</v>
      </c>
      <c r="BN2172" s="5" t="s">
        <v>3154</v>
      </c>
      <c r="BR2172" s="63"/>
      <c r="BT2172" s="63"/>
      <c r="BY2172" s="63">
        <f t="shared" si="894"/>
        <v>0</v>
      </c>
      <c r="BZ2172" s="63">
        <v>83624</v>
      </c>
      <c r="CA2172" s="63">
        <f>863+2+174+10+14+49</f>
        <v>1112</v>
      </c>
      <c r="CB2172" s="132"/>
      <c r="CD2172" s="63">
        <v>0</v>
      </c>
      <c r="CE2172" s="63">
        <v>0</v>
      </c>
      <c r="CF2172" s="63">
        <v>0</v>
      </c>
      <c r="CG2172" s="8">
        <v>14</v>
      </c>
      <c r="CH2172" s="8">
        <v>0</v>
      </c>
      <c r="CI2172" s="8">
        <v>0</v>
      </c>
      <c r="CJ2172" s="8">
        <v>1</v>
      </c>
      <c r="CK2172" s="8">
        <v>0</v>
      </c>
      <c r="CL2172" s="8">
        <v>0</v>
      </c>
    </row>
    <row r="2173" spans="1:90" hidden="1" outlineLevel="1">
      <c r="A2173" t="s">
        <v>844</v>
      </c>
      <c r="B2173" t="s">
        <v>995</v>
      </c>
      <c r="C2173" s="1">
        <f t="shared" si="896"/>
        <v>21712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7</v>
      </c>
      <c r="G2173" s="132">
        <f t="shared" si="882"/>
        <v>11310</v>
      </c>
      <c r="H2173" s="137">
        <f t="shared" si="883"/>
        <v>0.52091009579955783</v>
      </c>
      <c r="I2173" s="2"/>
      <c r="J2173" s="2">
        <f t="shared" si="897"/>
        <v>0.21402910832719232</v>
      </c>
      <c r="K2173" s="2">
        <f t="shared" si="898"/>
        <v>0.73493920412675018</v>
      </c>
      <c r="L2173" s="2">
        <f t="shared" si="899"/>
        <v>1.8883566691230657E-3</v>
      </c>
      <c r="M2173" s="2">
        <f t="shared" si="900"/>
        <v>4.9143330876934406E-2</v>
      </c>
      <c r="N2173" s="63">
        <v>4647</v>
      </c>
      <c r="O2173" s="63">
        <v>15957</v>
      </c>
      <c r="P2173" s="63">
        <v>41</v>
      </c>
      <c r="Q2173" s="63">
        <v>657</v>
      </c>
      <c r="R2173" s="63">
        <v>129</v>
      </c>
      <c r="S2173" s="63">
        <v>10</v>
      </c>
      <c r="T2173" s="63"/>
      <c r="U2173" s="63"/>
      <c r="V2173" s="63"/>
      <c r="W2173" s="63">
        <f>IF(Copyright!B$11=1,IF(CA2173&gt;0,CA2173-P2173-SUM(S2173:V2173)-SUM(X2173:Y2173)-SUM(AA2173:AT2173),SUM(CB2173:CM2173)),SUM(CB2173:CM2173))</f>
        <v>142</v>
      </c>
      <c r="X2173" s="63"/>
      <c r="Y2173" s="63">
        <v>2</v>
      </c>
      <c r="Z2173" s="63">
        <v>127</v>
      </c>
      <c r="AA2173" s="63">
        <v>0</v>
      </c>
      <c r="AB2173" s="63"/>
      <c r="AC2173" s="63"/>
      <c r="AD2173" s="63"/>
      <c r="AE2173" s="63">
        <v>0</v>
      </c>
      <c r="AF2173" s="63"/>
      <c r="AG2173" s="63">
        <v>0</v>
      </c>
      <c r="AH2173" s="63"/>
      <c r="AI2173" s="8"/>
      <c r="AJ2173" s="63"/>
      <c r="AK2173" s="63"/>
      <c r="AL2173" s="63"/>
      <c r="AM2173" s="63">
        <v>0</v>
      </c>
      <c r="AN2173" s="63">
        <v>0</v>
      </c>
      <c r="AO2173" s="63"/>
      <c r="AP2173" s="63"/>
      <c r="AQ2173" s="63">
        <v>0</v>
      </c>
      <c r="AR2173" s="63"/>
      <c r="AS2173" s="63"/>
      <c r="AT2173" s="63"/>
      <c r="AU2173" s="63"/>
      <c r="AW2173" s="5">
        <f>IF(Q2173&gt;0,RANK(Q2173,(N2173:P2173,Q2173:AE2173)),0)</f>
        <v>3</v>
      </c>
      <c r="AX2173" s="5">
        <f>IF(R2173&gt;0,RANK(R2173,(N2173:P2173,Q2173:AE2173)),0)</f>
        <v>5</v>
      </c>
      <c r="AY2173" s="5">
        <f>IF(T2173&gt;0,RANK(T2173,(N2173:P2173,Q2173:AE2173)),0)</f>
        <v>0</v>
      </c>
      <c r="AZ2173" s="5">
        <f>IF(S2173&gt;0,RANK(S2173,(N2173:P2173,Q2173:AE2173)),0)</f>
        <v>8</v>
      </c>
      <c r="BA2173" s="2">
        <f t="shared" si="901"/>
        <v>3.0259764185703759E-2</v>
      </c>
      <c r="BB2173" s="2">
        <f t="shared" si="902"/>
        <v>5.9414148857774504E-3</v>
      </c>
      <c r="BC2173" s="2">
        <f t="shared" si="903"/>
        <v>0</v>
      </c>
      <c r="BD2173" s="2">
        <f t="shared" si="904"/>
        <v>4.6057479734708918E-4</v>
      </c>
      <c r="BF2173" t="s">
        <v>844</v>
      </c>
      <c r="BG2173" t="s">
        <v>995</v>
      </c>
      <c r="BH2173">
        <v>4</v>
      </c>
      <c r="BJ2173" s="114">
        <v>39</v>
      </c>
      <c r="BK2173" s="116">
        <v>91</v>
      </c>
      <c r="BL2173" s="120">
        <f t="shared" si="895"/>
        <v>39091</v>
      </c>
      <c r="BN2173" s="5" t="s">
        <v>3154</v>
      </c>
      <c r="BO2173" s="63">
        <v>239</v>
      </c>
      <c r="BP2173" s="63">
        <v>68</v>
      </c>
      <c r="BR2173" s="63"/>
      <c r="BT2173" s="63"/>
      <c r="BY2173" s="63">
        <f t="shared" si="894"/>
        <v>0</v>
      </c>
      <c r="BZ2173" s="63">
        <v>22019</v>
      </c>
      <c r="CA2173" s="63">
        <v>195</v>
      </c>
      <c r="CB2173" s="132"/>
      <c r="CD2173" s="63">
        <v>0</v>
      </c>
      <c r="CE2173" s="63">
        <v>0</v>
      </c>
      <c r="CF2173" s="63">
        <v>0</v>
      </c>
      <c r="CG2173" s="8">
        <v>1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</row>
    <row r="2174" spans="1:90" hidden="1" outlineLevel="1">
      <c r="A2174" t="s">
        <v>323</v>
      </c>
      <c r="B2174" t="s">
        <v>995</v>
      </c>
      <c r="C2174" s="1">
        <f t="shared" si="896"/>
        <v>140562</v>
      </c>
      <c r="D2174" s="5">
        <f>IF(N2174&gt;0, RANK(N2174,(N2174:P2174,Q2174:AE2174)),0)</f>
        <v>1</v>
      </c>
      <c r="E2174" s="5">
        <f>IF(O2174&gt;0,RANK(O2174,(N2174:P2174,Q2174:AE2174)),0)</f>
        <v>2</v>
      </c>
      <c r="F2174" s="5">
        <f>IF(P2174&gt;0,RANK(P2174,(N2174:P2174,Q2174:AE2174)),0)</f>
        <v>6</v>
      </c>
      <c r="G2174" s="132">
        <f t="shared" si="882"/>
        <v>131</v>
      </c>
      <c r="H2174" s="137">
        <f t="shared" si="883"/>
        <v>9.3197307949516935E-4</v>
      </c>
      <c r="I2174" s="2"/>
      <c r="J2174" s="2">
        <f t="shared" si="897"/>
        <v>0.47629515800856559</v>
      </c>
      <c r="K2174" s="2">
        <f t="shared" si="898"/>
        <v>0.47536318492907043</v>
      </c>
      <c r="L2174" s="2">
        <f t="shared" si="899"/>
        <v>1.3019165919665344E-3</v>
      </c>
      <c r="M2174" s="2">
        <f t="shared" si="900"/>
        <v>4.7039740470397454E-2</v>
      </c>
      <c r="N2174" s="63">
        <v>66949</v>
      </c>
      <c r="O2174" s="63">
        <v>66818</v>
      </c>
      <c r="P2174" s="63">
        <v>183</v>
      </c>
      <c r="Q2174" s="63">
        <v>4548</v>
      </c>
      <c r="R2174" s="63">
        <v>1255</v>
      </c>
      <c r="S2174" s="63">
        <v>48</v>
      </c>
      <c r="T2174" s="63"/>
      <c r="U2174" s="63"/>
      <c r="V2174" s="63"/>
      <c r="W2174" s="63">
        <f>IF(Copyright!B$11=1,IF(CA2174&gt;0,CA2174-P2174-SUM(S2174:V2174)-SUM(X2174:Y2174)-SUM(AA2174:AT2174),SUM(CB2174:CM2174)),SUM(CB2174:CM2174))</f>
        <v>2</v>
      </c>
      <c r="X2174" s="63"/>
      <c r="Y2174" s="63">
        <v>8</v>
      </c>
      <c r="Z2174" s="63">
        <v>735</v>
      </c>
      <c r="AA2174" s="63">
        <v>0</v>
      </c>
      <c r="AB2174" s="63"/>
      <c r="AC2174" s="63"/>
      <c r="AD2174" s="63"/>
      <c r="AE2174" s="63">
        <v>2</v>
      </c>
      <c r="AF2174" s="63"/>
      <c r="AG2174" s="63">
        <v>3</v>
      </c>
      <c r="AH2174" s="63"/>
      <c r="AI2174" s="8"/>
      <c r="AJ2174" s="63"/>
      <c r="AK2174" s="63"/>
      <c r="AL2174" s="63"/>
      <c r="AM2174" s="63">
        <v>0</v>
      </c>
      <c r="AN2174" s="63">
        <v>10</v>
      </c>
      <c r="AO2174" s="63"/>
      <c r="AP2174" s="63"/>
      <c r="AQ2174" s="63">
        <v>1</v>
      </c>
      <c r="AR2174" s="63"/>
      <c r="AS2174" s="63"/>
      <c r="AT2174" s="63"/>
      <c r="AU2174" s="63"/>
      <c r="AW2174" s="5">
        <f>IF(Q2174&gt;0,RANK(Q2174,(N2174:P2174,Q2174:AE2174)),0)</f>
        <v>3</v>
      </c>
      <c r="AX2174" s="5">
        <f>IF(R2174&gt;0,RANK(R2174,(N2174:P2174,Q2174:AE2174)),0)</f>
        <v>4</v>
      </c>
      <c r="AY2174" s="5">
        <f>IF(T2174&gt;0,RANK(T2174,(N2174:P2174,Q2174:AE2174)),0)</f>
        <v>0</v>
      </c>
      <c r="AZ2174" s="5">
        <f>IF(S2174&gt;0,RANK(S2174,(N2174:P2174,Q2174:AE2174)),0)</f>
        <v>7</v>
      </c>
      <c r="BA2174" s="2">
        <f t="shared" si="901"/>
        <v>3.2355828744610918E-2</v>
      </c>
      <c r="BB2174" s="2">
        <f t="shared" si="902"/>
        <v>8.9284443875300573E-3</v>
      </c>
      <c r="BC2174" s="2">
        <f t="shared" si="903"/>
        <v>0</v>
      </c>
      <c r="BD2174" s="2">
        <f t="shared" si="904"/>
        <v>3.414863192043369E-4</v>
      </c>
      <c r="BF2174" t="s">
        <v>323</v>
      </c>
      <c r="BG2174" t="s">
        <v>995</v>
      </c>
      <c r="BJ2174" s="114">
        <v>39</v>
      </c>
      <c r="BK2174" s="116">
        <v>93</v>
      </c>
      <c r="BL2174" s="120">
        <f t="shared" si="895"/>
        <v>39093</v>
      </c>
      <c r="BN2174" s="5" t="s">
        <v>3154</v>
      </c>
      <c r="BR2174" s="63"/>
      <c r="BT2174" s="63"/>
      <c r="BY2174" s="63">
        <f t="shared" si="894"/>
        <v>-140562</v>
      </c>
      <c r="CB2174" s="132"/>
      <c r="CD2174" s="63">
        <v>2</v>
      </c>
      <c r="CE2174" s="63">
        <v>0</v>
      </c>
      <c r="CF2174" s="63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</row>
    <row r="2175" spans="1:90" hidden="1" outlineLevel="1">
      <c r="A2175" t="s">
        <v>2067</v>
      </c>
      <c r="B2175" t="s">
        <v>995</v>
      </c>
      <c r="C2175" s="1">
        <f t="shared" si="896"/>
        <v>198830</v>
      </c>
      <c r="D2175" s="5">
        <f>IF(N2175&gt;0, RANK(N2175,(N2175:P2175,Q2175:AE2175)),0)</f>
        <v>1</v>
      </c>
      <c r="E2175" s="5">
        <f>IF(O2175&gt;0,RANK(O2175,(N2175:P2175,Q2175:AE2175)),0)</f>
        <v>2</v>
      </c>
      <c r="F2175" s="5">
        <f>IF(P2175&gt;0,RANK(P2175,(N2175:P2175,Q2175:AE2175)),0)</f>
        <v>7</v>
      </c>
      <c r="G2175" s="132">
        <f t="shared" si="882"/>
        <v>35135</v>
      </c>
      <c r="H2175" s="137">
        <f t="shared" si="883"/>
        <v>0.17670874616506563</v>
      </c>
      <c r="I2175" s="2"/>
      <c r="J2175" s="2">
        <f t="shared" si="897"/>
        <v>0.55742594175929183</v>
      </c>
      <c r="K2175" s="2">
        <f t="shared" si="898"/>
        <v>0.38071719559422623</v>
      </c>
      <c r="L2175" s="2">
        <f t="shared" si="899"/>
        <v>1.9262686717296182E-3</v>
      </c>
      <c r="M2175" s="2">
        <f t="shared" si="900"/>
        <v>5.9930593974752318E-2</v>
      </c>
      <c r="N2175" s="63">
        <v>110833</v>
      </c>
      <c r="O2175" s="63">
        <v>75698</v>
      </c>
      <c r="P2175" s="63">
        <v>383</v>
      </c>
      <c r="Q2175" s="63">
        <v>7410</v>
      </c>
      <c r="R2175" s="63">
        <v>2252</v>
      </c>
      <c r="S2175" s="63">
        <v>88</v>
      </c>
      <c r="T2175" s="63"/>
      <c r="U2175" s="63"/>
      <c r="V2175" s="63"/>
      <c r="W2175" s="63">
        <f>IF(Copyright!B$11=1,IF(CA2175&gt;0,CA2175-P2175-SUM(S2175:V2175)-SUM(X2175:Y2175)-SUM(AA2175:AT2175),SUM(CB2175:CM2175)),SUM(CB2175:CM2175))</f>
        <v>1279</v>
      </c>
      <c r="X2175" s="63"/>
      <c r="Y2175" s="63">
        <v>6</v>
      </c>
      <c r="Z2175" s="63">
        <v>857</v>
      </c>
      <c r="AA2175" s="63">
        <v>0</v>
      </c>
      <c r="AB2175" s="63"/>
      <c r="AC2175" s="63"/>
      <c r="AD2175" s="63"/>
      <c r="AE2175" s="63">
        <v>2</v>
      </c>
      <c r="AF2175" s="63"/>
      <c r="AG2175" s="63">
        <v>5</v>
      </c>
      <c r="AH2175" s="63"/>
      <c r="AI2175" s="8"/>
      <c r="AJ2175" s="63"/>
      <c r="AK2175" s="63"/>
      <c r="AL2175" s="63"/>
      <c r="AM2175" s="63">
        <v>4</v>
      </c>
      <c r="AN2175" s="63">
        <v>13</v>
      </c>
      <c r="AO2175" s="63"/>
      <c r="AP2175" s="63"/>
      <c r="AQ2175" s="63">
        <v>0</v>
      </c>
      <c r="AR2175" s="63"/>
      <c r="AS2175" s="63"/>
      <c r="AT2175" s="63"/>
      <c r="AU2175" s="63"/>
      <c r="AW2175" s="5">
        <f>IF(Q2175&gt;0,RANK(Q2175,(N2175:P2175,Q2175:AE2175)),0)</f>
        <v>3</v>
      </c>
      <c r="AX2175" s="5">
        <f>IF(R2175&gt;0,RANK(R2175,(N2175:P2175,Q2175:AE2175)),0)</f>
        <v>4</v>
      </c>
      <c r="AY2175" s="5">
        <f>IF(T2175&gt;0,RANK(T2175,(N2175:P2175,Q2175:AE2175)),0)</f>
        <v>0</v>
      </c>
      <c r="AZ2175" s="5">
        <f>IF(S2175&gt;0,RANK(S2175,(N2175:P2175,Q2175:AE2175)),0)</f>
        <v>8</v>
      </c>
      <c r="BA2175" s="2">
        <f t="shared" si="901"/>
        <v>3.7268017904742747E-2</v>
      </c>
      <c r="BB2175" s="2">
        <f t="shared" si="902"/>
        <v>1.132625861288538E-2</v>
      </c>
      <c r="BC2175" s="2">
        <f t="shared" si="903"/>
        <v>0</v>
      </c>
      <c r="BD2175" s="2">
        <f t="shared" si="904"/>
        <v>4.4258914650706631E-4</v>
      </c>
      <c r="BF2175" t="s">
        <v>2067</v>
      </c>
      <c r="BG2175" t="s">
        <v>995</v>
      </c>
      <c r="BJ2175" s="114">
        <v>39</v>
      </c>
      <c r="BK2175" s="116">
        <v>95</v>
      </c>
      <c r="BL2175" s="120">
        <f t="shared" si="895"/>
        <v>39095</v>
      </c>
      <c r="BN2175" s="5" t="s">
        <v>3154</v>
      </c>
      <c r="BR2175" s="63"/>
      <c r="BT2175" s="63"/>
      <c r="BY2175" s="63">
        <f t="shared" si="894"/>
        <v>0</v>
      </c>
      <c r="BZ2175" s="63">
        <v>198830</v>
      </c>
      <c r="CA2175" s="63">
        <f>1274+2+2+3+4+5+6+13+88+383</f>
        <v>1780</v>
      </c>
      <c r="CB2175" s="132"/>
      <c r="CD2175" s="63">
        <v>0</v>
      </c>
      <c r="CE2175" s="63">
        <v>0</v>
      </c>
      <c r="CF2175" s="63">
        <v>0</v>
      </c>
      <c r="CG2175" s="8">
        <v>2</v>
      </c>
      <c r="CH2175" s="8">
        <v>0</v>
      </c>
      <c r="CI2175" s="8">
        <v>0</v>
      </c>
      <c r="CJ2175" s="8">
        <v>3</v>
      </c>
      <c r="CK2175" s="8">
        <v>0</v>
      </c>
      <c r="CL2175" s="8">
        <v>0</v>
      </c>
    </row>
    <row r="2176" spans="1:90" hidden="1" outlineLevel="1">
      <c r="A2176" t="s">
        <v>1650</v>
      </c>
      <c r="B2176" t="s">
        <v>995</v>
      </c>
      <c r="C2176" s="1">
        <f t="shared" si="896"/>
        <v>17421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7</v>
      </c>
      <c r="G2176" s="132">
        <f t="shared" si="882"/>
        <v>6852</v>
      </c>
      <c r="H2176" s="137">
        <f t="shared" si="883"/>
        <v>0.39331840881694508</v>
      </c>
      <c r="I2176" s="2"/>
      <c r="J2176" s="2">
        <f t="shared" si="897"/>
        <v>0.27432409161356985</v>
      </c>
      <c r="K2176" s="2">
        <f t="shared" si="898"/>
        <v>0.66764250043051487</v>
      </c>
      <c r="L2176" s="2">
        <f t="shared" si="899"/>
        <v>3.5015211526318812E-3</v>
      </c>
      <c r="M2176" s="2">
        <f t="shared" si="900"/>
        <v>5.4531886803283393E-2</v>
      </c>
      <c r="N2176" s="63">
        <v>4779</v>
      </c>
      <c r="O2176" s="63">
        <v>11631</v>
      </c>
      <c r="P2176" s="63">
        <v>61</v>
      </c>
      <c r="Q2176" s="63">
        <v>600</v>
      </c>
      <c r="R2176" s="63">
        <v>110</v>
      </c>
      <c r="S2176" s="63">
        <v>17</v>
      </c>
      <c r="T2176" s="63"/>
      <c r="U2176" s="63"/>
      <c r="V2176" s="63"/>
      <c r="W2176" s="63">
        <f>IF(Copyright!B$11=1,IF(CA2176&gt;0,CA2176-P2176-SUM(S2176:V2176)-SUM(X2176:Y2176)-SUM(AA2176:AT2176),SUM(CB2176:CM2176)),SUM(CB2176:CM2176))</f>
        <v>135</v>
      </c>
      <c r="X2176" s="63"/>
      <c r="Y2176" s="63">
        <v>2</v>
      </c>
      <c r="Z2176" s="63">
        <v>85</v>
      </c>
      <c r="AA2176" s="63">
        <v>0</v>
      </c>
      <c r="AB2176" s="63"/>
      <c r="AC2176" s="63"/>
      <c r="AD2176" s="63"/>
      <c r="AE2176" s="63">
        <v>0</v>
      </c>
      <c r="AF2176" s="63"/>
      <c r="AG2176" s="63">
        <v>0</v>
      </c>
      <c r="AH2176" s="63"/>
      <c r="AI2176" s="8"/>
      <c r="AJ2176" s="63"/>
      <c r="AK2176" s="63"/>
      <c r="AL2176" s="63"/>
      <c r="AM2176" s="63">
        <v>0</v>
      </c>
      <c r="AN2176" s="63">
        <v>1</v>
      </c>
      <c r="AO2176" s="63"/>
      <c r="AP2176" s="63"/>
      <c r="AQ2176" s="63">
        <v>0</v>
      </c>
      <c r="AR2176" s="63"/>
      <c r="AS2176" s="63"/>
      <c r="AT2176" s="63"/>
      <c r="AU2176" s="63"/>
      <c r="AW2176" s="5">
        <f>IF(Q2176&gt;0,RANK(Q2176,(N2176:P2176,Q2176:AE2176)),0)</f>
        <v>3</v>
      </c>
      <c r="AX2176" s="5">
        <f>IF(R2176&gt;0,RANK(R2176,(N2176:P2176,Q2176:AE2176)),0)</f>
        <v>5</v>
      </c>
      <c r="AY2176" s="5">
        <f>IF(T2176&gt;0,RANK(T2176,(N2176:P2176,Q2176:AE2176)),0)</f>
        <v>0</v>
      </c>
      <c r="AZ2176" s="5">
        <f>IF(S2176&gt;0,RANK(S2176,(N2176:P2176,Q2176:AE2176)),0)</f>
        <v>8</v>
      </c>
      <c r="BA2176" s="2">
        <f t="shared" si="901"/>
        <v>3.4441191665231616E-2</v>
      </c>
      <c r="BB2176" s="2">
        <f t="shared" si="902"/>
        <v>6.3142184719591297E-3</v>
      </c>
      <c r="BC2176" s="2">
        <f t="shared" si="903"/>
        <v>0</v>
      </c>
      <c r="BD2176" s="2">
        <f t="shared" si="904"/>
        <v>9.758337638482292E-4</v>
      </c>
      <c r="BF2176" t="s">
        <v>1650</v>
      </c>
      <c r="BG2176" t="s">
        <v>995</v>
      </c>
      <c r="BH2176">
        <v>15</v>
      </c>
      <c r="BJ2176" s="114">
        <v>39</v>
      </c>
      <c r="BK2176" s="116">
        <v>97</v>
      </c>
      <c r="BL2176" s="120">
        <f t="shared" si="895"/>
        <v>39097</v>
      </c>
      <c r="BN2176" s="5" t="s">
        <v>3154</v>
      </c>
      <c r="BO2176" s="63">
        <v>229</v>
      </c>
      <c r="BP2176" s="63">
        <v>35</v>
      </c>
      <c r="BR2176" s="63"/>
      <c r="BT2176" s="63"/>
      <c r="BY2176" s="63">
        <f t="shared" si="894"/>
        <v>0</v>
      </c>
      <c r="BZ2176" s="63">
        <v>17685</v>
      </c>
      <c r="CA2176" s="63">
        <v>216</v>
      </c>
      <c r="CB2176" s="132"/>
      <c r="CD2176" s="63">
        <v>0</v>
      </c>
      <c r="CE2176" s="63">
        <v>0</v>
      </c>
      <c r="CF2176" s="63">
        <v>0</v>
      </c>
      <c r="CG2176" s="8">
        <v>4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</row>
    <row r="2177" spans="1:90" hidden="1" outlineLevel="1">
      <c r="A2177" t="s">
        <v>1360</v>
      </c>
      <c r="B2177" t="s">
        <v>995</v>
      </c>
      <c r="C2177" s="1">
        <f t="shared" si="896"/>
        <v>115971</v>
      </c>
      <c r="D2177" s="5">
        <f>IF(N2177&gt;0, RANK(N2177,(N2177:P2177,Q2177:AE2177)),0)</f>
        <v>1</v>
      </c>
      <c r="E2177" s="5">
        <f>IF(O2177&gt;0,RANK(O2177,(N2177:P2177,Q2177:AE2177)),0)</f>
        <v>2</v>
      </c>
      <c r="F2177" s="5">
        <f>IF(P2177&gt;0,RANK(P2177,(N2177:P2177,Q2177:AE2177)),0)</f>
        <v>7</v>
      </c>
      <c r="G2177" s="132">
        <f t="shared" si="882"/>
        <v>3765</v>
      </c>
      <c r="H2177" s="137">
        <f t="shared" si="883"/>
        <v>3.2465012804925371E-2</v>
      </c>
      <c r="I2177" s="2"/>
      <c r="J2177" s="2">
        <f t="shared" si="897"/>
        <v>0.49478748997594224</v>
      </c>
      <c r="K2177" s="2">
        <f t="shared" si="898"/>
        <v>0.46232247717101688</v>
      </c>
      <c r="L2177" s="2">
        <f t="shared" si="899"/>
        <v>1.026118598615171E-3</v>
      </c>
      <c r="M2177" s="2">
        <f t="shared" si="900"/>
        <v>4.1863914254425712E-2</v>
      </c>
      <c r="N2177" s="63">
        <v>57381</v>
      </c>
      <c r="O2177" s="63">
        <v>53616</v>
      </c>
      <c r="P2177" s="63">
        <v>119</v>
      </c>
      <c r="Q2177" s="63">
        <v>2606</v>
      </c>
      <c r="R2177" s="63">
        <v>874</v>
      </c>
      <c r="S2177" s="63">
        <v>35</v>
      </c>
      <c r="T2177" s="63"/>
      <c r="U2177" s="63"/>
      <c r="V2177" s="63"/>
      <c r="W2177" s="63">
        <f>IF(Copyright!B$11=1,IF(CA2177&gt;0,CA2177-P2177-SUM(S2177:V2177)-SUM(X2177:Y2177)-SUM(AA2177:AT2177),SUM(CB2177:CM2177)),SUM(CB2177:CM2177))</f>
        <v>900</v>
      </c>
      <c r="X2177" s="63"/>
      <c r="Y2177" s="63">
        <v>1</v>
      </c>
      <c r="Z2177" s="63">
        <v>431</v>
      </c>
      <c r="AA2177" s="63">
        <v>2</v>
      </c>
      <c r="AB2177" s="63"/>
      <c r="AC2177" s="63"/>
      <c r="AD2177" s="63"/>
      <c r="AE2177" s="63">
        <v>0</v>
      </c>
      <c r="AF2177" s="63"/>
      <c r="AG2177" s="63">
        <v>0</v>
      </c>
      <c r="AH2177" s="63"/>
      <c r="AI2177" s="8"/>
      <c r="AJ2177" s="63"/>
      <c r="AK2177" s="63"/>
      <c r="AL2177" s="63"/>
      <c r="AM2177" s="63">
        <v>0</v>
      </c>
      <c r="AN2177" s="63">
        <v>5</v>
      </c>
      <c r="AO2177" s="63"/>
      <c r="AP2177" s="63"/>
      <c r="AQ2177" s="63">
        <v>1</v>
      </c>
      <c r="AR2177" s="63"/>
      <c r="AS2177" s="63"/>
      <c r="AT2177" s="63"/>
      <c r="AU2177" s="63"/>
      <c r="AW2177" s="5">
        <f>IF(Q2177&gt;0,RANK(Q2177,(N2177:P2177,Q2177:AE2177)),0)</f>
        <v>3</v>
      </c>
      <c r="AX2177" s="5">
        <f>IF(R2177&gt;0,RANK(R2177,(N2177:P2177,Q2177:AE2177)),0)</f>
        <v>5</v>
      </c>
      <c r="AY2177" s="5">
        <f>IF(T2177&gt;0,RANK(T2177,(N2177:P2177,Q2177:AE2177)),0)</f>
        <v>0</v>
      </c>
      <c r="AZ2177" s="5">
        <f>IF(S2177&gt;0,RANK(S2177,(N2177:P2177,Q2177:AE2177)),0)</f>
        <v>8</v>
      </c>
      <c r="BA2177" s="2">
        <f t="shared" si="901"/>
        <v>2.2471135025135595E-2</v>
      </c>
      <c r="BB2177" s="2">
        <f t="shared" si="902"/>
        <v>7.5363668503332726E-3</v>
      </c>
      <c r="BC2177" s="2">
        <f t="shared" si="903"/>
        <v>0</v>
      </c>
      <c r="BD2177" s="2">
        <f t="shared" si="904"/>
        <v>3.0179958782799147E-4</v>
      </c>
      <c r="BF2177" t="s">
        <v>1360</v>
      </c>
      <c r="BG2177" t="s">
        <v>995</v>
      </c>
      <c r="BJ2177" s="114">
        <v>39</v>
      </c>
      <c r="BK2177" s="116">
        <v>99</v>
      </c>
      <c r="BL2177" s="120">
        <f t="shared" si="895"/>
        <v>39099</v>
      </c>
      <c r="BN2177" s="5" t="s">
        <v>3154</v>
      </c>
      <c r="BR2177" s="63"/>
      <c r="BT2177" s="63"/>
      <c r="BY2177" s="63">
        <f t="shared" si="894"/>
        <v>0</v>
      </c>
      <c r="BZ2177" s="63">
        <f>1063+53616+874+2606+431+57381</f>
        <v>115971</v>
      </c>
      <c r="CA2177" s="132">
        <v>1063</v>
      </c>
      <c r="CB2177" s="132"/>
      <c r="CD2177" s="63">
        <v>0</v>
      </c>
      <c r="CE2177" s="63">
        <v>0</v>
      </c>
      <c r="CF2177" s="63">
        <v>1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</row>
    <row r="2178" spans="1:90" hidden="1" outlineLevel="1">
      <c r="A2178" t="s">
        <v>1826</v>
      </c>
      <c r="B2178" t="s">
        <v>995</v>
      </c>
      <c r="C2178" s="1">
        <f t="shared" si="896"/>
        <v>26478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7</v>
      </c>
      <c r="G2178" s="132">
        <f t="shared" si="882"/>
        <v>9033</v>
      </c>
      <c r="H2178" s="137">
        <f t="shared" si="883"/>
        <v>0.34115114434624971</v>
      </c>
      <c r="I2178" s="2"/>
      <c r="J2178" s="2">
        <f t="shared" si="897"/>
        <v>0.29941838507440138</v>
      </c>
      <c r="K2178" s="2">
        <f t="shared" si="898"/>
        <v>0.64056952942065115</v>
      </c>
      <c r="L2178" s="2">
        <f t="shared" si="899"/>
        <v>1.3973865095551024E-3</v>
      </c>
      <c r="M2178" s="2">
        <f t="shared" si="900"/>
        <v>5.861469899539231E-2</v>
      </c>
      <c r="N2178" s="63">
        <v>7928</v>
      </c>
      <c r="O2178" s="63">
        <v>16961</v>
      </c>
      <c r="P2178" s="63">
        <v>37</v>
      </c>
      <c r="Q2178" s="63">
        <v>986</v>
      </c>
      <c r="R2178" s="63">
        <v>238</v>
      </c>
      <c r="S2178" s="63">
        <v>12</v>
      </c>
      <c r="T2178" s="63"/>
      <c r="U2178" s="63"/>
      <c r="V2178" s="63"/>
      <c r="W2178" s="63">
        <f>IF(Copyright!B$11=1,IF(CA2178&gt;0,CA2178-P2178-SUM(S2178:V2178)-SUM(X2178:Y2178)-SUM(AA2178:AT2178),SUM(CB2178:CM2178)),SUM(CB2178:CM2178))</f>
        <v>156</v>
      </c>
      <c r="X2178" s="63"/>
      <c r="Y2178" s="63">
        <v>0</v>
      </c>
      <c r="Z2178" s="63">
        <v>158</v>
      </c>
      <c r="AA2178" s="63">
        <v>0</v>
      </c>
      <c r="AB2178" s="63"/>
      <c r="AC2178" s="63"/>
      <c r="AD2178" s="63"/>
      <c r="AE2178" s="63">
        <v>1</v>
      </c>
      <c r="AF2178" s="63"/>
      <c r="AG2178" s="63">
        <v>0</v>
      </c>
      <c r="AH2178" s="63"/>
      <c r="AI2178" s="8"/>
      <c r="AJ2178" s="63"/>
      <c r="AK2178" s="63"/>
      <c r="AL2178" s="63"/>
      <c r="AM2178" s="63">
        <v>0</v>
      </c>
      <c r="AN2178" s="63">
        <v>1</v>
      </c>
      <c r="AO2178" s="63"/>
      <c r="AP2178" s="63"/>
      <c r="AQ2178" s="63">
        <v>0</v>
      </c>
      <c r="AR2178" s="63"/>
      <c r="AS2178" s="63"/>
      <c r="AT2178" s="63"/>
      <c r="AU2178" s="63"/>
      <c r="AW2178" s="5">
        <f>IF(Q2178&gt;0,RANK(Q2178,(N2178:P2178,Q2178:AE2178)),0)</f>
        <v>3</v>
      </c>
      <c r="AX2178" s="5">
        <f>IF(R2178&gt;0,RANK(R2178,(N2178:P2178,Q2178:AE2178)),0)</f>
        <v>4</v>
      </c>
      <c r="AY2178" s="5">
        <f>IF(T2178&gt;0,RANK(T2178,(N2178:P2178,Q2178:AE2178)),0)</f>
        <v>0</v>
      </c>
      <c r="AZ2178" s="5">
        <f>IF(S2178&gt;0,RANK(S2178,(N2178:P2178,Q2178:AE2178)),0)</f>
        <v>8</v>
      </c>
      <c r="BA2178" s="2">
        <f t="shared" si="901"/>
        <v>3.7238462119495427E-2</v>
      </c>
      <c r="BB2178" s="2">
        <f t="shared" si="902"/>
        <v>8.9885943047057926E-3</v>
      </c>
      <c r="BC2178" s="2">
        <f t="shared" si="903"/>
        <v>0</v>
      </c>
      <c r="BD2178" s="2">
        <f t="shared" si="904"/>
        <v>4.5320643553138455E-4</v>
      </c>
      <c r="BF2178" t="s">
        <v>1826</v>
      </c>
      <c r="BG2178" t="s">
        <v>995</v>
      </c>
      <c r="BJ2178" s="114">
        <v>39</v>
      </c>
      <c r="BK2178" s="116">
        <v>101</v>
      </c>
      <c r="BL2178" s="120">
        <f t="shared" si="895"/>
        <v>39101</v>
      </c>
      <c r="BN2178" s="5" t="s">
        <v>3154</v>
      </c>
      <c r="BR2178" s="63"/>
      <c r="BT2178" s="63"/>
      <c r="BY2178" s="63">
        <f t="shared" si="894"/>
        <v>0</v>
      </c>
      <c r="BZ2178" s="63">
        <v>26478</v>
      </c>
      <c r="CA2178" s="63">
        <f>156+39+12</f>
        <v>207</v>
      </c>
      <c r="CB2178" s="132"/>
      <c r="CD2178" s="63">
        <v>0</v>
      </c>
      <c r="CE2178" s="63">
        <v>0</v>
      </c>
      <c r="CF2178" s="63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</row>
    <row r="2179" spans="1:90" hidden="1" outlineLevel="1">
      <c r="A2179" t="s">
        <v>1301</v>
      </c>
      <c r="B2179" t="s">
        <v>995</v>
      </c>
      <c r="C2179" s="1">
        <f t="shared" si="896"/>
        <v>92163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7</v>
      </c>
      <c r="G2179" s="132">
        <f t="shared" si="882"/>
        <v>22628</v>
      </c>
      <c r="H2179" s="137">
        <f t="shared" si="883"/>
        <v>0.24552152165185595</v>
      </c>
      <c r="I2179" s="2"/>
      <c r="J2179" s="2">
        <f t="shared" si="897"/>
        <v>0.34918568188969545</v>
      </c>
      <c r="K2179" s="2">
        <f t="shared" si="898"/>
        <v>0.59470720354155138</v>
      </c>
      <c r="L2179" s="2">
        <f t="shared" si="899"/>
        <v>2.4521771209704544E-3</v>
      </c>
      <c r="M2179" s="2">
        <f t="shared" si="900"/>
        <v>5.3654937447782713E-2</v>
      </c>
      <c r="N2179" s="63">
        <v>32182</v>
      </c>
      <c r="O2179" s="63">
        <v>54810</v>
      </c>
      <c r="P2179" s="63">
        <v>226</v>
      </c>
      <c r="Q2179" s="63">
        <v>2975</v>
      </c>
      <c r="R2179" s="63">
        <v>709</v>
      </c>
      <c r="S2179" s="63">
        <v>38</v>
      </c>
      <c r="T2179" s="63"/>
      <c r="U2179" s="63"/>
      <c r="V2179" s="63"/>
      <c r="W2179" s="63">
        <f>IF(Copyright!B$11=1,IF(CA2179&gt;0,CA2179-P2179-SUM(S2179:V2179)-SUM(X2179:Y2179)-SUM(AA2179:AT2179),SUM(CB2179:CM2179)),SUM(CB2179:CM2179))</f>
        <v>801</v>
      </c>
      <c r="X2179" s="63"/>
      <c r="Y2179" s="63">
        <v>6</v>
      </c>
      <c r="Z2179" s="63">
        <v>395</v>
      </c>
      <c r="AA2179" s="63">
        <v>0</v>
      </c>
      <c r="AB2179" s="63"/>
      <c r="AC2179" s="63"/>
      <c r="AD2179" s="63"/>
      <c r="AE2179" s="63">
        <v>6</v>
      </c>
      <c r="AF2179" s="63"/>
      <c r="AG2179" s="63">
        <v>5</v>
      </c>
      <c r="AH2179" s="63"/>
      <c r="AI2179" s="8"/>
      <c r="AJ2179" s="63"/>
      <c r="AK2179" s="63"/>
      <c r="AL2179" s="63"/>
      <c r="AM2179" s="63">
        <v>0</v>
      </c>
      <c r="AN2179" s="63">
        <v>8</v>
      </c>
      <c r="AO2179" s="63"/>
      <c r="AP2179" s="63"/>
      <c r="AQ2179" s="63">
        <v>2</v>
      </c>
      <c r="AR2179" s="63"/>
      <c r="AS2179" s="63"/>
      <c r="AT2179" s="63"/>
      <c r="AU2179" s="63"/>
      <c r="AW2179" s="5">
        <f>IF(Q2179&gt;0,RANK(Q2179,(N2179:P2179,Q2179:AE2179)),0)</f>
        <v>3</v>
      </c>
      <c r="AX2179" s="5">
        <f>IF(R2179&gt;0,RANK(R2179,(N2179:P2179,Q2179:AE2179)),0)</f>
        <v>5</v>
      </c>
      <c r="AY2179" s="5">
        <f>IF(T2179&gt;0,RANK(T2179,(N2179:P2179,Q2179:AE2179)),0)</f>
        <v>0</v>
      </c>
      <c r="AZ2179" s="5">
        <f>IF(S2179&gt;0,RANK(S2179,(N2179:P2179,Q2179:AE2179)),0)</f>
        <v>8</v>
      </c>
      <c r="BA2179" s="2">
        <f t="shared" si="901"/>
        <v>3.2279765198615494E-2</v>
      </c>
      <c r="BB2179" s="2">
        <f t="shared" si="902"/>
        <v>7.6928919414515585E-3</v>
      </c>
      <c r="BC2179" s="2">
        <f t="shared" si="903"/>
        <v>0</v>
      </c>
      <c r="BD2179" s="2">
        <f t="shared" si="904"/>
        <v>4.1231296724281977E-4</v>
      </c>
      <c r="BF2179" t="s">
        <v>1301</v>
      </c>
      <c r="BG2179" t="s">
        <v>995</v>
      </c>
      <c r="BJ2179" s="114">
        <v>39</v>
      </c>
      <c r="BK2179" s="116">
        <v>103</v>
      </c>
      <c r="BL2179" s="120">
        <f t="shared" si="895"/>
        <v>39103</v>
      </c>
      <c r="BN2179" s="5" t="s">
        <v>3154</v>
      </c>
      <c r="BR2179" s="63"/>
      <c r="BT2179" s="63"/>
      <c r="BY2179" s="63">
        <f t="shared" si="894"/>
        <v>0</v>
      </c>
      <c r="BZ2179" s="63">
        <v>92163</v>
      </c>
      <c r="CA2179" s="63">
        <f>1065+27</f>
        <v>1092</v>
      </c>
      <c r="CB2179" s="132"/>
      <c r="CD2179" s="63">
        <v>0</v>
      </c>
      <c r="CE2179" s="63">
        <v>2</v>
      </c>
      <c r="CF2179" s="63">
        <v>0</v>
      </c>
      <c r="CG2179" s="8">
        <v>4</v>
      </c>
      <c r="CH2179" s="8">
        <v>0</v>
      </c>
      <c r="CI2179" s="8">
        <v>0</v>
      </c>
      <c r="CJ2179" s="8">
        <v>1</v>
      </c>
      <c r="CK2179" s="8">
        <v>4</v>
      </c>
      <c r="CL2179" s="8">
        <v>0</v>
      </c>
    </row>
    <row r="2180" spans="1:90" hidden="1" outlineLevel="1">
      <c r="A2180" t="s">
        <v>2654</v>
      </c>
      <c r="B2180" t="s">
        <v>995</v>
      </c>
      <c r="C2180" s="1">
        <f t="shared" si="896"/>
        <v>10041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7</v>
      </c>
      <c r="G2180" s="132">
        <f t="shared" si="882"/>
        <v>5049</v>
      </c>
      <c r="H2180" s="137">
        <f t="shared" si="883"/>
        <v>0.50283836271287718</v>
      </c>
      <c r="I2180" s="2"/>
      <c r="J2180" s="2">
        <f t="shared" si="897"/>
        <v>0.22507718354745543</v>
      </c>
      <c r="K2180" s="2">
        <f t="shared" si="898"/>
        <v>0.72791554626033261</v>
      </c>
      <c r="L2180" s="2">
        <f t="shared" si="899"/>
        <v>5.9755004481625333E-4</v>
      </c>
      <c r="M2180" s="2">
        <f t="shared" si="900"/>
        <v>4.6409720147395708E-2</v>
      </c>
      <c r="N2180" s="63">
        <v>2260</v>
      </c>
      <c r="O2180" s="63">
        <v>7309</v>
      </c>
      <c r="P2180" s="63">
        <v>6</v>
      </c>
      <c r="Q2180" s="63">
        <v>280</v>
      </c>
      <c r="R2180" s="63">
        <v>66</v>
      </c>
      <c r="S2180" s="63">
        <v>1</v>
      </c>
      <c r="T2180" s="63"/>
      <c r="U2180" s="63"/>
      <c r="V2180" s="63"/>
      <c r="W2180" s="63">
        <f>IF(Copyright!B$11=1,IF(CA2180&gt;0,CA2180-P2180-SUM(S2180:V2180)-SUM(X2180:Y2180)-SUM(AA2180:AT2180),SUM(CB2180:CM2180)),SUM(CB2180:CM2180))</f>
        <v>56</v>
      </c>
      <c r="X2180" s="63"/>
      <c r="Y2180" s="63">
        <v>0</v>
      </c>
      <c r="Z2180" s="63">
        <v>63</v>
      </c>
      <c r="AA2180" s="63">
        <v>0</v>
      </c>
      <c r="AB2180" s="63"/>
      <c r="AC2180" s="63"/>
      <c r="AD2180" s="63"/>
      <c r="AE2180" s="63">
        <v>0</v>
      </c>
      <c r="AF2180" s="63"/>
      <c r="AG2180" s="63">
        <v>0</v>
      </c>
      <c r="AH2180" s="63"/>
      <c r="AI2180" s="8"/>
      <c r="AJ2180" s="63"/>
      <c r="AK2180" s="63"/>
      <c r="AL2180" s="63"/>
      <c r="AM2180" s="63">
        <v>0</v>
      </c>
      <c r="AN2180" s="63">
        <v>0</v>
      </c>
      <c r="AO2180" s="63"/>
      <c r="AP2180" s="63"/>
      <c r="AQ2180" s="63">
        <v>0</v>
      </c>
      <c r="AR2180" s="63"/>
      <c r="AS2180" s="63"/>
      <c r="AT2180" s="63"/>
      <c r="AU2180" s="63"/>
      <c r="AW2180" s="5">
        <f>IF(Q2180&gt;0,RANK(Q2180,(N2180:P2180,Q2180:AE2180)),0)</f>
        <v>3</v>
      </c>
      <c r="AX2180" s="5">
        <f>IF(R2180&gt;0,RANK(R2180,(N2180:P2180,Q2180:AE2180)),0)</f>
        <v>4</v>
      </c>
      <c r="AY2180" s="5">
        <f>IF(T2180&gt;0,RANK(T2180,(N2180:P2180,Q2180:AE2180)),0)</f>
        <v>0</v>
      </c>
      <c r="AZ2180" s="5">
        <f>IF(S2180&gt;0,RANK(S2180,(N2180:P2180,Q2180:AE2180)),0)</f>
        <v>8</v>
      </c>
      <c r="BA2180" s="2">
        <f t="shared" si="901"/>
        <v>2.7885668758091824E-2</v>
      </c>
      <c r="BB2180" s="2">
        <f t="shared" si="902"/>
        <v>6.5730504929787867E-3</v>
      </c>
      <c r="BC2180" s="2">
        <f t="shared" si="903"/>
        <v>0</v>
      </c>
      <c r="BD2180" s="2">
        <f t="shared" si="904"/>
        <v>9.9591674136042225E-5</v>
      </c>
      <c r="BF2180" t="s">
        <v>2654</v>
      </c>
      <c r="BG2180" t="s">
        <v>995</v>
      </c>
      <c r="BH2180">
        <v>6</v>
      </c>
      <c r="BJ2180" s="114">
        <v>39</v>
      </c>
      <c r="BK2180" s="116">
        <v>105</v>
      </c>
      <c r="BL2180" s="120">
        <f t="shared" si="895"/>
        <v>39105</v>
      </c>
      <c r="BN2180" s="5" t="s">
        <v>3154</v>
      </c>
      <c r="BR2180" s="63"/>
      <c r="BT2180" s="63"/>
      <c r="BY2180" s="63">
        <f t="shared" si="894"/>
        <v>-10041</v>
      </c>
      <c r="CA2180" s="63">
        <v>63</v>
      </c>
      <c r="CB2180" s="132"/>
      <c r="CD2180" s="63">
        <v>0</v>
      </c>
      <c r="CE2180" s="63">
        <v>0</v>
      </c>
      <c r="CF2180" s="63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</row>
    <row r="2181" spans="1:90" hidden="1" outlineLevel="1">
      <c r="A2181" t="s">
        <v>449</v>
      </c>
      <c r="B2181" t="s">
        <v>995</v>
      </c>
      <c r="C2181" s="1">
        <f t="shared" si="896"/>
        <v>21816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7</v>
      </c>
      <c r="G2181" s="132">
        <f t="shared" si="882"/>
        <v>14122</v>
      </c>
      <c r="H2181" s="137">
        <f t="shared" si="883"/>
        <v>0.64732306563989728</v>
      </c>
      <c r="I2181" s="2"/>
      <c r="J2181" s="2">
        <f t="shared" si="897"/>
        <v>0.15511551155115511</v>
      </c>
      <c r="K2181" s="2">
        <f t="shared" si="898"/>
        <v>0.80243857719105249</v>
      </c>
      <c r="L2181" s="2">
        <f t="shared" si="899"/>
        <v>1.5126512651265126E-3</v>
      </c>
      <c r="M2181" s="2">
        <f t="shared" si="900"/>
        <v>4.0933259992665887E-2</v>
      </c>
      <c r="N2181" s="63">
        <v>3384</v>
      </c>
      <c r="O2181" s="63">
        <v>17506</v>
      </c>
      <c r="P2181" s="63">
        <v>33</v>
      </c>
      <c r="Q2181" s="63">
        <v>562</v>
      </c>
      <c r="R2181" s="63">
        <v>110</v>
      </c>
      <c r="S2181" s="63">
        <v>4</v>
      </c>
      <c r="T2181" s="63"/>
      <c r="U2181" s="63"/>
      <c r="V2181" s="63"/>
      <c r="W2181" s="63">
        <f>IF(Copyright!B$11=1,IF(CA2181&gt;0,CA2181-P2181-SUM(S2181:V2181)-SUM(X2181:Y2181)-SUM(AA2181:AT2181),SUM(CB2181:CM2181)),SUM(CB2181:CM2181))</f>
        <v>90</v>
      </c>
      <c r="X2181" s="63"/>
      <c r="Y2181" s="63">
        <v>3</v>
      </c>
      <c r="Z2181" s="63">
        <v>120</v>
      </c>
      <c r="AA2181" s="63">
        <v>0</v>
      </c>
      <c r="AB2181" s="63"/>
      <c r="AC2181" s="63"/>
      <c r="AD2181" s="63"/>
      <c r="AE2181" s="63">
        <v>0</v>
      </c>
      <c r="AF2181" s="63"/>
      <c r="AG2181" s="63">
        <v>0</v>
      </c>
      <c r="AH2181" s="63"/>
      <c r="AI2181" s="8"/>
      <c r="AJ2181" s="63"/>
      <c r="AK2181" s="63"/>
      <c r="AL2181" s="63"/>
      <c r="AM2181" s="63">
        <v>0</v>
      </c>
      <c r="AN2181" s="63">
        <v>4</v>
      </c>
      <c r="AO2181" s="63"/>
      <c r="AP2181" s="63"/>
      <c r="AQ2181" s="63">
        <v>0</v>
      </c>
      <c r="AR2181" s="63"/>
      <c r="AS2181" s="63"/>
      <c r="AT2181" s="63"/>
      <c r="AU2181" s="63"/>
      <c r="AW2181" s="5">
        <f>IF(Q2181&gt;0,RANK(Q2181,(N2181:P2181,Q2181:AE2181)),0)</f>
        <v>3</v>
      </c>
      <c r="AX2181" s="5">
        <f>IF(R2181&gt;0,RANK(R2181,(N2181:P2181,Q2181:AE2181)),0)</f>
        <v>5</v>
      </c>
      <c r="AY2181" s="5">
        <f>IF(T2181&gt;0,RANK(T2181,(N2181:P2181,Q2181:AE2181)),0)</f>
        <v>0</v>
      </c>
      <c r="AZ2181" s="5">
        <f>IF(S2181&gt;0,RANK(S2181,(N2181:P2181,Q2181:AE2181)),0)</f>
        <v>8</v>
      </c>
      <c r="BA2181" s="2">
        <f t="shared" si="901"/>
        <v>2.5760909424275762E-2</v>
      </c>
      <c r="BB2181" s="2">
        <f t="shared" si="902"/>
        <v>5.0421708837550426E-3</v>
      </c>
      <c r="BC2181" s="2">
        <f t="shared" si="903"/>
        <v>0</v>
      </c>
      <c r="BD2181" s="2">
        <f t="shared" si="904"/>
        <v>1.8335166850018335E-4</v>
      </c>
      <c r="BF2181" t="s">
        <v>449</v>
      </c>
      <c r="BG2181" t="s">
        <v>995</v>
      </c>
      <c r="BJ2181" s="114">
        <v>39</v>
      </c>
      <c r="BK2181" s="116">
        <v>107</v>
      </c>
      <c r="BL2181" s="120">
        <f t="shared" si="895"/>
        <v>39107</v>
      </c>
      <c r="BN2181" s="5" t="s">
        <v>3154</v>
      </c>
      <c r="BR2181" s="63"/>
      <c r="BT2181" s="63"/>
      <c r="BY2181" s="63">
        <f t="shared" si="894"/>
        <v>0</v>
      </c>
      <c r="BZ2181" s="63">
        <v>21816</v>
      </c>
      <c r="CA2181" s="63">
        <v>134</v>
      </c>
      <c r="CB2181" s="132"/>
      <c r="CD2181" s="63">
        <v>0</v>
      </c>
      <c r="CE2181" s="63">
        <v>0</v>
      </c>
      <c r="CF2181" s="63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</row>
    <row r="2182" spans="1:90" hidden="1" outlineLevel="1">
      <c r="A2182" t="s">
        <v>182</v>
      </c>
      <c r="B2182" t="s">
        <v>995</v>
      </c>
      <c r="C2182" s="1">
        <f t="shared" si="896"/>
        <v>53094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7</v>
      </c>
      <c r="G2182" s="132">
        <f t="shared" si="882"/>
        <v>23959</v>
      </c>
      <c r="H2182" s="137">
        <f t="shared" si="883"/>
        <v>0.45125626247786943</v>
      </c>
      <c r="I2182" s="2"/>
      <c r="J2182" s="2">
        <f t="shared" si="897"/>
        <v>0.24710890119410855</v>
      </c>
      <c r="K2182" s="2">
        <f t="shared" si="898"/>
        <v>0.69836516367197798</v>
      </c>
      <c r="L2182" s="2">
        <f t="shared" si="899"/>
        <v>2.0717971898896298E-3</v>
      </c>
      <c r="M2182" s="2">
        <f t="shared" si="900"/>
        <v>5.2454137944023829E-2</v>
      </c>
      <c r="N2182" s="63">
        <v>13120</v>
      </c>
      <c r="O2182" s="63">
        <v>37079</v>
      </c>
      <c r="P2182" s="63">
        <v>110</v>
      </c>
      <c r="Q2182" s="63">
        <v>1837</v>
      </c>
      <c r="R2182" s="63">
        <v>315</v>
      </c>
      <c r="S2182" s="63">
        <v>27</v>
      </c>
      <c r="T2182" s="63"/>
      <c r="U2182" s="63"/>
      <c r="V2182" s="63"/>
      <c r="W2182" s="63">
        <f>IF(Copyright!B$11=1,IF(CA2182&gt;0,CA2182-P2182-SUM(S2182:V2182)-SUM(X2182:Y2182)-SUM(AA2182:AT2182),SUM(CB2182:CM2182)),SUM(CB2182:CM2182))</f>
        <v>363</v>
      </c>
      <c r="X2182" s="63"/>
      <c r="Y2182" s="63">
        <v>0</v>
      </c>
      <c r="Z2182" s="63">
        <v>229</v>
      </c>
      <c r="AA2182" s="63">
        <v>0</v>
      </c>
      <c r="AB2182" s="63"/>
      <c r="AC2182" s="63"/>
      <c r="AD2182" s="63"/>
      <c r="AE2182" s="63">
        <v>1</v>
      </c>
      <c r="AF2182" s="63"/>
      <c r="AG2182" s="63">
        <v>2</v>
      </c>
      <c r="AH2182" s="63"/>
      <c r="AI2182" s="8"/>
      <c r="AJ2182" s="63"/>
      <c r="AK2182" s="63"/>
      <c r="AL2182" s="63"/>
      <c r="AM2182" s="63">
        <v>1</v>
      </c>
      <c r="AN2182" s="63">
        <v>7</v>
      </c>
      <c r="AO2182" s="63"/>
      <c r="AP2182" s="63"/>
      <c r="AQ2182" s="63">
        <v>3</v>
      </c>
      <c r="AR2182" s="63"/>
      <c r="AS2182" s="63"/>
      <c r="AT2182" s="63"/>
      <c r="AU2182" s="63"/>
      <c r="AW2182" s="5">
        <f>IF(Q2182&gt;0,RANK(Q2182,(N2182:P2182,Q2182:AE2182)),0)</f>
        <v>3</v>
      </c>
      <c r="AX2182" s="5">
        <f>IF(R2182&gt;0,RANK(R2182,(N2182:P2182,Q2182:AE2182)),0)</f>
        <v>5</v>
      </c>
      <c r="AY2182" s="5">
        <f>IF(T2182&gt;0,RANK(T2182,(N2182:P2182,Q2182:AE2182)),0)</f>
        <v>0</v>
      </c>
      <c r="AZ2182" s="5">
        <f>IF(S2182&gt;0,RANK(S2182,(N2182:P2182,Q2182:AE2182)),0)</f>
        <v>8</v>
      </c>
      <c r="BA2182" s="2">
        <f t="shared" si="901"/>
        <v>3.4599013071156814E-2</v>
      </c>
      <c r="BB2182" s="2">
        <f t="shared" si="902"/>
        <v>5.9328737710475756E-3</v>
      </c>
      <c r="BC2182" s="2">
        <f t="shared" si="903"/>
        <v>0</v>
      </c>
      <c r="BD2182" s="2">
        <f t="shared" si="904"/>
        <v>5.0853203751836365E-4</v>
      </c>
      <c r="BF2182" t="s">
        <v>182</v>
      </c>
      <c r="BG2182" t="s">
        <v>995</v>
      </c>
      <c r="BH2182">
        <v>8</v>
      </c>
      <c r="BJ2182" s="114">
        <v>39</v>
      </c>
      <c r="BK2182" s="116">
        <v>109</v>
      </c>
      <c r="BL2182" s="120">
        <f t="shared" si="895"/>
        <v>39109</v>
      </c>
      <c r="BN2182" s="5" t="s">
        <v>3154</v>
      </c>
      <c r="BR2182" s="63"/>
      <c r="BT2182" s="63"/>
      <c r="BY2182" s="63">
        <f t="shared" si="894"/>
        <v>0</v>
      </c>
      <c r="BZ2182" s="63">
        <v>53094</v>
      </c>
      <c r="CA2182" s="63">
        <f>360+4+110+7+2+3+1+27</f>
        <v>514</v>
      </c>
      <c r="CB2182" s="132"/>
      <c r="CD2182" s="63">
        <v>0</v>
      </c>
      <c r="CE2182" s="63">
        <v>0</v>
      </c>
      <c r="CF2182" s="63">
        <v>0</v>
      </c>
      <c r="CG2182" s="8">
        <v>1</v>
      </c>
      <c r="CH2182" s="8">
        <v>1</v>
      </c>
      <c r="CI2182" s="8">
        <v>0</v>
      </c>
      <c r="CJ2182" s="8">
        <v>0</v>
      </c>
      <c r="CK2182" s="8">
        <v>1</v>
      </c>
      <c r="CL2182" s="8">
        <v>0</v>
      </c>
    </row>
    <row r="2183" spans="1:90" hidden="1" outlineLevel="1">
      <c r="A2183" t="s">
        <v>644</v>
      </c>
      <c r="B2183" t="s">
        <v>995</v>
      </c>
      <c r="C2183" s="1">
        <f t="shared" si="896"/>
        <v>6853</v>
      </c>
      <c r="D2183" s="5">
        <f>IF(N2183&gt;0, RANK(N2183,(N2183:P2183,Q2183:AE2183)),0)</f>
        <v>2</v>
      </c>
      <c r="E2183" s="5">
        <f>IF(O2183&gt;0,RANK(O2183,(N2183:P2183,Q2183:AE2183)),0)</f>
        <v>1</v>
      </c>
      <c r="F2183" s="5">
        <f>IF(P2183&gt;0,RANK(P2183,(N2183:P2183,Q2183:AE2183)),0)</f>
        <v>7</v>
      </c>
      <c r="G2183" s="132">
        <f t="shared" si="882"/>
        <v>3206</v>
      </c>
      <c r="H2183" s="137">
        <f t="shared" si="883"/>
        <v>0.46782431052093976</v>
      </c>
      <c r="I2183" s="2"/>
      <c r="J2183" s="2">
        <f t="shared" si="897"/>
        <v>0.24252152342039981</v>
      </c>
      <c r="K2183" s="2">
        <f t="shared" si="898"/>
        <v>0.71034583394133954</v>
      </c>
      <c r="L2183" s="2">
        <f t="shared" si="899"/>
        <v>4.3776448270830295E-4</v>
      </c>
      <c r="M2183" s="2">
        <f t="shared" si="900"/>
        <v>4.6694878155552365E-2</v>
      </c>
      <c r="N2183" s="63">
        <v>1662</v>
      </c>
      <c r="O2183" s="63">
        <v>4868</v>
      </c>
      <c r="P2183" s="63">
        <v>3</v>
      </c>
      <c r="Q2183" s="63">
        <v>162</v>
      </c>
      <c r="R2183" s="63">
        <v>36</v>
      </c>
      <c r="S2183" s="63">
        <v>0</v>
      </c>
      <c r="T2183" s="63"/>
      <c r="U2183" s="63"/>
      <c r="V2183" s="63"/>
      <c r="W2183" s="63">
        <f>IF(Copyright!B$11=1,IF(CA2183&gt;0,CA2183-P2183-SUM(S2183:V2183)-SUM(X2183:Y2183)-SUM(AA2183:AT2183),SUM(CB2183:CM2183)),SUM(CB2183:CM2183))</f>
        <v>58</v>
      </c>
      <c r="X2183" s="63"/>
      <c r="Y2183" s="63">
        <v>0</v>
      </c>
      <c r="Z2183" s="63">
        <v>64</v>
      </c>
      <c r="AA2183" s="63">
        <v>0</v>
      </c>
      <c r="AB2183" s="63"/>
      <c r="AC2183" s="63"/>
      <c r="AD2183" s="63"/>
      <c r="AE2183" s="63">
        <v>0</v>
      </c>
      <c r="AF2183" s="63"/>
      <c r="AG2183" s="63">
        <v>0</v>
      </c>
      <c r="AH2183" s="63"/>
      <c r="AI2183" s="8"/>
      <c r="AJ2183" s="63"/>
      <c r="AK2183" s="63"/>
      <c r="AL2183" s="63"/>
      <c r="AM2183" s="63">
        <v>0</v>
      </c>
      <c r="AN2183" s="63">
        <v>0</v>
      </c>
      <c r="AO2183" s="63"/>
      <c r="AP2183" s="63"/>
      <c r="AQ2183" s="63">
        <v>0</v>
      </c>
      <c r="AR2183" s="63"/>
      <c r="AS2183" s="63"/>
      <c r="AT2183" s="63"/>
      <c r="AU2183" s="63"/>
      <c r="AW2183" s="5">
        <f>IF(Q2183&gt;0,RANK(Q2183,(N2183:P2183,Q2183:AE2183)),0)</f>
        <v>3</v>
      </c>
      <c r="AX2183" s="5">
        <f>IF(R2183&gt;0,RANK(R2183,(N2183:P2183,Q2183:AE2183)),0)</f>
        <v>6</v>
      </c>
      <c r="AY2183" s="5">
        <f>IF(T2183&gt;0,RANK(T2183,(N2183:P2183,Q2183:AE2183)),0)</f>
        <v>0</v>
      </c>
      <c r="AZ2183" s="5">
        <f>IF(S2183&gt;0,RANK(S2183,(N2183:P2183,Q2183:AE2183)),0)</f>
        <v>0</v>
      </c>
      <c r="BA2183" s="2">
        <f t="shared" si="901"/>
        <v>2.3639282066248359E-2</v>
      </c>
      <c r="BB2183" s="2">
        <f t="shared" si="902"/>
        <v>5.2531737924996352E-3</v>
      </c>
      <c r="BC2183" s="2">
        <f t="shared" si="903"/>
        <v>0</v>
      </c>
      <c r="BD2183" s="2">
        <f t="shared" si="904"/>
        <v>0</v>
      </c>
      <c r="BF2183" t="s">
        <v>644</v>
      </c>
      <c r="BG2183" t="s">
        <v>995</v>
      </c>
      <c r="BH2183">
        <v>6</v>
      </c>
      <c r="BJ2183" s="114">
        <v>39</v>
      </c>
      <c r="BK2183" s="116">
        <v>111</v>
      </c>
      <c r="BL2183" s="120">
        <f t="shared" si="895"/>
        <v>39111</v>
      </c>
      <c r="BN2183" s="5" t="s">
        <v>3154</v>
      </c>
      <c r="BO2183" s="63">
        <v>164</v>
      </c>
      <c r="BP2183" s="63">
        <v>23</v>
      </c>
      <c r="BR2183" s="63"/>
      <c r="BS2183" s="128"/>
      <c r="BT2183" s="63"/>
      <c r="BY2183" s="63">
        <f t="shared" si="894"/>
        <v>0</v>
      </c>
      <c r="BZ2183" s="63">
        <v>7040</v>
      </c>
      <c r="CA2183" s="63">
        <v>61</v>
      </c>
      <c r="CB2183" s="132"/>
      <c r="CD2183" s="63">
        <v>0</v>
      </c>
      <c r="CE2183" s="63">
        <v>0</v>
      </c>
      <c r="CF2183" s="63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</row>
    <row r="2184" spans="1:90" hidden="1" outlineLevel="1">
      <c r="A2184" t="s">
        <v>1406</v>
      </c>
      <c r="B2184" t="s">
        <v>995</v>
      </c>
      <c r="C2184" s="1">
        <f t="shared" si="896"/>
        <v>259876</v>
      </c>
      <c r="D2184" s="5">
        <f>IF(N2184&gt;0, RANK(N2184,(N2184:P2184,Q2184:AE2184)),0)</f>
        <v>2</v>
      </c>
      <c r="E2184" s="5">
        <f>IF(O2184&gt;0,RANK(O2184,(N2184:P2184,Q2184:AE2184)),0)</f>
        <v>1</v>
      </c>
      <c r="F2184" s="5">
        <f>IF(P2184&gt;0,RANK(P2184,(N2184:P2184,Q2184:AE2184)),0)</f>
        <v>7</v>
      </c>
      <c r="G2184" s="132">
        <f t="shared" ref="G2184:G2247" si="905">IF(C2184&gt;0,MAX(N2184:P2184)-LARGE(N2184:P2184,2),0)</f>
        <v>1893</v>
      </c>
      <c r="H2184" s="137">
        <f t="shared" ref="H2184:H2247" si="906">IF(C2184&gt;0,G2184/C2184,0)</f>
        <v>7.284243254475211E-3</v>
      </c>
      <c r="I2184" s="2"/>
      <c r="J2184" s="2">
        <f t="shared" si="897"/>
        <v>0.4695162308177746</v>
      </c>
      <c r="K2184" s="2">
        <f t="shared" si="898"/>
        <v>0.47680047407224985</v>
      </c>
      <c r="L2184" s="2">
        <f t="shared" si="899"/>
        <v>2.4819529313980515E-3</v>
      </c>
      <c r="M2184" s="2">
        <f t="shared" si="900"/>
        <v>5.1201342178577497E-2</v>
      </c>
      <c r="N2184" s="63">
        <v>122016</v>
      </c>
      <c r="O2184" s="63">
        <v>123909</v>
      </c>
      <c r="P2184" s="63">
        <v>645</v>
      </c>
      <c r="Q2184" s="63">
        <v>8387</v>
      </c>
      <c r="R2184" s="63">
        <v>2282</v>
      </c>
      <c r="S2184" s="63">
        <v>88</v>
      </c>
      <c r="T2184" s="63"/>
      <c r="U2184" s="63"/>
      <c r="V2184" s="63"/>
      <c r="W2184" s="63">
        <f>IF(Copyright!B$11=1,IF(CA2184&gt;0,CA2184-P2184-SUM(S2184:V2184)-SUM(X2184:Y2184)-SUM(AA2184:AT2184),SUM(CB2184:CM2184)),SUM(CB2184:CM2184))</f>
        <v>1598</v>
      </c>
      <c r="X2184" s="63"/>
      <c r="Y2184" s="63">
        <v>11</v>
      </c>
      <c r="Z2184" s="63">
        <v>905</v>
      </c>
      <c r="AA2184" s="63">
        <v>0</v>
      </c>
      <c r="AB2184" s="63"/>
      <c r="AC2184" s="63"/>
      <c r="AD2184" s="63"/>
      <c r="AE2184" s="63">
        <v>3</v>
      </c>
      <c r="AF2184" s="63"/>
      <c r="AG2184" s="63">
        <v>6</v>
      </c>
      <c r="AH2184" s="63"/>
      <c r="AI2184" s="8"/>
      <c r="AJ2184" s="63"/>
      <c r="AK2184" s="63"/>
      <c r="AL2184" s="63"/>
      <c r="AM2184" s="63">
        <v>0</v>
      </c>
      <c r="AN2184" s="63">
        <v>24</v>
      </c>
      <c r="AO2184" s="63"/>
      <c r="AP2184" s="63"/>
      <c r="AQ2184" s="63">
        <v>2</v>
      </c>
      <c r="AR2184" s="63"/>
      <c r="AS2184" s="63"/>
      <c r="AT2184" s="63"/>
      <c r="AU2184" s="63"/>
      <c r="AW2184" s="5">
        <f>IF(Q2184&gt;0,RANK(Q2184,(N2184:P2184,Q2184:AE2184)),0)</f>
        <v>3</v>
      </c>
      <c r="AX2184" s="5">
        <f>IF(R2184&gt;0,RANK(R2184,(N2184:P2184,Q2184:AE2184)),0)</f>
        <v>4</v>
      </c>
      <c r="AY2184" s="5">
        <f>IF(T2184&gt;0,RANK(T2184,(N2184:P2184,Q2184:AE2184)),0)</f>
        <v>0</v>
      </c>
      <c r="AZ2184" s="5">
        <f>IF(S2184&gt;0,RANK(S2184,(N2184:P2184,Q2184:AE2184)),0)</f>
        <v>8</v>
      </c>
      <c r="BA2184" s="2">
        <f t="shared" si="901"/>
        <v>3.2273084086256523E-2</v>
      </c>
      <c r="BB2184" s="2">
        <f t="shared" si="902"/>
        <v>8.7811109913958959E-3</v>
      </c>
      <c r="BC2184" s="2">
        <f t="shared" si="903"/>
        <v>0</v>
      </c>
      <c r="BD2184" s="2">
        <f t="shared" si="904"/>
        <v>3.3862303560159462E-4</v>
      </c>
      <c r="BF2184" t="s">
        <v>1406</v>
      </c>
      <c r="BG2184" t="s">
        <v>995</v>
      </c>
      <c r="BH2184">
        <v>10</v>
      </c>
      <c r="BJ2184" s="114">
        <v>39</v>
      </c>
      <c r="BK2184" s="116">
        <v>113</v>
      </c>
      <c r="BL2184" s="120">
        <f t="shared" si="895"/>
        <v>39113</v>
      </c>
      <c r="BN2184" s="5" t="s">
        <v>3154</v>
      </c>
      <c r="BR2184" s="63"/>
      <c r="BS2184" s="128"/>
      <c r="BT2184" s="63"/>
      <c r="BY2184" s="63">
        <f t="shared" si="894"/>
        <v>-1575</v>
      </c>
      <c r="BZ2184" s="63">
        <v>258301</v>
      </c>
      <c r="CA2184" s="133">
        <v>2377</v>
      </c>
      <c r="CB2184" s="132"/>
      <c r="CD2184" s="63">
        <v>0</v>
      </c>
      <c r="CE2184" s="63">
        <v>0</v>
      </c>
      <c r="CF2184" s="63">
        <v>0</v>
      </c>
      <c r="CG2184" s="8">
        <v>2</v>
      </c>
      <c r="CH2184" s="8">
        <v>0</v>
      </c>
      <c r="CI2184" s="8">
        <v>0</v>
      </c>
      <c r="CJ2184" s="8">
        <v>3</v>
      </c>
      <c r="CK2184" s="8">
        <v>18</v>
      </c>
      <c r="CL2184" s="8">
        <v>0</v>
      </c>
    </row>
    <row r="2185" spans="1:90" hidden="1" outlineLevel="1">
      <c r="A2185" t="s">
        <v>1145</v>
      </c>
      <c r="B2185" t="s">
        <v>995</v>
      </c>
      <c r="C2185" s="1">
        <f t="shared" si="896"/>
        <v>6477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7</v>
      </c>
      <c r="G2185" s="132">
        <f t="shared" si="905"/>
        <v>2695</v>
      </c>
      <c r="H2185" s="137">
        <f t="shared" si="906"/>
        <v>0.41608769492048786</v>
      </c>
      <c r="I2185" s="2"/>
      <c r="J2185" s="2">
        <f t="shared" si="897"/>
        <v>0.26802532036436622</v>
      </c>
      <c r="K2185" s="2">
        <f t="shared" si="898"/>
        <v>0.68411301528485413</v>
      </c>
      <c r="L2185" s="2">
        <f t="shared" si="899"/>
        <v>3.0878493129535278E-4</v>
      </c>
      <c r="M2185" s="2">
        <f t="shared" si="900"/>
        <v>4.7552879419484301E-2</v>
      </c>
      <c r="N2185" s="63">
        <v>1736</v>
      </c>
      <c r="O2185" s="63">
        <v>4431</v>
      </c>
      <c r="P2185" s="63">
        <v>2</v>
      </c>
      <c r="Q2185" s="63">
        <v>192</v>
      </c>
      <c r="R2185" s="63">
        <v>45</v>
      </c>
      <c r="S2185" s="63">
        <v>0</v>
      </c>
      <c r="T2185" s="63"/>
      <c r="U2185" s="63"/>
      <c r="V2185" s="63"/>
      <c r="W2185" s="63">
        <f>IF(Copyright!B$11=1,IF(CA2185&gt;0,CA2185-P2185-SUM(S2185:V2185)-SUM(X2185:Y2185)-SUM(AA2185:AT2185),SUM(CB2185:CM2185)),SUM(CB2185:CM2185))</f>
        <v>34</v>
      </c>
      <c r="X2185" s="63"/>
      <c r="Y2185" s="63">
        <v>0</v>
      </c>
      <c r="Z2185" s="63">
        <v>37</v>
      </c>
      <c r="AA2185" s="63">
        <v>0</v>
      </c>
      <c r="AB2185" s="63"/>
      <c r="AC2185" s="63"/>
      <c r="AD2185" s="63"/>
      <c r="AE2185" s="63">
        <v>0</v>
      </c>
      <c r="AF2185" s="63"/>
      <c r="AG2185" s="63">
        <v>0</v>
      </c>
      <c r="AH2185" s="63"/>
      <c r="AI2185" s="8"/>
      <c r="AJ2185" s="63"/>
      <c r="AK2185" s="63"/>
      <c r="AL2185" s="63"/>
      <c r="AM2185" s="63">
        <v>0</v>
      </c>
      <c r="AN2185" s="63">
        <v>0</v>
      </c>
      <c r="AO2185" s="63"/>
      <c r="AP2185" s="63"/>
      <c r="AQ2185" s="63">
        <v>0</v>
      </c>
      <c r="AR2185" s="63"/>
      <c r="AS2185" s="63"/>
      <c r="AT2185" s="63"/>
      <c r="AU2185" s="63"/>
      <c r="AW2185" s="5">
        <f>IF(Q2185&gt;0,RANK(Q2185,(N2185:P2185,Q2185:AE2185)),0)</f>
        <v>3</v>
      </c>
      <c r="AX2185" s="5">
        <f>IF(R2185&gt;0,RANK(R2185,(N2185:P2185,Q2185:AE2185)),0)</f>
        <v>4</v>
      </c>
      <c r="AY2185" s="5">
        <f>IF(T2185&gt;0,RANK(T2185,(N2185:P2185,Q2185:AE2185)),0)</f>
        <v>0</v>
      </c>
      <c r="AZ2185" s="5">
        <f>IF(S2185&gt;0,RANK(S2185,(N2185:P2185,Q2185:AE2185)),0)</f>
        <v>0</v>
      </c>
      <c r="BA2185" s="2">
        <f t="shared" si="901"/>
        <v>2.9643353404353867E-2</v>
      </c>
      <c r="BB2185" s="2">
        <f t="shared" si="902"/>
        <v>6.9476609541454376E-3</v>
      </c>
      <c r="BC2185" s="2">
        <f t="shared" si="903"/>
        <v>0</v>
      </c>
      <c r="BD2185" s="2">
        <f t="shared" si="904"/>
        <v>0</v>
      </c>
      <c r="BF2185" t="s">
        <v>1145</v>
      </c>
      <c r="BG2185" t="s">
        <v>995</v>
      </c>
      <c r="BH2185">
        <v>15</v>
      </c>
      <c r="BJ2185" s="114">
        <v>39</v>
      </c>
      <c r="BK2185" s="116">
        <v>115</v>
      </c>
      <c r="BL2185" s="120">
        <f t="shared" si="895"/>
        <v>39115</v>
      </c>
      <c r="BN2185" s="5" t="s">
        <v>3154</v>
      </c>
      <c r="BR2185" s="63"/>
      <c r="BS2185" s="128"/>
      <c r="BT2185" s="63"/>
      <c r="BY2185" s="63">
        <f t="shared" si="894"/>
        <v>-3</v>
      </c>
      <c r="BZ2185" s="63">
        <v>6474</v>
      </c>
      <c r="CA2185" s="63">
        <f>6326-4315-1711-186-42-36</f>
        <v>36</v>
      </c>
      <c r="CB2185" s="132"/>
      <c r="CD2185" s="63">
        <v>0</v>
      </c>
      <c r="CE2185" s="63">
        <v>0</v>
      </c>
      <c r="CF2185" s="63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</row>
    <row r="2186" spans="1:90" hidden="1" outlineLevel="1">
      <c r="A2186" t="s">
        <v>1798</v>
      </c>
      <c r="B2186" t="s">
        <v>995</v>
      </c>
      <c r="C2186" s="1">
        <f t="shared" si="896"/>
        <v>16688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7</v>
      </c>
      <c r="G2186" s="132">
        <f t="shared" si="905"/>
        <v>8187</v>
      </c>
      <c r="H2186" s="137">
        <f t="shared" si="906"/>
        <v>0.49059204218600194</v>
      </c>
      <c r="I2186" s="2"/>
      <c r="J2186" s="2">
        <f t="shared" si="897"/>
        <v>0.22537152444870565</v>
      </c>
      <c r="K2186" s="2">
        <f t="shared" si="898"/>
        <v>0.71596356663470762</v>
      </c>
      <c r="L2186" s="2">
        <f t="shared" si="899"/>
        <v>3.3557046979865771E-3</v>
      </c>
      <c r="M2186" s="2">
        <f t="shared" si="900"/>
        <v>5.5309204218600132E-2</v>
      </c>
      <c r="N2186" s="63">
        <v>3761</v>
      </c>
      <c r="O2186" s="63">
        <v>11948</v>
      </c>
      <c r="P2186" s="63">
        <v>56</v>
      </c>
      <c r="Q2186" s="63">
        <v>569</v>
      </c>
      <c r="R2186" s="63">
        <v>102</v>
      </c>
      <c r="S2186" s="63">
        <v>3</v>
      </c>
      <c r="T2186" s="63"/>
      <c r="U2186" s="63"/>
      <c r="V2186" s="63"/>
      <c r="W2186" s="63">
        <f>IF(Copyright!B$11=1,IF(CA2186&gt;0,CA2186-P2186-SUM(S2186:V2186)-SUM(X2186:Y2186)-SUM(AA2186:AT2186),SUM(CB2186:CM2186)),SUM(CB2186:CM2186))</f>
        <v>148</v>
      </c>
      <c r="X2186" s="63"/>
      <c r="Y2186" s="63">
        <v>0</v>
      </c>
      <c r="Z2186" s="63">
        <v>101</v>
      </c>
      <c r="AA2186" s="63">
        <v>0</v>
      </c>
      <c r="AB2186" s="63"/>
      <c r="AC2186" s="63"/>
      <c r="AD2186" s="63"/>
      <c r="AE2186" s="63">
        <v>0</v>
      </c>
      <c r="AF2186" s="63"/>
      <c r="AG2186" s="63">
        <v>0</v>
      </c>
      <c r="AH2186" s="63"/>
      <c r="AI2186" s="8"/>
      <c r="AJ2186" s="63"/>
      <c r="AK2186" s="63"/>
      <c r="AL2186" s="63"/>
      <c r="AM2186" s="63">
        <v>0</v>
      </c>
      <c r="AN2186" s="63">
        <v>0</v>
      </c>
      <c r="AO2186" s="63"/>
      <c r="AP2186" s="63"/>
      <c r="AQ2186" s="63">
        <v>0</v>
      </c>
      <c r="AR2186" s="63"/>
      <c r="AS2186" s="63"/>
      <c r="AT2186" s="63"/>
      <c r="AU2186" s="63"/>
      <c r="AW2186" s="5">
        <f>IF(Q2186&gt;0,RANK(Q2186,(N2186:P2186,Q2186:AE2186)),0)</f>
        <v>3</v>
      </c>
      <c r="AX2186" s="5">
        <f>IF(R2186&gt;0,RANK(R2186,(N2186:P2186,Q2186:AE2186)),0)</f>
        <v>5</v>
      </c>
      <c r="AY2186" s="5">
        <f>IF(T2186&gt;0,RANK(T2186,(N2186:P2186,Q2186:AE2186)),0)</f>
        <v>0</v>
      </c>
      <c r="AZ2186" s="5">
        <f>IF(S2186&gt;0,RANK(S2186,(N2186:P2186,Q2186:AE2186)),0)</f>
        <v>8</v>
      </c>
      <c r="BA2186" s="2">
        <f t="shared" si="901"/>
        <v>3.4096356663470759E-2</v>
      </c>
      <c r="BB2186" s="2">
        <f t="shared" si="902"/>
        <v>6.1121764141898374E-3</v>
      </c>
      <c r="BC2186" s="2">
        <f t="shared" si="903"/>
        <v>0</v>
      </c>
      <c r="BD2186" s="2">
        <f t="shared" si="904"/>
        <v>1.7976989453499521E-4</v>
      </c>
      <c r="BF2186" t="s">
        <v>1798</v>
      </c>
      <c r="BG2186" t="s">
        <v>995</v>
      </c>
      <c r="BH2186">
        <v>12</v>
      </c>
      <c r="BJ2186" s="114">
        <v>39</v>
      </c>
      <c r="BK2186" s="116">
        <v>117</v>
      </c>
      <c r="BL2186" s="120">
        <f t="shared" si="895"/>
        <v>39117</v>
      </c>
      <c r="BN2186" s="5" t="s">
        <v>3154</v>
      </c>
      <c r="BR2186" s="63"/>
      <c r="BS2186" s="128"/>
      <c r="BT2186" s="63"/>
      <c r="BY2186" s="63">
        <f t="shared" si="894"/>
        <v>0</v>
      </c>
      <c r="BZ2186" s="63">
        <v>16688</v>
      </c>
      <c r="CA2186" s="63">
        <f>16688-3761-101-569-102-11948</f>
        <v>207</v>
      </c>
      <c r="CB2186" s="132"/>
      <c r="CD2186" s="63">
        <v>0</v>
      </c>
      <c r="CE2186" s="63">
        <v>0</v>
      </c>
      <c r="CF2186" s="63">
        <v>0</v>
      </c>
      <c r="CG2186" s="8">
        <v>7</v>
      </c>
      <c r="CH2186" s="8">
        <v>1</v>
      </c>
      <c r="CI2186" s="8">
        <v>0</v>
      </c>
      <c r="CJ2186" s="8">
        <v>0</v>
      </c>
      <c r="CK2186" s="8">
        <v>0</v>
      </c>
      <c r="CL2186" s="8">
        <v>0</v>
      </c>
    </row>
    <row r="2187" spans="1:90" hidden="1" outlineLevel="1">
      <c r="A2187" t="s">
        <v>2901</v>
      </c>
      <c r="B2187" t="s">
        <v>995</v>
      </c>
      <c r="C2187" s="1">
        <f t="shared" si="896"/>
        <v>37245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7</v>
      </c>
      <c r="G2187" s="132">
        <f t="shared" si="905"/>
        <v>12933</v>
      </c>
      <c r="H2187" s="137">
        <f t="shared" si="906"/>
        <v>0.34724124043495769</v>
      </c>
      <c r="I2187" s="2"/>
      <c r="J2187" s="2">
        <f t="shared" si="897"/>
        <v>0.29864411330379914</v>
      </c>
      <c r="K2187" s="2">
        <f t="shared" si="898"/>
        <v>0.64588535373875688</v>
      </c>
      <c r="L2187" s="2">
        <f t="shared" si="899"/>
        <v>1.4230097999731507E-3</v>
      </c>
      <c r="M2187" s="2">
        <f t="shared" si="900"/>
        <v>5.4047523157470821E-2</v>
      </c>
      <c r="N2187" s="63">
        <v>11123</v>
      </c>
      <c r="O2187" s="63">
        <v>24056</v>
      </c>
      <c r="P2187" s="63">
        <v>53</v>
      </c>
      <c r="Q2187" s="63">
        <v>1244</v>
      </c>
      <c r="R2187" s="63">
        <v>261</v>
      </c>
      <c r="S2187" s="63">
        <v>6</v>
      </c>
      <c r="T2187" s="63"/>
      <c r="U2187" s="63"/>
      <c r="V2187" s="63"/>
      <c r="W2187" s="63">
        <f>IF(Copyright!B$11=1,IF(CA2187&gt;0,CA2187-P2187-SUM(S2187:V2187)-SUM(X2187:Y2187)-SUM(AA2187:AT2187),SUM(CB2187:CM2187)),SUM(CB2187:CM2187))</f>
        <v>255</v>
      </c>
      <c r="X2187" s="63"/>
      <c r="Y2187" s="63">
        <v>3</v>
      </c>
      <c r="Z2187" s="63">
        <v>240</v>
      </c>
      <c r="AA2187" s="63">
        <v>0</v>
      </c>
      <c r="AB2187" s="63"/>
      <c r="AC2187" s="63"/>
      <c r="AD2187" s="63"/>
      <c r="AE2187" s="63">
        <v>0</v>
      </c>
      <c r="AF2187" s="63"/>
      <c r="AG2187" s="63">
        <v>0</v>
      </c>
      <c r="AH2187" s="63"/>
      <c r="AI2187" s="8"/>
      <c r="AJ2187" s="63"/>
      <c r="AK2187" s="63"/>
      <c r="AL2187" s="63"/>
      <c r="AM2187" s="63">
        <v>0</v>
      </c>
      <c r="AN2187" s="63">
        <v>4</v>
      </c>
      <c r="AO2187" s="63"/>
      <c r="AP2187" s="63"/>
      <c r="AQ2187" s="63">
        <v>0</v>
      </c>
      <c r="AR2187" s="63"/>
      <c r="AS2187" s="63"/>
      <c r="AT2187" s="63"/>
      <c r="AU2187" s="63"/>
      <c r="AW2187" s="5">
        <f>IF(Q2187&gt;0,RANK(Q2187,(N2187:P2187,Q2187:AE2187)),0)</f>
        <v>3</v>
      </c>
      <c r="AX2187" s="5">
        <f>IF(R2187&gt;0,RANK(R2187,(N2187:P2187,Q2187:AE2187)),0)</f>
        <v>4</v>
      </c>
      <c r="AY2187" s="5">
        <f>IF(T2187&gt;0,RANK(T2187,(N2187:P2187,Q2187:AE2187)),0)</f>
        <v>0</v>
      </c>
      <c r="AZ2187" s="5">
        <f>IF(S2187&gt;0,RANK(S2187,(N2187:P2187,Q2187:AE2187)),0)</f>
        <v>8</v>
      </c>
      <c r="BA2187" s="2">
        <f t="shared" si="901"/>
        <v>3.3400456437105652E-2</v>
      </c>
      <c r="BB2187" s="2">
        <f t="shared" si="902"/>
        <v>7.0076520338300443E-3</v>
      </c>
      <c r="BC2187" s="2">
        <f t="shared" si="903"/>
        <v>0</v>
      </c>
      <c r="BD2187" s="2">
        <f t="shared" si="904"/>
        <v>1.6109544905356423E-4</v>
      </c>
      <c r="BF2187" t="s">
        <v>2901</v>
      </c>
      <c r="BG2187" t="s">
        <v>995</v>
      </c>
      <c r="BJ2187" s="114">
        <v>39</v>
      </c>
      <c r="BK2187" s="116">
        <v>119</v>
      </c>
      <c r="BL2187" s="120">
        <f t="shared" si="895"/>
        <v>39119</v>
      </c>
      <c r="BN2187" s="5" t="s">
        <v>3154</v>
      </c>
      <c r="BR2187" s="63"/>
      <c r="BS2187" s="128"/>
      <c r="BT2187" s="63"/>
      <c r="BY2187" s="63">
        <f t="shared" si="894"/>
        <v>0</v>
      </c>
      <c r="BZ2187" s="63">
        <f>11123+240+1244+261+24056+53+10+4+254</f>
        <v>37245</v>
      </c>
      <c r="CA2187" s="63">
        <f>254+4+6+3+1+53</f>
        <v>321</v>
      </c>
      <c r="CB2187" s="132"/>
      <c r="CD2187" s="63">
        <v>0</v>
      </c>
      <c r="CE2187" s="63">
        <v>0</v>
      </c>
      <c r="CF2187" s="63">
        <v>0</v>
      </c>
      <c r="CG2187" s="8">
        <v>1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</row>
    <row r="2188" spans="1:90" hidden="1" outlineLevel="1">
      <c r="A2188" t="s">
        <v>834</v>
      </c>
      <c r="B2188" t="s">
        <v>995</v>
      </c>
      <c r="C2188" s="1">
        <f t="shared" si="896"/>
        <v>6039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7</v>
      </c>
      <c r="G2188" s="132">
        <f t="shared" si="905"/>
        <v>3328</v>
      </c>
      <c r="H2188" s="137">
        <f t="shared" si="906"/>
        <v>0.55108461665838715</v>
      </c>
      <c r="I2188" s="2"/>
      <c r="J2188" s="2">
        <f t="shared" si="897"/>
        <v>0.20218579234972678</v>
      </c>
      <c r="K2188" s="2">
        <f t="shared" si="898"/>
        <v>0.75327040900811393</v>
      </c>
      <c r="L2188" s="2">
        <f t="shared" si="899"/>
        <v>4.9677098857426726E-4</v>
      </c>
      <c r="M2188" s="2">
        <f t="shared" si="900"/>
        <v>4.4047027653585029E-2</v>
      </c>
      <c r="N2188" s="63">
        <v>1221</v>
      </c>
      <c r="O2188" s="63">
        <v>4549</v>
      </c>
      <c r="P2188" s="63">
        <v>3</v>
      </c>
      <c r="Q2188" s="63">
        <v>152</v>
      </c>
      <c r="R2188" s="63">
        <v>34</v>
      </c>
      <c r="S2188" s="63">
        <v>0</v>
      </c>
      <c r="T2188" s="63"/>
      <c r="U2188" s="63"/>
      <c r="V2188" s="63"/>
      <c r="W2188" s="63">
        <f>IF(Copyright!B$11=1,IF(CA2188&gt;0,CA2188-P2188-SUM(S2188:V2188)-SUM(X2188:Y2188)-SUM(AA2188:AT2188),SUM(CB2188:CM2188)),SUM(CB2188:CM2188))</f>
        <v>27</v>
      </c>
      <c r="X2188" s="63"/>
      <c r="Y2188" s="63">
        <v>0</v>
      </c>
      <c r="Z2188" s="63">
        <v>53</v>
      </c>
      <c r="AA2188" s="63">
        <v>0</v>
      </c>
      <c r="AB2188" s="63"/>
      <c r="AC2188" s="63"/>
      <c r="AD2188" s="63"/>
      <c r="AE2188" s="63">
        <v>0</v>
      </c>
      <c r="AF2188" s="63"/>
      <c r="AG2188" s="63">
        <v>0</v>
      </c>
      <c r="AH2188" s="63"/>
      <c r="AI2188" s="8"/>
      <c r="AJ2188" s="63"/>
      <c r="AK2188" s="63"/>
      <c r="AL2188" s="63"/>
      <c r="AM2188" s="63">
        <v>0</v>
      </c>
      <c r="AN2188" s="63">
        <v>0</v>
      </c>
      <c r="AO2188" s="63"/>
      <c r="AP2188" s="63"/>
      <c r="AQ2188" s="63">
        <v>0</v>
      </c>
      <c r="AR2188" s="63"/>
      <c r="AS2188" s="63"/>
      <c r="AT2188" s="63"/>
      <c r="AU2188" s="63"/>
      <c r="AW2188" s="5">
        <f>IF(Q2188&gt;0,RANK(Q2188,(N2188:P2188,Q2188:AE2188)),0)</f>
        <v>3</v>
      </c>
      <c r="AX2188" s="5">
        <f>IF(R2188&gt;0,RANK(R2188,(N2188:P2188,Q2188:AE2188)),0)</f>
        <v>5</v>
      </c>
      <c r="AY2188" s="5">
        <f>IF(T2188&gt;0,RANK(T2188,(N2188:P2188,Q2188:AE2188)),0)</f>
        <v>0</v>
      </c>
      <c r="AZ2188" s="5">
        <f>IF(S2188&gt;0,RANK(S2188,(N2188:P2188,Q2188:AE2188)),0)</f>
        <v>0</v>
      </c>
      <c r="BA2188" s="2">
        <f t="shared" si="901"/>
        <v>2.5169730087762875E-2</v>
      </c>
      <c r="BB2188" s="2">
        <f t="shared" si="902"/>
        <v>5.6300712038416956E-3</v>
      </c>
      <c r="BC2188" s="2">
        <f t="shared" si="903"/>
        <v>0</v>
      </c>
      <c r="BD2188" s="2">
        <f t="shared" si="904"/>
        <v>0</v>
      </c>
      <c r="BF2188" t="s">
        <v>834</v>
      </c>
      <c r="BG2188" t="s">
        <v>995</v>
      </c>
      <c r="BH2188">
        <v>6</v>
      </c>
      <c r="BJ2188" s="114">
        <v>39</v>
      </c>
      <c r="BK2188" s="116">
        <v>121</v>
      </c>
      <c r="BL2188" s="120">
        <f t="shared" si="895"/>
        <v>39121</v>
      </c>
      <c r="BN2188" s="5" t="s">
        <v>3154</v>
      </c>
      <c r="BO2188" s="63">
        <v>108</v>
      </c>
      <c r="BP2188" s="63">
        <v>18</v>
      </c>
      <c r="BR2188" s="63"/>
      <c r="BS2188" s="128"/>
      <c r="BT2188" s="63"/>
      <c r="BY2188" s="63">
        <f t="shared" si="894"/>
        <v>0</v>
      </c>
      <c r="BZ2188" s="63">
        <v>6165</v>
      </c>
      <c r="CA2188" s="63">
        <v>30</v>
      </c>
      <c r="CB2188" s="132"/>
      <c r="CD2188" s="63">
        <v>0</v>
      </c>
      <c r="CE2188" s="63">
        <v>0</v>
      </c>
      <c r="CF2188" s="63">
        <v>0</v>
      </c>
      <c r="CG2188" s="8">
        <v>1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</row>
    <row r="2189" spans="1:90" hidden="1" outlineLevel="1">
      <c r="A2189" t="s">
        <v>37</v>
      </c>
      <c r="B2189" t="s">
        <v>995</v>
      </c>
      <c r="C2189" s="1">
        <f t="shared" si="896"/>
        <v>22385</v>
      </c>
      <c r="D2189" s="5">
        <f>IF(N2189&gt;0, RANK(N2189,(N2189:P2189,Q2189:AE2189)),0)</f>
        <v>2</v>
      </c>
      <c r="E2189" s="5">
        <f>IF(O2189&gt;0,RANK(O2189,(N2189:P2189,Q2189:AE2189)),0)</f>
        <v>1</v>
      </c>
      <c r="F2189" s="5">
        <f>IF(P2189&gt;0,RANK(P2189,(N2189:P2189,Q2189:AE2189)),0)</f>
        <v>7</v>
      </c>
      <c r="G2189" s="132">
        <f t="shared" si="905"/>
        <v>4368</v>
      </c>
      <c r="H2189" s="137">
        <f t="shared" si="906"/>
        <v>0.19513066785794059</v>
      </c>
      <c r="I2189" s="2"/>
      <c r="J2189" s="2">
        <f t="shared" si="897"/>
        <v>0.37011391556846102</v>
      </c>
      <c r="K2189" s="2">
        <f t="shared" si="898"/>
        <v>0.5652445834264016</v>
      </c>
      <c r="L2189" s="2">
        <f t="shared" si="899"/>
        <v>1.2955103864194773E-3</v>
      </c>
      <c r="M2189" s="2">
        <f t="shared" si="900"/>
        <v>6.3345990618717957E-2</v>
      </c>
      <c r="N2189" s="63">
        <v>8285</v>
      </c>
      <c r="O2189" s="63">
        <v>12653</v>
      </c>
      <c r="P2189" s="63">
        <v>29</v>
      </c>
      <c r="Q2189" s="63">
        <v>957</v>
      </c>
      <c r="R2189" s="63">
        <v>147</v>
      </c>
      <c r="S2189" s="63">
        <v>2</v>
      </c>
      <c r="T2189" s="63"/>
      <c r="U2189" s="63"/>
      <c r="V2189" s="63"/>
      <c r="W2189" s="63">
        <f>IF(Copyright!B$11=1,IF(CA2189&gt;0,CA2189-P2189-SUM(S2189:V2189)-SUM(X2189:Y2189)-SUM(AA2189:AT2189),SUM(CB2189:CM2189)),SUM(CB2189:CM2189))</f>
        <v>168</v>
      </c>
      <c r="X2189" s="63"/>
      <c r="Y2189" s="63">
        <v>0</v>
      </c>
      <c r="Z2189" s="63">
        <v>140</v>
      </c>
      <c r="AA2189" s="63">
        <v>0</v>
      </c>
      <c r="AB2189" s="63"/>
      <c r="AC2189" s="63"/>
      <c r="AD2189" s="63"/>
      <c r="AE2189" s="63">
        <v>0</v>
      </c>
      <c r="AF2189" s="63"/>
      <c r="AG2189" s="63">
        <v>2</v>
      </c>
      <c r="AH2189" s="63"/>
      <c r="AI2189" s="8"/>
      <c r="AJ2189" s="63"/>
      <c r="AK2189" s="63"/>
      <c r="AL2189" s="63"/>
      <c r="AM2189" s="63">
        <v>0</v>
      </c>
      <c r="AN2189" s="63">
        <v>2</v>
      </c>
      <c r="AO2189" s="63"/>
      <c r="AP2189" s="63"/>
      <c r="AQ2189" s="63">
        <v>0</v>
      </c>
      <c r="AR2189" s="63"/>
      <c r="AS2189" s="63"/>
      <c r="AT2189" s="63"/>
      <c r="AU2189" s="63"/>
      <c r="AW2189" s="5">
        <f>IF(Q2189&gt;0,RANK(Q2189,(N2189:P2189,Q2189:AE2189)),0)</f>
        <v>3</v>
      </c>
      <c r="AX2189" s="5">
        <f>IF(R2189&gt;0,RANK(R2189,(N2189:P2189,Q2189:AE2189)),0)</f>
        <v>5</v>
      </c>
      <c r="AY2189" s="5">
        <f>IF(T2189&gt;0,RANK(T2189,(N2189:P2189,Q2189:AE2189)),0)</f>
        <v>0</v>
      </c>
      <c r="AZ2189" s="5">
        <f>IF(S2189&gt;0,RANK(S2189,(N2189:P2189,Q2189:AE2189)),0)</f>
        <v>8</v>
      </c>
      <c r="BA2189" s="2">
        <f t="shared" si="901"/>
        <v>4.2751842751842753E-2</v>
      </c>
      <c r="BB2189" s="2">
        <f t="shared" si="902"/>
        <v>6.5668974759883854E-3</v>
      </c>
      <c r="BC2189" s="2">
        <f t="shared" si="903"/>
        <v>0</v>
      </c>
      <c r="BD2189" s="2">
        <f t="shared" si="904"/>
        <v>8.9345543890998434E-5</v>
      </c>
      <c r="BF2189" t="s">
        <v>37</v>
      </c>
      <c r="BG2189" t="s">
        <v>995</v>
      </c>
      <c r="BJ2189" s="114">
        <v>39</v>
      </c>
      <c r="BK2189" s="116">
        <v>123</v>
      </c>
      <c r="BL2189" s="120">
        <f t="shared" si="895"/>
        <v>39123</v>
      </c>
      <c r="BN2189" s="5" t="s">
        <v>3154</v>
      </c>
      <c r="BR2189" s="63"/>
      <c r="BS2189" s="128"/>
      <c r="BT2189" s="63"/>
      <c r="BY2189" s="63">
        <f t="shared" si="894"/>
        <v>0</v>
      </c>
      <c r="BZ2189" s="63">
        <v>22385</v>
      </c>
      <c r="CA2189" s="63">
        <v>203</v>
      </c>
      <c r="CB2189" s="132"/>
      <c r="CD2189" s="63">
        <v>0</v>
      </c>
      <c r="CE2189" s="63">
        <v>0</v>
      </c>
      <c r="CF2189" s="63">
        <v>0</v>
      </c>
      <c r="CG2189" s="8">
        <v>0</v>
      </c>
      <c r="CH2189" s="8">
        <v>0</v>
      </c>
      <c r="CI2189" s="8">
        <v>0</v>
      </c>
      <c r="CJ2189" s="8">
        <v>1</v>
      </c>
      <c r="CK2189" s="8">
        <v>0</v>
      </c>
      <c r="CL2189" s="8">
        <v>0</v>
      </c>
    </row>
    <row r="2190" spans="1:90" hidden="1" outlineLevel="1">
      <c r="A2190" t="s">
        <v>1651</v>
      </c>
      <c r="B2190" t="s">
        <v>995</v>
      </c>
      <c r="C2190" s="1">
        <f t="shared" si="896"/>
        <v>9095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7</v>
      </c>
      <c r="G2190" s="132">
        <f t="shared" si="905"/>
        <v>4407</v>
      </c>
      <c r="H2190" s="137">
        <f t="shared" si="906"/>
        <v>0.48455195162177023</v>
      </c>
      <c r="I2190" s="2"/>
      <c r="J2190" s="2">
        <f t="shared" si="897"/>
        <v>0.23012644310060473</v>
      </c>
      <c r="K2190" s="2">
        <f t="shared" si="898"/>
        <v>0.71467839472237493</v>
      </c>
      <c r="L2190" s="2">
        <f t="shared" si="899"/>
        <v>1.4293567894447499E-3</v>
      </c>
      <c r="M2190" s="2">
        <f t="shared" si="900"/>
        <v>5.376580538757561E-2</v>
      </c>
      <c r="N2190" s="63">
        <v>2093</v>
      </c>
      <c r="O2190" s="63">
        <v>6500</v>
      </c>
      <c r="P2190" s="63">
        <v>13</v>
      </c>
      <c r="Q2190" s="63">
        <v>279</v>
      </c>
      <c r="R2190" s="63">
        <v>78</v>
      </c>
      <c r="S2190" s="63">
        <v>5</v>
      </c>
      <c r="T2190" s="63"/>
      <c r="U2190" s="63"/>
      <c r="V2190" s="63"/>
      <c r="W2190" s="63">
        <f>IF(Copyright!B$11=1,IF(CA2190&gt;0,CA2190-P2190-SUM(S2190:V2190)-SUM(X2190:Y2190)-SUM(AA2190:AT2190),SUM(CB2190:CM2190)),SUM(CB2190:CM2190))</f>
        <v>48</v>
      </c>
      <c r="X2190" s="63"/>
      <c r="Y2190" s="63">
        <v>1</v>
      </c>
      <c r="Z2190" s="63">
        <v>78</v>
      </c>
      <c r="AA2190" s="63">
        <v>0</v>
      </c>
      <c r="AB2190" s="63"/>
      <c r="AC2190" s="63"/>
      <c r="AD2190" s="63"/>
      <c r="AE2190" s="63">
        <v>0</v>
      </c>
      <c r="AF2190" s="63"/>
      <c r="AG2190" s="63">
        <v>0</v>
      </c>
      <c r="AH2190" s="63"/>
      <c r="AI2190" s="8"/>
      <c r="AJ2190" s="63"/>
      <c r="AK2190" s="63"/>
      <c r="AL2190" s="63"/>
      <c r="AM2190" s="63">
        <v>0</v>
      </c>
      <c r="AN2190" s="63">
        <v>0</v>
      </c>
      <c r="AO2190" s="63"/>
      <c r="AP2190" s="63"/>
      <c r="AQ2190" s="63">
        <v>0</v>
      </c>
      <c r="AR2190" s="63"/>
      <c r="AS2190" s="63"/>
      <c r="AT2190" s="63"/>
      <c r="AU2190" s="63"/>
      <c r="AW2190" s="5">
        <f>IF(Q2190&gt;0,RANK(Q2190,(N2190:P2190,Q2190:AE2190)),0)</f>
        <v>3</v>
      </c>
      <c r="AX2190" s="5">
        <f>IF(R2190&gt;0,RANK(R2190,(N2190:P2190,Q2190:AE2190)),0)</f>
        <v>4</v>
      </c>
      <c r="AY2190" s="5">
        <f>IF(T2190&gt;0,RANK(T2190,(N2190:P2190,Q2190:AE2190)),0)</f>
        <v>0</v>
      </c>
      <c r="AZ2190" s="5">
        <f>IF(S2190&gt;0,RANK(S2190,(N2190:P2190,Q2190:AE2190)),0)</f>
        <v>8</v>
      </c>
      <c r="BA2190" s="2">
        <f t="shared" si="901"/>
        <v>3.0676195711929633E-2</v>
      </c>
      <c r="BB2190" s="2">
        <f t="shared" si="902"/>
        <v>8.5761407366685E-3</v>
      </c>
      <c r="BC2190" s="2">
        <f t="shared" si="903"/>
        <v>0</v>
      </c>
      <c r="BD2190" s="2">
        <f t="shared" si="904"/>
        <v>5.4975261132490382E-4</v>
      </c>
      <c r="BF2190" t="s">
        <v>1651</v>
      </c>
      <c r="BG2190" t="s">
        <v>995</v>
      </c>
      <c r="BH2190">
        <v>5</v>
      </c>
      <c r="BJ2190" s="114">
        <v>39</v>
      </c>
      <c r="BK2190" s="116">
        <v>125</v>
      </c>
      <c r="BL2190" s="120">
        <f t="shared" si="895"/>
        <v>39125</v>
      </c>
      <c r="BN2190" s="5" t="s">
        <v>3154</v>
      </c>
      <c r="BR2190" s="63"/>
      <c r="BT2190" s="63"/>
      <c r="BY2190" s="63">
        <f t="shared" si="894"/>
        <v>0</v>
      </c>
      <c r="BZ2190" s="63">
        <v>9095</v>
      </c>
      <c r="CA2190" s="63">
        <f>48+13+6</f>
        <v>67</v>
      </c>
      <c r="CB2190" s="132"/>
      <c r="CD2190" s="63">
        <v>0</v>
      </c>
      <c r="CE2190" s="63">
        <v>0</v>
      </c>
      <c r="CF2190" s="63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</row>
    <row r="2191" spans="1:90" hidden="1" outlineLevel="1">
      <c r="A2191" t="s">
        <v>2118</v>
      </c>
      <c r="B2191" t="s">
        <v>995</v>
      </c>
      <c r="C2191" s="1">
        <f t="shared" si="896"/>
        <v>15101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7</v>
      </c>
      <c r="G2191" s="132">
        <f t="shared" si="905"/>
        <v>6090</v>
      </c>
      <c r="H2191" s="137">
        <f t="shared" si="906"/>
        <v>0.40328455069200714</v>
      </c>
      <c r="I2191" s="2"/>
      <c r="J2191" s="2">
        <f t="shared" si="897"/>
        <v>0.27402158797430631</v>
      </c>
      <c r="K2191" s="2">
        <f t="shared" si="898"/>
        <v>0.67730613866631351</v>
      </c>
      <c r="L2191" s="2">
        <f t="shared" si="899"/>
        <v>5.2976624064631482E-4</v>
      </c>
      <c r="M2191" s="2">
        <f t="shared" si="900"/>
        <v>4.8142507118733864E-2</v>
      </c>
      <c r="N2191" s="63">
        <v>4138</v>
      </c>
      <c r="O2191" s="63">
        <v>10228</v>
      </c>
      <c r="P2191" s="63">
        <v>8</v>
      </c>
      <c r="Q2191" s="63">
        <v>405</v>
      </c>
      <c r="R2191" s="63">
        <v>103</v>
      </c>
      <c r="S2191" s="63">
        <v>4</v>
      </c>
      <c r="T2191" s="63"/>
      <c r="U2191" s="63"/>
      <c r="V2191" s="63"/>
      <c r="W2191" s="63">
        <f>IF(Copyright!B$11=1,IF(CA2191&gt;0,CA2191-P2191-SUM(S2191:V2191)-SUM(X2191:Y2191)-SUM(AA2191:AT2191),SUM(CB2191:CM2191)),SUM(CB2191:CM2191))</f>
        <v>107</v>
      </c>
      <c r="X2191" s="63"/>
      <c r="Y2191" s="63">
        <v>0</v>
      </c>
      <c r="Z2191" s="63">
        <v>105</v>
      </c>
      <c r="AA2191" s="63">
        <v>0</v>
      </c>
      <c r="AB2191" s="63"/>
      <c r="AC2191" s="63"/>
      <c r="AD2191" s="63"/>
      <c r="AE2191" s="63">
        <v>0</v>
      </c>
      <c r="AF2191" s="63"/>
      <c r="AG2191" s="63">
        <v>1</v>
      </c>
      <c r="AH2191" s="63"/>
      <c r="AI2191" s="8"/>
      <c r="AJ2191" s="63"/>
      <c r="AK2191" s="63"/>
      <c r="AL2191" s="63"/>
      <c r="AM2191" s="63">
        <v>0</v>
      </c>
      <c r="AN2191" s="63">
        <v>2</v>
      </c>
      <c r="AO2191" s="63"/>
      <c r="AP2191" s="63"/>
      <c r="AQ2191" s="63">
        <v>0</v>
      </c>
      <c r="AR2191" s="63"/>
      <c r="AS2191" s="63"/>
      <c r="AT2191" s="63"/>
      <c r="AU2191" s="63"/>
      <c r="AW2191" s="5">
        <f>IF(Q2191&gt;0,RANK(Q2191,(N2191:P2191,Q2191:AE2191)),0)</f>
        <v>3</v>
      </c>
      <c r="AX2191" s="5">
        <f>IF(R2191&gt;0,RANK(R2191,(N2191:P2191,Q2191:AE2191)),0)</f>
        <v>6</v>
      </c>
      <c r="AY2191" s="5">
        <f>IF(T2191&gt;0,RANK(T2191,(N2191:P2191,Q2191:AE2191)),0)</f>
        <v>0</v>
      </c>
      <c r="AZ2191" s="5">
        <f>IF(S2191&gt;0,RANK(S2191,(N2191:P2191,Q2191:AE2191)),0)</f>
        <v>8</v>
      </c>
      <c r="BA2191" s="2">
        <f t="shared" si="901"/>
        <v>2.6819415932719689E-2</v>
      </c>
      <c r="BB2191" s="2">
        <f t="shared" si="902"/>
        <v>6.8207403483213028E-3</v>
      </c>
      <c r="BC2191" s="2">
        <f t="shared" si="903"/>
        <v>0</v>
      </c>
      <c r="BD2191" s="2">
        <f t="shared" si="904"/>
        <v>2.6488312032315741E-4</v>
      </c>
      <c r="BF2191" t="s">
        <v>2118</v>
      </c>
      <c r="BG2191" t="s">
        <v>995</v>
      </c>
      <c r="BH2191">
        <v>15</v>
      </c>
      <c r="BJ2191" s="114">
        <v>39</v>
      </c>
      <c r="BK2191" s="116">
        <v>127</v>
      </c>
      <c r="BL2191" s="120">
        <f t="shared" si="895"/>
        <v>39127</v>
      </c>
      <c r="BN2191" s="5" t="s">
        <v>3154</v>
      </c>
      <c r="BO2191" s="63">
        <v>214</v>
      </c>
      <c r="BP2191" s="63">
        <v>22</v>
      </c>
      <c r="BR2191" s="63"/>
      <c r="BT2191" s="63"/>
      <c r="BY2191" s="63">
        <f>IF(BO2191&gt;0,BZ2191-C2191-BO2191-BP2191,BZ2191-C2191)</f>
        <v>0</v>
      </c>
      <c r="BZ2191" s="63">
        <v>15337</v>
      </c>
      <c r="CA2191" s="63">
        <v>122</v>
      </c>
      <c r="CB2191" s="132"/>
      <c r="CD2191" s="63">
        <v>0</v>
      </c>
      <c r="CE2191" s="63">
        <v>0</v>
      </c>
      <c r="CF2191" s="63">
        <v>0</v>
      </c>
      <c r="CG2191" s="8">
        <v>1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</row>
    <row r="2192" spans="1:90" hidden="1" outlineLevel="1">
      <c r="A2192" t="s">
        <v>564</v>
      </c>
      <c r="B2192" t="s">
        <v>995</v>
      </c>
      <c r="C2192" s="1">
        <f t="shared" ref="C2192:C2216" si="907">SUM(N2192:AU2192)</f>
        <v>24912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7</v>
      </c>
      <c r="G2192" s="132">
        <f t="shared" si="905"/>
        <v>10547</v>
      </c>
      <c r="H2192" s="137">
        <f t="shared" si="906"/>
        <v>0.42337026332691075</v>
      </c>
      <c r="I2192" s="2"/>
      <c r="J2192" s="2">
        <f t="shared" ref="J2192:J2216" si="908">IF($C2192=0,"-",N2192/$C2192)</f>
        <v>0.262082530507386</v>
      </c>
      <c r="K2192" s="2">
        <f t="shared" ref="K2192:K2216" si="909">IF($C2192=0,"-",O2192/$C2192)</f>
        <v>0.68545279383429669</v>
      </c>
      <c r="L2192" s="2">
        <f t="shared" ref="L2192:L2216" si="910">IF($C2192=0,"-",P2192/$C2192)</f>
        <v>2.8098908156711623E-3</v>
      </c>
      <c r="M2192" s="2">
        <f t="shared" ref="M2192:M2216" si="911">IF(C2192=0,"-",(1-J2192-K2192-L2192))</f>
        <v>4.9654784842646196E-2</v>
      </c>
      <c r="N2192" s="63">
        <v>6529</v>
      </c>
      <c r="O2192" s="63">
        <v>17076</v>
      </c>
      <c r="P2192" s="63">
        <v>70</v>
      </c>
      <c r="Q2192" s="63">
        <v>756</v>
      </c>
      <c r="R2192" s="63">
        <v>180</v>
      </c>
      <c r="S2192" s="63">
        <v>13</v>
      </c>
      <c r="T2192" s="63"/>
      <c r="U2192" s="63"/>
      <c r="V2192" s="63"/>
      <c r="W2192" s="63">
        <f>IF(Copyright!B$11=1,IF(CA2192&gt;0,CA2192-P2192-SUM(S2192:V2192)-SUM(X2192:Y2192)-SUM(AA2192:AT2192),SUM(CB2192:CM2192)),SUM(CB2192:CM2192))</f>
        <v>167</v>
      </c>
      <c r="X2192" s="63"/>
      <c r="Y2192" s="63">
        <v>3</v>
      </c>
      <c r="Z2192" s="63">
        <v>114</v>
      </c>
      <c r="AA2192" s="63">
        <v>0</v>
      </c>
      <c r="AB2192" s="63"/>
      <c r="AC2192" s="63"/>
      <c r="AD2192" s="63"/>
      <c r="AE2192" s="63">
        <v>0</v>
      </c>
      <c r="AF2192" s="63"/>
      <c r="AG2192" s="63">
        <v>0</v>
      </c>
      <c r="AH2192" s="63"/>
      <c r="AI2192" s="8"/>
      <c r="AJ2192" s="63"/>
      <c r="AK2192" s="63"/>
      <c r="AL2192" s="63"/>
      <c r="AM2192" s="63">
        <v>0</v>
      </c>
      <c r="AN2192" s="63">
        <v>4</v>
      </c>
      <c r="AO2192" s="63"/>
      <c r="AP2192" s="63"/>
      <c r="AQ2192" s="63">
        <v>0</v>
      </c>
      <c r="AR2192" s="63"/>
      <c r="AS2192" s="63"/>
      <c r="AT2192" s="63"/>
      <c r="AU2192" s="63"/>
      <c r="AW2192" s="5">
        <f>IF(Q2192&gt;0,RANK(Q2192,(N2192:P2192,Q2192:AE2192)),0)</f>
        <v>3</v>
      </c>
      <c r="AX2192" s="5">
        <f>IF(R2192&gt;0,RANK(R2192,(N2192:P2192,Q2192:AE2192)),0)</f>
        <v>4</v>
      </c>
      <c r="AY2192" s="5">
        <f>IF(T2192&gt;0,RANK(T2192,(N2192:P2192,Q2192:AE2192)),0)</f>
        <v>0</v>
      </c>
      <c r="AZ2192" s="5">
        <f>IF(S2192&gt;0,RANK(S2192,(N2192:P2192,Q2192:AE2192)),0)</f>
        <v>8</v>
      </c>
      <c r="BA2192" s="2">
        <f t="shared" ref="BA2192:BA2216" si="912">IF($C2192=0,"-",Q2192/$C2192)</f>
        <v>3.0346820809248554E-2</v>
      </c>
      <c r="BB2192" s="2">
        <f t="shared" ref="BB2192:BB2216" si="913">IF($C2192=0,"-",R2192/$C2192)</f>
        <v>7.2254335260115606E-3</v>
      </c>
      <c r="BC2192" s="2">
        <f t="shared" ref="BC2192:BC2216" si="914">IF($C2192=0,"-",T2192/$C2192)</f>
        <v>0</v>
      </c>
      <c r="BD2192" s="2">
        <f t="shared" ref="BD2192:BD2216" si="915">IF($C2192=0,"-",S2192/$C2192)</f>
        <v>5.2183686576750166E-4</v>
      </c>
      <c r="BF2192" t="s">
        <v>564</v>
      </c>
      <c r="BG2192" t="s">
        <v>995</v>
      </c>
      <c r="BH2192">
        <v>15</v>
      </c>
      <c r="BJ2192" s="114">
        <v>39</v>
      </c>
      <c r="BK2192" s="116">
        <v>129</v>
      </c>
      <c r="BL2192" s="120">
        <f t="shared" si="895"/>
        <v>39129</v>
      </c>
      <c r="BN2192" s="5" t="s">
        <v>3154</v>
      </c>
      <c r="BO2192" s="63">
        <v>332</v>
      </c>
      <c r="BP2192" s="63">
        <v>13</v>
      </c>
      <c r="BR2192" s="63"/>
      <c r="BT2192" s="63"/>
      <c r="BY2192" s="63">
        <f t="shared" si="894"/>
        <v>0</v>
      </c>
      <c r="BZ2192" s="63">
        <v>25257</v>
      </c>
      <c r="CA2192" s="63">
        <v>257</v>
      </c>
      <c r="CB2192" s="132"/>
      <c r="CD2192" s="63">
        <v>0</v>
      </c>
      <c r="CE2192" s="63">
        <v>0</v>
      </c>
      <c r="CF2192" s="63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</row>
    <row r="2193" spans="1:90" hidden="1" outlineLevel="1">
      <c r="A2193" t="s">
        <v>2655</v>
      </c>
      <c r="B2193" t="s">
        <v>995</v>
      </c>
      <c r="C2193" s="1">
        <f t="shared" si="907"/>
        <v>11951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7</v>
      </c>
      <c r="G2193" s="132">
        <f t="shared" si="905"/>
        <v>4363</v>
      </c>
      <c r="H2193" s="137">
        <f t="shared" si="906"/>
        <v>0.3650740523805539</v>
      </c>
      <c r="I2193" s="2"/>
      <c r="J2193" s="2">
        <f t="shared" si="908"/>
        <v>0.29612584720943852</v>
      </c>
      <c r="K2193" s="2">
        <f t="shared" si="909"/>
        <v>0.66119989958999248</v>
      </c>
      <c r="L2193" s="2">
        <f t="shared" si="910"/>
        <v>8.3675006275625466E-4</v>
      </c>
      <c r="M2193" s="2">
        <f t="shared" si="911"/>
        <v>4.183750313781269E-2</v>
      </c>
      <c r="N2193" s="63">
        <v>3539</v>
      </c>
      <c r="O2193" s="63">
        <v>7902</v>
      </c>
      <c r="P2193" s="63">
        <v>10</v>
      </c>
      <c r="Q2193" s="63">
        <v>283</v>
      </c>
      <c r="R2193" s="63">
        <v>58</v>
      </c>
      <c r="S2193" s="63">
        <v>2</v>
      </c>
      <c r="T2193" s="63"/>
      <c r="U2193" s="63"/>
      <c r="V2193" s="63"/>
      <c r="W2193" s="63">
        <f>IF(Copyright!B$11=1,IF(CA2193&gt;0,CA2193-P2193-SUM(S2193:V2193)-SUM(X2193:Y2193)-SUM(AA2193:AT2193),SUM(CB2193:CM2193)),SUM(CB2193:CM2193))</f>
        <v>74</v>
      </c>
      <c r="X2193" s="63"/>
      <c r="Y2193" s="63">
        <v>0</v>
      </c>
      <c r="Z2193" s="63">
        <v>83</v>
      </c>
      <c r="AA2193" s="63">
        <v>0</v>
      </c>
      <c r="AB2193" s="63"/>
      <c r="AC2193" s="63"/>
      <c r="AD2193" s="63"/>
      <c r="AE2193" s="63">
        <v>0</v>
      </c>
      <c r="AF2193" s="63"/>
      <c r="AG2193" s="63">
        <v>0</v>
      </c>
      <c r="AH2193" s="63"/>
      <c r="AI2193" s="8"/>
      <c r="AJ2193" s="63"/>
      <c r="AK2193" s="63"/>
      <c r="AL2193" s="63"/>
      <c r="AM2193" s="63">
        <v>0</v>
      </c>
      <c r="AN2193" s="63">
        <v>0</v>
      </c>
      <c r="AO2193" s="63"/>
      <c r="AP2193" s="63"/>
      <c r="AQ2193" s="63">
        <v>0</v>
      </c>
      <c r="AR2193" s="63"/>
      <c r="AS2193" s="63"/>
      <c r="AT2193" s="63"/>
      <c r="AU2193" s="63"/>
      <c r="AW2193" s="5">
        <f>IF(Q2193&gt;0,RANK(Q2193,(N2193:P2193,Q2193:AE2193)),0)</f>
        <v>3</v>
      </c>
      <c r="AX2193" s="5">
        <f>IF(R2193&gt;0,RANK(R2193,(N2193:P2193,Q2193:AE2193)),0)</f>
        <v>6</v>
      </c>
      <c r="AY2193" s="5">
        <f>IF(T2193&gt;0,RANK(T2193,(N2193:P2193,Q2193:AE2193)),0)</f>
        <v>0</v>
      </c>
      <c r="AZ2193" s="5">
        <f>IF(S2193&gt;0,RANK(S2193,(N2193:P2193,Q2193:AE2193)),0)</f>
        <v>8</v>
      </c>
      <c r="BA2193" s="2">
        <f t="shared" si="912"/>
        <v>2.3680026776002009E-2</v>
      </c>
      <c r="BB2193" s="2">
        <f t="shared" si="913"/>
        <v>4.8531503639862774E-3</v>
      </c>
      <c r="BC2193" s="2">
        <f t="shared" si="914"/>
        <v>0</v>
      </c>
      <c r="BD2193" s="2">
        <f t="shared" si="915"/>
        <v>1.6735001255125095E-4</v>
      </c>
      <c r="BF2193" t="s">
        <v>2655</v>
      </c>
      <c r="BG2193" t="s">
        <v>995</v>
      </c>
      <c r="BH2193">
        <v>2</v>
      </c>
      <c r="BJ2193" s="114">
        <v>39</v>
      </c>
      <c r="BK2193" s="116">
        <v>131</v>
      </c>
      <c r="BL2193" s="120">
        <f t="shared" si="895"/>
        <v>39131</v>
      </c>
      <c r="BN2193" s="5" t="s">
        <v>3154</v>
      </c>
      <c r="BR2193" s="63"/>
      <c r="BT2193" s="63"/>
      <c r="BY2193" s="63">
        <f t="shared" ref="BY2193:BY2216" si="916">IF(BO2193&gt;0,BZ2193-C2193-BO2193-BP2193,BZ2193-C2193)</f>
        <v>0</v>
      </c>
      <c r="BZ2193" s="63">
        <v>11951</v>
      </c>
      <c r="CA2193" s="63">
        <v>86</v>
      </c>
      <c r="CB2193" s="132"/>
      <c r="CD2193" s="63">
        <v>0</v>
      </c>
      <c r="CE2193" s="63">
        <v>0</v>
      </c>
      <c r="CF2193" s="63">
        <v>0</v>
      </c>
      <c r="CG2193" s="8">
        <v>2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</row>
    <row r="2194" spans="1:90" hidden="1" outlineLevel="1">
      <c r="A2194" t="s">
        <v>2094</v>
      </c>
      <c r="B2194" t="s">
        <v>995</v>
      </c>
      <c r="C2194" s="1">
        <f t="shared" si="907"/>
        <v>76762</v>
      </c>
      <c r="D2194" s="5">
        <f>IF(N2194&gt;0, RANK(N2194,(N2194:P2194,Q2194:AE2194)),0)</f>
        <v>2</v>
      </c>
      <c r="E2194" s="5">
        <f>IF(O2194&gt;0,RANK(O2194,(N2194:P2194,Q2194:AE2194)),0)</f>
        <v>1</v>
      </c>
      <c r="F2194" s="5">
        <f>IF(P2194&gt;0,RANK(P2194,(N2194:P2194,Q2194:AE2194)),0)</f>
        <v>7</v>
      </c>
      <c r="G2194" s="132">
        <f t="shared" si="905"/>
        <v>7574</v>
      </c>
      <c r="H2194" s="137">
        <f t="shared" si="906"/>
        <v>9.8668612073682285E-2</v>
      </c>
      <c r="I2194" s="2"/>
      <c r="J2194" s="2">
        <f t="shared" si="908"/>
        <v>0.42204476173106487</v>
      </c>
      <c r="K2194" s="2">
        <f t="shared" si="909"/>
        <v>0.52071337380474714</v>
      </c>
      <c r="L2194" s="2">
        <f t="shared" si="910"/>
        <v>8.9888225945129101E-4</v>
      </c>
      <c r="M2194" s="2">
        <f t="shared" si="911"/>
        <v>5.6342982204736707E-2</v>
      </c>
      <c r="N2194" s="63">
        <v>32397</v>
      </c>
      <c r="O2194" s="63">
        <v>39971</v>
      </c>
      <c r="P2194" s="63">
        <v>69</v>
      </c>
      <c r="Q2194" s="63">
        <v>2415</v>
      </c>
      <c r="R2194" s="63">
        <v>840</v>
      </c>
      <c r="S2194" s="63">
        <v>18</v>
      </c>
      <c r="T2194" s="63"/>
      <c r="U2194" s="63"/>
      <c r="V2194" s="63"/>
      <c r="W2194" s="63">
        <f>IF(Copyright!B$11=1,IF(CA2194&gt;0,CA2194-P2194-SUM(S2194:V2194)-SUM(X2194:Y2194)-SUM(AA2194:AT2194),SUM(CB2194:CM2194)),SUM(CB2194:CM2194))</f>
        <v>627</v>
      </c>
      <c r="X2194" s="63"/>
      <c r="Y2194" s="63">
        <v>2</v>
      </c>
      <c r="Z2194" s="63">
        <v>411</v>
      </c>
      <c r="AA2194" s="63">
        <v>0</v>
      </c>
      <c r="AB2194" s="63"/>
      <c r="AC2194" s="63"/>
      <c r="AD2194" s="63"/>
      <c r="AE2194" s="63">
        <v>7</v>
      </c>
      <c r="AF2194" s="63"/>
      <c r="AG2194" s="63">
        <v>2</v>
      </c>
      <c r="AH2194" s="63"/>
      <c r="AI2194" s="8"/>
      <c r="AJ2194" s="63"/>
      <c r="AK2194" s="63"/>
      <c r="AL2194" s="63"/>
      <c r="AM2194" s="63">
        <v>0</v>
      </c>
      <c r="AN2194" s="63">
        <v>1</v>
      </c>
      <c r="AO2194" s="63"/>
      <c r="AP2194" s="63"/>
      <c r="AQ2194" s="63">
        <v>2</v>
      </c>
      <c r="AR2194" s="63"/>
      <c r="AS2194" s="63"/>
      <c r="AT2194" s="63"/>
      <c r="AU2194" s="63"/>
      <c r="AW2194" s="5">
        <f>IF(Q2194&gt;0,RANK(Q2194,(N2194:P2194,Q2194:AE2194)),0)</f>
        <v>3</v>
      </c>
      <c r="AX2194" s="5">
        <f>IF(R2194&gt;0,RANK(R2194,(N2194:P2194,Q2194:AE2194)),0)</f>
        <v>4</v>
      </c>
      <c r="AY2194" s="5">
        <f>IF(T2194&gt;0,RANK(T2194,(N2194:P2194,Q2194:AE2194)),0)</f>
        <v>0</v>
      </c>
      <c r="AZ2194" s="5">
        <f>IF(S2194&gt;0,RANK(S2194,(N2194:P2194,Q2194:AE2194)),0)</f>
        <v>8</v>
      </c>
      <c r="BA2194" s="2">
        <f t="shared" si="912"/>
        <v>3.1460879080795187E-2</v>
      </c>
      <c r="BB2194" s="2">
        <f t="shared" si="913"/>
        <v>1.0942914462885282E-2</v>
      </c>
      <c r="BC2194" s="2">
        <f t="shared" si="914"/>
        <v>0</v>
      </c>
      <c r="BD2194" s="2">
        <f t="shared" si="915"/>
        <v>2.3449102420468462E-4</v>
      </c>
      <c r="BF2194" t="s">
        <v>2094</v>
      </c>
      <c r="BG2194" t="s">
        <v>995</v>
      </c>
      <c r="BJ2194" s="114">
        <v>39</v>
      </c>
      <c r="BK2194" s="116">
        <v>133</v>
      </c>
      <c r="BL2194" s="120">
        <f t="shared" si="895"/>
        <v>39133</v>
      </c>
      <c r="BN2194" s="5" t="s">
        <v>3154</v>
      </c>
      <c r="BR2194" s="63"/>
      <c r="BT2194" s="63"/>
      <c r="BY2194" s="63">
        <f t="shared" si="916"/>
        <v>0</v>
      </c>
      <c r="BZ2194" s="63">
        <v>76762</v>
      </c>
      <c r="CA2194" s="63">
        <v>728</v>
      </c>
      <c r="CB2194" s="132"/>
      <c r="CD2194" s="63">
        <v>0</v>
      </c>
      <c r="CE2194" s="63">
        <v>1</v>
      </c>
      <c r="CF2194" s="63">
        <v>1</v>
      </c>
      <c r="CG2194" s="8">
        <v>1</v>
      </c>
      <c r="CH2194" s="8">
        <v>0</v>
      </c>
      <c r="CI2194" s="8">
        <v>1</v>
      </c>
      <c r="CJ2194" s="8">
        <v>0</v>
      </c>
      <c r="CK2194" s="8">
        <v>0</v>
      </c>
      <c r="CL2194" s="8">
        <v>0</v>
      </c>
    </row>
    <row r="2195" spans="1:90" hidden="1" outlineLevel="1">
      <c r="A2195" t="s">
        <v>1005</v>
      </c>
      <c r="B2195" t="s">
        <v>995</v>
      </c>
      <c r="C2195" s="1">
        <f t="shared" si="907"/>
        <v>20681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7</v>
      </c>
      <c r="G2195" s="132">
        <f t="shared" si="905"/>
        <v>11121</v>
      </c>
      <c r="H2195" s="137">
        <f t="shared" si="906"/>
        <v>0.53773995454765244</v>
      </c>
      <c r="I2195" s="2"/>
      <c r="J2195" s="2">
        <f t="shared" si="908"/>
        <v>0.20912915236207147</v>
      </c>
      <c r="K2195" s="2">
        <f t="shared" si="909"/>
        <v>0.74686910690972386</v>
      </c>
      <c r="L2195" s="2">
        <f t="shared" si="910"/>
        <v>5.8024273487742369E-4</v>
      </c>
      <c r="M2195" s="2">
        <f t="shared" si="911"/>
        <v>4.3421497993327195E-2</v>
      </c>
      <c r="N2195" s="63">
        <v>4325</v>
      </c>
      <c r="O2195" s="63">
        <v>15446</v>
      </c>
      <c r="P2195" s="63">
        <v>12</v>
      </c>
      <c r="Q2195" s="63">
        <v>553</v>
      </c>
      <c r="R2195" s="63">
        <v>126</v>
      </c>
      <c r="S2195" s="63">
        <v>1</v>
      </c>
      <c r="T2195" s="63"/>
      <c r="U2195" s="63"/>
      <c r="V2195" s="63"/>
      <c r="W2195" s="63">
        <f>IF(Copyright!B$11=1,IF(CA2195&gt;0,CA2195-P2195-SUM(S2195:V2195)-SUM(X2195:Y2195)-SUM(AA2195:AT2195),SUM(CB2195:CM2195)),SUM(CB2195:CM2195))</f>
        <v>116</v>
      </c>
      <c r="X2195" s="63"/>
      <c r="Y2195" s="63">
        <v>0</v>
      </c>
      <c r="Z2195" s="63">
        <v>102</v>
      </c>
      <c r="AA2195" s="63">
        <v>0</v>
      </c>
      <c r="AB2195" s="63"/>
      <c r="AC2195" s="63"/>
      <c r="AD2195" s="63"/>
      <c r="AE2195" s="63">
        <v>0</v>
      </c>
      <c r="AF2195" s="63"/>
      <c r="AG2195" s="63">
        <v>0</v>
      </c>
      <c r="AH2195" s="63"/>
      <c r="AI2195" s="8"/>
      <c r="AJ2195" s="63"/>
      <c r="AK2195" s="63"/>
      <c r="AL2195" s="63"/>
      <c r="AM2195" s="63">
        <v>0</v>
      </c>
      <c r="AN2195" s="63">
        <v>0</v>
      </c>
      <c r="AO2195" s="63"/>
      <c r="AP2195" s="63"/>
      <c r="AQ2195" s="63">
        <v>0</v>
      </c>
      <c r="AR2195" s="63"/>
      <c r="AS2195" s="63"/>
      <c r="AT2195" s="63"/>
      <c r="AU2195" s="63"/>
      <c r="AW2195" s="5">
        <f>IF(Q2195&gt;0,RANK(Q2195,(N2195:P2195,Q2195:AE2195)),0)</f>
        <v>3</v>
      </c>
      <c r="AX2195" s="5">
        <f>IF(R2195&gt;0,RANK(R2195,(N2195:P2195,Q2195:AE2195)),0)</f>
        <v>4</v>
      </c>
      <c r="AY2195" s="5">
        <f>IF(T2195&gt;0,RANK(T2195,(N2195:P2195,Q2195:AE2195)),0)</f>
        <v>0</v>
      </c>
      <c r="AZ2195" s="5">
        <f>IF(S2195&gt;0,RANK(S2195,(N2195:P2195,Q2195:AE2195)),0)</f>
        <v>8</v>
      </c>
      <c r="BA2195" s="2">
        <f t="shared" si="912"/>
        <v>2.6739519365601278E-2</v>
      </c>
      <c r="BB2195" s="2">
        <f t="shared" si="913"/>
        <v>6.0925487162129489E-3</v>
      </c>
      <c r="BC2195" s="2">
        <f t="shared" si="914"/>
        <v>0</v>
      </c>
      <c r="BD2195" s="2">
        <f t="shared" si="915"/>
        <v>4.8353561239785307E-5</v>
      </c>
      <c r="BF2195" t="s">
        <v>1005</v>
      </c>
      <c r="BG2195" t="s">
        <v>995</v>
      </c>
      <c r="BH2195">
        <v>8</v>
      </c>
      <c r="BJ2195" s="114">
        <v>39</v>
      </c>
      <c r="BK2195" s="116">
        <v>135</v>
      </c>
      <c r="BL2195" s="120">
        <f t="shared" si="895"/>
        <v>39135</v>
      </c>
      <c r="BN2195" s="5" t="s">
        <v>3154</v>
      </c>
      <c r="BR2195" s="63"/>
      <c r="BT2195" s="63"/>
      <c r="BY2195" s="63">
        <f t="shared" si="916"/>
        <v>0</v>
      </c>
      <c r="BZ2195" s="63">
        <v>20681</v>
      </c>
      <c r="CA2195" s="63">
        <v>129</v>
      </c>
      <c r="CB2195" s="132"/>
      <c r="CD2195" s="63">
        <v>0</v>
      </c>
      <c r="CE2195" s="63">
        <v>0</v>
      </c>
      <c r="CF2195" s="63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</row>
    <row r="2196" spans="1:90" hidden="1" outlineLevel="1">
      <c r="A2196" t="s">
        <v>955</v>
      </c>
      <c r="B2196" t="s">
        <v>995</v>
      </c>
      <c r="C2196" s="1">
        <f t="shared" si="907"/>
        <v>18857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7</v>
      </c>
      <c r="G2196" s="132">
        <f t="shared" si="905"/>
        <v>12039</v>
      </c>
      <c r="H2196" s="137">
        <f t="shared" si="906"/>
        <v>0.6384366548231426</v>
      </c>
      <c r="I2196" s="2"/>
      <c r="J2196" s="2">
        <f t="shared" si="908"/>
        <v>0.15495571936151031</v>
      </c>
      <c r="K2196" s="2">
        <f t="shared" si="909"/>
        <v>0.79339237418465292</v>
      </c>
      <c r="L2196" s="2">
        <f t="shared" si="910"/>
        <v>2.12122819112266E-3</v>
      </c>
      <c r="M2196" s="2">
        <f t="shared" si="911"/>
        <v>4.9530678262714109E-2</v>
      </c>
      <c r="N2196" s="63">
        <v>2922</v>
      </c>
      <c r="O2196" s="63">
        <v>14961</v>
      </c>
      <c r="P2196" s="63">
        <v>40</v>
      </c>
      <c r="Q2196" s="63">
        <v>638</v>
      </c>
      <c r="R2196" s="63">
        <v>72</v>
      </c>
      <c r="S2196" s="63">
        <v>6</v>
      </c>
      <c r="T2196" s="63"/>
      <c r="U2196" s="63"/>
      <c r="V2196" s="63"/>
      <c r="W2196" s="63">
        <f>IF(Copyright!B$11=1,IF(CA2196&gt;0,CA2196-P2196-SUM(S2196:V2196)-SUM(X2196:Y2196)-SUM(AA2196:AT2196),SUM(CB2196:CM2196)),SUM(CB2196:CM2196))</f>
        <v>93</v>
      </c>
      <c r="X2196" s="63"/>
      <c r="Y2196" s="63">
        <v>0</v>
      </c>
      <c r="Z2196" s="63">
        <v>119</v>
      </c>
      <c r="AA2196" s="63">
        <v>0</v>
      </c>
      <c r="AB2196" s="63"/>
      <c r="AC2196" s="63"/>
      <c r="AD2196" s="63"/>
      <c r="AE2196" s="63">
        <v>0</v>
      </c>
      <c r="AF2196" s="63"/>
      <c r="AG2196" s="63">
        <v>0</v>
      </c>
      <c r="AH2196" s="63"/>
      <c r="AI2196" s="8"/>
      <c r="AJ2196" s="63"/>
      <c r="AK2196" s="63"/>
      <c r="AL2196" s="63"/>
      <c r="AM2196" s="63">
        <v>0</v>
      </c>
      <c r="AN2196" s="63">
        <v>5</v>
      </c>
      <c r="AO2196" s="63"/>
      <c r="AP2196" s="63"/>
      <c r="AQ2196" s="63">
        <v>1</v>
      </c>
      <c r="AR2196" s="63"/>
      <c r="AS2196" s="63"/>
      <c r="AT2196" s="63"/>
      <c r="AU2196" s="63"/>
      <c r="AW2196" s="5">
        <f>IF(Q2196&gt;0,RANK(Q2196,(N2196:P2196,Q2196:AE2196)),0)</f>
        <v>3</v>
      </c>
      <c r="AX2196" s="5">
        <f>IF(R2196&gt;0,RANK(R2196,(N2196:P2196,Q2196:AE2196)),0)</f>
        <v>6</v>
      </c>
      <c r="AY2196" s="5">
        <f>IF(T2196&gt;0,RANK(T2196,(N2196:P2196,Q2196:AE2196)),0)</f>
        <v>0</v>
      </c>
      <c r="AZ2196" s="5">
        <f>IF(S2196&gt;0,RANK(S2196,(N2196:P2196,Q2196:AE2196)),0)</f>
        <v>8</v>
      </c>
      <c r="BA2196" s="2">
        <f t="shared" si="912"/>
        <v>3.383358964840643E-2</v>
      </c>
      <c r="BB2196" s="2">
        <f t="shared" si="913"/>
        <v>3.818210744020788E-3</v>
      </c>
      <c r="BC2196" s="2">
        <f t="shared" si="914"/>
        <v>0</v>
      </c>
      <c r="BD2196" s="2">
        <f t="shared" si="915"/>
        <v>3.18184228668399E-4</v>
      </c>
      <c r="BF2196" t="s">
        <v>955</v>
      </c>
      <c r="BG2196" t="s">
        <v>995</v>
      </c>
      <c r="BH2196">
        <v>5</v>
      </c>
      <c r="BJ2196" s="114">
        <v>39</v>
      </c>
      <c r="BK2196" s="116">
        <v>137</v>
      </c>
      <c r="BL2196" s="120">
        <f t="shared" si="895"/>
        <v>39137</v>
      </c>
      <c r="BN2196" s="5" t="s">
        <v>3154</v>
      </c>
      <c r="BO2196" s="63">
        <v>232</v>
      </c>
      <c r="BP2196" s="63">
        <v>72</v>
      </c>
      <c r="BR2196" s="63"/>
      <c r="BT2196" s="63"/>
      <c r="BY2196" s="63">
        <f t="shared" si="916"/>
        <v>0</v>
      </c>
      <c r="BZ2196" s="63">
        <v>19161</v>
      </c>
      <c r="CA2196" s="63">
        <v>145</v>
      </c>
      <c r="CB2196" s="132"/>
      <c r="CD2196" s="63">
        <v>0</v>
      </c>
      <c r="CE2196" s="63">
        <v>0</v>
      </c>
      <c r="CF2196" s="63">
        <v>0</v>
      </c>
      <c r="CG2196" s="8">
        <v>0</v>
      </c>
      <c r="CH2196" s="8">
        <v>0</v>
      </c>
      <c r="CI2196" s="8">
        <v>1</v>
      </c>
      <c r="CJ2196" s="8">
        <v>2</v>
      </c>
      <c r="CK2196" s="8">
        <v>0</v>
      </c>
      <c r="CL2196" s="8">
        <v>0</v>
      </c>
    </row>
    <row r="2197" spans="1:90" hidden="1" outlineLevel="1">
      <c r="A2197" t="s">
        <v>50</v>
      </c>
      <c r="B2197" t="s">
        <v>995</v>
      </c>
      <c r="C2197" s="1">
        <f t="shared" si="907"/>
        <v>55424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7</v>
      </c>
      <c r="G2197" s="132">
        <f t="shared" si="905"/>
        <v>20505</v>
      </c>
      <c r="H2197" s="137">
        <f t="shared" si="906"/>
        <v>0.36996607967667439</v>
      </c>
      <c r="I2197" s="2"/>
      <c r="J2197" s="2">
        <f t="shared" si="908"/>
        <v>0.29021723441108543</v>
      </c>
      <c r="K2197" s="2">
        <f t="shared" si="909"/>
        <v>0.66018331408775976</v>
      </c>
      <c r="L2197" s="2">
        <f t="shared" si="910"/>
        <v>2.0388279445727481E-3</v>
      </c>
      <c r="M2197" s="2">
        <f t="shared" si="911"/>
        <v>4.756062355658211E-2</v>
      </c>
      <c r="N2197" s="63">
        <v>16085</v>
      </c>
      <c r="O2197" s="63">
        <v>36590</v>
      </c>
      <c r="P2197" s="63">
        <v>113</v>
      </c>
      <c r="Q2197" s="63">
        <v>1637</v>
      </c>
      <c r="R2197" s="63">
        <v>387</v>
      </c>
      <c r="S2197" s="63">
        <v>30</v>
      </c>
      <c r="T2197" s="63"/>
      <c r="U2197" s="63"/>
      <c r="V2197" s="63"/>
      <c r="W2197" s="63">
        <f>IF(Copyright!B$11=1,IF(CA2197&gt;0,CA2197-P2197-SUM(S2197:V2197)-SUM(X2197:Y2197)-SUM(AA2197:AT2197),SUM(CB2197:CM2197)),SUM(CB2197:CM2197))</f>
        <v>211</v>
      </c>
      <c r="X2197" s="63"/>
      <c r="Y2197" s="63">
        <v>15</v>
      </c>
      <c r="Z2197" s="63">
        <v>353</v>
      </c>
      <c r="AA2197" s="63">
        <v>0</v>
      </c>
      <c r="AB2197" s="63"/>
      <c r="AC2197" s="63"/>
      <c r="AD2197" s="63"/>
      <c r="AE2197" s="63">
        <v>0</v>
      </c>
      <c r="AF2197" s="63"/>
      <c r="AG2197" s="63">
        <v>3</v>
      </c>
      <c r="AH2197" s="63"/>
      <c r="AI2197" s="8"/>
      <c r="AJ2197" s="63"/>
      <c r="AK2197" s="63"/>
      <c r="AL2197" s="63"/>
      <c r="AM2197" s="63">
        <v>0</v>
      </c>
      <c r="AN2197" s="63">
        <v>0</v>
      </c>
      <c r="AO2197" s="63"/>
      <c r="AP2197" s="63"/>
      <c r="AQ2197" s="63">
        <v>0</v>
      </c>
      <c r="AR2197" s="63"/>
      <c r="AS2197" s="63"/>
      <c r="AT2197" s="63"/>
      <c r="AU2197" s="63"/>
      <c r="AW2197" s="5">
        <f>IF(Q2197&gt;0,RANK(Q2197,(N2197:P2197,Q2197:AE2197)),0)</f>
        <v>3</v>
      </c>
      <c r="AX2197" s="5">
        <f>IF(R2197&gt;0,RANK(R2197,(N2197:P2197,Q2197:AE2197)),0)</f>
        <v>4</v>
      </c>
      <c r="AY2197" s="5">
        <f>IF(T2197&gt;0,RANK(T2197,(N2197:P2197,Q2197:AE2197)),0)</f>
        <v>0</v>
      </c>
      <c r="AZ2197" s="5">
        <f>IF(S2197&gt;0,RANK(S2197,(N2197:P2197,Q2197:AE2197)),0)</f>
        <v>8</v>
      </c>
      <c r="BA2197" s="2">
        <f t="shared" si="912"/>
        <v>2.9535941108545034E-2</v>
      </c>
      <c r="BB2197" s="2">
        <f t="shared" si="913"/>
        <v>6.982534642032333E-3</v>
      </c>
      <c r="BC2197" s="2">
        <f t="shared" si="914"/>
        <v>0</v>
      </c>
      <c r="BD2197" s="2">
        <f t="shared" si="915"/>
        <v>5.4128175519630481E-4</v>
      </c>
      <c r="BF2197" t="s">
        <v>50</v>
      </c>
      <c r="BG2197" t="s">
        <v>995</v>
      </c>
      <c r="BJ2197" s="114">
        <v>39</v>
      </c>
      <c r="BK2197" s="116">
        <v>139</v>
      </c>
      <c r="BL2197" s="120">
        <f t="shared" si="895"/>
        <v>39139</v>
      </c>
      <c r="BN2197" s="5" t="s">
        <v>3154</v>
      </c>
      <c r="BR2197" s="63"/>
      <c r="BT2197" s="63"/>
      <c r="BY2197" s="63">
        <f t="shared" si="916"/>
        <v>0</v>
      </c>
      <c r="BZ2197" s="63">
        <v>55424</v>
      </c>
      <c r="CA2197" s="63">
        <f>210+114+3+15+30</f>
        <v>372</v>
      </c>
      <c r="CB2197" s="132"/>
      <c r="CD2197" s="63">
        <v>0</v>
      </c>
      <c r="CE2197" s="63">
        <v>0</v>
      </c>
      <c r="CF2197" s="63">
        <v>0</v>
      </c>
      <c r="CG2197" s="8">
        <v>0</v>
      </c>
      <c r="CH2197" s="8">
        <v>0</v>
      </c>
      <c r="CI2197" s="8">
        <v>0</v>
      </c>
      <c r="CJ2197" s="8">
        <v>1</v>
      </c>
      <c r="CK2197" s="8">
        <v>0</v>
      </c>
      <c r="CL2197" s="8">
        <v>0</v>
      </c>
    </row>
    <row r="2198" spans="1:90" hidden="1" outlineLevel="1">
      <c r="A2198" t="s">
        <v>462</v>
      </c>
      <c r="B2198" t="s">
        <v>995</v>
      </c>
      <c r="C2198" s="1">
        <f t="shared" si="907"/>
        <v>30565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7</v>
      </c>
      <c r="G2198" s="132">
        <f t="shared" si="905"/>
        <v>8296</v>
      </c>
      <c r="H2198" s="137">
        <f t="shared" si="906"/>
        <v>0.27142156060853917</v>
      </c>
      <c r="I2198" s="2"/>
      <c r="J2198" s="2">
        <f t="shared" si="908"/>
        <v>0.338818910518567</v>
      </c>
      <c r="K2198" s="2">
        <f t="shared" si="909"/>
        <v>0.61024047112710622</v>
      </c>
      <c r="L2198" s="2">
        <f t="shared" si="910"/>
        <v>1.3414035661704563E-3</v>
      </c>
      <c r="M2198" s="2">
        <f t="shared" si="911"/>
        <v>4.9599214788156272E-2</v>
      </c>
      <c r="N2198" s="63">
        <v>10356</v>
      </c>
      <c r="O2198" s="63">
        <v>18652</v>
      </c>
      <c r="P2198" s="63">
        <v>41</v>
      </c>
      <c r="Q2198" s="63">
        <v>934</v>
      </c>
      <c r="R2198" s="63">
        <v>209</v>
      </c>
      <c r="S2198" s="63">
        <v>18</v>
      </c>
      <c r="T2198" s="63"/>
      <c r="U2198" s="63"/>
      <c r="V2198" s="63"/>
      <c r="W2198" s="63">
        <f>IF(Copyright!B$11=1,IF(CA2198&gt;0,CA2198-P2198-SUM(S2198:V2198)-SUM(X2198:Y2198)-SUM(AA2198:AT2198),SUM(CB2198:CM2198)),SUM(CB2198:CM2198))</f>
        <v>188</v>
      </c>
      <c r="X2198" s="63"/>
      <c r="Y2198" s="63">
        <v>2</v>
      </c>
      <c r="Z2198" s="63">
        <v>163</v>
      </c>
      <c r="AA2198" s="63">
        <v>0</v>
      </c>
      <c r="AB2198" s="63"/>
      <c r="AC2198" s="63"/>
      <c r="AD2198" s="63"/>
      <c r="AE2198" s="63">
        <v>0</v>
      </c>
      <c r="AF2198" s="63"/>
      <c r="AG2198" s="63">
        <v>0</v>
      </c>
      <c r="AH2198" s="63"/>
      <c r="AI2198" s="8"/>
      <c r="AJ2198" s="63"/>
      <c r="AK2198" s="63"/>
      <c r="AL2198" s="63"/>
      <c r="AM2198" s="63">
        <v>1</v>
      </c>
      <c r="AN2198" s="63">
        <v>1</v>
      </c>
      <c r="AO2198" s="63"/>
      <c r="AP2198" s="63"/>
      <c r="AQ2198" s="63">
        <v>0</v>
      </c>
      <c r="AR2198" s="63"/>
      <c r="AS2198" s="63"/>
      <c r="AT2198" s="63"/>
      <c r="AU2198" s="63"/>
      <c r="AW2198" s="5">
        <f>IF(Q2198&gt;0,RANK(Q2198,(N2198:P2198,Q2198:AE2198)),0)</f>
        <v>3</v>
      </c>
      <c r="AX2198" s="5">
        <f>IF(R2198&gt;0,RANK(R2198,(N2198:P2198,Q2198:AE2198)),0)</f>
        <v>4</v>
      </c>
      <c r="AY2198" s="5">
        <f>IF(T2198&gt;0,RANK(T2198,(N2198:P2198,Q2198:AE2198)),0)</f>
        <v>0</v>
      </c>
      <c r="AZ2198" s="5">
        <f>IF(S2198&gt;0,RANK(S2198,(N2198:P2198,Q2198:AE2198)),0)</f>
        <v>8</v>
      </c>
      <c r="BA2198" s="2">
        <f t="shared" si="912"/>
        <v>3.0557827580566008E-2</v>
      </c>
      <c r="BB2198" s="2">
        <f t="shared" si="913"/>
        <v>6.837886471454278E-3</v>
      </c>
      <c r="BC2198" s="2">
        <f t="shared" si="914"/>
        <v>0</v>
      </c>
      <c r="BD2198" s="2">
        <f t="shared" si="915"/>
        <v>5.8890888270898085E-4</v>
      </c>
      <c r="BF2198" t="s">
        <v>462</v>
      </c>
      <c r="BG2198" t="s">
        <v>995</v>
      </c>
      <c r="BJ2198" s="114">
        <v>39</v>
      </c>
      <c r="BK2198" s="116">
        <v>141</v>
      </c>
      <c r="BL2198" s="120">
        <f t="shared" si="895"/>
        <v>39141</v>
      </c>
      <c r="BN2198" s="5" t="s">
        <v>3154</v>
      </c>
      <c r="BO2198" s="63">
        <v>358</v>
      </c>
      <c r="BP2198" s="63">
        <v>12</v>
      </c>
      <c r="BR2198" s="63"/>
      <c r="BT2198" s="63"/>
      <c r="BY2198" s="63">
        <f t="shared" si="916"/>
        <v>0</v>
      </c>
      <c r="BZ2198" s="63">
        <v>30935</v>
      </c>
      <c r="CA2198" s="63">
        <v>251</v>
      </c>
      <c r="CB2198" s="132"/>
      <c r="CD2198" s="63">
        <v>0</v>
      </c>
      <c r="CE2198" s="63">
        <v>0</v>
      </c>
      <c r="CF2198" s="63">
        <v>0</v>
      </c>
      <c r="CG2198" s="8">
        <v>2</v>
      </c>
      <c r="CH2198" s="8">
        <v>1</v>
      </c>
      <c r="CI2198" s="8">
        <v>0</v>
      </c>
      <c r="CJ2198" s="8">
        <v>0</v>
      </c>
      <c r="CK2198" s="8">
        <v>0</v>
      </c>
      <c r="CL2198" s="8">
        <v>0</v>
      </c>
    </row>
    <row r="2199" spans="1:90" hidden="1" outlineLevel="1">
      <c r="A2199" t="s">
        <v>1137</v>
      </c>
      <c r="B2199" t="s">
        <v>995</v>
      </c>
      <c r="C2199" s="1">
        <f t="shared" si="907"/>
        <v>28285</v>
      </c>
      <c r="D2199" s="5">
        <f>IF(N2199&gt;0, RANK(N2199,(N2199:P2199,Q2199:AE2199)),0)</f>
        <v>2</v>
      </c>
      <c r="E2199" s="5">
        <f>IF(O2199&gt;0,RANK(O2199,(N2199:P2199,Q2199:AE2199)),0)</f>
        <v>1</v>
      </c>
      <c r="F2199" s="5">
        <f>IF(P2199&gt;0,RANK(P2199,(N2199:P2199,Q2199:AE2199)),0)</f>
        <v>7</v>
      </c>
      <c r="G2199" s="132">
        <f t="shared" si="905"/>
        <v>6387</v>
      </c>
      <c r="H2199" s="137">
        <f t="shared" si="906"/>
        <v>0.22580873254375111</v>
      </c>
      <c r="I2199" s="2"/>
      <c r="J2199" s="2">
        <f t="shared" si="908"/>
        <v>0.35103411702315718</v>
      </c>
      <c r="K2199" s="2">
        <f t="shared" si="909"/>
        <v>0.57684284956690823</v>
      </c>
      <c r="L2199" s="2">
        <f t="shared" si="910"/>
        <v>7.0708856284249606E-4</v>
      </c>
      <c r="M2199" s="2">
        <f t="shared" si="911"/>
        <v>7.1415944847092044E-2</v>
      </c>
      <c r="N2199" s="63">
        <v>9929</v>
      </c>
      <c r="O2199" s="63">
        <v>16316</v>
      </c>
      <c r="P2199" s="63">
        <v>20</v>
      </c>
      <c r="Q2199" s="63">
        <v>1263</v>
      </c>
      <c r="R2199" s="63">
        <v>311</v>
      </c>
      <c r="S2199" s="63">
        <v>10</v>
      </c>
      <c r="T2199" s="63"/>
      <c r="U2199" s="63"/>
      <c r="V2199" s="63"/>
      <c r="W2199" s="63">
        <f>IF(Copyright!B$11=1,IF(CA2199&gt;0,CA2199-P2199-SUM(S2199:V2199)-SUM(X2199:Y2199)-SUM(AA2199:AT2199),SUM(CB2199:CM2199)),SUM(CB2199:CM2199))</f>
        <v>241</v>
      </c>
      <c r="X2199" s="63"/>
      <c r="Y2199" s="63">
        <v>0</v>
      </c>
      <c r="Z2199" s="63">
        <v>190</v>
      </c>
      <c r="AA2199" s="63">
        <v>0</v>
      </c>
      <c r="AB2199" s="63"/>
      <c r="AC2199" s="63"/>
      <c r="AD2199" s="63"/>
      <c r="AE2199" s="63">
        <v>0</v>
      </c>
      <c r="AF2199" s="63"/>
      <c r="AG2199" s="63">
        <v>2</v>
      </c>
      <c r="AH2199" s="63"/>
      <c r="AI2199" s="8"/>
      <c r="AJ2199" s="63"/>
      <c r="AK2199" s="63"/>
      <c r="AL2199" s="63"/>
      <c r="AM2199" s="63">
        <v>1</v>
      </c>
      <c r="AN2199" s="63">
        <v>2</v>
      </c>
      <c r="AO2199" s="63"/>
      <c r="AP2199" s="63"/>
      <c r="AQ2199" s="63">
        <v>0</v>
      </c>
      <c r="AR2199" s="63"/>
      <c r="AS2199" s="63"/>
      <c r="AT2199" s="63"/>
      <c r="AU2199" s="63"/>
      <c r="AW2199" s="5">
        <f>IF(Q2199&gt;0,RANK(Q2199,(N2199:P2199,Q2199:AE2199)),0)</f>
        <v>3</v>
      </c>
      <c r="AX2199" s="5">
        <f>IF(R2199&gt;0,RANK(R2199,(N2199:P2199,Q2199:AE2199)),0)</f>
        <v>4</v>
      </c>
      <c r="AY2199" s="5">
        <f>IF(T2199&gt;0,RANK(T2199,(N2199:P2199,Q2199:AE2199)),0)</f>
        <v>0</v>
      </c>
      <c r="AZ2199" s="5">
        <f>IF(S2199&gt;0,RANK(S2199,(N2199:P2199,Q2199:AE2199)),0)</f>
        <v>8</v>
      </c>
      <c r="BA2199" s="2">
        <f t="shared" si="912"/>
        <v>4.4652642743503626E-2</v>
      </c>
      <c r="BB2199" s="2">
        <f t="shared" si="913"/>
        <v>1.0995227152200812E-2</v>
      </c>
      <c r="BC2199" s="2">
        <f t="shared" si="914"/>
        <v>0</v>
      </c>
      <c r="BD2199" s="2">
        <f t="shared" si="915"/>
        <v>3.5354428142124803E-4</v>
      </c>
      <c r="BF2199" t="s">
        <v>1137</v>
      </c>
      <c r="BG2199" t="s">
        <v>995</v>
      </c>
      <c r="BH2199">
        <v>4</v>
      </c>
      <c r="BJ2199" s="114">
        <v>39</v>
      </c>
      <c r="BK2199" s="116">
        <v>143</v>
      </c>
      <c r="BL2199" s="120">
        <f t="shared" si="895"/>
        <v>39143</v>
      </c>
      <c r="BN2199" s="5" t="s">
        <v>3154</v>
      </c>
      <c r="BO2199" s="63">
        <v>349</v>
      </c>
      <c r="BP2199" s="63">
        <v>54</v>
      </c>
      <c r="BR2199" s="63"/>
      <c r="BT2199" s="63"/>
      <c r="BY2199" s="63">
        <f t="shared" si="916"/>
        <v>0</v>
      </c>
      <c r="BZ2199" s="63">
        <v>28688</v>
      </c>
      <c r="CA2199" s="63">
        <v>276</v>
      </c>
      <c r="CB2199" s="132"/>
      <c r="CD2199" s="63">
        <v>0</v>
      </c>
      <c r="CE2199" s="63">
        <v>0</v>
      </c>
      <c r="CF2199" s="63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</row>
    <row r="2200" spans="1:90" hidden="1" outlineLevel="1">
      <c r="A2200" t="s">
        <v>1748</v>
      </c>
      <c r="B2200" t="s">
        <v>995</v>
      </c>
      <c r="C2200" s="1">
        <f t="shared" si="907"/>
        <v>31003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7</v>
      </c>
      <c r="G2200" s="132">
        <f t="shared" si="905"/>
        <v>11418</v>
      </c>
      <c r="H2200" s="137">
        <f t="shared" si="906"/>
        <v>0.36828693997355094</v>
      </c>
      <c r="I2200" s="2"/>
      <c r="J2200" s="2">
        <f t="shared" si="908"/>
        <v>0.2945521401154727</v>
      </c>
      <c r="K2200" s="2">
        <f t="shared" si="909"/>
        <v>0.66283908008902359</v>
      </c>
      <c r="L2200" s="2">
        <f t="shared" si="910"/>
        <v>3.8705931684030576E-4</v>
      </c>
      <c r="M2200" s="2">
        <f t="shared" si="911"/>
        <v>4.2221720478663398E-2</v>
      </c>
      <c r="N2200" s="63">
        <v>9132</v>
      </c>
      <c r="O2200" s="63">
        <v>20550</v>
      </c>
      <c r="P2200" s="63">
        <v>12</v>
      </c>
      <c r="Q2200" s="63">
        <v>699</v>
      </c>
      <c r="R2200" s="63">
        <v>217</v>
      </c>
      <c r="S2200" s="63">
        <v>3</v>
      </c>
      <c r="T2200" s="63"/>
      <c r="U2200" s="63"/>
      <c r="V2200" s="63"/>
      <c r="W2200" s="63">
        <f>IF(Copyright!B$11=1,IF(CA2200&gt;0,CA2200-P2200-SUM(S2200:V2200)-SUM(X2200:Y2200)-SUM(AA2200:AT2200),SUM(CB2200:CM2200)),SUM(CB2200:CM2200))</f>
        <v>219</v>
      </c>
      <c r="X2200" s="63"/>
      <c r="Y2200" s="63">
        <v>6</v>
      </c>
      <c r="Z2200" s="63">
        <v>165</v>
      </c>
      <c r="AA2200" s="63">
        <v>0</v>
      </c>
      <c r="AB2200" s="63"/>
      <c r="AC2200" s="63"/>
      <c r="AD2200" s="63"/>
      <c r="AE2200" s="63">
        <v>0</v>
      </c>
      <c r="AF2200" s="63"/>
      <c r="AG2200" s="63">
        <v>0</v>
      </c>
      <c r="AH2200" s="63"/>
      <c r="AI2200" s="8"/>
      <c r="AJ2200" s="63"/>
      <c r="AK2200" s="63"/>
      <c r="AL2200" s="63"/>
      <c r="AM2200" s="63">
        <v>0</v>
      </c>
      <c r="AN2200" s="63">
        <v>0</v>
      </c>
      <c r="AO2200" s="63"/>
      <c r="AP2200" s="63"/>
      <c r="AQ2200" s="63">
        <v>0</v>
      </c>
      <c r="AR2200" s="63"/>
      <c r="AS2200" s="63"/>
      <c r="AT2200" s="63"/>
      <c r="AU2200" s="63"/>
      <c r="AW2200" s="5">
        <f>IF(Q2200&gt;0,RANK(Q2200,(N2200:P2200,Q2200:AE2200)),0)</f>
        <v>3</v>
      </c>
      <c r="AX2200" s="5">
        <f>IF(R2200&gt;0,RANK(R2200,(N2200:P2200,Q2200:AE2200)),0)</f>
        <v>5</v>
      </c>
      <c r="AY2200" s="5">
        <f>IF(T2200&gt;0,RANK(T2200,(N2200:P2200,Q2200:AE2200)),0)</f>
        <v>0</v>
      </c>
      <c r="AZ2200" s="5">
        <f>IF(S2200&gt;0,RANK(S2200,(N2200:P2200,Q2200:AE2200)),0)</f>
        <v>9</v>
      </c>
      <c r="BA2200" s="2">
        <f t="shared" si="912"/>
        <v>2.2546205205947811E-2</v>
      </c>
      <c r="BB2200" s="2">
        <f t="shared" si="913"/>
        <v>6.999322646195529E-3</v>
      </c>
      <c r="BC2200" s="2">
        <f t="shared" si="914"/>
        <v>0</v>
      </c>
      <c r="BD2200" s="2">
        <f t="shared" si="915"/>
        <v>9.6764829210076441E-5</v>
      </c>
      <c r="BF2200" t="s">
        <v>1748</v>
      </c>
      <c r="BG2200" t="s">
        <v>995</v>
      </c>
      <c r="BJ2200" s="114">
        <v>39</v>
      </c>
      <c r="BK2200" s="116">
        <v>145</v>
      </c>
      <c r="BL2200" s="120">
        <f t="shared" si="895"/>
        <v>39145</v>
      </c>
      <c r="BN2200" s="5" t="s">
        <v>3154</v>
      </c>
      <c r="BR2200" s="63"/>
      <c r="BT2200" s="63"/>
      <c r="BY2200" s="63">
        <f t="shared" si="916"/>
        <v>0</v>
      </c>
      <c r="BZ2200" s="63">
        <v>31003</v>
      </c>
      <c r="CA2200" s="63">
        <v>240</v>
      </c>
      <c r="CB2200" s="132"/>
      <c r="CD2200" s="63">
        <v>0</v>
      </c>
      <c r="CE2200" s="63">
        <v>0</v>
      </c>
      <c r="CF2200" s="63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</row>
    <row r="2201" spans="1:90" hidden="1" outlineLevel="1">
      <c r="A2201" t="s">
        <v>2336</v>
      </c>
      <c r="B2201" t="s">
        <v>995</v>
      </c>
      <c r="C2201" s="1">
        <f t="shared" si="907"/>
        <v>24183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7</v>
      </c>
      <c r="G2201" s="132">
        <f t="shared" si="905"/>
        <v>7421</v>
      </c>
      <c r="H2201" s="137">
        <f t="shared" si="906"/>
        <v>0.30686846131580037</v>
      </c>
      <c r="I2201" s="2"/>
      <c r="J2201" s="2">
        <f t="shared" si="908"/>
        <v>0.30616548815283462</v>
      </c>
      <c r="K2201" s="2">
        <f t="shared" si="909"/>
        <v>0.61303394946863499</v>
      </c>
      <c r="L2201" s="2">
        <f t="shared" si="910"/>
        <v>6.2027043791092911E-4</v>
      </c>
      <c r="M2201" s="2">
        <f t="shared" si="911"/>
        <v>8.0180291940619458E-2</v>
      </c>
      <c r="N2201" s="63">
        <v>7404</v>
      </c>
      <c r="O2201" s="63">
        <v>14825</v>
      </c>
      <c r="P2201" s="63">
        <v>15</v>
      </c>
      <c r="Q2201" s="63">
        <v>1302</v>
      </c>
      <c r="R2201" s="63">
        <v>242</v>
      </c>
      <c r="S2201" s="63">
        <v>7</v>
      </c>
      <c r="T2201" s="63"/>
      <c r="U2201" s="63"/>
      <c r="V2201" s="63"/>
      <c r="W2201" s="63">
        <f>IF(Copyright!B$11=1,IF(CA2201&gt;0,CA2201-P2201-SUM(S2201:V2201)-SUM(X2201:Y2201)-SUM(AA2201:AT2201),SUM(CB2201:CM2201)),SUM(CB2201:CM2201))</f>
        <v>196</v>
      </c>
      <c r="X2201" s="63"/>
      <c r="Y2201" s="63">
        <v>3</v>
      </c>
      <c r="Z2201" s="63">
        <v>187</v>
      </c>
      <c r="AA2201" s="63">
        <v>1</v>
      </c>
      <c r="AB2201" s="63"/>
      <c r="AC2201" s="63"/>
      <c r="AD2201" s="63"/>
      <c r="AE2201" s="63">
        <v>0</v>
      </c>
      <c r="AF2201" s="63"/>
      <c r="AG2201" s="63">
        <v>0</v>
      </c>
      <c r="AH2201" s="63"/>
      <c r="AI2201" s="8"/>
      <c r="AJ2201" s="63"/>
      <c r="AK2201" s="63"/>
      <c r="AL2201" s="63"/>
      <c r="AM2201" s="63">
        <v>1</v>
      </c>
      <c r="AN2201" s="63">
        <v>0</v>
      </c>
      <c r="AO2201" s="63"/>
      <c r="AP2201" s="63"/>
      <c r="AQ2201" s="63">
        <v>0</v>
      </c>
      <c r="AR2201" s="63"/>
      <c r="AS2201" s="63"/>
      <c r="AT2201" s="63"/>
      <c r="AU2201" s="63"/>
      <c r="AW2201" s="5">
        <f>IF(Q2201&gt;0,RANK(Q2201,(N2201:P2201,Q2201:AE2201)),0)</f>
        <v>3</v>
      </c>
      <c r="AX2201" s="5">
        <f>IF(R2201&gt;0,RANK(R2201,(N2201:P2201,Q2201:AE2201)),0)</f>
        <v>4</v>
      </c>
      <c r="AY2201" s="5">
        <f>IF(T2201&gt;0,RANK(T2201,(N2201:P2201,Q2201:AE2201)),0)</f>
        <v>0</v>
      </c>
      <c r="AZ2201" s="5">
        <f>IF(S2201&gt;0,RANK(S2201,(N2201:P2201,Q2201:AE2201)),0)</f>
        <v>8</v>
      </c>
      <c r="BA2201" s="2">
        <f t="shared" si="912"/>
        <v>5.3839474010668652E-2</v>
      </c>
      <c r="BB2201" s="2">
        <f t="shared" si="913"/>
        <v>1.0007029731629657E-2</v>
      </c>
      <c r="BC2201" s="2">
        <f t="shared" si="914"/>
        <v>0</v>
      </c>
      <c r="BD2201" s="2">
        <f t="shared" si="915"/>
        <v>2.8945953769176692E-4</v>
      </c>
      <c r="BF2201" t="s">
        <v>2336</v>
      </c>
      <c r="BG2201" t="s">
        <v>995</v>
      </c>
      <c r="BH2201">
        <v>4</v>
      </c>
      <c r="BJ2201" s="114">
        <v>39</v>
      </c>
      <c r="BK2201" s="116">
        <v>147</v>
      </c>
      <c r="BL2201" s="120">
        <f t="shared" si="895"/>
        <v>39147</v>
      </c>
      <c r="BN2201" s="5" t="s">
        <v>3154</v>
      </c>
      <c r="BR2201" s="63"/>
      <c r="BT2201" s="63"/>
      <c r="BY2201" s="63">
        <f t="shared" si="916"/>
        <v>0</v>
      </c>
      <c r="BZ2201" s="63">
        <v>24183</v>
      </c>
      <c r="CA2201" s="63">
        <v>223</v>
      </c>
      <c r="CB2201" s="132"/>
      <c r="CD2201" s="63">
        <v>0</v>
      </c>
      <c r="CE2201" s="63">
        <v>0</v>
      </c>
      <c r="CF2201" s="63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</row>
    <row r="2202" spans="1:90" hidden="1" outlineLevel="1">
      <c r="A2202" t="s">
        <v>23</v>
      </c>
      <c r="B2202" t="s">
        <v>995</v>
      </c>
      <c r="C2202" s="1">
        <f t="shared" si="907"/>
        <v>23829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7</v>
      </c>
      <c r="G2202" s="132">
        <f t="shared" si="905"/>
        <v>14347</v>
      </c>
      <c r="H2202" s="137">
        <f t="shared" si="906"/>
        <v>0.60208149733517979</v>
      </c>
      <c r="I2202" s="2"/>
      <c r="J2202" s="2">
        <f t="shared" si="908"/>
        <v>0.17806034663645137</v>
      </c>
      <c r="K2202" s="2">
        <f t="shared" si="909"/>
        <v>0.78014184397163122</v>
      </c>
      <c r="L2202" s="2">
        <f t="shared" si="910"/>
        <v>1.3848671786478659E-3</v>
      </c>
      <c r="M2202" s="2">
        <f t="shared" si="911"/>
        <v>4.0412942213269486E-2</v>
      </c>
      <c r="N2202" s="63">
        <v>4243</v>
      </c>
      <c r="O2202" s="63">
        <v>18590</v>
      </c>
      <c r="P2202" s="63">
        <v>33</v>
      </c>
      <c r="Q2202" s="63">
        <v>594</v>
      </c>
      <c r="R2202" s="63">
        <v>125</v>
      </c>
      <c r="S2202" s="63">
        <v>17</v>
      </c>
      <c r="T2202" s="63"/>
      <c r="U2202" s="63"/>
      <c r="V2202" s="63"/>
      <c r="W2202" s="63">
        <f>IF(Copyright!B$11=1,IF(CA2202&gt;0,CA2202-P2202-SUM(S2202:V2202)-SUM(X2202:Y2202)-SUM(AA2202:AT2202),SUM(CB2202:CM2202)),SUM(CB2202:CM2202))</f>
        <v>90</v>
      </c>
      <c r="X2202" s="63"/>
      <c r="Y2202" s="63">
        <v>0</v>
      </c>
      <c r="Z2202" s="63">
        <v>132</v>
      </c>
      <c r="AA2202" s="63">
        <v>0</v>
      </c>
      <c r="AB2202" s="63"/>
      <c r="AC2202" s="63"/>
      <c r="AD2202" s="63"/>
      <c r="AE2202" s="63">
        <v>0</v>
      </c>
      <c r="AF2202" s="63"/>
      <c r="AG2202" s="63">
        <v>2</v>
      </c>
      <c r="AH2202" s="63"/>
      <c r="AI2202" s="8"/>
      <c r="AJ2202" s="63"/>
      <c r="AK2202" s="63"/>
      <c r="AL2202" s="63"/>
      <c r="AM2202" s="63">
        <v>0</v>
      </c>
      <c r="AN2202" s="63">
        <v>3</v>
      </c>
      <c r="AO2202" s="63"/>
      <c r="AP2202" s="63"/>
      <c r="AQ2202" s="63">
        <v>0</v>
      </c>
      <c r="AR2202" s="63"/>
      <c r="AS2202" s="63"/>
      <c r="AT2202" s="63"/>
      <c r="AU2202" s="63"/>
      <c r="AW2202" s="5">
        <f>IF(Q2202&gt;0,RANK(Q2202,(N2202:P2202,Q2202:AE2202)),0)</f>
        <v>3</v>
      </c>
      <c r="AX2202" s="5">
        <f>IF(R2202&gt;0,RANK(R2202,(N2202:P2202,Q2202:AE2202)),0)</f>
        <v>5</v>
      </c>
      <c r="AY2202" s="5">
        <f>IF(T2202&gt;0,RANK(T2202,(N2202:P2202,Q2202:AE2202)),0)</f>
        <v>0</v>
      </c>
      <c r="AZ2202" s="5">
        <f>IF(S2202&gt;0,RANK(S2202,(N2202:P2202,Q2202:AE2202)),0)</f>
        <v>8</v>
      </c>
      <c r="BA2202" s="2">
        <f t="shared" si="912"/>
        <v>2.4927609215661589E-2</v>
      </c>
      <c r="BB2202" s="2">
        <f t="shared" si="913"/>
        <v>5.2457090100297959E-3</v>
      </c>
      <c r="BC2202" s="2">
        <f t="shared" si="914"/>
        <v>0</v>
      </c>
      <c r="BD2202" s="2">
        <f t="shared" si="915"/>
        <v>7.1341642536405217E-4</v>
      </c>
      <c r="BF2202" t="s">
        <v>23</v>
      </c>
      <c r="BG2202" t="s">
        <v>995</v>
      </c>
      <c r="BH2202">
        <v>4</v>
      </c>
      <c r="BJ2202" s="114">
        <v>39</v>
      </c>
      <c r="BK2202" s="116">
        <v>149</v>
      </c>
      <c r="BL2202" s="120">
        <f t="shared" si="895"/>
        <v>39149</v>
      </c>
      <c r="BN2202" s="5" t="s">
        <v>3154</v>
      </c>
      <c r="BO2202" s="63">
        <v>198</v>
      </c>
      <c r="BP2202" s="63">
        <v>89</v>
      </c>
      <c r="BR2202" s="63"/>
      <c r="BT2202" s="63"/>
      <c r="BY2202" s="63">
        <f t="shared" si="916"/>
        <v>0</v>
      </c>
      <c r="BZ2202" s="63">
        <v>24116</v>
      </c>
      <c r="CA2202" s="63">
        <v>145</v>
      </c>
      <c r="CB2202" s="132"/>
      <c r="CD2202" s="63">
        <v>0</v>
      </c>
      <c r="CE2202" s="63">
        <v>0</v>
      </c>
      <c r="CF2202" s="63">
        <v>0</v>
      </c>
      <c r="CG2202" s="8">
        <v>1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</row>
    <row r="2203" spans="1:90" hidden="1" outlineLevel="1">
      <c r="A2203" t="s">
        <v>603</v>
      </c>
      <c r="B2203" t="s">
        <v>995</v>
      </c>
      <c r="C2203" s="1">
        <f t="shared" si="907"/>
        <v>176165</v>
      </c>
      <c r="D2203" s="5">
        <f>IF(N2203&gt;0, RANK(N2203,(N2203:P2203,Q2203:AE2203)),0)</f>
        <v>2</v>
      </c>
      <c r="E2203" s="5">
        <f>IF(O2203&gt;0,RANK(O2203,(N2203:P2203,Q2203:AE2203)),0)</f>
        <v>1</v>
      </c>
      <c r="F2203" s="5">
        <f>IF(P2203&gt;0,RANK(P2203,(N2203:P2203,Q2203:AE2203)),0)</f>
        <v>7</v>
      </c>
      <c r="G2203" s="132">
        <f t="shared" si="905"/>
        <v>30242</v>
      </c>
      <c r="H2203" s="137">
        <f t="shared" si="906"/>
        <v>0.17166860613629267</v>
      </c>
      <c r="I2203" s="2"/>
      <c r="J2203" s="2">
        <f t="shared" si="908"/>
        <v>0.38683052819799618</v>
      </c>
      <c r="K2203" s="2">
        <f t="shared" si="909"/>
        <v>0.55849913433428888</v>
      </c>
      <c r="L2203" s="2">
        <f t="shared" si="910"/>
        <v>2.6282178639343797E-3</v>
      </c>
      <c r="M2203" s="2">
        <f t="shared" si="911"/>
        <v>5.2042119603780503E-2</v>
      </c>
      <c r="N2203" s="63">
        <v>68146</v>
      </c>
      <c r="O2203" s="63">
        <v>98388</v>
      </c>
      <c r="P2203" s="63">
        <v>463</v>
      </c>
      <c r="Q2203" s="63">
        <v>5693</v>
      </c>
      <c r="R2203" s="63">
        <v>1393</v>
      </c>
      <c r="S2203" s="63">
        <v>59</v>
      </c>
      <c r="T2203" s="63"/>
      <c r="U2203" s="63"/>
      <c r="V2203" s="63"/>
      <c r="W2203" s="63">
        <f>IF(Copyright!B$11=1,IF(CA2203&gt;0,CA2203-P2203-SUM(S2203:V2203)-SUM(X2203:Y2203)-SUM(AA2203:AT2203),SUM(CB2203:CM2203)),SUM(CB2203:CM2203))</f>
        <v>932</v>
      </c>
      <c r="X2203" s="63"/>
      <c r="Y2203" s="63">
        <v>9</v>
      </c>
      <c r="Z2203" s="63">
        <v>1062</v>
      </c>
      <c r="AA2203" s="63">
        <v>0</v>
      </c>
      <c r="AB2203" s="63"/>
      <c r="AC2203" s="63"/>
      <c r="AD2203" s="63"/>
      <c r="AE2203" s="63">
        <v>3</v>
      </c>
      <c r="AF2203" s="63"/>
      <c r="AG2203" s="63">
        <v>4</v>
      </c>
      <c r="AH2203" s="63"/>
      <c r="AI2203" s="8"/>
      <c r="AJ2203" s="63"/>
      <c r="AK2203" s="63"/>
      <c r="AL2203" s="63"/>
      <c r="AM2203" s="63">
        <v>1</v>
      </c>
      <c r="AN2203" s="63">
        <v>12</v>
      </c>
      <c r="AO2203" s="63"/>
      <c r="AP2203" s="63"/>
      <c r="AQ2203" s="63">
        <v>0</v>
      </c>
      <c r="AR2203" s="63"/>
      <c r="AS2203" s="63"/>
      <c r="AT2203" s="63"/>
      <c r="AU2203" s="63"/>
      <c r="AW2203" s="5">
        <f>IF(Q2203&gt;0,RANK(Q2203,(N2203:P2203,Q2203:AE2203)),0)</f>
        <v>3</v>
      </c>
      <c r="AX2203" s="5">
        <f>IF(R2203&gt;0,RANK(R2203,(N2203:P2203,Q2203:AE2203)),0)</f>
        <v>4</v>
      </c>
      <c r="AY2203" s="5">
        <f>IF(T2203&gt;0,RANK(T2203,(N2203:P2203,Q2203:AE2203)),0)</f>
        <v>0</v>
      </c>
      <c r="AZ2203" s="5">
        <f>IF(S2203&gt;0,RANK(S2203,(N2203:P2203,Q2203:AE2203)),0)</f>
        <v>8</v>
      </c>
      <c r="BA2203" s="2">
        <f t="shared" si="912"/>
        <v>3.2316294383106743E-2</v>
      </c>
      <c r="BB2203" s="2">
        <f t="shared" si="913"/>
        <v>7.9073595776686621E-3</v>
      </c>
      <c r="BC2203" s="2">
        <f t="shared" si="914"/>
        <v>0</v>
      </c>
      <c r="BD2203" s="2">
        <f t="shared" si="915"/>
        <v>3.3491329151647605E-4</v>
      </c>
      <c r="BF2203" t="s">
        <v>603</v>
      </c>
      <c r="BG2203" t="s">
        <v>995</v>
      </c>
      <c r="BJ2203" s="114">
        <v>39</v>
      </c>
      <c r="BK2203" s="116">
        <v>151</v>
      </c>
      <c r="BL2203" s="120">
        <f t="shared" si="895"/>
        <v>39151</v>
      </c>
      <c r="BN2203" s="5" t="s">
        <v>3154</v>
      </c>
      <c r="BR2203" s="63"/>
      <c r="BT2203" s="63"/>
      <c r="BY2203" s="63">
        <f t="shared" si="916"/>
        <v>0</v>
      </c>
      <c r="BZ2203" s="63">
        <v>176165</v>
      </c>
      <c r="CA2203" s="63">
        <v>1483</v>
      </c>
      <c r="CB2203" s="132"/>
      <c r="CD2203" s="63">
        <v>0</v>
      </c>
      <c r="CE2203" s="63">
        <v>0</v>
      </c>
      <c r="CF2203" s="63">
        <v>0</v>
      </c>
      <c r="CG2203" s="8">
        <v>2</v>
      </c>
      <c r="CH2203" s="8">
        <v>0</v>
      </c>
      <c r="CI2203" s="8">
        <v>0</v>
      </c>
      <c r="CJ2203" s="8">
        <v>3</v>
      </c>
      <c r="CK2203" s="8">
        <v>1</v>
      </c>
      <c r="CL2203" s="8">
        <v>0</v>
      </c>
    </row>
    <row r="2204" spans="1:90" hidden="1" outlineLevel="1">
      <c r="A2204" t="s">
        <v>2927</v>
      </c>
      <c r="B2204" t="s">
        <v>995</v>
      </c>
      <c r="C2204" s="1">
        <f t="shared" si="907"/>
        <v>260346</v>
      </c>
      <c r="D2204" s="5">
        <f>IF(N2204&gt;0, RANK(N2204,(N2204:P2204,Q2204:AE2204)),0)</f>
        <v>1</v>
      </c>
      <c r="E2204" s="5">
        <f>IF(O2204&gt;0,RANK(O2204,(N2204:P2204,Q2204:AE2204)),0)</f>
        <v>2</v>
      </c>
      <c r="F2204" s="5">
        <f>IF(P2204&gt;0,RANK(P2204,(N2204:P2204,Q2204:AE2204)),0)</f>
        <v>7</v>
      </c>
      <c r="G2204" s="132">
        <f t="shared" si="905"/>
        <v>22230</v>
      </c>
      <c r="H2204" s="137">
        <f t="shared" si="906"/>
        <v>8.5386370445484083E-2</v>
      </c>
      <c r="I2204" s="2"/>
      <c r="J2204" s="2">
        <f t="shared" si="908"/>
        <v>0.51568297573229471</v>
      </c>
      <c r="K2204" s="2">
        <f t="shared" si="909"/>
        <v>0.43029660528681063</v>
      </c>
      <c r="L2204" s="2">
        <f t="shared" si="910"/>
        <v>2.4697902022692876E-3</v>
      </c>
      <c r="M2204" s="2">
        <f t="shared" si="911"/>
        <v>5.1550628778625374E-2</v>
      </c>
      <c r="N2204" s="63">
        <v>134256</v>
      </c>
      <c r="O2204" s="63">
        <v>112026</v>
      </c>
      <c r="P2204" s="63">
        <v>643</v>
      </c>
      <c r="Q2204" s="63">
        <v>7472</v>
      </c>
      <c r="R2204" s="63">
        <v>2330</v>
      </c>
      <c r="S2204" s="63">
        <v>97</v>
      </c>
      <c r="T2204" s="63"/>
      <c r="U2204" s="63"/>
      <c r="V2204" s="63"/>
      <c r="W2204" s="63">
        <f>IF(Copyright!B$11=1,IF(CA2204&gt;0,CA2204-P2204-SUM(S2204:V2204)-SUM(X2204:Y2204)-SUM(AA2204:AT2204),SUM(CB2204:CM2204)),SUM(CB2204:CM2204))</f>
        <v>2376</v>
      </c>
      <c r="X2204" s="63"/>
      <c r="Y2204" s="63">
        <v>16</v>
      </c>
      <c r="Z2204" s="63">
        <v>1041</v>
      </c>
      <c r="AA2204" s="63">
        <v>5</v>
      </c>
      <c r="AB2204" s="63"/>
      <c r="AC2204" s="63"/>
      <c r="AD2204" s="63"/>
      <c r="AE2204" s="63">
        <v>17</v>
      </c>
      <c r="AF2204" s="63"/>
      <c r="AG2204" s="63">
        <v>3</v>
      </c>
      <c r="AH2204" s="63"/>
      <c r="AI2204" s="8"/>
      <c r="AJ2204" s="63"/>
      <c r="AK2204" s="63"/>
      <c r="AL2204" s="63"/>
      <c r="AM2204" s="63">
        <v>0</v>
      </c>
      <c r="AN2204" s="63">
        <v>57</v>
      </c>
      <c r="AO2204" s="63"/>
      <c r="AP2204" s="63"/>
      <c r="AQ2204" s="63">
        <v>7</v>
      </c>
      <c r="AR2204" s="63"/>
      <c r="AS2204" s="63"/>
      <c r="AT2204" s="63"/>
      <c r="AU2204" s="63"/>
      <c r="AW2204" s="5">
        <f>IF(Q2204&gt;0,RANK(Q2204,(N2204:P2204,Q2204:AE2204)),0)</f>
        <v>3</v>
      </c>
      <c r="AX2204" s="5">
        <f>IF(R2204&gt;0,RANK(R2204,(N2204:P2204,Q2204:AE2204)),0)</f>
        <v>5</v>
      </c>
      <c r="AY2204" s="5">
        <f>IF(T2204&gt;0,RANK(T2204,(N2204:P2204,Q2204:AE2204)),0)</f>
        <v>0</v>
      </c>
      <c r="AZ2204" s="5">
        <f>IF(S2204&gt;0,RANK(S2204,(N2204:P2204,Q2204:AE2204)),0)</f>
        <v>8</v>
      </c>
      <c r="BA2204" s="2">
        <f t="shared" si="912"/>
        <v>2.8700268104752905E-2</v>
      </c>
      <c r="BB2204" s="2">
        <f t="shared" si="913"/>
        <v>8.9496285712090829E-3</v>
      </c>
      <c r="BC2204" s="2">
        <f t="shared" si="914"/>
        <v>0</v>
      </c>
      <c r="BD2204" s="2">
        <f t="shared" si="915"/>
        <v>3.7258110360827515E-4</v>
      </c>
      <c r="BF2204" t="s">
        <v>2927</v>
      </c>
      <c r="BG2204" t="s">
        <v>995</v>
      </c>
      <c r="BJ2204" s="114">
        <v>39</v>
      </c>
      <c r="BK2204" s="116">
        <v>153</v>
      </c>
      <c r="BL2204" s="120">
        <f t="shared" si="895"/>
        <v>39153</v>
      </c>
      <c r="BN2204" s="5" t="s">
        <v>3154</v>
      </c>
      <c r="BR2204" s="63"/>
      <c r="BT2204" s="63"/>
      <c r="BY2204" s="63">
        <f t="shared" si="916"/>
        <v>0</v>
      </c>
      <c r="BZ2204" s="63">
        <f>134256+112026+7472+3221+2330+1041</f>
        <v>260346</v>
      </c>
      <c r="CA2204" s="63">
        <v>3221</v>
      </c>
      <c r="CB2204" s="132"/>
      <c r="CD2204" s="63">
        <v>0</v>
      </c>
      <c r="CE2204" s="63">
        <v>0</v>
      </c>
      <c r="CF2204" s="63">
        <v>0</v>
      </c>
      <c r="CG2204" s="8">
        <v>6</v>
      </c>
      <c r="CH2204" s="8">
        <v>0</v>
      </c>
      <c r="CI2204" s="8">
        <v>0</v>
      </c>
      <c r="CJ2204" s="8">
        <v>2</v>
      </c>
      <c r="CK2204" s="8">
        <v>1</v>
      </c>
      <c r="CL2204" s="8">
        <v>0</v>
      </c>
    </row>
    <row r="2205" spans="1:90" hidden="1" outlineLevel="1">
      <c r="A2205" t="s">
        <v>155</v>
      </c>
      <c r="B2205" t="s">
        <v>995</v>
      </c>
      <c r="C2205" s="1">
        <f t="shared" si="907"/>
        <v>96676</v>
      </c>
      <c r="D2205" s="5">
        <f>IF(N2205&gt;0, RANK(N2205,(N2205:P2205,Q2205:AE2205)),0)</f>
        <v>2</v>
      </c>
      <c r="E2205" s="5">
        <f>IF(O2205&gt;0,RANK(O2205,(N2205:P2205,Q2205:AE2205)),0)</f>
        <v>1</v>
      </c>
      <c r="F2205" s="5">
        <f>IF(P2205&gt;0,RANK(P2205,(N2205:P2205,Q2205:AE2205)),0)</f>
        <v>7</v>
      </c>
      <c r="G2205" s="132">
        <f t="shared" si="905"/>
        <v>6010</v>
      </c>
      <c r="H2205" s="137">
        <f t="shared" si="906"/>
        <v>6.2166411518887833E-2</v>
      </c>
      <c r="I2205" s="2"/>
      <c r="J2205" s="2">
        <f t="shared" si="908"/>
        <v>0.44492945508709503</v>
      </c>
      <c r="K2205" s="2">
        <f t="shared" si="909"/>
        <v>0.50709586660598283</v>
      </c>
      <c r="L2205" s="2">
        <f t="shared" si="910"/>
        <v>8.0681865199222144E-4</v>
      </c>
      <c r="M2205" s="2">
        <f t="shared" si="911"/>
        <v>4.7167859654929922E-2</v>
      </c>
      <c r="N2205" s="63">
        <v>43014</v>
      </c>
      <c r="O2205" s="63">
        <v>49024</v>
      </c>
      <c r="P2205" s="63">
        <v>78</v>
      </c>
      <c r="Q2205" s="63">
        <v>2489</v>
      </c>
      <c r="R2205" s="63">
        <v>849</v>
      </c>
      <c r="S2205" s="63">
        <v>31</v>
      </c>
      <c r="T2205" s="63"/>
      <c r="U2205" s="63"/>
      <c r="V2205" s="63"/>
      <c r="W2205" s="63">
        <f>IF(Copyright!B$11=1,IF(CA2205&gt;0,CA2205-P2205-SUM(S2205:V2205)-SUM(X2205:Y2205)-SUM(AA2205:AT2205),SUM(CB2205:CM2205)),SUM(CB2205:CM2205))</f>
        <v>648</v>
      </c>
      <c r="X2205" s="63"/>
      <c r="Y2205" s="63">
        <v>1</v>
      </c>
      <c r="Z2205" s="63">
        <v>535</v>
      </c>
      <c r="AA2205" s="63">
        <v>0</v>
      </c>
      <c r="AB2205" s="63"/>
      <c r="AC2205" s="63"/>
      <c r="AD2205" s="63"/>
      <c r="AE2205" s="63">
        <v>1</v>
      </c>
      <c r="AF2205" s="63"/>
      <c r="AG2205" s="63">
        <v>1</v>
      </c>
      <c r="AH2205" s="63"/>
      <c r="AI2205" s="8"/>
      <c r="AJ2205" s="63"/>
      <c r="AK2205" s="63"/>
      <c r="AL2205" s="63"/>
      <c r="AM2205" s="63">
        <v>0</v>
      </c>
      <c r="AN2205" s="63">
        <v>3</v>
      </c>
      <c r="AO2205" s="63"/>
      <c r="AP2205" s="63"/>
      <c r="AQ2205" s="63">
        <v>2</v>
      </c>
      <c r="AR2205" s="63"/>
      <c r="AS2205" s="63"/>
      <c r="AT2205" s="63"/>
      <c r="AU2205" s="63"/>
      <c r="AW2205" s="5">
        <f>IF(Q2205&gt;0,RANK(Q2205,(N2205:P2205,Q2205:AE2205)),0)</f>
        <v>3</v>
      </c>
      <c r="AX2205" s="5">
        <f>IF(R2205&gt;0,RANK(R2205,(N2205:P2205,Q2205:AE2205)),0)</f>
        <v>4</v>
      </c>
      <c r="AY2205" s="5">
        <f>IF(T2205&gt;0,RANK(T2205,(N2205:P2205,Q2205:AE2205)),0)</f>
        <v>0</v>
      </c>
      <c r="AZ2205" s="5">
        <f>IF(S2205&gt;0,RANK(S2205,(N2205:P2205,Q2205:AE2205)),0)</f>
        <v>8</v>
      </c>
      <c r="BA2205" s="2">
        <f t="shared" si="912"/>
        <v>2.5745790061649221E-2</v>
      </c>
      <c r="BB2205" s="2">
        <f t="shared" si="913"/>
        <v>8.7819107120691801E-3</v>
      </c>
      <c r="BC2205" s="2">
        <f t="shared" si="914"/>
        <v>0</v>
      </c>
      <c r="BD2205" s="2">
        <f t="shared" si="915"/>
        <v>3.2065869502254953E-4</v>
      </c>
      <c r="BF2205" t="s">
        <v>155</v>
      </c>
      <c r="BG2205" t="s">
        <v>995</v>
      </c>
      <c r="BJ2205" s="114">
        <v>39</v>
      </c>
      <c r="BK2205" s="116">
        <v>155</v>
      </c>
      <c r="BL2205" s="120">
        <f t="shared" si="895"/>
        <v>39155</v>
      </c>
      <c r="BN2205" s="5" t="s">
        <v>3154</v>
      </c>
      <c r="BR2205" s="63"/>
      <c r="BT2205" s="63"/>
      <c r="BY2205" s="63">
        <f t="shared" si="916"/>
        <v>0</v>
      </c>
      <c r="BZ2205" s="63">
        <v>96676</v>
      </c>
      <c r="CA2205" s="63">
        <f>647+2+78+3+1+1+1+1+31</f>
        <v>765</v>
      </c>
      <c r="CB2205" s="132"/>
      <c r="CD2205" s="63">
        <v>0</v>
      </c>
      <c r="CE2205" s="63">
        <v>0</v>
      </c>
      <c r="CF2205" s="63">
        <v>0</v>
      </c>
      <c r="CG2205" s="8">
        <v>1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</row>
    <row r="2206" spans="1:90" hidden="1" outlineLevel="1">
      <c r="A2206" t="s">
        <v>1310</v>
      </c>
      <c r="B2206" t="s">
        <v>995</v>
      </c>
      <c r="C2206" s="1">
        <f t="shared" si="907"/>
        <v>41606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7</v>
      </c>
      <c r="G2206" s="132">
        <f t="shared" si="905"/>
        <v>14730</v>
      </c>
      <c r="H2206" s="137">
        <f t="shared" si="906"/>
        <v>0.35403547565255011</v>
      </c>
      <c r="I2206" s="2"/>
      <c r="J2206" s="2">
        <f t="shared" si="908"/>
        <v>0.29293851848291114</v>
      </c>
      <c r="K2206" s="2">
        <f t="shared" si="909"/>
        <v>0.64697399413546119</v>
      </c>
      <c r="L2206" s="2">
        <f t="shared" si="910"/>
        <v>2.6438494447916165E-4</v>
      </c>
      <c r="M2206" s="2">
        <f t="shared" si="911"/>
        <v>5.9823102437148452E-2</v>
      </c>
      <c r="N2206" s="63">
        <v>12188</v>
      </c>
      <c r="O2206" s="63">
        <v>26918</v>
      </c>
      <c r="P2206" s="63">
        <v>11</v>
      </c>
      <c r="Q2206" s="63">
        <v>1606</v>
      </c>
      <c r="R2206" s="63">
        <v>287</v>
      </c>
      <c r="S2206" s="63">
        <v>7</v>
      </c>
      <c r="T2206" s="63"/>
      <c r="U2206" s="63"/>
      <c r="V2206" s="63"/>
      <c r="W2206" s="63">
        <f>IF(Copyright!B$11=1,IF(CA2206&gt;0,CA2206-P2206-SUM(S2206:V2206)-SUM(X2206:Y2206)-SUM(AA2206:AT2206),SUM(CB2206:CM2206)),SUM(CB2206:CM2206))</f>
        <v>318</v>
      </c>
      <c r="X2206" s="63"/>
      <c r="Y2206" s="63">
        <v>5</v>
      </c>
      <c r="Z2206" s="63">
        <v>261</v>
      </c>
      <c r="AA2206" s="63">
        <v>0</v>
      </c>
      <c r="AB2206" s="63"/>
      <c r="AC2206" s="63"/>
      <c r="AD2206" s="63"/>
      <c r="AE2206" s="63">
        <v>0</v>
      </c>
      <c r="AF2206" s="63"/>
      <c r="AG2206" s="63">
        <v>2</v>
      </c>
      <c r="AH2206" s="63"/>
      <c r="AI2206" s="8"/>
      <c r="AJ2206" s="63"/>
      <c r="AK2206" s="63"/>
      <c r="AL2206" s="63"/>
      <c r="AM2206" s="63">
        <v>0</v>
      </c>
      <c r="AN2206" s="63">
        <v>2</v>
      </c>
      <c r="AO2206" s="63"/>
      <c r="AP2206" s="63"/>
      <c r="AQ2206" s="63">
        <v>1</v>
      </c>
      <c r="AR2206" s="63"/>
      <c r="AS2206" s="63"/>
      <c r="AT2206" s="63"/>
      <c r="AU2206" s="63"/>
      <c r="AW2206" s="5">
        <f>IF(Q2206&gt;0,RANK(Q2206,(N2206:P2206,Q2206:AE2206)),0)</f>
        <v>3</v>
      </c>
      <c r="AX2206" s="5">
        <f>IF(R2206&gt;0,RANK(R2206,(N2206:P2206,Q2206:AE2206)),0)</f>
        <v>5</v>
      </c>
      <c r="AY2206" s="5">
        <f>IF(T2206&gt;0,RANK(T2206,(N2206:P2206,Q2206:AE2206)),0)</f>
        <v>0</v>
      </c>
      <c r="AZ2206" s="5">
        <f>IF(S2206&gt;0,RANK(S2206,(N2206:P2206,Q2206:AE2206)),0)</f>
        <v>8</v>
      </c>
      <c r="BA2206" s="2">
        <f t="shared" si="912"/>
        <v>3.8600201893957603E-2</v>
      </c>
      <c r="BB2206" s="2">
        <f t="shared" si="913"/>
        <v>6.898043551410854E-3</v>
      </c>
      <c r="BC2206" s="2">
        <f t="shared" si="914"/>
        <v>0</v>
      </c>
      <c r="BD2206" s="2">
        <f t="shared" si="915"/>
        <v>1.6824496466855742E-4</v>
      </c>
      <c r="BF2206" t="s">
        <v>1310</v>
      </c>
      <c r="BG2206" t="s">
        <v>995</v>
      </c>
      <c r="BJ2206" s="114">
        <v>39</v>
      </c>
      <c r="BK2206" s="116">
        <v>157</v>
      </c>
      <c r="BL2206" s="120">
        <f t="shared" si="895"/>
        <v>39157</v>
      </c>
      <c r="BN2206" s="5" t="s">
        <v>3154</v>
      </c>
      <c r="BR2206" s="63"/>
      <c r="BT2206" s="63"/>
      <c r="BY2206" s="63">
        <f t="shared" si="916"/>
        <v>0</v>
      </c>
      <c r="BZ2206" s="63">
        <v>41606</v>
      </c>
      <c r="CA2206" s="63">
        <f>317+12+17</f>
        <v>346</v>
      </c>
      <c r="CB2206" s="132"/>
      <c r="CD2206" s="63">
        <v>0</v>
      </c>
      <c r="CE2206" s="63">
        <v>0</v>
      </c>
      <c r="CF2206" s="63">
        <v>0</v>
      </c>
      <c r="CG2206" s="8">
        <v>1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</row>
    <row r="2207" spans="1:90" hidden="1" outlineLevel="1">
      <c r="A2207" t="s">
        <v>1513</v>
      </c>
      <c r="B2207" t="s">
        <v>995</v>
      </c>
      <c r="C2207" s="1">
        <f t="shared" si="907"/>
        <v>27695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6</v>
      </c>
      <c r="G2207" s="132">
        <f t="shared" si="905"/>
        <v>10378</v>
      </c>
      <c r="H2207" s="137">
        <f t="shared" si="906"/>
        <v>0.37472467954504424</v>
      </c>
      <c r="I2207" s="2"/>
      <c r="J2207" s="2">
        <f t="shared" si="908"/>
        <v>0.27867846181621231</v>
      </c>
      <c r="K2207" s="2">
        <f t="shared" si="909"/>
        <v>0.65340314136125655</v>
      </c>
      <c r="L2207" s="2">
        <f t="shared" si="910"/>
        <v>5.1633868929409641E-3</v>
      </c>
      <c r="M2207" s="2">
        <f t="shared" si="911"/>
        <v>6.2755009929590128E-2</v>
      </c>
      <c r="N2207" s="63">
        <v>7718</v>
      </c>
      <c r="O2207" s="63">
        <v>18096</v>
      </c>
      <c r="P2207" s="63">
        <v>143</v>
      </c>
      <c r="Q2207" s="63">
        <v>1119</v>
      </c>
      <c r="R2207" s="63">
        <v>207</v>
      </c>
      <c r="S2207" s="63">
        <v>17</v>
      </c>
      <c r="T2207" s="63"/>
      <c r="U2207" s="63"/>
      <c r="V2207" s="63"/>
      <c r="W2207" s="63">
        <f>IF(Copyright!B$11=1,IF(CA2207&gt;0,CA2207-P2207-SUM(S2207:V2207)-SUM(X2207:Y2207)-SUM(AA2207:AT2207),SUM(CB2207:CM2207)),SUM(CB2207:CM2207))</f>
        <v>270</v>
      </c>
      <c r="X2207" s="63"/>
      <c r="Y2207" s="63">
        <v>0</v>
      </c>
      <c r="Z2207" s="63">
        <v>121</v>
      </c>
      <c r="AA2207" s="63">
        <v>0</v>
      </c>
      <c r="AB2207" s="63"/>
      <c r="AC2207" s="63"/>
      <c r="AD2207" s="63"/>
      <c r="AE2207" s="63">
        <v>2</v>
      </c>
      <c r="AF2207" s="63"/>
      <c r="AG2207" s="63">
        <v>2</v>
      </c>
      <c r="AH2207" s="63"/>
      <c r="AI2207" s="8"/>
      <c r="AJ2207" s="63"/>
      <c r="AK2207" s="63"/>
      <c r="AL2207" s="63"/>
      <c r="AM2207" s="63">
        <v>0</v>
      </c>
      <c r="AN2207" s="63">
        <v>0</v>
      </c>
      <c r="AO2207" s="63"/>
      <c r="AP2207" s="63"/>
      <c r="AQ2207" s="63">
        <v>0</v>
      </c>
      <c r="AR2207" s="63"/>
      <c r="AS2207" s="63"/>
      <c r="AT2207" s="63"/>
      <c r="AU2207" s="63"/>
      <c r="AW2207" s="5">
        <f>IF(Q2207&gt;0,RANK(Q2207,(N2207:P2207,Q2207:AE2207)),0)</f>
        <v>3</v>
      </c>
      <c r="AX2207" s="5">
        <f>IF(R2207&gt;0,RANK(R2207,(N2207:P2207,Q2207:AE2207)),0)</f>
        <v>5</v>
      </c>
      <c r="AY2207" s="5">
        <f>IF(T2207&gt;0,RANK(T2207,(N2207:P2207,Q2207:AE2207)),0)</f>
        <v>0</v>
      </c>
      <c r="AZ2207" s="5">
        <f>IF(S2207&gt;0,RANK(S2207,(N2207:P2207,Q2207:AE2207)),0)</f>
        <v>8</v>
      </c>
      <c r="BA2207" s="2">
        <f t="shared" si="912"/>
        <v>4.0404405127279296E-2</v>
      </c>
      <c r="BB2207" s="2">
        <f t="shared" si="913"/>
        <v>7.4742733345369199E-3</v>
      </c>
      <c r="BC2207" s="2">
        <f t="shared" si="914"/>
        <v>0</v>
      </c>
      <c r="BD2207" s="2">
        <f t="shared" si="915"/>
        <v>6.1382921104892582E-4</v>
      </c>
      <c r="BF2207" t="s">
        <v>1513</v>
      </c>
      <c r="BG2207" t="s">
        <v>995</v>
      </c>
      <c r="BH2207">
        <v>4</v>
      </c>
      <c r="BJ2207" s="114">
        <v>39</v>
      </c>
      <c r="BK2207" s="116">
        <v>159</v>
      </c>
      <c r="BL2207" s="120">
        <f t="shared" si="895"/>
        <v>39159</v>
      </c>
      <c r="BN2207" s="5" t="s">
        <v>3154</v>
      </c>
      <c r="BO2207" s="63">
        <v>259</v>
      </c>
      <c r="BP2207" s="63">
        <v>5</v>
      </c>
      <c r="BR2207" s="63"/>
      <c r="BT2207" s="63"/>
      <c r="BY2207" s="63">
        <f t="shared" si="916"/>
        <v>0</v>
      </c>
      <c r="BZ2207" s="63">
        <v>27959</v>
      </c>
      <c r="CA2207" s="63">
        <v>434</v>
      </c>
      <c r="CB2207" s="132"/>
      <c r="CD2207" s="63">
        <v>0</v>
      </c>
      <c r="CE2207" s="63">
        <v>0</v>
      </c>
      <c r="CF2207" s="63">
        <v>0</v>
      </c>
      <c r="CG2207" s="8">
        <v>3</v>
      </c>
      <c r="CH2207" s="8">
        <v>0</v>
      </c>
      <c r="CI2207" s="8">
        <v>0</v>
      </c>
      <c r="CJ2207" s="8">
        <v>1</v>
      </c>
      <c r="CK2207" s="8">
        <v>0</v>
      </c>
      <c r="CL2207" s="8">
        <v>0</v>
      </c>
    </row>
    <row r="2208" spans="1:90" hidden="1" outlineLevel="1">
      <c r="A2208" t="s">
        <v>1500</v>
      </c>
      <c r="B2208" t="s">
        <v>995</v>
      </c>
      <c r="C2208" s="1">
        <f t="shared" si="907"/>
        <v>13770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32">
        <f t="shared" si="905"/>
        <v>7772</v>
      </c>
      <c r="H2208" s="137">
        <f t="shared" si="906"/>
        <v>0.56441539578794486</v>
      </c>
      <c r="I2208" s="2"/>
      <c r="J2208" s="2">
        <f t="shared" si="908"/>
        <v>0.19586056644880173</v>
      </c>
      <c r="K2208" s="2">
        <f t="shared" si="909"/>
        <v>0.76027596223674654</v>
      </c>
      <c r="L2208" s="2">
        <f t="shared" si="910"/>
        <v>0</v>
      </c>
      <c r="M2208" s="2">
        <f t="shared" si="911"/>
        <v>4.3863471314451674E-2</v>
      </c>
      <c r="N2208" s="63">
        <v>2697</v>
      </c>
      <c r="O2208" s="63">
        <v>10469</v>
      </c>
      <c r="P2208" s="63">
        <v>0</v>
      </c>
      <c r="Q2208" s="63">
        <v>429</v>
      </c>
      <c r="R2208" s="63">
        <v>105</v>
      </c>
      <c r="S2208" s="63">
        <v>0</v>
      </c>
      <c r="T2208" s="63"/>
      <c r="U2208" s="63"/>
      <c r="V2208" s="63"/>
      <c r="W2208" s="63">
        <f>IF(Copyright!B$11=1,IF(CA2208&gt;0,CA2208-P2208-SUM(S2208:V2208)-SUM(X2208:Y2208)-SUM(AA2208:AT2208),SUM(CB2208:CM2208)),SUM(CB2208:CM2208))</f>
        <v>0</v>
      </c>
      <c r="X2208" s="63"/>
      <c r="Y2208" s="63">
        <v>0</v>
      </c>
      <c r="Z2208" s="63">
        <v>69</v>
      </c>
      <c r="AA2208" s="63">
        <v>0</v>
      </c>
      <c r="AB2208" s="63"/>
      <c r="AC2208" s="63"/>
      <c r="AD2208" s="63"/>
      <c r="AE2208" s="63">
        <v>0</v>
      </c>
      <c r="AF2208" s="63"/>
      <c r="AG2208" s="63">
        <v>1</v>
      </c>
      <c r="AH2208" s="63"/>
      <c r="AI2208" s="8"/>
      <c r="AJ2208" s="63"/>
      <c r="AK2208" s="63"/>
      <c r="AL2208" s="63"/>
      <c r="AM2208" s="63">
        <v>0</v>
      </c>
      <c r="AN2208" s="63">
        <v>0</v>
      </c>
      <c r="AO2208" s="63"/>
      <c r="AP2208" s="63"/>
      <c r="AQ2208" s="63">
        <v>0</v>
      </c>
      <c r="AR2208" s="63"/>
      <c r="AS2208" s="63"/>
      <c r="AT2208" s="63"/>
      <c r="AU2208" s="63"/>
      <c r="AW2208" s="5">
        <f>IF(Q2208&gt;0,RANK(Q2208,(N2208:P2208,Q2208:AE2208)),0)</f>
        <v>3</v>
      </c>
      <c r="AX2208" s="5">
        <f>IF(R2208&gt;0,RANK(R2208,(N2208:P2208,Q2208:AE2208)),0)</f>
        <v>4</v>
      </c>
      <c r="AY2208" s="5">
        <f>IF(T2208&gt;0,RANK(T2208,(N2208:P2208,Q2208:AE2208)),0)</f>
        <v>0</v>
      </c>
      <c r="AZ2208" s="5">
        <f>IF(S2208&gt;0,RANK(S2208,(N2208:P2208,Q2208:AE2208)),0)</f>
        <v>0</v>
      </c>
      <c r="BA2208" s="2">
        <f t="shared" si="912"/>
        <v>3.1154684095860568E-2</v>
      </c>
      <c r="BB2208" s="2">
        <f t="shared" si="913"/>
        <v>7.6252723311546842E-3</v>
      </c>
      <c r="BC2208" s="2">
        <f t="shared" si="914"/>
        <v>0</v>
      </c>
      <c r="BD2208" s="2">
        <f t="shared" si="915"/>
        <v>0</v>
      </c>
      <c r="BF2208" t="s">
        <v>1500</v>
      </c>
      <c r="BG2208" t="s">
        <v>995</v>
      </c>
      <c r="BH2208">
        <v>5</v>
      </c>
      <c r="BJ2208" s="114">
        <v>39</v>
      </c>
      <c r="BK2208" s="116">
        <v>161</v>
      </c>
      <c r="BL2208" s="120">
        <f t="shared" si="895"/>
        <v>39161</v>
      </c>
      <c r="BN2208" s="5" t="s">
        <v>3154</v>
      </c>
      <c r="BR2208" s="63"/>
      <c r="BT2208" s="63"/>
      <c r="BY2208" s="63">
        <f t="shared" si="916"/>
        <v>-13770</v>
      </c>
      <c r="CB2208" s="132"/>
      <c r="CD2208" s="63">
        <v>0</v>
      </c>
      <c r="CE2208" s="63">
        <v>0</v>
      </c>
      <c r="CF2208" s="63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</row>
    <row r="2209" spans="1:90" hidden="1" outlineLevel="1">
      <c r="A2209" t="s">
        <v>2789</v>
      </c>
      <c r="B2209" t="s">
        <v>995</v>
      </c>
      <c r="C2209" s="1">
        <f t="shared" si="907"/>
        <v>5540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32">
        <f t="shared" si="905"/>
        <v>2532</v>
      </c>
      <c r="H2209" s="137">
        <f t="shared" si="906"/>
        <v>0.45703971119133574</v>
      </c>
      <c r="I2209" s="2"/>
      <c r="J2209" s="2">
        <f t="shared" si="908"/>
        <v>0.24386281588447653</v>
      </c>
      <c r="K2209" s="2">
        <f t="shared" si="909"/>
        <v>0.70090252707581224</v>
      </c>
      <c r="L2209" s="2">
        <f t="shared" si="910"/>
        <v>0</v>
      </c>
      <c r="M2209" s="2">
        <f t="shared" si="911"/>
        <v>5.5234657039711199E-2</v>
      </c>
      <c r="N2209" s="63">
        <v>1351</v>
      </c>
      <c r="O2209" s="63">
        <v>3883</v>
      </c>
      <c r="P2209" s="63">
        <v>0</v>
      </c>
      <c r="Q2209" s="63">
        <v>168</v>
      </c>
      <c r="R2209" s="63">
        <v>43</v>
      </c>
      <c r="S2209" s="63">
        <v>0</v>
      </c>
      <c r="T2209" s="63"/>
      <c r="U2209" s="63"/>
      <c r="V2209" s="63"/>
      <c r="W2209" s="63">
        <f>IF(Copyright!B$11=1,IF(CA2209&gt;0,CA2209-P2209-SUM(S2209:V2209)-SUM(X2209:Y2209)-SUM(AA2209:AT2209),SUM(CB2209:CM2209)),SUM(CB2209:CM2209))</f>
        <v>38</v>
      </c>
      <c r="X2209" s="63"/>
      <c r="Y2209" s="63">
        <v>0</v>
      </c>
      <c r="Z2209" s="63">
        <v>57</v>
      </c>
      <c r="AA2209" s="63">
        <v>0</v>
      </c>
      <c r="AB2209" s="63"/>
      <c r="AC2209" s="63"/>
      <c r="AD2209" s="63"/>
      <c r="AE2209" s="63">
        <v>0</v>
      </c>
      <c r="AF2209" s="63"/>
      <c r="AG2209" s="63">
        <v>0</v>
      </c>
      <c r="AH2209" s="63"/>
      <c r="AI2209" s="8"/>
      <c r="AJ2209" s="63"/>
      <c r="AK2209" s="63"/>
      <c r="AL2209" s="63"/>
      <c r="AM2209" s="63">
        <v>0</v>
      </c>
      <c r="AN2209" s="63">
        <v>0</v>
      </c>
      <c r="AO2209" s="63"/>
      <c r="AP2209" s="63"/>
      <c r="AQ2209" s="63">
        <v>0</v>
      </c>
      <c r="AR2209" s="63"/>
      <c r="AS2209" s="63"/>
      <c r="AT2209" s="63"/>
      <c r="AU2209" s="63"/>
      <c r="AW2209" s="5">
        <f>IF(Q2209&gt;0,RANK(Q2209,(N2209:P2209,Q2209:AE2209)),0)</f>
        <v>3</v>
      </c>
      <c r="AX2209" s="5">
        <f>IF(R2209&gt;0,RANK(R2209,(N2209:P2209,Q2209:AE2209)),0)</f>
        <v>5</v>
      </c>
      <c r="AY2209" s="5">
        <f>IF(T2209&gt;0,RANK(T2209,(N2209:P2209,Q2209:AE2209)),0)</f>
        <v>0</v>
      </c>
      <c r="AZ2209" s="5">
        <f>IF(S2209&gt;0,RANK(S2209,(N2209:P2209,Q2209:AE2209)),0)</f>
        <v>0</v>
      </c>
      <c r="BA2209" s="2">
        <f t="shared" si="912"/>
        <v>3.032490974729242E-2</v>
      </c>
      <c r="BB2209" s="2">
        <f t="shared" si="913"/>
        <v>7.7617328519855597E-3</v>
      </c>
      <c r="BC2209" s="2">
        <f t="shared" si="914"/>
        <v>0</v>
      </c>
      <c r="BD2209" s="2">
        <f t="shared" si="915"/>
        <v>0</v>
      </c>
      <c r="BF2209" t="s">
        <v>2789</v>
      </c>
      <c r="BG2209" t="s">
        <v>995</v>
      </c>
      <c r="BH2209">
        <v>15</v>
      </c>
      <c r="BJ2209" s="114">
        <v>39</v>
      </c>
      <c r="BK2209" s="116">
        <v>163</v>
      </c>
      <c r="BL2209" s="120">
        <f t="shared" si="895"/>
        <v>39163</v>
      </c>
      <c r="BN2209" s="5" t="s">
        <v>3154</v>
      </c>
      <c r="BR2209" s="63"/>
      <c r="BT2209" s="63"/>
      <c r="BY2209" s="63">
        <f t="shared" si="916"/>
        <v>0</v>
      </c>
      <c r="BZ2209" s="63">
        <v>5540</v>
      </c>
      <c r="CA2209" s="63">
        <v>38</v>
      </c>
      <c r="CB2209" s="132"/>
      <c r="CD2209" s="63">
        <v>0</v>
      </c>
      <c r="CE2209" s="63">
        <v>0</v>
      </c>
      <c r="CF2209" s="63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</row>
    <row r="2210" spans="1:90" hidden="1" outlineLevel="1">
      <c r="A2210" t="s">
        <v>422</v>
      </c>
      <c r="B2210" t="s">
        <v>995</v>
      </c>
      <c r="C2210" s="1">
        <f t="shared" si="907"/>
        <v>118309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6</v>
      </c>
      <c r="G2210" s="132">
        <f t="shared" si="905"/>
        <v>43913</v>
      </c>
      <c r="H2210" s="137">
        <f t="shared" si="906"/>
        <v>0.37117210017834651</v>
      </c>
      <c r="I2210" s="2"/>
      <c r="J2210" s="2">
        <f t="shared" si="908"/>
        <v>0.28510087989924687</v>
      </c>
      <c r="K2210" s="2">
        <f t="shared" si="909"/>
        <v>0.65627298007759338</v>
      </c>
      <c r="L2210" s="2">
        <f t="shared" si="910"/>
        <v>3.6683599726140869E-3</v>
      </c>
      <c r="M2210" s="2">
        <f t="shared" si="911"/>
        <v>5.49577800505456E-2</v>
      </c>
      <c r="N2210" s="63">
        <v>33730</v>
      </c>
      <c r="O2210" s="63">
        <v>77643</v>
      </c>
      <c r="P2210" s="63">
        <v>434</v>
      </c>
      <c r="Q2210" s="63">
        <v>4335</v>
      </c>
      <c r="R2210" s="63">
        <v>715</v>
      </c>
      <c r="S2210" s="63">
        <v>39</v>
      </c>
      <c r="T2210" s="63"/>
      <c r="U2210" s="63"/>
      <c r="V2210" s="63"/>
      <c r="W2210" s="63">
        <f>IF(Copyright!B$11=1,IF(CA2210&gt;0,CA2210-P2210-SUM(S2210:V2210)-SUM(X2210:Y2210)-SUM(AA2210:AT2210),SUM(CB2210:CM2210)),SUM(CB2210:CM2210))</f>
        <v>1045</v>
      </c>
      <c r="X2210" s="63"/>
      <c r="Y2210" s="63">
        <v>3</v>
      </c>
      <c r="Z2210" s="63">
        <v>341</v>
      </c>
      <c r="AA2210" s="63">
        <v>0</v>
      </c>
      <c r="AB2210" s="63"/>
      <c r="AC2210" s="63"/>
      <c r="AD2210" s="63"/>
      <c r="AE2210" s="63">
        <v>4</v>
      </c>
      <c r="AF2210" s="63"/>
      <c r="AG2210" s="63">
        <v>4</v>
      </c>
      <c r="AH2210" s="63"/>
      <c r="AI2210" s="8"/>
      <c r="AJ2210" s="63"/>
      <c r="AK2210" s="63"/>
      <c r="AL2210" s="63"/>
      <c r="AM2210" s="63">
        <v>1</v>
      </c>
      <c r="AN2210" s="63">
        <v>15</v>
      </c>
      <c r="AO2210" s="63"/>
      <c r="AP2210" s="63"/>
      <c r="AQ2210" s="63">
        <v>0</v>
      </c>
      <c r="AR2210" s="63"/>
      <c r="AS2210" s="63"/>
      <c r="AT2210" s="63"/>
      <c r="AU2210" s="63"/>
      <c r="AW2210" s="5">
        <f>IF(Q2210&gt;0,RANK(Q2210,(N2210:P2210,Q2210:AE2210)),0)</f>
        <v>3</v>
      </c>
      <c r="AX2210" s="5">
        <f>IF(R2210&gt;0,RANK(R2210,(N2210:P2210,Q2210:AE2210)),0)</f>
        <v>5</v>
      </c>
      <c r="AY2210" s="5">
        <f>IF(T2210&gt;0,RANK(T2210,(N2210:P2210,Q2210:AE2210)),0)</f>
        <v>0</v>
      </c>
      <c r="AZ2210" s="5">
        <f>IF(S2210&gt;0,RANK(S2210,(N2210:P2210,Q2210:AE2210)),0)</f>
        <v>8</v>
      </c>
      <c r="BA2210" s="2">
        <f t="shared" si="912"/>
        <v>3.6641337514474806E-2</v>
      </c>
      <c r="BB2210" s="2">
        <f t="shared" si="913"/>
        <v>6.0434962682467102E-3</v>
      </c>
      <c r="BC2210" s="2">
        <f t="shared" si="914"/>
        <v>0</v>
      </c>
      <c r="BD2210" s="2">
        <f t="shared" si="915"/>
        <v>3.2964525099527507E-4</v>
      </c>
      <c r="BF2210" t="s">
        <v>422</v>
      </c>
      <c r="BG2210" t="s">
        <v>995</v>
      </c>
      <c r="BH2210">
        <v>1</v>
      </c>
      <c r="BJ2210" s="114">
        <v>39</v>
      </c>
      <c r="BK2210" s="116">
        <v>165</v>
      </c>
      <c r="BL2210" s="120">
        <f t="shared" si="895"/>
        <v>39165</v>
      </c>
      <c r="BN2210" s="5" t="s">
        <v>3154</v>
      </c>
      <c r="BO2210" s="63">
        <v>967</v>
      </c>
      <c r="BP2210" s="63">
        <v>174</v>
      </c>
      <c r="BR2210" s="63"/>
      <c r="BT2210" s="63"/>
      <c r="BY2210" s="63">
        <f t="shared" si="916"/>
        <v>0</v>
      </c>
      <c r="BZ2210" s="63">
        <v>119450</v>
      </c>
      <c r="CA2210" s="63">
        <v>1545</v>
      </c>
      <c r="CB2210" s="132"/>
      <c r="CD2210" s="63">
        <v>0</v>
      </c>
      <c r="CE2210" s="63">
        <v>0</v>
      </c>
      <c r="CF2210" s="63">
        <v>1</v>
      </c>
      <c r="CG2210" s="8">
        <v>1</v>
      </c>
      <c r="CH2210" s="8">
        <v>0</v>
      </c>
      <c r="CI2210" s="8">
        <v>1</v>
      </c>
      <c r="CJ2210" s="8">
        <v>0</v>
      </c>
      <c r="CK2210" s="8">
        <v>0</v>
      </c>
      <c r="CL2210" s="8">
        <v>0</v>
      </c>
    </row>
    <row r="2211" spans="1:90" hidden="1" outlineLevel="1">
      <c r="A2211" t="s">
        <v>692</v>
      </c>
      <c r="B2211" t="s">
        <v>995</v>
      </c>
      <c r="C2211" s="1">
        <f t="shared" si="907"/>
        <v>30137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7</v>
      </c>
      <c r="G2211" s="132">
        <f t="shared" si="905"/>
        <v>12488</v>
      </c>
      <c r="H2211" s="137">
        <f t="shared" si="906"/>
        <v>0.41437435710256493</v>
      </c>
      <c r="I2211" s="2"/>
      <c r="J2211" s="2">
        <f t="shared" si="908"/>
        <v>0.26631715167402198</v>
      </c>
      <c r="K2211" s="2">
        <f t="shared" si="909"/>
        <v>0.68069150877658691</v>
      </c>
      <c r="L2211" s="2">
        <f t="shared" si="910"/>
        <v>2.9863622789262368E-4</v>
      </c>
      <c r="M2211" s="2">
        <f t="shared" si="911"/>
        <v>5.2692703321498544E-2</v>
      </c>
      <c r="N2211" s="63">
        <v>8026</v>
      </c>
      <c r="O2211" s="63">
        <v>20514</v>
      </c>
      <c r="P2211" s="63">
        <v>9</v>
      </c>
      <c r="Q2211" s="63">
        <v>892</v>
      </c>
      <c r="R2211" s="63">
        <v>208</v>
      </c>
      <c r="S2211" s="63">
        <v>6</v>
      </c>
      <c r="T2211" s="63"/>
      <c r="U2211" s="63"/>
      <c r="V2211" s="63"/>
      <c r="W2211" s="63">
        <f>IF(Copyright!B$11=1,IF(CA2211&gt;0,CA2211-P2211-SUM(S2211:V2211)-SUM(X2211:Y2211)-SUM(AA2211:AT2211),SUM(CB2211:CM2211)),SUM(CB2211:CM2211))</f>
        <v>298</v>
      </c>
      <c r="X2211" s="63"/>
      <c r="Y2211" s="63">
        <v>0</v>
      </c>
      <c r="Z2211" s="63">
        <v>184</v>
      </c>
      <c r="AA2211" s="63">
        <v>0</v>
      </c>
      <c r="AB2211" s="63"/>
      <c r="AC2211" s="63"/>
      <c r="AD2211" s="63"/>
      <c r="AE2211" s="63">
        <v>0</v>
      </c>
      <c r="AF2211" s="63"/>
      <c r="AG2211" s="63">
        <v>0</v>
      </c>
      <c r="AH2211" s="63"/>
      <c r="AI2211" s="8"/>
      <c r="AJ2211" s="63"/>
      <c r="AK2211" s="63"/>
      <c r="AL2211" s="63"/>
      <c r="AM2211" s="63">
        <v>0</v>
      </c>
      <c r="AN2211" s="63">
        <v>0</v>
      </c>
      <c r="AO2211" s="63"/>
      <c r="AP2211" s="63"/>
      <c r="AQ2211" s="63">
        <v>0</v>
      </c>
      <c r="AR2211" s="63"/>
      <c r="AS2211" s="63"/>
      <c r="AT2211" s="63"/>
      <c r="AU2211" s="63"/>
      <c r="AW2211" s="5">
        <f>IF(Q2211&gt;0,RANK(Q2211,(N2211:P2211,Q2211:AE2211)),0)</f>
        <v>3</v>
      </c>
      <c r="AX2211" s="5">
        <f>IF(R2211&gt;0,RANK(R2211,(N2211:P2211,Q2211:AE2211)),0)</f>
        <v>5</v>
      </c>
      <c r="AY2211" s="5">
        <f>IF(T2211&gt;0,RANK(T2211,(N2211:P2211,Q2211:AE2211)),0)</f>
        <v>0</v>
      </c>
      <c r="AZ2211" s="5">
        <f>IF(S2211&gt;0,RANK(S2211,(N2211:P2211,Q2211:AE2211)),0)</f>
        <v>8</v>
      </c>
      <c r="BA2211" s="2">
        <f t="shared" si="912"/>
        <v>2.9598168364468925E-2</v>
      </c>
      <c r="BB2211" s="2">
        <f t="shared" si="913"/>
        <v>6.9018150446295253E-3</v>
      </c>
      <c r="BC2211" s="2">
        <f t="shared" si="914"/>
        <v>0</v>
      </c>
      <c r="BD2211" s="2">
        <f t="shared" si="915"/>
        <v>1.9909081859508245E-4</v>
      </c>
      <c r="BF2211" t="s">
        <v>692</v>
      </c>
      <c r="BG2211" t="s">
        <v>995</v>
      </c>
      <c r="BH2211">
        <v>6</v>
      </c>
      <c r="BJ2211" s="114">
        <v>39</v>
      </c>
      <c r="BK2211" s="116">
        <v>167</v>
      </c>
      <c r="BL2211" s="120">
        <f t="shared" si="895"/>
        <v>39167</v>
      </c>
      <c r="BN2211" s="5" t="s">
        <v>3154</v>
      </c>
      <c r="BO2211" s="63">
        <v>374</v>
      </c>
      <c r="BP2211" s="63">
        <v>56</v>
      </c>
      <c r="BR2211" s="63"/>
      <c r="BT2211" s="63"/>
      <c r="BY2211" s="63">
        <f t="shared" si="916"/>
        <v>0</v>
      </c>
      <c r="BZ2211" s="63">
        <v>30567</v>
      </c>
      <c r="CA2211" s="63">
        <v>313</v>
      </c>
      <c r="CB2211" s="132"/>
      <c r="CD2211" s="63">
        <v>0</v>
      </c>
      <c r="CE2211" s="63">
        <v>0</v>
      </c>
      <c r="CF2211" s="63">
        <v>0</v>
      </c>
      <c r="CG2211" s="8">
        <v>0</v>
      </c>
      <c r="CH2211" s="8">
        <v>1</v>
      </c>
      <c r="CI2211" s="8">
        <v>0</v>
      </c>
      <c r="CJ2211" s="8">
        <v>0</v>
      </c>
      <c r="CK2211" s="8">
        <v>0</v>
      </c>
      <c r="CL2211" s="8">
        <v>0</v>
      </c>
    </row>
    <row r="2212" spans="1:90" hidden="1" outlineLevel="1">
      <c r="A2212" t="s">
        <v>423</v>
      </c>
      <c r="B2212" t="s">
        <v>995</v>
      </c>
      <c r="C2212" s="1">
        <f t="shared" si="907"/>
        <v>50217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7</v>
      </c>
      <c r="G2212" s="132">
        <f t="shared" si="905"/>
        <v>17239</v>
      </c>
      <c r="H2212" s="137">
        <f t="shared" si="906"/>
        <v>0.34329012087540078</v>
      </c>
      <c r="I2212" s="2"/>
      <c r="J2212" s="2">
        <f t="shared" si="908"/>
        <v>0.29932094708963103</v>
      </c>
      <c r="K2212" s="2">
        <f t="shared" si="909"/>
        <v>0.64261106796503176</v>
      </c>
      <c r="L2212" s="2">
        <f t="shared" si="910"/>
        <v>3.7238385407332179E-3</v>
      </c>
      <c r="M2212" s="2">
        <f t="shared" si="911"/>
        <v>5.4344146404604055E-2</v>
      </c>
      <c r="N2212" s="63">
        <v>15031</v>
      </c>
      <c r="O2212" s="63">
        <v>32270</v>
      </c>
      <c r="P2212" s="63">
        <v>187</v>
      </c>
      <c r="Q2212" s="63">
        <v>1624</v>
      </c>
      <c r="R2212" s="63">
        <v>379</v>
      </c>
      <c r="S2212" s="63">
        <v>38</v>
      </c>
      <c r="T2212" s="63"/>
      <c r="U2212" s="63"/>
      <c r="V2212" s="63"/>
      <c r="W2212" s="63">
        <f>IF(Copyright!B$11=1,IF(CA2212&gt;0,CA2212-P2212-SUM(S2212:V2212)-SUM(X2212:Y2212)-SUM(AA2212:AT2212),SUM(CB2212:CM2212)),SUM(CB2212:CM2212))</f>
        <v>368</v>
      </c>
      <c r="X2212" s="63"/>
      <c r="Y2212" s="63">
        <v>5</v>
      </c>
      <c r="Z2212" s="63">
        <v>312</v>
      </c>
      <c r="AA2212" s="63">
        <v>0</v>
      </c>
      <c r="AB2212" s="63"/>
      <c r="AC2212" s="63"/>
      <c r="AD2212" s="63"/>
      <c r="AE2212" s="63">
        <v>0</v>
      </c>
      <c r="AF2212" s="63"/>
      <c r="AG2212" s="63">
        <v>2</v>
      </c>
      <c r="AH2212" s="63"/>
      <c r="AI2212" s="8"/>
      <c r="AJ2212" s="63"/>
      <c r="AK2212" s="63"/>
      <c r="AL2212" s="63"/>
      <c r="AM2212" s="63">
        <v>0</v>
      </c>
      <c r="AN2212" s="63">
        <v>1</v>
      </c>
      <c r="AO2212" s="63"/>
      <c r="AP2212" s="63"/>
      <c r="AQ2212" s="63">
        <v>0</v>
      </c>
      <c r="AR2212" s="63"/>
      <c r="AS2212" s="63"/>
      <c r="AT2212" s="63"/>
      <c r="AU2212" s="63"/>
      <c r="AW2212" s="5">
        <f>IF(Q2212&gt;0,RANK(Q2212,(N2212:P2212,Q2212:AE2212)),0)</f>
        <v>3</v>
      </c>
      <c r="AX2212" s="5">
        <f>IF(R2212&gt;0,RANK(R2212,(N2212:P2212,Q2212:AE2212)),0)</f>
        <v>4</v>
      </c>
      <c r="AY2212" s="5">
        <f>IF(T2212&gt;0,RANK(T2212,(N2212:P2212,Q2212:AE2212)),0)</f>
        <v>0</v>
      </c>
      <c r="AZ2212" s="5">
        <f>IF(S2212&gt;0,RANK(S2212,(N2212:P2212,Q2212:AE2212)),0)</f>
        <v>8</v>
      </c>
      <c r="BA2212" s="2">
        <f t="shared" si="912"/>
        <v>3.2339645936635006E-2</v>
      </c>
      <c r="BB2212" s="2">
        <f t="shared" si="913"/>
        <v>7.5472449568871102E-3</v>
      </c>
      <c r="BC2212" s="2">
        <f t="shared" si="914"/>
        <v>0</v>
      </c>
      <c r="BD2212" s="2">
        <f t="shared" si="915"/>
        <v>7.5671585319712453E-4</v>
      </c>
      <c r="BF2212" t="s">
        <v>423</v>
      </c>
      <c r="BG2212" t="s">
        <v>995</v>
      </c>
      <c r="BH2212">
        <v>16</v>
      </c>
      <c r="BJ2212" s="114">
        <v>39</v>
      </c>
      <c r="BK2212" s="116">
        <v>169</v>
      </c>
      <c r="BL2212" s="120">
        <f t="shared" si="895"/>
        <v>39169</v>
      </c>
      <c r="BN2212" s="5" t="s">
        <v>3154</v>
      </c>
      <c r="BR2212" s="63"/>
      <c r="BT2212" s="63"/>
      <c r="BY2212" s="63">
        <f t="shared" si="916"/>
        <v>0</v>
      </c>
      <c r="BZ2212" s="63">
        <v>50217</v>
      </c>
      <c r="CA2212" s="63">
        <v>601</v>
      </c>
      <c r="CB2212" s="132"/>
      <c r="CD2212" s="63">
        <v>0</v>
      </c>
      <c r="CE2212" s="63">
        <v>0</v>
      </c>
      <c r="CF2212" s="63">
        <v>0</v>
      </c>
      <c r="CG2212" s="8">
        <v>2</v>
      </c>
      <c r="CH2212" s="8">
        <v>0</v>
      </c>
      <c r="CI2212" s="8">
        <v>0</v>
      </c>
      <c r="CJ2212" s="8">
        <v>2</v>
      </c>
      <c r="CK2212" s="8">
        <v>0</v>
      </c>
      <c r="CL2212" s="8">
        <v>0</v>
      </c>
    </row>
    <row r="2213" spans="1:90" hidden="1" outlineLevel="1">
      <c r="A2213" t="s">
        <v>305</v>
      </c>
      <c r="B2213" t="s">
        <v>995</v>
      </c>
      <c r="C2213" s="1">
        <f t="shared" si="907"/>
        <v>17308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6</v>
      </c>
      <c r="G2213" s="132">
        <f t="shared" si="905"/>
        <v>7581</v>
      </c>
      <c r="H2213" s="137">
        <f t="shared" si="906"/>
        <v>0.43800554656806101</v>
      </c>
      <c r="I2213" s="2"/>
      <c r="J2213" s="2">
        <f t="shared" si="908"/>
        <v>0.25179107926970185</v>
      </c>
      <c r="K2213" s="2">
        <f t="shared" si="909"/>
        <v>0.68979662583776291</v>
      </c>
      <c r="L2213" s="2">
        <f t="shared" si="910"/>
        <v>2.022186272244049E-3</v>
      </c>
      <c r="M2213" s="2">
        <f t="shared" si="911"/>
        <v>5.639010862029125E-2</v>
      </c>
      <c r="N2213" s="63">
        <v>4358</v>
      </c>
      <c r="O2213" s="63">
        <v>11939</v>
      </c>
      <c r="P2213" s="63">
        <v>35</v>
      </c>
      <c r="Q2213" s="63">
        <v>703</v>
      </c>
      <c r="R2213" s="63">
        <v>130</v>
      </c>
      <c r="S2213" s="63">
        <v>7</v>
      </c>
      <c r="T2213" s="63"/>
      <c r="U2213" s="63"/>
      <c r="V2213" s="63"/>
      <c r="W2213" s="63">
        <f>IF(Copyright!B$11=1,IF(CA2213&gt;0,CA2213-P2213-SUM(S2213:V2213)-SUM(X2213:Y2213)-SUM(AA2213:AT2213),SUM(CB2213:CM2213)),SUM(CB2213:CM2213))</f>
        <v>0</v>
      </c>
      <c r="X2213" s="63"/>
      <c r="Y2213" s="63">
        <v>2</v>
      </c>
      <c r="Z2213" s="63">
        <v>131</v>
      </c>
      <c r="AA2213" s="63">
        <v>0</v>
      </c>
      <c r="AB2213" s="63"/>
      <c r="AC2213" s="63"/>
      <c r="AD2213" s="63"/>
      <c r="AE2213" s="63">
        <v>0</v>
      </c>
      <c r="AF2213" s="63"/>
      <c r="AG2213" s="63">
        <v>1</v>
      </c>
      <c r="AH2213" s="63"/>
      <c r="AI2213" s="8"/>
      <c r="AJ2213" s="63"/>
      <c r="AK2213" s="63"/>
      <c r="AL2213" s="63"/>
      <c r="AM2213" s="63">
        <v>0</v>
      </c>
      <c r="AN2213" s="63">
        <v>2</v>
      </c>
      <c r="AO2213" s="63"/>
      <c r="AP2213" s="63"/>
      <c r="AQ2213" s="63">
        <v>0</v>
      </c>
      <c r="AR2213" s="63"/>
      <c r="AS2213" s="63"/>
      <c r="AT2213" s="63"/>
      <c r="AU2213" s="63"/>
      <c r="AW2213" s="5">
        <f>IF(Q2213&gt;0,RANK(Q2213,(N2213:P2213,Q2213:AE2213)),0)</f>
        <v>3</v>
      </c>
      <c r="AX2213" s="5">
        <f>IF(R2213&gt;0,RANK(R2213,(N2213:P2213,Q2213:AE2213)),0)</f>
        <v>5</v>
      </c>
      <c r="AY2213" s="5">
        <f>IF(T2213&gt;0,RANK(T2213,(N2213:P2213,Q2213:AE2213)),0)</f>
        <v>0</v>
      </c>
      <c r="AZ2213" s="5">
        <f>IF(S2213&gt;0,RANK(S2213,(N2213:P2213,Q2213:AE2213)),0)</f>
        <v>7</v>
      </c>
      <c r="BA2213" s="2">
        <f t="shared" si="912"/>
        <v>4.0617055696787613E-2</v>
      </c>
      <c r="BB2213" s="2">
        <f t="shared" si="913"/>
        <v>7.5109775826207531E-3</v>
      </c>
      <c r="BC2213" s="2">
        <f t="shared" si="914"/>
        <v>0</v>
      </c>
      <c r="BD2213" s="2">
        <f t="shared" si="915"/>
        <v>4.0443725444880979E-4</v>
      </c>
      <c r="BF2213" t="s">
        <v>305</v>
      </c>
      <c r="BG2213" t="s">
        <v>995</v>
      </c>
      <c r="BH2213">
        <v>5</v>
      </c>
      <c r="BJ2213" s="114">
        <v>39</v>
      </c>
      <c r="BK2213" s="116">
        <v>171</v>
      </c>
      <c r="BL2213" s="120">
        <f t="shared" si="895"/>
        <v>39171</v>
      </c>
      <c r="BN2213" s="5" t="s">
        <v>3154</v>
      </c>
      <c r="BO2213" s="63">
        <v>347</v>
      </c>
      <c r="BP2213" s="63">
        <v>15</v>
      </c>
      <c r="BR2213" s="63"/>
      <c r="BT2213" s="63"/>
      <c r="BY2213" s="63">
        <f t="shared" si="916"/>
        <v>0</v>
      </c>
      <c r="BZ2213" s="63">
        <v>17670</v>
      </c>
      <c r="CB2213" s="132"/>
      <c r="CD2213" s="63">
        <v>0</v>
      </c>
      <c r="CE2213" s="63">
        <v>0</v>
      </c>
      <c r="CF2213" s="63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</row>
    <row r="2214" spans="1:90" hidden="1" outlineLevel="1">
      <c r="A2214" t="s">
        <v>331</v>
      </c>
      <c r="B2214" t="s">
        <v>995</v>
      </c>
      <c r="C2214" s="1">
        <f t="shared" si="907"/>
        <v>64826</v>
      </c>
      <c r="D2214" s="5">
        <f>IF(N2214&gt;0, RANK(N2214,(N2214:P2214,Q2214:AE2214)),0)</f>
        <v>2</v>
      </c>
      <c r="E2214" s="5">
        <f>IF(O2214&gt;0,RANK(O2214,(N2214:P2214,Q2214:AE2214)),0)</f>
        <v>1</v>
      </c>
      <c r="F2214" s="5">
        <f>IF(P2214&gt;0,RANK(P2214,(N2214:P2214,Q2214:AE2214)),0)</f>
        <v>7</v>
      </c>
      <c r="G2214" s="132">
        <f t="shared" si="905"/>
        <v>5180</v>
      </c>
      <c r="H2214" s="137">
        <f t="shared" si="906"/>
        <v>7.990621047110727E-2</v>
      </c>
      <c r="I2214" s="2"/>
      <c r="J2214" s="2">
        <f t="shared" si="908"/>
        <v>0.42140499182426805</v>
      </c>
      <c r="K2214" s="2">
        <f t="shared" si="909"/>
        <v>0.50131120229537529</v>
      </c>
      <c r="L2214" s="2">
        <f t="shared" si="910"/>
        <v>2.7458118656094777E-3</v>
      </c>
      <c r="M2214" s="2">
        <f t="shared" si="911"/>
        <v>7.4537994014747186E-2</v>
      </c>
      <c r="N2214" s="63">
        <v>27318</v>
      </c>
      <c r="O2214" s="63">
        <v>32498</v>
      </c>
      <c r="P2214" s="63">
        <v>178</v>
      </c>
      <c r="Q2214" s="63">
        <v>3264</v>
      </c>
      <c r="R2214" s="63">
        <v>689</v>
      </c>
      <c r="S2214" s="63">
        <v>29</v>
      </c>
      <c r="T2214" s="63"/>
      <c r="U2214" s="63"/>
      <c r="V2214" s="63"/>
      <c r="W2214" s="63">
        <f>IF(Copyright!B$11=1,IF(CA2214&gt;0,CA2214-P2214-SUM(S2214:V2214)-SUM(X2214:Y2214)-SUM(AA2214:AT2214),SUM(CB2214:CM2214)),SUM(CB2214:CM2214))</f>
        <v>486</v>
      </c>
      <c r="X2214" s="63"/>
      <c r="Y2214" s="63">
        <v>0</v>
      </c>
      <c r="Z2214" s="63">
        <v>344</v>
      </c>
      <c r="AA2214" s="63">
        <v>0</v>
      </c>
      <c r="AB2214" s="63"/>
      <c r="AC2214" s="63"/>
      <c r="AD2214" s="63"/>
      <c r="AE2214" s="63">
        <v>0</v>
      </c>
      <c r="AF2214" s="63"/>
      <c r="AG2214" s="63">
        <v>2</v>
      </c>
      <c r="AH2214" s="63"/>
      <c r="AI2214" s="8"/>
      <c r="AJ2214" s="63"/>
      <c r="AK2214" s="63"/>
      <c r="AL2214" s="63"/>
      <c r="AM2214" s="63">
        <v>0</v>
      </c>
      <c r="AN2214" s="63">
        <v>17</v>
      </c>
      <c r="AO2214" s="63"/>
      <c r="AP2214" s="63"/>
      <c r="AQ2214" s="63">
        <v>1</v>
      </c>
      <c r="AR2214" s="63"/>
      <c r="AS2214" s="63"/>
      <c r="AT2214" s="63"/>
      <c r="AU2214" s="63"/>
      <c r="AW2214" s="5">
        <f>IF(Q2214&gt;0,RANK(Q2214,(N2214:P2214,Q2214:AE2214)),0)</f>
        <v>3</v>
      </c>
      <c r="AX2214" s="5">
        <f>IF(R2214&gt;0,RANK(R2214,(N2214:P2214,Q2214:AE2214)),0)</f>
        <v>4</v>
      </c>
      <c r="AY2214" s="5">
        <f>IF(T2214&gt;0,RANK(T2214,(N2214:P2214,Q2214:AE2214)),0)</f>
        <v>0</v>
      </c>
      <c r="AZ2214" s="5">
        <f>IF(S2214&gt;0,RANK(S2214,(N2214:P2214,Q2214:AE2214)),0)</f>
        <v>8</v>
      </c>
      <c r="BA2214" s="2">
        <f t="shared" si="912"/>
        <v>5.0350168142411993E-2</v>
      </c>
      <c r="BB2214" s="2">
        <f t="shared" si="913"/>
        <v>1.0628451547218708E-2</v>
      </c>
      <c r="BC2214" s="2">
        <f t="shared" si="914"/>
        <v>0</v>
      </c>
      <c r="BD2214" s="2">
        <f t="shared" si="915"/>
        <v>4.4735137136334185E-4</v>
      </c>
      <c r="BF2214" t="s">
        <v>331</v>
      </c>
      <c r="BG2214" t="s">
        <v>995</v>
      </c>
      <c r="BH2214">
        <v>5</v>
      </c>
      <c r="BJ2214" s="114">
        <v>39</v>
      </c>
      <c r="BK2214" s="116">
        <v>173</v>
      </c>
      <c r="BL2214" s="120">
        <f t="shared" si="895"/>
        <v>39173</v>
      </c>
      <c r="BN2214" s="5" t="s">
        <v>3154</v>
      </c>
      <c r="BR2214" s="63"/>
      <c r="BT2214" s="63"/>
      <c r="BY2214" s="63">
        <f t="shared" si="916"/>
        <v>0</v>
      </c>
      <c r="BZ2214" s="63">
        <v>64826</v>
      </c>
      <c r="CA2214" s="63">
        <v>713</v>
      </c>
      <c r="CB2214" s="132"/>
      <c r="CD2214" s="63">
        <v>0</v>
      </c>
      <c r="CE2214" s="63">
        <v>0</v>
      </c>
      <c r="CF2214" s="63">
        <v>0</v>
      </c>
      <c r="CG2214" s="8">
        <v>1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</row>
    <row r="2215" spans="1:90" hidden="1" outlineLevel="1">
      <c r="A2215" t="s">
        <v>2713</v>
      </c>
      <c r="B2215" t="s">
        <v>995</v>
      </c>
      <c r="C2215" s="1">
        <f t="shared" si="907"/>
        <v>10638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7</v>
      </c>
      <c r="G2215" s="132">
        <f t="shared" si="905"/>
        <v>4953</v>
      </c>
      <c r="H2215" s="137">
        <f t="shared" si="906"/>
        <v>0.46559503666102653</v>
      </c>
      <c r="I2215" s="2"/>
      <c r="J2215" s="2">
        <f t="shared" si="908"/>
        <v>0.23641661966535063</v>
      </c>
      <c r="K2215" s="2">
        <f t="shared" si="909"/>
        <v>0.70201165632637719</v>
      </c>
      <c r="L2215" s="2">
        <f t="shared" si="910"/>
        <v>1.2220342169580749E-3</v>
      </c>
      <c r="M2215" s="2">
        <f t="shared" si="911"/>
        <v>6.0349689791314082E-2</v>
      </c>
      <c r="N2215" s="63">
        <v>2515</v>
      </c>
      <c r="O2215" s="63">
        <v>7468</v>
      </c>
      <c r="P2215" s="63">
        <v>13</v>
      </c>
      <c r="Q2215" s="63">
        <v>437</v>
      </c>
      <c r="R2215" s="63">
        <v>85</v>
      </c>
      <c r="S2215" s="63">
        <v>8</v>
      </c>
      <c r="T2215" s="63"/>
      <c r="U2215" s="63"/>
      <c r="V2215" s="63"/>
      <c r="W2215" s="63">
        <f>IF(Copyright!B$11=1,IF(CA2215&gt;0,CA2215-P2215-SUM(S2215:V2215)-SUM(X2215:Y2215)-SUM(AA2215:AT2215),SUM(CB2215:CM2215)),SUM(CB2215:CM2215))</f>
        <v>47</v>
      </c>
      <c r="X2215" s="63"/>
      <c r="Y2215" s="63">
        <v>2</v>
      </c>
      <c r="Z2215" s="63">
        <v>63</v>
      </c>
      <c r="AA2215" s="63">
        <v>0</v>
      </c>
      <c r="AB2215" s="63"/>
      <c r="AC2215" s="63"/>
      <c r="AD2215" s="63"/>
      <c r="AE2215" s="63">
        <v>0</v>
      </c>
      <c r="AF2215" s="63"/>
      <c r="AG2215" s="63">
        <v>0</v>
      </c>
      <c r="AH2215" s="63"/>
      <c r="AI2215" s="8"/>
      <c r="AJ2215" s="63"/>
      <c r="AK2215" s="63"/>
      <c r="AL2215" s="63"/>
      <c r="AM2215" s="63">
        <v>0</v>
      </c>
      <c r="AN2215" s="63">
        <v>0</v>
      </c>
      <c r="AO2215" s="63"/>
      <c r="AP2215" s="63"/>
      <c r="AQ2215" s="63">
        <v>0</v>
      </c>
      <c r="AR2215" s="63"/>
      <c r="AS2215" s="63"/>
      <c r="AT2215" s="63"/>
      <c r="AU2215" s="63"/>
      <c r="AW2215" s="5">
        <f>IF(Q2215&gt;0,RANK(Q2215,(N2215:P2215,Q2215:AE2215)),0)</f>
        <v>3</v>
      </c>
      <c r="AX2215" s="5">
        <f>IF(R2215&gt;0,RANK(R2215,(N2215:P2215,Q2215:AE2215)),0)</f>
        <v>4</v>
      </c>
      <c r="AY2215" s="5">
        <f>IF(T2215&gt;0,RANK(T2215,(N2215:P2215,Q2215:AE2215)),0)</f>
        <v>0</v>
      </c>
      <c r="AZ2215" s="5">
        <f>IF(S2215&gt;0,RANK(S2215,(N2215:P2215,Q2215:AE2215)),0)</f>
        <v>8</v>
      </c>
      <c r="BA2215" s="2">
        <f t="shared" si="912"/>
        <v>4.1079150216206055E-2</v>
      </c>
      <c r="BB2215" s="2">
        <f t="shared" si="913"/>
        <v>7.9902237262643346E-3</v>
      </c>
      <c r="BC2215" s="2">
        <f t="shared" si="914"/>
        <v>0</v>
      </c>
      <c r="BD2215" s="2">
        <f t="shared" si="915"/>
        <v>7.5202105658958454E-4</v>
      </c>
      <c r="BF2215" t="s">
        <v>2713</v>
      </c>
      <c r="BG2215" t="s">
        <v>995</v>
      </c>
      <c r="BH2215">
        <v>5</v>
      </c>
      <c r="BJ2215" s="114">
        <v>39</v>
      </c>
      <c r="BK2215" s="116">
        <v>175</v>
      </c>
      <c r="BL2215" s="120">
        <f t="shared" si="895"/>
        <v>39175</v>
      </c>
      <c r="BN2215" s="5" t="s">
        <v>3154</v>
      </c>
      <c r="BO2215" s="63">
        <v>91</v>
      </c>
      <c r="BP2215" s="63">
        <v>0</v>
      </c>
      <c r="BR2215" s="63"/>
      <c r="BT2215" s="63"/>
      <c r="BY2215" s="63">
        <f t="shared" si="916"/>
        <v>-172</v>
      </c>
      <c r="BZ2215" s="63">
        <v>10557</v>
      </c>
      <c r="CA2215" s="133">
        <v>70</v>
      </c>
      <c r="CB2215" s="132"/>
      <c r="CD2215" s="63">
        <v>0</v>
      </c>
      <c r="CE2215" s="63">
        <v>0</v>
      </c>
      <c r="CF2215" s="63">
        <v>0</v>
      </c>
      <c r="CG2215" s="8">
        <v>1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</row>
    <row r="2216" spans="1:90" collapsed="1">
      <c r="A2216" t="s">
        <v>736</v>
      </c>
      <c r="B2216" t="s">
        <v>544</v>
      </c>
      <c r="C2216" s="1">
        <f t="shared" si="907"/>
        <v>5536547</v>
      </c>
      <c r="D2216" s="5">
        <f>IF(N2216&gt;0, RANK(N2216,(N2216:P2216,Q2216:AE2216)),0)</f>
        <v>2</v>
      </c>
      <c r="E2216" s="5">
        <f>IF(O2216&gt;0,RANK(O2216,(N2216:P2216,Q2216:AE2216)),0)</f>
        <v>1</v>
      </c>
      <c r="F2216" s="5">
        <f>IF(P2216&gt;0,RANK(P2216,(N2216:P2216,Q2216:AE2216)),0)</f>
        <v>7</v>
      </c>
      <c r="G2216" s="132">
        <f t="shared" si="905"/>
        <v>446837</v>
      </c>
      <c r="H2216" s="137">
        <f t="shared" si="906"/>
        <v>8.0706801549774609E-2</v>
      </c>
      <c r="I2216" s="2"/>
      <c r="J2216" s="2">
        <f t="shared" si="908"/>
        <v>0.43242999653032838</v>
      </c>
      <c r="K2216" s="2">
        <f t="shared" si="909"/>
        <v>0.51313679808010304</v>
      </c>
      <c r="L2216" s="2">
        <f t="shared" si="910"/>
        <v>2.2710906274253611E-3</v>
      </c>
      <c r="M2216" s="2">
        <f t="shared" si="911"/>
        <v>5.216211476214317E-2</v>
      </c>
      <c r="N2216" s="63">
        <f t="shared" ref="N2216:O2216" si="917">SUM(N2128:N2215)</f>
        <v>2394169</v>
      </c>
      <c r="O2216" s="63">
        <f t="shared" si="917"/>
        <v>2841006</v>
      </c>
      <c r="P2216" s="63">
        <f t="shared" ref="P2216:S2216" si="918">SUM(P2128:P2215)</f>
        <v>12574</v>
      </c>
      <c r="Q2216" s="63">
        <f t="shared" si="918"/>
        <v>174498</v>
      </c>
      <c r="R2216" s="63">
        <f t="shared" si="918"/>
        <v>46271</v>
      </c>
      <c r="S2216" s="63">
        <f t="shared" si="918"/>
        <v>1887</v>
      </c>
      <c r="T2216" s="63"/>
      <c r="U2216" s="63"/>
      <c r="V2216" s="63"/>
      <c r="W2216" s="63">
        <f>SUM(W2128:W2215)</f>
        <v>40784</v>
      </c>
      <c r="X2216" s="63"/>
      <c r="Y2216" s="63">
        <f>SUM(Y2128:Y2215)</f>
        <v>268</v>
      </c>
      <c r="Z2216" s="63">
        <f>SUM(Z2128:Z2215)</f>
        <v>24235</v>
      </c>
      <c r="AA2216" s="63">
        <f>SUM(AA2128:AA2215)</f>
        <v>19</v>
      </c>
      <c r="AB2216" s="63"/>
      <c r="AC2216" s="63"/>
      <c r="AD2216" s="63"/>
      <c r="AE2216" s="63">
        <f>SUM(AE2128:AE2215)</f>
        <v>90</v>
      </c>
      <c r="AF2216" s="63"/>
      <c r="AG2216" s="63">
        <f>SUM(AG2128:AG2215)</f>
        <v>114</v>
      </c>
      <c r="AH2216" s="63"/>
      <c r="AI2216" s="63"/>
      <c r="AJ2216" s="63"/>
      <c r="AK2216" s="63"/>
      <c r="AL2216" s="63"/>
      <c r="AM2216" s="63">
        <f>SUM(AM2128:AM2215)</f>
        <v>18</v>
      </c>
      <c r="AN2216" s="63">
        <f>SUM(AN2128:AN2215)</f>
        <v>552</v>
      </c>
      <c r="AO2216" s="63"/>
      <c r="AP2216" s="63"/>
      <c r="AQ2216" s="63">
        <f>SUM(AQ2128:AQ2215)</f>
        <v>62</v>
      </c>
      <c r="AR2216" s="63"/>
      <c r="AS2216" s="63"/>
      <c r="AT2216" s="63"/>
      <c r="AU2216" s="63"/>
      <c r="AW2216" s="5">
        <f>IF(Q2216&gt;0,RANK(Q2216,(N2216:P2216,Q2216:AE2216)),0)</f>
        <v>3</v>
      </c>
      <c r="AX2216" s="5">
        <f>IF(R2216&gt;0,RANK(R2216,(N2216:P2216,Q2216:AE2216)),0)</f>
        <v>4</v>
      </c>
      <c r="AY2216" s="5">
        <f>IF(T2216&gt;0,RANK(T2216,(N2216:P2216,Q2216:AE2216)),0)</f>
        <v>0</v>
      </c>
      <c r="AZ2216" s="5">
        <f>IF(S2216&gt;0,RANK(S2216,(N2216:P2216,Q2216:AE2216)),0)</f>
        <v>8</v>
      </c>
      <c r="BA2216" s="2">
        <f t="shared" si="912"/>
        <v>3.1517478312746192E-2</v>
      </c>
      <c r="BB2216" s="2">
        <f t="shared" si="913"/>
        <v>8.3573750931763072E-3</v>
      </c>
      <c r="BC2216" s="2">
        <f t="shared" si="914"/>
        <v>0</v>
      </c>
      <c r="BD2216" s="2">
        <f t="shared" si="915"/>
        <v>3.4082615030631906E-4</v>
      </c>
      <c r="BF2216" t="s">
        <v>736</v>
      </c>
      <c r="BG2216" t="s">
        <v>544</v>
      </c>
      <c r="BJ2216" s="114">
        <v>39</v>
      </c>
      <c r="BK2216" s="116"/>
      <c r="BL2216" s="114">
        <v>39</v>
      </c>
      <c r="BN2216" s="5" t="s">
        <v>711</v>
      </c>
      <c r="BO2216" s="63">
        <f>SUM(BO2128:BO2215)</f>
        <v>30116</v>
      </c>
      <c r="BP2216" s="63">
        <f>SUM(BP2128:BP2215)</f>
        <v>4191</v>
      </c>
      <c r="BR2216" s="63"/>
      <c r="BT2216" s="63"/>
      <c r="BY2216" s="63">
        <f t="shared" si="916"/>
        <v>-191465</v>
      </c>
      <c r="BZ2216" s="63">
        <f>SUM(BZ2128:BZ2215)</f>
        <v>5379389</v>
      </c>
      <c r="CA2216" s="63">
        <f>SUM(CA2128:CA2215)</f>
        <v>56063</v>
      </c>
      <c r="CB2216" s="132"/>
      <c r="CD2216" s="63">
        <f>SUM(CD2128:CD2215)</f>
        <v>9</v>
      </c>
      <c r="CE2216" s="63">
        <f>SUM(CE2128:CE2215)</f>
        <v>6</v>
      </c>
      <c r="CF2216" s="63">
        <f t="shared" ref="CF2216:CH2216" si="919">SUM(CF2128:CF2215)</f>
        <v>5</v>
      </c>
      <c r="CG2216" s="63">
        <f t="shared" si="919"/>
        <v>589</v>
      </c>
      <c r="CH2216" s="63">
        <f t="shared" si="919"/>
        <v>8</v>
      </c>
      <c r="CI2216" s="63">
        <f t="shared" ref="CI2216:CL2216" si="920">SUM(CI2128:CI2215)</f>
        <v>15</v>
      </c>
      <c r="CJ2216" s="63">
        <f t="shared" si="920"/>
        <v>62</v>
      </c>
      <c r="CK2216" s="63">
        <f t="shared" si="920"/>
        <v>30</v>
      </c>
      <c r="CL2216" s="63">
        <f t="shared" si="920"/>
        <v>6</v>
      </c>
    </row>
    <row r="2217" spans="1:90">
      <c r="C2217" s="1"/>
      <c r="E2217" s="5"/>
      <c r="F2217" s="5"/>
      <c r="G2217" s="132"/>
      <c r="H2217" s="137"/>
      <c r="I2217" s="2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W2217" s="5"/>
      <c r="AX2217" s="5"/>
      <c r="AY2217" s="5"/>
      <c r="AZ2217" s="5"/>
      <c r="BJ2217" s="114"/>
      <c r="BK2217" s="116"/>
      <c r="BL2217" s="120"/>
    </row>
    <row r="2218" spans="1:90" hidden="1" outlineLevel="1">
      <c r="A2218" t="s">
        <v>1587</v>
      </c>
      <c r="B2218" t="s">
        <v>2271</v>
      </c>
      <c r="C2218" s="1">
        <f t="shared" ref="C2218:C2249" si="921">SUM(N2218:AU2218)</f>
        <v>6513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0</v>
      </c>
      <c r="G2218" s="132">
        <f t="shared" si="905"/>
        <v>3405</v>
      </c>
      <c r="H2218" s="137">
        <f t="shared" si="906"/>
        <v>0.5228005527406725</v>
      </c>
      <c r="I2218" s="2"/>
      <c r="J2218" s="2">
        <f t="shared" ref="J2218:J2249" si="922">IF($C2218=0,"-",N2218/$C2218)</f>
        <v>0.2121910026101643</v>
      </c>
      <c r="K2218" s="2">
        <f t="shared" ref="K2218:K2249" si="923">IF($C2218=0,"-",O2218/$C2218)</f>
        <v>0.73499155535083682</v>
      </c>
      <c r="L2218" s="2">
        <f t="shared" ref="L2218:L2249" si="924">IF($C2218=0,"-",P2218/$C2218)</f>
        <v>0</v>
      </c>
      <c r="M2218" s="2">
        <f t="shared" ref="M2218:M2249" si="925">IF(C2218=0,"-",(1-J2218-K2218-L2218))</f>
        <v>5.2817442038998852E-2</v>
      </c>
      <c r="N2218" s="63">
        <v>1382</v>
      </c>
      <c r="O2218" s="63">
        <v>4787</v>
      </c>
      <c r="P2218" s="63"/>
      <c r="Q2218" s="63">
        <v>344</v>
      </c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W2218" s="5">
        <f>IF(Q2218&gt;0,RANK(Q2218,(N2218:P2218,Q2218:AE2218)),0)</f>
        <v>3</v>
      </c>
      <c r="AX2218" s="5">
        <f>IF(R2218&gt;0,RANK(R2218,(N2218:P2218,Q2218:AE2218)),0)</f>
        <v>0</v>
      </c>
      <c r="AY2218" s="5">
        <f>IF(T2218&gt;0,RANK(T2218,(N2218:P2218,Q2218:AE2218)),0)</f>
        <v>0</v>
      </c>
      <c r="AZ2218" s="5">
        <f>IF(S2218&gt;0,RANK(S2218,(N2218:P2218,Q2218:AE2218)),0)</f>
        <v>0</v>
      </c>
      <c r="BA2218" s="2">
        <f t="shared" ref="BA2218:BA2249" si="926">IF($C2218=0,"-",Q2218/$C2218)</f>
        <v>5.2817442038998928E-2</v>
      </c>
      <c r="BB2218" s="2">
        <f t="shared" ref="BB2218:BB2249" si="927">IF($C2218=0,"-",R2218/$C2218)</f>
        <v>0</v>
      </c>
      <c r="BC2218" s="2">
        <f t="shared" ref="BC2218:BC2249" si="928">IF($C2218=0,"-",T2218/$C2218)</f>
        <v>0</v>
      </c>
      <c r="BD2218" s="2">
        <f t="shared" ref="BD2218:BD2249" si="929">IF($C2218=0,"-",S2218/$C2218)</f>
        <v>0</v>
      </c>
      <c r="BF2218" t="s">
        <v>1587</v>
      </c>
      <c r="BG2218" t="s">
        <v>2271</v>
      </c>
      <c r="BH2218" s="1">
        <v>2</v>
      </c>
      <c r="BI2218" s="1"/>
      <c r="BJ2218" s="114">
        <v>40</v>
      </c>
      <c r="BK2218" s="116">
        <v>1</v>
      </c>
      <c r="BL2218" s="120">
        <f t="shared" ref="BL2218:BL2280" si="930">1000*BJ2218+BK2218</f>
        <v>40001</v>
      </c>
      <c r="BM2218" s="1"/>
      <c r="BN2218" s="5" t="s">
        <v>3154</v>
      </c>
      <c r="BR2218" s="63"/>
    </row>
    <row r="2219" spans="1:90" hidden="1" outlineLevel="1">
      <c r="A2219" t="s">
        <v>2339</v>
      </c>
      <c r="B2219" t="s">
        <v>2271</v>
      </c>
      <c r="C2219" s="1">
        <f t="shared" si="921"/>
        <v>2258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0</v>
      </c>
      <c r="G2219" s="132">
        <f t="shared" si="905"/>
        <v>1717</v>
      </c>
      <c r="H2219" s="137">
        <f t="shared" si="906"/>
        <v>0.76040744021257756</v>
      </c>
      <c r="I2219" s="2"/>
      <c r="J2219" s="2">
        <f t="shared" si="922"/>
        <v>9.5659875996457047E-2</v>
      </c>
      <c r="K2219" s="2">
        <f t="shared" si="923"/>
        <v>0.85606731620903453</v>
      </c>
      <c r="L2219" s="2">
        <f t="shared" si="924"/>
        <v>0</v>
      </c>
      <c r="M2219" s="2">
        <f t="shared" si="925"/>
        <v>4.8272807794508377E-2</v>
      </c>
      <c r="N2219" s="63">
        <v>216</v>
      </c>
      <c r="O2219" s="63">
        <v>1933</v>
      </c>
      <c r="P2219" s="63"/>
      <c r="Q2219" s="63">
        <v>109</v>
      </c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W2219" s="5">
        <f>IF(Q2219&gt;0,RANK(Q2219,(N2219:P2219,Q2219:AE2219)),0)</f>
        <v>3</v>
      </c>
      <c r="AX2219" s="5">
        <f>IF(R2219&gt;0,RANK(R2219,(N2219:P2219,Q2219:AE2219)),0)</f>
        <v>0</v>
      </c>
      <c r="AY2219" s="5">
        <f>IF(T2219&gt;0,RANK(T2219,(N2219:P2219,Q2219:AE2219)),0)</f>
        <v>0</v>
      </c>
      <c r="AZ2219" s="5">
        <f>IF(S2219&gt;0,RANK(S2219,(N2219:P2219,Q2219:AE2219)),0)</f>
        <v>0</v>
      </c>
      <c r="BA2219" s="2">
        <f t="shared" si="926"/>
        <v>4.8272807794508411E-2</v>
      </c>
      <c r="BB2219" s="2">
        <f t="shared" si="927"/>
        <v>0</v>
      </c>
      <c r="BC2219" s="2">
        <f t="shared" si="928"/>
        <v>0</v>
      </c>
      <c r="BD2219" s="2">
        <f t="shared" si="929"/>
        <v>0</v>
      </c>
      <c r="BF2219" t="s">
        <v>2339</v>
      </c>
      <c r="BG2219" t="s">
        <v>2271</v>
      </c>
      <c r="BH2219" s="1">
        <v>3</v>
      </c>
      <c r="BI2219" s="1"/>
      <c r="BJ2219" s="114">
        <v>40</v>
      </c>
      <c r="BK2219" s="116">
        <v>3</v>
      </c>
      <c r="BL2219" s="120">
        <f t="shared" si="930"/>
        <v>40003</v>
      </c>
      <c r="BM2219" s="1"/>
      <c r="BN2219" s="5" t="s">
        <v>3154</v>
      </c>
      <c r="BR2219" s="63"/>
    </row>
    <row r="2220" spans="1:90" hidden="1" outlineLevel="1">
      <c r="A2220" t="s">
        <v>1170</v>
      </c>
      <c r="B2220" t="s">
        <v>2271</v>
      </c>
      <c r="C2220" s="1">
        <f t="shared" si="921"/>
        <v>5018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0</v>
      </c>
      <c r="G2220" s="132">
        <f t="shared" si="905"/>
        <v>3289</v>
      </c>
      <c r="H2220" s="137">
        <f t="shared" si="906"/>
        <v>0.65544041450777202</v>
      </c>
      <c r="I2220" s="2"/>
      <c r="J2220" s="2">
        <f t="shared" si="922"/>
        <v>0.1584296532483061</v>
      </c>
      <c r="K2220" s="2">
        <f t="shared" si="923"/>
        <v>0.81387006775607806</v>
      </c>
      <c r="L2220" s="2">
        <f t="shared" si="924"/>
        <v>0</v>
      </c>
      <c r="M2220" s="2">
        <f t="shared" si="925"/>
        <v>2.770027899561589E-2</v>
      </c>
      <c r="N2220" s="63">
        <v>795</v>
      </c>
      <c r="O2220" s="63">
        <v>4084</v>
      </c>
      <c r="P2220" s="63"/>
      <c r="Q2220" s="63">
        <v>139</v>
      </c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W2220" s="5">
        <f>IF(Q2220&gt;0,RANK(Q2220,(N2220:P2220,Q2220:AE2220)),0)</f>
        <v>3</v>
      </c>
      <c r="AX2220" s="5">
        <f>IF(R2220&gt;0,RANK(R2220,(N2220:P2220,Q2220:AE2220)),0)</f>
        <v>0</v>
      </c>
      <c r="AY2220" s="5">
        <f>IF(T2220&gt;0,RANK(T2220,(N2220:P2220,Q2220:AE2220)),0)</f>
        <v>0</v>
      </c>
      <c r="AZ2220" s="5">
        <f>IF(S2220&gt;0,RANK(S2220,(N2220:P2220,Q2220:AE2220)),0)</f>
        <v>0</v>
      </c>
      <c r="BA2220" s="2">
        <f t="shared" si="926"/>
        <v>2.7700278995615783E-2</v>
      </c>
      <c r="BB2220" s="2">
        <f t="shared" si="927"/>
        <v>0</v>
      </c>
      <c r="BC2220" s="2">
        <f t="shared" si="928"/>
        <v>0</v>
      </c>
      <c r="BD2220" s="2">
        <f t="shared" si="929"/>
        <v>0</v>
      </c>
      <c r="BF2220" t="s">
        <v>1170</v>
      </c>
      <c r="BG2220" t="s">
        <v>2271</v>
      </c>
      <c r="BH2220" s="1">
        <v>2</v>
      </c>
      <c r="BI2220" s="1"/>
      <c r="BJ2220" s="114">
        <v>40</v>
      </c>
      <c r="BK2220" s="116">
        <v>5</v>
      </c>
      <c r="BL2220" s="120">
        <f t="shared" si="930"/>
        <v>40005</v>
      </c>
      <c r="BM2220" s="1"/>
      <c r="BN2220" s="5" t="s">
        <v>3154</v>
      </c>
      <c r="BR2220" s="63"/>
    </row>
    <row r="2221" spans="1:90" hidden="1" outlineLevel="1">
      <c r="A2221" t="s">
        <v>1193</v>
      </c>
      <c r="B2221" t="s">
        <v>2271</v>
      </c>
      <c r="C2221" s="1">
        <f t="shared" si="921"/>
        <v>2243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0</v>
      </c>
      <c r="G2221" s="132">
        <f t="shared" si="905"/>
        <v>1817</v>
      </c>
      <c r="H2221" s="137">
        <f t="shared" si="906"/>
        <v>0.81007579135086938</v>
      </c>
      <c r="I2221" s="2"/>
      <c r="J2221" s="2">
        <f t="shared" si="922"/>
        <v>7.846633972358448E-2</v>
      </c>
      <c r="K2221" s="2">
        <f t="shared" si="923"/>
        <v>0.8885421310744539</v>
      </c>
      <c r="L2221" s="2">
        <f t="shared" si="924"/>
        <v>0</v>
      </c>
      <c r="M2221" s="2">
        <f t="shared" si="925"/>
        <v>3.2991529201961578E-2</v>
      </c>
      <c r="N2221" s="63">
        <v>176</v>
      </c>
      <c r="O2221" s="63">
        <v>1993</v>
      </c>
      <c r="P2221" s="63"/>
      <c r="Q2221" s="63">
        <v>74</v>
      </c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W2221" s="5">
        <f>IF(Q2221&gt;0,RANK(Q2221,(N2221:P2221,Q2221:AE2221)),0)</f>
        <v>3</v>
      </c>
      <c r="AX2221" s="5">
        <f>IF(R2221&gt;0,RANK(R2221,(N2221:P2221,Q2221:AE2221)),0)</f>
        <v>0</v>
      </c>
      <c r="AY2221" s="5">
        <f>IF(T2221&gt;0,RANK(T2221,(N2221:P2221,Q2221:AE2221)),0)</f>
        <v>0</v>
      </c>
      <c r="AZ2221" s="5">
        <f>IF(S2221&gt;0,RANK(S2221,(N2221:P2221,Q2221:AE2221)),0)</f>
        <v>0</v>
      </c>
      <c r="BA2221" s="2">
        <f t="shared" si="926"/>
        <v>3.2991529201961661E-2</v>
      </c>
      <c r="BB2221" s="2">
        <f t="shared" si="927"/>
        <v>0</v>
      </c>
      <c r="BC2221" s="2">
        <f t="shared" si="928"/>
        <v>0</v>
      </c>
      <c r="BD2221" s="2">
        <f t="shared" si="929"/>
        <v>0</v>
      </c>
      <c r="BF2221" t="s">
        <v>1193</v>
      </c>
      <c r="BG2221" t="s">
        <v>2271</v>
      </c>
      <c r="BH2221" s="1">
        <v>3</v>
      </c>
      <c r="BI2221" s="1"/>
      <c r="BJ2221" s="114">
        <v>40</v>
      </c>
      <c r="BK2221" s="116">
        <v>7</v>
      </c>
      <c r="BL2221" s="120">
        <f t="shared" si="930"/>
        <v>40007</v>
      </c>
      <c r="BM2221" s="1"/>
      <c r="BN2221" s="5" t="s">
        <v>3154</v>
      </c>
      <c r="BR2221" s="63"/>
    </row>
    <row r="2222" spans="1:90" hidden="1" outlineLevel="1">
      <c r="A2222" t="s">
        <v>162</v>
      </c>
      <c r="B2222" t="s">
        <v>2271</v>
      </c>
      <c r="C2222" s="1">
        <f t="shared" si="921"/>
        <v>7552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0</v>
      </c>
      <c r="G2222" s="132">
        <f t="shared" si="905"/>
        <v>5348</v>
      </c>
      <c r="H2222" s="137">
        <f t="shared" si="906"/>
        <v>0.70815677966101698</v>
      </c>
      <c r="I2222" s="2"/>
      <c r="J2222" s="2">
        <f t="shared" si="922"/>
        <v>0.1271186440677966</v>
      </c>
      <c r="K2222" s="2">
        <f t="shared" si="923"/>
        <v>0.83527542372881358</v>
      </c>
      <c r="L2222" s="2">
        <f t="shared" si="924"/>
        <v>0</v>
      </c>
      <c r="M2222" s="2">
        <f t="shared" si="925"/>
        <v>3.7605932203389814E-2</v>
      </c>
      <c r="N2222" s="63">
        <v>960</v>
      </c>
      <c r="O2222" s="63">
        <v>6308</v>
      </c>
      <c r="P2222" s="63"/>
      <c r="Q2222" s="63">
        <v>284</v>
      </c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W2222" s="5">
        <f>IF(Q2222&gt;0,RANK(Q2222,(N2222:P2222,Q2222:AE2222)),0)</f>
        <v>3</v>
      </c>
      <c r="AX2222" s="5">
        <f>IF(R2222&gt;0,RANK(R2222,(N2222:P2222,Q2222:AE2222)),0)</f>
        <v>0</v>
      </c>
      <c r="AY2222" s="5">
        <f>IF(T2222&gt;0,RANK(T2222,(N2222:P2222,Q2222:AE2222)),0)</f>
        <v>0</v>
      </c>
      <c r="AZ2222" s="5">
        <f>IF(S2222&gt;0,RANK(S2222,(N2222:P2222,Q2222:AE2222)),0)</f>
        <v>0</v>
      </c>
      <c r="BA2222" s="2">
        <f t="shared" si="926"/>
        <v>3.7605932203389827E-2</v>
      </c>
      <c r="BB2222" s="2">
        <f t="shared" si="927"/>
        <v>0</v>
      </c>
      <c r="BC2222" s="2">
        <f t="shared" si="928"/>
        <v>0</v>
      </c>
      <c r="BD2222" s="2">
        <f t="shared" si="929"/>
        <v>0</v>
      </c>
      <c r="BF2222" t="s">
        <v>162</v>
      </c>
      <c r="BG2222" t="s">
        <v>2271</v>
      </c>
      <c r="BH2222" s="1">
        <v>3</v>
      </c>
      <c r="BI2222" s="1"/>
      <c r="BJ2222" s="114">
        <v>40</v>
      </c>
      <c r="BK2222" s="116">
        <v>9</v>
      </c>
      <c r="BL2222" s="120">
        <f t="shared" si="930"/>
        <v>40009</v>
      </c>
      <c r="BM2222" s="1"/>
      <c r="BN2222" s="5" t="s">
        <v>3154</v>
      </c>
      <c r="BR2222" s="63"/>
    </row>
    <row r="2223" spans="1:90" hidden="1" outlineLevel="1">
      <c r="A2223" t="s">
        <v>794</v>
      </c>
      <c r="B2223" t="s">
        <v>2271</v>
      </c>
      <c r="C2223" s="1">
        <f t="shared" si="921"/>
        <v>3793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0</v>
      </c>
      <c r="G2223" s="132">
        <f t="shared" si="905"/>
        <v>2173</v>
      </c>
      <c r="H2223" s="137">
        <f t="shared" si="906"/>
        <v>0.57289744265752707</v>
      </c>
      <c r="I2223" s="2"/>
      <c r="J2223" s="2">
        <f t="shared" si="922"/>
        <v>0.18745056683364092</v>
      </c>
      <c r="K2223" s="2">
        <f t="shared" si="923"/>
        <v>0.76034800949116799</v>
      </c>
      <c r="L2223" s="2">
        <f t="shared" si="924"/>
        <v>0</v>
      </c>
      <c r="M2223" s="2">
        <f t="shared" si="925"/>
        <v>5.2201423675191094E-2</v>
      </c>
      <c r="N2223" s="63">
        <v>711</v>
      </c>
      <c r="O2223" s="63">
        <v>2884</v>
      </c>
      <c r="P2223" s="63"/>
      <c r="Q2223" s="63">
        <v>198</v>
      </c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W2223" s="5">
        <f>IF(Q2223&gt;0,RANK(Q2223,(N2223:P2223,Q2223:AE2223)),0)</f>
        <v>3</v>
      </c>
      <c r="AX2223" s="5">
        <f>IF(R2223&gt;0,RANK(R2223,(N2223:P2223,Q2223:AE2223)),0)</f>
        <v>0</v>
      </c>
      <c r="AY2223" s="5">
        <f>IF(T2223&gt;0,RANK(T2223,(N2223:P2223,Q2223:AE2223)),0)</f>
        <v>0</v>
      </c>
      <c r="AZ2223" s="5">
        <f>IF(S2223&gt;0,RANK(S2223,(N2223:P2223,Q2223:AE2223)),0)</f>
        <v>0</v>
      </c>
      <c r="BA2223" s="2">
        <f t="shared" si="926"/>
        <v>5.2201423675191143E-2</v>
      </c>
      <c r="BB2223" s="2">
        <f t="shared" si="927"/>
        <v>0</v>
      </c>
      <c r="BC2223" s="2">
        <f t="shared" si="928"/>
        <v>0</v>
      </c>
      <c r="BD2223" s="2">
        <f t="shared" si="929"/>
        <v>0</v>
      </c>
      <c r="BF2223" t="s">
        <v>794</v>
      </c>
      <c r="BG2223" t="s">
        <v>2271</v>
      </c>
      <c r="BH2223" s="1">
        <v>3</v>
      </c>
      <c r="BI2223" s="1"/>
      <c r="BJ2223" s="114">
        <v>40</v>
      </c>
      <c r="BK2223" s="116">
        <v>11</v>
      </c>
      <c r="BL2223" s="120">
        <f t="shared" si="930"/>
        <v>40011</v>
      </c>
      <c r="BM2223" s="1"/>
      <c r="BN2223" s="5" t="s">
        <v>3154</v>
      </c>
      <c r="BR2223" s="63"/>
    </row>
    <row r="2224" spans="1:90" hidden="1" outlineLevel="1">
      <c r="A2224" t="s">
        <v>3203</v>
      </c>
      <c r="B2224" t="s">
        <v>2271</v>
      </c>
      <c r="C2224" s="1">
        <f t="shared" si="921"/>
        <v>13818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0</v>
      </c>
      <c r="G2224" s="132">
        <f t="shared" si="905"/>
        <v>7674</v>
      </c>
      <c r="H2224" s="137">
        <f t="shared" si="906"/>
        <v>0.55536257056013894</v>
      </c>
      <c r="I2224" s="2"/>
      <c r="J2224" s="2">
        <f t="shared" si="922"/>
        <v>0.20292372268056158</v>
      </c>
      <c r="K2224" s="2">
        <f t="shared" si="923"/>
        <v>0.75828629324070052</v>
      </c>
      <c r="L2224" s="2">
        <f t="shared" si="924"/>
        <v>0</v>
      </c>
      <c r="M2224" s="2">
        <f t="shared" si="925"/>
        <v>3.8789984078737905E-2</v>
      </c>
      <c r="N2224" s="63">
        <v>2804</v>
      </c>
      <c r="O2224" s="63">
        <v>10478</v>
      </c>
      <c r="P2224" s="63"/>
      <c r="Q2224" s="63">
        <v>536</v>
      </c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W2224" s="5">
        <f>IF(Q2224&gt;0,RANK(Q2224,(N2224:P2224,Q2224:AE2224)),0)</f>
        <v>3</v>
      </c>
      <c r="AX2224" s="5">
        <f>IF(R2224&gt;0,RANK(R2224,(N2224:P2224,Q2224:AE2224)),0)</f>
        <v>0</v>
      </c>
      <c r="AY2224" s="5">
        <f>IF(T2224&gt;0,RANK(T2224,(N2224:P2224,Q2224:AE2224)),0)</f>
        <v>0</v>
      </c>
      <c r="AZ2224" s="5">
        <f>IF(S2224&gt;0,RANK(S2224,(N2224:P2224,Q2224:AE2224)),0)</f>
        <v>0</v>
      </c>
      <c r="BA2224" s="2">
        <f t="shared" si="926"/>
        <v>3.8789984078737877E-2</v>
      </c>
      <c r="BB2224" s="2">
        <f t="shared" si="927"/>
        <v>0</v>
      </c>
      <c r="BC2224" s="2">
        <f t="shared" si="928"/>
        <v>0</v>
      </c>
      <c r="BD2224" s="2">
        <f t="shared" si="929"/>
        <v>0</v>
      </c>
      <c r="BF2224" t="s">
        <v>3203</v>
      </c>
      <c r="BG2224" t="s">
        <v>2271</v>
      </c>
      <c r="BH2224" s="1">
        <v>2</v>
      </c>
      <c r="BI2224" s="1"/>
      <c r="BJ2224" s="114">
        <v>40</v>
      </c>
      <c r="BK2224" s="116">
        <v>13</v>
      </c>
      <c r="BL2224" s="120">
        <f t="shared" si="930"/>
        <v>40013</v>
      </c>
      <c r="BM2224" s="1"/>
      <c r="BN2224" s="5" t="s">
        <v>3154</v>
      </c>
      <c r="BR2224" s="63"/>
    </row>
    <row r="2225" spans="1:70" hidden="1" outlineLevel="1">
      <c r="A2225" t="s">
        <v>1950</v>
      </c>
      <c r="B2225" t="s">
        <v>2271</v>
      </c>
      <c r="C2225" s="1">
        <f t="shared" si="921"/>
        <v>9348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0</v>
      </c>
      <c r="G2225" s="132">
        <f t="shared" si="905"/>
        <v>4062</v>
      </c>
      <c r="H2225" s="137">
        <f t="shared" si="906"/>
        <v>0.43453145057766368</v>
      </c>
      <c r="I2225" s="2"/>
      <c r="J2225" s="2">
        <f t="shared" si="922"/>
        <v>0.25887890457851948</v>
      </c>
      <c r="K2225" s="2">
        <f t="shared" si="923"/>
        <v>0.6934103551561831</v>
      </c>
      <c r="L2225" s="2">
        <f t="shared" si="924"/>
        <v>0</v>
      </c>
      <c r="M2225" s="2">
        <f t="shared" si="925"/>
        <v>4.7710740265297424E-2</v>
      </c>
      <c r="N2225" s="63">
        <v>2420</v>
      </c>
      <c r="O2225" s="63">
        <v>6482</v>
      </c>
      <c r="P2225" s="63"/>
      <c r="Q2225" s="63">
        <v>446</v>
      </c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W2225" s="5">
        <f>IF(Q2225&gt;0,RANK(Q2225,(N2225:P2225,Q2225:AE2225)),0)</f>
        <v>3</v>
      </c>
      <c r="AX2225" s="5">
        <f>IF(R2225&gt;0,RANK(R2225,(N2225:P2225,Q2225:AE2225)),0)</f>
        <v>0</v>
      </c>
      <c r="AY2225" s="5">
        <f>IF(T2225&gt;0,RANK(T2225,(N2225:P2225,Q2225:AE2225)),0)</f>
        <v>0</v>
      </c>
      <c r="AZ2225" s="5">
        <f>IF(S2225&gt;0,RANK(S2225,(N2225:P2225,Q2225:AE2225)),0)</f>
        <v>0</v>
      </c>
      <c r="BA2225" s="2">
        <f t="shared" si="926"/>
        <v>4.771074026529739E-2</v>
      </c>
      <c r="BB2225" s="2">
        <f t="shared" si="927"/>
        <v>0</v>
      </c>
      <c r="BC2225" s="2">
        <f t="shared" si="928"/>
        <v>0</v>
      </c>
      <c r="BD2225" s="2">
        <f t="shared" si="929"/>
        <v>0</v>
      </c>
      <c r="BF2225" t="s">
        <v>1950</v>
      </c>
      <c r="BG2225" t="s">
        <v>2271</v>
      </c>
      <c r="BH2225" s="1">
        <v>3</v>
      </c>
      <c r="BI2225" s="1"/>
      <c r="BJ2225" s="114">
        <v>40</v>
      </c>
      <c r="BK2225" s="116">
        <v>15</v>
      </c>
      <c r="BL2225" s="120">
        <f t="shared" si="930"/>
        <v>40015</v>
      </c>
      <c r="BM2225" s="1"/>
      <c r="BN2225" s="5" t="s">
        <v>3154</v>
      </c>
      <c r="BR2225" s="63"/>
    </row>
    <row r="2226" spans="1:70" hidden="1" outlineLevel="1">
      <c r="A2226" t="s">
        <v>882</v>
      </c>
      <c r="B2226" t="s">
        <v>2271</v>
      </c>
      <c r="C2226" s="1">
        <f t="shared" si="921"/>
        <v>55278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0</v>
      </c>
      <c r="G2226" s="132">
        <f t="shared" si="905"/>
        <v>28312</v>
      </c>
      <c r="H2226" s="137">
        <f t="shared" si="906"/>
        <v>0.51217482542783743</v>
      </c>
      <c r="I2226" s="2"/>
      <c r="J2226" s="2">
        <f t="shared" si="922"/>
        <v>0.21118709070516301</v>
      </c>
      <c r="K2226" s="2">
        <f t="shared" si="923"/>
        <v>0.72336191613300049</v>
      </c>
      <c r="L2226" s="2">
        <f t="shared" si="924"/>
        <v>0</v>
      </c>
      <c r="M2226" s="2">
        <f t="shared" si="925"/>
        <v>6.5450993161836557E-2</v>
      </c>
      <c r="N2226" s="63">
        <v>11674</v>
      </c>
      <c r="O2226" s="63">
        <v>39986</v>
      </c>
      <c r="P2226" s="63"/>
      <c r="Q2226" s="63">
        <v>3618</v>
      </c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W2226" s="5">
        <f>IF(Q2226&gt;0,RANK(Q2226,(N2226:P2226,Q2226:AE2226)),0)</f>
        <v>3</v>
      </c>
      <c r="AX2226" s="5">
        <f>IF(R2226&gt;0,RANK(R2226,(N2226:P2226,Q2226:AE2226)),0)</f>
        <v>0</v>
      </c>
      <c r="AY2226" s="5">
        <f>IF(T2226&gt;0,RANK(T2226,(N2226:P2226,Q2226:AE2226)),0)</f>
        <v>0</v>
      </c>
      <c r="AZ2226" s="5">
        <f>IF(S2226&gt;0,RANK(S2226,(N2226:P2226,Q2226:AE2226)),0)</f>
        <v>0</v>
      </c>
      <c r="BA2226" s="2">
        <f t="shared" si="926"/>
        <v>6.5450993161836529E-2</v>
      </c>
      <c r="BB2226" s="2">
        <f t="shared" si="927"/>
        <v>0</v>
      </c>
      <c r="BC2226" s="2">
        <f t="shared" si="928"/>
        <v>0</v>
      </c>
      <c r="BD2226" s="2">
        <f t="shared" si="929"/>
        <v>0</v>
      </c>
      <c r="BF2226" t="s">
        <v>882</v>
      </c>
      <c r="BG2226" t="s">
        <v>2271</v>
      </c>
      <c r="BH2226" s="1"/>
      <c r="BJ2226" s="114">
        <v>40</v>
      </c>
      <c r="BK2226" s="116">
        <v>17</v>
      </c>
      <c r="BL2226" s="120">
        <f t="shared" si="930"/>
        <v>40017</v>
      </c>
      <c r="BN2226" s="5" t="s">
        <v>3154</v>
      </c>
      <c r="BR2226" s="63"/>
    </row>
    <row r="2227" spans="1:70" hidden="1" outlineLevel="1">
      <c r="A2227" t="s">
        <v>1842</v>
      </c>
      <c r="B2227" t="s">
        <v>2271</v>
      </c>
      <c r="C2227" s="1">
        <f t="shared" si="921"/>
        <v>18534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0</v>
      </c>
      <c r="G2227" s="132">
        <f t="shared" si="905"/>
        <v>9750</v>
      </c>
      <c r="H2227" s="137">
        <f t="shared" si="906"/>
        <v>0.52606021366137912</v>
      </c>
      <c r="I2227" s="2"/>
      <c r="J2227" s="2">
        <f t="shared" si="922"/>
        <v>0.2159274846228553</v>
      </c>
      <c r="K2227" s="2">
        <f t="shared" si="923"/>
        <v>0.74198769828423439</v>
      </c>
      <c r="L2227" s="2">
        <f t="shared" si="924"/>
        <v>0</v>
      </c>
      <c r="M2227" s="2">
        <f t="shared" si="925"/>
        <v>4.2084817092910343E-2</v>
      </c>
      <c r="N2227" s="63">
        <v>4002</v>
      </c>
      <c r="O2227" s="63">
        <v>13752</v>
      </c>
      <c r="P2227" s="63"/>
      <c r="Q2227" s="63">
        <v>780</v>
      </c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W2227" s="5">
        <f>IF(Q2227&gt;0,RANK(Q2227,(N2227:P2227,Q2227:AE2227)),0)</f>
        <v>3</v>
      </c>
      <c r="AX2227" s="5">
        <f>IF(R2227&gt;0,RANK(R2227,(N2227:P2227,Q2227:AE2227)),0)</f>
        <v>0</v>
      </c>
      <c r="AY2227" s="5">
        <f>IF(T2227&gt;0,RANK(T2227,(N2227:P2227,Q2227:AE2227)),0)</f>
        <v>0</v>
      </c>
      <c r="AZ2227" s="5">
        <f>IF(S2227&gt;0,RANK(S2227,(N2227:P2227,Q2227:AE2227)),0)</f>
        <v>0</v>
      </c>
      <c r="BA2227" s="2">
        <f t="shared" si="926"/>
        <v>4.2084817092910329E-2</v>
      </c>
      <c r="BB2227" s="2">
        <f t="shared" si="927"/>
        <v>0</v>
      </c>
      <c r="BC2227" s="2">
        <f t="shared" si="928"/>
        <v>0</v>
      </c>
      <c r="BD2227" s="2">
        <f t="shared" si="929"/>
        <v>0</v>
      </c>
      <c r="BF2227" t="s">
        <v>1842</v>
      </c>
      <c r="BG2227" t="s">
        <v>2271</v>
      </c>
      <c r="BH2227" s="1">
        <v>4</v>
      </c>
      <c r="BJ2227" s="114">
        <v>40</v>
      </c>
      <c r="BK2227" s="116">
        <v>19</v>
      </c>
      <c r="BL2227" s="120">
        <f t="shared" si="930"/>
        <v>40019</v>
      </c>
      <c r="BN2227" s="5" t="s">
        <v>3154</v>
      </c>
      <c r="BR2227" s="63"/>
    </row>
    <row r="2228" spans="1:70" hidden="1" outlineLevel="1">
      <c r="A2228" t="s">
        <v>1652</v>
      </c>
      <c r="B2228" t="s">
        <v>2271</v>
      </c>
      <c r="C2228" s="1">
        <f t="shared" si="921"/>
        <v>16490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0</v>
      </c>
      <c r="G2228" s="132">
        <f t="shared" si="905"/>
        <v>4538</v>
      </c>
      <c r="H2228" s="137">
        <f t="shared" si="906"/>
        <v>0.27519708914493635</v>
      </c>
      <c r="I2228" s="2"/>
      <c r="J2228" s="2">
        <f t="shared" si="922"/>
        <v>0.33086719223771982</v>
      </c>
      <c r="K2228" s="2">
        <f t="shared" si="923"/>
        <v>0.60606428138265611</v>
      </c>
      <c r="L2228" s="2">
        <f t="shared" si="924"/>
        <v>0</v>
      </c>
      <c r="M2228" s="2">
        <f t="shared" si="925"/>
        <v>6.3068526379624124E-2</v>
      </c>
      <c r="N2228" s="63">
        <v>5456</v>
      </c>
      <c r="O2228" s="63">
        <v>9994</v>
      </c>
      <c r="P2228" s="63"/>
      <c r="Q2228" s="63">
        <v>1040</v>
      </c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W2228" s="5">
        <f>IF(Q2228&gt;0,RANK(Q2228,(N2228:P2228,Q2228:AE2228)),0)</f>
        <v>3</v>
      </c>
      <c r="AX2228" s="5">
        <f>IF(R2228&gt;0,RANK(R2228,(N2228:P2228,Q2228:AE2228)),0)</f>
        <v>0</v>
      </c>
      <c r="AY2228" s="5">
        <f>IF(T2228&gt;0,RANK(T2228,(N2228:P2228,Q2228:AE2228)),0)</f>
        <v>0</v>
      </c>
      <c r="AZ2228" s="5">
        <f>IF(S2228&gt;0,RANK(S2228,(N2228:P2228,Q2228:AE2228)),0)</f>
        <v>0</v>
      </c>
      <c r="BA2228" s="2">
        <f t="shared" si="926"/>
        <v>6.3068526379624013E-2</v>
      </c>
      <c r="BB2228" s="2">
        <f t="shared" si="927"/>
        <v>0</v>
      </c>
      <c r="BC2228" s="2">
        <f t="shared" si="928"/>
        <v>0</v>
      </c>
      <c r="BD2228" s="2">
        <f t="shared" si="929"/>
        <v>0</v>
      </c>
      <c r="BF2228" t="s">
        <v>1652</v>
      </c>
      <c r="BG2228" t="s">
        <v>2271</v>
      </c>
      <c r="BH2228" s="1">
        <v>2</v>
      </c>
      <c r="BJ2228" s="114">
        <v>40</v>
      </c>
      <c r="BK2228" s="116">
        <v>21</v>
      </c>
      <c r="BL2228" s="120">
        <f t="shared" si="930"/>
        <v>40021</v>
      </c>
      <c r="BN2228" s="5" t="s">
        <v>3154</v>
      </c>
      <c r="BR2228" s="63"/>
    </row>
    <row r="2229" spans="1:70" hidden="1" outlineLevel="1">
      <c r="A2229" t="s">
        <v>3104</v>
      </c>
      <c r="B2229" t="s">
        <v>2271</v>
      </c>
      <c r="C2229" s="1">
        <f t="shared" si="921"/>
        <v>5426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0</v>
      </c>
      <c r="G2229" s="132">
        <f t="shared" si="905"/>
        <v>3139</v>
      </c>
      <c r="H2229" s="137">
        <f t="shared" si="906"/>
        <v>0.57851087357169184</v>
      </c>
      <c r="I2229" s="2"/>
      <c r="J2229" s="2">
        <f t="shared" si="922"/>
        <v>0.19664577957980095</v>
      </c>
      <c r="K2229" s="2">
        <f t="shared" si="923"/>
        <v>0.77515665315149285</v>
      </c>
      <c r="L2229" s="2">
        <f t="shared" si="924"/>
        <v>0</v>
      </c>
      <c r="M2229" s="2">
        <f t="shared" si="925"/>
        <v>2.8197567268706258E-2</v>
      </c>
      <c r="N2229" s="63">
        <v>1067</v>
      </c>
      <c r="O2229" s="63">
        <v>4206</v>
      </c>
      <c r="P2229" s="63"/>
      <c r="Q2229" s="63">
        <v>153</v>
      </c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W2229" s="5">
        <f>IF(Q2229&gt;0,RANK(Q2229,(N2229:P2229,Q2229:AE2229)),0)</f>
        <v>3</v>
      </c>
      <c r="AX2229" s="5">
        <f>IF(R2229&gt;0,RANK(R2229,(N2229:P2229,Q2229:AE2229)),0)</f>
        <v>0</v>
      </c>
      <c r="AY2229" s="5">
        <f>IF(T2229&gt;0,RANK(T2229,(N2229:P2229,Q2229:AE2229)),0)</f>
        <v>0</v>
      </c>
      <c r="AZ2229" s="5">
        <f>IF(S2229&gt;0,RANK(S2229,(N2229:P2229,Q2229:AE2229)),0)</f>
        <v>0</v>
      </c>
      <c r="BA2229" s="2">
        <f t="shared" si="926"/>
        <v>2.8197567268706231E-2</v>
      </c>
      <c r="BB2229" s="2">
        <f t="shared" si="927"/>
        <v>0</v>
      </c>
      <c r="BC2229" s="2">
        <f t="shared" si="928"/>
        <v>0</v>
      </c>
      <c r="BD2229" s="2">
        <f t="shared" si="929"/>
        <v>0</v>
      </c>
      <c r="BF2229" t="s">
        <v>3104</v>
      </c>
      <c r="BG2229" t="s">
        <v>2271</v>
      </c>
      <c r="BH2229" s="1">
        <v>2</v>
      </c>
      <c r="BJ2229" s="114">
        <v>40</v>
      </c>
      <c r="BK2229" s="116">
        <v>23</v>
      </c>
      <c r="BL2229" s="120">
        <f t="shared" si="930"/>
        <v>40023</v>
      </c>
      <c r="BN2229" s="5" t="s">
        <v>3154</v>
      </c>
      <c r="BR2229" s="63"/>
    </row>
    <row r="2230" spans="1:70" hidden="1" outlineLevel="1">
      <c r="A2230" t="s">
        <v>2066</v>
      </c>
      <c r="B2230" t="s">
        <v>2271</v>
      </c>
      <c r="C2230" s="1">
        <f t="shared" si="921"/>
        <v>1079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0</v>
      </c>
      <c r="G2230" s="132">
        <f t="shared" si="905"/>
        <v>892</v>
      </c>
      <c r="H2230" s="137">
        <f t="shared" si="906"/>
        <v>0.82669138090824834</v>
      </c>
      <c r="I2230" s="2"/>
      <c r="J2230" s="2">
        <f t="shared" si="922"/>
        <v>6.5801668211306771E-2</v>
      </c>
      <c r="K2230" s="2">
        <f t="shared" si="923"/>
        <v>0.89249304911955518</v>
      </c>
      <c r="L2230" s="2">
        <f t="shared" si="924"/>
        <v>0</v>
      </c>
      <c r="M2230" s="2">
        <f t="shared" si="925"/>
        <v>4.1705282669138088E-2</v>
      </c>
      <c r="N2230" s="63">
        <v>71</v>
      </c>
      <c r="O2230" s="63">
        <v>963</v>
      </c>
      <c r="P2230" s="63"/>
      <c r="Q2230" s="63">
        <v>45</v>
      </c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W2230" s="5">
        <f>IF(Q2230&gt;0,RANK(Q2230,(N2230:P2230,Q2230:AE2230)),0)</f>
        <v>3</v>
      </c>
      <c r="AX2230" s="5">
        <f>IF(R2230&gt;0,RANK(R2230,(N2230:P2230,Q2230:AE2230)),0)</f>
        <v>0</v>
      </c>
      <c r="AY2230" s="5">
        <f>IF(T2230&gt;0,RANK(T2230,(N2230:P2230,Q2230:AE2230)),0)</f>
        <v>0</v>
      </c>
      <c r="AZ2230" s="5">
        <f>IF(S2230&gt;0,RANK(S2230,(N2230:P2230,Q2230:AE2230)),0)</f>
        <v>0</v>
      </c>
      <c r="BA2230" s="2">
        <f t="shared" si="926"/>
        <v>4.1705282669138088E-2</v>
      </c>
      <c r="BB2230" s="2">
        <f t="shared" si="927"/>
        <v>0</v>
      </c>
      <c r="BC2230" s="2">
        <f t="shared" si="928"/>
        <v>0</v>
      </c>
      <c r="BD2230" s="2">
        <f t="shared" si="929"/>
        <v>0</v>
      </c>
      <c r="BF2230" t="s">
        <v>2066</v>
      </c>
      <c r="BG2230" t="s">
        <v>2271</v>
      </c>
      <c r="BH2230" s="1">
        <v>3</v>
      </c>
      <c r="BJ2230" s="114">
        <v>40</v>
      </c>
      <c r="BK2230" s="116">
        <v>25</v>
      </c>
      <c r="BL2230" s="120">
        <f t="shared" si="930"/>
        <v>40025</v>
      </c>
      <c r="BN2230" s="5" t="s">
        <v>3154</v>
      </c>
      <c r="BR2230" s="63"/>
    </row>
    <row r="2231" spans="1:70" hidden="1" outlineLevel="1">
      <c r="A2231" t="s">
        <v>2925</v>
      </c>
      <c r="B2231" t="s">
        <v>2271</v>
      </c>
      <c r="C2231" s="1">
        <f t="shared" si="921"/>
        <v>109450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0</v>
      </c>
      <c r="G2231" s="132">
        <f t="shared" si="905"/>
        <v>23709</v>
      </c>
      <c r="H2231" s="137">
        <f t="shared" si="906"/>
        <v>0.21661946094106899</v>
      </c>
      <c r="I2231" s="2"/>
      <c r="J2231" s="2">
        <f t="shared" si="922"/>
        <v>0.35476473275468251</v>
      </c>
      <c r="K2231" s="2">
        <f t="shared" si="923"/>
        <v>0.57138419369575144</v>
      </c>
      <c r="L2231" s="2">
        <f t="shared" si="924"/>
        <v>0</v>
      </c>
      <c r="M2231" s="2">
        <f t="shared" si="925"/>
        <v>7.3851073549565993E-2</v>
      </c>
      <c r="N2231" s="63">
        <v>38829</v>
      </c>
      <c r="O2231" s="63">
        <v>62538</v>
      </c>
      <c r="P2231" s="63"/>
      <c r="Q2231" s="63">
        <v>8083</v>
      </c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W2231" s="5">
        <f>IF(Q2231&gt;0,RANK(Q2231,(N2231:P2231,Q2231:AE2231)),0)</f>
        <v>3</v>
      </c>
      <c r="AX2231" s="5">
        <f>IF(R2231&gt;0,RANK(R2231,(N2231:P2231,Q2231:AE2231)),0)</f>
        <v>0</v>
      </c>
      <c r="AY2231" s="5">
        <f>IF(T2231&gt;0,RANK(T2231,(N2231:P2231,Q2231:AE2231)),0)</f>
        <v>0</v>
      </c>
      <c r="AZ2231" s="5">
        <f>IF(S2231&gt;0,RANK(S2231,(N2231:P2231,Q2231:AE2231)),0)</f>
        <v>0</v>
      </c>
      <c r="BA2231" s="2">
        <f t="shared" si="926"/>
        <v>7.3851073549566007E-2</v>
      </c>
      <c r="BB2231" s="2">
        <f t="shared" si="927"/>
        <v>0</v>
      </c>
      <c r="BC2231" s="2">
        <f t="shared" si="928"/>
        <v>0</v>
      </c>
      <c r="BD2231" s="2">
        <f t="shared" si="929"/>
        <v>0</v>
      </c>
      <c r="BF2231" t="s">
        <v>2925</v>
      </c>
      <c r="BG2231" t="s">
        <v>2271</v>
      </c>
      <c r="BH2231" s="1">
        <v>4</v>
      </c>
      <c r="BJ2231" s="114">
        <v>40</v>
      </c>
      <c r="BK2231" s="116">
        <v>27</v>
      </c>
      <c r="BL2231" s="120">
        <f t="shared" si="930"/>
        <v>40027</v>
      </c>
      <c r="BN2231" s="5" t="s">
        <v>3154</v>
      </c>
      <c r="BR2231" s="63"/>
    </row>
    <row r="2232" spans="1:70" hidden="1" outlineLevel="1">
      <c r="A2232" t="s">
        <v>2341</v>
      </c>
      <c r="B2232" t="s">
        <v>2271</v>
      </c>
      <c r="C2232" s="1">
        <f t="shared" si="921"/>
        <v>2399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0</v>
      </c>
      <c r="G2232" s="132">
        <f t="shared" si="905"/>
        <v>1487</v>
      </c>
      <c r="H2232" s="137">
        <f t="shared" si="906"/>
        <v>0.6198416006669446</v>
      </c>
      <c r="I2232" s="2"/>
      <c r="J2232" s="2">
        <f t="shared" si="922"/>
        <v>0.17132138390996249</v>
      </c>
      <c r="K2232" s="2">
        <f t="shared" si="923"/>
        <v>0.79116298457690704</v>
      </c>
      <c r="L2232" s="2">
        <f t="shared" si="924"/>
        <v>0</v>
      </c>
      <c r="M2232" s="2">
        <f t="shared" si="925"/>
        <v>3.7515631513130421E-2</v>
      </c>
      <c r="N2232" s="63">
        <v>411</v>
      </c>
      <c r="O2232" s="63">
        <v>1898</v>
      </c>
      <c r="P2232" s="63"/>
      <c r="Q2232" s="63">
        <v>90</v>
      </c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W2232" s="5">
        <f>IF(Q2232&gt;0,RANK(Q2232,(N2232:P2232,Q2232:AE2232)),0)</f>
        <v>3</v>
      </c>
      <c r="AX2232" s="5">
        <f>IF(R2232&gt;0,RANK(R2232,(N2232:P2232,Q2232:AE2232)),0)</f>
        <v>0</v>
      </c>
      <c r="AY2232" s="5">
        <f>IF(T2232&gt;0,RANK(T2232,(N2232:P2232,Q2232:AE2232)),0)</f>
        <v>0</v>
      </c>
      <c r="AZ2232" s="5">
        <f>IF(S2232&gt;0,RANK(S2232,(N2232:P2232,Q2232:AE2232)),0)</f>
        <v>0</v>
      </c>
      <c r="BA2232" s="2">
        <f t="shared" si="926"/>
        <v>3.7515631513130469E-2</v>
      </c>
      <c r="BB2232" s="2">
        <f t="shared" si="927"/>
        <v>0</v>
      </c>
      <c r="BC2232" s="2">
        <f t="shared" si="928"/>
        <v>0</v>
      </c>
      <c r="BD2232" s="2">
        <f t="shared" si="929"/>
        <v>0</v>
      </c>
      <c r="BF2232" t="s">
        <v>2341</v>
      </c>
      <c r="BG2232" t="s">
        <v>2271</v>
      </c>
      <c r="BH2232" s="1">
        <v>2</v>
      </c>
      <c r="BJ2232" s="114">
        <v>40</v>
      </c>
      <c r="BK2232" s="116">
        <v>29</v>
      </c>
      <c r="BL2232" s="120">
        <f t="shared" si="930"/>
        <v>40029</v>
      </c>
      <c r="BN2232" s="5" t="s">
        <v>3154</v>
      </c>
      <c r="BR2232" s="63"/>
    </row>
    <row r="2233" spans="1:70" hidden="1" outlineLevel="1">
      <c r="A2233" t="s">
        <v>1142</v>
      </c>
      <c r="B2233" t="s">
        <v>2271</v>
      </c>
      <c r="C2233" s="1">
        <f t="shared" si="921"/>
        <v>32564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0</v>
      </c>
      <c r="G2233" s="132">
        <f t="shared" si="905"/>
        <v>7720</v>
      </c>
      <c r="H2233" s="137">
        <f t="shared" si="906"/>
        <v>0.2370716128239774</v>
      </c>
      <c r="I2233" s="2"/>
      <c r="J2233" s="2">
        <f t="shared" si="922"/>
        <v>0.35201449453384104</v>
      </c>
      <c r="K2233" s="2">
        <f t="shared" si="923"/>
        <v>0.58908610735781841</v>
      </c>
      <c r="L2233" s="2">
        <f t="shared" si="924"/>
        <v>0</v>
      </c>
      <c r="M2233" s="2">
        <f t="shared" si="925"/>
        <v>5.889939810834055E-2</v>
      </c>
      <c r="N2233" s="63">
        <v>11463</v>
      </c>
      <c r="O2233" s="63">
        <v>19183</v>
      </c>
      <c r="P2233" s="63"/>
      <c r="Q2233" s="63">
        <v>1918</v>
      </c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W2233" s="5">
        <f>IF(Q2233&gt;0,RANK(Q2233,(N2233:P2233,Q2233:AE2233)),0)</f>
        <v>3</v>
      </c>
      <c r="AX2233" s="5">
        <f>IF(R2233&gt;0,RANK(R2233,(N2233:P2233,Q2233:AE2233)),0)</f>
        <v>0</v>
      </c>
      <c r="AY2233" s="5">
        <f>IF(T2233&gt;0,RANK(T2233,(N2233:P2233,Q2233:AE2233)),0)</f>
        <v>0</v>
      </c>
      <c r="AZ2233" s="5">
        <f>IF(S2233&gt;0,RANK(S2233,(N2233:P2233,Q2233:AE2233)),0)</f>
        <v>0</v>
      </c>
      <c r="BA2233" s="2">
        <f t="shared" si="926"/>
        <v>5.8899398108340502E-2</v>
      </c>
      <c r="BB2233" s="2">
        <f t="shared" si="927"/>
        <v>0</v>
      </c>
      <c r="BC2233" s="2">
        <f t="shared" si="928"/>
        <v>0</v>
      </c>
      <c r="BD2233" s="2">
        <f t="shared" si="929"/>
        <v>0</v>
      </c>
      <c r="BF2233" t="s">
        <v>1142</v>
      </c>
      <c r="BG2233" t="s">
        <v>2271</v>
      </c>
      <c r="BH2233" s="1">
        <v>4</v>
      </c>
      <c r="BJ2233" s="114">
        <v>40</v>
      </c>
      <c r="BK2233" s="116">
        <v>31</v>
      </c>
      <c r="BL2233" s="120">
        <f t="shared" si="930"/>
        <v>40031</v>
      </c>
      <c r="BN2233" s="5" t="s">
        <v>3154</v>
      </c>
      <c r="BR2233" s="63"/>
    </row>
    <row r="2234" spans="1:70" hidden="1" outlineLevel="1">
      <c r="A2234" t="s">
        <v>2985</v>
      </c>
      <c r="B2234" t="s">
        <v>2271</v>
      </c>
      <c r="C2234" s="1">
        <f t="shared" si="921"/>
        <v>2602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0</v>
      </c>
      <c r="G2234" s="132">
        <f t="shared" si="905"/>
        <v>1630</v>
      </c>
      <c r="H2234" s="137">
        <f t="shared" si="906"/>
        <v>0.62644119907763263</v>
      </c>
      <c r="I2234" s="2"/>
      <c r="J2234" s="2">
        <f t="shared" si="922"/>
        <v>0.16295157571099156</v>
      </c>
      <c r="K2234" s="2">
        <f t="shared" si="923"/>
        <v>0.78939277478862413</v>
      </c>
      <c r="L2234" s="2">
        <f t="shared" si="924"/>
        <v>0</v>
      </c>
      <c r="M2234" s="2">
        <f t="shared" si="925"/>
        <v>4.7655649500384256E-2</v>
      </c>
      <c r="N2234" s="63">
        <v>424</v>
      </c>
      <c r="O2234" s="63">
        <v>2054</v>
      </c>
      <c r="P2234" s="63"/>
      <c r="Q2234" s="63">
        <v>124</v>
      </c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W2234" s="5">
        <f>IF(Q2234&gt;0,RANK(Q2234,(N2234:P2234,Q2234:AE2234)),0)</f>
        <v>3</v>
      </c>
      <c r="AX2234" s="5">
        <f>IF(R2234&gt;0,RANK(R2234,(N2234:P2234,Q2234:AE2234)),0)</f>
        <v>0</v>
      </c>
      <c r="AY2234" s="5">
        <f>IF(T2234&gt;0,RANK(T2234,(N2234:P2234,Q2234:AE2234)),0)</f>
        <v>0</v>
      </c>
      <c r="AZ2234" s="5">
        <f>IF(S2234&gt;0,RANK(S2234,(N2234:P2234,Q2234:AE2234)),0)</f>
        <v>0</v>
      </c>
      <c r="BA2234" s="2">
        <f t="shared" si="926"/>
        <v>4.7655649500384319E-2</v>
      </c>
      <c r="BB2234" s="2">
        <f t="shared" si="927"/>
        <v>0</v>
      </c>
      <c r="BC2234" s="2">
        <f t="shared" si="928"/>
        <v>0</v>
      </c>
      <c r="BD2234" s="2">
        <f t="shared" si="929"/>
        <v>0</v>
      </c>
      <c r="BF2234" t="s">
        <v>2985</v>
      </c>
      <c r="BG2234" t="s">
        <v>2271</v>
      </c>
      <c r="BH2234" s="1">
        <v>4</v>
      </c>
      <c r="BJ2234" s="114">
        <v>40</v>
      </c>
      <c r="BK2234" s="116">
        <v>33</v>
      </c>
      <c r="BL2234" s="120">
        <f t="shared" si="930"/>
        <v>40033</v>
      </c>
      <c r="BN2234" s="5" t="s">
        <v>3154</v>
      </c>
      <c r="BR2234" s="63"/>
    </row>
    <row r="2235" spans="1:70" hidden="1" outlineLevel="1">
      <c r="A2235" t="s">
        <v>841</v>
      </c>
      <c r="B2235" t="s">
        <v>2271</v>
      </c>
      <c r="C2235" s="1">
        <f t="shared" si="921"/>
        <v>5785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0</v>
      </c>
      <c r="G2235" s="132">
        <f t="shared" si="905"/>
        <v>3031</v>
      </c>
      <c r="H2235" s="137">
        <f t="shared" si="906"/>
        <v>0.52394122731201387</v>
      </c>
      <c r="I2235" s="2"/>
      <c r="J2235" s="2">
        <f t="shared" si="922"/>
        <v>0.21642178046672428</v>
      </c>
      <c r="K2235" s="2">
        <f t="shared" si="923"/>
        <v>0.74036300777873809</v>
      </c>
      <c r="L2235" s="2">
        <f t="shared" si="924"/>
        <v>0</v>
      </c>
      <c r="M2235" s="2">
        <f t="shared" si="925"/>
        <v>4.3215211754537575E-2</v>
      </c>
      <c r="N2235" s="63">
        <v>1252</v>
      </c>
      <c r="O2235" s="63">
        <v>4283</v>
      </c>
      <c r="P2235" s="63"/>
      <c r="Q2235" s="63">
        <v>250</v>
      </c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W2235" s="5">
        <f>IF(Q2235&gt;0,RANK(Q2235,(N2235:P2235,Q2235:AE2235)),0)</f>
        <v>3</v>
      </c>
      <c r="AX2235" s="5">
        <f>IF(R2235&gt;0,RANK(R2235,(N2235:P2235,Q2235:AE2235)),0)</f>
        <v>0</v>
      </c>
      <c r="AY2235" s="5">
        <f>IF(T2235&gt;0,RANK(T2235,(N2235:P2235,Q2235:AE2235)),0)</f>
        <v>0</v>
      </c>
      <c r="AZ2235" s="5">
        <f>IF(S2235&gt;0,RANK(S2235,(N2235:P2235,Q2235:AE2235)),0)</f>
        <v>0</v>
      </c>
      <c r="BA2235" s="2">
        <f t="shared" si="926"/>
        <v>4.3215211754537596E-2</v>
      </c>
      <c r="BB2235" s="2">
        <f t="shared" si="927"/>
        <v>0</v>
      </c>
      <c r="BC2235" s="2">
        <f t="shared" si="928"/>
        <v>0</v>
      </c>
      <c r="BD2235" s="2">
        <f t="shared" si="929"/>
        <v>0</v>
      </c>
      <c r="BF2235" t="s">
        <v>841</v>
      </c>
      <c r="BG2235" t="s">
        <v>2271</v>
      </c>
      <c r="BH2235" s="1">
        <v>2</v>
      </c>
      <c r="BJ2235" s="114">
        <v>40</v>
      </c>
      <c r="BK2235" s="116">
        <v>35</v>
      </c>
      <c r="BL2235" s="120">
        <f t="shared" si="930"/>
        <v>40035</v>
      </c>
      <c r="BN2235" s="5" t="s">
        <v>3154</v>
      </c>
      <c r="BR2235" s="63"/>
    </row>
    <row r="2236" spans="1:70" hidden="1" outlineLevel="1">
      <c r="A2236" t="s">
        <v>2874</v>
      </c>
      <c r="B2236" t="s">
        <v>2271</v>
      </c>
      <c r="C2236" s="1">
        <f t="shared" si="921"/>
        <v>28830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0</v>
      </c>
      <c r="G2236" s="132">
        <f t="shared" si="905"/>
        <v>15734</v>
      </c>
      <c r="H2236" s="137">
        <f t="shared" si="906"/>
        <v>0.54575095386749917</v>
      </c>
      <c r="I2236" s="2"/>
      <c r="J2236" s="2">
        <f t="shared" si="922"/>
        <v>0.20260145681581684</v>
      </c>
      <c r="K2236" s="2">
        <f t="shared" si="923"/>
        <v>0.74835241068331604</v>
      </c>
      <c r="L2236" s="2">
        <f t="shared" si="924"/>
        <v>0</v>
      </c>
      <c r="M2236" s="2">
        <f t="shared" si="925"/>
        <v>4.904613250086709E-2</v>
      </c>
      <c r="N2236" s="63">
        <v>5841</v>
      </c>
      <c r="O2236" s="63">
        <v>21575</v>
      </c>
      <c r="P2236" s="63"/>
      <c r="Q2236" s="63">
        <v>1414</v>
      </c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W2236" s="5">
        <f>IF(Q2236&gt;0,RANK(Q2236,(N2236:P2236,Q2236:AE2236)),0)</f>
        <v>3</v>
      </c>
      <c r="AX2236" s="5">
        <f>IF(R2236&gt;0,RANK(R2236,(N2236:P2236,Q2236:AE2236)),0)</f>
        <v>0</v>
      </c>
      <c r="AY2236" s="5">
        <f>IF(T2236&gt;0,RANK(T2236,(N2236:P2236,Q2236:AE2236)),0)</f>
        <v>0</v>
      </c>
      <c r="AZ2236" s="5">
        <f>IF(S2236&gt;0,RANK(S2236,(N2236:P2236,Q2236:AE2236)),0)</f>
        <v>0</v>
      </c>
      <c r="BA2236" s="2">
        <f t="shared" si="926"/>
        <v>4.9046132500867153E-2</v>
      </c>
      <c r="BB2236" s="2">
        <f t="shared" si="927"/>
        <v>0</v>
      </c>
      <c r="BC2236" s="2">
        <f t="shared" si="928"/>
        <v>0</v>
      </c>
      <c r="BD2236" s="2">
        <f t="shared" si="929"/>
        <v>0</v>
      </c>
      <c r="BF2236" t="s">
        <v>2874</v>
      </c>
      <c r="BG2236" t="s">
        <v>2271</v>
      </c>
      <c r="BH2236" s="1"/>
      <c r="BJ2236" s="114">
        <v>40</v>
      </c>
      <c r="BK2236" s="116">
        <v>37</v>
      </c>
      <c r="BL2236" s="120">
        <f t="shared" si="930"/>
        <v>40037</v>
      </c>
      <c r="BN2236" s="5" t="s">
        <v>3154</v>
      </c>
      <c r="BR2236" s="63"/>
    </row>
    <row r="2237" spans="1:70" hidden="1" outlineLevel="1">
      <c r="A2237" t="s">
        <v>2631</v>
      </c>
      <c r="B2237" t="s">
        <v>2271</v>
      </c>
      <c r="C2237" s="1">
        <f t="shared" si="921"/>
        <v>10541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0</v>
      </c>
      <c r="G2237" s="132">
        <f t="shared" si="905"/>
        <v>5722</v>
      </c>
      <c r="H2237" s="137">
        <f t="shared" si="906"/>
        <v>0.54283274831609907</v>
      </c>
      <c r="I2237" s="2"/>
      <c r="J2237" s="2">
        <f t="shared" si="922"/>
        <v>0.19960155582961769</v>
      </c>
      <c r="K2237" s="2">
        <f t="shared" si="923"/>
        <v>0.74243430414571676</v>
      </c>
      <c r="L2237" s="2">
        <f t="shared" si="924"/>
        <v>0</v>
      </c>
      <c r="M2237" s="2">
        <f t="shared" si="925"/>
        <v>5.7964140024665545E-2</v>
      </c>
      <c r="N2237" s="63">
        <v>2104</v>
      </c>
      <c r="O2237" s="63">
        <v>7826</v>
      </c>
      <c r="P2237" s="63"/>
      <c r="Q2237" s="63">
        <v>611</v>
      </c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W2237" s="5">
        <f>IF(Q2237&gt;0,RANK(Q2237,(N2237:P2237,Q2237:AE2237)),0)</f>
        <v>3</v>
      </c>
      <c r="AX2237" s="5">
        <f>IF(R2237&gt;0,RANK(R2237,(N2237:P2237,Q2237:AE2237)),0)</f>
        <v>0</v>
      </c>
      <c r="AY2237" s="5">
        <f>IF(T2237&gt;0,RANK(T2237,(N2237:P2237,Q2237:AE2237)),0)</f>
        <v>0</v>
      </c>
      <c r="AZ2237" s="5">
        <f>IF(S2237&gt;0,RANK(S2237,(N2237:P2237,Q2237:AE2237)),0)</f>
        <v>0</v>
      </c>
      <c r="BA2237" s="2">
        <f t="shared" si="926"/>
        <v>5.7964140024665593E-2</v>
      </c>
      <c r="BB2237" s="2">
        <f t="shared" si="927"/>
        <v>0</v>
      </c>
      <c r="BC2237" s="2">
        <f t="shared" si="928"/>
        <v>0</v>
      </c>
      <c r="BD2237" s="2">
        <f t="shared" si="929"/>
        <v>0</v>
      </c>
      <c r="BF2237" t="s">
        <v>2631</v>
      </c>
      <c r="BG2237" t="s">
        <v>2271</v>
      </c>
      <c r="BH2237" s="1">
        <v>3</v>
      </c>
      <c r="BJ2237" s="114">
        <v>40</v>
      </c>
      <c r="BK2237" s="116">
        <v>39</v>
      </c>
      <c r="BL2237" s="120">
        <f t="shared" si="930"/>
        <v>40039</v>
      </c>
      <c r="BN2237" s="5" t="s">
        <v>3154</v>
      </c>
      <c r="BR2237" s="63"/>
    </row>
    <row r="2238" spans="1:70" hidden="1" outlineLevel="1">
      <c r="A2238" t="s">
        <v>1708</v>
      </c>
      <c r="B2238" t="s">
        <v>2271</v>
      </c>
      <c r="C2238" s="1">
        <f t="shared" si="921"/>
        <v>15716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0</v>
      </c>
      <c r="G2238" s="132">
        <f t="shared" si="905"/>
        <v>8515</v>
      </c>
      <c r="H2238" s="137">
        <f t="shared" si="906"/>
        <v>0.54180453041486387</v>
      </c>
      <c r="I2238" s="2"/>
      <c r="J2238" s="2">
        <f t="shared" si="922"/>
        <v>0.21067701705268516</v>
      </c>
      <c r="K2238" s="2">
        <f t="shared" si="923"/>
        <v>0.75248154746754903</v>
      </c>
      <c r="L2238" s="2">
        <f t="shared" si="924"/>
        <v>0</v>
      </c>
      <c r="M2238" s="2">
        <f t="shared" si="925"/>
        <v>3.6841435479765816E-2</v>
      </c>
      <c r="N2238" s="63">
        <v>3311</v>
      </c>
      <c r="O2238" s="63">
        <v>11826</v>
      </c>
      <c r="P2238" s="63"/>
      <c r="Q2238" s="63">
        <v>579</v>
      </c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W2238" s="5">
        <f>IF(Q2238&gt;0,RANK(Q2238,(N2238:P2238,Q2238:AE2238)),0)</f>
        <v>3</v>
      </c>
      <c r="AX2238" s="5">
        <f>IF(R2238&gt;0,RANK(R2238,(N2238:P2238,Q2238:AE2238)),0)</f>
        <v>0</v>
      </c>
      <c r="AY2238" s="5">
        <f>IF(T2238&gt;0,RANK(T2238,(N2238:P2238,Q2238:AE2238)),0)</f>
        <v>0</v>
      </c>
      <c r="AZ2238" s="5">
        <f>IF(S2238&gt;0,RANK(S2238,(N2238:P2238,Q2238:AE2238)),0)</f>
        <v>0</v>
      </c>
      <c r="BA2238" s="2">
        <f t="shared" si="926"/>
        <v>3.6841435479765844E-2</v>
      </c>
      <c r="BB2238" s="2">
        <f t="shared" si="927"/>
        <v>0</v>
      </c>
      <c r="BC2238" s="2">
        <f t="shared" si="928"/>
        <v>0</v>
      </c>
      <c r="BD2238" s="2">
        <f t="shared" si="929"/>
        <v>0</v>
      </c>
      <c r="BF2238" t="s">
        <v>1708</v>
      </c>
      <c r="BG2238" t="s">
        <v>2271</v>
      </c>
      <c r="BH2238" s="1">
        <v>2</v>
      </c>
      <c r="BJ2238" s="114">
        <v>40</v>
      </c>
      <c r="BK2238" s="116">
        <v>41</v>
      </c>
      <c r="BL2238" s="120">
        <f t="shared" si="930"/>
        <v>40041</v>
      </c>
      <c r="BN2238" s="5" t="s">
        <v>3154</v>
      </c>
      <c r="BR2238" s="63"/>
    </row>
    <row r="2239" spans="1:70" hidden="1" outlineLevel="1">
      <c r="A2239" t="s">
        <v>2640</v>
      </c>
      <c r="B2239" t="s">
        <v>2271</v>
      </c>
      <c r="C2239" s="1">
        <f t="shared" si="921"/>
        <v>2248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0</v>
      </c>
      <c r="G2239" s="132">
        <f t="shared" si="905"/>
        <v>1743</v>
      </c>
      <c r="H2239" s="137">
        <f t="shared" si="906"/>
        <v>0.77535587188612098</v>
      </c>
      <c r="I2239" s="2"/>
      <c r="J2239" s="2">
        <f t="shared" si="922"/>
        <v>9.8754448398576514E-2</v>
      </c>
      <c r="K2239" s="2">
        <f t="shared" si="923"/>
        <v>0.87411032028469748</v>
      </c>
      <c r="L2239" s="2">
        <f t="shared" si="924"/>
        <v>0</v>
      </c>
      <c r="M2239" s="2">
        <f t="shared" si="925"/>
        <v>2.7135231316726016E-2</v>
      </c>
      <c r="N2239" s="63">
        <v>222</v>
      </c>
      <c r="O2239" s="63">
        <v>1965</v>
      </c>
      <c r="P2239" s="63"/>
      <c r="Q2239" s="63">
        <v>61</v>
      </c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W2239" s="5">
        <f>IF(Q2239&gt;0,RANK(Q2239,(N2239:P2239,Q2239:AE2239)),0)</f>
        <v>3</v>
      </c>
      <c r="AX2239" s="5">
        <f>IF(R2239&gt;0,RANK(R2239,(N2239:P2239,Q2239:AE2239)),0)</f>
        <v>0</v>
      </c>
      <c r="AY2239" s="5">
        <f>IF(T2239&gt;0,RANK(T2239,(N2239:P2239,Q2239:AE2239)),0)</f>
        <v>0</v>
      </c>
      <c r="AZ2239" s="5">
        <f>IF(S2239&gt;0,RANK(S2239,(N2239:P2239,Q2239:AE2239)),0)</f>
        <v>0</v>
      </c>
      <c r="BA2239" s="2">
        <f t="shared" si="926"/>
        <v>2.7135231316725978E-2</v>
      </c>
      <c r="BB2239" s="2">
        <f t="shared" si="927"/>
        <v>0</v>
      </c>
      <c r="BC2239" s="2">
        <f t="shared" si="928"/>
        <v>0</v>
      </c>
      <c r="BD2239" s="2">
        <f t="shared" si="929"/>
        <v>0</v>
      </c>
      <c r="BF2239" t="s">
        <v>2640</v>
      </c>
      <c r="BG2239" t="s">
        <v>2271</v>
      </c>
      <c r="BH2239" s="1">
        <v>3</v>
      </c>
      <c r="BJ2239" s="114">
        <v>40</v>
      </c>
      <c r="BK2239" s="116">
        <v>43</v>
      </c>
      <c r="BL2239" s="120">
        <f t="shared" si="930"/>
        <v>40043</v>
      </c>
      <c r="BN2239" s="5" t="s">
        <v>3154</v>
      </c>
      <c r="BR2239" s="63"/>
    </row>
    <row r="2240" spans="1:70" hidden="1" outlineLevel="1">
      <c r="A2240" t="s">
        <v>2381</v>
      </c>
      <c r="B2240" t="s">
        <v>2271</v>
      </c>
      <c r="C2240" s="1">
        <f t="shared" si="921"/>
        <v>1827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0</v>
      </c>
      <c r="G2240" s="132">
        <f t="shared" si="905"/>
        <v>1456</v>
      </c>
      <c r="H2240" s="137">
        <f t="shared" si="906"/>
        <v>0.79693486590038309</v>
      </c>
      <c r="I2240" s="2"/>
      <c r="J2240" s="2">
        <f t="shared" si="922"/>
        <v>8.4838533114395182E-2</v>
      </c>
      <c r="K2240" s="2">
        <f t="shared" si="923"/>
        <v>0.88177339901477836</v>
      </c>
      <c r="L2240" s="2">
        <f t="shared" si="924"/>
        <v>0</v>
      </c>
      <c r="M2240" s="2">
        <f t="shared" si="925"/>
        <v>3.3388067870826488E-2</v>
      </c>
      <c r="N2240" s="63">
        <v>155</v>
      </c>
      <c r="O2240" s="63">
        <v>1611</v>
      </c>
      <c r="P2240" s="63"/>
      <c r="Q2240" s="63">
        <v>61</v>
      </c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W2240" s="5">
        <f>IF(Q2240&gt;0,RANK(Q2240,(N2240:P2240,Q2240:AE2240)),0)</f>
        <v>3</v>
      </c>
      <c r="AX2240" s="5">
        <f>IF(R2240&gt;0,RANK(R2240,(N2240:P2240,Q2240:AE2240)),0)</f>
        <v>0</v>
      </c>
      <c r="AY2240" s="5">
        <f>IF(T2240&gt;0,RANK(T2240,(N2240:P2240,Q2240:AE2240)),0)</f>
        <v>0</v>
      </c>
      <c r="AZ2240" s="5">
        <f>IF(S2240&gt;0,RANK(S2240,(N2240:P2240,Q2240:AE2240)),0)</f>
        <v>0</v>
      </c>
      <c r="BA2240" s="2">
        <f t="shared" si="926"/>
        <v>3.3388067870826495E-2</v>
      </c>
      <c r="BB2240" s="2">
        <f t="shared" si="927"/>
        <v>0</v>
      </c>
      <c r="BC2240" s="2">
        <f t="shared" si="928"/>
        <v>0</v>
      </c>
      <c r="BD2240" s="2">
        <f t="shared" si="929"/>
        <v>0</v>
      </c>
      <c r="BF2240" t="s">
        <v>2381</v>
      </c>
      <c r="BG2240" t="s">
        <v>2271</v>
      </c>
      <c r="BH2240" s="1">
        <v>3</v>
      </c>
      <c r="BJ2240" s="114">
        <v>40</v>
      </c>
      <c r="BK2240" s="116">
        <v>45</v>
      </c>
      <c r="BL2240" s="120">
        <f t="shared" si="930"/>
        <v>40045</v>
      </c>
      <c r="BN2240" s="5" t="s">
        <v>3154</v>
      </c>
      <c r="BR2240" s="63"/>
    </row>
    <row r="2241" spans="1:70" hidden="1" outlineLevel="1">
      <c r="A2241" t="s">
        <v>2946</v>
      </c>
      <c r="B2241" t="s">
        <v>2271</v>
      </c>
      <c r="C2241" s="1">
        <f t="shared" si="921"/>
        <v>21710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0</v>
      </c>
      <c r="G2241" s="132">
        <f t="shared" si="905"/>
        <v>11612</v>
      </c>
      <c r="H2241" s="137">
        <f t="shared" si="906"/>
        <v>0.53486872409028097</v>
      </c>
      <c r="I2241" s="2"/>
      <c r="J2241" s="2">
        <f t="shared" si="922"/>
        <v>0.20253339474896362</v>
      </c>
      <c r="K2241" s="2">
        <f t="shared" si="923"/>
        <v>0.73740211883924456</v>
      </c>
      <c r="L2241" s="2">
        <f t="shared" si="924"/>
        <v>0</v>
      </c>
      <c r="M2241" s="2">
        <f t="shared" si="925"/>
        <v>6.0064486411791851E-2</v>
      </c>
      <c r="N2241" s="63">
        <v>4397</v>
      </c>
      <c r="O2241" s="63">
        <v>16009</v>
      </c>
      <c r="P2241" s="63"/>
      <c r="Q2241" s="63">
        <v>1304</v>
      </c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W2241" s="5">
        <f>IF(Q2241&gt;0,RANK(Q2241,(N2241:P2241,Q2241:AE2241)),0)</f>
        <v>3</v>
      </c>
      <c r="AX2241" s="5">
        <f>IF(R2241&gt;0,RANK(R2241,(N2241:P2241,Q2241:AE2241)),0)</f>
        <v>0</v>
      </c>
      <c r="AY2241" s="5">
        <f>IF(T2241&gt;0,RANK(T2241,(N2241:P2241,Q2241:AE2241)),0)</f>
        <v>0</v>
      </c>
      <c r="AZ2241" s="5">
        <f>IF(S2241&gt;0,RANK(S2241,(N2241:P2241,Q2241:AE2241)),0)</f>
        <v>0</v>
      </c>
      <c r="BA2241" s="2">
        <f t="shared" si="926"/>
        <v>6.0064486411791802E-2</v>
      </c>
      <c r="BB2241" s="2">
        <f t="shared" si="927"/>
        <v>0</v>
      </c>
      <c r="BC2241" s="2">
        <f t="shared" si="928"/>
        <v>0</v>
      </c>
      <c r="BD2241" s="2">
        <f t="shared" si="929"/>
        <v>0</v>
      </c>
      <c r="BF2241" t="s">
        <v>2946</v>
      </c>
      <c r="BG2241" t="s">
        <v>2271</v>
      </c>
      <c r="BH2241" s="1">
        <v>3</v>
      </c>
      <c r="BJ2241" s="114">
        <v>40</v>
      </c>
      <c r="BK2241" s="116">
        <v>47</v>
      </c>
      <c r="BL2241" s="120">
        <f t="shared" si="930"/>
        <v>40047</v>
      </c>
      <c r="BN2241" s="5" t="s">
        <v>3154</v>
      </c>
      <c r="BR2241" s="63"/>
    </row>
    <row r="2242" spans="1:70" hidden="1" outlineLevel="1">
      <c r="A2242" t="s">
        <v>2462</v>
      </c>
      <c r="B2242" t="s">
        <v>2271</v>
      </c>
      <c r="C2242" s="1">
        <f t="shared" si="921"/>
        <v>10546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0</v>
      </c>
      <c r="G2242" s="132">
        <f t="shared" si="905"/>
        <v>6398</v>
      </c>
      <c r="H2242" s="137">
        <f t="shared" si="906"/>
        <v>0.60667551678361464</v>
      </c>
      <c r="I2242" s="2"/>
      <c r="J2242" s="2">
        <f t="shared" si="922"/>
        <v>0.17589607434098237</v>
      </c>
      <c r="K2242" s="2">
        <f t="shared" si="923"/>
        <v>0.78257159112459695</v>
      </c>
      <c r="L2242" s="2">
        <f t="shared" si="924"/>
        <v>0</v>
      </c>
      <c r="M2242" s="2">
        <f t="shared" si="925"/>
        <v>4.1532334534420734E-2</v>
      </c>
      <c r="N2242" s="63">
        <v>1855</v>
      </c>
      <c r="O2242" s="63">
        <v>8253</v>
      </c>
      <c r="P2242" s="63"/>
      <c r="Q2242" s="63">
        <v>438</v>
      </c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W2242" s="5">
        <f>IF(Q2242&gt;0,RANK(Q2242,(N2242:P2242,Q2242:AE2242)),0)</f>
        <v>3</v>
      </c>
      <c r="AX2242" s="5">
        <f>IF(R2242&gt;0,RANK(R2242,(N2242:P2242,Q2242:AE2242)),0)</f>
        <v>0</v>
      </c>
      <c r="AY2242" s="5">
        <f>IF(T2242&gt;0,RANK(T2242,(N2242:P2242,Q2242:AE2242)),0)</f>
        <v>0</v>
      </c>
      <c r="AZ2242" s="5">
        <f>IF(S2242&gt;0,RANK(S2242,(N2242:P2242,Q2242:AE2242)),0)</f>
        <v>0</v>
      </c>
      <c r="BA2242" s="2">
        <f t="shared" si="926"/>
        <v>4.1532334534420637E-2</v>
      </c>
      <c r="BB2242" s="2">
        <f t="shared" si="927"/>
        <v>0</v>
      </c>
      <c r="BC2242" s="2">
        <f t="shared" si="928"/>
        <v>0</v>
      </c>
      <c r="BD2242" s="2">
        <f t="shared" si="929"/>
        <v>0</v>
      </c>
      <c r="BF2242" t="s">
        <v>2462</v>
      </c>
      <c r="BG2242" t="s">
        <v>2271</v>
      </c>
      <c r="BH2242" s="1">
        <v>4</v>
      </c>
      <c r="BJ2242" s="114">
        <v>40</v>
      </c>
      <c r="BK2242" s="116">
        <v>49</v>
      </c>
      <c r="BL2242" s="120">
        <f t="shared" si="930"/>
        <v>40049</v>
      </c>
      <c r="BN2242" s="5" t="s">
        <v>3154</v>
      </c>
      <c r="BR2242" s="63"/>
    </row>
    <row r="2243" spans="1:70" hidden="1" outlineLevel="1">
      <c r="A2243" t="s">
        <v>2089</v>
      </c>
      <c r="B2243" t="s">
        <v>2271</v>
      </c>
      <c r="C2243" s="1">
        <f t="shared" si="921"/>
        <v>22286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0</v>
      </c>
      <c r="G2243" s="132">
        <f t="shared" si="905"/>
        <v>13434</v>
      </c>
      <c r="H2243" s="137">
        <f t="shared" si="906"/>
        <v>0.60279996410302428</v>
      </c>
      <c r="I2243" s="2"/>
      <c r="J2243" s="2">
        <f t="shared" si="922"/>
        <v>0.17419007448622453</v>
      </c>
      <c r="K2243" s="2">
        <f t="shared" si="923"/>
        <v>0.77699003858924887</v>
      </c>
      <c r="L2243" s="2">
        <f t="shared" si="924"/>
        <v>0</v>
      </c>
      <c r="M2243" s="2">
        <f t="shared" si="925"/>
        <v>4.8819886924526545E-2</v>
      </c>
      <c r="N2243" s="63">
        <v>3882</v>
      </c>
      <c r="O2243" s="63">
        <v>17316</v>
      </c>
      <c r="P2243" s="63"/>
      <c r="Q2243" s="63">
        <v>1088</v>
      </c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W2243" s="5">
        <f>IF(Q2243&gt;0,RANK(Q2243,(N2243:P2243,Q2243:AE2243)),0)</f>
        <v>3</v>
      </c>
      <c r="AX2243" s="5">
        <f>IF(R2243&gt;0,RANK(R2243,(N2243:P2243,Q2243:AE2243)),0)</f>
        <v>0</v>
      </c>
      <c r="AY2243" s="5">
        <f>IF(T2243&gt;0,RANK(T2243,(N2243:P2243,Q2243:AE2243)),0)</f>
        <v>0</v>
      </c>
      <c r="AZ2243" s="5">
        <f>IF(S2243&gt;0,RANK(S2243,(N2243:P2243,Q2243:AE2243)),0)</f>
        <v>0</v>
      </c>
      <c r="BA2243" s="2">
        <f t="shared" si="926"/>
        <v>4.8819886924526608E-2</v>
      </c>
      <c r="BB2243" s="2">
        <f t="shared" si="927"/>
        <v>0</v>
      </c>
      <c r="BC2243" s="2">
        <f t="shared" si="928"/>
        <v>0</v>
      </c>
      <c r="BD2243" s="2">
        <f t="shared" si="929"/>
        <v>0</v>
      </c>
      <c r="BF2243" t="s">
        <v>2089</v>
      </c>
      <c r="BG2243" t="s">
        <v>2271</v>
      </c>
      <c r="BH2243" s="1">
        <v>4</v>
      </c>
      <c r="BJ2243" s="114">
        <v>40</v>
      </c>
      <c r="BK2243" s="116">
        <v>51</v>
      </c>
      <c r="BL2243" s="120">
        <f t="shared" si="930"/>
        <v>40051</v>
      </c>
      <c r="BN2243" s="5" t="s">
        <v>3154</v>
      </c>
      <c r="BR2243" s="63"/>
    </row>
    <row r="2244" spans="1:70" hidden="1" outlineLevel="1">
      <c r="A2244" t="s">
        <v>1417</v>
      </c>
      <c r="B2244" t="s">
        <v>2271</v>
      </c>
      <c r="C2244" s="1">
        <f t="shared" si="921"/>
        <v>2201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0</v>
      </c>
      <c r="G2244" s="132">
        <f t="shared" si="905"/>
        <v>1539</v>
      </c>
      <c r="H2244" s="137">
        <f t="shared" si="906"/>
        <v>0.69922762380736025</v>
      </c>
      <c r="I2244" s="2"/>
      <c r="J2244" s="2">
        <f t="shared" si="922"/>
        <v>0.13084961381190369</v>
      </c>
      <c r="K2244" s="2">
        <f t="shared" si="923"/>
        <v>0.830077237619264</v>
      </c>
      <c r="L2244" s="2">
        <f t="shared" si="924"/>
        <v>0</v>
      </c>
      <c r="M2244" s="2">
        <f t="shared" si="925"/>
        <v>3.9073148568832261E-2</v>
      </c>
      <c r="N2244" s="63">
        <v>288</v>
      </c>
      <c r="O2244" s="63">
        <v>1827</v>
      </c>
      <c r="P2244" s="63"/>
      <c r="Q2244" s="63">
        <v>86</v>
      </c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W2244" s="5">
        <f>IF(Q2244&gt;0,RANK(Q2244,(N2244:P2244,Q2244:AE2244)),0)</f>
        <v>3</v>
      </c>
      <c r="AX2244" s="5">
        <f>IF(R2244&gt;0,RANK(R2244,(N2244:P2244,Q2244:AE2244)),0)</f>
        <v>0</v>
      </c>
      <c r="AY2244" s="5">
        <f>IF(T2244&gt;0,RANK(T2244,(N2244:P2244,Q2244:AE2244)),0)</f>
        <v>0</v>
      </c>
      <c r="AZ2244" s="5">
        <f>IF(S2244&gt;0,RANK(S2244,(N2244:P2244,Q2244:AE2244)),0)</f>
        <v>0</v>
      </c>
      <c r="BA2244" s="2">
        <f t="shared" si="926"/>
        <v>3.9073148568832351E-2</v>
      </c>
      <c r="BB2244" s="2">
        <f t="shared" si="927"/>
        <v>0</v>
      </c>
      <c r="BC2244" s="2">
        <f t="shared" si="928"/>
        <v>0</v>
      </c>
      <c r="BD2244" s="2">
        <f t="shared" si="929"/>
        <v>0</v>
      </c>
      <c r="BF2244" t="s">
        <v>1417</v>
      </c>
      <c r="BG2244" t="s">
        <v>2271</v>
      </c>
      <c r="BH2244" s="1">
        <v>3</v>
      </c>
      <c r="BJ2244" s="114">
        <v>40</v>
      </c>
      <c r="BK2244" s="116">
        <v>53</v>
      </c>
      <c r="BL2244" s="120">
        <f t="shared" si="930"/>
        <v>40053</v>
      </c>
      <c r="BN2244" s="5" t="s">
        <v>3154</v>
      </c>
      <c r="BR2244" s="63"/>
    </row>
    <row r="2245" spans="1:70" hidden="1" outlineLevel="1">
      <c r="A2245" t="s">
        <v>2690</v>
      </c>
      <c r="B2245" t="s">
        <v>2271</v>
      </c>
      <c r="C2245" s="1">
        <f t="shared" si="921"/>
        <v>1896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0</v>
      </c>
      <c r="G2245" s="132">
        <f t="shared" si="905"/>
        <v>1159</v>
      </c>
      <c r="H2245" s="137">
        <f t="shared" si="906"/>
        <v>0.61128691983122363</v>
      </c>
      <c r="I2245" s="2"/>
      <c r="J2245" s="2">
        <f t="shared" si="922"/>
        <v>0.17035864978902954</v>
      </c>
      <c r="K2245" s="2">
        <f t="shared" si="923"/>
        <v>0.78164556962025311</v>
      </c>
      <c r="L2245" s="2">
        <f t="shared" si="924"/>
        <v>0</v>
      </c>
      <c r="M2245" s="2">
        <f t="shared" si="925"/>
        <v>4.7995780590717407E-2</v>
      </c>
      <c r="N2245" s="63">
        <v>323</v>
      </c>
      <c r="O2245" s="63">
        <v>1482</v>
      </c>
      <c r="P2245" s="63"/>
      <c r="Q2245" s="63">
        <v>91</v>
      </c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W2245" s="5">
        <f>IF(Q2245&gt;0,RANK(Q2245,(N2245:P2245,Q2245:AE2245)),0)</f>
        <v>3</v>
      </c>
      <c r="AX2245" s="5">
        <f>IF(R2245&gt;0,RANK(R2245,(N2245:P2245,Q2245:AE2245)),0)</f>
        <v>0</v>
      </c>
      <c r="AY2245" s="5">
        <f>IF(T2245&gt;0,RANK(T2245,(N2245:P2245,Q2245:AE2245)),0)</f>
        <v>0</v>
      </c>
      <c r="AZ2245" s="5">
        <f>IF(S2245&gt;0,RANK(S2245,(N2245:P2245,Q2245:AE2245)),0)</f>
        <v>0</v>
      </c>
      <c r="BA2245" s="2">
        <f t="shared" si="926"/>
        <v>4.7995780590717296E-2</v>
      </c>
      <c r="BB2245" s="2">
        <f t="shared" si="927"/>
        <v>0</v>
      </c>
      <c r="BC2245" s="2">
        <f t="shared" si="928"/>
        <v>0</v>
      </c>
      <c r="BD2245" s="2">
        <f t="shared" si="929"/>
        <v>0</v>
      </c>
      <c r="BF2245" t="s">
        <v>2690</v>
      </c>
      <c r="BG2245" t="s">
        <v>2271</v>
      </c>
      <c r="BH2245" s="1">
        <v>3</v>
      </c>
      <c r="BJ2245" s="114">
        <v>40</v>
      </c>
      <c r="BK2245" s="116">
        <v>55</v>
      </c>
      <c r="BL2245" s="120">
        <f t="shared" si="930"/>
        <v>40055</v>
      </c>
      <c r="BN2245" s="5" t="s">
        <v>3154</v>
      </c>
      <c r="BR2245" s="63"/>
    </row>
    <row r="2246" spans="1:70" hidden="1" outlineLevel="1">
      <c r="A2246" t="s">
        <v>1447</v>
      </c>
      <c r="B2246" t="s">
        <v>2271</v>
      </c>
      <c r="C2246" s="1">
        <f t="shared" si="921"/>
        <v>977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0</v>
      </c>
      <c r="G2246" s="132">
        <f t="shared" si="905"/>
        <v>490</v>
      </c>
      <c r="H2246" s="137">
        <f t="shared" si="906"/>
        <v>0.50153531218014324</v>
      </c>
      <c r="I2246" s="2"/>
      <c r="J2246" s="2">
        <f t="shared" si="922"/>
        <v>0.23029682702149437</v>
      </c>
      <c r="K2246" s="2">
        <f t="shared" si="923"/>
        <v>0.7318321392016377</v>
      </c>
      <c r="L2246" s="2">
        <f t="shared" si="924"/>
        <v>0</v>
      </c>
      <c r="M2246" s="2">
        <f t="shared" si="925"/>
        <v>3.7871033776867957E-2</v>
      </c>
      <c r="N2246" s="63">
        <v>225</v>
      </c>
      <c r="O2246" s="63">
        <v>715</v>
      </c>
      <c r="P2246" s="63"/>
      <c r="Q2246" s="63">
        <v>37</v>
      </c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W2246" s="5">
        <f>IF(Q2246&gt;0,RANK(Q2246,(N2246:P2246,Q2246:AE2246)),0)</f>
        <v>3</v>
      </c>
      <c r="AX2246" s="5">
        <f>IF(R2246&gt;0,RANK(R2246,(N2246:P2246,Q2246:AE2246)),0)</f>
        <v>0</v>
      </c>
      <c r="AY2246" s="5">
        <f>IF(T2246&gt;0,RANK(T2246,(N2246:P2246,Q2246:AE2246)),0)</f>
        <v>0</v>
      </c>
      <c r="AZ2246" s="5">
        <f>IF(S2246&gt;0,RANK(S2246,(N2246:P2246,Q2246:AE2246)),0)</f>
        <v>0</v>
      </c>
      <c r="BA2246" s="2">
        <f t="shared" si="926"/>
        <v>3.7871033776867964E-2</v>
      </c>
      <c r="BB2246" s="2">
        <f t="shared" si="927"/>
        <v>0</v>
      </c>
      <c r="BC2246" s="2">
        <f t="shared" si="928"/>
        <v>0</v>
      </c>
      <c r="BD2246" s="2">
        <f t="shared" si="929"/>
        <v>0</v>
      </c>
      <c r="BF2246" t="s">
        <v>1447</v>
      </c>
      <c r="BG2246" t="s">
        <v>2271</v>
      </c>
      <c r="BH2246" s="1">
        <v>3</v>
      </c>
      <c r="BJ2246" s="114">
        <v>40</v>
      </c>
      <c r="BK2246" s="116">
        <v>57</v>
      </c>
      <c r="BL2246" s="120">
        <f t="shared" si="930"/>
        <v>40057</v>
      </c>
      <c r="BN2246" s="5" t="s">
        <v>3154</v>
      </c>
      <c r="BR2246" s="63"/>
    </row>
    <row r="2247" spans="1:70" hidden="1" outlineLevel="1">
      <c r="A2247" t="s">
        <v>1175</v>
      </c>
      <c r="B2247" t="s">
        <v>2271</v>
      </c>
      <c r="C2247" s="1">
        <f t="shared" si="921"/>
        <v>1499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0</v>
      </c>
      <c r="G2247" s="132">
        <f t="shared" si="905"/>
        <v>1184</v>
      </c>
      <c r="H2247" s="137">
        <f t="shared" si="906"/>
        <v>0.78985990660440297</v>
      </c>
      <c r="I2247" s="2"/>
      <c r="J2247" s="2">
        <f t="shared" si="922"/>
        <v>8.9392928619079381E-2</v>
      </c>
      <c r="K2247" s="2">
        <f t="shared" si="923"/>
        <v>0.8792528352234823</v>
      </c>
      <c r="L2247" s="2">
        <f t="shared" si="924"/>
        <v>0</v>
      </c>
      <c r="M2247" s="2">
        <f t="shared" si="925"/>
        <v>3.1354236157438375E-2</v>
      </c>
      <c r="N2247" s="63">
        <v>134</v>
      </c>
      <c r="O2247" s="63">
        <v>1318</v>
      </c>
      <c r="P2247" s="63"/>
      <c r="Q2247" s="63">
        <v>47</v>
      </c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W2247" s="5">
        <f>IF(Q2247&gt;0,RANK(Q2247,(N2247:P2247,Q2247:AE2247)),0)</f>
        <v>3</v>
      </c>
      <c r="AX2247" s="5">
        <f>IF(R2247&gt;0,RANK(R2247,(N2247:P2247,Q2247:AE2247)),0)</f>
        <v>0</v>
      </c>
      <c r="AY2247" s="5">
        <f>IF(T2247&gt;0,RANK(T2247,(N2247:P2247,Q2247:AE2247)),0)</f>
        <v>0</v>
      </c>
      <c r="AZ2247" s="5">
        <f>IF(S2247&gt;0,RANK(S2247,(N2247:P2247,Q2247:AE2247)),0)</f>
        <v>0</v>
      </c>
      <c r="BA2247" s="2">
        <f t="shared" si="926"/>
        <v>3.1354236157438292E-2</v>
      </c>
      <c r="BB2247" s="2">
        <f t="shared" si="927"/>
        <v>0</v>
      </c>
      <c r="BC2247" s="2">
        <f t="shared" si="928"/>
        <v>0</v>
      </c>
      <c r="BD2247" s="2">
        <f t="shared" si="929"/>
        <v>0</v>
      </c>
      <c r="BF2247" t="s">
        <v>1175</v>
      </c>
      <c r="BG2247" t="s">
        <v>2271</v>
      </c>
      <c r="BH2247" s="1">
        <v>3</v>
      </c>
      <c r="BJ2247" s="114">
        <v>40</v>
      </c>
      <c r="BK2247" s="116">
        <v>59</v>
      </c>
      <c r="BL2247" s="120">
        <f t="shared" si="930"/>
        <v>40059</v>
      </c>
      <c r="BN2247" s="5" t="s">
        <v>3154</v>
      </c>
      <c r="BR2247" s="63"/>
    </row>
    <row r="2248" spans="1:70" hidden="1" outlineLevel="1">
      <c r="A2248" t="s">
        <v>2318</v>
      </c>
      <c r="B2248" t="s">
        <v>2271</v>
      </c>
      <c r="C2248" s="1">
        <f t="shared" si="921"/>
        <v>4738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0</v>
      </c>
      <c r="G2248" s="132">
        <f t="shared" ref="G2248:G2311" si="931">IF(C2248&gt;0,MAX(N2248:P2248)-LARGE(N2248:P2248,2),0)</f>
        <v>2819</v>
      </c>
      <c r="H2248" s="137">
        <f t="shared" ref="H2248:H2311" si="932">IF(C2248&gt;0,G2248/C2248,0)</f>
        <v>0.5949767834529337</v>
      </c>
      <c r="I2248" s="2"/>
      <c r="J2248" s="2">
        <f t="shared" si="922"/>
        <v>0.1861544955677501</v>
      </c>
      <c r="K2248" s="2">
        <f t="shared" si="923"/>
        <v>0.7811312790206838</v>
      </c>
      <c r="L2248" s="2">
        <f t="shared" si="924"/>
        <v>0</v>
      </c>
      <c r="M2248" s="2">
        <f t="shared" si="925"/>
        <v>3.27142254115661E-2</v>
      </c>
      <c r="N2248" s="63">
        <v>882</v>
      </c>
      <c r="O2248" s="63">
        <v>3701</v>
      </c>
      <c r="P2248" s="63"/>
      <c r="Q2248" s="63">
        <v>155</v>
      </c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W2248" s="5">
        <f>IF(Q2248&gt;0,RANK(Q2248,(N2248:P2248,Q2248:AE2248)),0)</f>
        <v>3</v>
      </c>
      <c r="AX2248" s="5">
        <f>IF(R2248&gt;0,RANK(R2248,(N2248:P2248,Q2248:AE2248)),0)</f>
        <v>0</v>
      </c>
      <c r="AY2248" s="5">
        <f>IF(T2248&gt;0,RANK(T2248,(N2248:P2248,Q2248:AE2248)),0)</f>
        <v>0</v>
      </c>
      <c r="AZ2248" s="5">
        <f>IF(S2248&gt;0,RANK(S2248,(N2248:P2248,Q2248:AE2248)),0)</f>
        <v>0</v>
      </c>
      <c r="BA2248" s="2">
        <f t="shared" si="926"/>
        <v>3.2714225411566059E-2</v>
      </c>
      <c r="BB2248" s="2">
        <f t="shared" si="927"/>
        <v>0</v>
      </c>
      <c r="BC2248" s="2">
        <f t="shared" si="928"/>
        <v>0</v>
      </c>
      <c r="BD2248" s="2">
        <f t="shared" si="929"/>
        <v>0</v>
      </c>
      <c r="BF2248" t="s">
        <v>2318</v>
      </c>
      <c r="BG2248" t="s">
        <v>2271</v>
      </c>
      <c r="BH2248" s="1">
        <v>2</v>
      </c>
      <c r="BJ2248" s="114">
        <v>40</v>
      </c>
      <c r="BK2248" s="116">
        <v>61</v>
      </c>
      <c r="BL2248" s="120">
        <f t="shared" si="930"/>
        <v>40061</v>
      </c>
      <c r="BN2248" s="5" t="s">
        <v>3154</v>
      </c>
      <c r="BR2248" s="63"/>
    </row>
    <row r="2249" spans="1:70" hidden="1" outlineLevel="1">
      <c r="A2249" t="s">
        <v>2942</v>
      </c>
      <c r="B2249" t="s">
        <v>2271</v>
      </c>
      <c r="C2249" s="1">
        <f t="shared" si="921"/>
        <v>4526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0</v>
      </c>
      <c r="G2249" s="132">
        <f t="shared" si="931"/>
        <v>2427</v>
      </c>
      <c r="H2249" s="137">
        <f t="shared" si="932"/>
        <v>0.53623508616880244</v>
      </c>
      <c r="I2249" s="2"/>
      <c r="J2249" s="2">
        <f t="shared" si="922"/>
        <v>0.21232876712328766</v>
      </c>
      <c r="K2249" s="2">
        <f t="shared" si="923"/>
        <v>0.74856385329209019</v>
      </c>
      <c r="L2249" s="2">
        <f t="shared" si="924"/>
        <v>0</v>
      </c>
      <c r="M2249" s="2">
        <f t="shared" si="925"/>
        <v>3.9107379584622182E-2</v>
      </c>
      <c r="N2249" s="63">
        <v>961</v>
      </c>
      <c r="O2249" s="63">
        <v>3388</v>
      </c>
      <c r="P2249" s="63"/>
      <c r="Q2249" s="63">
        <v>177</v>
      </c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W2249" s="5">
        <f>IF(Q2249&gt;0,RANK(Q2249,(N2249:P2249,Q2249:AE2249)),0)</f>
        <v>3</v>
      </c>
      <c r="AX2249" s="5">
        <f>IF(R2249&gt;0,RANK(R2249,(N2249:P2249,Q2249:AE2249)),0)</f>
        <v>0</v>
      </c>
      <c r="AY2249" s="5">
        <f>IF(T2249&gt;0,RANK(T2249,(N2249:P2249,Q2249:AE2249)),0)</f>
        <v>0</v>
      </c>
      <c r="AZ2249" s="5">
        <f>IF(S2249&gt;0,RANK(S2249,(N2249:P2249,Q2249:AE2249)),0)</f>
        <v>0</v>
      </c>
      <c r="BA2249" s="2">
        <f t="shared" si="926"/>
        <v>3.9107379584622182E-2</v>
      </c>
      <c r="BB2249" s="2">
        <f t="shared" si="927"/>
        <v>0</v>
      </c>
      <c r="BC2249" s="2">
        <f t="shared" si="928"/>
        <v>0</v>
      </c>
      <c r="BD2249" s="2">
        <f t="shared" si="929"/>
        <v>0</v>
      </c>
      <c r="BF2249" t="s">
        <v>2942</v>
      </c>
      <c r="BG2249" t="s">
        <v>2271</v>
      </c>
      <c r="BH2249" s="1">
        <v>2</v>
      </c>
      <c r="BJ2249" s="114">
        <v>40</v>
      </c>
      <c r="BK2249" s="116">
        <v>63</v>
      </c>
      <c r="BL2249" s="120">
        <f t="shared" si="930"/>
        <v>40063</v>
      </c>
      <c r="BN2249" s="5" t="s">
        <v>3154</v>
      </c>
      <c r="BR2249" s="63"/>
    </row>
    <row r="2250" spans="1:70" hidden="1" outlineLevel="1">
      <c r="A2250" t="s">
        <v>2921</v>
      </c>
      <c r="B2250" t="s">
        <v>2271</v>
      </c>
      <c r="C2250" s="1">
        <f t="shared" ref="C2250:C2281" si="933">SUM(N2250:AU2250)</f>
        <v>7806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0</v>
      </c>
      <c r="G2250" s="132">
        <f t="shared" si="931"/>
        <v>4496</v>
      </c>
      <c r="H2250" s="137">
        <f t="shared" si="932"/>
        <v>0.57596720471432228</v>
      </c>
      <c r="I2250" s="2"/>
      <c r="J2250" s="2">
        <f t="shared" ref="J2250:J2281" si="934">IF($C2250=0,"-",N2250/$C2250)</f>
        <v>0.18870099923136049</v>
      </c>
      <c r="K2250" s="2">
        <f t="shared" ref="K2250:K2281" si="935">IF($C2250=0,"-",O2250/$C2250)</f>
        <v>0.7646682039456828</v>
      </c>
      <c r="L2250" s="2">
        <f t="shared" ref="L2250:L2281" si="936">IF($C2250=0,"-",P2250/$C2250)</f>
        <v>0</v>
      </c>
      <c r="M2250" s="2">
        <f t="shared" ref="M2250:M2281" si="937">IF(C2250=0,"-",(1-J2250-K2250-L2250))</f>
        <v>4.6630796822956677E-2</v>
      </c>
      <c r="N2250" s="63">
        <v>1473</v>
      </c>
      <c r="O2250" s="63">
        <v>5969</v>
      </c>
      <c r="P2250" s="63"/>
      <c r="Q2250" s="63">
        <v>364</v>
      </c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W2250" s="5">
        <f>IF(Q2250&gt;0,RANK(Q2250,(N2250:P2250,Q2250:AE2250)),0)</f>
        <v>3</v>
      </c>
      <c r="AX2250" s="5">
        <f>IF(R2250&gt;0,RANK(R2250,(N2250:P2250,Q2250:AE2250)),0)</f>
        <v>0</v>
      </c>
      <c r="AY2250" s="5">
        <f>IF(T2250&gt;0,RANK(T2250,(N2250:P2250,Q2250:AE2250)),0)</f>
        <v>0</v>
      </c>
      <c r="AZ2250" s="5">
        <f>IF(S2250&gt;0,RANK(S2250,(N2250:P2250,Q2250:AE2250)),0)</f>
        <v>0</v>
      </c>
      <c r="BA2250" s="2">
        <f t="shared" ref="BA2250:BA2281" si="938">IF($C2250=0,"-",Q2250/$C2250)</f>
        <v>4.6630796822956698E-2</v>
      </c>
      <c r="BB2250" s="2">
        <f t="shared" ref="BB2250:BB2281" si="939">IF($C2250=0,"-",R2250/$C2250)</f>
        <v>0</v>
      </c>
      <c r="BC2250" s="2">
        <f t="shared" ref="BC2250:BC2281" si="940">IF($C2250=0,"-",T2250/$C2250)</f>
        <v>0</v>
      </c>
      <c r="BD2250" s="2">
        <f t="shared" ref="BD2250:BD2281" si="941">IF($C2250=0,"-",S2250/$C2250)</f>
        <v>0</v>
      </c>
      <c r="BF2250" t="s">
        <v>2921</v>
      </c>
      <c r="BG2250" t="s">
        <v>2271</v>
      </c>
      <c r="BH2250" s="1">
        <v>3</v>
      </c>
      <c r="BJ2250" s="114">
        <v>40</v>
      </c>
      <c r="BK2250" s="116">
        <v>65</v>
      </c>
      <c r="BL2250" s="120">
        <f t="shared" si="930"/>
        <v>40065</v>
      </c>
      <c r="BN2250" s="5" t="s">
        <v>3154</v>
      </c>
      <c r="BR2250" s="63"/>
    </row>
    <row r="2251" spans="1:70" hidden="1" outlineLevel="1">
      <c r="A2251" t="s">
        <v>1092</v>
      </c>
      <c r="B2251" t="s">
        <v>2271</v>
      </c>
      <c r="C2251" s="1">
        <f t="shared" si="933"/>
        <v>2350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0</v>
      </c>
      <c r="G2251" s="132">
        <f t="shared" si="931"/>
        <v>1545</v>
      </c>
      <c r="H2251" s="137">
        <f t="shared" si="932"/>
        <v>0.6574468085106383</v>
      </c>
      <c r="I2251" s="2"/>
      <c r="J2251" s="2">
        <f t="shared" si="934"/>
        <v>0.15531914893617021</v>
      </c>
      <c r="K2251" s="2">
        <f t="shared" si="935"/>
        <v>0.81276595744680846</v>
      </c>
      <c r="L2251" s="2">
        <f t="shared" si="936"/>
        <v>0</v>
      </c>
      <c r="M2251" s="2">
        <f t="shared" si="937"/>
        <v>3.1914893617021267E-2</v>
      </c>
      <c r="N2251" s="63">
        <v>365</v>
      </c>
      <c r="O2251" s="63">
        <v>1910</v>
      </c>
      <c r="P2251" s="63"/>
      <c r="Q2251" s="63">
        <v>75</v>
      </c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W2251" s="5">
        <f>IF(Q2251&gt;0,RANK(Q2251,(N2251:P2251,Q2251:AE2251)),0)</f>
        <v>3</v>
      </c>
      <c r="AX2251" s="5">
        <f>IF(R2251&gt;0,RANK(R2251,(N2251:P2251,Q2251:AE2251)),0)</f>
        <v>0</v>
      </c>
      <c r="AY2251" s="5">
        <f>IF(T2251&gt;0,RANK(T2251,(N2251:P2251,Q2251:AE2251)),0)</f>
        <v>0</v>
      </c>
      <c r="AZ2251" s="5">
        <f>IF(S2251&gt;0,RANK(S2251,(N2251:P2251,Q2251:AE2251)),0)</f>
        <v>0</v>
      </c>
      <c r="BA2251" s="2">
        <f t="shared" si="938"/>
        <v>3.1914893617021274E-2</v>
      </c>
      <c r="BB2251" s="2">
        <f t="shared" si="939"/>
        <v>0</v>
      </c>
      <c r="BC2251" s="2">
        <f t="shared" si="940"/>
        <v>0</v>
      </c>
      <c r="BD2251" s="2">
        <f t="shared" si="941"/>
        <v>0</v>
      </c>
      <c r="BF2251" t="s">
        <v>1092</v>
      </c>
      <c r="BG2251" t="s">
        <v>2271</v>
      </c>
      <c r="BH2251" s="1">
        <v>4</v>
      </c>
      <c r="BJ2251" s="114">
        <v>40</v>
      </c>
      <c r="BK2251" s="116">
        <v>67</v>
      </c>
      <c r="BL2251" s="120">
        <f t="shared" si="930"/>
        <v>40067</v>
      </c>
      <c r="BN2251" s="5" t="s">
        <v>3154</v>
      </c>
      <c r="BR2251" s="63"/>
    </row>
    <row r="2252" spans="1:70" hidden="1" outlineLevel="1">
      <c r="A2252" t="s">
        <v>1255</v>
      </c>
      <c r="B2252" t="s">
        <v>2271</v>
      </c>
      <c r="C2252" s="1">
        <f t="shared" si="933"/>
        <v>4018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0</v>
      </c>
      <c r="G2252" s="132">
        <f t="shared" si="931"/>
        <v>2307</v>
      </c>
      <c r="H2252" s="137">
        <f t="shared" si="932"/>
        <v>0.57416625186660031</v>
      </c>
      <c r="I2252" s="2"/>
      <c r="J2252" s="2">
        <f t="shared" si="934"/>
        <v>0.19561971129915381</v>
      </c>
      <c r="K2252" s="2">
        <f t="shared" si="935"/>
        <v>0.76978596316575409</v>
      </c>
      <c r="L2252" s="2">
        <f t="shared" si="936"/>
        <v>0</v>
      </c>
      <c r="M2252" s="2">
        <f t="shared" si="937"/>
        <v>3.4594325535092119E-2</v>
      </c>
      <c r="N2252" s="63">
        <v>786</v>
      </c>
      <c r="O2252" s="63">
        <v>3093</v>
      </c>
      <c r="P2252" s="63"/>
      <c r="Q2252" s="63">
        <v>139</v>
      </c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W2252" s="5">
        <f>IF(Q2252&gt;0,RANK(Q2252,(N2252:P2252,Q2252:AE2252)),0)</f>
        <v>3</v>
      </c>
      <c r="AX2252" s="5">
        <f>IF(R2252&gt;0,RANK(R2252,(N2252:P2252,Q2252:AE2252)),0)</f>
        <v>0</v>
      </c>
      <c r="AY2252" s="5">
        <f>IF(T2252&gt;0,RANK(T2252,(N2252:P2252,Q2252:AE2252)),0)</f>
        <v>0</v>
      </c>
      <c r="AZ2252" s="5">
        <f>IF(S2252&gt;0,RANK(S2252,(N2252:P2252,Q2252:AE2252)),0)</f>
        <v>0</v>
      </c>
      <c r="BA2252" s="2">
        <f t="shared" si="938"/>
        <v>3.4594325535092084E-2</v>
      </c>
      <c r="BB2252" s="2">
        <f t="shared" si="939"/>
        <v>0</v>
      </c>
      <c r="BC2252" s="2">
        <f t="shared" si="940"/>
        <v>0</v>
      </c>
      <c r="BD2252" s="2">
        <f t="shared" si="941"/>
        <v>0</v>
      </c>
      <c r="BF2252" t="s">
        <v>1255</v>
      </c>
      <c r="BG2252" t="s">
        <v>2271</v>
      </c>
      <c r="BH2252" s="1">
        <v>2</v>
      </c>
      <c r="BJ2252" s="114">
        <v>40</v>
      </c>
      <c r="BK2252" s="116">
        <v>69</v>
      </c>
      <c r="BL2252" s="120">
        <f t="shared" si="930"/>
        <v>40069</v>
      </c>
      <c r="BN2252" s="5" t="s">
        <v>3154</v>
      </c>
      <c r="BR2252" s="63"/>
    </row>
    <row r="2253" spans="1:70" hidden="1" outlineLevel="1">
      <c r="A2253" t="s">
        <v>1891</v>
      </c>
      <c r="B2253" t="s">
        <v>2271</v>
      </c>
      <c r="C2253" s="1">
        <f t="shared" si="933"/>
        <v>16803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0</v>
      </c>
      <c r="G2253" s="132">
        <f t="shared" si="931"/>
        <v>8434</v>
      </c>
      <c r="H2253" s="137">
        <f t="shared" si="932"/>
        <v>0.50193417842052013</v>
      </c>
      <c r="I2253" s="2"/>
      <c r="J2253" s="2">
        <f t="shared" si="934"/>
        <v>0.22246027495090162</v>
      </c>
      <c r="K2253" s="2">
        <f t="shared" si="935"/>
        <v>0.72439445337142172</v>
      </c>
      <c r="L2253" s="2">
        <f t="shared" si="936"/>
        <v>0</v>
      </c>
      <c r="M2253" s="2">
        <f t="shared" si="937"/>
        <v>5.3145271677676686E-2</v>
      </c>
      <c r="N2253" s="63">
        <v>3738</v>
      </c>
      <c r="O2253" s="63">
        <v>12172</v>
      </c>
      <c r="P2253" s="63"/>
      <c r="Q2253" s="63">
        <v>893</v>
      </c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W2253" s="5">
        <f>IF(Q2253&gt;0,RANK(Q2253,(N2253:P2253,Q2253:AE2253)),0)</f>
        <v>3</v>
      </c>
      <c r="AX2253" s="5">
        <f>IF(R2253&gt;0,RANK(R2253,(N2253:P2253,Q2253:AE2253)),0)</f>
        <v>0</v>
      </c>
      <c r="AY2253" s="5">
        <f>IF(T2253&gt;0,RANK(T2253,(N2253:P2253,Q2253:AE2253)),0)</f>
        <v>0</v>
      </c>
      <c r="AZ2253" s="5">
        <f>IF(S2253&gt;0,RANK(S2253,(N2253:P2253,Q2253:AE2253)),0)</f>
        <v>0</v>
      </c>
      <c r="BA2253" s="2">
        <f t="shared" si="938"/>
        <v>5.3145271677676603E-2</v>
      </c>
      <c r="BB2253" s="2">
        <f t="shared" si="939"/>
        <v>0</v>
      </c>
      <c r="BC2253" s="2">
        <f t="shared" si="940"/>
        <v>0</v>
      </c>
      <c r="BD2253" s="2">
        <f t="shared" si="941"/>
        <v>0</v>
      </c>
      <c r="BF2253" t="s">
        <v>1891</v>
      </c>
      <c r="BG2253" t="s">
        <v>2271</v>
      </c>
      <c r="BH2253" s="1">
        <v>3</v>
      </c>
      <c r="BJ2253" s="114">
        <v>40</v>
      </c>
      <c r="BK2253" s="116">
        <v>71</v>
      </c>
      <c r="BL2253" s="120">
        <f t="shared" si="930"/>
        <v>40071</v>
      </c>
      <c r="BN2253" s="5" t="s">
        <v>3154</v>
      </c>
      <c r="BR2253" s="63"/>
    </row>
    <row r="2254" spans="1:70" hidden="1" outlineLevel="1">
      <c r="A2254" t="s">
        <v>2943</v>
      </c>
      <c r="B2254" t="s">
        <v>2271</v>
      </c>
      <c r="C2254" s="1">
        <f t="shared" si="933"/>
        <v>6131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0</v>
      </c>
      <c r="G2254" s="132">
        <f t="shared" si="931"/>
        <v>4370</v>
      </c>
      <c r="H2254" s="137">
        <f t="shared" si="932"/>
        <v>0.71277116294242371</v>
      </c>
      <c r="I2254" s="2"/>
      <c r="J2254" s="2">
        <f t="shared" si="934"/>
        <v>0.1282009460120698</v>
      </c>
      <c r="K2254" s="2">
        <f t="shared" si="935"/>
        <v>0.84097210895449359</v>
      </c>
      <c r="L2254" s="2">
        <f t="shared" si="936"/>
        <v>0</v>
      </c>
      <c r="M2254" s="2">
        <f t="shared" si="937"/>
        <v>3.0826945033436637E-2</v>
      </c>
      <c r="N2254" s="63">
        <v>786</v>
      </c>
      <c r="O2254" s="63">
        <v>5156</v>
      </c>
      <c r="P2254" s="63"/>
      <c r="Q2254" s="63">
        <v>189</v>
      </c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W2254" s="5">
        <f>IF(Q2254&gt;0,RANK(Q2254,(N2254:P2254,Q2254:AE2254)),0)</f>
        <v>3</v>
      </c>
      <c r="AX2254" s="5">
        <f>IF(R2254&gt;0,RANK(R2254,(N2254:P2254,Q2254:AE2254)),0)</f>
        <v>0</v>
      </c>
      <c r="AY2254" s="5">
        <f>IF(T2254&gt;0,RANK(T2254,(N2254:P2254,Q2254:AE2254)),0)</f>
        <v>0</v>
      </c>
      <c r="AZ2254" s="5">
        <f>IF(S2254&gt;0,RANK(S2254,(N2254:P2254,Q2254:AE2254)),0)</f>
        <v>0</v>
      </c>
      <c r="BA2254" s="2">
        <f t="shared" si="938"/>
        <v>3.0826945033436633E-2</v>
      </c>
      <c r="BB2254" s="2">
        <f t="shared" si="939"/>
        <v>0</v>
      </c>
      <c r="BC2254" s="2">
        <f t="shared" si="940"/>
        <v>0</v>
      </c>
      <c r="BD2254" s="2">
        <f t="shared" si="941"/>
        <v>0</v>
      </c>
      <c r="BF2254" t="s">
        <v>2943</v>
      </c>
      <c r="BG2254" t="s">
        <v>2271</v>
      </c>
      <c r="BH2254" s="1">
        <v>3</v>
      </c>
      <c r="BJ2254" s="114">
        <v>40</v>
      </c>
      <c r="BK2254" s="116">
        <v>73</v>
      </c>
      <c r="BL2254" s="120">
        <f t="shared" si="930"/>
        <v>40073</v>
      </c>
      <c r="BN2254" s="5" t="s">
        <v>3154</v>
      </c>
      <c r="BR2254" s="63"/>
    </row>
    <row r="2255" spans="1:70" hidden="1" outlineLevel="1">
      <c r="A2255" t="s">
        <v>1238</v>
      </c>
      <c r="B2255" t="s">
        <v>2271</v>
      </c>
      <c r="C2255" s="1">
        <f t="shared" si="933"/>
        <v>3493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0</v>
      </c>
      <c r="G2255" s="132">
        <f t="shared" si="931"/>
        <v>1829</v>
      </c>
      <c r="H2255" s="137">
        <f t="shared" si="932"/>
        <v>0.52361866590323503</v>
      </c>
      <c r="I2255" s="2"/>
      <c r="J2255" s="2">
        <f t="shared" si="934"/>
        <v>0.2195820211852276</v>
      </c>
      <c r="K2255" s="2">
        <f t="shared" si="935"/>
        <v>0.74320068708846265</v>
      </c>
      <c r="L2255" s="2">
        <f t="shared" si="936"/>
        <v>0</v>
      </c>
      <c r="M2255" s="2">
        <f t="shared" si="937"/>
        <v>3.721729172630972E-2</v>
      </c>
      <c r="N2255" s="63">
        <v>767</v>
      </c>
      <c r="O2255" s="63">
        <v>2596</v>
      </c>
      <c r="P2255" s="63"/>
      <c r="Q2255" s="63">
        <v>130</v>
      </c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W2255" s="5">
        <f>IF(Q2255&gt;0,RANK(Q2255,(N2255:P2255,Q2255:AE2255)),0)</f>
        <v>3</v>
      </c>
      <c r="AX2255" s="5">
        <f>IF(R2255&gt;0,RANK(R2255,(N2255:P2255,Q2255:AE2255)),0)</f>
        <v>0</v>
      </c>
      <c r="AY2255" s="5">
        <f>IF(T2255&gt;0,RANK(T2255,(N2255:P2255,Q2255:AE2255)),0)</f>
        <v>0</v>
      </c>
      <c r="AZ2255" s="5">
        <f>IF(S2255&gt;0,RANK(S2255,(N2255:P2255,Q2255:AE2255)),0)</f>
        <v>0</v>
      </c>
      <c r="BA2255" s="2">
        <f t="shared" si="938"/>
        <v>3.7217291726309762E-2</v>
      </c>
      <c r="BB2255" s="2">
        <f t="shared" si="939"/>
        <v>0</v>
      </c>
      <c r="BC2255" s="2">
        <f t="shared" si="940"/>
        <v>0</v>
      </c>
      <c r="BD2255" s="2">
        <f t="shared" si="941"/>
        <v>0</v>
      </c>
      <c r="BF2255" t="s">
        <v>1238</v>
      </c>
      <c r="BG2255" t="s">
        <v>2271</v>
      </c>
      <c r="BH2255" s="1">
        <v>3</v>
      </c>
      <c r="BJ2255" s="114">
        <v>40</v>
      </c>
      <c r="BK2255" s="116">
        <v>75</v>
      </c>
      <c r="BL2255" s="120">
        <f t="shared" si="930"/>
        <v>40075</v>
      </c>
      <c r="BN2255" s="5" t="s">
        <v>3154</v>
      </c>
      <c r="BR2255" s="63"/>
    </row>
    <row r="2256" spans="1:70" hidden="1" outlineLevel="1">
      <c r="A2256" t="s">
        <v>2513</v>
      </c>
      <c r="B2256" t="s">
        <v>2271</v>
      </c>
      <c r="C2256" s="1">
        <f t="shared" si="933"/>
        <v>4056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0</v>
      </c>
      <c r="G2256" s="132">
        <f t="shared" si="931"/>
        <v>2303</v>
      </c>
      <c r="H2256" s="137">
        <f t="shared" si="932"/>
        <v>0.56780078895463515</v>
      </c>
      <c r="I2256" s="2"/>
      <c r="J2256" s="2">
        <f t="shared" si="934"/>
        <v>0.19649901380670612</v>
      </c>
      <c r="K2256" s="2">
        <f t="shared" si="935"/>
        <v>0.76429980276134124</v>
      </c>
      <c r="L2256" s="2">
        <f t="shared" si="936"/>
        <v>0</v>
      </c>
      <c r="M2256" s="2">
        <f t="shared" si="937"/>
        <v>3.9201183431952669E-2</v>
      </c>
      <c r="N2256" s="63">
        <v>797</v>
      </c>
      <c r="O2256" s="63">
        <v>3100</v>
      </c>
      <c r="P2256" s="63"/>
      <c r="Q2256" s="63">
        <v>159</v>
      </c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W2256" s="5">
        <f>IF(Q2256&gt;0,RANK(Q2256,(N2256:P2256,Q2256:AE2256)),0)</f>
        <v>3</v>
      </c>
      <c r="AX2256" s="5">
        <f>IF(R2256&gt;0,RANK(R2256,(N2256:P2256,Q2256:AE2256)),0)</f>
        <v>0</v>
      </c>
      <c r="AY2256" s="5">
        <f>IF(T2256&gt;0,RANK(T2256,(N2256:P2256,Q2256:AE2256)),0)</f>
        <v>0</v>
      </c>
      <c r="AZ2256" s="5">
        <f>IF(S2256&gt;0,RANK(S2256,(N2256:P2256,Q2256:AE2256)),0)</f>
        <v>0</v>
      </c>
      <c r="BA2256" s="2">
        <f t="shared" si="938"/>
        <v>3.9201183431952662E-2</v>
      </c>
      <c r="BB2256" s="2">
        <f t="shared" si="939"/>
        <v>0</v>
      </c>
      <c r="BC2256" s="2">
        <f t="shared" si="940"/>
        <v>0</v>
      </c>
      <c r="BD2256" s="2">
        <f t="shared" si="941"/>
        <v>0</v>
      </c>
      <c r="BF2256" t="s">
        <v>2513</v>
      </c>
      <c r="BG2256" t="s">
        <v>2271</v>
      </c>
      <c r="BH2256" s="1">
        <v>2</v>
      </c>
      <c r="BJ2256" s="114">
        <v>40</v>
      </c>
      <c r="BK2256" s="116">
        <v>77</v>
      </c>
      <c r="BL2256" s="120">
        <f t="shared" si="930"/>
        <v>40077</v>
      </c>
      <c r="BN2256" s="5" t="s">
        <v>3154</v>
      </c>
      <c r="BR2256" s="63"/>
    </row>
    <row r="2257" spans="1:70" hidden="1" outlineLevel="1">
      <c r="A2257" t="s">
        <v>1560</v>
      </c>
      <c r="B2257" t="s">
        <v>2271</v>
      </c>
      <c r="C2257" s="1">
        <f t="shared" si="933"/>
        <v>17221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0</v>
      </c>
      <c r="G2257" s="132">
        <f t="shared" si="931"/>
        <v>10112</v>
      </c>
      <c r="H2257" s="137">
        <f t="shared" si="932"/>
        <v>0.5871900586493235</v>
      </c>
      <c r="I2257" s="2"/>
      <c r="J2257" s="2">
        <f t="shared" si="934"/>
        <v>0.1887230706695314</v>
      </c>
      <c r="K2257" s="2">
        <f t="shared" si="935"/>
        <v>0.77591312931885492</v>
      </c>
      <c r="L2257" s="2">
        <f t="shared" si="936"/>
        <v>0</v>
      </c>
      <c r="M2257" s="2">
        <f t="shared" si="937"/>
        <v>3.5363800011613655E-2</v>
      </c>
      <c r="N2257" s="63">
        <v>3250</v>
      </c>
      <c r="O2257" s="63">
        <v>13362</v>
      </c>
      <c r="P2257" s="63"/>
      <c r="Q2257" s="63">
        <v>609</v>
      </c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W2257" s="5">
        <f>IF(Q2257&gt;0,RANK(Q2257,(N2257:P2257,Q2257:AE2257)),0)</f>
        <v>3</v>
      </c>
      <c r="AX2257" s="5">
        <f>IF(R2257&gt;0,RANK(R2257,(N2257:P2257,Q2257:AE2257)),0)</f>
        <v>0</v>
      </c>
      <c r="AY2257" s="5">
        <f>IF(T2257&gt;0,RANK(T2257,(N2257:P2257,Q2257:AE2257)),0)</f>
        <v>0</v>
      </c>
      <c r="AZ2257" s="5">
        <f>IF(S2257&gt;0,RANK(S2257,(N2257:P2257,Q2257:AE2257)),0)</f>
        <v>0</v>
      </c>
      <c r="BA2257" s="2">
        <f t="shared" si="938"/>
        <v>3.5363800011613725E-2</v>
      </c>
      <c r="BB2257" s="2">
        <f t="shared" si="939"/>
        <v>0</v>
      </c>
      <c r="BC2257" s="2">
        <f t="shared" si="940"/>
        <v>0</v>
      </c>
      <c r="BD2257" s="2">
        <f t="shared" si="941"/>
        <v>0</v>
      </c>
      <c r="BF2257" t="s">
        <v>1560</v>
      </c>
      <c r="BG2257" t="s">
        <v>2271</v>
      </c>
      <c r="BH2257" s="1">
        <v>2</v>
      </c>
      <c r="BJ2257" s="114">
        <v>40</v>
      </c>
      <c r="BK2257" s="116">
        <v>79</v>
      </c>
      <c r="BL2257" s="120">
        <f t="shared" si="930"/>
        <v>40079</v>
      </c>
      <c r="BN2257" s="5" t="s">
        <v>3154</v>
      </c>
      <c r="BR2257" s="63"/>
    </row>
    <row r="2258" spans="1:70" hidden="1" outlineLevel="1">
      <c r="A2258" t="s">
        <v>1597</v>
      </c>
      <c r="B2258" t="s">
        <v>2271</v>
      </c>
      <c r="C2258" s="1">
        <f t="shared" si="933"/>
        <v>14025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0</v>
      </c>
      <c r="G2258" s="132">
        <f t="shared" si="931"/>
        <v>8424</v>
      </c>
      <c r="H2258" s="137">
        <f t="shared" si="932"/>
        <v>0.60064171122994647</v>
      </c>
      <c r="I2258" s="2"/>
      <c r="J2258" s="2">
        <f t="shared" si="934"/>
        <v>0.17326203208556148</v>
      </c>
      <c r="K2258" s="2">
        <f t="shared" si="935"/>
        <v>0.77390374331550804</v>
      </c>
      <c r="L2258" s="2">
        <f t="shared" si="936"/>
        <v>0</v>
      </c>
      <c r="M2258" s="2">
        <f t="shared" si="937"/>
        <v>5.2834224598930501E-2</v>
      </c>
      <c r="N2258" s="63">
        <v>2430</v>
      </c>
      <c r="O2258" s="63">
        <v>10854</v>
      </c>
      <c r="P2258" s="63"/>
      <c r="Q2258" s="63">
        <v>741</v>
      </c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W2258" s="5">
        <f>IF(Q2258&gt;0,RANK(Q2258,(N2258:P2258,Q2258:AE2258)),0)</f>
        <v>3</v>
      </c>
      <c r="AX2258" s="5">
        <f>IF(R2258&gt;0,RANK(R2258,(N2258:P2258,Q2258:AE2258)),0)</f>
        <v>0</v>
      </c>
      <c r="AY2258" s="5">
        <f>IF(T2258&gt;0,RANK(T2258,(N2258:P2258,Q2258:AE2258)),0)</f>
        <v>0</v>
      </c>
      <c r="AZ2258" s="5">
        <f>IF(S2258&gt;0,RANK(S2258,(N2258:P2258,Q2258:AE2258)),0)</f>
        <v>0</v>
      </c>
      <c r="BA2258" s="2">
        <f t="shared" si="938"/>
        <v>5.2834224598930481E-2</v>
      </c>
      <c r="BB2258" s="2">
        <f t="shared" si="939"/>
        <v>0</v>
      </c>
      <c r="BC2258" s="2">
        <f t="shared" si="940"/>
        <v>0</v>
      </c>
      <c r="BD2258" s="2">
        <f t="shared" si="941"/>
        <v>0</v>
      </c>
      <c r="BF2258" t="s">
        <v>1597</v>
      </c>
      <c r="BG2258" t="s">
        <v>2271</v>
      </c>
      <c r="BH2258" s="1">
        <v>3</v>
      </c>
      <c r="BJ2258" s="114">
        <v>40</v>
      </c>
      <c r="BK2258" s="116">
        <v>81</v>
      </c>
      <c r="BL2258" s="120">
        <f t="shared" si="930"/>
        <v>40081</v>
      </c>
      <c r="BN2258" s="5" t="s">
        <v>3154</v>
      </c>
      <c r="BR2258" s="63"/>
    </row>
    <row r="2259" spans="1:70" hidden="1" outlineLevel="1">
      <c r="A2259" t="s">
        <v>844</v>
      </c>
      <c r="B2259" t="s">
        <v>2271</v>
      </c>
      <c r="C2259" s="1">
        <f t="shared" si="933"/>
        <v>18979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0</v>
      </c>
      <c r="G2259" s="132">
        <f t="shared" si="931"/>
        <v>9385</v>
      </c>
      <c r="H2259" s="137">
        <f t="shared" si="932"/>
        <v>0.4944939143263607</v>
      </c>
      <c r="I2259" s="2"/>
      <c r="J2259" s="2">
        <f t="shared" si="934"/>
        <v>0.22382633436956637</v>
      </c>
      <c r="K2259" s="2">
        <f t="shared" si="935"/>
        <v>0.71832024869592703</v>
      </c>
      <c r="L2259" s="2">
        <f t="shared" si="936"/>
        <v>0</v>
      </c>
      <c r="M2259" s="2">
        <f t="shared" si="937"/>
        <v>5.785341693450663E-2</v>
      </c>
      <c r="N2259" s="63">
        <v>4248</v>
      </c>
      <c r="O2259" s="63">
        <v>13633</v>
      </c>
      <c r="P2259" s="63"/>
      <c r="Q2259" s="63">
        <v>1098</v>
      </c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W2259" s="5">
        <f>IF(Q2259&gt;0,RANK(Q2259,(N2259:P2259,Q2259:AE2259)),0)</f>
        <v>3</v>
      </c>
      <c r="AX2259" s="5">
        <f>IF(R2259&gt;0,RANK(R2259,(N2259:P2259,Q2259:AE2259)),0)</f>
        <v>0</v>
      </c>
      <c r="AY2259" s="5">
        <f>IF(T2259&gt;0,RANK(T2259,(N2259:P2259,Q2259:AE2259)),0)</f>
        <v>0</v>
      </c>
      <c r="AZ2259" s="5">
        <f>IF(S2259&gt;0,RANK(S2259,(N2259:P2259,Q2259:AE2259)),0)</f>
        <v>0</v>
      </c>
      <c r="BA2259" s="2">
        <f t="shared" si="938"/>
        <v>5.785341693450656E-2</v>
      </c>
      <c r="BB2259" s="2">
        <f t="shared" si="939"/>
        <v>0</v>
      </c>
      <c r="BC2259" s="2">
        <f t="shared" si="940"/>
        <v>0</v>
      </c>
      <c r="BD2259" s="2">
        <f t="shared" si="941"/>
        <v>0</v>
      </c>
      <c r="BF2259" t="s">
        <v>844</v>
      </c>
      <c r="BG2259" t="s">
        <v>2271</v>
      </c>
      <c r="BH2259" s="1">
        <v>3</v>
      </c>
      <c r="BJ2259" s="114">
        <v>40</v>
      </c>
      <c r="BK2259" s="116">
        <v>83</v>
      </c>
      <c r="BL2259" s="120">
        <f t="shared" si="930"/>
        <v>40083</v>
      </c>
      <c r="BN2259" s="5" t="s">
        <v>3154</v>
      </c>
      <c r="BR2259" s="63"/>
    </row>
    <row r="2260" spans="1:70" hidden="1" outlineLevel="1">
      <c r="A2260" t="s">
        <v>2691</v>
      </c>
      <c r="B2260" t="s">
        <v>2271</v>
      </c>
      <c r="C2260" s="1">
        <f t="shared" si="933"/>
        <v>3789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0</v>
      </c>
      <c r="G2260" s="132">
        <f t="shared" si="931"/>
        <v>2187</v>
      </c>
      <c r="H2260" s="137">
        <f t="shared" si="932"/>
        <v>0.5771971496437055</v>
      </c>
      <c r="I2260" s="2"/>
      <c r="J2260" s="2">
        <f t="shared" si="934"/>
        <v>0.19398258115597783</v>
      </c>
      <c r="K2260" s="2">
        <f t="shared" si="935"/>
        <v>0.77117973079968327</v>
      </c>
      <c r="L2260" s="2">
        <f t="shared" si="936"/>
        <v>0</v>
      </c>
      <c r="M2260" s="2">
        <f t="shared" si="937"/>
        <v>3.4837688044338844E-2</v>
      </c>
      <c r="N2260" s="63">
        <v>735</v>
      </c>
      <c r="O2260" s="63">
        <v>2922</v>
      </c>
      <c r="P2260" s="63"/>
      <c r="Q2260" s="63">
        <v>132</v>
      </c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W2260" s="5">
        <f>IF(Q2260&gt;0,RANK(Q2260,(N2260:P2260,Q2260:AE2260)),0)</f>
        <v>3</v>
      </c>
      <c r="AX2260" s="5">
        <f>IF(R2260&gt;0,RANK(R2260,(N2260:P2260,Q2260:AE2260)),0)</f>
        <v>0</v>
      </c>
      <c r="AY2260" s="5">
        <f>IF(T2260&gt;0,RANK(T2260,(N2260:P2260,Q2260:AE2260)),0)</f>
        <v>0</v>
      </c>
      <c r="AZ2260" s="5">
        <f>IF(S2260&gt;0,RANK(S2260,(N2260:P2260,Q2260:AE2260)),0)</f>
        <v>0</v>
      </c>
      <c r="BA2260" s="2">
        <f t="shared" si="938"/>
        <v>3.4837688044338878E-2</v>
      </c>
      <c r="BB2260" s="2">
        <f t="shared" si="939"/>
        <v>0</v>
      </c>
      <c r="BC2260" s="2">
        <f t="shared" si="940"/>
        <v>0</v>
      </c>
      <c r="BD2260" s="2">
        <f t="shared" si="941"/>
        <v>0</v>
      </c>
      <c r="BF2260" t="s">
        <v>2691</v>
      </c>
      <c r="BG2260" t="s">
        <v>2271</v>
      </c>
      <c r="BH2260" s="1">
        <v>4</v>
      </c>
      <c r="BJ2260" s="114">
        <v>40</v>
      </c>
      <c r="BK2260" s="116">
        <v>85</v>
      </c>
      <c r="BL2260" s="120">
        <f t="shared" si="930"/>
        <v>40085</v>
      </c>
      <c r="BN2260" s="5" t="s">
        <v>3154</v>
      </c>
      <c r="BR2260" s="63"/>
    </row>
    <row r="2261" spans="1:70" hidden="1" outlineLevel="1">
      <c r="A2261" t="s">
        <v>432</v>
      </c>
      <c r="B2261" t="s">
        <v>2271</v>
      </c>
      <c r="C2261" s="1">
        <f t="shared" si="933"/>
        <v>16858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0</v>
      </c>
      <c r="G2261" s="132">
        <f t="shared" si="931"/>
        <v>10275</v>
      </c>
      <c r="H2261" s="137">
        <f t="shared" si="932"/>
        <v>0.60950290663186613</v>
      </c>
      <c r="I2261" s="2"/>
      <c r="J2261" s="2">
        <f t="shared" si="934"/>
        <v>0.17166923715743268</v>
      </c>
      <c r="K2261" s="2">
        <f t="shared" si="935"/>
        <v>0.78117214378929889</v>
      </c>
      <c r="L2261" s="2">
        <f t="shared" si="936"/>
        <v>0</v>
      </c>
      <c r="M2261" s="2">
        <f t="shared" si="937"/>
        <v>4.7158619053268458E-2</v>
      </c>
      <c r="N2261" s="63">
        <v>2894</v>
      </c>
      <c r="O2261" s="63">
        <v>13169</v>
      </c>
      <c r="P2261" s="63"/>
      <c r="Q2261" s="63">
        <v>795</v>
      </c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W2261" s="5">
        <f>IF(Q2261&gt;0,RANK(Q2261,(N2261:P2261,Q2261:AE2261)),0)</f>
        <v>3</v>
      </c>
      <c r="AX2261" s="5">
        <f>IF(R2261&gt;0,RANK(R2261,(N2261:P2261,Q2261:AE2261)),0)</f>
        <v>0</v>
      </c>
      <c r="AY2261" s="5">
        <f>IF(T2261&gt;0,RANK(T2261,(N2261:P2261,Q2261:AE2261)),0)</f>
        <v>0</v>
      </c>
      <c r="AZ2261" s="5">
        <f>IF(S2261&gt;0,RANK(S2261,(N2261:P2261,Q2261:AE2261)),0)</f>
        <v>0</v>
      </c>
      <c r="BA2261" s="2">
        <f t="shared" si="938"/>
        <v>4.7158619053268479E-2</v>
      </c>
      <c r="BB2261" s="2">
        <f t="shared" si="939"/>
        <v>0</v>
      </c>
      <c r="BC2261" s="2">
        <f t="shared" si="940"/>
        <v>0</v>
      </c>
      <c r="BD2261" s="2">
        <f t="shared" si="941"/>
        <v>0</v>
      </c>
      <c r="BF2261" t="s">
        <v>432</v>
      </c>
      <c r="BG2261" t="s">
        <v>2271</v>
      </c>
      <c r="BH2261" s="1">
        <v>4</v>
      </c>
      <c r="BJ2261" s="114">
        <v>40</v>
      </c>
      <c r="BK2261" s="116">
        <v>87</v>
      </c>
      <c r="BL2261" s="120">
        <f t="shared" si="930"/>
        <v>40087</v>
      </c>
      <c r="BN2261" s="5" t="s">
        <v>3154</v>
      </c>
      <c r="BR2261" s="63"/>
    </row>
    <row r="2262" spans="1:70" hidden="1" outlineLevel="1">
      <c r="A2262" t="s">
        <v>433</v>
      </c>
      <c r="B2262" t="s">
        <v>2271</v>
      </c>
      <c r="C2262" s="1">
        <f t="shared" si="933"/>
        <v>10726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0</v>
      </c>
      <c r="G2262" s="132">
        <f t="shared" si="931"/>
        <v>6854</v>
      </c>
      <c r="H2262" s="137">
        <f t="shared" si="932"/>
        <v>0.63900801790042883</v>
      </c>
      <c r="I2262" s="2"/>
      <c r="J2262" s="2">
        <f t="shared" si="934"/>
        <v>0.16800298340481074</v>
      </c>
      <c r="K2262" s="2">
        <f t="shared" si="935"/>
        <v>0.80701100130523962</v>
      </c>
      <c r="L2262" s="2">
        <f t="shared" si="936"/>
        <v>0</v>
      </c>
      <c r="M2262" s="2">
        <f t="shared" si="937"/>
        <v>2.4986015289949703E-2</v>
      </c>
      <c r="N2262" s="63">
        <v>1802</v>
      </c>
      <c r="O2262" s="63">
        <v>8656</v>
      </c>
      <c r="P2262" s="63"/>
      <c r="Q2262" s="63">
        <v>268</v>
      </c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W2262" s="5">
        <f>IF(Q2262&gt;0,RANK(Q2262,(N2262:P2262,Q2262:AE2262)),0)</f>
        <v>3</v>
      </c>
      <c r="AX2262" s="5">
        <f>IF(R2262&gt;0,RANK(R2262,(N2262:P2262,Q2262:AE2262)),0)</f>
        <v>0</v>
      </c>
      <c r="AY2262" s="5">
        <f>IF(T2262&gt;0,RANK(T2262,(N2262:P2262,Q2262:AE2262)),0)</f>
        <v>0</v>
      </c>
      <c r="AZ2262" s="5">
        <f>IF(S2262&gt;0,RANK(S2262,(N2262:P2262,Q2262:AE2262)),0)</f>
        <v>0</v>
      </c>
      <c r="BA2262" s="2">
        <f t="shared" si="938"/>
        <v>2.4986015289949655E-2</v>
      </c>
      <c r="BB2262" s="2">
        <f t="shared" si="939"/>
        <v>0</v>
      </c>
      <c r="BC2262" s="2">
        <f t="shared" si="940"/>
        <v>0</v>
      </c>
      <c r="BD2262" s="2">
        <f t="shared" si="941"/>
        <v>0</v>
      </c>
      <c r="BF2262" t="s">
        <v>433</v>
      </c>
      <c r="BG2262" t="s">
        <v>2271</v>
      </c>
      <c r="BH2262" s="1">
        <v>2</v>
      </c>
      <c r="BJ2262" s="114">
        <v>40</v>
      </c>
      <c r="BK2262" s="116">
        <v>89</v>
      </c>
      <c r="BL2262" s="120">
        <f t="shared" si="930"/>
        <v>40089</v>
      </c>
      <c r="BN2262" s="5" t="s">
        <v>3154</v>
      </c>
      <c r="BR2262" s="63"/>
    </row>
    <row r="2263" spans="1:70" hidden="1" outlineLevel="1">
      <c r="A2263" t="s">
        <v>1205</v>
      </c>
      <c r="B2263" t="s">
        <v>2271</v>
      </c>
      <c r="C2263" s="1">
        <f t="shared" si="933"/>
        <v>7963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0</v>
      </c>
      <c r="G2263" s="132">
        <f t="shared" si="931"/>
        <v>3382</v>
      </c>
      <c r="H2263" s="137">
        <f t="shared" si="932"/>
        <v>0.4247143036544016</v>
      </c>
      <c r="I2263" s="2"/>
      <c r="J2263" s="2">
        <f t="shared" si="934"/>
        <v>0.26660806228808237</v>
      </c>
      <c r="K2263" s="2">
        <f t="shared" si="935"/>
        <v>0.69132236594248397</v>
      </c>
      <c r="L2263" s="2">
        <f t="shared" si="936"/>
        <v>0</v>
      </c>
      <c r="M2263" s="2">
        <f t="shared" si="937"/>
        <v>4.20695717694336E-2</v>
      </c>
      <c r="N2263" s="63">
        <v>2123</v>
      </c>
      <c r="O2263" s="63">
        <v>5505</v>
      </c>
      <c r="P2263" s="63"/>
      <c r="Q2263" s="63">
        <v>335</v>
      </c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W2263" s="5">
        <f>IF(Q2263&gt;0,RANK(Q2263,(N2263:P2263,Q2263:AE2263)),0)</f>
        <v>3</v>
      </c>
      <c r="AX2263" s="5">
        <f>IF(R2263&gt;0,RANK(R2263,(N2263:P2263,Q2263:AE2263)),0)</f>
        <v>0</v>
      </c>
      <c r="AY2263" s="5">
        <f>IF(T2263&gt;0,RANK(T2263,(N2263:P2263,Q2263:AE2263)),0)</f>
        <v>0</v>
      </c>
      <c r="AZ2263" s="5">
        <f>IF(S2263&gt;0,RANK(S2263,(N2263:P2263,Q2263:AE2263)),0)</f>
        <v>0</v>
      </c>
      <c r="BA2263" s="2">
        <f t="shared" si="938"/>
        <v>4.2069571769433628E-2</v>
      </c>
      <c r="BB2263" s="2">
        <f t="shared" si="939"/>
        <v>0</v>
      </c>
      <c r="BC2263" s="2">
        <f t="shared" si="940"/>
        <v>0</v>
      </c>
      <c r="BD2263" s="2">
        <f t="shared" si="941"/>
        <v>0</v>
      </c>
      <c r="BF2263" t="s">
        <v>1205</v>
      </c>
      <c r="BG2263" t="s">
        <v>2271</v>
      </c>
      <c r="BH2263" s="1">
        <v>2</v>
      </c>
      <c r="BJ2263" s="114">
        <v>40</v>
      </c>
      <c r="BK2263" s="116">
        <v>91</v>
      </c>
      <c r="BL2263" s="120">
        <f t="shared" si="930"/>
        <v>40091</v>
      </c>
      <c r="BN2263" s="5" t="s">
        <v>3154</v>
      </c>
      <c r="BR2263" s="63"/>
    </row>
    <row r="2264" spans="1:70" hidden="1" outlineLevel="1">
      <c r="A2264" t="s">
        <v>122</v>
      </c>
      <c r="B2264" t="s">
        <v>2271</v>
      </c>
      <c r="C2264" s="1">
        <f t="shared" si="933"/>
        <v>3407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0</v>
      </c>
      <c r="G2264" s="132">
        <f t="shared" si="931"/>
        <v>2638</v>
      </c>
      <c r="H2264" s="137">
        <f t="shared" si="932"/>
        <v>0.77428823011447023</v>
      </c>
      <c r="I2264" s="2"/>
      <c r="J2264" s="2">
        <f t="shared" si="934"/>
        <v>9.0989140005870273E-2</v>
      </c>
      <c r="K2264" s="2">
        <f t="shared" si="935"/>
        <v>0.86527737012034045</v>
      </c>
      <c r="L2264" s="2">
        <f t="shared" si="936"/>
        <v>0</v>
      </c>
      <c r="M2264" s="2">
        <f t="shared" si="937"/>
        <v>4.3733489873789333E-2</v>
      </c>
      <c r="N2264" s="63">
        <v>310</v>
      </c>
      <c r="O2264" s="63">
        <v>2948</v>
      </c>
      <c r="P2264" s="63"/>
      <c r="Q2264" s="63">
        <v>149</v>
      </c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W2264" s="5">
        <f>IF(Q2264&gt;0,RANK(Q2264,(N2264:P2264,Q2264:AE2264)),0)</f>
        <v>3</v>
      </c>
      <c r="AX2264" s="5">
        <f>IF(R2264&gt;0,RANK(R2264,(N2264:P2264,Q2264:AE2264)),0)</f>
        <v>0</v>
      </c>
      <c r="AY2264" s="5">
        <f>IF(T2264&gt;0,RANK(T2264,(N2264:P2264,Q2264:AE2264)),0)</f>
        <v>0</v>
      </c>
      <c r="AZ2264" s="5">
        <f>IF(S2264&gt;0,RANK(S2264,(N2264:P2264,Q2264:AE2264)),0)</f>
        <v>0</v>
      </c>
      <c r="BA2264" s="2">
        <f t="shared" si="938"/>
        <v>4.3733489873789257E-2</v>
      </c>
      <c r="BB2264" s="2">
        <f t="shared" si="939"/>
        <v>0</v>
      </c>
      <c r="BC2264" s="2">
        <f t="shared" si="940"/>
        <v>0</v>
      </c>
      <c r="BD2264" s="2">
        <f t="shared" si="941"/>
        <v>0</v>
      </c>
      <c r="BF2264" t="s">
        <v>122</v>
      </c>
      <c r="BG2264" t="s">
        <v>2271</v>
      </c>
      <c r="BH2264" s="1">
        <v>3</v>
      </c>
      <c r="BJ2264" s="114">
        <v>40</v>
      </c>
      <c r="BK2264" s="116">
        <v>93</v>
      </c>
      <c r="BL2264" s="120">
        <f t="shared" si="930"/>
        <v>40093</v>
      </c>
      <c r="BN2264" s="5" t="s">
        <v>3154</v>
      </c>
      <c r="BR2264" s="63"/>
    </row>
    <row r="2265" spans="1:70" hidden="1" outlineLevel="1">
      <c r="A2265" t="s">
        <v>1847</v>
      </c>
      <c r="B2265" t="s">
        <v>2271</v>
      </c>
      <c r="C2265" s="1">
        <f t="shared" si="933"/>
        <v>5492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0</v>
      </c>
      <c r="G2265" s="132">
        <f t="shared" si="931"/>
        <v>3110</v>
      </c>
      <c r="H2265" s="137">
        <f t="shared" si="932"/>
        <v>0.56627822286962859</v>
      </c>
      <c r="I2265" s="2"/>
      <c r="J2265" s="2">
        <f t="shared" si="934"/>
        <v>0.19956300072833211</v>
      </c>
      <c r="K2265" s="2">
        <f t="shared" si="935"/>
        <v>0.7658412235979607</v>
      </c>
      <c r="L2265" s="2">
        <f t="shared" si="936"/>
        <v>0</v>
      </c>
      <c r="M2265" s="2">
        <f t="shared" si="937"/>
        <v>3.4595775673707196E-2</v>
      </c>
      <c r="N2265" s="63">
        <v>1096</v>
      </c>
      <c r="O2265" s="63">
        <v>4206</v>
      </c>
      <c r="P2265" s="63"/>
      <c r="Q2265" s="63">
        <v>190</v>
      </c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W2265" s="5">
        <f>IF(Q2265&gt;0,RANK(Q2265,(N2265:P2265,Q2265:AE2265)),0)</f>
        <v>3</v>
      </c>
      <c r="AX2265" s="5">
        <f>IF(R2265&gt;0,RANK(R2265,(N2265:P2265,Q2265:AE2265)),0)</f>
        <v>0</v>
      </c>
      <c r="AY2265" s="5">
        <f>IF(T2265&gt;0,RANK(T2265,(N2265:P2265,Q2265:AE2265)),0)</f>
        <v>0</v>
      </c>
      <c r="AZ2265" s="5">
        <f>IF(S2265&gt;0,RANK(S2265,(N2265:P2265,Q2265:AE2265)),0)</f>
        <v>0</v>
      </c>
      <c r="BA2265" s="2">
        <f t="shared" si="938"/>
        <v>3.459577567370721E-2</v>
      </c>
      <c r="BB2265" s="2">
        <f t="shared" si="939"/>
        <v>0</v>
      </c>
      <c r="BC2265" s="2">
        <f t="shared" si="940"/>
        <v>0</v>
      </c>
      <c r="BD2265" s="2">
        <f t="shared" si="941"/>
        <v>0</v>
      </c>
      <c r="BF2265" t="s">
        <v>1847</v>
      </c>
      <c r="BG2265" t="s">
        <v>2271</v>
      </c>
      <c r="BH2265" s="1">
        <v>2</v>
      </c>
      <c r="BJ2265" s="114">
        <v>40</v>
      </c>
      <c r="BK2265" s="116">
        <v>95</v>
      </c>
      <c r="BL2265" s="120">
        <f t="shared" si="930"/>
        <v>40095</v>
      </c>
      <c r="BN2265" s="5" t="s">
        <v>3154</v>
      </c>
      <c r="BR2265" s="63"/>
    </row>
    <row r="2266" spans="1:70" hidden="1" outlineLevel="1">
      <c r="A2266" t="s">
        <v>2191</v>
      </c>
      <c r="B2266" t="s">
        <v>2271</v>
      </c>
      <c r="C2266" s="1">
        <f t="shared" si="933"/>
        <v>15717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0</v>
      </c>
      <c r="G2266" s="132">
        <f t="shared" si="931"/>
        <v>8132</v>
      </c>
      <c r="H2266" s="137">
        <f t="shared" si="932"/>
        <v>0.5174015397340459</v>
      </c>
      <c r="I2266" s="2"/>
      <c r="J2266" s="2">
        <f t="shared" si="934"/>
        <v>0.21778965451422028</v>
      </c>
      <c r="K2266" s="2">
        <f t="shared" si="935"/>
        <v>0.73519119424826618</v>
      </c>
      <c r="L2266" s="2">
        <f t="shared" si="936"/>
        <v>0</v>
      </c>
      <c r="M2266" s="2">
        <f t="shared" si="937"/>
        <v>4.7019151237513546E-2</v>
      </c>
      <c r="N2266" s="63">
        <v>3423</v>
      </c>
      <c r="O2266" s="63">
        <v>11555</v>
      </c>
      <c r="P2266" s="63"/>
      <c r="Q2266" s="63">
        <v>739</v>
      </c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W2266" s="5">
        <f>IF(Q2266&gt;0,RANK(Q2266,(N2266:P2266,Q2266:AE2266)),0)</f>
        <v>3</v>
      </c>
      <c r="AX2266" s="5">
        <f>IF(R2266&gt;0,RANK(R2266,(N2266:P2266,Q2266:AE2266)),0)</f>
        <v>0</v>
      </c>
      <c r="AY2266" s="5">
        <f>IF(T2266&gt;0,RANK(T2266,(N2266:P2266,Q2266:AE2266)),0)</f>
        <v>0</v>
      </c>
      <c r="AZ2266" s="5">
        <f>IF(S2266&gt;0,RANK(S2266,(N2266:P2266,Q2266:AE2266)),0)</f>
        <v>0</v>
      </c>
      <c r="BA2266" s="2">
        <f t="shared" si="938"/>
        <v>4.7019151237513518E-2</v>
      </c>
      <c r="BB2266" s="2">
        <f t="shared" si="939"/>
        <v>0</v>
      </c>
      <c r="BC2266" s="2">
        <f t="shared" si="940"/>
        <v>0</v>
      </c>
      <c r="BD2266" s="2">
        <f t="shared" si="941"/>
        <v>0</v>
      </c>
      <c r="BF2266" t="s">
        <v>2191</v>
      </c>
      <c r="BG2266" t="s">
        <v>2271</v>
      </c>
      <c r="BH2266" s="1">
        <v>2</v>
      </c>
      <c r="BJ2266" s="114">
        <v>40</v>
      </c>
      <c r="BK2266" s="116">
        <v>97</v>
      </c>
      <c r="BL2266" s="120">
        <f t="shared" si="930"/>
        <v>40097</v>
      </c>
      <c r="BN2266" s="5" t="s">
        <v>3154</v>
      </c>
      <c r="BR2266" s="63"/>
    </row>
    <row r="2267" spans="1:70" hidden="1" outlineLevel="1">
      <c r="A2267" t="s">
        <v>1868</v>
      </c>
      <c r="B2267" t="s">
        <v>2271</v>
      </c>
      <c r="C2267" s="1">
        <f t="shared" si="933"/>
        <v>5528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0</v>
      </c>
      <c r="G2267" s="132">
        <f t="shared" si="931"/>
        <v>3088</v>
      </c>
      <c r="H2267" s="137">
        <f t="shared" si="932"/>
        <v>0.55861070911722144</v>
      </c>
      <c r="I2267" s="2"/>
      <c r="J2267" s="2">
        <f t="shared" si="934"/>
        <v>0.19663531114327062</v>
      </c>
      <c r="K2267" s="2">
        <f t="shared" si="935"/>
        <v>0.75524602026049203</v>
      </c>
      <c r="L2267" s="2">
        <f t="shared" si="936"/>
        <v>0</v>
      </c>
      <c r="M2267" s="2">
        <f t="shared" si="937"/>
        <v>4.8118668596237368E-2</v>
      </c>
      <c r="N2267" s="63">
        <v>1087</v>
      </c>
      <c r="O2267" s="63">
        <v>4175</v>
      </c>
      <c r="P2267" s="63"/>
      <c r="Q2267" s="63">
        <v>266</v>
      </c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W2267" s="5">
        <f>IF(Q2267&gt;0,RANK(Q2267,(N2267:P2267,Q2267:AE2267)),0)</f>
        <v>3</v>
      </c>
      <c r="AX2267" s="5">
        <f>IF(R2267&gt;0,RANK(R2267,(N2267:P2267,Q2267:AE2267)),0)</f>
        <v>0</v>
      </c>
      <c r="AY2267" s="5">
        <f>IF(T2267&gt;0,RANK(T2267,(N2267:P2267,Q2267:AE2267)),0)</f>
        <v>0</v>
      </c>
      <c r="AZ2267" s="5">
        <f>IF(S2267&gt;0,RANK(S2267,(N2267:P2267,Q2267:AE2267)),0)</f>
        <v>0</v>
      </c>
      <c r="BA2267" s="2">
        <f t="shared" si="938"/>
        <v>4.8118668596237341E-2</v>
      </c>
      <c r="BB2267" s="2">
        <f t="shared" si="939"/>
        <v>0</v>
      </c>
      <c r="BC2267" s="2">
        <f t="shared" si="940"/>
        <v>0</v>
      </c>
      <c r="BD2267" s="2">
        <f t="shared" si="941"/>
        <v>0</v>
      </c>
      <c r="BF2267" t="s">
        <v>1868</v>
      </c>
      <c r="BG2267" t="s">
        <v>2271</v>
      </c>
      <c r="BH2267" s="1">
        <v>4</v>
      </c>
      <c r="BJ2267" s="114">
        <v>40</v>
      </c>
      <c r="BK2267" s="116">
        <v>99</v>
      </c>
      <c r="BL2267" s="120">
        <f t="shared" si="930"/>
        <v>40099</v>
      </c>
      <c r="BN2267" s="5" t="s">
        <v>3154</v>
      </c>
      <c r="BR2267" s="63"/>
    </row>
    <row r="2268" spans="1:70" hidden="1" outlineLevel="1">
      <c r="A2268" t="s">
        <v>2209</v>
      </c>
      <c r="B2268" t="s">
        <v>2271</v>
      </c>
      <c r="C2268" s="1">
        <f t="shared" si="933"/>
        <v>24216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0</v>
      </c>
      <c r="G2268" s="132">
        <f t="shared" si="931"/>
        <v>7066</v>
      </c>
      <c r="H2268" s="137">
        <f t="shared" si="932"/>
        <v>0.29179055170135448</v>
      </c>
      <c r="I2268" s="2"/>
      <c r="J2268" s="2">
        <f t="shared" si="934"/>
        <v>0.32941030723488601</v>
      </c>
      <c r="K2268" s="2">
        <f t="shared" si="935"/>
        <v>0.62120085893624055</v>
      </c>
      <c r="L2268" s="2">
        <f t="shared" si="936"/>
        <v>0</v>
      </c>
      <c r="M2268" s="2">
        <f t="shared" si="937"/>
        <v>4.9388833828873491E-2</v>
      </c>
      <c r="N2268" s="63">
        <v>7977</v>
      </c>
      <c r="O2268" s="63">
        <v>15043</v>
      </c>
      <c r="P2268" s="63"/>
      <c r="Q2268" s="63">
        <v>1196</v>
      </c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W2268" s="5">
        <f>IF(Q2268&gt;0,RANK(Q2268,(N2268:P2268,Q2268:AE2268)),0)</f>
        <v>3</v>
      </c>
      <c r="AX2268" s="5">
        <f>IF(R2268&gt;0,RANK(R2268,(N2268:P2268,Q2268:AE2268)),0)</f>
        <v>0</v>
      </c>
      <c r="AY2268" s="5">
        <f>IF(T2268&gt;0,RANK(T2268,(N2268:P2268,Q2268:AE2268)),0)</f>
        <v>0</v>
      </c>
      <c r="AZ2268" s="5">
        <f>IF(S2268&gt;0,RANK(S2268,(N2268:P2268,Q2268:AE2268)),0)</f>
        <v>0</v>
      </c>
      <c r="BA2268" s="2">
        <f t="shared" si="938"/>
        <v>4.938883382887347E-2</v>
      </c>
      <c r="BB2268" s="2">
        <f t="shared" si="939"/>
        <v>0</v>
      </c>
      <c r="BC2268" s="2">
        <f t="shared" si="940"/>
        <v>0</v>
      </c>
      <c r="BD2268" s="2">
        <f t="shared" si="941"/>
        <v>0</v>
      </c>
      <c r="BF2268" t="s">
        <v>2209</v>
      </c>
      <c r="BG2268" t="s">
        <v>2271</v>
      </c>
      <c r="BH2268" s="1">
        <v>2</v>
      </c>
      <c r="BJ2268" s="114">
        <v>40</v>
      </c>
      <c r="BK2268" s="116">
        <v>101</v>
      </c>
      <c r="BL2268" s="120">
        <f t="shared" si="930"/>
        <v>40101</v>
      </c>
      <c r="BN2268" s="5" t="s">
        <v>3154</v>
      </c>
      <c r="BR2268" s="63"/>
    </row>
    <row r="2269" spans="1:70" hidden="1" outlineLevel="1">
      <c r="A2269" t="s">
        <v>834</v>
      </c>
      <c r="B2269" t="s">
        <v>2271</v>
      </c>
      <c r="C2269" s="1">
        <f t="shared" si="933"/>
        <v>4878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0</v>
      </c>
      <c r="G2269" s="132">
        <f t="shared" si="931"/>
        <v>2814</v>
      </c>
      <c r="H2269" s="137">
        <f t="shared" si="932"/>
        <v>0.57687576875768753</v>
      </c>
      <c r="I2269" s="2"/>
      <c r="J2269" s="2">
        <f t="shared" si="934"/>
        <v>0.18470684706847068</v>
      </c>
      <c r="K2269" s="2">
        <f t="shared" si="935"/>
        <v>0.76158261582615827</v>
      </c>
      <c r="L2269" s="2">
        <f t="shared" si="936"/>
        <v>0</v>
      </c>
      <c r="M2269" s="2">
        <f t="shared" si="937"/>
        <v>5.3710537105370992E-2</v>
      </c>
      <c r="N2269" s="63">
        <v>901</v>
      </c>
      <c r="O2269" s="63">
        <v>3715</v>
      </c>
      <c r="P2269" s="63"/>
      <c r="Q2269" s="63">
        <v>262</v>
      </c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W2269" s="5">
        <f>IF(Q2269&gt;0,RANK(Q2269,(N2269:P2269,Q2269:AE2269)),0)</f>
        <v>3</v>
      </c>
      <c r="AX2269" s="5">
        <f>IF(R2269&gt;0,RANK(R2269,(N2269:P2269,Q2269:AE2269)),0)</f>
        <v>0</v>
      </c>
      <c r="AY2269" s="5">
        <f>IF(T2269&gt;0,RANK(T2269,(N2269:P2269,Q2269:AE2269)),0)</f>
        <v>0</v>
      </c>
      <c r="AZ2269" s="5">
        <f>IF(S2269&gt;0,RANK(S2269,(N2269:P2269,Q2269:AE2269)),0)</f>
        <v>0</v>
      </c>
      <c r="BA2269" s="2">
        <f t="shared" si="938"/>
        <v>5.3710537105371055E-2</v>
      </c>
      <c r="BB2269" s="2">
        <f t="shared" si="939"/>
        <v>0</v>
      </c>
      <c r="BC2269" s="2">
        <f t="shared" si="940"/>
        <v>0</v>
      </c>
      <c r="BD2269" s="2">
        <f t="shared" si="941"/>
        <v>0</v>
      </c>
      <c r="BF2269" t="s">
        <v>834</v>
      </c>
      <c r="BG2269" t="s">
        <v>2271</v>
      </c>
      <c r="BH2269" s="1">
        <v>3</v>
      </c>
      <c r="BJ2269" s="114">
        <v>40</v>
      </c>
      <c r="BK2269" s="116">
        <v>103</v>
      </c>
      <c r="BL2269" s="120">
        <f t="shared" si="930"/>
        <v>40103</v>
      </c>
      <c r="BN2269" s="5" t="s">
        <v>3154</v>
      </c>
      <c r="BR2269" s="63"/>
    </row>
    <row r="2270" spans="1:70" hidden="1" outlineLevel="1">
      <c r="A2270" t="s">
        <v>2190</v>
      </c>
      <c r="B2270" t="s">
        <v>2271</v>
      </c>
      <c r="C2270" s="1">
        <f t="shared" si="933"/>
        <v>4237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0</v>
      </c>
      <c r="G2270" s="132">
        <f t="shared" si="931"/>
        <v>2579</v>
      </c>
      <c r="H2270" s="137">
        <f t="shared" si="932"/>
        <v>0.60868539060656124</v>
      </c>
      <c r="I2270" s="2"/>
      <c r="J2270" s="2">
        <f t="shared" si="934"/>
        <v>0.17512390842577294</v>
      </c>
      <c r="K2270" s="2">
        <f t="shared" si="935"/>
        <v>0.78380929903233421</v>
      </c>
      <c r="L2270" s="2">
        <f t="shared" si="936"/>
        <v>0</v>
      </c>
      <c r="M2270" s="2">
        <f t="shared" si="937"/>
        <v>4.1066792541892827E-2</v>
      </c>
      <c r="N2270" s="63">
        <v>742</v>
      </c>
      <c r="O2270" s="63">
        <v>3321</v>
      </c>
      <c r="P2270" s="63"/>
      <c r="Q2270" s="63">
        <v>174</v>
      </c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W2270" s="5">
        <f>IF(Q2270&gt;0,RANK(Q2270,(N2270:P2270,Q2270:AE2270)),0)</f>
        <v>3</v>
      </c>
      <c r="AX2270" s="5">
        <f>IF(R2270&gt;0,RANK(R2270,(N2270:P2270,Q2270:AE2270)),0)</f>
        <v>0</v>
      </c>
      <c r="AY2270" s="5">
        <f>IF(T2270&gt;0,RANK(T2270,(N2270:P2270,Q2270:AE2270)),0)</f>
        <v>0</v>
      </c>
      <c r="AZ2270" s="5">
        <f>IF(S2270&gt;0,RANK(S2270,(N2270:P2270,Q2270:AE2270)),0)</f>
        <v>0</v>
      </c>
      <c r="BA2270" s="2">
        <f t="shared" si="938"/>
        <v>4.1066792541892848E-2</v>
      </c>
      <c r="BB2270" s="2">
        <f t="shared" si="939"/>
        <v>0</v>
      </c>
      <c r="BC2270" s="2">
        <f t="shared" si="940"/>
        <v>0</v>
      </c>
      <c r="BD2270" s="2">
        <f t="shared" si="941"/>
        <v>0</v>
      </c>
      <c r="BF2270" t="s">
        <v>2190</v>
      </c>
      <c r="BG2270" t="s">
        <v>2271</v>
      </c>
      <c r="BH2270" s="1">
        <v>2</v>
      </c>
      <c r="BJ2270" s="114">
        <v>40</v>
      </c>
      <c r="BK2270" s="116">
        <v>105</v>
      </c>
      <c r="BL2270" s="120">
        <f t="shared" si="930"/>
        <v>40105</v>
      </c>
      <c r="BN2270" s="5" t="s">
        <v>3154</v>
      </c>
      <c r="BR2270" s="63"/>
    </row>
    <row r="2271" spans="1:70" hidden="1" outlineLevel="1">
      <c r="A2271" t="s">
        <v>2963</v>
      </c>
      <c r="B2271" t="s">
        <v>2271</v>
      </c>
      <c r="C2271" s="1">
        <f t="shared" si="933"/>
        <v>3943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0</v>
      </c>
      <c r="G2271" s="132">
        <f t="shared" si="931"/>
        <v>1857</v>
      </c>
      <c r="H2271" s="137">
        <f t="shared" si="932"/>
        <v>0.4709611970580776</v>
      </c>
      <c r="I2271" s="2"/>
      <c r="J2271" s="2">
        <f t="shared" si="934"/>
        <v>0.23915800152168401</v>
      </c>
      <c r="K2271" s="2">
        <f t="shared" si="935"/>
        <v>0.71011919857976158</v>
      </c>
      <c r="L2271" s="2">
        <f t="shared" si="936"/>
        <v>0</v>
      </c>
      <c r="M2271" s="2">
        <f t="shared" si="937"/>
        <v>5.0722799898554438E-2</v>
      </c>
      <c r="N2271" s="63">
        <v>943</v>
      </c>
      <c r="O2271" s="63">
        <v>2800</v>
      </c>
      <c r="P2271" s="63"/>
      <c r="Q2271" s="63">
        <v>200</v>
      </c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W2271" s="5">
        <f>IF(Q2271&gt;0,RANK(Q2271,(N2271:P2271,Q2271:AE2271)),0)</f>
        <v>3</v>
      </c>
      <c r="AX2271" s="5">
        <f>IF(R2271&gt;0,RANK(R2271,(N2271:P2271,Q2271:AE2271)),0)</f>
        <v>0</v>
      </c>
      <c r="AY2271" s="5">
        <f>IF(T2271&gt;0,RANK(T2271,(N2271:P2271,Q2271:AE2271)),0)</f>
        <v>0</v>
      </c>
      <c r="AZ2271" s="5">
        <f>IF(S2271&gt;0,RANK(S2271,(N2271:P2271,Q2271:AE2271)),0)</f>
        <v>0</v>
      </c>
      <c r="BA2271" s="2">
        <f t="shared" si="938"/>
        <v>5.0722799898554403E-2</v>
      </c>
      <c r="BB2271" s="2">
        <f t="shared" si="939"/>
        <v>0</v>
      </c>
      <c r="BC2271" s="2">
        <f t="shared" si="940"/>
        <v>0</v>
      </c>
      <c r="BD2271" s="2">
        <f t="shared" si="941"/>
        <v>0</v>
      </c>
      <c r="BF2271" t="s">
        <v>2963</v>
      </c>
      <c r="BG2271" t="s">
        <v>2271</v>
      </c>
      <c r="BH2271" s="1">
        <v>2</v>
      </c>
      <c r="BJ2271" s="114">
        <v>40</v>
      </c>
      <c r="BK2271" s="116">
        <v>107</v>
      </c>
      <c r="BL2271" s="120">
        <f t="shared" si="930"/>
        <v>40107</v>
      </c>
      <c r="BN2271" s="5" t="s">
        <v>3154</v>
      </c>
      <c r="BR2271" s="63"/>
    </row>
    <row r="2272" spans="1:70" hidden="1" outlineLevel="1">
      <c r="A2272" t="s">
        <v>1272</v>
      </c>
      <c r="B2272" t="s">
        <v>2271</v>
      </c>
      <c r="C2272" s="1">
        <f t="shared" si="933"/>
        <v>273942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0</v>
      </c>
      <c r="G2272" s="132">
        <f t="shared" si="931"/>
        <v>28756</v>
      </c>
      <c r="H2272" s="137">
        <f t="shared" si="932"/>
        <v>0.10497112527469318</v>
      </c>
      <c r="I2272" s="2"/>
      <c r="J2272" s="2">
        <f t="shared" si="934"/>
        <v>0.41181344956231614</v>
      </c>
      <c r="K2272" s="2">
        <f t="shared" si="935"/>
        <v>0.51678457483700935</v>
      </c>
      <c r="L2272" s="2">
        <f t="shared" si="936"/>
        <v>0</v>
      </c>
      <c r="M2272" s="2">
        <f t="shared" si="937"/>
        <v>7.1401975600674517E-2</v>
      </c>
      <c r="N2272" s="63">
        <v>112813</v>
      </c>
      <c r="O2272" s="63">
        <v>141569</v>
      </c>
      <c r="P2272" s="63"/>
      <c r="Q2272" s="63">
        <v>19560</v>
      </c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W2272" s="5">
        <f>IF(Q2272&gt;0,RANK(Q2272,(N2272:P2272,Q2272:AE2272)),0)</f>
        <v>3</v>
      </c>
      <c r="AX2272" s="5">
        <f>IF(R2272&gt;0,RANK(R2272,(N2272:P2272,Q2272:AE2272)),0)</f>
        <v>0</v>
      </c>
      <c r="AY2272" s="5">
        <f>IF(T2272&gt;0,RANK(T2272,(N2272:P2272,Q2272:AE2272)),0)</f>
        <v>0</v>
      </c>
      <c r="AZ2272" s="5">
        <f>IF(S2272&gt;0,RANK(S2272,(N2272:P2272,Q2272:AE2272)),0)</f>
        <v>0</v>
      </c>
      <c r="BA2272" s="2">
        <f t="shared" si="938"/>
        <v>7.14019756006746E-2</v>
      </c>
      <c r="BB2272" s="2">
        <f t="shared" si="939"/>
        <v>0</v>
      </c>
      <c r="BC2272" s="2">
        <f t="shared" si="940"/>
        <v>0</v>
      </c>
      <c r="BD2272" s="2">
        <f t="shared" si="941"/>
        <v>0</v>
      </c>
      <c r="BF2272" t="s">
        <v>1272</v>
      </c>
      <c r="BG2272" t="s">
        <v>2271</v>
      </c>
      <c r="BH2272" s="1"/>
      <c r="BJ2272" s="114">
        <v>40</v>
      </c>
      <c r="BK2272" s="116">
        <v>109</v>
      </c>
      <c r="BL2272" s="120">
        <f t="shared" si="930"/>
        <v>40109</v>
      </c>
      <c r="BN2272" s="5" t="s">
        <v>3154</v>
      </c>
      <c r="BR2272" s="63"/>
    </row>
    <row r="2273" spans="1:70" hidden="1" outlineLevel="1">
      <c r="A2273" t="s">
        <v>2678</v>
      </c>
      <c r="B2273" t="s">
        <v>2271</v>
      </c>
      <c r="C2273" s="1">
        <f t="shared" si="933"/>
        <v>13949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0</v>
      </c>
      <c r="G2273" s="132">
        <f t="shared" si="931"/>
        <v>4559</v>
      </c>
      <c r="H2273" s="137">
        <f t="shared" si="932"/>
        <v>0.32683346476449926</v>
      </c>
      <c r="I2273" s="2"/>
      <c r="J2273" s="2">
        <f t="shared" si="934"/>
        <v>0.31435945229048678</v>
      </c>
      <c r="K2273" s="2">
        <f t="shared" si="935"/>
        <v>0.64119291705498604</v>
      </c>
      <c r="L2273" s="2">
        <f t="shared" si="936"/>
        <v>0</v>
      </c>
      <c r="M2273" s="2">
        <f t="shared" si="937"/>
        <v>4.444763065452717E-2</v>
      </c>
      <c r="N2273" s="63">
        <v>4385</v>
      </c>
      <c r="O2273" s="63">
        <v>8944</v>
      </c>
      <c r="P2273" s="63"/>
      <c r="Q2273" s="63">
        <v>620</v>
      </c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W2273" s="5">
        <f>IF(Q2273&gt;0,RANK(Q2273,(N2273:P2273,Q2273:AE2273)),0)</f>
        <v>3</v>
      </c>
      <c r="AX2273" s="5">
        <f>IF(R2273&gt;0,RANK(R2273,(N2273:P2273,Q2273:AE2273)),0)</f>
        <v>0</v>
      </c>
      <c r="AY2273" s="5">
        <f>IF(T2273&gt;0,RANK(T2273,(N2273:P2273,Q2273:AE2273)),0)</f>
        <v>0</v>
      </c>
      <c r="AZ2273" s="5">
        <f>IF(S2273&gt;0,RANK(S2273,(N2273:P2273,Q2273:AE2273)),0)</f>
        <v>0</v>
      </c>
      <c r="BA2273" s="2">
        <f t="shared" si="938"/>
        <v>4.4447630654527205E-2</v>
      </c>
      <c r="BB2273" s="2">
        <f t="shared" si="939"/>
        <v>0</v>
      </c>
      <c r="BC2273" s="2">
        <f t="shared" si="940"/>
        <v>0</v>
      </c>
      <c r="BD2273" s="2">
        <f t="shared" si="941"/>
        <v>0</v>
      </c>
      <c r="BF2273" t="s">
        <v>2678</v>
      </c>
      <c r="BG2273" t="s">
        <v>2271</v>
      </c>
      <c r="BH2273" s="1">
        <v>2</v>
      </c>
      <c r="BJ2273" s="114">
        <v>40</v>
      </c>
      <c r="BK2273" s="116">
        <v>111</v>
      </c>
      <c r="BL2273" s="120">
        <f t="shared" si="930"/>
        <v>40111</v>
      </c>
      <c r="BN2273" s="5" t="s">
        <v>3154</v>
      </c>
      <c r="BR2273" s="63"/>
    </row>
    <row r="2274" spans="1:70" hidden="1" outlineLevel="1">
      <c r="A2274" t="s">
        <v>375</v>
      </c>
      <c r="B2274" t="s">
        <v>2271</v>
      </c>
      <c r="C2274" s="1">
        <f t="shared" si="933"/>
        <v>18966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0</v>
      </c>
      <c r="G2274" s="132">
        <f t="shared" si="931"/>
        <v>6980</v>
      </c>
      <c r="H2274" s="137">
        <f t="shared" si="932"/>
        <v>0.36802699567647368</v>
      </c>
      <c r="I2274" s="2"/>
      <c r="J2274" s="2">
        <f t="shared" si="934"/>
        <v>0.29510703363914376</v>
      </c>
      <c r="K2274" s="2">
        <f t="shared" si="935"/>
        <v>0.66313402931561738</v>
      </c>
      <c r="L2274" s="2">
        <f t="shared" si="936"/>
        <v>0</v>
      </c>
      <c r="M2274" s="2">
        <f t="shared" si="937"/>
        <v>4.175893704523892E-2</v>
      </c>
      <c r="N2274" s="63">
        <v>5597</v>
      </c>
      <c r="O2274" s="63">
        <v>12577</v>
      </c>
      <c r="P2274" s="63"/>
      <c r="Q2274" s="63">
        <v>792</v>
      </c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W2274" s="5">
        <f>IF(Q2274&gt;0,RANK(Q2274,(N2274:P2274,Q2274:AE2274)),0)</f>
        <v>3</v>
      </c>
      <c r="AX2274" s="5">
        <f>IF(R2274&gt;0,RANK(R2274,(N2274:P2274,Q2274:AE2274)),0)</f>
        <v>0</v>
      </c>
      <c r="AY2274" s="5">
        <f>IF(T2274&gt;0,RANK(T2274,(N2274:P2274,Q2274:AE2274)),0)</f>
        <v>0</v>
      </c>
      <c r="AZ2274" s="5">
        <f>IF(S2274&gt;0,RANK(S2274,(N2274:P2274,Q2274:AE2274)),0)</f>
        <v>0</v>
      </c>
      <c r="BA2274" s="2">
        <f t="shared" si="938"/>
        <v>4.175893704523885E-2</v>
      </c>
      <c r="BB2274" s="2">
        <f t="shared" si="939"/>
        <v>0</v>
      </c>
      <c r="BC2274" s="2">
        <f t="shared" si="940"/>
        <v>0</v>
      </c>
      <c r="BD2274" s="2">
        <f t="shared" si="941"/>
        <v>0</v>
      </c>
      <c r="BF2274" t="s">
        <v>375</v>
      </c>
      <c r="BG2274" t="s">
        <v>2271</v>
      </c>
      <c r="BH2274" s="1">
        <v>3</v>
      </c>
      <c r="BJ2274" s="114">
        <v>40</v>
      </c>
      <c r="BK2274" s="116">
        <v>113</v>
      </c>
      <c r="BL2274" s="120">
        <f t="shared" si="930"/>
        <v>40113</v>
      </c>
      <c r="BN2274" s="5" t="s">
        <v>3154</v>
      </c>
      <c r="BR2274" s="63"/>
    </row>
    <row r="2275" spans="1:70" hidden="1" outlineLevel="1">
      <c r="A2275" t="s">
        <v>37</v>
      </c>
      <c r="B2275" t="s">
        <v>2271</v>
      </c>
      <c r="C2275" s="1">
        <f t="shared" si="933"/>
        <v>10690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0</v>
      </c>
      <c r="G2275" s="132">
        <f t="shared" si="931"/>
        <v>5047</v>
      </c>
      <c r="H2275" s="137">
        <f t="shared" si="932"/>
        <v>0.47212347988774556</v>
      </c>
      <c r="I2275" s="2"/>
      <c r="J2275" s="2">
        <f t="shared" si="934"/>
        <v>0.24172123479887744</v>
      </c>
      <c r="K2275" s="2">
        <f t="shared" si="935"/>
        <v>0.71384471468662303</v>
      </c>
      <c r="L2275" s="2">
        <f t="shared" si="936"/>
        <v>0</v>
      </c>
      <c r="M2275" s="2">
        <f t="shared" si="937"/>
        <v>4.4434050514499557E-2</v>
      </c>
      <c r="N2275" s="63">
        <v>2584</v>
      </c>
      <c r="O2275" s="63">
        <v>7631</v>
      </c>
      <c r="P2275" s="63"/>
      <c r="Q2275" s="63">
        <v>475</v>
      </c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W2275" s="5">
        <f>IF(Q2275&gt;0,RANK(Q2275,(N2275:P2275,Q2275:AE2275)),0)</f>
        <v>3</v>
      </c>
      <c r="AX2275" s="5">
        <f>IF(R2275&gt;0,RANK(R2275,(N2275:P2275,Q2275:AE2275)),0)</f>
        <v>0</v>
      </c>
      <c r="AY2275" s="5">
        <f>IF(T2275&gt;0,RANK(T2275,(N2275:P2275,Q2275:AE2275)),0)</f>
        <v>0</v>
      </c>
      <c r="AZ2275" s="5">
        <f>IF(S2275&gt;0,RANK(S2275,(N2275:P2275,Q2275:AE2275)),0)</f>
        <v>0</v>
      </c>
      <c r="BA2275" s="2">
        <f t="shared" si="938"/>
        <v>4.4434050514499529E-2</v>
      </c>
      <c r="BB2275" s="2">
        <f t="shared" si="939"/>
        <v>0</v>
      </c>
      <c r="BC2275" s="2">
        <f t="shared" si="940"/>
        <v>0</v>
      </c>
      <c r="BD2275" s="2">
        <f t="shared" si="941"/>
        <v>0</v>
      </c>
      <c r="BF2275" t="s">
        <v>37</v>
      </c>
      <c r="BG2275" t="s">
        <v>2271</v>
      </c>
      <c r="BH2275" s="1">
        <v>2</v>
      </c>
      <c r="BJ2275" s="114">
        <v>40</v>
      </c>
      <c r="BK2275" s="116">
        <v>115</v>
      </c>
      <c r="BL2275" s="120">
        <f t="shared" si="930"/>
        <v>40115</v>
      </c>
      <c r="BN2275" s="5" t="s">
        <v>3154</v>
      </c>
      <c r="BR2275" s="63"/>
    </row>
    <row r="2276" spans="1:70" hidden="1" outlineLevel="1">
      <c r="A2276" t="s">
        <v>20</v>
      </c>
      <c r="B2276" t="s">
        <v>2271</v>
      </c>
      <c r="C2276" s="1">
        <f t="shared" si="933"/>
        <v>6364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0</v>
      </c>
      <c r="G2276" s="132">
        <f t="shared" si="931"/>
        <v>3385</v>
      </c>
      <c r="H2276" s="137">
        <f t="shared" si="932"/>
        <v>0.53189817724701449</v>
      </c>
      <c r="I2276" s="2"/>
      <c r="J2276" s="2">
        <f t="shared" si="934"/>
        <v>0.21118793211816467</v>
      </c>
      <c r="K2276" s="2">
        <f t="shared" si="935"/>
        <v>0.74308610936517916</v>
      </c>
      <c r="L2276" s="2">
        <f t="shared" si="936"/>
        <v>0</v>
      </c>
      <c r="M2276" s="2">
        <f t="shared" si="937"/>
        <v>4.5725958516656173E-2</v>
      </c>
      <c r="N2276" s="63">
        <v>1344</v>
      </c>
      <c r="O2276" s="63">
        <v>4729</v>
      </c>
      <c r="P2276" s="63"/>
      <c r="Q2276" s="63">
        <v>291</v>
      </c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W2276" s="5">
        <f>IF(Q2276&gt;0,RANK(Q2276,(N2276:P2276,Q2276:AE2276)),0)</f>
        <v>3</v>
      </c>
      <c r="AX2276" s="5">
        <f>IF(R2276&gt;0,RANK(R2276,(N2276:P2276,Q2276:AE2276)),0)</f>
        <v>0</v>
      </c>
      <c r="AY2276" s="5">
        <f>IF(T2276&gt;0,RANK(T2276,(N2276:P2276,Q2276:AE2276)),0)</f>
        <v>0</v>
      </c>
      <c r="AZ2276" s="5">
        <f>IF(S2276&gt;0,RANK(S2276,(N2276:P2276,Q2276:AE2276)),0)</f>
        <v>0</v>
      </c>
      <c r="BA2276" s="2">
        <f t="shared" si="938"/>
        <v>4.5725958516656194E-2</v>
      </c>
      <c r="BB2276" s="2">
        <f t="shared" si="939"/>
        <v>0</v>
      </c>
      <c r="BC2276" s="2">
        <f t="shared" si="940"/>
        <v>0</v>
      </c>
      <c r="BD2276" s="2">
        <f t="shared" si="941"/>
        <v>0</v>
      </c>
      <c r="BF2276" t="s">
        <v>20</v>
      </c>
      <c r="BG2276" t="s">
        <v>2271</v>
      </c>
      <c r="BH2276" s="1">
        <v>3</v>
      </c>
      <c r="BJ2276" s="114">
        <v>40</v>
      </c>
      <c r="BK2276" s="116">
        <v>117</v>
      </c>
      <c r="BL2276" s="120">
        <f t="shared" si="930"/>
        <v>40117</v>
      </c>
      <c r="BN2276" s="5" t="s">
        <v>3154</v>
      </c>
      <c r="BR2276" s="63"/>
    </row>
    <row r="2277" spans="1:70" hidden="1" outlineLevel="1">
      <c r="A2277" t="s">
        <v>2679</v>
      </c>
      <c r="B2277" t="s">
        <v>2271</v>
      </c>
      <c r="C2277" s="1">
        <f t="shared" si="933"/>
        <v>27760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0</v>
      </c>
      <c r="G2277" s="132">
        <f t="shared" si="931"/>
        <v>7863</v>
      </c>
      <c r="H2277" s="137">
        <f t="shared" si="932"/>
        <v>0.28324927953890489</v>
      </c>
      <c r="I2277" s="2"/>
      <c r="J2277" s="2">
        <f t="shared" si="934"/>
        <v>0.31657060518731989</v>
      </c>
      <c r="K2277" s="2">
        <f t="shared" si="935"/>
        <v>0.59981988472622483</v>
      </c>
      <c r="L2277" s="2">
        <f t="shared" si="936"/>
        <v>0</v>
      </c>
      <c r="M2277" s="2">
        <f t="shared" si="937"/>
        <v>8.3609510086455341E-2</v>
      </c>
      <c r="N2277" s="63">
        <v>8788</v>
      </c>
      <c r="O2277" s="63">
        <v>16651</v>
      </c>
      <c r="P2277" s="63"/>
      <c r="Q2277" s="63">
        <v>2321</v>
      </c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W2277" s="5">
        <f>IF(Q2277&gt;0,RANK(Q2277,(N2277:P2277,Q2277:AE2277)),0)</f>
        <v>3</v>
      </c>
      <c r="AX2277" s="5">
        <f>IF(R2277&gt;0,RANK(R2277,(N2277:P2277,Q2277:AE2277)),0)</f>
        <v>0</v>
      </c>
      <c r="AY2277" s="5">
        <f>IF(T2277&gt;0,RANK(T2277,(N2277:P2277,Q2277:AE2277)),0)</f>
        <v>0</v>
      </c>
      <c r="AZ2277" s="5">
        <f>IF(S2277&gt;0,RANK(S2277,(N2277:P2277,Q2277:AE2277)),0)</f>
        <v>0</v>
      </c>
      <c r="BA2277" s="2">
        <f t="shared" si="938"/>
        <v>8.3609510086455327E-2</v>
      </c>
      <c r="BB2277" s="2">
        <f t="shared" si="939"/>
        <v>0</v>
      </c>
      <c r="BC2277" s="2">
        <f t="shared" si="940"/>
        <v>0</v>
      </c>
      <c r="BD2277" s="2">
        <f t="shared" si="941"/>
        <v>0</v>
      </c>
      <c r="BF2277" t="s">
        <v>2679</v>
      </c>
      <c r="BG2277" t="s">
        <v>2271</v>
      </c>
      <c r="BH2277" s="1">
        <v>3</v>
      </c>
      <c r="BJ2277" s="114">
        <v>40</v>
      </c>
      <c r="BK2277" s="116">
        <v>119</v>
      </c>
      <c r="BL2277" s="120">
        <f t="shared" si="930"/>
        <v>40119</v>
      </c>
      <c r="BN2277" s="5" t="s">
        <v>3154</v>
      </c>
      <c r="BR2277" s="63"/>
    </row>
    <row r="2278" spans="1:70" hidden="1" outlineLevel="1">
      <c r="A2278" t="s">
        <v>483</v>
      </c>
      <c r="B2278" t="s">
        <v>2271</v>
      </c>
      <c r="C2278" s="1">
        <f t="shared" si="933"/>
        <v>17271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0</v>
      </c>
      <c r="G2278" s="132">
        <f t="shared" si="931"/>
        <v>9042</v>
      </c>
      <c r="H2278" s="137">
        <f t="shared" si="932"/>
        <v>0.52353656418273409</v>
      </c>
      <c r="I2278" s="2"/>
      <c r="J2278" s="2">
        <f t="shared" si="934"/>
        <v>0.21486885530658328</v>
      </c>
      <c r="K2278" s="2">
        <f t="shared" si="935"/>
        <v>0.73840541948931737</v>
      </c>
      <c r="L2278" s="2">
        <f t="shared" si="936"/>
        <v>0</v>
      </c>
      <c r="M2278" s="2">
        <f t="shared" si="937"/>
        <v>4.6725725204099344E-2</v>
      </c>
      <c r="N2278" s="63">
        <v>3711</v>
      </c>
      <c r="O2278" s="63">
        <v>12753</v>
      </c>
      <c r="P2278" s="63"/>
      <c r="Q2278" s="63">
        <v>807</v>
      </c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W2278" s="5">
        <f>IF(Q2278&gt;0,RANK(Q2278,(N2278:P2278,Q2278:AE2278)),0)</f>
        <v>3</v>
      </c>
      <c r="AX2278" s="5">
        <f>IF(R2278&gt;0,RANK(R2278,(N2278:P2278,Q2278:AE2278)),0)</f>
        <v>0</v>
      </c>
      <c r="AY2278" s="5">
        <f>IF(T2278&gt;0,RANK(T2278,(N2278:P2278,Q2278:AE2278)),0)</f>
        <v>0</v>
      </c>
      <c r="AZ2278" s="5">
        <f>IF(S2278&gt;0,RANK(S2278,(N2278:P2278,Q2278:AE2278)),0)</f>
        <v>0</v>
      </c>
      <c r="BA2278" s="2">
        <f t="shared" si="938"/>
        <v>4.6725725204099358E-2</v>
      </c>
      <c r="BB2278" s="2">
        <f t="shared" si="939"/>
        <v>0</v>
      </c>
      <c r="BC2278" s="2">
        <f t="shared" si="940"/>
        <v>0</v>
      </c>
      <c r="BD2278" s="2">
        <f t="shared" si="941"/>
        <v>0</v>
      </c>
      <c r="BF2278" t="s">
        <v>483</v>
      </c>
      <c r="BG2278" t="s">
        <v>2271</v>
      </c>
      <c r="BH2278" s="1">
        <v>2</v>
      </c>
      <c r="BJ2278" s="114">
        <v>40</v>
      </c>
      <c r="BK2278" s="116">
        <v>121</v>
      </c>
      <c r="BL2278" s="120">
        <f t="shared" si="930"/>
        <v>40121</v>
      </c>
      <c r="BN2278" s="5" t="s">
        <v>3154</v>
      </c>
      <c r="BR2278" s="63"/>
    </row>
    <row r="2279" spans="1:70" hidden="1" outlineLevel="1">
      <c r="A2279" t="s">
        <v>2996</v>
      </c>
      <c r="B2279" t="s">
        <v>2271</v>
      </c>
      <c r="C2279" s="1">
        <f t="shared" si="933"/>
        <v>14831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0</v>
      </c>
      <c r="G2279" s="132">
        <f t="shared" si="931"/>
        <v>6794</v>
      </c>
      <c r="H2279" s="137">
        <f t="shared" si="932"/>
        <v>0.45809453172409142</v>
      </c>
      <c r="I2279" s="2"/>
      <c r="J2279" s="2">
        <f t="shared" si="934"/>
        <v>0.24522958667655587</v>
      </c>
      <c r="K2279" s="2">
        <f t="shared" si="935"/>
        <v>0.70332411840064735</v>
      </c>
      <c r="L2279" s="2">
        <f t="shared" si="936"/>
        <v>0</v>
      </c>
      <c r="M2279" s="2">
        <f t="shared" si="937"/>
        <v>5.1446294922796731E-2</v>
      </c>
      <c r="N2279" s="63">
        <v>3637</v>
      </c>
      <c r="O2279" s="63">
        <v>10431</v>
      </c>
      <c r="P2279" s="63"/>
      <c r="Q2279" s="63">
        <v>763</v>
      </c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W2279" s="5">
        <f>IF(Q2279&gt;0,RANK(Q2279,(N2279:P2279,Q2279:AE2279)),0)</f>
        <v>3</v>
      </c>
      <c r="AX2279" s="5">
        <f>IF(R2279&gt;0,RANK(R2279,(N2279:P2279,Q2279:AE2279)),0)</f>
        <v>0</v>
      </c>
      <c r="AY2279" s="5">
        <f>IF(T2279&gt;0,RANK(T2279,(N2279:P2279,Q2279:AE2279)),0)</f>
        <v>0</v>
      </c>
      <c r="AZ2279" s="5">
        <f>IF(S2279&gt;0,RANK(S2279,(N2279:P2279,Q2279:AE2279)),0)</f>
        <v>0</v>
      </c>
      <c r="BA2279" s="2">
        <f t="shared" si="938"/>
        <v>5.1446294922796842E-2</v>
      </c>
      <c r="BB2279" s="2">
        <f t="shared" si="939"/>
        <v>0</v>
      </c>
      <c r="BC2279" s="2">
        <f t="shared" si="940"/>
        <v>0</v>
      </c>
      <c r="BD2279" s="2">
        <f t="shared" si="941"/>
        <v>0</v>
      </c>
      <c r="BF2279" t="s">
        <v>2996</v>
      </c>
      <c r="BG2279" t="s">
        <v>2271</v>
      </c>
      <c r="BH2279" s="1">
        <v>4</v>
      </c>
      <c r="BJ2279" s="114">
        <v>40</v>
      </c>
      <c r="BK2279" s="116">
        <v>123</v>
      </c>
      <c r="BL2279" s="120">
        <f t="shared" si="930"/>
        <v>40123</v>
      </c>
      <c r="BN2279" s="5" t="s">
        <v>3154</v>
      </c>
      <c r="BR2279" s="63"/>
    </row>
    <row r="2280" spans="1:70" hidden="1" outlineLevel="1">
      <c r="A2280" t="s">
        <v>2308</v>
      </c>
      <c r="B2280" t="s">
        <v>2271</v>
      </c>
      <c r="C2280" s="1">
        <f t="shared" si="933"/>
        <v>25452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0</v>
      </c>
      <c r="G2280" s="132">
        <f t="shared" si="931"/>
        <v>11833</v>
      </c>
      <c r="H2280" s="137">
        <f t="shared" si="932"/>
        <v>0.46491434857771491</v>
      </c>
      <c r="I2280" s="2"/>
      <c r="J2280" s="2">
        <f t="shared" si="934"/>
        <v>0.23632720414898634</v>
      </c>
      <c r="K2280" s="2">
        <f t="shared" si="935"/>
        <v>0.70124155272670119</v>
      </c>
      <c r="L2280" s="2">
        <f t="shared" si="936"/>
        <v>0</v>
      </c>
      <c r="M2280" s="2">
        <f t="shared" si="937"/>
        <v>6.2431243124312474E-2</v>
      </c>
      <c r="N2280" s="63">
        <v>6015</v>
      </c>
      <c r="O2280" s="63">
        <v>17848</v>
      </c>
      <c r="P2280" s="63"/>
      <c r="Q2280" s="63">
        <v>1589</v>
      </c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W2280" s="5">
        <f>IF(Q2280&gt;0,RANK(Q2280,(N2280:P2280,Q2280:AE2280)),0)</f>
        <v>3</v>
      </c>
      <c r="AX2280" s="5">
        <f>IF(R2280&gt;0,RANK(R2280,(N2280:P2280,Q2280:AE2280)),0)</f>
        <v>0</v>
      </c>
      <c r="AY2280" s="5">
        <f>IF(T2280&gt;0,RANK(T2280,(N2280:P2280,Q2280:AE2280)),0)</f>
        <v>0</v>
      </c>
      <c r="AZ2280" s="5">
        <f>IF(S2280&gt;0,RANK(S2280,(N2280:P2280,Q2280:AE2280)),0)</f>
        <v>0</v>
      </c>
      <c r="BA2280" s="2">
        <f t="shared" si="938"/>
        <v>6.2431243124312433E-2</v>
      </c>
      <c r="BB2280" s="2">
        <f t="shared" si="939"/>
        <v>0</v>
      </c>
      <c r="BC2280" s="2">
        <f t="shared" si="940"/>
        <v>0</v>
      </c>
      <c r="BD2280" s="2">
        <f t="shared" si="941"/>
        <v>0</v>
      </c>
      <c r="BF2280" t="s">
        <v>2308</v>
      </c>
      <c r="BG2280" t="s">
        <v>2271</v>
      </c>
      <c r="BH2280" s="1">
        <v>5</v>
      </c>
      <c r="BJ2280" s="114">
        <v>40</v>
      </c>
      <c r="BK2280" s="116">
        <v>125</v>
      </c>
      <c r="BL2280" s="120">
        <f t="shared" si="930"/>
        <v>40125</v>
      </c>
      <c r="BN2280" s="5" t="s">
        <v>3154</v>
      </c>
      <c r="BR2280" s="63"/>
    </row>
    <row r="2281" spans="1:70" hidden="1" outlineLevel="1">
      <c r="A2281" t="s">
        <v>2657</v>
      </c>
      <c r="B2281" t="s">
        <v>2271</v>
      </c>
      <c r="C2281" s="1">
        <f t="shared" si="933"/>
        <v>4483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0</v>
      </c>
      <c r="G2281" s="132">
        <f t="shared" si="931"/>
        <v>2833</v>
      </c>
      <c r="H2281" s="137">
        <f t="shared" si="932"/>
        <v>0.63194289538255632</v>
      </c>
      <c r="I2281" s="2"/>
      <c r="J2281" s="2">
        <f t="shared" si="934"/>
        <v>0.16685255409324112</v>
      </c>
      <c r="K2281" s="2">
        <f t="shared" si="935"/>
        <v>0.7987954494757975</v>
      </c>
      <c r="L2281" s="2">
        <f t="shared" si="936"/>
        <v>0</v>
      </c>
      <c r="M2281" s="2">
        <f t="shared" si="937"/>
        <v>3.4351996430961429E-2</v>
      </c>
      <c r="N2281" s="63">
        <v>748</v>
      </c>
      <c r="O2281" s="63">
        <v>3581</v>
      </c>
      <c r="P2281" s="63"/>
      <c r="Q2281" s="63">
        <v>154</v>
      </c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W2281" s="5">
        <f>IF(Q2281&gt;0,RANK(Q2281,(N2281:P2281,Q2281:AE2281)),0)</f>
        <v>3</v>
      </c>
      <c r="AX2281" s="5">
        <f>IF(R2281&gt;0,RANK(R2281,(N2281:P2281,Q2281:AE2281)),0)</f>
        <v>0</v>
      </c>
      <c r="AY2281" s="5">
        <f>IF(T2281&gt;0,RANK(T2281,(N2281:P2281,Q2281:AE2281)),0)</f>
        <v>0</v>
      </c>
      <c r="AZ2281" s="5">
        <f>IF(S2281&gt;0,RANK(S2281,(N2281:P2281,Q2281:AE2281)),0)</f>
        <v>0</v>
      </c>
      <c r="BA2281" s="2">
        <f t="shared" si="938"/>
        <v>3.4351996430961408E-2</v>
      </c>
      <c r="BB2281" s="2">
        <f t="shared" si="939"/>
        <v>0</v>
      </c>
      <c r="BC2281" s="2">
        <f t="shared" si="940"/>
        <v>0</v>
      </c>
      <c r="BD2281" s="2">
        <f t="shared" si="941"/>
        <v>0</v>
      </c>
      <c r="BF2281" t="s">
        <v>2657</v>
      </c>
      <c r="BG2281" t="s">
        <v>2271</v>
      </c>
      <c r="BH2281" s="1">
        <v>2</v>
      </c>
      <c r="BJ2281" s="114">
        <v>40</v>
      </c>
      <c r="BK2281" s="116">
        <v>127</v>
      </c>
      <c r="BL2281" s="120">
        <f t="shared" ref="BL2281:BL2344" si="942">1000*BJ2281+BK2281</f>
        <v>40127</v>
      </c>
      <c r="BN2281" s="5" t="s">
        <v>3154</v>
      </c>
      <c r="BR2281" s="63"/>
    </row>
    <row r="2282" spans="1:70" hidden="1" outlineLevel="1">
      <c r="A2282" t="s">
        <v>2775</v>
      </c>
      <c r="B2282" t="s">
        <v>2271</v>
      </c>
      <c r="C2282" s="1">
        <f t="shared" ref="C2282:C2295" si="943">SUM(N2282:AU2282)</f>
        <v>1759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0</v>
      </c>
      <c r="G2282" s="132">
        <f t="shared" si="931"/>
        <v>1396</v>
      </c>
      <c r="H2282" s="137">
        <f t="shared" si="932"/>
        <v>0.79363274587833998</v>
      </c>
      <c r="I2282" s="2"/>
      <c r="J2282" s="2">
        <f t="shared" ref="J2282:J2295" si="944">IF($C2282=0,"-",N2282/$C2282)</f>
        <v>8.5844229675952247E-2</v>
      </c>
      <c r="K2282" s="2">
        <f t="shared" ref="K2282:K2295" si="945">IF($C2282=0,"-",O2282/$C2282)</f>
        <v>0.87947697555429216</v>
      </c>
      <c r="L2282" s="2">
        <f t="shared" ref="L2282:L2295" si="946">IF($C2282=0,"-",P2282/$C2282)</f>
        <v>0</v>
      </c>
      <c r="M2282" s="2">
        <f t="shared" ref="M2282:M2295" si="947">IF(C2282=0,"-",(1-J2282-K2282-L2282))</f>
        <v>3.467879476975555E-2</v>
      </c>
      <c r="N2282" s="63">
        <v>151</v>
      </c>
      <c r="O2282" s="63">
        <v>1547</v>
      </c>
      <c r="P2282" s="63"/>
      <c r="Q2282" s="63">
        <v>61</v>
      </c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W2282" s="5">
        <f>IF(Q2282&gt;0,RANK(Q2282,(N2282:P2282,Q2282:AE2282)),0)</f>
        <v>3</v>
      </c>
      <c r="AX2282" s="5">
        <f>IF(R2282&gt;0,RANK(R2282,(N2282:P2282,Q2282:AE2282)),0)</f>
        <v>0</v>
      </c>
      <c r="AY2282" s="5">
        <f>IF(T2282&gt;0,RANK(T2282,(N2282:P2282,Q2282:AE2282)),0)</f>
        <v>0</v>
      </c>
      <c r="AZ2282" s="5">
        <f>IF(S2282&gt;0,RANK(S2282,(N2282:P2282,Q2282:AE2282)),0)</f>
        <v>0</v>
      </c>
      <c r="BA2282" s="2">
        <f t="shared" ref="BA2282:BA2295" si="948">IF($C2282=0,"-",Q2282/$C2282)</f>
        <v>3.4678794769755543E-2</v>
      </c>
      <c r="BB2282" s="2">
        <f t="shared" ref="BB2282:BB2295" si="949">IF($C2282=0,"-",R2282/$C2282)</f>
        <v>0</v>
      </c>
      <c r="BC2282" s="2">
        <f t="shared" ref="BC2282:BC2295" si="950">IF($C2282=0,"-",T2282/$C2282)</f>
        <v>0</v>
      </c>
      <c r="BD2282" s="2">
        <f t="shared" ref="BD2282:BD2295" si="951">IF($C2282=0,"-",S2282/$C2282)</f>
        <v>0</v>
      </c>
      <c r="BF2282" t="s">
        <v>2775</v>
      </c>
      <c r="BG2282" t="s">
        <v>2271</v>
      </c>
      <c r="BH2282" s="1">
        <v>3</v>
      </c>
      <c r="BJ2282" s="114">
        <v>40</v>
      </c>
      <c r="BK2282" s="116">
        <v>129</v>
      </c>
      <c r="BL2282" s="120">
        <f t="shared" si="942"/>
        <v>40129</v>
      </c>
      <c r="BN2282" s="5" t="s">
        <v>3154</v>
      </c>
      <c r="BR2282" s="63"/>
    </row>
    <row r="2283" spans="1:70" hidden="1" outlineLevel="1">
      <c r="A2283" t="s">
        <v>2776</v>
      </c>
      <c r="B2283" t="s">
        <v>2271</v>
      </c>
      <c r="C2283" s="1">
        <f t="shared" si="943"/>
        <v>40862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0</v>
      </c>
      <c r="G2283" s="132">
        <f t="shared" si="931"/>
        <v>23011</v>
      </c>
      <c r="H2283" s="137">
        <f t="shared" si="932"/>
        <v>0.56313934707062796</v>
      </c>
      <c r="I2283" s="2"/>
      <c r="J2283" s="2">
        <f t="shared" si="944"/>
        <v>0.19338260486515588</v>
      </c>
      <c r="K2283" s="2">
        <f t="shared" si="945"/>
        <v>0.75652195193578387</v>
      </c>
      <c r="L2283" s="2">
        <f t="shared" si="946"/>
        <v>0</v>
      </c>
      <c r="M2283" s="2">
        <f t="shared" si="947"/>
        <v>5.009544319906023E-2</v>
      </c>
      <c r="N2283" s="63">
        <v>7902</v>
      </c>
      <c r="O2283" s="63">
        <v>30913</v>
      </c>
      <c r="P2283" s="63"/>
      <c r="Q2283" s="63">
        <v>2047</v>
      </c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W2283" s="5">
        <f>IF(Q2283&gt;0,RANK(Q2283,(N2283:P2283,Q2283:AE2283)),0)</f>
        <v>3</v>
      </c>
      <c r="AX2283" s="5">
        <f>IF(R2283&gt;0,RANK(R2283,(N2283:P2283,Q2283:AE2283)),0)</f>
        <v>0</v>
      </c>
      <c r="AY2283" s="5">
        <f>IF(T2283&gt;0,RANK(T2283,(N2283:P2283,Q2283:AE2283)),0)</f>
        <v>0</v>
      </c>
      <c r="AZ2283" s="5">
        <f>IF(S2283&gt;0,RANK(S2283,(N2283:P2283,Q2283:AE2283)),0)</f>
        <v>0</v>
      </c>
      <c r="BA2283" s="2">
        <f t="shared" si="948"/>
        <v>5.0095443199060251E-2</v>
      </c>
      <c r="BB2283" s="2">
        <f t="shared" si="949"/>
        <v>0</v>
      </c>
      <c r="BC2283" s="2">
        <f t="shared" si="950"/>
        <v>0</v>
      </c>
      <c r="BD2283" s="2">
        <f t="shared" si="951"/>
        <v>0</v>
      </c>
      <c r="BF2283" t="s">
        <v>2776</v>
      </c>
      <c r="BG2283" t="s">
        <v>2271</v>
      </c>
      <c r="BH2283" s="1"/>
      <c r="BJ2283" s="114">
        <v>40</v>
      </c>
      <c r="BK2283" s="116">
        <v>131</v>
      </c>
      <c r="BL2283" s="120">
        <f t="shared" si="942"/>
        <v>40131</v>
      </c>
      <c r="BN2283" s="5" t="s">
        <v>3154</v>
      </c>
      <c r="BR2283" s="63"/>
    </row>
    <row r="2284" spans="1:70" hidden="1" outlineLevel="1">
      <c r="A2284" t="s">
        <v>851</v>
      </c>
      <c r="B2284" t="s">
        <v>2271</v>
      </c>
      <c r="C2284" s="1">
        <f t="shared" si="943"/>
        <v>8037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0</v>
      </c>
      <c r="G2284" s="132">
        <f t="shared" si="931"/>
        <v>3542</v>
      </c>
      <c r="H2284" s="137">
        <f t="shared" si="932"/>
        <v>0.4407117083488864</v>
      </c>
      <c r="I2284" s="2"/>
      <c r="J2284" s="2">
        <f t="shared" si="944"/>
        <v>0.25768321513002362</v>
      </c>
      <c r="K2284" s="2">
        <f t="shared" si="945"/>
        <v>0.69839492347891008</v>
      </c>
      <c r="L2284" s="2">
        <f t="shared" si="946"/>
        <v>0</v>
      </c>
      <c r="M2284" s="2">
        <f t="shared" si="947"/>
        <v>4.3921861391066241E-2</v>
      </c>
      <c r="N2284" s="63">
        <v>2071</v>
      </c>
      <c r="O2284" s="63">
        <v>5613</v>
      </c>
      <c r="P2284" s="63"/>
      <c r="Q2284" s="63">
        <v>353</v>
      </c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W2284" s="5">
        <f>IF(Q2284&gt;0,RANK(Q2284,(N2284:P2284,Q2284:AE2284)),0)</f>
        <v>3</v>
      </c>
      <c r="AX2284" s="5">
        <f>IF(R2284&gt;0,RANK(R2284,(N2284:P2284,Q2284:AE2284)),0)</f>
        <v>0</v>
      </c>
      <c r="AY2284" s="5">
        <f>IF(T2284&gt;0,RANK(T2284,(N2284:P2284,Q2284:AE2284)),0)</f>
        <v>0</v>
      </c>
      <c r="AZ2284" s="5">
        <f>IF(S2284&gt;0,RANK(S2284,(N2284:P2284,Q2284:AE2284)),0)</f>
        <v>0</v>
      </c>
      <c r="BA2284" s="2">
        <f t="shared" si="948"/>
        <v>4.3921861391066318E-2</v>
      </c>
      <c r="BB2284" s="2">
        <f t="shared" si="949"/>
        <v>0</v>
      </c>
      <c r="BC2284" s="2">
        <f t="shared" si="950"/>
        <v>0</v>
      </c>
      <c r="BD2284" s="2">
        <f t="shared" si="951"/>
        <v>0</v>
      </c>
      <c r="BF2284" t="s">
        <v>851</v>
      </c>
      <c r="BG2284" t="s">
        <v>2271</v>
      </c>
      <c r="BH2284" s="1">
        <v>5</v>
      </c>
      <c r="BJ2284" s="114">
        <v>40</v>
      </c>
      <c r="BK2284" s="116">
        <v>133</v>
      </c>
      <c r="BL2284" s="120">
        <f t="shared" si="942"/>
        <v>40133</v>
      </c>
      <c r="BN2284" s="5" t="s">
        <v>3154</v>
      </c>
      <c r="BR2284" s="63"/>
    </row>
    <row r="2285" spans="1:70" hidden="1" outlineLevel="1">
      <c r="A2285" t="s">
        <v>1046</v>
      </c>
      <c r="B2285" t="s">
        <v>2271</v>
      </c>
      <c r="C2285" s="1">
        <f t="shared" si="943"/>
        <v>14437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0</v>
      </c>
      <c r="G2285" s="132">
        <f t="shared" si="931"/>
        <v>7827</v>
      </c>
      <c r="H2285" s="137">
        <f t="shared" si="932"/>
        <v>0.54214864584054856</v>
      </c>
      <c r="I2285" s="2"/>
      <c r="J2285" s="2">
        <f t="shared" si="944"/>
        <v>0.2120246588626446</v>
      </c>
      <c r="K2285" s="2">
        <f t="shared" si="945"/>
        <v>0.75417330470319321</v>
      </c>
      <c r="L2285" s="2">
        <f t="shared" si="946"/>
        <v>0</v>
      </c>
      <c r="M2285" s="2">
        <f t="shared" si="947"/>
        <v>3.380203643416213E-2</v>
      </c>
      <c r="N2285" s="63">
        <v>3061</v>
      </c>
      <c r="O2285" s="63">
        <v>10888</v>
      </c>
      <c r="P2285" s="63"/>
      <c r="Q2285" s="63">
        <v>488</v>
      </c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W2285" s="5">
        <f>IF(Q2285&gt;0,RANK(Q2285,(N2285:P2285,Q2285:AE2285)),0)</f>
        <v>3</v>
      </c>
      <c r="AX2285" s="5">
        <f>IF(R2285&gt;0,RANK(R2285,(N2285:P2285,Q2285:AE2285)),0)</f>
        <v>0</v>
      </c>
      <c r="AY2285" s="5">
        <f>IF(T2285&gt;0,RANK(T2285,(N2285:P2285,Q2285:AE2285)),0)</f>
        <v>0</v>
      </c>
      <c r="AZ2285" s="5">
        <f>IF(S2285&gt;0,RANK(S2285,(N2285:P2285,Q2285:AE2285)),0)</f>
        <v>0</v>
      </c>
      <c r="BA2285" s="2">
        <f t="shared" si="948"/>
        <v>3.3802036434162221E-2</v>
      </c>
      <c r="BB2285" s="2">
        <f t="shared" si="949"/>
        <v>0</v>
      </c>
      <c r="BC2285" s="2">
        <f t="shared" si="950"/>
        <v>0</v>
      </c>
      <c r="BD2285" s="2">
        <f t="shared" si="951"/>
        <v>0</v>
      </c>
      <c r="BF2285" t="s">
        <v>1046</v>
      </c>
      <c r="BG2285" t="s">
        <v>2271</v>
      </c>
      <c r="BH2285" s="1">
        <v>2</v>
      </c>
      <c r="BJ2285" s="114">
        <v>40</v>
      </c>
      <c r="BK2285" s="116">
        <v>135</v>
      </c>
      <c r="BL2285" s="120">
        <f t="shared" si="942"/>
        <v>40135</v>
      </c>
      <c r="BN2285" s="5" t="s">
        <v>3154</v>
      </c>
      <c r="BR2285" s="63"/>
    </row>
    <row r="2286" spans="1:70" hidden="1" outlineLevel="1">
      <c r="A2286" t="s">
        <v>86</v>
      </c>
      <c r="B2286" t="s">
        <v>2271</v>
      </c>
      <c r="C2286" s="1">
        <f t="shared" si="943"/>
        <v>17904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0</v>
      </c>
      <c r="G2286" s="132">
        <f t="shared" si="931"/>
        <v>11096</v>
      </c>
      <c r="H2286" s="137">
        <f t="shared" si="932"/>
        <v>0.61974977658623776</v>
      </c>
      <c r="I2286" s="2"/>
      <c r="J2286" s="2">
        <f t="shared" si="944"/>
        <v>0.17236371760500446</v>
      </c>
      <c r="K2286" s="2">
        <f t="shared" si="945"/>
        <v>0.79211349419124222</v>
      </c>
      <c r="L2286" s="2">
        <f t="shared" si="946"/>
        <v>0</v>
      </c>
      <c r="M2286" s="2">
        <f t="shared" si="947"/>
        <v>3.5522788203753319E-2</v>
      </c>
      <c r="N2286" s="63">
        <v>3086</v>
      </c>
      <c r="O2286" s="63">
        <v>14182</v>
      </c>
      <c r="P2286" s="63"/>
      <c r="Q2286" s="63">
        <v>636</v>
      </c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W2286" s="5">
        <f>IF(Q2286&gt;0,RANK(Q2286,(N2286:P2286,Q2286:AE2286)),0)</f>
        <v>3</v>
      </c>
      <c r="AX2286" s="5">
        <f>IF(R2286&gt;0,RANK(R2286,(N2286:P2286,Q2286:AE2286)),0)</f>
        <v>0</v>
      </c>
      <c r="AY2286" s="5">
        <f>IF(T2286&gt;0,RANK(T2286,(N2286:P2286,Q2286:AE2286)),0)</f>
        <v>0</v>
      </c>
      <c r="AZ2286" s="5">
        <f>IF(S2286&gt;0,RANK(S2286,(N2286:P2286,Q2286:AE2286)),0)</f>
        <v>0</v>
      </c>
      <c r="BA2286" s="2">
        <f t="shared" si="948"/>
        <v>3.5522788203753354E-2</v>
      </c>
      <c r="BB2286" s="2">
        <f t="shared" si="949"/>
        <v>0</v>
      </c>
      <c r="BC2286" s="2">
        <f t="shared" si="950"/>
        <v>0</v>
      </c>
      <c r="BD2286" s="2">
        <f t="shared" si="951"/>
        <v>0</v>
      </c>
      <c r="BF2286" t="s">
        <v>86</v>
      </c>
      <c r="BG2286" t="s">
        <v>2271</v>
      </c>
      <c r="BH2286" s="1">
        <v>4</v>
      </c>
      <c r="BJ2286" s="114">
        <v>40</v>
      </c>
      <c r="BK2286" s="116">
        <v>137</v>
      </c>
      <c r="BL2286" s="120">
        <f t="shared" si="942"/>
        <v>40137</v>
      </c>
      <c r="BN2286" s="5" t="s">
        <v>3154</v>
      </c>
      <c r="BR2286" s="63"/>
    </row>
    <row r="2287" spans="1:70" hidden="1" outlineLevel="1">
      <c r="A2287" t="s">
        <v>492</v>
      </c>
      <c r="B2287" t="s">
        <v>2271</v>
      </c>
      <c r="C2287" s="1">
        <f t="shared" si="943"/>
        <v>5780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0</v>
      </c>
      <c r="G2287" s="132">
        <f t="shared" si="931"/>
        <v>3763</v>
      </c>
      <c r="H2287" s="137">
        <f t="shared" si="932"/>
        <v>0.65103806228373706</v>
      </c>
      <c r="I2287" s="2"/>
      <c r="J2287" s="2">
        <f t="shared" si="944"/>
        <v>0.14844290657439446</v>
      </c>
      <c r="K2287" s="2">
        <f t="shared" si="945"/>
        <v>0.79948096885813147</v>
      </c>
      <c r="L2287" s="2">
        <f t="shared" si="946"/>
        <v>0</v>
      </c>
      <c r="M2287" s="2">
        <f t="shared" si="947"/>
        <v>5.2076124567474125E-2</v>
      </c>
      <c r="N2287" s="63">
        <v>858</v>
      </c>
      <c r="O2287" s="63">
        <v>4621</v>
      </c>
      <c r="P2287" s="63"/>
      <c r="Q2287" s="63">
        <v>301</v>
      </c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W2287" s="5">
        <f>IF(Q2287&gt;0,RANK(Q2287,(N2287:P2287,Q2287:AE2287)),0)</f>
        <v>3</v>
      </c>
      <c r="AX2287" s="5">
        <f>IF(R2287&gt;0,RANK(R2287,(N2287:P2287,Q2287:AE2287)),0)</f>
        <v>0</v>
      </c>
      <c r="AY2287" s="5">
        <f>IF(T2287&gt;0,RANK(T2287,(N2287:P2287,Q2287:AE2287)),0)</f>
        <v>0</v>
      </c>
      <c r="AZ2287" s="5">
        <f>IF(S2287&gt;0,RANK(S2287,(N2287:P2287,Q2287:AE2287)),0)</f>
        <v>0</v>
      </c>
      <c r="BA2287" s="2">
        <f t="shared" si="948"/>
        <v>5.2076124567474048E-2</v>
      </c>
      <c r="BB2287" s="2">
        <f t="shared" si="949"/>
        <v>0</v>
      </c>
      <c r="BC2287" s="2">
        <f t="shared" si="950"/>
        <v>0</v>
      </c>
      <c r="BD2287" s="2">
        <f t="shared" si="951"/>
        <v>0</v>
      </c>
      <c r="BF2287" t="s">
        <v>492</v>
      </c>
      <c r="BG2287" t="s">
        <v>2271</v>
      </c>
      <c r="BH2287" s="1">
        <v>3</v>
      </c>
      <c r="BJ2287" s="114">
        <v>40</v>
      </c>
      <c r="BK2287" s="116">
        <v>139</v>
      </c>
      <c r="BL2287" s="120">
        <f t="shared" si="942"/>
        <v>40139</v>
      </c>
      <c r="BN2287" s="5" t="s">
        <v>3154</v>
      </c>
      <c r="BR2287" s="63"/>
    </row>
    <row r="2288" spans="1:70" hidden="1" outlineLevel="1">
      <c r="A2288" t="s">
        <v>2161</v>
      </c>
      <c r="B2288" t="s">
        <v>2271</v>
      </c>
      <c r="C2288" s="1">
        <f t="shared" si="943"/>
        <v>2706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0</v>
      </c>
      <c r="G2288" s="132">
        <f t="shared" si="931"/>
        <v>1287</v>
      </c>
      <c r="H2288" s="137">
        <f t="shared" si="932"/>
        <v>0.47560975609756095</v>
      </c>
      <c r="I2288" s="2"/>
      <c r="J2288" s="2">
        <f t="shared" si="944"/>
        <v>0.24279379157427938</v>
      </c>
      <c r="K2288" s="2">
        <f t="shared" si="945"/>
        <v>0.71840354767184034</v>
      </c>
      <c r="L2288" s="2">
        <f t="shared" si="946"/>
        <v>0</v>
      </c>
      <c r="M2288" s="2">
        <f t="shared" si="947"/>
        <v>3.880266075388028E-2</v>
      </c>
      <c r="N2288" s="63">
        <v>657</v>
      </c>
      <c r="O2288" s="63">
        <v>1944</v>
      </c>
      <c r="P2288" s="63"/>
      <c r="Q2288" s="63">
        <v>105</v>
      </c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W2288" s="5">
        <f>IF(Q2288&gt;0,RANK(Q2288,(N2288:P2288,Q2288:AE2288)),0)</f>
        <v>3</v>
      </c>
      <c r="AX2288" s="5">
        <f>IF(R2288&gt;0,RANK(R2288,(N2288:P2288,Q2288:AE2288)),0)</f>
        <v>0</v>
      </c>
      <c r="AY2288" s="5">
        <f>IF(T2288&gt;0,RANK(T2288,(N2288:P2288,Q2288:AE2288)),0)</f>
        <v>0</v>
      </c>
      <c r="AZ2288" s="5">
        <f>IF(S2288&gt;0,RANK(S2288,(N2288:P2288,Q2288:AE2288)),0)</f>
        <v>0</v>
      </c>
      <c r="BA2288" s="2">
        <f t="shared" si="948"/>
        <v>3.8802660753880266E-2</v>
      </c>
      <c r="BB2288" s="2">
        <f t="shared" si="949"/>
        <v>0</v>
      </c>
      <c r="BC2288" s="2">
        <f t="shared" si="950"/>
        <v>0</v>
      </c>
      <c r="BD2288" s="2">
        <f t="shared" si="951"/>
        <v>0</v>
      </c>
      <c r="BF2288" t="s">
        <v>2161</v>
      </c>
      <c r="BG2288" t="s">
        <v>2271</v>
      </c>
      <c r="BH2288" s="1">
        <v>4</v>
      </c>
      <c r="BJ2288" s="114">
        <v>40</v>
      </c>
      <c r="BK2288" s="116">
        <v>141</v>
      </c>
      <c r="BL2288" s="120">
        <f t="shared" si="942"/>
        <v>40141</v>
      </c>
      <c r="BN2288" s="5" t="s">
        <v>3154</v>
      </c>
      <c r="BR2288" s="63"/>
    </row>
    <row r="2289" spans="1:79" hidden="1" outlineLevel="1">
      <c r="A2289" t="s">
        <v>2591</v>
      </c>
      <c r="B2289" t="s">
        <v>2271</v>
      </c>
      <c r="C2289" s="1">
        <f t="shared" si="943"/>
        <v>247054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0</v>
      </c>
      <c r="G2289" s="132">
        <f t="shared" si="931"/>
        <v>56411</v>
      </c>
      <c r="H2289" s="137">
        <f t="shared" si="932"/>
        <v>0.2283346960583516</v>
      </c>
      <c r="I2289" s="2"/>
      <c r="J2289" s="2">
        <f t="shared" si="944"/>
        <v>0.35557813271592448</v>
      </c>
      <c r="K2289" s="2">
        <f t="shared" si="945"/>
        <v>0.58391282877427608</v>
      </c>
      <c r="L2289" s="2">
        <f t="shared" si="946"/>
        <v>0</v>
      </c>
      <c r="M2289" s="2">
        <f t="shared" si="947"/>
        <v>6.0509038509799495E-2</v>
      </c>
      <c r="N2289" s="63">
        <v>87847</v>
      </c>
      <c r="O2289" s="63">
        <v>144258</v>
      </c>
      <c r="P2289" s="63"/>
      <c r="Q2289" s="63">
        <v>14949</v>
      </c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W2289" s="5">
        <f>IF(Q2289&gt;0,RANK(Q2289,(N2289:P2289,Q2289:AE2289)),0)</f>
        <v>3</v>
      </c>
      <c r="AX2289" s="5">
        <f>IF(R2289&gt;0,RANK(R2289,(N2289:P2289,Q2289:AE2289)),0)</f>
        <v>0</v>
      </c>
      <c r="AY2289" s="5">
        <f>IF(T2289&gt;0,RANK(T2289,(N2289:P2289,Q2289:AE2289)),0)</f>
        <v>0</v>
      </c>
      <c r="AZ2289" s="5">
        <f>IF(S2289&gt;0,RANK(S2289,(N2289:P2289,Q2289:AE2289)),0)</f>
        <v>0</v>
      </c>
      <c r="BA2289" s="2">
        <f t="shared" si="948"/>
        <v>6.0509038509799475E-2</v>
      </c>
      <c r="BB2289" s="2">
        <f t="shared" si="949"/>
        <v>0</v>
      </c>
      <c r="BC2289" s="2">
        <f t="shared" si="950"/>
        <v>0</v>
      </c>
      <c r="BD2289" s="2">
        <f t="shared" si="951"/>
        <v>0</v>
      </c>
      <c r="BF2289" t="s">
        <v>2591</v>
      </c>
      <c r="BG2289" t="s">
        <v>2271</v>
      </c>
      <c r="BH2289" s="1">
        <v>1</v>
      </c>
      <c r="BJ2289" s="114">
        <v>40</v>
      </c>
      <c r="BK2289" s="116">
        <v>143</v>
      </c>
      <c r="BL2289" s="120">
        <f t="shared" si="942"/>
        <v>40143</v>
      </c>
      <c r="BN2289" s="5" t="s">
        <v>3154</v>
      </c>
      <c r="BR2289" s="63"/>
    </row>
    <row r="2290" spans="1:79" hidden="1" outlineLevel="1">
      <c r="A2290" t="s">
        <v>2592</v>
      </c>
      <c r="B2290" t="s">
        <v>2271</v>
      </c>
      <c r="C2290" s="1">
        <f t="shared" si="943"/>
        <v>31300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0</v>
      </c>
      <c r="G2290" s="132">
        <f t="shared" si="931"/>
        <v>16282</v>
      </c>
      <c r="H2290" s="137">
        <f t="shared" si="932"/>
        <v>0.52019169329073478</v>
      </c>
      <c r="I2290" s="2"/>
      <c r="J2290" s="2">
        <f t="shared" si="944"/>
        <v>0.21479233226837061</v>
      </c>
      <c r="K2290" s="2">
        <f t="shared" si="945"/>
        <v>0.73498402555910547</v>
      </c>
      <c r="L2290" s="2">
        <f t="shared" si="946"/>
        <v>0</v>
      </c>
      <c r="M2290" s="2">
        <f t="shared" si="947"/>
        <v>5.0223642172523952E-2</v>
      </c>
      <c r="N2290" s="63">
        <v>6723</v>
      </c>
      <c r="O2290" s="63">
        <v>23005</v>
      </c>
      <c r="P2290" s="63"/>
      <c r="Q2290" s="63">
        <v>1572</v>
      </c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W2290" s="5">
        <f>IF(Q2290&gt;0,RANK(Q2290,(N2290:P2290,Q2290:AE2290)),0)</f>
        <v>3</v>
      </c>
      <c r="AX2290" s="5">
        <f>IF(R2290&gt;0,RANK(R2290,(N2290:P2290,Q2290:AE2290)),0)</f>
        <v>0</v>
      </c>
      <c r="AY2290" s="5">
        <f>IF(T2290&gt;0,RANK(T2290,(N2290:P2290,Q2290:AE2290)),0)</f>
        <v>0</v>
      </c>
      <c r="AZ2290" s="5">
        <f>IF(S2290&gt;0,RANK(S2290,(N2290:P2290,Q2290:AE2290)),0)</f>
        <v>0</v>
      </c>
      <c r="BA2290" s="2">
        <f t="shared" si="948"/>
        <v>5.0223642172523959E-2</v>
      </c>
      <c r="BB2290" s="2">
        <f t="shared" si="949"/>
        <v>0</v>
      </c>
      <c r="BC2290" s="2">
        <f t="shared" si="950"/>
        <v>0</v>
      </c>
      <c r="BD2290" s="2">
        <f t="shared" si="951"/>
        <v>0</v>
      </c>
      <c r="BF2290" t="s">
        <v>2592</v>
      </c>
      <c r="BG2290" t="s">
        <v>2271</v>
      </c>
      <c r="BH2290" s="1">
        <v>1</v>
      </c>
      <c r="BJ2290" s="114">
        <v>40</v>
      </c>
      <c r="BK2290" s="116">
        <v>145</v>
      </c>
      <c r="BL2290" s="120">
        <f t="shared" si="942"/>
        <v>40145</v>
      </c>
      <c r="BN2290" s="5" t="s">
        <v>3154</v>
      </c>
      <c r="BR2290" s="63"/>
    </row>
    <row r="2291" spans="1:79" hidden="1" outlineLevel="1">
      <c r="A2291" t="s">
        <v>692</v>
      </c>
      <c r="B2291" t="s">
        <v>2271</v>
      </c>
      <c r="C2291" s="1">
        <f t="shared" si="943"/>
        <v>22224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0</v>
      </c>
      <c r="G2291" s="132">
        <f t="shared" si="931"/>
        <v>10777</v>
      </c>
      <c r="H2291" s="137">
        <f t="shared" si="932"/>
        <v>0.4849262059035277</v>
      </c>
      <c r="I2291" s="2"/>
      <c r="J2291" s="2">
        <f t="shared" si="944"/>
        <v>0.22714182865370772</v>
      </c>
      <c r="K2291" s="2">
        <f t="shared" si="945"/>
        <v>0.71206803455723544</v>
      </c>
      <c r="L2291" s="2">
        <f t="shared" si="946"/>
        <v>0</v>
      </c>
      <c r="M2291" s="2">
        <f t="shared" si="947"/>
        <v>6.079013678905687E-2</v>
      </c>
      <c r="N2291" s="63">
        <v>5048</v>
      </c>
      <c r="O2291" s="63">
        <v>15825</v>
      </c>
      <c r="P2291" s="63"/>
      <c r="Q2291" s="63">
        <v>1351</v>
      </c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W2291" s="5">
        <f>IF(Q2291&gt;0,RANK(Q2291,(N2291:P2291,Q2291:AE2291)),0)</f>
        <v>3</v>
      </c>
      <c r="AX2291" s="5">
        <f>IF(R2291&gt;0,RANK(R2291,(N2291:P2291,Q2291:AE2291)),0)</f>
        <v>0</v>
      </c>
      <c r="AY2291" s="5">
        <f>IF(T2291&gt;0,RANK(T2291,(N2291:P2291,Q2291:AE2291)),0)</f>
        <v>0</v>
      </c>
      <c r="AZ2291" s="5">
        <f>IF(S2291&gt;0,RANK(S2291,(N2291:P2291,Q2291:AE2291)),0)</f>
        <v>0</v>
      </c>
      <c r="BA2291" s="2">
        <f t="shared" si="948"/>
        <v>6.0790136789056877E-2</v>
      </c>
      <c r="BB2291" s="2">
        <f t="shared" si="949"/>
        <v>0</v>
      </c>
      <c r="BC2291" s="2">
        <f t="shared" si="950"/>
        <v>0</v>
      </c>
      <c r="BD2291" s="2">
        <f t="shared" si="951"/>
        <v>0</v>
      </c>
      <c r="BF2291" t="s">
        <v>692</v>
      </c>
      <c r="BG2291" t="s">
        <v>2271</v>
      </c>
      <c r="BH2291" s="1">
        <v>1</v>
      </c>
      <c r="BJ2291" s="114">
        <v>40</v>
      </c>
      <c r="BK2291" s="116">
        <v>147</v>
      </c>
      <c r="BL2291" s="120">
        <f t="shared" si="942"/>
        <v>40147</v>
      </c>
      <c r="BN2291" s="5" t="s">
        <v>3154</v>
      </c>
      <c r="BR2291" s="63"/>
    </row>
    <row r="2292" spans="1:79" hidden="1" outlineLevel="1">
      <c r="A2292" t="s">
        <v>3044</v>
      </c>
      <c r="B2292" t="s">
        <v>2271</v>
      </c>
      <c r="C2292" s="1">
        <f t="shared" si="943"/>
        <v>4631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0</v>
      </c>
      <c r="G2292" s="132">
        <f t="shared" si="931"/>
        <v>3266</v>
      </c>
      <c r="H2292" s="137">
        <f t="shared" si="932"/>
        <v>0.70524724681494277</v>
      </c>
      <c r="I2292" s="2"/>
      <c r="J2292" s="2">
        <f t="shared" si="944"/>
        <v>0.12697041675664003</v>
      </c>
      <c r="K2292" s="2">
        <f t="shared" si="945"/>
        <v>0.83221766357158278</v>
      </c>
      <c r="L2292" s="2">
        <f t="shared" si="946"/>
        <v>0</v>
      </c>
      <c r="M2292" s="2">
        <f t="shared" si="947"/>
        <v>4.0811919671777219E-2</v>
      </c>
      <c r="N2292" s="63">
        <v>588</v>
      </c>
      <c r="O2292" s="63">
        <v>3854</v>
      </c>
      <c r="P2292" s="63"/>
      <c r="Q2292" s="63">
        <v>189</v>
      </c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W2292" s="5">
        <f>IF(Q2292&gt;0,RANK(Q2292,(N2292:P2292,Q2292:AE2292)),0)</f>
        <v>3</v>
      </c>
      <c r="AX2292" s="5">
        <f>IF(R2292&gt;0,RANK(R2292,(N2292:P2292,Q2292:AE2292)),0)</f>
        <v>0</v>
      </c>
      <c r="AY2292" s="5">
        <f>IF(T2292&gt;0,RANK(T2292,(N2292:P2292,Q2292:AE2292)),0)</f>
        <v>0</v>
      </c>
      <c r="AZ2292" s="5">
        <f>IF(S2292&gt;0,RANK(S2292,(N2292:P2292,Q2292:AE2292)),0)</f>
        <v>0</v>
      </c>
      <c r="BA2292" s="2">
        <f t="shared" si="948"/>
        <v>4.0811919671777157E-2</v>
      </c>
      <c r="BB2292" s="2">
        <f t="shared" si="949"/>
        <v>0</v>
      </c>
      <c r="BC2292" s="2">
        <f t="shared" si="950"/>
        <v>0</v>
      </c>
      <c r="BD2292" s="2">
        <f t="shared" si="951"/>
        <v>0</v>
      </c>
      <c r="BF2292" t="s">
        <v>3044</v>
      </c>
      <c r="BG2292" t="s">
        <v>2271</v>
      </c>
      <c r="BH2292" s="1">
        <v>3</v>
      </c>
      <c r="BJ2292" s="114">
        <v>40</v>
      </c>
      <c r="BK2292" s="116">
        <v>149</v>
      </c>
      <c r="BL2292" s="120">
        <f t="shared" si="942"/>
        <v>40149</v>
      </c>
      <c r="BN2292" s="5" t="s">
        <v>3154</v>
      </c>
      <c r="BR2292" s="63"/>
    </row>
    <row r="2293" spans="1:79" hidden="1" outlineLevel="1">
      <c r="A2293" t="s">
        <v>1055</v>
      </c>
      <c r="B2293" t="s">
        <v>2271</v>
      </c>
      <c r="C2293" s="1">
        <f t="shared" si="943"/>
        <v>3668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0</v>
      </c>
      <c r="G2293" s="132">
        <f t="shared" si="931"/>
        <v>2425</v>
      </c>
      <c r="H2293" s="137">
        <f t="shared" si="932"/>
        <v>0.66112322791712108</v>
      </c>
      <c r="I2293" s="2"/>
      <c r="J2293" s="2">
        <f t="shared" si="944"/>
        <v>0.14231188658669575</v>
      </c>
      <c r="K2293" s="2">
        <f t="shared" si="945"/>
        <v>0.80343511450381677</v>
      </c>
      <c r="L2293" s="2">
        <f t="shared" si="946"/>
        <v>0</v>
      </c>
      <c r="M2293" s="2">
        <f t="shared" si="947"/>
        <v>5.4252998909487538E-2</v>
      </c>
      <c r="N2293" s="63">
        <v>522</v>
      </c>
      <c r="O2293" s="63">
        <v>2947</v>
      </c>
      <c r="P2293" s="63"/>
      <c r="Q2293" s="63">
        <v>199</v>
      </c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W2293" s="5">
        <f>IF(Q2293&gt;0,RANK(Q2293,(N2293:P2293,Q2293:AE2293)),0)</f>
        <v>3</v>
      </c>
      <c r="AX2293" s="5">
        <f>IF(R2293&gt;0,RANK(R2293,(N2293:P2293,Q2293:AE2293)),0)</f>
        <v>0</v>
      </c>
      <c r="AY2293" s="5">
        <f>IF(T2293&gt;0,RANK(T2293,(N2293:P2293,Q2293:AE2293)),0)</f>
        <v>0</v>
      </c>
      <c r="AZ2293" s="5">
        <f>IF(S2293&gt;0,RANK(S2293,(N2293:P2293,Q2293:AE2293)),0)</f>
        <v>0</v>
      </c>
      <c r="BA2293" s="2">
        <f t="shared" si="948"/>
        <v>5.4252998909487461E-2</v>
      </c>
      <c r="BB2293" s="2">
        <f t="shared" si="949"/>
        <v>0</v>
      </c>
      <c r="BC2293" s="2">
        <f t="shared" si="950"/>
        <v>0</v>
      </c>
      <c r="BD2293" s="2">
        <f t="shared" si="951"/>
        <v>0</v>
      </c>
      <c r="BF2293" t="s">
        <v>1055</v>
      </c>
      <c r="BG2293" t="s">
        <v>2271</v>
      </c>
      <c r="BH2293" s="1">
        <v>3</v>
      </c>
      <c r="BJ2293" s="114">
        <v>40</v>
      </c>
      <c r="BK2293" s="116">
        <v>151</v>
      </c>
      <c r="BL2293" s="120">
        <f t="shared" si="942"/>
        <v>40151</v>
      </c>
      <c r="BN2293" s="5" t="s">
        <v>3154</v>
      </c>
      <c r="BR2293" s="63"/>
    </row>
    <row r="2294" spans="1:79" hidden="1" outlineLevel="1">
      <c r="A2294" t="s">
        <v>393</v>
      </c>
      <c r="B2294" t="s">
        <v>2271</v>
      </c>
      <c r="C2294" s="1">
        <f t="shared" si="943"/>
        <v>7595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0</v>
      </c>
      <c r="G2294" s="132">
        <f t="shared" si="931"/>
        <v>5474</v>
      </c>
      <c r="H2294" s="137">
        <f t="shared" si="932"/>
        <v>0.72073732718894012</v>
      </c>
      <c r="I2294" s="2"/>
      <c r="J2294" s="2">
        <f t="shared" si="944"/>
        <v>0.11494404213298222</v>
      </c>
      <c r="K2294" s="2">
        <f t="shared" si="945"/>
        <v>0.83568136932192227</v>
      </c>
      <c r="L2294" s="2">
        <f t="shared" si="946"/>
        <v>0</v>
      </c>
      <c r="M2294" s="2">
        <f t="shared" si="947"/>
        <v>4.9374588545095466E-2</v>
      </c>
      <c r="N2294" s="63">
        <v>873</v>
      </c>
      <c r="O2294" s="63">
        <v>6347</v>
      </c>
      <c r="P2294" s="63"/>
      <c r="Q2294" s="63">
        <v>375</v>
      </c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W2294" s="5">
        <f>IF(Q2294&gt;0,RANK(Q2294,(N2294:P2294,Q2294:AE2294)),0)</f>
        <v>3</v>
      </c>
      <c r="AX2294" s="5">
        <f>IF(R2294&gt;0,RANK(R2294,(N2294:P2294,Q2294:AE2294)),0)</f>
        <v>0</v>
      </c>
      <c r="AY2294" s="5">
        <f>IF(T2294&gt;0,RANK(T2294,(N2294:P2294,Q2294:AE2294)),0)</f>
        <v>0</v>
      </c>
      <c r="AZ2294" s="5">
        <f>IF(S2294&gt;0,RANK(S2294,(N2294:P2294,Q2294:AE2294)),0)</f>
        <v>0</v>
      </c>
      <c r="BA2294" s="2">
        <f t="shared" si="948"/>
        <v>4.9374588545095459E-2</v>
      </c>
      <c r="BB2294" s="2">
        <f t="shared" si="949"/>
        <v>0</v>
      </c>
      <c r="BC2294" s="2">
        <f t="shared" si="950"/>
        <v>0</v>
      </c>
      <c r="BD2294" s="2">
        <f t="shared" si="951"/>
        <v>0</v>
      </c>
      <c r="BF2294" t="s">
        <v>393</v>
      </c>
      <c r="BG2294" t="s">
        <v>2271</v>
      </c>
      <c r="BH2294" s="1">
        <v>3</v>
      </c>
      <c r="BJ2294" s="114">
        <v>40</v>
      </c>
      <c r="BK2294" s="116">
        <v>153</v>
      </c>
      <c r="BL2294" s="120">
        <f t="shared" si="942"/>
        <v>40153</v>
      </c>
      <c r="BN2294" s="5" t="s">
        <v>3154</v>
      </c>
      <c r="BR2294" s="63"/>
    </row>
    <row r="2295" spans="1:79" collapsed="1">
      <c r="A2295" t="s">
        <v>1272</v>
      </c>
      <c r="B2295" t="s">
        <v>544</v>
      </c>
      <c r="C2295" s="1">
        <f t="shared" si="943"/>
        <v>1452992</v>
      </c>
      <c r="D2295" s="5">
        <f>IF(N2295&gt;0, RANK(N2295,(N2295:P2295,Q2295:AE2295)),0)</f>
        <v>2</v>
      </c>
      <c r="E2295" s="5">
        <f>IF(O2295&gt;0,RANK(O2295,(N2295:P2295,Q2295:AE2295)),0)</f>
        <v>1</v>
      </c>
      <c r="F2295" s="5">
        <f>IF(P2295&gt;0,RANK(P2295,(N2295:P2295,Q2295:AE2295)),0)</f>
        <v>0</v>
      </c>
      <c r="G2295" s="132">
        <f t="shared" si="931"/>
        <v>528761</v>
      </c>
      <c r="H2295" s="137">
        <f t="shared" si="932"/>
        <v>0.36391184535083471</v>
      </c>
      <c r="I2295" s="2"/>
      <c r="J2295" s="2">
        <f t="shared" si="944"/>
        <v>0.28931680284543893</v>
      </c>
      <c r="K2295" s="2">
        <f t="shared" si="945"/>
        <v>0.65322864819627358</v>
      </c>
      <c r="L2295" s="2">
        <f t="shared" si="946"/>
        <v>0</v>
      </c>
      <c r="M2295" s="2">
        <f t="shared" si="947"/>
        <v>5.7454548958287499E-2</v>
      </c>
      <c r="N2295" s="63">
        <f>SUM(N2218:N2294)</f>
        <v>420375</v>
      </c>
      <c r="O2295" s="63">
        <f>SUM(O2218:O2294)</f>
        <v>949136</v>
      </c>
      <c r="P2295" s="63"/>
      <c r="Q2295" s="63">
        <f>SUM(Q2218:Q2294)</f>
        <v>83481</v>
      </c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W2295" s="5">
        <f>IF(Q2295&gt;0,RANK(Q2295,(N2295:P2295,Q2295:AE2295)),0)</f>
        <v>3</v>
      </c>
      <c r="AX2295" s="5">
        <f>IF(R2295&gt;0,RANK(R2295,(N2295:P2295,Q2295:AE2295)),0)</f>
        <v>0</v>
      </c>
      <c r="AY2295" s="5">
        <f>IF(T2295&gt;0,RANK(T2295,(N2295:P2295,Q2295:AE2295)),0)</f>
        <v>0</v>
      </c>
      <c r="AZ2295" s="5">
        <f>IF(S2295&gt;0,RANK(S2295,(N2295:P2295,Q2295:AE2295)),0)</f>
        <v>0</v>
      </c>
      <c r="BA2295" s="2">
        <f t="shared" si="948"/>
        <v>5.7454548958287451E-2</v>
      </c>
      <c r="BB2295" s="2">
        <f t="shared" si="949"/>
        <v>0</v>
      </c>
      <c r="BC2295" s="2">
        <f t="shared" si="950"/>
        <v>0</v>
      </c>
      <c r="BD2295" s="2">
        <f t="shared" si="951"/>
        <v>0</v>
      </c>
      <c r="BF2295" t="s">
        <v>1272</v>
      </c>
      <c r="BG2295" t="s">
        <v>544</v>
      </c>
      <c r="BJ2295" s="114">
        <v>40</v>
      </c>
      <c r="BK2295" s="116"/>
      <c r="BL2295" s="114">
        <v>40</v>
      </c>
      <c r="BN2295" s="5" t="s">
        <v>711</v>
      </c>
      <c r="BO2295" s="63">
        <f>SUM(BO2218:BO2294)</f>
        <v>0</v>
      </c>
      <c r="BP2295" s="63">
        <f>SUM(BP2218:BP2294)</f>
        <v>0</v>
      </c>
      <c r="BQ2295" s="63">
        <f>SUM(BQ2218:BQ2294)</f>
        <v>0</v>
      </c>
      <c r="BR2295" s="63"/>
    </row>
    <row r="2296" spans="1:79">
      <c r="C2296" s="1"/>
      <c r="E2296" s="5"/>
      <c r="F2296" s="5"/>
      <c r="G2296" s="132"/>
      <c r="H2296" s="137"/>
      <c r="I2296" s="2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W2296" s="5"/>
      <c r="AX2296" s="5"/>
      <c r="AY2296" s="5"/>
      <c r="AZ2296" s="5"/>
      <c r="BJ2296" s="114"/>
      <c r="BK2296" s="116"/>
      <c r="BL2296" s="120"/>
      <c r="BS2296" s="63"/>
    </row>
    <row r="2297" spans="1:79" hidden="1" outlineLevel="1">
      <c r="A2297" t="s">
        <v>2514</v>
      </c>
      <c r="B2297" t="s">
        <v>2272</v>
      </c>
      <c r="C2297" s="1">
        <f t="shared" ref="C2297:C2333" si="952">SUM(N2297:AU2297)</f>
        <v>8779</v>
      </c>
      <c r="D2297" s="5">
        <f>IF(N2297&gt;0, RANK(N2297,(N2297:P2297,Q2297:AE2297)),0)</f>
        <v>2</v>
      </c>
      <c r="E2297" s="5">
        <f>IF(O2297&gt;0,RANK(O2297,(N2297:P2297,Q2297:AE2297)),0)</f>
        <v>1</v>
      </c>
      <c r="F2297" s="5">
        <f>IF(P2297&gt;0,RANK(P2297,(N2297:P2297,Q2297:AE2297)),0)</f>
        <v>0</v>
      </c>
      <c r="G2297" s="132">
        <f t="shared" si="931"/>
        <v>4421</v>
      </c>
      <c r="H2297" s="137">
        <f t="shared" si="932"/>
        <v>0.50358810798496412</v>
      </c>
      <c r="I2297" s="2"/>
      <c r="J2297" s="2">
        <f t="shared" ref="J2297:J2333" si="953">IF($C2297=0,"-",N2297/$C2297)</f>
        <v>0.20469301742795307</v>
      </c>
      <c r="K2297" s="2">
        <f t="shared" ref="K2297:K2333" si="954">IF($C2297=0,"-",O2297/$C2297)</f>
        <v>0.70828112541291721</v>
      </c>
      <c r="L2297" s="2">
        <f t="shared" ref="L2297:L2333" si="955">IF($C2297=0,"-",P2297/$C2297)</f>
        <v>0</v>
      </c>
      <c r="M2297" s="2">
        <f t="shared" ref="M2297:M2333" si="956">IF(C2297=0,"-",(1-J2297-K2297-L2297))</f>
        <v>8.7025857159129694E-2</v>
      </c>
      <c r="N2297" s="63">
        <v>1797</v>
      </c>
      <c r="O2297" s="63">
        <v>6218</v>
      </c>
      <c r="P2297" s="63"/>
      <c r="Q2297" s="63">
        <v>413</v>
      </c>
      <c r="R2297" s="63">
        <v>134</v>
      </c>
      <c r="S2297" s="63"/>
      <c r="T2297" s="63"/>
      <c r="U2297" s="63"/>
      <c r="V2297" s="63"/>
      <c r="W2297">
        <v>217</v>
      </c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W2297" s="5">
        <f>IF(Q2297&gt;0,RANK(Q2297,(N2297:P2297,Q2297:AE2297)),0)</f>
        <v>3</v>
      </c>
      <c r="AX2297" s="5">
        <f>IF(R2297&gt;0,RANK(R2297,(N2297:P2297,Q2297:AE2297)),0)</f>
        <v>5</v>
      </c>
      <c r="AY2297" s="5">
        <f>IF(T2297&gt;0,RANK(T2297,(N2297:P2297,Q2297:AE2297)),0)</f>
        <v>0</v>
      </c>
      <c r="AZ2297" s="5">
        <f>IF(S2297&gt;0,RANK(S2297,(N2297:P2297,Q2297:AE2297)),0)</f>
        <v>0</v>
      </c>
      <c r="BA2297" s="2">
        <f t="shared" ref="BA2297:BA2333" si="957">IF($C2297=0,"-",Q2297/$C2297)</f>
        <v>4.7044082469529562E-2</v>
      </c>
      <c r="BB2297" s="2">
        <f t="shared" ref="BB2297:BB2333" si="958">IF($C2297=0,"-",R2297/$C2297)</f>
        <v>1.5263697459847363E-2</v>
      </c>
      <c r="BC2297" s="2">
        <f t="shared" ref="BC2297:BC2333" si="959">IF($C2297=0,"-",T2297/$C2297)</f>
        <v>0</v>
      </c>
      <c r="BD2297" s="2">
        <f t="shared" ref="BD2297:BD2333" si="960">IF($C2297=0,"-",S2297/$C2297)</f>
        <v>0</v>
      </c>
      <c r="BF2297" t="s">
        <v>2514</v>
      </c>
      <c r="BG2297" t="s">
        <v>2272</v>
      </c>
      <c r="BH2297">
        <v>2</v>
      </c>
      <c r="BJ2297" s="114">
        <v>41</v>
      </c>
      <c r="BK2297" s="116">
        <v>1</v>
      </c>
      <c r="BL2297" s="120">
        <f t="shared" si="942"/>
        <v>41001</v>
      </c>
      <c r="BN2297" s="5" t="s">
        <v>3154</v>
      </c>
      <c r="BR2297" s="63"/>
      <c r="BS2297" s="63"/>
      <c r="BT2297" s="63">
        <f>BS2297-BP2297-BO2297-C2297</f>
        <v>-8779</v>
      </c>
      <c r="CA2297"/>
    </row>
    <row r="2298" spans="1:79" hidden="1" outlineLevel="1">
      <c r="A2298" t="s">
        <v>1098</v>
      </c>
      <c r="B2298" t="s">
        <v>2272</v>
      </c>
      <c r="C2298" s="1">
        <f t="shared" si="952"/>
        <v>48753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32">
        <f t="shared" si="931"/>
        <v>15748</v>
      </c>
      <c r="H2298" s="137">
        <f t="shared" si="932"/>
        <v>0.32301601952700348</v>
      </c>
      <c r="I2298" s="2"/>
      <c r="J2298" s="2">
        <f t="shared" si="953"/>
        <v>0.59879392037413082</v>
      </c>
      <c r="K2298" s="2">
        <f t="shared" si="954"/>
        <v>0.27577790084712733</v>
      </c>
      <c r="L2298" s="2">
        <f t="shared" si="955"/>
        <v>0</v>
      </c>
      <c r="M2298" s="2">
        <f t="shared" si="956"/>
        <v>0.12542817877874185</v>
      </c>
      <c r="N2298" s="63">
        <v>29193</v>
      </c>
      <c r="O2298" s="63">
        <v>13445</v>
      </c>
      <c r="P2298" s="63"/>
      <c r="Q2298" s="63">
        <v>2692</v>
      </c>
      <c r="R2298" s="63">
        <v>1595</v>
      </c>
      <c r="S2298" s="63"/>
      <c r="T2298" s="63"/>
      <c r="U2298" s="63"/>
      <c r="V2298" s="63"/>
      <c r="W2298">
        <v>1828</v>
      </c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W2298" s="5">
        <f>IF(Q2298&gt;0,RANK(Q2298,(N2298:P2298,Q2298:AE2298)),0)</f>
        <v>3</v>
      </c>
      <c r="AX2298" s="5">
        <f>IF(R2298&gt;0,RANK(R2298,(N2298:P2298,Q2298:AE2298)),0)</f>
        <v>5</v>
      </c>
      <c r="AY2298" s="5">
        <f>IF(T2298&gt;0,RANK(T2298,(N2298:P2298,Q2298:AE2298)),0)</f>
        <v>0</v>
      </c>
      <c r="AZ2298" s="5">
        <f>IF(S2298&gt;0,RANK(S2298,(N2298:P2298,Q2298:AE2298)),0)</f>
        <v>0</v>
      </c>
      <c r="BA2298" s="2">
        <f t="shared" si="957"/>
        <v>5.5217114844214717E-2</v>
      </c>
      <c r="BB2298" s="2">
        <f t="shared" si="958"/>
        <v>3.2715935429614589E-2</v>
      </c>
      <c r="BC2298" s="2">
        <f t="shared" si="959"/>
        <v>0</v>
      </c>
      <c r="BD2298" s="2">
        <f t="shared" si="960"/>
        <v>0</v>
      </c>
      <c r="BF2298" t="s">
        <v>1098</v>
      </c>
      <c r="BG2298" t="s">
        <v>2272</v>
      </c>
      <c r="BJ2298" s="114">
        <v>41</v>
      </c>
      <c r="BK2298" s="116">
        <v>3</v>
      </c>
      <c r="BL2298" s="120">
        <f t="shared" si="942"/>
        <v>41003</v>
      </c>
      <c r="BN2298" s="5" t="s">
        <v>3154</v>
      </c>
      <c r="BO2298" s="63">
        <v>830</v>
      </c>
      <c r="BP2298" s="63">
        <v>10</v>
      </c>
      <c r="BR2298" s="63"/>
      <c r="BS2298" s="63">
        <v>49593</v>
      </c>
      <c r="BT2298" s="63">
        <f>BS2298-BP2298-BO2298-C2298</f>
        <v>0</v>
      </c>
      <c r="CA2298"/>
    </row>
    <row r="2299" spans="1:79" hidden="1" outlineLevel="1">
      <c r="A2299" t="s">
        <v>524</v>
      </c>
      <c r="B2299" t="s">
        <v>2272</v>
      </c>
      <c r="C2299" s="1">
        <f t="shared" si="952"/>
        <v>214039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32">
        <f t="shared" si="931"/>
        <v>13703</v>
      </c>
      <c r="H2299" s="137">
        <f t="shared" si="932"/>
        <v>6.4021042894052013E-2</v>
      </c>
      <c r="I2299" s="2"/>
      <c r="J2299" s="2">
        <f t="shared" si="953"/>
        <v>0.4769925107106649</v>
      </c>
      <c r="K2299" s="2">
        <f t="shared" si="954"/>
        <v>0.41297146781661287</v>
      </c>
      <c r="L2299" s="2">
        <f t="shared" si="955"/>
        <v>0</v>
      </c>
      <c r="M2299" s="2">
        <f t="shared" si="956"/>
        <v>0.11003602147272218</v>
      </c>
      <c r="N2299" s="63">
        <v>102095</v>
      </c>
      <c r="O2299" s="63">
        <v>88392</v>
      </c>
      <c r="P2299" s="63"/>
      <c r="Q2299" s="63">
        <v>11053</v>
      </c>
      <c r="R2299" s="63">
        <v>4001</v>
      </c>
      <c r="S2299" s="63"/>
      <c r="T2299" s="63"/>
      <c r="U2299" s="63"/>
      <c r="V2299" s="63"/>
      <c r="W2299" s="1">
        <v>8498</v>
      </c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W2299" s="5">
        <f>IF(Q2299&gt;0,RANK(Q2299,(N2299:P2299,Q2299:AE2299)),0)</f>
        <v>3</v>
      </c>
      <c r="AX2299" s="5">
        <f>IF(R2299&gt;0,RANK(R2299,(N2299:P2299,Q2299:AE2299)),0)</f>
        <v>5</v>
      </c>
      <c r="AY2299" s="5">
        <f>IF(T2299&gt;0,RANK(T2299,(N2299:P2299,Q2299:AE2299)),0)</f>
        <v>0</v>
      </c>
      <c r="AZ2299" s="5">
        <f>IF(S2299&gt;0,RANK(S2299,(N2299:P2299,Q2299:AE2299)),0)</f>
        <v>0</v>
      </c>
      <c r="BA2299" s="2">
        <f t="shared" si="957"/>
        <v>5.1640121660071293E-2</v>
      </c>
      <c r="BB2299" s="2">
        <f t="shared" si="958"/>
        <v>1.8692855040436555E-2</v>
      </c>
      <c r="BC2299" s="2">
        <f t="shared" si="959"/>
        <v>0</v>
      </c>
      <c r="BD2299" s="2">
        <f t="shared" si="960"/>
        <v>0</v>
      </c>
      <c r="BF2299" t="s">
        <v>524</v>
      </c>
      <c r="BG2299" t="s">
        <v>2272</v>
      </c>
      <c r="BJ2299" s="114">
        <v>41</v>
      </c>
      <c r="BK2299" s="116">
        <v>5</v>
      </c>
      <c r="BL2299" s="120">
        <f t="shared" si="942"/>
        <v>41005</v>
      </c>
      <c r="BN2299" s="5" t="s">
        <v>3154</v>
      </c>
      <c r="BO2299" s="63">
        <v>3620</v>
      </c>
      <c r="BP2299" s="63">
        <v>101</v>
      </c>
      <c r="BR2299" s="63"/>
      <c r="BS2299" s="63">
        <v>217760</v>
      </c>
      <c r="BT2299" s="63">
        <f t="shared" ref="BT2299:BT2332" si="961">BS2299-BP2299-BO2299-C2299</f>
        <v>0</v>
      </c>
      <c r="CA2299" s="1"/>
    </row>
    <row r="2300" spans="1:79" hidden="1" outlineLevel="1">
      <c r="A2300" t="s">
        <v>694</v>
      </c>
      <c r="B2300" t="s">
        <v>2272</v>
      </c>
      <c r="C2300" s="1">
        <f t="shared" si="952"/>
        <v>19664</v>
      </c>
      <c r="D2300" s="5">
        <f>IF(N2300&gt;0, RANK(N2300,(N2300:P2300,Q2300:AE2300)),0)</f>
        <v>1</v>
      </c>
      <c r="E2300" s="5">
        <f>IF(O2300&gt;0,RANK(O2300,(N2300:P2300,Q2300:AE2300)),0)</f>
        <v>2</v>
      </c>
      <c r="F2300" s="5">
        <f>IF(P2300&gt;0,RANK(P2300,(N2300:P2300,Q2300:AE2300)),0)</f>
        <v>0</v>
      </c>
      <c r="G2300" s="132">
        <f t="shared" si="931"/>
        <v>1114</v>
      </c>
      <c r="H2300" s="137">
        <f t="shared" si="932"/>
        <v>5.6651749389747763E-2</v>
      </c>
      <c r="I2300" s="2"/>
      <c r="J2300" s="2">
        <f t="shared" si="953"/>
        <v>0.4705044751830757</v>
      </c>
      <c r="K2300" s="2">
        <f t="shared" si="954"/>
        <v>0.41385272579332794</v>
      </c>
      <c r="L2300" s="2">
        <f t="shared" si="955"/>
        <v>0</v>
      </c>
      <c r="M2300" s="2">
        <f t="shared" si="956"/>
        <v>0.11564279902359637</v>
      </c>
      <c r="N2300" s="63">
        <v>9252</v>
      </c>
      <c r="O2300" s="63">
        <v>8138</v>
      </c>
      <c r="P2300" s="63"/>
      <c r="Q2300" s="63">
        <v>973</v>
      </c>
      <c r="R2300" s="63">
        <v>569</v>
      </c>
      <c r="S2300" s="63"/>
      <c r="T2300" s="63"/>
      <c r="U2300" s="63"/>
      <c r="V2300" s="63"/>
      <c r="W2300">
        <v>732</v>
      </c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W2300" s="5">
        <f>IF(Q2300&gt;0,RANK(Q2300,(N2300:P2300,Q2300:AE2300)),0)</f>
        <v>3</v>
      </c>
      <c r="AX2300" s="5">
        <f>IF(R2300&gt;0,RANK(R2300,(N2300:P2300,Q2300:AE2300)),0)</f>
        <v>5</v>
      </c>
      <c r="AY2300" s="5">
        <f>IF(T2300&gt;0,RANK(T2300,(N2300:P2300,Q2300:AE2300)),0)</f>
        <v>0</v>
      </c>
      <c r="AZ2300" s="5">
        <f>IF(S2300&gt;0,RANK(S2300,(N2300:P2300,Q2300:AE2300)),0)</f>
        <v>0</v>
      </c>
      <c r="BA2300" s="2">
        <f t="shared" si="957"/>
        <v>4.9481285598047195E-2</v>
      </c>
      <c r="BB2300" s="2">
        <f t="shared" si="958"/>
        <v>2.893612693246542E-2</v>
      </c>
      <c r="BC2300" s="2">
        <f t="shared" si="959"/>
        <v>0</v>
      </c>
      <c r="BD2300" s="2">
        <f t="shared" si="960"/>
        <v>0</v>
      </c>
      <c r="BF2300" t="s">
        <v>694</v>
      </c>
      <c r="BG2300" t="s">
        <v>2272</v>
      </c>
      <c r="BH2300">
        <v>1</v>
      </c>
      <c r="BJ2300" s="114">
        <v>41</v>
      </c>
      <c r="BK2300" s="116">
        <v>7</v>
      </c>
      <c r="BL2300" s="120">
        <f t="shared" si="942"/>
        <v>41007</v>
      </c>
      <c r="BN2300" s="5" t="s">
        <v>3154</v>
      </c>
      <c r="BO2300" s="63">
        <v>311</v>
      </c>
      <c r="BP2300" s="63">
        <v>13</v>
      </c>
      <c r="BQ2300" s="132"/>
      <c r="BR2300" s="63"/>
      <c r="BS2300" s="63">
        <v>19988</v>
      </c>
      <c r="BT2300" s="63">
        <f>BS2300-BP2300-BO2300-C2300</f>
        <v>0</v>
      </c>
      <c r="CA2300"/>
    </row>
    <row r="2301" spans="1:79" hidden="1" outlineLevel="1">
      <c r="A2301" t="s">
        <v>1496</v>
      </c>
      <c r="B2301" t="s">
        <v>2272</v>
      </c>
      <c r="C2301" s="1">
        <f t="shared" si="952"/>
        <v>26618</v>
      </c>
      <c r="D2301" s="5">
        <f>IF(N2301&gt;0, RANK(N2301,(N2301:P2301,Q2301:AE2301)),0)</f>
        <v>2</v>
      </c>
      <c r="E2301" s="5">
        <f>IF(O2301&gt;0,RANK(O2301,(N2301:P2301,Q2301:AE2301)),0)</f>
        <v>1</v>
      </c>
      <c r="F2301" s="5">
        <f>IF(P2301&gt;0,RANK(P2301,(N2301:P2301,Q2301:AE2301)),0)</f>
        <v>0</v>
      </c>
      <c r="G2301" s="132">
        <f t="shared" si="931"/>
        <v>3050</v>
      </c>
      <c r="H2301" s="137">
        <f t="shared" si="932"/>
        <v>0.11458411601172139</v>
      </c>
      <c r="I2301" s="2"/>
      <c r="J2301" s="2">
        <f t="shared" si="953"/>
        <v>0.38195957622661358</v>
      </c>
      <c r="K2301" s="2">
        <f t="shared" si="954"/>
        <v>0.49654369223833494</v>
      </c>
      <c r="L2301" s="2">
        <f t="shared" si="955"/>
        <v>0</v>
      </c>
      <c r="M2301" s="2">
        <f t="shared" si="956"/>
        <v>0.12149673153505147</v>
      </c>
      <c r="N2301" s="63">
        <v>10167</v>
      </c>
      <c r="O2301" s="63">
        <v>13217</v>
      </c>
      <c r="P2301" s="63"/>
      <c r="Q2301" s="63">
        <v>1646</v>
      </c>
      <c r="R2301" s="63">
        <v>572</v>
      </c>
      <c r="S2301" s="63"/>
      <c r="T2301" s="63"/>
      <c r="U2301" s="63"/>
      <c r="V2301" s="63"/>
      <c r="W2301">
        <v>1016</v>
      </c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W2301" s="5">
        <f>IF(Q2301&gt;0,RANK(Q2301,(N2301:P2301,Q2301:AE2301)),0)</f>
        <v>3</v>
      </c>
      <c r="AX2301" s="5">
        <f>IF(R2301&gt;0,RANK(R2301,(N2301:P2301,Q2301:AE2301)),0)</f>
        <v>5</v>
      </c>
      <c r="AY2301" s="5">
        <f>IF(T2301&gt;0,RANK(T2301,(N2301:P2301,Q2301:AE2301)),0)</f>
        <v>0</v>
      </c>
      <c r="AZ2301" s="5">
        <f>IF(S2301&gt;0,RANK(S2301,(N2301:P2301,Q2301:AE2301)),0)</f>
        <v>0</v>
      </c>
      <c r="BA2301" s="2">
        <f t="shared" si="957"/>
        <v>6.1837854083702758E-2</v>
      </c>
      <c r="BB2301" s="2">
        <f t="shared" si="958"/>
        <v>2.1489217822526111E-2</v>
      </c>
      <c r="BC2301" s="2">
        <f t="shared" si="959"/>
        <v>0</v>
      </c>
      <c r="BD2301" s="2">
        <f t="shared" si="960"/>
        <v>0</v>
      </c>
      <c r="BF2301" t="s">
        <v>1496</v>
      </c>
      <c r="BG2301" t="s">
        <v>2272</v>
      </c>
      <c r="BH2301">
        <v>1</v>
      </c>
      <c r="BJ2301" s="114">
        <v>41</v>
      </c>
      <c r="BK2301" s="116">
        <v>9</v>
      </c>
      <c r="BL2301" s="120">
        <f t="shared" si="942"/>
        <v>41009</v>
      </c>
      <c r="BN2301" s="5" t="s">
        <v>3154</v>
      </c>
      <c r="BR2301" s="63"/>
      <c r="BS2301" s="63"/>
      <c r="BT2301" s="63">
        <f t="shared" si="961"/>
        <v>-26618</v>
      </c>
      <c r="CA2301"/>
    </row>
    <row r="2302" spans="1:79" hidden="1" outlineLevel="1">
      <c r="A2302" t="s">
        <v>442</v>
      </c>
      <c r="B2302" t="s">
        <v>2272</v>
      </c>
      <c r="C2302" s="1">
        <f t="shared" si="952"/>
        <v>31313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32">
        <f t="shared" si="931"/>
        <v>7417</v>
      </c>
      <c r="H2302" s="137">
        <f t="shared" si="932"/>
        <v>0.23686647718200107</v>
      </c>
      <c r="I2302" s="2"/>
      <c r="J2302" s="2">
        <f t="shared" si="953"/>
        <v>0.3336633347172101</v>
      </c>
      <c r="K2302" s="2">
        <f t="shared" si="954"/>
        <v>0.57052981189921115</v>
      </c>
      <c r="L2302" s="2">
        <f t="shared" si="955"/>
        <v>0</v>
      </c>
      <c r="M2302" s="2">
        <f t="shared" si="956"/>
        <v>9.5806853383578749E-2</v>
      </c>
      <c r="N2302" s="63">
        <v>10448</v>
      </c>
      <c r="O2302" s="63">
        <v>17865</v>
      </c>
      <c r="P2302" s="63"/>
      <c r="Q2302" s="63">
        <v>1411</v>
      </c>
      <c r="R2302" s="63">
        <v>755</v>
      </c>
      <c r="S2302" s="63"/>
      <c r="T2302" s="63"/>
      <c r="U2302" s="63"/>
      <c r="V2302" s="63"/>
      <c r="W2302">
        <v>834</v>
      </c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W2302" s="5">
        <f>IF(Q2302&gt;0,RANK(Q2302,(N2302:P2302,Q2302:AE2302)),0)</f>
        <v>3</v>
      </c>
      <c r="AX2302" s="5">
        <f>IF(R2302&gt;0,RANK(R2302,(N2302:P2302,Q2302:AE2302)),0)</f>
        <v>5</v>
      </c>
      <c r="AY2302" s="5">
        <f>IF(T2302&gt;0,RANK(T2302,(N2302:P2302,Q2302:AE2302)),0)</f>
        <v>0</v>
      </c>
      <c r="AZ2302" s="5">
        <f>IF(S2302&gt;0,RANK(S2302,(N2302:P2302,Q2302:AE2302)),0)</f>
        <v>0</v>
      </c>
      <c r="BA2302" s="2">
        <f t="shared" si="957"/>
        <v>4.5061156708076519E-2</v>
      </c>
      <c r="BB2302" s="2">
        <f t="shared" si="958"/>
        <v>2.4111391434867308E-2</v>
      </c>
      <c r="BC2302" s="2">
        <f t="shared" si="959"/>
        <v>0</v>
      </c>
      <c r="BD2302" s="2">
        <f t="shared" si="960"/>
        <v>0</v>
      </c>
      <c r="BF2302" t="s">
        <v>442</v>
      </c>
      <c r="BG2302" t="s">
        <v>2272</v>
      </c>
      <c r="BH2302">
        <v>4</v>
      </c>
      <c r="BJ2302" s="114">
        <v>41</v>
      </c>
      <c r="BK2302" s="116">
        <v>11</v>
      </c>
      <c r="BL2302" s="120">
        <f t="shared" si="942"/>
        <v>41011</v>
      </c>
      <c r="BN2302" s="5" t="s">
        <v>3154</v>
      </c>
      <c r="BR2302" s="63"/>
      <c r="BS2302" s="63"/>
      <c r="BT2302" s="63">
        <f t="shared" si="961"/>
        <v>-31313</v>
      </c>
      <c r="CA2302"/>
    </row>
    <row r="2303" spans="1:79" hidden="1" outlineLevel="1">
      <c r="A2303" t="s">
        <v>1931</v>
      </c>
      <c r="B2303" t="s">
        <v>2272</v>
      </c>
      <c r="C2303" s="1">
        <f t="shared" si="952"/>
        <v>12172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32">
        <f t="shared" si="931"/>
        <v>5874</v>
      </c>
      <c r="H2303" s="137">
        <f t="shared" si="932"/>
        <v>0.48258297732500821</v>
      </c>
      <c r="I2303" s="2"/>
      <c r="J2303" s="2">
        <f t="shared" si="953"/>
        <v>0.21664475846204403</v>
      </c>
      <c r="K2303" s="2">
        <f t="shared" si="954"/>
        <v>0.69922773578705222</v>
      </c>
      <c r="L2303" s="2">
        <f t="shared" si="955"/>
        <v>0</v>
      </c>
      <c r="M2303" s="2">
        <f t="shared" si="956"/>
        <v>8.4127505750903775E-2</v>
      </c>
      <c r="N2303" s="63">
        <v>2637</v>
      </c>
      <c r="O2303" s="63">
        <v>8511</v>
      </c>
      <c r="P2303" s="63"/>
      <c r="Q2303" s="63">
        <v>518</v>
      </c>
      <c r="R2303" s="63">
        <v>157</v>
      </c>
      <c r="S2303" s="63"/>
      <c r="T2303" s="63"/>
      <c r="U2303" s="63"/>
      <c r="V2303" s="63"/>
      <c r="W2303">
        <v>349</v>
      </c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W2303" s="5">
        <f>IF(Q2303&gt;0,RANK(Q2303,(N2303:P2303,Q2303:AE2303)),0)</f>
        <v>3</v>
      </c>
      <c r="AX2303" s="5">
        <f>IF(R2303&gt;0,RANK(R2303,(N2303:P2303,Q2303:AE2303)),0)</f>
        <v>5</v>
      </c>
      <c r="AY2303" s="5">
        <f>IF(T2303&gt;0,RANK(T2303,(N2303:P2303,Q2303:AE2303)),0)</f>
        <v>0</v>
      </c>
      <c r="AZ2303" s="5">
        <f>IF(S2303&gt;0,RANK(S2303,(N2303:P2303,Q2303:AE2303)),0)</f>
        <v>0</v>
      </c>
      <c r="BA2303" s="2">
        <f t="shared" si="957"/>
        <v>4.2556687479461057E-2</v>
      </c>
      <c r="BB2303" s="2">
        <f t="shared" si="958"/>
        <v>1.2898455471574104E-2</v>
      </c>
      <c r="BC2303" s="2">
        <f t="shared" si="959"/>
        <v>0</v>
      </c>
      <c r="BD2303" s="2">
        <f t="shared" si="960"/>
        <v>0</v>
      </c>
      <c r="BF2303" t="s">
        <v>1931</v>
      </c>
      <c r="BG2303" t="s">
        <v>2272</v>
      </c>
      <c r="BH2303">
        <v>2</v>
      </c>
      <c r="BJ2303" s="114">
        <v>41</v>
      </c>
      <c r="BK2303" s="116">
        <v>13</v>
      </c>
      <c r="BL2303" s="120">
        <f t="shared" si="942"/>
        <v>41013</v>
      </c>
      <c r="BN2303" s="5" t="s">
        <v>3154</v>
      </c>
      <c r="BQ2303" s="132" t="s">
        <v>3253</v>
      </c>
      <c r="BR2303" s="63"/>
      <c r="BS2303" s="63"/>
      <c r="BT2303" s="63">
        <f t="shared" si="961"/>
        <v>-12172</v>
      </c>
      <c r="CA2303"/>
    </row>
    <row r="2304" spans="1:79" hidden="1" outlineLevel="1">
      <c r="A2304" t="s">
        <v>111</v>
      </c>
      <c r="B2304" t="s">
        <v>2272</v>
      </c>
      <c r="C2304" s="1">
        <f t="shared" si="952"/>
        <v>12611</v>
      </c>
      <c r="D2304" s="5">
        <f>IF(N2304&gt;0, RANK(N2304,(N2304:P2304,Q2304:AE2304)),0)</f>
        <v>2</v>
      </c>
      <c r="E2304" s="5">
        <f>IF(O2304&gt;0,RANK(O2304,(N2304:P2304,Q2304:AE2304)),0)</f>
        <v>1</v>
      </c>
      <c r="F2304" s="5">
        <f>IF(P2304&gt;0,RANK(P2304,(N2304:P2304,Q2304:AE2304)),0)</f>
        <v>0</v>
      </c>
      <c r="G2304" s="132">
        <f t="shared" si="931"/>
        <v>2912</v>
      </c>
      <c r="H2304" s="137">
        <f t="shared" si="932"/>
        <v>0.2309095234319245</v>
      </c>
      <c r="I2304" s="2"/>
      <c r="J2304" s="2">
        <f t="shared" si="953"/>
        <v>0.34097216715565776</v>
      </c>
      <c r="K2304" s="2">
        <f t="shared" si="954"/>
        <v>0.57188169058758231</v>
      </c>
      <c r="L2304" s="2">
        <f t="shared" si="955"/>
        <v>0</v>
      </c>
      <c r="M2304" s="2">
        <f t="shared" si="956"/>
        <v>8.7146142256759873E-2</v>
      </c>
      <c r="N2304" s="63">
        <v>4300</v>
      </c>
      <c r="O2304" s="63">
        <v>7212</v>
      </c>
      <c r="P2304" s="63"/>
      <c r="Q2304" s="63">
        <v>498</v>
      </c>
      <c r="R2304" s="63">
        <v>273</v>
      </c>
      <c r="S2304" s="63"/>
      <c r="T2304" s="63"/>
      <c r="U2304" s="63"/>
      <c r="V2304" s="63"/>
      <c r="W2304">
        <v>328</v>
      </c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W2304" s="5">
        <f>IF(Q2304&gt;0,RANK(Q2304,(N2304:P2304,Q2304:AE2304)),0)</f>
        <v>3</v>
      </c>
      <c r="AX2304" s="5">
        <f>IF(R2304&gt;0,RANK(R2304,(N2304:P2304,Q2304:AE2304)),0)</f>
        <v>5</v>
      </c>
      <c r="AY2304" s="5">
        <f>IF(T2304&gt;0,RANK(T2304,(N2304:P2304,Q2304:AE2304)),0)</f>
        <v>0</v>
      </c>
      <c r="AZ2304" s="5">
        <f>IF(S2304&gt;0,RANK(S2304,(N2304:P2304,Q2304:AE2304)),0)</f>
        <v>0</v>
      </c>
      <c r="BA2304" s="2">
        <f t="shared" si="957"/>
        <v>3.9489334707794782E-2</v>
      </c>
      <c r="BB2304" s="2">
        <f t="shared" si="958"/>
        <v>2.1647767821742922E-2</v>
      </c>
      <c r="BC2304" s="2">
        <f t="shared" si="959"/>
        <v>0</v>
      </c>
      <c r="BD2304" s="2">
        <f t="shared" si="960"/>
        <v>0</v>
      </c>
      <c r="BF2304" t="s">
        <v>111</v>
      </c>
      <c r="BG2304" t="s">
        <v>2272</v>
      </c>
      <c r="BH2304">
        <v>4</v>
      </c>
      <c r="BJ2304" s="114">
        <v>41</v>
      </c>
      <c r="BK2304" s="116">
        <v>15</v>
      </c>
      <c r="BL2304" s="120">
        <f t="shared" si="942"/>
        <v>41015</v>
      </c>
      <c r="BN2304" s="5" t="s">
        <v>3154</v>
      </c>
      <c r="BR2304" s="63"/>
      <c r="BS2304" s="63"/>
      <c r="BT2304" s="63">
        <f t="shared" si="961"/>
        <v>-12611</v>
      </c>
      <c r="CA2304"/>
    </row>
    <row r="2305" spans="1:79" hidden="1" outlineLevel="1">
      <c r="A2305" t="s">
        <v>1253</v>
      </c>
      <c r="B2305" t="s">
        <v>2272</v>
      </c>
      <c r="C2305" s="1">
        <f t="shared" si="952"/>
        <v>98557</v>
      </c>
      <c r="D2305" s="5">
        <f>IF(N2305&gt;0, RANK(N2305,(N2305:P2305,Q2305:AE2305)),0)</f>
        <v>2</v>
      </c>
      <c r="E2305" s="5">
        <f>IF(O2305&gt;0,RANK(O2305,(N2305:P2305,Q2305:AE2305)),0)</f>
        <v>1</v>
      </c>
      <c r="F2305" s="5">
        <f>IF(P2305&gt;0,RANK(P2305,(N2305:P2305,Q2305:AE2305)),0)</f>
        <v>0</v>
      </c>
      <c r="G2305" s="132">
        <f t="shared" si="931"/>
        <v>3248</v>
      </c>
      <c r="H2305" s="137">
        <f t="shared" si="932"/>
        <v>3.2955548565804557E-2</v>
      </c>
      <c r="I2305" s="2"/>
      <c r="J2305" s="2">
        <f t="shared" si="953"/>
        <v>0.43065434215733028</v>
      </c>
      <c r="K2305" s="2">
        <f t="shared" si="954"/>
        <v>0.46360989072313485</v>
      </c>
      <c r="L2305" s="2">
        <f t="shared" si="955"/>
        <v>0</v>
      </c>
      <c r="M2305" s="2">
        <f t="shared" si="956"/>
        <v>0.10573576711953481</v>
      </c>
      <c r="N2305" s="63">
        <v>42444</v>
      </c>
      <c r="O2305" s="63">
        <v>45692</v>
      </c>
      <c r="P2305" s="63"/>
      <c r="Q2305" s="63">
        <v>5158</v>
      </c>
      <c r="R2305" s="63">
        <v>1998</v>
      </c>
      <c r="S2305" s="63"/>
      <c r="T2305" s="63"/>
      <c r="U2305" s="63"/>
      <c r="V2305" s="63"/>
      <c r="W2305">
        <v>3265</v>
      </c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W2305" s="5">
        <f>IF(Q2305&gt;0,RANK(Q2305,(N2305:P2305,Q2305:AE2305)),0)</f>
        <v>3</v>
      </c>
      <c r="AX2305" s="5">
        <f>IF(R2305&gt;0,RANK(R2305,(N2305:P2305,Q2305:AE2305)),0)</f>
        <v>5</v>
      </c>
      <c r="AY2305" s="5">
        <f>IF(T2305&gt;0,RANK(T2305,(N2305:P2305,Q2305:AE2305)),0)</f>
        <v>0</v>
      </c>
      <c r="AZ2305" s="5">
        <f>IF(S2305&gt;0,RANK(S2305,(N2305:P2305,Q2305:AE2305)),0)</f>
        <v>0</v>
      </c>
      <c r="BA2305" s="2">
        <f t="shared" si="957"/>
        <v>5.2335196891139135E-2</v>
      </c>
      <c r="BB2305" s="2">
        <f t="shared" si="958"/>
        <v>2.0272532646082978E-2</v>
      </c>
      <c r="BC2305" s="2">
        <f t="shared" si="959"/>
        <v>0</v>
      </c>
      <c r="BD2305" s="2">
        <f t="shared" si="960"/>
        <v>0</v>
      </c>
      <c r="BF2305" t="s">
        <v>1253</v>
      </c>
      <c r="BG2305" t="s">
        <v>2272</v>
      </c>
      <c r="BH2305">
        <v>2</v>
      </c>
      <c r="BJ2305" s="114">
        <v>41</v>
      </c>
      <c r="BK2305" s="116">
        <v>17</v>
      </c>
      <c r="BL2305" s="120">
        <f t="shared" si="942"/>
        <v>41017</v>
      </c>
      <c r="BN2305" s="5" t="s">
        <v>3154</v>
      </c>
      <c r="BR2305" s="63"/>
      <c r="BS2305" s="63"/>
      <c r="BT2305" s="63">
        <f t="shared" si="961"/>
        <v>-98557</v>
      </c>
      <c r="CA2305"/>
    </row>
    <row r="2306" spans="1:79" hidden="1" outlineLevel="1">
      <c r="A2306" t="s">
        <v>1148</v>
      </c>
      <c r="B2306" t="s">
        <v>2272</v>
      </c>
      <c r="C2306" s="1">
        <f t="shared" si="952"/>
        <v>53521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32">
        <f t="shared" si="931"/>
        <v>20486</v>
      </c>
      <c r="H2306" s="137">
        <f t="shared" si="932"/>
        <v>0.38276564339231328</v>
      </c>
      <c r="I2306" s="2"/>
      <c r="J2306" s="2">
        <f t="shared" si="953"/>
        <v>0.26337325535771006</v>
      </c>
      <c r="K2306" s="2">
        <f t="shared" si="954"/>
        <v>0.64613889875002339</v>
      </c>
      <c r="L2306" s="2">
        <f t="shared" si="955"/>
        <v>0</v>
      </c>
      <c r="M2306" s="2">
        <f t="shared" si="956"/>
        <v>9.048784589226655E-2</v>
      </c>
      <c r="N2306" s="63">
        <v>14096</v>
      </c>
      <c r="O2306" s="63">
        <v>34582</v>
      </c>
      <c r="P2306" s="63"/>
      <c r="Q2306" s="63">
        <v>2413</v>
      </c>
      <c r="R2306" s="63">
        <v>1021</v>
      </c>
      <c r="S2306" s="63"/>
      <c r="T2306" s="63"/>
      <c r="U2306" s="63"/>
      <c r="V2306" s="63"/>
      <c r="W2306">
        <v>1409</v>
      </c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W2306" s="5">
        <f>IF(Q2306&gt;0,RANK(Q2306,(N2306:P2306,Q2306:AE2306)),0)</f>
        <v>3</v>
      </c>
      <c r="AX2306" s="5">
        <f>IF(R2306&gt;0,RANK(R2306,(N2306:P2306,Q2306:AE2306)),0)</f>
        <v>5</v>
      </c>
      <c r="AY2306" s="5">
        <f>IF(T2306&gt;0,RANK(T2306,(N2306:P2306,Q2306:AE2306)),0)</f>
        <v>0</v>
      </c>
      <c r="AZ2306" s="5">
        <f>IF(S2306&gt;0,RANK(S2306,(N2306:P2306,Q2306:AE2306)),0)</f>
        <v>0</v>
      </c>
      <c r="BA2306" s="2">
        <f t="shared" si="957"/>
        <v>4.5085106780516061E-2</v>
      </c>
      <c r="BB2306" s="2">
        <f t="shared" si="958"/>
        <v>1.9076624128846621E-2</v>
      </c>
      <c r="BC2306" s="2">
        <f t="shared" si="959"/>
        <v>0</v>
      </c>
      <c r="BD2306" s="2">
        <f t="shared" si="960"/>
        <v>0</v>
      </c>
      <c r="BF2306" t="s">
        <v>1148</v>
      </c>
      <c r="BG2306" t="s">
        <v>2272</v>
      </c>
      <c r="BH2306">
        <v>4</v>
      </c>
      <c r="BJ2306" s="114">
        <v>41</v>
      </c>
      <c r="BK2306" s="116">
        <v>19</v>
      </c>
      <c r="BL2306" s="120">
        <f t="shared" si="942"/>
        <v>41019</v>
      </c>
      <c r="BN2306" s="5" t="s">
        <v>3154</v>
      </c>
      <c r="BR2306" s="63"/>
      <c r="BS2306" s="63"/>
      <c r="BT2306" s="63">
        <f t="shared" si="961"/>
        <v>-53521</v>
      </c>
      <c r="CA2306"/>
    </row>
    <row r="2307" spans="1:79" hidden="1" outlineLevel="1">
      <c r="A2307" t="s">
        <v>1588</v>
      </c>
      <c r="B2307" t="s">
        <v>2272</v>
      </c>
      <c r="C2307" s="1">
        <f t="shared" si="952"/>
        <v>1019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32">
        <f t="shared" si="931"/>
        <v>432</v>
      </c>
      <c r="H2307" s="137">
        <f t="shared" si="932"/>
        <v>0.42394504416094209</v>
      </c>
      <c r="I2307" s="2"/>
      <c r="J2307" s="2">
        <f t="shared" si="953"/>
        <v>0.23454367026496564</v>
      </c>
      <c r="K2307" s="2">
        <f t="shared" si="954"/>
        <v>0.65848871442590773</v>
      </c>
      <c r="L2307" s="2">
        <f t="shared" si="955"/>
        <v>0</v>
      </c>
      <c r="M2307" s="2">
        <f t="shared" si="956"/>
        <v>0.10696761530912657</v>
      </c>
      <c r="N2307" s="63">
        <v>239</v>
      </c>
      <c r="O2307" s="63">
        <v>671</v>
      </c>
      <c r="P2307" s="63"/>
      <c r="Q2307" s="63">
        <v>79</v>
      </c>
      <c r="R2307" s="63">
        <v>7</v>
      </c>
      <c r="S2307" s="63"/>
      <c r="T2307" s="63"/>
      <c r="U2307" s="63"/>
      <c r="V2307" s="63"/>
      <c r="W2307">
        <v>23</v>
      </c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W2307" s="5">
        <f>IF(Q2307&gt;0,RANK(Q2307,(N2307:P2307,Q2307:AE2307)),0)</f>
        <v>3</v>
      </c>
      <c r="AX2307" s="5">
        <f>IF(R2307&gt;0,RANK(R2307,(N2307:P2307,Q2307:AE2307)),0)</f>
        <v>5</v>
      </c>
      <c r="AY2307" s="5">
        <f>IF(T2307&gt;0,RANK(T2307,(N2307:P2307,Q2307:AE2307)),0)</f>
        <v>0</v>
      </c>
      <c r="AZ2307" s="5">
        <f>IF(S2307&gt;0,RANK(S2307,(N2307:P2307,Q2307:AE2307)),0)</f>
        <v>0</v>
      </c>
      <c r="BA2307" s="2">
        <f t="shared" si="957"/>
        <v>7.7526987242394499E-2</v>
      </c>
      <c r="BB2307" s="2">
        <f t="shared" si="958"/>
        <v>6.8694798822374874E-3</v>
      </c>
      <c r="BC2307" s="2">
        <f t="shared" si="959"/>
        <v>0</v>
      </c>
      <c r="BD2307" s="2">
        <f t="shared" si="960"/>
        <v>0</v>
      </c>
      <c r="BF2307" t="s">
        <v>1588</v>
      </c>
      <c r="BG2307" t="s">
        <v>2272</v>
      </c>
      <c r="BH2307">
        <v>2</v>
      </c>
      <c r="BJ2307" s="114">
        <v>41</v>
      </c>
      <c r="BK2307" s="116">
        <v>21</v>
      </c>
      <c r="BL2307" s="120">
        <f t="shared" si="942"/>
        <v>41021</v>
      </c>
      <c r="BN2307" s="5" t="s">
        <v>3154</v>
      </c>
      <c r="BR2307" s="63"/>
      <c r="BS2307" s="63"/>
      <c r="BT2307" s="63">
        <f t="shared" si="961"/>
        <v>-1019</v>
      </c>
      <c r="CA2307"/>
    </row>
    <row r="2308" spans="1:79" hidden="1" outlineLevel="1">
      <c r="A2308" t="s">
        <v>1417</v>
      </c>
      <c r="B2308" t="s">
        <v>2272</v>
      </c>
      <c r="C2308" s="1">
        <f t="shared" si="952"/>
        <v>4340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32">
        <f t="shared" si="931"/>
        <v>2471</v>
      </c>
      <c r="H2308" s="137">
        <f t="shared" si="932"/>
        <v>0.5693548387096774</v>
      </c>
      <c r="I2308" s="2"/>
      <c r="J2308" s="2">
        <f t="shared" si="953"/>
        <v>0.17027649769585254</v>
      </c>
      <c r="K2308" s="2">
        <f t="shared" si="954"/>
        <v>0.73963133640552992</v>
      </c>
      <c r="L2308" s="2">
        <f t="shared" si="955"/>
        <v>0</v>
      </c>
      <c r="M2308" s="2">
        <f t="shared" si="956"/>
        <v>9.0092165898617571E-2</v>
      </c>
      <c r="N2308" s="63">
        <v>739</v>
      </c>
      <c r="O2308" s="63">
        <v>3210</v>
      </c>
      <c r="P2308" s="63"/>
      <c r="Q2308" s="63">
        <v>209</v>
      </c>
      <c r="R2308" s="63">
        <v>48</v>
      </c>
      <c r="S2308" s="63"/>
      <c r="T2308" s="63"/>
      <c r="U2308" s="63"/>
      <c r="V2308" s="63"/>
      <c r="W2308">
        <v>134</v>
      </c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W2308" s="5">
        <f>IF(Q2308&gt;0,RANK(Q2308,(N2308:P2308,Q2308:AE2308)),0)</f>
        <v>3</v>
      </c>
      <c r="AX2308" s="5">
        <f>IF(R2308&gt;0,RANK(R2308,(N2308:P2308,Q2308:AE2308)),0)</f>
        <v>5</v>
      </c>
      <c r="AY2308" s="5">
        <f>IF(T2308&gt;0,RANK(T2308,(N2308:P2308,Q2308:AE2308)),0)</f>
        <v>0</v>
      </c>
      <c r="AZ2308" s="5">
        <f>IF(S2308&gt;0,RANK(S2308,(N2308:P2308,Q2308:AE2308)),0)</f>
        <v>0</v>
      </c>
      <c r="BA2308" s="2">
        <f t="shared" si="957"/>
        <v>4.8156682027649771E-2</v>
      </c>
      <c r="BB2308" s="2">
        <f t="shared" si="958"/>
        <v>1.1059907834101382E-2</v>
      </c>
      <c r="BC2308" s="2">
        <f t="shared" si="959"/>
        <v>0</v>
      </c>
      <c r="BD2308" s="2">
        <f t="shared" si="960"/>
        <v>0</v>
      </c>
      <c r="BF2308" t="s">
        <v>1417</v>
      </c>
      <c r="BG2308" t="s">
        <v>2272</v>
      </c>
      <c r="BH2308">
        <v>2</v>
      </c>
      <c r="BJ2308" s="114">
        <v>41</v>
      </c>
      <c r="BK2308" s="116">
        <v>23</v>
      </c>
      <c r="BL2308" s="120">
        <f t="shared" si="942"/>
        <v>41023</v>
      </c>
      <c r="BN2308" s="5" t="s">
        <v>3154</v>
      </c>
      <c r="BR2308" s="63"/>
      <c r="BS2308" s="63"/>
      <c r="BT2308" s="63">
        <f t="shared" si="961"/>
        <v>-4340</v>
      </c>
      <c r="CA2308"/>
    </row>
    <row r="2309" spans="1:79" hidden="1" outlineLevel="1">
      <c r="A2309" t="s">
        <v>1269</v>
      </c>
      <c r="B2309" t="s">
        <v>2272</v>
      </c>
      <c r="C2309" s="1">
        <f t="shared" si="952"/>
        <v>3974</v>
      </c>
      <c r="D2309" s="5">
        <f>IF(N2309&gt;0, RANK(N2309,(N2309:P2309,Q2309:AE2309)),0)</f>
        <v>2</v>
      </c>
      <c r="E2309" s="5">
        <f>IF(O2309&gt;0,RANK(O2309,(N2309:P2309,Q2309:AE2309)),0)</f>
        <v>1</v>
      </c>
      <c r="F2309" s="5">
        <f>IF(P2309&gt;0,RANK(P2309,(N2309:P2309,Q2309:AE2309)),0)</f>
        <v>0</v>
      </c>
      <c r="G2309" s="132">
        <f t="shared" si="931"/>
        <v>2229</v>
      </c>
      <c r="H2309" s="137">
        <f t="shared" si="932"/>
        <v>0.56089582284851536</v>
      </c>
      <c r="I2309" s="2"/>
      <c r="J2309" s="2">
        <f t="shared" si="953"/>
        <v>0.17186713638651233</v>
      </c>
      <c r="K2309" s="2">
        <f t="shared" si="954"/>
        <v>0.73276295923502766</v>
      </c>
      <c r="L2309" s="2">
        <f t="shared" si="955"/>
        <v>0</v>
      </c>
      <c r="M2309" s="2">
        <f t="shared" si="956"/>
        <v>9.5369904378460046E-2</v>
      </c>
      <c r="N2309" s="63">
        <v>683</v>
      </c>
      <c r="O2309" s="63">
        <v>2912</v>
      </c>
      <c r="P2309" s="63"/>
      <c r="Q2309" s="63">
        <v>222</v>
      </c>
      <c r="R2309" s="63">
        <v>42</v>
      </c>
      <c r="S2309" s="63"/>
      <c r="T2309" s="63"/>
      <c r="U2309" s="63"/>
      <c r="V2309" s="63"/>
      <c r="W2309">
        <v>115</v>
      </c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W2309" s="5">
        <f>IF(Q2309&gt;0,RANK(Q2309,(N2309:P2309,Q2309:AE2309)),0)</f>
        <v>3</v>
      </c>
      <c r="AX2309" s="5">
        <f>IF(R2309&gt;0,RANK(R2309,(N2309:P2309,Q2309:AE2309)),0)</f>
        <v>5</v>
      </c>
      <c r="AY2309" s="5">
        <f>IF(T2309&gt;0,RANK(T2309,(N2309:P2309,Q2309:AE2309)),0)</f>
        <v>0</v>
      </c>
      <c r="AZ2309" s="5">
        <f>IF(S2309&gt;0,RANK(S2309,(N2309:P2309,Q2309:AE2309)),0)</f>
        <v>0</v>
      </c>
      <c r="BA2309" s="2">
        <f t="shared" si="957"/>
        <v>5.5863110216406643E-2</v>
      </c>
      <c r="BB2309" s="2">
        <f t="shared" si="958"/>
        <v>1.0568696527428284E-2</v>
      </c>
      <c r="BC2309" s="2">
        <f t="shared" si="959"/>
        <v>0</v>
      </c>
      <c r="BD2309" s="2">
        <f t="shared" si="960"/>
        <v>0</v>
      </c>
      <c r="BF2309" t="s">
        <v>1269</v>
      </c>
      <c r="BG2309" t="s">
        <v>2272</v>
      </c>
      <c r="BH2309">
        <v>2</v>
      </c>
      <c r="BJ2309" s="114">
        <v>41</v>
      </c>
      <c r="BK2309" s="116">
        <v>25</v>
      </c>
      <c r="BL2309" s="120">
        <f t="shared" si="942"/>
        <v>41025</v>
      </c>
      <c r="BN2309" s="5" t="s">
        <v>3154</v>
      </c>
      <c r="BQ2309" s="132" t="s">
        <v>3253</v>
      </c>
      <c r="BR2309" s="63"/>
      <c r="BS2309" s="63"/>
      <c r="BT2309" s="63">
        <f t="shared" si="961"/>
        <v>-3974</v>
      </c>
      <c r="CA2309"/>
    </row>
    <row r="2310" spans="1:79" hidden="1" outlineLevel="1">
      <c r="A2310" t="s">
        <v>2332</v>
      </c>
      <c r="B2310" t="s">
        <v>2272</v>
      </c>
      <c r="C2310" s="1">
        <f t="shared" si="952"/>
        <v>10910</v>
      </c>
      <c r="D2310" s="5">
        <f>IF(N2310&gt;0, RANK(N2310,(N2310:P2310,Q2310:AE2310)),0)</f>
        <v>1</v>
      </c>
      <c r="E2310" s="5">
        <f>IF(O2310&gt;0,RANK(O2310,(N2310:P2310,Q2310:AE2310)),0)</f>
        <v>2</v>
      </c>
      <c r="F2310" s="5">
        <f>IF(P2310&gt;0,RANK(P2310,(N2310:P2310,Q2310:AE2310)),0)</f>
        <v>0</v>
      </c>
      <c r="G2310" s="132">
        <f t="shared" si="931"/>
        <v>3238</v>
      </c>
      <c r="H2310" s="137">
        <f t="shared" si="932"/>
        <v>0.29679193400549952</v>
      </c>
      <c r="I2310" s="2"/>
      <c r="J2310" s="2">
        <f t="shared" si="953"/>
        <v>0.59670027497708522</v>
      </c>
      <c r="K2310" s="2">
        <f t="shared" si="954"/>
        <v>0.2999083409715857</v>
      </c>
      <c r="L2310" s="2">
        <f t="shared" si="955"/>
        <v>0</v>
      </c>
      <c r="M2310" s="2">
        <f t="shared" si="956"/>
        <v>0.10339138405132908</v>
      </c>
      <c r="N2310" s="63">
        <v>6510</v>
      </c>
      <c r="O2310" s="63">
        <v>3272</v>
      </c>
      <c r="P2310" s="63"/>
      <c r="Q2310" s="63">
        <v>511</v>
      </c>
      <c r="R2310" s="63">
        <v>300</v>
      </c>
      <c r="S2310" s="63"/>
      <c r="T2310" s="63"/>
      <c r="U2310" s="63"/>
      <c r="V2310" s="63"/>
      <c r="W2310">
        <v>317</v>
      </c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W2310" s="5">
        <f>IF(Q2310&gt;0,RANK(Q2310,(N2310:P2310,Q2310:AE2310)),0)</f>
        <v>3</v>
      </c>
      <c r="AX2310" s="5">
        <f>IF(R2310&gt;0,RANK(R2310,(N2310:P2310,Q2310:AE2310)),0)</f>
        <v>5</v>
      </c>
      <c r="AY2310" s="5">
        <f>IF(T2310&gt;0,RANK(T2310,(N2310:P2310,Q2310:AE2310)),0)</f>
        <v>0</v>
      </c>
      <c r="AZ2310" s="5">
        <f>IF(S2310&gt;0,RANK(S2310,(N2310:P2310,Q2310:AE2310)),0)</f>
        <v>0</v>
      </c>
      <c r="BA2310" s="2">
        <f t="shared" si="957"/>
        <v>4.6837763519706692E-2</v>
      </c>
      <c r="BB2310" s="2">
        <f t="shared" si="958"/>
        <v>2.7497708524289642E-2</v>
      </c>
      <c r="BC2310" s="2">
        <f t="shared" si="959"/>
        <v>0</v>
      </c>
      <c r="BD2310" s="2">
        <f t="shared" si="960"/>
        <v>0</v>
      </c>
      <c r="BF2310" t="s">
        <v>2332</v>
      </c>
      <c r="BG2310" t="s">
        <v>2272</v>
      </c>
      <c r="BH2310">
        <v>2</v>
      </c>
      <c r="BJ2310" s="114">
        <v>41</v>
      </c>
      <c r="BK2310" s="116">
        <v>27</v>
      </c>
      <c r="BL2310" s="120">
        <f t="shared" si="942"/>
        <v>41027</v>
      </c>
      <c r="BN2310" s="5" t="s">
        <v>3154</v>
      </c>
      <c r="BQ2310" s="132" t="s">
        <v>3253</v>
      </c>
      <c r="BR2310" s="63"/>
      <c r="BS2310" s="63"/>
      <c r="BT2310" s="63">
        <f t="shared" si="961"/>
        <v>-10910</v>
      </c>
      <c r="CA2310"/>
    </row>
    <row r="2311" spans="1:79" hidden="1" outlineLevel="1">
      <c r="A2311" t="s">
        <v>2921</v>
      </c>
      <c r="B2311" t="s">
        <v>2272</v>
      </c>
      <c r="C2311" s="1">
        <f t="shared" si="952"/>
        <v>109327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32">
        <f t="shared" si="931"/>
        <v>9423</v>
      </c>
      <c r="H2311" s="137">
        <f t="shared" si="932"/>
        <v>8.6190968379265875E-2</v>
      </c>
      <c r="I2311" s="2"/>
      <c r="J2311" s="2">
        <f t="shared" si="953"/>
        <v>0.40655098923413246</v>
      </c>
      <c r="K2311" s="2">
        <f t="shared" si="954"/>
        <v>0.49274195761339834</v>
      </c>
      <c r="L2311" s="2">
        <f t="shared" si="955"/>
        <v>0</v>
      </c>
      <c r="M2311" s="2">
        <f t="shared" si="956"/>
        <v>0.10070705315246919</v>
      </c>
      <c r="N2311" s="63">
        <v>44447</v>
      </c>
      <c r="O2311" s="63">
        <v>53870</v>
      </c>
      <c r="P2311" s="63"/>
      <c r="Q2311" s="63">
        <v>4373</v>
      </c>
      <c r="R2311" s="63">
        <v>2996</v>
      </c>
      <c r="S2311" s="63"/>
      <c r="T2311" s="63"/>
      <c r="U2311" s="63"/>
      <c r="V2311" s="63"/>
      <c r="W2311">
        <v>3641</v>
      </c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W2311" s="5">
        <f>IF(Q2311&gt;0,RANK(Q2311,(N2311:P2311,Q2311:AE2311)),0)</f>
        <v>3</v>
      </c>
      <c r="AX2311" s="5">
        <f>IF(R2311&gt;0,RANK(R2311,(N2311:P2311,Q2311:AE2311)),0)</f>
        <v>5</v>
      </c>
      <c r="AY2311" s="5">
        <f>IF(T2311&gt;0,RANK(T2311,(N2311:P2311,Q2311:AE2311)),0)</f>
        <v>0</v>
      </c>
      <c r="AZ2311" s="5">
        <f>IF(S2311&gt;0,RANK(S2311,(N2311:P2311,Q2311:AE2311)),0)</f>
        <v>0</v>
      </c>
      <c r="BA2311" s="2">
        <f t="shared" si="957"/>
        <v>3.9999268250294984E-2</v>
      </c>
      <c r="BB2311" s="2">
        <f t="shared" si="958"/>
        <v>2.7404026452751837E-2</v>
      </c>
      <c r="BC2311" s="2">
        <f t="shared" si="959"/>
        <v>0</v>
      </c>
      <c r="BD2311" s="2">
        <f t="shared" si="960"/>
        <v>0</v>
      </c>
      <c r="BF2311" t="s">
        <v>2921</v>
      </c>
      <c r="BG2311" t="s">
        <v>2272</v>
      </c>
      <c r="BH2311">
        <v>2</v>
      </c>
      <c r="BJ2311" s="114">
        <v>41</v>
      </c>
      <c r="BK2311" s="116">
        <v>29</v>
      </c>
      <c r="BL2311" s="120">
        <f t="shared" si="942"/>
        <v>41029</v>
      </c>
      <c r="BN2311" s="5" t="s">
        <v>3154</v>
      </c>
      <c r="BO2311" s="63">
        <v>1557</v>
      </c>
      <c r="BP2311" s="63">
        <v>46</v>
      </c>
      <c r="BR2311" s="63"/>
      <c r="BS2311" s="63">
        <v>110928</v>
      </c>
      <c r="BT2311" s="63">
        <f t="shared" si="961"/>
        <v>-2</v>
      </c>
      <c r="CA2311"/>
    </row>
    <row r="2312" spans="1:79" hidden="1" outlineLevel="1">
      <c r="A2312" t="s">
        <v>1092</v>
      </c>
      <c r="B2312" t="s">
        <v>2272</v>
      </c>
      <c r="C2312" s="1">
        <f t="shared" si="952"/>
        <v>9459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32">
        <f t="shared" ref="G2312:G2375" si="962">IF(C2312&gt;0,MAX(N2312:P2312)-LARGE(N2312:P2312,2),0)</f>
        <v>2503</v>
      </c>
      <c r="H2312" s="137">
        <f t="shared" ref="H2312:H2375" si="963">IF(C2312&gt;0,G2312/C2312,0)</f>
        <v>0.26461570990590971</v>
      </c>
      <c r="I2312" s="2"/>
      <c r="J2312" s="2">
        <f t="shared" si="953"/>
        <v>0.31504387355957292</v>
      </c>
      <c r="K2312" s="2">
        <f t="shared" si="954"/>
        <v>0.57965958346548263</v>
      </c>
      <c r="L2312" s="2">
        <f t="shared" si="955"/>
        <v>0</v>
      </c>
      <c r="M2312" s="2">
        <f t="shared" si="956"/>
        <v>0.10529654297494451</v>
      </c>
      <c r="N2312" s="63">
        <v>2980</v>
      </c>
      <c r="O2312" s="63">
        <v>5483</v>
      </c>
      <c r="P2312" s="63"/>
      <c r="Q2312" s="63">
        <v>493</v>
      </c>
      <c r="R2312" s="63">
        <v>182</v>
      </c>
      <c r="S2312" s="63"/>
      <c r="T2312" s="63"/>
      <c r="U2312" s="63"/>
      <c r="V2312" s="63"/>
      <c r="W2312">
        <v>321</v>
      </c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W2312" s="5">
        <f>IF(Q2312&gt;0,RANK(Q2312,(N2312:P2312,Q2312:AE2312)),0)</f>
        <v>3</v>
      </c>
      <c r="AX2312" s="5">
        <f>IF(R2312&gt;0,RANK(R2312,(N2312:P2312,Q2312:AE2312)),0)</f>
        <v>5</v>
      </c>
      <c r="AY2312" s="5">
        <f>IF(T2312&gt;0,RANK(T2312,(N2312:P2312,Q2312:AE2312)),0)</f>
        <v>0</v>
      </c>
      <c r="AZ2312" s="5">
        <f>IF(S2312&gt;0,RANK(S2312,(N2312:P2312,Q2312:AE2312)),0)</f>
        <v>0</v>
      </c>
      <c r="BA2312" s="2">
        <f t="shared" si="957"/>
        <v>5.2119674384184377E-2</v>
      </c>
      <c r="BB2312" s="2">
        <f t="shared" si="958"/>
        <v>1.9240934559678614E-2</v>
      </c>
      <c r="BC2312" s="2">
        <f t="shared" si="959"/>
        <v>0</v>
      </c>
      <c r="BD2312" s="2">
        <f t="shared" si="960"/>
        <v>0</v>
      </c>
      <c r="BF2312" t="s">
        <v>1092</v>
      </c>
      <c r="BG2312" t="s">
        <v>2272</v>
      </c>
      <c r="BH2312">
        <v>2</v>
      </c>
      <c r="BJ2312" s="114">
        <v>41</v>
      </c>
      <c r="BK2312" s="116">
        <v>31</v>
      </c>
      <c r="BL2312" s="120">
        <f t="shared" si="942"/>
        <v>41031</v>
      </c>
      <c r="BN2312" s="5" t="s">
        <v>3154</v>
      </c>
      <c r="BR2312" s="63"/>
      <c r="BS2312" s="63"/>
      <c r="BT2312" s="63">
        <f t="shared" si="961"/>
        <v>-9459</v>
      </c>
      <c r="CA2312"/>
    </row>
    <row r="2313" spans="1:79" hidden="1" outlineLevel="1">
      <c r="A2313" t="s">
        <v>61</v>
      </c>
      <c r="B2313" t="s">
        <v>2272</v>
      </c>
      <c r="C2313" s="1">
        <f t="shared" si="952"/>
        <v>44560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32">
        <f t="shared" si="962"/>
        <v>13470</v>
      </c>
      <c r="H2313" s="137">
        <f t="shared" si="963"/>
        <v>0.3022890484739677</v>
      </c>
      <c r="I2313" s="2"/>
      <c r="J2313" s="2">
        <f t="shared" si="953"/>
        <v>0.30190754039497308</v>
      </c>
      <c r="K2313" s="2">
        <f t="shared" si="954"/>
        <v>0.60419658886894079</v>
      </c>
      <c r="L2313" s="2">
        <f t="shared" si="955"/>
        <v>0</v>
      </c>
      <c r="M2313" s="2">
        <f t="shared" si="956"/>
        <v>9.3895870736086073E-2</v>
      </c>
      <c r="N2313" s="63">
        <v>13453</v>
      </c>
      <c r="O2313" s="63">
        <v>26923</v>
      </c>
      <c r="P2313" s="63"/>
      <c r="Q2313" s="63">
        <v>1829</v>
      </c>
      <c r="R2313" s="63">
        <v>1057</v>
      </c>
      <c r="S2313" s="63"/>
      <c r="T2313" s="63"/>
      <c r="U2313" s="63"/>
      <c r="V2313" s="63"/>
      <c r="W2313">
        <v>1298</v>
      </c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W2313" s="5">
        <f>IF(Q2313&gt;0,RANK(Q2313,(N2313:P2313,Q2313:AE2313)),0)</f>
        <v>3</v>
      </c>
      <c r="AX2313" s="5">
        <f>IF(R2313&gt;0,RANK(R2313,(N2313:P2313,Q2313:AE2313)),0)</f>
        <v>5</v>
      </c>
      <c r="AY2313" s="5">
        <f>IF(T2313&gt;0,RANK(T2313,(N2313:P2313,Q2313:AE2313)),0)</f>
        <v>0</v>
      </c>
      <c r="AZ2313" s="5">
        <f>IF(S2313&gt;0,RANK(S2313,(N2313:P2313,Q2313:AE2313)),0)</f>
        <v>0</v>
      </c>
      <c r="BA2313" s="2">
        <f t="shared" si="957"/>
        <v>4.1045780969479355E-2</v>
      </c>
      <c r="BB2313" s="2">
        <f t="shared" si="958"/>
        <v>2.3720825852782765E-2</v>
      </c>
      <c r="BC2313" s="2">
        <f t="shared" si="959"/>
        <v>0</v>
      </c>
      <c r="BD2313" s="2">
        <f t="shared" si="960"/>
        <v>0</v>
      </c>
      <c r="BF2313" t="s">
        <v>61</v>
      </c>
      <c r="BG2313" t="s">
        <v>2272</v>
      </c>
      <c r="BJ2313" s="114">
        <v>41</v>
      </c>
      <c r="BK2313" s="116">
        <v>33</v>
      </c>
      <c r="BL2313" s="120">
        <f t="shared" si="942"/>
        <v>41033</v>
      </c>
      <c r="BN2313" s="5" t="s">
        <v>3154</v>
      </c>
      <c r="BR2313" s="63"/>
      <c r="BS2313" s="63"/>
      <c r="BT2313" s="63">
        <f t="shared" si="961"/>
        <v>-44560</v>
      </c>
      <c r="CA2313"/>
    </row>
    <row r="2314" spans="1:79" hidden="1" outlineLevel="1">
      <c r="A2314" t="s">
        <v>1180</v>
      </c>
      <c r="B2314" t="s">
        <v>2272</v>
      </c>
      <c r="C2314" s="1">
        <f t="shared" si="952"/>
        <v>30507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32">
        <f t="shared" si="962"/>
        <v>13225</v>
      </c>
      <c r="H2314" s="137">
        <f t="shared" si="963"/>
        <v>0.43350706395253547</v>
      </c>
      <c r="I2314" s="2"/>
      <c r="J2314" s="2">
        <f t="shared" si="953"/>
        <v>0.23633920083915166</v>
      </c>
      <c r="K2314" s="2">
        <f t="shared" si="954"/>
        <v>0.66984626479168718</v>
      </c>
      <c r="L2314" s="2">
        <f t="shared" si="955"/>
        <v>0</v>
      </c>
      <c r="M2314" s="2">
        <f t="shared" si="956"/>
        <v>9.3814534369161207E-2</v>
      </c>
      <c r="N2314" s="63">
        <v>7210</v>
      </c>
      <c r="O2314" s="63">
        <v>20435</v>
      </c>
      <c r="P2314" s="63"/>
      <c r="Q2314" s="63">
        <v>1525</v>
      </c>
      <c r="R2314" s="63">
        <v>508</v>
      </c>
      <c r="S2314" s="63"/>
      <c r="T2314" s="63"/>
      <c r="U2314" s="63"/>
      <c r="V2314" s="63"/>
      <c r="W2314">
        <v>829</v>
      </c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W2314" s="5">
        <f>IF(Q2314&gt;0,RANK(Q2314,(N2314:P2314,Q2314:AE2314)),0)</f>
        <v>3</v>
      </c>
      <c r="AX2314" s="5">
        <f>IF(R2314&gt;0,RANK(R2314,(N2314:P2314,Q2314:AE2314)),0)</f>
        <v>5</v>
      </c>
      <c r="AY2314" s="5">
        <f>IF(T2314&gt;0,RANK(T2314,(N2314:P2314,Q2314:AE2314)),0)</f>
        <v>0</v>
      </c>
      <c r="AZ2314" s="5">
        <f>IF(S2314&gt;0,RANK(S2314,(N2314:P2314,Q2314:AE2314)),0)</f>
        <v>0</v>
      </c>
      <c r="BA2314" s="2">
        <f t="shared" si="957"/>
        <v>4.9988527223260235E-2</v>
      </c>
      <c r="BB2314" s="2">
        <f t="shared" si="958"/>
        <v>1.665191595371554E-2</v>
      </c>
      <c r="BC2314" s="2">
        <f t="shared" si="959"/>
        <v>0</v>
      </c>
      <c r="BD2314" s="2">
        <f t="shared" si="960"/>
        <v>0</v>
      </c>
      <c r="BF2314" t="s">
        <v>1180</v>
      </c>
      <c r="BG2314" t="s">
        <v>2272</v>
      </c>
      <c r="BH2314">
        <v>2</v>
      </c>
      <c r="BJ2314" s="114">
        <v>41</v>
      </c>
      <c r="BK2314" s="116">
        <v>35</v>
      </c>
      <c r="BL2314" s="120">
        <f t="shared" si="942"/>
        <v>41035</v>
      </c>
      <c r="BN2314" s="5" t="s">
        <v>3154</v>
      </c>
      <c r="BR2314" s="63"/>
      <c r="BS2314" s="63"/>
      <c r="BT2314" s="63">
        <f t="shared" si="961"/>
        <v>-30507</v>
      </c>
      <c r="CA2314"/>
    </row>
    <row r="2315" spans="1:79" hidden="1" outlineLevel="1">
      <c r="A2315" t="s">
        <v>820</v>
      </c>
      <c r="B2315" t="s">
        <v>2272</v>
      </c>
      <c r="C2315" s="1">
        <f t="shared" si="952"/>
        <v>3930</v>
      </c>
      <c r="D2315" s="5">
        <f>IF(N2315&gt;0, RANK(N2315,(N2315:P2315,Q2315:AE2315)),0)</f>
        <v>2</v>
      </c>
      <c r="E2315" s="5">
        <f>IF(O2315&gt;0,RANK(O2315,(N2315:P2315,Q2315:AE2315)),0)</f>
        <v>1</v>
      </c>
      <c r="F2315" s="5">
        <f>IF(P2315&gt;0,RANK(P2315,(N2315:P2315,Q2315:AE2315)),0)</f>
        <v>0</v>
      </c>
      <c r="G2315" s="132">
        <f t="shared" si="962"/>
        <v>2383</v>
      </c>
      <c r="H2315" s="137">
        <f t="shared" si="963"/>
        <v>0.60636132315521629</v>
      </c>
      <c r="I2315" s="2"/>
      <c r="J2315" s="2">
        <f t="shared" si="953"/>
        <v>0.16259541984732825</v>
      </c>
      <c r="K2315" s="2">
        <f t="shared" si="954"/>
        <v>0.76895674300254457</v>
      </c>
      <c r="L2315" s="2">
        <f t="shared" si="955"/>
        <v>0</v>
      </c>
      <c r="M2315" s="2">
        <f t="shared" si="956"/>
        <v>6.8447837150127144E-2</v>
      </c>
      <c r="N2315" s="63">
        <v>639</v>
      </c>
      <c r="O2315" s="63">
        <v>3022</v>
      </c>
      <c r="P2315" s="63"/>
      <c r="Q2315" s="63">
        <v>151</v>
      </c>
      <c r="R2315" s="63">
        <v>42</v>
      </c>
      <c r="S2315" s="63"/>
      <c r="T2315" s="63"/>
      <c r="U2315" s="63"/>
      <c r="V2315" s="63"/>
      <c r="W2315">
        <v>76</v>
      </c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W2315" s="5">
        <f>IF(Q2315&gt;0,RANK(Q2315,(N2315:P2315,Q2315:AE2315)),0)</f>
        <v>3</v>
      </c>
      <c r="AX2315" s="5">
        <f>IF(R2315&gt;0,RANK(R2315,(N2315:P2315,Q2315:AE2315)),0)</f>
        <v>5</v>
      </c>
      <c r="AY2315" s="5">
        <f>IF(T2315&gt;0,RANK(T2315,(N2315:P2315,Q2315:AE2315)),0)</f>
        <v>0</v>
      </c>
      <c r="AZ2315" s="5">
        <f>IF(S2315&gt;0,RANK(S2315,(N2315:P2315,Q2315:AE2315)),0)</f>
        <v>0</v>
      </c>
      <c r="BA2315" s="2">
        <f t="shared" si="957"/>
        <v>3.8422391857506365E-2</v>
      </c>
      <c r="BB2315" s="2">
        <f t="shared" si="958"/>
        <v>1.0687022900763359E-2</v>
      </c>
      <c r="BC2315" s="2">
        <f t="shared" si="959"/>
        <v>0</v>
      </c>
      <c r="BD2315" s="2">
        <f t="shared" si="960"/>
        <v>0</v>
      </c>
      <c r="BF2315" t="s">
        <v>820</v>
      </c>
      <c r="BG2315" t="s">
        <v>2272</v>
      </c>
      <c r="BH2315">
        <v>2</v>
      </c>
      <c r="BJ2315" s="114">
        <v>41</v>
      </c>
      <c r="BK2315" s="116">
        <v>37</v>
      </c>
      <c r="BL2315" s="120">
        <f t="shared" si="942"/>
        <v>41037</v>
      </c>
      <c r="BN2315" s="5" t="s">
        <v>3154</v>
      </c>
      <c r="BQ2315" s="132" t="s">
        <v>3253</v>
      </c>
      <c r="BR2315" s="63"/>
      <c r="BS2315" s="63"/>
      <c r="BT2315" s="63">
        <f t="shared" si="961"/>
        <v>-3930</v>
      </c>
      <c r="CA2315"/>
    </row>
    <row r="2316" spans="1:79" hidden="1" outlineLevel="1">
      <c r="A2316" t="s">
        <v>1863</v>
      </c>
      <c r="B2316" t="s">
        <v>2272</v>
      </c>
      <c r="C2316" s="1">
        <f t="shared" si="952"/>
        <v>191950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32">
        <f t="shared" si="962"/>
        <v>35612</v>
      </c>
      <c r="H2316" s="137">
        <f t="shared" si="963"/>
        <v>0.18552748111487366</v>
      </c>
      <c r="I2316" s="2"/>
      <c r="J2316" s="2">
        <f t="shared" si="953"/>
        <v>0.53531127897890074</v>
      </c>
      <c r="K2316" s="2">
        <f t="shared" si="954"/>
        <v>0.34978379786402708</v>
      </c>
      <c r="L2316" s="2">
        <f t="shared" si="955"/>
        <v>0</v>
      </c>
      <c r="M2316" s="2">
        <f t="shared" si="956"/>
        <v>0.11490492315707218</v>
      </c>
      <c r="N2316" s="63">
        <v>102753</v>
      </c>
      <c r="O2316" s="63">
        <v>67141</v>
      </c>
      <c r="P2316" s="63"/>
      <c r="Q2316" s="63">
        <v>8476</v>
      </c>
      <c r="R2316" s="63">
        <v>6302</v>
      </c>
      <c r="S2316" s="63"/>
      <c r="T2316" s="63"/>
      <c r="U2316" s="63"/>
      <c r="V2316" s="63"/>
      <c r="W2316" s="1">
        <v>7278</v>
      </c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W2316" s="5">
        <f>IF(Q2316&gt;0,RANK(Q2316,(N2316:P2316,Q2316:AE2316)),0)</f>
        <v>3</v>
      </c>
      <c r="AX2316" s="5">
        <f>IF(R2316&gt;0,RANK(R2316,(N2316:P2316,Q2316:AE2316)),0)</f>
        <v>5</v>
      </c>
      <c r="AY2316" s="5">
        <f>IF(T2316&gt;0,RANK(T2316,(N2316:P2316,Q2316:AE2316)),0)</f>
        <v>0</v>
      </c>
      <c r="AZ2316" s="5">
        <f>IF(S2316&gt;0,RANK(S2316,(N2316:P2316,Q2316:AE2316)),0)</f>
        <v>0</v>
      </c>
      <c r="BA2316" s="2">
        <f t="shared" si="957"/>
        <v>4.4157332638707997E-2</v>
      </c>
      <c r="BB2316" s="2">
        <f t="shared" si="958"/>
        <v>3.2831466527741597E-2</v>
      </c>
      <c r="BC2316" s="2">
        <f t="shared" si="959"/>
        <v>0</v>
      </c>
      <c r="BD2316" s="2">
        <f t="shared" si="960"/>
        <v>0</v>
      </c>
      <c r="BF2316" t="s">
        <v>1863</v>
      </c>
      <c r="BG2316" t="s">
        <v>2272</v>
      </c>
      <c r="BH2316">
        <v>4</v>
      </c>
      <c r="BJ2316" s="114">
        <v>41</v>
      </c>
      <c r="BK2316" s="116">
        <v>39</v>
      </c>
      <c r="BL2316" s="120">
        <f t="shared" si="942"/>
        <v>41039</v>
      </c>
      <c r="BN2316" s="5" t="s">
        <v>3154</v>
      </c>
      <c r="BR2316" s="63"/>
      <c r="BS2316" s="63"/>
      <c r="BT2316" s="63">
        <f t="shared" si="961"/>
        <v>-191950</v>
      </c>
      <c r="CA2316" s="1"/>
    </row>
    <row r="2317" spans="1:79" hidden="1" outlineLevel="1">
      <c r="A2317" t="s">
        <v>1597</v>
      </c>
      <c r="B2317" t="s">
        <v>2272</v>
      </c>
      <c r="C2317" s="1">
        <f t="shared" si="952"/>
        <v>25256</v>
      </c>
      <c r="D2317" s="5">
        <f>IF(N2317&gt;0, RANK(N2317,(N2317:P2317,Q2317:AE2317)),0)</f>
        <v>1</v>
      </c>
      <c r="E2317" s="5">
        <f>IF(O2317&gt;0,RANK(O2317,(N2317:P2317,Q2317:AE2317)),0)</f>
        <v>2</v>
      </c>
      <c r="F2317" s="5">
        <f>IF(P2317&gt;0,RANK(P2317,(N2317:P2317,Q2317:AE2317)),0)</f>
        <v>0</v>
      </c>
      <c r="G2317" s="132">
        <f t="shared" si="962"/>
        <v>2462</v>
      </c>
      <c r="H2317" s="137">
        <f t="shared" si="963"/>
        <v>9.7481786506176754E-2</v>
      </c>
      <c r="I2317" s="2"/>
      <c r="J2317" s="2">
        <f t="shared" si="953"/>
        <v>0.49497149192271145</v>
      </c>
      <c r="K2317" s="2">
        <f t="shared" si="954"/>
        <v>0.39748970541653467</v>
      </c>
      <c r="L2317" s="2">
        <f t="shared" si="955"/>
        <v>0</v>
      </c>
      <c r="M2317" s="2">
        <f t="shared" si="956"/>
        <v>0.10753880266075383</v>
      </c>
      <c r="N2317" s="63">
        <v>12501</v>
      </c>
      <c r="O2317" s="63">
        <v>10039</v>
      </c>
      <c r="P2317" s="63"/>
      <c r="Q2317" s="63">
        <v>1130</v>
      </c>
      <c r="R2317" s="63">
        <v>748</v>
      </c>
      <c r="S2317" s="63"/>
      <c r="T2317" s="63"/>
      <c r="U2317" s="63"/>
      <c r="V2317" s="63"/>
      <c r="W2317">
        <v>838</v>
      </c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W2317" s="5">
        <f>IF(Q2317&gt;0,RANK(Q2317,(N2317:P2317,Q2317:AE2317)),0)</f>
        <v>3</v>
      </c>
      <c r="AX2317" s="5">
        <f>IF(R2317&gt;0,RANK(R2317,(N2317:P2317,Q2317:AE2317)),0)</f>
        <v>5</v>
      </c>
      <c r="AY2317" s="5">
        <f>IF(T2317&gt;0,RANK(T2317,(N2317:P2317,Q2317:AE2317)),0)</f>
        <v>0</v>
      </c>
      <c r="AZ2317" s="5">
        <f>IF(S2317&gt;0,RANK(S2317,(N2317:P2317,Q2317:AE2317)),0)</f>
        <v>0</v>
      </c>
      <c r="BA2317" s="2">
        <f t="shared" si="957"/>
        <v>4.4741843522331327E-2</v>
      </c>
      <c r="BB2317" s="2">
        <f t="shared" si="958"/>
        <v>2.9616724738675958E-2</v>
      </c>
      <c r="BC2317" s="2">
        <f t="shared" si="959"/>
        <v>0</v>
      </c>
      <c r="BD2317" s="2">
        <f t="shared" si="960"/>
        <v>0</v>
      </c>
      <c r="BF2317" t="s">
        <v>1597</v>
      </c>
      <c r="BG2317" t="s">
        <v>2272</v>
      </c>
      <c r="BH2317">
        <v>5</v>
      </c>
      <c r="BJ2317" s="114">
        <v>41</v>
      </c>
      <c r="BK2317" s="116">
        <v>41</v>
      </c>
      <c r="BL2317" s="120">
        <f t="shared" si="942"/>
        <v>41041</v>
      </c>
      <c r="BN2317" s="5" t="s">
        <v>3154</v>
      </c>
      <c r="BQ2317" s="132" t="s">
        <v>3253</v>
      </c>
      <c r="BR2317" s="63"/>
      <c r="BS2317" s="63"/>
      <c r="BT2317" s="63">
        <f t="shared" si="961"/>
        <v>-25256</v>
      </c>
      <c r="CA2317"/>
    </row>
    <row r="2318" spans="1:79" hidden="1" outlineLevel="1">
      <c r="A2318" t="s">
        <v>1421</v>
      </c>
      <c r="B2318" t="s">
        <v>2272</v>
      </c>
      <c r="C2318" s="1">
        <f t="shared" si="952"/>
        <v>58719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32">
        <f t="shared" si="962"/>
        <v>15493</v>
      </c>
      <c r="H2318" s="137">
        <f t="shared" si="963"/>
        <v>0.26384986120335835</v>
      </c>
      <c r="I2318" s="2"/>
      <c r="J2318" s="2">
        <f t="shared" si="953"/>
        <v>0.30645957867129892</v>
      </c>
      <c r="K2318" s="2">
        <f t="shared" si="954"/>
        <v>0.57030943987465732</v>
      </c>
      <c r="L2318" s="2">
        <f t="shared" si="955"/>
        <v>0</v>
      </c>
      <c r="M2318" s="2">
        <f t="shared" si="956"/>
        <v>0.12323098145404376</v>
      </c>
      <c r="N2318" s="63">
        <v>17995</v>
      </c>
      <c r="O2318" s="63">
        <v>33488</v>
      </c>
      <c r="P2318" s="63"/>
      <c r="Q2318" s="63">
        <v>3431</v>
      </c>
      <c r="R2318" s="63">
        <v>1339</v>
      </c>
      <c r="S2318" s="63"/>
      <c r="T2318" s="63"/>
      <c r="U2318" s="63"/>
      <c r="V2318" s="63"/>
      <c r="W2318">
        <v>2466</v>
      </c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W2318" s="5">
        <f>IF(Q2318&gt;0,RANK(Q2318,(N2318:P2318,Q2318:AE2318)),0)</f>
        <v>3</v>
      </c>
      <c r="AX2318" s="5">
        <f>IF(R2318&gt;0,RANK(R2318,(N2318:P2318,Q2318:AE2318)),0)</f>
        <v>5</v>
      </c>
      <c r="AY2318" s="5">
        <f>IF(T2318&gt;0,RANK(T2318,(N2318:P2318,Q2318:AE2318)),0)</f>
        <v>0</v>
      </c>
      <c r="AZ2318" s="5">
        <f>IF(S2318&gt;0,RANK(S2318,(N2318:P2318,Q2318:AE2318)),0)</f>
        <v>0</v>
      </c>
      <c r="BA2318" s="2">
        <f t="shared" si="957"/>
        <v>5.8430831587731401E-2</v>
      </c>
      <c r="BB2318" s="2">
        <f t="shared" si="958"/>
        <v>2.2803521858342276E-2</v>
      </c>
      <c r="BC2318" s="2">
        <f t="shared" si="959"/>
        <v>0</v>
      </c>
      <c r="BD2318" s="2">
        <f t="shared" si="960"/>
        <v>0</v>
      </c>
      <c r="BF2318" t="s">
        <v>1421</v>
      </c>
      <c r="BG2318" t="s">
        <v>2272</v>
      </c>
      <c r="BH2318">
        <v>4</v>
      </c>
      <c r="BJ2318" s="114">
        <v>41</v>
      </c>
      <c r="BK2318" s="116">
        <v>43</v>
      </c>
      <c r="BL2318" s="120">
        <f t="shared" si="942"/>
        <v>41043</v>
      </c>
      <c r="BN2318" s="5" t="s">
        <v>3154</v>
      </c>
      <c r="BR2318" s="63"/>
      <c r="BS2318" s="63"/>
      <c r="BT2318" s="63">
        <f t="shared" si="961"/>
        <v>-58719</v>
      </c>
      <c r="CA2318"/>
    </row>
    <row r="2319" spans="1:79" hidden="1" outlineLevel="1">
      <c r="A2319" t="s">
        <v>773</v>
      </c>
      <c r="B2319" t="s">
        <v>2272</v>
      </c>
      <c r="C2319" s="1">
        <f t="shared" si="952"/>
        <v>10435</v>
      </c>
      <c r="D2319" s="5">
        <f>IF(N2319&gt;0, RANK(N2319,(N2319:P2319,Q2319:AE2319)),0)</f>
        <v>2</v>
      </c>
      <c r="E2319" s="5">
        <f>IF(O2319&gt;0,RANK(O2319,(N2319:P2319,Q2319:AE2319)),0)</f>
        <v>1</v>
      </c>
      <c r="F2319" s="5">
        <f>IF(P2319&gt;0,RANK(P2319,(N2319:P2319,Q2319:AE2319)),0)</f>
        <v>0</v>
      </c>
      <c r="G2319" s="132">
        <f t="shared" si="962"/>
        <v>4948</v>
      </c>
      <c r="H2319" s="137">
        <f t="shared" si="963"/>
        <v>0.47417345471969335</v>
      </c>
      <c r="I2319" s="2"/>
      <c r="J2319" s="2">
        <f t="shared" si="953"/>
        <v>0.2152371825586967</v>
      </c>
      <c r="K2319" s="2">
        <f t="shared" si="954"/>
        <v>0.68941063727839003</v>
      </c>
      <c r="L2319" s="2">
        <f t="shared" si="955"/>
        <v>0</v>
      </c>
      <c r="M2319" s="2">
        <f t="shared" si="956"/>
        <v>9.5352180162913247E-2</v>
      </c>
      <c r="N2319" s="63">
        <v>2246</v>
      </c>
      <c r="O2319" s="63">
        <v>7194</v>
      </c>
      <c r="P2319" s="63"/>
      <c r="Q2319" s="63">
        <v>427</v>
      </c>
      <c r="R2319" s="63">
        <v>177</v>
      </c>
      <c r="S2319" s="63"/>
      <c r="T2319" s="63"/>
      <c r="U2319" s="63"/>
      <c r="V2319" s="63"/>
      <c r="W2319">
        <v>391</v>
      </c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W2319" s="5">
        <f>IF(Q2319&gt;0,RANK(Q2319,(N2319:P2319,Q2319:AE2319)),0)</f>
        <v>3</v>
      </c>
      <c r="AX2319" s="5">
        <f>IF(R2319&gt;0,RANK(R2319,(N2319:P2319,Q2319:AE2319)),0)</f>
        <v>5</v>
      </c>
      <c r="AY2319" s="5">
        <f>IF(T2319&gt;0,RANK(T2319,(N2319:P2319,Q2319:AE2319)),0)</f>
        <v>0</v>
      </c>
      <c r="AZ2319" s="5">
        <f>IF(S2319&gt;0,RANK(S2319,(N2319:P2319,Q2319:AE2319)),0)</f>
        <v>0</v>
      </c>
      <c r="BA2319" s="2">
        <f t="shared" si="957"/>
        <v>4.0919980833732633E-2</v>
      </c>
      <c r="BB2319" s="2">
        <f t="shared" si="958"/>
        <v>1.6962146621945375E-2</v>
      </c>
      <c r="BC2319" s="2">
        <f t="shared" si="959"/>
        <v>0</v>
      </c>
      <c r="BD2319" s="2">
        <f t="shared" si="960"/>
        <v>0</v>
      </c>
      <c r="BF2319" t="s">
        <v>773</v>
      </c>
      <c r="BG2319" t="s">
        <v>2272</v>
      </c>
      <c r="BH2319">
        <v>2</v>
      </c>
      <c r="BJ2319" s="114">
        <v>41</v>
      </c>
      <c r="BK2319" s="116">
        <v>45</v>
      </c>
      <c r="BL2319" s="120">
        <f t="shared" si="942"/>
        <v>41045</v>
      </c>
      <c r="BN2319" s="5" t="s">
        <v>3154</v>
      </c>
      <c r="BQ2319" s="132" t="s">
        <v>3253</v>
      </c>
      <c r="BR2319" s="63"/>
      <c r="BS2319" s="63"/>
      <c r="BT2319" s="63">
        <f t="shared" si="961"/>
        <v>-10435</v>
      </c>
      <c r="CA2319"/>
    </row>
    <row r="2320" spans="1:79" hidden="1" outlineLevel="1">
      <c r="A2320" t="s">
        <v>1826</v>
      </c>
      <c r="B2320" t="s">
        <v>2272</v>
      </c>
      <c r="C2320" s="1">
        <f t="shared" si="952"/>
        <v>136840</v>
      </c>
      <c r="D2320" s="5">
        <f>IF(N2320&gt;0, RANK(N2320,(N2320:P2320,Q2320:AE2320)),0)</f>
        <v>2</v>
      </c>
      <c r="E2320" s="5">
        <f>IF(O2320&gt;0,RANK(O2320,(N2320:P2320,Q2320:AE2320)),0)</f>
        <v>1</v>
      </c>
      <c r="F2320" s="5">
        <f>IF(P2320&gt;0,RANK(P2320,(N2320:P2320,Q2320:AE2320)),0)</f>
        <v>0</v>
      </c>
      <c r="G2320" s="132">
        <f t="shared" si="962"/>
        <v>5589</v>
      </c>
      <c r="H2320" s="137">
        <f t="shared" si="963"/>
        <v>4.084332066647179E-2</v>
      </c>
      <c r="I2320" s="2"/>
      <c r="J2320" s="2">
        <f t="shared" si="953"/>
        <v>0.42230342005261617</v>
      </c>
      <c r="K2320" s="2">
        <f t="shared" si="954"/>
        <v>0.46314674071908801</v>
      </c>
      <c r="L2320" s="2">
        <f t="shared" si="955"/>
        <v>0</v>
      </c>
      <c r="M2320" s="2">
        <f t="shared" si="956"/>
        <v>0.11454983922829587</v>
      </c>
      <c r="N2320" s="63">
        <v>57788</v>
      </c>
      <c r="O2320" s="63">
        <v>63377</v>
      </c>
      <c r="P2320" s="63"/>
      <c r="Q2320" s="63">
        <v>7058</v>
      </c>
      <c r="R2320" s="63">
        <v>2868</v>
      </c>
      <c r="S2320" s="63"/>
      <c r="T2320" s="63"/>
      <c r="U2320" s="63"/>
      <c r="V2320" s="63"/>
      <c r="W2320">
        <v>5749</v>
      </c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W2320" s="5">
        <f>IF(Q2320&gt;0,RANK(Q2320,(N2320:P2320,Q2320:AE2320)),0)</f>
        <v>3</v>
      </c>
      <c r="AX2320" s="5">
        <f>IF(R2320&gt;0,RANK(R2320,(N2320:P2320,Q2320:AE2320)),0)</f>
        <v>5</v>
      </c>
      <c r="AY2320" s="5">
        <f>IF(T2320&gt;0,RANK(T2320,(N2320:P2320,Q2320:AE2320)),0)</f>
        <v>0</v>
      </c>
      <c r="AZ2320" s="5">
        <f>IF(S2320&gt;0,RANK(S2320,(N2320:P2320,Q2320:AE2320)),0)</f>
        <v>0</v>
      </c>
      <c r="BA2320" s="2">
        <f t="shared" si="957"/>
        <v>5.1578485822858816E-2</v>
      </c>
      <c r="BB2320" s="2">
        <f t="shared" si="958"/>
        <v>2.0958783981292022E-2</v>
      </c>
      <c r="BC2320" s="2">
        <f t="shared" si="959"/>
        <v>0</v>
      </c>
      <c r="BD2320" s="2">
        <f t="shared" si="960"/>
        <v>0</v>
      </c>
      <c r="BF2320" t="s">
        <v>1826</v>
      </c>
      <c r="BG2320" t="s">
        <v>2272</v>
      </c>
      <c r="BH2320">
        <v>5</v>
      </c>
      <c r="BJ2320" s="114">
        <v>41</v>
      </c>
      <c r="BK2320" s="116">
        <v>47</v>
      </c>
      <c r="BL2320" s="120">
        <f t="shared" si="942"/>
        <v>41047</v>
      </c>
      <c r="BN2320" s="5" t="s">
        <v>3154</v>
      </c>
      <c r="BO2320" s="63">
        <v>2551</v>
      </c>
      <c r="BP2320" s="63">
        <v>172</v>
      </c>
      <c r="BR2320" s="63"/>
      <c r="BS2320" s="63">
        <v>139563</v>
      </c>
      <c r="BT2320" s="63">
        <f t="shared" si="961"/>
        <v>0</v>
      </c>
      <c r="CA2320"/>
    </row>
    <row r="2321" spans="1:82" hidden="1" outlineLevel="1">
      <c r="A2321" t="s">
        <v>1798</v>
      </c>
      <c r="B2321" t="s">
        <v>2272</v>
      </c>
      <c r="C2321" s="1">
        <f t="shared" si="952"/>
        <v>4167</v>
      </c>
      <c r="D2321" s="5">
        <f>IF(N2321&gt;0, RANK(N2321,(N2321:P2321,Q2321:AE2321)),0)</f>
        <v>2</v>
      </c>
      <c r="E2321" s="5">
        <f>IF(O2321&gt;0,RANK(O2321,(N2321:P2321,Q2321:AE2321)),0)</f>
        <v>1</v>
      </c>
      <c r="F2321" s="5">
        <f>IF(P2321&gt;0,RANK(P2321,(N2321:P2321,Q2321:AE2321)),0)</f>
        <v>0</v>
      </c>
      <c r="G2321" s="132">
        <f t="shared" si="962"/>
        <v>1704</v>
      </c>
      <c r="H2321" s="137">
        <f t="shared" si="963"/>
        <v>0.40892728581713461</v>
      </c>
      <c r="I2321" s="2"/>
      <c r="J2321" s="2">
        <f t="shared" si="953"/>
        <v>0.24406047516198703</v>
      </c>
      <c r="K2321" s="2">
        <f t="shared" si="954"/>
        <v>0.6529877609791217</v>
      </c>
      <c r="L2321" s="2">
        <f t="shared" si="955"/>
        <v>0</v>
      </c>
      <c r="M2321" s="2">
        <f t="shared" si="956"/>
        <v>0.10295176385889127</v>
      </c>
      <c r="N2321" s="63">
        <v>1017</v>
      </c>
      <c r="O2321" s="63">
        <v>2721</v>
      </c>
      <c r="P2321" s="63"/>
      <c r="Q2321" s="63">
        <v>238</v>
      </c>
      <c r="R2321" s="63">
        <v>52</v>
      </c>
      <c r="S2321" s="63"/>
      <c r="T2321" s="63"/>
      <c r="U2321" s="63"/>
      <c r="V2321" s="63"/>
      <c r="W2321">
        <v>139</v>
      </c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W2321" s="5">
        <f>IF(Q2321&gt;0,RANK(Q2321,(N2321:P2321,Q2321:AE2321)),0)</f>
        <v>3</v>
      </c>
      <c r="AX2321" s="5">
        <f>IF(R2321&gt;0,RANK(R2321,(N2321:P2321,Q2321:AE2321)),0)</f>
        <v>5</v>
      </c>
      <c r="AY2321" s="5">
        <f>IF(T2321&gt;0,RANK(T2321,(N2321:P2321,Q2321:AE2321)),0)</f>
        <v>0</v>
      </c>
      <c r="AZ2321" s="5">
        <f>IF(S2321&gt;0,RANK(S2321,(N2321:P2321,Q2321:AE2321)),0)</f>
        <v>0</v>
      </c>
      <c r="BA2321" s="2">
        <f t="shared" si="957"/>
        <v>5.7115430765538759E-2</v>
      </c>
      <c r="BB2321" s="2">
        <f t="shared" si="958"/>
        <v>1.247900167986561E-2</v>
      </c>
      <c r="BC2321" s="2">
        <f t="shared" si="959"/>
        <v>0</v>
      </c>
      <c r="BD2321" s="2">
        <f t="shared" si="960"/>
        <v>0</v>
      </c>
      <c r="BF2321" t="s">
        <v>1798</v>
      </c>
      <c r="BG2321" t="s">
        <v>2272</v>
      </c>
      <c r="BH2321">
        <v>2</v>
      </c>
      <c r="BJ2321" s="114">
        <v>41</v>
      </c>
      <c r="BK2321" s="116">
        <v>49</v>
      </c>
      <c r="BL2321" s="120">
        <f t="shared" si="942"/>
        <v>41049</v>
      </c>
      <c r="BN2321" s="5" t="s">
        <v>3154</v>
      </c>
      <c r="BR2321" s="63"/>
      <c r="BS2321" s="63"/>
      <c r="BT2321" s="63">
        <f t="shared" si="961"/>
        <v>-4167</v>
      </c>
      <c r="CA2321"/>
    </row>
    <row r="2322" spans="1:82" hidden="1" outlineLevel="1">
      <c r="A2322" t="s">
        <v>2964</v>
      </c>
      <c r="B2322" t="s">
        <v>2272</v>
      </c>
      <c r="C2322" s="1">
        <f t="shared" si="952"/>
        <v>399103</v>
      </c>
      <c r="D2322" s="5">
        <f>IF(N2322&gt;0, RANK(N2322,(N2322:P2322,Q2322:AE2322)),0)</f>
        <v>1</v>
      </c>
      <c r="E2322" s="5">
        <f>IF(O2322&gt;0,RANK(O2322,(N2322:P2322,Q2322:AE2322)),0)</f>
        <v>2</v>
      </c>
      <c r="F2322" s="5">
        <f>IF(P2322&gt;0,RANK(P2322,(N2322:P2322,Q2322:AE2322)),0)</f>
        <v>0</v>
      </c>
      <c r="G2322" s="132">
        <f t="shared" si="962"/>
        <v>224607</v>
      </c>
      <c r="H2322" s="137">
        <f t="shared" si="963"/>
        <v>0.56277953310298345</v>
      </c>
      <c r="I2322" s="2"/>
      <c r="J2322" s="2">
        <f t="shared" si="953"/>
        <v>0.7330463564543489</v>
      </c>
      <c r="K2322" s="2">
        <f t="shared" si="954"/>
        <v>0.17026682335136545</v>
      </c>
      <c r="L2322" s="2">
        <f t="shared" si="955"/>
        <v>0</v>
      </c>
      <c r="M2322" s="2">
        <f t="shared" si="956"/>
        <v>9.668682019428565E-2</v>
      </c>
      <c r="N2322" s="63">
        <v>292561</v>
      </c>
      <c r="O2322" s="63">
        <v>67954</v>
      </c>
      <c r="P2322" s="63"/>
      <c r="Q2322" s="63">
        <v>12862</v>
      </c>
      <c r="R2322" s="63">
        <v>12969</v>
      </c>
      <c r="S2322" s="63"/>
      <c r="T2322" s="63"/>
      <c r="U2322" s="63"/>
      <c r="V2322" s="63"/>
      <c r="W2322" s="1">
        <v>12757</v>
      </c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W2322" s="5">
        <f>IF(Q2322&gt;0,RANK(Q2322,(N2322:P2322,Q2322:AE2322)),0)</f>
        <v>4</v>
      </c>
      <c r="AX2322" s="5">
        <f>IF(R2322&gt;0,RANK(R2322,(N2322:P2322,Q2322:AE2322)),0)</f>
        <v>3</v>
      </c>
      <c r="AY2322" s="5">
        <f>IF(T2322&gt;0,RANK(T2322,(N2322:P2322,Q2322:AE2322)),0)</f>
        <v>0</v>
      </c>
      <c r="AZ2322" s="5">
        <f>IF(S2322&gt;0,RANK(S2322,(N2322:P2322,Q2322:AE2322)),0)</f>
        <v>0</v>
      </c>
      <c r="BA2322" s="2">
        <f t="shared" si="957"/>
        <v>3.2227269652195051E-2</v>
      </c>
      <c r="BB2322" s="2">
        <f t="shared" si="958"/>
        <v>3.2495370869174124E-2</v>
      </c>
      <c r="BC2322" s="2">
        <f t="shared" si="959"/>
        <v>0</v>
      </c>
      <c r="BD2322" s="2">
        <f t="shared" si="960"/>
        <v>0</v>
      </c>
      <c r="BF2322" t="s">
        <v>2964</v>
      </c>
      <c r="BG2322" t="s">
        <v>2272</v>
      </c>
      <c r="BJ2322" s="114">
        <v>41</v>
      </c>
      <c r="BK2322" s="116">
        <v>51</v>
      </c>
      <c r="BL2322" s="120">
        <f t="shared" si="942"/>
        <v>41051</v>
      </c>
      <c r="BN2322" s="5" t="s">
        <v>3154</v>
      </c>
      <c r="BO2322" s="63">
        <v>4699</v>
      </c>
      <c r="BP2322" s="63">
        <v>254</v>
      </c>
      <c r="BR2322" s="63"/>
      <c r="BS2322" s="63">
        <v>404056</v>
      </c>
      <c r="BT2322" s="63">
        <f>BS2322-BP2322-BO2322-C2322</f>
        <v>0</v>
      </c>
      <c r="CA2322" s="1"/>
    </row>
    <row r="2323" spans="1:82" hidden="1" outlineLevel="1">
      <c r="A2323" t="s">
        <v>879</v>
      </c>
      <c r="B2323" t="s">
        <v>2272</v>
      </c>
      <c r="C2323" s="1">
        <f t="shared" si="952"/>
        <v>40295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32">
        <f t="shared" si="962"/>
        <v>2520</v>
      </c>
      <c r="H2323" s="137">
        <f t="shared" si="963"/>
        <v>6.2538776523141826E-2</v>
      </c>
      <c r="I2323" s="2"/>
      <c r="J2323" s="2">
        <f t="shared" si="953"/>
        <v>0.40749472639285272</v>
      </c>
      <c r="K2323" s="2">
        <f t="shared" si="954"/>
        <v>0.47003350291599455</v>
      </c>
      <c r="L2323" s="2">
        <f t="shared" si="955"/>
        <v>0</v>
      </c>
      <c r="M2323" s="2">
        <f t="shared" si="956"/>
        <v>0.12247177069115267</v>
      </c>
      <c r="N2323" s="63">
        <v>16420</v>
      </c>
      <c r="O2323" s="63">
        <v>18940</v>
      </c>
      <c r="P2323" s="63"/>
      <c r="Q2323" s="63">
        <v>2254</v>
      </c>
      <c r="R2323" s="63">
        <v>907</v>
      </c>
      <c r="S2323" s="63"/>
      <c r="T2323" s="63"/>
      <c r="U2323" s="63"/>
      <c r="V2323" s="63"/>
      <c r="W2323">
        <v>1774</v>
      </c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W2323" s="5">
        <f>IF(Q2323&gt;0,RANK(Q2323,(N2323:P2323,Q2323:AE2323)),0)</f>
        <v>3</v>
      </c>
      <c r="AX2323" s="5">
        <f>IF(R2323&gt;0,RANK(R2323,(N2323:P2323,Q2323:AE2323)),0)</f>
        <v>5</v>
      </c>
      <c r="AY2323" s="5">
        <f>IF(T2323&gt;0,RANK(T2323,(N2323:P2323,Q2323:AE2323)),0)</f>
        <v>0</v>
      </c>
      <c r="AZ2323" s="5">
        <f>IF(S2323&gt;0,RANK(S2323,(N2323:P2323,Q2323:AE2323)),0)</f>
        <v>0</v>
      </c>
      <c r="BA2323" s="2">
        <f t="shared" si="957"/>
        <v>5.5937461223476856E-2</v>
      </c>
      <c r="BB2323" s="2">
        <f t="shared" si="958"/>
        <v>2.2508996153368904E-2</v>
      </c>
      <c r="BC2323" s="2">
        <f t="shared" si="959"/>
        <v>0</v>
      </c>
      <c r="BD2323" s="2">
        <f t="shared" si="960"/>
        <v>0</v>
      </c>
      <c r="BF2323" t="s">
        <v>879</v>
      </c>
      <c r="BG2323" t="s">
        <v>2272</v>
      </c>
      <c r="BH2323">
        <v>5</v>
      </c>
      <c r="BJ2323" s="114">
        <v>41</v>
      </c>
      <c r="BK2323" s="116">
        <v>53</v>
      </c>
      <c r="BL2323" s="120">
        <f t="shared" si="942"/>
        <v>41053</v>
      </c>
      <c r="BN2323" s="5" t="s">
        <v>3154</v>
      </c>
      <c r="BQ2323" s="132"/>
      <c r="BR2323" s="63"/>
      <c r="BS2323" s="63"/>
      <c r="BT2323" s="63">
        <f t="shared" si="961"/>
        <v>-40295</v>
      </c>
      <c r="CA2323"/>
    </row>
    <row r="2324" spans="1:82" hidden="1" outlineLevel="1">
      <c r="A2324" t="s">
        <v>2877</v>
      </c>
      <c r="B2324" t="s">
        <v>2272</v>
      </c>
      <c r="C2324" s="1">
        <f t="shared" si="952"/>
        <v>1017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32">
        <f t="shared" si="962"/>
        <v>530</v>
      </c>
      <c r="H2324" s="137">
        <f t="shared" si="963"/>
        <v>0.5211406096361848</v>
      </c>
      <c r="I2324" s="2"/>
      <c r="J2324" s="2">
        <f t="shared" si="953"/>
        <v>0.19862340216322516</v>
      </c>
      <c r="K2324" s="2">
        <f t="shared" si="954"/>
        <v>0.71976401179941008</v>
      </c>
      <c r="L2324" s="2">
        <f t="shared" si="955"/>
        <v>0</v>
      </c>
      <c r="M2324" s="2">
        <f t="shared" si="956"/>
        <v>8.1612586037364765E-2</v>
      </c>
      <c r="N2324" s="63">
        <v>202</v>
      </c>
      <c r="O2324" s="63">
        <v>732</v>
      </c>
      <c r="P2324" s="63"/>
      <c r="Q2324" s="63">
        <v>44</v>
      </c>
      <c r="R2324" s="63">
        <v>11</v>
      </c>
      <c r="S2324" s="63"/>
      <c r="T2324" s="63"/>
      <c r="U2324" s="63"/>
      <c r="V2324" s="63"/>
      <c r="W2324">
        <v>28</v>
      </c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W2324" s="5">
        <f>IF(Q2324&gt;0,RANK(Q2324,(N2324:P2324,Q2324:AE2324)),0)</f>
        <v>3</v>
      </c>
      <c r="AX2324" s="5">
        <f>IF(R2324&gt;0,RANK(R2324,(N2324:P2324,Q2324:AE2324)),0)</f>
        <v>5</v>
      </c>
      <c r="AY2324" s="5">
        <f>IF(T2324&gt;0,RANK(T2324,(N2324:P2324,Q2324:AE2324)),0)</f>
        <v>0</v>
      </c>
      <c r="AZ2324" s="5">
        <f>IF(S2324&gt;0,RANK(S2324,(N2324:P2324,Q2324:AE2324)),0)</f>
        <v>0</v>
      </c>
      <c r="BA2324" s="2">
        <f t="shared" si="957"/>
        <v>4.3264503441494594E-2</v>
      </c>
      <c r="BB2324" s="2">
        <f t="shared" si="958"/>
        <v>1.0816125860373648E-2</v>
      </c>
      <c r="BC2324" s="2">
        <f t="shared" si="959"/>
        <v>0</v>
      </c>
      <c r="BD2324" s="2">
        <f t="shared" si="960"/>
        <v>0</v>
      </c>
      <c r="BF2324" t="s">
        <v>2877</v>
      </c>
      <c r="BG2324" t="s">
        <v>2272</v>
      </c>
      <c r="BH2324">
        <v>2</v>
      </c>
      <c r="BJ2324" s="114">
        <v>41</v>
      </c>
      <c r="BK2324" s="116">
        <v>55</v>
      </c>
      <c r="BL2324" s="120">
        <f t="shared" si="942"/>
        <v>41055</v>
      </c>
      <c r="BN2324" s="5" t="s">
        <v>3154</v>
      </c>
      <c r="BR2324" s="63"/>
      <c r="BS2324" s="63"/>
      <c r="BT2324" s="63">
        <f t="shared" si="961"/>
        <v>-1017</v>
      </c>
      <c r="CA2324"/>
    </row>
    <row r="2325" spans="1:82" hidden="1" outlineLevel="1">
      <c r="A2325" t="s">
        <v>2085</v>
      </c>
      <c r="B2325" t="s">
        <v>2272</v>
      </c>
      <c r="C2325" s="1">
        <f t="shared" si="952"/>
        <v>13803</v>
      </c>
      <c r="D2325" s="5">
        <f>IF(N2325&gt;0, RANK(N2325,(N2325:P2325,Q2325:AE2325)),0)</f>
        <v>2</v>
      </c>
      <c r="E2325" s="5">
        <f>IF(O2325&gt;0,RANK(O2325,(N2325:P2325,Q2325:AE2325)),0)</f>
        <v>1</v>
      </c>
      <c r="F2325" s="5">
        <f>IF(P2325&gt;0,RANK(P2325,(N2325:P2325,Q2325:AE2325)),0)</f>
        <v>0</v>
      </c>
      <c r="G2325" s="132">
        <f t="shared" si="962"/>
        <v>770</v>
      </c>
      <c r="H2325" s="137">
        <f t="shared" si="963"/>
        <v>5.5784974280953414E-2</v>
      </c>
      <c r="I2325" s="2"/>
      <c r="J2325" s="2">
        <f t="shared" si="953"/>
        <v>0.41788017097732377</v>
      </c>
      <c r="K2325" s="2">
        <f t="shared" si="954"/>
        <v>0.47366514525827719</v>
      </c>
      <c r="L2325" s="2">
        <f t="shared" si="955"/>
        <v>0</v>
      </c>
      <c r="M2325" s="2">
        <f t="shared" si="956"/>
        <v>0.10845468376439904</v>
      </c>
      <c r="N2325" s="63">
        <v>5768</v>
      </c>
      <c r="O2325" s="63">
        <v>6538</v>
      </c>
      <c r="P2325" s="63"/>
      <c r="Q2325" s="63">
        <v>760</v>
      </c>
      <c r="R2325" s="63">
        <v>333</v>
      </c>
      <c r="S2325" s="63"/>
      <c r="T2325" s="63"/>
      <c r="U2325" s="63"/>
      <c r="V2325" s="63"/>
      <c r="W2325">
        <v>404</v>
      </c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W2325" s="5">
        <f>IF(Q2325&gt;0,RANK(Q2325,(N2325:P2325,Q2325:AE2325)),0)</f>
        <v>3</v>
      </c>
      <c r="AX2325" s="5">
        <f>IF(R2325&gt;0,RANK(R2325,(N2325:P2325,Q2325:AE2325)),0)</f>
        <v>5</v>
      </c>
      <c r="AY2325" s="5">
        <f>IF(T2325&gt;0,RANK(T2325,(N2325:P2325,Q2325:AE2325)),0)</f>
        <v>0</v>
      </c>
      <c r="AZ2325" s="5">
        <f>IF(S2325&gt;0,RANK(S2325,(N2325:P2325,Q2325:AE2325)),0)</f>
        <v>0</v>
      </c>
      <c r="BA2325" s="2">
        <f t="shared" si="957"/>
        <v>5.5060494095486488E-2</v>
      </c>
      <c r="BB2325" s="2">
        <f t="shared" si="958"/>
        <v>2.4125190176048684E-2</v>
      </c>
      <c r="BC2325" s="2">
        <f t="shared" si="959"/>
        <v>0</v>
      </c>
      <c r="BD2325" s="2">
        <f t="shared" si="960"/>
        <v>0</v>
      </c>
      <c r="BF2325" t="s">
        <v>2085</v>
      </c>
      <c r="BG2325" t="s">
        <v>2272</v>
      </c>
      <c r="BH2325">
        <v>5</v>
      </c>
      <c r="BJ2325" s="114">
        <v>41</v>
      </c>
      <c r="BK2325" s="116">
        <v>57</v>
      </c>
      <c r="BL2325" s="120">
        <f t="shared" si="942"/>
        <v>41057</v>
      </c>
      <c r="BN2325" s="5" t="s">
        <v>3154</v>
      </c>
      <c r="BQ2325" s="132" t="s">
        <v>3253</v>
      </c>
      <c r="BR2325" s="63"/>
      <c r="BS2325" s="63"/>
      <c r="BT2325" s="63">
        <f t="shared" si="961"/>
        <v>-13803</v>
      </c>
      <c r="CA2325"/>
    </row>
    <row r="2326" spans="1:82" hidden="1" outlineLevel="1">
      <c r="A2326" t="s">
        <v>446</v>
      </c>
      <c r="B2326" t="s">
        <v>2272</v>
      </c>
      <c r="C2326" s="1">
        <f t="shared" si="952"/>
        <v>27597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32">
        <f t="shared" si="962"/>
        <v>9386</v>
      </c>
      <c r="H2326" s="137">
        <f t="shared" si="963"/>
        <v>0.34010943218465778</v>
      </c>
      <c r="I2326" s="2"/>
      <c r="J2326" s="2">
        <f t="shared" si="953"/>
        <v>0.27803746784070732</v>
      </c>
      <c r="K2326" s="2">
        <f t="shared" si="954"/>
        <v>0.6181469000253651</v>
      </c>
      <c r="L2326" s="2">
        <f t="shared" si="955"/>
        <v>0</v>
      </c>
      <c r="M2326" s="2">
        <f t="shared" si="956"/>
        <v>0.10381563213392753</v>
      </c>
      <c r="N2326" s="63">
        <v>7673</v>
      </c>
      <c r="O2326" s="63">
        <v>17059</v>
      </c>
      <c r="P2326" s="63"/>
      <c r="Q2326" s="63">
        <v>1457</v>
      </c>
      <c r="R2326" s="63">
        <v>489</v>
      </c>
      <c r="S2326" s="63"/>
      <c r="T2326" s="63"/>
      <c r="U2326" s="63"/>
      <c r="V2326" s="63"/>
      <c r="W2326">
        <v>919</v>
      </c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W2326" s="5">
        <f>IF(Q2326&gt;0,RANK(Q2326,(N2326:P2326,Q2326:AE2326)),0)</f>
        <v>3</v>
      </c>
      <c r="AX2326" s="5">
        <f>IF(R2326&gt;0,RANK(R2326,(N2326:P2326,Q2326:AE2326)),0)</f>
        <v>5</v>
      </c>
      <c r="AY2326" s="5">
        <f>IF(T2326&gt;0,RANK(T2326,(N2326:P2326,Q2326:AE2326)),0)</f>
        <v>0</v>
      </c>
      <c r="AZ2326" s="5">
        <f>IF(S2326&gt;0,RANK(S2326,(N2326:P2326,Q2326:AE2326)),0)</f>
        <v>0</v>
      </c>
      <c r="BA2326" s="2">
        <f t="shared" si="957"/>
        <v>5.2795593723955501E-2</v>
      </c>
      <c r="BB2326" s="2">
        <f t="shared" si="958"/>
        <v>1.7719317317099685E-2</v>
      </c>
      <c r="BC2326" s="2">
        <f t="shared" si="959"/>
        <v>0</v>
      </c>
      <c r="BD2326" s="2">
        <f t="shared" si="960"/>
        <v>0</v>
      </c>
      <c r="BF2326" t="s">
        <v>446</v>
      </c>
      <c r="BG2326" t="s">
        <v>2272</v>
      </c>
      <c r="BH2326">
        <v>2</v>
      </c>
      <c r="BJ2326" s="114">
        <v>41</v>
      </c>
      <c r="BK2326" s="116">
        <v>59</v>
      </c>
      <c r="BL2326" s="120">
        <f t="shared" si="942"/>
        <v>41059</v>
      </c>
      <c r="BN2326" s="5" t="s">
        <v>3154</v>
      </c>
      <c r="BR2326" s="63"/>
      <c r="BS2326" s="63"/>
      <c r="BT2326" s="63">
        <f t="shared" si="961"/>
        <v>-27597</v>
      </c>
      <c r="CA2326"/>
    </row>
    <row r="2327" spans="1:82" hidden="1" outlineLevel="1">
      <c r="A2327" t="s">
        <v>1513</v>
      </c>
      <c r="B2327" t="s">
        <v>2272</v>
      </c>
      <c r="C2327" s="1">
        <f t="shared" si="952"/>
        <v>12968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32">
        <f t="shared" si="962"/>
        <v>5182</v>
      </c>
      <c r="H2327" s="137">
        <f t="shared" si="963"/>
        <v>0.39959901295496608</v>
      </c>
      <c r="I2327" s="2"/>
      <c r="J2327" s="2">
        <f t="shared" si="953"/>
        <v>0.25053979025293027</v>
      </c>
      <c r="K2327" s="2">
        <f t="shared" si="954"/>
        <v>0.65013880320789641</v>
      </c>
      <c r="L2327" s="2">
        <f t="shared" si="955"/>
        <v>0</v>
      </c>
      <c r="M2327" s="2">
        <f t="shared" si="956"/>
        <v>9.9321406539173318E-2</v>
      </c>
      <c r="N2327" s="63">
        <v>3249</v>
      </c>
      <c r="O2327" s="63">
        <v>8431</v>
      </c>
      <c r="P2327" s="63"/>
      <c r="Q2327" s="63">
        <v>673</v>
      </c>
      <c r="R2327" s="63">
        <v>198</v>
      </c>
      <c r="S2327" s="63"/>
      <c r="T2327" s="63"/>
      <c r="U2327" s="63"/>
      <c r="V2327" s="63"/>
      <c r="W2327">
        <v>417</v>
      </c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W2327" s="5">
        <f>IF(Q2327&gt;0,RANK(Q2327,(N2327:P2327,Q2327:AE2327)),0)</f>
        <v>3</v>
      </c>
      <c r="AX2327" s="5">
        <f>IF(R2327&gt;0,RANK(R2327,(N2327:P2327,Q2327:AE2327)),0)</f>
        <v>5</v>
      </c>
      <c r="AY2327" s="5">
        <f>IF(T2327&gt;0,RANK(T2327,(N2327:P2327,Q2327:AE2327)),0)</f>
        <v>0</v>
      </c>
      <c r="AZ2327" s="5">
        <f>IF(S2327&gt;0,RANK(S2327,(N2327:P2327,Q2327:AE2327)),0)</f>
        <v>0</v>
      </c>
      <c r="BA2327" s="2">
        <f t="shared" si="957"/>
        <v>5.1896977174583588E-2</v>
      </c>
      <c r="BB2327" s="2">
        <f t="shared" si="958"/>
        <v>1.526835286859963E-2</v>
      </c>
      <c r="BC2327" s="2">
        <f t="shared" si="959"/>
        <v>0</v>
      </c>
      <c r="BD2327" s="2">
        <f t="shared" si="960"/>
        <v>0</v>
      </c>
      <c r="BF2327" t="s">
        <v>1513</v>
      </c>
      <c r="BG2327" t="s">
        <v>2272</v>
      </c>
      <c r="BH2327">
        <v>2</v>
      </c>
      <c r="BJ2327" s="114">
        <v>41</v>
      </c>
      <c r="BK2327" s="116">
        <v>61</v>
      </c>
      <c r="BL2327" s="120">
        <f t="shared" si="942"/>
        <v>41061</v>
      </c>
      <c r="BN2327" s="5" t="s">
        <v>3154</v>
      </c>
      <c r="BQ2327" s="132" t="s">
        <v>3253</v>
      </c>
      <c r="BR2327" s="63"/>
      <c r="BS2327" s="63"/>
      <c r="BT2327" s="63">
        <f t="shared" si="961"/>
        <v>-12968</v>
      </c>
      <c r="CA2327"/>
    </row>
    <row r="2328" spans="1:82" hidden="1" outlineLevel="1">
      <c r="A2328" t="s">
        <v>29</v>
      </c>
      <c r="B2328" t="s">
        <v>2272</v>
      </c>
      <c r="C2328" s="1">
        <f t="shared" si="952"/>
        <v>4366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32">
        <f t="shared" si="962"/>
        <v>1732</v>
      </c>
      <c r="H2328" s="137">
        <f t="shared" si="963"/>
        <v>0.39670178653229499</v>
      </c>
      <c r="I2328" s="2"/>
      <c r="J2328" s="2">
        <f t="shared" si="953"/>
        <v>0.25561154374713696</v>
      </c>
      <c r="K2328" s="2">
        <f t="shared" si="954"/>
        <v>0.65231333027943195</v>
      </c>
      <c r="L2328" s="2">
        <f t="shared" si="955"/>
        <v>0</v>
      </c>
      <c r="M2328" s="2">
        <f t="shared" si="956"/>
        <v>9.2075125973431149E-2</v>
      </c>
      <c r="N2328" s="63">
        <v>1116</v>
      </c>
      <c r="O2328" s="63">
        <v>2848</v>
      </c>
      <c r="P2328" s="63"/>
      <c r="Q2328" s="63">
        <v>179</v>
      </c>
      <c r="R2328" s="63">
        <v>82</v>
      </c>
      <c r="S2328" s="63"/>
      <c r="T2328" s="63"/>
      <c r="U2328" s="63"/>
      <c r="V2328" s="63"/>
      <c r="W2328">
        <v>141</v>
      </c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W2328" s="5">
        <f>IF(Q2328&gt;0,RANK(Q2328,(N2328:P2328,Q2328:AE2328)),0)</f>
        <v>3</v>
      </c>
      <c r="AX2328" s="5">
        <f>IF(R2328&gt;0,RANK(R2328,(N2328:P2328,Q2328:AE2328)),0)</f>
        <v>5</v>
      </c>
      <c r="AY2328" s="5">
        <f>IF(T2328&gt;0,RANK(T2328,(N2328:P2328,Q2328:AE2328)),0)</f>
        <v>0</v>
      </c>
      <c r="AZ2328" s="5">
        <f>IF(S2328&gt;0,RANK(S2328,(N2328:P2328,Q2328:AE2328)),0)</f>
        <v>0</v>
      </c>
      <c r="BA2328" s="2">
        <f t="shared" si="957"/>
        <v>4.0998625744388457E-2</v>
      </c>
      <c r="BB2328" s="2">
        <f t="shared" si="958"/>
        <v>1.8781493357764543E-2</v>
      </c>
      <c r="BC2328" s="2">
        <f t="shared" si="959"/>
        <v>0</v>
      </c>
      <c r="BD2328" s="2">
        <f t="shared" si="960"/>
        <v>0</v>
      </c>
      <c r="BF2328" t="s">
        <v>29</v>
      </c>
      <c r="BG2328" t="s">
        <v>2272</v>
      </c>
      <c r="BH2328">
        <v>2</v>
      </c>
      <c r="BJ2328" s="114">
        <v>41</v>
      </c>
      <c r="BK2328" s="116">
        <v>63</v>
      </c>
      <c r="BL2328" s="120">
        <f t="shared" si="942"/>
        <v>41063</v>
      </c>
      <c r="BN2328" s="5" t="s">
        <v>3154</v>
      </c>
      <c r="BR2328" s="63"/>
      <c r="BS2328" s="63"/>
      <c r="BT2328" s="63">
        <f t="shared" si="961"/>
        <v>-4366</v>
      </c>
      <c r="CA2328"/>
    </row>
    <row r="2329" spans="1:82" hidden="1" outlineLevel="1">
      <c r="A2329" t="s">
        <v>488</v>
      </c>
      <c r="B2329" t="s">
        <v>2272</v>
      </c>
      <c r="C2329" s="1">
        <f t="shared" si="952"/>
        <v>11964</v>
      </c>
      <c r="D2329" s="5">
        <f>IF(N2329&gt;0, RANK(N2329,(N2329:P2329,Q2329:AE2329)),0)</f>
        <v>2</v>
      </c>
      <c r="E2329" s="5">
        <f>IF(O2329&gt;0,RANK(O2329,(N2329:P2329,Q2329:AE2329)),0)</f>
        <v>1</v>
      </c>
      <c r="F2329" s="5">
        <f>IF(P2329&gt;0,RANK(P2329,(N2329:P2329,Q2329:AE2329)),0)</f>
        <v>0</v>
      </c>
      <c r="G2329" s="132">
        <f t="shared" si="962"/>
        <v>1052</v>
      </c>
      <c r="H2329" s="137">
        <f t="shared" si="963"/>
        <v>8.7930458040789028E-2</v>
      </c>
      <c r="I2329" s="2"/>
      <c r="J2329" s="2">
        <f t="shared" si="953"/>
        <v>0.39961551320628552</v>
      </c>
      <c r="K2329" s="2">
        <f t="shared" si="954"/>
        <v>0.48754597124707455</v>
      </c>
      <c r="L2329" s="2">
        <f t="shared" si="955"/>
        <v>0</v>
      </c>
      <c r="M2329" s="2">
        <f t="shared" si="956"/>
        <v>0.11283851554663993</v>
      </c>
      <c r="N2329" s="63">
        <v>4781</v>
      </c>
      <c r="O2329" s="63">
        <v>5833</v>
      </c>
      <c r="P2329" s="63"/>
      <c r="Q2329" s="63">
        <v>689</v>
      </c>
      <c r="R2329" s="63">
        <v>239</v>
      </c>
      <c r="S2329" s="63"/>
      <c r="T2329" s="63"/>
      <c r="U2329" s="63"/>
      <c r="V2329" s="63"/>
      <c r="W2329">
        <v>422</v>
      </c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W2329" s="5">
        <f>IF(Q2329&gt;0,RANK(Q2329,(N2329:P2329,Q2329:AE2329)),0)</f>
        <v>3</v>
      </c>
      <c r="AX2329" s="5">
        <f>IF(R2329&gt;0,RANK(R2329,(N2329:P2329,Q2329:AE2329)),0)</f>
        <v>5</v>
      </c>
      <c r="AY2329" s="5">
        <f>IF(T2329&gt;0,RANK(T2329,(N2329:P2329,Q2329:AE2329)),0)</f>
        <v>0</v>
      </c>
      <c r="AZ2329" s="5">
        <f>IF(S2329&gt;0,RANK(S2329,(N2329:P2329,Q2329:AE2329)),0)</f>
        <v>0</v>
      </c>
      <c r="BA2329" s="2">
        <f t="shared" si="957"/>
        <v>5.7589434971581407E-2</v>
      </c>
      <c r="BB2329" s="2">
        <f t="shared" si="958"/>
        <v>1.9976596456034772E-2</v>
      </c>
      <c r="BC2329" s="2">
        <f t="shared" si="959"/>
        <v>0</v>
      </c>
      <c r="BD2329" s="2">
        <f t="shared" si="960"/>
        <v>0</v>
      </c>
      <c r="BF2329" t="s">
        <v>488</v>
      </c>
      <c r="BG2329" t="s">
        <v>2272</v>
      </c>
      <c r="BH2329">
        <v>2</v>
      </c>
      <c r="BJ2329" s="114">
        <v>41</v>
      </c>
      <c r="BK2329" s="116">
        <v>65</v>
      </c>
      <c r="BL2329" s="120">
        <f t="shared" si="942"/>
        <v>41065</v>
      </c>
      <c r="BN2329" s="5" t="s">
        <v>3154</v>
      </c>
      <c r="BR2329" s="63"/>
      <c r="BS2329" s="63"/>
      <c r="BT2329" s="63">
        <f t="shared" si="961"/>
        <v>-11964</v>
      </c>
      <c r="CA2329"/>
    </row>
    <row r="2330" spans="1:82" hidden="1" outlineLevel="1">
      <c r="A2330" t="s">
        <v>692</v>
      </c>
      <c r="B2330" t="s">
        <v>2272</v>
      </c>
      <c r="C2330" s="1">
        <f t="shared" si="952"/>
        <v>269232</v>
      </c>
      <c r="D2330" s="5">
        <f>IF(N2330&gt;0, RANK(N2330,(N2330:P2330,Q2330:AE2330)),0)</f>
        <v>1</v>
      </c>
      <c r="E2330" s="5">
        <f>IF(O2330&gt;0,RANK(O2330,(N2330:P2330,Q2330:AE2330)),0)</f>
        <v>2</v>
      </c>
      <c r="F2330" s="5">
        <f>IF(P2330&gt;0,RANK(P2330,(N2330:P2330,Q2330:AE2330)),0)</f>
        <v>0</v>
      </c>
      <c r="G2330" s="132">
        <f t="shared" si="962"/>
        <v>70054</v>
      </c>
      <c r="H2330" s="137">
        <f t="shared" si="963"/>
        <v>0.26019938194568254</v>
      </c>
      <c r="I2330" s="2"/>
      <c r="J2330" s="2">
        <f t="shared" si="953"/>
        <v>0.56921539787246689</v>
      </c>
      <c r="K2330" s="2">
        <f t="shared" si="954"/>
        <v>0.30901601592678435</v>
      </c>
      <c r="L2330" s="2">
        <f t="shared" si="955"/>
        <v>0</v>
      </c>
      <c r="M2330" s="2">
        <f t="shared" si="956"/>
        <v>0.12176858620074876</v>
      </c>
      <c r="N2330" s="63">
        <v>153251</v>
      </c>
      <c r="O2330" s="63">
        <v>83197</v>
      </c>
      <c r="P2330" s="63"/>
      <c r="Q2330" s="63">
        <v>15266</v>
      </c>
      <c r="R2330" s="63">
        <v>6005</v>
      </c>
      <c r="S2330" s="63"/>
      <c r="T2330" s="63"/>
      <c r="U2330" s="63"/>
      <c r="V2330" s="63"/>
      <c r="W2330" s="1">
        <v>11513</v>
      </c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W2330" s="5">
        <f>IF(Q2330&gt;0,RANK(Q2330,(N2330:P2330,Q2330:AE2330)),0)</f>
        <v>3</v>
      </c>
      <c r="AX2330" s="5">
        <f>IF(R2330&gt;0,RANK(R2330,(N2330:P2330,Q2330:AE2330)),0)</f>
        <v>5</v>
      </c>
      <c r="AY2330" s="5">
        <f>IF(T2330&gt;0,RANK(T2330,(N2330:P2330,Q2330:AE2330)),0)</f>
        <v>0</v>
      </c>
      <c r="AZ2330" s="5">
        <f>IF(S2330&gt;0,RANK(S2330,(N2330:P2330,Q2330:AE2330)),0)</f>
        <v>0</v>
      </c>
      <c r="BA2330" s="2">
        <f t="shared" si="957"/>
        <v>5.6702026505021694E-2</v>
      </c>
      <c r="BB2330" s="2">
        <f t="shared" si="958"/>
        <v>2.2304183752302847E-2</v>
      </c>
      <c r="BC2330" s="2">
        <f t="shared" si="959"/>
        <v>0</v>
      </c>
      <c r="BD2330" s="2">
        <f t="shared" si="960"/>
        <v>0</v>
      </c>
      <c r="BF2330" t="s">
        <v>692</v>
      </c>
      <c r="BG2330" t="s">
        <v>2272</v>
      </c>
      <c r="BH2330">
        <v>1</v>
      </c>
      <c r="BJ2330" s="114">
        <v>41</v>
      </c>
      <c r="BK2330" s="116">
        <v>67</v>
      </c>
      <c r="BL2330" s="120">
        <f t="shared" si="942"/>
        <v>41067</v>
      </c>
      <c r="BN2330" s="5" t="s">
        <v>3154</v>
      </c>
      <c r="BR2330" s="63"/>
      <c r="BS2330" s="63"/>
      <c r="BT2330" s="63">
        <f t="shared" si="961"/>
        <v>-269232</v>
      </c>
      <c r="CA2330" s="1"/>
    </row>
    <row r="2331" spans="1:82" hidden="1" outlineLevel="1">
      <c r="A2331" t="s">
        <v>607</v>
      </c>
      <c r="B2331" t="s">
        <v>2272</v>
      </c>
      <c r="C2331" s="1">
        <f t="shared" si="952"/>
        <v>818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32">
        <f t="shared" si="962"/>
        <v>436</v>
      </c>
      <c r="H2331" s="137">
        <f t="shared" si="963"/>
        <v>0.5330073349633252</v>
      </c>
      <c r="I2331" s="2"/>
      <c r="J2331" s="2">
        <f t="shared" si="953"/>
        <v>0.18948655256723718</v>
      </c>
      <c r="K2331" s="2">
        <f t="shared" si="954"/>
        <v>0.72249388753056232</v>
      </c>
      <c r="L2331" s="2">
        <f t="shared" si="955"/>
        <v>0</v>
      </c>
      <c r="M2331" s="2">
        <f t="shared" si="956"/>
        <v>8.8019559902200561E-2</v>
      </c>
      <c r="N2331" s="63">
        <v>155</v>
      </c>
      <c r="O2331" s="63">
        <v>591</v>
      </c>
      <c r="P2331" s="63"/>
      <c r="Q2331" s="63">
        <v>46</v>
      </c>
      <c r="R2331" s="63">
        <v>10</v>
      </c>
      <c r="S2331" s="63"/>
      <c r="T2331" s="63"/>
      <c r="U2331" s="63"/>
      <c r="V2331" s="63"/>
      <c r="W2331">
        <v>16</v>
      </c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W2331" s="5">
        <f>IF(Q2331&gt;0,RANK(Q2331,(N2331:P2331,Q2331:AE2331)),0)</f>
        <v>3</v>
      </c>
      <c r="AX2331" s="5">
        <f>IF(R2331&gt;0,RANK(R2331,(N2331:P2331,Q2331:AE2331)),0)</f>
        <v>5</v>
      </c>
      <c r="AY2331" s="5">
        <f>IF(T2331&gt;0,RANK(T2331,(N2331:P2331,Q2331:AE2331)),0)</f>
        <v>0</v>
      </c>
      <c r="AZ2331" s="5">
        <f>IF(S2331&gt;0,RANK(S2331,(N2331:P2331,Q2331:AE2331)),0)</f>
        <v>0</v>
      </c>
      <c r="BA2331" s="2">
        <f t="shared" si="957"/>
        <v>5.623471882640587E-2</v>
      </c>
      <c r="BB2331" s="2">
        <f t="shared" si="958"/>
        <v>1.2224938875305624E-2</v>
      </c>
      <c r="BC2331" s="2">
        <f t="shared" si="959"/>
        <v>0</v>
      </c>
      <c r="BD2331" s="2">
        <f t="shared" si="960"/>
        <v>0</v>
      </c>
      <c r="BF2331" t="s">
        <v>607</v>
      </c>
      <c r="BG2331" t="s">
        <v>2272</v>
      </c>
      <c r="BH2331">
        <v>2</v>
      </c>
      <c r="BJ2331" s="114">
        <v>41</v>
      </c>
      <c r="BK2331" s="116">
        <v>69</v>
      </c>
      <c r="BL2331" s="120">
        <f t="shared" si="942"/>
        <v>41069</v>
      </c>
      <c r="BN2331" s="5" t="s">
        <v>3154</v>
      </c>
      <c r="BQ2331" s="132" t="s">
        <v>3253</v>
      </c>
      <c r="BR2331" s="63"/>
      <c r="BS2331" s="63"/>
      <c r="BT2331" s="63">
        <f t="shared" si="961"/>
        <v>-818</v>
      </c>
      <c r="CA2331"/>
    </row>
    <row r="2332" spans="1:82" hidden="1" outlineLevel="1">
      <c r="A2332" t="s">
        <v>417</v>
      </c>
      <c r="B2332" t="s">
        <v>2272</v>
      </c>
      <c r="C2332" s="1">
        <f t="shared" si="952"/>
        <v>48753</v>
      </c>
      <c r="D2332" s="5">
        <f>IF(N2332&gt;0, RANK(N2332,(N2332:P2332,Q2332:AE2332)),0)</f>
        <v>2</v>
      </c>
      <c r="E2332" s="5">
        <f>IF(O2332&gt;0,RANK(O2332,(N2332:P2332,Q2332:AE2332)),0)</f>
        <v>1</v>
      </c>
      <c r="F2332" s="5">
        <f>IF(P2332&gt;0,RANK(P2332,(N2332:P2332,Q2332:AE2332)),0)</f>
        <v>0</v>
      </c>
      <c r="G2332" s="132">
        <f t="shared" si="962"/>
        <v>3949</v>
      </c>
      <c r="H2332" s="137">
        <f t="shared" si="963"/>
        <v>8.1000143580907846E-2</v>
      </c>
      <c r="I2332" s="2"/>
      <c r="J2332" s="2">
        <f t="shared" si="953"/>
        <v>0.39589358603573116</v>
      </c>
      <c r="K2332" s="2">
        <f t="shared" si="954"/>
        <v>0.47689372961663895</v>
      </c>
      <c r="L2332" s="2">
        <f t="shared" si="955"/>
        <v>0</v>
      </c>
      <c r="M2332" s="2">
        <f t="shared" si="956"/>
        <v>0.12721268434762995</v>
      </c>
      <c r="N2332" s="63">
        <v>19301</v>
      </c>
      <c r="O2332" s="63">
        <v>23250</v>
      </c>
      <c r="P2332" s="63"/>
      <c r="Q2332" s="63">
        <v>3074</v>
      </c>
      <c r="R2332" s="63">
        <v>1016</v>
      </c>
      <c r="S2332" s="63"/>
      <c r="T2332" s="63"/>
      <c r="U2332" s="63"/>
      <c r="V2332" s="63"/>
      <c r="W2332">
        <v>2112</v>
      </c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W2332" s="5">
        <f>IF(Q2332&gt;0,RANK(Q2332,(N2332:P2332,Q2332:AE2332)),0)</f>
        <v>3</v>
      </c>
      <c r="AX2332" s="5">
        <f>IF(R2332&gt;0,RANK(R2332,(N2332:P2332,Q2332:AE2332)),0)</f>
        <v>5</v>
      </c>
      <c r="AY2332" s="5">
        <f>IF(T2332&gt;0,RANK(T2332,(N2332:P2332,Q2332:AE2332)),0)</f>
        <v>0</v>
      </c>
      <c r="AZ2332" s="5">
        <f>IF(S2332&gt;0,RANK(S2332,(N2332:P2332,Q2332:AE2332)),0)</f>
        <v>0</v>
      </c>
      <c r="BA2332" s="2">
        <f t="shared" si="957"/>
        <v>6.3052530100711754E-2</v>
      </c>
      <c r="BB2332" s="2">
        <f t="shared" si="958"/>
        <v>2.0839743195290545E-2</v>
      </c>
      <c r="BC2332" s="2">
        <f t="shared" si="959"/>
        <v>0</v>
      </c>
      <c r="BD2332" s="2">
        <f t="shared" si="960"/>
        <v>0</v>
      </c>
      <c r="BF2332" t="s">
        <v>417</v>
      </c>
      <c r="BG2332" t="s">
        <v>2272</v>
      </c>
      <c r="BH2332">
        <v>1</v>
      </c>
      <c r="BJ2332" s="114">
        <v>41</v>
      </c>
      <c r="BK2332" s="116">
        <v>71</v>
      </c>
      <c r="BL2332" s="120">
        <f t="shared" si="942"/>
        <v>41071</v>
      </c>
      <c r="BN2332" s="5" t="s">
        <v>3154</v>
      </c>
      <c r="BR2332" s="63"/>
      <c r="BS2332" s="63"/>
      <c r="BT2332" s="63">
        <f t="shared" si="961"/>
        <v>-48753</v>
      </c>
      <c r="CA2332"/>
    </row>
    <row r="2333" spans="1:82" collapsed="1">
      <c r="A2333" t="s">
        <v>554</v>
      </c>
      <c r="B2333" t="s">
        <v>544</v>
      </c>
      <c r="C2333" s="1">
        <f t="shared" si="952"/>
        <v>2001336</v>
      </c>
      <c r="D2333" s="5">
        <f>IF(N2333&gt;0, RANK(N2333,(N2333:P2333,Q2333:AE2333)),0)</f>
        <v>1</v>
      </c>
      <c r="E2333" s="5">
        <f>IF(O2333&gt;0,RANK(O2333,(N2333:P2333,Q2333:AE2333)),0)</f>
        <v>2</v>
      </c>
      <c r="F2333" s="5">
        <f>IF(P2333&gt;0,RANK(P2333,(N2333:P2333,Q2333:AE2333)),0)</f>
        <v>0</v>
      </c>
      <c r="G2333" s="132">
        <f t="shared" si="962"/>
        <v>219703</v>
      </c>
      <c r="H2333" s="137">
        <f t="shared" si="963"/>
        <v>0.10977816818365332</v>
      </c>
      <c r="I2333" s="2"/>
      <c r="J2333" s="2">
        <f t="shared" si="953"/>
        <v>0.50071852002862083</v>
      </c>
      <c r="K2333" s="2">
        <f t="shared" si="954"/>
        <v>0.39094035184496756</v>
      </c>
      <c r="L2333" s="2">
        <f t="shared" si="955"/>
        <v>0</v>
      </c>
      <c r="M2333" s="2">
        <f t="shared" si="956"/>
        <v>0.10834112812641161</v>
      </c>
      <c r="N2333" s="63">
        <f t="shared" ref="N2333:W2333" si="964">SUM(N2297:N2332)</f>
        <v>1002106</v>
      </c>
      <c r="O2333" s="63">
        <f t="shared" si="964"/>
        <v>782403</v>
      </c>
      <c r="P2333" s="63"/>
      <c r="Q2333" s="63">
        <f t="shared" si="964"/>
        <v>94231</v>
      </c>
      <c r="R2333" s="63">
        <f t="shared" si="964"/>
        <v>50002</v>
      </c>
      <c r="S2333" s="63"/>
      <c r="T2333" s="63"/>
      <c r="U2333" s="63"/>
      <c r="V2333" s="63"/>
      <c r="W2333" s="63">
        <f t="shared" si="964"/>
        <v>72594</v>
      </c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W2333" s="5">
        <f>IF(Q2333&gt;0,RANK(Q2333,(N2333:P2333,Q2333:AE2333)),0)</f>
        <v>3</v>
      </c>
      <c r="AX2333" s="5">
        <f>IF(R2333&gt;0,RANK(R2333,(N2333:P2333,Q2333:AE2333)),0)</f>
        <v>5</v>
      </c>
      <c r="AY2333" s="5">
        <f>IF(T2333&gt;0,RANK(T2333,(N2333:P2333,Q2333:AE2333)),0)</f>
        <v>0</v>
      </c>
      <c r="AZ2333" s="5">
        <f>IF(S2333&gt;0,RANK(S2333,(N2333:P2333,Q2333:AE2333)),0)</f>
        <v>0</v>
      </c>
      <c r="BA2333" s="2">
        <f t="shared" si="957"/>
        <v>4.7084047856032173E-2</v>
      </c>
      <c r="BB2333" s="2">
        <f t="shared" si="958"/>
        <v>2.4984310480598959E-2</v>
      </c>
      <c r="BC2333" s="2">
        <f t="shared" si="959"/>
        <v>0</v>
      </c>
      <c r="BD2333" s="2">
        <f t="shared" si="960"/>
        <v>0</v>
      </c>
      <c r="BF2333" t="s">
        <v>554</v>
      </c>
      <c r="BG2333" t="s">
        <v>544</v>
      </c>
      <c r="BJ2333" s="114">
        <v>41</v>
      </c>
      <c r="BK2333" s="116"/>
      <c r="BL2333" s="114">
        <v>41</v>
      </c>
      <c r="BN2333" s="5" t="s">
        <v>711</v>
      </c>
      <c r="BO2333" s="63">
        <f>SUM(BO2297:BO2332)</f>
        <v>13568</v>
      </c>
      <c r="BP2333" s="63">
        <f>SUM(BP2297:BP2332)</f>
        <v>596</v>
      </c>
      <c r="BR2333" s="63"/>
      <c r="BS2333" s="63"/>
    </row>
    <row r="2334" spans="1:82">
      <c r="C2334" s="1"/>
      <c r="E2334" s="5"/>
      <c r="F2334" s="5"/>
      <c r="G2334" s="132"/>
      <c r="H2334" s="137"/>
      <c r="I2334" s="2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W2334" s="5"/>
      <c r="AX2334" s="5"/>
      <c r="AY2334" s="5"/>
      <c r="AZ2334" s="5"/>
      <c r="BJ2334" s="114"/>
      <c r="BK2334" s="116"/>
      <c r="BL2334" s="120"/>
      <c r="CA2334" s="132"/>
      <c r="CB2334" s="132"/>
      <c r="CC2334" s="132"/>
      <c r="CD2334" s="132" t="s">
        <v>3272</v>
      </c>
    </row>
    <row r="2335" spans="1:82" hidden="1" outlineLevel="1">
      <c r="A2335" t="s">
        <v>1026</v>
      </c>
      <c r="B2335" t="s">
        <v>1020</v>
      </c>
      <c r="C2335" s="1">
        <f t="shared" ref="C2335:C2366" si="965">SUM(N2335:AU2335)</f>
        <v>47990</v>
      </c>
      <c r="D2335" s="5">
        <f>IF(N2335&gt;0, RANK(N2335,(N2335:P2335,Q2335:AE2335)),0)</f>
        <v>2</v>
      </c>
      <c r="E2335" s="5">
        <f>IF(O2335&gt;0,RANK(O2335,(N2335:P2335,Q2335:AE2335)),0)</f>
        <v>1</v>
      </c>
      <c r="F2335" s="5" t="e">
        <f>IF(P2335&gt;0,RANK(P2335,(N2335:P2335,Q2335:AE2335)),0)</f>
        <v>#VALUE!</v>
      </c>
      <c r="G2335" s="132">
        <f t="shared" si="962"/>
        <v>17204</v>
      </c>
      <c r="H2335" s="137">
        <f t="shared" si="963"/>
        <v>0.35849135236507607</v>
      </c>
      <c r="I2335" s="2"/>
      <c r="J2335" s="2">
        <f t="shared" ref="J2335:J2366" si="966">IF($C2335=0,"-",N2335/$C2335)</f>
        <v>0.2962908939362367</v>
      </c>
      <c r="K2335" s="2">
        <f t="shared" ref="K2335:K2366" si="967">IF($C2335=0,"-",O2335/$C2335)</f>
        <v>0.65478224630131276</v>
      </c>
      <c r="L2335" s="2">
        <f t="shared" ref="L2335" si="968">IF($C2335=0,"-",IF(P2335="",0,P2335/$C2335))</f>
        <v>0</v>
      </c>
      <c r="M2335" s="2">
        <f t="shared" ref="M2335:M2366" si="969">IF(C2335=0,"-",(1-J2335-K2335-L2335))</f>
        <v>4.8926859762450481E-2</v>
      </c>
      <c r="N2335" s="63">
        <v>14219</v>
      </c>
      <c r="O2335" s="63">
        <v>31423</v>
      </c>
      <c r="P2335" s="63" t="str">
        <f>IF(Copyright!B$11=1,IF(CD2335&gt;0,CD2335,""),"")</f>
        <v/>
      </c>
      <c r="Q2335" s="63">
        <v>1251</v>
      </c>
      <c r="R2335" s="63">
        <v>405</v>
      </c>
      <c r="S2335" s="63">
        <v>191</v>
      </c>
      <c r="T2335" s="63"/>
      <c r="U2335" s="63"/>
      <c r="V2335" s="63"/>
      <c r="W2335" s="63">
        <f>IF(Copyright!B$11=1,IF(CA2335&gt;0,CA2335-SUM(T2335:V2335)-SUM(X2335:AQ2335)-CD2335,0),0)</f>
        <v>501</v>
      </c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W2335" s="5">
        <f>IF(Q2335&gt;0,RANK(Q2335,(N2335:P2335,Q2335:AE2335)),0)</f>
        <v>3</v>
      </c>
      <c r="AX2335" s="5">
        <f>IF(R2335&gt;0,RANK(R2335,(N2335:P2335,Q2335:AE2335)),0)</f>
        <v>5</v>
      </c>
      <c r="AY2335" s="5">
        <f>IF(T2335&gt;0,RANK(T2335,(N2335:P2335,Q2335:AE2335)),0)</f>
        <v>0</v>
      </c>
      <c r="AZ2335" s="5">
        <f>IF(S2335&gt;0,RANK(S2335,(N2335:P2335,Q2335:AE2335)),0)</f>
        <v>6</v>
      </c>
      <c r="BA2335" s="2">
        <f t="shared" ref="BA2335:BA2366" si="970">IF($C2335=0,"-",Q2335/$C2335)</f>
        <v>2.6067930818920608E-2</v>
      </c>
      <c r="BB2335" s="2">
        <f t="shared" ref="BB2335:BB2366" si="971">IF($C2335=0,"-",R2335/$C2335)</f>
        <v>8.439258178787247E-3</v>
      </c>
      <c r="BC2335" s="2">
        <f t="shared" ref="BC2335:BC2366" si="972">IF($C2335=0,"-",T2335/$C2335)</f>
        <v>0</v>
      </c>
      <c r="BD2335" s="2">
        <f t="shared" ref="BD2335:BD2366" si="973">IF($C2335=0,"-",S2335/$C2335)</f>
        <v>3.9799958324650969E-3</v>
      </c>
      <c r="BF2335" t="s">
        <v>1026</v>
      </c>
      <c r="BG2335" t="s">
        <v>1020</v>
      </c>
      <c r="BH2335" s="63">
        <v>4</v>
      </c>
      <c r="BJ2335" s="114">
        <v>42</v>
      </c>
      <c r="BK2335" s="116">
        <v>1</v>
      </c>
      <c r="BL2335" s="120">
        <f t="shared" si="942"/>
        <v>42001</v>
      </c>
      <c r="BN2335" s="5" t="s">
        <v>3154</v>
      </c>
      <c r="BY2335" s="63">
        <f>C2335-BZ2335</f>
        <v>0</v>
      </c>
      <c r="BZ2335" s="63">
        <v>47990</v>
      </c>
      <c r="CA2335" s="63">
        <v>501</v>
      </c>
      <c r="CB2335" s="132"/>
      <c r="CD2335" s="132"/>
    </row>
    <row r="2336" spans="1:82" hidden="1" outlineLevel="1">
      <c r="A2336" t="s">
        <v>2431</v>
      </c>
      <c r="B2336" t="s">
        <v>1020</v>
      </c>
      <c r="C2336" s="1">
        <f t="shared" si="965"/>
        <v>657189</v>
      </c>
      <c r="D2336" s="5">
        <f>IF(N2336&gt;0, RANK(N2336,(N2336:P2336,Q2336:AE2336)),0)</f>
        <v>1</v>
      </c>
      <c r="E2336" s="5">
        <f>IF(O2336&gt;0,RANK(O2336,(N2336:P2336,Q2336:AE2336)),0)</f>
        <v>2</v>
      </c>
      <c r="F2336" s="5" t="e">
        <f>IF(P2336&gt;0,RANK(P2336,(N2336:P2336,Q2336:AE2336)),0)</f>
        <v>#VALUE!</v>
      </c>
      <c r="G2336" s="132">
        <f t="shared" si="962"/>
        <v>108137</v>
      </c>
      <c r="H2336" s="137">
        <f t="shared" si="963"/>
        <v>0.16454475044469705</v>
      </c>
      <c r="I2336" s="2"/>
      <c r="J2336" s="2">
        <f t="shared" si="966"/>
        <v>0.55937789585644315</v>
      </c>
      <c r="K2336" s="2">
        <f t="shared" si="967"/>
        <v>0.39483314541174608</v>
      </c>
      <c r="L2336" s="2">
        <f>IF($C2336=0,"-",IF(P2336="",0,P2336/$C2336))</f>
        <v>0</v>
      </c>
      <c r="M2336" s="2">
        <f t="shared" si="969"/>
        <v>4.5788958731810769E-2</v>
      </c>
      <c r="N2336" s="63">
        <v>367617</v>
      </c>
      <c r="O2336" s="63">
        <v>259480</v>
      </c>
      <c r="P2336" s="63" t="str">
        <f>IF(Copyright!B$11=1,IF(CD2336&gt;0,CD2336,""),"")</f>
        <v/>
      </c>
      <c r="Q2336" s="63">
        <v>16102</v>
      </c>
      <c r="R2336" s="63">
        <v>5097</v>
      </c>
      <c r="S2336" s="63">
        <v>1818</v>
      </c>
      <c r="T2336" s="63"/>
      <c r="U2336" s="63"/>
      <c r="V2336" s="63"/>
      <c r="W2336" s="63">
        <f>IF(Copyright!B$11=1,IF(CA2336&gt;0,CA2336-SUM(T2336:V2336)-SUM(X2336:AQ2336)-CD2336,0),0)</f>
        <v>7075</v>
      </c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W2336" s="5">
        <f>IF(Q2336&gt;0,RANK(Q2336,(N2336:P2336,Q2336:AE2336)),0)</f>
        <v>3</v>
      </c>
      <c r="AX2336" s="5">
        <f>IF(R2336&gt;0,RANK(R2336,(N2336:P2336,Q2336:AE2336)),0)</f>
        <v>5</v>
      </c>
      <c r="AY2336" s="5">
        <f>IF(T2336&gt;0,RANK(T2336,(N2336:P2336,Q2336:AE2336)),0)</f>
        <v>0</v>
      </c>
      <c r="AZ2336" s="5">
        <f>IF(S2336&gt;0,RANK(S2336,(N2336:P2336,Q2336:AE2336)),0)</f>
        <v>6</v>
      </c>
      <c r="BA2336" s="2">
        <f t="shared" si="970"/>
        <v>2.4501323059272141E-2</v>
      </c>
      <c r="BB2336" s="2">
        <f t="shared" si="971"/>
        <v>7.7557597586082544E-3</v>
      </c>
      <c r="BC2336" s="2">
        <f t="shared" si="972"/>
        <v>0</v>
      </c>
      <c r="BD2336" s="2">
        <f t="shared" si="973"/>
        <v>2.7663274948302543E-3</v>
      </c>
      <c r="BF2336" t="s">
        <v>2431</v>
      </c>
      <c r="BG2336" t="s">
        <v>1020</v>
      </c>
      <c r="BH2336" s="63"/>
      <c r="BJ2336" s="114">
        <v>42</v>
      </c>
      <c r="BK2336" s="116">
        <v>3</v>
      </c>
      <c r="BL2336" s="120">
        <f t="shared" si="942"/>
        <v>42003</v>
      </c>
      <c r="BN2336" s="5" t="s">
        <v>3154</v>
      </c>
      <c r="BY2336" s="63">
        <f>C2336-BZ2336</f>
        <v>0</v>
      </c>
      <c r="BZ2336" s="63">
        <f>367617+259480+1818+5097+16102+7075</f>
        <v>657189</v>
      </c>
      <c r="CA2336" s="63">
        <v>7075</v>
      </c>
      <c r="CB2336" s="132"/>
    </row>
    <row r="2337" spans="1:82" hidden="1" outlineLevel="1">
      <c r="A2337" t="s">
        <v>1611</v>
      </c>
      <c r="B2337" t="s">
        <v>1020</v>
      </c>
      <c r="C2337" s="1">
        <f t="shared" si="965"/>
        <v>31864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 t="e">
        <f>IF(P2337&gt;0,RANK(P2337,(N2337:P2337,Q2337:AE2337)),0)</f>
        <v>#VALUE!</v>
      </c>
      <c r="G2337" s="132">
        <f t="shared" si="962"/>
        <v>16306</v>
      </c>
      <c r="H2337" s="137">
        <f t="shared" si="963"/>
        <v>0.51173738388149637</v>
      </c>
      <c r="I2337" s="2"/>
      <c r="J2337" s="2">
        <f t="shared" si="966"/>
        <v>0.22526989706251568</v>
      </c>
      <c r="K2337" s="2">
        <f t="shared" si="967"/>
        <v>0.73700728094401202</v>
      </c>
      <c r="L2337" s="2">
        <f t="shared" ref="L2337:L2400" si="974">IF($C2337=0,"-",IF(P2337="",0,P2337/$C2337))</f>
        <v>0</v>
      </c>
      <c r="M2337" s="2">
        <f t="shared" si="969"/>
        <v>3.7722821993472322E-2</v>
      </c>
      <c r="N2337" s="63">
        <v>7178</v>
      </c>
      <c r="O2337" s="63">
        <v>23484</v>
      </c>
      <c r="P2337" s="63" t="str">
        <f>IF(Copyright!B$11=1,IF(CD2337&gt;0,CD2337,""),"")</f>
        <v/>
      </c>
      <c r="Q2337" s="63">
        <v>685</v>
      </c>
      <c r="R2337" s="63">
        <v>141</v>
      </c>
      <c r="S2337" s="63">
        <v>130</v>
      </c>
      <c r="T2337" s="63"/>
      <c r="U2337" s="63"/>
      <c r="V2337" s="63"/>
      <c r="W2337" s="63">
        <f>IF(Copyright!B$11=1,IF(CA2337&gt;0,CA2337-SUM(T2337:V2337)-SUM(X2337:AQ2337)-CD2337,0),0)</f>
        <v>246</v>
      </c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W2337" s="5">
        <f>IF(Q2337&gt;0,RANK(Q2337,(N2337:P2337,Q2337:AE2337)),0)</f>
        <v>3</v>
      </c>
      <c r="AX2337" s="5">
        <f>IF(R2337&gt;0,RANK(R2337,(N2337:P2337,Q2337:AE2337)),0)</f>
        <v>5</v>
      </c>
      <c r="AY2337" s="5">
        <f>IF(T2337&gt;0,RANK(T2337,(N2337:P2337,Q2337:AE2337)),0)</f>
        <v>0</v>
      </c>
      <c r="AZ2337" s="5">
        <f>IF(S2337&gt;0,RANK(S2337,(N2337:P2337,Q2337:AE2337)),0)</f>
        <v>6</v>
      </c>
      <c r="BA2337" s="2">
        <f t="shared" si="970"/>
        <v>2.1497614863168465E-2</v>
      </c>
      <c r="BB2337" s="2">
        <f t="shared" si="971"/>
        <v>4.425056490082852E-3</v>
      </c>
      <c r="BC2337" s="2">
        <f t="shared" si="972"/>
        <v>0</v>
      </c>
      <c r="BD2337" s="2">
        <f t="shared" si="973"/>
        <v>4.079839317097665E-3</v>
      </c>
      <c r="BF2337" t="s">
        <v>1611</v>
      </c>
      <c r="BG2337" t="s">
        <v>1020</v>
      </c>
      <c r="BH2337" s="63">
        <v>3</v>
      </c>
      <c r="BJ2337" s="114">
        <v>42</v>
      </c>
      <c r="BK2337" s="116">
        <v>5</v>
      </c>
      <c r="BL2337" s="120">
        <f t="shared" si="942"/>
        <v>42005</v>
      </c>
      <c r="BN2337" s="5" t="s">
        <v>3154</v>
      </c>
      <c r="BY2337" s="63">
        <f>C2337-BZ2337</f>
        <v>0</v>
      </c>
      <c r="BZ2337" s="63">
        <v>31864</v>
      </c>
      <c r="CA2337" s="63">
        <v>246</v>
      </c>
      <c r="CB2337" s="132"/>
    </row>
    <row r="2338" spans="1:82" hidden="1" outlineLevel="1">
      <c r="A2338" t="s">
        <v>1193</v>
      </c>
      <c r="B2338" t="s">
        <v>1020</v>
      </c>
      <c r="C2338" s="1">
        <f t="shared" si="965"/>
        <v>84462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 t="e">
        <f>IF(P2338&gt;0,RANK(P2338,(N2338:P2338,Q2338:AE2338)),0)</f>
        <v>#VALUE!</v>
      </c>
      <c r="G2338" s="132">
        <f t="shared" si="962"/>
        <v>15636</v>
      </c>
      <c r="H2338" s="137">
        <f t="shared" si="963"/>
        <v>0.18512467144988279</v>
      </c>
      <c r="I2338" s="2"/>
      <c r="J2338" s="2">
        <f t="shared" si="966"/>
        <v>0.38515545452392791</v>
      </c>
      <c r="K2338" s="2">
        <f t="shared" si="967"/>
        <v>0.57028012597381073</v>
      </c>
      <c r="L2338" s="2">
        <f t="shared" si="974"/>
        <v>0</v>
      </c>
      <c r="M2338" s="2">
        <f t="shared" si="969"/>
        <v>4.456441950226131E-2</v>
      </c>
      <c r="N2338" s="63">
        <v>32531</v>
      </c>
      <c r="O2338" s="63">
        <v>48167</v>
      </c>
      <c r="P2338" s="63" t="str">
        <f>IF(Copyright!B$11=1,IF(CD2338&gt;0,CD2338,""),"")</f>
        <v/>
      </c>
      <c r="Q2338" s="63">
        <v>2022</v>
      </c>
      <c r="R2338" s="63">
        <v>496</v>
      </c>
      <c r="S2338" s="63">
        <v>355</v>
      </c>
      <c r="T2338" s="63"/>
      <c r="U2338" s="63"/>
      <c r="V2338" s="63"/>
      <c r="W2338" s="63">
        <f>IF(Copyright!B$11=1,IF(CA2338&gt;0,CA2338-SUM(T2338:V2338)-SUM(X2338:AQ2338)-CD2338,0),0)</f>
        <v>891</v>
      </c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W2338" s="5">
        <f>IF(Q2338&gt;0,RANK(Q2338,(N2338:P2338,Q2338:AE2338)),0)</f>
        <v>3</v>
      </c>
      <c r="AX2338" s="5">
        <f>IF(R2338&gt;0,RANK(R2338,(N2338:P2338,Q2338:AE2338)),0)</f>
        <v>5</v>
      </c>
      <c r="AY2338" s="5">
        <f>IF(T2338&gt;0,RANK(T2338,(N2338:P2338,Q2338:AE2338)),0)</f>
        <v>0</v>
      </c>
      <c r="AZ2338" s="5">
        <f>IF(S2338&gt;0,RANK(S2338,(N2338:P2338,Q2338:AE2338)),0)</f>
        <v>6</v>
      </c>
      <c r="BA2338" s="2">
        <f t="shared" si="970"/>
        <v>2.3939759892022447E-2</v>
      </c>
      <c r="BB2338" s="2">
        <f t="shared" si="971"/>
        <v>5.8724633563022426E-3</v>
      </c>
      <c r="BC2338" s="2">
        <f t="shared" si="972"/>
        <v>0</v>
      </c>
      <c r="BD2338" s="2">
        <f t="shared" si="973"/>
        <v>4.2030735715469676E-3</v>
      </c>
      <c r="BF2338" t="s">
        <v>1193</v>
      </c>
      <c r="BG2338" t="s">
        <v>1020</v>
      </c>
      <c r="BH2338" s="63">
        <v>12</v>
      </c>
      <c r="BJ2338" s="114">
        <v>42</v>
      </c>
      <c r="BK2338" s="116">
        <v>7</v>
      </c>
      <c r="BL2338" s="120">
        <f t="shared" si="942"/>
        <v>42007</v>
      </c>
      <c r="BN2338" s="5" t="s">
        <v>3154</v>
      </c>
      <c r="BY2338" s="63">
        <f t="shared" ref="BY2338:BY2401" si="975">C2338-BZ2338</f>
        <v>0</v>
      </c>
      <c r="BZ2338" s="63">
        <f>32531+48167+355+496+2022+891</f>
        <v>84462</v>
      </c>
      <c r="CA2338" s="63">
        <v>891</v>
      </c>
      <c r="CB2338" s="132"/>
    </row>
    <row r="2339" spans="1:82" hidden="1" outlineLevel="1">
      <c r="A2339" t="s">
        <v>1766</v>
      </c>
      <c r="B2339" t="s">
        <v>1020</v>
      </c>
      <c r="C2339" s="1">
        <f t="shared" si="965"/>
        <v>23675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 t="e">
        <f>IF(P2339&gt;0,RANK(P2339,(N2339:P2339,Q2339:AE2339)),0)</f>
        <v>#VALUE!</v>
      </c>
      <c r="G2339" s="132">
        <f t="shared" si="962"/>
        <v>15907</v>
      </c>
      <c r="H2339" s="137">
        <f t="shared" si="963"/>
        <v>0.67189017951425556</v>
      </c>
      <c r="I2339" s="2"/>
      <c r="J2339" s="2">
        <f t="shared" si="966"/>
        <v>0.15395987328405492</v>
      </c>
      <c r="K2339" s="2">
        <f t="shared" si="967"/>
        <v>0.82585005279831047</v>
      </c>
      <c r="L2339" s="2">
        <f t="shared" si="974"/>
        <v>0</v>
      </c>
      <c r="M2339" s="2">
        <f t="shared" si="969"/>
        <v>2.019007391763461E-2</v>
      </c>
      <c r="N2339" s="63">
        <v>3645</v>
      </c>
      <c r="O2339" s="63">
        <v>19552</v>
      </c>
      <c r="P2339" s="63" t="str">
        <f>IF(Copyright!B$11=1,IF(CD2339&gt;0,CD2339,""),"")</f>
        <v/>
      </c>
      <c r="Q2339" s="63">
        <v>260</v>
      </c>
      <c r="R2339" s="63">
        <v>102</v>
      </c>
      <c r="S2339" s="63">
        <v>78</v>
      </c>
      <c r="T2339" s="63"/>
      <c r="U2339" s="63"/>
      <c r="V2339" s="63"/>
      <c r="W2339" s="63">
        <f>IF(Copyright!B$11=1,IF(CA2339&gt;0,CA2339-SUM(T2339:V2339)-SUM(X2339:AQ2339)-CD2339,0),0)</f>
        <v>38</v>
      </c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W2339" s="5">
        <f>IF(Q2339&gt;0,RANK(Q2339,(N2339:P2339,Q2339:AE2339)),0)</f>
        <v>3</v>
      </c>
      <c r="AX2339" s="5">
        <f>IF(R2339&gt;0,RANK(R2339,(N2339:P2339,Q2339:AE2339)),0)</f>
        <v>4</v>
      </c>
      <c r="AY2339" s="5">
        <f>IF(T2339&gt;0,RANK(T2339,(N2339:P2339,Q2339:AE2339)),0)</f>
        <v>0</v>
      </c>
      <c r="AZ2339" s="5">
        <f>IF(S2339&gt;0,RANK(S2339,(N2339:P2339,Q2339:AE2339)),0)</f>
        <v>5</v>
      </c>
      <c r="BA2339" s="2">
        <f t="shared" si="970"/>
        <v>1.0982048574445617E-2</v>
      </c>
      <c r="BB2339" s="2">
        <f t="shared" si="971"/>
        <v>4.3083421330517421E-3</v>
      </c>
      <c r="BC2339" s="2">
        <f t="shared" si="972"/>
        <v>0</v>
      </c>
      <c r="BD2339" s="2">
        <f t="shared" si="973"/>
        <v>3.2946145723336852E-3</v>
      </c>
      <c r="BF2339" t="s">
        <v>1766</v>
      </c>
      <c r="BG2339" t="s">
        <v>1020</v>
      </c>
      <c r="BH2339" s="63">
        <v>9</v>
      </c>
      <c r="BJ2339" s="114">
        <v>42</v>
      </c>
      <c r="BK2339" s="116">
        <v>9</v>
      </c>
      <c r="BL2339" s="120">
        <f t="shared" si="942"/>
        <v>42009</v>
      </c>
      <c r="BN2339" s="5" t="s">
        <v>3154</v>
      </c>
      <c r="BO2339" s="63">
        <v>226</v>
      </c>
      <c r="BP2339" s="63">
        <v>8</v>
      </c>
      <c r="BR2339" s="63"/>
      <c r="BY2339" s="63">
        <f t="shared" si="975"/>
        <v>0</v>
      </c>
      <c r="BZ2339" s="63">
        <v>23675</v>
      </c>
      <c r="CA2339" s="63">
        <v>38</v>
      </c>
      <c r="CB2339" s="132"/>
      <c r="CC2339" s="63">
        <v>24</v>
      </c>
      <c r="CD2339" s="63">
        <v>0</v>
      </c>
    </row>
    <row r="2340" spans="1:82" hidden="1" outlineLevel="1">
      <c r="A2340" t="s">
        <v>441</v>
      </c>
      <c r="B2340" t="s">
        <v>1020</v>
      </c>
      <c r="C2340" s="1">
        <f t="shared" si="965"/>
        <v>184085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7</v>
      </c>
      <c r="G2340" s="132">
        <f t="shared" si="962"/>
        <v>18189</v>
      </c>
      <c r="H2340" s="137">
        <f t="shared" si="963"/>
        <v>9.8807616046934846E-2</v>
      </c>
      <c r="I2340" s="2"/>
      <c r="J2340" s="2">
        <f t="shared" si="966"/>
        <v>0.42609120786593152</v>
      </c>
      <c r="K2340" s="2">
        <f t="shared" si="967"/>
        <v>0.52489882391286635</v>
      </c>
      <c r="L2340" s="2">
        <f t="shared" si="974"/>
        <v>1.1407773582855745E-3</v>
      </c>
      <c r="M2340" s="2">
        <f t="shared" si="969"/>
        <v>4.7869190862916494E-2</v>
      </c>
      <c r="N2340" s="63">
        <v>78437</v>
      </c>
      <c r="O2340" s="63">
        <v>96626</v>
      </c>
      <c r="P2340" s="63">
        <f>IF(Copyright!B$11=1,IF(CD2340&gt;0,CD2340,""),"")</f>
        <v>210</v>
      </c>
      <c r="Q2340" s="63">
        <v>5247</v>
      </c>
      <c r="R2340" s="63">
        <v>1974</v>
      </c>
      <c r="S2340" s="63">
        <v>781</v>
      </c>
      <c r="T2340" s="63"/>
      <c r="U2340" s="63"/>
      <c r="V2340" s="63"/>
      <c r="W2340" s="63">
        <f>IF(Copyright!B$11=1,IF(CA2340&gt;0,CA2340-SUM(T2340:V2340)-SUM(X2340:AQ2340)-CD2340,0),0)</f>
        <v>810</v>
      </c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W2340" s="5">
        <f>IF(Q2340&gt;0,RANK(Q2340,(N2340:P2340,Q2340:AE2340)),0)</f>
        <v>3</v>
      </c>
      <c r="AX2340" s="5">
        <f>IF(R2340&gt;0,RANK(R2340,(N2340:P2340,Q2340:AE2340)),0)</f>
        <v>4</v>
      </c>
      <c r="AY2340" s="5">
        <f>IF(T2340&gt;0,RANK(T2340,(N2340:P2340,Q2340:AE2340)),0)</f>
        <v>0</v>
      </c>
      <c r="AZ2340" s="5">
        <f>IF(S2340&gt;0,RANK(S2340,(N2340:P2340,Q2340:AE2340)),0)</f>
        <v>6</v>
      </c>
      <c r="BA2340" s="2">
        <f t="shared" si="970"/>
        <v>2.8503137137735286E-2</v>
      </c>
      <c r="BB2340" s="2">
        <f t="shared" si="971"/>
        <v>1.07233071678844E-2</v>
      </c>
      <c r="BC2340" s="2">
        <f t="shared" si="972"/>
        <v>0</v>
      </c>
      <c r="BD2340" s="2">
        <f t="shared" si="973"/>
        <v>4.2426053181953988E-3</v>
      </c>
      <c r="BF2340" t="s">
        <v>441</v>
      </c>
      <c r="BG2340" t="s">
        <v>1020</v>
      </c>
      <c r="BH2340" s="63"/>
      <c r="BJ2340" s="114">
        <v>42</v>
      </c>
      <c r="BK2340" s="116">
        <v>11</v>
      </c>
      <c r="BL2340" s="120">
        <f t="shared" si="942"/>
        <v>42011</v>
      </c>
      <c r="BN2340" s="5" t="s">
        <v>3154</v>
      </c>
      <c r="BY2340" s="63">
        <f t="shared" si="975"/>
        <v>0</v>
      </c>
      <c r="BZ2340" s="63">
        <f>78437+96626+781+1974+5247+1020</f>
        <v>184085</v>
      </c>
      <c r="CA2340" s="63">
        <v>1020</v>
      </c>
      <c r="CB2340" s="132"/>
      <c r="CD2340" s="63">
        <v>210</v>
      </c>
    </row>
    <row r="2341" spans="1:82" hidden="1" outlineLevel="1">
      <c r="A2341" t="s">
        <v>2113</v>
      </c>
      <c r="B2341" t="s">
        <v>1020</v>
      </c>
      <c r="C2341" s="1">
        <f t="shared" si="965"/>
        <v>55341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7</v>
      </c>
      <c r="G2341" s="132">
        <f t="shared" si="962"/>
        <v>25177</v>
      </c>
      <c r="H2341" s="137">
        <f t="shared" si="963"/>
        <v>0.45494298982671078</v>
      </c>
      <c r="I2341" s="2"/>
      <c r="J2341" s="2">
        <f t="shared" si="966"/>
        <v>0.25221806617155457</v>
      </c>
      <c r="K2341" s="2">
        <f t="shared" si="967"/>
        <v>0.70716105599826529</v>
      </c>
      <c r="L2341" s="2">
        <f t="shared" si="974"/>
        <v>2.1503044758858711E-3</v>
      </c>
      <c r="M2341" s="2">
        <f t="shared" si="969"/>
        <v>3.8470573354294331E-2</v>
      </c>
      <c r="N2341" s="63">
        <v>13958</v>
      </c>
      <c r="O2341" s="63">
        <v>39135</v>
      </c>
      <c r="P2341" s="63">
        <f>IF(Copyright!B$11=1,IF(CD2341&gt;0,CD2341,""),"")</f>
        <v>119</v>
      </c>
      <c r="Q2341" s="63">
        <v>1256</v>
      </c>
      <c r="R2341" s="63">
        <v>338</v>
      </c>
      <c r="S2341" s="63">
        <v>222</v>
      </c>
      <c r="T2341" s="63"/>
      <c r="U2341" s="63"/>
      <c r="V2341" s="63"/>
      <c r="W2341" s="63">
        <f>IF(Copyright!B$11=1,IF(CA2341&gt;0,CA2341-SUM(T2341:V2341)-SUM(X2341:AQ2341)-CD2341,0),0)</f>
        <v>313</v>
      </c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W2341" s="5">
        <f>IF(Q2341&gt;0,RANK(Q2341,(N2341:P2341,Q2341:AE2341)),0)</f>
        <v>3</v>
      </c>
      <c r="AX2341" s="5">
        <f>IF(R2341&gt;0,RANK(R2341,(N2341:P2341,Q2341:AE2341)),0)</f>
        <v>4</v>
      </c>
      <c r="AY2341" s="5">
        <f>IF(T2341&gt;0,RANK(T2341,(N2341:P2341,Q2341:AE2341)),0)</f>
        <v>0</v>
      </c>
      <c r="AZ2341" s="5">
        <f>IF(S2341&gt;0,RANK(S2341,(N2341:P2341,Q2341:AE2341)),0)</f>
        <v>6</v>
      </c>
      <c r="BA2341" s="2">
        <f t="shared" si="970"/>
        <v>2.2695650602627345E-2</v>
      </c>
      <c r="BB2341" s="2">
        <f t="shared" si="971"/>
        <v>6.1075875029363404E-3</v>
      </c>
      <c r="BC2341" s="2">
        <f t="shared" si="972"/>
        <v>0</v>
      </c>
      <c r="BD2341" s="2">
        <f t="shared" si="973"/>
        <v>4.0114923835854067E-3</v>
      </c>
      <c r="BF2341" t="s">
        <v>2113</v>
      </c>
      <c r="BG2341" t="s">
        <v>1020</v>
      </c>
      <c r="BH2341" s="63">
        <v>9</v>
      </c>
      <c r="BJ2341" s="114">
        <v>42</v>
      </c>
      <c r="BK2341" s="116">
        <v>13</v>
      </c>
      <c r="BL2341" s="120">
        <f t="shared" si="942"/>
        <v>42013</v>
      </c>
      <c r="BN2341" s="5" t="s">
        <v>3154</v>
      </c>
      <c r="BO2341" s="63">
        <v>990</v>
      </c>
      <c r="BP2341" s="63">
        <v>0</v>
      </c>
      <c r="BR2341" s="63"/>
      <c r="BY2341" s="63">
        <f t="shared" si="975"/>
        <v>0</v>
      </c>
      <c r="BZ2341" s="63">
        <v>55341</v>
      </c>
      <c r="CA2341" s="63">
        <v>432</v>
      </c>
      <c r="CB2341" s="132"/>
      <c r="CC2341" s="63">
        <v>118</v>
      </c>
      <c r="CD2341" s="63">
        <v>119</v>
      </c>
    </row>
    <row r="2342" spans="1:82" hidden="1" outlineLevel="1">
      <c r="A2342" t="s">
        <v>2276</v>
      </c>
      <c r="B2342" t="s">
        <v>1020</v>
      </c>
      <c r="C2342" s="1">
        <f t="shared" si="965"/>
        <v>25986</v>
      </c>
      <c r="D2342" s="5">
        <f>IF(N2342&gt;0, RANK(N2342,(N2342:P2342,Q2342:AE2342)),0)</f>
        <v>2</v>
      </c>
      <c r="E2342" s="5">
        <f>IF(O2342&gt;0,RANK(O2342,(N2342:P2342,Q2342:AE2342)),0)</f>
        <v>1</v>
      </c>
      <c r="F2342" s="5" t="e">
        <f>IF(P2342&gt;0,RANK(P2342,(N2342:P2342,Q2342:AE2342)),0)</f>
        <v>#VALUE!</v>
      </c>
      <c r="G2342" s="132">
        <f t="shared" si="962"/>
        <v>11772</v>
      </c>
      <c r="H2342" s="137">
        <f t="shared" si="963"/>
        <v>0.45301316093280997</v>
      </c>
      <c r="I2342" s="2"/>
      <c r="J2342" s="2">
        <f t="shared" si="966"/>
        <v>0.24509351189101825</v>
      </c>
      <c r="K2342" s="2">
        <f t="shared" si="967"/>
        <v>0.69810667282382821</v>
      </c>
      <c r="L2342" s="2">
        <f t="shared" si="974"/>
        <v>0</v>
      </c>
      <c r="M2342" s="2">
        <f t="shared" si="969"/>
        <v>5.6799815285153543E-2</v>
      </c>
      <c r="N2342" s="63">
        <v>6369</v>
      </c>
      <c r="O2342" s="63">
        <v>18141</v>
      </c>
      <c r="P2342" s="63" t="str">
        <f>IF(Copyright!B$11=1,IF(CD2342&gt;0,CD2342,""),"")</f>
        <v/>
      </c>
      <c r="Q2342" s="63">
        <v>893</v>
      </c>
      <c r="R2342" s="63">
        <v>137</v>
      </c>
      <c r="S2342" s="63">
        <v>168</v>
      </c>
      <c r="T2342" s="63"/>
      <c r="U2342" s="63"/>
      <c r="V2342" s="63"/>
      <c r="W2342" s="63">
        <f>IF(Copyright!B$11=1,IF(CA2342&gt;0,CA2342-SUM(T2342:V2342)-SUM(X2342:AQ2342)-CD2342,0),0)</f>
        <v>278</v>
      </c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W2342" s="5">
        <f>IF(Q2342&gt;0,RANK(Q2342,(N2342:P2342,Q2342:AE2342)),0)</f>
        <v>3</v>
      </c>
      <c r="AX2342" s="5">
        <f>IF(R2342&gt;0,RANK(R2342,(N2342:P2342,Q2342:AE2342)),0)</f>
        <v>6</v>
      </c>
      <c r="AY2342" s="5">
        <f>IF(T2342&gt;0,RANK(T2342,(N2342:P2342,Q2342:AE2342)),0)</f>
        <v>0</v>
      </c>
      <c r="AZ2342" s="5">
        <f>IF(S2342&gt;0,RANK(S2342,(N2342:P2342,Q2342:AE2342)),0)</f>
        <v>5</v>
      </c>
      <c r="BA2342" s="2">
        <f t="shared" si="970"/>
        <v>3.436465789271146E-2</v>
      </c>
      <c r="BB2342" s="2">
        <f t="shared" si="971"/>
        <v>5.2720695759254982E-3</v>
      </c>
      <c r="BC2342" s="2">
        <f t="shared" si="972"/>
        <v>0</v>
      </c>
      <c r="BD2342" s="2">
        <f t="shared" si="973"/>
        <v>6.4650196259524355E-3</v>
      </c>
      <c r="BF2342" t="s">
        <v>2276</v>
      </c>
      <c r="BG2342" t="s">
        <v>1020</v>
      </c>
      <c r="BH2342" s="63">
        <v>10</v>
      </c>
      <c r="BJ2342" s="114">
        <v>42</v>
      </c>
      <c r="BK2342" s="116">
        <v>15</v>
      </c>
      <c r="BL2342" s="120">
        <f t="shared" si="942"/>
        <v>42015</v>
      </c>
      <c r="BN2342" s="5" t="s">
        <v>3154</v>
      </c>
      <c r="BY2342" s="63">
        <f t="shared" si="975"/>
        <v>0</v>
      </c>
      <c r="BZ2342" s="63">
        <v>25986</v>
      </c>
      <c r="CA2342" s="63">
        <v>278</v>
      </c>
      <c r="CB2342" s="132"/>
    </row>
    <row r="2343" spans="1:82" hidden="1" outlineLevel="1">
      <c r="A2343" t="s">
        <v>1645</v>
      </c>
      <c r="B2343" t="s">
        <v>1020</v>
      </c>
      <c r="C2343" s="1">
        <f t="shared" si="965"/>
        <v>345042</v>
      </c>
      <c r="D2343" s="5">
        <f>IF(N2343&gt;0, RANK(N2343,(N2343:P2343,Q2343:AE2343)),0)</f>
        <v>1</v>
      </c>
      <c r="E2343" s="5">
        <f>IF(O2343&gt;0,RANK(O2343,(N2343:P2343,Q2343:AE2343)),0)</f>
        <v>2</v>
      </c>
      <c r="F2343" s="5">
        <f>IF(P2343&gt;0,RANK(P2343,(N2343:P2343,Q2343:AE2343)),0)</f>
        <v>7</v>
      </c>
      <c r="G2343" s="132">
        <f t="shared" si="962"/>
        <v>2699</v>
      </c>
      <c r="H2343" s="137">
        <f t="shared" si="963"/>
        <v>7.8222361335721444E-3</v>
      </c>
      <c r="I2343" s="2"/>
      <c r="J2343" s="2">
        <f t="shared" si="966"/>
        <v>0.48417294126512134</v>
      </c>
      <c r="K2343" s="2">
        <f t="shared" si="967"/>
        <v>0.4763507051315492</v>
      </c>
      <c r="L2343" s="2">
        <f t="shared" si="974"/>
        <v>8.1149541215272338E-5</v>
      </c>
      <c r="M2343" s="2">
        <f t="shared" si="969"/>
        <v>3.9395204062114192E-2</v>
      </c>
      <c r="N2343" s="63">
        <v>167060</v>
      </c>
      <c r="O2343" s="63">
        <v>164361</v>
      </c>
      <c r="P2343" s="63">
        <f>IF(Copyright!B$11=1,IF(CD2343&gt;0,CD2343,""),"")</f>
        <v>28</v>
      </c>
      <c r="Q2343" s="63">
        <v>8556</v>
      </c>
      <c r="R2343" s="63">
        <v>3121</v>
      </c>
      <c r="S2343" s="63">
        <v>1199</v>
      </c>
      <c r="T2343" s="63"/>
      <c r="U2343" s="63"/>
      <c r="V2343" s="63"/>
      <c r="W2343" s="63">
        <f>IF(Copyright!B$11=1,IF(CA2343&gt;0,CA2343-SUM(T2343:V2343)-SUM(X2343:AQ2343)-CD2343,0),0)</f>
        <v>717</v>
      </c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W2343" s="5">
        <f>IF(Q2343&gt;0,RANK(Q2343,(N2343:P2343,Q2343:AE2343)),0)</f>
        <v>3</v>
      </c>
      <c r="AX2343" s="5">
        <f>IF(R2343&gt;0,RANK(R2343,(N2343:P2343,Q2343:AE2343)),0)</f>
        <v>4</v>
      </c>
      <c r="AY2343" s="5">
        <f>IF(T2343&gt;0,RANK(T2343,(N2343:P2343,Q2343:AE2343)),0)</f>
        <v>0</v>
      </c>
      <c r="AZ2343" s="5">
        <f>IF(S2343&gt;0,RANK(S2343,(N2343:P2343,Q2343:AE2343)),0)</f>
        <v>5</v>
      </c>
      <c r="BA2343" s="2">
        <f t="shared" si="970"/>
        <v>2.4796981237066792E-2</v>
      </c>
      <c r="BB2343" s="2">
        <f t="shared" si="971"/>
        <v>9.0452756476023209E-3</v>
      </c>
      <c r="BC2343" s="2">
        <f t="shared" si="972"/>
        <v>0</v>
      </c>
      <c r="BD2343" s="2">
        <f t="shared" si="973"/>
        <v>3.4749392827539837E-3</v>
      </c>
      <c r="BF2343" t="s">
        <v>1645</v>
      </c>
      <c r="BG2343" t="s">
        <v>1020</v>
      </c>
      <c r="BH2343" s="63">
        <v>8</v>
      </c>
      <c r="BJ2343" s="114">
        <v>42</v>
      </c>
      <c r="BK2343" s="116">
        <v>17</v>
      </c>
      <c r="BL2343" s="120">
        <f t="shared" si="942"/>
        <v>42017</v>
      </c>
      <c r="BN2343" s="5" t="s">
        <v>3154</v>
      </c>
      <c r="BY2343" s="63">
        <f t="shared" si="975"/>
        <v>0</v>
      </c>
      <c r="BZ2343" s="63">
        <f>167060+164361+1199+3121+8556+745</f>
        <v>345042</v>
      </c>
      <c r="CA2343" s="63">
        <v>745</v>
      </c>
      <c r="CB2343" s="132"/>
      <c r="CD2343" s="63">
        <v>28</v>
      </c>
    </row>
    <row r="2344" spans="1:82" hidden="1" outlineLevel="1">
      <c r="A2344" t="s">
        <v>1806</v>
      </c>
      <c r="B2344" t="s">
        <v>1020</v>
      </c>
      <c r="C2344" s="1">
        <f t="shared" si="965"/>
        <v>98044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 t="e">
        <f>IF(P2344&gt;0,RANK(P2344,(N2344:P2344,Q2344:AE2344)),0)</f>
        <v>#VALUE!</v>
      </c>
      <c r="G2344" s="132">
        <f t="shared" si="962"/>
        <v>35844</v>
      </c>
      <c r="H2344" s="137">
        <f t="shared" si="963"/>
        <v>0.36559095916119294</v>
      </c>
      <c r="I2344" s="2"/>
      <c r="J2344" s="2">
        <f t="shared" si="966"/>
        <v>0.29154257272245115</v>
      </c>
      <c r="K2344" s="2">
        <f t="shared" si="967"/>
        <v>0.6571335318836441</v>
      </c>
      <c r="L2344" s="2">
        <f t="shared" si="974"/>
        <v>0</v>
      </c>
      <c r="M2344" s="2">
        <f t="shared" si="969"/>
        <v>5.1323895393904695E-2</v>
      </c>
      <c r="N2344" s="63">
        <v>28584</v>
      </c>
      <c r="O2344" s="63">
        <v>64428</v>
      </c>
      <c r="P2344" s="63" t="str">
        <f>IF(Copyright!B$11=1,IF(CD2344&gt;0,CD2344,""),"")</f>
        <v/>
      </c>
      <c r="Q2344" s="63">
        <v>3062</v>
      </c>
      <c r="R2344" s="63">
        <v>615</v>
      </c>
      <c r="S2344" s="63">
        <v>382</v>
      </c>
      <c r="T2344" s="63"/>
      <c r="U2344" s="63"/>
      <c r="V2344" s="63"/>
      <c r="W2344" s="63">
        <f>IF(Copyright!B$11=1,IF(CA2344&gt;0,CA2344-SUM(T2344:V2344)-SUM(X2344:AQ2344)-CD2344,0),0)</f>
        <v>973</v>
      </c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W2344" s="5">
        <f>IF(Q2344&gt;0,RANK(Q2344,(N2344:P2344,Q2344:AE2344)),0)</f>
        <v>3</v>
      </c>
      <c r="AX2344" s="5">
        <f>IF(R2344&gt;0,RANK(R2344,(N2344:P2344,Q2344:AE2344)),0)</f>
        <v>5</v>
      </c>
      <c r="AY2344" s="5">
        <f>IF(T2344&gt;0,RANK(T2344,(N2344:P2344,Q2344:AE2344)),0)</f>
        <v>0</v>
      </c>
      <c r="AZ2344" s="5">
        <f>IF(S2344&gt;0,RANK(S2344,(N2344:P2344,Q2344:AE2344)),0)</f>
        <v>6</v>
      </c>
      <c r="BA2344" s="2">
        <f t="shared" si="970"/>
        <v>3.1230875933254458E-2</v>
      </c>
      <c r="BB2344" s="2">
        <f t="shared" si="971"/>
        <v>6.2726938925380445E-3</v>
      </c>
      <c r="BC2344" s="2">
        <f t="shared" si="972"/>
        <v>0</v>
      </c>
      <c r="BD2344" s="2">
        <f t="shared" si="973"/>
        <v>3.8962098649585899E-3</v>
      </c>
      <c r="BF2344" t="s">
        <v>1806</v>
      </c>
      <c r="BG2344" t="s">
        <v>1020</v>
      </c>
      <c r="BH2344" s="63">
        <v>3</v>
      </c>
      <c r="BJ2344" s="114">
        <v>42</v>
      </c>
      <c r="BK2344" s="116">
        <v>19</v>
      </c>
      <c r="BL2344" s="120">
        <f t="shared" si="942"/>
        <v>42019</v>
      </c>
      <c r="BN2344" s="5" t="s">
        <v>3154</v>
      </c>
      <c r="BY2344" s="63">
        <f t="shared" si="975"/>
        <v>-7</v>
      </c>
      <c r="BZ2344" s="63">
        <f>28586+64431+382+615+3064+973</f>
        <v>98051</v>
      </c>
      <c r="CA2344" s="63">
        <v>973</v>
      </c>
      <c r="CB2344" s="132"/>
    </row>
    <row r="2345" spans="1:82" hidden="1" outlineLevel="1">
      <c r="A2345" t="s">
        <v>1844</v>
      </c>
      <c r="B2345" t="s">
        <v>1020</v>
      </c>
      <c r="C2345" s="1">
        <f t="shared" si="965"/>
        <v>63589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7</v>
      </c>
      <c r="G2345" s="132">
        <f t="shared" si="962"/>
        <v>23391</v>
      </c>
      <c r="H2345" s="137">
        <f t="shared" si="963"/>
        <v>0.36784664014216295</v>
      </c>
      <c r="I2345" s="2"/>
      <c r="J2345" s="2">
        <f t="shared" si="966"/>
        <v>0.29670225982481246</v>
      </c>
      <c r="K2345" s="2">
        <f t="shared" si="967"/>
        <v>0.66454889996697541</v>
      </c>
      <c r="L2345" s="2">
        <f t="shared" si="974"/>
        <v>1.1322713047854189E-3</v>
      </c>
      <c r="M2345" s="2">
        <f t="shared" si="969"/>
        <v>3.7616568903426705E-2</v>
      </c>
      <c r="N2345" s="63">
        <v>18867</v>
      </c>
      <c r="O2345" s="63">
        <v>42258</v>
      </c>
      <c r="P2345" s="63">
        <f>IF(Copyright!B$11=1,IF(CD2345&gt;0,CD2345,""),"")</f>
        <v>72</v>
      </c>
      <c r="Q2345" s="63">
        <v>1270</v>
      </c>
      <c r="R2345" s="63">
        <v>413</v>
      </c>
      <c r="S2345" s="63">
        <v>264</v>
      </c>
      <c r="T2345" s="63"/>
      <c r="U2345" s="63"/>
      <c r="V2345" s="63"/>
      <c r="W2345" s="63">
        <f>IF(Copyright!B$11=1,IF(CA2345&gt;0,CA2345-SUM(T2345:V2345)-SUM(X2345:AQ2345)-CD2345,0),0)</f>
        <v>445</v>
      </c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W2345" s="5">
        <f>IF(Q2345&gt;0,RANK(Q2345,(N2345:P2345,Q2345:AE2345)),0)</f>
        <v>3</v>
      </c>
      <c r="AX2345" s="5">
        <f>IF(R2345&gt;0,RANK(R2345,(N2345:P2345,Q2345:AE2345)),0)</f>
        <v>5</v>
      </c>
      <c r="AY2345" s="5">
        <f>IF(T2345&gt;0,RANK(T2345,(N2345:P2345,Q2345:AE2345)),0)</f>
        <v>0</v>
      </c>
      <c r="AZ2345" s="5">
        <f>IF(S2345&gt;0,RANK(S2345,(N2345:P2345,Q2345:AE2345)),0)</f>
        <v>6</v>
      </c>
      <c r="BA2345" s="2">
        <f t="shared" si="970"/>
        <v>1.9972007737187249E-2</v>
      </c>
      <c r="BB2345" s="2">
        <f t="shared" si="971"/>
        <v>6.4948340121719168E-3</v>
      </c>
      <c r="BC2345" s="2">
        <f t="shared" si="972"/>
        <v>0</v>
      </c>
      <c r="BD2345" s="2">
        <f t="shared" si="973"/>
        <v>4.1516614508798691E-3</v>
      </c>
      <c r="BF2345" t="s">
        <v>1844</v>
      </c>
      <c r="BG2345" t="s">
        <v>1020</v>
      </c>
      <c r="BH2345" s="63"/>
      <c r="BJ2345" s="114">
        <v>42</v>
      </c>
      <c r="BK2345" s="116">
        <v>21</v>
      </c>
      <c r="BL2345" s="120">
        <f t="shared" ref="BL2345:BL2409" si="976">1000*BJ2345+BK2345</f>
        <v>42021</v>
      </c>
      <c r="BN2345" s="5" t="s">
        <v>3154</v>
      </c>
      <c r="BY2345" s="63">
        <f t="shared" si="975"/>
        <v>0</v>
      </c>
      <c r="BZ2345" s="63">
        <f>18867+42258+264+413+1270+517</f>
        <v>63589</v>
      </c>
      <c r="CA2345" s="63">
        <v>517</v>
      </c>
      <c r="CB2345" s="132"/>
      <c r="CD2345" s="63">
        <v>72</v>
      </c>
    </row>
    <row r="2346" spans="1:82" hidden="1" outlineLevel="1">
      <c r="A2346" t="s">
        <v>2699</v>
      </c>
      <c r="B2346" t="s">
        <v>1020</v>
      </c>
      <c r="C2346" s="1">
        <f t="shared" si="965"/>
        <v>2210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 t="e">
        <f>IF(P2346&gt;0,RANK(P2346,(N2346:P2346,Q2346:AE2346)),0)</f>
        <v>#VALUE!</v>
      </c>
      <c r="G2346" s="132">
        <f t="shared" si="962"/>
        <v>1058</v>
      </c>
      <c r="H2346" s="137">
        <f t="shared" si="963"/>
        <v>0.47873303167420816</v>
      </c>
      <c r="I2346" s="2"/>
      <c r="J2346" s="2">
        <f t="shared" si="966"/>
        <v>0.24027149321266969</v>
      </c>
      <c r="K2346" s="2">
        <f t="shared" si="967"/>
        <v>0.71900452488687783</v>
      </c>
      <c r="L2346" s="2">
        <f t="shared" si="974"/>
        <v>0</v>
      </c>
      <c r="M2346" s="2">
        <f t="shared" si="969"/>
        <v>4.0723981900452455E-2</v>
      </c>
      <c r="N2346" s="63">
        <v>531</v>
      </c>
      <c r="O2346" s="63">
        <v>1589</v>
      </c>
      <c r="P2346" s="63" t="str">
        <f>IF(Copyright!B$11=1,IF(CD2346&gt;0,CD2346,""),"")</f>
        <v/>
      </c>
      <c r="Q2346" s="63">
        <v>53</v>
      </c>
      <c r="R2346" s="63">
        <v>6</v>
      </c>
      <c r="S2346" s="63">
        <v>7</v>
      </c>
      <c r="T2346" s="63"/>
      <c r="U2346" s="63"/>
      <c r="V2346" s="63"/>
      <c r="W2346" s="63">
        <f>IF(Copyright!B$11=1,IF(CA2346&gt;0,CA2346-SUM(T2346:V2346)-SUM(X2346:AQ2346)-CD2346,0),0)</f>
        <v>24</v>
      </c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W2346" s="5">
        <f>IF(Q2346&gt;0,RANK(Q2346,(N2346:P2346,Q2346:AE2346)),0)</f>
        <v>3</v>
      </c>
      <c r="AX2346" s="5">
        <f>IF(R2346&gt;0,RANK(R2346,(N2346:P2346,Q2346:AE2346)),0)</f>
        <v>6</v>
      </c>
      <c r="AY2346" s="5">
        <f>IF(T2346&gt;0,RANK(T2346,(N2346:P2346,Q2346:AE2346)),0)</f>
        <v>0</v>
      </c>
      <c r="AZ2346" s="5">
        <f>IF(S2346&gt;0,RANK(S2346,(N2346:P2346,Q2346:AE2346)),0)</f>
        <v>5</v>
      </c>
      <c r="BA2346" s="2">
        <f t="shared" si="970"/>
        <v>2.3981900452488689E-2</v>
      </c>
      <c r="BB2346" s="2">
        <f t="shared" si="971"/>
        <v>2.7149321266968325E-3</v>
      </c>
      <c r="BC2346" s="2">
        <f t="shared" si="972"/>
        <v>0</v>
      </c>
      <c r="BD2346" s="2">
        <f t="shared" si="973"/>
        <v>3.167420814479638E-3</v>
      </c>
      <c r="BF2346" t="s">
        <v>2699</v>
      </c>
      <c r="BG2346" t="s">
        <v>1020</v>
      </c>
      <c r="BH2346" s="63">
        <v>5</v>
      </c>
      <c r="BJ2346" s="114">
        <v>42</v>
      </c>
      <c r="BK2346" s="116">
        <v>23</v>
      </c>
      <c r="BL2346" s="120">
        <f t="shared" si="976"/>
        <v>42023</v>
      </c>
      <c r="BN2346" s="5" t="s">
        <v>3154</v>
      </c>
      <c r="BR2346" s="63"/>
      <c r="BY2346" s="63">
        <f t="shared" si="975"/>
        <v>0</v>
      </c>
      <c r="BZ2346" s="63">
        <f>531+1589+7+6+53+24</f>
        <v>2210</v>
      </c>
      <c r="CA2346" s="63">
        <v>24</v>
      </c>
      <c r="CB2346" s="132"/>
    </row>
    <row r="2347" spans="1:82" hidden="1" outlineLevel="1">
      <c r="A2347" t="s">
        <v>159</v>
      </c>
      <c r="B2347" t="s">
        <v>1020</v>
      </c>
      <c r="C2347" s="1">
        <f t="shared" si="965"/>
        <v>28993</v>
      </c>
      <c r="D2347" s="5">
        <f>IF(N2347&gt;0, RANK(N2347,(N2347:P2347,Q2347:AE2347)),0)</f>
        <v>2</v>
      </c>
      <c r="E2347" s="5">
        <f>IF(O2347&gt;0,RANK(O2347,(N2347:P2347,Q2347:AE2347)),0)</f>
        <v>1</v>
      </c>
      <c r="F2347" s="5" t="e">
        <f>IF(P2347&gt;0,RANK(P2347,(N2347:P2347,Q2347:AE2347)),0)</f>
        <v>#VALUE!</v>
      </c>
      <c r="G2347" s="132">
        <f t="shared" si="962"/>
        <v>9807</v>
      </c>
      <c r="H2347" s="137">
        <f t="shared" si="963"/>
        <v>0.33825406132514746</v>
      </c>
      <c r="I2347" s="2"/>
      <c r="J2347" s="2">
        <f t="shared" si="966"/>
        <v>0.30821232711344115</v>
      </c>
      <c r="K2347" s="2">
        <f t="shared" si="967"/>
        <v>0.64646638843858861</v>
      </c>
      <c r="L2347" s="2">
        <f t="shared" si="974"/>
        <v>0</v>
      </c>
      <c r="M2347" s="2">
        <f t="shared" si="969"/>
        <v>4.5321284447970234E-2</v>
      </c>
      <c r="N2347" s="63">
        <v>8936</v>
      </c>
      <c r="O2347" s="63">
        <v>18743</v>
      </c>
      <c r="P2347" s="63" t="str">
        <f>IF(Copyright!B$11=1,IF(CD2347&gt;0,CD2347,""),"")</f>
        <v/>
      </c>
      <c r="Q2347" s="63">
        <v>691</v>
      </c>
      <c r="R2347" s="63">
        <v>265</v>
      </c>
      <c r="S2347" s="63">
        <v>141</v>
      </c>
      <c r="T2347" s="63"/>
      <c r="U2347" s="63"/>
      <c r="V2347" s="63"/>
      <c r="W2347" s="63">
        <f>IF(Copyright!B$11=1,IF(CA2347&gt;0,CA2347-SUM(T2347:V2347)-SUM(X2347:AQ2347)-CD2347,0),0)</f>
        <v>217</v>
      </c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W2347" s="5">
        <f>IF(Q2347&gt;0,RANK(Q2347,(N2347:P2347,Q2347:AE2347)),0)</f>
        <v>3</v>
      </c>
      <c r="AX2347" s="5">
        <f>IF(R2347&gt;0,RANK(R2347,(N2347:P2347,Q2347:AE2347)),0)</f>
        <v>4</v>
      </c>
      <c r="AY2347" s="5">
        <f>IF(T2347&gt;0,RANK(T2347,(N2347:P2347,Q2347:AE2347)),0)</f>
        <v>0</v>
      </c>
      <c r="AZ2347" s="5">
        <f>IF(S2347&gt;0,RANK(S2347,(N2347:P2347,Q2347:AE2347)),0)</f>
        <v>6</v>
      </c>
      <c r="BA2347" s="2">
        <f t="shared" si="970"/>
        <v>2.3833339081847343E-2</v>
      </c>
      <c r="BB2347" s="2">
        <f t="shared" si="971"/>
        <v>9.1401372745145374E-3</v>
      </c>
      <c r="BC2347" s="2">
        <f t="shared" si="972"/>
        <v>0</v>
      </c>
      <c r="BD2347" s="2">
        <f t="shared" si="973"/>
        <v>4.8632428517228297E-3</v>
      </c>
      <c r="BF2347" t="s">
        <v>159</v>
      </c>
      <c r="BG2347" t="s">
        <v>1020</v>
      </c>
      <c r="BH2347" s="63"/>
      <c r="BJ2347" s="114">
        <v>42</v>
      </c>
      <c r="BK2347" s="116">
        <v>25</v>
      </c>
      <c r="BL2347" s="120">
        <f t="shared" si="976"/>
        <v>42025</v>
      </c>
      <c r="BN2347" s="5" t="s">
        <v>3154</v>
      </c>
      <c r="BY2347" s="63">
        <f t="shared" si="975"/>
        <v>0</v>
      </c>
      <c r="BZ2347" s="63">
        <v>28993</v>
      </c>
      <c r="CA2347" s="63">
        <v>217</v>
      </c>
      <c r="CB2347" s="132"/>
    </row>
    <row r="2348" spans="1:82" hidden="1" outlineLevel="1">
      <c r="A2348" t="s">
        <v>356</v>
      </c>
      <c r="B2348" t="s">
        <v>1020</v>
      </c>
      <c r="C2348" s="1">
        <f t="shared" si="965"/>
        <v>77307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6</v>
      </c>
      <c r="G2348" s="132">
        <f t="shared" si="962"/>
        <v>1814</v>
      </c>
      <c r="H2348" s="137">
        <f t="shared" si="963"/>
        <v>2.3464886750229605E-2</v>
      </c>
      <c r="I2348" s="2"/>
      <c r="J2348" s="2">
        <f t="shared" si="966"/>
        <v>0.47974956989664586</v>
      </c>
      <c r="K2348" s="2">
        <f t="shared" si="967"/>
        <v>0.45628468314641624</v>
      </c>
      <c r="L2348" s="2">
        <f t="shared" si="974"/>
        <v>4.9542732223472651E-3</v>
      </c>
      <c r="M2348" s="2">
        <f t="shared" si="969"/>
        <v>5.901147373459064E-2</v>
      </c>
      <c r="N2348" s="63">
        <v>37088</v>
      </c>
      <c r="O2348" s="63">
        <v>35274</v>
      </c>
      <c r="P2348" s="63">
        <f>IF(Copyright!B$11=1,IF(CD2348&gt;0,CD2348,""),"")</f>
        <v>383</v>
      </c>
      <c r="Q2348" s="63">
        <v>2644</v>
      </c>
      <c r="R2348" s="63">
        <v>798</v>
      </c>
      <c r="S2348" s="63">
        <v>344</v>
      </c>
      <c r="T2348" s="63"/>
      <c r="U2348" s="63"/>
      <c r="V2348" s="63"/>
      <c r="W2348" s="63">
        <f>IF(Copyright!B$11=1,IF(CA2348&gt;0,CA2348-SUM(T2348:V2348)-SUM(X2348:AQ2348)-CD2348,0),0)</f>
        <v>776</v>
      </c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W2348" s="5">
        <f>IF(Q2348&gt;0,RANK(Q2348,(N2348:P2348,Q2348:AE2348)),0)</f>
        <v>3</v>
      </c>
      <c r="AX2348" s="5">
        <f>IF(R2348&gt;0,RANK(R2348,(N2348:P2348,Q2348:AE2348)),0)</f>
        <v>4</v>
      </c>
      <c r="AY2348" s="5">
        <f>IF(T2348&gt;0,RANK(T2348,(N2348:P2348,Q2348:AE2348)),0)</f>
        <v>0</v>
      </c>
      <c r="AZ2348" s="5">
        <f>IF(S2348&gt;0,RANK(S2348,(N2348:P2348,Q2348:AE2348)),0)</f>
        <v>7</v>
      </c>
      <c r="BA2348" s="2">
        <f t="shared" si="970"/>
        <v>3.4201301305185818E-2</v>
      </c>
      <c r="BB2348" s="2">
        <f t="shared" si="971"/>
        <v>1.0322480499825372E-2</v>
      </c>
      <c r="BC2348" s="2">
        <f t="shared" si="972"/>
        <v>0</v>
      </c>
      <c r="BD2348" s="2">
        <f t="shared" si="973"/>
        <v>4.4497910926565515E-3</v>
      </c>
      <c r="BF2348" t="s">
        <v>356</v>
      </c>
      <c r="BG2348" t="s">
        <v>1020</v>
      </c>
      <c r="BH2348" s="63">
        <v>5</v>
      </c>
      <c r="BJ2348" s="114">
        <v>42</v>
      </c>
      <c r="BK2348" s="116">
        <v>27</v>
      </c>
      <c r="BL2348" s="120">
        <f t="shared" si="976"/>
        <v>42027</v>
      </c>
      <c r="BN2348" s="5" t="s">
        <v>3154</v>
      </c>
      <c r="BR2348" s="63"/>
      <c r="BY2348" s="63">
        <f t="shared" si="975"/>
        <v>0</v>
      </c>
      <c r="BZ2348" s="63">
        <f>37088+35274+344+798+2644+1159</f>
        <v>77307</v>
      </c>
      <c r="CA2348" s="63">
        <v>1159</v>
      </c>
      <c r="CB2348" s="132"/>
      <c r="CC2348" s="63">
        <v>223</v>
      </c>
      <c r="CD2348" s="63">
        <v>383</v>
      </c>
    </row>
    <row r="2349" spans="1:82" hidden="1" outlineLevel="1">
      <c r="A2349" t="s">
        <v>357</v>
      </c>
      <c r="B2349" t="s">
        <v>1020</v>
      </c>
      <c r="C2349" s="1">
        <f t="shared" si="965"/>
        <v>272998</v>
      </c>
      <c r="D2349" s="5">
        <f>IF(N2349&gt;0, RANK(N2349,(N2349:P2349,Q2349:AE2349)),0)</f>
        <v>1</v>
      </c>
      <c r="E2349" s="5">
        <f>IF(O2349&gt;0,RANK(O2349,(N2349:P2349,Q2349:AE2349)),0)</f>
        <v>2</v>
      </c>
      <c r="F2349" s="5" t="e">
        <f>IF(P2349&gt;0,RANK(P2349,(N2349:P2349,Q2349:AE2349)),0)</f>
        <v>#VALUE!</v>
      </c>
      <c r="G2349" s="132">
        <f t="shared" si="962"/>
        <v>25568</v>
      </c>
      <c r="H2349" s="137">
        <f t="shared" si="963"/>
        <v>9.3656363782884861E-2</v>
      </c>
      <c r="I2349" s="2"/>
      <c r="J2349" s="2">
        <f t="shared" si="966"/>
        <v>0.51898548707316539</v>
      </c>
      <c r="K2349" s="2">
        <f t="shared" si="967"/>
        <v>0.4253291232902805</v>
      </c>
      <c r="L2349" s="2">
        <f t="shared" si="974"/>
        <v>0</v>
      </c>
      <c r="M2349" s="2">
        <f t="shared" si="969"/>
        <v>5.5685389636554117E-2</v>
      </c>
      <c r="N2349" s="63">
        <v>141682</v>
      </c>
      <c r="O2349" s="63">
        <v>116114</v>
      </c>
      <c r="P2349" s="63" t="str">
        <f>IF(Copyright!B$11=1,IF(CD2349&gt;0,CD2349,""),"")</f>
        <v/>
      </c>
      <c r="Q2349" s="63">
        <v>7930</v>
      </c>
      <c r="R2349" s="63">
        <v>2247</v>
      </c>
      <c r="S2349" s="63">
        <v>827</v>
      </c>
      <c r="T2349" s="63"/>
      <c r="U2349" s="63"/>
      <c r="V2349" s="63"/>
      <c r="W2349" s="63">
        <f>IF(Copyright!B$11=1,IF(CA2349&gt;0,CA2349-SUM(T2349:V2349)-SUM(X2349:AQ2349)-CD2349,0),0)</f>
        <v>4198</v>
      </c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W2349" s="5">
        <f>IF(Q2349&gt;0,RANK(Q2349,(N2349:P2349,Q2349:AE2349)),0)</f>
        <v>3</v>
      </c>
      <c r="AX2349" s="5">
        <f>IF(R2349&gt;0,RANK(R2349,(N2349:P2349,Q2349:AE2349)),0)</f>
        <v>5</v>
      </c>
      <c r="AY2349" s="5">
        <f>IF(T2349&gt;0,RANK(T2349,(N2349:P2349,Q2349:AE2349)),0)</f>
        <v>0</v>
      </c>
      <c r="AZ2349" s="5">
        <f>IF(S2349&gt;0,RANK(S2349,(N2349:P2349,Q2349:AE2349)),0)</f>
        <v>6</v>
      </c>
      <c r="BA2349" s="2">
        <f t="shared" si="970"/>
        <v>2.9047831852248001E-2</v>
      </c>
      <c r="BB2349" s="2">
        <f t="shared" si="971"/>
        <v>8.2308295298866661E-3</v>
      </c>
      <c r="BC2349" s="2">
        <f t="shared" si="972"/>
        <v>0</v>
      </c>
      <c r="BD2349" s="2">
        <f t="shared" si="973"/>
        <v>3.0293262221701258E-3</v>
      </c>
      <c r="BF2349" t="s">
        <v>357</v>
      </c>
      <c r="BG2349" t="s">
        <v>1020</v>
      </c>
      <c r="BH2349" s="63"/>
      <c r="BJ2349" s="114">
        <v>42</v>
      </c>
      <c r="BK2349" s="116">
        <v>29</v>
      </c>
      <c r="BL2349" s="120">
        <f t="shared" si="976"/>
        <v>42029</v>
      </c>
      <c r="BN2349" s="5" t="s">
        <v>3154</v>
      </c>
      <c r="BY2349" s="63">
        <f t="shared" si="975"/>
        <v>0</v>
      </c>
      <c r="BZ2349" s="63">
        <f>141682+116114+827+2247+7930+4198</f>
        <v>272998</v>
      </c>
      <c r="CA2349" s="63">
        <v>4198</v>
      </c>
      <c r="CB2349" s="132"/>
    </row>
    <row r="2350" spans="1:82" hidden="1" outlineLevel="1">
      <c r="A2350" t="s">
        <v>916</v>
      </c>
      <c r="B2350" t="s">
        <v>1020</v>
      </c>
      <c r="C2350" s="1">
        <f t="shared" si="965"/>
        <v>17660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 t="e">
        <f>IF(P2350&gt;0,RANK(P2350,(N2350:P2350,Q2350:AE2350)),0)</f>
        <v>#VALUE!</v>
      </c>
      <c r="G2350" s="132">
        <f t="shared" si="962"/>
        <v>8303</v>
      </c>
      <c r="H2350" s="137">
        <f t="shared" si="963"/>
        <v>0.470158550396376</v>
      </c>
      <c r="I2350" s="2"/>
      <c r="J2350" s="2">
        <f t="shared" si="966"/>
        <v>0.24195922989807475</v>
      </c>
      <c r="K2350" s="2">
        <f t="shared" si="967"/>
        <v>0.71211778029445072</v>
      </c>
      <c r="L2350" s="2">
        <f t="shared" si="974"/>
        <v>0</v>
      </c>
      <c r="M2350" s="2">
        <f t="shared" si="969"/>
        <v>4.5922989807474557E-2</v>
      </c>
      <c r="N2350" s="63">
        <v>4273</v>
      </c>
      <c r="O2350" s="63">
        <v>12576</v>
      </c>
      <c r="P2350" s="63" t="str">
        <f>IF(Copyright!B$11=1,IF(CD2350&gt;0,CD2350,""),"")</f>
        <v/>
      </c>
      <c r="Q2350" s="63">
        <v>469</v>
      </c>
      <c r="R2350" s="63">
        <v>115</v>
      </c>
      <c r="S2350" s="63">
        <v>102</v>
      </c>
      <c r="T2350" s="63"/>
      <c r="U2350" s="63"/>
      <c r="V2350" s="63"/>
      <c r="W2350" s="63">
        <f>IF(Copyright!B$11=1,IF(CA2350&gt;0,CA2350-SUM(T2350:V2350)-SUM(X2350:AQ2350)-CD2350,0),0)</f>
        <v>125</v>
      </c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W2350" s="5">
        <f>IF(Q2350&gt;0,RANK(Q2350,(N2350:P2350,Q2350:AE2350)),0)</f>
        <v>3</v>
      </c>
      <c r="AX2350" s="5">
        <f>IF(R2350&gt;0,RANK(R2350,(N2350:P2350,Q2350:AE2350)),0)</f>
        <v>5</v>
      </c>
      <c r="AY2350" s="5">
        <f>IF(T2350&gt;0,RANK(T2350,(N2350:P2350,Q2350:AE2350)),0)</f>
        <v>0</v>
      </c>
      <c r="AZ2350" s="5">
        <f>IF(S2350&gt;0,RANK(S2350,(N2350:P2350,Q2350:AE2350)),0)</f>
        <v>6</v>
      </c>
      <c r="BA2350" s="2">
        <f t="shared" si="970"/>
        <v>2.6557191392978484E-2</v>
      </c>
      <c r="BB2350" s="2">
        <f t="shared" si="971"/>
        <v>6.5118912797281995E-3</v>
      </c>
      <c r="BC2350" s="2">
        <f t="shared" si="972"/>
        <v>0</v>
      </c>
      <c r="BD2350" s="2">
        <f t="shared" si="973"/>
        <v>5.7757644394110987E-3</v>
      </c>
      <c r="BF2350" t="s">
        <v>916</v>
      </c>
      <c r="BG2350" t="s">
        <v>1020</v>
      </c>
      <c r="BH2350" s="63"/>
      <c r="BJ2350" s="114">
        <v>42</v>
      </c>
      <c r="BK2350" s="116">
        <v>31</v>
      </c>
      <c r="BL2350" s="120">
        <f t="shared" si="976"/>
        <v>42031</v>
      </c>
      <c r="BN2350" s="5" t="s">
        <v>3154</v>
      </c>
      <c r="BY2350" s="63">
        <f t="shared" si="975"/>
        <v>0</v>
      </c>
      <c r="BZ2350" s="63">
        <v>17660</v>
      </c>
      <c r="CA2350" s="63">
        <v>125</v>
      </c>
      <c r="CB2350" s="132"/>
    </row>
    <row r="2351" spans="1:82" hidden="1" outlineLevel="1">
      <c r="A2351" t="s">
        <v>763</v>
      </c>
      <c r="B2351" t="s">
        <v>1020</v>
      </c>
      <c r="C2351" s="1">
        <f t="shared" si="965"/>
        <v>34550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7</v>
      </c>
      <c r="G2351" s="132">
        <f t="shared" si="962"/>
        <v>16732</v>
      </c>
      <c r="H2351" s="137">
        <f t="shared" si="963"/>
        <v>0.48428364688856729</v>
      </c>
      <c r="I2351" s="2"/>
      <c r="J2351" s="2">
        <f t="shared" si="966"/>
        <v>0.23733719247467439</v>
      </c>
      <c r="K2351" s="2">
        <f t="shared" si="967"/>
        <v>0.72162083936324173</v>
      </c>
      <c r="L2351" s="2">
        <f t="shared" si="974"/>
        <v>2.0839363241678724E-3</v>
      </c>
      <c r="M2351" s="2">
        <f t="shared" si="969"/>
        <v>3.8958031837916067E-2</v>
      </c>
      <c r="N2351" s="63">
        <v>8200</v>
      </c>
      <c r="O2351" s="63">
        <v>24932</v>
      </c>
      <c r="P2351" s="63">
        <f>IF(Copyright!B$11=1,IF(CD2351&gt;0,CD2351,""),"")</f>
        <v>72</v>
      </c>
      <c r="Q2351" s="63">
        <v>776</v>
      </c>
      <c r="R2351" s="63">
        <v>220</v>
      </c>
      <c r="S2351" s="63">
        <v>143</v>
      </c>
      <c r="T2351" s="63"/>
      <c r="U2351" s="63"/>
      <c r="V2351" s="63"/>
      <c r="W2351" s="63">
        <f>IF(Copyright!B$11=1,IF(CA2351&gt;0,CA2351-SUM(T2351:V2351)-SUM(X2351:AQ2351)-CD2351,0),0)</f>
        <v>207</v>
      </c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W2351" s="5">
        <f>IF(Q2351&gt;0,RANK(Q2351,(N2351:P2351,Q2351:AE2351)),0)</f>
        <v>3</v>
      </c>
      <c r="AX2351" s="5">
        <f>IF(R2351&gt;0,RANK(R2351,(N2351:P2351,Q2351:AE2351)),0)</f>
        <v>4</v>
      </c>
      <c r="AY2351" s="5">
        <f>IF(T2351&gt;0,RANK(T2351,(N2351:P2351,Q2351:AE2351)),0)</f>
        <v>0</v>
      </c>
      <c r="AZ2351" s="5">
        <f>IF(S2351&gt;0,RANK(S2351,(N2351:P2351,Q2351:AE2351)),0)</f>
        <v>6</v>
      </c>
      <c r="BA2351" s="2">
        <f t="shared" si="970"/>
        <v>2.2460202604920404E-2</v>
      </c>
      <c r="BB2351" s="2">
        <f t="shared" si="971"/>
        <v>6.3675832127351667E-3</v>
      </c>
      <c r="BC2351" s="2">
        <f t="shared" si="972"/>
        <v>0</v>
      </c>
      <c r="BD2351" s="2">
        <f t="shared" si="973"/>
        <v>4.1389290882778585E-3</v>
      </c>
      <c r="BF2351" t="s">
        <v>763</v>
      </c>
      <c r="BG2351" t="s">
        <v>1020</v>
      </c>
      <c r="BH2351" s="63">
        <v>5</v>
      </c>
      <c r="BJ2351" s="114">
        <v>42</v>
      </c>
      <c r="BK2351" s="116">
        <v>33</v>
      </c>
      <c r="BL2351" s="120">
        <f t="shared" si="976"/>
        <v>42033</v>
      </c>
      <c r="BN2351" s="5" t="s">
        <v>3154</v>
      </c>
      <c r="BY2351" s="63">
        <f t="shared" si="975"/>
        <v>0</v>
      </c>
      <c r="BZ2351" s="63">
        <f>8200+24932+143+220+776+279</f>
        <v>34550</v>
      </c>
      <c r="CA2351" s="63">
        <v>279</v>
      </c>
      <c r="CB2351" s="132"/>
      <c r="CD2351" s="63">
        <v>72</v>
      </c>
    </row>
    <row r="2352" spans="1:82" hidden="1" outlineLevel="1">
      <c r="A2352" t="s">
        <v>1285</v>
      </c>
      <c r="B2352" t="s">
        <v>1020</v>
      </c>
      <c r="C2352" s="1">
        <f t="shared" si="965"/>
        <v>15505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 t="e">
        <f>IF(P2352&gt;0,RANK(P2352,(N2352:P2352,Q2352:AE2352)),0)</f>
        <v>#VALUE!</v>
      </c>
      <c r="G2352" s="132">
        <f t="shared" si="962"/>
        <v>5278</v>
      </c>
      <c r="H2352" s="137">
        <f t="shared" si="963"/>
        <v>0.34040632054176073</v>
      </c>
      <c r="I2352" s="2"/>
      <c r="J2352" s="2">
        <f t="shared" si="966"/>
        <v>0.30596581747823282</v>
      </c>
      <c r="K2352" s="2">
        <f t="shared" si="967"/>
        <v>0.6463721380199936</v>
      </c>
      <c r="L2352" s="2">
        <f t="shared" si="974"/>
        <v>0</v>
      </c>
      <c r="M2352" s="2">
        <f t="shared" si="969"/>
        <v>4.7662044501773582E-2</v>
      </c>
      <c r="N2352" s="63">
        <v>4744</v>
      </c>
      <c r="O2352" s="63">
        <v>10022</v>
      </c>
      <c r="P2352" s="63" t="str">
        <f>IF(Copyright!B$11=1,IF(CD2352&gt;0,CD2352,""),"")</f>
        <v/>
      </c>
      <c r="Q2352" s="63">
        <v>470</v>
      </c>
      <c r="R2352" s="63">
        <v>121</v>
      </c>
      <c r="S2352" s="63">
        <v>37</v>
      </c>
      <c r="T2352" s="63"/>
      <c r="U2352" s="63"/>
      <c r="V2352" s="63"/>
      <c r="W2352" s="63">
        <f>IF(Copyright!B$11=1,IF(CA2352&gt;0,CA2352-SUM(T2352:V2352)-SUM(X2352:AQ2352)-CD2352,0),0)</f>
        <v>111</v>
      </c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W2352" s="5">
        <f>IF(Q2352&gt;0,RANK(Q2352,(N2352:P2352,Q2352:AE2352)),0)</f>
        <v>3</v>
      </c>
      <c r="AX2352" s="5">
        <f>IF(R2352&gt;0,RANK(R2352,(N2352:P2352,Q2352:AE2352)),0)</f>
        <v>4</v>
      </c>
      <c r="AY2352" s="5">
        <f>IF(T2352&gt;0,RANK(T2352,(N2352:P2352,Q2352:AE2352)),0)</f>
        <v>0</v>
      </c>
      <c r="AZ2352" s="5">
        <f>IF(S2352&gt;0,RANK(S2352,(N2352:P2352,Q2352:AE2352)),0)</f>
        <v>6</v>
      </c>
      <c r="BA2352" s="2">
        <f t="shared" si="970"/>
        <v>3.0312802321831669E-2</v>
      </c>
      <c r="BB2352" s="2">
        <f t="shared" si="971"/>
        <v>7.803934214769429E-3</v>
      </c>
      <c r="BC2352" s="2">
        <f t="shared" si="972"/>
        <v>0</v>
      </c>
      <c r="BD2352" s="2">
        <f t="shared" si="973"/>
        <v>2.3863269912931312E-3</v>
      </c>
      <c r="BF2352" t="s">
        <v>1285</v>
      </c>
      <c r="BG2352" t="s">
        <v>1020</v>
      </c>
      <c r="BH2352" s="63">
        <v>5</v>
      </c>
      <c r="BJ2352" s="114">
        <v>42</v>
      </c>
      <c r="BK2352" s="116">
        <v>35</v>
      </c>
      <c r="BL2352" s="120">
        <f t="shared" si="976"/>
        <v>42035</v>
      </c>
      <c r="BN2352" s="5" t="s">
        <v>3154</v>
      </c>
      <c r="BY2352" s="63">
        <f t="shared" si="975"/>
        <v>0</v>
      </c>
      <c r="BZ2352" s="63">
        <v>15505</v>
      </c>
      <c r="CA2352" s="63">
        <v>111</v>
      </c>
      <c r="CB2352" s="132"/>
    </row>
    <row r="2353" spans="1:97" hidden="1" outlineLevel="1">
      <c r="A2353" t="s">
        <v>1496</v>
      </c>
      <c r="B2353" t="s">
        <v>1020</v>
      </c>
      <c r="C2353" s="1">
        <f t="shared" si="965"/>
        <v>28506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7</v>
      </c>
      <c r="G2353" s="132">
        <f t="shared" si="962"/>
        <v>9070</v>
      </c>
      <c r="H2353" s="137">
        <f t="shared" si="963"/>
        <v>0.31817862906054867</v>
      </c>
      <c r="I2353" s="2"/>
      <c r="J2353" s="2">
        <f t="shared" si="966"/>
        <v>0.31340770364133869</v>
      </c>
      <c r="K2353" s="2">
        <f t="shared" si="967"/>
        <v>0.63158633270188735</v>
      </c>
      <c r="L2353" s="2">
        <f t="shared" si="974"/>
        <v>2.0346593699572019E-3</v>
      </c>
      <c r="M2353" s="2">
        <f t="shared" si="969"/>
        <v>5.2971304286816699E-2</v>
      </c>
      <c r="N2353" s="63">
        <v>8934</v>
      </c>
      <c r="O2353" s="63">
        <v>18004</v>
      </c>
      <c r="P2353" s="63">
        <f>IF(Copyright!B$11=1,IF(CD2353&gt;0,CD2353,""),"")</f>
        <v>58</v>
      </c>
      <c r="Q2353" s="63">
        <v>883</v>
      </c>
      <c r="R2353" s="63">
        <v>265</v>
      </c>
      <c r="S2353" s="63">
        <v>142</v>
      </c>
      <c r="T2353" s="63"/>
      <c r="U2353" s="63"/>
      <c r="V2353" s="63"/>
      <c r="W2353" s="63">
        <f>IF(Copyright!B$11=1,IF(CA2353&gt;0,CA2353-SUM(T2353:V2353)-SUM(X2353:AQ2353)-CD2353,0),0)</f>
        <v>220</v>
      </c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W2353" s="5">
        <f>IF(Q2353&gt;0,RANK(Q2353,(N2353:P2353,Q2353:AE2353)),0)</f>
        <v>3</v>
      </c>
      <c r="AX2353" s="5">
        <f>IF(R2353&gt;0,RANK(R2353,(N2353:P2353,Q2353:AE2353)),0)</f>
        <v>4</v>
      </c>
      <c r="AY2353" s="5">
        <f>IF(T2353&gt;0,RANK(T2353,(N2353:P2353,Q2353:AE2353)),0)</f>
        <v>0</v>
      </c>
      <c r="AZ2353" s="5">
        <f>IF(S2353&gt;0,RANK(S2353,(N2353:P2353,Q2353:AE2353)),0)</f>
        <v>6</v>
      </c>
      <c r="BA2353" s="2">
        <f t="shared" si="970"/>
        <v>3.0975934890900163E-2</v>
      </c>
      <c r="BB2353" s="2">
        <f t="shared" si="971"/>
        <v>9.2962885006665271E-3</v>
      </c>
      <c r="BC2353" s="2">
        <f t="shared" si="972"/>
        <v>0</v>
      </c>
      <c r="BD2353" s="2">
        <f t="shared" si="973"/>
        <v>4.9814074229986667E-3</v>
      </c>
      <c r="BF2353" t="s">
        <v>1496</v>
      </c>
      <c r="BG2353" t="s">
        <v>1020</v>
      </c>
      <c r="BH2353" s="63">
        <v>11</v>
      </c>
      <c r="BJ2353" s="114">
        <v>42</v>
      </c>
      <c r="BK2353" s="116">
        <v>37</v>
      </c>
      <c r="BL2353" s="120">
        <f t="shared" si="976"/>
        <v>42037</v>
      </c>
      <c r="BN2353" s="5" t="s">
        <v>3154</v>
      </c>
      <c r="BY2353" s="63">
        <f t="shared" si="975"/>
        <v>0</v>
      </c>
      <c r="BZ2353" s="63">
        <v>28506</v>
      </c>
      <c r="CA2353" s="132">
        <v>278</v>
      </c>
      <c r="CB2353" s="132"/>
      <c r="CC2353" s="63">
        <v>98</v>
      </c>
      <c r="CD2353" s="63">
        <v>58</v>
      </c>
    </row>
    <row r="2354" spans="1:97" hidden="1" outlineLevel="1">
      <c r="A2354" t="s">
        <v>1875</v>
      </c>
      <c r="B2354" t="s">
        <v>1020</v>
      </c>
      <c r="C2354" s="1">
        <f t="shared" si="965"/>
        <v>37813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7</v>
      </c>
      <c r="G2354" s="132">
        <f t="shared" si="962"/>
        <v>14016</v>
      </c>
      <c r="H2354" s="137">
        <f t="shared" si="963"/>
        <v>0.37066617300928251</v>
      </c>
      <c r="I2354" s="2"/>
      <c r="J2354" s="2">
        <f t="shared" si="966"/>
        <v>0.29013831222066483</v>
      </c>
      <c r="K2354" s="2">
        <f t="shared" si="967"/>
        <v>0.66080448522994739</v>
      </c>
      <c r="L2354" s="2">
        <f t="shared" si="974"/>
        <v>1.5074180837278185E-3</v>
      </c>
      <c r="M2354" s="2">
        <f t="shared" si="969"/>
        <v>4.7549784465659904E-2</v>
      </c>
      <c r="N2354" s="63">
        <v>10971</v>
      </c>
      <c r="O2354" s="63">
        <v>24987</v>
      </c>
      <c r="P2354" s="63">
        <f>IF(Copyright!B$11=1,IF(CD2354&gt;0,CD2354,""),"")</f>
        <v>57</v>
      </c>
      <c r="Q2354" s="63">
        <v>1046</v>
      </c>
      <c r="R2354" s="63">
        <v>271</v>
      </c>
      <c r="S2354" s="63">
        <v>217</v>
      </c>
      <c r="T2354" s="63"/>
      <c r="U2354" s="63"/>
      <c r="V2354" s="63"/>
      <c r="W2354" s="63">
        <f>IF(Copyright!B$11=1,IF(CA2354&gt;0,CA2354-SUM(T2354:V2354)-SUM(X2354:AQ2354)-CD2354,0),0)</f>
        <v>264</v>
      </c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W2354" s="5">
        <f>IF(Q2354&gt;0,RANK(Q2354,(N2354:P2354,Q2354:AE2354)),0)</f>
        <v>3</v>
      </c>
      <c r="AX2354" s="5">
        <f>IF(R2354&gt;0,RANK(R2354,(N2354:P2354,Q2354:AE2354)),0)</f>
        <v>4</v>
      </c>
      <c r="AY2354" s="5">
        <f>IF(T2354&gt;0,RANK(T2354,(N2354:P2354,Q2354:AE2354)),0)</f>
        <v>0</v>
      </c>
      <c r="AZ2354" s="5">
        <f>IF(S2354&gt;0,RANK(S2354,(N2354:P2354,Q2354:AE2354)),0)</f>
        <v>6</v>
      </c>
      <c r="BA2354" s="2">
        <f t="shared" si="970"/>
        <v>2.7662444132970143E-2</v>
      </c>
      <c r="BB2354" s="2">
        <f t="shared" si="971"/>
        <v>7.1668473805305052E-3</v>
      </c>
      <c r="BC2354" s="2">
        <f t="shared" si="972"/>
        <v>0</v>
      </c>
      <c r="BD2354" s="2">
        <f t="shared" si="973"/>
        <v>5.7387670906830987E-3</v>
      </c>
      <c r="BF2354" t="s">
        <v>1875</v>
      </c>
      <c r="BG2354" t="s">
        <v>1020</v>
      </c>
      <c r="BH2354" s="63"/>
      <c r="BJ2354" s="114">
        <v>42</v>
      </c>
      <c r="BK2354" s="116">
        <v>39</v>
      </c>
      <c r="BL2354" s="120">
        <f t="shared" si="976"/>
        <v>42039</v>
      </c>
      <c r="BN2354" s="5" t="s">
        <v>3154</v>
      </c>
      <c r="BR2354" s="63"/>
      <c r="BY2354" s="63">
        <f t="shared" si="975"/>
        <v>0</v>
      </c>
      <c r="BZ2354" s="63">
        <f>321+10971+24987+217+271+1046</f>
        <v>37813</v>
      </c>
      <c r="CA2354" s="63">
        <v>321</v>
      </c>
      <c r="CB2354" s="132"/>
      <c r="CC2354" s="63">
        <v>77</v>
      </c>
      <c r="CD2354" s="63">
        <v>57</v>
      </c>
      <c r="CG2354" s="132"/>
      <c r="CH2354" s="132"/>
      <c r="CI2354" s="132"/>
      <c r="CJ2354" s="132"/>
      <c r="CK2354" s="132"/>
      <c r="CL2354" s="132"/>
      <c r="CM2354" s="132"/>
      <c r="CN2354" s="132"/>
      <c r="CO2354" s="132"/>
      <c r="CP2354" s="132"/>
      <c r="CQ2354" s="132"/>
      <c r="CR2354" s="132"/>
      <c r="CS2354" s="132"/>
    </row>
    <row r="2355" spans="1:97" hidden="1" outlineLevel="1">
      <c r="A2355" t="s">
        <v>1531</v>
      </c>
      <c r="B2355" t="s">
        <v>1020</v>
      </c>
      <c r="C2355" s="1">
        <f t="shared" si="965"/>
        <v>123486</v>
      </c>
      <c r="D2355" s="5">
        <f>IF(N2355&gt;0, RANK(N2355,(N2355:P2355,Q2355:AE2355)),0)</f>
        <v>2</v>
      </c>
      <c r="E2355" s="5">
        <f>IF(O2355&gt;0,RANK(O2355,(N2355:P2355,Q2355:AE2355)),0)</f>
        <v>1</v>
      </c>
      <c r="F2355" s="5">
        <f>IF(P2355&gt;0,RANK(P2355,(N2355:P2355,Q2355:AE2355)),0)</f>
        <v>7</v>
      </c>
      <c r="G2355" s="132">
        <f t="shared" si="962"/>
        <v>21991</v>
      </c>
      <c r="H2355" s="137">
        <f t="shared" si="963"/>
        <v>0.17808496509725799</v>
      </c>
      <c r="I2355" s="2"/>
      <c r="J2355" s="2">
        <f t="shared" si="966"/>
        <v>0.38129828482581024</v>
      </c>
      <c r="K2355" s="2">
        <f t="shared" si="967"/>
        <v>0.5593832499230682</v>
      </c>
      <c r="L2355" s="2">
        <f t="shared" si="974"/>
        <v>4.1138266686102072E-3</v>
      </c>
      <c r="M2355" s="2">
        <f t="shared" si="969"/>
        <v>5.5204638582511401E-2</v>
      </c>
      <c r="N2355" s="63">
        <v>47085</v>
      </c>
      <c r="O2355" s="63">
        <v>69076</v>
      </c>
      <c r="P2355" s="63">
        <f>IF(Copyright!B$11=1,IF(CD2355&gt;0,CD2355,""),"")</f>
        <v>508</v>
      </c>
      <c r="Q2355" s="63">
        <v>3975</v>
      </c>
      <c r="R2355" s="63">
        <v>939</v>
      </c>
      <c r="S2355" s="63">
        <v>542</v>
      </c>
      <c r="T2355" s="63"/>
      <c r="U2355" s="63"/>
      <c r="V2355" s="63"/>
      <c r="W2355" s="63">
        <f>IF(Copyright!B$11=1,IF(CA2355&gt;0,CA2355-SUM(T2355:V2355)-SUM(X2355:AQ2355)-CD2355,0),0)</f>
        <v>1361</v>
      </c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W2355" s="5">
        <f>IF(Q2355&gt;0,RANK(Q2355,(N2355:P2355,Q2355:AE2355)),0)</f>
        <v>3</v>
      </c>
      <c r="AX2355" s="5">
        <f>IF(R2355&gt;0,RANK(R2355,(N2355:P2355,Q2355:AE2355)),0)</f>
        <v>5</v>
      </c>
      <c r="AY2355" s="5">
        <f>IF(T2355&gt;0,RANK(T2355,(N2355:P2355,Q2355:AE2355)),0)</f>
        <v>0</v>
      </c>
      <c r="AZ2355" s="5">
        <f>IF(S2355&gt;0,RANK(S2355,(N2355:P2355,Q2355:AE2355)),0)</f>
        <v>6</v>
      </c>
      <c r="BA2355" s="2">
        <f t="shared" si="970"/>
        <v>3.2189883873475537E-2</v>
      </c>
      <c r="BB2355" s="2">
        <f t="shared" si="971"/>
        <v>7.6041008697342212E-3</v>
      </c>
      <c r="BC2355" s="2">
        <f t="shared" si="972"/>
        <v>0</v>
      </c>
      <c r="BD2355" s="2">
        <f t="shared" si="973"/>
        <v>4.389161524383331E-3</v>
      </c>
      <c r="BF2355" t="s">
        <v>1531</v>
      </c>
      <c r="BG2355" t="s">
        <v>1020</v>
      </c>
      <c r="BH2355" s="63"/>
      <c r="BJ2355" s="114">
        <v>42</v>
      </c>
      <c r="BK2355" s="116">
        <v>41</v>
      </c>
      <c r="BL2355" s="120">
        <f t="shared" si="976"/>
        <v>42041</v>
      </c>
      <c r="BN2355" s="5" t="s">
        <v>3154</v>
      </c>
      <c r="BY2355" s="63">
        <f t="shared" si="975"/>
        <v>0</v>
      </c>
      <c r="BZ2355" s="63">
        <f>47085+69076+542+939+3975+1869</f>
        <v>123486</v>
      </c>
      <c r="CA2355" s="63">
        <v>1869</v>
      </c>
      <c r="CB2355" s="132"/>
      <c r="CD2355" s="63">
        <v>508</v>
      </c>
    </row>
    <row r="2356" spans="1:97" hidden="1" outlineLevel="1">
      <c r="A2356" t="s">
        <v>2792</v>
      </c>
      <c r="B2356" t="s">
        <v>1020</v>
      </c>
      <c r="C2356" s="1">
        <f t="shared" si="965"/>
        <v>131783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 t="e">
        <f>IF(P2356&gt;0,RANK(P2356,(N2356:P2356,Q2356:AE2356)),0)</f>
        <v>#VALUE!</v>
      </c>
      <c r="G2356" s="132">
        <f t="shared" si="962"/>
        <v>3843</v>
      </c>
      <c r="H2356" s="137">
        <f t="shared" si="963"/>
        <v>2.916157622758626E-2</v>
      </c>
      <c r="I2356" s="2"/>
      <c r="J2356" s="2">
        <f t="shared" si="966"/>
        <v>0.49100415076299675</v>
      </c>
      <c r="K2356" s="2">
        <f t="shared" si="967"/>
        <v>0.4618425745354105</v>
      </c>
      <c r="L2356" s="2">
        <f t="shared" si="974"/>
        <v>0</v>
      </c>
      <c r="M2356" s="2">
        <f t="shared" si="969"/>
        <v>4.7153274701592751E-2</v>
      </c>
      <c r="N2356" s="63">
        <v>64706</v>
      </c>
      <c r="O2356" s="63">
        <v>60863</v>
      </c>
      <c r="P2356" s="63" t="str">
        <f>IF(Copyright!B$11=1,IF(CD2356&gt;0,CD2356,""),"")</f>
        <v/>
      </c>
      <c r="Q2356" s="63">
        <v>3498</v>
      </c>
      <c r="R2356" s="63">
        <v>1177</v>
      </c>
      <c r="S2356" s="63">
        <v>628</v>
      </c>
      <c r="T2356" s="63"/>
      <c r="U2356" s="63"/>
      <c r="V2356" s="63"/>
      <c r="W2356" s="63">
        <f>IF(Copyright!B$11=1,IF(CA2356&gt;0,CA2356-SUM(T2356:V2356)-SUM(X2356:AQ2356)-CD2356,0),0)</f>
        <v>911</v>
      </c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W2356" s="5">
        <f>IF(Q2356&gt;0,RANK(Q2356,(N2356:P2356,Q2356:AE2356)),0)</f>
        <v>3</v>
      </c>
      <c r="AX2356" s="5">
        <f>IF(R2356&gt;0,RANK(R2356,(N2356:P2356,Q2356:AE2356)),0)</f>
        <v>4</v>
      </c>
      <c r="AY2356" s="5">
        <f>IF(T2356&gt;0,RANK(T2356,(N2356:P2356,Q2356:AE2356)),0)</f>
        <v>0</v>
      </c>
      <c r="AZ2356" s="5">
        <f>IF(S2356&gt;0,RANK(S2356,(N2356:P2356,Q2356:AE2356)),0)</f>
        <v>6</v>
      </c>
      <c r="BA2356" s="2">
        <f t="shared" si="970"/>
        <v>2.6543636129091004E-2</v>
      </c>
      <c r="BB2356" s="2">
        <f t="shared" si="971"/>
        <v>8.9313492635620679E-3</v>
      </c>
      <c r="BC2356" s="2">
        <f t="shared" si="972"/>
        <v>0</v>
      </c>
      <c r="BD2356" s="2">
        <f t="shared" si="973"/>
        <v>4.7654098024783164E-3</v>
      </c>
      <c r="BF2356" t="s">
        <v>2792</v>
      </c>
      <c r="BG2356" t="s">
        <v>1020</v>
      </c>
      <c r="BH2356" s="63"/>
      <c r="BJ2356" s="114">
        <v>42</v>
      </c>
      <c r="BK2356" s="116">
        <v>43</v>
      </c>
      <c r="BL2356" s="120">
        <f t="shared" si="976"/>
        <v>42043</v>
      </c>
      <c r="BN2356" s="5" t="s">
        <v>3154</v>
      </c>
      <c r="BY2356" s="63">
        <f t="shared" si="975"/>
        <v>0</v>
      </c>
      <c r="BZ2356" s="63">
        <f>628+60863+3498+64706+1177+911</f>
        <v>131783</v>
      </c>
      <c r="CA2356" s="63">
        <v>911</v>
      </c>
      <c r="CB2356" s="132"/>
    </row>
    <row r="2357" spans="1:97" hidden="1" outlineLevel="1">
      <c r="A2357" t="s">
        <v>1708</v>
      </c>
      <c r="B2357" t="s">
        <v>1020</v>
      </c>
      <c r="C2357" s="1">
        <f t="shared" si="965"/>
        <v>299336</v>
      </c>
      <c r="D2357" s="5">
        <f>IF(N2357&gt;0, RANK(N2357,(N2357:P2357,Q2357:AE2357)),0)</f>
        <v>1</v>
      </c>
      <c r="E2357" s="5">
        <f>IF(O2357&gt;0,RANK(O2357,(N2357:P2357,Q2357:AE2357)),0)</f>
        <v>2</v>
      </c>
      <c r="F2357" s="5" t="e">
        <f>IF(P2357&gt;0,RANK(P2357,(N2357:P2357,Q2357:AE2357)),0)</f>
        <v>#VALUE!</v>
      </c>
      <c r="G2357" s="132">
        <f t="shared" si="962"/>
        <v>66735</v>
      </c>
      <c r="H2357" s="137">
        <f t="shared" si="963"/>
        <v>0.22294344816527248</v>
      </c>
      <c r="I2357" s="2"/>
      <c r="J2357" s="2">
        <f t="shared" si="966"/>
        <v>0.59265173584199693</v>
      </c>
      <c r="K2357" s="2">
        <f t="shared" si="967"/>
        <v>0.36970828767672448</v>
      </c>
      <c r="L2357" s="2">
        <f t="shared" si="974"/>
        <v>0</v>
      </c>
      <c r="M2357" s="2">
        <f t="shared" si="969"/>
        <v>3.7639976481278592E-2</v>
      </c>
      <c r="N2357" s="63">
        <v>177402</v>
      </c>
      <c r="O2357" s="63">
        <v>110667</v>
      </c>
      <c r="P2357" s="63" t="str">
        <f>IF(Copyright!B$11=1,IF(CD2357&gt;0,CD2357,""),"")</f>
        <v/>
      </c>
      <c r="Q2357" s="63">
        <v>5992</v>
      </c>
      <c r="R2357" s="63">
        <v>2588</v>
      </c>
      <c r="S2357" s="63">
        <v>985</v>
      </c>
      <c r="T2357" s="63"/>
      <c r="U2357" s="63"/>
      <c r="V2357" s="63"/>
      <c r="W2357" s="63">
        <f>IF(Copyright!B$11=1,IF(CA2357&gt;0,CA2357-SUM(T2357:V2357)-SUM(X2357:AQ2357)-CD2357,0),0)</f>
        <v>1702</v>
      </c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W2357" s="5">
        <f>IF(Q2357&gt;0,RANK(Q2357,(N2357:P2357,Q2357:AE2357)),0)</f>
        <v>3</v>
      </c>
      <c r="AX2357" s="5">
        <f>IF(R2357&gt;0,RANK(R2357,(N2357:P2357,Q2357:AE2357)),0)</f>
        <v>4</v>
      </c>
      <c r="AY2357" s="5">
        <f>IF(T2357&gt;0,RANK(T2357,(N2357:P2357,Q2357:AE2357)),0)</f>
        <v>0</v>
      </c>
      <c r="AZ2357" s="5">
        <f>IF(S2357&gt;0,RANK(S2357,(N2357:P2357,Q2357:AE2357)),0)</f>
        <v>6</v>
      </c>
      <c r="BA2357" s="2">
        <f t="shared" si="970"/>
        <v>2.0017639041077586E-2</v>
      </c>
      <c r="BB2357" s="2">
        <f t="shared" si="971"/>
        <v>8.645802709998129E-3</v>
      </c>
      <c r="BC2357" s="2">
        <f t="shared" si="972"/>
        <v>0</v>
      </c>
      <c r="BD2357" s="2">
        <f t="shared" si="973"/>
        <v>3.2906165646631211E-3</v>
      </c>
      <c r="BF2357" t="s">
        <v>1708</v>
      </c>
      <c r="BG2357" t="s">
        <v>1020</v>
      </c>
      <c r="BH2357" s="63"/>
      <c r="BJ2357" s="114">
        <v>42</v>
      </c>
      <c r="BK2357" s="116">
        <v>45</v>
      </c>
      <c r="BL2357" s="120">
        <f t="shared" si="976"/>
        <v>42045</v>
      </c>
      <c r="BN2357" s="5" t="s">
        <v>3154</v>
      </c>
      <c r="BY2357" s="63">
        <f t="shared" si="975"/>
        <v>0</v>
      </c>
      <c r="BZ2357" s="63">
        <f>177402+110667+985+2588+5992+1702</f>
        <v>299336</v>
      </c>
      <c r="CA2357" s="63">
        <v>1702</v>
      </c>
      <c r="CB2357" s="132"/>
    </row>
    <row r="2358" spans="1:97" hidden="1" outlineLevel="1">
      <c r="A2358" t="s">
        <v>2116</v>
      </c>
      <c r="B2358" t="s">
        <v>1020</v>
      </c>
      <c r="C2358" s="1">
        <f t="shared" si="965"/>
        <v>14547</v>
      </c>
      <c r="D2358" s="5">
        <f>IF(N2358&gt;0, RANK(N2358,(N2358:P2358,Q2358:AE2358)),0)</f>
        <v>2</v>
      </c>
      <c r="E2358" s="5">
        <f>IF(O2358&gt;0,RANK(O2358,(N2358:P2358,Q2358:AE2358)),0)</f>
        <v>1</v>
      </c>
      <c r="F2358" s="5" t="e">
        <f>IF(P2358&gt;0,RANK(P2358,(N2358:P2358,Q2358:AE2358)),0)</f>
        <v>#VALUE!</v>
      </c>
      <c r="G2358" s="132">
        <f t="shared" si="962"/>
        <v>6172</v>
      </c>
      <c r="H2358" s="137">
        <f t="shared" si="963"/>
        <v>0.42427992025847255</v>
      </c>
      <c r="I2358" s="2"/>
      <c r="J2358" s="2">
        <f t="shared" si="966"/>
        <v>0.26486560802914688</v>
      </c>
      <c r="K2358" s="2">
        <f t="shared" si="967"/>
        <v>0.68914552828761944</v>
      </c>
      <c r="L2358" s="2">
        <f t="shared" si="974"/>
        <v>0</v>
      </c>
      <c r="M2358" s="2">
        <f t="shared" si="969"/>
        <v>4.5988863683233627E-2</v>
      </c>
      <c r="N2358" s="63">
        <v>3853</v>
      </c>
      <c r="O2358" s="63">
        <v>10025</v>
      </c>
      <c r="P2358" s="63" t="str">
        <f>IF(Copyright!B$11=1,IF(CD2358&gt;0,CD2358,""),"")</f>
        <v/>
      </c>
      <c r="Q2358" s="63">
        <v>401</v>
      </c>
      <c r="R2358" s="63">
        <v>79</v>
      </c>
      <c r="S2358" s="63">
        <v>68</v>
      </c>
      <c r="T2358" s="63"/>
      <c r="U2358" s="63"/>
      <c r="V2358" s="63"/>
      <c r="W2358" s="63">
        <f>IF(Copyright!B$11=1,IF(CA2358&gt;0,CA2358-SUM(T2358:V2358)-SUM(X2358:AQ2358)-CD2358,0),0)</f>
        <v>121</v>
      </c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W2358" s="5">
        <f>IF(Q2358&gt;0,RANK(Q2358,(N2358:P2358,Q2358:AE2358)),0)</f>
        <v>3</v>
      </c>
      <c r="AX2358" s="5">
        <f>IF(R2358&gt;0,RANK(R2358,(N2358:P2358,Q2358:AE2358)),0)</f>
        <v>5</v>
      </c>
      <c r="AY2358" s="5">
        <f>IF(T2358&gt;0,RANK(T2358,(N2358:P2358,Q2358:AE2358)),0)</f>
        <v>0</v>
      </c>
      <c r="AZ2358" s="5">
        <f>IF(S2358&gt;0,RANK(S2358,(N2358:P2358,Q2358:AE2358)),0)</f>
        <v>6</v>
      </c>
      <c r="BA2358" s="2">
        <f t="shared" si="970"/>
        <v>2.7565821131504777E-2</v>
      </c>
      <c r="BB2358" s="2">
        <f t="shared" si="971"/>
        <v>5.4306729909947065E-3</v>
      </c>
      <c r="BC2358" s="2">
        <f t="shared" si="972"/>
        <v>0</v>
      </c>
      <c r="BD2358" s="2">
        <f t="shared" si="973"/>
        <v>4.6745033340207607E-3</v>
      </c>
      <c r="BF2358" t="s">
        <v>2116</v>
      </c>
      <c r="BG2358" t="s">
        <v>1020</v>
      </c>
      <c r="BH2358" s="63">
        <v>5</v>
      </c>
      <c r="BJ2358" s="114">
        <v>42</v>
      </c>
      <c r="BK2358" s="116">
        <v>47</v>
      </c>
      <c r="BL2358" s="120">
        <f t="shared" si="976"/>
        <v>42047</v>
      </c>
      <c r="BN2358" s="5" t="s">
        <v>3154</v>
      </c>
      <c r="BO2358" s="63">
        <v>101</v>
      </c>
      <c r="BP2358" s="63">
        <v>0</v>
      </c>
      <c r="BR2358" s="63"/>
      <c r="BY2358" s="63">
        <f t="shared" si="975"/>
        <v>0</v>
      </c>
      <c r="BZ2358" s="63">
        <f>3853+10025+68+79+401+121</f>
        <v>14547</v>
      </c>
      <c r="CA2358" s="63">
        <v>121</v>
      </c>
      <c r="CB2358" s="132"/>
    </row>
    <row r="2359" spans="1:97" hidden="1" outlineLevel="1">
      <c r="A2359" t="s">
        <v>12</v>
      </c>
      <c r="B2359" t="s">
        <v>1020</v>
      </c>
      <c r="C2359" s="1">
        <f t="shared" si="965"/>
        <v>125129</v>
      </c>
      <c r="D2359" s="5">
        <f>IF(N2359&gt;0, RANK(N2359,(N2359:P2359,Q2359:AE2359)),0)</f>
        <v>2</v>
      </c>
      <c r="E2359" s="5">
        <f>IF(O2359&gt;0,RANK(O2359,(N2359:P2359,Q2359:AE2359)),0)</f>
        <v>1</v>
      </c>
      <c r="F2359" s="5" t="e">
        <f>IF(P2359&gt;0,RANK(P2359,(N2359:P2359,Q2359:AE2359)),0)</f>
        <v>#VALUE!</v>
      </c>
      <c r="G2359" s="132">
        <f t="shared" si="962"/>
        <v>1957</v>
      </c>
      <c r="H2359" s="137">
        <f t="shared" si="963"/>
        <v>1.5639859664825898E-2</v>
      </c>
      <c r="I2359" s="2"/>
      <c r="J2359" s="2">
        <f t="shared" si="966"/>
        <v>0.46441672194295486</v>
      </c>
      <c r="K2359" s="2">
        <f t="shared" si="967"/>
        <v>0.48005658160778075</v>
      </c>
      <c r="L2359" s="2">
        <f t="shared" si="974"/>
        <v>0</v>
      </c>
      <c r="M2359" s="2">
        <f t="shared" si="969"/>
        <v>5.5526696449264334E-2</v>
      </c>
      <c r="N2359" s="63">
        <v>58112</v>
      </c>
      <c r="O2359" s="63">
        <v>60069</v>
      </c>
      <c r="P2359" s="63" t="str">
        <f>IF(Copyright!B$11=1,IF(CD2359&gt;0,CD2359,""),"")</f>
        <v/>
      </c>
      <c r="Q2359" s="63">
        <v>3871</v>
      </c>
      <c r="R2359" s="63">
        <v>1139</v>
      </c>
      <c r="S2359" s="63">
        <v>488</v>
      </c>
      <c r="T2359" s="63"/>
      <c r="U2359" s="63"/>
      <c r="V2359" s="63"/>
      <c r="W2359" s="63">
        <f>IF(Copyright!B$11=1,IF(CA2359&gt;0,CA2359-SUM(T2359:V2359)-SUM(X2359:AQ2359)-CD2359,0),0)</f>
        <v>1450</v>
      </c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W2359" s="5">
        <f>IF(Q2359&gt;0,RANK(Q2359,(N2359:P2359,Q2359:AE2359)),0)</f>
        <v>3</v>
      </c>
      <c r="AX2359" s="5">
        <f>IF(R2359&gt;0,RANK(R2359,(N2359:P2359,Q2359:AE2359)),0)</f>
        <v>5</v>
      </c>
      <c r="AY2359" s="5">
        <f>IF(T2359&gt;0,RANK(T2359,(N2359:P2359,Q2359:AE2359)),0)</f>
        <v>0</v>
      </c>
      <c r="AZ2359" s="5">
        <f>IF(S2359&gt;0,RANK(S2359,(N2359:P2359,Q2359:AE2359)),0)</f>
        <v>6</v>
      </c>
      <c r="BA2359" s="2">
        <f t="shared" si="970"/>
        <v>3.0936073971661246E-2</v>
      </c>
      <c r="BB2359" s="2">
        <f t="shared" si="971"/>
        <v>9.1026061104939708E-3</v>
      </c>
      <c r="BC2359" s="2">
        <f t="shared" si="972"/>
        <v>0</v>
      </c>
      <c r="BD2359" s="2">
        <f t="shared" si="973"/>
        <v>3.8999752255672146E-3</v>
      </c>
      <c r="BF2359" t="s">
        <v>12</v>
      </c>
      <c r="BG2359" t="s">
        <v>1020</v>
      </c>
      <c r="BH2359" s="63"/>
      <c r="BJ2359" s="114">
        <v>42</v>
      </c>
      <c r="BK2359" s="116">
        <v>49</v>
      </c>
      <c r="BL2359" s="120">
        <f t="shared" si="976"/>
        <v>42049</v>
      </c>
      <c r="BN2359" s="5" t="s">
        <v>3154</v>
      </c>
      <c r="BR2359" s="63"/>
      <c r="BY2359" s="63">
        <f t="shared" si="975"/>
        <v>0</v>
      </c>
      <c r="BZ2359" s="63">
        <f>58112+60069+488+1139+3871+1450</f>
        <v>125129</v>
      </c>
      <c r="CA2359" s="63">
        <v>1450</v>
      </c>
      <c r="CB2359" s="132"/>
    </row>
    <row r="2360" spans="1:97" hidden="1" outlineLevel="1">
      <c r="A2360" t="s">
        <v>1416</v>
      </c>
      <c r="B2360" t="s">
        <v>1020</v>
      </c>
      <c r="C2360" s="1">
        <f t="shared" si="965"/>
        <v>54099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7</v>
      </c>
      <c r="G2360" s="132">
        <f t="shared" si="962"/>
        <v>16644</v>
      </c>
      <c r="H2360" s="137">
        <f t="shared" si="963"/>
        <v>0.30765818222148283</v>
      </c>
      <c r="I2360" s="2"/>
      <c r="J2360" s="2">
        <f t="shared" si="966"/>
        <v>0.33172517052071204</v>
      </c>
      <c r="K2360" s="2">
        <f t="shared" si="967"/>
        <v>0.63938335274219482</v>
      </c>
      <c r="L2360" s="2">
        <f t="shared" si="974"/>
        <v>9.0574687147636744E-4</v>
      </c>
      <c r="M2360" s="2">
        <f t="shared" si="969"/>
        <v>2.7985729865616767E-2</v>
      </c>
      <c r="N2360" s="63">
        <v>17946</v>
      </c>
      <c r="O2360" s="63">
        <v>34590</v>
      </c>
      <c r="P2360" s="63">
        <f>IF(Copyright!B$11=1,IF(CD2360&gt;0,CD2360,""),"")</f>
        <v>49</v>
      </c>
      <c r="Q2360" s="63">
        <v>853</v>
      </c>
      <c r="R2360" s="63">
        <v>232</v>
      </c>
      <c r="S2360" s="63">
        <v>146</v>
      </c>
      <c r="T2360" s="63"/>
      <c r="U2360" s="63"/>
      <c r="V2360" s="63"/>
      <c r="W2360" s="63">
        <f>IF(Copyright!B$11=1,IF(CA2360&gt;0,CA2360-SUM(T2360:V2360)-SUM(X2360:AQ2360)-CD2360,0),0)</f>
        <v>283</v>
      </c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W2360" s="5">
        <f>IF(Q2360&gt;0,RANK(Q2360,(N2360:P2360,Q2360:AE2360)),0)</f>
        <v>3</v>
      </c>
      <c r="AX2360" s="5">
        <f>IF(R2360&gt;0,RANK(R2360,(N2360:P2360,Q2360:AE2360)),0)</f>
        <v>5</v>
      </c>
      <c r="AY2360" s="5">
        <f>IF(T2360&gt;0,RANK(T2360,(N2360:P2360,Q2360:AE2360)),0)</f>
        <v>0</v>
      </c>
      <c r="AZ2360" s="5">
        <f>IF(S2360&gt;0,RANK(S2360,(N2360:P2360,Q2360:AE2360)),0)</f>
        <v>6</v>
      </c>
      <c r="BA2360" s="2">
        <f t="shared" si="970"/>
        <v>1.5767389415700845E-2</v>
      </c>
      <c r="BB2360" s="2">
        <f t="shared" si="971"/>
        <v>4.2884341669901481E-3</v>
      </c>
      <c r="BC2360" s="2">
        <f t="shared" si="972"/>
        <v>0</v>
      </c>
      <c r="BD2360" s="2">
        <f t="shared" si="973"/>
        <v>2.6987559843989722E-3</v>
      </c>
      <c r="BF2360" t="s">
        <v>1416</v>
      </c>
      <c r="BG2360" t="s">
        <v>1020</v>
      </c>
      <c r="BH2360" s="63">
        <v>9</v>
      </c>
      <c r="BJ2360" s="114">
        <v>42</v>
      </c>
      <c r="BK2360" s="116">
        <v>51</v>
      </c>
      <c r="BL2360" s="120">
        <f t="shared" si="976"/>
        <v>42051</v>
      </c>
      <c r="BN2360" s="5" t="s">
        <v>3154</v>
      </c>
      <c r="BO2360" s="63">
        <v>773</v>
      </c>
      <c r="BP2360" s="63">
        <v>22</v>
      </c>
      <c r="BR2360" s="63"/>
      <c r="BY2360" s="63">
        <f t="shared" si="975"/>
        <v>0</v>
      </c>
      <c r="BZ2360" s="63">
        <v>54099</v>
      </c>
      <c r="CA2360" s="63">
        <v>332</v>
      </c>
      <c r="CB2360" s="132"/>
      <c r="CC2360" s="63">
        <v>93</v>
      </c>
      <c r="CD2360" s="63">
        <v>49</v>
      </c>
    </row>
    <row r="2361" spans="1:97" hidden="1" outlineLevel="1">
      <c r="A2361" t="s">
        <v>3089</v>
      </c>
      <c r="B2361" t="s">
        <v>1020</v>
      </c>
      <c r="C2361" s="1">
        <f t="shared" si="965"/>
        <v>2419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 t="e">
        <f>IF(P2361&gt;0,RANK(P2361,(N2361:P2361,Q2361:AE2361)),0)</f>
        <v>#VALUE!</v>
      </c>
      <c r="G2361" s="132">
        <f t="shared" si="962"/>
        <v>1057</v>
      </c>
      <c r="H2361" s="137">
        <f t="shared" si="963"/>
        <v>0.43695742042166186</v>
      </c>
      <c r="I2361" s="2"/>
      <c r="J2361" s="2">
        <f t="shared" si="966"/>
        <v>0.25878462174452255</v>
      </c>
      <c r="K2361" s="2">
        <f t="shared" si="967"/>
        <v>0.6957420421661844</v>
      </c>
      <c r="L2361" s="2">
        <f t="shared" si="974"/>
        <v>0</v>
      </c>
      <c r="M2361" s="2">
        <f t="shared" si="969"/>
        <v>4.5473336089293048E-2</v>
      </c>
      <c r="N2361" s="63">
        <v>626</v>
      </c>
      <c r="O2361" s="63">
        <v>1683</v>
      </c>
      <c r="P2361" s="63" t="str">
        <f>IF(Copyright!B$11=1,IF(CD2361&gt;0,CD2361,""),"")</f>
        <v/>
      </c>
      <c r="Q2361" s="63">
        <v>60</v>
      </c>
      <c r="R2361" s="63">
        <v>19</v>
      </c>
      <c r="S2361" s="63">
        <v>13</v>
      </c>
      <c r="T2361" s="63"/>
      <c r="U2361" s="63"/>
      <c r="V2361" s="63"/>
      <c r="W2361" s="63">
        <f>IF(Copyright!B$11=1,IF(CA2361&gt;0,CA2361-SUM(T2361:V2361)-SUM(X2361:AQ2361)-CD2361,0),0)</f>
        <v>18</v>
      </c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W2361" s="5">
        <f>IF(Q2361&gt;0,RANK(Q2361,(N2361:P2361,Q2361:AE2361)),0)</f>
        <v>3</v>
      </c>
      <c r="AX2361" s="5">
        <f>IF(R2361&gt;0,RANK(R2361,(N2361:P2361,Q2361:AE2361)),0)</f>
        <v>4</v>
      </c>
      <c r="AY2361" s="5">
        <f>IF(T2361&gt;0,RANK(T2361,(N2361:P2361,Q2361:AE2361)),0)</f>
        <v>0</v>
      </c>
      <c r="AZ2361" s="5">
        <f>IF(S2361&gt;0,RANK(S2361,(N2361:P2361,Q2361:AE2361)),0)</f>
        <v>6</v>
      </c>
      <c r="BA2361" s="2">
        <f t="shared" si="970"/>
        <v>2.4803637866887142E-2</v>
      </c>
      <c r="BB2361" s="2">
        <f t="shared" si="971"/>
        <v>7.8544853245142623E-3</v>
      </c>
      <c r="BC2361" s="2">
        <f t="shared" si="972"/>
        <v>0</v>
      </c>
      <c r="BD2361" s="2">
        <f t="shared" si="973"/>
        <v>5.3741215378255479E-3</v>
      </c>
      <c r="BF2361" t="s">
        <v>3089</v>
      </c>
      <c r="BG2361" t="s">
        <v>1020</v>
      </c>
      <c r="BH2361" s="63">
        <v>5</v>
      </c>
      <c r="BJ2361" s="114">
        <v>42</v>
      </c>
      <c r="BK2361" s="116">
        <v>53</v>
      </c>
      <c r="BL2361" s="120">
        <f t="shared" si="976"/>
        <v>42053</v>
      </c>
      <c r="BN2361" s="5" t="s">
        <v>3154</v>
      </c>
      <c r="BS2361" s="128"/>
      <c r="BY2361" s="63">
        <f t="shared" si="975"/>
        <v>-1</v>
      </c>
      <c r="BZ2361" s="63">
        <v>2420</v>
      </c>
      <c r="CA2361" s="63">
        <v>18</v>
      </c>
      <c r="CB2361" s="132"/>
    </row>
    <row r="2362" spans="1:97" hidden="1" outlineLevel="1">
      <c r="A2362" t="s">
        <v>1138</v>
      </c>
      <c r="B2362" t="s">
        <v>1020</v>
      </c>
      <c r="C2362" s="1">
        <f t="shared" si="965"/>
        <v>70506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 t="e">
        <f>IF(P2362&gt;0,RANK(P2362,(N2362:P2362,Q2362:AE2362)),0)</f>
        <v>#VALUE!</v>
      </c>
      <c r="G2362" s="132">
        <f t="shared" si="962"/>
        <v>32303</v>
      </c>
      <c r="H2362" s="137">
        <f t="shared" si="963"/>
        <v>0.4581595892548152</v>
      </c>
      <c r="I2362" s="2"/>
      <c r="J2362" s="2">
        <f t="shared" si="966"/>
        <v>0.24770941480157718</v>
      </c>
      <c r="K2362" s="2">
        <f t="shared" si="967"/>
        <v>0.70586900405639241</v>
      </c>
      <c r="L2362" s="2">
        <f t="shared" si="974"/>
        <v>0</v>
      </c>
      <c r="M2362" s="2">
        <f t="shared" si="969"/>
        <v>4.6421581142030433E-2</v>
      </c>
      <c r="N2362" s="63">
        <v>17465</v>
      </c>
      <c r="O2362" s="63">
        <v>49768</v>
      </c>
      <c r="P2362" s="63" t="str">
        <f>IF(Copyright!B$11=1,IF(CD2362&gt;0,CD2362,""),"")</f>
        <v/>
      </c>
      <c r="Q2362" s="63">
        <v>1712</v>
      </c>
      <c r="R2362" s="63">
        <v>450</v>
      </c>
      <c r="S2362" s="63">
        <v>336</v>
      </c>
      <c r="T2362" s="63"/>
      <c r="U2362" s="63"/>
      <c r="V2362" s="63"/>
      <c r="W2362" s="63">
        <f>IF(Copyright!B$11=1,IF(CA2362&gt;0,CA2362-SUM(T2362:V2362)-SUM(X2362:AQ2362)-CD2362,0),0)</f>
        <v>775</v>
      </c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W2362" s="5">
        <f>IF(Q2362&gt;0,RANK(Q2362,(N2362:P2362,Q2362:AE2362)),0)</f>
        <v>3</v>
      </c>
      <c r="AX2362" s="5">
        <f>IF(R2362&gt;0,RANK(R2362,(N2362:P2362,Q2362:AE2362)),0)</f>
        <v>5</v>
      </c>
      <c r="AY2362" s="5">
        <f>IF(T2362&gt;0,RANK(T2362,(N2362:P2362,Q2362:AE2362)),0)</f>
        <v>0</v>
      </c>
      <c r="AZ2362" s="5">
        <f>IF(S2362&gt;0,RANK(S2362,(N2362:P2362,Q2362:AE2362)),0)</f>
        <v>6</v>
      </c>
      <c r="BA2362" s="2">
        <f t="shared" si="970"/>
        <v>2.4281621422290303E-2</v>
      </c>
      <c r="BB2362" s="2">
        <f t="shared" si="971"/>
        <v>6.3824355374010721E-3</v>
      </c>
      <c r="BC2362" s="2">
        <f t="shared" si="972"/>
        <v>0</v>
      </c>
      <c r="BD2362" s="2">
        <f t="shared" si="973"/>
        <v>4.7655518679261336E-3</v>
      </c>
      <c r="BF2362" t="s">
        <v>1138</v>
      </c>
      <c r="BG2362" t="s">
        <v>1020</v>
      </c>
      <c r="BH2362" s="63">
        <v>9</v>
      </c>
      <c r="BJ2362" s="114">
        <v>42</v>
      </c>
      <c r="BK2362" s="116">
        <v>55</v>
      </c>
      <c r="BL2362" s="120">
        <f t="shared" si="976"/>
        <v>42055</v>
      </c>
      <c r="BN2362" s="5" t="s">
        <v>3154</v>
      </c>
      <c r="BO2362" s="63">
        <v>326</v>
      </c>
      <c r="BP2362" s="63">
        <v>153</v>
      </c>
      <c r="BR2362" s="63"/>
      <c r="BS2362" s="128"/>
      <c r="BY2362" s="63">
        <f t="shared" si="975"/>
        <v>0</v>
      </c>
      <c r="BZ2362" s="63">
        <v>70506</v>
      </c>
      <c r="CA2362" s="63">
        <v>775</v>
      </c>
      <c r="CB2362" s="132"/>
    </row>
    <row r="2363" spans="1:97" hidden="1" outlineLevel="1">
      <c r="A2363" t="s">
        <v>2388</v>
      </c>
      <c r="B2363" t="s">
        <v>1020</v>
      </c>
      <c r="C2363" s="1">
        <f t="shared" si="965"/>
        <v>6822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7</v>
      </c>
      <c r="G2363" s="132">
        <f t="shared" si="962"/>
        <v>4782</v>
      </c>
      <c r="H2363" s="137">
        <f t="shared" si="963"/>
        <v>0.7009674582233949</v>
      </c>
      <c r="I2363" s="2"/>
      <c r="J2363" s="2">
        <f t="shared" si="966"/>
        <v>0.13368513632365875</v>
      </c>
      <c r="K2363" s="2">
        <f t="shared" si="967"/>
        <v>0.83465259454705365</v>
      </c>
      <c r="L2363" s="2">
        <f t="shared" si="974"/>
        <v>1.7590149516270889E-3</v>
      </c>
      <c r="M2363" s="2">
        <f t="shared" si="969"/>
        <v>2.9903254177660512E-2</v>
      </c>
      <c r="N2363" s="63">
        <v>912</v>
      </c>
      <c r="O2363" s="63">
        <v>5694</v>
      </c>
      <c r="P2363" s="63">
        <f>IF(Copyright!B$11=1,IF(CD2363&gt;0,CD2363,""),"")</f>
        <v>12</v>
      </c>
      <c r="Q2363" s="63">
        <v>93</v>
      </c>
      <c r="R2363" s="63">
        <v>37</v>
      </c>
      <c r="S2363" s="63">
        <v>35</v>
      </c>
      <c r="T2363" s="63"/>
      <c r="U2363" s="63"/>
      <c r="V2363" s="63"/>
      <c r="W2363" s="63">
        <f>IF(Copyright!B$11=1,IF(CA2363&gt;0,CA2363-SUM(T2363:V2363)-SUM(X2363:AQ2363)-CD2363,0),0)</f>
        <v>39</v>
      </c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W2363" s="5">
        <f>IF(Q2363&gt;0,RANK(Q2363,(N2363:P2363,Q2363:AE2363)),0)</f>
        <v>3</v>
      </c>
      <c r="AX2363" s="5">
        <f>IF(R2363&gt;0,RANK(R2363,(N2363:P2363,Q2363:AE2363)),0)</f>
        <v>5</v>
      </c>
      <c r="AY2363" s="5">
        <f>IF(T2363&gt;0,RANK(T2363,(N2363:P2363,Q2363:AE2363)),0)</f>
        <v>0</v>
      </c>
      <c r="AZ2363" s="5">
        <f>IF(S2363&gt;0,RANK(S2363,(N2363:P2363,Q2363:AE2363)),0)</f>
        <v>6</v>
      </c>
      <c r="BA2363" s="2">
        <f t="shared" si="970"/>
        <v>1.3632365875109938E-2</v>
      </c>
      <c r="BB2363" s="2">
        <f t="shared" si="971"/>
        <v>5.4236294341835243E-3</v>
      </c>
      <c r="BC2363" s="2">
        <f t="shared" si="972"/>
        <v>0</v>
      </c>
      <c r="BD2363" s="2">
        <f t="shared" si="973"/>
        <v>5.1304602755790091E-3</v>
      </c>
      <c r="BF2363" t="s">
        <v>2388</v>
      </c>
      <c r="BG2363" t="s">
        <v>1020</v>
      </c>
      <c r="BH2363" s="63">
        <v>9</v>
      </c>
      <c r="BJ2363" s="114">
        <v>42</v>
      </c>
      <c r="BK2363" s="116">
        <v>57</v>
      </c>
      <c r="BL2363" s="120">
        <f t="shared" si="976"/>
        <v>42057</v>
      </c>
      <c r="BN2363" s="5" t="s">
        <v>3154</v>
      </c>
      <c r="BR2363" s="63"/>
      <c r="BS2363" s="128"/>
      <c r="BY2363" s="63">
        <f t="shared" si="975"/>
        <v>0</v>
      </c>
      <c r="BZ2363" s="63">
        <v>6822</v>
      </c>
      <c r="CA2363" s="63">
        <v>51</v>
      </c>
      <c r="CB2363" s="132"/>
      <c r="CD2363" s="63">
        <v>12</v>
      </c>
    </row>
    <row r="2364" spans="1:97" hidden="1" outlineLevel="1">
      <c r="A2364" t="s">
        <v>2189</v>
      </c>
      <c r="B2364" t="s">
        <v>1020</v>
      </c>
      <c r="C2364" s="1">
        <f t="shared" si="965"/>
        <v>15868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 t="e">
        <f>IF(P2364&gt;0,RANK(P2364,(N2364:P2364,Q2364:AE2364)),0)</f>
        <v>#VALUE!</v>
      </c>
      <c r="G2364" s="132">
        <f t="shared" si="962"/>
        <v>6367</v>
      </c>
      <c r="H2364" s="137">
        <f t="shared" si="963"/>
        <v>0.40124779430299973</v>
      </c>
      <c r="I2364" s="2"/>
      <c r="J2364" s="2">
        <f t="shared" si="966"/>
        <v>0.28245525586085202</v>
      </c>
      <c r="K2364" s="2">
        <f t="shared" si="967"/>
        <v>0.6837030501638518</v>
      </c>
      <c r="L2364" s="2">
        <f t="shared" si="974"/>
        <v>0</v>
      </c>
      <c r="M2364" s="2">
        <f t="shared" si="969"/>
        <v>3.3841693975296239E-2</v>
      </c>
      <c r="N2364" s="63">
        <v>4482</v>
      </c>
      <c r="O2364" s="63">
        <v>10849</v>
      </c>
      <c r="P2364" s="63" t="str">
        <f>IF(Copyright!B$11=1,IF(CD2364&gt;0,CD2364,""),"")</f>
        <v/>
      </c>
      <c r="Q2364" s="63">
        <v>284</v>
      </c>
      <c r="R2364" s="63">
        <v>83</v>
      </c>
      <c r="S2364" s="63">
        <v>66</v>
      </c>
      <c r="T2364" s="63"/>
      <c r="U2364" s="63"/>
      <c r="V2364" s="63"/>
      <c r="W2364" s="63">
        <f>IF(Copyright!B$11=1,IF(CA2364&gt;0,CA2364-SUM(T2364:V2364)-SUM(X2364:AQ2364)-CD2364,0),0)</f>
        <v>104</v>
      </c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W2364" s="5">
        <f>IF(Q2364&gt;0,RANK(Q2364,(N2364:P2364,Q2364:AE2364)),0)</f>
        <v>3</v>
      </c>
      <c r="AX2364" s="5">
        <f>IF(R2364&gt;0,RANK(R2364,(N2364:P2364,Q2364:AE2364)),0)</f>
        <v>5</v>
      </c>
      <c r="AY2364" s="5">
        <f>IF(T2364&gt;0,RANK(T2364,(N2364:P2364,Q2364:AE2364)),0)</f>
        <v>0</v>
      </c>
      <c r="AZ2364" s="5">
        <f>IF(S2364&gt;0,RANK(S2364,(N2364:P2364,Q2364:AE2364)),0)</f>
        <v>6</v>
      </c>
      <c r="BA2364" s="2">
        <f t="shared" si="970"/>
        <v>1.7897655659188303E-2</v>
      </c>
      <c r="BB2364" s="2">
        <f t="shared" si="971"/>
        <v>5.2306528863120746E-3</v>
      </c>
      <c r="BC2364" s="2">
        <f t="shared" si="972"/>
        <v>0</v>
      </c>
      <c r="BD2364" s="2">
        <f t="shared" si="973"/>
        <v>4.1593143433324934E-3</v>
      </c>
      <c r="BF2364" t="s">
        <v>2189</v>
      </c>
      <c r="BG2364" t="s">
        <v>1020</v>
      </c>
      <c r="BH2364" s="63"/>
      <c r="BJ2364" s="114">
        <v>42</v>
      </c>
      <c r="BK2364" s="116">
        <v>59</v>
      </c>
      <c r="BL2364" s="120">
        <f t="shared" si="976"/>
        <v>42059</v>
      </c>
      <c r="BN2364" s="5" t="s">
        <v>3154</v>
      </c>
      <c r="BY2364" s="63">
        <f t="shared" si="975"/>
        <v>0</v>
      </c>
      <c r="BZ2364" s="63">
        <f>4482+10849+66+83+284+104</f>
        <v>15868</v>
      </c>
      <c r="CA2364" s="63">
        <v>104</v>
      </c>
      <c r="CB2364" s="132"/>
    </row>
    <row r="2365" spans="1:97" hidden="1" outlineLevel="1">
      <c r="A2365" t="s">
        <v>93</v>
      </c>
      <c r="B2365" t="s">
        <v>1020</v>
      </c>
      <c r="C2365" s="1">
        <f t="shared" si="965"/>
        <v>19866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 t="e">
        <f>IF(P2365&gt;0,RANK(P2365,(N2365:P2365,Q2365:AE2365)),0)</f>
        <v>#VALUE!</v>
      </c>
      <c r="G2365" s="132">
        <f t="shared" si="962"/>
        <v>9955</v>
      </c>
      <c r="H2365" s="137">
        <f t="shared" si="963"/>
        <v>0.50110741971207085</v>
      </c>
      <c r="I2365" s="2"/>
      <c r="J2365" s="2">
        <f t="shared" si="966"/>
        <v>0.22848082150407731</v>
      </c>
      <c r="K2365" s="2">
        <f t="shared" si="967"/>
        <v>0.72958824121614818</v>
      </c>
      <c r="L2365" s="2">
        <f t="shared" si="974"/>
        <v>0</v>
      </c>
      <c r="M2365" s="2">
        <f t="shared" si="969"/>
        <v>4.1930937279774483E-2</v>
      </c>
      <c r="N2365" s="63">
        <v>4539</v>
      </c>
      <c r="O2365" s="63">
        <v>14494</v>
      </c>
      <c r="P2365" s="63" t="str">
        <f>IF(Copyright!B$11=1,IF(CD2365&gt;0,CD2365,""),"")</f>
        <v/>
      </c>
      <c r="Q2365" s="63">
        <v>425</v>
      </c>
      <c r="R2365" s="63">
        <v>96</v>
      </c>
      <c r="S2365" s="63">
        <v>152</v>
      </c>
      <c r="T2365" s="63"/>
      <c r="U2365" s="63"/>
      <c r="V2365" s="63"/>
      <c r="W2365" s="63">
        <f>IF(Copyright!B$11=1,IF(CA2365&gt;0,CA2365-SUM(T2365:V2365)-SUM(X2365:AQ2365)-CD2365,0),0)</f>
        <v>160</v>
      </c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W2365" s="5">
        <f>IF(Q2365&gt;0,RANK(Q2365,(N2365:P2365,Q2365:AE2365)),0)</f>
        <v>3</v>
      </c>
      <c r="AX2365" s="5">
        <f>IF(R2365&gt;0,RANK(R2365,(N2365:P2365,Q2365:AE2365)),0)</f>
        <v>6</v>
      </c>
      <c r="AY2365" s="5">
        <f>IF(T2365&gt;0,RANK(T2365,(N2365:P2365,Q2365:AE2365)),0)</f>
        <v>0</v>
      </c>
      <c r="AZ2365" s="5">
        <f>IF(S2365&gt;0,RANK(S2365,(N2365:P2365,Q2365:AE2365)),0)</f>
        <v>5</v>
      </c>
      <c r="BA2365" s="2">
        <f t="shared" si="970"/>
        <v>2.1393335346823718E-2</v>
      </c>
      <c r="BB2365" s="2">
        <f t="shared" si="971"/>
        <v>4.8323769254001812E-3</v>
      </c>
      <c r="BC2365" s="2">
        <f t="shared" si="972"/>
        <v>0</v>
      </c>
      <c r="BD2365" s="2">
        <f t="shared" si="973"/>
        <v>7.6512634652169537E-3</v>
      </c>
      <c r="BF2365" t="s">
        <v>93</v>
      </c>
      <c r="BG2365" t="s">
        <v>1020</v>
      </c>
      <c r="BH2365" s="63"/>
      <c r="BJ2365" s="114">
        <v>42</v>
      </c>
      <c r="BK2365" s="116">
        <v>61</v>
      </c>
      <c r="BL2365" s="120">
        <f t="shared" si="976"/>
        <v>42061</v>
      </c>
      <c r="BN2365" s="5" t="s">
        <v>3154</v>
      </c>
      <c r="BR2365" s="63"/>
      <c r="BY2365" s="63">
        <f t="shared" si="975"/>
        <v>0</v>
      </c>
      <c r="BZ2365" s="63">
        <f>4539+14494+152+96+425+160</f>
        <v>19866</v>
      </c>
      <c r="CA2365" s="63">
        <v>160</v>
      </c>
      <c r="CB2365" s="132"/>
    </row>
    <row r="2366" spans="1:97" hidden="1" outlineLevel="1">
      <c r="A2366" t="s">
        <v>150</v>
      </c>
      <c r="B2366" t="s">
        <v>1020</v>
      </c>
      <c r="C2366" s="1">
        <f t="shared" si="965"/>
        <v>38122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7</v>
      </c>
      <c r="G2366" s="132">
        <f t="shared" si="962"/>
        <v>13360</v>
      </c>
      <c r="H2366" s="137">
        <f t="shared" si="963"/>
        <v>0.35045380620114369</v>
      </c>
      <c r="I2366" s="2"/>
      <c r="J2366" s="2">
        <f t="shared" si="966"/>
        <v>0.30239756571008869</v>
      </c>
      <c r="K2366" s="2">
        <f t="shared" si="967"/>
        <v>0.65285137191123233</v>
      </c>
      <c r="L2366" s="2">
        <f t="shared" si="974"/>
        <v>9.7056817585646079E-4</v>
      </c>
      <c r="M2366" s="2">
        <f t="shared" si="969"/>
        <v>4.3780494202822526E-2</v>
      </c>
      <c r="N2366" s="63">
        <v>11528</v>
      </c>
      <c r="O2366" s="63">
        <v>24888</v>
      </c>
      <c r="P2366" s="63">
        <f>IF(Copyright!B$11=1,IF(CD2366&gt;0,CD2366,""),"")</f>
        <v>37</v>
      </c>
      <c r="Q2366" s="63">
        <v>936</v>
      </c>
      <c r="R2366" s="63">
        <v>220</v>
      </c>
      <c r="S2366" s="63">
        <v>198</v>
      </c>
      <c r="T2366" s="63"/>
      <c r="U2366" s="63"/>
      <c r="V2366" s="63"/>
      <c r="W2366" s="63">
        <f>IF(Copyright!B$11=1,IF(CA2366&gt;0,CA2366-SUM(T2366:V2366)-SUM(X2366:AQ2366)-CD2366,0),0)</f>
        <v>315</v>
      </c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W2366" s="5">
        <f>IF(Q2366&gt;0,RANK(Q2366,(N2366:P2366,Q2366:AE2366)),0)</f>
        <v>3</v>
      </c>
      <c r="AX2366" s="5">
        <f>IF(R2366&gt;0,RANK(R2366,(N2366:P2366,Q2366:AE2366)),0)</f>
        <v>5</v>
      </c>
      <c r="AY2366" s="5">
        <f>IF(T2366&gt;0,RANK(T2366,(N2366:P2366,Q2366:AE2366)),0)</f>
        <v>0</v>
      </c>
      <c r="AZ2366" s="5">
        <f>IF(S2366&gt;0,RANK(S2366,(N2366:P2366,Q2366:AE2366)),0)</f>
        <v>6</v>
      </c>
      <c r="BA2366" s="2">
        <f t="shared" si="970"/>
        <v>2.4552751691936416E-2</v>
      </c>
      <c r="BB2366" s="2">
        <f t="shared" si="971"/>
        <v>5.7709459104978754E-3</v>
      </c>
      <c r="BC2366" s="2">
        <f t="shared" si="972"/>
        <v>0</v>
      </c>
      <c r="BD2366" s="2">
        <f t="shared" si="973"/>
        <v>5.193851319448088E-3</v>
      </c>
      <c r="BF2366" t="s">
        <v>150</v>
      </c>
      <c r="BG2366" t="s">
        <v>1020</v>
      </c>
      <c r="BH2366" s="63">
        <v>9</v>
      </c>
      <c r="BJ2366" s="114">
        <v>42</v>
      </c>
      <c r="BK2366" s="116">
        <v>63</v>
      </c>
      <c r="BL2366" s="120">
        <f t="shared" si="976"/>
        <v>42063</v>
      </c>
      <c r="BN2366" s="5" t="s">
        <v>3154</v>
      </c>
      <c r="BY2366" s="63">
        <f t="shared" si="975"/>
        <v>42</v>
      </c>
      <c r="BZ2366" s="133">
        <f>11468+24920+196+220+924+352</f>
        <v>38080</v>
      </c>
      <c r="CA2366" s="133">
        <v>352</v>
      </c>
      <c r="CB2366" s="132"/>
      <c r="CD2366" s="133">
        <v>37</v>
      </c>
    </row>
    <row r="2367" spans="1:97" hidden="1" outlineLevel="1">
      <c r="A2367" t="s">
        <v>1092</v>
      </c>
      <c r="B2367" t="s">
        <v>1020</v>
      </c>
      <c r="C2367" s="1">
        <f t="shared" ref="C2367:C2402" si="977">SUM(N2367:AU2367)</f>
        <v>19595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7</v>
      </c>
      <c r="G2367" s="132">
        <f t="shared" si="962"/>
        <v>11542</v>
      </c>
      <c r="H2367" s="137">
        <f t="shared" si="963"/>
        <v>0.58902781321765751</v>
      </c>
      <c r="I2367" s="2"/>
      <c r="J2367" s="2">
        <f t="shared" ref="J2367:J2402" si="978">IF($C2367=0,"-",N2367/$C2367)</f>
        <v>0.18627200816534831</v>
      </c>
      <c r="K2367" s="2">
        <f t="shared" ref="K2367:K2402" si="979">IF($C2367=0,"-",O2367/$C2367)</f>
        <v>0.7752998213830059</v>
      </c>
      <c r="L2367" s="2">
        <f t="shared" si="974"/>
        <v>9.1860168410308756E-4</v>
      </c>
      <c r="M2367" s="2">
        <f t="shared" ref="M2367:M2398" si="980">IF(C2367=0,"-",(1-J2367-K2367-L2367))</f>
        <v>3.7509568767542731E-2</v>
      </c>
      <c r="N2367" s="63">
        <v>3650</v>
      </c>
      <c r="O2367" s="63">
        <v>15192</v>
      </c>
      <c r="P2367" s="63">
        <f>IF(Copyright!B$11=1,IF(CD2367&gt;0,CD2367,""),"")</f>
        <v>18</v>
      </c>
      <c r="Q2367" s="63">
        <v>432</v>
      </c>
      <c r="R2367" s="63">
        <v>110</v>
      </c>
      <c r="S2367" s="63">
        <v>94</v>
      </c>
      <c r="T2367" s="63"/>
      <c r="U2367" s="63"/>
      <c r="V2367" s="63"/>
      <c r="W2367" s="63">
        <f>IF(Copyright!B$11=1,IF(CA2367&gt;0,CA2367-SUM(T2367:V2367)-SUM(X2367:AQ2367)-CD2367,0),0)</f>
        <v>99</v>
      </c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W2367" s="5">
        <f>IF(Q2367&gt;0,RANK(Q2367,(N2367:P2367,Q2367:AE2367)),0)</f>
        <v>3</v>
      </c>
      <c r="AX2367" s="5">
        <f>IF(R2367&gt;0,RANK(R2367,(N2367:P2367,Q2367:AE2367)),0)</f>
        <v>4</v>
      </c>
      <c r="AY2367" s="5">
        <f>IF(T2367&gt;0,RANK(T2367,(N2367:P2367,Q2367:AE2367)),0)</f>
        <v>0</v>
      </c>
      <c r="AZ2367" s="5">
        <f>IF(S2367&gt;0,RANK(S2367,(N2367:P2367,Q2367:AE2367)),0)</f>
        <v>6</v>
      </c>
      <c r="BA2367" s="2">
        <f t="shared" ref="BA2367:BA2402" si="981">IF($C2367=0,"-",Q2367/$C2367)</f>
        <v>2.20464404184741E-2</v>
      </c>
      <c r="BB2367" s="2">
        <f t="shared" ref="BB2367:BB2402" si="982">IF($C2367=0,"-",R2367/$C2367)</f>
        <v>5.6136769584077574E-3</v>
      </c>
      <c r="BC2367" s="2">
        <f t="shared" ref="BC2367:BC2402" si="983">IF($C2367=0,"-",T2367/$C2367)</f>
        <v>0</v>
      </c>
      <c r="BD2367" s="2">
        <f t="shared" ref="BD2367:BD2402" si="984">IF($C2367=0,"-",S2367/$C2367)</f>
        <v>4.7971421280939017E-3</v>
      </c>
      <c r="BF2367" t="s">
        <v>1092</v>
      </c>
      <c r="BG2367" t="s">
        <v>1020</v>
      </c>
      <c r="BH2367" s="63">
        <v>5</v>
      </c>
      <c r="BJ2367" s="114">
        <v>42</v>
      </c>
      <c r="BK2367" s="116">
        <v>65</v>
      </c>
      <c r="BL2367" s="120">
        <f t="shared" si="976"/>
        <v>42065</v>
      </c>
      <c r="BN2367" s="5" t="s">
        <v>3154</v>
      </c>
      <c r="BY2367" s="63">
        <f t="shared" si="975"/>
        <v>0</v>
      </c>
      <c r="BZ2367" s="132">
        <v>19595</v>
      </c>
      <c r="CA2367" s="63">
        <v>117</v>
      </c>
      <c r="CB2367" s="132"/>
      <c r="CD2367" s="63">
        <v>18</v>
      </c>
    </row>
    <row r="2368" spans="1:97" hidden="1" outlineLevel="1">
      <c r="A2368" t="s">
        <v>1565</v>
      </c>
      <c r="B2368" t="s">
        <v>1020</v>
      </c>
      <c r="C2368" s="1">
        <f t="shared" si="977"/>
        <v>10545</v>
      </c>
      <c r="D2368" s="5">
        <f>IF(N2368&gt;0, RANK(N2368,(N2368:P2368,Q2368:AE2368)),0)</f>
        <v>2</v>
      </c>
      <c r="E2368" s="5">
        <f>IF(O2368&gt;0,RANK(O2368,(N2368:P2368,Q2368:AE2368)),0)</f>
        <v>1</v>
      </c>
      <c r="F2368" s="5">
        <f>IF(P2368&gt;0,RANK(P2368,(N2368:P2368,Q2368:AE2368)),0)</f>
        <v>7</v>
      </c>
      <c r="G2368" s="132">
        <f t="shared" si="962"/>
        <v>6452</v>
      </c>
      <c r="H2368" s="137">
        <f t="shared" si="963"/>
        <v>0.61185395922238028</v>
      </c>
      <c r="I2368" s="2"/>
      <c r="J2368" s="2">
        <f t="shared" si="978"/>
        <v>0.17268847795163583</v>
      </c>
      <c r="K2368" s="2">
        <f t="shared" si="979"/>
        <v>0.78454243717401617</v>
      </c>
      <c r="L2368" s="2">
        <f t="shared" si="974"/>
        <v>2.0862968231389286E-3</v>
      </c>
      <c r="M2368" s="2">
        <f t="shared" si="980"/>
        <v>4.0682788051209125E-2</v>
      </c>
      <c r="N2368" s="63">
        <v>1821</v>
      </c>
      <c r="O2368" s="63">
        <v>8273</v>
      </c>
      <c r="P2368" s="63">
        <f>IF(Copyright!B$11=1,IF(CD2368&gt;0,CD2368,""),"")</f>
        <v>22</v>
      </c>
      <c r="Q2368" s="63">
        <v>201</v>
      </c>
      <c r="R2368" s="63">
        <v>71</v>
      </c>
      <c r="S2368" s="63">
        <v>88</v>
      </c>
      <c r="T2368" s="63"/>
      <c r="U2368" s="63"/>
      <c r="V2368" s="63"/>
      <c r="W2368" s="63">
        <f>IF(Copyright!B$11=1,IF(CA2368&gt;0,CA2368-SUM(T2368:V2368)-SUM(X2368:AQ2368)-CD2368,0),0)</f>
        <v>69</v>
      </c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W2368" s="5">
        <f>IF(Q2368&gt;0,RANK(Q2368,(N2368:P2368,Q2368:AE2368)),0)</f>
        <v>3</v>
      </c>
      <c r="AX2368" s="5">
        <f>IF(R2368&gt;0,RANK(R2368,(N2368:P2368,Q2368:AE2368)),0)</f>
        <v>5</v>
      </c>
      <c r="AY2368" s="5">
        <f>IF(T2368&gt;0,RANK(T2368,(N2368:P2368,Q2368:AE2368)),0)</f>
        <v>0</v>
      </c>
      <c r="AZ2368" s="5">
        <f>IF(S2368&gt;0,RANK(S2368,(N2368:P2368,Q2368:AE2368)),0)</f>
        <v>4</v>
      </c>
      <c r="BA2368" s="2">
        <f t="shared" si="981"/>
        <v>1.9061166429587481E-2</v>
      </c>
      <c r="BB2368" s="2">
        <f t="shared" si="982"/>
        <v>6.7330488383119964E-3</v>
      </c>
      <c r="BC2368" s="2">
        <f t="shared" si="983"/>
        <v>0</v>
      </c>
      <c r="BD2368" s="2">
        <f t="shared" si="984"/>
        <v>8.3451872925557145E-3</v>
      </c>
      <c r="BF2368" t="s">
        <v>1565</v>
      </c>
      <c r="BG2368" t="s">
        <v>1020</v>
      </c>
      <c r="BH2368" s="63">
        <v>10</v>
      </c>
      <c r="BJ2368" s="114">
        <v>42</v>
      </c>
      <c r="BK2368" s="116">
        <v>67</v>
      </c>
      <c r="BL2368" s="120">
        <f t="shared" si="976"/>
        <v>42067</v>
      </c>
      <c r="BN2368" s="5" t="s">
        <v>3154</v>
      </c>
      <c r="BO2368" s="133">
        <v>59</v>
      </c>
      <c r="BP2368" s="133">
        <v>18</v>
      </c>
      <c r="BR2368" s="63"/>
      <c r="BY2368" s="63">
        <f t="shared" si="975"/>
        <v>0</v>
      </c>
      <c r="BZ2368" s="132">
        <f>1821+8273+88+71+201+91</f>
        <v>10545</v>
      </c>
      <c r="CA2368" s="132">
        <v>91</v>
      </c>
      <c r="CB2368" s="132"/>
      <c r="CD2368" s="63">
        <v>22</v>
      </c>
    </row>
    <row r="2369" spans="1:82" hidden="1" outlineLevel="1">
      <c r="A2369" t="s">
        <v>115</v>
      </c>
      <c r="B2369" t="s">
        <v>1020</v>
      </c>
      <c r="C2369" s="1">
        <f t="shared" si="977"/>
        <v>104404</v>
      </c>
      <c r="D2369" s="5">
        <f>IF(N2369&gt;0, RANK(N2369,(N2369:P2369,Q2369:AE2369)),0)</f>
        <v>1</v>
      </c>
      <c r="E2369" s="5">
        <f>IF(O2369&gt;0,RANK(O2369,(N2369:P2369,Q2369:AE2369)),0)</f>
        <v>2</v>
      </c>
      <c r="F2369" s="5" t="e">
        <f>IF(P2369&gt;0,RANK(P2369,(N2369:P2369,Q2369:AE2369)),0)</f>
        <v>#VALUE!</v>
      </c>
      <c r="G2369" s="132">
        <f t="shared" si="962"/>
        <v>3599</v>
      </c>
      <c r="H2369" s="137">
        <f t="shared" si="963"/>
        <v>3.4471859315735029E-2</v>
      </c>
      <c r="I2369" s="2"/>
      <c r="J2369" s="2">
        <f t="shared" si="978"/>
        <v>0.49790237921918701</v>
      </c>
      <c r="K2369" s="2">
        <f t="shared" si="979"/>
        <v>0.46343051990345197</v>
      </c>
      <c r="L2369" s="2">
        <f t="shared" si="974"/>
        <v>0</v>
      </c>
      <c r="M2369" s="2">
        <f t="shared" si="980"/>
        <v>3.8667100877361027E-2</v>
      </c>
      <c r="N2369" s="63">
        <v>51983</v>
      </c>
      <c r="O2369" s="63">
        <v>48384</v>
      </c>
      <c r="P2369" s="63" t="str">
        <f>IF(Copyright!B$11=1,IF(CD2369&gt;0,CD2369,""),"")</f>
        <v/>
      </c>
      <c r="Q2369" s="63">
        <v>1935</v>
      </c>
      <c r="R2369" s="63">
        <v>896</v>
      </c>
      <c r="S2369" s="63">
        <v>258</v>
      </c>
      <c r="T2369" s="63"/>
      <c r="U2369" s="63"/>
      <c r="V2369" s="63"/>
      <c r="W2369" s="63">
        <f>IF(Copyright!B$11=1,IF(CA2369&gt;0,CA2369-SUM(T2369:V2369)-SUM(X2369:AQ2369)-CD2369,0),0)</f>
        <v>948</v>
      </c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W2369" s="5">
        <f>IF(Q2369&gt;0,RANK(Q2369,(N2369:P2369,Q2369:AE2369)),0)</f>
        <v>3</v>
      </c>
      <c r="AX2369" s="5">
        <f>IF(R2369&gt;0,RANK(R2369,(N2369:P2369,Q2369:AE2369)),0)</f>
        <v>5</v>
      </c>
      <c r="AY2369" s="5">
        <f>IF(T2369&gt;0,RANK(T2369,(N2369:P2369,Q2369:AE2369)),0)</f>
        <v>0</v>
      </c>
      <c r="AZ2369" s="5">
        <f>IF(S2369&gt;0,RANK(S2369,(N2369:P2369,Q2369:AE2369)),0)</f>
        <v>6</v>
      </c>
      <c r="BA2369" s="2">
        <f t="shared" si="981"/>
        <v>1.8533772652388796E-2</v>
      </c>
      <c r="BB2369" s="2">
        <f t="shared" si="982"/>
        <v>8.58204666487874E-3</v>
      </c>
      <c r="BC2369" s="2">
        <f t="shared" si="983"/>
        <v>0</v>
      </c>
      <c r="BD2369" s="2">
        <f t="shared" si="984"/>
        <v>2.4711696869851728E-3</v>
      </c>
      <c r="BF2369" t="s">
        <v>115</v>
      </c>
      <c r="BG2369" t="s">
        <v>1020</v>
      </c>
      <c r="BH2369" s="63"/>
      <c r="BJ2369" s="114">
        <v>42</v>
      </c>
      <c r="BK2369" s="116">
        <v>69</v>
      </c>
      <c r="BL2369" s="120">
        <f t="shared" si="976"/>
        <v>42069</v>
      </c>
      <c r="BN2369" s="5" t="s">
        <v>3154</v>
      </c>
      <c r="BO2369" s="63">
        <v>543</v>
      </c>
      <c r="BP2369" s="63">
        <v>42</v>
      </c>
      <c r="BR2369" s="63"/>
      <c r="BY2369" s="63">
        <f t="shared" si="975"/>
        <v>0</v>
      </c>
      <c r="BZ2369" s="63">
        <v>104404</v>
      </c>
      <c r="CA2369" s="63">
        <v>948</v>
      </c>
      <c r="CB2369" s="132"/>
    </row>
    <row r="2370" spans="1:82" hidden="1" outlineLevel="1">
      <c r="A2370" t="s">
        <v>1061</v>
      </c>
      <c r="B2370" t="s">
        <v>1020</v>
      </c>
      <c r="C2370" s="1">
        <f t="shared" si="977"/>
        <v>244832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7</v>
      </c>
      <c r="G2370" s="132">
        <f t="shared" si="962"/>
        <v>46821</v>
      </c>
      <c r="H2370" s="137">
        <f t="shared" si="963"/>
        <v>0.19123725656776891</v>
      </c>
      <c r="I2370" s="2"/>
      <c r="J2370" s="2">
        <f t="shared" si="978"/>
        <v>0.37206329238008101</v>
      </c>
      <c r="K2370" s="2">
        <f t="shared" si="979"/>
        <v>0.56330054894784998</v>
      </c>
      <c r="L2370" s="2">
        <f t="shared" si="974"/>
        <v>5.5711671676904979E-3</v>
      </c>
      <c r="M2370" s="2">
        <f t="shared" si="980"/>
        <v>5.906499150437846E-2</v>
      </c>
      <c r="N2370" s="63">
        <v>91093</v>
      </c>
      <c r="O2370" s="63">
        <v>137914</v>
      </c>
      <c r="P2370" s="63">
        <f>IF(Copyright!B$11=1,IF(CD2370&gt;0,CD2370,""),"")</f>
        <v>1364</v>
      </c>
      <c r="Q2370" s="63">
        <v>8555</v>
      </c>
      <c r="R2370" s="63">
        <v>2021</v>
      </c>
      <c r="S2370" s="63">
        <v>1529</v>
      </c>
      <c r="T2370" s="63"/>
      <c r="U2370" s="63"/>
      <c r="V2370" s="63"/>
      <c r="W2370" s="63">
        <f>IF(Copyright!B$11=1,IF(CA2370&gt;0,CA2370-SUM(T2370:V2370)-SUM(X2370:AQ2370)-CD2370,0),0)</f>
        <v>2356</v>
      </c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W2370" s="5">
        <f>IF(Q2370&gt;0,RANK(Q2370,(N2370:P2370,Q2370:AE2370)),0)</f>
        <v>3</v>
      </c>
      <c r="AX2370" s="5">
        <f>IF(R2370&gt;0,RANK(R2370,(N2370:P2370,Q2370:AE2370)),0)</f>
        <v>5</v>
      </c>
      <c r="AY2370" s="5">
        <f>IF(T2370&gt;0,RANK(T2370,(N2370:P2370,Q2370:AE2370)),0)</f>
        <v>0</v>
      </c>
      <c r="AZ2370" s="5">
        <f>IF(S2370&gt;0,RANK(S2370,(N2370:P2370,Q2370:AE2370)),0)</f>
        <v>6</v>
      </c>
      <c r="BA2370" s="2">
        <f t="shared" si="981"/>
        <v>3.4942327800287547E-2</v>
      </c>
      <c r="BB2370" s="2">
        <f t="shared" si="982"/>
        <v>8.2546399163508036E-3</v>
      </c>
      <c r="BC2370" s="2">
        <f t="shared" si="983"/>
        <v>0</v>
      </c>
      <c r="BD2370" s="2">
        <f t="shared" si="984"/>
        <v>6.2450986799111223E-3</v>
      </c>
      <c r="BF2370" t="s">
        <v>1061</v>
      </c>
      <c r="BG2370" t="s">
        <v>1020</v>
      </c>
      <c r="BH2370" s="63"/>
      <c r="BJ2370" s="114">
        <v>42</v>
      </c>
      <c r="BK2370" s="116">
        <v>71</v>
      </c>
      <c r="BL2370" s="120">
        <f t="shared" si="976"/>
        <v>42071</v>
      </c>
      <c r="BN2370" s="5" t="s">
        <v>3154</v>
      </c>
      <c r="BY2370" s="63">
        <f t="shared" si="975"/>
        <v>0</v>
      </c>
      <c r="BZ2370" s="63">
        <v>244832</v>
      </c>
      <c r="CA2370" s="63">
        <v>3720</v>
      </c>
      <c r="CB2370" s="132"/>
      <c r="CD2370" s="63">
        <v>1364</v>
      </c>
    </row>
    <row r="2371" spans="1:82" hidden="1" outlineLevel="1">
      <c r="A2371" t="s">
        <v>548</v>
      </c>
      <c r="B2371" t="s">
        <v>1020</v>
      </c>
      <c r="C2371" s="1">
        <f t="shared" si="977"/>
        <v>41076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 t="e">
        <f>IF(P2371&gt;0,RANK(P2371,(N2371:P2371,Q2371:AE2371)),0)</f>
        <v>#VALUE!</v>
      </c>
      <c r="G2371" s="132">
        <f t="shared" si="962"/>
        <v>11419</v>
      </c>
      <c r="H2371" s="137">
        <f t="shared" si="963"/>
        <v>0.27799688382510468</v>
      </c>
      <c r="I2371" s="2"/>
      <c r="J2371" s="2">
        <f t="shared" si="978"/>
        <v>0.34105073522251439</v>
      </c>
      <c r="K2371" s="2">
        <f t="shared" si="979"/>
        <v>0.61904761904761907</v>
      </c>
      <c r="L2371" s="2">
        <f t="shared" si="974"/>
        <v>0</v>
      </c>
      <c r="M2371" s="2">
        <f t="shared" si="980"/>
        <v>3.9901645729866542E-2</v>
      </c>
      <c r="N2371" s="63">
        <v>14009</v>
      </c>
      <c r="O2371" s="63">
        <v>25428</v>
      </c>
      <c r="P2371" s="63" t="str">
        <f>IF(Copyright!B$11=1,IF(CD2371&gt;0,CD2371,""),"")</f>
        <v/>
      </c>
      <c r="Q2371" s="63">
        <v>870</v>
      </c>
      <c r="R2371" s="63">
        <v>248</v>
      </c>
      <c r="S2371" s="63">
        <v>198</v>
      </c>
      <c r="T2371" s="63"/>
      <c r="U2371" s="63"/>
      <c r="V2371" s="63"/>
      <c r="W2371" s="63">
        <f>IF(Copyright!B$11=1,IF(CA2371&gt;0,CA2371-SUM(T2371:V2371)-SUM(X2371:AQ2371)-CD2371,0),0)</f>
        <v>323</v>
      </c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W2371" s="5">
        <f>IF(Q2371&gt;0,RANK(Q2371,(N2371:P2371,Q2371:AE2371)),0)</f>
        <v>3</v>
      </c>
      <c r="AX2371" s="5">
        <f>IF(R2371&gt;0,RANK(R2371,(N2371:P2371,Q2371:AE2371)),0)</f>
        <v>5</v>
      </c>
      <c r="AY2371" s="5">
        <f>IF(T2371&gt;0,RANK(T2371,(N2371:P2371,Q2371:AE2371)),0)</f>
        <v>0</v>
      </c>
      <c r="AZ2371" s="5">
        <f>IF(S2371&gt;0,RANK(S2371,(N2371:P2371,Q2371:AE2371)),0)</f>
        <v>6</v>
      </c>
      <c r="BA2371" s="2">
        <f t="shared" si="981"/>
        <v>2.1180251241600934E-2</v>
      </c>
      <c r="BB2371" s="2">
        <f t="shared" si="982"/>
        <v>6.0375888596747489E-3</v>
      </c>
      <c r="BC2371" s="2">
        <f t="shared" si="983"/>
        <v>0</v>
      </c>
      <c r="BD2371" s="2">
        <f t="shared" si="984"/>
        <v>4.8203330411919366E-3</v>
      </c>
      <c r="BF2371" t="s">
        <v>548</v>
      </c>
      <c r="BG2371" t="s">
        <v>1020</v>
      </c>
      <c r="BH2371" s="63"/>
      <c r="BJ2371" s="114">
        <v>42</v>
      </c>
      <c r="BK2371" s="116">
        <v>73</v>
      </c>
      <c r="BL2371" s="120">
        <f t="shared" si="976"/>
        <v>42073</v>
      </c>
      <c r="BN2371" s="5" t="s">
        <v>3154</v>
      </c>
      <c r="BY2371" s="63">
        <f t="shared" si="975"/>
        <v>0</v>
      </c>
      <c r="BZ2371" s="63">
        <f>14009+25428+198+248+870+323</f>
        <v>41076</v>
      </c>
      <c r="CA2371" s="63">
        <v>323</v>
      </c>
      <c r="CB2371" s="132"/>
    </row>
    <row r="2372" spans="1:82" hidden="1" outlineLevel="1">
      <c r="A2372" t="s">
        <v>188</v>
      </c>
      <c r="B2372" t="s">
        <v>1020</v>
      </c>
      <c r="C2372" s="1">
        <f t="shared" si="977"/>
        <v>62503</v>
      </c>
      <c r="D2372" s="5">
        <f>IF(N2372&gt;0, RANK(N2372,(N2372:P2372,Q2372:AE2372)),0)</f>
        <v>2</v>
      </c>
      <c r="E2372" s="5">
        <f>IF(O2372&gt;0,RANK(O2372,(N2372:P2372,Q2372:AE2372)),0)</f>
        <v>1</v>
      </c>
      <c r="F2372" s="5" t="e">
        <f>IF(P2372&gt;0,RANK(P2372,(N2372:P2372,Q2372:AE2372)),0)</f>
        <v>#VALUE!</v>
      </c>
      <c r="G2372" s="132">
        <f t="shared" si="962"/>
        <v>21572</v>
      </c>
      <c r="H2372" s="137">
        <f t="shared" si="963"/>
        <v>0.34513543349919201</v>
      </c>
      <c r="I2372" s="2"/>
      <c r="J2372" s="2">
        <f t="shared" si="978"/>
        <v>0.30323344479464986</v>
      </c>
      <c r="K2372" s="2">
        <f t="shared" si="979"/>
        <v>0.64836887829384193</v>
      </c>
      <c r="L2372" s="2">
        <f t="shared" si="974"/>
        <v>0</v>
      </c>
      <c r="M2372" s="2">
        <f t="shared" si="980"/>
        <v>4.8397676911508203E-2</v>
      </c>
      <c r="N2372" s="63">
        <v>18953</v>
      </c>
      <c r="O2372" s="63">
        <v>40525</v>
      </c>
      <c r="P2372" s="63" t="str">
        <f>IF(Copyright!B$11=1,IF(CD2372&gt;0,CD2372,""),"")</f>
        <v/>
      </c>
      <c r="Q2372" s="63">
        <v>1647</v>
      </c>
      <c r="R2372" s="63">
        <v>422</v>
      </c>
      <c r="S2372" s="63">
        <v>298</v>
      </c>
      <c r="T2372" s="63"/>
      <c r="U2372" s="63"/>
      <c r="V2372" s="63"/>
      <c r="W2372" s="63">
        <f>IF(Copyright!B$11=1,IF(CA2372&gt;0,CA2372-SUM(T2372:V2372)-SUM(X2372:AQ2372)-CD2372,0),0)</f>
        <v>658</v>
      </c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W2372" s="5">
        <f>IF(Q2372&gt;0,RANK(Q2372,(N2372:P2372,Q2372:AE2372)),0)</f>
        <v>3</v>
      </c>
      <c r="AX2372" s="5">
        <f>IF(R2372&gt;0,RANK(R2372,(N2372:P2372,Q2372:AE2372)),0)</f>
        <v>5</v>
      </c>
      <c r="AY2372" s="5">
        <f>IF(T2372&gt;0,RANK(T2372,(N2372:P2372,Q2372:AE2372)),0)</f>
        <v>0</v>
      </c>
      <c r="AZ2372" s="5">
        <f>IF(S2372&gt;0,RANK(S2372,(N2372:P2372,Q2372:AE2372)),0)</f>
        <v>6</v>
      </c>
      <c r="BA2372" s="2">
        <f t="shared" si="981"/>
        <v>2.6350735164712095E-2</v>
      </c>
      <c r="BB2372" s="2">
        <f t="shared" si="982"/>
        <v>6.7516759195558615E-3</v>
      </c>
      <c r="BC2372" s="2">
        <f t="shared" si="983"/>
        <v>0</v>
      </c>
      <c r="BD2372" s="2">
        <f t="shared" si="984"/>
        <v>4.7677711469849447E-3</v>
      </c>
      <c r="BF2372" t="s">
        <v>188</v>
      </c>
      <c r="BG2372" t="s">
        <v>1020</v>
      </c>
      <c r="BH2372" s="63"/>
      <c r="BJ2372" s="114">
        <v>42</v>
      </c>
      <c r="BK2372" s="116">
        <v>75</v>
      </c>
      <c r="BL2372" s="120">
        <f t="shared" si="976"/>
        <v>42075</v>
      </c>
      <c r="BN2372" s="5" t="s">
        <v>3154</v>
      </c>
      <c r="BY2372" s="63">
        <f t="shared" si="975"/>
        <v>0</v>
      </c>
      <c r="BZ2372" s="63">
        <f>18953+40525+298+422+1647+658</f>
        <v>62503</v>
      </c>
      <c r="CA2372" s="63">
        <v>658</v>
      </c>
      <c r="CB2372" s="132"/>
    </row>
    <row r="2373" spans="1:82" hidden="1" outlineLevel="1">
      <c r="A2373" t="s">
        <v>805</v>
      </c>
      <c r="B2373" t="s">
        <v>1020</v>
      </c>
      <c r="C2373" s="1">
        <f t="shared" si="977"/>
        <v>162733</v>
      </c>
      <c r="D2373" s="5">
        <f>IF(N2373&gt;0, RANK(N2373,(N2373:P2373,Q2373:AE2373)),0)</f>
        <v>1</v>
      </c>
      <c r="E2373" s="5">
        <f>IF(O2373&gt;0,RANK(O2373,(N2373:P2373,Q2373:AE2373)),0)</f>
        <v>2</v>
      </c>
      <c r="F2373" s="5">
        <f>IF(P2373&gt;0,RANK(P2373,(N2373:P2373,Q2373:AE2373)),0)</f>
        <v>7</v>
      </c>
      <c r="G2373" s="132">
        <f t="shared" si="962"/>
        <v>7634</v>
      </c>
      <c r="H2373" s="137">
        <f t="shared" si="963"/>
        <v>4.691119809749713E-2</v>
      </c>
      <c r="I2373" s="2"/>
      <c r="J2373" s="2">
        <f t="shared" si="978"/>
        <v>0.49973883600744778</v>
      </c>
      <c r="K2373" s="2">
        <f t="shared" si="979"/>
        <v>0.45282763790995068</v>
      </c>
      <c r="L2373" s="2">
        <f t="shared" si="974"/>
        <v>2.0094264838723553E-3</v>
      </c>
      <c r="M2373" s="2">
        <f t="shared" si="980"/>
        <v>4.5424099598729242E-2</v>
      </c>
      <c r="N2373" s="63">
        <v>81324</v>
      </c>
      <c r="O2373" s="63">
        <v>73690</v>
      </c>
      <c r="P2373" s="63">
        <f>IF(Copyright!B$11=1,IF(CD2373&gt;0,CD2373,""),"")</f>
        <v>327</v>
      </c>
      <c r="Q2373" s="63">
        <v>4027</v>
      </c>
      <c r="R2373" s="63">
        <v>1402</v>
      </c>
      <c r="S2373" s="63">
        <v>550</v>
      </c>
      <c r="T2373" s="63"/>
      <c r="U2373" s="63"/>
      <c r="V2373" s="63"/>
      <c r="W2373" s="63">
        <f>IF(Copyright!B$11=1,IF(CA2373&gt;0,CA2373-SUM(T2373:V2373)-SUM(X2373:AQ2373)-CD2373,0),0)</f>
        <v>1413</v>
      </c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W2373" s="5">
        <f>IF(Q2373&gt;0,RANK(Q2373,(N2373:P2373,Q2373:AE2373)),0)</f>
        <v>3</v>
      </c>
      <c r="AX2373" s="5">
        <f>IF(R2373&gt;0,RANK(R2373,(N2373:P2373,Q2373:AE2373)),0)</f>
        <v>5</v>
      </c>
      <c r="AY2373" s="5">
        <f>IF(T2373&gt;0,RANK(T2373,(N2373:P2373,Q2373:AE2373)),0)</f>
        <v>0</v>
      </c>
      <c r="AZ2373" s="5">
        <f>IF(S2373&gt;0,RANK(S2373,(N2373:P2373,Q2373:AE2373)),0)</f>
        <v>6</v>
      </c>
      <c r="BA2373" s="2">
        <f t="shared" si="981"/>
        <v>2.474605642371246E-2</v>
      </c>
      <c r="BB2373" s="2">
        <f t="shared" si="982"/>
        <v>8.6153392366637369E-3</v>
      </c>
      <c r="BC2373" s="2">
        <f t="shared" si="983"/>
        <v>0</v>
      </c>
      <c r="BD2373" s="2">
        <f t="shared" si="984"/>
        <v>3.3797693153816374E-3</v>
      </c>
      <c r="BF2373" t="s">
        <v>805</v>
      </c>
      <c r="BG2373" t="s">
        <v>1020</v>
      </c>
      <c r="BH2373" s="63">
        <v>15</v>
      </c>
      <c r="BJ2373" s="114">
        <v>42</v>
      </c>
      <c r="BK2373" s="116">
        <v>77</v>
      </c>
      <c r="BL2373" s="120">
        <f t="shared" si="976"/>
        <v>42077</v>
      </c>
      <c r="BN2373" s="5" t="s">
        <v>3154</v>
      </c>
      <c r="BY2373" s="63">
        <f t="shared" si="975"/>
        <v>0</v>
      </c>
      <c r="BZ2373" s="63">
        <v>162733</v>
      </c>
      <c r="CA2373" s="63">
        <f>418+25+63+32+89+33+21+188+12+21+327+486+25</f>
        <v>1740</v>
      </c>
      <c r="CB2373" s="132"/>
      <c r="CC2373" s="63">
        <v>486</v>
      </c>
      <c r="CD2373" s="63">
        <v>327</v>
      </c>
    </row>
    <row r="2374" spans="1:82" hidden="1" outlineLevel="1">
      <c r="A2374" t="s">
        <v>1641</v>
      </c>
      <c r="B2374" t="s">
        <v>1020</v>
      </c>
      <c r="C2374" s="1">
        <f t="shared" si="977"/>
        <v>135901</v>
      </c>
      <c r="D2374" s="5">
        <f>IF(N2374&gt;0, RANK(N2374,(N2374:P2374,Q2374:AE2374)),0)</f>
        <v>2</v>
      </c>
      <c r="E2374" s="5">
        <f>IF(O2374&gt;0,RANK(O2374,(N2374:P2374,Q2374:AE2374)),0)</f>
        <v>1</v>
      </c>
      <c r="F2374" s="5" t="e">
        <f>IF(P2374&gt;0,RANK(P2374,(N2374:P2374,Q2374:AE2374)),0)</f>
        <v>#VALUE!</v>
      </c>
      <c r="G2374" s="132">
        <f t="shared" si="962"/>
        <v>26237</v>
      </c>
      <c r="H2374" s="137">
        <f t="shared" si="963"/>
        <v>0.19305965371851569</v>
      </c>
      <c r="I2374" s="2"/>
      <c r="J2374" s="2">
        <f t="shared" si="978"/>
        <v>0.38595006659259312</v>
      </c>
      <c r="K2374" s="2">
        <f t="shared" si="979"/>
        <v>0.57900972031110887</v>
      </c>
      <c r="L2374" s="2">
        <f t="shared" si="974"/>
        <v>0</v>
      </c>
      <c r="M2374" s="2">
        <f t="shared" si="980"/>
        <v>3.5040213096298012E-2</v>
      </c>
      <c r="N2374" s="63">
        <v>52451</v>
      </c>
      <c r="O2374" s="63">
        <v>78688</v>
      </c>
      <c r="P2374" s="63" t="str">
        <f>IF(Copyright!B$11=1,IF(CD2374&gt;0,CD2374,""),"")</f>
        <v/>
      </c>
      <c r="Q2374" s="63">
        <v>2339</v>
      </c>
      <c r="R2374" s="63">
        <v>1178</v>
      </c>
      <c r="S2374" s="63">
        <v>327</v>
      </c>
      <c r="T2374" s="63"/>
      <c r="U2374" s="63"/>
      <c r="V2374" s="63"/>
      <c r="W2374" s="63">
        <f>IF(Copyright!B$11=1,IF(CA2374&gt;0,CA2374-SUM(T2374:V2374)-SUM(X2374:AQ2374)-CD2374,0),0)</f>
        <v>918</v>
      </c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W2374" s="5">
        <f>IF(Q2374&gt;0,RANK(Q2374,(N2374:P2374,Q2374:AE2374)),0)</f>
        <v>3</v>
      </c>
      <c r="AX2374" s="5">
        <f>IF(R2374&gt;0,RANK(R2374,(N2374:P2374,Q2374:AE2374)),0)</f>
        <v>4</v>
      </c>
      <c r="AY2374" s="5">
        <f>IF(T2374&gt;0,RANK(T2374,(N2374:P2374,Q2374:AE2374)),0)</f>
        <v>0</v>
      </c>
      <c r="AZ2374" s="5">
        <f>IF(S2374&gt;0,RANK(S2374,(N2374:P2374,Q2374:AE2374)),0)</f>
        <v>6</v>
      </c>
      <c r="BA2374" s="2">
        <f t="shared" si="981"/>
        <v>1.7211058049609641E-2</v>
      </c>
      <c r="BB2374" s="2">
        <f t="shared" si="982"/>
        <v>8.6680745542711234E-3</v>
      </c>
      <c r="BC2374" s="2">
        <f t="shared" si="983"/>
        <v>0</v>
      </c>
      <c r="BD2374" s="2">
        <f t="shared" si="984"/>
        <v>2.4061633100565852E-3</v>
      </c>
      <c r="BF2374" t="s">
        <v>1641</v>
      </c>
      <c r="BG2374" t="s">
        <v>1020</v>
      </c>
      <c r="BH2374" s="63"/>
      <c r="BJ2374" s="114">
        <v>42</v>
      </c>
      <c r="BK2374" s="116">
        <v>79</v>
      </c>
      <c r="BL2374" s="120">
        <f t="shared" si="976"/>
        <v>42079</v>
      </c>
      <c r="BN2374" s="5" t="s">
        <v>3154</v>
      </c>
      <c r="BR2374" s="63"/>
      <c r="BY2374" s="63">
        <f t="shared" si="975"/>
        <v>0</v>
      </c>
      <c r="BZ2374" s="63">
        <v>135901</v>
      </c>
      <c r="CA2374" s="63">
        <v>918</v>
      </c>
      <c r="CB2374" s="132"/>
    </row>
    <row r="2375" spans="1:82" hidden="1" outlineLevel="1">
      <c r="A2375" t="s">
        <v>1870</v>
      </c>
      <c r="B2375" t="s">
        <v>1020</v>
      </c>
      <c r="C2375" s="1">
        <f t="shared" si="977"/>
        <v>51131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 t="e">
        <f>IF(P2375&gt;0,RANK(P2375,(N2375:P2375,Q2375:AE2375)),0)</f>
        <v>#VALUE!</v>
      </c>
      <c r="G2375" s="132">
        <f t="shared" si="962"/>
        <v>22607</v>
      </c>
      <c r="H2375" s="137">
        <f t="shared" si="963"/>
        <v>0.44213881989399778</v>
      </c>
      <c r="I2375" s="2"/>
      <c r="J2375" s="2">
        <f t="shared" si="978"/>
        <v>0.25464004224443099</v>
      </c>
      <c r="K2375" s="2">
        <f t="shared" si="979"/>
        <v>0.69677886213842877</v>
      </c>
      <c r="L2375" s="2">
        <f t="shared" si="974"/>
        <v>0</v>
      </c>
      <c r="M2375" s="2">
        <f t="shared" si="980"/>
        <v>4.8581095617140191E-2</v>
      </c>
      <c r="N2375" s="63">
        <v>13020</v>
      </c>
      <c r="O2375" s="63">
        <v>35627</v>
      </c>
      <c r="P2375" s="63" t="str">
        <f>IF(Copyright!B$11=1,IF(CD2375&gt;0,CD2375,""),"")</f>
        <v/>
      </c>
      <c r="Q2375" s="63">
        <v>1311</v>
      </c>
      <c r="R2375" s="63">
        <v>384</v>
      </c>
      <c r="S2375" s="63">
        <v>223</v>
      </c>
      <c r="T2375" s="63"/>
      <c r="U2375" s="63"/>
      <c r="V2375" s="63"/>
      <c r="W2375" s="63">
        <f>IF(Copyright!B$11=1,IF(CA2375&gt;0,CA2375-SUM(T2375:V2375)-SUM(X2375:AQ2375)-CD2375,0),0)</f>
        <v>566</v>
      </c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W2375" s="5">
        <f>IF(Q2375&gt;0,RANK(Q2375,(N2375:P2375,Q2375:AE2375)),0)</f>
        <v>3</v>
      </c>
      <c r="AX2375" s="5">
        <f>IF(R2375&gt;0,RANK(R2375,(N2375:P2375,Q2375:AE2375)),0)</f>
        <v>5</v>
      </c>
      <c r="AY2375" s="5">
        <f>IF(T2375&gt;0,RANK(T2375,(N2375:P2375,Q2375:AE2375)),0)</f>
        <v>0</v>
      </c>
      <c r="AZ2375" s="5">
        <f>IF(S2375&gt;0,RANK(S2375,(N2375:P2375,Q2375:AE2375)),0)</f>
        <v>6</v>
      </c>
      <c r="BA2375" s="2">
        <f t="shared" si="981"/>
        <v>2.5640022686824041E-2</v>
      </c>
      <c r="BB2375" s="2">
        <f t="shared" si="982"/>
        <v>7.5101210615869047E-3</v>
      </c>
      <c r="BC2375" s="2">
        <f t="shared" si="983"/>
        <v>0</v>
      </c>
      <c r="BD2375" s="2">
        <f t="shared" si="984"/>
        <v>4.361346345661145E-3</v>
      </c>
      <c r="BF2375" t="s">
        <v>1870</v>
      </c>
      <c r="BG2375" t="s">
        <v>1020</v>
      </c>
      <c r="BH2375" s="63">
        <v>10</v>
      </c>
      <c r="BJ2375" s="114">
        <v>42</v>
      </c>
      <c r="BK2375" s="116">
        <v>81</v>
      </c>
      <c r="BL2375" s="120">
        <f t="shared" si="976"/>
        <v>42081</v>
      </c>
      <c r="BN2375" s="5" t="s">
        <v>3154</v>
      </c>
      <c r="BY2375" s="63">
        <f t="shared" si="975"/>
        <v>0</v>
      </c>
      <c r="BZ2375" s="63">
        <v>51131</v>
      </c>
      <c r="CA2375" s="63">
        <v>566</v>
      </c>
      <c r="CB2375" s="132"/>
    </row>
    <row r="2376" spans="1:82" hidden="1" outlineLevel="1">
      <c r="A2376" t="s">
        <v>640</v>
      </c>
      <c r="B2376" t="s">
        <v>1020</v>
      </c>
      <c r="C2376" s="1">
        <f t="shared" si="977"/>
        <v>16464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 t="e">
        <f>IF(P2376&gt;0,RANK(P2376,(N2376:P2376,Q2376:AE2376)),0)</f>
        <v>#VALUE!</v>
      </c>
      <c r="G2376" s="132">
        <f t="shared" ref="G2376:G2440" si="985">IF(C2376&gt;0,MAX(N2376:P2376)-LARGE(N2376:P2376,2),0)</f>
        <v>7610</v>
      </c>
      <c r="H2376" s="137">
        <f t="shared" ref="H2376:H2440" si="986">IF(C2376&gt;0,G2376/C2376,0)</f>
        <v>0.46222060252672498</v>
      </c>
      <c r="I2376" s="2"/>
      <c r="J2376" s="2">
        <f t="shared" si="978"/>
        <v>0.24447278911564627</v>
      </c>
      <c r="K2376" s="2">
        <f t="shared" si="979"/>
        <v>0.70669339164237122</v>
      </c>
      <c r="L2376" s="2">
        <f t="shared" si="974"/>
        <v>0</v>
      </c>
      <c r="M2376" s="2">
        <f t="shared" si="980"/>
        <v>4.883381924198249E-2</v>
      </c>
      <c r="N2376" s="63">
        <v>4025</v>
      </c>
      <c r="O2376" s="63">
        <v>11635</v>
      </c>
      <c r="P2376" s="63" t="str">
        <f>IF(Copyright!B$11=1,IF(CD2376&gt;0,CD2376,""),"")</f>
        <v/>
      </c>
      <c r="Q2376" s="63">
        <v>408</v>
      </c>
      <c r="R2376" s="63">
        <v>151</v>
      </c>
      <c r="S2376" s="63">
        <v>77</v>
      </c>
      <c r="T2376" s="63"/>
      <c r="U2376" s="63"/>
      <c r="V2376" s="63"/>
      <c r="W2376" s="63">
        <f>IF(Copyright!B$11=1,IF(CA2376&gt;0,CA2376-SUM(T2376:V2376)-SUM(X2376:AQ2376)-CD2376,0),0)</f>
        <v>168</v>
      </c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W2376" s="5">
        <f>IF(Q2376&gt;0,RANK(Q2376,(N2376:P2376,Q2376:AE2376)),0)</f>
        <v>3</v>
      </c>
      <c r="AX2376" s="5">
        <f>IF(R2376&gt;0,RANK(R2376,(N2376:P2376,Q2376:AE2376)),0)</f>
        <v>5</v>
      </c>
      <c r="AY2376" s="5">
        <f>IF(T2376&gt;0,RANK(T2376,(N2376:P2376,Q2376:AE2376)),0)</f>
        <v>0</v>
      </c>
      <c r="AZ2376" s="5">
        <f>IF(S2376&gt;0,RANK(S2376,(N2376:P2376,Q2376:AE2376)),0)</f>
        <v>6</v>
      </c>
      <c r="BA2376" s="2">
        <f t="shared" si="981"/>
        <v>2.478134110787172E-2</v>
      </c>
      <c r="BB2376" s="2">
        <f t="shared" si="982"/>
        <v>9.171525753158407E-3</v>
      </c>
      <c r="BC2376" s="2">
        <f t="shared" si="983"/>
        <v>0</v>
      </c>
      <c r="BD2376" s="2">
        <f t="shared" si="984"/>
        <v>4.6768707482993197E-3</v>
      </c>
      <c r="BF2376" t="s">
        <v>640</v>
      </c>
      <c r="BG2376" t="s">
        <v>1020</v>
      </c>
      <c r="BH2376" s="63">
        <v>5</v>
      </c>
      <c r="BJ2376" s="114">
        <v>42</v>
      </c>
      <c r="BK2376" s="116">
        <v>83</v>
      </c>
      <c r="BL2376" s="120">
        <f t="shared" si="976"/>
        <v>42083</v>
      </c>
      <c r="BN2376" s="5" t="s">
        <v>3154</v>
      </c>
      <c r="BY2376" s="63">
        <f t="shared" si="975"/>
        <v>0</v>
      </c>
      <c r="BZ2376" s="63">
        <f>4025+11635+77+151+408+168</f>
        <v>16464</v>
      </c>
      <c r="CA2376" s="63">
        <v>168</v>
      </c>
      <c r="CB2376" s="132"/>
    </row>
    <row r="2377" spans="1:82" hidden="1" outlineLevel="1">
      <c r="A2377" t="s">
        <v>449</v>
      </c>
      <c r="B2377" t="s">
        <v>1020</v>
      </c>
      <c r="C2377" s="1">
        <f t="shared" si="977"/>
        <v>52839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 t="e">
        <f>IF(P2377&gt;0,RANK(P2377,(N2377:P2377,Q2377:AE2377)),0)</f>
        <v>#VALUE!</v>
      </c>
      <c r="G2377" s="132">
        <f t="shared" si="985"/>
        <v>12811</v>
      </c>
      <c r="H2377" s="137">
        <f t="shared" si="986"/>
        <v>0.24245349079278564</v>
      </c>
      <c r="I2377" s="2"/>
      <c r="J2377" s="2">
        <f t="shared" si="978"/>
        <v>0.35452979806582258</v>
      </c>
      <c r="K2377" s="2">
        <f t="shared" si="979"/>
        <v>0.59698328885860819</v>
      </c>
      <c r="L2377" s="2">
        <f t="shared" si="974"/>
        <v>0</v>
      </c>
      <c r="M2377" s="2">
        <f t="shared" si="980"/>
        <v>4.8486913075569182E-2</v>
      </c>
      <c r="N2377" s="63">
        <v>18733</v>
      </c>
      <c r="O2377" s="63">
        <v>31544</v>
      </c>
      <c r="P2377" s="63" t="str">
        <f>IF(Copyright!B$11=1,IF(CD2377&gt;0,CD2377,""),"")</f>
        <v/>
      </c>
      <c r="Q2377" s="63">
        <v>1370</v>
      </c>
      <c r="R2377" s="63">
        <v>415</v>
      </c>
      <c r="S2377" s="63">
        <v>247</v>
      </c>
      <c r="T2377" s="63"/>
      <c r="U2377" s="63"/>
      <c r="V2377" s="63"/>
      <c r="W2377" s="63">
        <f>IF(Copyright!B$11=1,IF(CA2377&gt;0,CA2377-SUM(T2377:V2377)-SUM(X2377:AQ2377)-CD2377,0),0)</f>
        <v>530</v>
      </c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W2377" s="5">
        <f>IF(Q2377&gt;0,RANK(Q2377,(N2377:P2377,Q2377:AE2377)),0)</f>
        <v>3</v>
      </c>
      <c r="AX2377" s="5">
        <f>IF(R2377&gt;0,RANK(R2377,(N2377:P2377,Q2377:AE2377)),0)</f>
        <v>5</v>
      </c>
      <c r="AY2377" s="5">
        <f>IF(T2377&gt;0,RANK(T2377,(N2377:P2377,Q2377:AE2377)),0)</f>
        <v>0</v>
      </c>
      <c r="AZ2377" s="5">
        <f>IF(S2377&gt;0,RANK(S2377,(N2377:P2377,Q2377:AE2377)),0)</f>
        <v>6</v>
      </c>
      <c r="BA2377" s="2">
        <f t="shared" si="981"/>
        <v>2.59278184674199E-2</v>
      </c>
      <c r="BB2377" s="2">
        <f t="shared" si="982"/>
        <v>7.8540471999848597E-3</v>
      </c>
      <c r="BC2377" s="2">
        <f t="shared" si="983"/>
        <v>0</v>
      </c>
      <c r="BD2377" s="2">
        <f t="shared" si="984"/>
        <v>4.6745774901114706E-3</v>
      </c>
      <c r="BF2377" t="s">
        <v>449</v>
      </c>
      <c r="BG2377" t="s">
        <v>1020</v>
      </c>
      <c r="BH2377" s="63">
        <v>3</v>
      </c>
      <c r="BJ2377" s="114">
        <v>42</v>
      </c>
      <c r="BK2377" s="116">
        <v>85</v>
      </c>
      <c r="BL2377" s="120">
        <f t="shared" si="976"/>
        <v>42085</v>
      </c>
      <c r="BN2377" s="5" t="s">
        <v>3154</v>
      </c>
      <c r="BY2377" s="63">
        <f t="shared" si="975"/>
        <v>0</v>
      </c>
      <c r="BZ2377" s="63">
        <f>18733+31544+247+415+1370+530</f>
        <v>52839</v>
      </c>
      <c r="CA2377" s="63">
        <v>530</v>
      </c>
      <c r="CB2377" s="132"/>
    </row>
    <row r="2378" spans="1:82" hidden="1" outlineLevel="1">
      <c r="A2378" t="s">
        <v>2466</v>
      </c>
      <c r="B2378" t="s">
        <v>1020</v>
      </c>
      <c r="C2378" s="1">
        <f t="shared" si="977"/>
        <v>18721</v>
      </c>
      <c r="D2378" s="5">
        <f>IF(N2378&gt;0, RANK(N2378,(N2378:P2378,Q2378:AE2378)),0)</f>
        <v>2</v>
      </c>
      <c r="E2378" s="5">
        <f>IF(O2378&gt;0,RANK(O2378,(N2378:P2378,Q2378:AE2378)),0)</f>
        <v>1</v>
      </c>
      <c r="F2378" s="5" t="e">
        <f>IF(P2378&gt;0,RANK(P2378,(N2378:P2378,Q2378:AE2378)),0)</f>
        <v>#VALUE!</v>
      </c>
      <c r="G2378" s="132">
        <f t="shared" si="985"/>
        <v>10217</v>
      </c>
      <c r="H2378" s="137">
        <f t="shared" si="986"/>
        <v>0.54575076117728749</v>
      </c>
      <c r="I2378" s="2"/>
      <c r="J2378" s="2">
        <f t="shared" si="978"/>
        <v>0.20709363816035467</v>
      </c>
      <c r="K2378" s="2">
        <f t="shared" si="979"/>
        <v>0.75284439933764224</v>
      </c>
      <c r="L2378" s="2">
        <f t="shared" si="974"/>
        <v>0</v>
      </c>
      <c r="M2378" s="2">
        <f t="shared" si="980"/>
        <v>4.0061962502003112E-2</v>
      </c>
      <c r="N2378" s="63">
        <v>3877</v>
      </c>
      <c r="O2378" s="63">
        <v>14094</v>
      </c>
      <c r="P2378" s="63" t="str">
        <f>IF(Copyright!B$11=1,IF(CD2378&gt;0,CD2378,""),"")</f>
        <v/>
      </c>
      <c r="Q2378" s="63">
        <v>476</v>
      </c>
      <c r="R2378" s="63">
        <v>80</v>
      </c>
      <c r="S2378" s="63">
        <v>74</v>
      </c>
      <c r="T2378" s="63"/>
      <c r="U2378" s="63"/>
      <c r="V2378" s="63"/>
      <c r="W2378" s="63">
        <f>IF(Copyright!B$11=1,IF(CA2378&gt;0,CA2378-SUM(T2378:V2378)-SUM(X2378:AQ2378)-CD2378,0),0)</f>
        <v>120</v>
      </c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W2378" s="5">
        <f>IF(Q2378&gt;0,RANK(Q2378,(N2378:P2378,Q2378:AE2378)),0)</f>
        <v>3</v>
      </c>
      <c r="AX2378" s="5">
        <f>IF(R2378&gt;0,RANK(R2378,(N2378:P2378,Q2378:AE2378)),0)</f>
        <v>5</v>
      </c>
      <c r="AY2378" s="5">
        <f>IF(T2378&gt;0,RANK(T2378,(N2378:P2378,Q2378:AE2378)),0)</f>
        <v>0</v>
      </c>
      <c r="AZ2378" s="5">
        <f>IF(S2378&gt;0,RANK(S2378,(N2378:P2378,Q2378:AE2378)),0)</f>
        <v>6</v>
      </c>
      <c r="BA2378" s="2">
        <f t="shared" si="981"/>
        <v>2.54259922012713E-2</v>
      </c>
      <c r="BB2378" s="2">
        <f t="shared" si="982"/>
        <v>4.2732760002136636E-3</v>
      </c>
      <c r="BC2378" s="2">
        <f t="shared" si="983"/>
        <v>0</v>
      </c>
      <c r="BD2378" s="2">
        <f t="shared" si="984"/>
        <v>3.9527803001976388E-3</v>
      </c>
      <c r="BF2378" t="s">
        <v>2466</v>
      </c>
      <c r="BG2378" t="s">
        <v>1020</v>
      </c>
      <c r="BH2378" s="63">
        <v>10</v>
      </c>
      <c r="BJ2378" s="114">
        <v>42</v>
      </c>
      <c r="BK2378" s="116">
        <v>87</v>
      </c>
      <c r="BL2378" s="120">
        <f t="shared" si="976"/>
        <v>42087</v>
      </c>
      <c r="BN2378" s="5" t="s">
        <v>3154</v>
      </c>
      <c r="BO2378" s="133">
        <v>71</v>
      </c>
      <c r="BP2378" s="133">
        <v>24</v>
      </c>
      <c r="BR2378" s="63"/>
      <c r="BY2378" s="63">
        <f t="shared" si="975"/>
        <v>18721</v>
      </c>
      <c r="CA2378" s="133">
        <v>120</v>
      </c>
      <c r="CB2378" s="132"/>
    </row>
    <row r="2379" spans="1:82" hidden="1" outlineLevel="1">
      <c r="A2379" t="s">
        <v>644</v>
      </c>
      <c r="B2379" t="s">
        <v>1020</v>
      </c>
      <c r="C2379" s="1">
        <f t="shared" si="977"/>
        <v>70008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7</v>
      </c>
      <c r="G2379" s="132">
        <f t="shared" si="985"/>
        <v>532</v>
      </c>
      <c r="H2379" s="137">
        <f t="shared" si="986"/>
        <v>7.5991315278253913E-3</v>
      </c>
      <c r="I2379" s="2"/>
      <c r="J2379" s="2">
        <f t="shared" si="978"/>
        <v>0.48448748714432638</v>
      </c>
      <c r="K2379" s="2">
        <f t="shared" si="979"/>
        <v>0.47688835561650095</v>
      </c>
      <c r="L2379" s="2">
        <f t="shared" si="974"/>
        <v>7.1420409096103305E-4</v>
      </c>
      <c r="M2379" s="2">
        <f t="shared" si="980"/>
        <v>3.7909953148211696E-2</v>
      </c>
      <c r="N2379" s="63">
        <v>33918</v>
      </c>
      <c r="O2379" s="63">
        <v>33386</v>
      </c>
      <c r="P2379" s="63">
        <f>IF(Copyright!B$11=1,IF(CD2379&gt;0,CD2379,""),"")</f>
        <v>50</v>
      </c>
      <c r="Q2379" s="63">
        <v>1502</v>
      </c>
      <c r="R2379" s="63">
        <v>758</v>
      </c>
      <c r="S2379" s="63">
        <v>188</v>
      </c>
      <c r="T2379" s="63"/>
      <c r="U2379" s="63"/>
      <c r="V2379" s="63"/>
      <c r="W2379" s="63">
        <f>IF(Copyright!B$11=1,IF(CA2379&gt;0,CA2379-SUM(T2379:V2379)-SUM(X2379:AQ2379)-CD2379,0),0)</f>
        <v>206</v>
      </c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W2379" s="5">
        <f>IF(Q2379&gt;0,RANK(Q2379,(N2379:P2379,Q2379:AE2379)),0)</f>
        <v>3</v>
      </c>
      <c r="AX2379" s="5">
        <f>IF(R2379&gt;0,RANK(R2379,(N2379:P2379,Q2379:AE2379)),0)</f>
        <v>4</v>
      </c>
      <c r="AY2379" s="5">
        <f>IF(T2379&gt;0,RANK(T2379,(N2379:P2379,Q2379:AE2379)),0)</f>
        <v>0</v>
      </c>
      <c r="AZ2379" s="5">
        <f>IF(S2379&gt;0,RANK(S2379,(N2379:P2379,Q2379:AE2379)),0)</f>
        <v>6</v>
      </c>
      <c r="BA2379" s="2">
        <f t="shared" si="981"/>
        <v>2.1454690892469434E-2</v>
      </c>
      <c r="BB2379" s="2">
        <f t="shared" si="982"/>
        <v>1.0827334018969261E-2</v>
      </c>
      <c r="BC2379" s="2">
        <f t="shared" si="983"/>
        <v>0</v>
      </c>
      <c r="BD2379" s="2">
        <f t="shared" si="984"/>
        <v>2.6854073820134841E-3</v>
      </c>
      <c r="BF2379" t="s">
        <v>644</v>
      </c>
      <c r="BG2379" t="s">
        <v>1020</v>
      </c>
      <c r="BH2379" s="63"/>
      <c r="BJ2379" s="114">
        <v>42</v>
      </c>
      <c r="BK2379" s="116">
        <v>89</v>
      </c>
      <c r="BL2379" s="120">
        <f t="shared" si="976"/>
        <v>42089</v>
      </c>
      <c r="BN2379" s="5" t="s">
        <v>3154</v>
      </c>
      <c r="BY2379" s="63">
        <f t="shared" si="975"/>
        <v>0</v>
      </c>
      <c r="BZ2379" s="63">
        <f>256+69752</f>
        <v>70008</v>
      </c>
      <c r="CA2379" s="63">
        <v>256</v>
      </c>
      <c r="CB2379" s="132"/>
      <c r="CD2379" s="63">
        <v>50</v>
      </c>
    </row>
    <row r="2380" spans="1:82" hidden="1" outlineLevel="1">
      <c r="A2380" t="s">
        <v>1406</v>
      </c>
      <c r="B2380" t="s">
        <v>1020</v>
      </c>
      <c r="C2380" s="1">
        <f t="shared" si="977"/>
        <v>438652</v>
      </c>
      <c r="D2380" s="5">
        <f>IF(N2380&gt;0, RANK(N2380,(N2380:P2380,Q2380:AE2380)),0)</f>
        <v>1</v>
      </c>
      <c r="E2380" s="5">
        <f>IF(O2380&gt;0,RANK(O2380,(N2380:P2380,Q2380:AE2380)),0)</f>
        <v>2</v>
      </c>
      <c r="F2380" s="5" t="e">
        <f>IF(P2380&gt;0,RANK(P2380,(N2380:P2380,Q2380:AE2380)),0)</f>
        <v>#VALUE!</v>
      </c>
      <c r="G2380" s="132">
        <f t="shared" si="985"/>
        <v>93351</v>
      </c>
      <c r="H2380" s="137">
        <f t="shared" si="986"/>
        <v>0.21281334634288684</v>
      </c>
      <c r="I2380" s="2"/>
      <c r="J2380" s="2">
        <f t="shared" si="978"/>
        <v>0.58379307514840917</v>
      </c>
      <c r="K2380" s="2">
        <f t="shared" si="979"/>
        <v>0.37097972880552238</v>
      </c>
      <c r="L2380" s="2">
        <f t="shared" si="974"/>
        <v>0</v>
      </c>
      <c r="M2380" s="2">
        <f t="shared" si="980"/>
        <v>4.5227196046068452E-2</v>
      </c>
      <c r="N2380" s="63">
        <v>256082</v>
      </c>
      <c r="O2380" s="63">
        <v>162731</v>
      </c>
      <c r="P2380" s="63" t="str">
        <f>IF(Copyright!B$11=1,IF(CD2380&gt;0,CD2380,""),"")</f>
        <v/>
      </c>
      <c r="Q2380" s="63">
        <v>10934</v>
      </c>
      <c r="R2380" s="63">
        <v>3704</v>
      </c>
      <c r="S2380" s="63">
        <v>1236</v>
      </c>
      <c r="T2380" s="63"/>
      <c r="U2380" s="63"/>
      <c r="V2380" s="63"/>
      <c r="W2380" s="63">
        <f>IF(Copyright!B$11=1,IF(CA2380&gt;0,CA2380-SUM(T2380:V2380)-SUM(X2380:AQ2380)-CD2380,0),0)</f>
        <v>3965</v>
      </c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W2380" s="5">
        <f>IF(Q2380&gt;0,RANK(Q2380,(N2380:P2380,Q2380:AE2380)),0)</f>
        <v>3</v>
      </c>
      <c r="AX2380" s="5">
        <f>IF(R2380&gt;0,RANK(R2380,(N2380:P2380,Q2380:AE2380)),0)</f>
        <v>5</v>
      </c>
      <c r="AY2380" s="5">
        <f>IF(T2380&gt;0,RANK(T2380,(N2380:P2380,Q2380:AE2380)),0)</f>
        <v>0</v>
      </c>
      <c r="AZ2380" s="5">
        <f>IF(S2380&gt;0,RANK(S2380,(N2380:P2380,Q2380:AE2380)),0)</f>
        <v>6</v>
      </c>
      <c r="BA2380" s="2">
        <f t="shared" si="981"/>
        <v>2.4926365319205203E-2</v>
      </c>
      <c r="BB2380" s="2">
        <f t="shared" si="982"/>
        <v>8.4440513208648305E-3</v>
      </c>
      <c r="BC2380" s="2">
        <f t="shared" si="983"/>
        <v>0</v>
      </c>
      <c r="BD2380" s="2">
        <f t="shared" si="984"/>
        <v>2.8177233889278971E-3</v>
      </c>
      <c r="BF2380" t="s">
        <v>1406</v>
      </c>
      <c r="BG2380" t="s">
        <v>1020</v>
      </c>
      <c r="BH2380" s="63"/>
      <c r="BJ2380" s="114">
        <v>42</v>
      </c>
      <c r="BK2380" s="116">
        <v>91</v>
      </c>
      <c r="BL2380" s="120">
        <f t="shared" si="976"/>
        <v>42091</v>
      </c>
      <c r="BN2380" s="5" t="s">
        <v>3154</v>
      </c>
      <c r="BR2380" s="63"/>
      <c r="BY2380" s="63">
        <f t="shared" si="975"/>
        <v>0</v>
      </c>
      <c r="BZ2380" s="63">
        <v>438652</v>
      </c>
      <c r="CA2380" s="63">
        <v>3965</v>
      </c>
      <c r="CB2380" s="132"/>
    </row>
    <row r="2381" spans="1:82" hidden="1" outlineLevel="1">
      <c r="A2381" t="s">
        <v>3064</v>
      </c>
      <c r="B2381" t="s">
        <v>1020</v>
      </c>
      <c r="C2381" s="1">
        <f t="shared" si="977"/>
        <v>8556</v>
      </c>
      <c r="D2381" s="5">
        <f>IF(N2381&gt;0, RANK(N2381,(N2381:P2381,Q2381:AE2381)),0)</f>
        <v>2</v>
      </c>
      <c r="E2381" s="5">
        <f>IF(O2381&gt;0,RANK(O2381,(N2381:P2381,Q2381:AE2381)),0)</f>
        <v>1</v>
      </c>
      <c r="F2381" s="5" t="e">
        <f>IF(P2381&gt;0,RANK(P2381,(N2381:P2381,Q2381:AE2381)),0)</f>
        <v>#VALUE!</v>
      </c>
      <c r="G2381" s="132">
        <f t="shared" si="985"/>
        <v>2431</v>
      </c>
      <c r="H2381" s="137">
        <f t="shared" si="986"/>
        <v>0.28412809724170174</v>
      </c>
      <c r="I2381" s="2"/>
      <c r="J2381" s="2">
        <f t="shared" si="978"/>
        <v>0.33391771856007479</v>
      </c>
      <c r="K2381" s="2">
        <f t="shared" si="979"/>
        <v>0.61804581580177653</v>
      </c>
      <c r="L2381" s="2">
        <f t="shared" si="974"/>
        <v>0</v>
      </c>
      <c r="M2381" s="2">
        <f t="shared" si="980"/>
        <v>4.8036465638148673E-2</v>
      </c>
      <c r="N2381" s="63">
        <v>2857</v>
      </c>
      <c r="O2381" s="63">
        <v>5288</v>
      </c>
      <c r="P2381" s="63" t="str">
        <f>IF(Copyright!B$11=1,IF(CD2381&gt;0,CD2381,""),"")</f>
        <v/>
      </c>
      <c r="Q2381" s="63">
        <v>287</v>
      </c>
      <c r="R2381" s="63">
        <v>73</v>
      </c>
      <c r="S2381" s="63">
        <v>51</v>
      </c>
      <c r="T2381" s="63"/>
      <c r="U2381" s="63"/>
      <c r="V2381" s="63"/>
      <c r="W2381" s="63">
        <f>IF(Copyright!B$11=1,IF(CA2381&gt;0,CA2381-SUM(T2381:V2381)-SUM(X2381:AQ2381)-CD2381,0),0)</f>
        <v>0</v>
      </c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W2381" s="5">
        <f>IF(Q2381&gt;0,RANK(Q2381,(N2381:P2381,Q2381:AE2381)),0)</f>
        <v>3</v>
      </c>
      <c r="AX2381" s="5">
        <f>IF(R2381&gt;0,RANK(R2381,(N2381:P2381,Q2381:AE2381)),0)</f>
        <v>4</v>
      </c>
      <c r="AY2381" s="5">
        <f>IF(T2381&gt;0,RANK(T2381,(N2381:P2381,Q2381:AE2381)),0)</f>
        <v>0</v>
      </c>
      <c r="AZ2381" s="5">
        <f>IF(S2381&gt;0,RANK(S2381,(N2381:P2381,Q2381:AE2381)),0)</f>
        <v>5</v>
      </c>
      <c r="BA2381" s="2">
        <f t="shared" si="981"/>
        <v>3.3543712014960259E-2</v>
      </c>
      <c r="BB2381" s="2">
        <f t="shared" si="982"/>
        <v>8.5320243104254328E-3</v>
      </c>
      <c r="BC2381" s="2">
        <f t="shared" si="983"/>
        <v>0</v>
      </c>
      <c r="BD2381" s="2">
        <f t="shared" si="984"/>
        <v>5.9607293127629732E-3</v>
      </c>
      <c r="BF2381" t="s">
        <v>3064</v>
      </c>
      <c r="BG2381" t="s">
        <v>1020</v>
      </c>
      <c r="BH2381" s="63">
        <v>11</v>
      </c>
      <c r="BJ2381" s="114">
        <v>42</v>
      </c>
      <c r="BK2381" s="116">
        <v>93</v>
      </c>
      <c r="BL2381" s="120">
        <f t="shared" si="976"/>
        <v>42093</v>
      </c>
      <c r="BN2381" s="5" t="s">
        <v>3154</v>
      </c>
      <c r="BY2381" s="63">
        <f t="shared" si="975"/>
        <v>8556</v>
      </c>
      <c r="CA2381" s="63">
        <v>0</v>
      </c>
      <c r="CB2381" s="132"/>
    </row>
    <row r="2382" spans="1:82" hidden="1" outlineLevel="1">
      <c r="A2382" t="s">
        <v>2751</v>
      </c>
      <c r="B2382" t="s">
        <v>1020</v>
      </c>
      <c r="C2382" s="1">
        <f t="shared" si="977"/>
        <v>144566</v>
      </c>
      <c r="D2382" s="5">
        <f>IF(N2382&gt;0, RANK(N2382,(N2382:P2382,Q2382:AE2382)),0)</f>
        <v>2</v>
      </c>
      <c r="E2382" s="5">
        <f>IF(O2382&gt;0,RANK(O2382,(N2382:P2382,Q2382:AE2382)),0)</f>
        <v>1</v>
      </c>
      <c r="F2382" s="5">
        <f>IF(P2382&gt;0,RANK(P2382,(N2382:P2382,Q2382:AE2382)),0)</f>
        <v>7</v>
      </c>
      <c r="G2382" s="132">
        <f t="shared" si="985"/>
        <v>5464</v>
      </c>
      <c r="H2382" s="137">
        <f t="shared" si="986"/>
        <v>3.7795885616258316E-2</v>
      </c>
      <c r="I2382" s="2"/>
      <c r="J2382" s="2">
        <f t="shared" si="978"/>
        <v>0.45842037546864406</v>
      </c>
      <c r="K2382" s="2">
        <f t="shared" si="979"/>
        <v>0.49621626108490241</v>
      </c>
      <c r="L2382" s="2">
        <f t="shared" si="974"/>
        <v>1.3488648783254707E-3</v>
      </c>
      <c r="M2382" s="2">
        <f t="shared" si="980"/>
        <v>4.4014498568128113E-2</v>
      </c>
      <c r="N2382" s="63">
        <v>66272</v>
      </c>
      <c r="O2382" s="63">
        <v>71736</v>
      </c>
      <c r="P2382" s="63">
        <f>IF(Copyright!B$11=1,IF(CD2382&gt;0,CD2382,""),"")</f>
        <v>195</v>
      </c>
      <c r="Q2382" s="63">
        <v>3690</v>
      </c>
      <c r="R2382" s="63">
        <v>1371</v>
      </c>
      <c r="S2382" s="63">
        <v>450</v>
      </c>
      <c r="T2382" s="63"/>
      <c r="U2382" s="63"/>
      <c r="V2382" s="63"/>
      <c r="W2382" s="63">
        <f>IF(Copyright!B$11=1,IF(CA2382&gt;0,CA2382-SUM(T2382:V2382)-SUM(X2382:AQ2382)-CD2382,0),0)</f>
        <v>852</v>
      </c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W2382" s="5">
        <f>IF(Q2382&gt;0,RANK(Q2382,(N2382:P2382,Q2382:AE2382)),0)</f>
        <v>3</v>
      </c>
      <c r="AX2382" s="5">
        <f>IF(R2382&gt;0,RANK(R2382,(N2382:P2382,Q2382:AE2382)),0)</f>
        <v>4</v>
      </c>
      <c r="AY2382" s="5">
        <f>IF(T2382&gt;0,RANK(T2382,(N2382:P2382,Q2382:AE2382)),0)</f>
        <v>0</v>
      </c>
      <c r="AZ2382" s="5">
        <f>IF(S2382&gt;0,RANK(S2382,(N2382:P2382,Q2382:AE2382)),0)</f>
        <v>6</v>
      </c>
      <c r="BA2382" s="2">
        <f t="shared" si="981"/>
        <v>2.5524673851389675E-2</v>
      </c>
      <c r="BB2382" s="2">
        <f t="shared" si="982"/>
        <v>9.4835576829960019E-3</v>
      </c>
      <c r="BC2382" s="2">
        <f t="shared" si="983"/>
        <v>0</v>
      </c>
      <c r="BD2382" s="2">
        <f t="shared" si="984"/>
        <v>3.1127651038280095E-3</v>
      </c>
      <c r="BF2382" t="s">
        <v>2751</v>
      </c>
      <c r="BG2382" t="s">
        <v>1020</v>
      </c>
      <c r="BH2382" s="63"/>
      <c r="BJ2382" s="114">
        <v>42</v>
      </c>
      <c r="BK2382" s="116">
        <v>95</v>
      </c>
      <c r="BL2382" s="120">
        <f t="shared" si="976"/>
        <v>42095</v>
      </c>
      <c r="BN2382" s="5" t="s">
        <v>3154</v>
      </c>
      <c r="BY2382" s="63">
        <f t="shared" si="975"/>
        <v>-3</v>
      </c>
      <c r="BZ2382" s="63">
        <v>144569</v>
      </c>
      <c r="CA2382" s="63">
        <f>446+406+195</f>
        <v>1047</v>
      </c>
      <c r="CB2382" s="132"/>
      <c r="CD2382" s="63">
        <v>195</v>
      </c>
    </row>
    <row r="2383" spans="1:82" hidden="1" outlineLevel="1">
      <c r="A2383" t="s">
        <v>2939</v>
      </c>
      <c r="B2383" t="s">
        <v>1020</v>
      </c>
      <c r="C2383" s="1">
        <f t="shared" si="977"/>
        <v>36907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 t="e">
        <f>IF(P2383&gt;0,RANK(P2383,(N2383:P2383,Q2383:AE2383)),0)</f>
        <v>#VALUE!</v>
      </c>
      <c r="G2383" s="132">
        <f t="shared" si="985"/>
        <v>15639</v>
      </c>
      <c r="H2383" s="137">
        <f t="shared" si="986"/>
        <v>0.42374075378654458</v>
      </c>
      <c r="I2383" s="2"/>
      <c r="J2383" s="2">
        <f t="shared" si="978"/>
        <v>0.26520714227653291</v>
      </c>
      <c r="K2383" s="2">
        <f t="shared" si="979"/>
        <v>0.68894789606307749</v>
      </c>
      <c r="L2383" s="2">
        <f t="shared" si="974"/>
        <v>0</v>
      </c>
      <c r="M2383" s="2">
        <f t="shared" si="980"/>
        <v>4.5844961660389538E-2</v>
      </c>
      <c r="N2383" s="63">
        <v>9788</v>
      </c>
      <c r="O2383" s="63">
        <v>25427</v>
      </c>
      <c r="P2383" s="63" t="str">
        <f>IF(Copyright!B$11=1,IF(CD2383&gt;0,CD2383,""),"")</f>
        <v/>
      </c>
      <c r="Q2383" s="63">
        <v>931</v>
      </c>
      <c r="R2383" s="63">
        <v>296</v>
      </c>
      <c r="S2383" s="63">
        <v>180</v>
      </c>
      <c r="T2383" s="63"/>
      <c r="U2383" s="132"/>
      <c r="V2383" s="63"/>
      <c r="W2383" s="63">
        <f>IF(Copyright!B$11=1,IF(CA2383&gt;0,CA2383-SUM(T2383:V2383)-SUM(X2383:AQ2383)-CD2383,0),0)</f>
        <v>285</v>
      </c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W2383" s="5">
        <f>IF(Q2383&gt;0,RANK(Q2383,(N2383:P2383,Q2383:AE2383)),0)</f>
        <v>3</v>
      </c>
      <c r="AX2383" s="5">
        <f>IF(R2383&gt;0,RANK(R2383,(N2383:P2383,Q2383:AE2383)),0)</f>
        <v>4</v>
      </c>
      <c r="AY2383" s="5">
        <f>IF(T2383&gt;0,RANK(T2383,(N2383:P2383,Q2383:AE2383)),0)</f>
        <v>0</v>
      </c>
      <c r="AZ2383" s="5">
        <f>IF(S2383&gt;0,RANK(S2383,(N2383:P2383,Q2383:AE2383)),0)</f>
        <v>6</v>
      </c>
      <c r="BA2383" s="2">
        <f t="shared" si="981"/>
        <v>2.5225566965616279E-2</v>
      </c>
      <c r="BB2383" s="2">
        <f t="shared" si="982"/>
        <v>8.0201587774676886E-3</v>
      </c>
      <c r="BC2383" s="2">
        <f t="shared" si="983"/>
        <v>0</v>
      </c>
      <c r="BD2383" s="2">
        <f t="shared" si="984"/>
        <v>4.8771235808925135E-3</v>
      </c>
      <c r="BF2383" t="s">
        <v>2939</v>
      </c>
      <c r="BG2383" t="s">
        <v>1020</v>
      </c>
      <c r="BH2383" s="63"/>
      <c r="BJ2383" s="114">
        <v>42</v>
      </c>
      <c r="BK2383" s="116">
        <v>97</v>
      </c>
      <c r="BL2383" s="120">
        <f t="shared" si="976"/>
        <v>42097</v>
      </c>
      <c r="BN2383" s="5" t="s">
        <v>3154</v>
      </c>
      <c r="BY2383" s="63">
        <f t="shared" si="975"/>
        <v>0</v>
      </c>
      <c r="BZ2383" s="132">
        <v>36907</v>
      </c>
      <c r="CA2383" s="132">
        <v>285</v>
      </c>
      <c r="CB2383" s="132"/>
    </row>
    <row r="2384" spans="1:82" hidden="1" outlineLevel="1">
      <c r="A2384" t="s">
        <v>2118</v>
      </c>
      <c r="B2384" t="s">
        <v>1020</v>
      </c>
      <c r="C2384" s="1">
        <f t="shared" si="977"/>
        <v>21371</v>
      </c>
      <c r="D2384" s="5">
        <f>IF(N2384&gt;0, RANK(N2384,(N2384:P2384,Q2384:AE2384)),0)</f>
        <v>2</v>
      </c>
      <c r="E2384" s="5">
        <f>IF(O2384&gt;0,RANK(O2384,(N2384:P2384,Q2384:AE2384)),0)</f>
        <v>1</v>
      </c>
      <c r="F2384" s="5" t="e">
        <f>IF(P2384&gt;0,RANK(P2384,(N2384:P2384,Q2384:AE2384)),0)</f>
        <v>#VALUE!</v>
      </c>
      <c r="G2384" s="132">
        <f t="shared" si="985"/>
        <v>10984</v>
      </c>
      <c r="H2384" s="137">
        <f t="shared" si="986"/>
        <v>0.51396752608675311</v>
      </c>
      <c r="I2384" s="2"/>
      <c r="J2384" s="2">
        <f t="shared" si="978"/>
        <v>0.21674231435122362</v>
      </c>
      <c r="K2384" s="2">
        <f t="shared" si="979"/>
        <v>0.73070984043797671</v>
      </c>
      <c r="L2384" s="2">
        <f t="shared" si="974"/>
        <v>0</v>
      </c>
      <c r="M2384" s="2">
        <f t="shared" si="980"/>
        <v>5.2547845210799693E-2</v>
      </c>
      <c r="N2384" s="63">
        <v>4632</v>
      </c>
      <c r="O2384" s="63">
        <v>15616</v>
      </c>
      <c r="P2384" s="63" t="str">
        <f>IF(Copyright!B$11=1,IF(CD2384&gt;0,CD2384,""),"")</f>
        <v/>
      </c>
      <c r="Q2384" s="63">
        <v>619</v>
      </c>
      <c r="R2384" s="63">
        <v>163</v>
      </c>
      <c r="S2384" s="63">
        <v>128</v>
      </c>
      <c r="T2384" s="63"/>
      <c r="U2384" s="132"/>
      <c r="V2384" s="63"/>
      <c r="W2384" s="63">
        <f>IF(Copyright!B$11=1,IF(CA2384&gt;0,CA2384-SUM(T2384:V2384)-SUM(X2384:AQ2384)-CD2384,0),0)</f>
        <v>213</v>
      </c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W2384" s="5">
        <f>IF(Q2384&gt;0,RANK(Q2384,(N2384:P2384,Q2384:AE2384)),0)</f>
        <v>3</v>
      </c>
      <c r="AX2384" s="5">
        <f>IF(R2384&gt;0,RANK(R2384,(N2384:P2384,Q2384:AE2384)),0)</f>
        <v>5</v>
      </c>
      <c r="AY2384" s="5">
        <f>IF(T2384&gt;0,RANK(T2384,(N2384:P2384,Q2384:AE2384)),0)</f>
        <v>0</v>
      </c>
      <c r="AZ2384" s="5">
        <f>IF(S2384&gt;0,RANK(S2384,(N2384:P2384,Q2384:AE2384)),0)</f>
        <v>6</v>
      </c>
      <c r="BA2384" s="2">
        <f t="shared" si="981"/>
        <v>2.8964484581910064E-2</v>
      </c>
      <c r="BB2384" s="2">
        <f t="shared" si="982"/>
        <v>7.6271582986289829E-3</v>
      </c>
      <c r="BC2384" s="2">
        <f t="shared" si="983"/>
        <v>0</v>
      </c>
      <c r="BD2384" s="2">
        <f t="shared" si="984"/>
        <v>5.98942492162276E-3</v>
      </c>
      <c r="BF2384" t="s">
        <v>2118</v>
      </c>
      <c r="BG2384" t="s">
        <v>1020</v>
      </c>
      <c r="BH2384" s="63"/>
      <c r="BJ2384" s="114">
        <v>42</v>
      </c>
      <c r="BK2384" s="116">
        <v>99</v>
      </c>
      <c r="BL2384" s="120">
        <f t="shared" si="976"/>
        <v>42099</v>
      </c>
      <c r="BN2384" s="5" t="s">
        <v>3154</v>
      </c>
      <c r="BO2384" s="63">
        <v>143</v>
      </c>
      <c r="BP2384" s="63">
        <v>0</v>
      </c>
      <c r="BR2384" s="63"/>
      <c r="BY2384" s="63">
        <f t="shared" si="975"/>
        <v>0</v>
      </c>
      <c r="BZ2384" s="63">
        <v>21371</v>
      </c>
      <c r="CA2384" s="63">
        <v>213</v>
      </c>
      <c r="CB2384" s="132"/>
    </row>
    <row r="2385" spans="1:82" hidden="1" outlineLevel="1">
      <c r="A2385" t="s">
        <v>3015</v>
      </c>
      <c r="B2385" t="s">
        <v>1020</v>
      </c>
      <c r="C2385" s="1">
        <f t="shared" si="977"/>
        <v>709618</v>
      </c>
      <c r="D2385" s="5">
        <f>IF(N2385&gt;0, RANK(N2385,(N2385:P2385,Q2385:AE2385)),0)</f>
        <v>1</v>
      </c>
      <c r="E2385" s="5">
        <f>IF(O2385&gt;0,RANK(O2385,(N2385:P2385,Q2385:AE2385)),0)</f>
        <v>2</v>
      </c>
      <c r="F2385" s="5" t="e">
        <f>IF(P2385&gt;0,RANK(P2385,(N2385:P2385,Q2385:AE2385)),0)</f>
        <v>#VALUE!</v>
      </c>
      <c r="G2385" s="132">
        <f t="shared" si="985"/>
        <v>475277</v>
      </c>
      <c r="H2385" s="137">
        <f t="shared" si="986"/>
        <v>0.66976457756144858</v>
      </c>
      <c r="I2385" s="2"/>
      <c r="J2385" s="2">
        <f t="shared" si="978"/>
        <v>0.82301322683471956</v>
      </c>
      <c r="K2385" s="2">
        <f t="shared" si="979"/>
        <v>0.15324864927327098</v>
      </c>
      <c r="L2385" s="2">
        <f t="shared" si="974"/>
        <v>0</v>
      </c>
      <c r="M2385" s="2">
        <f t="shared" si="980"/>
        <v>2.3738123892009466E-2</v>
      </c>
      <c r="N2385" s="63">
        <v>584025</v>
      </c>
      <c r="O2385" s="63">
        <v>108748</v>
      </c>
      <c r="P2385" s="63" t="str">
        <f>IF(Copyright!B$11=1,IF(CD2385&gt;0,CD2385,""),"")</f>
        <v/>
      </c>
      <c r="Q2385" s="63">
        <v>7115</v>
      </c>
      <c r="R2385" s="63">
        <v>6679</v>
      </c>
      <c r="S2385" s="63">
        <v>1064</v>
      </c>
      <c r="T2385" s="63"/>
      <c r="U2385" s="132"/>
      <c r="V2385" s="63"/>
      <c r="W2385" s="63">
        <f>IF(Copyright!B$11=1,IF(CA2385&gt;0,CA2385-SUM(T2385:V2385)-SUM(X2385:AQ2385)-CD2385,0),0)</f>
        <v>1987</v>
      </c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W2385" s="5">
        <f>IF(Q2385&gt;0,RANK(Q2385,(N2385:P2385,Q2385:AE2385)),0)</f>
        <v>3</v>
      </c>
      <c r="AX2385" s="5">
        <f>IF(R2385&gt;0,RANK(R2385,(N2385:P2385,Q2385:AE2385)),0)</f>
        <v>4</v>
      </c>
      <c r="AY2385" s="5">
        <f>IF(T2385&gt;0,RANK(T2385,(N2385:P2385,Q2385:AE2385)),0)</f>
        <v>0</v>
      </c>
      <c r="AZ2385" s="5">
        <f>IF(S2385&gt;0,RANK(S2385,(N2385:P2385,Q2385:AE2385)),0)</f>
        <v>6</v>
      </c>
      <c r="BA2385" s="2">
        <f t="shared" si="981"/>
        <v>1.0026521311466169E-2</v>
      </c>
      <c r="BB2385" s="2">
        <f t="shared" si="982"/>
        <v>9.4121062318035902E-3</v>
      </c>
      <c r="BC2385" s="2">
        <f t="shared" si="983"/>
        <v>0</v>
      </c>
      <c r="BD2385" s="2">
        <f t="shared" si="984"/>
        <v>1.4993982678004221E-3</v>
      </c>
      <c r="BF2385" t="s">
        <v>3015</v>
      </c>
      <c r="BG2385" t="s">
        <v>1020</v>
      </c>
      <c r="BH2385" s="63"/>
      <c r="BJ2385" s="114">
        <v>42</v>
      </c>
      <c r="BK2385" s="116">
        <v>101</v>
      </c>
      <c r="BL2385" s="120">
        <f t="shared" si="976"/>
        <v>42101</v>
      </c>
      <c r="BN2385" s="5" t="s">
        <v>3154</v>
      </c>
      <c r="BY2385" s="63">
        <f t="shared" si="975"/>
        <v>0</v>
      </c>
      <c r="BZ2385" s="63">
        <v>709618</v>
      </c>
      <c r="CA2385" s="63">
        <v>1987</v>
      </c>
      <c r="CB2385" s="132"/>
    </row>
    <row r="2386" spans="1:82" hidden="1" outlineLevel="1">
      <c r="A2386" t="s">
        <v>2655</v>
      </c>
      <c r="B2386" t="s">
        <v>1020</v>
      </c>
      <c r="C2386" s="1">
        <f t="shared" si="977"/>
        <v>26284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7</v>
      </c>
      <c r="G2386" s="132">
        <f t="shared" si="985"/>
        <v>6800</v>
      </c>
      <c r="H2386" s="137">
        <f t="shared" si="986"/>
        <v>0.25871252472987366</v>
      </c>
      <c r="I2386" s="2"/>
      <c r="J2386" s="2">
        <f t="shared" si="978"/>
        <v>0.35215340130878103</v>
      </c>
      <c r="K2386" s="2">
        <f t="shared" si="979"/>
        <v>0.61086592603865475</v>
      </c>
      <c r="L2386" s="2">
        <f t="shared" si="974"/>
        <v>1.559884340283062E-3</v>
      </c>
      <c r="M2386" s="2">
        <f t="shared" si="980"/>
        <v>3.5420788312281154E-2</v>
      </c>
      <c r="N2386" s="63">
        <v>9256</v>
      </c>
      <c r="O2386" s="63">
        <v>16056</v>
      </c>
      <c r="P2386" s="63">
        <f>IF(Copyright!B$11=1,IF(CD2386&gt;0,CD2386,""),"")</f>
        <v>41</v>
      </c>
      <c r="Q2386" s="63">
        <v>492</v>
      </c>
      <c r="R2386" s="63">
        <v>226</v>
      </c>
      <c r="S2386" s="63">
        <v>71</v>
      </c>
      <c r="T2386" s="63"/>
      <c r="U2386" s="63"/>
      <c r="V2386" s="63"/>
      <c r="W2386" s="63">
        <f>IF(Copyright!B$11=1,IF(CA2386&gt;0,CA2386-SUM(T2386:V2386)-SUM(X2386:AQ2386)-CD2386,0),0)</f>
        <v>142</v>
      </c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W2386" s="5">
        <f>IF(Q2386&gt;0,RANK(Q2386,(N2386:P2386,Q2386:AE2386)),0)</f>
        <v>3</v>
      </c>
      <c r="AX2386" s="5">
        <f>IF(R2386&gt;0,RANK(R2386,(N2386:P2386,Q2386:AE2386)),0)</f>
        <v>4</v>
      </c>
      <c r="AY2386" s="5">
        <f>IF(T2386&gt;0,RANK(T2386,(N2386:P2386,Q2386:AE2386)),0)</f>
        <v>0</v>
      </c>
      <c r="AZ2386" s="5">
        <f>IF(S2386&gt;0,RANK(S2386,(N2386:P2386,Q2386:AE2386)),0)</f>
        <v>6</v>
      </c>
      <c r="BA2386" s="2">
        <f t="shared" si="981"/>
        <v>1.8718612083396743E-2</v>
      </c>
      <c r="BB2386" s="2">
        <f t="shared" si="982"/>
        <v>8.5983868513163902E-3</v>
      </c>
      <c r="BC2386" s="2">
        <f t="shared" si="983"/>
        <v>0</v>
      </c>
      <c r="BD2386" s="2">
        <f t="shared" si="984"/>
        <v>2.7012631258560341E-3</v>
      </c>
      <c r="BF2386" t="s">
        <v>2655</v>
      </c>
      <c r="BG2386" t="s">
        <v>1020</v>
      </c>
      <c r="BH2386" s="63">
        <v>10</v>
      </c>
      <c r="BJ2386" s="114">
        <v>42</v>
      </c>
      <c r="BK2386" s="116">
        <v>103</v>
      </c>
      <c r="BL2386" s="120">
        <f t="shared" si="976"/>
        <v>42103</v>
      </c>
      <c r="BN2386" s="5" t="s">
        <v>3154</v>
      </c>
      <c r="BY2386" s="63">
        <f t="shared" si="975"/>
        <v>-19</v>
      </c>
      <c r="BZ2386" s="63">
        <f>9268+16061+71+226+494+183</f>
        <v>26303</v>
      </c>
      <c r="CA2386" s="63">
        <f>60+41+82</f>
        <v>183</v>
      </c>
      <c r="CB2386" s="132"/>
      <c r="CC2386" s="63">
        <v>60</v>
      </c>
      <c r="CD2386" s="63">
        <v>41</v>
      </c>
    </row>
    <row r="2387" spans="1:82" hidden="1" outlineLevel="1">
      <c r="A2387" t="s">
        <v>1172</v>
      </c>
      <c r="B2387" t="s">
        <v>1020</v>
      </c>
      <c r="C2387" s="1">
        <f t="shared" si="977"/>
        <v>7864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7</v>
      </c>
      <c r="G2387" s="132">
        <f t="shared" si="985"/>
        <v>4949</v>
      </c>
      <c r="H2387" s="137">
        <f t="shared" si="986"/>
        <v>0.62932349949135302</v>
      </c>
      <c r="I2387" s="2"/>
      <c r="J2387" s="2">
        <f t="shared" si="978"/>
        <v>0.16556459816887081</v>
      </c>
      <c r="K2387" s="2">
        <f t="shared" si="979"/>
        <v>0.79488809766022384</v>
      </c>
      <c r="L2387" s="2">
        <f t="shared" si="974"/>
        <v>2.0345879959308239E-3</v>
      </c>
      <c r="M2387" s="2">
        <f t="shared" si="980"/>
        <v>3.7512716174974529E-2</v>
      </c>
      <c r="N2387" s="63">
        <v>1302</v>
      </c>
      <c r="O2387" s="63">
        <v>6251</v>
      </c>
      <c r="P2387" s="63">
        <f>IF(Copyright!B$11=1,IF(CD2387&gt;0,CD2387,""),"")</f>
        <v>16</v>
      </c>
      <c r="Q2387" s="63">
        <v>165</v>
      </c>
      <c r="R2387" s="63">
        <v>35</v>
      </c>
      <c r="S2387" s="63">
        <v>31</v>
      </c>
      <c r="T2387" s="63"/>
      <c r="U2387" s="63"/>
      <c r="V2387" s="63"/>
      <c r="W2387" s="63">
        <f>IF(Copyright!B$11=1,IF(CA2387&gt;0,CA2387-SUM(T2387:V2387)-SUM(X2387:AQ2387)-CD2387,0),0)</f>
        <v>64</v>
      </c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W2387" s="5">
        <f>IF(Q2387&gt;0,RANK(Q2387,(N2387:P2387,Q2387:AE2387)),0)</f>
        <v>3</v>
      </c>
      <c r="AX2387" s="5">
        <f>IF(R2387&gt;0,RANK(R2387,(N2387:P2387,Q2387:AE2387)),0)</f>
        <v>5</v>
      </c>
      <c r="AY2387" s="5">
        <f>IF(T2387&gt;0,RANK(T2387,(N2387:P2387,Q2387:AE2387)),0)</f>
        <v>0</v>
      </c>
      <c r="AZ2387" s="5">
        <f>IF(S2387&gt;0,RANK(S2387,(N2387:P2387,Q2387:AE2387)),0)</f>
        <v>6</v>
      </c>
      <c r="BA2387" s="2">
        <f t="shared" si="981"/>
        <v>2.0981688708036624E-2</v>
      </c>
      <c r="BB2387" s="2">
        <f t="shared" si="982"/>
        <v>4.4506612410986773E-3</v>
      </c>
      <c r="BC2387" s="2">
        <f t="shared" si="983"/>
        <v>0</v>
      </c>
      <c r="BD2387" s="2">
        <f t="shared" si="984"/>
        <v>3.9420142421159711E-3</v>
      </c>
      <c r="BF2387" t="s">
        <v>1172</v>
      </c>
      <c r="BG2387" t="s">
        <v>1020</v>
      </c>
      <c r="BH2387" s="63">
        <v>5</v>
      </c>
      <c r="BJ2387" s="114">
        <v>42</v>
      </c>
      <c r="BK2387" s="116">
        <v>105</v>
      </c>
      <c r="BL2387" s="120">
        <f t="shared" si="976"/>
        <v>42105</v>
      </c>
      <c r="BN2387" s="5" t="s">
        <v>3154</v>
      </c>
      <c r="BY2387" s="63">
        <f t="shared" si="975"/>
        <v>0</v>
      </c>
      <c r="BZ2387" s="63">
        <f>1302+6251+31+35+165+2+17+7+1+1+28+16+8</f>
        <v>7864</v>
      </c>
      <c r="CA2387" s="63">
        <f>2+17+7+2+8+4+16+16+8</f>
        <v>80</v>
      </c>
      <c r="CB2387" s="132"/>
      <c r="CD2387" s="63">
        <v>16</v>
      </c>
    </row>
    <row r="2388" spans="1:82" hidden="1" outlineLevel="1">
      <c r="A2388" t="s">
        <v>1464</v>
      </c>
      <c r="B2388" t="s">
        <v>1020</v>
      </c>
      <c r="C2388" s="1">
        <f t="shared" si="977"/>
        <v>63385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7</v>
      </c>
      <c r="G2388" s="132">
        <f t="shared" si="985"/>
        <v>27231</v>
      </c>
      <c r="H2388" s="137">
        <f t="shared" si="986"/>
        <v>0.42961268438905104</v>
      </c>
      <c r="I2388" s="2"/>
      <c r="J2388" s="2">
        <f t="shared" si="978"/>
        <v>0.26457363729589017</v>
      </c>
      <c r="K2388" s="2">
        <f t="shared" si="979"/>
        <v>0.69418632168494121</v>
      </c>
      <c r="L2388" s="2">
        <f t="shared" si="974"/>
        <v>1.1043622308117063E-3</v>
      </c>
      <c r="M2388" s="2">
        <f t="shared" si="980"/>
        <v>4.0135678788356853E-2</v>
      </c>
      <c r="N2388" s="63">
        <v>16770</v>
      </c>
      <c r="O2388" s="63">
        <v>44001</v>
      </c>
      <c r="P2388" s="63">
        <f>IF(Copyright!B$11=1,IF(CD2388&gt;0,CD2388,""),"")</f>
        <v>70</v>
      </c>
      <c r="Q2388" s="63">
        <v>1414</v>
      </c>
      <c r="R2388" s="63">
        <v>449</v>
      </c>
      <c r="S2388" s="63">
        <v>235</v>
      </c>
      <c r="T2388" s="63"/>
      <c r="U2388" s="63"/>
      <c r="V2388" s="63"/>
      <c r="W2388" s="63">
        <f>IF(Copyright!B$11=1,IF(CA2388&gt;0,CA2388-SUM(T2388:V2388)-SUM(X2388:AQ2388)-CD2388,0),0)</f>
        <v>446</v>
      </c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W2388" s="5">
        <f>IF(Q2388&gt;0,RANK(Q2388,(N2388:P2388,Q2388:AE2388)),0)</f>
        <v>3</v>
      </c>
      <c r="AX2388" s="5">
        <f>IF(R2388&gt;0,RANK(R2388,(N2388:P2388,Q2388:AE2388)),0)</f>
        <v>4</v>
      </c>
      <c r="AY2388" s="5">
        <f>IF(T2388&gt;0,RANK(T2388,(N2388:P2388,Q2388:AE2388)),0)</f>
        <v>0</v>
      </c>
      <c r="AZ2388" s="5">
        <f>IF(S2388&gt;0,RANK(S2388,(N2388:P2388,Q2388:AE2388)),0)</f>
        <v>6</v>
      </c>
      <c r="BA2388" s="2">
        <f t="shared" si="981"/>
        <v>2.2308117062396465E-2</v>
      </c>
      <c r="BB2388" s="2">
        <f t="shared" si="982"/>
        <v>7.0836948804922301E-3</v>
      </c>
      <c r="BC2388" s="2">
        <f t="shared" si="983"/>
        <v>0</v>
      </c>
      <c r="BD2388" s="2">
        <f t="shared" si="984"/>
        <v>3.707501774867871E-3</v>
      </c>
      <c r="BF2388" t="s">
        <v>1464</v>
      </c>
      <c r="BG2388" t="s">
        <v>1020</v>
      </c>
      <c r="BH2388" s="63">
        <v>17</v>
      </c>
      <c r="BJ2388" s="114">
        <v>42</v>
      </c>
      <c r="BK2388" s="116">
        <v>107</v>
      </c>
      <c r="BL2388" s="120">
        <f t="shared" si="976"/>
        <v>42107</v>
      </c>
      <c r="BN2388" s="5" t="s">
        <v>3154</v>
      </c>
      <c r="BY2388" s="63">
        <f t="shared" si="975"/>
        <v>0</v>
      </c>
      <c r="BZ2388" s="63">
        <v>63385</v>
      </c>
      <c r="CA2388" s="63">
        <v>516</v>
      </c>
      <c r="CB2388" s="132"/>
      <c r="CC2388" s="63">
        <v>164</v>
      </c>
      <c r="CD2388" s="63">
        <v>70</v>
      </c>
    </row>
    <row r="2389" spans="1:82" hidden="1" outlineLevel="1">
      <c r="A2389" t="s">
        <v>2236</v>
      </c>
      <c r="B2389" t="s">
        <v>1020</v>
      </c>
      <c r="C2389" s="1">
        <f t="shared" si="977"/>
        <v>16486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 t="e">
        <f>IF(P2389&gt;0,RANK(P2389,(N2389:P2389,Q2389:AE2389)),0)</f>
        <v>#VALUE!</v>
      </c>
      <c r="G2389" s="132">
        <f t="shared" si="985"/>
        <v>7723</v>
      </c>
      <c r="H2389" s="137">
        <f t="shared" si="986"/>
        <v>0.46845808564842895</v>
      </c>
      <c r="I2389" s="2"/>
      <c r="J2389" s="2">
        <f t="shared" si="978"/>
        <v>0.24275142545189857</v>
      </c>
      <c r="K2389" s="2">
        <f t="shared" si="979"/>
        <v>0.7112095111003276</v>
      </c>
      <c r="L2389" s="2">
        <f t="shared" si="974"/>
        <v>0</v>
      </c>
      <c r="M2389" s="2">
        <f t="shared" si="980"/>
        <v>4.6039063447773865E-2</v>
      </c>
      <c r="N2389" s="63">
        <v>4002</v>
      </c>
      <c r="O2389" s="63">
        <v>11725</v>
      </c>
      <c r="P2389" s="63" t="str">
        <f>IF(Copyright!B$11=1,IF(CD2389&gt;0,CD2389,""),"")</f>
        <v/>
      </c>
      <c r="Q2389" s="63">
        <v>455</v>
      </c>
      <c r="R2389" s="63">
        <v>111</v>
      </c>
      <c r="S2389" s="63">
        <v>70</v>
      </c>
      <c r="T2389" s="63"/>
      <c r="U2389" s="63"/>
      <c r="V2389" s="63"/>
      <c r="W2389" s="63">
        <f>IF(Copyright!B$11=1,IF(CA2389&gt;0,CA2389-SUM(T2389:V2389)-SUM(X2389:AQ2389)-CD2389,0),0)</f>
        <v>123</v>
      </c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W2389" s="5">
        <f>IF(Q2389&gt;0,RANK(Q2389,(N2389:P2389,Q2389:AE2389)),0)</f>
        <v>3</v>
      </c>
      <c r="AX2389" s="5">
        <f>IF(R2389&gt;0,RANK(R2389,(N2389:P2389,Q2389:AE2389)),0)</f>
        <v>5</v>
      </c>
      <c r="AY2389" s="5">
        <f>IF(T2389&gt;0,RANK(T2389,(N2389:P2389,Q2389:AE2389)),0)</f>
        <v>0</v>
      </c>
      <c r="AZ2389" s="5">
        <f>IF(S2389&gt;0,RANK(S2389,(N2389:P2389,Q2389:AE2389)),0)</f>
        <v>6</v>
      </c>
      <c r="BA2389" s="2">
        <f t="shared" si="981"/>
        <v>2.7599175057624652E-2</v>
      </c>
      <c r="BB2389" s="2">
        <f t="shared" si="982"/>
        <v>6.7329855635084312E-3</v>
      </c>
      <c r="BC2389" s="2">
        <f t="shared" si="983"/>
        <v>0</v>
      </c>
      <c r="BD2389" s="2">
        <f t="shared" si="984"/>
        <v>4.2460269319422542E-3</v>
      </c>
      <c r="BF2389" t="s">
        <v>2236</v>
      </c>
      <c r="BG2389" t="s">
        <v>1020</v>
      </c>
      <c r="BH2389" s="63">
        <v>10</v>
      </c>
      <c r="BJ2389" s="114">
        <v>42</v>
      </c>
      <c r="BK2389" s="116">
        <v>109</v>
      </c>
      <c r="BL2389" s="120">
        <f t="shared" si="976"/>
        <v>42109</v>
      </c>
      <c r="BN2389" s="5" t="s">
        <v>3154</v>
      </c>
      <c r="BY2389" s="63">
        <f t="shared" si="975"/>
        <v>0</v>
      </c>
      <c r="BZ2389" s="63">
        <v>16486</v>
      </c>
      <c r="CA2389" s="63">
        <v>123</v>
      </c>
      <c r="CB2389" s="132"/>
    </row>
    <row r="2390" spans="1:82" hidden="1" outlineLevel="1">
      <c r="A2390" t="s">
        <v>1787</v>
      </c>
      <c r="B2390" t="s">
        <v>1020</v>
      </c>
      <c r="C2390" s="1">
        <f t="shared" si="977"/>
        <v>36073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 t="e">
        <f>IF(P2390&gt;0,RANK(P2390,(N2390:P2390,Q2390:AE2390)),0)</f>
        <v>#VALUE!</v>
      </c>
      <c r="G2390" s="132">
        <f t="shared" si="985"/>
        <v>20003</v>
      </c>
      <c r="H2390" s="137">
        <f t="shared" si="986"/>
        <v>0.55451445679594158</v>
      </c>
      <c r="I2390" s="2"/>
      <c r="J2390" s="2">
        <f t="shared" si="978"/>
        <v>0.20447426052726417</v>
      </c>
      <c r="K2390" s="2">
        <f t="shared" si="979"/>
        <v>0.75898871732320572</v>
      </c>
      <c r="L2390" s="2">
        <f t="shared" si="974"/>
        <v>0</v>
      </c>
      <c r="M2390" s="2">
        <f t="shared" si="980"/>
        <v>3.6537022149530141E-2</v>
      </c>
      <c r="N2390" s="63">
        <v>7376</v>
      </c>
      <c r="O2390" s="63">
        <v>27379</v>
      </c>
      <c r="P2390" s="63" t="str">
        <f>IF(Copyright!B$11=1,IF(CD2390&gt;0,CD2390,""),"")</f>
        <v/>
      </c>
      <c r="Q2390" s="63">
        <v>678</v>
      </c>
      <c r="R2390" s="63">
        <v>166</v>
      </c>
      <c r="S2390" s="63">
        <v>174</v>
      </c>
      <c r="T2390" s="63"/>
      <c r="U2390" s="63"/>
      <c r="V2390" s="63"/>
      <c r="W2390" s="63">
        <f>IF(Copyright!B$11=1,IF(CA2390&gt;0,CA2390-SUM(T2390:V2390)-SUM(X2390:AQ2390)-CD2390,0),0)</f>
        <v>300</v>
      </c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W2390" s="5">
        <f>IF(Q2390&gt;0,RANK(Q2390,(N2390:P2390,Q2390:AE2390)),0)</f>
        <v>3</v>
      </c>
      <c r="AX2390" s="5">
        <f>IF(R2390&gt;0,RANK(R2390,(N2390:P2390,Q2390:AE2390)),0)</f>
        <v>6</v>
      </c>
      <c r="AY2390" s="5">
        <f>IF(T2390&gt;0,RANK(T2390,(N2390:P2390,Q2390:AE2390)),0)</f>
        <v>0</v>
      </c>
      <c r="AZ2390" s="5">
        <f>IF(S2390&gt;0,RANK(S2390,(N2390:P2390,Q2390:AE2390)),0)</f>
        <v>5</v>
      </c>
      <c r="BA2390" s="2">
        <f t="shared" si="981"/>
        <v>1.8795220802262081E-2</v>
      </c>
      <c r="BB2390" s="2">
        <f t="shared" si="982"/>
        <v>4.601779724447648E-3</v>
      </c>
      <c r="BC2390" s="2">
        <f t="shared" si="983"/>
        <v>0</v>
      </c>
      <c r="BD2390" s="2">
        <f t="shared" si="984"/>
        <v>4.8235522412884979E-3</v>
      </c>
      <c r="BF2390" t="s">
        <v>1787</v>
      </c>
      <c r="BG2390" t="s">
        <v>1020</v>
      </c>
      <c r="BH2390" s="63"/>
      <c r="BJ2390" s="114">
        <v>42</v>
      </c>
      <c r="BK2390" s="116">
        <v>111</v>
      </c>
      <c r="BL2390" s="120">
        <f t="shared" si="976"/>
        <v>42111</v>
      </c>
      <c r="BN2390" s="5" t="s">
        <v>3154</v>
      </c>
      <c r="BY2390" s="63">
        <f t="shared" si="975"/>
        <v>43</v>
      </c>
      <c r="BZ2390" s="133">
        <v>36030</v>
      </c>
      <c r="CA2390" s="133">
        <v>300</v>
      </c>
      <c r="CB2390" s="132"/>
    </row>
    <row r="2391" spans="1:82" hidden="1" outlineLevel="1">
      <c r="A2391" t="s">
        <v>1040</v>
      </c>
      <c r="B2391" t="s">
        <v>1020</v>
      </c>
      <c r="C2391" s="1">
        <f t="shared" si="977"/>
        <v>3152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7</v>
      </c>
      <c r="G2391" s="132">
        <f t="shared" si="985"/>
        <v>1541</v>
      </c>
      <c r="H2391" s="137">
        <f t="shared" si="986"/>
        <v>0.48889593908629442</v>
      </c>
      <c r="I2391" s="2"/>
      <c r="J2391" s="2">
        <f t="shared" si="978"/>
        <v>0.23794416243654823</v>
      </c>
      <c r="K2391" s="2">
        <f t="shared" si="979"/>
        <v>0.72684010152284262</v>
      </c>
      <c r="L2391" s="2">
        <f t="shared" si="974"/>
        <v>3.1725888324873094E-4</v>
      </c>
      <c r="M2391" s="2">
        <f t="shared" si="980"/>
        <v>3.4898477157360393E-2</v>
      </c>
      <c r="N2391" s="63">
        <v>750</v>
      </c>
      <c r="O2391" s="63">
        <v>2291</v>
      </c>
      <c r="P2391" s="63">
        <f>IF(Copyright!B$11=1,IF(CD2391&gt;0,CD2391,""),"")</f>
        <v>1</v>
      </c>
      <c r="Q2391" s="63">
        <v>65</v>
      </c>
      <c r="R2391" s="63">
        <v>14</v>
      </c>
      <c r="S2391" s="63">
        <v>16</v>
      </c>
      <c r="T2391" s="63"/>
      <c r="U2391" s="63"/>
      <c r="V2391" s="63"/>
      <c r="W2391" s="63">
        <f>IF(Copyright!B$11=1,IF(CA2391&gt;0,CA2391-SUM(T2391:V2391)-SUM(X2391:AQ2391)-CD2391,0),0)</f>
        <v>15</v>
      </c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W2391" s="5">
        <f>IF(Q2391&gt;0,RANK(Q2391,(N2391:P2391,Q2391:AE2391)),0)</f>
        <v>3</v>
      </c>
      <c r="AX2391" s="5">
        <f>IF(R2391&gt;0,RANK(R2391,(N2391:P2391,Q2391:AE2391)),0)</f>
        <v>6</v>
      </c>
      <c r="AY2391" s="5">
        <f>IF(T2391&gt;0,RANK(T2391,(N2391:P2391,Q2391:AE2391)),0)</f>
        <v>0</v>
      </c>
      <c r="AZ2391" s="5">
        <f>IF(S2391&gt;0,RANK(S2391,(N2391:P2391,Q2391:AE2391)),0)</f>
        <v>4</v>
      </c>
      <c r="BA2391" s="2">
        <f t="shared" si="981"/>
        <v>2.0621827411167512E-2</v>
      </c>
      <c r="BB2391" s="2">
        <f t="shared" si="982"/>
        <v>4.4416243654822338E-3</v>
      </c>
      <c r="BC2391" s="2">
        <f t="shared" si="983"/>
        <v>0</v>
      </c>
      <c r="BD2391" s="2">
        <f t="shared" si="984"/>
        <v>5.076142131979695E-3</v>
      </c>
      <c r="BF2391" t="s">
        <v>1040</v>
      </c>
      <c r="BG2391" t="s">
        <v>1020</v>
      </c>
      <c r="BH2391" s="63">
        <v>10</v>
      </c>
      <c r="BJ2391" s="114">
        <v>42</v>
      </c>
      <c r="BK2391" s="116">
        <v>113</v>
      </c>
      <c r="BL2391" s="120">
        <f t="shared" si="976"/>
        <v>42113</v>
      </c>
      <c r="BN2391" s="5" t="s">
        <v>3154</v>
      </c>
      <c r="BY2391" s="63">
        <f t="shared" si="975"/>
        <v>0</v>
      </c>
      <c r="BZ2391" s="63">
        <f>750+2291+16+14+65+5+1+10</f>
        <v>3152</v>
      </c>
      <c r="CA2391" s="63">
        <f>10+5+1</f>
        <v>16</v>
      </c>
      <c r="CB2391" s="132"/>
      <c r="CC2391" s="63">
        <v>5</v>
      </c>
      <c r="CD2391" s="63">
        <v>1</v>
      </c>
    </row>
    <row r="2392" spans="1:82" hidden="1" outlineLevel="1">
      <c r="A2392" t="s">
        <v>1947</v>
      </c>
      <c r="B2392" t="s">
        <v>1020</v>
      </c>
      <c r="C2392" s="1">
        <f t="shared" si="977"/>
        <v>19043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 t="e">
        <f>IF(P2392&gt;0,RANK(P2392,(N2392:P2392,Q2392:AE2392)),0)</f>
        <v>#VALUE!</v>
      </c>
      <c r="G2392" s="132">
        <f t="shared" si="985"/>
        <v>7768</v>
      </c>
      <c r="H2392" s="137">
        <f t="shared" si="986"/>
        <v>0.407918920338182</v>
      </c>
      <c r="I2392" s="2"/>
      <c r="J2392" s="2">
        <f t="shared" si="978"/>
        <v>0.26902273801396837</v>
      </c>
      <c r="K2392" s="2">
        <f t="shared" si="979"/>
        <v>0.67694165835215037</v>
      </c>
      <c r="L2392" s="2">
        <f t="shared" si="974"/>
        <v>0</v>
      </c>
      <c r="M2392" s="2">
        <f t="shared" si="980"/>
        <v>5.4035603633881268E-2</v>
      </c>
      <c r="N2392" s="63">
        <v>5123</v>
      </c>
      <c r="O2392" s="63">
        <v>12891</v>
      </c>
      <c r="P2392" s="63" t="str">
        <f>IF(Copyright!B$11=1,IF(CD2392&gt;0,CD2392,""),"")</f>
        <v/>
      </c>
      <c r="Q2392" s="63">
        <v>568</v>
      </c>
      <c r="R2392" s="63">
        <v>192</v>
      </c>
      <c r="S2392" s="63">
        <v>89</v>
      </c>
      <c r="T2392" s="63"/>
      <c r="U2392" s="63"/>
      <c r="V2392" s="63"/>
      <c r="W2392" s="63">
        <f>IF(Copyright!B$11=1,IF(CA2392&gt;0,CA2392-SUM(T2392:V2392)-SUM(X2392:AQ2392)-CD2392,0),0)</f>
        <v>180</v>
      </c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W2392" s="5">
        <f>IF(Q2392&gt;0,RANK(Q2392,(N2392:P2392,Q2392:AE2392)),0)</f>
        <v>3</v>
      </c>
      <c r="AX2392" s="5">
        <f>IF(R2392&gt;0,RANK(R2392,(N2392:P2392,Q2392:AE2392)),0)</f>
        <v>4</v>
      </c>
      <c r="AY2392" s="5">
        <f>IF(T2392&gt;0,RANK(T2392,(N2392:P2392,Q2392:AE2392)),0)</f>
        <v>0</v>
      </c>
      <c r="AZ2392" s="5">
        <f>IF(S2392&gt;0,RANK(S2392,(N2392:P2392,Q2392:AE2392)),0)</f>
        <v>6</v>
      </c>
      <c r="BA2392" s="2">
        <f t="shared" si="981"/>
        <v>2.9827233104027726E-2</v>
      </c>
      <c r="BB2392" s="2">
        <f t="shared" si="982"/>
        <v>1.0082444992910781E-2</v>
      </c>
      <c r="BC2392" s="2">
        <f t="shared" si="983"/>
        <v>0</v>
      </c>
      <c r="BD2392" s="2">
        <f t="shared" si="984"/>
        <v>4.6736333560888519E-3</v>
      </c>
      <c r="BF2392" t="s">
        <v>1947</v>
      </c>
      <c r="BG2392" t="s">
        <v>1020</v>
      </c>
      <c r="BH2392" s="63">
        <v>10</v>
      </c>
      <c r="BJ2392" s="114">
        <v>42</v>
      </c>
      <c r="BK2392" s="116">
        <v>115</v>
      </c>
      <c r="BL2392" s="120">
        <f t="shared" si="976"/>
        <v>42115</v>
      </c>
      <c r="BN2392" s="5" t="s">
        <v>3154</v>
      </c>
      <c r="BY2392" s="63">
        <f t="shared" si="975"/>
        <v>-337</v>
      </c>
      <c r="BZ2392" s="133">
        <f>5065+13295+89+192+559+180</f>
        <v>19380</v>
      </c>
      <c r="CA2392" s="133">
        <v>180</v>
      </c>
      <c r="CB2392" s="132"/>
    </row>
    <row r="2393" spans="1:82" hidden="1" outlineLevel="1">
      <c r="A2393" t="s">
        <v>2344</v>
      </c>
      <c r="B2393" t="s">
        <v>1020</v>
      </c>
      <c r="C2393" s="1">
        <f t="shared" si="977"/>
        <v>18507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 t="e">
        <f>IF(P2393&gt;0,RANK(P2393,(N2393:P2393,Q2393:AE2393)),0)</f>
        <v>#VALUE!</v>
      </c>
      <c r="G2393" s="132">
        <f t="shared" si="985"/>
        <v>9713</v>
      </c>
      <c r="H2393" s="137">
        <f t="shared" si="986"/>
        <v>0.52482844329172751</v>
      </c>
      <c r="I2393" s="2"/>
      <c r="J2393" s="2">
        <f t="shared" si="978"/>
        <v>0.21078510833738584</v>
      </c>
      <c r="K2393" s="2">
        <f t="shared" si="979"/>
        <v>0.73561355162911335</v>
      </c>
      <c r="L2393" s="2">
        <f t="shared" si="974"/>
        <v>0</v>
      </c>
      <c r="M2393" s="2">
        <f t="shared" si="980"/>
        <v>5.3601340033500811E-2</v>
      </c>
      <c r="N2393" s="63">
        <v>3901</v>
      </c>
      <c r="O2393" s="63">
        <v>13614</v>
      </c>
      <c r="P2393" s="63" t="str">
        <f>IF(Copyright!B$11=1,IF(CD2393&gt;0,CD2393,""),"")</f>
        <v/>
      </c>
      <c r="Q2393" s="63">
        <v>548</v>
      </c>
      <c r="R2393" s="63">
        <v>139</v>
      </c>
      <c r="S2393" s="63">
        <v>123</v>
      </c>
      <c r="T2393" s="63"/>
      <c r="U2393" s="63"/>
      <c r="V2393" s="63"/>
      <c r="W2393" s="63">
        <f>IF(Copyright!B$11=1,IF(CA2393&gt;0,CA2393-SUM(T2393:V2393)-SUM(X2393:AQ2393)-CD2393,0),0)</f>
        <v>182</v>
      </c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W2393" s="5">
        <f>IF(Q2393&gt;0,RANK(Q2393,(N2393:P2393,Q2393:AE2393)),0)</f>
        <v>3</v>
      </c>
      <c r="AX2393" s="5">
        <f>IF(R2393&gt;0,RANK(R2393,(N2393:P2393,Q2393:AE2393)),0)</f>
        <v>5</v>
      </c>
      <c r="AY2393" s="5">
        <f>IF(T2393&gt;0,RANK(T2393,(N2393:P2393,Q2393:AE2393)),0)</f>
        <v>0</v>
      </c>
      <c r="AZ2393" s="5">
        <f>IF(S2393&gt;0,RANK(S2393,(N2393:P2393,Q2393:AE2393)),0)</f>
        <v>6</v>
      </c>
      <c r="BA2393" s="2">
        <f t="shared" si="981"/>
        <v>2.9610417679796833E-2</v>
      </c>
      <c r="BB2393" s="2">
        <f t="shared" si="982"/>
        <v>7.5106716377586862E-3</v>
      </c>
      <c r="BC2393" s="2">
        <f t="shared" si="983"/>
        <v>0</v>
      </c>
      <c r="BD2393" s="2">
        <f t="shared" si="984"/>
        <v>6.6461338952828663E-3</v>
      </c>
      <c r="BF2393" t="s">
        <v>2344</v>
      </c>
      <c r="BG2393" t="s">
        <v>1020</v>
      </c>
      <c r="BH2393" s="63"/>
      <c r="BJ2393" s="114">
        <v>42</v>
      </c>
      <c r="BK2393" s="116">
        <v>117</v>
      </c>
      <c r="BL2393" s="120">
        <f t="shared" si="976"/>
        <v>42117</v>
      </c>
      <c r="BN2393" s="5" t="s">
        <v>3154</v>
      </c>
      <c r="BY2393" s="63">
        <f t="shared" si="975"/>
        <v>0</v>
      </c>
      <c r="BZ2393" s="63">
        <v>18507</v>
      </c>
      <c r="CA2393" s="63">
        <v>182</v>
      </c>
      <c r="CB2393" s="132"/>
    </row>
    <row r="2394" spans="1:82" hidden="1" outlineLevel="1">
      <c r="A2394" t="s">
        <v>1513</v>
      </c>
      <c r="B2394" t="s">
        <v>1020</v>
      </c>
      <c r="C2394" s="1">
        <f t="shared" si="977"/>
        <v>17696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7</v>
      </c>
      <c r="G2394" s="132">
        <f t="shared" si="985"/>
        <v>4442</v>
      </c>
      <c r="H2394" s="137">
        <f t="shared" si="986"/>
        <v>0.25101717902350812</v>
      </c>
      <c r="I2394" s="2"/>
      <c r="J2394" s="2">
        <f t="shared" si="978"/>
        <v>0.34923146473779387</v>
      </c>
      <c r="K2394" s="2">
        <f t="shared" si="979"/>
        <v>0.60024864376130194</v>
      </c>
      <c r="L2394" s="2">
        <f t="shared" si="974"/>
        <v>3.7296564195298371E-3</v>
      </c>
      <c r="M2394" s="2">
        <f t="shared" si="980"/>
        <v>4.6790235081374351E-2</v>
      </c>
      <c r="N2394" s="63">
        <v>6180</v>
      </c>
      <c r="O2394" s="63">
        <v>10622</v>
      </c>
      <c r="P2394" s="63">
        <f>IF(Copyright!B$11=1,IF(CD2394&gt;0,CD2394,""),"")</f>
        <v>66</v>
      </c>
      <c r="Q2394" s="63">
        <v>450</v>
      </c>
      <c r="R2394" s="63">
        <v>143</v>
      </c>
      <c r="S2394" s="63">
        <v>73</v>
      </c>
      <c r="T2394" s="63"/>
      <c r="U2394" s="63"/>
      <c r="V2394" s="63"/>
      <c r="W2394" s="63">
        <f>IF(Copyright!B$11=1,IF(CA2394&gt;0,CA2394-SUM(T2394:V2394)-SUM(X2394:AQ2394)-CD2394,0),0)</f>
        <v>162</v>
      </c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W2394" s="5">
        <f>IF(Q2394&gt;0,RANK(Q2394,(N2394:P2394,Q2394:AE2394)),0)</f>
        <v>3</v>
      </c>
      <c r="AX2394" s="5">
        <f>IF(R2394&gt;0,RANK(R2394,(N2394:P2394,Q2394:AE2394)),0)</f>
        <v>5</v>
      </c>
      <c r="AY2394" s="5">
        <f>IF(T2394&gt;0,RANK(T2394,(N2394:P2394,Q2394:AE2394)),0)</f>
        <v>0</v>
      </c>
      <c r="AZ2394" s="5">
        <f>IF(S2394&gt;0,RANK(S2394,(N2394:P2394,Q2394:AE2394)),0)</f>
        <v>6</v>
      </c>
      <c r="BA2394" s="2">
        <f t="shared" si="981"/>
        <v>2.5429475587703435E-2</v>
      </c>
      <c r="BB2394" s="2">
        <f t="shared" si="982"/>
        <v>8.0809222423146466E-3</v>
      </c>
      <c r="BC2394" s="2">
        <f t="shared" si="983"/>
        <v>0</v>
      </c>
      <c r="BD2394" s="2">
        <f t="shared" si="984"/>
        <v>4.1252260397830016E-3</v>
      </c>
      <c r="BF2394" t="s">
        <v>1513</v>
      </c>
      <c r="BG2394" t="s">
        <v>1020</v>
      </c>
      <c r="BH2394" s="63">
        <v>10</v>
      </c>
      <c r="BJ2394" s="114">
        <v>42</v>
      </c>
      <c r="BK2394" s="116">
        <v>119</v>
      </c>
      <c r="BL2394" s="120">
        <f t="shared" si="976"/>
        <v>42119</v>
      </c>
      <c r="BN2394" s="5" t="s">
        <v>3154</v>
      </c>
      <c r="BY2394" s="63">
        <f t="shared" si="975"/>
        <v>0</v>
      </c>
      <c r="BZ2394" s="63">
        <f>17627+9+28+5+5+11+1+2+6+2</f>
        <v>17696</v>
      </c>
      <c r="CA2394" s="63">
        <v>228</v>
      </c>
      <c r="CB2394" s="132"/>
      <c r="CD2394" s="63">
        <v>66</v>
      </c>
    </row>
    <row r="2395" spans="1:82" hidden="1" outlineLevel="1">
      <c r="A2395" t="s">
        <v>2204</v>
      </c>
      <c r="B2395" t="s">
        <v>1020</v>
      </c>
      <c r="C2395" s="1">
        <f t="shared" si="977"/>
        <v>23530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 t="e">
        <f>IF(P2395&gt;0,RANK(P2395,(N2395:P2395,Q2395:AE2395)),0)</f>
        <v>#VALUE!</v>
      </c>
      <c r="G2395" s="132">
        <f t="shared" si="985"/>
        <v>9712</v>
      </c>
      <c r="H2395" s="137">
        <f t="shared" si="986"/>
        <v>0.41274968125796857</v>
      </c>
      <c r="I2395" s="2"/>
      <c r="J2395" s="2">
        <f t="shared" si="978"/>
        <v>0.26812579685507865</v>
      </c>
      <c r="K2395" s="2">
        <f t="shared" si="979"/>
        <v>0.68087547811304716</v>
      </c>
      <c r="L2395" s="2">
        <f t="shared" si="974"/>
        <v>0</v>
      </c>
      <c r="M2395" s="2">
        <f t="shared" si="980"/>
        <v>5.0998725031874192E-2</v>
      </c>
      <c r="N2395" s="63">
        <v>6309</v>
      </c>
      <c r="O2395" s="63">
        <v>16021</v>
      </c>
      <c r="P2395" s="63" t="str">
        <f>IF(Copyright!B$11=1,IF(CD2395&gt;0,CD2395,""),"")</f>
        <v/>
      </c>
      <c r="Q2395" s="63">
        <v>733</v>
      </c>
      <c r="R2395" s="63">
        <v>149</v>
      </c>
      <c r="S2395" s="63">
        <v>136</v>
      </c>
      <c r="T2395" s="63"/>
      <c r="U2395" s="63"/>
      <c r="V2395" s="63"/>
      <c r="W2395" s="63">
        <f>IF(Copyright!B$11=1,IF(CA2395&gt;0,CA2395-SUM(T2395:V2395)-SUM(X2395:AQ2395)-CD2395,0),0)</f>
        <v>182</v>
      </c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W2395" s="5">
        <f>IF(Q2395&gt;0,RANK(Q2395,(N2395:P2395,Q2395:AE2395)),0)</f>
        <v>3</v>
      </c>
      <c r="AX2395" s="5">
        <f>IF(R2395&gt;0,RANK(R2395,(N2395:P2395,Q2395:AE2395)),0)</f>
        <v>5</v>
      </c>
      <c r="AY2395" s="5">
        <f>IF(T2395&gt;0,RANK(T2395,(N2395:P2395,Q2395:AE2395)),0)</f>
        <v>0</v>
      </c>
      <c r="AZ2395" s="5">
        <f>IF(S2395&gt;0,RANK(S2395,(N2395:P2395,Q2395:AE2395)),0)</f>
        <v>6</v>
      </c>
      <c r="BA2395" s="2">
        <f t="shared" si="981"/>
        <v>3.1151721206969827E-2</v>
      </c>
      <c r="BB2395" s="2">
        <f t="shared" si="982"/>
        <v>6.3323416914577131E-3</v>
      </c>
      <c r="BC2395" s="2">
        <f t="shared" si="983"/>
        <v>0</v>
      </c>
      <c r="BD2395" s="2">
        <f t="shared" si="984"/>
        <v>5.77985550361241E-3</v>
      </c>
      <c r="BF2395" t="s">
        <v>2204</v>
      </c>
      <c r="BG2395" t="s">
        <v>1020</v>
      </c>
      <c r="BH2395" s="63">
        <v>5</v>
      </c>
      <c r="BJ2395" s="114">
        <v>42</v>
      </c>
      <c r="BK2395" s="116">
        <v>121</v>
      </c>
      <c r="BL2395" s="120">
        <f t="shared" si="976"/>
        <v>42121</v>
      </c>
      <c r="BN2395" s="5" t="s">
        <v>3154</v>
      </c>
      <c r="BO2395" s="63">
        <v>209</v>
      </c>
      <c r="BP2395" s="63">
        <v>0</v>
      </c>
      <c r="BR2395" s="63"/>
      <c r="BY2395" s="63">
        <f t="shared" si="975"/>
        <v>0</v>
      </c>
      <c r="BZ2395" s="63">
        <f>6309+16021+136+149+733+182</f>
        <v>23530</v>
      </c>
      <c r="CA2395" s="63">
        <v>182</v>
      </c>
      <c r="CB2395" s="132"/>
    </row>
    <row r="2396" spans="1:82" hidden="1" outlineLevel="1">
      <c r="A2396" t="s">
        <v>422</v>
      </c>
      <c r="B2396" t="s">
        <v>1020</v>
      </c>
      <c r="C2396" s="1">
        <f t="shared" si="977"/>
        <v>18434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 t="e">
        <f>IF(P2396&gt;0,RANK(P2396,(N2396:P2396,Q2396:AE2396)),0)</f>
        <v>#VALUE!</v>
      </c>
      <c r="G2396" s="132">
        <f t="shared" si="985"/>
        <v>7332</v>
      </c>
      <c r="H2396" s="137">
        <f t="shared" si="986"/>
        <v>0.39774330042313116</v>
      </c>
      <c r="I2396" s="2"/>
      <c r="J2396" s="2">
        <f t="shared" si="978"/>
        <v>0.27910382987957039</v>
      </c>
      <c r="K2396" s="2">
        <f t="shared" si="979"/>
        <v>0.67684713030270149</v>
      </c>
      <c r="L2396" s="2">
        <f t="shared" si="974"/>
        <v>0</v>
      </c>
      <c r="M2396" s="2">
        <f t="shared" si="980"/>
        <v>4.4049039817728119E-2</v>
      </c>
      <c r="N2396" s="63">
        <v>5145</v>
      </c>
      <c r="O2396" s="63">
        <v>12477</v>
      </c>
      <c r="P2396" s="63" t="str">
        <f>IF(Copyright!B$11=1,IF(CD2396&gt;0,CD2396,""),"")</f>
        <v/>
      </c>
      <c r="Q2396" s="63">
        <v>549</v>
      </c>
      <c r="R2396" s="63">
        <v>130</v>
      </c>
      <c r="S2396" s="63">
        <v>133</v>
      </c>
      <c r="T2396" s="63"/>
      <c r="U2396" s="63"/>
      <c r="V2396" s="63"/>
      <c r="W2396" s="63">
        <f>IF(Copyright!B$11=1,IF(CA2396&gt;0,CA2396-SUM(T2396:V2396)-SUM(X2396:AQ2396)-CD2396,0),0)</f>
        <v>0</v>
      </c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W2396" s="5">
        <f>IF(Q2396&gt;0,RANK(Q2396,(N2396:P2396,Q2396:AE2396)),0)</f>
        <v>3</v>
      </c>
      <c r="AX2396" s="5">
        <f>IF(R2396&gt;0,RANK(R2396,(N2396:P2396,Q2396:AE2396)),0)</f>
        <v>5</v>
      </c>
      <c r="AY2396" s="5">
        <f>IF(T2396&gt;0,RANK(T2396,(N2396:P2396,Q2396:AE2396)),0)</f>
        <v>0</v>
      </c>
      <c r="AZ2396" s="5">
        <f>IF(S2396&gt;0,RANK(S2396,(N2396:P2396,Q2396:AE2396)),0)</f>
        <v>4</v>
      </c>
      <c r="BA2396" s="2">
        <f t="shared" si="981"/>
        <v>2.9781924704350655E-2</v>
      </c>
      <c r="BB2396" s="2">
        <f t="shared" si="982"/>
        <v>7.052186177715092E-3</v>
      </c>
      <c r="BC2396" s="2">
        <f t="shared" si="983"/>
        <v>0</v>
      </c>
      <c r="BD2396" s="2">
        <f t="shared" si="984"/>
        <v>7.2149289356623634E-3</v>
      </c>
      <c r="BF2396" t="s">
        <v>422</v>
      </c>
      <c r="BG2396" t="s">
        <v>1020</v>
      </c>
      <c r="BH2396" s="63">
        <v>5</v>
      </c>
      <c r="BJ2396" s="114">
        <v>42</v>
      </c>
      <c r="BK2396" s="116">
        <v>123</v>
      </c>
      <c r="BL2396" s="120">
        <f t="shared" si="976"/>
        <v>42123</v>
      </c>
      <c r="BN2396" s="5" t="s">
        <v>3154</v>
      </c>
      <c r="BY2396" s="63">
        <f t="shared" si="975"/>
        <v>18434</v>
      </c>
      <c r="CA2396" s="63">
        <v>0</v>
      </c>
      <c r="CB2396" s="132"/>
    </row>
    <row r="2397" spans="1:82" hidden="1" outlineLevel="1">
      <c r="A2397" t="s">
        <v>692</v>
      </c>
      <c r="B2397" t="s">
        <v>1020</v>
      </c>
      <c r="C2397" s="1">
        <f t="shared" si="977"/>
        <v>102267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 t="e">
        <f>IF(P2397&gt;0,RANK(P2397,(N2397:P2397,Q2397:AE2397)),0)</f>
        <v>#VALUE!</v>
      </c>
      <c r="G2397" s="132">
        <f t="shared" si="985"/>
        <v>25064</v>
      </c>
      <c r="H2397" s="137">
        <f t="shared" si="986"/>
        <v>0.24508394692324992</v>
      </c>
      <c r="I2397" s="2"/>
      <c r="J2397" s="2">
        <f t="shared" si="978"/>
        <v>0.35516833387114122</v>
      </c>
      <c r="K2397" s="2">
        <f t="shared" si="979"/>
        <v>0.60025228079439119</v>
      </c>
      <c r="L2397" s="2">
        <f t="shared" si="974"/>
        <v>0</v>
      </c>
      <c r="M2397" s="2">
        <f t="shared" si="980"/>
        <v>4.4579385334467592E-2</v>
      </c>
      <c r="N2397" s="63">
        <v>36322</v>
      </c>
      <c r="O2397" s="63">
        <v>61386</v>
      </c>
      <c r="P2397" s="63" t="str">
        <f>IF(Copyright!B$11=1,IF(CD2397&gt;0,CD2397,""),"")</f>
        <v/>
      </c>
      <c r="Q2397" s="63">
        <v>2643</v>
      </c>
      <c r="R2397" s="63">
        <v>733</v>
      </c>
      <c r="S2397" s="63">
        <v>366</v>
      </c>
      <c r="T2397" s="63"/>
      <c r="U2397" s="63"/>
      <c r="V2397" s="63"/>
      <c r="W2397" s="63">
        <f>IF(Copyright!B$11=1,IF(CA2397&gt;0,CA2397-SUM(T2397:V2397)-SUM(X2397:AQ2397)-CD2397,0),0)</f>
        <v>817</v>
      </c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W2397" s="5">
        <f>IF(Q2397&gt;0,RANK(Q2397,(N2397:P2397,Q2397:AE2397)),0)</f>
        <v>3</v>
      </c>
      <c r="AX2397" s="5">
        <f>IF(R2397&gt;0,RANK(R2397,(N2397:P2397,Q2397:AE2397)),0)</f>
        <v>5</v>
      </c>
      <c r="AY2397" s="5">
        <f>IF(T2397&gt;0,RANK(T2397,(N2397:P2397,Q2397:AE2397)),0)</f>
        <v>0</v>
      </c>
      <c r="AZ2397" s="5">
        <f>IF(S2397&gt;0,RANK(S2397,(N2397:P2397,Q2397:AE2397)),0)</f>
        <v>6</v>
      </c>
      <c r="BA2397" s="2">
        <f t="shared" si="981"/>
        <v>2.584411393704714E-2</v>
      </c>
      <c r="BB2397" s="2">
        <f t="shared" si="982"/>
        <v>7.1675124918106521E-3</v>
      </c>
      <c r="BC2397" s="2">
        <f t="shared" si="983"/>
        <v>0</v>
      </c>
      <c r="BD2397" s="2">
        <f t="shared" si="984"/>
        <v>3.578867083223327E-3</v>
      </c>
      <c r="BF2397" t="s">
        <v>692</v>
      </c>
      <c r="BG2397" t="s">
        <v>1020</v>
      </c>
      <c r="BH2397" s="63"/>
      <c r="BJ2397" s="114">
        <v>42</v>
      </c>
      <c r="BK2397" s="116">
        <v>125</v>
      </c>
      <c r="BL2397" s="120">
        <f t="shared" si="976"/>
        <v>42125</v>
      </c>
      <c r="BN2397" s="5" t="s">
        <v>3154</v>
      </c>
      <c r="BY2397" s="63">
        <f t="shared" si="975"/>
        <v>0</v>
      </c>
      <c r="BZ2397" s="63">
        <v>102267</v>
      </c>
      <c r="CA2397" s="63">
        <v>817</v>
      </c>
      <c r="CB2397" s="132"/>
    </row>
    <row r="2398" spans="1:82" hidden="1" outlineLevel="1">
      <c r="A2398" t="s">
        <v>423</v>
      </c>
      <c r="B2398" t="s">
        <v>1020</v>
      </c>
      <c r="C2398" s="1">
        <f t="shared" si="977"/>
        <v>24018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 t="e">
        <f>IF(P2398&gt;0,RANK(P2398,(N2398:P2398,Q2398:AE2398)),0)</f>
        <v>#VALUE!</v>
      </c>
      <c r="G2398" s="132">
        <f t="shared" si="985"/>
        <v>9236</v>
      </c>
      <c r="H2398" s="137">
        <f t="shared" si="986"/>
        <v>0.38454492463985346</v>
      </c>
      <c r="I2398" s="2"/>
      <c r="J2398" s="2">
        <f t="shared" si="978"/>
        <v>0.2917811641269048</v>
      </c>
      <c r="K2398" s="2">
        <f t="shared" si="979"/>
        <v>0.67632608876675826</v>
      </c>
      <c r="L2398" s="2">
        <f t="shared" si="974"/>
        <v>0</v>
      </c>
      <c r="M2398" s="2">
        <f t="shared" si="980"/>
        <v>3.1892747106336938E-2</v>
      </c>
      <c r="N2398" s="63">
        <v>7008</v>
      </c>
      <c r="O2398" s="63">
        <v>16244</v>
      </c>
      <c r="P2398" s="63" t="str">
        <f>IF(Copyright!B$11=1,IF(CD2398&gt;0,CD2398,""),"")</f>
        <v/>
      </c>
      <c r="Q2398" s="63">
        <v>466</v>
      </c>
      <c r="R2398" s="63">
        <v>206</v>
      </c>
      <c r="S2398" s="63">
        <v>94</v>
      </c>
      <c r="T2398" s="63"/>
      <c r="U2398" s="63"/>
      <c r="V2398" s="63"/>
      <c r="W2398" s="63">
        <f>IF(Copyright!B$11=1,IF(CA2398&gt;0,CA2398-SUM(T2398:V2398)-SUM(X2398:AQ2398)-CD2398,0),0)</f>
        <v>0</v>
      </c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W2398" s="5">
        <f>IF(Q2398&gt;0,RANK(Q2398,(N2398:P2398,Q2398:AE2398)),0)</f>
        <v>3</v>
      </c>
      <c r="AX2398" s="5">
        <f>IF(R2398&gt;0,RANK(R2398,(N2398:P2398,Q2398:AE2398)),0)</f>
        <v>4</v>
      </c>
      <c r="AY2398" s="5">
        <f>IF(T2398&gt;0,RANK(T2398,(N2398:P2398,Q2398:AE2398)),0)</f>
        <v>0</v>
      </c>
      <c r="AZ2398" s="5">
        <f>IF(S2398&gt;0,RANK(S2398,(N2398:P2398,Q2398:AE2398)),0)</f>
        <v>5</v>
      </c>
      <c r="BA2398" s="2">
        <f t="shared" si="981"/>
        <v>1.94021150803564E-2</v>
      </c>
      <c r="BB2398" s="2">
        <f t="shared" si="982"/>
        <v>8.5769006578399528E-3</v>
      </c>
      <c r="BC2398" s="2">
        <f t="shared" si="983"/>
        <v>0</v>
      </c>
      <c r="BD2398" s="2">
        <f t="shared" si="984"/>
        <v>3.9137313681405616E-3</v>
      </c>
      <c r="BF2398" t="s">
        <v>423</v>
      </c>
      <c r="BG2398" t="s">
        <v>1020</v>
      </c>
      <c r="BH2398" s="63">
        <v>10</v>
      </c>
      <c r="BJ2398" s="114">
        <v>42</v>
      </c>
      <c r="BK2398" s="116">
        <v>127</v>
      </c>
      <c r="BL2398" s="120">
        <f t="shared" si="976"/>
        <v>42127</v>
      </c>
      <c r="BN2398" s="5" t="s">
        <v>3154</v>
      </c>
      <c r="BY2398" s="63">
        <f t="shared" si="975"/>
        <v>24018</v>
      </c>
      <c r="CA2398" s="63">
        <v>0</v>
      </c>
      <c r="CB2398" s="132"/>
    </row>
    <row r="2399" spans="1:82" hidden="1" outlineLevel="1">
      <c r="A2399" t="s">
        <v>2755</v>
      </c>
      <c r="B2399" t="s">
        <v>1020</v>
      </c>
      <c r="C2399" s="1">
        <f t="shared" si="977"/>
        <v>183492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 t="e">
        <f>IF(P2399&gt;0,RANK(P2399,(N2399:P2399,Q2399:AE2399)),0)</f>
        <v>#VALUE!</v>
      </c>
      <c r="G2399" s="132">
        <f t="shared" si="985"/>
        <v>56853</v>
      </c>
      <c r="H2399" s="137">
        <f t="shared" si="986"/>
        <v>0.309839121051599</v>
      </c>
      <c r="I2399" s="2"/>
      <c r="J2399" s="2">
        <f t="shared" si="978"/>
        <v>0.32518583916465021</v>
      </c>
      <c r="K2399" s="2">
        <f t="shared" si="979"/>
        <v>0.63502496021624921</v>
      </c>
      <c r="L2399" s="2">
        <f t="shared" si="974"/>
        <v>0</v>
      </c>
      <c r="M2399" s="2">
        <f>IF(C2399=0,"-",(1-J2399-K2399-L2399))</f>
        <v>3.9789200619100518E-2</v>
      </c>
      <c r="N2399" s="63">
        <v>59669</v>
      </c>
      <c r="O2399" s="63">
        <v>116522</v>
      </c>
      <c r="P2399" s="63" t="str">
        <f>IF(Copyright!B$11=1,IF(CD2399&gt;0,CD2399,""),"")</f>
        <v/>
      </c>
      <c r="Q2399" s="63">
        <v>4367</v>
      </c>
      <c r="R2399" s="63">
        <v>936</v>
      </c>
      <c r="S2399" s="63">
        <v>557</v>
      </c>
      <c r="T2399" s="63"/>
      <c r="U2399" s="63"/>
      <c r="V2399" s="63"/>
      <c r="W2399" s="63">
        <f>IF(Copyright!B$11=1,IF(CA2399&gt;0,CA2399-SUM(T2399:V2399)-SUM(X2399:AQ2399)-CD2399,0),0)</f>
        <v>1441</v>
      </c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W2399" s="5">
        <f>IF(Q2399&gt;0,RANK(Q2399,(N2399:P2399,Q2399:AE2399)),0)</f>
        <v>3</v>
      </c>
      <c r="AX2399" s="5">
        <f>IF(R2399&gt;0,RANK(R2399,(N2399:P2399,Q2399:AE2399)),0)</f>
        <v>5</v>
      </c>
      <c r="AY2399" s="5">
        <f>IF(T2399&gt;0,RANK(T2399,(N2399:P2399,Q2399:AE2399)),0)</f>
        <v>0</v>
      </c>
      <c r="AZ2399" s="5">
        <f>IF(S2399&gt;0,RANK(S2399,(N2399:P2399,Q2399:AE2399)),0)</f>
        <v>6</v>
      </c>
      <c r="BA2399" s="2">
        <f t="shared" si="981"/>
        <v>2.3799402698755259E-2</v>
      </c>
      <c r="BB2399" s="2">
        <f t="shared" si="982"/>
        <v>5.1010398273494215E-3</v>
      </c>
      <c r="BC2399" s="2">
        <f t="shared" si="983"/>
        <v>0</v>
      </c>
      <c r="BD2399" s="2">
        <f t="shared" si="984"/>
        <v>3.0355546835829357E-3</v>
      </c>
      <c r="BF2399" t="s">
        <v>2755</v>
      </c>
      <c r="BG2399" t="s">
        <v>1020</v>
      </c>
      <c r="BH2399" s="63"/>
      <c r="BJ2399" s="114">
        <v>42</v>
      </c>
      <c r="BK2399" s="116">
        <v>129</v>
      </c>
      <c r="BL2399" s="120">
        <f t="shared" si="976"/>
        <v>42129</v>
      </c>
      <c r="BN2399" s="5" t="s">
        <v>3154</v>
      </c>
      <c r="BY2399" s="63">
        <f t="shared" si="975"/>
        <v>0</v>
      </c>
      <c r="BZ2399" s="63">
        <v>183492</v>
      </c>
      <c r="CA2399" s="63">
        <v>1441</v>
      </c>
      <c r="CB2399" s="132"/>
    </row>
    <row r="2400" spans="1:82" hidden="1" outlineLevel="1">
      <c r="A2400" t="s">
        <v>709</v>
      </c>
      <c r="B2400" t="s">
        <v>1020</v>
      </c>
      <c r="C2400" s="1">
        <f t="shared" si="977"/>
        <v>13255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7</v>
      </c>
      <c r="G2400" s="132">
        <f t="shared" si="985"/>
        <v>5026</v>
      </c>
      <c r="H2400" s="137">
        <f t="shared" si="986"/>
        <v>0.37917766880422482</v>
      </c>
      <c r="I2400" s="2"/>
      <c r="J2400" s="2">
        <f t="shared" si="978"/>
        <v>0.28751414560543193</v>
      </c>
      <c r="K2400" s="2">
        <f t="shared" si="979"/>
        <v>0.66669181440965675</v>
      </c>
      <c r="L2400" s="2">
        <f t="shared" si="974"/>
        <v>1.9615239532251982E-3</v>
      </c>
      <c r="M2400" s="2">
        <f>IF(C2400=0,"-",(1-J2400-K2400-L2400))</f>
        <v>4.3832516031686072E-2</v>
      </c>
      <c r="N2400" s="63">
        <v>3811</v>
      </c>
      <c r="O2400" s="63">
        <v>8837</v>
      </c>
      <c r="P2400" s="63">
        <f>IF(Copyright!B$11=1,IF(CD2400&gt;0,CD2400,""),"")</f>
        <v>26</v>
      </c>
      <c r="Q2400" s="63">
        <v>323</v>
      </c>
      <c r="R2400" s="63">
        <v>116</v>
      </c>
      <c r="S2400" s="63">
        <v>57</v>
      </c>
      <c r="T2400" s="63"/>
      <c r="U2400" s="63"/>
      <c r="V2400" s="63"/>
      <c r="W2400" s="63">
        <f>IF(Copyright!B$11=1,IF(CA2400&gt;0,CA2400-SUM(T2400:V2400)-SUM(X2400:AQ2400)-CD2400,0),0)</f>
        <v>85</v>
      </c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W2400" s="5">
        <f>IF(Q2400&gt;0,RANK(Q2400,(N2400:P2400,Q2400:AE2400)),0)</f>
        <v>3</v>
      </c>
      <c r="AX2400" s="5">
        <f>IF(R2400&gt;0,RANK(R2400,(N2400:P2400,Q2400:AE2400)),0)</f>
        <v>4</v>
      </c>
      <c r="AY2400" s="5">
        <f>IF(T2400&gt;0,RANK(T2400,(N2400:P2400,Q2400:AE2400)),0)</f>
        <v>0</v>
      </c>
      <c r="AZ2400" s="5">
        <f>IF(S2400&gt;0,RANK(S2400,(N2400:P2400,Q2400:AE2400)),0)</f>
        <v>6</v>
      </c>
      <c r="BA2400" s="2">
        <f t="shared" si="981"/>
        <v>2.4368162957374574E-2</v>
      </c>
      <c r="BB2400" s="2">
        <f t="shared" si="982"/>
        <v>8.7514145605431908E-3</v>
      </c>
      <c r="BC2400" s="2">
        <f t="shared" si="983"/>
        <v>0</v>
      </c>
      <c r="BD2400" s="2">
        <f t="shared" si="984"/>
        <v>4.3002640513013961E-3</v>
      </c>
      <c r="BF2400" t="s">
        <v>709</v>
      </c>
      <c r="BG2400" t="s">
        <v>1020</v>
      </c>
      <c r="BH2400" s="63">
        <v>11</v>
      </c>
      <c r="BJ2400" s="114">
        <v>42</v>
      </c>
      <c r="BK2400" s="116">
        <v>131</v>
      </c>
      <c r="BL2400" s="120">
        <f t="shared" si="976"/>
        <v>42131</v>
      </c>
      <c r="BN2400" s="5" t="s">
        <v>3154</v>
      </c>
      <c r="BY2400" s="63">
        <f t="shared" si="975"/>
        <v>726</v>
      </c>
      <c r="BZ2400" s="133">
        <f>111+305+112+53+8375+3573</f>
        <v>12529</v>
      </c>
      <c r="CA2400" s="133">
        <v>111</v>
      </c>
      <c r="CB2400" s="132"/>
      <c r="CD2400" s="63">
        <v>26</v>
      </c>
    </row>
    <row r="2401" spans="1:82" hidden="1" outlineLevel="1">
      <c r="A2401" t="s">
        <v>925</v>
      </c>
      <c r="B2401" t="s">
        <v>1020</v>
      </c>
      <c r="C2401" s="1">
        <f t="shared" si="977"/>
        <v>208029</v>
      </c>
      <c r="D2401" s="5">
        <f>IF(N2401&gt;0, RANK(N2401,(N2401:P2401,Q2401:AE2401)),0)</f>
        <v>2</v>
      </c>
      <c r="E2401" s="5">
        <f>IF(O2401&gt;0,RANK(O2401,(N2401:P2401,Q2401:AE2401)),0)</f>
        <v>1</v>
      </c>
      <c r="F2401" s="5">
        <f>IF(P2401&gt;0,RANK(P2401,(N2401:P2401,Q2401:AE2401)),0)</f>
        <v>7</v>
      </c>
      <c r="G2401" s="132">
        <f t="shared" si="985"/>
        <v>60004</v>
      </c>
      <c r="H2401" s="137">
        <f t="shared" si="986"/>
        <v>0.28844055396122659</v>
      </c>
      <c r="I2401" s="2"/>
      <c r="J2401" s="2">
        <f t="shared" si="978"/>
        <v>0.32939638223516915</v>
      </c>
      <c r="K2401" s="2">
        <f t="shared" si="979"/>
        <v>0.61783693619639568</v>
      </c>
      <c r="L2401" s="2">
        <f t="shared" ref="L2401" si="987">IF($C2401=0,"-",IF(P2401="",0,P2401/$C2401))</f>
        <v>2.4179321152339337E-3</v>
      </c>
      <c r="M2401" s="2">
        <f>IF(C2401=0,"-",(1-J2401-K2401-L2401))</f>
        <v>5.0348749453201294E-2</v>
      </c>
      <c r="N2401" s="63">
        <v>68524</v>
      </c>
      <c r="O2401" s="63">
        <v>128528</v>
      </c>
      <c r="P2401" s="63">
        <f>IF(Copyright!B$11=1,IF(CD2401&gt;0,CD2401,""),"")</f>
        <v>503</v>
      </c>
      <c r="Q2401" s="63">
        <v>6484</v>
      </c>
      <c r="R2401" s="63">
        <v>1568</v>
      </c>
      <c r="S2401" s="63">
        <v>882</v>
      </c>
      <c r="T2401" s="63"/>
      <c r="U2401" s="63"/>
      <c r="V2401" s="63"/>
      <c r="W2401" s="63">
        <f>IF(Copyright!B$11=1,IF(CA2401&gt;0,CA2401-SUM(T2401:V2401)-SUM(X2401:AQ2401)-CD2401,0),0)</f>
        <v>1540</v>
      </c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W2401" s="5">
        <f>IF(Q2401&gt;0,RANK(Q2401,(N2401:P2401,Q2401:AE2401)),0)</f>
        <v>3</v>
      </c>
      <c r="AX2401" s="5">
        <f>IF(R2401&gt;0,RANK(R2401,(N2401:P2401,Q2401:AE2401)),0)</f>
        <v>4</v>
      </c>
      <c r="AY2401" s="5">
        <f>IF(T2401&gt;0,RANK(T2401,(N2401:P2401,Q2401:AE2401)),0)</f>
        <v>0</v>
      </c>
      <c r="AZ2401" s="5">
        <f>IF(S2401&gt;0,RANK(S2401,(N2401:P2401,Q2401:AE2401)),0)</f>
        <v>6</v>
      </c>
      <c r="BA2401" s="2">
        <f t="shared" si="981"/>
        <v>3.1168731282657708E-2</v>
      </c>
      <c r="BB2401" s="2">
        <f t="shared" si="982"/>
        <v>7.5374106494767558E-3</v>
      </c>
      <c r="BC2401" s="2">
        <f t="shared" si="983"/>
        <v>0</v>
      </c>
      <c r="BD2401" s="2">
        <f t="shared" si="984"/>
        <v>4.2397934903306749E-3</v>
      </c>
      <c r="BF2401" t="s">
        <v>925</v>
      </c>
      <c r="BG2401" t="s">
        <v>1020</v>
      </c>
      <c r="BH2401" s="63">
        <v>4</v>
      </c>
      <c r="BJ2401" s="114">
        <v>42</v>
      </c>
      <c r="BK2401" s="116">
        <v>133</v>
      </c>
      <c r="BL2401" s="120">
        <f t="shared" si="976"/>
        <v>42133</v>
      </c>
      <c r="BN2401" s="5" t="s">
        <v>3154</v>
      </c>
      <c r="BY2401" s="63">
        <f t="shared" si="975"/>
        <v>0</v>
      </c>
      <c r="BZ2401" s="63">
        <v>208029</v>
      </c>
      <c r="CA2401" s="63">
        <v>2043</v>
      </c>
      <c r="CB2401" s="132"/>
      <c r="CD2401" s="63">
        <v>503</v>
      </c>
    </row>
    <row r="2402" spans="1:82" collapsed="1">
      <c r="A2402" t="s">
        <v>1019</v>
      </c>
      <c r="B2402" t="s">
        <v>544</v>
      </c>
      <c r="C2402" s="1">
        <f t="shared" si="977"/>
        <v>6166729</v>
      </c>
      <c r="D2402" s="5">
        <f>IF(N2402&gt;0, RANK(N2402,(N2402:P2402,Q2402:AE2402)),0)</f>
        <v>2</v>
      </c>
      <c r="E2402" s="5">
        <f>IF(O2402&gt;0,RANK(O2402,(N2402:P2402,Q2402:AE2402)),0)</f>
        <v>1</v>
      </c>
      <c r="F2402" s="5">
        <f>IF(P2402&gt;0,RANK(P2402,(N2402:P2402,Q2402:AE2402)),0)</f>
        <v>7</v>
      </c>
      <c r="G2402" s="132">
        <f t="shared" si="985"/>
        <v>44292</v>
      </c>
      <c r="H2402" s="137">
        <f t="shared" si="986"/>
        <v>7.1824138858704511E-3</v>
      </c>
      <c r="I2402" s="2"/>
      <c r="J2402" s="2">
        <f t="shared" si="978"/>
        <v>0.47455320316491933</v>
      </c>
      <c r="K2402" s="2">
        <f t="shared" si="979"/>
        <v>0.48173561705078982</v>
      </c>
      <c r="L2402" s="2">
        <f t="shared" ref="L2402" si="988">IF($C2402=0,"-",P2402/$C2402)</f>
        <v>6.9793889110418182E-4</v>
      </c>
      <c r="M2402" s="2">
        <f>IF(C2402=0,"-",(1-J2402-K2402-L2402))</f>
        <v>4.3013240893186665E-2</v>
      </c>
      <c r="N2402" s="63">
        <f t="shared" ref="N2402:S2402" si="989">SUM(N2335:N2401)</f>
        <v>2926441</v>
      </c>
      <c r="O2402" s="63">
        <f t="shared" si="989"/>
        <v>2970733</v>
      </c>
      <c r="P2402" s="63">
        <f t="shared" si="989"/>
        <v>4304</v>
      </c>
      <c r="Q2402" s="63">
        <f t="shared" si="989"/>
        <v>146715</v>
      </c>
      <c r="R2402" s="63">
        <f t="shared" si="989"/>
        <v>49941</v>
      </c>
      <c r="S2402" s="63">
        <f t="shared" si="989"/>
        <v>21572</v>
      </c>
      <c r="T2402" s="63"/>
      <c r="U2402" s="63"/>
      <c r="V2402" s="63"/>
      <c r="W2402" s="63">
        <f t="shared" ref="W2402" si="990">SUM(W2335:W2401)</f>
        <v>47023</v>
      </c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W2402" s="5">
        <f>IF(Q2402&gt;0,RANK(Q2402,(N2402:P2402,Q2402:AE2402)),0)</f>
        <v>3</v>
      </c>
      <c r="AX2402" s="5">
        <f>IF(R2402&gt;0,RANK(R2402,(N2402:P2402,Q2402:AE2402)),0)</f>
        <v>4</v>
      </c>
      <c r="AY2402" s="5">
        <f>IF(T2402&gt;0,RANK(T2402,(N2402:P2402,Q2402:AE2402)),0)</f>
        <v>0</v>
      </c>
      <c r="AZ2402" s="5">
        <f>IF(S2402&gt;0,RANK(S2402,(N2402:P2402,Q2402:AE2402)),0)</f>
        <v>6</v>
      </c>
      <c r="BA2402" s="2">
        <f t="shared" si="981"/>
        <v>2.379138113576906E-2</v>
      </c>
      <c r="BB2402" s="2">
        <f t="shared" si="982"/>
        <v>8.0984586804446895E-3</v>
      </c>
      <c r="BC2402" s="2">
        <f t="shared" si="983"/>
        <v>0</v>
      </c>
      <c r="BD2402" s="2">
        <f t="shared" si="984"/>
        <v>3.4981268027182645E-3</v>
      </c>
      <c r="BF2402" t="s">
        <v>1019</v>
      </c>
      <c r="BG2402" t="s">
        <v>544</v>
      </c>
      <c r="BJ2402" s="114">
        <v>42</v>
      </c>
      <c r="BK2402" s="116"/>
      <c r="BL2402" s="114">
        <v>42</v>
      </c>
      <c r="BN2402" s="5" t="s">
        <v>711</v>
      </c>
      <c r="BY2402" s="63">
        <f t="shared" ref="BY2402" si="991">C2402-BZ2402</f>
        <v>70173</v>
      </c>
      <c r="BZ2402" s="63">
        <f>SUM(BZ2335:BZ2401)</f>
        <v>6096556</v>
      </c>
      <c r="CA2402" s="63">
        <f>SUM(CA2335:CA2401)</f>
        <v>51327</v>
      </c>
      <c r="CB2402" s="132"/>
      <c r="CC2402" s="63">
        <f>SUM(CC2335:CC2401)</f>
        <v>1348</v>
      </c>
      <c r="CD2402" s="63">
        <f>SUM(CD2335:CD2401)</f>
        <v>4304</v>
      </c>
    </row>
    <row r="2403" spans="1:82">
      <c r="C2403" s="1"/>
      <c r="E2403" s="5"/>
      <c r="F2403" s="5"/>
      <c r="G2403" s="132"/>
      <c r="H2403" s="137"/>
      <c r="I2403" s="2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W2403" s="5"/>
      <c r="AX2403" s="5"/>
      <c r="AY2403" s="5"/>
      <c r="AZ2403" s="5"/>
      <c r="BJ2403" s="114"/>
      <c r="BK2403" s="116"/>
      <c r="BL2403" s="120"/>
    </row>
    <row r="2404" spans="1:82" hidden="1" outlineLevel="1">
      <c r="A2404" t="s">
        <v>2215</v>
      </c>
      <c r="B2404" t="s">
        <v>1647</v>
      </c>
      <c r="C2404" s="1">
        <f t="shared" ref="C2404:C2410" si="992">SUM(N2404:AU2404)</f>
        <v>25475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6</v>
      </c>
      <c r="G2404" s="132">
        <f t="shared" si="985"/>
        <v>5644</v>
      </c>
      <c r="H2404" s="137">
        <f t="shared" si="986"/>
        <v>0.2215505397448479</v>
      </c>
      <c r="I2404" s="2"/>
      <c r="J2404" s="2">
        <f t="shared" ref="J2404:K2410" si="993">IF($C2404=0,"-",N2404/$C2404)</f>
        <v>0.57346418056918547</v>
      </c>
      <c r="K2404" s="2">
        <f t="shared" si="993"/>
        <v>0.35191364082433757</v>
      </c>
      <c r="L2404" s="2">
        <f t="shared" ref="L2404:L2410" si="994">IF($C2404=0,"-",P2404/$C2404)</f>
        <v>2.747791952894995E-3</v>
      </c>
      <c r="M2404" s="2">
        <f t="shared" ref="M2404:M2410" si="995">IF(C2404=0,"-",(1-J2404-K2404-L2404))</f>
        <v>7.1874386653581965E-2</v>
      </c>
      <c r="N2404" s="63">
        <f>SUMIF(Town!$BB$1320:$BB$1359,$BL2404,Town!N$1320:N$1359)</f>
        <v>14609</v>
      </c>
      <c r="O2404" s="63">
        <f>SUMIF(Town!$BB$1320:$BB$1359,$BL2404,Town!O$1320:O$1359)</f>
        <v>8965</v>
      </c>
      <c r="P2404" s="63">
        <f>SUMIF(Town!$BB$1320:$BB$1359,$BL2404,Town!P$1320:P$1359)</f>
        <v>70</v>
      </c>
      <c r="Q2404" s="63">
        <f>SUMIF(Town!$BB$1320:$BB$1359,$BL2404,Town!Q$1320:Q$1359)</f>
        <v>943</v>
      </c>
      <c r="R2404" s="63">
        <f>SUMIF(Town!$BB$1320:$BB$1359,$BL2404,Town!R$1320:R$1359)</f>
        <v>317</v>
      </c>
      <c r="S2404" s="63">
        <f>SUMIF(Town!$BB$1320:$BB$1359,$BL2404,Town!S$1320:S$1359)</f>
        <v>2</v>
      </c>
      <c r="T2404" s="63">
        <f>SUMIF(Town!$BB$1320:$BB$1359,$BL2404,Town!T$1320:T$1359)</f>
        <v>34</v>
      </c>
      <c r="U2404" s="63"/>
      <c r="V2404" s="63"/>
      <c r="W2404" s="63">
        <f>SUMIF(Town!$BB$1320:$BB$1359,$BL2404,Town!W$1320:W$1359)</f>
        <v>533</v>
      </c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>
        <f>SUMIF(Town!$BB$1320:$BB$1359,$BL2404,Town!AN$1320:AN$1359)</f>
        <v>2</v>
      </c>
      <c r="AO2404" s="63"/>
      <c r="AP2404" s="63"/>
      <c r="AQ2404" s="63"/>
      <c r="AR2404" s="63"/>
      <c r="AS2404" s="63"/>
      <c r="AT2404" s="63"/>
      <c r="AU2404" s="63"/>
      <c r="AW2404" s="5">
        <f>IF(Q2404&gt;0,RANK(Q2404,(N2404:P2404,Q2404:AE2404)),0)</f>
        <v>3</v>
      </c>
      <c r="AX2404" s="5">
        <f>IF(R2404&gt;0,RANK(R2404,(N2404:P2404,Q2404:AE2404)),0)</f>
        <v>5</v>
      </c>
      <c r="AY2404" s="5">
        <f>IF(T2404&gt;0,RANK(T2404,(N2404:P2404,Q2404:AE2404)),0)</f>
        <v>7</v>
      </c>
      <c r="AZ2404" s="5">
        <f>IF(S2404&gt;0,RANK(S2404,(N2404:P2404,Q2404:AE2404)),0)</f>
        <v>8</v>
      </c>
      <c r="BA2404" s="2">
        <f t="shared" ref="BA2404:BB2410" si="996">IF($C2404=0,"-",Q2404/$C2404)</f>
        <v>3.7016683022571148E-2</v>
      </c>
      <c r="BB2404" s="2">
        <f t="shared" si="996"/>
        <v>1.2443572129538763E-2</v>
      </c>
      <c r="BC2404" s="2">
        <f t="shared" ref="BC2404:BC2410" si="997">IF($C2404=0,"-",T2404/$C2404)</f>
        <v>1.3346418056918547E-3</v>
      </c>
      <c r="BD2404" s="2">
        <f t="shared" ref="BD2404:BD2410" si="998">IF($C2404=0,"-",S2404/$C2404)</f>
        <v>7.8508341511285574E-5</v>
      </c>
      <c r="BF2404" t="s">
        <v>2215</v>
      </c>
      <c r="BG2404" t="s">
        <v>1647</v>
      </c>
      <c r="BH2404">
        <v>1</v>
      </c>
      <c r="BJ2404" s="114">
        <v>44</v>
      </c>
      <c r="BK2404" s="116">
        <v>1</v>
      </c>
      <c r="BL2404" s="120">
        <f t="shared" si="976"/>
        <v>44001</v>
      </c>
      <c r="BN2404" s="5" t="s">
        <v>3154</v>
      </c>
      <c r="BO2404" s="63">
        <f>SUMIF(Town!$BB$1320:$BB$1359,$BL2404,Town!BE$1320:BE$1359)</f>
        <v>295</v>
      </c>
      <c r="BP2404" s="63">
        <f>SUMIF(Town!$BB$1320:$BB$1359,$BL2404,Town!BF$1320:BF$1359)</f>
        <v>34</v>
      </c>
      <c r="BR2404" s="63"/>
    </row>
    <row r="2405" spans="1:82" hidden="1" outlineLevel="1">
      <c r="A2405" t="s">
        <v>725</v>
      </c>
      <c r="B2405" t="s">
        <v>1647</v>
      </c>
      <c r="C2405" s="1">
        <f t="shared" si="992"/>
        <v>82053</v>
      </c>
      <c r="D2405" s="5">
        <f>IF(N2405&gt;0, RANK(N2405,(N2405:P2405,Q2405:AE2405)),0)</f>
        <v>2</v>
      </c>
      <c r="E2405" s="5">
        <f>IF(O2405&gt;0,RANK(O2405,(N2405:P2405,Q2405:AE2405)),0)</f>
        <v>1</v>
      </c>
      <c r="F2405" s="5">
        <f>IF(P2405&gt;0,RANK(P2405,(N2405:P2405,Q2405:AE2405)),0)</f>
        <v>7</v>
      </c>
      <c r="G2405" s="132">
        <f t="shared" si="985"/>
        <v>548</v>
      </c>
      <c r="H2405" s="137">
        <f t="shared" si="986"/>
        <v>6.6786101665996366E-3</v>
      </c>
      <c r="I2405" s="2"/>
      <c r="J2405" s="2">
        <f t="shared" si="993"/>
        <v>0.46053160761946549</v>
      </c>
      <c r="K2405" s="2">
        <f t="shared" si="993"/>
        <v>0.46721021778606509</v>
      </c>
      <c r="L2405" s="2">
        <f t="shared" si="994"/>
        <v>1.5112183588656112E-3</v>
      </c>
      <c r="M2405" s="2">
        <f t="shared" si="995"/>
        <v>7.0746956235603869E-2</v>
      </c>
      <c r="N2405" s="63">
        <f>SUMIF(Town!$BB$1320:$BB$1359,$BL2405,Town!N$1320:N$1359)</f>
        <v>37788</v>
      </c>
      <c r="O2405" s="63">
        <f>SUMIF(Town!$BB$1320:$BB$1359,$BL2405,Town!O$1320:O$1359)</f>
        <v>38336</v>
      </c>
      <c r="P2405" s="63">
        <f>SUMIF(Town!$BB$1320:$BB$1359,$BL2405,Town!P$1320:P$1359)</f>
        <v>124</v>
      </c>
      <c r="Q2405" s="63">
        <f>SUMIF(Town!$BB$1320:$BB$1359,$BL2405,Town!Q$1320:Q$1359)</f>
        <v>2943</v>
      </c>
      <c r="R2405" s="63">
        <f>SUMIF(Town!$BB$1320:$BB$1359,$BL2405,Town!R$1320:R$1359)</f>
        <v>1049</v>
      </c>
      <c r="S2405" s="63">
        <f>SUMIF(Town!$BB$1320:$BB$1359,$BL2405,Town!S$1320:S$1359)</f>
        <v>6</v>
      </c>
      <c r="T2405" s="63">
        <f>SUMIF(Town!$BB$1320:$BB$1359,$BL2405,Town!T$1320:T$1359)</f>
        <v>132</v>
      </c>
      <c r="U2405" s="63"/>
      <c r="V2405" s="63"/>
      <c r="W2405" s="63">
        <f>SUMIF(Town!$BB$1320:$BB$1359,$BL2405,Town!W$1320:W$1359)</f>
        <v>1663</v>
      </c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>
        <f>SUMIF(Town!$BB$1320:$BB$1359,$BL2405,Town!AN$1320:AN$1359)</f>
        <v>12</v>
      </c>
      <c r="AO2405" s="63"/>
      <c r="AP2405" s="63"/>
      <c r="AQ2405" s="63"/>
      <c r="AR2405" s="63"/>
      <c r="AS2405" s="63"/>
      <c r="AT2405" s="63"/>
      <c r="AU2405" s="63"/>
      <c r="AW2405" s="5">
        <f>IF(Q2405&gt;0,RANK(Q2405,(N2405:P2405,Q2405:AE2405)),0)</f>
        <v>3</v>
      </c>
      <c r="AX2405" s="5">
        <f>IF(R2405&gt;0,RANK(R2405,(N2405:P2405,Q2405:AE2405)),0)</f>
        <v>5</v>
      </c>
      <c r="AY2405" s="5">
        <f>IF(T2405&gt;0,RANK(T2405,(N2405:P2405,Q2405:AE2405)),0)</f>
        <v>6</v>
      </c>
      <c r="AZ2405" s="5">
        <f>IF(S2405&gt;0,RANK(S2405,(N2405:P2405,Q2405:AE2405)),0)</f>
        <v>8</v>
      </c>
      <c r="BA2405" s="2">
        <f t="shared" si="996"/>
        <v>3.5867061533399143E-2</v>
      </c>
      <c r="BB2405" s="2">
        <f t="shared" si="996"/>
        <v>1.2784419826209889E-2</v>
      </c>
      <c r="BC2405" s="2">
        <f t="shared" si="997"/>
        <v>1.6087163175021024E-3</v>
      </c>
      <c r="BD2405" s="2">
        <f t="shared" si="998"/>
        <v>7.312346897736829E-5</v>
      </c>
      <c r="BF2405" t="s">
        <v>725</v>
      </c>
      <c r="BG2405" t="s">
        <v>1647</v>
      </c>
      <c r="BH2405">
        <v>2</v>
      </c>
      <c r="BJ2405" s="114">
        <v>44</v>
      </c>
      <c r="BK2405" s="116">
        <v>3</v>
      </c>
      <c r="BL2405" s="120">
        <f t="shared" si="976"/>
        <v>44003</v>
      </c>
      <c r="BN2405" s="5" t="s">
        <v>3154</v>
      </c>
      <c r="BO2405" s="63">
        <f>SUMIF(Town!$BB$1320:$BB$1359,$BL2405,Town!BE$1320:BE$1359)</f>
        <v>829</v>
      </c>
      <c r="BP2405" s="63">
        <f>SUMIF(Town!$BB$1320:$BB$1359,$BL2405,Town!BF$1320:BF$1359)</f>
        <v>127</v>
      </c>
      <c r="BR2405" s="63"/>
    </row>
    <row r="2406" spans="1:82" hidden="1" outlineLevel="1">
      <c r="A2406" t="s">
        <v>2009</v>
      </c>
      <c r="B2406" t="s">
        <v>1647</v>
      </c>
      <c r="C2406" s="1">
        <f t="shared" si="992"/>
        <v>41045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6</v>
      </c>
      <c r="G2406" s="132">
        <f t="shared" si="985"/>
        <v>7774</v>
      </c>
      <c r="H2406" s="137">
        <f t="shared" si="986"/>
        <v>0.18940187598976732</v>
      </c>
      <c r="I2406" s="2"/>
      <c r="J2406" s="2">
        <f t="shared" si="993"/>
        <v>0.5567304178340845</v>
      </c>
      <c r="K2406" s="2">
        <f t="shared" si="993"/>
        <v>0.36732854184431724</v>
      </c>
      <c r="L2406" s="2">
        <f t="shared" si="994"/>
        <v>1.8516262638567425E-3</v>
      </c>
      <c r="M2406" s="2">
        <f t="shared" si="995"/>
        <v>7.4089414057741526E-2</v>
      </c>
      <c r="N2406" s="63">
        <f>SUMIF(Town!$BB$1320:$BB$1359,$BL2406,Town!N$1320:N$1359)</f>
        <v>22851</v>
      </c>
      <c r="O2406" s="63">
        <f>SUMIF(Town!$BB$1320:$BB$1359,$BL2406,Town!O$1320:O$1359)</f>
        <v>15077</v>
      </c>
      <c r="P2406" s="63">
        <f>SUMIF(Town!$BB$1320:$BB$1359,$BL2406,Town!P$1320:P$1359)</f>
        <v>76</v>
      </c>
      <c r="Q2406" s="63">
        <f>SUMIF(Town!$BB$1320:$BB$1359,$BL2406,Town!Q$1320:Q$1359)</f>
        <v>1529</v>
      </c>
      <c r="R2406" s="63">
        <f>SUMIF(Town!$BB$1320:$BB$1359,$BL2406,Town!R$1320:R$1359)</f>
        <v>590</v>
      </c>
      <c r="S2406" s="63">
        <f>SUMIF(Town!$BB$1320:$BB$1359,$BL2406,Town!S$1320:S$1359)</f>
        <v>3</v>
      </c>
      <c r="T2406" s="63">
        <f>SUMIF(Town!$BB$1320:$BB$1359,$BL2406,Town!T$1320:T$1359)</f>
        <v>52</v>
      </c>
      <c r="U2406" s="63"/>
      <c r="V2406" s="63"/>
      <c r="W2406" s="63">
        <f>SUMIF(Town!$BB$1320:$BB$1359,$BL2406,Town!W$1320:W$1359)</f>
        <v>854</v>
      </c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>
        <f>SUMIF(Town!$BB$1320:$BB$1359,$BL2406,Town!AN$1320:AN$1359)</f>
        <v>13</v>
      </c>
      <c r="AO2406" s="63"/>
      <c r="AP2406" s="63"/>
      <c r="AQ2406" s="63"/>
      <c r="AR2406" s="63"/>
      <c r="AS2406" s="63"/>
      <c r="AT2406" s="63"/>
      <c r="AU2406" s="63"/>
      <c r="AW2406" s="5">
        <f>IF(Q2406&gt;0,RANK(Q2406,(N2406:P2406,Q2406:AE2406)),0)</f>
        <v>3</v>
      </c>
      <c r="AX2406" s="5">
        <f>IF(R2406&gt;0,RANK(R2406,(N2406:P2406,Q2406:AE2406)),0)</f>
        <v>5</v>
      </c>
      <c r="AY2406" s="5">
        <f>IF(T2406&gt;0,RANK(T2406,(N2406:P2406,Q2406:AE2406)),0)</f>
        <v>7</v>
      </c>
      <c r="AZ2406" s="5">
        <f>IF(S2406&gt;0,RANK(S2406,(N2406:P2406,Q2406:AE2406)),0)</f>
        <v>8</v>
      </c>
      <c r="BA2406" s="2">
        <f t="shared" si="996"/>
        <v>3.7251796808381046E-2</v>
      </c>
      <c r="BB2406" s="2">
        <f t="shared" si="996"/>
        <v>1.4374467048361554E-2</v>
      </c>
      <c r="BC2406" s="2">
        <f t="shared" si="997"/>
        <v>1.2669021805335606E-3</v>
      </c>
      <c r="BD2406" s="2">
        <f t="shared" si="998"/>
        <v>7.3090510415397739E-5</v>
      </c>
      <c r="BF2406" t="s">
        <v>2009</v>
      </c>
      <c r="BG2406" t="s">
        <v>1647</v>
      </c>
      <c r="BH2406">
        <v>1</v>
      </c>
      <c r="BJ2406" s="114">
        <v>44</v>
      </c>
      <c r="BK2406" s="116">
        <v>5</v>
      </c>
      <c r="BL2406" s="120">
        <f t="shared" si="976"/>
        <v>44005</v>
      </c>
      <c r="BN2406" s="5" t="s">
        <v>3154</v>
      </c>
      <c r="BO2406" s="63">
        <f>SUMIF(Town!$BB$1320:$BB$1359,$BL2406,Town!BE$1320:BE$1359)</f>
        <v>508</v>
      </c>
      <c r="BP2406" s="63">
        <f>SUMIF(Town!$BB$1320:$BB$1359,$BL2406,Town!BF$1320:BF$1359)</f>
        <v>54</v>
      </c>
      <c r="BR2406" s="63"/>
    </row>
    <row r="2407" spans="1:82" hidden="1" outlineLevel="1">
      <c r="A2407" t="s">
        <v>1153</v>
      </c>
      <c r="B2407" t="s">
        <v>1647</v>
      </c>
      <c r="C2407" s="1">
        <f t="shared" si="992"/>
        <v>248474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7</v>
      </c>
      <c r="G2407" s="132">
        <f t="shared" si="985"/>
        <v>52017</v>
      </c>
      <c r="H2407" s="137">
        <f t="shared" si="986"/>
        <v>0.20934584705039561</v>
      </c>
      <c r="I2407" s="2"/>
      <c r="J2407" s="2">
        <f t="shared" si="993"/>
        <v>0.5751064497693924</v>
      </c>
      <c r="K2407" s="2">
        <f t="shared" si="993"/>
        <v>0.36576060271899674</v>
      </c>
      <c r="L2407" s="2">
        <f t="shared" si="994"/>
        <v>1.2355417468226052E-3</v>
      </c>
      <c r="M2407" s="2">
        <f t="shared" si="995"/>
        <v>5.7897405764788253E-2</v>
      </c>
      <c r="N2407" s="63">
        <f>SUMIF(Town!$BB$1320:$BB$1359,$BL2407,Town!N$1320:N$1359)</f>
        <v>142899</v>
      </c>
      <c r="O2407" s="63">
        <f>SUMIF(Town!$BB$1320:$BB$1359,$BL2407,Town!O$1320:O$1359)</f>
        <v>90882</v>
      </c>
      <c r="P2407" s="63">
        <f>SUMIF(Town!$BB$1320:$BB$1359,$BL2407,Town!P$1320:P$1359)</f>
        <v>307</v>
      </c>
      <c r="Q2407" s="63">
        <f>SUMIF(Town!$BB$1320:$BB$1359,$BL2407,Town!Q$1320:Q$1359)</f>
        <v>6772</v>
      </c>
      <c r="R2407" s="63">
        <f>SUMIF(Town!$BB$1320:$BB$1359,$BL2407,Town!R$1320:R$1359)</f>
        <v>3185</v>
      </c>
      <c r="S2407" s="63">
        <f>SUMIF(Town!$BB$1320:$BB$1359,$BL2407,Town!S$1320:S$1359)</f>
        <v>16</v>
      </c>
      <c r="T2407" s="63">
        <f>SUMIF(Town!$BB$1320:$BB$1359,$BL2407,Town!T$1320:T$1359)</f>
        <v>364</v>
      </c>
      <c r="U2407" s="63"/>
      <c r="V2407" s="63"/>
      <c r="W2407" s="63">
        <f>SUMIF(Town!$BB$1320:$BB$1359,$BL2407,Town!W$1320:W$1359)</f>
        <v>4035</v>
      </c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>
        <f>SUMIF(Town!$BB$1320:$BB$1359,$BL2407,Town!AN$1320:AN$1359)</f>
        <v>14</v>
      </c>
      <c r="AO2407" s="63"/>
      <c r="AP2407" s="63"/>
      <c r="AQ2407" s="63"/>
      <c r="AR2407" s="63"/>
      <c r="AS2407" s="63"/>
      <c r="AT2407" s="63"/>
      <c r="AU2407" s="63"/>
      <c r="AW2407" s="5">
        <f>IF(Q2407&gt;0,RANK(Q2407,(N2407:P2407,Q2407:AE2407)),0)</f>
        <v>3</v>
      </c>
      <c r="AX2407" s="5">
        <f>IF(R2407&gt;0,RANK(R2407,(N2407:P2407,Q2407:AE2407)),0)</f>
        <v>5</v>
      </c>
      <c r="AY2407" s="5">
        <f>IF(T2407&gt;0,RANK(T2407,(N2407:P2407,Q2407:AE2407)),0)</f>
        <v>6</v>
      </c>
      <c r="AZ2407" s="5">
        <f>IF(S2407&gt;0,RANK(S2407,(N2407:P2407,Q2407:AE2407)),0)</f>
        <v>8</v>
      </c>
      <c r="BA2407" s="2">
        <f t="shared" si="996"/>
        <v>2.7254360617207433E-2</v>
      </c>
      <c r="BB2407" s="2">
        <f t="shared" si="996"/>
        <v>1.2818242552540708E-2</v>
      </c>
      <c r="BC2407" s="2">
        <f t="shared" si="997"/>
        <v>1.4649420060046524E-3</v>
      </c>
      <c r="BD2407" s="2">
        <f t="shared" si="998"/>
        <v>6.4393055208995705E-5</v>
      </c>
      <c r="BF2407" t="s">
        <v>1153</v>
      </c>
      <c r="BG2407" t="s">
        <v>1647</v>
      </c>
      <c r="BJ2407" s="114">
        <v>44</v>
      </c>
      <c r="BK2407" s="116">
        <v>7</v>
      </c>
      <c r="BL2407" s="120">
        <f t="shared" si="976"/>
        <v>44007</v>
      </c>
      <c r="BN2407" s="5" t="s">
        <v>3154</v>
      </c>
      <c r="BO2407" s="63">
        <f>SUMIF(Town!$BB$1320:$BB$1359,$BL2407,Town!BE$1320:BE$1359)</f>
        <v>1969</v>
      </c>
      <c r="BP2407" s="63">
        <f>SUMIF(Town!$BB$1320:$BB$1359,$BL2407,Town!BF$1320:BF$1359)</f>
        <v>809</v>
      </c>
      <c r="BR2407" s="63"/>
    </row>
    <row r="2408" spans="1:82" hidden="1" outlineLevel="1">
      <c r="A2408" t="s">
        <v>692</v>
      </c>
      <c r="B2408" t="s">
        <v>1647</v>
      </c>
      <c r="C2408" s="1">
        <f t="shared" si="992"/>
        <v>66369</v>
      </c>
      <c r="D2408" s="5">
        <f>IF(N2408&gt;0, RANK(N2408,(N2408:P2408,Q2408:AE2408)),0)</f>
        <v>1</v>
      </c>
      <c r="E2408" s="5">
        <f>IF(O2408&gt;0,RANK(O2408,(N2408:P2408,Q2408:AE2408)),0)</f>
        <v>2</v>
      </c>
      <c r="F2408" s="5">
        <f>IF(P2408&gt;0,RANK(P2408,(N2408:P2408,Q2408:AE2408)),0)</f>
        <v>6</v>
      </c>
      <c r="G2408" s="132">
        <f>IF(C2408&gt;0,MAX(N2408:P2408)-LARGE(N2408:P2408,2),0)</f>
        <v>6511</v>
      </c>
      <c r="H2408" s="137">
        <f>IF(C2408&gt;0,G2408/C2408,0)</f>
        <v>9.8103030029079843E-2</v>
      </c>
      <c r="I2408" s="2"/>
      <c r="J2408" s="2">
        <f>IF($C2408=0,"-",N2408/$C2408)</f>
        <v>0.50838493875152557</v>
      </c>
      <c r="K2408" s="2">
        <f>IF($C2408=0,"-",O2408/$C2408)</f>
        <v>0.41028190872244574</v>
      </c>
      <c r="L2408" s="2">
        <f>IF($C2408=0,"-",P2408/$C2408)</f>
        <v>2.7422441199957811E-3</v>
      </c>
      <c r="M2408" s="2">
        <f>IF(C2408=0,"-",(1-J2408-K2408-L2408))</f>
        <v>7.8590908406032903E-2</v>
      </c>
      <c r="N2408" s="63">
        <f>SUMIF(Town!$BB$1320:$BB$1359,$BL2408,Town!N$1320:N$1359)</f>
        <v>33741</v>
      </c>
      <c r="O2408" s="63">
        <f>SUMIF(Town!$BB$1320:$BB$1359,$BL2408,Town!O$1320:O$1359)</f>
        <v>27230</v>
      </c>
      <c r="P2408" s="63">
        <f>SUMIF(Town!$BB$1320:$BB$1359,$BL2408,Town!P$1320:P$1359)</f>
        <v>182</v>
      </c>
      <c r="Q2408" s="63">
        <f>SUMIF(Town!$BB$1320:$BB$1359,$BL2408,Town!Q$1320:Q$1359)</f>
        <v>2543</v>
      </c>
      <c r="R2408" s="63">
        <f>SUMIF(Town!$BB$1320:$BB$1359,$BL2408,Town!R$1320:R$1359)</f>
        <v>1062</v>
      </c>
      <c r="S2408" s="63">
        <f>SUMIF(Town!$BB$1320:$BB$1359,$BL2408,Town!S$1320:S$1359)</f>
        <v>3</v>
      </c>
      <c r="T2408" s="63">
        <f>SUMIF(Town!$BB$1320:$BB$1359,$BL2408,Town!T$1320:T$1359)</f>
        <v>89</v>
      </c>
      <c r="U2408" s="63"/>
      <c r="V2408" s="63"/>
      <c r="W2408" s="63">
        <f>SUMIF(Town!$BB$1320:$BB$1359,$BL2408,Town!W$1320:W$1359)</f>
        <v>1514</v>
      </c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>
        <f>SUMIF(Town!$BB$1320:$BB$1359,$BL2408,Town!AN$1320:AN$1359)</f>
        <v>5</v>
      </c>
      <c r="AO2408" s="63"/>
      <c r="AP2408" s="63"/>
      <c r="AQ2408" s="63"/>
      <c r="AR2408" s="63"/>
      <c r="AS2408" s="63"/>
      <c r="AT2408" s="63"/>
      <c r="AU2408" s="63"/>
      <c r="AW2408" s="5">
        <f>IF(Q2408&gt;0,RANK(Q2408,(N2408:P2408,Q2408:AE2408)),0)</f>
        <v>3</v>
      </c>
      <c r="AX2408" s="5">
        <f>IF(R2408&gt;0,RANK(R2408,(N2408:P2408,Q2408:AE2408)),0)</f>
        <v>5</v>
      </c>
      <c r="AY2408" s="5">
        <f>IF(T2408&gt;0,RANK(T2408,(N2408:P2408,Q2408:AE2408)),0)</f>
        <v>7</v>
      </c>
      <c r="AZ2408" s="5">
        <f>IF(S2408&gt;0,RANK(S2408,(N2408:P2408,Q2408:AE2408)),0)</f>
        <v>8</v>
      </c>
      <c r="BA2408" s="2">
        <f t="shared" si="996"/>
        <v>3.8316081303017974E-2</v>
      </c>
      <c r="BB2408" s="2">
        <f t="shared" si="996"/>
        <v>1.6001446458436919E-2</v>
      </c>
      <c r="BC2408" s="2">
        <f>IF($C2408=0,"-",T2408/$C2408)</f>
        <v>1.3409875092287062E-3</v>
      </c>
      <c r="BD2408" s="2">
        <f>IF($C2408=0,"-",S2408/$C2408)</f>
        <v>4.5201826153776612E-5</v>
      </c>
      <c r="BF2408" t="s">
        <v>692</v>
      </c>
      <c r="BG2408" t="s">
        <v>1647</v>
      </c>
      <c r="BH2408">
        <v>2</v>
      </c>
      <c r="BJ2408" s="114">
        <v>44</v>
      </c>
      <c r="BK2408" s="116">
        <v>9</v>
      </c>
      <c r="BL2408" s="120">
        <f>1000*BJ2408+BK2408</f>
        <v>44009</v>
      </c>
      <c r="BN2408" s="5" t="s">
        <v>3154</v>
      </c>
      <c r="BO2408" s="63">
        <f>SUMIF(Town!$BB$1320:$BB$1359,$BL2408,Town!BE$1320:BE$1359)</f>
        <v>758</v>
      </c>
      <c r="BP2408" s="63">
        <f>SUMIF(Town!$BB$1320:$BB$1359,$BL2408,Town!BF$1320:BF$1359)</f>
        <v>59</v>
      </c>
      <c r="BR2408" s="63"/>
    </row>
    <row r="2409" spans="1:82" hidden="1" outlineLevel="1">
      <c r="A2409" t="s">
        <v>3222</v>
      </c>
      <c r="B2409" t="s">
        <v>1647</v>
      </c>
      <c r="C2409" s="1">
        <f t="shared" si="992"/>
        <v>728</v>
      </c>
      <c r="D2409" s="5">
        <f>IF(N2409&gt;0, RANK(N2409,(N2409:P2409,Q2409:AE2409)),0)</f>
        <v>1</v>
      </c>
      <c r="E2409" s="5">
        <f>IF(O2409&gt;0,RANK(O2409,(N2409:P2409,Q2409:AE2409)),0)</f>
        <v>2</v>
      </c>
      <c r="F2409" s="5">
        <f>IF(P2409&gt;0,RANK(P2409,(N2409:P2409,Q2409:AE2409)),0)</f>
        <v>0</v>
      </c>
      <c r="G2409" s="132">
        <f t="shared" si="985"/>
        <v>584</v>
      </c>
      <c r="H2409" s="137">
        <f t="shared" si="986"/>
        <v>0.80219780219780223</v>
      </c>
      <c r="I2409" s="2"/>
      <c r="J2409" s="2">
        <f t="shared" si="993"/>
        <v>0.875</v>
      </c>
      <c r="K2409" s="2">
        <f t="shared" si="993"/>
        <v>7.2802197802197807E-2</v>
      </c>
      <c r="L2409" s="2">
        <f t="shared" si="994"/>
        <v>0</v>
      </c>
      <c r="M2409" s="2">
        <f t="shared" si="995"/>
        <v>5.2197802197802193E-2</v>
      </c>
      <c r="N2409" s="63">
        <f>SUMIF(Town!$BB$1320:$BB$1359,$BL2409,Town!N$1320:N$1359)</f>
        <v>637</v>
      </c>
      <c r="O2409" s="63">
        <f>SUMIF(Town!$BB$1320:$BB$1359,$BL2409,Town!O$1320:O$1359)</f>
        <v>53</v>
      </c>
      <c r="P2409" s="63">
        <f>SUMIF(Town!$BB$1320:$BB$1359,$BL2409,Town!P$1320:P$1359)</f>
        <v>0</v>
      </c>
      <c r="Q2409" s="63">
        <f>SUMIF(Town!$BB$1320:$BB$1359,$BL2409,Town!Q$1320:Q$1359)</f>
        <v>16</v>
      </c>
      <c r="R2409" s="63">
        <f>SUMIF(Town!$BB$1320:$BB$1359,$BL2409,Town!R$1320:R$1359)</f>
        <v>17</v>
      </c>
      <c r="S2409" s="63">
        <f>SUMIF(Town!$BB$1320:$BB$1359,$BL2409,Town!S$1320:S$1359)</f>
        <v>0</v>
      </c>
      <c r="T2409" s="63">
        <f>SUMIF(Town!$BB$1320:$BB$1359,$BL2409,Town!T$1320:T$1359)</f>
        <v>0</v>
      </c>
      <c r="U2409" s="63"/>
      <c r="V2409" s="63"/>
      <c r="W2409" s="63">
        <f>SUMIF(Town!$BB$1320:$BB$1359,$BL2409,Town!W$1320:W$1359)</f>
        <v>5</v>
      </c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>
        <f>SUMIF(Town!$BB$1320:$BB$1359,$BL2409,Town!AN$1320:AN$1359)</f>
        <v>0</v>
      </c>
      <c r="AO2409" s="63"/>
      <c r="AP2409" s="63"/>
      <c r="AQ2409" s="63"/>
      <c r="AR2409" s="63"/>
      <c r="AS2409" s="63"/>
      <c r="AT2409" s="63"/>
      <c r="AU2409" s="63"/>
      <c r="AW2409" s="5">
        <f>IF(Q2409&gt;0,RANK(Q2409,(N2409:P2409,Q2409:AE2409)),0)</f>
        <v>4</v>
      </c>
      <c r="AX2409" s="5">
        <f>IF(R2409&gt;0,RANK(R2409,(N2409:P2409,Q2409:AE2409)),0)</f>
        <v>3</v>
      </c>
      <c r="AY2409" s="5">
        <f>IF(T2409&gt;0,RANK(T2409,(N2409:P2409,Q2409:AE2409)),0)</f>
        <v>0</v>
      </c>
      <c r="AZ2409" s="5">
        <f>IF(S2409&gt;0,RANK(S2409,(N2409:P2409,Q2409:AE2409)),0)</f>
        <v>0</v>
      </c>
      <c r="BA2409" s="2">
        <f t="shared" si="996"/>
        <v>2.197802197802198E-2</v>
      </c>
      <c r="BB2409" s="2">
        <f t="shared" si="996"/>
        <v>2.3351648351648352E-2</v>
      </c>
      <c r="BC2409" s="2">
        <f t="shared" si="997"/>
        <v>0</v>
      </c>
      <c r="BD2409" s="2">
        <f t="shared" si="998"/>
        <v>0</v>
      </c>
      <c r="BF2409" t="s">
        <v>3222</v>
      </c>
      <c r="BG2409" t="s">
        <v>1647</v>
      </c>
      <c r="BJ2409" s="114">
        <v>44</v>
      </c>
      <c r="BK2409" s="116">
        <v>99</v>
      </c>
      <c r="BL2409" s="120">
        <f t="shared" si="976"/>
        <v>44099</v>
      </c>
      <c r="BN2409" s="5" t="s">
        <v>3222</v>
      </c>
      <c r="BO2409" s="63">
        <f>SUMIF(Town!$BB$1320:$BB$1359,$BL2409,Town!BE$1320:BE$1359)</f>
        <v>3</v>
      </c>
      <c r="BP2409" s="63">
        <f>SUMIF(Town!$BB$1320:$BB$1359,$BL2409,Town!BF$1320:BF$1359)</f>
        <v>0</v>
      </c>
      <c r="BR2409" s="63"/>
    </row>
    <row r="2410" spans="1:82" collapsed="1">
      <c r="A2410" t="s">
        <v>1114</v>
      </c>
      <c r="B2410" t="s">
        <v>544</v>
      </c>
      <c r="C2410" s="1">
        <f t="shared" si="992"/>
        <v>464144</v>
      </c>
      <c r="D2410" s="5">
        <f>IF(N2410&gt;0, RANK(N2410,(N2410:P2410,Q2410:AE2410)),0)</f>
        <v>1</v>
      </c>
      <c r="E2410" s="5">
        <f>IF(O2410&gt;0,RANK(O2410,(N2410:P2410,Q2410:AE2410)),0)</f>
        <v>2</v>
      </c>
      <c r="F2410" s="5">
        <f>IF(P2410&gt;0,RANK(P2410,(N2410:P2410,Q2410:AE2410)),0)</f>
        <v>6</v>
      </c>
      <c r="G2410" s="132">
        <f t="shared" si="985"/>
        <v>71982</v>
      </c>
      <c r="H2410" s="137">
        <f t="shared" si="986"/>
        <v>0.15508549070977973</v>
      </c>
      <c r="I2410" s="2"/>
      <c r="J2410" s="2">
        <f t="shared" si="993"/>
        <v>0.54406606570374716</v>
      </c>
      <c r="K2410" s="2">
        <f t="shared" si="993"/>
        <v>0.38898057499396738</v>
      </c>
      <c r="L2410" s="2">
        <f t="shared" si="994"/>
        <v>1.6352683649901755E-3</v>
      </c>
      <c r="M2410" s="2">
        <f t="shared" si="995"/>
        <v>6.5318090937295292E-2</v>
      </c>
      <c r="N2410" s="63">
        <f t="shared" ref="N2410:R2410" si="999">SUM(N2404:N2409)</f>
        <v>252525</v>
      </c>
      <c r="O2410" s="63">
        <f t="shared" si="999"/>
        <v>180543</v>
      </c>
      <c r="P2410" s="63">
        <f t="shared" ref="P2410" si="1000">SUM(P2404:P2409)</f>
        <v>759</v>
      </c>
      <c r="Q2410" s="63">
        <f t="shared" si="999"/>
        <v>14746</v>
      </c>
      <c r="R2410" s="63">
        <f t="shared" si="999"/>
        <v>6220</v>
      </c>
      <c r="S2410" s="63">
        <f t="shared" ref="S2410" si="1001">SUM(S2404:S2409)</f>
        <v>30</v>
      </c>
      <c r="T2410" s="63">
        <f t="shared" ref="T2410" si="1002">SUM(T2404:T2409)</f>
        <v>671</v>
      </c>
      <c r="U2410" s="63"/>
      <c r="V2410" s="63"/>
      <c r="W2410" s="63">
        <f>SUM(W2404:W2409)</f>
        <v>8604</v>
      </c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>
        <f t="shared" ref="AN2410" si="1003">SUM(AN2404:AN2409)</f>
        <v>46</v>
      </c>
      <c r="AO2410" s="63"/>
      <c r="AP2410" s="63"/>
      <c r="AQ2410" s="63"/>
      <c r="AR2410" s="63"/>
      <c r="AS2410" s="63"/>
      <c r="AT2410" s="63"/>
      <c r="AU2410" s="63"/>
      <c r="AW2410" s="5">
        <f>IF(Q2410&gt;0,RANK(Q2410,(N2410:P2410,Q2410:AE2410)),0)</f>
        <v>3</v>
      </c>
      <c r="AX2410" s="5">
        <f>IF(R2410&gt;0,RANK(R2410,(N2410:P2410,Q2410:AE2410)),0)</f>
        <v>5</v>
      </c>
      <c r="AY2410" s="5">
        <f>IF(T2410&gt;0,RANK(T2410,(N2410:P2410,Q2410:AE2410)),0)</f>
        <v>7</v>
      </c>
      <c r="AZ2410" s="5">
        <f>IF(S2410&gt;0,RANK(S2410,(N2410:P2410,Q2410:AE2410)),0)</f>
        <v>8</v>
      </c>
      <c r="BA2410" s="2">
        <f t="shared" si="996"/>
        <v>3.1770312661587786E-2</v>
      </c>
      <c r="BB2410" s="2">
        <f t="shared" si="996"/>
        <v>1.3401013478575615E-2</v>
      </c>
      <c r="BC2410" s="2">
        <f t="shared" si="997"/>
        <v>1.4456720328174014E-3</v>
      </c>
      <c r="BD2410" s="2">
        <f t="shared" si="998"/>
        <v>6.4635113240718391E-5</v>
      </c>
      <c r="BF2410" t="s">
        <v>1114</v>
      </c>
      <c r="BG2410" t="s">
        <v>544</v>
      </c>
      <c r="BJ2410" s="114">
        <v>44</v>
      </c>
      <c r="BK2410" s="116"/>
      <c r="BL2410" s="114">
        <v>44</v>
      </c>
      <c r="BN2410" s="5" t="s">
        <v>711</v>
      </c>
      <c r="BO2410" s="63">
        <f>SUM(BO2404:BO2409)</f>
        <v>4362</v>
      </c>
      <c r="BP2410" s="63">
        <f>SUM(BP2404:BP2409)</f>
        <v>1083</v>
      </c>
      <c r="BR2410" s="63"/>
      <c r="CC2410" s="133"/>
    </row>
    <row r="2411" spans="1:82">
      <c r="C2411" s="1"/>
      <c r="E2411" s="5"/>
      <c r="F2411" s="5"/>
      <c r="G2411" s="132"/>
      <c r="H2411" s="137"/>
      <c r="I2411" s="2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W2411" s="5"/>
      <c r="AX2411" s="5"/>
      <c r="AY2411" s="5"/>
      <c r="AZ2411" s="5"/>
      <c r="BJ2411" s="114"/>
      <c r="BK2411" s="116"/>
      <c r="BL2411" s="120"/>
    </row>
    <row r="2412" spans="1:82" hidden="1" outlineLevel="1">
      <c r="A2412" t="s">
        <v>1054</v>
      </c>
      <c r="B2412" t="s">
        <v>1964</v>
      </c>
      <c r="C2412" s="1">
        <f t="shared" ref="C2412:C2458" si="1004">SUM(N2412:AU2412)</f>
        <v>10775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4</v>
      </c>
      <c r="G2412" s="132">
        <f t="shared" si="985"/>
        <v>3022</v>
      </c>
      <c r="H2412" s="137">
        <f t="shared" si="986"/>
        <v>0.28046403712296986</v>
      </c>
      <c r="I2412" s="2"/>
      <c r="J2412" s="2">
        <f t="shared" ref="J2412:J2458" si="1005">IF($C2412=0,"-",N2412/$C2412)</f>
        <v>0.34719257540603249</v>
      </c>
      <c r="K2412" s="2">
        <f t="shared" ref="K2412:K2458" si="1006">IF($C2412=0,"-",O2412/$C2412)</f>
        <v>0.62765661252900229</v>
      </c>
      <c r="L2412" s="2">
        <f t="shared" ref="L2412:L2458" si="1007">IF($C2412=0,"-",P2412/$C2412)</f>
        <v>5.1972157772621807E-3</v>
      </c>
      <c r="M2412" s="2">
        <f t="shared" ref="M2412:M2458" si="1008">IF(C2412=0,"-",(1-J2412-K2412-L2412))</f>
        <v>1.9953596287702987E-2</v>
      </c>
      <c r="N2412" s="63">
        <v>3741</v>
      </c>
      <c r="O2412" s="63">
        <v>6763</v>
      </c>
      <c r="P2412" s="63">
        <v>56</v>
      </c>
      <c r="Q2412" s="63">
        <v>129</v>
      </c>
      <c r="R2412" s="63">
        <v>36</v>
      </c>
      <c r="S2412" s="63">
        <v>38</v>
      </c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>
        <v>12</v>
      </c>
      <c r="AT2412" s="63"/>
      <c r="AU2412" s="63"/>
      <c r="AW2412" s="5">
        <f>IF(Q2412&gt;0,RANK(Q2412,(N2412:P2412,Q2412:AE2412)),0)</f>
        <v>3</v>
      </c>
      <c r="AX2412" s="5">
        <f>IF(R2412&gt;0,RANK(R2412,(N2412:P2412,Q2412:AE2412)),0)</f>
        <v>6</v>
      </c>
      <c r="AY2412" s="5">
        <f>IF(T2412&gt;0,RANK(T2412,(N2412:P2412,Q2412:AE2412)),0)</f>
        <v>0</v>
      </c>
      <c r="AZ2412" s="5">
        <f>IF(S2412&gt;0,RANK(S2412,(N2412:P2412,Q2412:AE2412)),0)</f>
        <v>5</v>
      </c>
      <c r="BA2412" s="2">
        <f t="shared" ref="BA2412:BA2458" si="1009">IF($C2412=0,"-",Q2412/$C2412)</f>
        <v>1.1972157772621809E-2</v>
      </c>
      <c r="BB2412" s="2">
        <f t="shared" ref="BB2412:BB2458" si="1010">IF($C2412=0,"-",R2412/$C2412)</f>
        <v>3.3410672853828307E-3</v>
      </c>
      <c r="BC2412" s="2">
        <f t="shared" ref="BC2412:BC2458" si="1011">IF($C2412=0,"-",T2412/$C2412)</f>
        <v>0</v>
      </c>
      <c r="BD2412" s="2">
        <f t="shared" ref="BD2412:BD2458" si="1012">IF($C2412=0,"-",S2412/$C2412)</f>
        <v>3.5266821345707657E-3</v>
      </c>
      <c r="BF2412" t="s">
        <v>1054</v>
      </c>
      <c r="BG2412" t="s">
        <v>1964</v>
      </c>
      <c r="BH2412">
        <v>3</v>
      </c>
      <c r="BJ2412" s="114">
        <v>45</v>
      </c>
      <c r="BK2412" s="116">
        <v>1</v>
      </c>
      <c r="BL2412" s="120">
        <f t="shared" ref="BL2412:BL2473" si="1013">1000*BJ2412+BK2412</f>
        <v>45001</v>
      </c>
      <c r="BN2412" s="5" t="s">
        <v>3154</v>
      </c>
    </row>
    <row r="2413" spans="1:82" hidden="1" outlineLevel="1">
      <c r="A2413" t="s">
        <v>3167</v>
      </c>
      <c r="B2413" t="s">
        <v>1964</v>
      </c>
      <c r="C2413" s="1">
        <f t="shared" si="1004"/>
        <v>74851</v>
      </c>
      <c r="D2413" s="5">
        <f>IF(N2413&gt;0, RANK(N2413,(N2413:P2413,Q2413:AE2413)),0)</f>
        <v>2</v>
      </c>
      <c r="E2413" s="5">
        <f>IF(O2413&gt;0,RANK(O2413,(N2413:P2413,Q2413:AE2413)),0)</f>
        <v>1</v>
      </c>
      <c r="F2413" s="5">
        <f>IF(P2413&gt;0,RANK(P2413,(N2413:P2413,Q2413:AE2413)),0)</f>
        <v>4</v>
      </c>
      <c r="G2413" s="132">
        <f t="shared" si="985"/>
        <v>20570</v>
      </c>
      <c r="H2413" s="137">
        <f t="shared" si="986"/>
        <v>0.27481262775380422</v>
      </c>
      <c r="I2413" s="2"/>
      <c r="J2413" s="2">
        <f t="shared" si="1005"/>
        <v>0.34007561689222587</v>
      </c>
      <c r="K2413" s="2">
        <f t="shared" si="1006"/>
        <v>0.61488824464603009</v>
      </c>
      <c r="L2413" s="2">
        <f t="shared" si="1007"/>
        <v>1.0567661086692229E-2</v>
      </c>
      <c r="M2413" s="2">
        <f t="shared" si="1008"/>
        <v>3.4468477375051806E-2</v>
      </c>
      <c r="N2413" s="63">
        <v>25455</v>
      </c>
      <c r="O2413" s="63">
        <v>46025</v>
      </c>
      <c r="P2413" s="63">
        <v>791</v>
      </c>
      <c r="Q2413" s="63">
        <v>1798</v>
      </c>
      <c r="R2413" s="63">
        <v>460</v>
      </c>
      <c r="S2413" s="63">
        <v>213</v>
      </c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>
        <v>109</v>
      </c>
      <c r="AT2413" s="63"/>
      <c r="AU2413" s="63"/>
      <c r="AW2413" s="5">
        <f>IF(Q2413&gt;0,RANK(Q2413,(N2413:P2413,Q2413:AE2413)),0)</f>
        <v>3</v>
      </c>
      <c r="AX2413" s="5">
        <f>IF(R2413&gt;0,RANK(R2413,(N2413:P2413,Q2413:AE2413)),0)</f>
        <v>5</v>
      </c>
      <c r="AY2413" s="5">
        <f>IF(T2413&gt;0,RANK(T2413,(N2413:P2413,Q2413:AE2413)),0)</f>
        <v>0</v>
      </c>
      <c r="AZ2413" s="5">
        <f>IF(S2413&gt;0,RANK(S2413,(N2413:P2413,Q2413:AE2413)),0)</f>
        <v>6</v>
      </c>
      <c r="BA2413" s="2">
        <f t="shared" si="1009"/>
        <v>2.4021055162923674E-2</v>
      </c>
      <c r="BB2413" s="2">
        <f t="shared" si="1010"/>
        <v>6.1455424777224089E-3</v>
      </c>
      <c r="BC2413" s="2">
        <f t="shared" si="1011"/>
        <v>0</v>
      </c>
      <c r="BD2413" s="2">
        <f t="shared" si="1012"/>
        <v>2.8456533646845066E-3</v>
      </c>
      <c r="BF2413" t="s">
        <v>3167</v>
      </c>
      <c r="BG2413" t="s">
        <v>1964</v>
      </c>
      <c r="BH2413">
        <v>2</v>
      </c>
      <c r="BJ2413" s="114">
        <v>45</v>
      </c>
      <c r="BK2413" s="116">
        <v>3</v>
      </c>
      <c r="BL2413" s="120">
        <f t="shared" si="1013"/>
        <v>45003</v>
      </c>
      <c r="BN2413" s="5" t="s">
        <v>3154</v>
      </c>
    </row>
    <row r="2414" spans="1:82" hidden="1" outlineLevel="1">
      <c r="A2414" t="s">
        <v>3000</v>
      </c>
      <c r="B2414" t="s">
        <v>1964</v>
      </c>
      <c r="C2414" s="1">
        <f t="shared" si="1004"/>
        <v>3592</v>
      </c>
      <c r="D2414" s="5">
        <f>IF(N2414&gt;0, RANK(N2414,(N2414:P2414,Q2414:AE2414)),0)</f>
        <v>1</v>
      </c>
      <c r="E2414" s="5">
        <f>IF(O2414&gt;0,RANK(O2414,(N2414:P2414,Q2414:AE2414)),0)</f>
        <v>2</v>
      </c>
      <c r="F2414" s="5">
        <f>IF(P2414&gt;0,RANK(P2414,(N2414:P2414,Q2414:AE2414)),0)</f>
        <v>4</v>
      </c>
      <c r="G2414" s="132">
        <f t="shared" si="985"/>
        <v>1946</v>
      </c>
      <c r="H2414" s="137">
        <f t="shared" si="986"/>
        <v>0.54175946547884191</v>
      </c>
      <c r="I2414" s="2"/>
      <c r="J2414" s="2">
        <f t="shared" si="1005"/>
        <v>0.76141425389755013</v>
      </c>
      <c r="K2414" s="2">
        <f t="shared" si="1006"/>
        <v>0.21965478841870825</v>
      </c>
      <c r="L2414" s="2">
        <f t="shared" si="1007"/>
        <v>3.3407572383073497E-3</v>
      </c>
      <c r="M2414" s="2">
        <f t="shared" si="1008"/>
        <v>1.5590200445434268E-2</v>
      </c>
      <c r="N2414" s="63">
        <v>2735</v>
      </c>
      <c r="O2414" s="63">
        <v>789</v>
      </c>
      <c r="P2414" s="63">
        <v>12</v>
      </c>
      <c r="Q2414" s="63">
        <v>22</v>
      </c>
      <c r="R2414" s="63">
        <v>11</v>
      </c>
      <c r="S2414" s="63">
        <v>11</v>
      </c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>
        <v>12</v>
      </c>
      <c r="AT2414" s="63"/>
      <c r="AU2414" s="63"/>
      <c r="AW2414" s="5">
        <f>IF(Q2414&gt;0,RANK(Q2414,(N2414:P2414,Q2414:AE2414)),0)</f>
        <v>3</v>
      </c>
      <c r="AX2414" s="5">
        <f>IF(R2414&gt;0,RANK(R2414,(N2414:P2414,Q2414:AE2414)),0)</f>
        <v>5</v>
      </c>
      <c r="AY2414" s="5">
        <f>IF(T2414&gt;0,RANK(T2414,(N2414:P2414,Q2414:AE2414)),0)</f>
        <v>0</v>
      </c>
      <c r="AZ2414" s="5">
        <f>IF(S2414&gt;0,RANK(S2414,(N2414:P2414,Q2414:AE2414)),0)</f>
        <v>5</v>
      </c>
      <c r="BA2414" s="2">
        <f t="shared" si="1009"/>
        <v>6.124721603563474E-3</v>
      </c>
      <c r="BB2414" s="2">
        <f t="shared" si="1010"/>
        <v>3.062360801781737E-3</v>
      </c>
      <c r="BC2414" s="2">
        <f t="shared" si="1011"/>
        <v>0</v>
      </c>
      <c r="BD2414" s="2">
        <f t="shared" si="1012"/>
        <v>3.062360801781737E-3</v>
      </c>
      <c r="BF2414" t="s">
        <v>3000</v>
      </c>
      <c r="BG2414" t="s">
        <v>1964</v>
      </c>
      <c r="BH2414">
        <v>6</v>
      </c>
      <c r="BJ2414" s="114">
        <v>45</v>
      </c>
      <c r="BK2414" s="116">
        <v>5</v>
      </c>
      <c r="BL2414" s="120">
        <f t="shared" si="1013"/>
        <v>45005</v>
      </c>
      <c r="BN2414" s="5" t="s">
        <v>3154</v>
      </c>
    </row>
    <row r="2415" spans="1:82" hidden="1" outlineLevel="1">
      <c r="A2415" t="s">
        <v>1961</v>
      </c>
      <c r="B2415" t="s">
        <v>1964</v>
      </c>
      <c r="C2415" s="1">
        <f t="shared" si="1004"/>
        <v>80483</v>
      </c>
      <c r="D2415" s="5">
        <f>IF(N2415&gt;0, RANK(N2415,(N2415:P2415,Q2415:AE2415)),0)</f>
        <v>2</v>
      </c>
      <c r="E2415" s="5">
        <f>IF(O2415&gt;0,RANK(O2415,(N2415:P2415,Q2415:AE2415)),0)</f>
        <v>1</v>
      </c>
      <c r="F2415" s="5">
        <f>IF(P2415&gt;0,RANK(P2415,(N2415:P2415,Q2415:AE2415)),0)</f>
        <v>4</v>
      </c>
      <c r="G2415" s="132">
        <f t="shared" si="985"/>
        <v>35135</v>
      </c>
      <c r="H2415" s="137">
        <f t="shared" si="986"/>
        <v>0.43655181839643153</v>
      </c>
      <c r="I2415" s="2"/>
      <c r="J2415" s="2">
        <f t="shared" si="1005"/>
        <v>0.26212989078438925</v>
      </c>
      <c r="K2415" s="2">
        <f t="shared" si="1006"/>
        <v>0.69868170918082084</v>
      </c>
      <c r="L2415" s="2">
        <f t="shared" si="1007"/>
        <v>9.6417877067206739E-3</v>
      </c>
      <c r="M2415" s="2">
        <f t="shared" si="1008"/>
        <v>2.9546612328069287E-2</v>
      </c>
      <c r="N2415" s="63">
        <v>21097</v>
      </c>
      <c r="O2415" s="63">
        <v>56232</v>
      </c>
      <c r="P2415" s="63">
        <v>776</v>
      </c>
      <c r="Q2415" s="63">
        <v>1592</v>
      </c>
      <c r="R2415" s="63">
        <v>438</v>
      </c>
      <c r="S2415" s="63">
        <v>236</v>
      </c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>
        <v>112</v>
      </c>
      <c r="AT2415" s="63"/>
      <c r="AU2415" s="63"/>
      <c r="AW2415" s="5">
        <f>IF(Q2415&gt;0,RANK(Q2415,(N2415:P2415,Q2415:AE2415)),0)</f>
        <v>3</v>
      </c>
      <c r="AX2415" s="5">
        <f>IF(R2415&gt;0,RANK(R2415,(N2415:P2415,Q2415:AE2415)),0)</f>
        <v>5</v>
      </c>
      <c r="AY2415" s="5">
        <f>IF(T2415&gt;0,RANK(T2415,(N2415:P2415,Q2415:AE2415)),0)</f>
        <v>0</v>
      </c>
      <c r="AZ2415" s="5">
        <f>IF(S2415&gt;0,RANK(S2415,(N2415:P2415,Q2415:AE2415)),0)</f>
        <v>6</v>
      </c>
      <c r="BA2415" s="2">
        <f t="shared" si="1009"/>
        <v>1.9780574779767156E-2</v>
      </c>
      <c r="BB2415" s="2">
        <f t="shared" si="1010"/>
        <v>5.4421430612675969E-3</v>
      </c>
      <c r="BC2415" s="2">
        <f t="shared" si="1011"/>
        <v>0</v>
      </c>
      <c r="BD2415" s="2">
        <f t="shared" si="1012"/>
        <v>2.9322962613222668E-3</v>
      </c>
      <c r="BF2415" t="s">
        <v>1961</v>
      </c>
      <c r="BG2415" t="s">
        <v>1964</v>
      </c>
      <c r="BH2415">
        <v>3</v>
      </c>
      <c r="BJ2415" s="114">
        <v>45</v>
      </c>
      <c r="BK2415" s="116">
        <v>7</v>
      </c>
      <c r="BL2415" s="120">
        <f t="shared" si="1013"/>
        <v>45007</v>
      </c>
      <c r="BN2415" s="5" t="s">
        <v>3154</v>
      </c>
    </row>
    <row r="2416" spans="1:82" hidden="1" outlineLevel="1">
      <c r="A2416" t="s">
        <v>301</v>
      </c>
      <c r="B2416" t="s">
        <v>1964</v>
      </c>
      <c r="C2416" s="1">
        <f t="shared" si="1004"/>
        <v>6214</v>
      </c>
      <c r="D2416" s="5">
        <f>IF(N2416&gt;0, RANK(N2416,(N2416:P2416,Q2416:AE2416)),0)</f>
        <v>1</v>
      </c>
      <c r="E2416" s="5">
        <f>IF(O2416&gt;0,RANK(O2416,(N2416:P2416,Q2416:AE2416)),0)</f>
        <v>2</v>
      </c>
      <c r="F2416" s="5">
        <f>IF(P2416&gt;0,RANK(P2416,(N2416:P2416,Q2416:AE2416)),0)</f>
        <v>4</v>
      </c>
      <c r="G2416" s="132">
        <f t="shared" si="985"/>
        <v>1694</v>
      </c>
      <c r="H2416" s="137">
        <f t="shared" si="986"/>
        <v>0.2726102349533312</v>
      </c>
      <c r="I2416" s="2"/>
      <c r="J2416" s="2">
        <f t="shared" si="1005"/>
        <v>0.62729320888316709</v>
      </c>
      <c r="K2416" s="2">
        <f t="shared" si="1006"/>
        <v>0.35468297392983583</v>
      </c>
      <c r="L2416" s="2">
        <f t="shared" si="1007"/>
        <v>3.3794657225619568E-3</v>
      </c>
      <c r="M2416" s="2">
        <f t="shared" si="1008"/>
        <v>1.4644351464435126E-2</v>
      </c>
      <c r="N2416" s="63">
        <v>3898</v>
      </c>
      <c r="O2416" s="63">
        <v>2204</v>
      </c>
      <c r="P2416" s="63">
        <v>21</v>
      </c>
      <c r="Q2416" s="63">
        <v>51</v>
      </c>
      <c r="R2416" s="63">
        <v>17</v>
      </c>
      <c r="S2416" s="63">
        <v>16</v>
      </c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>
        <v>7</v>
      </c>
      <c r="AT2416" s="63"/>
      <c r="AU2416" s="63"/>
      <c r="AW2416" s="5">
        <f>IF(Q2416&gt;0,RANK(Q2416,(N2416:P2416,Q2416:AE2416)),0)</f>
        <v>3</v>
      </c>
      <c r="AX2416" s="5">
        <f>IF(R2416&gt;0,RANK(R2416,(N2416:P2416,Q2416:AE2416)),0)</f>
        <v>5</v>
      </c>
      <c r="AY2416" s="5">
        <f>IF(T2416&gt;0,RANK(T2416,(N2416:P2416,Q2416:AE2416)),0)</f>
        <v>0</v>
      </c>
      <c r="AZ2416" s="5">
        <f>IF(S2416&gt;0,RANK(S2416,(N2416:P2416,Q2416:AE2416)),0)</f>
        <v>6</v>
      </c>
      <c r="BA2416" s="2">
        <f t="shared" si="1009"/>
        <v>8.2072738976504672E-3</v>
      </c>
      <c r="BB2416" s="2">
        <f t="shared" si="1010"/>
        <v>2.7357579658834888E-3</v>
      </c>
      <c r="BC2416" s="2">
        <f t="shared" si="1011"/>
        <v>0</v>
      </c>
      <c r="BD2416" s="2">
        <f t="shared" si="1012"/>
        <v>2.5748310267138721E-3</v>
      </c>
      <c r="BF2416" t="s">
        <v>301</v>
      </c>
      <c r="BG2416" t="s">
        <v>1964</v>
      </c>
      <c r="BH2416">
        <v>6</v>
      </c>
      <c r="BJ2416" s="114">
        <v>45</v>
      </c>
      <c r="BK2416" s="116">
        <v>9</v>
      </c>
      <c r="BL2416" s="120">
        <f t="shared" si="1013"/>
        <v>45009</v>
      </c>
      <c r="BN2416" s="5" t="s">
        <v>3154</v>
      </c>
    </row>
    <row r="2417" spans="1:66" hidden="1" outlineLevel="1">
      <c r="A2417" t="s">
        <v>1604</v>
      </c>
      <c r="B2417" t="s">
        <v>1964</v>
      </c>
      <c r="C2417" s="1">
        <f t="shared" si="1004"/>
        <v>9485</v>
      </c>
      <c r="D2417" s="5">
        <f>IF(N2417&gt;0, RANK(N2417,(N2417:P2417,Q2417:AE2417)),0)</f>
        <v>2</v>
      </c>
      <c r="E2417" s="5">
        <f>IF(O2417&gt;0,RANK(O2417,(N2417:P2417,Q2417:AE2417)),0)</f>
        <v>1</v>
      </c>
      <c r="F2417" s="5">
        <f>IF(P2417&gt;0,RANK(P2417,(N2417:P2417,Q2417:AE2417)),0)</f>
        <v>4</v>
      </c>
      <c r="G2417" s="132">
        <f t="shared" si="985"/>
        <v>489</v>
      </c>
      <c r="H2417" s="137">
        <f t="shared" si="986"/>
        <v>5.1555086979441223E-2</v>
      </c>
      <c r="I2417" s="2"/>
      <c r="J2417" s="2">
        <f t="shared" si="1005"/>
        <v>0.46389035318924615</v>
      </c>
      <c r="K2417" s="2">
        <f t="shared" si="1006"/>
        <v>0.51544544016868743</v>
      </c>
      <c r="L2417" s="2">
        <f t="shared" si="1007"/>
        <v>4.5334739061676328E-3</v>
      </c>
      <c r="M2417" s="2">
        <f t="shared" si="1008"/>
        <v>1.6130732735898729E-2</v>
      </c>
      <c r="N2417" s="63">
        <v>4400</v>
      </c>
      <c r="O2417" s="63">
        <v>4889</v>
      </c>
      <c r="P2417" s="63">
        <v>43</v>
      </c>
      <c r="Q2417" s="63">
        <v>87</v>
      </c>
      <c r="R2417" s="63">
        <v>35</v>
      </c>
      <c r="S2417" s="63">
        <v>24</v>
      </c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>
        <v>7</v>
      </c>
      <c r="AT2417" s="63"/>
      <c r="AU2417" s="63"/>
      <c r="AW2417" s="5">
        <f>IF(Q2417&gt;0,RANK(Q2417,(N2417:P2417,Q2417:AE2417)),0)</f>
        <v>3</v>
      </c>
      <c r="AX2417" s="5">
        <f>IF(R2417&gt;0,RANK(R2417,(N2417:P2417,Q2417:AE2417)),0)</f>
        <v>5</v>
      </c>
      <c r="AY2417" s="5">
        <f>IF(T2417&gt;0,RANK(T2417,(N2417:P2417,Q2417:AE2417)),0)</f>
        <v>0</v>
      </c>
      <c r="AZ2417" s="5">
        <f>IF(S2417&gt;0,RANK(S2417,(N2417:P2417,Q2417:AE2417)),0)</f>
        <v>6</v>
      </c>
      <c r="BA2417" s="2">
        <f t="shared" si="1009"/>
        <v>9.1723774380600941E-3</v>
      </c>
      <c r="BB2417" s="2">
        <f t="shared" si="1010"/>
        <v>3.6900369003690036E-3</v>
      </c>
      <c r="BC2417" s="2">
        <f t="shared" si="1011"/>
        <v>0</v>
      </c>
      <c r="BD2417" s="2">
        <f t="shared" si="1012"/>
        <v>2.530311017395888E-3</v>
      </c>
      <c r="BF2417" t="s">
        <v>1604</v>
      </c>
      <c r="BG2417" t="s">
        <v>1964</v>
      </c>
      <c r="BH2417">
        <v>2</v>
      </c>
      <c r="BJ2417" s="114">
        <v>45</v>
      </c>
      <c r="BK2417" s="116">
        <v>11</v>
      </c>
      <c r="BL2417" s="120">
        <f t="shared" si="1013"/>
        <v>45011</v>
      </c>
      <c r="BN2417" s="5" t="s">
        <v>3154</v>
      </c>
    </row>
    <row r="2418" spans="1:66" hidden="1" outlineLevel="1">
      <c r="A2418" t="s">
        <v>279</v>
      </c>
      <c r="B2418" t="s">
        <v>1964</v>
      </c>
      <c r="C2418" s="1">
        <f t="shared" si="1004"/>
        <v>78524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4</v>
      </c>
      <c r="G2418" s="132">
        <f t="shared" si="985"/>
        <v>10784</v>
      </c>
      <c r="H2418" s="137">
        <f t="shared" si="986"/>
        <v>0.13733380877184045</v>
      </c>
      <c r="I2418" s="2"/>
      <c r="J2418" s="2">
        <f t="shared" si="1005"/>
        <v>0.40927614487290509</v>
      </c>
      <c r="K2418" s="2">
        <f t="shared" si="1006"/>
        <v>0.54660995364474552</v>
      </c>
      <c r="L2418" s="2">
        <f t="shared" si="1007"/>
        <v>9.4620752890835925E-3</v>
      </c>
      <c r="M2418" s="2">
        <f t="shared" si="1008"/>
        <v>3.4651826193265803E-2</v>
      </c>
      <c r="N2418" s="63">
        <v>32138</v>
      </c>
      <c r="O2418" s="63">
        <v>42922</v>
      </c>
      <c r="P2418" s="63">
        <v>743</v>
      </c>
      <c r="Q2418" s="63">
        <v>2005</v>
      </c>
      <c r="R2418" s="63">
        <v>482</v>
      </c>
      <c r="S2418" s="63">
        <v>142</v>
      </c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>
        <v>92</v>
      </c>
      <c r="AT2418" s="63"/>
      <c r="AU2418" s="63"/>
      <c r="AW2418" s="5">
        <f>IF(Q2418&gt;0,RANK(Q2418,(N2418:P2418,Q2418:AE2418)),0)</f>
        <v>3</v>
      </c>
      <c r="AX2418" s="5">
        <f>IF(R2418&gt;0,RANK(R2418,(N2418:P2418,Q2418:AE2418)),0)</f>
        <v>5</v>
      </c>
      <c r="AY2418" s="5">
        <f>IF(T2418&gt;0,RANK(T2418,(N2418:P2418,Q2418:AE2418)),0)</f>
        <v>0</v>
      </c>
      <c r="AZ2418" s="5">
        <f>IF(S2418&gt;0,RANK(S2418,(N2418:P2418,Q2418:AE2418)),0)</f>
        <v>6</v>
      </c>
      <c r="BA2418" s="2">
        <f t="shared" si="1009"/>
        <v>2.553359482451225E-2</v>
      </c>
      <c r="BB2418" s="2">
        <f t="shared" si="1010"/>
        <v>6.1382507258927205E-3</v>
      </c>
      <c r="BC2418" s="2">
        <f t="shared" si="1011"/>
        <v>0</v>
      </c>
      <c r="BD2418" s="2">
        <f t="shared" si="1012"/>
        <v>1.8083643217360298E-3</v>
      </c>
      <c r="BF2418" t="s">
        <v>279</v>
      </c>
      <c r="BG2418" t="s">
        <v>1964</v>
      </c>
      <c r="BJ2418" s="114">
        <v>45</v>
      </c>
      <c r="BK2418" s="116">
        <v>13</v>
      </c>
      <c r="BL2418" s="120">
        <f t="shared" si="1013"/>
        <v>45013</v>
      </c>
      <c r="BN2418" s="5" t="s">
        <v>3154</v>
      </c>
    </row>
    <row r="2419" spans="1:66" hidden="1" outlineLevel="1">
      <c r="A2419" t="s">
        <v>1562</v>
      </c>
      <c r="B2419" t="s">
        <v>1964</v>
      </c>
      <c r="C2419" s="1">
        <f t="shared" si="1004"/>
        <v>79517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4</v>
      </c>
      <c r="G2419" s="132">
        <f t="shared" si="985"/>
        <v>13882</v>
      </c>
      <c r="H2419" s="137">
        <f t="shared" si="986"/>
        <v>0.17457902083831131</v>
      </c>
      <c r="I2419" s="2"/>
      <c r="J2419" s="2">
        <f t="shared" si="1005"/>
        <v>0.38614384345485869</v>
      </c>
      <c r="K2419" s="2">
        <f t="shared" si="1006"/>
        <v>0.56072286429316998</v>
      </c>
      <c r="L2419" s="2">
        <f t="shared" si="1007"/>
        <v>1.0865601066438623E-2</v>
      </c>
      <c r="M2419" s="2">
        <f t="shared" si="1008"/>
        <v>4.2267691185532655E-2</v>
      </c>
      <c r="N2419" s="63">
        <v>30705</v>
      </c>
      <c r="O2419" s="63">
        <v>44587</v>
      </c>
      <c r="P2419" s="63">
        <v>864</v>
      </c>
      <c r="Q2419" s="63">
        <v>2470</v>
      </c>
      <c r="R2419" s="63">
        <v>543</v>
      </c>
      <c r="S2419" s="63">
        <v>230</v>
      </c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>
        <v>118</v>
      </c>
      <c r="AT2419" s="63"/>
      <c r="AU2419" s="63"/>
      <c r="AW2419" s="5">
        <f>IF(Q2419&gt;0,RANK(Q2419,(N2419:P2419,Q2419:AE2419)),0)</f>
        <v>3</v>
      </c>
      <c r="AX2419" s="5">
        <f>IF(R2419&gt;0,RANK(R2419,(N2419:P2419,Q2419:AE2419)),0)</f>
        <v>5</v>
      </c>
      <c r="AY2419" s="5">
        <f>IF(T2419&gt;0,RANK(T2419,(N2419:P2419,Q2419:AE2419)),0)</f>
        <v>0</v>
      </c>
      <c r="AZ2419" s="5">
        <f>IF(S2419&gt;0,RANK(S2419,(N2419:P2419,Q2419:AE2419)),0)</f>
        <v>6</v>
      </c>
      <c r="BA2419" s="2">
        <f t="shared" si="1009"/>
        <v>3.1062540085767823E-2</v>
      </c>
      <c r="BB2419" s="2">
        <f t="shared" si="1010"/>
        <v>6.8287284480048295E-3</v>
      </c>
      <c r="BC2419" s="2">
        <f t="shared" si="1011"/>
        <v>0</v>
      </c>
      <c r="BD2419" s="2">
        <f t="shared" si="1012"/>
        <v>2.8924632468528741E-3</v>
      </c>
      <c r="BF2419" t="s">
        <v>1562</v>
      </c>
      <c r="BG2419" t="s">
        <v>1964</v>
      </c>
      <c r="BJ2419" s="114">
        <v>45</v>
      </c>
      <c r="BK2419" s="116">
        <v>15</v>
      </c>
      <c r="BL2419" s="120">
        <f t="shared" si="1013"/>
        <v>45015</v>
      </c>
      <c r="BN2419" s="5" t="s">
        <v>3154</v>
      </c>
    </row>
    <row r="2420" spans="1:66" hidden="1" outlineLevel="1">
      <c r="A2420" t="s">
        <v>1197</v>
      </c>
      <c r="B2420" t="s">
        <v>1964</v>
      </c>
      <c r="C2420" s="1">
        <f t="shared" si="1004"/>
        <v>7549</v>
      </c>
      <c r="D2420" s="5">
        <f>IF(N2420&gt;0, RANK(N2420,(N2420:P2420,Q2420:AE2420)),0)</f>
        <v>2</v>
      </c>
      <c r="E2420" s="5">
        <f>IF(O2420&gt;0,RANK(O2420,(N2420:P2420,Q2420:AE2420)),0)</f>
        <v>1</v>
      </c>
      <c r="F2420" s="5">
        <f>IF(P2420&gt;0,RANK(P2420,(N2420:P2420,Q2420:AE2420)),0)</f>
        <v>4</v>
      </c>
      <c r="G2420" s="132">
        <f t="shared" si="985"/>
        <v>214</v>
      </c>
      <c r="H2420" s="137">
        <f t="shared" si="986"/>
        <v>2.8348125579546961E-2</v>
      </c>
      <c r="I2420" s="2"/>
      <c r="J2420" s="2">
        <f t="shared" si="1005"/>
        <v>0.4733077228772023</v>
      </c>
      <c r="K2420" s="2">
        <f t="shared" si="1006"/>
        <v>0.50165584845674926</v>
      </c>
      <c r="L2420" s="2">
        <f t="shared" si="1007"/>
        <v>5.1662471850576234E-3</v>
      </c>
      <c r="M2420" s="2">
        <f t="shared" si="1008"/>
        <v>1.9870181480990869E-2</v>
      </c>
      <c r="N2420" s="63">
        <v>3573</v>
      </c>
      <c r="O2420" s="63">
        <v>3787</v>
      </c>
      <c r="P2420" s="63">
        <v>39</v>
      </c>
      <c r="Q2420" s="63">
        <v>105</v>
      </c>
      <c r="R2420" s="63">
        <v>24</v>
      </c>
      <c r="S2420" s="63">
        <v>15</v>
      </c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>
        <v>6</v>
      </c>
      <c r="AT2420" s="63"/>
      <c r="AU2420" s="63"/>
      <c r="AW2420" s="5">
        <f>IF(Q2420&gt;0,RANK(Q2420,(N2420:P2420,Q2420:AE2420)),0)</f>
        <v>3</v>
      </c>
      <c r="AX2420" s="5">
        <f>IF(R2420&gt;0,RANK(R2420,(N2420:P2420,Q2420:AE2420)),0)</f>
        <v>5</v>
      </c>
      <c r="AY2420" s="5">
        <f>IF(T2420&gt;0,RANK(T2420,(N2420:P2420,Q2420:AE2420)),0)</f>
        <v>0</v>
      </c>
      <c r="AZ2420" s="5">
        <f>IF(S2420&gt;0,RANK(S2420,(N2420:P2420,Q2420:AE2420)),0)</f>
        <v>6</v>
      </c>
      <c r="BA2420" s="2">
        <f t="shared" si="1009"/>
        <v>1.3909127036693602E-2</v>
      </c>
      <c r="BB2420" s="2">
        <f t="shared" si="1010"/>
        <v>3.1792290369585374E-3</v>
      </c>
      <c r="BC2420" s="2">
        <f t="shared" si="1011"/>
        <v>0</v>
      </c>
      <c r="BD2420" s="2">
        <f t="shared" si="1012"/>
        <v>1.9870181480990861E-3</v>
      </c>
      <c r="BF2420" t="s">
        <v>1197</v>
      </c>
      <c r="BG2420" t="s">
        <v>1964</v>
      </c>
      <c r="BH2420">
        <v>6</v>
      </c>
      <c r="BJ2420" s="114">
        <v>45</v>
      </c>
      <c r="BK2420" s="116">
        <v>17</v>
      </c>
      <c r="BL2420" s="120">
        <f t="shared" si="1013"/>
        <v>45017</v>
      </c>
      <c r="BN2420" s="5" t="s">
        <v>3154</v>
      </c>
    </row>
    <row r="2421" spans="1:66" hidden="1" outlineLevel="1">
      <c r="A2421" t="s">
        <v>2784</v>
      </c>
      <c r="B2421" t="s">
        <v>1964</v>
      </c>
      <c r="C2421" s="1">
        <f t="shared" si="1004"/>
        <v>176345</v>
      </c>
      <c r="D2421" s="5">
        <f>IF(N2421&gt;0, RANK(N2421,(N2421:P2421,Q2421:AE2421)),0)</f>
        <v>1</v>
      </c>
      <c r="E2421" s="5">
        <f>IF(O2421&gt;0,RANK(O2421,(N2421:P2421,Q2421:AE2421)),0)</f>
        <v>2</v>
      </c>
      <c r="F2421" s="5">
        <f>IF(P2421&gt;0,RANK(P2421,(N2421:P2421,Q2421:AE2421)),0)</f>
        <v>4</v>
      </c>
      <c r="G2421" s="132">
        <f t="shared" si="985"/>
        <v>13856</v>
      </c>
      <c r="H2421" s="137">
        <f t="shared" si="986"/>
        <v>7.8573251297173158E-2</v>
      </c>
      <c r="I2421" s="2"/>
      <c r="J2421" s="2">
        <f t="shared" si="1005"/>
        <v>0.50638804615951682</v>
      </c>
      <c r="K2421" s="2">
        <f t="shared" si="1006"/>
        <v>0.42781479486234369</v>
      </c>
      <c r="L2421" s="2">
        <f t="shared" si="1007"/>
        <v>1.1256344098216565E-2</v>
      </c>
      <c r="M2421" s="2">
        <f t="shared" si="1008"/>
        <v>5.4540814879922919E-2</v>
      </c>
      <c r="N2421" s="63">
        <v>89299</v>
      </c>
      <c r="O2421" s="63">
        <v>75443</v>
      </c>
      <c r="P2421" s="63">
        <v>1985</v>
      </c>
      <c r="Q2421" s="63">
        <v>7283</v>
      </c>
      <c r="R2421" s="63">
        <v>1681</v>
      </c>
      <c r="S2421" s="63">
        <v>428</v>
      </c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>
        <v>226</v>
      </c>
      <c r="AT2421" s="63"/>
      <c r="AU2421" s="63"/>
      <c r="AW2421" s="5">
        <f>IF(Q2421&gt;0,RANK(Q2421,(N2421:P2421,Q2421:AE2421)),0)</f>
        <v>3</v>
      </c>
      <c r="AX2421" s="5">
        <f>IF(R2421&gt;0,RANK(R2421,(N2421:P2421,Q2421:AE2421)),0)</f>
        <v>5</v>
      </c>
      <c r="AY2421" s="5">
        <f>IF(T2421&gt;0,RANK(T2421,(N2421:P2421,Q2421:AE2421)),0)</f>
        <v>0</v>
      </c>
      <c r="AZ2421" s="5">
        <f>IF(S2421&gt;0,RANK(S2421,(N2421:P2421,Q2421:AE2421)),0)</f>
        <v>6</v>
      </c>
      <c r="BA2421" s="2">
        <f t="shared" si="1009"/>
        <v>4.1299724970937653E-2</v>
      </c>
      <c r="BB2421" s="2">
        <f t="shared" si="1010"/>
        <v>9.5324505940060679E-3</v>
      </c>
      <c r="BC2421" s="2">
        <f t="shared" si="1011"/>
        <v>0</v>
      </c>
      <c r="BD2421" s="2">
        <f t="shared" si="1012"/>
        <v>2.4270605914542514E-3</v>
      </c>
      <c r="BF2421" t="s">
        <v>2784</v>
      </c>
      <c r="BG2421" t="s">
        <v>1964</v>
      </c>
      <c r="BJ2421" s="114">
        <v>45</v>
      </c>
      <c r="BK2421" s="116">
        <v>19</v>
      </c>
      <c r="BL2421" s="120">
        <f t="shared" si="1013"/>
        <v>45019</v>
      </c>
      <c r="BN2421" s="5" t="s">
        <v>3154</v>
      </c>
    </row>
    <row r="2422" spans="1:66" hidden="1" outlineLevel="1">
      <c r="A2422" t="s">
        <v>1652</v>
      </c>
      <c r="B2422" t="s">
        <v>1964</v>
      </c>
      <c r="C2422" s="1">
        <f t="shared" si="1004"/>
        <v>21759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4</v>
      </c>
      <c r="G2422" s="132">
        <f t="shared" si="985"/>
        <v>9075</v>
      </c>
      <c r="H2422" s="137">
        <f t="shared" si="986"/>
        <v>0.41706879911760653</v>
      </c>
      <c r="I2422" s="2"/>
      <c r="J2422" s="2">
        <f t="shared" si="1005"/>
        <v>0.27997610184291555</v>
      </c>
      <c r="K2422" s="2">
        <f t="shared" si="1006"/>
        <v>0.69704490096052207</v>
      </c>
      <c r="L2422" s="2">
        <f t="shared" si="1007"/>
        <v>4.4119674617399693E-3</v>
      </c>
      <c r="M2422" s="2">
        <f t="shared" si="1008"/>
        <v>1.856702973482241E-2</v>
      </c>
      <c r="N2422" s="63">
        <v>6092</v>
      </c>
      <c r="O2422" s="63">
        <v>15167</v>
      </c>
      <c r="P2422" s="63">
        <v>96</v>
      </c>
      <c r="Q2422" s="63">
        <v>242</v>
      </c>
      <c r="R2422" s="63">
        <v>80</v>
      </c>
      <c r="S2422" s="63">
        <v>52</v>
      </c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>
        <v>30</v>
      </c>
      <c r="AT2422" s="63"/>
      <c r="AU2422" s="63"/>
      <c r="AW2422" s="5">
        <f>IF(Q2422&gt;0,RANK(Q2422,(N2422:P2422,Q2422:AE2422)),0)</f>
        <v>3</v>
      </c>
      <c r="AX2422" s="5">
        <f>IF(R2422&gt;0,RANK(R2422,(N2422:P2422,Q2422:AE2422)),0)</f>
        <v>5</v>
      </c>
      <c r="AY2422" s="5">
        <f>IF(T2422&gt;0,RANK(T2422,(N2422:P2422,Q2422:AE2422)),0)</f>
        <v>0</v>
      </c>
      <c r="AZ2422" s="5">
        <f>IF(S2422&gt;0,RANK(S2422,(N2422:P2422,Q2422:AE2422)),0)</f>
        <v>6</v>
      </c>
      <c r="BA2422" s="2">
        <f t="shared" si="1009"/>
        <v>1.1121834643136173E-2</v>
      </c>
      <c r="BB2422" s="2">
        <f t="shared" si="1010"/>
        <v>3.6766395514499749E-3</v>
      </c>
      <c r="BC2422" s="2">
        <f t="shared" si="1011"/>
        <v>0</v>
      </c>
      <c r="BD2422" s="2">
        <f t="shared" si="1012"/>
        <v>2.3898157084424835E-3</v>
      </c>
      <c r="BF2422" t="s">
        <v>1652</v>
      </c>
      <c r="BG2422" t="s">
        <v>1964</v>
      </c>
      <c r="BH2422">
        <v>5</v>
      </c>
      <c r="BJ2422" s="114">
        <v>45</v>
      </c>
      <c r="BK2422" s="116">
        <v>21</v>
      </c>
      <c r="BL2422" s="120">
        <f t="shared" si="1013"/>
        <v>45021</v>
      </c>
      <c r="BN2422" s="5" t="s">
        <v>3154</v>
      </c>
    </row>
    <row r="2423" spans="1:66" hidden="1" outlineLevel="1">
      <c r="A2423" t="s">
        <v>357</v>
      </c>
      <c r="B2423" t="s">
        <v>1964</v>
      </c>
      <c r="C2423" s="1">
        <f t="shared" si="1004"/>
        <v>14192</v>
      </c>
      <c r="D2423" s="5">
        <f>IF(N2423&gt;0, RANK(N2423,(N2423:P2423,Q2423:AE2423)),0)</f>
        <v>2</v>
      </c>
      <c r="E2423" s="5">
        <f>IF(O2423&gt;0,RANK(O2423,(N2423:P2423,Q2423:AE2423)),0)</f>
        <v>1</v>
      </c>
      <c r="F2423" s="5">
        <f>IF(P2423&gt;0,RANK(P2423,(N2423:P2423,Q2423:AE2423)),0)</f>
        <v>4</v>
      </c>
      <c r="G2423" s="132">
        <f t="shared" si="985"/>
        <v>686</v>
      </c>
      <c r="H2423" s="137">
        <f t="shared" si="986"/>
        <v>4.8337091319052991E-2</v>
      </c>
      <c r="I2423" s="2"/>
      <c r="J2423" s="2">
        <f t="shared" si="1005"/>
        <v>0.46357102593010147</v>
      </c>
      <c r="K2423" s="2">
        <f t="shared" si="1006"/>
        <v>0.51190811724915442</v>
      </c>
      <c r="L2423" s="2">
        <f t="shared" si="1007"/>
        <v>4.5095828635851182E-3</v>
      </c>
      <c r="M2423" s="2">
        <f t="shared" si="1008"/>
        <v>2.0011273957159001E-2</v>
      </c>
      <c r="N2423" s="63">
        <v>6579</v>
      </c>
      <c r="O2423" s="63">
        <v>7265</v>
      </c>
      <c r="P2423" s="63">
        <v>64</v>
      </c>
      <c r="Q2423" s="63">
        <v>175</v>
      </c>
      <c r="R2423" s="63">
        <v>50</v>
      </c>
      <c r="S2423" s="63">
        <v>30</v>
      </c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>
        <v>29</v>
      </c>
      <c r="AT2423" s="63"/>
      <c r="AU2423" s="63"/>
      <c r="AW2423" s="5">
        <f>IF(Q2423&gt;0,RANK(Q2423,(N2423:P2423,Q2423:AE2423)),0)</f>
        <v>3</v>
      </c>
      <c r="AX2423" s="5">
        <f>IF(R2423&gt;0,RANK(R2423,(N2423:P2423,Q2423:AE2423)),0)</f>
        <v>5</v>
      </c>
      <c r="AY2423" s="5">
        <f>IF(T2423&gt;0,RANK(T2423,(N2423:P2423,Q2423:AE2423)),0)</f>
        <v>0</v>
      </c>
      <c r="AZ2423" s="5">
        <f>IF(S2423&gt;0,RANK(S2423,(N2423:P2423,Q2423:AE2423)),0)</f>
        <v>6</v>
      </c>
      <c r="BA2423" s="2">
        <f t="shared" si="1009"/>
        <v>1.2330890642615559E-2</v>
      </c>
      <c r="BB2423" s="2">
        <f t="shared" si="1010"/>
        <v>3.5231116121758736E-3</v>
      </c>
      <c r="BC2423" s="2">
        <f t="shared" si="1011"/>
        <v>0</v>
      </c>
      <c r="BD2423" s="2">
        <f t="shared" si="1012"/>
        <v>2.1138669673055241E-3</v>
      </c>
      <c r="BF2423" t="s">
        <v>357</v>
      </c>
      <c r="BG2423" t="s">
        <v>1964</v>
      </c>
      <c r="BH2423">
        <v>5</v>
      </c>
      <c r="BJ2423" s="114">
        <v>45</v>
      </c>
      <c r="BK2423" s="116">
        <v>23</v>
      </c>
      <c r="BL2423" s="120">
        <f t="shared" si="1013"/>
        <v>45023</v>
      </c>
      <c r="BN2423" s="5" t="s">
        <v>3154</v>
      </c>
    </row>
    <row r="2424" spans="1:66" hidden="1" outlineLevel="1">
      <c r="A2424" t="s">
        <v>3091</v>
      </c>
      <c r="B2424" t="s">
        <v>1964</v>
      </c>
      <c r="C2424" s="1">
        <f t="shared" si="1004"/>
        <v>16581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4</v>
      </c>
      <c r="G2424" s="132">
        <f t="shared" si="985"/>
        <v>2454</v>
      </c>
      <c r="H2424" s="137">
        <f t="shared" si="986"/>
        <v>0.1480007237199204</v>
      </c>
      <c r="I2424" s="2"/>
      <c r="J2424" s="2">
        <f t="shared" si="1005"/>
        <v>0.41360593450334721</v>
      </c>
      <c r="K2424" s="2">
        <f t="shared" si="1006"/>
        <v>0.56160665822326761</v>
      </c>
      <c r="L2424" s="2">
        <f t="shared" si="1007"/>
        <v>5.7294493697605696E-3</v>
      </c>
      <c r="M2424" s="2">
        <f t="shared" si="1008"/>
        <v>1.9057957903624672E-2</v>
      </c>
      <c r="N2424" s="63">
        <v>6858</v>
      </c>
      <c r="O2424" s="63">
        <v>9312</v>
      </c>
      <c r="P2424" s="63">
        <v>95</v>
      </c>
      <c r="Q2424" s="63">
        <v>185</v>
      </c>
      <c r="R2424" s="63">
        <v>47</v>
      </c>
      <c r="S2424" s="63">
        <v>60</v>
      </c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>
        <v>24</v>
      </c>
      <c r="AT2424" s="63"/>
      <c r="AU2424" s="63"/>
      <c r="AW2424" s="5">
        <f>IF(Q2424&gt;0,RANK(Q2424,(N2424:P2424,Q2424:AE2424)),0)</f>
        <v>3</v>
      </c>
      <c r="AX2424" s="5">
        <f>IF(R2424&gt;0,RANK(R2424,(N2424:P2424,Q2424:AE2424)),0)</f>
        <v>6</v>
      </c>
      <c r="AY2424" s="5">
        <f>IF(T2424&gt;0,RANK(T2424,(N2424:P2424,Q2424:AE2424)),0)</f>
        <v>0</v>
      </c>
      <c r="AZ2424" s="5">
        <f>IF(S2424&gt;0,RANK(S2424,(N2424:P2424,Q2424:AE2424)),0)</f>
        <v>5</v>
      </c>
      <c r="BA2424" s="2">
        <f t="shared" si="1009"/>
        <v>1.1157348772691636E-2</v>
      </c>
      <c r="BB2424" s="2">
        <f t="shared" si="1010"/>
        <v>2.8345696881973345E-3</v>
      </c>
      <c r="BC2424" s="2">
        <f t="shared" si="1011"/>
        <v>0</v>
      </c>
      <c r="BD2424" s="2">
        <f t="shared" si="1012"/>
        <v>3.6185996019540436E-3</v>
      </c>
      <c r="BF2424" t="s">
        <v>3091</v>
      </c>
      <c r="BG2424" t="s">
        <v>1964</v>
      </c>
      <c r="BH2424">
        <v>7</v>
      </c>
      <c r="BJ2424" s="114">
        <v>45</v>
      </c>
      <c r="BK2424" s="116">
        <v>25</v>
      </c>
      <c r="BL2424" s="120">
        <f t="shared" si="1013"/>
        <v>45025</v>
      </c>
      <c r="BN2424" s="5" t="s">
        <v>3154</v>
      </c>
    </row>
    <row r="2425" spans="1:66" hidden="1" outlineLevel="1">
      <c r="A2425" t="s">
        <v>232</v>
      </c>
      <c r="B2425" t="s">
        <v>1964</v>
      </c>
      <c r="C2425" s="1">
        <f t="shared" si="1004"/>
        <v>15395</v>
      </c>
      <c r="D2425" s="5">
        <f>IF(N2425&gt;0, RANK(N2425,(N2425:P2425,Q2425:AE2425)),0)</f>
        <v>1</v>
      </c>
      <c r="E2425" s="5">
        <f>IF(O2425&gt;0,RANK(O2425,(N2425:P2425,Q2425:AE2425)),0)</f>
        <v>2</v>
      </c>
      <c r="F2425" s="5">
        <f>IF(P2425&gt;0,RANK(P2425,(N2425:P2425,Q2425:AE2425)),0)</f>
        <v>4</v>
      </c>
      <c r="G2425" s="132">
        <f t="shared" si="985"/>
        <v>346</v>
      </c>
      <c r="H2425" s="137">
        <f t="shared" si="986"/>
        <v>2.2474829490094186E-2</v>
      </c>
      <c r="I2425" s="2"/>
      <c r="J2425" s="2">
        <f t="shared" si="1005"/>
        <v>0.50224098733354983</v>
      </c>
      <c r="K2425" s="2">
        <f t="shared" si="1006"/>
        <v>0.47976615784345567</v>
      </c>
      <c r="L2425" s="2">
        <f t="shared" si="1007"/>
        <v>4.8067554400779474E-3</v>
      </c>
      <c r="M2425" s="2">
        <f t="shared" si="1008"/>
        <v>1.3186099382916561E-2</v>
      </c>
      <c r="N2425" s="63">
        <v>7732</v>
      </c>
      <c r="O2425" s="63">
        <v>7386</v>
      </c>
      <c r="P2425" s="63">
        <v>74</v>
      </c>
      <c r="Q2425" s="63">
        <v>127</v>
      </c>
      <c r="R2425" s="63">
        <v>27</v>
      </c>
      <c r="S2425" s="63">
        <v>25</v>
      </c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>
        <v>24</v>
      </c>
      <c r="AT2425" s="63"/>
      <c r="AU2425" s="63"/>
      <c r="AW2425" s="5">
        <f>IF(Q2425&gt;0,RANK(Q2425,(N2425:P2425,Q2425:AE2425)),0)</f>
        <v>3</v>
      </c>
      <c r="AX2425" s="5">
        <f>IF(R2425&gt;0,RANK(R2425,(N2425:P2425,Q2425:AE2425)),0)</f>
        <v>5</v>
      </c>
      <c r="AY2425" s="5">
        <f>IF(T2425&gt;0,RANK(T2425,(N2425:P2425,Q2425:AE2425)),0)</f>
        <v>0</v>
      </c>
      <c r="AZ2425" s="5">
        <f>IF(S2425&gt;0,RANK(S2425,(N2425:P2425,Q2425:AE2425)),0)</f>
        <v>6</v>
      </c>
      <c r="BA2425" s="2">
        <f t="shared" si="1009"/>
        <v>8.2494316336472889E-3</v>
      </c>
      <c r="BB2425" s="2">
        <f t="shared" si="1010"/>
        <v>1.7538161740824944E-3</v>
      </c>
      <c r="BC2425" s="2">
        <f t="shared" si="1011"/>
        <v>0</v>
      </c>
      <c r="BD2425" s="2">
        <f t="shared" si="1012"/>
        <v>1.6239038648911985E-3</v>
      </c>
      <c r="BF2425" t="s">
        <v>232</v>
      </c>
      <c r="BG2425" t="s">
        <v>1964</v>
      </c>
      <c r="BH2425">
        <v>6</v>
      </c>
      <c r="BJ2425" s="114">
        <v>45</v>
      </c>
      <c r="BK2425" s="116">
        <v>27</v>
      </c>
      <c r="BL2425" s="120">
        <f t="shared" si="1013"/>
        <v>45027</v>
      </c>
      <c r="BN2425" s="5" t="s">
        <v>3154</v>
      </c>
    </row>
    <row r="2426" spans="1:66" hidden="1" outlineLevel="1">
      <c r="A2426" t="s">
        <v>2626</v>
      </c>
      <c r="B2426" t="s">
        <v>1964</v>
      </c>
      <c r="C2426" s="1">
        <f t="shared" si="1004"/>
        <v>17251</v>
      </c>
      <c r="D2426" s="5">
        <f>IF(N2426&gt;0, RANK(N2426,(N2426:P2426,Q2426:AE2426)),0)</f>
        <v>2</v>
      </c>
      <c r="E2426" s="5">
        <f>IF(O2426&gt;0,RANK(O2426,(N2426:P2426,Q2426:AE2426)),0)</f>
        <v>1</v>
      </c>
      <c r="F2426" s="5">
        <f>IF(P2426&gt;0,RANK(P2426,(N2426:P2426,Q2426:AE2426)),0)</f>
        <v>4</v>
      </c>
      <c r="G2426" s="132">
        <f t="shared" si="985"/>
        <v>1464</v>
      </c>
      <c r="H2426" s="137">
        <f t="shared" si="986"/>
        <v>8.486464552779549E-2</v>
      </c>
      <c r="I2426" s="2"/>
      <c r="J2426" s="2">
        <f t="shared" si="1005"/>
        <v>0.44211929743203293</v>
      </c>
      <c r="K2426" s="2">
        <f t="shared" si="1006"/>
        <v>0.52698394295982842</v>
      </c>
      <c r="L2426" s="2">
        <f t="shared" si="1007"/>
        <v>5.9706683670511856E-3</v>
      </c>
      <c r="M2426" s="2">
        <f t="shared" si="1008"/>
        <v>2.492609124108746E-2</v>
      </c>
      <c r="N2426" s="63">
        <v>7627</v>
      </c>
      <c r="O2426" s="63">
        <v>9091</v>
      </c>
      <c r="P2426" s="63">
        <v>103</v>
      </c>
      <c r="Q2426" s="63">
        <v>262</v>
      </c>
      <c r="R2426" s="63">
        <v>79</v>
      </c>
      <c r="S2426" s="63">
        <v>60</v>
      </c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>
        <v>29</v>
      </c>
      <c r="AT2426" s="63"/>
      <c r="AU2426" s="63"/>
      <c r="AW2426" s="5">
        <f>IF(Q2426&gt;0,RANK(Q2426,(N2426:P2426,Q2426:AE2426)),0)</f>
        <v>3</v>
      </c>
      <c r="AX2426" s="5">
        <f>IF(R2426&gt;0,RANK(R2426,(N2426:P2426,Q2426:AE2426)),0)</f>
        <v>5</v>
      </c>
      <c r="AY2426" s="5">
        <f>IF(T2426&gt;0,RANK(T2426,(N2426:P2426,Q2426:AE2426)),0)</f>
        <v>0</v>
      </c>
      <c r="AZ2426" s="5">
        <f>IF(S2426&gt;0,RANK(S2426,(N2426:P2426,Q2426:AE2426)),0)</f>
        <v>6</v>
      </c>
      <c r="BA2426" s="2">
        <f t="shared" si="1009"/>
        <v>1.5187525360848646E-2</v>
      </c>
      <c r="BB2426" s="2">
        <f t="shared" si="1010"/>
        <v>4.5794446698742101E-3</v>
      </c>
      <c r="BC2426" s="2">
        <f t="shared" si="1011"/>
        <v>0</v>
      </c>
      <c r="BD2426" s="2">
        <f t="shared" si="1012"/>
        <v>3.4780592429424382E-3</v>
      </c>
      <c r="BF2426" t="s">
        <v>2626</v>
      </c>
      <c r="BG2426" t="s">
        <v>1964</v>
      </c>
      <c r="BJ2426" s="114">
        <v>45</v>
      </c>
      <c r="BK2426" s="116">
        <v>29</v>
      </c>
      <c r="BL2426" s="120">
        <f t="shared" si="1013"/>
        <v>45029</v>
      </c>
      <c r="BN2426" s="5" t="s">
        <v>3154</v>
      </c>
    </row>
    <row r="2427" spans="1:66" hidden="1" outlineLevel="1">
      <c r="A2427" t="s">
        <v>3126</v>
      </c>
      <c r="B2427" t="s">
        <v>1964</v>
      </c>
      <c r="C2427" s="1">
        <f t="shared" si="1004"/>
        <v>29674</v>
      </c>
      <c r="D2427" s="5">
        <f>IF(N2427&gt;0, RANK(N2427,(N2427:P2427,Q2427:AE2427)),0)</f>
        <v>2</v>
      </c>
      <c r="E2427" s="5">
        <f>IF(O2427&gt;0,RANK(O2427,(N2427:P2427,Q2427:AE2427)),0)</f>
        <v>1</v>
      </c>
      <c r="F2427" s="5">
        <f>IF(P2427&gt;0,RANK(P2427,(N2427:P2427,Q2427:AE2427)),0)</f>
        <v>4</v>
      </c>
      <c r="G2427" s="132">
        <f t="shared" si="985"/>
        <v>1101</v>
      </c>
      <c r="H2427" s="137">
        <f t="shared" si="986"/>
        <v>3.7103187976005932E-2</v>
      </c>
      <c r="I2427" s="2"/>
      <c r="J2427" s="2">
        <f t="shared" si="1005"/>
        <v>0.46801914133584954</v>
      </c>
      <c r="K2427" s="2">
        <f t="shared" si="1006"/>
        <v>0.50512232931185552</v>
      </c>
      <c r="L2427" s="2">
        <f t="shared" si="1007"/>
        <v>5.6615218709981799E-3</v>
      </c>
      <c r="M2427" s="2">
        <f t="shared" si="1008"/>
        <v>2.1197007481296756E-2</v>
      </c>
      <c r="N2427" s="63">
        <v>13888</v>
      </c>
      <c r="O2427" s="63">
        <v>14989</v>
      </c>
      <c r="P2427" s="63">
        <v>168</v>
      </c>
      <c r="Q2427" s="63">
        <v>385</v>
      </c>
      <c r="R2427" s="63">
        <v>133</v>
      </c>
      <c r="S2427" s="63">
        <v>73</v>
      </c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>
        <v>38</v>
      </c>
      <c r="AT2427" s="63"/>
      <c r="AU2427" s="63"/>
      <c r="AW2427" s="5">
        <f>IF(Q2427&gt;0,RANK(Q2427,(N2427:P2427,Q2427:AE2427)),0)</f>
        <v>3</v>
      </c>
      <c r="AX2427" s="5">
        <f>IF(R2427&gt;0,RANK(R2427,(N2427:P2427,Q2427:AE2427)),0)</f>
        <v>5</v>
      </c>
      <c r="AY2427" s="5">
        <f>IF(T2427&gt;0,RANK(T2427,(N2427:P2427,Q2427:AE2427)),0)</f>
        <v>0</v>
      </c>
      <c r="AZ2427" s="5">
        <f>IF(S2427&gt;0,RANK(S2427,(N2427:P2427,Q2427:AE2427)),0)</f>
        <v>6</v>
      </c>
      <c r="BA2427" s="2">
        <f t="shared" si="1009"/>
        <v>1.297432095437083E-2</v>
      </c>
      <c r="BB2427" s="2">
        <f t="shared" si="1010"/>
        <v>4.4820381478735596E-3</v>
      </c>
      <c r="BC2427" s="2">
        <f t="shared" si="1011"/>
        <v>0</v>
      </c>
      <c r="BD2427" s="2">
        <f t="shared" si="1012"/>
        <v>2.4600660510884949E-3</v>
      </c>
      <c r="BF2427" t="s">
        <v>3126</v>
      </c>
      <c r="BG2427" t="s">
        <v>1964</v>
      </c>
      <c r="BH2427">
        <v>7</v>
      </c>
      <c r="BJ2427" s="114">
        <v>45</v>
      </c>
      <c r="BK2427" s="116">
        <v>31</v>
      </c>
      <c r="BL2427" s="120">
        <f t="shared" si="1013"/>
        <v>45031</v>
      </c>
      <c r="BN2427" s="5" t="s">
        <v>3154</v>
      </c>
    </row>
    <row r="2428" spans="1:66" hidden="1" outlineLevel="1">
      <c r="A2428" t="s">
        <v>2261</v>
      </c>
      <c r="B2428" t="s">
        <v>1964</v>
      </c>
      <c r="C2428" s="1">
        <f t="shared" si="1004"/>
        <v>11698</v>
      </c>
      <c r="D2428" s="5">
        <f>IF(N2428&gt;0, RANK(N2428,(N2428:P2428,Q2428:AE2428)),0)</f>
        <v>1</v>
      </c>
      <c r="E2428" s="5">
        <f>IF(O2428&gt;0,RANK(O2428,(N2428:P2428,Q2428:AE2428)),0)</f>
        <v>2</v>
      </c>
      <c r="F2428" s="5">
        <f>IF(P2428&gt;0,RANK(P2428,(N2428:P2428,Q2428:AE2428)),0)</f>
        <v>5</v>
      </c>
      <c r="G2428" s="132">
        <f t="shared" si="985"/>
        <v>197</v>
      </c>
      <c r="H2428" s="137">
        <f t="shared" si="986"/>
        <v>1.6840485553085996E-2</v>
      </c>
      <c r="I2428" s="2"/>
      <c r="J2428" s="2">
        <f t="shared" si="1005"/>
        <v>0.4987177295264148</v>
      </c>
      <c r="K2428" s="2">
        <f t="shared" si="1006"/>
        <v>0.48187724397332876</v>
      </c>
      <c r="L2428" s="2">
        <f t="shared" si="1007"/>
        <v>3.6758420242776545E-3</v>
      </c>
      <c r="M2428" s="2">
        <f t="shared" si="1008"/>
        <v>1.5729184475978784E-2</v>
      </c>
      <c r="N2428" s="63">
        <v>5834</v>
      </c>
      <c r="O2428" s="63">
        <v>5637</v>
      </c>
      <c r="P2428" s="63">
        <v>43</v>
      </c>
      <c r="Q2428" s="63">
        <v>79</v>
      </c>
      <c r="R2428" s="63">
        <v>54</v>
      </c>
      <c r="S2428" s="63">
        <v>23</v>
      </c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>
        <v>28</v>
      </c>
      <c r="AT2428" s="63"/>
      <c r="AU2428" s="63"/>
      <c r="AW2428" s="5">
        <f>IF(Q2428&gt;0,RANK(Q2428,(N2428:P2428,Q2428:AE2428)),0)</f>
        <v>3</v>
      </c>
      <c r="AX2428" s="5">
        <f>IF(R2428&gt;0,RANK(R2428,(N2428:P2428,Q2428:AE2428)),0)</f>
        <v>4</v>
      </c>
      <c r="AY2428" s="5">
        <f>IF(T2428&gt;0,RANK(T2428,(N2428:P2428,Q2428:AE2428)),0)</f>
        <v>0</v>
      </c>
      <c r="AZ2428" s="5">
        <f>IF(S2428&gt;0,RANK(S2428,(N2428:P2428,Q2428:AE2428)),0)</f>
        <v>6</v>
      </c>
      <c r="BA2428" s="2">
        <f t="shared" si="1009"/>
        <v>6.7532911608822023E-3</v>
      </c>
      <c r="BB2428" s="2">
        <f t="shared" si="1010"/>
        <v>4.6161737049068216E-3</v>
      </c>
      <c r="BC2428" s="2">
        <f t="shared" si="1011"/>
        <v>0</v>
      </c>
      <c r="BD2428" s="2">
        <f t="shared" si="1012"/>
        <v>1.9661480594973498E-3</v>
      </c>
      <c r="BF2428" t="s">
        <v>2261</v>
      </c>
      <c r="BG2428" t="s">
        <v>1964</v>
      </c>
      <c r="BH2428">
        <v>7</v>
      </c>
      <c r="BJ2428" s="114">
        <v>45</v>
      </c>
      <c r="BK2428" s="116">
        <v>33</v>
      </c>
      <c r="BL2428" s="120">
        <f t="shared" si="1013"/>
        <v>45033</v>
      </c>
      <c r="BN2428" s="5" t="s">
        <v>3154</v>
      </c>
    </row>
    <row r="2429" spans="1:66" hidden="1" outlineLevel="1">
      <c r="A2429" t="s">
        <v>793</v>
      </c>
      <c r="B2429" t="s">
        <v>1964</v>
      </c>
      <c r="C2429" s="1">
        <f t="shared" si="1004"/>
        <v>62567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4</v>
      </c>
      <c r="G2429" s="132">
        <f t="shared" si="985"/>
        <v>10932</v>
      </c>
      <c r="H2429" s="137">
        <f t="shared" si="986"/>
        <v>0.17472469512682404</v>
      </c>
      <c r="I2429" s="2"/>
      <c r="J2429" s="2">
        <f t="shared" si="1005"/>
        <v>0.38446785046430226</v>
      </c>
      <c r="K2429" s="2">
        <f t="shared" si="1006"/>
        <v>0.5591925455911263</v>
      </c>
      <c r="L2429" s="2">
        <f t="shared" si="1007"/>
        <v>1.1683475314462895E-2</v>
      </c>
      <c r="M2429" s="2">
        <f t="shared" si="1008"/>
        <v>4.4656128630108594E-2</v>
      </c>
      <c r="N2429" s="63">
        <v>24055</v>
      </c>
      <c r="O2429" s="63">
        <v>34987</v>
      </c>
      <c r="P2429" s="63">
        <v>731</v>
      </c>
      <c r="Q2429" s="63">
        <v>2050</v>
      </c>
      <c r="R2429" s="63">
        <v>447</v>
      </c>
      <c r="S2429" s="63">
        <v>215</v>
      </c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>
        <v>82</v>
      </c>
      <c r="AT2429" s="63"/>
      <c r="AU2429" s="63"/>
      <c r="AW2429" s="5">
        <f>IF(Q2429&gt;0,RANK(Q2429,(N2429:P2429,Q2429:AE2429)),0)</f>
        <v>3</v>
      </c>
      <c r="AX2429" s="5">
        <f>IF(R2429&gt;0,RANK(R2429,(N2429:P2429,Q2429:AE2429)),0)</f>
        <v>5</v>
      </c>
      <c r="AY2429" s="5">
        <f>IF(T2429&gt;0,RANK(T2429,(N2429:P2429,Q2429:AE2429)),0)</f>
        <v>0</v>
      </c>
      <c r="AZ2429" s="5">
        <f>IF(S2429&gt;0,RANK(S2429,(N2429:P2429,Q2429:AE2429)),0)</f>
        <v>6</v>
      </c>
      <c r="BA2429" s="2">
        <f t="shared" si="1009"/>
        <v>3.2764876052871324E-2</v>
      </c>
      <c r="BB2429" s="2">
        <f t="shared" si="1010"/>
        <v>7.1443412661626737E-3</v>
      </c>
      <c r="BC2429" s="2">
        <f t="shared" si="1011"/>
        <v>0</v>
      </c>
      <c r="BD2429" s="2">
        <f t="shared" si="1012"/>
        <v>3.4363162689596753E-3</v>
      </c>
      <c r="BF2429" t="s">
        <v>793</v>
      </c>
      <c r="BG2429" t="s">
        <v>1964</v>
      </c>
      <c r="BJ2429" s="114">
        <v>45</v>
      </c>
      <c r="BK2429" s="116">
        <v>35</v>
      </c>
      <c r="BL2429" s="120">
        <f t="shared" si="1013"/>
        <v>45035</v>
      </c>
      <c r="BN2429" s="5" t="s">
        <v>3154</v>
      </c>
    </row>
    <row r="2430" spans="1:66" hidden="1" outlineLevel="1">
      <c r="A2430" t="s">
        <v>2254</v>
      </c>
      <c r="B2430" t="s">
        <v>1964</v>
      </c>
      <c r="C2430" s="1">
        <f t="shared" si="1004"/>
        <v>11644</v>
      </c>
      <c r="D2430" s="5">
        <f>IF(N2430&gt;0, RANK(N2430,(N2430:P2430,Q2430:AE2430)),0)</f>
        <v>2</v>
      </c>
      <c r="E2430" s="5">
        <f>IF(O2430&gt;0,RANK(O2430,(N2430:P2430,Q2430:AE2430)),0)</f>
        <v>1</v>
      </c>
      <c r="F2430" s="5">
        <f>IF(P2430&gt;0,RANK(P2430,(N2430:P2430,Q2430:AE2430)),0)</f>
        <v>4</v>
      </c>
      <c r="G2430" s="132">
        <f t="shared" si="985"/>
        <v>2351</v>
      </c>
      <c r="H2430" s="137">
        <f t="shared" si="986"/>
        <v>0.20190656131913431</v>
      </c>
      <c r="I2430" s="2"/>
      <c r="J2430" s="2">
        <f t="shared" si="1005"/>
        <v>0.38569220199244247</v>
      </c>
      <c r="K2430" s="2">
        <f t="shared" si="1006"/>
        <v>0.58759876331157679</v>
      </c>
      <c r="L2430" s="2">
        <f t="shared" si="1007"/>
        <v>5.8399175541051186E-3</v>
      </c>
      <c r="M2430" s="2">
        <f t="shared" si="1008"/>
        <v>2.0869117141875618E-2</v>
      </c>
      <c r="N2430" s="63">
        <v>4491</v>
      </c>
      <c r="O2430" s="63">
        <v>6842</v>
      </c>
      <c r="P2430" s="63">
        <v>68</v>
      </c>
      <c r="Q2430" s="63">
        <v>152</v>
      </c>
      <c r="R2430" s="63">
        <v>35</v>
      </c>
      <c r="S2430" s="63">
        <v>42</v>
      </c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>
        <v>14</v>
      </c>
      <c r="AT2430" s="63"/>
      <c r="AU2430" s="63"/>
      <c r="AW2430" s="5">
        <f>IF(Q2430&gt;0,RANK(Q2430,(N2430:P2430,Q2430:AE2430)),0)</f>
        <v>3</v>
      </c>
      <c r="AX2430" s="5">
        <f>IF(R2430&gt;0,RANK(R2430,(N2430:P2430,Q2430:AE2430)),0)</f>
        <v>6</v>
      </c>
      <c r="AY2430" s="5">
        <f>IF(T2430&gt;0,RANK(T2430,(N2430:P2430,Q2430:AE2430)),0)</f>
        <v>0</v>
      </c>
      <c r="AZ2430" s="5">
        <f>IF(S2430&gt;0,RANK(S2430,(N2430:P2430,Q2430:AE2430)),0)</f>
        <v>5</v>
      </c>
      <c r="BA2430" s="2">
        <f t="shared" si="1009"/>
        <v>1.3053933356234971E-2</v>
      </c>
      <c r="BB2430" s="2">
        <f t="shared" si="1010"/>
        <v>3.0058399175541049E-3</v>
      </c>
      <c r="BC2430" s="2">
        <f t="shared" si="1011"/>
        <v>0</v>
      </c>
      <c r="BD2430" s="2">
        <f t="shared" si="1012"/>
        <v>3.607007901064926E-3</v>
      </c>
      <c r="BF2430" t="s">
        <v>2254</v>
      </c>
      <c r="BG2430" t="s">
        <v>1964</v>
      </c>
      <c r="BH2430">
        <v>3</v>
      </c>
      <c r="BJ2430" s="114">
        <v>45</v>
      </c>
      <c r="BK2430" s="116">
        <v>37</v>
      </c>
      <c r="BL2430" s="120">
        <f t="shared" si="1013"/>
        <v>45037</v>
      </c>
      <c r="BN2430" s="5" t="s">
        <v>3154</v>
      </c>
    </row>
    <row r="2431" spans="1:66" hidden="1" outlineLevel="1">
      <c r="A2431" t="s">
        <v>280</v>
      </c>
      <c r="B2431" t="s">
        <v>1964</v>
      </c>
      <c r="C2431" s="1">
        <f t="shared" si="1004"/>
        <v>11267</v>
      </c>
      <c r="D2431" s="5">
        <f>IF(N2431&gt;0, RANK(N2431,(N2431:P2431,Q2431:AE2431)),0)</f>
        <v>1</v>
      </c>
      <c r="E2431" s="5">
        <f>IF(O2431&gt;0,RANK(O2431,(N2431:P2431,Q2431:AE2431)),0)</f>
        <v>2</v>
      </c>
      <c r="F2431" s="5">
        <f>IF(P2431&gt;0,RANK(P2431,(N2431:P2431,Q2431:AE2431)),0)</f>
        <v>4</v>
      </c>
      <c r="G2431" s="132">
        <f t="shared" si="985"/>
        <v>2918</v>
      </c>
      <c r="H2431" s="137">
        <f t="shared" si="986"/>
        <v>0.25898642052010296</v>
      </c>
      <c r="I2431" s="2"/>
      <c r="J2431" s="2">
        <f t="shared" si="1005"/>
        <v>0.61640188160113607</v>
      </c>
      <c r="K2431" s="2">
        <f t="shared" si="1006"/>
        <v>0.35741546108103311</v>
      </c>
      <c r="L2431" s="2">
        <f t="shared" si="1007"/>
        <v>6.4790982515310199E-3</v>
      </c>
      <c r="M2431" s="2">
        <f t="shared" si="1008"/>
        <v>1.9703559066299794E-2</v>
      </c>
      <c r="N2431" s="63">
        <v>6945</v>
      </c>
      <c r="O2431" s="63">
        <v>4027</v>
      </c>
      <c r="P2431" s="63">
        <v>73</v>
      </c>
      <c r="Q2431" s="63">
        <v>120</v>
      </c>
      <c r="R2431" s="63">
        <v>49</v>
      </c>
      <c r="S2431" s="63">
        <v>32</v>
      </c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>
        <v>21</v>
      </c>
      <c r="AT2431" s="63"/>
      <c r="AU2431" s="63"/>
      <c r="AW2431" s="5">
        <f>IF(Q2431&gt;0,RANK(Q2431,(N2431:P2431,Q2431:AE2431)),0)</f>
        <v>3</v>
      </c>
      <c r="AX2431" s="5">
        <f>IF(R2431&gt;0,RANK(R2431,(N2431:P2431,Q2431:AE2431)),0)</f>
        <v>5</v>
      </c>
      <c r="AY2431" s="5">
        <f>IF(T2431&gt;0,RANK(T2431,(N2431:P2431,Q2431:AE2431)),0)</f>
        <v>0</v>
      </c>
      <c r="AZ2431" s="5">
        <f>IF(S2431&gt;0,RANK(S2431,(N2431:P2431,Q2431:AE2431)),0)</f>
        <v>6</v>
      </c>
      <c r="BA2431" s="2">
        <f t="shared" si="1009"/>
        <v>1.065057246827017E-2</v>
      </c>
      <c r="BB2431" s="2">
        <f t="shared" si="1010"/>
        <v>4.3489837578769858E-3</v>
      </c>
      <c r="BC2431" s="2">
        <f t="shared" si="1011"/>
        <v>0</v>
      </c>
      <c r="BD2431" s="2">
        <f t="shared" si="1012"/>
        <v>2.8401526582053785E-3</v>
      </c>
      <c r="BF2431" t="s">
        <v>280</v>
      </c>
      <c r="BG2431" t="s">
        <v>1964</v>
      </c>
      <c r="BH2431">
        <v>5</v>
      </c>
      <c r="BJ2431" s="114">
        <v>45</v>
      </c>
      <c r="BK2431" s="116">
        <v>39</v>
      </c>
      <c r="BL2431" s="120">
        <f t="shared" si="1013"/>
        <v>45039</v>
      </c>
      <c r="BN2431" s="5" t="s">
        <v>3154</v>
      </c>
    </row>
    <row r="2432" spans="1:66" hidden="1" outlineLevel="1">
      <c r="A2432" t="s">
        <v>2596</v>
      </c>
      <c r="B2432" t="s">
        <v>1964</v>
      </c>
      <c r="C2432" s="1">
        <f t="shared" si="1004"/>
        <v>57931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4</v>
      </c>
      <c r="G2432" s="132">
        <f t="shared" si="985"/>
        <v>2863</v>
      </c>
      <c r="H2432" s="137">
        <f t="shared" si="986"/>
        <v>4.9420862750513543E-2</v>
      </c>
      <c r="I2432" s="2"/>
      <c r="J2432" s="2">
        <f t="shared" si="1005"/>
        <v>0.46106575063437538</v>
      </c>
      <c r="K2432" s="2">
        <f t="shared" si="1006"/>
        <v>0.51048661338488888</v>
      </c>
      <c r="L2432" s="2">
        <f t="shared" si="1007"/>
        <v>6.0416702628989663E-3</v>
      </c>
      <c r="M2432" s="2">
        <f t="shared" si="1008"/>
        <v>2.2405965717836776E-2</v>
      </c>
      <c r="N2432" s="63">
        <v>26710</v>
      </c>
      <c r="O2432" s="63">
        <v>29573</v>
      </c>
      <c r="P2432" s="63">
        <v>350</v>
      </c>
      <c r="Q2432" s="63">
        <v>853</v>
      </c>
      <c r="R2432" s="63">
        <v>255</v>
      </c>
      <c r="S2432" s="63">
        <v>116</v>
      </c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>
        <v>74</v>
      </c>
      <c r="AT2432" s="63"/>
      <c r="AU2432" s="63"/>
      <c r="AW2432" s="5">
        <f>IF(Q2432&gt;0,RANK(Q2432,(N2432:P2432,Q2432:AE2432)),0)</f>
        <v>3</v>
      </c>
      <c r="AX2432" s="5">
        <f>IF(R2432&gt;0,RANK(R2432,(N2432:P2432,Q2432:AE2432)),0)</f>
        <v>5</v>
      </c>
      <c r="AY2432" s="5">
        <f>IF(T2432&gt;0,RANK(T2432,(N2432:P2432,Q2432:AE2432)),0)</f>
        <v>0</v>
      </c>
      <c r="AZ2432" s="5">
        <f>IF(S2432&gt;0,RANK(S2432,(N2432:P2432,Q2432:AE2432)),0)</f>
        <v>6</v>
      </c>
      <c r="BA2432" s="2">
        <f t="shared" si="1009"/>
        <v>1.4724413526436622E-2</v>
      </c>
      <c r="BB2432" s="2">
        <f t="shared" si="1010"/>
        <v>4.4017883343978178E-3</v>
      </c>
      <c r="BC2432" s="2">
        <f t="shared" si="1011"/>
        <v>0</v>
      </c>
      <c r="BD2432" s="2">
        <f t="shared" si="1012"/>
        <v>2.0023821442750858E-3</v>
      </c>
      <c r="BF2432" t="s">
        <v>2596</v>
      </c>
      <c r="BG2432" t="s">
        <v>1964</v>
      </c>
      <c r="BJ2432" s="114">
        <v>45</v>
      </c>
      <c r="BK2432" s="116">
        <v>41</v>
      </c>
      <c r="BL2432" s="120">
        <f t="shared" si="1013"/>
        <v>45041</v>
      </c>
      <c r="BN2432" s="5" t="s">
        <v>3154</v>
      </c>
    </row>
    <row r="2433" spans="1:66" hidden="1" outlineLevel="1">
      <c r="A2433" t="s">
        <v>445</v>
      </c>
      <c r="B2433" t="s">
        <v>1964</v>
      </c>
      <c r="C2433" s="1">
        <f t="shared" si="1004"/>
        <v>31657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4</v>
      </c>
      <c r="G2433" s="132">
        <f t="shared" si="985"/>
        <v>4079</v>
      </c>
      <c r="H2433" s="137">
        <f t="shared" si="986"/>
        <v>0.12884985943077359</v>
      </c>
      <c r="I2433" s="2"/>
      <c r="J2433" s="2">
        <f t="shared" si="1005"/>
        <v>0.42044413557822913</v>
      </c>
      <c r="K2433" s="2">
        <f t="shared" si="1006"/>
        <v>0.54929399500900278</v>
      </c>
      <c r="L2433" s="2">
        <f t="shared" si="1007"/>
        <v>6.3808952206463026E-3</v>
      </c>
      <c r="M2433" s="2">
        <f t="shared" si="1008"/>
        <v>2.388097419212179E-2</v>
      </c>
      <c r="N2433" s="63">
        <v>13310</v>
      </c>
      <c r="O2433" s="63">
        <v>17389</v>
      </c>
      <c r="P2433" s="63">
        <v>202</v>
      </c>
      <c r="Q2433" s="63">
        <v>498</v>
      </c>
      <c r="R2433" s="63">
        <v>165</v>
      </c>
      <c r="S2433" s="63">
        <v>57</v>
      </c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>
        <v>36</v>
      </c>
      <c r="AT2433" s="63"/>
      <c r="AU2433" s="63"/>
      <c r="AW2433" s="5">
        <f>IF(Q2433&gt;0,RANK(Q2433,(N2433:P2433,Q2433:AE2433)),0)</f>
        <v>3</v>
      </c>
      <c r="AX2433" s="5">
        <f>IF(R2433&gt;0,RANK(R2433,(N2433:P2433,Q2433:AE2433)),0)</f>
        <v>5</v>
      </c>
      <c r="AY2433" s="5">
        <f>IF(T2433&gt;0,RANK(T2433,(N2433:P2433,Q2433:AE2433)),0)</f>
        <v>0</v>
      </c>
      <c r="AZ2433" s="5">
        <f>IF(S2433&gt;0,RANK(S2433,(N2433:P2433,Q2433:AE2433)),0)</f>
        <v>6</v>
      </c>
      <c r="BA2433" s="2">
        <f t="shared" si="1009"/>
        <v>1.5731117920207222E-2</v>
      </c>
      <c r="BB2433" s="2">
        <f t="shared" si="1010"/>
        <v>5.2121173832011874E-3</v>
      </c>
      <c r="BC2433" s="2">
        <f t="shared" si="1011"/>
        <v>0</v>
      </c>
      <c r="BD2433" s="2">
        <f t="shared" si="1012"/>
        <v>1.8005496414695012E-3</v>
      </c>
      <c r="BF2433" t="s">
        <v>445</v>
      </c>
      <c r="BG2433" t="s">
        <v>1964</v>
      </c>
      <c r="BH2433">
        <v>7</v>
      </c>
      <c r="BJ2433" s="114">
        <v>45</v>
      </c>
      <c r="BK2433" s="116">
        <v>43</v>
      </c>
      <c r="BL2433" s="120">
        <f t="shared" si="1013"/>
        <v>45043</v>
      </c>
      <c r="BN2433" s="5" t="s">
        <v>3154</v>
      </c>
    </row>
    <row r="2434" spans="1:66" hidden="1" outlineLevel="1">
      <c r="A2434" t="s">
        <v>2487</v>
      </c>
      <c r="B2434" t="s">
        <v>1964</v>
      </c>
      <c r="C2434" s="1">
        <f t="shared" si="1004"/>
        <v>215165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4</v>
      </c>
      <c r="G2434" s="132">
        <f t="shared" si="985"/>
        <v>53349</v>
      </c>
      <c r="H2434" s="137">
        <f t="shared" si="986"/>
        <v>0.24794460065531104</v>
      </c>
      <c r="I2434" s="2"/>
      <c r="J2434" s="2">
        <f t="shared" si="1005"/>
        <v>0.34616689517347154</v>
      </c>
      <c r="K2434" s="2">
        <f t="shared" si="1006"/>
        <v>0.59411149582878253</v>
      </c>
      <c r="L2434" s="2">
        <f t="shared" si="1007"/>
        <v>1.6940487532823647E-2</v>
      </c>
      <c r="M2434" s="2">
        <f t="shared" si="1008"/>
        <v>4.2781121464922273E-2</v>
      </c>
      <c r="N2434" s="63">
        <v>74483</v>
      </c>
      <c r="O2434" s="63">
        <v>127832</v>
      </c>
      <c r="P2434" s="63">
        <v>3645</v>
      </c>
      <c r="Q2434" s="63">
        <v>6511</v>
      </c>
      <c r="R2434" s="63">
        <v>1495</v>
      </c>
      <c r="S2434" s="63">
        <v>884</v>
      </c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>
        <v>315</v>
      </c>
      <c r="AT2434" s="63"/>
      <c r="AU2434" s="63"/>
      <c r="AW2434" s="5">
        <f>IF(Q2434&gt;0,RANK(Q2434,(N2434:P2434,Q2434:AE2434)),0)</f>
        <v>3</v>
      </c>
      <c r="AX2434" s="5">
        <f>IF(R2434&gt;0,RANK(R2434,(N2434:P2434,Q2434:AE2434)),0)</f>
        <v>5</v>
      </c>
      <c r="AY2434" s="5">
        <f>IF(T2434&gt;0,RANK(T2434,(N2434:P2434,Q2434:AE2434)),0)</f>
        <v>0</v>
      </c>
      <c r="AZ2434" s="5">
        <f>IF(S2434&gt;0,RANK(S2434,(N2434:P2434,Q2434:AE2434)),0)</f>
        <v>6</v>
      </c>
      <c r="BA2434" s="2">
        <f t="shared" si="1009"/>
        <v>3.0260497757534914E-2</v>
      </c>
      <c r="BB2434" s="2">
        <f t="shared" si="1010"/>
        <v>6.9481560662747197E-3</v>
      </c>
      <c r="BC2434" s="2">
        <f t="shared" si="1011"/>
        <v>0</v>
      </c>
      <c r="BD2434" s="2">
        <f t="shared" si="1012"/>
        <v>4.108474891362443E-3</v>
      </c>
      <c r="BF2434" t="s">
        <v>2487</v>
      </c>
      <c r="BG2434" t="s">
        <v>1964</v>
      </c>
      <c r="BJ2434" s="114">
        <v>45</v>
      </c>
      <c r="BK2434" s="116">
        <v>45</v>
      </c>
      <c r="BL2434" s="120">
        <f t="shared" si="1013"/>
        <v>45045</v>
      </c>
      <c r="BN2434" s="5" t="s">
        <v>3154</v>
      </c>
    </row>
    <row r="2435" spans="1:66" hidden="1" outlineLevel="1">
      <c r="A2435" t="s">
        <v>652</v>
      </c>
      <c r="B2435" t="s">
        <v>1964</v>
      </c>
      <c r="C2435" s="1">
        <f t="shared" si="1004"/>
        <v>28763</v>
      </c>
      <c r="D2435" s="5">
        <f>IF(N2435&gt;0, RANK(N2435,(N2435:P2435,Q2435:AE2435)),0)</f>
        <v>2</v>
      </c>
      <c r="E2435" s="5">
        <f>IF(O2435&gt;0,RANK(O2435,(N2435:P2435,Q2435:AE2435)),0)</f>
        <v>1</v>
      </c>
      <c r="F2435" s="5">
        <f>IF(P2435&gt;0,RANK(P2435,(N2435:P2435,Q2435:AE2435)),0)</f>
        <v>4</v>
      </c>
      <c r="G2435" s="132">
        <f t="shared" si="985"/>
        <v>6250</v>
      </c>
      <c r="H2435" s="137">
        <f t="shared" si="986"/>
        <v>0.21729305009908564</v>
      </c>
      <c r="I2435" s="2"/>
      <c r="J2435" s="2">
        <f t="shared" si="1005"/>
        <v>0.37238813753780897</v>
      </c>
      <c r="K2435" s="2">
        <f t="shared" si="1006"/>
        <v>0.58968118763689459</v>
      </c>
      <c r="L2435" s="2">
        <f t="shared" si="1007"/>
        <v>7.6834822515036679E-3</v>
      </c>
      <c r="M2435" s="2">
        <f t="shared" si="1008"/>
        <v>3.0247192573792773E-2</v>
      </c>
      <c r="N2435" s="63">
        <v>10711</v>
      </c>
      <c r="O2435" s="63">
        <v>16961</v>
      </c>
      <c r="P2435" s="63">
        <v>221</v>
      </c>
      <c r="Q2435" s="63">
        <v>580</v>
      </c>
      <c r="R2435" s="63">
        <v>160</v>
      </c>
      <c r="S2435" s="63">
        <v>81</v>
      </c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>
        <v>49</v>
      </c>
      <c r="AT2435" s="63"/>
      <c r="AU2435" s="63"/>
      <c r="AW2435" s="5">
        <f>IF(Q2435&gt;0,RANK(Q2435,(N2435:P2435,Q2435:AE2435)),0)</f>
        <v>3</v>
      </c>
      <c r="AX2435" s="5">
        <f>IF(R2435&gt;0,RANK(R2435,(N2435:P2435,Q2435:AE2435)),0)</f>
        <v>5</v>
      </c>
      <c r="AY2435" s="5">
        <f>IF(T2435&gt;0,RANK(T2435,(N2435:P2435,Q2435:AE2435)),0)</f>
        <v>0</v>
      </c>
      <c r="AZ2435" s="5">
        <f>IF(S2435&gt;0,RANK(S2435,(N2435:P2435,Q2435:AE2435)),0)</f>
        <v>6</v>
      </c>
      <c r="BA2435" s="2">
        <f t="shared" si="1009"/>
        <v>2.0164795049195147E-2</v>
      </c>
      <c r="BB2435" s="2">
        <f t="shared" si="1010"/>
        <v>5.5627020825365922E-3</v>
      </c>
      <c r="BC2435" s="2">
        <f t="shared" si="1011"/>
        <v>0</v>
      </c>
      <c r="BD2435" s="2">
        <f t="shared" si="1012"/>
        <v>2.81611792928415E-3</v>
      </c>
      <c r="BF2435" t="s">
        <v>652</v>
      </c>
      <c r="BG2435" t="s">
        <v>1964</v>
      </c>
      <c r="BH2435">
        <v>3</v>
      </c>
      <c r="BJ2435" s="114">
        <v>45</v>
      </c>
      <c r="BK2435" s="116">
        <v>47</v>
      </c>
      <c r="BL2435" s="120">
        <f t="shared" si="1013"/>
        <v>45047</v>
      </c>
      <c r="BN2435" s="5" t="s">
        <v>3154</v>
      </c>
    </row>
    <row r="2436" spans="1:66" hidden="1" outlineLevel="1">
      <c r="A2436" t="s">
        <v>719</v>
      </c>
      <c r="B2436" t="s">
        <v>1964</v>
      </c>
      <c r="C2436" s="1">
        <f t="shared" si="1004"/>
        <v>8806</v>
      </c>
      <c r="D2436" s="5">
        <f>IF(N2436&gt;0, RANK(N2436,(N2436:P2436,Q2436:AE2436)),0)</f>
        <v>1</v>
      </c>
      <c r="E2436" s="5">
        <f>IF(O2436&gt;0,RANK(O2436,(N2436:P2436,Q2436:AE2436)),0)</f>
        <v>2</v>
      </c>
      <c r="F2436" s="5">
        <f>IF(P2436&gt;0,RANK(P2436,(N2436:P2436,Q2436:AE2436)),0)</f>
        <v>4</v>
      </c>
      <c r="G2436" s="132">
        <f t="shared" si="985"/>
        <v>1682</v>
      </c>
      <c r="H2436" s="137">
        <f t="shared" si="986"/>
        <v>0.19100613218260276</v>
      </c>
      <c r="I2436" s="2"/>
      <c r="J2436" s="2">
        <f t="shared" si="1005"/>
        <v>0.58709970474676354</v>
      </c>
      <c r="K2436" s="2">
        <f t="shared" si="1006"/>
        <v>0.39609357256416078</v>
      </c>
      <c r="L2436" s="2">
        <f t="shared" si="1007"/>
        <v>3.6338859868271633E-3</v>
      </c>
      <c r="M2436" s="2">
        <f t="shared" si="1008"/>
        <v>1.3172836702248518E-2</v>
      </c>
      <c r="N2436" s="63">
        <v>5170</v>
      </c>
      <c r="O2436" s="63">
        <v>3488</v>
      </c>
      <c r="P2436" s="63">
        <v>32</v>
      </c>
      <c r="Q2436" s="63">
        <v>69</v>
      </c>
      <c r="R2436" s="63">
        <v>19</v>
      </c>
      <c r="S2436" s="63">
        <v>14</v>
      </c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>
        <v>14</v>
      </c>
      <c r="AT2436" s="63"/>
      <c r="AU2436" s="63"/>
      <c r="AW2436" s="5">
        <f>IF(Q2436&gt;0,RANK(Q2436,(N2436:P2436,Q2436:AE2436)),0)</f>
        <v>3</v>
      </c>
      <c r="AX2436" s="5">
        <f>IF(R2436&gt;0,RANK(R2436,(N2436:P2436,Q2436:AE2436)),0)</f>
        <v>5</v>
      </c>
      <c r="AY2436" s="5">
        <f>IF(T2436&gt;0,RANK(T2436,(N2436:P2436,Q2436:AE2436)),0)</f>
        <v>0</v>
      </c>
      <c r="AZ2436" s="5">
        <f>IF(S2436&gt;0,RANK(S2436,(N2436:P2436,Q2436:AE2436)),0)</f>
        <v>6</v>
      </c>
      <c r="BA2436" s="2">
        <f t="shared" si="1009"/>
        <v>7.8355666590960715E-3</v>
      </c>
      <c r="BB2436" s="2">
        <f t="shared" si="1010"/>
        <v>2.1576198046786284E-3</v>
      </c>
      <c r="BC2436" s="2">
        <f t="shared" si="1011"/>
        <v>0</v>
      </c>
      <c r="BD2436" s="2">
        <f t="shared" si="1012"/>
        <v>1.589825119236884E-3</v>
      </c>
      <c r="BF2436" t="s">
        <v>719</v>
      </c>
      <c r="BG2436" t="s">
        <v>1964</v>
      </c>
      <c r="BH2436">
        <v>6</v>
      </c>
      <c r="BJ2436" s="114">
        <v>45</v>
      </c>
      <c r="BK2436" s="116">
        <v>49</v>
      </c>
      <c r="BL2436" s="120">
        <f t="shared" si="1013"/>
        <v>45049</v>
      </c>
      <c r="BN2436" s="5" t="s">
        <v>3154</v>
      </c>
    </row>
    <row r="2437" spans="1:66" hidden="1" outlineLevel="1">
      <c r="A2437" t="s">
        <v>594</v>
      </c>
      <c r="B2437" t="s">
        <v>1964</v>
      </c>
      <c r="C2437" s="1">
        <f t="shared" si="1004"/>
        <v>132920</v>
      </c>
      <c r="D2437" s="5">
        <f>IF(N2437&gt;0, RANK(N2437,(N2437:P2437,Q2437:AE2437)),0)</f>
        <v>2</v>
      </c>
      <c r="E2437" s="5">
        <f>IF(O2437&gt;0,RANK(O2437,(N2437:P2437,Q2437:AE2437)),0)</f>
        <v>1</v>
      </c>
      <c r="F2437" s="5">
        <f>IF(P2437&gt;0,RANK(P2437,(N2437:P2437,Q2437:AE2437)),0)</f>
        <v>5</v>
      </c>
      <c r="G2437" s="132">
        <f t="shared" si="985"/>
        <v>49878</v>
      </c>
      <c r="H2437" s="137">
        <f t="shared" si="986"/>
        <v>0.37524826963587121</v>
      </c>
      <c r="I2437" s="2"/>
      <c r="J2437" s="2">
        <f t="shared" si="1005"/>
        <v>0.29649413180860668</v>
      </c>
      <c r="K2437" s="2">
        <f t="shared" si="1006"/>
        <v>0.67174240144447783</v>
      </c>
      <c r="L2437" s="2">
        <f t="shared" si="1007"/>
        <v>5.5446885344568164E-3</v>
      </c>
      <c r="M2437" s="2">
        <f t="shared" si="1008"/>
        <v>2.6218778212458618E-2</v>
      </c>
      <c r="N2437" s="63">
        <v>39410</v>
      </c>
      <c r="O2437" s="63">
        <v>89288</v>
      </c>
      <c r="P2437" s="63">
        <v>737</v>
      </c>
      <c r="Q2437" s="63">
        <v>2276</v>
      </c>
      <c r="R2437" s="63">
        <v>811</v>
      </c>
      <c r="S2437" s="63">
        <v>197</v>
      </c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>
        <v>201</v>
      </c>
      <c r="AT2437" s="63"/>
      <c r="AU2437" s="63"/>
      <c r="AW2437" s="5">
        <f>IF(Q2437&gt;0,RANK(Q2437,(N2437:P2437,Q2437:AE2437)),0)</f>
        <v>3</v>
      </c>
      <c r="AX2437" s="5">
        <f>IF(R2437&gt;0,RANK(R2437,(N2437:P2437,Q2437:AE2437)),0)</f>
        <v>4</v>
      </c>
      <c r="AY2437" s="5">
        <f>IF(T2437&gt;0,RANK(T2437,(N2437:P2437,Q2437:AE2437)),0)</f>
        <v>0</v>
      </c>
      <c r="AZ2437" s="5">
        <f>IF(S2437&gt;0,RANK(S2437,(N2437:P2437,Q2437:AE2437)),0)</f>
        <v>6</v>
      </c>
      <c r="BA2437" s="2">
        <f t="shared" si="1009"/>
        <v>1.7123081552813724E-2</v>
      </c>
      <c r="BB2437" s="2">
        <f t="shared" si="1010"/>
        <v>6.101414384592236E-3</v>
      </c>
      <c r="BC2437" s="2">
        <f t="shared" si="1011"/>
        <v>0</v>
      </c>
      <c r="BD2437" s="2">
        <f t="shared" si="1012"/>
        <v>1.482094492928077E-3</v>
      </c>
      <c r="BF2437" t="s">
        <v>594</v>
      </c>
      <c r="BG2437" t="s">
        <v>1964</v>
      </c>
      <c r="BH2437">
        <v>7</v>
      </c>
      <c r="BJ2437" s="114">
        <v>45</v>
      </c>
      <c r="BK2437" s="116">
        <v>51</v>
      </c>
      <c r="BL2437" s="120">
        <f t="shared" si="1013"/>
        <v>45051</v>
      </c>
      <c r="BN2437" s="5" t="s">
        <v>3154</v>
      </c>
    </row>
    <row r="2438" spans="1:66" hidden="1" outlineLevel="1">
      <c r="A2438" t="s">
        <v>1471</v>
      </c>
      <c r="B2438" t="s">
        <v>1964</v>
      </c>
      <c r="C2438" s="1">
        <f t="shared" si="1004"/>
        <v>11427</v>
      </c>
      <c r="D2438" s="5">
        <f>IF(N2438&gt;0, RANK(N2438,(N2438:P2438,Q2438:AE2438)),0)</f>
        <v>1</v>
      </c>
      <c r="E2438" s="5">
        <f>IF(O2438&gt;0,RANK(O2438,(N2438:P2438,Q2438:AE2438)),0)</f>
        <v>2</v>
      </c>
      <c r="F2438" s="5">
        <f>IF(P2438&gt;0,RANK(P2438,(N2438:P2438,Q2438:AE2438)),0)</f>
        <v>4</v>
      </c>
      <c r="G2438" s="132">
        <f t="shared" si="985"/>
        <v>769</v>
      </c>
      <c r="H2438" s="137">
        <f t="shared" si="986"/>
        <v>6.7296753303579246E-2</v>
      </c>
      <c r="I2438" s="2"/>
      <c r="J2438" s="2">
        <f t="shared" si="1005"/>
        <v>0.52122166797934721</v>
      </c>
      <c r="K2438" s="2">
        <f t="shared" si="1006"/>
        <v>0.4539249146757679</v>
      </c>
      <c r="L2438" s="2">
        <f t="shared" si="1007"/>
        <v>5.9508182375076577E-3</v>
      </c>
      <c r="M2438" s="2">
        <f t="shared" si="1008"/>
        <v>1.8902599107377231E-2</v>
      </c>
      <c r="N2438" s="63">
        <v>5956</v>
      </c>
      <c r="O2438" s="63">
        <v>5187</v>
      </c>
      <c r="P2438" s="63">
        <v>68</v>
      </c>
      <c r="Q2438" s="63">
        <v>139</v>
      </c>
      <c r="R2438" s="63">
        <v>35</v>
      </c>
      <c r="S2438" s="63">
        <v>25</v>
      </c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>
        <v>17</v>
      </c>
      <c r="AT2438" s="63"/>
      <c r="AU2438" s="63"/>
      <c r="AW2438" s="5">
        <f>IF(Q2438&gt;0,RANK(Q2438,(N2438:P2438,Q2438:AE2438)),0)</f>
        <v>3</v>
      </c>
      <c r="AX2438" s="5">
        <f>IF(R2438&gt;0,RANK(R2438,(N2438:P2438,Q2438:AE2438)),0)</f>
        <v>5</v>
      </c>
      <c r="AY2438" s="5">
        <f>IF(T2438&gt;0,RANK(T2438,(N2438:P2438,Q2438:AE2438)),0)</f>
        <v>0</v>
      </c>
      <c r="AZ2438" s="5">
        <f>IF(S2438&gt;0,RANK(S2438,(N2438:P2438,Q2438:AE2438)),0)</f>
        <v>6</v>
      </c>
      <c r="BA2438" s="2">
        <f t="shared" si="1009"/>
        <v>1.2164172573728888E-2</v>
      </c>
      <c r="BB2438" s="2">
        <f t="shared" si="1010"/>
        <v>3.0629211516583531E-3</v>
      </c>
      <c r="BC2438" s="2">
        <f t="shared" si="1011"/>
        <v>0</v>
      </c>
      <c r="BD2438" s="2">
        <f t="shared" si="1012"/>
        <v>2.1878008226131093E-3</v>
      </c>
      <c r="BF2438" t="s">
        <v>1471</v>
      </c>
      <c r="BG2438" t="s">
        <v>1964</v>
      </c>
      <c r="BH2438">
        <v>6</v>
      </c>
      <c r="BJ2438" s="114">
        <v>45</v>
      </c>
      <c r="BK2438" s="116">
        <v>53</v>
      </c>
      <c r="BL2438" s="120">
        <f t="shared" si="1013"/>
        <v>45053</v>
      </c>
      <c r="BN2438" s="5" t="s">
        <v>3154</v>
      </c>
    </row>
    <row r="2439" spans="1:66" hidden="1" outlineLevel="1">
      <c r="A2439" t="s">
        <v>1885</v>
      </c>
      <c r="B2439" t="s">
        <v>1964</v>
      </c>
      <c r="C2439" s="1">
        <f t="shared" si="1004"/>
        <v>28995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4</v>
      </c>
      <c r="G2439" s="132">
        <f t="shared" si="985"/>
        <v>7212</v>
      </c>
      <c r="H2439" s="137">
        <f t="shared" si="986"/>
        <v>0.24873254009311951</v>
      </c>
      <c r="I2439" s="2"/>
      <c r="J2439" s="2">
        <f t="shared" si="1005"/>
        <v>0.35626832212450421</v>
      </c>
      <c r="K2439" s="2">
        <f t="shared" si="1006"/>
        <v>0.60500086221762372</v>
      </c>
      <c r="L2439" s="2">
        <f t="shared" si="1007"/>
        <v>9.9672357302983267E-3</v>
      </c>
      <c r="M2439" s="2">
        <f t="shared" si="1008"/>
        <v>2.8763579927573737E-2</v>
      </c>
      <c r="N2439" s="63">
        <v>10330</v>
      </c>
      <c r="O2439" s="63">
        <v>17542</v>
      </c>
      <c r="P2439" s="63">
        <v>289</v>
      </c>
      <c r="Q2439" s="63">
        <v>560</v>
      </c>
      <c r="R2439" s="63">
        <v>143</v>
      </c>
      <c r="S2439" s="63">
        <v>72</v>
      </c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>
        <v>59</v>
      </c>
      <c r="AT2439" s="63"/>
      <c r="AU2439" s="63"/>
      <c r="AW2439" s="5">
        <f>IF(Q2439&gt;0,RANK(Q2439,(N2439:P2439,Q2439:AE2439)),0)</f>
        <v>3</v>
      </c>
      <c r="AX2439" s="5">
        <f>IF(R2439&gt;0,RANK(R2439,(N2439:P2439,Q2439:AE2439)),0)</f>
        <v>5</v>
      </c>
      <c r="AY2439" s="5">
        <f>IF(T2439&gt;0,RANK(T2439,(N2439:P2439,Q2439:AE2439)),0)</f>
        <v>0</v>
      </c>
      <c r="AZ2439" s="5">
        <f>IF(S2439&gt;0,RANK(S2439,(N2439:P2439,Q2439:AE2439)),0)</f>
        <v>6</v>
      </c>
      <c r="BA2439" s="2">
        <f t="shared" si="1009"/>
        <v>1.9313674771512329E-2</v>
      </c>
      <c r="BB2439" s="2">
        <f t="shared" si="1010"/>
        <v>4.9318848077254699E-3</v>
      </c>
      <c r="BC2439" s="2">
        <f t="shared" si="1011"/>
        <v>0</v>
      </c>
      <c r="BD2439" s="2">
        <f t="shared" si="1012"/>
        <v>2.4831867563372997E-3</v>
      </c>
      <c r="BF2439" t="s">
        <v>1885</v>
      </c>
      <c r="BG2439" t="s">
        <v>1964</v>
      </c>
      <c r="BH2439">
        <v>5</v>
      </c>
      <c r="BJ2439" s="114">
        <v>45</v>
      </c>
      <c r="BK2439" s="116">
        <v>55</v>
      </c>
      <c r="BL2439" s="120">
        <f t="shared" si="1013"/>
        <v>45055</v>
      </c>
      <c r="BN2439" s="5" t="s">
        <v>3154</v>
      </c>
    </row>
    <row r="2440" spans="1:66" hidden="1" outlineLevel="1">
      <c r="A2440" t="s">
        <v>1061</v>
      </c>
      <c r="B2440" t="s">
        <v>1964</v>
      </c>
      <c r="C2440" s="1">
        <f t="shared" si="1004"/>
        <v>38938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4</v>
      </c>
      <c r="G2440" s="132">
        <f t="shared" si="985"/>
        <v>9907</v>
      </c>
      <c r="H2440" s="137">
        <f t="shared" si="986"/>
        <v>0.25443011967743595</v>
      </c>
      <c r="I2440" s="2"/>
      <c r="J2440" s="2">
        <f t="shared" si="1005"/>
        <v>0.35471775643330422</v>
      </c>
      <c r="K2440" s="2">
        <f t="shared" si="1006"/>
        <v>0.60914787611074017</v>
      </c>
      <c r="L2440" s="2">
        <f t="shared" si="1007"/>
        <v>8.6291026760491035E-3</v>
      </c>
      <c r="M2440" s="2">
        <f t="shared" si="1008"/>
        <v>2.7505264779906557E-2</v>
      </c>
      <c r="N2440" s="63">
        <v>13812</v>
      </c>
      <c r="O2440" s="63">
        <v>23719</v>
      </c>
      <c r="P2440" s="63">
        <v>336</v>
      </c>
      <c r="Q2440" s="63">
        <v>764</v>
      </c>
      <c r="R2440" s="63">
        <v>161</v>
      </c>
      <c r="S2440" s="63">
        <v>97</v>
      </c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>
        <v>49</v>
      </c>
      <c r="AT2440" s="63"/>
      <c r="AU2440" s="63"/>
      <c r="AW2440" s="5">
        <f>IF(Q2440&gt;0,RANK(Q2440,(N2440:P2440,Q2440:AE2440)),0)</f>
        <v>3</v>
      </c>
      <c r="AX2440" s="5">
        <f>IF(R2440&gt;0,RANK(R2440,(N2440:P2440,Q2440:AE2440)),0)</f>
        <v>5</v>
      </c>
      <c r="AY2440" s="5">
        <f>IF(T2440&gt;0,RANK(T2440,(N2440:P2440,Q2440:AE2440)),0)</f>
        <v>0</v>
      </c>
      <c r="AZ2440" s="5">
        <f>IF(S2440&gt;0,RANK(S2440,(N2440:P2440,Q2440:AE2440)),0)</f>
        <v>6</v>
      </c>
      <c r="BA2440" s="2">
        <f t="shared" si="1009"/>
        <v>1.9620935846730699E-2</v>
      </c>
      <c r="BB2440" s="2">
        <f t="shared" si="1010"/>
        <v>4.134778365606862E-3</v>
      </c>
      <c r="BC2440" s="2">
        <f t="shared" si="1011"/>
        <v>0</v>
      </c>
      <c r="BD2440" s="2">
        <f t="shared" si="1012"/>
        <v>2.4911397606451283E-3</v>
      </c>
      <c r="BF2440" t="s">
        <v>1061</v>
      </c>
      <c r="BG2440" t="s">
        <v>1964</v>
      </c>
      <c r="BH2440">
        <v>5</v>
      </c>
      <c r="BJ2440" s="114">
        <v>45</v>
      </c>
      <c r="BK2440" s="116">
        <v>57</v>
      </c>
      <c r="BL2440" s="120">
        <f t="shared" si="1013"/>
        <v>45057</v>
      </c>
      <c r="BN2440" s="5" t="s">
        <v>3154</v>
      </c>
    </row>
    <row r="2441" spans="1:66" hidden="1" outlineLevel="1">
      <c r="A2441" t="s">
        <v>745</v>
      </c>
      <c r="B2441" t="s">
        <v>1964</v>
      </c>
      <c r="C2441" s="1">
        <f t="shared" si="1004"/>
        <v>26566</v>
      </c>
      <c r="D2441" s="5">
        <f>IF(N2441&gt;0, RANK(N2441,(N2441:P2441,Q2441:AE2441)),0)</f>
        <v>2</v>
      </c>
      <c r="E2441" s="5">
        <f>IF(O2441&gt;0,RANK(O2441,(N2441:P2441,Q2441:AE2441)),0)</f>
        <v>1</v>
      </c>
      <c r="F2441" s="5">
        <f>IF(P2441&gt;0,RANK(P2441,(N2441:P2441,Q2441:AE2441)),0)</f>
        <v>4</v>
      </c>
      <c r="G2441" s="132">
        <f t="shared" ref="G2441:G2504" si="1014">IF(C2441&gt;0,MAX(N2441:P2441)-LARGE(N2441:P2441,2),0)</f>
        <v>7927</v>
      </c>
      <c r="H2441" s="137">
        <f t="shared" ref="H2441:H2504" si="1015">IF(C2441&gt;0,G2441/C2441,0)</f>
        <v>0.29838891816607693</v>
      </c>
      <c r="I2441" s="2"/>
      <c r="J2441" s="2">
        <f t="shared" si="1005"/>
        <v>0.33460061733042235</v>
      </c>
      <c r="K2441" s="2">
        <f t="shared" si="1006"/>
        <v>0.63298953549649928</v>
      </c>
      <c r="L2441" s="2">
        <f t="shared" si="1007"/>
        <v>7.5660618836106298E-3</v>
      </c>
      <c r="M2441" s="2">
        <f t="shared" si="1008"/>
        <v>2.4843785289467749E-2</v>
      </c>
      <c r="N2441" s="63">
        <v>8889</v>
      </c>
      <c r="O2441" s="63">
        <v>16816</v>
      </c>
      <c r="P2441" s="63">
        <v>201</v>
      </c>
      <c r="Q2441" s="63">
        <v>373</v>
      </c>
      <c r="R2441" s="63">
        <v>125</v>
      </c>
      <c r="S2441" s="63">
        <v>122</v>
      </c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>
        <v>40</v>
      </c>
      <c r="AT2441" s="63"/>
      <c r="AU2441" s="63"/>
      <c r="AW2441" s="5">
        <f>IF(Q2441&gt;0,RANK(Q2441,(N2441:P2441,Q2441:AE2441)),0)</f>
        <v>3</v>
      </c>
      <c r="AX2441" s="5">
        <f>IF(R2441&gt;0,RANK(R2441,(N2441:P2441,Q2441:AE2441)),0)</f>
        <v>5</v>
      </c>
      <c r="AY2441" s="5">
        <f>IF(T2441&gt;0,RANK(T2441,(N2441:P2441,Q2441:AE2441)),0)</f>
        <v>0</v>
      </c>
      <c r="AZ2441" s="5">
        <f>IF(S2441&gt;0,RANK(S2441,(N2441:P2441,Q2441:AE2441)),0)</f>
        <v>6</v>
      </c>
      <c r="BA2441" s="2">
        <f t="shared" si="1009"/>
        <v>1.4040502898441618E-2</v>
      </c>
      <c r="BB2441" s="2">
        <f t="shared" si="1010"/>
        <v>4.7052623654294965E-3</v>
      </c>
      <c r="BC2441" s="2">
        <f t="shared" si="1011"/>
        <v>0</v>
      </c>
      <c r="BD2441" s="2">
        <f t="shared" si="1012"/>
        <v>4.5923360686591884E-3</v>
      </c>
      <c r="BF2441" t="s">
        <v>745</v>
      </c>
      <c r="BG2441" t="s">
        <v>1964</v>
      </c>
      <c r="BH2441">
        <v>3</v>
      </c>
      <c r="BJ2441" s="114">
        <v>45</v>
      </c>
      <c r="BK2441" s="116">
        <v>59</v>
      </c>
      <c r="BL2441" s="120">
        <f t="shared" si="1013"/>
        <v>45059</v>
      </c>
      <c r="BN2441" s="5" t="s">
        <v>3154</v>
      </c>
    </row>
    <row r="2442" spans="1:66" hidden="1" outlineLevel="1">
      <c r="A2442" t="s">
        <v>97</v>
      </c>
      <c r="B2442" t="s">
        <v>1964</v>
      </c>
      <c r="C2442" s="1">
        <f t="shared" si="1004"/>
        <v>8156</v>
      </c>
      <c r="D2442" s="5">
        <f>IF(N2442&gt;0, RANK(N2442,(N2442:P2442,Q2442:AE2442)),0)</f>
        <v>1</v>
      </c>
      <c r="E2442" s="5">
        <f>IF(O2442&gt;0,RANK(O2442,(N2442:P2442,Q2442:AE2442)),0)</f>
        <v>2</v>
      </c>
      <c r="F2442" s="5">
        <f>IF(P2442&gt;0,RANK(P2442,(N2442:P2442,Q2442:AE2442)),0)</f>
        <v>4</v>
      </c>
      <c r="G2442" s="132">
        <f t="shared" si="1014"/>
        <v>2396</v>
      </c>
      <c r="H2442" s="137">
        <f t="shared" si="1015"/>
        <v>0.29377145659637077</v>
      </c>
      <c r="I2442" s="2"/>
      <c r="J2442" s="2">
        <f t="shared" si="1005"/>
        <v>0.63744482589504659</v>
      </c>
      <c r="K2442" s="2">
        <f t="shared" si="1006"/>
        <v>0.34367336929867581</v>
      </c>
      <c r="L2442" s="2">
        <f t="shared" si="1007"/>
        <v>4.0461010299166255E-3</v>
      </c>
      <c r="M2442" s="2">
        <f t="shared" si="1008"/>
        <v>1.4835703776360978E-2</v>
      </c>
      <c r="N2442" s="63">
        <v>5199</v>
      </c>
      <c r="O2442" s="63">
        <v>2803</v>
      </c>
      <c r="P2442" s="63">
        <v>33</v>
      </c>
      <c r="Q2442" s="63">
        <v>63</v>
      </c>
      <c r="R2442" s="63">
        <v>22</v>
      </c>
      <c r="S2442" s="63">
        <v>25</v>
      </c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>
        <v>11</v>
      </c>
      <c r="AT2442" s="63"/>
      <c r="AU2442" s="63"/>
      <c r="AW2442" s="5">
        <f>IF(Q2442&gt;0,RANK(Q2442,(N2442:P2442,Q2442:AE2442)),0)</f>
        <v>3</v>
      </c>
      <c r="AX2442" s="5">
        <f>IF(R2442&gt;0,RANK(R2442,(N2442:P2442,Q2442:AE2442)),0)</f>
        <v>6</v>
      </c>
      <c r="AY2442" s="5">
        <f>IF(T2442&gt;0,RANK(T2442,(N2442:P2442,Q2442:AE2442)),0)</f>
        <v>0</v>
      </c>
      <c r="AZ2442" s="5">
        <f>IF(S2442&gt;0,RANK(S2442,(N2442:P2442,Q2442:AE2442)),0)</f>
        <v>5</v>
      </c>
      <c r="BA2442" s="2">
        <f t="shared" si="1009"/>
        <v>7.7243746934771949E-3</v>
      </c>
      <c r="BB2442" s="2">
        <f t="shared" si="1010"/>
        <v>2.6974006866110839E-3</v>
      </c>
      <c r="BC2442" s="2">
        <f t="shared" si="1011"/>
        <v>0</v>
      </c>
      <c r="BD2442" s="2">
        <f t="shared" si="1012"/>
        <v>3.0652280529671408E-3</v>
      </c>
      <c r="BF2442" t="s">
        <v>97</v>
      </c>
      <c r="BG2442" t="s">
        <v>1964</v>
      </c>
      <c r="BH2442">
        <v>5</v>
      </c>
      <c r="BJ2442" s="114">
        <v>45</v>
      </c>
      <c r="BK2442" s="116">
        <v>61</v>
      </c>
      <c r="BL2442" s="120">
        <f t="shared" si="1013"/>
        <v>45061</v>
      </c>
      <c r="BN2442" s="5" t="s">
        <v>3154</v>
      </c>
    </row>
    <row r="2443" spans="1:66" hidden="1" outlineLevel="1">
      <c r="A2443" t="s">
        <v>1659</v>
      </c>
      <c r="B2443" t="s">
        <v>1964</v>
      </c>
      <c r="C2443" s="1">
        <f t="shared" si="1004"/>
        <v>122093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4</v>
      </c>
      <c r="G2443" s="132">
        <f t="shared" si="1014"/>
        <v>44796</v>
      </c>
      <c r="H2443" s="137">
        <f t="shared" si="1015"/>
        <v>0.36690064131440786</v>
      </c>
      <c r="I2443" s="2"/>
      <c r="J2443" s="2">
        <f t="shared" si="1005"/>
        <v>0.28855053115248214</v>
      </c>
      <c r="K2443" s="2">
        <f t="shared" si="1006"/>
        <v>0.65545117246689</v>
      </c>
      <c r="L2443" s="2">
        <f t="shared" si="1007"/>
        <v>1.4194097941732941E-2</v>
      </c>
      <c r="M2443" s="2">
        <f t="shared" si="1008"/>
        <v>4.1804198438894977E-2</v>
      </c>
      <c r="N2443" s="63">
        <v>35230</v>
      </c>
      <c r="O2443" s="63">
        <v>80026</v>
      </c>
      <c r="P2443" s="63">
        <v>1733</v>
      </c>
      <c r="Q2443" s="63">
        <v>3584</v>
      </c>
      <c r="R2443" s="63">
        <v>894</v>
      </c>
      <c r="S2443" s="63">
        <v>416</v>
      </c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>
        <v>210</v>
      </c>
      <c r="AT2443" s="63"/>
      <c r="AU2443" s="63"/>
      <c r="AW2443" s="5">
        <f>IF(Q2443&gt;0,RANK(Q2443,(N2443:P2443,Q2443:AE2443)),0)</f>
        <v>3</v>
      </c>
      <c r="AX2443" s="5">
        <f>IF(R2443&gt;0,RANK(R2443,(N2443:P2443,Q2443:AE2443)),0)</f>
        <v>5</v>
      </c>
      <c r="AY2443" s="5">
        <f>IF(T2443&gt;0,RANK(T2443,(N2443:P2443,Q2443:AE2443)),0)</f>
        <v>0</v>
      </c>
      <c r="AZ2443" s="5">
        <f>IF(S2443&gt;0,RANK(S2443,(N2443:P2443,Q2443:AE2443)),0)</f>
        <v>6</v>
      </c>
      <c r="BA2443" s="2">
        <f t="shared" si="1009"/>
        <v>2.9354672258032812E-2</v>
      </c>
      <c r="BB2443" s="2">
        <f t="shared" si="1010"/>
        <v>7.3222871090070684E-3</v>
      </c>
      <c r="BC2443" s="2">
        <f t="shared" si="1011"/>
        <v>0</v>
      </c>
      <c r="BD2443" s="2">
        <f t="shared" si="1012"/>
        <v>3.4072387442359514E-3</v>
      </c>
      <c r="BF2443" t="s">
        <v>1659</v>
      </c>
      <c r="BG2443" t="s">
        <v>1964</v>
      </c>
      <c r="BH2443">
        <v>2</v>
      </c>
      <c r="BJ2443" s="114">
        <v>45</v>
      </c>
      <c r="BK2443" s="116">
        <v>63</v>
      </c>
      <c r="BL2443" s="120">
        <f t="shared" si="1013"/>
        <v>45063</v>
      </c>
      <c r="BN2443" s="5" t="s">
        <v>3154</v>
      </c>
    </row>
    <row r="2444" spans="1:66" hidden="1" outlineLevel="1">
      <c r="A2444" t="s">
        <v>534</v>
      </c>
      <c r="B2444" t="s">
        <v>1964</v>
      </c>
      <c r="C2444" s="1">
        <f t="shared" si="1004"/>
        <v>5216</v>
      </c>
      <c r="D2444" s="5">
        <f>IF(N2444&gt;0, RANK(N2444,(N2444:P2444,Q2444:AE2444)),0)</f>
        <v>2</v>
      </c>
      <c r="E2444" s="5">
        <f>IF(O2444&gt;0,RANK(O2444,(N2444:P2444,Q2444:AE2444)),0)</f>
        <v>1</v>
      </c>
      <c r="F2444" s="5">
        <f>IF(P2444&gt;0,RANK(P2444,(N2444:P2444,Q2444:AE2444)),0)</f>
        <v>4</v>
      </c>
      <c r="G2444" s="132">
        <f t="shared" si="1014"/>
        <v>173</v>
      </c>
      <c r="H2444" s="137">
        <f t="shared" si="1015"/>
        <v>3.3167177914110432E-2</v>
      </c>
      <c r="I2444" s="2"/>
      <c r="J2444" s="2">
        <f t="shared" si="1005"/>
        <v>0.47526840490797545</v>
      </c>
      <c r="K2444" s="2">
        <f t="shared" si="1006"/>
        <v>0.5084355828220859</v>
      </c>
      <c r="L2444" s="2">
        <f t="shared" si="1007"/>
        <v>3.2592024539877299E-3</v>
      </c>
      <c r="M2444" s="2">
        <f t="shared" si="1008"/>
        <v>1.3036809815950979E-2</v>
      </c>
      <c r="N2444" s="63">
        <v>2479</v>
      </c>
      <c r="O2444" s="63">
        <v>2652</v>
      </c>
      <c r="P2444" s="63">
        <v>17</v>
      </c>
      <c r="Q2444" s="63">
        <v>47</v>
      </c>
      <c r="R2444" s="63">
        <v>8</v>
      </c>
      <c r="S2444" s="63">
        <v>6</v>
      </c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>
        <v>7</v>
      </c>
      <c r="AT2444" s="63"/>
      <c r="AU2444" s="63"/>
      <c r="AW2444" s="5">
        <f>IF(Q2444&gt;0,RANK(Q2444,(N2444:P2444,Q2444:AE2444)),0)</f>
        <v>3</v>
      </c>
      <c r="AX2444" s="5">
        <f>IF(R2444&gt;0,RANK(R2444,(N2444:P2444,Q2444:AE2444)),0)</f>
        <v>5</v>
      </c>
      <c r="AY2444" s="5">
        <f>IF(T2444&gt;0,RANK(T2444,(N2444:P2444,Q2444:AE2444)),0)</f>
        <v>0</v>
      </c>
      <c r="AZ2444" s="5">
        <f>IF(S2444&gt;0,RANK(S2444,(N2444:P2444,Q2444:AE2444)),0)</f>
        <v>6</v>
      </c>
      <c r="BA2444" s="2">
        <f t="shared" si="1009"/>
        <v>9.0107361963190184E-3</v>
      </c>
      <c r="BB2444" s="2">
        <f t="shared" si="1010"/>
        <v>1.5337423312883436E-3</v>
      </c>
      <c r="BC2444" s="2">
        <f t="shared" si="1011"/>
        <v>0</v>
      </c>
      <c r="BD2444" s="2">
        <f t="shared" si="1012"/>
        <v>1.1503067484662577E-3</v>
      </c>
      <c r="BF2444" t="s">
        <v>534</v>
      </c>
      <c r="BG2444" t="s">
        <v>1964</v>
      </c>
      <c r="BH2444">
        <v>3</v>
      </c>
      <c r="BJ2444" s="114">
        <v>45</v>
      </c>
      <c r="BK2444" s="116">
        <v>65</v>
      </c>
      <c r="BL2444" s="120">
        <f t="shared" si="1013"/>
        <v>45065</v>
      </c>
      <c r="BN2444" s="5" t="s">
        <v>3154</v>
      </c>
    </row>
    <row r="2445" spans="1:66" hidden="1" outlineLevel="1">
      <c r="A2445" t="s">
        <v>1826</v>
      </c>
      <c r="B2445" t="s">
        <v>1964</v>
      </c>
      <c r="C2445" s="1">
        <f t="shared" si="1004"/>
        <v>14276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5</v>
      </c>
      <c r="G2445" s="132">
        <f t="shared" si="1014"/>
        <v>3125</v>
      </c>
      <c r="H2445" s="137">
        <f t="shared" si="1015"/>
        <v>0.21889885121882879</v>
      </c>
      <c r="I2445" s="2"/>
      <c r="J2445" s="2">
        <f t="shared" si="1005"/>
        <v>0.60023816195012614</v>
      </c>
      <c r="K2445" s="2">
        <f t="shared" si="1006"/>
        <v>0.38133931073129729</v>
      </c>
      <c r="L2445" s="2">
        <f t="shared" si="1007"/>
        <v>3.2221910899411601E-3</v>
      </c>
      <c r="M2445" s="2">
        <f t="shared" si="1008"/>
        <v>1.5200336228635416E-2</v>
      </c>
      <c r="N2445" s="63">
        <v>8569</v>
      </c>
      <c r="O2445" s="63">
        <v>5444</v>
      </c>
      <c r="P2445" s="63">
        <v>46</v>
      </c>
      <c r="Q2445" s="63">
        <v>103</v>
      </c>
      <c r="R2445" s="63">
        <v>65</v>
      </c>
      <c r="S2445" s="63">
        <v>27</v>
      </c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>
        <v>22</v>
      </c>
      <c r="AT2445" s="63"/>
      <c r="AU2445" s="63"/>
      <c r="AW2445" s="5">
        <f>IF(Q2445&gt;0,RANK(Q2445,(N2445:P2445,Q2445:AE2445)),0)</f>
        <v>3</v>
      </c>
      <c r="AX2445" s="5">
        <f>IF(R2445&gt;0,RANK(R2445,(N2445:P2445,Q2445:AE2445)),0)</f>
        <v>4</v>
      </c>
      <c r="AY2445" s="5">
        <f>IF(T2445&gt;0,RANK(T2445,(N2445:P2445,Q2445:AE2445)),0)</f>
        <v>0</v>
      </c>
      <c r="AZ2445" s="5">
        <f>IF(S2445&gt;0,RANK(S2445,(N2445:P2445,Q2445:AE2445)),0)</f>
        <v>6</v>
      </c>
      <c r="BA2445" s="2">
        <f t="shared" si="1009"/>
        <v>7.2149061361725976E-3</v>
      </c>
      <c r="BB2445" s="2">
        <f t="shared" si="1010"/>
        <v>4.5530961053516393E-3</v>
      </c>
      <c r="BC2445" s="2">
        <f t="shared" si="1011"/>
        <v>0</v>
      </c>
      <c r="BD2445" s="2">
        <f t="shared" si="1012"/>
        <v>1.8912860745306809E-3</v>
      </c>
      <c r="BF2445" t="s">
        <v>1826</v>
      </c>
      <c r="BG2445" t="s">
        <v>1964</v>
      </c>
      <c r="BH2445">
        <v>7</v>
      </c>
      <c r="BJ2445" s="114">
        <v>45</v>
      </c>
      <c r="BK2445" s="116">
        <v>67</v>
      </c>
      <c r="BL2445" s="120">
        <f t="shared" si="1013"/>
        <v>45067</v>
      </c>
      <c r="BN2445" s="5" t="s">
        <v>3154</v>
      </c>
    </row>
    <row r="2446" spans="1:66" hidden="1" outlineLevel="1">
      <c r="A2446" t="s">
        <v>1848</v>
      </c>
      <c r="B2446" t="s">
        <v>1964</v>
      </c>
      <c r="C2446" s="1">
        <f t="shared" si="1004"/>
        <v>10389</v>
      </c>
      <c r="D2446" s="5">
        <f>IF(N2446&gt;0, RANK(N2446,(N2446:P2446,Q2446:AE2446)),0)</f>
        <v>1</v>
      </c>
      <c r="E2446" s="5">
        <f>IF(O2446&gt;0,RANK(O2446,(N2446:P2446,Q2446:AE2446)),0)</f>
        <v>2</v>
      </c>
      <c r="F2446" s="5">
        <f>IF(P2446&gt;0,RANK(P2446,(N2446:P2446,Q2446:AE2446)),0)</f>
        <v>5</v>
      </c>
      <c r="G2446" s="132">
        <f t="shared" si="1014"/>
        <v>1687</v>
      </c>
      <c r="H2446" s="137">
        <f t="shared" si="1015"/>
        <v>0.16238329001828858</v>
      </c>
      <c r="I2446" s="2"/>
      <c r="J2446" s="2">
        <f t="shared" si="1005"/>
        <v>0.57310616998748676</v>
      </c>
      <c r="K2446" s="2">
        <f t="shared" si="1006"/>
        <v>0.41072287996919821</v>
      </c>
      <c r="L2446" s="2">
        <f t="shared" si="1007"/>
        <v>3.0801809606314369E-3</v>
      </c>
      <c r="M2446" s="2">
        <f t="shared" si="1008"/>
        <v>1.3090769082683598E-2</v>
      </c>
      <c r="N2446" s="63">
        <v>5954</v>
      </c>
      <c r="O2446" s="63">
        <v>4267</v>
      </c>
      <c r="P2446" s="63">
        <v>32</v>
      </c>
      <c r="Q2446" s="63">
        <v>70</v>
      </c>
      <c r="R2446" s="63">
        <v>33</v>
      </c>
      <c r="S2446" s="63">
        <v>20</v>
      </c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>
        <v>13</v>
      </c>
      <c r="AT2446" s="63"/>
      <c r="AU2446" s="63"/>
      <c r="AW2446" s="5">
        <f>IF(Q2446&gt;0,RANK(Q2446,(N2446:P2446,Q2446:AE2446)),0)</f>
        <v>3</v>
      </c>
      <c r="AX2446" s="5">
        <f>IF(R2446&gt;0,RANK(R2446,(N2446:P2446,Q2446:AE2446)),0)</f>
        <v>4</v>
      </c>
      <c r="AY2446" s="5">
        <f>IF(T2446&gt;0,RANK(T2446,(N2446:P2446,Q2446:AE2446)),0)</f>
        <v>0</v>
      </c>
      <c r="AZ2446" s="5">
        <f>IF(S2446&gt;0,RANK(S2446,(N2446:P2446,Q2446:AE2446)),0)</f>
        <v>6</v>
      </c>
      <c r="BA2446" s="2">
        <f t="shared" si="1009"/>
        <v>6.7378958513812683E-3</v>
      </c>
      <c r="BB2446" s="2">
        <f t="shared" si="1010"/>
        <v>3.1764366156511693E-3</v>
      </c>
      <c r="BC2446" s="2">
        <f t="shared" si="1011"/>
        <v>0</v>
      </c>
      <c r="BD2446" s="2">
        <f t="shared" si="1012"/>
        <v>1.9251131003946481E-3</v>
      </c>
      <c r="BF2446" t="s">
        <v>1848</v>
      </c>
      <c r="BG2446" t="s">
        <v>1964</v>
      </c>
      <c r="BH2446">
        <v>7</v>
      </c>
      <c r="BJ2446" s="114">
        <v>45</v>
      </c>
      <c r="BK2446" s="116">
        <v>69</v>
      </c>
      <c r="BL2446" s="120">
        <f t="shared" si="1013"/>
        <v>45069</v>
      </c>
      <c r="BN2446" s="5" t="s">
        <v>3154</v>
      </c>
    </row>
    <row r="2447" spans="1:66" hidden="1" outlineLevel="1">
      <c r="A2447" t="s">
        <v>353</v>
      </c>
      <c r="B2447" t="s">
        <v>1964</v>
      </c>
      <c r="C2447" s="1">
        <f t="shared" si="1004"/>
        <v>16807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4</v>
      </c>
      <c r="G2447" s="132">
        <f t="shared" si="1014"/>
        <v>3800</v>
      </c>
      <c r="H2447" s="137">
        <f t="shared" si="1015"/>
        <v>0.2260962694115547</v>
      </c>
      <c r="I2447" s="2"/>
      <c r="J2447" s="2">
        <f t="shared" si="1005"/>
        <v>0.36990539656095672</v>
      </c>
      <c r="K2447" s="2">
        <f t="shared" si="1006"/>
        <v>0.59600166597251147</v>
      </c>
      <c r="L2447" s="2">
        <f t="shared" si="1007"/>
        <v>6.4853929910156484E-3</v>
      </c>
      <c r="M2447" s="2">
        <f t="shared" si="1008"/>
        <v>2.7607544475516211E-2</v>
      </c>
      <c r="N2447" s="63">
        <v>6217</v>
      </c>
      <c r="O2447" s="63">
        <v>10017</v>
      </c>
      <c r="P2447" s="63">
        <v>109</v>
      </c>
      <c r="Q2447" s="63">
        <v>313</v>
      </c>
      <c r="R2447" s="63">
        <v>65</v>
      </c>
      <c r="S2447" s="63">
        <v>34</v>
      </c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>
        <v>52</v>
      </c>
      <c r="AT2447" s="63"/>
      <c r="AU2447" s="63"/>
      <c r="AW2447" s="5">
        <f>IF(Q2447&gt;0,RANK(Q2447,(N2447:P2447,Q2447:AE2447)),0)</f>
        <v>3</v>
      </c>
      <c r="AX2447" s="5">
        <f>IF(R2447&gt;0,RANK(R2447,(N2447:P2447,Q2447:AE2447)),0)</f>
        <v>5</v>
      </c>
      <c r="AY2447" s="5">
        <f>IF(T2447&gt;0,RANK(T2447,(N2447:P2447,Q2447:AE2447)),0)</f>
        <v>0</v>
      </c>
      <c r="AZ2447" s="5">
        <f>IF(S2447&gt;0,RANK(S2447,(N2447:P2447,Q2447:AE2447)),0)</f>
        <v>6</v>
      </c>
      <c r="BA2447" s="2">
        <f t="shared" si="1009"/>
        <v>1.8623192717320165E-2</v>
      </c>
      <c r="BB2447" s="2">
        <f t="shared" si="1010"/>
        <v>3.8674361873029094E-3</v>
      </c>
      <c r="BC2447" s="2">
        <f t="shared" si="1011"/>
        <v>0</v>
      </c>
      <c r="BD2447" s="2">
        <f t="shared" si="1012"/>
        <v>2.0229666210507527E-3</v>
      </c>
      <c r="BF2447" t="s">
        <v>353</v>
      </c>
      <c r="BG2447" t="s">
        <v>1964</v>
      </c>
      <c r="BJ2447" s="114">
        <v>45</v>
      </c>
      <c r="BK2447" s="116">
        <v>71</v>
      </c>
      <c r="BL2447" s="120">
        <f t="shared" si="1013"/>
        <v>45071</v>
      </c>
      <c r="BN2447" s="5" t="s">
        <v>3154</v>
      </c>
    </row>
    <row r="2448" spans="1:66" hidden="1" outlineLevel="1">
      <c r="A2448" t="s">
        <v>1654</v>
      </c>
      <c r="B2448" t="s">
        <v>1964</v>
      </c>
      <c r="C2448" s="1">
        <f t="shared" si="1004"/>
        <v>33635</v>
      </c>
      <c r="D2448" s="5">
        <f>IF(N2448&gt;0, RANK(N2448,(N2448:P2448,Q2448:AE2448)),0)</f>
        <v>2</v>
      </c>
      <c r="E2448" s="5">
        <f>IF(O2448&gt;0,RANK(O2448,(N2448:P2448,Q2448:AE2448)),0)</f>
        <v>1</v>
      </c>
      <c r="F2448" s="5">
        <f>IF(P2448&gt;0,RANK(P2448,(N2448:P2448,Q2448:AE2448)),0)</f>
        <v>4</v>
      </c>
      <c r="G2448" s="132">
        <f t="shared" si="1014"/>
        <v>16180</v>
      </c>
      <c r="H2448" s="137">
        <f t="shared" si="1015"/>
        <v>0.48104652891333433</v>
      </c>
      <c r="I2448" s="2"/>
      <c r="J2448" s="2">
        <f t="shared" si="1005"/>
        <v>0.23778801843317973</v>
      </c>
      <c r="K2448" s="2">
        <f t="shared" si="1006"/>
        <v>0.71883454734651409</v>
      </c>
      <c r="L2448" s="2">
        <f t="shared" si="1007"/>
        <v>9.3949754719785932E-3</v>
      </c>
      <c r="M2448" s="2">
        <f t="shared" si="1008"/>
        <v>3.398245874832756E-2</v>
      </c>
      <c r="N2448" s="63">
        <v>7998</v>
      </c>
      <c r="O2448" s="63">
        <v>24178</v>
      </c>
      <c r="P2448" s="63">
        <v>316</v>
      </c>
      <c r="Q2448" s="63">
        <v>725</v>
      </c>
      <c r="R2448" s="63">
        <v>225</v>
      </c>
      <c r="S2448" s="63">
        <v>92</v>
      </c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>
        <v>101</v>
      </c>
      <c r="AT2448" s="63"/>
      <c r="AU2448" s="63"/>
      <c r="AW2448" s="5">
        <f>IF(Q2448&gt;0,RANK(Q2448,(N2448:P2448,Q2448:AE2448)),0)</f>
        <v>3</v>
      </c>
      <c r="AX2448" s="5">
        <f>IF(R2448&gt;0,RANK(R2448,(N2448:P2448,Q2448:AE2448)),0)</f>
        <v>5</v>
      </c>
      <c r="AY2448" s="5">
        <f>IF(T2448&gt;0,RANK(T2448,(N2448:P2448,Q2448:AE2448)),0)</f>
        <v>0</v>
      </c>
      <c r="AZ2448" s="5">
        <f>IF(S2448&gt;0,RANK(S2448,(N2448:P2448,Q2448:AE2448)),0)</f>
        <v>6</v>
      </c>
      <c r="BA2448" s="2">
        <f t="shared" si="1009"/>
        <v>2.1554927902482535E-2</v>
      </c>
      <c r="BB2448" s="2">
        <f t="shared" si="1010"/>
        <v>6.6894603835290622E-3</v>
      </c>
      <c r="BC2448" s="2">
        <f t="shared" si="1011"/>
        <v>0</v>
      </c>
      <c r="BD2448" s="2">
        <f t="shared" si="1012"/>
        <v>2.7352460234874388E-3</v>
      </c>
      <c r="BF2448" t="s">
        <v>1654</v>
      </c>
      <c r="BG2448" t="s">
        <v>1964</v>
      </c>
      <c r="BH2448">
        <v>3</v>
      </c>
      <c r="BJ2448" s="114">
        <v>45</v>
      </c>
      <c r="BK2448" s="116">
        <v>73</v>
      </c>
      <c r="BL2448" s="120">
        <f t="shared" si="1013"/>
        <v>45073</v>
      </c>
      <c r="BN2448" s="5" t="s">
        <v>3154</v>
      </c>
    </row>
    <row r="2449" spans="1:66" hidden="1" outlineLevel="1">
      <c r="A2449" t="s">
        <v>704</v>
      </c>
      <c r="B2449" t="s">
        <v>1964</v>
      </c>
      <c r="C2449" s="1">
        <f t="shared" si="1004"/>
        <v>38910</v>
      </c>
      <c r="D2449" s="5">
        <f>IF(N2449&gt;0, RANK(N2449,(N2449:P2449,Q2449:AE2449)),0)</f>
        <v>1</v>
      </c>
      <c r="E2449" s="5">
        <f>IF(O2449&gt;0,RANK(O2449,(N2449:P2449,Q2449:AE2449)),0)</f>
        <v>2</v>
      </c>
      <c r="F2449" s="5">
        <f>IF(P2449&gt;0,RANK(P2449,(N2449:P2449,Q2449:AE2449)),0)</f>
        <v>5</v>
      </c>
      <c r="G2449" s="132">
        <f t="shared" si="1014"/>
        <v>14387</v>
      </c>
      <c r="H2449" s="137">
        <f t="shared" si="1015"/>
        <v>0.36975070675918786</v>
      </c>
      <c r="I2449" s="2"/>
      <c r="J2449" s="2">
        <f t="shared" si="1005"/>
        <v>0.67638139295810851</v>
      </c>
      <c r="K2449" s="2">
        <f t="shared" si="1006"/>
        <v>0.30663068619892059</v>
      </c>
      <c r="L2449" s="2">
        <f t="shared" si="1007"/>
        <v>3.0840400925212026E-3</v>
      </c>
      <c r="M2449" s="2">
        <f t="shared" si="1008"/>
        <v>1.3903880750449703E-2</v>
      </c>
      <c r="N2449" s="63">
        <v>26318</v>
      </c>
      <c r="O2449" s="63">
        <v>11931</v>
      </c>
      <c r="P2449" s="63">
        <v>120</v>
      </c>
      <c r="Q2449" s="63">
        <v>308</v>
      </c>
      <c r="R2449" s="63">
        <v>125</v>
      </c>
      <c r="S2449" s="63">
        <v>64</v>
      </c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>
        <v>44</v>
      </c>
      <c r="AT2449" s="63"/>
      <c r="AU2449" s="63"/>
      <c r="AW2449" s="5">
        <f>IF(Q2449&gt;0,RANK(Q2449,(N2449:P2449,Q2449:AE2449)),0)</f>
        <v>3</v>
      </c>
      <c r="AX2449" s="5">
        <f>IF(R2449&gt;0,RANK(R2449,(N2449:P2449,Q2449:AE2449)),0)</f>
        <v>4</v>
      </c>
      <c r="AY2449" s="5">
        <f>IF(T2449&gt;0,RANK(T2449,(N2449:P2449,Q2449:AE2449)),0)</f>
        <v>0</v>
      </c>
      <c r="AZ2449" s="5">
        <f>IF(S2449&gt;0,RANK(S2449,(N2449:P2449,Q2449:AE2449)),0)</f>
        <v>6</v>
      </c>
      <c r="BA2449" s="2">
        <f t="shared" si="1009"/>
        <v>7.9157029041377544E-3</v>
      </c>
      <c r="BB2449" s="2">
        <f t="shared" si="1010"/>
        <v>3.2125417630429194E-3</v>
      </c>
      <c r="BC2449" s="2">
        <f t="shared" si="1011"/>
        <v>0</v>
      </c>
      <c r="BD2449" s="2">
        <f t="shared" si="1012"/>
        <v>1.6448213826779749E-3</v>
      </c>
      <c r="BF2449" t="s">
        <v>704</v>
      </c>
      <c r="BG2449" t="s">
        <v>1964</v>
      </c>
      <c r="BJ2449" s="114">
        <v>45</v>
      </c>
      <c r="BK2449" s="116">
        <v>75</v>
      </c>
      <c r="BL2449" s="120">
        <f t="shared" si="1013"/>
        <v>45075</v>
      </c>
      <c r="BN2449" s="5" t="s">
        <v>3154</v>
      </c>
    </row>
    <row r="2450" spans="1:66" hidden="1" outlineLevel="1">
      <c r="A2450" t="s">
        <v>1627</v>
      </c>
      <c r="B2450" t="s">
        <v>1964</v>
      </c>
      <c r="C2450" s="1">
        <f t="shared" si="1004"/>
        <v>49049</v>
      </c>
      <c r="D2450" s="5">
        <f>IF(N2450&gt;0, RANK(N2450,(N2450:P2450,Q2450:AE2450)),0)</f>
        <v>2</v>
      </c>
      <c r="E2450" s="5">
        <f>IF(O2450&gt;0,RANK(O2450,(N2450:P2450,Q2450:AE2450)),0)</f>
        <v>1</v>
      </c>
      <c r="F2450" s="5">
        <f>IF(P2450&gt;0,RANK(P2450,(N2450:P2450,Q2450:AE2450)),0)</f>
        <v>4</v>
      </c>
      <c r="G2450" s="132">
        <f t="shared" si="1014"/>
        <v>25882</v>
      </c>
      <c r="H2450" s="137">
        <f t="shared" si="1015"/>
        <v>0.52767640522742565</v>
      </c>
      <c r="I2450" s="2"/>
      <c r="J2450" s="2">
        <f t="shared" si="1005"/>
        <v>0.21109502742155803</v>
      </c>
      <c r="K2450" s="2">
        <f t="shared" si="1006"/>
        <v>0.73877143264898371</v>
      </c>
      <c r="L2450" s="2">
        <f t="shared" si="1007"/>
        <v>1.1192888743909153E-2</v>
      </c>
      <c r="M2450" s="2">
        <f t="shared" si="1008"/>
        <v>3.8940651185549083E-2</v>
      </c>
      <c r="N2450" s="63">
        <v>10354</v>
      </c>
      <c r="O2450" s="63">
        <v>36236</v>
      </c>
      <c r="P2450" s="63">
        <v>549</v>
      </c>
      <c r="Q2450" s="63">
        <v>1194</v>
      </c>
      <c r="R2450" s="63">
        <v>328</v>
      </c>
      <c r="S2450" s="63">
        <v>163</v>
      </c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>
        <v>225</v>
      </c>
      <c r="AT2450" s="63"/>
      <c r="AU2450" s="63"/>
      <c r="AW2450" s="5">
        <f>IF(Q2450&gt;0,RANK(Q2450,(N2450:P2450,Q2450:AE2450)),0)</f>
        <v>3</v>
      </c>
      <c r="AX2450" s="5">
        <f>IF(R2450&gt;0,RANK(R2450,(N2450:P2450,Q2450:AE2450)),0)</f>
        <v>5</v>
      </c>
      <c r="AY2450" s="5">
        <f>IF(T2450&gt;0,RANK(T2450,(N2450:P2450,Q2450:AE2450)),0)</f>
        <v>0</v>
      </c>
      <c r="AZ2450" s="5">
        <f>IF(S2450&gt;0,RANK(S2450,(N2450:P2450,Q2450:AE2450)),0)</f>
        <v>6</v>
      </c>
      <c r="BA2450" s="2">
        <f t="shared" si="1009"/>
        <v>2.4343003934840669E-2</v>
      </c>
      <c r="BB2450" s="2">
        <f t="shared" si="1010"/>
        <v>6.6871903606597486E-3</v>
      </c>
      <c r="BC2450" s="2">
        <f t="shared" si="1011"/>
        <v>0</v>
      </c>
      <c r="BD2450" s="2">
        <f t="shared" si="1012"/>
        <v>3.3232074048400581E-3</v>
      </c>
      <c r="BF2450" t="s">
        <v>1627</v>
      </c>
      <c r="BG2450" t="s">
        <v>1964</v>
      </c>
      <c r="BH2450">
        <v>3</v>
      </c>
      <c r="BJ2450" s="114">
        <v>45</v>
      </c>
      <c r="BK2450" s="116">
        <v>77</v>
      </c>
      <c r="BL2450" s="120">
        <f t="shared" si="1013"/>
        <v>45077</v>
      </c>
      <c r="BN2450" s="5" t="s">
        <v>3154</v>
      </c>
    </row>
    <row r="2451" spans="1:66" hidden="1" outlineLevel="1">
      <c r="A2451" t="s">
        <v>50</v>
      </c>
      <c r="B2451" t="s">
        <v>1964</v>
      </c>
      <c r="C2451" s="1">
        <f t="shared" si="1004"/>
        <v>168722</v>
      </c>
      <c r="D2451" s="5">
        <f>IF(N2451&gt;0, RANK(N2451,(N2451:P2451,Q2451:AE2451)),0)</f>
        <v>1</v>
      </c>
      <c r="E2451" s="5">
        <f>IF(O2451&gt;0,RANK(O2451,(N2451:P2451,Q2451:AE2451)),0)</f>
        <v>2</v>
      </c>
      <c r="F2451" s="5">
        <f>IF(P2451&gt;0,RANK(P2451,(N2451:P2451,Q2451:AE2451)),0)</f>
        <v>4</v>
      </c>
      <c r="G2451" s="132">
        <f t="shared" si="1014"/>
        <v>55531</v>
      </c>
      <c r="H2451" s="137">
        <f t="shared" si="1015"/>
        <v>0.32912720332855228</v>
      </c>
      <c r="I2451" s="2"/>
      <c r="J2451" s="2">
        <f t="shared" si="1005"/>
        <v>0.64010621021562097</v>
      </c>
      <c r="K2451" s="2">
        <f t="shared" si="1006"/>
        <v>0.31097900688706864</v>
      </c>
      <c r="L2451" s="2">
        <f t="shared" si="1007"/>
        <v>1.3234788587143349E-2</v>
      </c>
      <c r="M2451" s="2">
        <f t="shared" si="1008"/>
        <v>3.5679994310167037E-2</v>
      </c>
      <c r="N2451" s="63">
        <v>108000</v>
      </c>
      <c r="O2451" s="63">
        <v>52469</v>
      </c>
      <c r="P2451" s="63">
        <v>2233</v>
      </c>
      <c r="Q2451" s="63">
        <v>3938</v>
      </c>
      <c r="R2451" s="63">
        <v>1383</v>
      </c>
      <c r="S2451" s="63">
        <v>467</v>
      </c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>
        <v>232</v>
      </c>
      <c r="AT2451" s="63"/>
      <c r="AU2451" s="63"/>
      <c r="AW2451" s="5">
        <f>IF(Q2451&gt;0,RANK(Q2451,(N2451:P2451,Q2451:AE2451)),0)</f>
        <v>3</v>
      </c>
      <c r="AX2451" s="5">
        <f>IF(R2451&gt;0,RANK(R2451,(N2451:P2451,Q2451:AE2451)),0)</f>
        <v>5</v>
      </c>
      <c r="AY2451" s="5">
        <f>IF(T2451&gt;0,RANK(T2451,(N2451:P2451,Q2451:AE2451)),0)</f>
        <v>0</v>
      </c>
      <c r="AZ2451" s="5">
        <f>IF(S2451&gt;0,RANK(S2451,(N2451:P2451,Q2451:AE2451)),0)</f>
        <v>6</v>
      </c>
      <c r="BA2451" s="2">
        <f t="shared" si="1009"/>
        <v>2.3340169035454772E-2</v>
      </c>
      <c r="BB2451" s="2">
        <f t="shared" si="1010"/>
        <v>8.1969156363722578E-3</v>
      </c>
      <c r="BC2451" s="2">
        <f t="shared" si="1011"/>
        <v>0</v>
      </c>
      <c r="BD2451" s="2">
        <f t="shared" si="1012"/>
        <v>2.7678666682471758E-3</v>
      </c>
      <c r="BF2451" t="s">
        <v>50</v>
      </c>
      <c r="BG2451" t="s">
        <v>1964</v>
      </c>
      <c r="BJ2451" s="114">
        <v>45</v>
      </c>
      <c r="BK2451" s="116">
        <v>79</v>
      </c>
      <c r="BL2451" s="120">
        <f t="shared" si="1013"/>
        <v>45079</v>
      </c>
      <c r="BN2451" s="5" t="s">
        <v>3154</v>
      </c>
    </row>
    <row r="2452" spans="1:66" hidden="1" outlineLevel="1">
      <c r="A2452" t="s">
        <v>2112</v>
      </c>
      <c r="B2452" t="s">
        <v>1964</v>
      </c>
      <c r="C2452" s="1">
        <f t="shared" si="1004"/>
        <v>8564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4</v>
      </c>
      <c r="G2452" s="132">
        <f t="shared" si="1014"/>
        <v>2713</v>
      </c>
      <c r="H2452" s="137">
        <f t="shared" si="1015"/>
        <v>0.31679121905651564</v>
      </c>
      <c r="I2452" s="2"/>
      <c r="J2452" s="2">
        <f t="shared" si="1005"/>
        <v>0.32846800560485756</v>
      </c>
      <c r="K2452" s="2">
        <f t="shared" si="1006"/>
        <v>0.6452592246613732</v>
      </c>
      <c r="L2452" s="2">
        <f t="shared" si="1007"/>
        <v>5.6048575432041106E-3</v>
      </c>
      <c r="M2452" s="2">
        <f t="shared" si="1008"/>
        <v>2.066791219056513E-2</v>
      </c>
      <c r="N2452" s="63">
        <v>2813</v>
      </c>
      <c r="O2452" s="63">
        <v>5526</v>
      </c>
      <c r="P2452" s="63">
        <v>48</v>
      </c>
      <c r="Q2452" s="63">
        <v>105</v>
      </c>
      <c r="R2452" s="63">
        <v>42</v>
      </c>
      <c r="S2452" s="63">
        <v>18</v>
      </c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>
        <v>12</v>
      </c>
      <c r="AT2452" s="63"/>
      <c r="AU2452" s="63"/>
      <c r="AW2452" s="5">
        <f>IF(Q2452&gt;0,RANK(Q2452,(N2452:P2452,Q2452:AE2452)),0)</f>
        <v>3</v>
      </c>
      <c r="AX2452" s="5">
        <f>IF(R2452&gt;0,RANK(R2452,(N2452:P2452,Q2452:AE2452)),0)</f>
        <v>5</v>
      </c>
      <c r="AY2452" s="5">
        <f>IF(T2452&gt;0,RANK(T2452,(N2452:P2452,Q2452:AE2452)),0)</f>
        <v>0</v>
      </c>
      <c r="AZ2452" s="5">
        <f>IF(S2452&gt;0,RANK(S2452,(N2452:P2452,Q2452:AE2452)),0)</f>
        <v>6</v>
      </c>
      <c r="BA2452" s="2">
        <f t="shared" si="1009"/>
        <v>1.226062587575899E-2</v>
      </c>
      <c r="BB2452" s="2">
        <f t="shared" si="1010"/>
        <v>4.9042503503035966E-3</v>
      </c>
      <c r="BC2452" s="2">
        <f t="shared" si="1011"/>
        <v>0</v>
      </c>
      <c r="BD2452" s="2">
        <f t="shared" si="1012"/>
        <v>2.1018215787015414E-3</v>
      </c>
      <c r="BF2452" t="s">
        <v>2112</v>
      </c>
      <c r="BG2452" t="s">
        <v>1964</v>
      </c>
      <c r="BH2452">
        <v>3</v>
      </c>
      <c r="BJ2452" s="114">
        <v>45</v>
      </c>
      <c r="BK2452" s="116">
        <v>81</v>
      </c>
      <c r="BL2452" s="120">
        <f t="shared" si="1013"/>
        <v>45081</v>
      </c>
      <c r="BN2452" s="5" t="s">
        <v>3154</v>
      </c>
    </row>
    <row r="2453" spans="1:66" hidden="1" outlineLevel="1">
      <c r="A2453" t="s">
        <v>1037</v>
      </c>
      <c r="B2453" t="s">
        <v>1964</v>
      </c>
      <c r="C2453" s="1">
        <f t="shared" si="1004"/>
        <v>121090</v>
      </c>
      <c r="D2453" s="5">
        <f>IF(N2453&gt;0, RANK(N2453,(N2453:P2453,Q2453:AE2453)),0)</f>
        <v>2</v>
      </c>
      <c r="E2453" s="5">
        <f>IF(O2453&gt;0,RANK(O2453,(N2453:P2453,Q2453:AE2453)),0)</f>
        <v>1</v>
      </c>
      <c r="F2453" s="5">
        <f>IF(P2453&gt;0,RANK(P2453,(N2453:P2453,Q2453:AE2453)),0)</f>
        <v>4</v>
      </c>
      <c r="G2453" s="132">
        <f t="shared" si="1014"/>
        <v>36280</v>
      </c>
      <c r="H2453" s="137">
        <f t="shared" si="1015"/>
        <v>0.29961185894789</v>
      </c>
      <c r="I2453" s="2"/>
      <c r="J2453" s="2">
        <f t="shared" si="1005"/>
        <v>0.33030803534561071</v>
      </c>
      <c r="K2453" s="2">
        <f t="shared" si="1006"/>
        <v>0.6299198942935007</v>
      </c>
      <c r="L2453" s="2">
        <f t="shared" si="1007"/>
        <v>9.0758939631678925E-3</v>
      </c>
      <c r="M2453" s="2">
        <f t="shared" si="1008"/>
        <v>3.0696176397720695E-2</v>
      </c>
      <c r="N2453" s="63">
        <v>39997</v>
      </c>
      <c r="O2453" s="63">
        <v>76277</v>
      </c>
      <c r="P2453" s="63">
        <v>1099</v>
      </c>
      <c r="Q2453" s="63">
        <v>2443</v>
      </c>
      <c r="R2453" s="63">
        <v>760</v>
      </c>
      <c r="S2453" s="63">
        <v>357</v>
      </c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>
        <v>157</v>
      </c>
      <c r="AT2453" s="63"/>
      <c r="AU2453" s="63"/>
      <c r="AW2453" s="5">
        <f>IF(Q2453&gt;0,RANK(Q2453,(N2453:P2453,Q2453:AE2453)),0)</f>
        <v>3</v>
      </c>
      <c r="AX2453" s="5">
        <f>IF(R2453&gt;0,RANK(R2453,(N2453:P2453,Q2453:AE2453)),0)</f>
        <v>5</v>
      </c>
      <c r="AY2453" s="5">
        <f>IF(T2453&gt;0,RANK(T2453,(N2453:P2453,Q2453:AE2453)),0)</f>
        <v>0</v>
      </c>
      <c r="AZ2453" s="5">
        <f>IF(S2453&gt;0,RANK(S2453,(N2453:P2453,Q2453:AE2453)),0)</f>
        <v>6</v>
      </c>
      <c r="BA2453" s="2">
        <f t="shared" si="1009"/>
        <v>2.0175076389462383E-2</v>
      </c>
      <c r="BB2453" s="2">
        <f t="shared" si="1010"/>
        <v>6.2763233958212901E-3</v>
      </c>
      <c r="BC2453" s="2">
        <f t="shared" si="1011"/>
        <v>0</v>
      </c>
      <c r="BD2453" s="2">
        <f t="shared" si="1012"/>
        <v>2.9482203319844743E-3</v>
      </c>
      <c r="BF2453" t="s">
        <v>1037</v>
      </c>
      <c r="BG2453" t="s">
        <v>1964</v>
      </c>
      <c r="BJ2453" s="114">
        <v>45</v>
      </c>
      <c r="BK2453" s="116">
        <v>83</v>
      </c>
      <c r="BL2453" s="120">
        <f t="shared" si="1013"/>
        <v>45083</v>
      </c>
      <c r="BN2453" s="5" t="s">
        <v>3154</v>
      </c>
    </row>
    <row r="2454" spans="1:66" hidden="1" outlineLevel="1">
      <c r="A2454" t="s">
        <v>3109</v>
      </c>
      <c r="B2454" t="s">
        <v>1964</v>
      </c>
      <c r="C2454" s="1">
        <f t="shared" si="1004"/>
        <v>44086</v>
      </c>
      <c r="D2454" s="5">
        <f>IF(N2454&gt;0, RANK(N2454,(N2454:P2454,Q2454:AE2454)),0)</f>
        <v>1</v>
      </c>
      <c r="E2454" s="5">
        <f>IF(O2454&gt;0,RANK(O2454,(N2454:P2454,Q2454:AE2454)),0)</f>
        <v>2</v>
      </c>
      <c r="F2454" s="5">
        <f>IF(P2454&gt;0,RANK(P2454,(N2454:P2454,Q2454:AE2454)),0)</f>
        <v>4</v>
      </c>
      <c r="G2454" s="132">
        <f t="shared" si="1014"/>
        <v>5302</v>
      </c>
      <c r="H2454" s="137">
        <f t="shared" si="1015"/>
        <v>0.12026493671460328</v>
      </c>
      <c r="I2454" s="2"/>
      <c r="J2454" s="2">
        <f t="shared" si="1005"/>
        <v>0.54545660753980851</v>
      </c>
      <c r="K2454" s="2">
        <f t="shared" si="1006"/>
        <v>0.42519167082520526</v>
      </c>
      <c r="L2454" s="2">
        <f t="shared" si="1007"/>
        <v>6.8275643061289299E-3</v>
      </c>
      <c r="M2454" s="2">
        <f t="shared" si="1008"/>
        <v>2.2524157328857299E-2</v>
      </c>
      <c r="N2454" s="63">
        <v>24047</v>
      </c>
      <c r="O2454" s="63">
        <v>18745</v>
      </c>
      <c r="P2454" s="63">
        <v>301</v>
      </c>
      <c r="Q2454" s="63">
        <v>644</v>
      </c>
      <c r="R2454" s="63">
        <v>202</v>
      </c>
      <c r="S2454" s="63">
        <v>83</v>
      </c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>
        <v>64</v>
      </c>
      <c r="AT2454" s="63"/>
      <c r="AU2454" s="63"/>
      <c r="AW2454" s="5">
        <f>IF(Q2454&gt;0,RANK(Q2454,(N2454:P2454,Q2454:AE2454)),0)</f>
        <v>3</v>
      </c>
      <c r="AX2454" s="5">
        <f>IF(R2454&gt;0,RANK(R2454,(N2454:P2454,Q2454:AE2454)),0)</f>
        <v>5</v>
      </c>
      <c r="AY2454" s="5">
        <f>IF(T2454&gt;0,RANK(T2454,(N2454:P2454,Q2454:AE2454)),0)</f>
        <v>0</v>
      </c>
      <c r="AZ2454" s="5">
        <f>IF(S2454&gt;0,RANK(S2454,(N2454:P2454,Q2454:AE2454)),0)</f>
        <v>6</v>
      </c>
      <c r="BA2454" s="2">
        <f t="shared" si="1009"/>
        <v>1.4607812003810734E-2</v>
      </c>
      <c r="BB2454" s="2">
        <f t="shared" si="1010"/>
        <v>4.5819534546114411E-3</v>
      </c>
      <c r="BC2454" s="2">
        <f t="shared" si="1011"/>
        <v>0</v>
      </c>
      <c r="BD2454" s="2">
        <f t="shared" si="1012"/>
        <v>1.8826838452116318E-3</v>
      </c>
      <c r="BF2454" t="s">
        <v>3109</v>
      </c>
      <c r="BG2454" t="s">
        <v>1964</v>
      </c>
      <c r="BJ2454" s="114">
        <v>45</v>
      </c>
      <c r="BK2454" s="116">
        <v>85</v>
      </c>
      <c r="BL2454" s="120">
        <f t="shared" si="1013"/>
        <v>45085</v>
      </c>
      <c r="BN2454" s="5" t="s">
        <v>3154</v>
      </c>
    </row>
    <row r="2455" spans="1:66" hidden="1" outlineLevel="1">
      <c r="A2455" t="s">
        <v>1513</v>
      </c>
      <c r="B2455" t="s">
        <v>1964</v>
      </c>
      <c r="C2455" s="1">
        <f t="shared" si="1004"/>
        <v>12092</v>
      </c>
      <c r="D2455" s="5">
        <f>IF(N2455&gt;0, RANK(N2455,(N2455:P2455,Q2455:AE2455)),0)</f>
        <v>2</v>
      </c>
      <c r="E2455" s="5">
        <f>IF(O2455&gt;0,RANK(O2455,(N2455:P2455,Q2455:AE2455)),0)</f>
        <v>1</v>
      </c>
      <c r="F2455" s="5">
        <f>IF(P2455&gt;0,RANK(P2455,(N2455:P2455,Q2455:AE2455)),0)</f>
        <v>4</v>
      </c>
      <c r="G2455" s="132">
        <f t="shared" si="1014"/>
        <v>2332</v>
      </c>
      <c r="H2455" s="137">
        <f t="shared" si="1015"/>
        <v>0.19285478001984782</v>
      </c>
      <c r="I2455" s="2"/>
      <c r="J2455" s="2">
        <f t="shared" si="1005"/>
        <v>0.39108501488587494</v>
      </c>
      <c r="K2455" s="2">
        <f t="shared" si="1006"/>
        <v>0.58393979490572279</v>
      </c>
      <c r="L2455" s="2">
        <f t="shared" si="1007"/>
        <v>5.2100562355276219E-3</v>
      </c>
      <c r="M2455" s="2">
        <f t="shared" si="1008"/>
        <v>1.9765133972874709E-2</v>
      </c>
      <c r="N2455" s="63">
        <v>4729</v>
      </c>
      <c r="O2455" s="63">
        <v>7061</v>
      </c>
      <c r="P2455" s="63">
        <v>63</v>
      </c>
      <c r="Q2455" s="63">
        <v>137</v>
      </c>
      <c r="R2455" s="63">
        <v>48</v>
      </c>
      <c r="S2455" s="63">
        <v>33</v>
      </c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>
        <v>21</v>
      </c>
      <c r="AT2455" s="63"/>
      <c r="AU2455" s="63"/>
      <c r="AW2455" s="5">
        <f>IF(Q2455&gt;0,RANK(Q2455,(N2455:P2455,Q2455:AE2455)),0)</f>
        <v>3</v>
      </c>
      <c r="AX2455" s="5">
        <f>IF(R2455&gt;0,RANK(R2455,(N2455:P2455,Q2455:AE2455)),0)</f>
        <v>5</v>
      </c>
      <c r="AY2455" s="5">
        <f>IF(T2455&gt;0,RANK(T2455,(N2455:P2455,Q2455:AE2455)),0)</f>
        <v>0</v>
      </c>
      <c r="AZ2455" s="5">
        <f>IF(S2455&gt;0,RANK(S2455,(N2455:P2455,Q2455:AE2455)),0)</f>
        <v>6</v>
      </c>
      <c r="BA2455" s="2">
        <f t="shared" si="1009"/>
        <v>1.1329804829639431E-2</v>
      </c>
      <c r="BB2455" s="2">
        <f t="shared" si="1010"/>
        <v>3.9695666556400925E-3</v>
      </c>
      <c r="BC2455" s="2">
        <f t="shared" si="1011"/>
        <v>0</v>
      </c>
      <c r="BD2455" s="2">
        <f t="shared" si="1012"/>
        <v>2.7290770757525638E-3</v>
      </c>
      <c r="BF2455" t="s">
        <v>1513</v>
      </c>
      <c r="BG2455" t="s">
        <v>1964</v>
      </c>
      <c r="BH2455">
        <v>5</v>
      </c>
      <c r="BJ2455" s="114">
        <v>45</v>
      </c>
      <c r="BK2455" s="116">
        <v>87</v>
      </c>
      <c r="BL2455" s="120">
        <f t="shared" si="1013"/>
        <v>45087</v>
      </c>
      <c r="BN2455" s="5" t="s">
        <v>3154</v>
      </c>
    </row>
    <row r="2456" spans="1:66" hidden="1" outlineLevel="1">
      <c r="A2456" t="s">
        <v>63</v>
      </c>
      <c r="B2456" t="s">
        <v>1964</v>
      </c>
      <c r="C2456" s="1">
        <f t="shared" si="1004"/>
        <v>15054</v>
      </c>
      <c r="D2456" s="5">
        <f>IF(N2456&gt;0, RANK(N2456,(N2456:P2456,Q2456:AE2456)),0)</f>
        <v>1</v>
      </c>
      <c r="E2456" s="5">
        <f>IF(O2456&gt;0,RANK(O2456,(N2456:P2456,Q2456:AE2456)),0)</f>
        <v>2</v>
      </c>
      <c r="F2456" s="5">
        <f>IF(P2456&gt;0,RANK(P2456,(N2456:P2456,Q2456:AE2456)),0)</f>
        <v>4</v>
      </c>
      <c r="G2456" s="132">
        <f t="shared" si="1014"/>
        <v>5089</v>
      </c>
      <c r="H2456" s="137">
        <f t="shared" si="1015"/>
        <v>0.33804968779062045</v>
      </c>
      <c r="I2456" s="2"/>
      <c r="J2456" s="2">
        <f t="shared" si="1005"/>
        <v>0.66115318187857053</v>
      </c>
      <c r="K2456" s="2">
        <f t="shared" si="1006"/>
        <v>0.32310349408795003</v>
      </c>
      <c r="L2456" s="2">
        <f t="shared" si="1007"/>
        <v>3.4542314335060447E-3</v>
      </c>
      <c r="M2456" s="2">
        <f t="shared" si="1008"/>
        <v>1.2289092599973399E-2</v>
      </c>
      <c r="N2456" s="63">
        <v>9953</v>
      </c>
      <c r="O2456" s="63">
        <v>4864</v>
      </c>
      <c r="P2456" s="63">
        <v>52</v>
      </c>
      <c r="Q2456" s="63">
        <v>84</v>
      </c>
      <c r="R2456" s="63">
        <v>50</v>
      </c>
      <c r="S2456" s="63">
        <v>31</v>
      </c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>
        <v>20</v>
      </c>
      <c r="AT2456" s="63"/>
      <c r="AU2456" s="63"/>
      <c r="AW2456" s="5">
        <f>IF(Q2456&gt;0,RANK(Q2456,(N2456:P2456,Q2456:AE2456)),0)</f>
        <v>3</v>
      </c>
      <c r="AX2456" s="5">
        <f>IF(R2456&gt;0,RANK(R2456,(N2456:P2456,Q2456:AE2456)),0)</f>
        <v>5</v>
      </c>
      <c r="AY2456" s="5">
        <f>IF(T2456&gt;0,RANK(T2456,(N2456:P2456,Q2456:AE2456)),0)</f>
        <v>0</v>
      </c>
      <c r="AZ2456" s="5">
        <f>IF(S2456&gt;0,RANK(S2456,(N2456:P2456,Q2456:AE2456)),0)</f>
        <v>6</v>
      </c>
      <c r="BA2456" s="2">
        <f t="shared" si="1009"/>
        <v>5.5799123156636109E-3</v>
      </c>
      <c r="BB2456" s="2">
        <f t="shared" si="1010"/>
        <v>3.3213763783711972E-3</v>
      </c>
      <c r="BC2456" s="2">
        <f t="shared" si="1011"/>
        <v>0</v>
      </c>
      <c r="BD2456" s="2">
        <f t="shared" si="1012"/>
        <v>2.059253354590142E-3</v>
      </c>
      <c r="BF2456" t="s">
        <v>63</v>
      </c>
      <c r="BG2456" t="s">
        <v>1964</v>
      </c>
      <c r="BH2456">
        <v>6</v>
      </c>
      <c r="BJ2456" s="114">
        <v>45</v>
      </c>
      <c r="BK2456" s="116">
        <v>89</v>
      </c>
      <c r="BL2456" s="120">
        <f t="shared" si="1013"/>
        <v>45089</v>
      </c>
      <c r="BN2456" s="5" t="s">
        <v>3154</v>
      </c>
    </row>
    <row r="2457" spans="1:66" hidden="1" outlineLevel="1">
      <c r="A2457" t="s">
        <v>925</v>
      </c>
      <c r="B2457" t="s">
        <v>1964</v>
      </c>
      <c r="C2457" s="1">
        <f t="shared" si="1004"/>
        <v>114357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4</v>
      </c>
      <c r="G2457" s="132">
        <f t="shared" si="1014"/>
        <v>25161</v>
      </c>
      <c r="H2457" s="137">
        <f t="shared" si="1015"/>
        <v>0.22002151158215064</v>
      </c>
      <c r="I2457" s="2"/>
      <c r="J2457" s="2">
        <f t="shared" si="1005"/>
        <v>0.36371188471191096</v>
      </c>
      <c r="K2457" s="2">
        <f t="shared" si="1006"/>
        <v>0.58373339629406162</v>
      </c>
      <c r="L2457" s="2">
        <f t="shared" si="1007"/>
        <v>1.170894654459281E-2</v>
      </c>
      <c r="M2457" s="2">
        <f t="shared" si="1008"/>
        <v>4.0845772449434603E-2</v>
      </c>
      <c r="N2457" s="63">
        <v>41593</v>
      </c>
      <c r="O2457" s="63">
        <v>66754</v>
      </c>
      <c r="P2457" s="63">
        <v>1339</v>
      </c>
      <c r="Q2457" s="63">
        <v>3504</v>
      </c>
      <c r="R2457" s="63">
        <v>687</v>
      </c>
      <c r="S2457" s="63">
        <v>299</v>
      </c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>
        <v>181</v>
      </c>
      <c r="AT2457" s="63"/>
      <c r="AU2457" s="63"/>
      <c r="AW2457" s="5">
        <f>IF(Q2457&gt;0,RANK(Q2457,(N2457:P2457,Q2457:AE2457)),0)</f>
        <v>3</v>
      </c>
      <c r="AX2457" s="5">
        <f>IF(R2457&gt;0,RANK(R2457,(N2457:P2457,Q2457:AE2457)),0)</f>
        <v>5</v>
      </c>
      <c r="AY2457" s="5">
        <f>IF(T2457&gt;0,RANK(T2457,(N2457:P2457,Q2457:AE2457)),0)</f>
        <v>0</v>
      </c>
      <c r="AZ2457" s="5">
        <f>IF(S2457&gt;0,RANK(S2457,(N2457:P2457,Q2457:AE2457)),0)</f>
        <v>6</v>
      </c>
      <c r="BA2457" s="2">
        <f t="shared" si="1009"/>
        <v>3.0640887746268265E-2</v>
      </c>
      <c r="BB2457" s="2">
        <f t="shared" si="1010"/>
        <v>6.0075028201159531E-3</v>
      </c>
      <c r="BC2457" s="2">
        <f t="shared" si="1011"/>
        <v>0</v>
      </c>
      <c r="BD2457" s="2">
        <f t="shared" si="1012"/>
        <v>2.614619131316841E-3</v>
      </c>
      <c r="BF2457" t="s">
        <v>925</v>
      </c>
      <c r="BG2457" t="s">
        <v>1964</v>
      </c>
      <c r="BH2457">
        <v>5</v>
      </c>
      <c r="BJ2457" s="114">
        <v>45</v>
      </c>
      <c r="BK2457" s="116">
        <v>91</v>
      </c>
      <c r="BL2457" s="120">
        <f t="shared" si="1013"/>
        <v>45091</v>
      </c>
      <c r="BN2457" s="5" t="s">
        <v>3154</v>
      </c>
    </row>
    <row r="2458" spans="1:66" collapsed="1">
      <c r="A2458" t="s">
        <v>2145</v>
      </c>
      <c r="B2458" t="s">
        <v>544</v>
      </c>
      <c r="C2458" s="1">
        <f t="shared" si="1004"/>
        <v>2103027</v>
      </c>
      <c r="D2458" s="5">
        <f>IF(N2458&gt;0, RANK(N2458,(N2458:P2458,Q2458:AE2458)),0)</f>
        <v>2</v>
      </c>
      <c r="E2458" s="5">
        <f>IF(O2458&gt;0,RANK(O2458,(N2458:P2458,Q2458:AE2458)),0)</f>
        <v>1</v>
      </c>
      <c r="F2458" s="5">
        <f>IF(P2458&gt;0,RANK(P2458,(N2458:P2458,Q2458:AE2458)),0)</f>
        <v>4</v>
      </c>
      <c r="G2458" s="132">
        <f t="shared" si="1014"/>
        <v>300016</v>
      </c>
      <c r="H2458" s="137">
        <f t="shared" si="1015"/>
        <v>0.14265912896030342</v>
      </c>
      <c r="I2458" s="2"/>
      <c r="J2458" s="2">
        <f t="shared" si="1005"/>
        <v>0.40673419789665088</v>
      </c>
      <c r="K2458" s="2">
        <f t="shared" si="1006"/>
        <v>0.5493933268569543</v>
      </c>
      <c r="L2458" s="2">
        <f t="shared" si="1007"/>
        <v>9.9932145426568468E-3</v>
      </c>
      <c r="M2458" s="2">
        <f t="shared" si="1008"/>
        <v>3.3879260703737965E-2</v>
      </c>
      <c r="N2458" s="63">
        <f t="shared" ref="N2458:S2458" si="1016">SUM(N2412:N2457)</f>
        <v>855373</v>
      </c>
      <c r="O2458" s="63">
        <f t="shared" si="1016"/>
        <v>1155389</v>
      </c>
      <c r="P2458" s="63">
        <f t="shared" si="1016"/>
        <v>21016</v>
      </c>
      <c r="Q2458" s="63">
        <f t="shared" si="1016"/>
        <v>49204</v>
      </c>
      <c r="R2458" s="63">
        <f t="shared" si="1016"/>
        <v>13034</v>
      </c>
      <c r="S2458" s="63">
        <f t="shared" si="1016"/>
        <v>5765</v>
      </c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>
        <f>SUM(AS2412:AS2457)</f>
        <v>3246</v>
      </c>
      <c r="AT2458" s="63"/>
      <c r="AU2458" s="63"/>
      <c r="AW2458" s="5">
        <f>IF(Q2458&gt;0,RANK(Q2458,(N2458:P2458,Q2458:AE2458)),0)</f>
        <v>3</v>
      </c>
      <c r="AX2458" s="5">
        <f>IF(R2458&gt;0,RANK(R2458,(N2458:P2458,Q2458:AE2458)),0)</f>
        <v>5</v>
      </c>
      <c r="AY2458" s="5">
        <f>IF(T2458&gt;0,RANK(T2458,(N2458:P2458,Q2458:AE2458)),0)</f>
        <v>0</v>
      </c>
      <c r="AZ2458" s="5">
        <f>IF(S2458&gt;0,RANK(S2458,(N2458:P2458,Q2458:AE2458)),0)</f>
        <v>6</v>
      </c>
      <c r="BA2458" s="2">
        <f t="shared" si="1009"/>
        <v>2.3396751444465524E-2</v>
      </c>
      <c r="BB2458" s="2">
        <f t="shared" si="1010"/>
        <v>6.197733077131202E-3</v>
      </c>
      <c r="BC2458" s="2">
        <f t="shared" si="1011"/>
        <v>0</v>
      </c>
      <c r="BD2458" s="2">
        <f t="shared" si="1012"/>
        <v>2.7412867262284319E-3</v>
      </c>
      <c r="BF2458" t="s">
        <v>2145</v>
      </c>
      <c r="BG2458" t="s">
        <v>544</v>
      </c>
      <c r="BJ2458" s="114">
        <v>45</v>
      </c>
      <c r="BK2458" s="116"/>
      <c r="BL2458" s="114">
        <v>45</v>
      </c>
      <c r="BN2458" s="5" t="s">
        <v>711</v>
      </c>
    </row>
    <row r="2459" spans="1:66">
      <c r="C2459" s="1"/>
      <c r="E2459" s="5"/>
      <c r="F2459" s="5"/>
      <c r="G2459" s="132"/>
      <c r="H2459" s="137"/>
      <c r="I2459" s="2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W2459" s="5"/>
      <c r="AX2459" s="5"/>
      <c r="AY2459" s="5"/>
      <c r="AZ2459" s="5"/>
      <c r="BJ2459" s="114"/>
      <c r="BK2459" s="116"/>
      <c r="BL2459" s="120"/>
    </row>
    <row r="2460" spans="1:66" hidden="1" outlineLevel="1">
      <c r="A2460" t="s">
        <v>1522</v>
      </c>
      <c r="B2460" t="s">
        <v>1183</v>
      </c>
      <c r="C2460" s="1">
        <f t="shared" ref="C2460:C2491" si="1017">SUM(N2460:AU2460)</f>
        <v>1407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32">
        <f t="shared" si="1014"/>
        <v>634</v>
      </c>
      <c r="H2460" s="137">
        <f t="shared" si="1015"/>
        <v>0.45060412224591329</v>
      </c>
      <c r="I2460" s="2"/>
      <c r="J2460" s="2">
        <f t="shared" ref="J2460:J2491" si="1018">IF($C2460=0,"-",N2460/$C2460)</f>
        <v>0.24164889836531628</v>
      </c>
      <c r="K2460" s="2">
        <f t="shared" ref="K2460:K2491" si="1019">IF($C2460=0,"-",O2460/$C2460)</f>
        <v>0.69225302061122962</v>
      </c>
      <c r="L2460" s="2">
        <f t="shared" ref="L2460:L2491" si="1020">IF($C2460=0,"-",P2460/$C2460)</f>
        <v>0</v>
      </c>
      <c r="M2460" s="2">
        <f t="shared" ref="M2460:M2491" si="1021">IF(C2460=0,"-",(1-J2460-K2460-L2460))</f>
        <v>6.6098081023454158E-2</v>
      </c>
      <c r="N2460" s="63">
        <v>340</v>
      </c>
      <c r="O2460" s="63">
        <v>974</v>
      </c>
      <c r="P2460" s="63"/>
      <c r="Q2460" s="63">
        <v>74</v>
      </c>
      <c r="R2460" s="63"/>
      <c r="S2460" s="63">
        <v>19</v>
      </c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W2460" s="5">
        <f>IF(Q2460&gt;0,RANK(Q2460,(N2460:P2460,Q2460:AE2460)),0)</f>
        <v>3</v>
      </c>
      <c r="AX2460" s="5">
        <f>IF(R2460&gt;0,RANK(R2460,(N2460:P2460,Q2460:AE2460)),0)</f>
        <v>0</v>
      </c>
      <c r="AY2460" s="5">
        <f>IF(T2460&gt;0,RANK(T2460,(N2460:P2460,Q2460:AE2460)),0)</f>
        <v>0</v>
      </c>
      <c r="AZ2460" s="5">
        <f>IF(S2460&gt;0,RANK(S2460,(N2460:P2460,Q2460:AE2460)),0)</f>
        <v>4</v>
      </c>
      <c r="BA2460" s="2">
        <f t="shared" ref="BA2460:BA2491" si="1022">IF($C2460=0,"-",Q2460/$C2460)</f>
        <v>5.2594171997157074E-2</v>
      </c>
      <c r="BB2460" s="2">
        <f t="shared" ref="BB2460:BB2491" si="1023">IF($C2460=0,"-",R2460/$C2460)</f>
        <v>0</v>
      </c>
      <c r="BC2460" s="2">
        <f t="shared" ref="BC2460:BC2491" si="1024">IF($C2460=0,"-",T2460/$C2460)</f>
        <v>0</v>
      </c>
      <c r="BD2460" s="2">
        <f t="shared" ref="BD2460:BD2491" si="1025">IF($C2460=0,"-",S2460/$C2460)</f>
        <v>1.3503909026297086E-2</v>
      </c>
      <c r="BF2460" t="s">
        <v>1522</v>
      </c>
      <c r="BG2460" t="s">
        <v>1183</v>
      </c>
      <c r="BH2460">
        <v>1</v>
      </c>
      <c r="BJ2460" s="114">
        <v>46</v>
      </c>
      <c r="BK2460" s="116">
        <v>3</v>
      </c>
      <c r="BL2460" s="120">
        <f t="shared" si="1013"/>
        <v>46003</v>
      </c>
      <c r="BN2460" s="5" t="s">
        <v>3154</v>
      </c>
    </row>
    <row r="2461" spans="1:66" hidden="1" outlineLevel="1">
      <c r="A2461" t="s">
        <v>1635</v>
      </c>
      <c r="B2461" t="s">
        <v>1183</v>
      </c>
      <c r="C2461" s="1">
        <f t="shared" si="1017"/>
        <v>6772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32">
        <f t="shared" si="1014"/>
        <v>2543</v>
      </c>
      <c r="H2461" s="137">
        <f t="shared" si="1015"/>
        <v>0.37551683402244534</v>
      </c>
      <c r="I2461" s="2"/>
      <c r="J2461" s="2">
        <f t="shared" si="1018"/>
        <v>0.28233904311872415</v>
      </c>
      <c r="K2461" s="2">
        <f t="shared" si="1019"/>
        <v>0.65785587714116955</v>
      </c>
      <c r="L2461" s="2">
        <f t="shared" si="1020"/>
        <v>0</v>
      </c>
      <c r="M2461" s="2">
        <f t="shared" si="1021"/>
        <v>5.9805079740106293E-2</v>
      </c>
      <c r="N2461" s="63">
        <v>1912</v>
      </c>
      <c r="O2461" s="63">
        <v>4455</v>
      </c>
      <c r="P2461" s="63"/>
      <c r="Q2461" s="63">
        <v>323</v>
      </c>
      <c r="R2461" s="63"/>
      <c r="S2461" s="63">
        <v>82</v>
      </c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W2461" s="5">
        <f>IF(Q2461&gt;0,RANK(Q2461,(N2461:P2461,Q2461:AE2461)),0)</f>
        <v>3</v>
      </c>
      <c r="AX2461" s="5">
        <f>IF(R2461&gt;0,RANK(R2461,(N2461:P2461,Q2461:AE2461)),0)</f>
        <v>0</v>
      </c>
      <c r="AY2461" s="5">
        <f>IF(T2461&gt;0,RANK(T2461,(N2461:P2461,Q2461:AE2461)),0)</f>
        <v>0</v>
      </c>
      <c r="AZ2461" s="5">
        <f>IF(S2461&gt;0,RANK(S2461,(N2461:P2461,Q2461:AE2461)),0)</f>
        <v>4</v>
      </c>
      <c r="BA2461" s="2">
        <f t="shared" si="1022"/>
        <v>4.7696396928529235E-2</v>
      </c>
      <c r="BB2461" s="2">
        <f t="shared" si="1023"/>
        <v>0</v>
      </c>
      <c r="BC2461" s="2">
        <f t="shared" si="1024"/>
        <v>0</v>
      </c>
      <c r="BD2461" s="2">
        <f t="shared" si="1025"/>
        <v>1.2108682811577082E-2</v>
      </c>
      <c r="BF2461" t="s">
        <v>1635</v>
      </c>
      <c r="BG2461" t="s">
        <v>1183</v>
      </c>
      <c r="BH2461">
        <v>1</v>
      </c>
      <c r="BJ2461" s="114">
        <v>46</v>
      </c>
      <c r="BK2461" s="116">
        <v>5</v>
      </c>
      <c r="BL2461" s="120">
        <f t="shared" si="1013"/>
        <v>46005</v>
      </c>
      <c r="BN2461" s="5" t="s">
        <v>3154</v>
      </c>
    </row>
    <row r="2462" spans="1:66" hidden="1" outlineLevel="1">
      <c r="A2462" t="s">
        <v>1109</v>
      </c>
      <c r="B2462" t="s">
        <v>1183</v>
      </c>
      <c r="C2462" s="1">
        <f t="shared" si="1017"/>
        <v>1149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32">
        <f t="shared" si="1014"/>
        <v>254</v>
      </c>
      <c r="H2462" s="137">
        <f t="shared" si="1015"/>
        <v>0.22106179286335945</v>
      </c>
      <c r="I2462" s="2"/>
      <c r="J2462" s="2">
        <f t="shared" si="1018"/>
        <v>0.35857267188859876</v>
      </c>
      <c r="K2462" s="2">
        <f t="shared" si="1019"/>
        <v>0.57963446475195823</v>
      </c>
      <c r="L2462" s="2">
        <f t="shared" si="1020"/>
        <v>0</v>
      </c>
      <c r="M2462" s="2">
        <f t="shared" si="1021"/>
        <v>6.1792863359443007E-2</v>
      </c>
      <c r="N2462" s="63">
        <v>412</v>
      </c>
      <c r="O2462" s="63">
        <v>666</v>
      </c>
      <c r="P2462" s="63"/>
      <c r="Q2462" s="63">
        <v>57</v>
      </c>
      <c r="R2462" s="63"/>
      <c r="S2462" s="63">
        <v>14</v>
      </c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W2462" s="5">
        <f>IF(Q2462&gt;0,RANK(Q2462,(N2462:P2462,Q2462:AE2462)),0)</f>
        <v>3</v>
      </c>
      <c r="AX2462" s="5">
        <f>IF(R2462&gt;0,RANK(R2462,(N2462:P2462,Q2462:AE2462)),0)</f>
        <v>0</v>
      </c>
      <c r="AY2462" s="5">
        <f>IF(T2462&gt;0,RANK(T2462,(N2462:P2462,Q2462:AE2462)),0)</f>
        <v>0</v>
      </c>
      <c r="AZ2462" s="5">
        <f>IF(S2462&gt;0,RANK(S2462,(N2462:P2462,Q2462:AE2462)),0)</f>
        <v>4</v>
      </c>
      <c r="BA2462" s="2">
        <f t="shared" si="1022"/>
        <v>4.960835509138381E-2</v>
      </c>
      <c r="BB2462" s="2">
        <f t="shared" si="1023"/>
        <v>0</v>
      </c>
      <c r="BC2462" s="2">
        <f t="shared" si="1024"/>
        <v>0</v>
      </c>
      <c r="BD2462" s="2">
        <f t="shared" si="1025"/>
        <v>1.2184508268059183E-2</v>
      </c>
      <c r="BF2462" t="s">
        <v>1109</v>
      </c>
      <c r="BG2462" t="s">
        <v>1183</v>
      </c>
      <c r="BH2462">
        <v>1</v>
      </c>
      <c r="BJ2462" s="114">
        <v>46</v>
      </c>
      <c r="BK2462" s="116">
        <v>7</v>
      </c>
      <c r="BL2462" s="120">
        <f t="shared" si="1013"/>
        <v>46007</v>
      </c>
      <c r="BN2462" s="5" t="s">
        <v>3154</v>
      </c>
    </row>
    <row r="2463" spans="1:66" hidden="1" outlineLevel="1">
      <c r="A2463" t="s">
        <v>1110</v>
      </c>
      <c r="B2463" t="s">
        <v>1183</v>
      </c>
      <c r="C2463" s="1">
        <f t="shared" si="1017"/>
        <v>2974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32">
        <f t="shared" si="1014"/>
        <v>1401</v>
      </c>
      <c r="H2463" s="137">
        <f t="shared" si="1015"/>
        <v>0.47108271687962339</v>
      </c>
      <c r="I2463" s="2"/>
      <c r="J2463" s="2">
        <f t="shared" si="1018"/>
        <v>0.2367182246133154</v>
      </c>
      <c r="K2463" s="2">
        <f t="shared" si="1019"/>
        <v>0.70780094149293882</v>
      </c>
      <c r="L2463" s="2">
        <f t="shared" si="1020"/>
        <v>0</v>
      </c>
      <c r="M2463" s="2">
        <f t="shared" si="1021"/>
        <v>5.5480833893745807E-2</v>
      </c>
      <c r="N2463" s="63">
        <v>704</v>
      </c>
      <c r="O2463" s="63">
        <v>2105</v>
      </c>
      <c r="P2463" s="63"/>
      <c r="Q2463" s="63">
        <v>129</v>
      </c>
      <c r="R2463" s="63"/>
      <c r="S2463" s="63">
        <v>36</v>
      </c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W2463" s="5">
        <f>IF(Q2463&gt;0,RANK(Q2463,(N2463:P2463,Q2463:AE2463)),0)</f>
        <v>3</v>
      </c>
      <c r="AX2463" s="5">
        <f>IF(R2463&gt;0,RANK(R2463,(N2463:P2463,Q2463:AE2463)),0)</f>
        <v>0</v>
      </c>
      <c r="AY2463" s="5">
        <f>IF(T2463&gt;0,RANK(T2463,(N2463:P2463,Q2463:AE2463)),0)</f>
        <v>0</v>
      </c>
      <c r="AZ2463" s="5">
        <f>IF(S2463&gt;0,RANK(S2463,(N2463:P2463,Q2463:AE2463)),0)</f>
        <v>4</v>
      </c>
      <c r="BA2463" s="2">
        <f t="shared" si="1022"/>
        <v>4.3375924680564892E-2</v>
      </c>
      <c r="BB2463" s="2">
        <f t="shared" si="1023"/>
        <v>0</v>
      </c>
      <c r="BC2463" s="2">
        <f t="shared" si="1024"/>
        <v>0</v>
      </c>
      <c r="BD2463" s="2">
        <f t="shared" si="1025"/>
        <v>1.2104909213180901E-2</v>
      </c>
      <c r="BF2463" t="s">
        <v>1110</v>
      </c>
      <c r="BG2463" t="s">
        <v>1183</v>
      </c>
      <c r="BH2463">
        <v>1</v>
      </c>
      <c r="BJ2463" s="114">
        <v>46</v>
      </c>
      <c r="BK2463" s="116">
        <v>9</v>
      </c>
      <c r="BL2463" s="120">
        <f t="shared" si="1013"/>
        <v>46009</v>
      </c>
      <c r="BN2463" s="5" t="s">
        <v>3154</v>
      </c>
    </row>
    <row r="2464" spans="1:66" hidden="1" outlineLevel="1">
      <c r="A2464" t="s">
        <v>2934</v>
      </c>
      <c r="B2464" t="s">
        <v>1183</v>
      </c>
      <c r="C2464" s="1">
        <f t="shared" si="1017"/>
        <v>12680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32">
        <f t="shared" si="1014"/>
        <v>1869</v>
      </c>
      <c r="H2464" s="137">
        <f t="shared" si="1015"/>
        <v>0.147397476340694</v>
      </c>
      <c r="I2464" s="2"/>
      <c r="J2464" s="2">
        <f t="shared" si="1018"/>
        <v>0.38477917981072557</v>
      </c>
      <c r="K2464" s="2">
        <f t="shared" si="1019"/>
        <v>0.53217665615141951</v>
      </c>
      <c r="L2464" s="2">
        <f t="shared" si="1020"/>
        <v>0</v>
      </c>
      <c r="M2464" s="2">
        <f t="shared" si="1021"/>
        <v>8.3044164037854862E-2</v>
      </c>
      <c r="N2464" s="63">
        <v>4879</v>
      </c>
      <c r="O2464" s="63">
        <v>6748</v>
      </c>
      <c r="P2464" s="63"/>
      <c r="Q2464" s="63">
        <v>881</v>
      </c>
      <c r="R2464" s="63"/>
      <c r="S2464" s="63">
        <v>172</v>
      </c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W2464" s="5">
        <f>IF(Q2464&gt;0,RANK(Q2464,(N2464:P2464,Q2464:AE2464)),0)</f>
        <v>3</v>
      </c>
      <c r="AX2464" s="5">
        <f>IF(R2464&gt;0,RANK(R2464,(N2464:P2464,Q2464:AE2464)),0)</f>
        <v>0</v>
      </c>
      <c r="AY2464" s="5">
        <f>IF(T2464&gt;0,RANK(T2464,(N2464:P2464,Q2464:AE2464)),0)</f>
        <v>0</v>
      </c>
      <c r="AZ2464" s="5">
        <f>IF(S2464&gt;0,RANK(S2464,(N2464:P2464,Q2464:AE2464)),0)</f>
        <v>4</v>
      </c>
      <c r="BA2464" s="2">
        <f t="shared" si="1022"/>
        <v>6.9479495268138805E-2</v>
      </c>
      <c r="BB2464" s="2">
        <f t="shared" si="1023"/>
        <v>0</v>
      </c>
      <c r="BC2464" s="2">
        <f t="shared" si="1024"/>
        <v>0</v>
      </c>
      <c r="BD2464" s="2">
        <f t="shared" si="1025"/>
        <v>1.3564668769716088E-2</v>
      </c>
      <c r="BF2464" t="s">
        <v>2934</v>
      </c>
      <c r="BG2464" t="s">
        <v>1183</v>
      </c>
      <c r="BH2464">
        <v>1</v>
      </c>
      <c r="BJ2464" s="114">
        <v>46</v>
      </c>
      <c r="BK2464" s="116">
        <v>11</v>
      </c>
      <c r="BL2464" s="120">
        <f t="shared" si="1013"/>
        <v>46011</v>
      </c>
      <c r="BN2464" s="5" t="s">
        <v>3154</v>
      </c>
    </row>
    <row r="2465" spans="1:66" hidden="1" outlineLevel="1">
      <c r="A2465" t="s">
        <v>578</v>
      </c>
      <c r="B2465" t="s">
        <v>1183</v>
      </c>
      <c r="C2465" s="1">
        <f t="shared" si="1017"/>
        <v>16114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32">
        <f t="shared" si="1014"/>
        <v>4161</v>
      </c>
      <c r="H2465" s="137">
        <f t="shared" si="1015"/>
        <v>0.25822266352240286</v>
      </c>
      <c r="I2465" s="2"/>
      <c r="J2465" s="2">
        <f t="shared" si="1018"/>
        <v>0.33833933225766416</v>
      </c>
      <c r="K2465" s="2">
        <f t="shared" si="1019"/>
        <v>0.59656199578006697</v>
      </c>
      <c r="L2465" s="2">
        <f t="shared" si="1020"/>
        <v>0</v>
      </c>
      <c r="M2465" s="2">
        <f t="shared" si="1021"/>
        <v>6.5098671962268817E-2</v>
      </c>
      <c r="N2465" s="63">
        <v>5452</v>
      </c>
      <c r="O2465" s="63">
        <v>9613</v>
      </c>
      <c r="P2465" s="63"/>
      <c r="Q2465" s="63">
        <v>915</v>
      </c>
      <c r="R2465" s="63"/>
      <c r="S2465" s="63">
        <v>134</v>
      </c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W2465" s="5">
        <f>IF(Q2465&gt;0,RANK(Q2465,(N2465:P2465,Q2465:AE2465)),0)</f>
        <v>3</v>
      </c>
      <c r="AX2465" s="5">
        <f>IF(R2465&gt;0,RANK(R2465,(N2465:P2465,Q2465:AE2465)),0)</f>
        <v>0</v>
      </c>
      <c r="AY2465" s="5">
        <f>IF(T2465&gt;0,RANK(T2465,(N2465:P2465,Q2465:AE2465)),0)</f>
        <v>0</v>
      </c>
      <c r="AZ2465" s="5">
        <f>IF(S2465&gt;0,RANK(S2465,(N2465:P2465,Q2465:AE2465)),0)</f>
        <v>4</v>
      </c>
      <c r="BA2465" s="2">
        <f t="shared" si="1022"/>
        <v>5.6782921683008566E-2</v>
      </c>
      <c r="BB2465" s="2">
        <f t="shared" si="1023"/>
        <v>0</v>
      </c>
      <c r="BC2465" s="2">
        <f t="shared" si="1024"/>
        <v>0</v>
      </c>
      <c r="BD2465" s="2">
        <f t="shared" si="1025"/>
        <v>8.3157502792602714E-3</v>
      </c>
      <c r="BF2465" t="s">
        <v>578</v>
      </c>
      <c r="BG2465" t="s">
        <v>1183</v>
      </c>
      <c r="BH2465">
        <v>1</v>
      </c>
      <c r="BJ2465" s="114">
        <v>46</v>
      </c>
      <c r="BK2465" s="116">
        <v>13</v>
      </c>
      <c r="BL2465" s="120">
        <f t="shared" si="1013"/>
        <v>46013</v>
      </c>
      <c r="BN2465" s="5" t="s">
        <v>3154</v>
      </c>
    </row>
    <row r="2466" spans="1:66" hidden="1" outlineLevel="1">
      <c r="A2466" t="s">
        <v>1066</v>
      </c>
      <c r="B2466" t="s">
        <v>1183</v>
      </c>
      <c r="C2466" s="1">
        <f t="shared" si="1017"/>
        <v>2288</v>
      </c>
      <c r="D2466" s="5">
        <f>IF(N2466&gt;0, RANK(N2466,(N2466:P2466,Q2466:AE2466)),0)</f>
        <v>2</v>
      </c>
      <c r="E2466" s="5">
        <f>IF(O2466&gt;0,RANK(O2466,(N2466:P2466,Q2466:AE2466)),0)</f>
        <v>1</v>
      </c>
      <c r="F2466" s="5">
        <f>IF(P2466&gt;0,RANK(P2466,(N2466:P2466,Q2466:AE2466)),0)</f>
        <v>0</v>
      </c>
      <c r="G2466" s="132">
        <f t="shared" si="1014"/>
        <v>994</v>
      </c>
      <c r="H2466" s="137">
        <f t="shared" si="1015"/>
        <v>0.43444055944055943</v>
      </c>
      <c r="I2466" s="2"/>
      <c r="J2466" s="2">
        <f t="shared" si="1018"/>
        <v>0.24956293706293706</v>
      </c>
      <c r="K2466" s="2">
        <f t="shared" si="1019"/>
        <v>0.68400349650349646</v>
      </c>
      <c r="L2466" s="2">
        <f t="shared" si="1020"/>
        <v>0</v>
      </c>
      <c r="M2466" s="2">
        <f t="shared" si="1021"/>
        <v>6.643356643356646E-2</v>
      </c>
      <c r="N2466" s="63">
        <v>571</v>
      </c>
      <c r="O2466" s="63">
        <v>1565</v>
      </c>
      <c r="P2466" s="63"/>
      <c r="Q2466" s="63">
        <v>125</v>
      </c>
      <c r="R2466" s="63"/>
      <c r="S2466" s="63">
        <v>27</v>
      </c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W2466" s="5">
        <f>IF(Q2466&gt;0,RANK(Q2466,(N2466:P2466,Q2466:AE2466)),0)</f>
        <v>3</v>
      </c>
      <c r="AX2466" s="5">
        <f>IF(R2466&gt;0,RANK(R2466,(N2466:P2466,Q2466:AE2466)),0)</f>
        <v>0</v>
      </c>
      <c r="AY2466" s="5">
        <f>IF(T2466&gt;0,RANK(T2466,(N2466:P2466,Q2466:AE2466)),0)</f>
        <v>0</v>
      </c>
      <c r="AZ2466" s="5">
        <f>IF(S2466&gt;0,RANK(S2466,(N2466:P2466,Q2466:AE2466)),0)</f>
        <v>4</v>
      </c>
      <c r="BA2466" s="2">
        <f t="shared" si="1022"/>
        <v>5.4632867132867136E-2</v>
      </c>
      <c r="BB2466" s="2">
        <f t="shared" si="1023"/>
        <v>0</v>
      </c>
      <c r="BC2466" s="2">
        <f t="shared" si="1024"/>
        <v>0</v>
      </c>
      <c r="BD2466" s="2">
        <f t="shared" si="1025"/>
        <v>1.18006993006993E-2</v>
      </c>
      <c r="BF2466" t="s">
        <v>1066</v>
      </c>
      <c r="BG2466" t="s">
        <v>1183</v>
      </c>
      <c r="BH2466">
        <v>1</v>
      </c>
      <c r="BJ2466" s="114">
        <v>46</v>
      </c>
      <c r="BK2466" s="116">
        <v>15</v>
      </c>
      <c r="BL2466" s="120">
        <f t="shared" si="1013"/>
        <v>46015</v>
      </c>
      <c r="BN2466" s="5" t="s">
        <v>3154</v>
      </c>
    </row>
    <row r="2467" spans="1:66" hidden="1" outlineLevel="1">
      <c r="A2467" t="s">
        <v>2574</v>
      </c>
      <c r="B2467" t="s">
        <v>1183</v>
      </c>
      <c r="C2467" s="1">
        <f t="shared" si="1017"/>
        <v>490</v>
      </c>
      <c r="D2467" s="5">
        <f>IF(N2467&gt;0, RANK(N2467,(N2467:P2467,Q2467:AE2467)),0)</f>
        <v>1</v>
      </c>
      <c r="E2467" s="5">
        <f>IF(O2467&gt;0,RANK(O2467,(N2467:P2467,Q2467:AE2467)),0)</f>
        <v>2</v>
      </c>
      <c r="F2467" s="5">
        <f>IF(P2467&gt;0,RANK(P2467,(N2467:P2467,Q2467:AE2467)),0)</f>
        <v>0</v>
      </c>
      <c r="G2467" s="132">
        <f t="shared" si="1014"/>
        <v>125</v>
      </c>
      <c r="H2467" s="137">
        <f t="shared" si="1015"/>
        <v>0.25510204081632654</v>
      </c>
      <c r="I2467" s="2"/>
      <c r="J2467" s="2">
        <f t="shared" si="1018"/>
        <v>0.60408163265306125</v>
      </c>
      <c r="K2467" s="2">
        <f t="shared" si="1019"/>
        <v>0.34897959183673471</v>
      </c>
      <c r="L2467" s="2">
        <f t="shared" si="1020"/>
        <v>0</v>
      </c>
      <c r="M2467" s="2">
        <f t="shared" si="1021"/>
        <v>4.6938775510204034E-2</v>
      </c>
      <c r="N2467" s="63">
        <v>296</v>
      </c>
      <c r="O2467" s="63">
        <v>171</v>
      </c>
      <c r="P2467" s="63"/>
      <c r="Q2467" s="63">
        <v>18</v>
      </c>
      <c r="R2467" s="63"/>
      <c r="S2467" s="63">
        <v>5</v>
      </c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W2467" s="5">
        <f>IF(Q2467&gt;0,RANK(Q2467,(N2467:P2467,Q2467:AE2467)),0)</f>
        <v>3</v>
      </c>
      <c r="AX2467" s="5">
        <f>IF(R2467&gt;0,RANK(R2467,(N2467:P2467,Q2467:AE2467)),0)</f>
        <v>0</v>
      </c>
      <c r="AY2467" s="5">
        <f>IF(T2467&gt;0,RANK(T2467,(N2467:P2467,Q2467:AE2467)),0)</f>
        <v>0</v>
      </c>
      <c r="AZ2467" s="5">
        <f>IF(S2467&gt;0,RANK(S2467,(N2467:P2467,Q2467:AE2467)),0)</f>
        <v>4</v>
      </c>
      <c r="BA2467" s="2">
        <f t="shared" si="1022"/>
        <v>3.6734693877551024E-2</v>
      </c>
      <c r="BB2467" s="2">
        <f t="shared" si="1023"/>
        <v>0</v>
      </c>
      <c r="BC2467" s="2">
        <f t="shared" si="1024"/>
        <v>0</v>
      </c>
      <c r="BD2467" s="2">
        <f t="shared" si="1025"/>
        <v>1.020408163265306E-2</v>
      </c>
      <c r="BF2467" t="s">
        <v>2574</v>
      </c>
      <c r="BG2467" t="s">
        <v>1183</v>
      </c>
      <c r="BH2467">
        <v>1</v>
      </c>
      <c r="BJ2467" s="114">
        <v>46</v>
      </c>
      <c r="BK2467" s="116">
        <v>17</v>
      </c>
      <c r="BL2467" s="120">
        <f t="shared" si="1013"/>
        <v>46017</v>
      </c>
      <c r="BN2467" s="5" t="s">
        <v>3154</v>
      </c>
    </row>
    <row r="2468" spans="1:66" hidden="1" outlineLevel="1">
      <c r="A2468" t="s">
        <v>141</v>
      </c>
      <c r="B2468" t="s">
        <v>1183</v>
      </c>
      <c r="C2468" s="1">
        <f t="shared" si="1017"/>
        <v>4351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32">
        <f t="shared" si="1014"/>
        <v>2661</v>
      </c>
      <c r="H2468" s="137">
        <f t="shared" si="1015"/>
        <v>0.61158354401287063</v>
      </c>
      <c r="I2468" s="2"/>
      <c r="J2468" s="2">
        <f t="shared" si="1018"/>
        <v>0.15996322684440359</v>
      </c>
      <c r="K2468" s="2">
        <f t="shared" si="1019"/>
        <v>0.77154677085727419</v>
      </c>
      <c r="L2468" s="2">
        <f t="shared" si="1020"/>
        <v>0</v>
      </c>
      <c r="M2468" s="2">
        <f t="shared" si="1021"/>
        <v>6.849000229832225E-2</v>
      </c>
      <c r="N2468" s="63">
        <v>696</v>
      </c>
      <c r="O2468" s="63">
        <v>3357</v>
      </c>
      <c r="P2468" s="63"/>
      <c r="Q2468" s="63">
        <v>246</v>
      </c>
      <c r="R2468" s="63"/>
      <c r="S2468" s="63">
        <v>52</v>
      </c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W2468" s="5">
        <f>IF(Q2468&gt;0,RANK(Q2468,(N2468:P2468,Q2468:AE2468)),0)</f>
        <v>3</v>
      </c>
      <c r="AX2468" s="5">
        <f>IF(R2468&gt;0,RANK(R2468,(N2468:P2468,Q2468:AE2468)),0)</f>
        <v>0</v>
      </c>
      <c r="AY2468" s="5">
        <f>IF(T2468&gt;0,RANK(T2468,(N2468:P2468,Q2468:AE2468)),0)</f>
        <v>0</v>
      </c>
      <c r="AZ2468" s="5">
        <f>IF(S2468&gt;0,RANK(S2468,(N2468:P2468,Q2468:AE2468)),0)</f>
        <v>4</v>
      </c>
      <c r="BA2468" s="2">
        <f t="shared" si="1022"/>
        <v>5.6538726729487475E-2</v>
      </c>
      <c r="BB2468" s="2">
        <f t="shared" si="1023"/>
        <v>0</v>
      </c>
      <c r="BC2468" s="2">
        <f t="shared" si="1024"/>
        <v>0</v>
      </c>
      <c r="BD2468" s="2">
        <f t="shared" si="1025"/>
        <v>1.1951275568834751E-2</v>
      </c>
      <c r="BF2468" t="s">
        <v>141</v>
      </c>
      <c r="BG2468" t="s">
        <v>1183</v>
      </c>
      <c r="BH2468">
        <v>1</v>
      </c>
      <c r="BJ2468" s="114">
        <v>46</v>
      </c>
      <c r="BK2468" s="116">
        <v>19</v>
      </c>
      <c r="BL2468" s="120">
        <f t="shared" si="1013"/>
        <v>46019</v>
      </c>
      <c r="BN2468" s="5" t="s">
        <v>3154</v>
      </c>
    </row>
    <row r="2469" spans="1:66" hidden="1" outlineLevel="1">
      <c r="A2469" t="s">
        <v>206</v>
      </c>
      <c r="B2469" t="s">
        <v>1183</v>
      </c>
      <c r="C2469" s="1">
        <f t="shared" si="1017"/>
        <v>831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32">
        <f t="shared" si="1014"/>
        <v>599</v>
      </c>
      <c r="H2469" s="137">
        <f t="shared" si="1015"/>
        <v>0.72081829121540308</v>
      </c>
      <c r="I2469" s="2"/>
      <c r="J2469" s="2">
        <f t="shared" si="1018"/>
        <v>0.1263537906137184</v>
      </c>
      <c r="K2469" s="2">
        <f t="shared" si="1019"/>
        <v>0.84717208182912151</v>
      </c>
      <c r="L2469" s="2">
        <f t="shared" si="1020"/>
        <v>0</v>
      </c>
      <c r="M2469" s="2">
        <f t="shared" si="1021"/>
        <v>2.6474127557160054E-2</v>
      </c>
      <c r="N2469" s="63">
        <v>105</v>
      </c>
      <c r="O2469" s="63">
        <v>704</v>
      </c>
      <c r="P2469" s="63"/>
      <c r="Q2469" s="63">
        <v>20</v>
      </c>
      <c r="R2469" s="63"/>
      <c r="S2469" s="63">
        <v>2</v>
      </c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W2469" s="5">
        <f>IF(Q2469&gt;0,RANK(Q2469,(N2469:P2469,Q2469:AE2469)),0)</f>
        <v>3</v>
      </c>
      <c r="AX2469" s="5">
        <f>IF(R2469&gt;0,RANK(R2469,(N2469:P2469,Q2469:AE2469)),0)</f>
        <v>0</v>
      </c>
      <c r="AY2469" s="5">
        <f>IF(T2469&gt;0,RANK(T2469,(N2469:P2469,Q2469:AE2469)),0)</f>
        <v>0</v>
      </c>
      <c r="AZ2469" s="5">
        <f>IF(S2469&gt;0,RANK(S2469,(N2469:P2469,Q2469:AE2469)),0)</f>
        <v>4</v>
      </c>
      <c r="BA2469" s="2">
        <f t="shared" si="1022"/>
        <v>2.4067388688327317E-2</v>
      </c>
      <c r="BB2469" s="2">
        <f t="shared" si="1023"/>
        <v>0</v>
      </c>
      <c r="BC2469" s="2">
        <f t="shared" si="1024"/>
        <v>0</v>
      </c>
      <c r="BD2469" s="2">
        <f t="shared" si="1025"/>
        <v>2.4067388688327317E-3</v>
      </c>
      <c r="BF2469" t="s">
        <v>206</v>
      </c>
      <c r="BG2469" t="s">
        <v>1183</v>
      </c>
      <c r="BH2469">
        <v>1</v>
      </c>
      <c r="BJ2469" s="114">
        <v>46</v>
      </c>
      <c r="BK2469" s="116">
        <v>21</v>
      </c>
      <c r="BL2469" s="120">
        <f t="shared" si="1013"/>
        <v>46021</v>
      </c>
      <c r="BN2469" s="5" t="s">
        <v>3154</v>
      </c>
    </row>
    <row r="2470" spans="1:66" hidden="1" outlineLevel="1">
      <c r="A2470" t="s">
        <v>263</v>
      </c>
      <c r="B2470" t="s">
        <v>1183</v>
      </c>
      <c r="C2470" s="1">
        <f t="shared" si="1017"/>
        <v>3433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32">
        <f t="shared" si="1014"/>
        <v>1447</v>
      </c>
      <c r="H2470" s="137">
        <f t="shared" si="1015"/>
        <v>0.42149723274104284</v>
      </c>
      <c r="I2470" s="2"/>
      <c r="J2470" s="2">
        <f t="shared" si="1018"/>
        <v>0.27235653946985144</v>
      </c>
      <c r="K2470" s="2">
        <f t="shared" si="1019"/>
        <v>0.69385377221089428</v>
      </c>
      <c r="L2470" s="2">
        <f t="shared" si="1020"/>
        <v>0</v>
      </c>
      <c r="M2470" s="2">
        <f t="shared" si="1021"/>
        <v>3.3789688319254219E-2</v>
      </c>
      <c r="N2470" s="63">
        <v>935</v>
      </c>
      <c r="O2470" s="63">
        <v>2382</v>
      </c>
      <c r="P2470" s="63"/>
      <c r="Q2470" s="63">
        <v>98</v>
      </c>
      <c r="R2470" s="63"/>
      <c r="S2470" s="63">
        <v>18</v>
      </c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W2470" s="5">
        <f>IF(Q2470&gt;0,RANK(Q2470,(N2470:P2470,Q2470:AE2470)),0)</f>
        <v>3</v>
      </c>
      <c r="AX2470" s="5">
        <f>IF(R2470&gt;0,RANK(R2470,(N2470:P2470,Q2470:AE2470)),0)</f>
        <v>0</v>
      </c>
      <c r="AY2470" s="5">
        <f>IF(T2470&gt;0,RANK(T2470,(N2470:P2470,Q2470:AE2470)),0)</f>
        <v>0</v>
      </c>
      <c r="AZ2470" s="5">
        <f>IF(S2470&gt;0,RANK(S2470,(N2470:P2470,Q2470:AE2470)),0)</f>
        <v>4</v>
      </c>
      <c r="BA2470" s="2">
        <f t="shared" si="1022"/>
        <v>2.8546460821438975E-2</v>
      </c>
      <c r="BB2470" s="2">
        <f t="shared" si="1023"/>
        <v>0</v>
      </c>
      <c r="BC2470" s="2">
        <f t="shared" si="1024"/>
        <v>0</v>
      </c>
      <c r="BD2470" s="2">
        <f t="shared" si="1025"/>
        <v>5.2432274978153216E-3</v>
      </c>
      <c r="BF2470" t="s">
        <v>263</v>
      </c>
      <c r="BG2470" t="s">
        <v>1183</v>
      </c>
      <c r="BH2470">
        <v>1</v>
      </c>
      <c r="BJ2470" s="114">
        <v>46</v>
      </c>
      <c r="BK2470" s="116">
        <v>23</v>
      </c>
      <c r="BL2470" s="120">
        <f t="shared" si="1013"/>
        <v>46023</v>
      </c>
      <c r="BN2470" s="5" t="s">
        <v>3154</v>
      </c>
    </row>
    <row r="2471" spans="1:66" hidden="1" outlineLevel="1">
      <c r="A2471" t="s">
        <v>392</v>
      </c>
      <c r="B2471" t="s">
        <v>1183</v>
      </c>
      <c r="C2471" s="1">
        <f t="shared" si="1017"/>
        <v>1657</v>
      </c>
      <c r="D2471" s="5">
        <f>IF(N2471&gt;0, RANK(N2471,(N2471:P2471,Q2471:AE2471)),0)</f>
        <v>2</v>
      </c>
      <c r="E2471" s="5">
        <f>IF(O2471&gt;0,RANK(O2471,(N2471:P2471,Q2471:AE2471)),0)</f>
        <v>1</v>
      </c>
      <c r="F2471" s="5">
        <f>IF(P2471&gt;0,RANK(P2471,(N2471:P2471,Q2471:AE2471)),0)</f>
        <v>0</v>
      </c>
      <c r="G2471" s="132">
        <f t="shared" si="1014"/>
        <v>741</v>
      </c>
      <c r="H2471" s="137">
        <f t="shared" si="1015"/>
        <v>0.44719372359686183</v>
      </c>
      <c r="I2471" s="2"/>
      <c r="J2471" s="2">
        <f t="shared" si="1018"/>
        <v>0.24019312009656005</v>
      </c>
      <c r="K2471" s="2">
        <f t="shared" si="1019"/>
        <v>0.68738684369342185</v>
      </c>
      <c r="L2471" s="2">
        <f t="shared" si="1020"/>
        <v>0</v>
      </c>
      <c r="M2471" s="2">
        <f t="shared" si="1021"/>
        <v>7.2420036210018135E-2</v>
      </c>
      <c r="N2471" s="63">
        <v>398</v>
      </c>
      <c r="O2471" s="63">
        <v>1139</v>
      </c>
      <c r="P2471" s="63"/>
      <c r="Q2471" s="63">
        <v>103</v>
      </c>
      <c r="R2471" s="63"/>
      <c r="S2471" s="63">
        <v>17</v>
      </c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W2471" s="5">
        <f>IF(Q2471&gt;0,RANK(Q2471,(N2471:P2471,Q2471:AE2471)),0)</f>
        <v>3</v>
      </c>
      <c r="AX2471" s="5">
        <f>IF(R2471&gt;0,RANK(R2471,(N2471:P2471,Q2471:AE2471)),0)</f>
        <v>0</v>
      </c>
      <c r="AY2471" s="5">
        <f>IF(T2471&gt;0,RANK(T2471,(N2471:P2471,Q2471:AE2471)),0)</f>
        <v>0</v>
      </c>
      <c r="AZ2471" s="5">
        <f>IF(S2471&gt;0,RANK(S2471,(N2471:P2471,Q2471:AE2471)),0)</f>
        <v>4</v>
      </c>
      <c r="BA2471" s="2">
        <f t="shared" si="1022"/>
        <v>6.2160531080265542E-2</v>
      </c>
      <c r="BB2471" s="2">
        <f t="shared" si="1023"/>
        <v>0</v>
      </c>
      <c r="BC2471" s="2">
        <f t="shared" si="1024"/>
        <v>0</v>
      </c>
      <c r="BD2471" s="2">
        <f t="shared" si="1025"/>
        <v>1.0259505129752565E-2</v>
      </c>
      <c r="BF2471" t="s">
        <v>392</v>
      </c>
      <c r="BG2471" t="s">
        <v>1183</v>
      </c>
      <c r="BH2471">
        <v>1</v>
      </c>
      <c r="BJ2471" s="114">
        <v>46</v>
      </c>
      <c r="BK2471" s="116">
        <v>25</v>
      </c>
      <c r="BL2471" s="120">
        <f t="shared" si="1013"/>
        <v>46025</v>
      </c>
      <c r="BN2471" s="5" t="s">
        <v>3154</v>
      </c>
    </row>
    <row r="2472" spans="1:66" hidden="1" outlineLevel="1">
      <c r="A2472" t="s">
        <v>3093</v>
      </c>
      <c r="B2472" t="s">
        <v>1183</v>
      </c>
      <c r="C2472" s="1">
        <f t="shared" si="1017"/>
        <v>5069</v>
      </c>
      <c r="D2472" s="5">
        <f>IF(N2472&gt;0, RANK(N2472,(N2472:P2472,Q2472:AE2472)),0)</f>
        <v>1</v>
      </c>
      <c r="E2472" s="5">
        <f>IF(O2472&gt;0,RANK(O2472,(N2472:P2472,Q2472:AE2472)),0)</f>
        <v>2</v>
      </c>
      <c r="F2472" s="5">
        <f>IF(P2472&gt;0,RANK(P2472,(N2472:P2472,Q2472:AE2472)),0)</f>
        <v>0</v>
      </c>
      <c r="G2472" s="132">
        <f t="shared" si="1014"/>
        <v>499</v>
      </c>
      <c r="H2472" s="137">
        <f t="shared" si="1015"/>
        <v>9.8441507200631287E-2</v>
      </c>
      <c r="I2472" s="2"/>
      <c r="J2472" s="2">
        <f t="shared" si="1018"/>
        <v>0.51449990136121526</v>
      </c>
      <c r="K2472" s="2">
        <f t="shared" si="1019"/>
        <v>0.41605839416058393</v>
      </c>
      <c r="L2472" s="2">
        <f t="shared" si="1020"/>
        <v>0</v>
      </c>
      <c r="M2472" s="2">
        <f t="shared" si="1021"/>
        <v>6.9441704478200805E-2</v>
      </c>
      <c r="N2472" s="63">
        <v>2608</v>
      </c>
      <c r="O2472" s="63">
        <v>2109</v>
      </c>
      <c r="P2472" s="63"/>
      <c r="Q2472" s="63">
        <v>295</v>
      </c>
      <c r="R2472" s="63"/>
      <c r="S2472" s="63">
        <v>57</v>
      </c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W2472" s="5">
        <f>IF(Q2472&gt;0,RANK(Q2472,(N2472:P2472,Q2472:AE2472)),0)</f>
        <v>3</v>
      </c>
      <c r="AX2472" s="5">
        <f>IF(R2472&gt;0,RANK(R2472,(N2472:P2472,Q2472:AE2472)),0)</f>
        <v>0</v>
      </c>
      <c r="AY2472" s="5">
        <f>IF(T2472&gt;0,RANK(T2472,(N2472:P2472,Q2472:AE2472)),0)</f>
        <v>0</v>
      </c>
      <c r="AZ2472" s="5">
        <f>IF(S2472&gt;0,RANK(S2472,(N2472:P2472,Q2472:AE2472)),0)</f>
        <v>4</v>
      </c>
      <c r="BA2472" s="2">
        <f t="shared" si="1022"/>
        <v>5.8196883014401263E-2</v>
      </c>
      <c r="BB2472" s="2">
        <f t="shared" si="1023"/>
        <v>0</v>
      </c>
      <c r="BC2472" s="2">
        <f t="shared" si="1024"/>
        <v>0</v>
      </c>
      <c r="BD2472" s="2">
        <f t="shared" si="1025"/>
        <v>1.1244821463799567E-2</v>
      </c>
      <c r="BF2472" t="s">
        <v>3093</v>
      </c>
      <c r="BG2472" t="s">
        <v>1183</v>
      </c>
      <c r="BH2472">
        <v>1</v>
      </c>
      <c r="BJ2472" s="114">
        <v>46</v>
      </c>
      <c r="BK2472" s="116">
        <v>27</v>
      </c>
      <c r="BL2472" s="120">
        <f t="shared" si="1013"/>
        <v>46027</v>
      </c>
      <c r="BN2472" s="5" t="s">
        <v>3154</v>
      </c>
    </row>
    <row r="2473" spans="1:66" hidden="1" outlineLevel="1">
      <c r="A2473" t="s">
        <v>668</v>
      </c>
      <c r="B2473" t="s">
        <v>1183</v>
      </c>
      <c r="C2473" s="1">
        <f t="shared" si="1017"/>
        <v>11669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32">
        <f t="shared" si="1014"/>
        <v>4590</v>
      </c>
      <c r="H2473" s="137">
        <f t="shared" si="1015"/>
        <v>0.39334990144828175</v>
      </c>
      <c r="I2473" s="2"/>
      <c r="J2473" s="2">
        <f t="shared" si="1018"/>
        <v>0.2720027423086811</v>
      </c>
      <c r="K2473" s="2">
        <f t="shared" si="1019"/>
        <v>0.6653526437569629</v>
      </c>
      <c r="L2473" s="2">
        <f t="shared" si="1020"/>
        <v>0</v>
      </c>
      <c r="M2473" s="2">
        <f t="shared" si="1021"/>
        <v>6.2644613934356053E-2</v>
      </c>
      <c r="N2473" s="63">
        <v>3174</v>
      </c>
      <c r="O2473" s="63">
        <v>7764</v>
      </c>
      <c r="P2473" s="63"/>
      <c r="Q2473" s="63">
        <v>600</v>
      </c>
      <c r="R2473" s="63"/>
      <c r="S2473" s="63">
        <v>131</v>
      </c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W2473" s="5">
        <f>IF(Q2473&gt;0,RANK(Q2473,(N2473:P2473,Q2473:AE2473)),0)</f>
        <v>3</v>
      </c>
      <c r="AX2473" s="5">
        <f>IF(R2473&gt;0,RANK(R2473,(N2473:P2473,Q2473:AE2473)),0)</f>
        <v>0</v>
      </c>
      <c r="AY2473" s="5">
        <f>IF(T2473&gt;0,RANK(T2473,(N2473:P2473,Q2473:AE2473)),0)</f>
        <v>0</v>
      </c>
      <c r="AZ2473" s="5">
        <f>IF(S2473&gt;0,RANK(S2473,(N2473:P2473,Q2473:AE2473)),0)</f>
        <v>4</v>
      </c>
      <c r="BA2473" s="2">
        <f t="shared" si="1022"/>
        <v>5.1418287771017222E-2</v>
      </c>
      <c r="BB2473" s="2">
        <f t="shared" si="1023"/>
        <v>0</v>
      </c>
      <c r="BC2473" s="2">
        <f t="shared" si="1024"/>
        <v>0</v>
      </c>
      <c r="BD2473" s="2">
        <f t="shared" si="1025"/>
        <v>1.1226326163338761E-2</v>
      </c>
      <c r="BF2473" t="s">
        <v>668</v>
      </c>
      <c r="BG2473" t="s">
        <v>1183</v>
      </c>
      <c r="BH2473">
        <v>1</v>
      </c>
      <c r="BJ2473" s="114">
        <v>46</v>
      </c>
      <c r="BK2473" s="116">
        <v>29</v>
      </c>
      <c r="BL2473" s="120">
        <f t="shared" si="1013"/>
        <v>46029</v>
      </c>
      <c r="BN2473" s="5" t="s">
        <v>3154</v>
      </c>
    </row>
    <row r="2474" spans="1:66" hidden="1" outlineLevel="1">
      <c r="A2474" t="s">
        <v>1434</v>
      </c>
      <c r="B2474" t="s">
        <v>1183</v>
      </c>
      <c r="C2474" s="1">
        <f t="shared" si="1017"/>
        <v>1175</v>
      </c>
      <c r="D2474" s="5">
        <f>IF(N2474&gt;0, RANK(N2474,(N2474:P2474,Q2474:AE2474)),0)</f>
        <v>2</v>
      </c>
      <c r="E2474" s="5">
        <f>IF(O2474&gt;0,RANK(O2474,(N2474:P2474,Q2474:AE2474)),0)</f>
        <v>1</v>
      </c>
      <c r="F2474" s="5">
        <f>IF(P2474&gt;0,RANK(P2474,(N2474:P2474,Q2474:AE2474)),0)</f>
        <v>0</v>
      </c>
      <c r="G2474" s="132">
        <f t="shared" si="1014"/>
        <v>53</v>
      </c>
      <c r="H2474" s="137">
        <f t="shared" si="1015"/>
        <v>4.5106382978723401E-2</v>
      </c>
      <c r="I2474" s="2"/>
      <c r="J2474" s="2">
        <f t="shared" si="1018"/>
        <v>0.4553191489361702</v>
      </c>
      <c r="K2474" s="2">
        <f t="shared" si="1019"/>
        <v>0.50042553191489358</v>
      </c>
      <c r="L2474" s="2">
        <f t="shared" si="1020"/>
        <v>0</v>
      </c>
      <c r="M2474" s="2">
        <f t="shared" si="1021"/>
        <v>4.4255319148936212E-2</v>
      </c>
      <c r="N2474" s="63">
        <v>535</v>
      </c>
      <c r="O2474" s="63">
        <v>588</v>
      </c>
      <c r="P2474" s="63"/>
      <c r="Q2474" s="63">
        <v>34</v>
      </c>
      <c r="R2474" s="63"/>
      <c r="S2474" s="63">
        <v>18</v>
      </c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W2474" s="5">
        <f>IF(Q2474&gt;0,RANK(Q2474,(N2474:P2474,Q2474:AE2474)),0)</f>
        <v>3</v>
      </c>
      <c r="AX2474" s="5">
        <f>IF(R2474&gt;0,RANK(R2474,(N2474:P2474,Q2474:AE2474)),0)</f>
        <v>0</v>
      </c>
      <c r="AY2474" s="5">
        <f>IF(T2474&gt;0,RANK(T2474,(N2474:P2474,Q2474:AE2474)),0)</f>
        <v>0</v>
      </c>
      <c r="AZ2474" s="5">
        <f>IF(S2474&gt;0,RANK(S2474,(N2474:P2474,Q2474:AE2474)),0)</f>
        <v>4</v>
      </c>
      <c r="BA2474" s="2">
        <f t="shared" si="1022"/>
        <v>2.8936170212765958E-2</v>
      </c>
      <c r="BB2474" s="2">
        <f t="shared" si="1023"/>
        <v>0</v>
      </c>
      <c r="BC2474" s="2">
        <f t="shared" si="1024"/>
        <v>0</v>
      </c>
      <c r="BD2474" s="2">
        <f t="shared" si="1025"/>
        <v>1.5319148936170212E-2</v>
      </c>
      <c r="BF2474" t="s">
        <v>1434</v>
      </c>
      <c r="BG2474" t="s">
        <v>1183</v>
      </c>
      <c r="BH2474">
        <v>1</v>
      </c>
      <c r="BJ2474" s="114">
        <v>46</v>
      </c>
      <c r="BK2474" s="116">
        <v>31</v>
      </c>
      <c r="BL2474" s="120">
        <f t="shared" ref="BL2474:BL2537" si="1026">1000*BJ2474+BK2474</f>
        <v>46031</v>
      </c>
      <c r="BN2474" s="5" t="s">
        <v>3154</v>
      </c>
    </row>
    <row r="2475" spans="1:66" hidden="1" outlineLevel="1">
      <c r="A2475" t="s">
        <v>2631</v>
      </c>
      <c r="B2475" t="s">
        <v>1183</v>
      </c>
      <c r="C2475" s="1">
        <f t="shared" si="1017"/>
        <v>4721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32">
        <f t="shared" si="1014"/>
        <v>2172</v>
      </c>
      <c r="H2475" s="137">
        <f t="shared" si="1015"/>
        <v>0.4600720186401186</v>
      </c>
      <c r="I2475" s="2"/>
      <c r="J2475" s="2">
        <f t="shared" si="1018"/>
        <v>0.23744969286168185</v>
      </c>
      <c r="K2475" s="2">
        <f t="shared" si="1019"/>
        <v>0.69752171150180042</v>
      </c>
      <c r="L2475" s="2">
        <f t="shared" si="1020"/>
        <v>0</v>
      </c>
      <c r="M2475" s="2">
        <f t="shared" si="1021"/>
        <v>6.502859563651775E-2</v>
      </c>
      <c r="N2475" s="63">
        <v>1121</v>
      </c>
      <c r="O2475" s="63">
        <v>3293</v>
      </c>
      <c r="P2475" s="63"/>
      <c r="Q2475" s="63">
        <v>256</v>
      </c>
      <c r="R2475" s="63"/>
      <c r="S2475" s="63">
        <v>51</v>
      </c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W2475" s="5">
        <f>IF(Q2475&gt;0,RANK(Q2475,(N2475:P2475,Q2475:AE2475)),0)</f>
        <v>3</v>
      </c>
      <c r="AX2475" s="5">
        <f>IF(R2475&gt;0,RANK(R2475,(N2475:P2475,Q2475:AE2475)),0)</f>
        <v>0</v>
      </c>
      <c r="AY2475" s="5">
        <f>IF(T2475&gt;0,RANK(T2475,(N2475:P2475,Q2475:AE2475)),0)</f>
        <v>0</v>
      </c>
      <c r="AZ2475" s="5">
        <f>IF(S2475&gt;0,RANK(S2475,(N2475:P2475,Q2475:AE2475)),0)</f>
        <v>4</v>
      </c>
      <c r="BA2475" s="2">
        <f t="shared" si="1022"/>
        <v>5.4225799618724847E-2</v>
      </c>
      <c r="BB2475" s="2">
        <f t="shared" si="1023"/>
        <v>0</v>
      </c>
      <c r="BC2475" s="2">
        <f t="shared" si="1024"/>
        <v>0</v>
      </c>
      <c r="BD2475" s="2">
        <f t="shared" si="1025"/>
        <v>1.080279601779284E-2</v>
      </c>
      <c r="BF2475" t="s">
        <v>2631</v>
      </c>
      <c r="BG2475" t="s">
        <v>1183</v>
      </c>
      <c r="BH2475">
        <v>1</v>
      </c>
      <c r="BJ2475" s="114">
        <v>46</v>
      </c>
      <c r="BK2475" s="116">
        <v>33</v>
      </c>
      <c r="BL2475" s="120">
        <f t="shared" si="1026"/>
        <v>46033</v>
      </c>
      <c r="BN2475" s="5" t="s">
        <v>3154</v>
      </c>
    </row>
    <row r="2476" spans="1:66" hidden="1" outlineLevel="1">
      <c r="A2476" t="s">
        <v>856</v>
      </c>
      <c r="B2476" t="s">
        <v>1183</v>
      </c>
      <c r="C2476" s="1">
        <f t="shared" si="1017"/>
        <v>7952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32">
        <f t="shared" si="1014"/>
        <v>2802</v>
      </c>
      <c r="H2476" s="137">
        <f t="shared" si="1015"/>
        <v>0.35236418511066397</v>
      </c>
      <c r="I2476" s="2"/>
      <c r="J2476" s="2">
        <f t="shared" si="1018"/>
        <v>0.29615191146881287</v>
      </c>
      <c r="K2476" s="2">
        <f t="shared" si="1019"/>
        <v>0.64851609657947684</v>
      </c>
      <c r="L2476" s="2">
        <f t="shared" si="1020"/>
        <v>0</v>
      </c>
      <c r="M2476" s="2">
        <f t="shared" si="1021"/>
        <v>5.5331991951710235E-2</v>
      </c>
      <c r="N2476" s="63">
        <v>2355</v>
      </c>
      <c r="O2476" s="63">
        <v>5157</v>
      </c>
      <c r="P2476" s="63"/>
      <c r="Q2476" s="63">
        <v>349</v>
      </c>
      <c r="R2476" s="63"/>
      <c r="S2476" s="63">
        <v>91</v>
      </c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W2476" s="5">
        <f>IF(Q2476&gt;0,RANK(Q2476,(N2476:P2476,Q2476:AE2476)),0)</f>
        <v>3</v>
      </c>
      <c r="AX2476" s="5">
        <f>IF(R2476&gt;0,RANK(R2476,(N2476:P2476,Q2476:AE2476)),0)</f>
        <v>0</v>
      </c>
      <c r="AY2476" s="5">
        <f>IF(T2476&gt;0,RANK(T2476,(N2476:P2476,Q2476:AE2476)),0)</f>
        <v>0</v>
      </c>
      <c r="AZ2476" s="5">
        <f>IF(S2476&gt;0,RANK(S2476,(N2476:P2476,Q2476:AE2476)),0)</f>
        <v>4</v>
      </c>
      <c r="BA2476" s="2">
        <f t="shared" si="1022"/>
        <v>4.3888329979879279E-2</v>
      </c>
      <c r="BB2476" s="2">
        <f t="shared" si="1023"/>
        <v>0</v>
      </c>
      <c r="BC2476" s="2">
        <f t="shared" si="1024"/>
        <v>0</v>
      </c>
      <c r="BD2476" s="2">
        <f t="shared" si="1025"/>
        <v>1.1443661971830986E-2</v>
      </c>
      <c r="BF2476" t="s">
        <v>856</v>
      </c>
      <c r="BG2476" t="s">
        <v>1183</v>
      </c>
      <c r="BH2476">
        <v>1</v>
      </c>
      <c r="BJ2476" s="114">
        <v>46</v>
      </c>
      <c r="BK2476" s="116">
        <v>35</v>
      </c>
      <c r="BL2476" s="120">
        <f t="shared" si="1026"/>
        <v>46035</v>
      </c>
      <c r="BN2476" s="5" t="s">
        <v>3154</v>
      </c>
    </row>
    <row r="2477" spans="1:66" hidden="1" outlineLevel="1">
      <c r="A2477" t="s">
        <v>2073</v>
      </c>
      <c r="B2477" t="s">
        <v>1183</v>
      </c>
      <c r="C2477" s="1">
        <f t="shared" si="1017"/>
        <v>2747</v>
      </c>
      <c r="D2477" s="5">
        <f>IF(N2477&gt;0, RANK(N2477,(N2477:P2477,Q2477:AE2477)),0)</f>
        <v>2</v>
      </c>
      <c r="E2477" s="5">
        <f>IF(O2477&gt;0,RANK(O2477,(N2477:P2477,Q2477:AE2477)),0)</f>
        <v>1</v>
      </c>
      <c r="F2477" s="5">
        <f>IF(P2477&gt;0,RANK(P2477,(N2477:P2477,Q2477:AE2477)),0)</f>
        <v>0</v>
      </c>
      <c r="G2477" s="132">
        <f t="shared" si="1014"/>
        <v>653</v>
      </c>
      <c r="H2477" s="137">
        <f t="shared" si="1015"/>
        <v>0.23771386967601019</v>
      </c>
      <c r="I2477" s="2"/>
      <c r="J2477" s="2">
        <f t="shared" si="1018"/>
        <v>0.35456862031306879</v>
      </c>
      <c r="K2477" s="2">
        <f t="shared" si="1019"/>
        <v>0.59228248998907895</v>
      </c>
      <c r="L2477" s="2">
        <f t="shared" si="1020"/>
        <v>0</v>
      </c>
      <c r="M2477" s="2">
        <f t="shared" si="1021"/>
        <v>5.3148889697852253E-2</v>
      </c>
      <c r="N2477" s="63">
        <v>974</v>
      </c>
      <c r="O2477" s="63">
        <v>1627</v>
      </c>
      <c r="P2477" s="63"/>
      <c r="Q2477" s="63">
        <v>116</v>
      </c>
      <c r="R2477" s="63"/>
      <c r="S2477" s="63">
        <v>30</v>
      </c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W2477" s="5">
        <f>IF(Q2477&gt;0,RANK(Q2477,(N2477:P2477,Q2477:AE2477)),0)</f>
        <v>3</v>
      </c>
      <c r="AX2477" s="5">
        <f>IF(R2477&gt;0,RANK(R2477,(N2477:P2477,Q2477:AE2477)),0)</f>
        <v>0</v>
      </c>
      <c r="AY2477" s="5">
        <f>IF(T2477&gt;0,RANK(T2477,(N2477:P2477,Q2477:AE2477)),0)</f>
        <v>0</v>
      </c>
      <c r="AZ2477" s="5">
        <f>IF(S2477&gt;0,RANK(S2477,(N2477:P2477,Q2477:AE2477)),0)</f>
        <v>4</v>
      </c>
      <c r="BA2477" s="2">
        <f t="shared" si="1022"/>
        <v>4.2227884965416816E-2</v>
      </c>
      <c r="BB2477" s="2">
        <f t="shared" si="1023"/>
        <v>0</v>
      </c>
      <c r="BC2477" s="2">
        <f t="shared" si="1024"/>
        <v>0</v>
      </c>
      <c r="BD2477" s="2">
        <f t="shared" si="1025"/>
        <v>1.0921004732435385E-2</v>
      </c>
      <c r="BF2477" t="s">
        <v>2073</v>
      </c>
      <c r="BG2477" t="s">
        <v>1183</v>
      </c>
      <c r="BH2477">
        <v>1</v>
      </c>
      <c r="BJ2477" s="114">
        <v>46</v>
      </c>
      <c r="BK2477" s="116">
        <v>37</v>
      </c>
      <c r="BL2477" s="120">
        <f t="shared" si="1026"/>
        <v>46037</v>
      </c>
      <c r="BN2477" s="5" t="s">
        <v>3154</v>
      </c>
    </row>
    <row r="2478" spans="1:66" hidden="1" outlineLevel="1">
      <c r="A2478" t="s">
        <v>1850</v>
      </c>
      <c r="B2478" t="s">
        <v>1183</v>
      </c>
      <c r="C2478" s="1">
        <f t="shared" si="1017"/>
        <v>2080</v>
      </c>
      <c r="D2478" s="5">
        <f>IF(N2478&gt;0, RANK(N2478,(N2478:P2478,Q2478:AE2478)),0)</f>
        <v>2</v>
      </c>
      <c r="E2478" s="5">
        <f>IF(O2478&gt;0,RANK(O2478,(N2478:P2478,Q2478:AE2478)),0)</f>
        <v>1</v>
      </c>
      <c r="F2478" s="5">
        <f>IF(P2478&gt;0,RANK(P2478,(N2478:P2478,Q2478:AE2478)),0)</f>
        <v>0</v>
      </c>
      <c r="G2478" s="132">
        <f t="shared" si="1014"/>
        <v>796</v>
      </c>
      <c r="H2478" s="137">
        <f t="shared" si="1015"/>
        <v>0.38269230769230766</v>
      </c>
      <c r="I2478" s="2"/>
      <c r="J2478" s="2">
        <f t="shared" si="1018"/>
        <v>0.27403846153846156</v>
      </c>
      <c r="K2478" s="2">
        <f t="shared" si="1019"/>
        <v>0.65673076923076923</v>
      </c>
      <c r="L2478" s="2">
        <f t="shared" si="1020"/>
        <v>0</v>
      </c>
      <c r="M2478" s="2">
        <f t="shared" si="1021"/>
        <v>6.9230769230769207E-2</v>
      </c>
      <c r="N2478" s="63">
        <v>570</v>
      </c>
      <c r="O2478" s="63">
        <v>1366</v>
      </c>
      <c r="P2478" s="63"/>
      <c r="Q2478" s="63">
        <v>117</v>
      </c>
      <c r="R2478" s="63"/>
      <c r="S2478" s="63">
        <v>27</v>
      </c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W2478" s="5">
        <f>IF(Q2478&gt;0,RANK(Q2478,(N2478:P2478,Q2478:AE2478)),0)</f>
        <v>3</v>
      </c>
      <c r="AX2478" s="5">
        <f>IF(R2478&gt;0,RANK(R2478,(N2478:P2478,Q2478:AE2478)),0)</f>
        <v>0</v>
      </c>
      <c r="AY2478" s="5">
        <f>IF(T2478&gt;0,RANK(T2478,(N2478:P2478,Q2478:AE2478)),0)</f>
        <v>0</v>
      </c>
      <c r="AZ2478" s="5">
        <f>IF(S2478&gt;0,RANK(S2478,(N2478:P2478,Q2478:AE2478)),0)</f>
        <v>4</v>
      </c>
      <c r="BA2478" s="2">
        <f t="shared" si="1022"/>
        <v>5.6250000000000001E-2</v>
      </c>
      <c r="BB2478" s="2">
        <f t="shared" si="1023"/>
        <v>0</v>
      </c>
      <c r="BC2478" s="2">
        <f t="shared" si="1024"/>
        <v>0</v>
      </c>
      <c r="BD2478" s="2">
        <f t="shared" si="1025"/>
        <v>1.2980769230769231E-2</v>
      </c>
      <c r="BF2478" t="s">
        <v>1850</v>
      </c>
      <c r="BG2478" t="s">
        <v>1183</v>
      </c>
      <c r="BH2478">
        <v>1</v>
      </c>
      <c r="BJ2478" s="114">
        <v>46</v>
      </c>
      <c r="BK2478" s="116">
        <v>39</v>
      </c>
      <c r="BL2478" s="120">
        <f t="shared" si="1026"/>
        <v>46039</v>
      </c>
      <c r="BN2478" s="5" t="s">
        <v>3154</v>
      </c>
    </row>
    <row r="2479" spans="1:66" hidden="1" outlineLevel="1">
      <c r="A2479" t="s">
        <v>2640</v>
      </c>
      <c r="B2479" t="s">
        <v>1183</v>
      </c>
      <c r="C2479" s="1">
        <f t="shared" si="1017"/>
        <v>1708</v>
      </c>
      <c r="D2479" s="5">
        <f>IF(N2479&gt;0, RANK(N2479,(N2479:P2479,Q2479:AE2479)),0)</f>
        <v>1</v>
      </c>
      <c r="E2479" s="5">
        <f>IF(O2479&gt;0,RANK(O2479,(N2479:P2479,Q2479:AE2479)),0)</f>
        <v>2</v>
      </c>
      <c r="F2479" s="5">
        <f>IF(P2479&gt;0,RANK(P2479,(N2479:P2479,Q2479:AE2479)),0)</f>
        <v>0</v>
      </c>
      <c r="G2479" s="132">
        <f t="shared" si="1014"/>
        <v>165</v>
      </c>
      <c r="H2479" s="137">
        <f t="shared" si="1015"/>
        <v>9.6604215456674469E-2</v>
      </c>
      <c r="I2479" s="2"/>
      <c r="J2479" s="2">
        <f t="shared" si="1018"/>
        <v>0.51990632318501173</v>
      </c>
      <c r="K2479" s="2">
        <f t="shared" si="1019"/>
        <v>0.42330210772833726</v>
      </c>
      <c r="L2479" s="2">
        <f t="shared" si="1020"/>
        <v>0</v>
      </c>
      <c r="M2479" s="2">
        <f t="shared" si="1021"/>
        <v>5.6791569086651006E-2</v>
      </c>
      <c r="N2479" s="63">
        <v>888</v>
      </c>
      <c r="O2479" s="63">
        <v>723</v>
      </c>
      <c r="P2479" s="63"/>
      <c r="Q2479" s="63">
        <v>71</v>
      </c>
      <c r="R2479" s="63"/>
      <c r="S2479" s="63">
        <v>26</v>
      </c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W2479" s="5">
        <f>IF(Q2479&gt;0,RANK(Q2479,(N2479:P2479,Q2479:AE2479)),0)</f>
        <v>3</v>
      </c>
      <c r="AX2479" s="5">
        <f>IF(R2479&gt;0,RANK(R2479,(N2479:P2479,Q2479:AE2479)),0)</f>
        <v>0</v>
      </c>
      <c r="AY2479" s="5">
        <f>IF(T2479&gt;0,RANK(T2479,(N2479:P2479,Q2479:AE2479)),0)</f>
        <v>0</v>
      </c>
      <c r="AZ2479" s="5">
        <f>IF(S2479&gt;0,RANK(S2479,(N2479:P2479,Q2479:AE2479)),0)</f>
        <v>4</v>
      </c>
      <c r="BA2479" s="2">
        <f t="shared" si="1022"/>
        <v>4.1569086651053862E-2</v>
      </c>
      <c r="BB2479" s="2">
        <f t="shared" si="1023"/>
        <v>0</v>
      </c>
      <c r="BC2479" s="2">
        <f t="shared" si="1024"/>
        <v>0</v>
      </c>
      <c r="BD2479" s="2">
        <f t="shared" si="1025"/>
        <v>1.5222482435597189E-2</v>
      </c>
      <c r="BF2479" t="s">
        <v>2640</v>
      </c>
      <c r="BG2479" t="s">
        <v>1183</v>
      </c>
      <c r="BH2479">
        <v>1</v>
      </c>
      <c r="BJ2479" s="114">
        <v>46</v>
      </c>
      <c r="BK2479" s="116">
        <v>41</v>
      </c>
      <c r="BL2479" s="120">
        <f t="shared" si="1026"/>
        <v>46041</v>
      </c>
      <c r="BN2479" s="5" t="s">
        <v>3154</v>
      </c>
    </row>
    <row r="2480" spans="1:66" hidden="1" outlineLevel="1">
      <c r="A2480" t="s">
        <v>1148</v>
      </c>
      <c r="B2480" t="s">
        <v>1183</v>
      </c>
      <c r="C2480" s="1">
        <f t="shared" si="1017"/>
        <v>1605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32">
        <f t="shared" si="1014"/>
        <v>1124</v>
      </c>
      <c r="H2480" s="137">
        <f t="shared" si="1015"/>
        <v>0.70031152647975081</v>
      </c>
      <c r="I2480" s="2"/>
      <c r="J2480" s="2">
        <f t="shared" si="1018"/>
        <v>0.13333333333333333</v>
      </c>
      <c r="K2480" s="2">
        <f t="shared" si="1019"/>
        <v>0.83364485981308412</v>
      </c>
      <c r="L2480" s="2">
        <f t="shared" si="1020"/>
        <v>0</v>
      </c>
      <c r="M2480" s="2">
        <f t="shared" si="1021"/>
        <v>3.302180685358258E-2</v>
      </c>
      <c r="N2480" s="63">
        <v>214</v>
      </c>
      <c r="O2480" s="63">
        <v>1338</v>
      </c>
      <c r="P2480" s="63"/>
      <c r="Q2480" s="63">
        <v>41</v>
      </c>
      <c r="R2480" s="63"/>
      <c r="S2480" s="63">
        <v>12</v>
      </c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W2480" s="5">
        <f>IF(Q2480&gt;0,RANK(Q2480,(N2480:P2480,Q2480:AE2480)),0)</f>
        <v>3</v>
      </c>
      <c r="AX2480" s="5">
        <f>IF(R2480&gt;0,RANK(R2480,(N2480:P2480,Q2480:AE2480)),0)</f>
        <v>0</v>
      </c>
      <c r="AY2480" s="5">
        <f>IF(T2480&gt;0,RANK(T2480,(N2480:P2480,Q2480:AE2480)),0)</f>
        <v>0</v>
      </c>
      <c r="AZ2480" s="5">
        <f>IF(S2480&gt;0,RANK(S2480,(N2480:P2480,Q2480:AE2480)),0)</f>
        <v>4</v>
      </c>
      <c r="BA2480" s="2">
        <f t="shared" si="1022"/>
        <v>2.5545171339563862E-2</v>
      </c>
      <c r="BB2480" s="2">
        <f t="shared" si="1023"/>
        <v>0</v>
      </c>
      <c r="BC2480" s="2">
        <f t="shared" si="1024"/>
        <v>0</v>
      </c>
      <c r="BD2480" s="2">
        <f t="shared" si="1025"/>
        <v>7.4766355140186919E-3</v>
      </c>
      <c r="BF2480" t="s">
        <v>1148</v>
      </c>
      <c r="BG2480" t="s">
        <v>1183</v>
      </c>
      <c r="BH2480">
        <v>1</v>
      </c>
      <c r="BJ2480" s="114">
        <v>46</v>
      </c>
      <c r="BK2480" s="116">
        <v>43</v>
      </c>
      <c r="BL2480" s="120">
        <f t="shared" si="1026"/>
        <v>46043</v>
      </c>
      <c r="BN2480" s="5" t="s">
        <v>3154</v>
      </c>
    </row>
    <row r="2481" spans="1:66" hidden="1" outlineLevel="1">
      <c r="A2481" t="s">
        <v>1965</v>
      </c>
      <c r="B2481" t="s">
        <v>1183</v>
      </c>
      <c r="C2481" s="1">
        <f t="shared" si="1017"/>
        <v>1918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32">
        <f t="shared" si="1014"/>
        <v>1053</v>
      </c>
      <c r="H2481" s="137">
        <f t="shared" si="1015"/>
        <v>0.54900938477580818</v>
      </c>
      <c r="I2481" s="2"/>
      <c r="J2481" s="2">
        <f t="shared" si="1018"/>
        <v>0.19812304483837331</v>
      </c>
      <c r="K2481" s="2">
        <f t="shared" si="1019"/>
        <v>0.74713242961418147</v>
      </c>
      <c r="L2481" s="2">
        <f t="shared" si="1020"/>
        <v>0</v>
      </c>
      <c r="M2481" s="2">
        <f t="shared" si="1021"/>
        <v>5.4744525547445244E-2</v>
      </c>
      <c r="N2481" s="63">
        <v>380</v>
      </c>
      <c r="O2481" s="63">
        <v>1433</v>
      </c>
      <c r="P2481" s="63"/>
      <c r="Q2481" s="63">
        <v>86</v>
      </c>
      <c r="R2481" s="63"/>
      <c r="S2481" s="63">
        <v>19</v>
      </c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W2481" s="5">
        <f>IF(Q2481&gt;0,RANK(Q2481,(N2481:P2481,Q2481:AE2481)),0)</f>
        <v>3</v>
      </c>
      <c r="AX2481" s="5">
        <f>IF(R2481&gt;0,RANK(R2481,(N2481:P2481,Q2481:AE2481)),0)</f>
        <v>0</v>
      </c>
      <c r="AY2481" s="5">
        <f>IF(T2481&gt;0,RANK(T2481,(N2481:P2481,Q2481:AE2481)),0)</f>
        <v>0</v>
      </c>
      <c r="AZ2481" s="5">
        <f>IF(S2481&gt;0,RANK(S2481,(N2481:P2481,Q2481:AE2481)),0)</f>
        <v>4</v>
      </c>
      <c r="BA2481" s="2">
        <f t="shared" si="1022"/>
        <v>4.4838373305526591E-2</v>
      </c>
      <c r="BB2481" s="2">
        <f t="shared" si="1023"/>
        <v>0</v>
      </c>
      <c r="BC2481" s="2">
        <f t="shared" si="1024"/>
        <v>0</v>
      </c>
      <c r="BD2481" s="2">
        <f t="shared" si="1025"/>
        <v>9.9061522419186653E-3</v>
      </c>
      <c r="BF2481" t="s">
        <v>1965</v>
      </c>
      <c r="BG2481" t="s">
        <v>1183</v>
      </c>
      <c r="BH2481">
        <v>1</v>
      </c>
      <c r="BJ2481" s="114">
        <v>46</v>
      </c>
      <c r="BK2481" s="116">
        <v>45</v>
      </c>
      <c r="BL2481" s="120">
        <f t="shared" si="1026"/>
        <v>46045</v>
      </c>
      <c r="BN2481" s="5" t="s">
        <v>3154</v>
      </c>
    </row>
    <row r="2482" spans="1:66" hidden="1" outlineLevel="1">
      <c r="A2482" t="s">
        <v>3043</v>
      </c>
      <c r="B2482" t="s">
        <v>1183</v>
      </c>
      <c r="C2482" s="1">
        <f t="shared" si="1017"/>
        <v>3563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32">
        <f t="shared" si="1014"/>
        <v>1690</v>
      </c>
      <c r="H2482" s="137">
        <f t="shared" si="1015"/>
        <v>0.47431939376929555</v>
      </c>
      <c r="I2482" s="2"/>
      <c r="J2482" s="2">
        <f t="shared" si="1018"/>
        <v>0.23042380016839742</v>
      </c>
      <c r="K2482" s="2">
        <f t="shared" si="1019"/>
        <v>0.70474319393769291</v>
      </c>
      <c r="L2482" s="2">
        <f t="shared" si="1020"/>
        <v>0</v>
      </c>
      <c r="M2482" s="2">
        <f t="shared" si="1021"/>
        <v>6.4833005893909723E-2</v>
      </c>
      <c r="N2482" s="63">
        <v>821</v>
      </c>
      <c r="O2482" s="63">
        <v>2511</v>
      </c>
      <c r="P2482" s="63"/>
      <c r="Q2482" s="63">
        <v>166</v>
      </c>
      <c r="R2482" s="63"/>
      <c r="S2482" s="63">
        <v>65</v>
      </c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W2482" s="5">
        <f>IF(Q2482&gt;0,RANK(Q2482,(N2482:P2482,Q2482:AE2482)),0)</f>
        <v>3</v>
      </c>
      <c r="AX2482" s="5">
        <f>IF(R2482&gt;0,RANK(R2482,(N2482:P2482,Q2482:AE2482)),0)</f>
        <v>0</v>
      </c>
      <c r="AY2482" s="5">
        <f>IF(T2482&gt;0,RANK(T2482,(N2482:P2482,Q2482:AE2482)),0)</f>
        <v>0</v>
      </c>
      <c r="AZ2482" s="5">
        <f>IF(S2482&gt;0,RANK(S2482,(N2482:P2482,Q2482:AE2482)),0)</f>
        <v>4</v>
      </c>
      <c r="BA2482" s="2">
        <f t="shared" si="1022"/>
        <v>4.6589952287398262E-2</v>
      </c>
      <c r="BB2482" s="2">
        <f t="shared" si="1023"/>
        <v>0</v>
      </c>
      <c r="BC2482" s="2">
        <f t="shared" si="1024"/>
        <v>0</v>
      </c>
      <c r="BD2482" s="2">
        <f t="shared" si="1025"/>
        <v>1.8243053606511368E-2</v>
      </c>
      <c r="BF2482" t="s">
        <v>3043</v>
      </c>
      <c r="BG2482" t="s">
        <v>1183</v>
      </c>
      <c r="BH2482">
        <v>1</v>
      </c>
      <c r="BJ2482" s="114">
        <v>46</v>
      </c>
      <c r="BK2482" s="116">
        <v>47</v>
      </c>
      <c r="BL2482" s="120">
        <f t="shared" si="1026"/>
        <v>46047</v>
      </c>
      <c r="BN2482" s="5" t="s">
        <v>3154</v>
      </c>
    </row>
    <row r="2483" spans="1:66" hidden="1" outlineLevel="1">
      <c r="A2483" t="s">
        <v>1974</v>
      </c>
      <c r="B2483" t="s">
        <v>1183</v>
      </c>
      <c r="C2483" s="1">
        <f t="shared" si="1017"/>
        <v>1118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32">
        <f t="shared" si="1014"/>
        <v>654</v>
      </c>
      <c r="H2483" s="137">
        <f t="shared" si="1015"/>
        <v>0.58497316636851515</v>
      </c>
      <c r="I2483" s="2"/>
      <c r="J2483" s="2">
        <f t="shared" si="1018"/>
        <v>0.18246869409660108</v>
      </c>
      <c r="K2483" s="2">
        <f t="shared" si="1019"/>
        <v>0.76744186046511631</v>
      </c>
      <c r="L2483" s="2">
        <f t="shared" si="1020"/>
        <v>0</v>
      </c>
      <c r="M2483" s="2">
        <f t="shared" si="1021"/>
        <v>5.0089445438282643E-2</v>
      </c>
      <c r="N2483" s="63">
        <v>204</v>
      </c>
      <c r="O2483" s="63">
        <v>858</v>
      </c>
      <c r="P2483" s="63"/>
      <c r="Q2483" s="63">
        <v>45</v>
      </c>
      <c r="R2483" s="63"/>
      <c r="S2483" s="63">
        <v>11</v>
      </c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W2483" s="5">
        <f>IF(Q2483&gt;0,RANK(Q2483,(N2483:P2483,Q2483:AE2483)),0)</f>
        <v>3</v>
      </c>
      <c r="AX2483" s="5">
        <f>IF(R2483&gt;0,RANK(R2483,(N2483:P2483,Q2483:AE2483)),0)</f>
        <v>0</v>
      </c>
      <c r="AY2483" s="5">
        <f>IF(T2483&gt;0,RANK(T2483,(N2483:P2483,Q2483:AE2483)),0)</f>
        <v>0</v>
      </c>
      <c r="AZ2483" s="5">
        <f>IF(S2483&gt;0,RANK(S2483,(N2483:P2483,Q2483:AE2483)),0)</f>
        <v>4</v>
      </c>
      <c r="BA2483" s="2">
        <f t="shared" si="1022"/>
        <v>4.0250447227191413E-2</v>
      </c>
      <c r="BB2483" s="2">
        <f t="shared" si="1023"/>
        <v>0</v>
      </c>
      <c r="BC2483" s="2">
        <f t="shared" si="1024"/>
        <v>0</v>
      </c>
      <c r="BD2483" s="2">
        <f t="shared" si="1025"/>
        <v>9.8389982110912346E-3</v>
      </c>
      <c r="BF2483" t="s">
        <v>1974</v>
      </c>
      <c r="BG2483" t="s">
        <v>1183</v>
      </c>
      <c r="BH2483">
        <v>1</v>
      </c>
      <c r="BJ2483" s="114">
        <v>46</v>
      </c>
      <c r="BK2483" s="116">
        <v>49</v>
      </c>
      <c r="BL2483" s="120">
        <f t="shared" si="1026"/>
        <v>46049</v>
      </c>
      <c r="BN2483" s="5" t="s">
        <v>3154</v>
      </c>
    </row>
    <row r="2484" spans="1:66" hidden="1" outlineLevel="1">
      <c r="A2484" t="s">
        <v>1417</v>
      </c>
      <c r="B2484" t="s">
        <v>1183</v>
      </c>
      <c r="C2484" s="1">
        <f t="shared" si="1017"/>
        <v>3564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32">
        <f t="shared" si="1014"/>
        <v>1411</v>
      </c>
      <c r="H2484" s="137">
        <f t="shared" si="1015"/>
        <v>0.39590347923681257</v>
      </c>
      <c r="I2484" s="2"/>
      <c r="J2484" s="2">
        <f t="shared" si="1018"/>
        <v>0.27244668911335579</v>
      </c>
      <c r="K2484" s="2">
        <f t="shared" si="1019"/>
        <v>0.66835016835016836</v>
      </c>
      <c r="L2484" s="2">
        <f t="shared" si="1020"/>
        <v>0</v>
      </c>
      <c r="M2484" s="2">
        <f t="shared" si="1021"/>
        <v>5.920314253647585E-2</v>
      </c>
      <c r="N2484" s="63">
        <v>971</v>
      </c>
      <c r="O2484" s="63">
        <v>2382</v>
      </c>
      <c r="P2484" s="63"/>
      <c r="Q2484" s="63">
        <v>175</v>
      </c>
      <c r="R2484" s="63"/>
      <c r="S2484" s="63">
        <v>36</v>
      </c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W2484" s="5">
        <f>IF(Q2484&gt;0,RANK(Q2484,(N2484:P2484,Q2484:AE2484)),0)</f>
        <v>3</v>
      </c>
      <c r="AX2484" s="5">
        <f>IF(R2484&gt;0,RANK(R2484,(N2484:P2484,Q2484:AE2484)),0)</f>
        <v>0</v>
      </c>
      <c r="AY2484" s="5">
        <f>IF(T2484&gt;0,RANK(T2484,(N2484:P2484,Q2484:AE2484)),0)</f>
        <v>0</v>
      </c>
      <c r="AZ2484" s="5">
        <f>IF(S2484&gt;0,RANK(S2484,(N2484:P2484,Q2484:AE2484)),0)</f>
        <v>4</v>
      </c>
      <c r="BA2484" s="2">
        <f t="shared" si="1022"/>
        <v>4.9102132435465767E-2</v>
      </c>
      <c r="BB2484" s="2">
        <f t="shared" si="1023"/>
        <v>0</v>
      </c>
      <c r="BC2484" s="2">
        <f t="shared" si="1024"/>
        <v>0</v>
      </c>
      <c r="BD2484" s="2">
        <f t="shared" si="1025"/>
        <v>1.0101010101010102E-2</v>
      </c>
      <c r="BF2484" t="s">
        <v>1417</v>
      </c>
      <c r="BG2484" t="s">
        <v>1183</v>
      </c>
      <c r="BH2484">
        <v>1</v>
      </c>
      <c r="BJ2484" s="114">
        <v>46</v>
      </c>
      <c r="BK2484" s="116">
        <v>51</v>
      </c>
      <c r="BL2484" s="120">
        <f t="shared" si="1026"/>
        <v>46051</v>
      </c>
      <c r="BN2484" s="5" t="s">
        <v>3154</v>
      </c>
    </row>
    <row r="2485" spans="1:66" hidden="1" outlineLevel="1">
      <c r="A2485" t="s">
        <v>2045</v>
      </c>
      <c r="B2485" t="s">
        <v>1183</v>
      </c>
      <c r="C2485" s="1">
        <f t="shared" si="1017"/>
        <v>2091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32">
        <f t="shared" si="1014"/>
        <v>1209</v>
      </c>
      <c r="H2485" s="137">
        <f t="shared" si="1015"/>
        <v>0.57819225251076045</v>
      </c>
      <c r="I2485" s="2"/>
      <c r="J2485" s="2">
        <f t="shared" si="1018"/>
        <v>0.18699186991869918</v>
      </c>
      <c r="K2485" s="2">
        <f t="shared" si="1019"/>
        <v>0.76518412242945955</v>
      </c>
      <c r="L2485" s="2">
        <f t="shared" si="1020"/>
        <v>0</v>
      </c>
      <c r="M2485" s="2">
        <f t="shared" si="1021"/>
        <v>4.7824007651841249E-2</v>
      </c>
      <c r="N2485" s="63">
        <v>391</v>
      </c>
      <c r="O2485" s="63">
        <v>1600</v>
      </c>
      <c r="P2485" s="63"/>
      <c r="Q2485" s="63">
        <v>78</v>
      </c>
      <c r="R2485" s="63"/>
      <c r="S2485" s="63">
        <v>22</v>
      </c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W2485" s="5">
        <f>IF(Q2485&gt;0,RANK(Q2485,(N2485:P2485,Q2485:AE2485)),0)</f>
        <v>3</v>
      </c>
      <c r="AX2485" s="5">
        <f>IF(R2485&gt;0,RANK(R2485,(N2485:P2485,Q2485:AE2485)),0)</f>
        <v>0</v>
      </c>
      <c r="AY2485" s="5">
        <f>IF(T2485&gt;0,RANK(T2485,(N2485:P2485,Q2485:AE2485)),0)</f>
        <v>0</v>
      </c>
      <c r="AZ2485" s="5">
        <f>IF(S2485&gt;0,RANK(S2485,(N2485:P2485,Q2485:AE2485)),0)</f>
        <v>4</v>
      </c>
      <c r="BA2485" s="2">
        <f t="shared" si="1022"/>
        <v>3.7302725968436153E-2</v>
      </c>
      <c r="BB2485" s="2">
        <f t="shared" si="1023"/>
        <v>0</v>
      </c>
      <c r="BC2485" s="2">
        <f t="shared" si="1024"/>
        <v>0</v>
      </c>
      <c r="BD2485" s="2">
        <f t="shared" si="1025"/>
        <v>1.0521281683405069E-2</v>
      </c>
      <c r="BF2485" t="s">
        <v>2045</v>
      </c>
      <c r="BG2485" t="s">
        <v>1183</v>
      </c>
      <c r="BH2485">
        <v>1</v>
      </c>
      <c r="BJ2485" s="114">
        <v>46</v>
      </c>
      <c r="BK2485" s="116">
        <v>53</v>
      </c>
      <c r="BL2485" s="120">
        <f t="shared" si="1026"/>
        <v>46053</v>
      </c>
      <c r="BN2485" s="5" t="s">
        <v>3154</v>
      </c>
    </row>
    <row r="2486" spans="1:66" hidden="1" outlineLevel="1">
      <c r="A2486" t="s">
        <v>2046</v>
      </c>
      <c r="B2486" t="s">
        <v>1183</v>
      </c>
      <c r="C2486" s="1">
        <f t="shared" si="1017"/>
        <v>1044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32">
        <f t="shared" si="1014"/>
        <v>859</v>
      </c>
      <c r="H2486" s="137">
        <f t="shared" si="1015"/>
        <v>0.82279693486590033</v>
      </c>
      <c r="I2486" s="2"/>
      <c r="J2486" s="2">
        <f t="shared" si="1018"/>
        <v>7.3754789272030649E-2</v>
      </c>
      <c r="K2486" s="2">
        <f t="shared" si="1019"/>
        <v>0.89655172413793105</v>
      </c>
      <c r="L2486" s="2">
        <f t="shared" si="1020"/>
        <v>0</v>
      </c>
      <c r="M2486" s="2">
        <f t="shared" si="1021"/>
        <v>2.9693486590038343E-2</v>
      </c>
      <c r="N2486" s="63">
        <v>77</v>
      </c>
      <c r="O2486" s="63">
        <v>936</v>
      </c>
      <c r="P2486" s="63"/>
      <c r="Q2486" s="63">
        <v>27</v>
      </c>
      <c r="R2486" s="63"/>
      <c r="S2486" s="63">
        <v>4</v>
      </c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W2486" s="5">
        <f>IF(Q2486&gt;0,RANK(Q2486,(N2486:P2486,Q2486:AE2486)),0)</f>
        <v>3</v>
      </c>
      <c r="AX2486" s="5">
        <f>IF(R2486&gt;0,RANK(R2486,(N2486:P2486,Q2486:AE2486)),0)</f>
        <v>0</v>
      </c>
      <c r="AY2486" s="5">
        <f>IF(T2486&gt;0,RANK(T2486,(N2486:P2486,Q2486:AE2486)),0)</f>
        <v>0</v>
      </c>
      <c r="AZ2486" s="5">
        <f>IF(S2486&gt;0,RANK(S2486,(N2486:P2486,Q2486:AE2486)),0)</f>
        <v>4</v>
      </c>
      <c r="BA2486" s="2">
        <f t="shared" si="1022"/>
        <v>2.5862068965517241E-2</v>
      </c>
      <c r="BB2486" s="2">
        <f t="shared" si="1023"/>
        <v>0</v>
      </c>
      <c r="BC2486" s="2">
        <f t="shared" si="1024"/>
        <v>0</v>
      </c>
      <c r="BD2486" s="2">
        <f t="shared" si="1025"/>
        <v>3.8314176245210726E-3</v>
      </c>
      <c r="BF2486" t="s">
        <v>2046</v>
      </c>
      <c r="BG2486" t="s">
        <v>1183</v>
      </c>
      <c r="BH2486">
        <v>1</v>
      </c>
      <c r="BJ2486" s="114">
        <v>46</v>
      </c>
      <c r="BK2486" s="116">
        <v>55</v>
      </c>
      <c r="BL2486" s="120">
        <f t="shared" si="1026"/>
        <v>46055</v>
      </c>
      <c r="BN2486" s="5" t="s">
        <v>3154</v>
      </c>
    </row>
    <row r="2487" spans="1:66" hidden="1" outlineLevel="1">
      <c r="A2487" t="s">
        <v>776</v>
      </c>
      <c r="B2487" t="s">
        <v>1183</v>
      </c>
      <c r="C2487" s="1">
        <f t="shared" si="1017"/>
        <v>2762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32">
        <f t="shared" si="1014"/>
        <v>1496</v>
      </c>
      <c r="H2487" s="137">
        <f t="shared" si="1015"/>
        <v>0.54163649529326574</v>
      </c>
      <c r="I2487" s="2"/>
      <c r="J2487" s="2">
        <f t="shared" si="1018"/>
        <v>0.20094134685010862</v>
      </c>
      <c r="K2487" s="2">
        <f t="shared" si="1019"/>
        <v>0.74257784214337441</v>
      </c>
      <c r="L2487" s="2">
        <f t="shared" si="1020"/>
        <v>0</v>
      </c>
      <c r="M2487" s="2">
        <f t="shared" si="1021"/>
        <v>5.6480811006516918E-2</v>
      </c>
      <c r="N2487" s="63">
        <v>555</v>
      </c>
      <c r="O2487" s="63">
        <v>2051</v>
      </c>
      <c r="P2487" s="63"/>
      <c r="Q2487" s="63">
        <v>124</v>
      </c>
      <c r="R2487" s="63"/>
      <c r="S2487" s="63">
        <v>32</v>
      </c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W2487" s="5">
        <f>IF(Q2487&gt;0,RANK(Q2487,(N2487:P2487,Q2487:AE2487)),0)</f>
        <v>3</v>
      </c>
      <c r="AX2487" s="5">
        <f>IF(R2487&gt;0,RANK(R2487,(N2487:P2487,Q2487:AE2487)),0)</f>
        <v>0</v>
      </c>
      <c r="AY2487" s="5">
        <f>IF(T2487&gt;0,RANK(T2487,(N2487:P2487,Q2487:AE2487)),0)</f>
        <v>0</v>
      </c>
      <c r="AZ2487" s="5">
        <f>IF(S2487&gt;0,RANK(S2487,(N2487:P2487,Q2487:AE2487)),0)</f>
        <v>4</v>
      </c>
      <c r="BA2487" s="2">
        <f t="shared" si="1022"/>
        <v>4.4895003620564811E-2</v>
      </c>
      <c r="BB2487" s="2">
        <f t="shared" si="1023"/>
        <v>0</v>
      </c>
      <c r="BC2487" s="2">
        <f t="shared" si="1024"/>
        <v>0</v>
      </c>
      <c r="BD2487" s="2">
        <f t="shared" si="1025"/>
        <v>1.1585807385952208E-2</v>
      </c>
      <c r="BF2487" t="s">
        <v>776</v>
      </c>
      <c r="BG2487" t="s">
        <v>1183</v>
      </c>
      <c r="BH2487">
        <v>1</v>
      </c>
      <c r="BJ2487" s="114">
        <v>46</v>
      </c>
      <c r="BK2487" s="116">
        <v>57</v>
      </c>
      <c r="BL2487" s="120">
        <f t="shared" si="1026"/>
        <v>46057</v>
      </c>
      <c r="BN2487" s="5" t="s">
        <v>3154</v>
      </c>
    </row>
    <row r="2488" spans="1:66" hidden="1" outlineLevel="1">
      <c r="A2488" t="s">
        <v>271</v>
      </c>
      <c r="B2488" t="s">
        <v>1183</v>
      </c>
      <c r="C2488" s="1">
        <f t="shared" si="1017"/>
        <v>1818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32">
        <f t="shared" si="1014"/>
        <v>1057</v>
      </c>
      <c r="H2488" s="137">
        <f t="shared" si="1015"/>
        <v>0.58140814081408143</v>
      </c>
      <c r="I2488" s="2"/>
      <c r="J2488" s="2">
        <f t="shared" si="1018"/>
        <v>0.18371837183718373</v>
      </c>
      <c r="K2488" s="2">
        <f t="shared" si="1019"/>
        <v>0.76512651265126508</v>
      </c>
      <c r="L2488" s="2">
        <f t="shared" si="1020"/>
        <v>0</v>
      </c>
      <c r="M2488" s="2">
        <f t="shared" si="1021"/>
        <v>5.1155115511551164E-2</v>
      </c>
      <c r="N2488" s="63">
        <v>334</v>
      </c>
      <c r="O2488" s="63">
        <v>1391</v>
      </c>
      <c r="P2488" s="63"/>
      <c r="Q2488" s="63">
        <v>76</v>
      </c>
      <c r="R2488" s="63"/>
      <c r="S2488" s="63">
        <v>17</v>
      </c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W2488" s="5">
        <f>IF(Q2488&gt;0,RANK(Q2488,(N2488:P2488,Q2488:AE2488)),0)</f>
        <v>3</v>
      </c>
      <c r="AX2488" s="5">
        <f>IF(R2488&gt;0,RANK(R2488,(N2488:P2488,Q2488:AE2488)),0)</f>
        <v>0</v>
      </c>
      <c r="AY2488" s="5">
        <f>IF(T2488&gt;0,RANK(T2488,(N2488:P2488,Q2488:AE2488)),0)</f>
        <v>0</v>
      </c>
      <c r="AZ2488" s="5">
        <f>IF(S2488&gt;0,RANK(S2488,(N2488:P2488,Q2488:AE2488)),0)</f>
        <v>4</v>
      </c>
      <c r="BA2488" s="2">
        <f t="shared" si="1022"/>
        <v>4.1804180418041806E-2</v>
      </c>
      <c r="BB2488" s="2">
        <f t="shared" si="1023"/>
        <v>0</v>
      </c>
      <c r="BC2488" s="2">
        <f t="shared" si="1024"/>
        <v>0</v>
      </c>
      <c r="BD2488" s="2">
        <f t="shared" si="1025"/>
        <v>9.3509350935093508E-3</v>
      </c>
      <c r="BF2488" t="s">
        <v>271</v>
      </c>
      <c r="BG2488" t="s">
        <v>1183</v>
      </c>
      <c r="BH2488">
        <v>1</v>
      </c>
      <c r="BJ2488" s="114">
        <v>46</v>
      </c>
      <c r="BK2488" s="116">
        <v>59</v>
      </c>
      <c r="BL2488" s="120">
        <f t="shared" si="1026"/>
        <v>46059</v>
      </c>
      <c r="BN2488" s="5" t="s">
        <v>3154</v>
      </c>
    </row>
    <row r="2489" spans="1:66" hidden="1" outlineLevel="1">
      <c r="A2489" t="s">
        <v>1783</v>
      </c>
      <c r="B2489" t="s">
        <v>1183</v>
      </c>
      <c r="C2489" s="1">
        <f t="shared" si="1017"/>
        <v>2006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32">
        <f t="shared" si="1014"/>
        <v>1073</v>
      </c>
      <c r="H2489" s="137">
        <f t="shared" si="1015"/>
        <v>0.53489531405782653</v>
      </c>
      <c r="I2489" s="2"/>
      <c r="J2489" s="2">
        <f t="shared" si="1018"/>
        <v>0.21136590229312063</v>
      </c>
      <c r="K2489" s="2">
        <f t="shared" si="1019"/>
        <v>0.74626121635094711</v>
      </c>
      <c r="L2489" s="2">
        <f t="shared" si="1020"/>
        <v>0</v>
      </c>
      <c r="M2489" s="2">
        <f t="shared" si="1021"/>
        <v>4.2372881355932202E-2</v>
      </c>
      <c r="N2489" s="63">
        <v>424</v>
      </c>
      <c r="O2489" s="63">
        <v>1497</v>
      </c>
      <c r="P2489" s="63"/>
      <c r="Q2489" s="63">
        <v>59</v>
      </c>
      <c r="R2489" s="63"/>
      <c r="S2489" s="63">
        <v>26</v>
      </c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W2489" s="5">
        <f>IF(Q2489&gt;0,RANK(Q2489,(N2489:P2489,Q2489:AE2489)),0)</f>
        <v>3</v>
      </c>
      <c r="AX2489" s="5">
        <f>IF(R2489&gt;0,RANK(R2489,(N2489:P2489,Q2489:AE2489)),0)</f>
        <v>0</v>
      </c>
      <c r="AY2489" s="5">
        <f>IF(T2489&gt;0,RANK(T2489,(N2489:P2489,Q2489:AE2489)),0)</f>
        <v>0</v>
      </c>
      <c r="AZ2489" s="5">
        <f>IF(S2489&gt;0,RANK(S2489,(N2489:P2489,Q2489:AE2489)),0)</f>
        <v>4</v>
      </c>
      <c r="BA2489" s="2">
        <f t="shared" si="1022"/>
        <v>2.9411764705882353E-2</v>
      </c>
      <c r="BB2489" s="2">
        <f t="shared" si="1023"/>
        <v>0</v>
      </c>
      <c r="BC2489" s="2">
        <f t="shared" si="1024"/>
        <v>0</v>
      </c>
      <c r="BD2489" s="2">
        <f t="shared" si="1025"/>
        <v>1.2961116650049851E-2</v>
      </c>
      <c r="BF2489" t="s">
        <v>1783</v>
      </c>
      <c r="BG2489" t="s">
        <v>1183</v>
      </c>
      <c r="BH2489">
        <v>1</v>
      </c>
      <c r="BJ2489" s="114">
        <v>46</v>
      </c>
      <c r="BK2489" s="116">
        <v>61</v>
      </c>
      <c r="BL2489" s="120">
        <f t="shared" si="1026"/>
        <v>46061</v>
      </c>
      <c r="BN2489" s="5" t="s">
        <v>3154</v>
      </c>
    </row>
    <row r="2490" spans="1:66" hidden="1" outlineLevel="1">
      <c r="A2490" t="s">
        <v>2978</v>
      </c>
      <c r="B2490" t="s">
        <v>1183</v>
      </c>
      <c r="C2490" s="1">
        <f t="shared" si="1017"/>
        <v>770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32">
        <f t="shared" si="1014"/>
        <v>657</v>
      </c>
      <c r="H2490" s="137">
        <f t="shared" si="1015"/>
        <v>0.85324675324675325</v>
      </c>
      <c r="I2490" s="2"/>
      <c r="J2490" s="2">
        <f t="shared" si="1018"/>
        <v>4.9350649350649353E-2</v>
      </c>
      <c r="K2490" s="2">
        <f t="shared" si="1019"/>
        <v>0.90259740259740262</v>
      </c>
      <c r="L2490" s="2">
        <f t="shared" si="1020"/>
        <v>0</v>
      </c>
      <c r="M2490" s="2">
        <f t="shared" si="1021"/>
        <v>4.8051948051948012E-2</v>
      </c>
      <c r="N2490" s="63">
        <v>38</v>
      </c>
      <c r="O2490" s="63">
        <v>695</v>
      </c>
      <c r="P2490" s="63"/>
      <c r="Q2490" s="63">
        <v>31</v>
      </c>
      <c r="R2490" s="63"/>
      <c r="S2490" s="63">
        <v>6</v>
      </c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W2490" s="5">
        <f>IF(Q2490&gt;0,RANK(Q2490,(N2490:P2490,Q2490:AE2490)),0)</f>
        <v>3</v>
      </c>
      <c r="AX2490" s="5">
        <f>IF(R2490&gt;0,RANK(R2490,(N2490:P2490,Q2490:AE2490)),0)</f>
        <v>0</v>
      </c>
      <c r="AY2490" s="5">
        <f>IF(T2490&gt;0,RANK(T2490,(N2490:P2490,Q2490:AE2490)),0)</f>
        <v>0</v>
      </c>
      <c r="AZ2490" s="5">
        <f>IF(S2490&gt;0,RANK(S2490,(N2490:P2490,Q2490:AE2490)),0)</f>
        <v>4</v>
      </c>
      <c r="BA2490" s="2">
        <f t="shared" si="1022"/>
        <v>4.0259740259740259E-2</v>
      </c>
      <c r="BB2490" s="2">
        <f t="shared" si="1023"/>
        <v>0</v>
      </c>
      <c r="BC2490" s="2">
        <f t="shared" si="1024"/>
        <v>0</v>
      </c>
      <c r="BD2490" s="2">
        <f t="shared" si="1025"/>
        <v>7.7922077922077922E-3</v>
      </c>
      <c r="BF2490" t="s">
        <v>2978</v>
      </c>
      <c r="BG2490" t="s">
        <v>1183</v>
      </c>
      <c r="BH2490">
        <v>1</v>
      </c>
      <c r="BJ2490" s="114">
        <v>46</v>
      </c>
      <c r="BK2490" s="116">
        <v>63</v>
      </c>
      <c r="BL2490" s="120">
        <f t="shared" si="1026"/>
        <v>46063</v>
      </c>
      <c r="BN2490" s="5" t="s">
        <v>3154</v>
      </c>
    </row>
    <row r="2491" spans="1:66" hidden="1" outlineLevel="1">
      <c r="A2491" t="s">
        <v>2942</v>
      </c>
      <c r="B2491" t="s">
        <v>1183</v>
      </c>
      <c r="C2491" s="1">
        <f t="shared" si="1017"/>
        <v>8175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32">
        <f t="shared" si="1014"/>
        <v>2724</v>
      </c>
      <c r="H2491" s="137">
        <f t="shared" si="1015"/>
        <v>0.3332110091743119</v>
      </c>
      <c r="I2491" s="2"/>
      <c r="J2491" s="2">
        <f t="shared" si="1018"/>
        <v>0.29969418960244648</v>
      </c>
      <c r="K2491" s="2">
        <f t="shared" si="1019"/>
        <v>0.63290519877675844</v>
      </c>
      <c r="L2491" s="2">
        <f t="shared" si="1020"/>
        <v>0</v>
      </c>
      <c r="M2491" s="2">
        <f t="shared" si="1021"/>
        <v>6.7400611620795026E-2</v>
      </c>
      <c r="N2491" s="63">
        <v>2450</v>
      </c>
      <c r="O2491" s="63">
        <v>5174</v>
      </c>
      <c r="P2491" s="63"/>
      <c r="Q2491" s="63">
        <v>480</v>
      </c>
      <c r="R2491" s="63"/>
      <c r="S2491" s="63">
        <v>71</v>
      </c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W2491" s="5">
        <f>IF(Q2491&gt;0,RANK(Q2491,(N2491:P2491,Q2491:AE2491)),0)</f>
        <v>3</v>
      </c>
      <c r="AX2491" s="5">
        <f>IF(R2491&gt;0,RANK(R2491,(N2491:P2491,Q2491:AE2491)),0)</f>
        <v>0</v>
      </c>
      <c r="AY2491" s="5">
        <f>IF(T2491&gt;0,RANK(T2491,(N2491:P2491,Q2491:AE2491)),0)</f>
        <v>0</v>
      </c>
      <c r="AZ2491" s="5">
        <f>IF(S2491&gt;0,RANK(S2491,(N2491:P2491,Q2491:AE2491)),0)</f>
        <v>4</v>
      </c>
      <c r="BA2491" s="2">
        <f t="shared" si="1022"/>
        <v>5.8715596330275233E-2</v>
      </c>
      <c r="BB2491" s="2">
        <f t="shared" si="1023"/>
        <v>0</v>
      </c>
      <c r="BC2491" s="2">
        <f t="shared" si="1024"/>
        <v>0</v>
      </c>
      <c r="BD2491" s="2">
        <f t="shared" si="1025"/>
        <v>8.685015290519878E-3</v>
      </c>
      <c r="BF2491" t="s">
        <v>2942</v>
      </c>
      <c r="BG2491" t="s">
        <v>1183</v>
      </c>
      <c r="BH2491">
        <v>1</v>
      </c>
      <c r="BJ2491" s="114">
        <v>46</v>
      </c>
      <c r="BK2491" s="116">
        <v>65</v>
      </c>
      <c r="BL2491" s="120">
        <f t="shared" si="1026"/>
        <v>46065</v>
      </c>
      <c r="BN2491" s="5" t="s">
        <v>3154</v>
      </c>
    </row>
    <row r="2492" spans="1:66" hidden="1" outlineLevel="1">
      <c r="A2492" t="s">
        <v>1786</v>
      </c>
      <c r="B2492" t="s">
        <v>1183</v>
      </c>
      <c r="C2492" s="1">
        <f t="shared" ref="C2492:C2526" si="1027">SUM(N2492:AU2492)</f>
        <v>3365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32">
        <f t="shared" si="1014"/>
        <v>1825</v>
      </c>
      <c r="H2492" s="137">
        <f t="shared" si="1015"/>
        <v>0.54234769687964335</v>
      </c>
      <c r="I2492" s="2"/>
      <c r="J2492" s="2">
        <f t="shared" ref="J2492:J2526" si="1028">IF($C2492=0,"-",N2492/$C2492)</f>
        <v>0.20564635958395244</v>
      </c>
      <c r="K2492" s="2">
        <f t="shared" ref="K2492:K2526" si="1029">IF($C2492=0,"-",O2492/$C2492)</f>
        <v>0.74799405646359585</v>
      </c>
      <c r="L2492" s="2">
        <f t="shared" ref="L2492:L2526" si="1030">IF($C2492=0,"-",P2492/$C2492)</f>
        <v>0</v>
      </c>
      <c r="M2492" s="2">
        <f t="shared" ref="M2492:M2523" si="1031">IF(C2492=0,"-",(1-J2492-K2492-L2492))</f>
        <v>4.6359583952451766E-2</v>
      </c>
      <c r="N2492" s="63">
        <v>692</v>
      </c>
      <c r="O2492" s="63">
        <v>2517</v>
      </c>
      <c r="P2492" s="63"/>
      <c r="Q2492" s="63">
        <v>112</v>
      </c>
      <c r="R2492" s="63"/>
      <c r="S2492" s="63">
        <v>44</v>
      </c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W2492" s="5">
        <f>IF(Q2492&gt;0,RANK(Q2492,(N2492:P2492,Q2492:AE2492)),0)</f>
        <v>3</v>
      </c>
      <c r="AX2492" s="5">
        <f>IF(R2492&gt;0,RANK(R2492,(N2492:P2492,Q2492:AE2492)),0)</f>
        <v>0</v>
      </c>
      <c r="AY2492" s="5">
        <f>IF(T2492&gt;0,RANK(T2492,(N2492:P2492,Q2492:AE2492)),0)</f>
        <v>0</v>
      </c>
      <c r="AZ2492" s="5">
        <f>IF(S2492&gt;0,RANK(S2492,(N2492:P2492,Q2492:AE2492)),0)</f>
        <v>4</v>
      </c>
      <c r="BA2492" s="2">
        <f t="shared" ref="BA2492:BA2526" si="1032">IF($C2492=0,"-",Q2492/$C2492)</f>
        <v>3.3283803863298662E-2</v>
      </c>
      <c r="BB2492" s="2">
        <f t="shared" ref="BB2492:BB2526" si="1033">IF($C2492=0,"-",R2492/$C2492)</f>
        <v>0</v>
      </c>
      <c r="BC2492" s="2">
        <f t="shared" ref="BC2492:BC2526" si="1034">IF($C2492=0,"-",T2492/$C2492)</f>
        <v>0</v>
      </c>
      <c r="BD2492" s="2">
        <f t="shared" ref="BD2492:BD2526" si="1035">IF($C2492=0,"-",S2492/$C2492)</f>
        <v>1.3075780089153046E-2</v>
      </c>
      <c r="BF2492" t="s">
        <v>1786</v>
      </c>
      <c r="BG2492" t="s">
        <v>1183</v>
      </c>
      <c r="BH2492">
        <v>1</v>
      </c>
      <c r="BJ2492" s="114">
        <v>46</v>
      </c>
      <c r="BK2492" s="116">
        <v>67</v>
      </c>
      <c r="BL2492" s="120">
        <f t="shared" si="1026"/>
        <v>46067</v>
      </c>
      <c r="BN2492" s="5" t="s">
        <v>3154</v>
      </c>
    </row>
    <row r="2493" spans="1:66" hidden="1" outlineLevel="1">
      <c r="A2493" t="s">
        <v>2199</v>
      </c>
      <c r="B2493" t="s">
        <v>1183</v>
      </c>
      <c r="C2493" s="1">
        <f t="shared" si="1027"/>
        <v>690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32">
        <f t="shared" si="1014"/>
        <v>418</v>
      </c>
      <c r="H2493" s="137">
        <f t="shared" si="1015"/>
        <v>0.60579710144927534</v>
      </c>
      <c r="I2493" s="2"/>
      <c r="J2493" s="2">
        <f t="shared" si="1028"/>
        <v>0.18115942028985507</v>
      </c>
      <c r="K2493" s="2">
        <f t="shared" si="1029"/>
        <v>0.78695652173913044</v>
      </c>
      <c r="L2493" s="2">
        <f t="shared" si="1030"/>
        <v>0</v>
      </c>
      <c r="M2493" s="2">
        <f t="shared" si="1031"/>
        <v>3.1884057971014457E-2</v>
      </c>
      <c r="N2493" s="63">
        <v>125</v>
      </c>
      <c r="O2493" s="63">
        <v>543</v>
      </c>
      <c r="P2493" s="63"/>
      <c r="Q2493" s="63">
        <v>17</v>
      </c>
      <c r="R2493" s="63"/>
      <c r="S2493" s="63">
        <v>5</v>
      </c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W2493" s="5">
        <f>IF(Q2493&gt;0,RANK(Q2493,(N2493:P2493,Q2493:AE2493)),0)</f>
        <v>3</v>
      </c>
      <c r="AX2493" s="5">
        <f>IF(R2493&gt;0,RANK(R2493,(N2493:P2493,Q2493:AE2493)),0)</f>
        <v>0</v>
      </c>
      <c r="AY2493" s="5">
        <f>IF(T2493&gt;0,RANK(T2493,(N2493:P2493,Q2493:AE2493)),0)</f>
        <v>0</v>
      </c>
      <c r="AZ2493" s="5">
        <f>IF(S2493&gt;0,RANK(S2493,(N2493:P2493,Q2493:AE2493)),0)</f>
        <v>4</v>
      </c>
      <c r="BA2493" s="2">
        <f t="shared" si="1032"/>
        <v>2.4637681159420291E-2</v>
      </c>
      <c r="BB2493" s="2">
        <f t="shared" si="1033"/>
        <v>0</v>
      </c>
      <c r="BC2493" s="2">
        <f t="shared" si="1034"/>
        <v>0</v>
      </c>
      <c r="BD2493" s="2">
        <f t="shared" si="1035"/>
        <v>7.246376811594203E-3</v>
      </c>
      <c r="BF2493" t="s">
        <v>2199</v>
      </c>
      <c r="BG2493" t="s">
        <v>1183</v>
      </c>
      <c r="BH2493">
        <v>1</v>
      </c>
      <c r="BJ2493" s="114">
        <v>46</v>
      </c>
      <c r="BK2493" s="116">
        <v>69</v>
      </c>
      <c r="BL2493" s="120">
        <f t="shared" si="1026"/>
        <v>46069</v>
      </c>
      <c r="BN2493" s="5" t="s">
        <v>3154</v>
      </c>
    </row>
    <row r="2494" spans="1:66" hidden="1" outlineLevel="1">
      <c r="A2494" t="s">
        <v>2921</v>
      </c>
      <c r="B2494" t="s">
        <v>1183</v>
      </c>
      <c r="C2494" s="1">
        <f t="shared" si="1027"/>
        <v>1095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32">
        <f t="shared" si="1014"/>
        <v>399</v>
      </c>
      <c r="H2494" s="137">
        <f t="shared" si="1015"/>
        <v>0.36438356164383562</v>
      </c>
      <c r="I2494" s="2"/>
      <c r="J2494" s="2">
        <f t="shared" si="1028"/>
        <v>0.29497716894977166</v>
      </c>
      <c r="K2494" s="2">
        <f t="shared" si="1029"/>
        <v>0.65936073059360734</v>
      </c>
      <c r="L2494" s="2">
        <f t="shared" si="1030"/>
        <v>0</v>
      </c>
      <c r="M2494" s="2">
        <f t="shared" si="1031"/>
        <v>4.5662100456621002E-2</v>
      </c>
      <c r="N2494" s="63">
        <v>323</v>
      </c>
      <c r="O2494" s="63">
        <v>722</v>
      </c>
      <c r="P2494" s="63"/>
      <c r="Q2494" s="63">
        <v>36</v>
      </c>
      <c r="R2494" s="63"/>
      <c r="S2494" s="63">
        <v>14</v>
      </c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W2494" s="5">
        <f>IF(Q2494&gt;0,RANK(Q2494,(N2494:P2494,Q2494:AE2494)),0)</f>
        <v>3</v>
      </c>
      <c r="AX2494" s="5">
        <f>IF(R2494&gt;0,RANK(R2494,(N2494:P2494,Q2494:AE2494)),0)</f>
        <v>0</v>
      </c>
      <c r="AY2494" s="5">
        <f>IF(T2494&gt;0,RANK(T2494,(N2494:P2494,Q2494:AE2494)),0)</f>
        <v>0</v>
      </c>
      <c r="AZ2494" s="5">
        <f>IF(S2494&gt;0,RANK(S2494,(N2494:P2494,Q2494:AE2494)),0)</f>
        <v>4</v>
      </c>
      <c r="BA2494" s="2">
        <f t="shared" si="1032"/>
        <v>3.287671232876712E-2</v>
      </c>
      <c r="BB2494" s="2">
        <f t="shared" si="1033"/>
        <v>0</v>
      </c>
      <c r="BC2494" s="2">
        <f t="shared" si="1034"/>
        <v>0</v>
      </c>
      <c r="BD2494" s="2">
        <f t="shared" si="1035"/>
        <v>1.2785388127853882E-2</v>
      </c>
      <c r="BF2494" t="s">
        <v>2921</v>
      </c>
      <c r="BG2494" t="s">
        <v>1183</v>
      </c>
      <c r="BH2494">
        <v>1</v>
      </c>
      <c r="BJ2494" s="114">
        <v>46</v>
      </c>
      <c r="BK2494" s="116">
        <v>71</v>
      </c>
      <c r="BL2494" s="120">
        <f t="shared" si="1026"/>
        <v>46071</v>
      </c>
      <c r="BN2494" s="5" t="s">
        <v>3154</v>
      </c>
    </row>
    <row r="2495" spans="1:66" hidden="1" outlineLevel="1">
      <c r="A2495" t="s">
        <v>2200</v>
      </c>
      <c r="B2495" t="s">
        <v>1183</v>
      </c>
      <c r="C2495" s="1">
        <f t="shared" si="1027"/>
        <v>967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32">
        <f t="shared" si="1014"/>
        <v>384</v>
      </c>
      <c r="H2495" s="137">
        <f t="shared" si="1015"/>
        <v>0.39710444674250256</v>
      </c>
      <c r="I2495" s="2"/>
      <c r="J2495" s="2">
        <f t="shared" si="1028"/>
        <v>0.2730093071354705</v>
      </c>
      <c r="K2495" s="2">
        <f t="shared" si="1029"/>
        <v>0.67011375387797312</v>
      </c>
      <c r="L2495" s="2">
        <f t="shared" si="1030"/>
        <v>0</v>
      </c>
      <c r="M2495" s="2">
        <f t="shared" si="1031"/>
        <v>5.6876938986556436E-2</v>
      </c>
      <c r="N2495" s="63">
        <v>264</v>
      </c>
      <c r="O2495" s="63">
        <v>648</v>
      </c>
      <c r="P2495" s="63"/>
      <c r="Q2495" s="63">
        <v>36</v>
      </c>
      <c r="R2495" s="63"/>
      <c r="S2495" s="63">
        <v>19</v>
      </c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W2495" s="5">
        <f>IF(Q2495&gt;0,RANK(Q2495,(N2495:P2495,Q2495:AE2495)),0)</f>
        <v>3</v>
      </c>
      <c r="AX2495" s="5">
        <f>IF(R2495&gt;0,RANK(R2495,(N2495:P2495,Q2495:AE2495)),0)</f>
        <v>0</v>
      </c>
      <c r="AY2495" s="5">
        <f>IF(T2495&gt;0,RANK(T2495,(N2495:P2495,Q2495:AE2495)),0)</f>
        <v>0</v>
      </c>
      <c r="AZ2495" s="5">
        <f>IF(S2495&gt;0,RANK(S2495,(N2495:P2495,Q2495:AE2495)),0)</f>
        <v>4</v>
      </c>
      <c r="BA2495" s="2">
        <f t="shared" si="1032"/>
        <v>3.7228541882109618E-2</v>
      </c>
      <c r="BB2495" s="2">
        <f t="shared" si="1033"/>
        <v>0</v>
      </c>
      <c r="BC2495" s="2">
        <f t="shared" si="1034"/>
        <v>0</v>
      </c>
      <c r="BD2495" s="2">
        <f t="shared" si="1035"/>
        <v>1.9648397104446741E-2</v>
      </c>
      <c r="BF2495" t="s">
        <v>2200</v>
      </c>
      <c r="BG2495" t="s">
        <v>1183</v>
      </c>
      <c r="BH2495">
        <v>1</v>
      </c>
      <c r="BJ2495" s="114">
        <v>46</v>
      </c>
      <c r="BK2495" s="116">
        <v>73</v>
      </c>
      <c r="BL2495" s="120">
        <f t="shared" si="1026"/>
        <v>46073</v>
      </c>
      <c r="BN2495" s="5" t="s">
        <v>3154</v>
      </c>
    </row>
    <row r="2496" spans="1:66" hidden="1" outlineLevel="1">
      <c r="A2496" t="s">
        <v>241</v>
      </c>
      <c r="B2496" t="s">
        <v>1183</v>
      </c>
      <c r="C2496" s="1">
        <f t="shared" si="1027"/>
        <v>558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32">
        <f t="shared" si="1014"/>
        <v>381</v>
      </c>
      <c r="H2496" s="137">
        <f t="shared" si="1015"/>
        <v>0.68279569892473113</v>
      </c>
      <c r="I2496" s="2"/>
      <c r="J2496" s="2">
        <f t="shared" si="1028"/>
        <v>0.12365591397849462</v>
      </c>
      <c r="K2496" s="2">
        <f t="shared" si="1029"/>
        <v>0.80645161290322576</v>
      </c>
      <c r="L2496" s="2">
        <f t="shared" si="1030"/>
        <v>0</v>
      </c>
      <c r="M2496" s="2">
        <f t="shared" si="1031"/>
        <v>6.9892473118279619E-2</v>
      </c>
      <c r="N2496" s="63">
        <v>69</v>
      </c>
      <c r="O2496" s="63">
        <v>450</v>
      </c>
      <c r="P2496" s="63"/>
      <c r="Q2496" s="63">
        <v>32</v>
      </c>
      <c r="R2496" s="63"/>
      <c r="S2496" s="63">
        <v>7</v>
      </c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W2496" s="5">
        <f>IF(Q2496&gt;0,RANK(Q2496,(N2496:P2496,Q2496:AE2496)),0)</f>
        <v>3</v>
      </c>
      <c r="AX2496" s="5">
        <f>IF(R2496&gt;0,RANK(R2496,(N2496:P2496,Q2496:AE2496)),0)</f>
        <v>0</v>
      </c>
      <c r="AY2496" s="5">
        <f>IF(T2496&gt;0,RANK(T2496,(N2496:P2496,Q2496:AE2496)),0)</f>
        <v>0</v>
      </c>
      <c r="AZ2496" s="5">
        <f>IF(S2496&gt;0,RANK(S2496,(N2496:P2496,Q2496:AE2496)),0)</f>
        <v>4</v>
      </c>
      <c r="BA2496" s="2">
        <f t="shared" si="1032"/>
        <v>5.7347670250896057E-2</v>
      </c>
      <c r="BB2496" s="2">
        <f t="shared" si="1033"/>
        <v>0</v>
      </c>
      <c r="BC2496" s="2">
        <f t="shared" si="1034"/>
        <v>0</v>
      </c>
      <c r="BD2496" s="2">
        <f t="shared" si="1035"/>
        <v>1.2544802867383513E-2</v>
      </c>
      <c r="BF2496" t="s">
        <v>241</v>
      </c>
      <c r="BG2496" t="s">
        <v>1183</v>
      </c>
      <c r="BH2496">
        <v>1</v>
      </c>
      <c r="BJ2496" s="114">
        <v>46</v>
      </c>
      <c r="BK2496" s="116">
        <v>75</v>
      </c>
      <c r="BL2496" s="120">
        <f t="shared" si="1026"/>
        <v>46075</v>
      </c>
      <c r="BN2496" s="5" t="s">
        <v>3154</v>
      </c>
    </row>
    <row r="2497" spans="1:66" hidden="1" outlineLevel="1">
      <c r="A2497" t="s">
        <v>659</v>
      </c>
      <c r="B2497" t="s">
        <v>1183</v>
      </c>
      <c r="C2497" s="1">
        <f t="shared" si="1027"/>
        <v>2551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32">
        <f t="shared" si="1014"/>
        <v>977</v>
      </c>
      <c r="H2497" s="137">
        <f t="shared" si="1015"/>
        <v>0.38298706389651116</v>
      </c>
      <c r="I2497" s="2"/>
      <c r="J2497" s="2">
        <f t="shared" si="1028"/>
        <v>0.27557820462563698</v>
      </c>
      <c r="K2497" s="2">
        <f t="shared" si="1029"/>
        <v>0.65856526852214814</v>
      </c>
      <c r="L2497" s="2">
        <f t="shared" si="1030"/>
        <v>0</v>
      </c>
      <c r="M2497" s="2">
        <f t="shared" si="1031"/>
        <v>6.5856526852214881E-2</v>
      </c>
      <c r="N2497" s="63">
        <v>703</v>
      </c>
      <c r="O2497" s="63">
        <v>1680</v>
      </c>
      <c r="P2497" s="63"/>
      <c r="Q2497" s="63">
        <v>139</v>
      </c>
      <c r="R2497" s="63"/>
      <c r="S2497" s="63">
        <v>29</v>
      </c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W2497" s="5">
        <f>IF(Q2497&gt;0,RANK(Q2497,(N2497:P2497,Q2497:AE2497)),0)</f>
        <v>3</v>
      </c>
      <c r="AX2497" s="5">
        <f>IF(R2497&gt;0,RANK(R2497,(N2497:P2497,Q2497:AE2497)),0)</f>
        <v>0</v>
      </c>
      <c r="AY2497" s="5">
        <f>IF(T2497&gt;0,RANK(T2497,(N2497:P2497,Q2497:AE2497)),0)</f>
        <v>0</v>
      </c>
      <c r="AZ2497" s="5">
        <f>IF(S2497&gt;0,RANK(S2497,(N2497:P2497,Q2497:AE2497)),0)</f>
        <v>4</v>
      </c>
      <c r="BA2497" s="2">
        <f t="shared" si="1032"/>
        <v>5.4488435907487261E-2</v>
      </c>
      <c r="BB2497" s="2">
        <f t="shared" si="1033"/>
        <v>0</v>
      </c>
      <c r="BC2497" s="2">
        <f t="shared" si="1034"/>
        <v>0</v>
      </c>
      <c r="BD2497" s="2">
        <f t="shared" si="1035"/>
        <v>1.1368090944727557E-2</v>
      </c>
      <c r="BF2497" t="s">
        <v>659</v>
      </c>
      <c r="BG2497" t="s">
        <v>1183</v>
      </c>
      <c r="BH2497">
        <v>1</v>
      </c>
      <c r="BJ2497" s="114">
        <v>46</v>
      </c>
      <c r="BK2497" s="116">
        <v>77</v>
      </c>
      <c r="BL2497" s="120">
        <f t="shared" si="1026"/>
        <v>46077</v>
      </c>
      <c r="BN2497" s="5" t="s">
        <v>3154</v>
      </c>
    </row>
    <row r="2498" spans="1:66" hidden="1" outlineLevel="1">
      <c r="A2498" t="s">
        <v>820</v>
      </c>
      <c r="B2498" t="s">
        <v>1183</v>
      </c>
      <c r="C2498" s="1">
        <f t="shared" si="1027"/>
        <v>6786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32">
        <f t="shared" si="1014"/>
        <v>1724</v>
      </c>
      <c r="H2498" s="137">
        <f t="shared" si="1015"/>
        <v>0.25405246094901268</v>
      </c>
      <c r="I2498" s="2"/>
      <c r="J2498" s="2">
        <f t="shared" si="1028"/>
        <v>0.34099616858237547</v>
      </c>
      <c r="K2498" s="2">
        <f t="shared" si="1029"/>
        <v>0.59504862953138815</v>
      </c>
      <c r="L2498" s="2">
        <f t="shared" si="1030"/>
        <v>0</v>
      </c>
      <c r="M2498" s="2">
        <f t="shared" si="1031"/>
        <v>6.3955201886236379E-2</v>
      </c>
      <c r="N2498" s="63">
        <v>2314</v>
      </c>
      <c r="O2498" s="63">
        <v>4038</v>
      </c>
      <c r="P2498" s="63"/>
      <c r="Q2498" s="63">
        <v>358</v>
      </c>
      <c r="R2498" s="63"/>
      <c r="S2498" s="63">
        <v>76</v>
      </c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W2498" s="5">
        <f>IF(Q2498&gt;0,RANK(Q2498,(N2498:P2498,Q2498:AE2498)),0)</f>
        <v>3</v>
      </c>
      <c r="AX2498" s="5">
        <f>IF(R2498&gt;0,RANK(R2498,(N2498:P2498,Q2498:AE2498)),0)</f>
        <v>0</v>
      </c>
      <c r="AY2498" s="5">
        <f>IF(T2498&gt;0,RANK(T2498,(N2498:P2498,Q2498:AE2498)),0)</f>
        <v>0</v>
      </c>
      <c r="AZ2498" s="5">
        <f>IF(S2498&gt;0,RANK(S2498,(N2498:P2498,Q2498:AE2498)),0)</f>
        <v>4</v>
      </c>
      <c r="BA2498" s="2">
        <f t="shared" si="1032"/>
        <v>5.2755673445328617E-2</v>
      </c>
      <c r="BB2498" s="2">
        <f t="shared" si="1033"/>
        <v>0</v>
      </c>
      <c r="BC2498" s="2">
        <f t="shared" si="1034"/>
        <v>0</v>
      </c>
      <c r="BD2498" s="2">
        <f t="shared" si="1035"/>
        <v>1.1199528440907752E-2</v>
      </c>
      <c r="BF2498" t="s">
        <v>820</v>
      </c>
      <c r="BG2498" t="s">
        <v>1183</v>
      </c>
      <c r="BH2498">
        <v>1</v>
      </c>
      <c r="BJ2498" s="114">
        <v>46</v>
      </c>
      <c r="BK2498" s="116">
        <v>79</v>
      </c>
      <c r="BL2498" s="120">
        <f t="shared" si="1026"/>
        <v>46079</v>
      </c>
      <c r="BN2498" s="5" t="s">
        <v>3154</v>
      </c>
    </row>
    <row r="2499" spans="1:66" hidden="1" outlineLevel="1">
      <c r="A2499" t="s">
        <v>548</v>
      </c>
      <c r="B2499" t="s">
        <v>1183</v>
      </c>
      <c r="C2499" s="1">
        <f t="shared" si="1027"/>
        <v>11842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32">
        <f t="shared" si="1014"/>
        <v>4055</v>
      </c>
      <c r="H2499" s="137">
        <f t="shared" si="1015"/>
        <v>0.34242526600236445</v>
      </c>
      <c r="I2499" s="2"/>
      <c r="J2499" s="2">
        <f t="shared" si="1028"/>
        <v>0.28339807464955247</v>
      </c>
      <c r="K2499" s="2">
        <f t="shared" si="1029"/>
        <v>0.62582334065191692</v>
      </c>
      <c r="L2499" s="2">
        <f t="shared" si="1030"/>
        <v>0</v>
      </c>
      <c r="M2499" s="2">
        <f t="shared" si="1031"/>
        <v>9.0778584698530618E-2</v>
      </c>
      <c r="N2499" s="63">
        <v>3356</v>
      </c>
      <c r="O2499" s="63">
        <v>7411</v>
      </c>
      <c r="P2499" s="63"/>
      <c r="Q2499" s="63">
        <v>934</v>
      </c>
      <c r="R2499" s="63"/>
      <c r="S2499" s="63">
        <v>141</v>
      </c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W2499" s="5">
        <f>IF(Q2499&gt;0,RANK(Q2499,(N2499:P2499,Q2499:AE2499)),0)</f>
        <v>3</v>
      </c>
      <c r="AX2499" s="5">
        <f>IF(R2499&gt;0,RANK(R2499,(N2499:P2499,Q2499:AE2499)),0)</f>
        <v>0</v>
      </c>
      <c r="AY2499" s="5">
        <f>IF(T2499&gt;0,RANK(T2499,(N2499:P2499,Q2499:AE2499)),0)</f>
        <v>0</v>
      </c>
      <c r="AZ2499" s="5">
        <f>IF(S2499&gt;0,RANK(S2499,(N2499:P2499,Q2499:AE2499)),0)</f>
        <v>4</v>
      </c>
      <c r="BA2499" s="2">
        <f t="shared" si="1032"/>
        <v>7.887181219388617E-2</v>
      </c>
      <c r="BB2499" s="2">
        <f t="shared" si="1033"/>
        <v>0</v>
      </c>
      <c r="BC2499" s="2">
        <f t="shared" si="1034"/>
        <v>0</v>
      </c>
      <c r="BD2499" s="2">
        <f t="shared" si="1035"/>
        <v>1.1906772504644485E-2</v>
      </c>
      <c r="BF2499" t="s">
        <v>548</v>
      </c>
      <c r="BG2499" t="s">
        <v>1183</v>
      </c>
      <c r="BH2499">
        <v>1</v>
      </c>
      <c r="BJ2499" s="114">
        <v>46</v>
      </c>
      <c r="BK2499" s="116">
        <v>81</v>
      </c>
      <c r="BL2499" s="120">
        <f t="shared" si="1026"/>
        <v>46081</v>
      </c>
      <c r="BN2499" s="5" t="s">
        <v>3154</v>
      </c>
    </row>
    <row r="2500" spans="1:66" hidden="1" outlineLevel="1">
      <c r="A2500" t="s">
        <v>1597</v>
      </c>
      <c r="B2500" t="s">
        <v>1183</v>
      </c>
      <c r="C2500" s="1">
        <f t="shared" si="1027"/>
        <v>25231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32">
        <f t="shared" si="1014"/>
        <v>7423</v>
      </c>
      <c r="H2500" s="137">
        <f t="shared" si="1015"/>
        <v>0.29420157742459674</v>
      </c>
      <c r="I2500" s="2"/>
      <c r="J2500" s="2">
        <f t="shared" si="1028"/>
        <v>0.32008243827038169</v>
      </c>
      <c r="K2500" s="2">
        <f t="shared" si="1029"/>
        <v>0.61428401569497837</v>
      </c>
      <c r="L2500" s="2">
        <f t="shared" si="1030"/>
        <v>0</v>
      </c>
      <c r="M2500" s="2">
        <f t="shared" si="1031"/>
        <v>6.5633546034639889E-2</v>
      </c>
      <c r="N2500" s="63">
        <v>8076</v>
      </c>
      <c r="O2500" s="63">
        <v>15499</v>
      </c>
      <c r="P2500" s="63"/>
      <c r="Q2500" s="63">
        <v>1413</v>
      </c>
      <c r="R2500" s="63"/>
      <c r="S2500" s="63">
        <v>243</v>
      </c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W2500" s="5">
        <f>IF(Q2500&gt;0,RANK(Q2500,(N2500:P2500,Q2500:AE2500)),0)</f>
        <v>3</v>
      </c>
      <c r="AX2500" s="5">
        <f>IF(R2500&gt;0,RANK(R2500,(N2500:P2500,Q2500:AE2500)),0)</f>
        <v>0</v>
      </c>
      <c r="AY2500" s="5">
        <f>IF(T2500&gt;0,RANK(T2500,(N2500:P2500,Q2500:AE2500)),0)</f>
        <v>0</v>
      </c>
      <c r="AZ2500" s="5">
        <f>IF(S2500&gt;0,RANK(S2500,(N2500:P2500,Q2500:AE2500)),0)</f>
        <v>4</v>
      </c>
      <c r="BA2500" s="2">
        <f t="shared" si="1032"/>
        <v>5.600253656216559E-2</v>
      </c>
      <c r="BB2500" s="2">
        <f t="shared" si="1033"/>
        <v>0</v>
      </c>
      <c r="BC2500" s="2">
        <f t="shared" si="1034"/>
        <v>0</v>
      </c>
      <c r="BD2500" s="2">
        <f t="shared" si="1035"/>
        <v>9.6310094724743368E-3</v>
      </c>
      <c r="BF2500" t="s">
        <v>1597</v>
      </c>
      <c r="BG2500" t="s">
        <v>1183</v>
      </c>
      <c r="BH2500">
        <v>1</v>
      </c>
      <c r="BJ2500" s="114">
        <v>46</v>
      </c>
      <c r="BK2500" s="116">
        <v>83</v>
      </c>
      <c r="BL2500" s="120">
        <f t="shared" si="1026"/>
        <v>46083</v>
      </c>
      <c r="BN2500" s="5" t="s">
        <v>3154</v>
      </c>
    </row>
    <row r="2501" spans="1:66" hidden="1" outlineLevel="1">
      <c r="A2501" t="s">
        <v>1270</v>
      </c>
      <c r="B2501" t="s">
        <v>1183</v>
      </c>
      <c r="C2501" s="1">
        <f t="shared" si="1027"/>
        <v>1421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32">
        <f t="shared" si="1014"/>
        <v>608</v>
      </c>
      <c r="H2501" s="137">
        <f t="shared" si="1015"/>
        <v>0.42786769880365938</v>
      </c>
      <c r="I2501" s="2"/>
      <c r="J2501" s="2">
        <f t="shared" si="1028"/>
        <v>0.25967628430682616</v>
      </c>
      <c r="K2501" s="2">
        <f t="shared" si="1029"/>
        <v>0.68754398311048559</v>
      </c>
      <c r="L2501" s="2">
        <f t="shared" si="1030"/>
        <v>0</v>
      </c>
      <c r="M2501" s="2">
        <f t="shared" si="1031"/>
        <v>5.277973258268831E-2</v>
      </c>
      <c r="N2501" s="63">
        <v>369</v>
      </c>
      <c r="O2501" s="63">
        <v>977</v>
      </c>
      <c r="P2501" s="63"/>
      <c r="Q2501" s="63">
        <v>56</v>
      </c>
      <c r="R2501" s="63"/>
      <c r="S2501" s="63">
        <v>19</v>
      </c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W2501" s="5">
        <f>IF(Q2501&gt;0,RANK(Q2501,(N2501:P2501,Q2501:AE2501)),0)</f>
        <v>3</v>
      </c>
      <c r="AX2501" s="5">
        <f>IF(R2501&gt;0,RANK(R2501,(N2501:P2501,Q2501:AE2501)),0)</f>
        <v>0</v>
      </c>
      <c r="AY2501" s="5">
        <f>IF(T2501&gt;0,RANK(T2501,(N2501:P2501,Q2501:AE2501)),0)</f>
        <v>0</v>
      </c>
      <c r="AZ2501" s="5">
        <f>IF(S2501&gt;0,RANK(S2501,(N2501:P2501,Q2501:AE2501)),0)</f>
        <v>4</v>
      </c>
      <c r="BA2501" s="2">
        <f t="shared" si="1032"/>
        <v>3.9408866995073892E-2</v>
      </c>
      <c r="BB2501" s="2">
        <f t="shared" si="1033"/>
        <v>0</v>
      </c>
      <c r="BC2501" s="2">
        <f t="shared" si="1034"/>
        <v>0</v>
      </c>
      <c r="BD2501" s="2">
        <f t="shared" si="1035"/>
        <v>1.3370865587614356E-2</v>
      </c>
      <c r="BF2501" t="s">
        <v>1270</v>
      </c>
      <c r="BG2501" t="s">
        <v>1183</v>
      </c>
      <c r="BH2501">
        <v>1</v>
      </c>
      <c r="BJ2501" s="114">
        <v>46</v>
      </c>
      <c r="BK2501" s="116">
        <v>85</v>
      </c>
      <c r="BL2501" s="120">
        <f t="shared" si="1026"/>
        <v>46085</v>
      </c>
      <c r="BN2501" s="5" t="s">
        <v>3154</v>
      </c>
    </row>
    <row r="2502" spans="1:66" hidden="1" outlineLevel="1">
      <c r="A2502" t="s">
        <v>1552</v>
      </c>
      <c r="B2502" t="s">
        <v>1183</v>
      </c>
      <c r="C2502" s="1">
        <f t="shared" si="1027"/>
        <v>2587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32">
        <f t="shared" si="1014"/>
        <v>1171</v>
      </c>
      <c r="H2502" s="137">
        <f t="shared" si="1015"/>
        <v>0.45264785465790491</v>
      </c>
      <c r="I2502" s="2"/>
      <c r="J2502" s="2">
        <f t="shared" si="1028"/>
        <v>0.24081948202551218</v>
      </c>
      <c r="K2502" s="2">
        <f t="shared" si="1029"/>
        <v>0.69346733668341709</v>
      </c>
      <c r="L2502" s="2">
        <f t="shared" si="1030"/>
        <v>0</v>
      </c>
      <c r="M2502" s="2">
        <f t="shared" si="1031"/>
        <v>6.5713181291070732E-2</v>
      </c>
      <c r="N2502" s="63">
        <v>623</v>
      </c>
      <c r="O2502" s="63">
        <v>1794</v>
      </c>
      <c r="P2502" s="63"/>
      <c r="Q2502" s="63">
        <v>130</v>
      </c>
      <c r="R2502" s="63"/>
      <c r="S2502" s="63">
        <v>40</v>
      </c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W2502" s="5">
        <f>IF(Q2502&gt;0,RANK(Q2502,(N2502:P2502,Q2502:AE2502)),0)</f>
        <v>3</v>
      </c>
      <c r="AX2502" s="5">
        <f>IF(R2502&gt;0,RANK(R2502,(N2502:P2502,Q2502:AE2502)),0)</f>
        <v>0</v>
      </c>
      <c r="AY2502" s="5">
        <f>IF(T2502&gt;0,RANK(T2502,(N2502:P2502,Q2502:AE2502)),0)</f>
        <v>0</v>
      </c>
      <c r="AZ2502" s="5">
        <f>IF(S2502&gt;0,RANK(S2502,(N2502:P2502,Q2502:AE2502)),0)</f>
        <v>4</v>
      </c>
      <c r="BA2502" s="2">
        <f t="shared" si="1032"/>
        <v>5.0251256281407038E-2</v>
      </c>
      <c r="BB2502" s="2">
        <f t="shared" si="1033"/>
        <v>0</v>
      </c>
      <c r="BC2502" s="2">
        <f t="shared" si="1034"/>
        <v>0</v>
      </c>
      <c r="BD2502" s="2">
        <f t="shared" si="1035"/>
        <v>1.5461925009663703E-2</v>
      </c>
      <c r="BF2502" t="s">
        <v>1552</v>
      </c>
      <c r="BG2502" t="s">
        <v>1183</v>
      </c>
      <c r="BH2502">
        <v>1</v>
      </c>
      <c r="BJ2502" s="114">
        <v>46</v>
      </c>
      <c r="BK2502" s="116">
        <v>87</v>
      </c>
      <c r="BL2502" s="120">
        <f t="shared" si="1026"/>
        <v>46087</v>
      </c>
      <c r="BN2502" s="5" t="s">
        <v>3154</v>
      </c>
    </row>
    <row r="2503" spans="1:66" hidden="1" outlineLevel="1">
      <c r="A2503" t="s">
        <v>1334</v>
      </c>
      <c r="B2503" t="s">
        <v>1183</v>
      </c>
      <c r="C2503" s="1">
        <f t="shared" si="1027"/>
        <v>1137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32">
        <f t="shared" si="1014"/>
        <v>700</v>
      </c>
      <c r="H2503" s="137">
        <f t="shared" si="1015"/>
        <v>0.61565523306948111</v>
      </c>
      <c r="I2503" s="2"/>
      <c r="J2503" s="2">
        <f t="shared" si="1028"/>
        <v>0.16886543535620052</v>
      </c>
      <c r="K2503" s="2">
        <f t="shared" si="1029"/>
        <v>0.78452066842568158</v>
      </c>
      <c r="L2503" s="2">
        <f t="shared" si="1030"/>
        <v>0</v>
      </c>
      <c r="M2503" s="2">
        <f t="shared" si="1031"/>
        <v>4.6613896218117956E-2</v>
      </c>
      <c r="N2503" s="63">
        <v>192</v>
      </c>
      <c r="O2503" s="63">
        <v>892</v>
      </c>
      <c r="P2503" s="63"/>
      <c r="Q2503" s="63">
        <v>43</v>
      </c>
      <c r="R2503" s="63"/>
      <c r="S2503" s="63">
        <v>10</v>
      </c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W2503" s="5">
        <f>IF(Q2503&gt;0,RANK(Q2503,(N2503:P2503,Q2503:AE2503)),0)</f>
        <v>3</v>
      </c>
      <c r="AX2503" s="5">
        <f>IF(R2503&gt;0,RANK(R2503,(N2503:P2503,Q2503:AE2503)),0)</f>
        <v>0</v>
      </c>
      <c r="AY2503" s="5">
        <f>IF(T2503&gt;0,RANK(T2503,(N2503:P2503,Q2503:AE2503)),0)</f>
        <v>0</v>
      </c>
      <c r="AZ2503" s="5">
        <f>IF(S2503&gt;0,RANK(S2503,(N2503:P2503,Q2503:AE2503)),0)</f>
        <v>4</v>
      </c>
      <c r="BA2503" s="2">
        <f t="shared" si="1032"/>
        <v>3.7818821459982409E-2</v>
      </c>
      <c r="BB2503" s="2">
        <f t="shared" si="1033"/>
        <v>0</v>
      </c>
      <c r="BC2503" s="2">
        <f t="shared" si="1034"/>
        <v>0</v>
      </c>
      <c r="BD2503" s="2">
        <f t="shared" si="1035"/>
        <v>8.795074758135445E-3</v>
      </c>
      <c r="BF2503" t="s">
        <v>1334</v>
      </c>
      <c r="BG2503" t="s">
        <v>1183</v>
      </c>
      <c r="BH2503">
        <v>1</v>
      </c>
      <c r="BJ2503" s="114">
        <v>46</v>
      </c>
      <c r="BK2503" s="116">
        <v>89</v>
      </c>
      <c r="BL2503" s="120">
        <f t="shared" si="1026"/>
        <v>46089</v>
      </c>
      <c r="BN2503" s="5" t="s">
        <v>3154</v>
      </c>
    </row>
    <row r="2504" spans="1:66" hidden="1" outlineLevel="1">
      <c r="A2504" t="s">
        <v>1847</v>
      </c>
      <c r="B2504" t="s">
        <v>1183</v>
      </c>
      <c r="C2504" s="1">
        <f t="shared" si="1027"/>
        <v>1947</v>
      </c>
      <c r="D2504" s="5">
        <f>IF(N2504&gt;0, RANK(N2504,(N2504:P2504,Q2504:AE2504)),0)</f>
        <v>2</v>
      </c>
      <c r="E2504" s="5">
        <f>IF(O2504&gt;0,RANK(O2504,(N2504:P2504,Q2504:AE2504)),0)</f>
        <v>1</v>
      </c>
      <c r="F2504" s="5">
        <f>IF(P2504&gt;0,RANK(P2504,(N2504:P2504,Q2504:AE2504)),0)</f>
        <v>0</v>
      </c>
      <c r="G2504" s="132">
        <f t="shared" si="1014"/>
        <v>302</v>
      </c>
      <c r="H2504" s="137">
        <f t="shared" si="1015"/>
        <v>0.15511042629686697</v>
      </c>
      <c r="I2504" s="2"/>
      <c r="J2504" s="2">
        <f t="shared" si="1028"/>
        <v>0.3872624550590652</v>
      </c>
      <c r="K2504" s="2">
        <f t="shared" si="1029"/>
        <v>0.5423728813559322</v>
      </c>
      <c r="L2504" s="2">
        <f t="shared" si="1030"/>
        <v>0</v>
      </c>
      <c r="M2504" s="2">
        <f t="shared" si="1031"/>
        <v>7.0364663585002596E-2</v>
      </c>
      <c r="N2504" s="63">
        <v>754</v>
      </c>
      <c r="O2504" s="63">
        <v>1056</v>
      </c>
      <c r="P2504" s="63"/>
      <c r="Q2504" s="63">
        <v>117</v>
      </c>
      <c r="R2504" s="63"/>
      <c r="S2504" s="63">
        <v>20</v>
      </c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W2504" s="5">
        <f>IF(Q2504&gt;0,RANK(Q2504,(N2504:P2504,Q2504:AE2504)),0)</f>
        <v>3</v>
      </c>
      <c r="AX2504" s="5">
        <f>IF(R2504&gt;0,RANK(R2504,(N2504:P2504,Q2504:AE2504)),0)</f>
        <v>0</v>
      </c>
      <c r="AY2504" s="5">
        <f>IF(T2504&gt;0,RANK(T2504,(N2504:P2504,Q2504:AE2504)),0)</f>
        <v>0</v>
      </c>
      <c r="AZ2504" s="5">
        <f>IF(S2504&gt;0,RANK(S2504,(N2504:P2504,Q2504:AE2504)),0)</f>
        <v>4</v>
      </c>
      <c r="BA2504" s="2">
        <f t="shared" si="1032"/>
        <v>6.0092449922958396E-2</v>
      </c>
      <c r="BB2504" s="2">
        <f t="shared" si="1033"/>
        <v>0</v>
      </c>
      <c r="BC2504" s="2">
        <f t="shared" si="1034"/>
        <v>0</v>
      </c>
      <c r="BD2504" s="2">
        <f t="shared" si="1035"/>
        <v>1.027221366204417E-2</v>
      </c>
      <c r="BF2504" t="s">
        <v>1847</v>
      </c>
      <c r="BG2504" t="s">
        <v>1183</v>
      </c>
      <c r="BH2504">
        <v>1</v>
      </c>
      <c r="BJ2504" s="114">
        <v>46</v>
      </c>
      <c r="BK2504" s="116">
        <v>91</v>
      </c>
      <c r="BL2504" s="120">
        <f t="shared" si="1026"/>
        <v>46091</v>
      </c>
      <c r="BN2504" s="5" t="s">
        <v>3154</v>
      </c>
    </row>
    <row r="2505" spans="1:66" hidden="1" outlineLevel="1">
      <c r="A2505" t="s">
        <v>1788</v>
      </c>
      <c r="B2505" t="s">
        <v>1183</v>
      </c>
      <c r="C2505" s="1">
        <f t="shared" si="1027"/>
        <v>11621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32">
        <f t="shared" ref="G2505:G2568" si="1036">IF(C2505&gt;0,MAX(N2505:P2505)-LARGE(N2505:P2505,2),0)</f>
        <v>6218</v>
      </c>
      <c r="H2505" s="137">
        <f t="shared" ref="H2505:H2568" si="1037">IF(C2505&gt;0,G2505/C2505,0)</f>
        <v>0.5350658291024869</v>
      </c>
      <c r="I2505" s="2"/>
      <c r="J2505" s="2">
        <f t="shared" si="1028"/>
        <v>0.19129162722657259</v>
      </c>
      <c r="K2505" s="2">
        <f t="shared" si="1029"/>
        <v>0.72635745632905946</v>
      </c>
      <c r="L2505" s="2">
        <f t="shared" si="1030"/>
        <v>0</v>
      </c>
      <c r="M2505" s="2">
        <f t="shared" si="1031"/>
        <v>8.2350916444367983E-2</v>
      </c>
      <c r="N2505" s="63">
        <v>2223</v>
      </c>
      <c r="O2505" s="63">
        <v>8441</v>
      </c>
      <c r="P2505" s="63"/>
      <c r="Q2505" s="63">
        <v>832</v>
      </c>
      <c r="R2505" s="63"/>
      <c r="S2505" s="63">
        <v>125</v>
      </c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W2505" s="5">
        <f>IF(Q2505&gt;0,RANK(Q2505,(N2505:P2505,Q2505:AE2505)),0)</f>
        <v>3</v>
      </c>
      <c r="AX2505" s="5">
        <f>IF(R2505&gt;0,RANK(R2505,(N2505:P2505,Q2505:AE2505)),0)</f>
        <v>0</v>
      </c>
      <c r="AY2505" s="5">
        <f>IF(T2505&gt;0,RANK(T2505,(N2505:P2505,Q2505:AE2505)),0)</f>
        <v>0</v>
      </c>
      <c r="AZ2505" s="5">
        <f>IF(S2505&gt;0,RANK(S2505,(N2505:P2505,Q2505:AE2505)),0)</f>
        <v>4</v>
      </c>
      <c r="BA2505" s="2">
        <f t="shared" si="1032"/>
        <v>7.1594527149126577E-2</v>
      </c>
      <c r="BB2505" s="2">
        <f t="shared" si="1033"/>
        <v>0</v>
      </c>
      <c r="BC2505" s="2">
        <f t="shared" si="1034"/>
        <v>0</v>
      </c>
      <c r="BD2505" s="2">
        <f t="shared" si="1035"/>
        <v>1.0756389295241373E-2</v>
      </c>
      <c r="BF2505" t="s">
        <v>1788</v>
      </c>
      <c r="BG2505" t="s">
        <v>1183</v>
      </c>
      <c r="BH2505">
        <v>1</v>
      </c>
      <c r="BJ2505" s="114">
        <v>46</v>
      </c>
      <c r="BK2505" s="116">
        <v>93</v>
      </c>
      <c r="BL2505" s="120">
        <f t="shared" si="1026"/>
        <v>46093</v>
      </c>
      <c r="BN2505" s="5" t="s">
        <v>3154</v>
      </c>
    </row>
    <row r="2506" spans="1:66" hidden="1" outlineLevel="1">
      <c r="A2506" t="s">
        <v>2426</v>
      </c>
      <c r="B2506" t="s">
        <v>1183</v>
      </c>
      <c r="C2506" s="1">
        <f t="shared" si="1027"/>
        <v>683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32">
        <f t="shared" si="1036"/>
        <v>164</v>
      </c>
      <c r="H2506" s="137">
        <f t="shared" si="1037"/>
        <v>0.24011713030746706</v>
      </c>
      <c r="I2506" s="2"/>
      <c r="J2506" s="2">
        <f t="shared" si="1028"/>
        <v>0.34846266471449489</v>
      </c>
      <c r="K2506" s="2">
        <f t="shared" si="1029"/>
        <v>0.58857979502196189</v>
      </c>
      <c r="L2506" s="2">
        <f t="shared" si="1030"/>
        <v>0</v>
      </c>
      <c r="M2506" s="2">
        <f t="shared" si="1031"/>
        <v>6.2957540263543277E-2</v>
      </c>
      <c r="N2506" s="63">
        <v>238</v>
      </c>
      <c r="O2506" s="63">
        <v>402</v>
      </c>
      <c r="P2506" s="63"/>
      <c r="Q2506" s="63">
        <v>32</v>
      </c>
      <c r="R2506" s="63"/>
      <c r="S2506" s="63">
        <v>11</v>
      </c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W2506" s="5">
        <f>IF(Q2506&gt;0,RANK(Q2506,(N2506:P2506,Q2506:AE2506)),0)</f>
        <v>3</v>
      </c>
      <c r="AX2506" s="5">
        <f>IF(R2506&gt;0,RANK(R2506,(N2506:P2506,Q2506:AE2506)),0)</f>
        <v>0</v>
      </c>
      <c r="AY2506" s="5">
        <f>IF(T2506&gt;0,RANK(T2506,(N2506:P2506,Q2506:AE2506)),0)</f>
        <v>0</v>
      </c>
      <c r="AZ2506" s="5">
        <f>IF(S2506&gt;0,RANK(S2506,(N2506:P2506,Q2506:AE2506)),0)</f>
        <v>4</v>
      </c>
      <c r="BA2506" s="2">
        <f t="shared" si="1032"/>
        <v>4.6852122986822842E-2</v>
      </c>
      <c r="BB2506" s="2">
        <f t="shared" si="1033"/>
        <v>0</v>
      </c>
      <c r="BC2506" s="2">
        <f t="shared" si="1034"/>
        <v>0</v>
      </c>
      <c r="BD2506" s="2">
        <f t="shared" si="1035"/>
        <v>1.6105417276720352E-2</v>
      </c>
      <c r="BF2506" t="s">
        <v>2426</v>
      </c>
      <c r="BG2506" t="s">
        <v>1183</v>
      </c>
      <c r="BH2506">
        <v>1</v>
      </c>
      <c r="BJ2506" s="114">
        <v>46</v>
      </c>
      <c r="BK2506" s="116">
        <v>95</v>
      </c>
      <c r="BL2506" s="120">
        <f t="shared" si="1026"/>
        <v>46095</v>
      </c>
      <c r="BN2506" s="5" t="s">
        <v>3154</v>
      </c>
    </row>
    <row r="2507" spans="1:66" hidden="1" outlineLevel="1">
      <c r="A2507" t="s">
        <v>1002</v>
      </c>
      <c r="B2507" t="s">
        <v>1183</v>
      </c>
      <c r="C2507" s="1">
        <f t="shared" si="1027"/>
        <v>1064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32">
        <f t="shared" si="1036"/>
        <v>425</v>
      </c>
      <c r="H2507" s="137">
        <f t="shared" si="1037"/>
        <v>0.39943609022556392</v>
      </c>
      <c r="I2507" s="2"/>
      <c r="J2507" s="2">
        <f t="shared" si="1028"/>
        <v>0.26409774436090228</v>
      </c>
      <c r="K2507" s="2">
        <f t="shared" si="1029"/>
        <v>0.6635338345864662</v>
      </c>
      <c r="L2507" s="2">
        <f t="shared" si="1030"/>
        <v>0</v>
      </c>
      <c r="M2507" s="2">
        <f t="shared" si="1031"/>
        <v>7.2368421052631526E-2</v>
      </c>
      <c r="N2507" s="63">
        <v>281</v>
      </c>
      <c r="O2507" s="63">
        <v>706</v>
      </c>
      <c r="P2507" s="63"/>
      <c r="Q2507" s="63">
        <v>67</v>
      </c>
      <c r="R2507" s="63"/>
      <c r="S2507" s="63">
        <v>10</v>
      </c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W2507" s="5">
        <f>IF(Q2507&gt;0,RANK(Q2507,(N2507:P2507,Q2507:AE2507)),0)</f>
        <v>3</v>
      </c>
      <c r="AX2507" s="5">
        <f>IF(R2507&gt;0,RANK(R2507,(N2507:P2507,Q2507:AE2507)),0)</f>
        <v>0</v>
      </c>
      <c r="AY2507" s="5">
        <f>IF(T2507&gt;0,RANK(T2507,(N2507:P2507,Q2507:AE2507)),0)</f>
        <v>0</v>
      </c>
      <c r="AZ2507" s="5">
        <f>IF(S2507&gt;0,RANK(S2507,(N2507:P2507,Q2507:AE2507)),0)</f>
        <v>4</v>
      </c>
      <c r="BA2507" s="2">
        <f t="shared" si="1032"/>
        <v>6.2969924812030079E-2</v>
      </c>
      <c r="BB2507" s="2">
        <f t="shared" si="1033"/>
        <v>0</v>
      </c>
      <c r="BC2507" s="2">
        <f t="shared" si="1034"/>
        <v>0</v>
      </c>
      <c r="BD2507" s="2">
        <f t="shared" si="1035"/>
        <v>9.3984962406015032E-3</v>
      </c>
      <c r="BF2507" t="s">
        <v>1002</v>
      </c>
      <c r="BG2507" t="s">
        <v>1183</v>
      </c>
      <c r="BH2507">
        <v>1</v>
      </c>
      <c r="BJ2507" s="114">
        <v>46</v>
      </c>
      <c r="BK2507" s="116">
        <v>97</v>
      </c>
      <c r="BL2507" s="120">
        <f t="shared" si="1026"/>
        <v>46097</v>
      </c>
      <c r="BN2507" s="5" t="s">
        <v>3154</v>
      </c>
    </row>
    <row r="2508" spans="1:66" hidden="1" outlineLevel="1">
      <c r="A2508" t="s">
        <v>221</v>
      </c>
      <c r="B2508" t="s">
        <v>1183</v>
      </c>
      <c r="C2508" s="1">
        <f t="shared" si="1027"/>
        <v>78263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32">
        <f t="shared" si="1036"/>
        <v>11433</v>
      </c>
      <c r="H2508" s="137">
        <f t="shared" si="1037"/>
        <v>0.14608435659251498</v>
      </c>
      <c r="I2508" s="2"/>
      <c r="J2508" s="2">
        <f t="shared" si="1028"/>
        <v>0.39111713070033094</v>
      </c>
      <c r="K2508" s="2">
        <f t="shared" si="1029"/>
        <v>0.53720148729284589</v>
      </c>
      <c r="L2508" s="2">
        <f t="shared" si="1030"/>
        <v>0</v>
      </c>
      <c r="M2508" s="2">
        <f t="shared" si="1031"/>
        <v>7.1681382006823169E-2</v>
      </c>
      <c r="N2508" s="63">
        <v>30610</v>
      </c>
      <c r="O2508" s="63">
        <v>42043</v>
      </c>
      <c r="P2508" s="63"/>
      <c r="Q2508" s="63">
        <v>4753</v>
      </c>
      <c r="R2508" s="63"/>
      <c r="S2508" s="63">
        <v>857</v>
      </c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W2508" s="5">
        <f>IF(Q2508&gt;0,RANK(Q2508,(N2508:P2508,Q2508:AE2508)),0)</f>
        <v>3</v>
      </c>
      <c r="AX2508" s="5">
        <f>IF(R2508&gt;0,RANK(R2508,(N2508:P2508,Q2508:AE2508)),0)</f>
        <v>0</v>
      </c>
      <c r="AY2508" s="5">
        <f>IF(T2508&gt;0,RANK(T2508,(N2508:P2508,Q2508:AE2508)),0)</f>
        <v>0</v>
      </c>
      <c r="AZ2508" s="5">
        <f>IF(S2508&gt;0,RANK(S2508,(N2508:P2508,Q2508:AE2508)),0)</f>
        <v>4</v>
      </c>
      <c r="BA2508" s="2">
        <f t="shared" si="1032"/>
        <v>6.0731124541609699E-2</v>
      </c>
      <c r="BB2508" s="2">
        <f t="shared" si="1033"/>
        <v>0</v>
      </c>
      <c r="BC2508" s="2">
        <f t="shared" si="1034"/>
        <v>0</v>
      </c>
      <c r="BD2508" s="2">
        <f t="shared" si="1035"/>
        <v>1.0950257465213447E-2</v>
      </c>
      <c r="BF2508" t="s">
        <v>221</v>
      </c>
      <c r="BG2508" t="s">
        <v>1183</v>
      </c>
      <c r="BH2508">
        <v>1</v>
      </c>
      <c r="BJ2508" s="114">
        <v>46</v>
      </c>
      <c r="BK2508" s="116">
        <v>99</v>
      </c>
      <c r="BL2508" s="120">
        <f t="shared" si="1026"/>
        <v>46099</v>
      </c>
      <c r="BN2508" s="5" t="s">
        <v>3154</v>
      </c>
    </row>
    <row r="2509" spans="1:66" hidden="1" outlineLevel="1">
      <c r="A2509" t="s">
        <v>1304</v>
      </c>
      <c r="B2509" t="s">
        <v>1183</v>
      </c>
      <c r="C2509" s="1">
        <f t="shared" si="1027"/>
        <v>2933</v>
      </c>
      <c r="D2509" s="5">
        <f>IF(N2509&gt;0, RANK(N2509,(N2509:P2509,Q2509:AE2509)),0)</f>
        <v>2</v>
      </c>
      <c r="E2509" s="5">
        <f>IF(O2509&gt;0,RANK(O2509,(N2509:P2509,Q2509:AE2509)),0)</f>
        <v>1</v>
      </c>
      <c r="F2509" s="5">
        <f>IF(P2509&gt;0,RANK(P2509,(N2509:P2509,Q2509:AE2509)),0)</f>
        <v>0</v>
      </c>
      <c r="G2509" s="132">
        <f t="shared" si="1036"/>
        <v>688</v>
      </c>
      <c r="H2509" s="137">
        <f t="shared" si="1037"/>
        <v>0.23457211046709853</v>
      </c>
      <c r="I2509" s="2"/>
      <c r="J2509" s="2">
        <f t="shared" si="1028"/>
        <v>0.35560859188544153</v>
      </c>
      <c r="K2509" s="2">
        <f t="shared" si="1029"/>
        <v>0.59018070235254005</v>
      </c>
      <c r="L2509" s="2">
        <f t="shared" si="1030"/>
        <v>0</v>
      </c>
      <c r="M2509" s="2">
        <f t="shared" si="1031"/>
        <v>5.4210705762018474E-2</v>
      </c>
      <c r="N2509" s="63">
        <v>1043</v>
      </c>
      <c r="O2509" s="63">
        <v>1731</v>
      </c>
      <c r="P2509" s="63"/>
      <c r="Q2509" s="63">
        <v>131</v>
      </c>
      <c r="R2509" s="63"/>
      <c r="S2509" s="63">
        <v>28</v>
      </c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W2509" s="5">
        <f>IF(Q2509&gt;0,RANK(Q2509,(N2509:P2509,Q2509:AE2509)),0)</f>
        <v>3</v>
      </c>
      <c r="AX2509" s="5">
        <f>IF(R2509&gt;0,RANK(R2509,(N2509:P2509,Q2509:AE2509)),0)</f>
        <v>0</v>
      </c>
      <c r="AY2509" s="5">
        <f>IF(T2509&gt;0,RANK(T2509,(N2509:P2509,Q2509:AE2509)),0)</f>
        <v>0</v>
      </c>
      <c r="AZ2509" s="5">
        <f>IF(S2509&gt;0,RANK(S2509,(N2509:P2509,Q2509:AE2509)),0)</f>
        <v>4</v>
      </c>
      <c r="BA2509" s="2">
        <f t="shared" si="1032"/>
        <v>4.4664166382543474E-2</v>
      </c>
      <c r="BB2509" s="2">
        <f t="shared" si="1033"/>
        <v>0</v>
      </c>
      <c r="BC2509" s="2">
        <f t="shared" si="1034"/>
        <v>0</v>
      </c>
      <c r="BD2509" s="2">
        <f t="shared" si="1035"/>
        <v>9.5465393794749408E-3</v>
      </c>
      <c r="BF2509" t="s">
        <v>1304</v>
      </c>
      <c r="BG2509" t="s">
        <v>1183</v>
      </c>
      <c r="BH2509">
        <v>1</v>
      </c>
      <c r="BJ2509" s="114">
        <v>46</v>
      </c>
      <c r="BK2509" s="116">
        <v>101</v>
      </c>
      <c r="BL2509" s="120">
        <f t="shared" si="1026"/>
        <v>46101</v>
      </c>
      <c r="BN2509" s="5" t="s">
        <v>3154</v>
      </c>
    </row>
    <row r="2510" spans="1:66" hidden="1" outlineLevel="1">
      <c r="A2510" t="s">
        <v>3411</v>
      </c>
      <c r="B2510" t="s">
        <v>1183</v>
      </c>
      <c r="C2510" s="1">
        <f>SUM(N2510:AU2510)</f>
        <v>2905</v>
      </c>
      <c r="D2510" s="5">
        <f>IF(N2510&gt;0, RANK(N2510,(N2510:P2510,Q2510:AE2510)),0)</f>
        <v>1</v>
      </c>
      <c r="E2510" s="5">
        <f>IF(O2510&gt;0,RANK(O2510,(N2510:P2510,Q2510:AE2510)),0)</f>
        <v>2</v>
      </c>
      <c r="F2510" s="5">
        <f>IF(P2510&gt;0,RANK(P2510,(N2510:P2510,Q2510:AE2510)),0)</f>
        <v>0</v>
      </c>
      <c r="G2510" s="132">
        <f>IF(C2510&gt;0,MAX(N2510:P2510)-LARGE(N2510:P2510,2),0)</f>
        <v>2269</v>
      </c>
      <c r="H2510" s="137">
        <f>IF(C2510&gt;0,G2510/C2510,0)</f>
        <v>0.7810671256454389</v>
      </c>
      <c r="I2510" s="2"/>
      <c r="J2510" s="2">
        <f>IF($C2510=0,"-",N2510/$C2510)</f>
        <v>0.86402753872633387</v>
      </c>
      <c r="K2510" s="2">
        <f>IF($C2510=0,"-",O2510/$C2510)</f>
        <v>8.296041308089501E-2</v>
      </c>
      <c r="L2510" s="2">
        <f>IF($C2510=0,"-",P2510/$C2510)</f>
        <v>0</v>
      </c>
      <c r="M2510" s="2">
        <f>IF(C2510=0,"-",(1-J2510-K2510-L2510))</f>
        <v>5.3012048192771125E-2</v>
      </c>
      <c r="N2510" s="63">
        <v>2510</v>
      </c>
      <c r="O2510" s="63">
        <v>241</v>
      </c>
      <c r="P2510" s="63"/>
      <c r="Q2510" s="63">
        <v>106</v>
      </c>
      <c r="R2510" s="63"/>
      <c r="S2510" s="63">
        <v>48</v>
      </c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W2510" s="5">
        <f>IF(Q2510&gt;0,RANK(Q2510,(N2510:P2510,Q2510:AE2510)),0)</f>
        <v>3</v>
      </c>
      <c r="AX2510" s="5">
        <f>IF(R2510&gt;0,RANK(R2510,(N2510:P2510,Q2510:AE2510)),0)</f>
        <v>0</v>
      </c>
      <c r="AY2510" s="5">
        <f>IF(T2510&gt;0,RANK(T2510,(N2510:P2510,Q2510:AE2510)),0)</f>
        <v>0</v>
      </c>
      <c r="AZ2510" s="5">
        <f>IF(S2510&gt;0,RANK(S2510,(N2510:P2510,Q2510:AE2510)),0)</f>
        <v>4</v>
      </c>
      <c r="BA2510" s="2">
        <f>IF($C2510=0,"-",Q2510/$C2510)</f>
        <v>3.648881239242685E-2</v>
      </c>
      <c r="BB2510" s="2">
        <f>IF($C2510=0,"-",R2510/$C2510)</f>
        <v>0</v>
      </c>
      <c r="BC2510" s="2">
        <f>IF($C2510=0,"-",T2510/$C2510)</f>
        <v>0</v>
      </c>
      <c r="BD2510" s="2">
        <f>IF($C2510=0,"-",S2510/$C2510)</f>
        <v>1.6523235800344233E-2</v>
      </c>
      <c r="BF2510" t="s">
        <v>3411</v>
      </c>
      <c r="BG2510" t="s">
        <v>1183</v>
      </c>
      <c r="BH2510">
        <v>1</v>
      </c>
      <c r="BJ2510" s="114">
        <v>46</v>
      </c>
      <c r="BK2510" s="116">
        <v>113</v>
      </c>
      <c r="BL2510" s="120">
        <f>1000*BJ2510+BK2510</f>
        <v>46113</v>
      </c>
      <c r="BN2510" s="5" t="s">
        <v>3154</v>
      </c>
    </row>
    <row r="2511" spans="1:66" hidden="1" outlineLevel="1">
      <c r="A2511" t="s">
        <v>1725</v>
      </c>
      <c r="B2511" t="s">
        <v>1183</v>
      </c>
      <c r="C2511" s="1">
        <f t="shared" si="1027"/>
        <v>47743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32">
        <f t="shared" si="1036"/>
        <v>15730</v>
      </c>
      <c r="H2511" s="137">
        <f t="shared" si="1037"/>
        <v>0.32947238338604612</v>
      </c>
      <c r="I2511" s="2"/>
      <c r="J2511" s="2">
        <f t="shared" si="1028"/>
        <v>0.29478667029721634</v>
      </c>
      <c r="K2511" s="2">
        <f t="shared" si="1029"/>
        <v>0.62425905368326251</v>
      </c>
      <c r="L2511" s="2">
        <f t="shared" si="1030"/>
        <v>0</v>
      </c>
      <c r="M2511" s="2">
        <f t="shared" si="1031"/>
        <v>8.0954276019521099E-2</v>
      </c>
      <c r="N2511" s="63">
        <v>14074</v>
      </c>
      <c r="O2511" s="63">
        <v>29804</v>
      </c>
      <c r="P2511" s="63"/>
      <c r="Q2511" s="63">
        <v>3339</v>
      </c>
      <c r="R2511" s="63"/>
      <c r="S2511" s="63">
        <v>526</v>
      </c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W2511" s="5">
        <f>IF(Q2511&gt;0,RANK(Q2511,(N2511:P2511,Q2511:AE2511)),0)</f>
        <v>3</v>
      </c>
      <c r="AX2511" s="5">
        <f>IF(R2511&gt;0,RANK(R2511,(N2511:P2511,Q2511:AE2511)),0)</f>
        <v>0</v>
      </c>
      <c r="AY2511" s="5">
        <f>IF(T2511&gt;0,RANK(T2511,(N2511:P2511,Q2511:AE2511)),0)</f>
        <v>0</v>
      </c>
      <c r="AZ2511" s="5">
        <f>IF(S2511&gt;0,RANK(S2511,(N2511:P2511,Q2511:AE2511)),0)</f>
        <v>4</v>
      </c>
      <c r="BA2511" s="2">
        <f t="shared" si="1032"/>
        <v>6.9936954108455684E-2</v>
      </c>
      <c r="BB2511" s="2">
        <f t="shared" si="1033"/>
        <v>0</v>
      </c>
      <c r="BC2511" s="2">
        <f t="shared" si="1034"/>
        <v>0</v>
      </c>
      <c r="BD2511" s="2">
        <f t="shared" si="1035"/>
        <v>1.1017321911065496E-2</v>
      </c>
      <c r="BF2511" t="s">
        <v>1725</v>
      </c>
      <c r="BG2511" t="s">
        <v>1183</v>
      </c>
      <c r="BH2511">
        <v>1</v>
      </c>
      <c r="BJ2511" s="114">
        <v>46</v>
      </c>
      <c r="BK2511" s="116">
        <v>103</v>
      </c>
      <c r="BL2511" s="120">
        <f t="shared" si="1026"/>
        <v>46103</v>
      </c>
      <c r="BN2511" s="5" t="s">
        <v>3154</v>
      </c>
    </row>
    <row r="2512" spans="1:66" hidden="1" outlineLevel="1">
      <c r="A2512" t="s">
        <v>51</v>
      </c>
      <c r="B2512" t="s">
        <v>1183</v>
      </c>
      <c r="C2512" s="1">
        <f t="shared" si="1027"/>
        <v>1606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32">
        <f t="shared" si="1036"/>
        <v>1145</v>
      </c>
      <c r="H2512" s="137">
        <f t="shared" si="1037"/>
        <v>0.71295143212951428</v>
      </c>
      <c r="I2512" s="2"/>
      <c r="J2512" s="2">
        <f t="shared" si="1028"/>
        <v>0.11706102117061021</v>
      </c>
      <c r="K2512" s="2">
        <f t="shared" si="1029"/>
        <v>0.83001245330012452</v>
      </c>
      <c r="L2512" s="2">
        <f t="shared" si="1030"/>
        <v>0</v>
      </c>
      <c r="M2512" s="2">
        <f t="shared" si="1031"/>
        <v>5.2926525529265245E-2</v>
      </c>
      <c r="N2512" s="63">
        <v>188</v>
      </c>
      <c r="O2512" s="63">
        <v>1333</v>
      </c>
      <c r="P2512" s="63"/>
      <c r="Q2512" s="63">
        <v>70</v>
      </c>
      <c r="R2512" s="63"/>
      <c r="S2512" s="63">
        <v>15</v>
      </c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W2512" s="5">
        <f>IF(Q2512&gt;0,RANK(Q2512,(N2512:P2512,Q2512:AE2512)),0)</f>
        <v>3</v>
      </c>
      <c r="AX2512" s="5">
        <f>IF(R2512&gt;0,RANK(R2512,(N2512:P2512,Q2512:AE2512)),0)</f>
        <v>0</v>
      </c>
      <c r="AY2512" s="5">
        <f>IF(T2512&gt;0,RANK(T2512,(N2512:P2512,Q2512:AE2512)),0)</f>
        <v>0</v>
      </c>
      <c r="AZ2512" s="5">
        <f>IF(S2512&gt;0,RANK(S2512,(N2512:P2512,Q2512:AE2512)),0)</f>
        <v>4</v>
      </c>
      <c r="BA2512" s="2">
        <f t="shared" si="1032"/>
        <v>4.3586550435865505E-2</v>
      </c>
      <c r="BB2512" s="2">
        <f t="shared" si="1033"/>
        <v>0</v>
      </c>
      <c r="BC2512" s="2">
        <f t="shared" si="1034"/>
        <v>0</v>
      </c>
      <c r="BD2512" s="2">
        <f t="shared" si="1035"/>
        <v>9.3399750933997501E-3</v>
      </c>
      <c r="BF2512" t="s">
        <v>51</v>
      </c>
      <c r="BG2512" t="s">
        <v>1183</v>
      </c>
      <c r="BH2512">
        <v>1</v>
      </c>
      <c r="BJ2512" s="114">
        <v>46</v>
      </c>
      <c r="BK2512" s="116">
        <v>105</v>
      </c>
      <c r="BL2512" s="120">
        <f t="shared" si="1026"/>
        <v>46105</v>
      </c>
      <c r="BN2512" s="5" t="s">
        <v>3154</v>
      </c>
    </row>
    <row r="2513" spans="1:84" hidden="1" outlineLevel="1">
      <c r="A2513" t="s">
        <v>1172</v>
      </c>
      <c r="B2513" t="s">
        <v>1183</v>
      </c>
      <c r="C2513" s="1">
        <f t="shared" si="1027"/>
        <v>1337</v>
      </c>
      <c r="D2513" s="5">
        <f>IF(N2513&gt;0, RANK(N2513,(N2513:P2513,Q2513:AE2513)),0)</f>
        <v>2</v>
      </c>
      <c r="E2513" s="5">
        <f>IF(O2513&gt;0,RANK(O2513,(N2513:P2513,Q2513:AE2513)),0)</f>
        <v>1</v>
      </c>
      <c r="F2513" s="5">
        <f>IF(P2513&gt;0,RANK(P2513,(N2513:P2513,Q2513:AE2513)),0)</f>
        <v>0</v>
      </c>
      <c r="G2513" s="132">
        <f t="shared" si="1036"/>
        <v>856</v>
      </c>
      <c r="H2513" s="137">
        <f t="shared" si="1037"/>
        <v>0.6402393418100224</v>
      </c>
      <c r="I2513" s="2"/>
      <c r="J2513" s="2">
        <f t="shared" si="1028"/>
        <v>0.16080777860882572</v>
      </c>
      <c r="K2513" s="2">
        <f t="shared" si="1029"/>
        <v>0.80104712041884818</v>
      </c>
      <c r="L2513" s="2">
        <f t="shared" si="1030"/>
        <v>0</v>
      </c>
      <c r="M2513" s="2">
        <f t="shared" si="1031"/>
        <v>3.814510097232604E-2</v>
      </c>
      <c r="N2513" s="63">
        <v>215</v>
      </c>
      <c r="O2513" s="63">
        <v>1071</v>
      </c>
      <c r="P2513" s="63"/>
      <c r="Q2513" s="63">
        <v>40</v>
      </c>
      <c r="R2513" s="63"/>
      <c r="S2513" s="63">
        <v>11</v>
      </c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W2513" s="5">
        <f>IF(Q2513&gt;0,RANK(Q2513,(N2513:P2513,Q2513:AE2513)),0)</f>
        <v>3</v>
      </c>
      <c r="AX2513" s="5">
        <f>IF(R2513&gt;0,RANK(R2513,(N2513:P2513,Q2513:AE2513)),0)</f>
        <v>0</v>
      </c>
      <c r="AY2513" s="5">
        <f>IF(T2513&gt;0,RANK(T2513,(N2513:P2513,Q2513:AE2513)),0)</f>
        <v>0</v>
      </c>
      <c r="AZ2513" s="5">
        <f>IF(S2513&gt;0,RANK(S2513,(N2513:P2513,Q2513:AE2513)),0)</f>
        <v>4</v>
      </c>
      <c r="BA2513" s="2">
        <f t="shared" si="1032"/>
        <v>2.9917726252804786E-2</v>
      </c>
      <c r="BB2513" s="2">
        <f t="shared" si="1033"/>
        <v>0</v>
      </c>
      <c r="BC2513" s="2">
        <f t="shared" si="1034"/>
        <v>0</v>
      </c>
      <c r="BD2513" s="2">
        <f t="shared" si="1035"/>
        <v>8.2273747195213166E-3</v>
      </c>
      <c r="BF2513" t="s">
        <v>1172</v>
      </c>
      <c r="BG2513" t="s">
        <v>1183</v>
      </c>
      <c r="BH2513">
        <v>1</v>
      </c>
      <c r="BJ2513" s="114">
        <v>46</v>
      </c>
      <c r="BK2513" s="116">
        <v>107</v>
      </c>
      <c r="BL2513" s="120">
        <f t="shared" si="1026"/>
        <v>46107</v>
      </c>
      <c r="BN2513" s="5" t="s">
        <v>3154</v>
      </c>
    </row>
    <row r="2514" spans="1:84" hidden="1" outlineLevel="1">
      <c r="A2514" t="s">
        <v>1484</v>
      </c>
      <c r="B2514" t="s">
        <v>1183</v>
      </c>
      <c r="C2514" s="1">
        <f t="shared" si="1027"/>
        <v>3889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32">
        <f t="shared" si="1036"/>
        <v>604</v>
      </c>
      <c r="H2514" s="137">
        <f t="shared" si="1037"/>
        <v>0.15530984829004885</v>
      </c>
      <c r="I2514" s="2"/>
      <c r="J2514" s="2">
        <f t="shared" si="1028"/>
        <v>0.39598868603754178</v>
      </c>
      <c r="K2514" s="2">
        <f t="shared" si="1029"/>
        <v>0.55129853432759068</v>
      </c>
      <c r="L2514" s="2">
        <f t="shared" si="1030"/>
        <v>0</v>
      </c>
      <c r="M2514" s="2">
        <f t="shared" si="1031"/>
        <v>5.2712779634867535E-2</v>
      </c>
      <c r="N2514" s="63">
        <v>1540</v>
      </c>
      <c r="O2514" s="63">
        <v>2144</v>
      </c>
      <c r="P2514" s="63"/>
      <c r="Q2514" s="63">
        <v>164</v>
      </c>
      <c r="R2514" s="63"/>
      <c r="S2514" s="63">
        <v>41</v>
      </c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W2514" s="5">
        <f>IF(Q2514&gt;0,RANK(Q2514,(N2514:P2514,Q2514:AE2514)),0)</f>
        <v>3</v>
      </c>
      <c r="AX2514" s="5">
        <f>IF(R2514&gt;0,RANK(R2514,(N2514:P2514,Q2514:AE2514)),0)</f>
        <v>0</v>
      </c>
      <c r="AY2514" s="5">
        <f>IF(T2514&gt;0,RANK(T2514,(N2514:P2514,Q2514:AE2514)),0)</f>
        <v>0</v>
      </c>
      <c r="AZ2514" s="5">
        <f>IF(S2514&gt;0,RANK(S2514,(N2514:P2514,Q2514:AE2514)),0)</f>
        <v>4</v>
      </c>
      <c r="BA2514" s="2">
        <f t="shared" si="1032"/>
        <v>4.2170223707894063E-2</v>
      </c>
      <c r="BB2514" s="2">
        <f t="shared" si="1033"/>
        <v>0</v>
      </c>
      <c r="BC2514" s="2">
        <f t="shared" si="1034"/>
        <v>0</v>
      </c>
      <c r="BD2514" s="2">
        <f t="shared" si="1035"/>
        <v>1.0542555926973516E-2</v>
      </c>
      <c r="BF2514" t="s">
        <v>1484</v>
      </c>
      <c r="BG2514" t="s">
        <v>1183</v>
      </c>
      <c r="BH2514">
        <v>1</v>
      </c>
      <c r="BJ2514" s="114">
        <v>46</v>
      </c>
      <c r="BK2514" s="116">
        <v>109</v>
      </c>
      <c r="BL2514" s="120">
        <f t="shared" si="1026"/>
        <v>46109</v>
      </c>
      <c r="BN2514" s="5" t="s">
        <v>3154</v>
      </c>
    </row>
    <row r="2515" spans="1:84" hidden="1" outlineLevel="1">
      <c r="A2515" t="s">
        <v>759</v>
      </c>
      <c r="B2515" t="s">
        <v>1183</v>
      </c>
      <c r="C2515" s="1">
        <f t="shared" si="1027"/>
        <v>1123</v>
      </c>
      <c r="D2515" s="5">
        <f>IF(N2515&gt;0, RANK(N2515,(N2515:P2515,Q2515:AE2515)),0)</f>
        <v>2</v>
      </c>
      <c r="E2515" s="5">
        <f>IF(O2515&gt;0,RANK(O2515,(N2515:P2515,Q2515:AE2515)),0)</f>
        <v>1</v>
      </c>
      <c r="F2515" s="5">
        <f>IF(P2515&gt;0,RANK(P2515,(N2515:P2515,Q2515:AE2515)),0)</f>
        <v>0</v>
      </c>
      <c r="G2515" s="132">
        <f t="shared" si="1036"/>
        <v>578</v>
      </c>
      <c r="H2515" s="137">
        <f t="shared" si="1037"/>
        <v>0.5146927871772039</v>
      </c>
      <c r="I2515" s="2"/>
      <c r="J2515" s="2">
        <f t="shared" si="1028"/>
        <v>0.21460373998219057</v>
      </c>
      <c r="K2515" s="2">
        <f t="shared" si="1029"/>
        <v>0.72929652715939453</v>
      </c>
      <c r="L2515" s="2">
        <f t="shared" si="1030"/>
        <v>0</v>
      </c>
      <c r="M2515" s="2">
        <f t="shared" si="1031"/>
        <v>5.6099732858414963E-2</v>
      </c>
      <c r="N2515" s="63">
        <v>241</v>
      </c>
      <c r="O2515" s="63">
        <v>819</v>
      </c>
      <c r="P2515" s="63"/>
      <c r="Q2515" s="63">
        <v>51</v>
      </c>
      <c r="R2515" s="63"/>
      <c r="S2515" s="63">
        <v>12</v>
      </c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W2515" s="5">
        <f>IF(Q2515&gt;0,RANK(Q2515,(N2515:P2515,Q2515:AE2515)),0)</f>
        <v>3</v>
      </c>
      <c r="AX2515" s="5">
        <f>IF(R2515&gt;0,RANK(R2515,(N2515:P2515,Q2515:AE2515)),0)</f>
        <v>0</v>
      </c>
      <c r="AY2515" s="5">
        <f>IF(T2515&gt;0,RANK(T2515,(N2515:P2515,Q2515:AE2515)),0)</f>
        <v>0</v>
      </c>
      <c r="AZ2515" s="5">
        <f>IF(S2515&gt;0,RANK(S2515,(N2515:P2515,Q2515:AE2515)),0)</f>
        <v>4</v>
      </c>
      <c r="BA2515" s="2">
        <f t="shared" si="1032"/>
        <v>4.541406945681211E-2</v>
      </c>
      <c r="BB2515" s="2">
        <f t="shared" si="1033"/>
        <v>0</v>
      </c>
      <c r="BC2515" s="2">
        <f t="shared" si="1034"/>
        <v>0</v>
      </c>
      <c r="BD2515" s="2">
        <f t="shared" si="1035"/>
        <v>1.068566340160285E-2</v>
      </c>
      <c r="BF2515" t="s">
        <v>759</v>
      </c>
      <c r="BG2515" t="s">
        <v>1183</v>
      </c>
      <c r="BH2515">
        <v>1</v>
      </c>
      <c r="BJ2515" s="114">
        <v>46</v>
      </c>
      <c r="BK2515" s="116">
        <v>111</v>
      </c>
      <c r="BL2515" s="120">
        <f t="shared" si="1026"/>
        <v>46111</v>
      </c>
      <c r="BN2515" s="5" t="s">
        <v>3154</v>
      </c>
    </row>
    <row r="2516" spans="1:84" hidden="1" outlineLevel="1">
      <c r="A2516" t="s">
        <v>760</v>
      </c>
      <c r="B2516" t="s">
        <v>1183</v>
      </c>
      <c r="C2516" s="1">
        <f t="shared" si="1027"/>
        <v>2951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32">
        <f t="shared" si="1036"/>
        <v>935</v>
      </c>
      <c r="H2516" s="137">
        <f t="shared" si="1037"/>
        <v>0.31684174855981023</v>
      </c>
      <c r="I2516" s="2"/>
      <c r="J2516" s="2">
        <f t="shared" si="1028"/>
        <v>0.31141985767536429</v>
      </c>
      <c r="K2516" s="2">
        <f t="shared" si="1029"/>
        <v>0.62826160623517446</v>
      </c>
      <c r="L2516" s="2">
        <f t="shared" si="1030"/>
        <v>0</v>
      </c>
      <c r="M2516" s="2">
        <f t="shared" si="1031"/>
        <v>6.031853608946125E-2</v>
      </c>
      <c r="N2516" s="63">
        <v>919</v>
      </c>
      <c r="O2516" s="63">
        <v>1854</v>
      </c>
      <c r="P2516" s="63"/>
      <c r="Q2516" s="63">
        <v>143</v>
      </c>
      <c r="R2516" s="63"/>
      <c r="S2516" s="63">
        <v>35</v>
      </c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W2516" s="5">
        <f>IF(Q2516&gt;0,RANK(Q2516,(N2516:P2516,Q2516:AE2516)),0)</f>
        <v>3</v>
      </c>
      <c r="AX2516" s="5">
        <f>IF(R2516&gt;0,RANK(R2516,(N2516:P2516,Q2516:AE2516)),0)</f>
        <v>0</v>
      </c>
      <c r="AY2516" s="5">
        <f>IF(T2516&gt;0,RANK(T2516,(N2516:P2516,Q2516:AE2516)),0)</f>
        <v>0</v>
      </c>
      <c r="AZ2516" s="5">
        <f>IF(S2516&gt;0,RANK(S2516,(N2516:P2516,Q2516:AE2516)),0)</f>
        <v>4</v>
      </c>
      <c r="BA2516" s="2">
        <f t="shared" si="1032"/>
        <v>4.8458149779735685E-2</v>
      </c>
      <c r="BB2516" s="2">
        <f t="shared" si="1033"/>
        <v>0</v>
      </c>
      <c r="BC2516" s="2">
        <f t="shared" si="1034"/>
        <v>0</v>
      </c>
      <c r="BD2516" s="2">
        <f t="shared" si="1035"/>
        <v>1.1860386309725517E-2</v>
      </c>
      <c r="BF2516" t="s">
        <v>760</v>
      </c>
      <c r="BG2516" t="s">
        <v>1183</v>
      </c>
      <c r="BH2516">
        <v>1</v>
      </c>
      <c r="BJ2516" s="114">
        <v>46</v>
      </c>
      <c r="BK2516" s="116">
        <v>115</v>
      </c>
      <c r="BL2516" s="120">
        <f t="shared" si="1026"/>
        <v>46115</v>
      </c>
      <c r="BN2516" s="5" t="s">
        <v>3154</v>
      </c>
    </row>
    <row r="2517" spans="1:84" hidden="1" outlineLevel="1">
      <c r="A2517" t="s">
        <v>510</v>
      </c>
      <c r="B2517" t="s">
        <v>1183</v>
      </c>
      <c r="C2517" s="1">
        <f t="shared" si="1027"/>
        <v>1567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32">
        <f t="shared" si="1036"/>
        <v>819</v>
      </c>
      <c r="H2517" s="137">
        <f t="shared" si="1037"/>
        <v>0.52265475430759412</v>
      </c>
      <c r="I2517" s="2"/>
      <c r="J2517" s="2">
        <f t="shared" si="1028"/>
        <v>0.20995532865347799</v>
      </c>
      <c r="K2517" s="2">
        <f t="shared" si="1029"/>
        <v>0.73261008296107211</v>
      </c>
      <c r="L2517" s="2">
        <f t="shared" si="1030"/>
        <v>0</v>
      </c>
      <c r="M2517" s="2">
        <f t="shared" si="1031"/>
        <v>5.7434588385449903E-2</v>
      </c>
      <c r="N2517" s="63">
        <v>329</v>
      </c>
      <c r="O2517" s="63">
        <v>1148</v>
      </c>
      <c r="P2517" s="63"/>
      <c r="Q2517" s="63">
        <v>77</v>
      </c>
      <c r="R2517" s="63"/>
      <c r="S2517" s="63">
        <v>13</v>
      </c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W2517" s="5">
        <f>IF(Q2517&gt;0,RANK(Q2517,(N2517:P2517,Q2517:AE2517)),0)</f>
        <v>3</v>
      </c>
      <c r="AX2517" s="5">
        <f>IF(R2517&gt;0,RANK(R2517,(N2517:P2517,Q2517:AE2517)),0)</f>
        <v>0</v>
      </c>
      <c r="AY2517" s="5">
        <f>IF(T2517&gt;0,RANK(T2517,(N2517:P2517,Q2517:AE2517)),0)</f>
        <v>0</v>
      </c>
      <c r="AZ2517" s="5">
        <f>IF(S2517&gt;0,RANK(S2517,(N2517:P2517,Q2517:AE2517)),0)</f>
        <v>4</v>
      </c>
      <c r="BA2517" s="2">
        <f t="shared" si="1032"/>
        <v>4.9138481174218249E-2</v>
      </c>
      <c r="BB2517" s="2">
        <f t="shared" si="1033"/>
        <v>0</v>
      </c>
      <c r="BC2517" s="2">
        <f t="shared" si="1034"/>
        <v>0</v>
      </c>
      <c r="BD2517" s="2">
        <f t="shared" si="1035"/>
        <v>8.2961072112316524E-3</v>
      </c>
      <c r="BF2517" t="s">
        <v>510</v>
      </c>
      <c r="BG2517" t="s">
        <v>1183</v>
      </c>
      <c r="BH2517">
        <v>1</v>
      </c>
      <c r="BJ2517" s="114">
        <v>46</v>
      </c>
      <c r="BK2517" s="116">
        <v>117</v>
      </c>
      <c r="BL2517" s="120">
        <f t="shared" si="1026"/>
        <v>46117</v>
      </c>
      <c r="BN2517" s="5" t="s">
        <v>3154</v>
      </c>
    </row>
    <row r="2518" spans="1:84" hidden="1" outlineLevel="1">
      <c r="A2518" t="s">
        <v>1720</v>
      </c>
      <c r="B2518" t="s">
        <v>1183</v>
      </c>
      <c r="C2518" s="1">
        <f t="shared" si="1027"/>
        <v>861</v>
      </c>
      <c r="D2518" s="5">
        <f>IF(N2518&gt;0, RANK(N2518,(N2518:P2518,Q2518:AE2518)),0)</f>
        <v>2</v>
      </c>
      <c r="E2518" s="5">
        <f>IF(O2518&gt;0,RANK(O2518,(N2518:P2518,Q2518:AE2518)),0)</f>
        <v>1</v>
      </c>
      <c r="F2518" s="5">
        <f>IF(P2518&gt;0,RANK(P2518,(N2518:P2518,Q2518:AE2518)),0)</f>
        <v>0</v>
      </c>
      <c r="G2518" s="132">
        <f t="shared" si="1036"/>
        <v>542</v>
      </c>
      <c r="H2518" s="137">
        <f t="shared" si="1037"/>
        <v>0.62950058072009296</v>
      </c>
      <c r="I2518" s="2"/>
      <c r="J2518" s="2">
        <f t="shared" si="1028"/>
        <v>0.15911730545876887</v>
      </c>
      <c r="K2518" s="2">
        <f t="shared" si="1029"/>
        <v>0.78861788617886175</v>
      </c>
      <c r="L2518" s="2">
        <f t="shared" si="1030"/>
        <v>0</v>
      </c>
      <c r="M2518" s="2">
        <f t="shared" si="1031"/>
        <v>5.2264808362369353E-2</v>
      </c>
      <c r="N2518" s="63">
        <v>137</v>
      </c>
      <c r="O2518" s="63">
        <v>679</v>
      </c>
      <c r="P2518" s="63"/>
      <c r="Q2518" s="63">
        <v>40</v>
      </c>
      <c r="R2518" s="63"/>
      <c r="S2518" s="63">
        <v>5</v>
      </c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W2518" s="5">
        <f>IF(Q2518&gt;0,RANK(Q2518,(N2518:P2518,Q2518:AE2518)),0)</f>
        <v>3</v>
      </c>
      <c r="AX2518" s="5">
        <f>IF(R2518&gt;0,RANK(R2518,(N2518:P2518,Q2518:AE2518)),0)</f>
        <v>0</v>
      </c>
      <c r="AY2518" s="5">
        <f>IF(T2518&gt;0,RANK(T2518,(N2518:P2518,Q2518:AE2518)),0)</f>
        <v>0</v>
      </c>
      <c r="AZ2518" s="5">
        <f>IF(S2518&gt;0,RANK(S2518,(N2518:P2518,Q2518:AE2518)),0)</f>
        <v>4</v>
      </c>
      <c r="BA2518" s="2">
        <f t="shared" si="1032"/>
        <v>4.6457607433217189E-2</v>
      </c>
      <c r="BB2518" s="2">
        <f t="shared" si="1033"/>
        <v>0</v>
      </c>
      <c r="BC2518" s="2">
        <f t="shared" si="1034"/>
        <v>0</v>
      </c>
      <c r="BD2518" s="2">
        <f t="shared" si="1035"/>
        <v>5.8072009291521487E-3</v>
      </c>
      <c r="BF2518" t="s">
        <v>1720</v>
      </c>
      <c r="BG2518" t="s">
        <v>1183</v>
      </c>
      <c r="BH2518">
        <v>1</v>
      </c>
      <c r="BJ2518" s="114">
        <v>46</v>
      </c>
      <c r="BK2518" s="116">
        <v>119</v>
      </c>
      <c r="BL2518" s="120">
        <f t="shared" si="1026"/>
        <v>46119</v>
      </c>
      <c r="BN2518" s="5" t="s">
        <v>3154</v>
      </c>
    </row>
    <row r="2519" spans="1:84" hidden="1" outlineLevel="1">
      <c r="A2519" t="s">
        <v>2000</v>
      </c>
      <c r="B2519" t="s">
        <v>1183</v>
      </c>
      <c r="C2519" s="1">
        <f t="shared" si="1027"/>
        <v>2125</v>
      </c>
      <c r="D2519" s="5">
        <f>IF(N2519&gt;0, RANK(N2519,(N2519:P2519,Q2519:AE2519)),0)</f>
        <v>1</v>
      </c>
      <c r="E2519" s="5">
        <f>IF(O2519&gt;0,RANK(O2519,(N2519:P2519,Q2519:AE2519)),0)</f>
        <v>2</v>
      </c>
      <c r="F2519" s="5">
        <f>IF(P2519&gt;0,RANK(P2519,(N2519:P2519,Q2519:AE2519)),0)</f>
        <v>0</v>
      </c>
      <c r="G2519" s="132">
        <f t="shared" si="1036"/>
        <v>1018</v>
      </c>
      <c r="H2519" s="137">
        <f t="shared" si="1037"/>
        <v>0.47905882352941176</v>
      </c>
      <c r="I2519" s="2"/>
      <c r="J2519" s="2">
        <f t="shared" si="1028"/>
        <v>0.70823529411764707</v>
      </c>
      <c r="K2519" s="2">
        <f t="shared" si="1029"/>
        <v>0.22917647058823529</v>
      </c>
      <c r="L2519" s="2">
        <f t="shared" si="1030"/>
        <v>0</v>
      </c>
      <c r="M2519" s="2">
        <f t="shared" si="1031"/>
        <v>6.2588235294117639E-2</v>
      </c>
      <c r="N2519" s="63">
        <v>1505</v>
      </c>
      <c r="O2519" s="63">
        <v>487</v>
      </c>
      <c r="P2519" s="63"/>
      <c r="Q2519" s="63">
        <v>96</v>
      </c>
      <c r="R2519" s="63"/>
      <c r="S2519" s="63">
        <v>37</v>
      </c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W2519" s="5">
        <f>IF(Q2519&gt;0,RANK(Q2519,(N2519:P2519,Q2519:AE2519)),0)</f>
        <v>3</v>
      </c>
      <c r="AX2519" s="5">
        <f>IF(R2519&gt;0,RANK(R2519,(N2519:P2519,Q2519:AE2519)),0)</f>
        <v>0</v>
      </c>
      <c r="AY2519" s="5">
        <f>IF(T2519&gt;0,RANK(T2519,(N2519:P2519,Q2519:AE2519)),0)</f>
        <v>0</v>
      </c>
      <c r="AZ2519" s="5">
        <f>IF(S2519&gt;0,RANK(S2519,(N2519:P2519,Q2519:AE2519)),0)</f>
        <v>4</v>
      </c>
      <c r="BA2519" s="2">
        <f t="shared" si="1032"/>
        <v>4.5176470588235297E-2</v>
      </c>
      <c r="BB2519" s="2">
        <f t="shared" si="1033"/>
        <v>0</v>
      </c>
      <c r="BC2519" s="2">
        <f t="shared" si="1034"/>
        <v>0</v>
      </c>
      <c r="BD2519" s="2">
        <f t="shared" si="1035"/>
        <v>1.7411764705882352E-2</v>
      </c>
      <c r="BF2519" t="s">
        <v>2000</v>
      </c>
      <c r="BG2519" t="s">
        <v>1183</v>
      </c>
      <c r="BH2519">
        <v>1</v>
      </c>
      <c r="BJ2519" s="114">
        <v>46</v>
      </c>
      <c r="BK2519" s="116">
        <v>121</v>
      </c>
      <c r="BL2519" s="120">
        <f t="shared" si="1026"/>
        <v>46121</v>
      </c>
      <c r="BN2519" s="5" t="s">
        <v>3154</v>
      </c>
    </row>
    <row r="2520" spans="1:84" hidden="1" outlineLevel="1">
      <c r="A2520" t="s">
        <v>227</v>
      </c>
      <c r="B2520" t="s">
        <v>1183</v>
      </c>
      <c r="C2520" s="1">
        <f t="shared" si="1027"/>
        <v>2630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32">
        <f t="shared" si="1036"/>
        <v>1607</v>
      </c>
      <c r="H2520" s="137">
        <f t="shared" si="1037"/>
        <v>0.61102661596958174</v>
      </c>
      <c r="I2520" s="2"/>
      <c r="J2520" s="2">
        <f t="shared" si="1028"/>
        <v>0.17566539923954372</v>
      </c>
      <c r="K2520" s="2">
        <f t="shared" si="1029"/>
        <v>0.78669201520912546</v>
      </c>
      <c r="L2520" s="2">
        <f t="shared" si="1030"/>
        <v>0</v>
      </c>
      <c r="M2520" s="2">
        <f t="shared" si="1031"/>
        <v>3.7642585551330821E-2</v>
      </c>
      <c r="N2520" s="63">
        <v>462</v>
      </c>
      <c r="O2520" s="63">
        <v>2069</v>
      </c>
      <c r="P2520" s="63"/>
      <c r="Q2520" s="63">
        <v>84</v>
      </c>
      <c r="R2520" s="63"/>
      <c r="S2520" s="63">
        <v>15</v>
      </c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W2520" s="5">
        <f>IF(Q2520&gt;0,RANK(Q2520,(N2520:P2520,Q2520:AE2520)),0)</f>
        <v>3</v>
      </c>
      <c r="AX2520" s="5">
        <f>IF(R2520&gt;0,RANK(R2520,(N2520:P2520,Q2520:AE2520)),0)</f>
        <v>0</v>
      </c>
      <c r="AY2520" s="5">
        <f>IF(T2520&gt;0,RANK(T2520,(N2520:P2520,Q2520:AE2520)),0)</f>
        <v>0</v>
      </c>
      <c r="AZ2520" s="5">
        <f>IF(S2520&gt;0,RANK(S2520,(N2520:P2520,Q2520:AE2520)),0)</f>
        <v>4</v>
      </c>
      <c r="BA2520" s="2">
        <f t="shared" si="1032"/>
        <v>3.193916349809886E-2</v>
      </c>
      <c r="BB2520" s="2">
        <f t="shared" si="1033"/>
        <v>0</v>
      </c>
      <c r="BC2520" s="2">
        <f t="shared" si="1034"/>
        <v>0</v>
      </c>
      <c r="BD2520" s="2">
        <f t="shared" si="1035"/>
        <v>5.7034220532319393E-3</v>
      </c>
      <c r="BF2520" t="s">
        <v>227</v>
      </c>
      <c r="BG2520" t="s">
        <v>1183</v>
      </c>
      <c r="BH2520">
        <v>1</v>
      </c>
      <c r="BJ2520" s="114">
        <v>46</v>
      </c>
      <c r="BK2520" s="116">
        <v>123</v>
      </c>
      <c r="BL2520" s="120">
        <f t="shared" si="1026"/>
        <v>46123</v>
      </c>
      <c r="BN2520" s="5" t="s">
        <v>3154</v>
      </c>
    </row>
    <row r="2521" spans="1:84" hidden="1" outlineLevel="1">
      <c r="A2521" t="s">
        <v>1681</v>
      </c>
      <c r="B2521" t="s">
        <v>1183</v>
      </c>
      <c r="C2521" s="1">
        <f t="shared" si="1027"/>
        <v>4150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32">
        <f t="shared" si="1036"/>
        <v>1976</v>
      </c>
      <c r="H2521" s="137">
        <f t="shared" si="1037"/>
        <v>0.47614457831325302</v>
      </c>
      <c r="I2521" s="2"/>
      <c r="J2521" s="2">
        <f t="shared" si="1028"/>
        <v>0.23156626506024097</v>
      </c>
      <c r="K2521" s="2">
        <f t="shared" si="1029"/>
        <v>0.70771084337349399</v>
      </c>
      <c r="L2521" s="2">
        <f t="shared" si="1030"/>
        <v>0</v>
      </c>
      <c r="M2521" s="2">
        <f t="shared" si="1031"/>
        <v>6.072289156626498E-2</v>
      </c>
      <c r="N2521" s="63">
        <v>961</v>
      </c>
      <c r="O2521" s="63">
        <v>2937</v>
      </c>
      <c r="P2521" s="63"/>
      <c r="Q2521" s="63">
        <v>216</v>
      </c>
      <c r="R2521" s="63"/>
      <c r="S2521" s="63">
        <v>36</v>
      </c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W2521" s="5">
        <f>IF(Q2521&gt;0,RANK(Q2521,(N2521:P2521,Q2521:AE2521)),0)</f>
        <v>3</v>
      </c>
      <c r="AX2521" s="5">
        <f>IF(R2521&gt;0,RANK(R2521,(N2521:P2521,Q2521:AE2521)),0)</f>
        <v>0</v>
      </c>
      <c r="AY2521" s="5">
        <f>IF(T2521&gt;0,RANK(T2521,(N2521:P2521,Q2521:AE2521)),0)</f>
        <v>0</v>
      </c>
      <c r="AZ2521" s="5">
        <f>IF(S2521&gt;0,RANK(S2521,(N2521:P2521,Q2521:AE2521)),0)</f>
        <v>4</v>
      </c>
      <c r="BA2521" s="2">
        <f t="shared" si="1032"/>
        <v>5.2048192771084335E-2</v>
      </c>
      <c r="BB2521" s="2">
        <f t="shared" si="1033"/>
        <v>0</v>
      </c>
      <c r="BC2521" s="2">
        <f t="shared" si="1034"/>
        <v>0</v>
      </c>
      <c r="BD2521" s="2">
        <f t="shared" si="1035"/>
        <v>8.6746987951807231E-3</v>
      </c>
      <c r="BF2521" t="s">
        <v>1681</v>
      </c>
      <c r="BG2521" t="s">
        <v>1183</v>
      </c>
      <c r="BH2521">
        <v>1</v>
      </c>
      <c r="BJ2521" s="114">
        <v>46</v>
      </c>
      <c r="BK2521" s="116">
        <v>125</v>
      </c>
      <c r="BL2521" s="120">
        <f t="shared" si="1026"/>
        <v>46125</v>
      </c>
      <c r="BN2521" s="5" t="s">
        <v>3154</v>
      </c>
    </row>
    <row r="2522" spans="1:84" hidden="1" outlineLevel="1">
      <c r="A2522" t="s">
        <v>1513</v>
      </c>
      <c r="B2522" t="s">
        <v>1183</v>
      </c>
      <c r="C2522" s="1">
        <f t="shared" si="1027"/>
        <v>7897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32">
        <f t="shared" si="1036"/>
        <v>3063</v>
      </c>
      <c r="H2522" s="137">
        <f t="shared" si="1037"/>
        <v>0.38786881094086362</v>
      </c>
      <c r="I2522" s="2"/>
      <c r="J2522" s="2">
        <f t="shared" si="1028"/>
        <v>0.28200582499683424</v>
      </c>
      <c r="K2522" s="2">
        <f t="shared" si="1029"/>
        <v>0.66987463593769792</v>
      </c>
      <c r="L2522" s="2">
        <f t="shared" si="1030"/>
        <v>0</v>
      </c>
      <c r="M2522" s="2">
        <f t="shared" si="1031"/>
        <v>4.8119539065467842E-2</v>
      </c>
      <c r="N2522" s="63">
        <v>2227</v>
      </c>
      <c r="O2522" s="63">
        <v>5290</v>
      </c>
      <c r="P2522" s="63"/>
      <c r="Q2522" s="63">
        <v>312</v>
      </c>
      <c r="R2522" s="63"/>
      <c r="S2522" s="63">
        <v>68</v>
      </c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W2522" s="5">
        <f>IF(Q2522&gt;0,RANK(Q2522,(N2522:P2522,Q2522:AE2522)),0)</f>
        <v>3</v>
      </c>
      <c r="AX2522" s="5">
        <f>IF(R2522&gt;0,RANK(R2522,(N2522:P2522,Q2522:AE2522)),0)</f>
        <v>0</v>
      </c>
      <c r="AY2522" s="5">
        <f>IF(T2522&gt;0,RANK(T2522,(N2522:P2522,Q2522:AE2522)),0)</f>
        <v>0</v>
      </c>
      <c r="AZ2522" s="5">
        <f>IF(S2522&gt;0,RANK(S2522,(N2522:P2522,Q2522:AE2522)),0)</f>
        <v>4</v>
      </c>
      <c r="BA2522" s="2">
        <f t="shared" si="1032"/>
        <v>3.9508674180068377E-2</v>
      </c>
      <c r="BB2522" s="2">
        <f t="shared" si="1033"/>
        <v>0</v>
      </c>
      <c r="BC2522" s="2">
        <f t="shared" si="1034"/>
        <v>0</v>
      </c>
      <c r="BD2522" s="2">
        <f t="shared" si="1035"/>
        <v>8.6108648853995187E-3</v>
      </c>
      <c r="BF2522" t="s">
        <v>1513</v>
      </c>
      <c r="BG2522" t="s">
        <v>1183</v>
      </c>
      <c r="BH2522">
        <v>1</v>
      </c>
      <c r="BJ2522" s="114">
        <v>46</v>
      </c>
      <c r="BK2522" s="116">
        <v>127</v>
      </c>
      <c r="BL2522" s="120">
        <f t="shared" si="1026"/>
        <v>46127</v>
      </c>
      <c r="BN2522" s="5" t="s">
        <v>3154</v>
      </c>
    </row>
    <row r="2523" spans="1:84" hidden="1" outlineLevel="1">
      <c r="A2523" t="s">
        <v>993</v>
      </c>
      <c r="B2523" t="s">
        <v>1183</v>
      </c>
      <c r="C2523" s="1">
        <f t="shared" si="1027"/>
        <v>2477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32">
        <f t="shared" si="1036"/>
        <v>1439</v>
      </c>
      <c r="H2523" s="137">
        <f t="shared" si="1037"/>
        <v>0.58094469115865965</v>
      </c>
      <c r="I2523" s="2"/>
      <c r="J2523" s="2">
        <f t="shared" si="1028"/>
        <v>0.18449737585789261</v>
      </c>
      <c r="K2523" s="2">
        <f t="shared" si="1029"/>
        <v>0.76544206701655226</v>
      </c>
      <c r="L2523" s="2">
        <f t="shared" si="1030"/>
        <v>0</v>
      </c>
      <c r="M2523" s="2">
        <f t="shared" si="1031"/>
        <v>5.0060557125555127E-2</v>
      </c>
      <c r="N2523" s="63">
        <v>457</v>
      </c>
      <c r="O2523" s="63">
        <v>1896</v>
      </c>
      <c r="P2523" s="63"/>
      <c r="Q2523" s="63">
        <v>79</v>
      </c>
      <c r="R2523" s="63"/>
      <c r="S2523" s="63">
        <v>45</v>
      </c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W2523" s="5">
        <f>IF(Q2523&gt;0,RANK(Q2523,(N2523:P2523,Q2523:AE2523)),0)</f>
        <v>3</v>
      </c>
      <c r="AX2523" s="5">
        <f>IF(R2523&gt;0,RANK(R2523,(N2523:P2523,Q2523:AE2523)),0)</f>
        <v>0</v>
      </c>
      <c r="AY2523" s="5">
        <f>IF(T2523&gt;0,RANK(T2523,(N2523:P2523,Q2523:AE2523)),0)</f>
        <v>0</v>
      </c>
      <c r="AZ2523" s="5">
        <f>IF(S2523&gt;0,RANK(S2523,(N2523:P2523,Q2523:AE2523)),0)</f>
        <v>4</v>
      </c>
      <c r="BA2523" s="2">
        <f t="shared" si="1032"/>
        <v>3.1893419459023013E-2</v>
      </c>
      <c r="BB2523" s="2">
        <f t="shared" si="1033"/>
        <v>0</v>
      </c>
      <c r="BC2523" s="2">
        <f t="shared" si="1034"/>
        <v>0</v>
      </c>
      <c r="BD2523" s="2">
        <f t="shared" si="1035"/>
        <v>1.8167137666532097E-2</v>
      </c>
      <c r="BF2523" t="s">
        <v>993</v>
      </c>
      <c r="BG2523" t="s">
        <v>1183</v>
      </c>
      <c r="BH2523">
        <v>1</v>
      </c>
      <c r="BJ2523" s="114">
        <v>46</v>
      </c>
      <c r="BK2523" s="116">
        <v>129</v>
      </c>
      <c r="BL2523" s="120">
        <f t="shared" si="1026"/>
        <v>46129</v>
      </c>
      <c r="BN2523" s="5" t="s">
        <v>3154</v>
      </c>
    </row>
    <row r="2524" spans="1:84" hidden="1" outlineLevel="1">
      <c r="A2524" t="s">
        <v>2359</v>
      </c>
      <c r="B2524" t="s">
        <v>1183</v>
      </c>
      <c r="C2524" s="1">
        <f t="shared" si="1027"/>
        <v>9623</v>
      </c>
      <c r="D2524" s="5">
        <f>IF(N2524&gt;0, RANK(N2524,(N2524:P2524,Q2524:AE2524)),0)</f>
        <v>2</v>
      </c>
      <c r="E2524" s="5">
        <f>IF(O2524&gt;0,RANK(O2524,(N2524:P2524,Q2524:AE2524)),0)</f>
        <v>1</v>
      </c>
      <c r="F2524" s="5">
        <f>IF(P2524&gt;0,RANK(P2524,(N2524:P2524,Q2524:AE2524)),0)</f>
        <v>0</v>
      </c>
      <c r="G2524" s="132">
        <f t="shared" si="1036"/>
        <v>2358</v>
      </c>
      <c r="H2524" s="137">
        <f t="shared" si="1037"/>
        <v>0.2450379299594721</v>
      </c>
      <c r="I2524" s="2"/>
      <c r="J2524" s="2">
        <f t="shared" si="1028"/>
        <v>0.34303231840382414</v>
      </c>
      <c r="K2524" s="2">
        <f t="shared" si="1029"/>
        <v>0.58807024836329624</v>
      </c>
      <c r="L2524" s="2">
        <f t="shared" si="1030"/>
        <v>0</v>
      </c>
      <c r="M2524" s="2">
        <f>IF(C2524=0,"-",(1-J2524-K2524-L2524))</f>
        <v>6.8897433232879557E-2</v>
      </c>
      <c r="N2524" s="63">
        <v>3301</v>
      </c>
      <c r="O2524" s="63">
        <v>5659</v>
      </c>
      <c r="P2524" s="63"/>
      <c r="Q2524" s="63">
        <v>552</v>
      </c>
      <c r="R2524" s="63"/>
      <c r="S2524" s="63">
        <v>111</v>
      </c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W2524" s="5">
        <f>IF(Q2524&gt;0,RANK(Q2524,(N2524:P2524,Q2524:AE2524)),0)</f>
        <v>3</v>
      </c>
      <c r="AX2524" s="5">
        <f>IF(R2524&gt;0,RANK(R2524,(N2524:P2524,Q2524:AE2524)),0)</f>
        <v>0</v>
      </c>
      <c r="AY2524" s="5">
        <f>IF(T2524&gt;0,RANK(T2524,(N2524:P2524,Q2524:AE2524)),0)</f>
        <v>0</v>
      </c>
      <c r="AZ2524" s="5">
        <f>IF(S2524&gt;0,RANK(S2524,(N2524:P2524,Q2524:AE2524)),0)</f>
        <v>4</v>
      </c>
      <c r="BA2524" s="2">
        <f t="shared" si="1032"/>
        <v>5.7362568845474388E-2</v>
      </c>
      <c r="BB2524" s="2">
        <f t="shared" si="1033"/>
        <v>0</v>
      </c>
      <c r="BC2524" s="2">
        <f t="shared" si="1034"/>
        <v>0</v>
      </c>
      <c r="BD2524" s="2">
        <f t="shared" si="1035"/>
        <v>1.1534864387405174E-2</v>
      </c>
      <c r="BF2524" t="s">
        <v>2359</v>
      </c>
      <c r="BG2524" t="s">
        <v>1183</v>
      </c>
      <c r="BH2524">
        <v>1</v>
      </c>
      <c r="BJ2524" s="114">
        <v>46</v>
      </c>
      <c r="BK2524" s="116">
        <v>135</v>
      </c>
      <c r="BL2524" s="120">
        <f t="shared" si="1026"/>
        <v>46135</v>
      </c>
      <c r="BN2524" s="5" t="s">
        <v>3154</v>
      </c>
    </row>
    <row r="2525" spans="1:84" hidden="1" outlineLevel="1">
      <c r="A2525" t="s">
        <v>36</v>
      </c>
      <c r="B2525" t="s">
        <v>1183</v>
      </c>
      <c r="C2525" s="1">
        <f t="shared" si="1027"/>
        <v>767</v>
      </c>
      <c r="D2525" s="5">
        <f>IF(N2525&gt;0, RANK(N2525,(N2525:P2525,Q2525:AE2525)),0)</f>
        <v>2</v>
      </c>
      <c r="E2525" s="5">
        <f>IF(O2525&gt;0,RANK(O2525,(N2525:P2525,Q2525:AE2525)),0)</f>
        <v>1</v>
      </c>
      <c r="F2525" s="5">
        <f>IF(P2525&gt;0,RANK(P2525,(N2525:P2525,Q2525:AE2525)),0)</f>
        <v>0</v>
      </c>
      <c r="G2525" s="132">
        <f t="shared" si="1036"/>
        <v>15</v>
      </c>
      <c r="H2525" s="137">
        <f t="shared" si="1037"/>
        <v>1.955671447196871E-2</v>
      </c>
      <c r="I2525" s="2"/>
      <c r="J2525" s="2">
        <f t="shared" si="1028"/>
        <v>0.46023468057366362</v>
      </c>
      <c r="K2525" s="2">
        <f t="shared" si="1029"/>
        <v>0.47979139504563234</v>
      </c>
      <c r="L2525" s="2">
        <f t="shared" si="1030"/>
        <v>0</v>
      </c>
      <c r="M2525" s="2">
        <f>IF(C2525=0,"-",(1-J2525-K2525-L2525))</f>
        <v>5.997392438070398E-2</v>
      </c>
      <c r="N2525" s="63">
        <v>353</v>
      </c>
      <c r="O2525" s="63">
        <v>368</v>
      </c>
      <c r="P2525" s="63"/>
      <c r="Q2525" s="63">
        <v>28</v>
      </c>
      <c r="R2525" s="63"/>
      <c r="S2525" s="63">
        <v>18</v>
      </c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W2525" s="5">
        <f>IF(Q2525&gt;0,RANK(Q2525,(N2525:P2525,Q2525:AE2525)),0)</f>
        <v>3</v>
      </c>
      <c r="AX2525" s="5">
        <f>IF(R2525&gt;0,RANK(R2525,(N2525:P2525,Q2525:AE2525)),0)</f>
        <v>0</v>
      </c>
      <c r="AY2525" s="5">
        <f>IF(T2525&gt;0,RANK(T2525,(N2525:P2525,Q2525:AE2525)),0)</f>
        <v>0</v>
      </c>
      <c r="AZ2525" s="5">
        <f>IF(S2525&gt;0,RANK(S2525,(N2525:P2525,Q2525:AE2525)),0)</f>
        <v>4</v>
      </c>
      <c r="BA2525" s="2">
        <f t="shared" si="1032"/>
        <v>3.6505867014341588E-2</v>
      </c>
      <c r="BB2525" s="2">
        <f t="shared" si="1033"/>
        <v>0</v>
      </c>
      <c r="BC2525" s="2">
        <f t="shared" si="1034"/>
        <v>0</v>
      </c>
      <c r="BD2525" s="2">
        <f t="shared" si="1035"/>
        <v>2.3468057366362451E-2</v>
      </c>
      <c r="BF2525" t="s">
        <v>36</v>
      </c>
      <c r="BG2525" t="s">
        <v>1183</v>
      </c>
      <c r="BH2525">
        <v>1</v>
      </c>
      <c r="BJ2525" s="114">
        <v>46</v>
      </c>
      <c r="BK2525" s="116">
        <v>137</v>
      </c>
      <c r="BL2525" s="120">
        <f t="shared" si="1026"/>
        <v>46137</v>
      </c>
      <c r="BN2525" s="5" t="s">
        <v>3154</v>
      </c>
    </row>
    <row r="2526" spans="1:84" collapsed="1">
      <c r="A2526" t="s">
        <v>2026</v>
      </c>
      <c r="B2526" t="s">
        <v>544</v>
      </c>
      <c r="C2526" s="1">
        <f t="shared" si="1027"/>
        <v>370093</v>
      </c>
      <c r="D2526" s="5">
        <f>IF(N2526&gt;0, RANK(N2526,(N2526:P2526,Q2526:AE2526)),0)</f>
        <v>2</v>
      </c>
      <c r="E2526" s="5">
        <f>IF(O2526&gt;0,RANK(O2526,(N2526:P2526,Q2526:AE2526)),0)</f>
        <v>1</v>
      </c>
      <c r="F2526" s="5">
        <f>IF(P2526&gt;0,RANK(P2526,(N2526:P2526,Q2526:AE2526)),0)</f>
        <v>0</v>
      </c>
      <c r="G2526" s="132">
        <f t="shared" si="1036"/>
        <v>110263</v>
      </c>
      <c r="H2526" s="137">
        <f t="shared" si="1037"/>
        <v>0.29793322219009816</v>
      </c>
      <c r="I2526" s="2"/>
      <c r="J2526" s="2">
        <f t="shared" si="1028"/>
        <v>0.31737428159948988</v>
      </c>
      <c r="K2526" s="2">
        <f t="shared" si="1029"/>
        <v>0.61530750378958798</v>
      </c>
      <c r="L2526" s="2">
        <f t="shared" si="1030"/>
        <v>0</v>
      </c>
      <c r="M2526" s="2">
        <f>IF(C2526=0,"-",(1-J2526-K2526-L2526))</f>
        <v>6.7318214610922134E-2</v>
      </c>
      <c r="N2526" s="63">
        <f>SUM(N2460:N2525)</f>
        <v>117458</v>
      </c>
      <c r="O2526" s="63">
        <f>SUM(O2460:O2525)</f>
        <v>227721</v>
      </c>
      <c r="P2526" s="63"/>
      <c r="Q2526" s="63">
        <f>SUM(Q2460:Q2525)</f>
        <v>20850</v>
      </c>
      <c r="R2526" s="63"/>
      <c r="S2526" s="63">
        <f>SUM(S2460:S2525)</f>
        <v>4064</v>
      </c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W2526" s="5">
        <f>IF(Q2526&gt;0,RANK(Q2526,(N2526:P2526,Q2526:AE2526)),0)</f>
        <v>3</v>
      </c>
      <c r="AX2526" s="5">
        <f>IF(R2526&gt;0,RANK(R2526,(N2526:P2526,Q2526:AE2526)),0)</f>
        <v>0</v>
      </c>
      <c r="AY2526" s="5">
        <f>IF(T2526&gt;0,RANK(T2526,(N2526:P2526,Q2526:AE2526)),0)</f>
        <v>0</v>
      </c>
      <c r="AZ2526" s="5">
        <f>IF(S2526&gt;0,RANK(S2526,(N2526:P2526,Q2526:AE2526)),0)</f>
        <v>4</v>
      </c>
      <c r="BA2526" s="2">
        <f t="shared" si="1032"/>
        <v>5.6337190922281698E-2</v>
      </c>
      <c r="BB2526" s="2">
        <f t="shared" si="1033"/>
        <v>0</v>
      </c>
      <c r="BC2526" s="2">
        <f t="shared" si="1034"/>
        <v>0</v>
      </c>
      <c r="BD2526" s="2">
        <f t="shared" si="1035"/>
        <v>1.0981023688640424E-2</v>
      </c>
      <c r="BF2526" t="s">
        <v>2026</v>
      </c>
      <c r="BG2526" t="s">
        <v>544</v>
      </c>
      <c r="BJ2526" s="114">
        <v>46</v>
      </c>
      <c r="BK2526" s="116"/>
      <c r="BL2526" s="114">
        <v>46</v>
      </c>
      <c r="BN2526" s="5" t="s">
        <v>711</v>
      </c>
    </row>
    <row r="2527" spans="1:84">
      <c r="C2527" s="1"/>
      <c r="E2527" s="5"/>
      <c r="F2527" s="5"/>
      <c r="G2527" s="132"/>
      <c r="H2527" s="137"/>
      <c r="I2527" s="2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W2527" s="5"/>
      <c r="AX2527" s="5"/>
      <c r="AY2527" s="5"/>
      <c r="AZ2527" s="5"/>
      <c r="BJ2527" s="114"/>
      <c r="BK2527" s="116"/>
      <c r="BL2527" s="120"/>
      <c r="CD2527" s="132" t="s">
        <v>3515</v>
      </c>
      <c r="CE2527" s="132" t="s">
        <v>3351</v>
      </c>
      <c r="CF2527" s="132" t="s">
        <v>3512</v>
      </c>
    </row>
    <row r="2528" spans="1:84" hidden="1" outlineLevel="1">
      <c r="A2528" t="s">
        <v>1961</v>
      </c>
      <c r="B2528" t="s">
        <v>18</v>
      </c>
      <c r="C2528" s="1">
        <f t="shared" ref="C2528:C2559" si="1038">SUM(N2528:AU2528)</f>
        <v>29881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5</v>
      </c>
      <c r="G2528" s="132">
        <f t="shared" si="1036"/>
        <v>10199</v>
      </c>
      <c r="H2528" s="137">
        <f t="shared" si="1037"/>
        <v>0.34132057160068269</v>
      </c>
      <c r="I2528" s="2"/>
      <c r="J2528" s="2">
        <f t="shared" ref="J2528:J2559" si="1039">IF($C2528=0,"-",N2528/$C2528)</f>
        <v>0.30162979819952479</v>
      </c>
      <c r="K2528" s="2">
        <f t="shared" ref="K2528:K2559" si="1040">IF($C2528=0,"-",O2528/$C2528)</f>
        <v>0.64295036980020748</v>
      </c>
      <c r="L2528" s="2">
        <f t="shared" ref="L2528:L2559" si="1041">IF($C2528=0,"-",P2528/$C2528)</f>
        <v>3.8485994444630365E-3</v>
      </c>
      <c r="M2528" s="2">
        <f t="shared" ref="M2528:M2559" si="1042">IF(C2528=0,"-",(1-J2528-K2528-L2528))</f>
        <v>5.157123255580464E-2</v>
      </c>
      <c r="N2528" s="63">
        <v>9013</v>
      </c>
      <c r="O2528" s="63">
        <v>19212</v>
      </c>
      <c r="P2528" s="63">
        <v>115</v>
      </c>
      <c r="Q2528" s="63">
        <v>1034</v>
      </c>
      <c r="R2528" s="63">
        <v>189</v>
      </c>
      <c r="S2528" s="63">
        <v>28</v>
      </c>
      <c r="T2528" s="63">
        <v>74</v>
      </c>
      <c r="U2528" s="63"/>
      <c r="V2528" s="63"/>
      <c r="W2528" s="63">
        <f>IF(Copyright!B$11=1,IF(CA2528&gt;0,CA2528-SUM(U2528:V2528)-SUM(Y2528:AC2528)-SUM(AE2528:AP2528),SUM(CD2528:CF2528)),SUM(CD2528:CF2528))</f>
        <v>0</v>
      </c>
      <c r="X2528" s="63">
        <v>42</v>
      </c>
      <c r="Y2528" s="63">
        <v>0</v>
      </c>
      <c r="Z2528" s="63"/>
      <c r="AA2528" s="63"/>
      <c r="AB2528" s="63"/>
      <c r="AC2528" s="63"/>
      <c r="AD2528" s="63"/>
      <c r="AE2528" s="63">
        <v>0</v>
      </c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>
        <v>174</v>
      </c>
      <c r="AR2528" s="63"/>
      <c r="AS2528" s="63"/>
      <c r="AT2528" s="63"/>
      <c r="AU2528" s="63"/>
      <c r="AW2528" s="5">
        <f>IF(Q2528&gt;0,RANK(Q2528,(N2528:P2528,Q2528:AE2528)),0)</f>
        <v>3</v>
      </c>
      <c r="AX2528" s="5">
        <f>IF(R2528&gt;0,RANK(R2528,(N2528:P2528,Q2528:AE2528)),0)</f>
        <v>4</v>
      </c>
      <c r="AY2528" s="5">
        <f>IF(T2528&gt;0,RANK(T2528,(N2528:P2528,Q2528:AE2528)),0)</f>
        <v>6</v>
      </c>
      <c r="AZ2528" s="5">
        <f>IF(S2528&gt;0,RANK(S2528,(N2528:P2528,Q2528:AE2528)),0)</f>
        <v>8</v>
      </c>
      <c r="BA2528" s="2">
        <f t="shared" ref="BA2528:BA2559" si="1043">IF($C2528=0,"-",Q2528/$C2528)</f>
        <v>3.4603928918041565E-2</v>
      </c>
      <c r="BB2528" s="2">
        <f t="shared" ref="BB2528:BB2559" si="1044">IF($C2528=0,"-",R2528/$C2528)</f>
        <v>6.3250895217696864E-3</v>
      </c>
      <c r="BC2528" s="2">
        <f t="shared" ref="BC2528:BC2559" si="1045">IF($C2528=0,"-",T2528/$C2528)</f>
        <v>2.4764900773066498E-3</v>
      </c>
      <c r="BD2528" s="2">
        <f t="shared" ref="BD2528:BD2559" si="1046">IF($C2528=0,"-",S2528/$C2528)</f>
        <v>9.3705029952143503E-4</v>
      </c>
      <c r="BF2528" t="s">
        <v>1961</v>
      </c>
      <c r="BG2528" t="s">
        <v>18</v>
      </c>
      <c r="BH2528" s="1">
        <v>3</v>
      </c>
      <c r="BI2528" s="1"/>
      <c r="BJ2528" s="114">
        <v>47</v>
      </c>
      <c r="BK2528" s="116">
        <v>1</v>
      </c>
      <c r="BL2528" s="120">
        <f t="shared" si="1026"/>
        <v>47001</v>
      </c>
      <c r="BM2528" s="1"/>
      <c r="BN2528" s="5" t="s">
        <v>3154</v>
      </c>
      <c r="CD2528" s="63">
        <v>0</v>
      </c>
      <c r="CE2528" s="63">
        <v>0</v>
      </c>
      <c r="CF2528" s="63">
        <v>0</v>
      </c>
    </row>
    <row r="2529" spans="1:84" hidden="1" outlineLevel="1">
      <c r="A2529" t="s">
        <v>1766</v>
      </c>
      <c r="B2529" t="s">
        <v>18</v>
      </c>
      <c r="C2529" s="1">
        <f t="shared" si="1038"/>
        <v>15355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6</v>
      </c>
      <c r="G2529" s="132">
        <f t="shared" si="1036"/>
        <v>8091</v>
      </c>
      <c r="H2529" s="137">
        <f t="shared" si="1037"/>
        <v>0.5269293389775318</v>
      </c>
      <c r="I2529" s="2"/>
      <c r="J2529" s="2">
        <f t="shared" si="1039"/>
        <v>0.22110061869098013</v>
      </c>
      <c r="K2529" s="2">
        <f t="shared" si="1040"/>
        <v>0.74802995766851188</v>
      </c>
      <c r="L2529" s="2">
        <f t="shared" si="1041"/>
        <v>5.2100293064148489E-4</v>
      </c>
      <c r="M2529" s="2">
        <f t="shared" si="1042"/>
        <v>3.0348420709866559E-2</v>
      </c>
      <c r="N2529" s="63">
        <v>3395</v>
      </c>
      <c r="O2529" s="63">
        <v>11486</v>
      </c>
      <c r="P2529" s="63">
        <v>8</v>
      </c>
      <c r="Q2529" s="63">
        <v>306</v>
      </c>
      <c r="R2529" s="63">
        <v>75</v>
      </c>
      <c r="S2529" s="63">
        <v>5</v>
      </c>
      <c r="T2529" s="63">
        <v>25</v>
      </c>
      <c r="U2529" s="63"/>
      <c r="V2529" s="63"/>
      <c r="W2529" s="63">
        <f>IF(Copyright!B$11=1,IF(CA2529&gt;0,CA2529-SUM(U2529:V2529)-SUM(Y2529:AC2529)-SUM(AE2529:AP2529),SUM(CD2529:CF2529)),SUM(CD2529:CF2529))</f>
        <v>0</v>
      </c>
      <c r="X2529" s="63">
        <v>8</v>
      </c>
      <c r="Y2529" s="63">
        <v>0</v>
      </c>
      <c r="Z2529" s="63"/>
      <c r="AA2529" s="63"/>
      <c r="AB2529" s="63"/>
      <c r="AC2529" s="63"/>
      <c r="AD2529" s="63"/>
      <c r="AE2529" s="63">
        <v>0</v>
      </c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>
        <v>47</v>
      </c>
      <c r="AR2529" s="63"/>
      <c r="AS2529" s="63"/>
      <c r="AT2529" s="63"/>
      <c r="AU2529" s="63"/>
      <c r="AW2529" s="5">
        <f>IF(Q2529&gt;0,RANK(Q2529,(N2529:P2529,Q2529:AE2529)),0)</f>
        <v>3</v>
      </c>
      <c r="AX2529" s="5">
        <f>IF(R2529&gt;0,RANK(R2529,(N2529:P2529,Q2529:AE2529)),0)</f>
        <v>4</v>
      </c>
      <c r="AY2529" s="5">
        <f>IF(T2529&gt;0,RANK(T2529,(N2529:P2529,Q2529:AE2529)),0)</f>
        <v>5</v>
      </c>
      <c r="AZ2529" s="5">
        <f>IF(S2529&gt;0,RANK(S2529,(N2529:P2529,Q2529:AE2529)),0)</f>
        <v>8</v>
      </c>
      <c r="BA2529" s="2">
        <f t="shared" si="1043"/>
        <v>1.9928362097036797E-2</v>
      </c>
      <c r="BB2529" s="2">
        <f t="shared" si="1044"/>
        <v>4.8844024747639204E-3</v>
      </c>
      <c r="BC2529" s="2">
        <f t="shared" si="1045"/>
        <v>1.6281341582546401E-3</v>
      </c>
      <c r="BD2529" s="2">
        <f t="shared" si="1046"/>
        <v>3.2562683165092806E-4</v>
      </c>
      <c r="BF2529" t="s">
        <v>1766</v>
      </c>
      <c r="BG2529" t="s">
        <v>18</v>
      </c>
      <c r="BH2529" s="1">
        <v>4</v>
      </c>
      <c r="BI2529" s="1"/>
      <c r="BJ2529" s="114">
        <v>47</v>
      </c>
      <c r="BK2529" s="116">
        <v>3</v>
      </c>
      <c r="BL2529" s="120">
        <f t="shared" si="1026"/>
        <v>47003</v>
      </c>
      <c r="BM2529" s="1"/>
      <c r="BN2529" s="5" t="s">
        <v>3154</v>
      </c>
      <c r="CD2529" s="63">
        <v>0</v>
      </c>
      <c r="CE2529" s="63">
        <v>0</v>
      </c>
      <c r="CF2529" s="63">
        <v>0</v>
      </c>
    </row>
    <row r="2530" spans="1:84" hidden="1" outlineLevel="1">
      <c r="A2530" t="s">
        <v>1098</v>
      </c>
      <c r="B2530" t="s">
        <v>18</v>
      </c>
      <c r="C2530" s="1">
        <f t="shared" si="1038"/>
        <v>6328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7</v>
      </c>
      <c r="G2530" s="132">
        <f t="shared" si="1036"/>
        <v>3242</v>
      </c>
      <c r="H2530" s="137">
        <f t="shared" si="1037"/>
        <v>0.51232616940581543</v>
      </c>
      <c r="I2530" s="2"/>
      <c r="J2530" s="2">
        <f t="shared" si="1039"/>
        <v>0.23293299620733249</v>
      </c>
      <c r="K2530" s="2">
        <f t="shared" si="1040"/>
        <v>0.74525916561314787</v>
      </c>
      <c r="L2530" s="2">
        <f t="shared" si="1041"/>
        <v>4.7408343868520858E-4</v>
      </c>
      <c r="M2530" s="2">
        <f t="shared" si="1042"/>
        <v>2.133375474083438E-2</v>
      </c>
      <c r="N2530" s="63">
        <v>1474</v>
      </c>
      <c r="O2530" s="63">
        <v>4716</v>
      </c>
      <c r="P2530" s="63">
        <v>3</v>
      </c>
      <c r="Q2530" s="63">
        <v>83</v>
      </c>
      <c r="R2530" s="63">
        <v>14</v>
      </c>
      <c r="S2530" s="63">
        <v>2</v>
      </c>
      <c r="T2530" s="63">
        <v>12</v>
      </c>
      <c r="U2530" s="63"/>
      <c r="V2530" s="63"/>
      <c r="W2530" s="63">
        <f>IF(Copyright!B$11=1,IF(CA2530&gt;0,CA2530-SUM(U2530:V2530)-SUM(Y2530:AC2530)-SUM(AE2530:AP2530),SUM(CD2530:CF2530)),SUM(CD2530:CF2530))</f>
        <v>0</v>
      </c>
      <c r="X2530" s="63">
        <v>13</v>
      </c>
      <c r="Y2530" s="63">
        <v>0</v>
      </c>
      <c r="Z2530" s="63"/>
      <c r="AA2530" s="63"/>
      <c r="AB2530" s="63"/>
      <c r="AC2530" s="63"/>
      <c r="AD2530" s="63"/>
      <c r="AE2530" s="63">
        <v>0</v>
      </c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>
        <v>11</v>
      </c>
      <c r="AR2530" s="63"/>
      <c r="AS2530" s="63"/>
      <c r="AT2530" s="63"/>
      <c r="AU2530" s="63"/>
      <c r="AW2530" s="5">
        <f>IF(Q2530&gt;0,RANK(Q2530,(N2530:P2530,Q2530:AE2530)),0)</f>
        <v>3</v>
      </c>
      <c r="AX2530" s="5">
        <f>IF(R2530&gt;0,RANK(R2530,(N2530:P2530,Q2530:AE2530)),0)</f>
        <v>4</v>
      </c>
      <c r="AY2530" s="5">
        <f>IF(T2530&gt;0,RANK(T2530,(N2530:P2530,Q2530:AE2530)),0)</f>
        <v>6</v>
      </c>
      <c r="AZ2530" s="5">
        <f>IF(S2530&gt;0,RANK(S2530,(N2530:P2530,Q2530:AE2530)),0)</f>
        <v>8</v>
      </c>
      <c r="BA2530" s="2">
        <f t="shared" si="1043"/>
        <v>1.3116308470290772E-2</v>
      </c>
      <c r="BB2530" s="2">
        <f t="shared" si="1044"/>
        <v>2.2123893805309734E-3</v>
      </c>
      <c r="BC2530" s="2">
        <f t="shared" si="1045"/>
        <v>1.8963337547408343E-3</v>
      </c>
      <c r="BD2530" s="2">
        <f t="shared" si="1046"/>
        <v>3.1605562579013909E-4</v>
      </c>
      <c r="BF2530" t="s">
        <v>1098</v>
      </c>
      <c r="BG2530" t="s">
        <v>18</v>
      </c>
      <c r="BH2530" s="1"/>
      <c r="BI2530" s="1"/>
      <c r="BJ2530" s="114">
        <v>47</v>
      </c>
      <c r="BK2530" s="116">
        <v>5</v>
      </c>
      <c r="BL2530" s="120">
        <f t="shared" si="1026"/>
        <v>47005</v>
      </c>
      <c r="BM2530" s="1"/>
      <c r="BN2530" s="5" t="s">
        <v>3154</v>
      </c>
      <c r="CD2530" s="63">
        <v>0</v>
      </c>
      <c r="CE2530" s="63">
        <v>0</v>
      </c>
      <c r="CF2530" s="63">
        <v>0</v>
      </c>
    </row>
    <row r="2531" spans="1:84" hidden="1" outlineLevel="1">
      <c r="A2531" t="s">
        <v>336</v>
      </c>
      <c r="B2531" t="s">
        <v>18</v>
      </c>
      <c r="C2531" s="1">
        <f t="shared" si="1038"/>
        <v>4664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5</v>
      </c>
      <c r="G2531" s="132">
        <f t="shared" si="1036"/>
        <v>2725</v>
      </c>
      <c r="H2531" s="137">
        <f t="shared" si="1037"/>
        <v>0.58426243567753</v>
      </c>
      <c r="I2531" s="2"/>
      <c r="J2531" s="2">
        <f t="shared" si="1039"/>
        <v>0.19232418524871356</v>
      </c>
      <c r="K2531" s="2">
        <f t="shared" si="1040"/>
        <v>0.77658662092624353</v>
      </c>
      <c r="L2531" s="2">
        <f t="shared" si="1041"/>
        <v>2.1440823327615781E-3</v>
      </c>
      <c r="M2531" s="2">
        <f t="shared" si="1042"/>
        <v>2.8945111492281361E-2</v>
      </c>
      <c r="N2531" s="63">
        <v>897</v>
      </c>
      <c r="O2531" s="63">
        <v>3622</v>
      </c>
      <c r="P2531" s="63">
        <v>10</v>
      </c>
      <c r="Q2531" s="63">
        <v>95</v>
      </c>
      <c r="R2531" s="63">
        <v>18</v>
      </c>
      <c r="S2531" s="63">
        <v>2</v>
      </c>
      <c r="T2531" s="63">
        <v>7</v>
      </c>
      <c r="U2531" s="63"/>
      <c r="V2531" s="63"/>
      <c r="W2531" s="63">
        <f>IF(Copyright!B$11=1,IF(CA2531&gt;0,CA2531-SUM(U2531:V2531)-SUM(Y2531:AC2531)-SUM(AE2531:AP2531),SUM(CD2531:CF2531)),SUM(CD2531:CF2531))</f>
        <v>0</v>
      </c>
      <c r="X2531" s="63">
        <v>4</v>
      </c>
      <c r="Y2531" s="63">
        <v>0</v>
      </c>
      <c r="Z2531" s="63"/>
      <c r="AA2531" s="63"/>
      <c r="AB2531" s="63"/>
      <c r="AC2531" s="63"/>
      <c r="AD2531" s="63"/>
      <c r="AE2531" s="63">
        <v>0</v>
      </c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>
        <v>9</v>
      </c>
      <c r="AR2531" s="63"/>
      <c r="AS2531" s="63"/>
      <c r="AT2531" s="63"/>
      <c r="AU2531" s="63"/>
      <c r="AW2531" s="5">
        <f>IF(Q2531&gt;0,RANK(Q2531,(N2531:P2531,Q2531:AE2531)),0)</f>
        <v>3</v>
      </c>
      <c r="AX2531" s="5">
        <f>IF(R2531&gt;0,RANK(R2531,(N2531:P2531,Q2531:AE2531)),0)</f>
        <v>4</v>
      </c>
      <c r="AY2531" s="5">
        <f>IF(T2531&gt;0,RANK(T2531,(N2531:P2531,Q2531:AE2531)),0)</f>
        <v>6</v>
      </c>
      <c r="AZ2531" s="5">
        <f>IF(S2531&gt;0,RANK(S2531,(N2531:P2531,Q2531:AE2531)),0)</f>
        <v>8</v>
      </c>
      <c r="BA2531" s="2">
        <f t="shared" si="1043"/>
        <v>2.0368782161234993E-2</v>
      </c>
      <c r="BB2531" s="2">
        <f t="shared" si="1044"/>
        <v>3.8593481989708405E-3</v>
      </c>
      <c r="BC2531" s="2">
        <f t="shared" si="1045"/>
        <v>1.5008576329331046E-3</v>
      </c>
      <c r="BD2531" s="2">
        <f t="shared" si="1046"/>
        <v>4.288164665523156E-4</v>
      </c>
      <c r="BF2531" t="s">
        <v>336</v>
      </c>
      <c r="BG2531" t="s">
        <v>18</v>
      </c>
      <c r="BH2531" s="1">
        <v>4</v>
      </c>
      <c r="BI2531" s="1"/>
      <c r="BJ2531" s="114">
        <v>47</v>
      </c>
      <c r="BK2531" s="116">
        <v>7</v>
      </c>
      <c r="BL2531" s="120">
        <f t="shared" si="1026"/>
        <v>47007</v>
      </c>
      <c r="BM2531" s="1"/>
      <c r="BN2531" s="5" t="s">
        <v>3154</v>
      </c>
      <c r="CD2531" s="63">
        <v>0</v>
      </c>
      <c r="CE2531" s="63">
        <v>0</v>
      </c>
      <c r="CF2531" s="63">
        <v>0</v>
      </c>
    </row>
    <row r="2532" spans="1:84" hidden="1" outlineLevel="1">
      <c r="A2532" t="s">
        <v>2579</v>
      </c>
      <c r="B2532" t="s">
        <v>18</v>
      </c>
      <c r="C2532" s="1">
        <f t="shared" si="1038"/>
        <v>52208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5</v>
      </c>
      <c r="G2532" s="132">
        <f t="shared" si="1036"/>
        <v>25343</v>
      </c>
      <c r="H2532" s="137">
        <f t="shared" si="1037"/>
        <v>0.48542368985596079</v>
      </c>
      <c r="I2532" s="2"/>
      <c r="J2532" s="2">
        <f t="shared" si="1039"/>
        <v>0.23176524670548576</v>
      </c>
      <c r="K2532" s="2">
        <f t="shared" si="1040"/>
        <v>0.71718893656144656</v>
      </c>
      <c r="L2532" s="2">
        <f t="shared" si="1041"/>
        <v>4.3479926448053942E-3</v>
      </c>
      <c r="M2532" s="2">
        <f t="shared" si="1042"/>
        <v>4.6697824088262237E-2</v>
      </c>
      <c r="N2532" s="63">
        <v>12100</v>
      </c>
      <c r="O2532" s="63">
        <v>37443</v>
      </c>
      <c r="P2532" s="63">
        <v>227</v>
      </c>
      <c r="Q2532" s="63">
        <v>1666</v>
      </c>
      <c r="R2532" s="63">
        <v>313</v>
      </c>
      <c r="S2532" s="63">
        <v>51</v>
      </c>
      <c r="T2532" s="63">
        <v>83</v>
      </c>
      <c r="U2532" s="63"/>
      <c r="V2532" s="63"/>
      <c r="W2532" s="63">
        <f>IF(Copyright!B$11=1,IF(CA2532&gt;0,CA2532-SUM(U2532:V2532)-SUM(Y2532:AC2532)-SUM(AE2532:AP2532),SUM(CD2532:CF2532)),SUM(CD2532:CF2532))</f>
        <v>2</v>
      </c>
      <c r="X2532" s="63">
        <v>72</v>
      </c>
      <c r="Y2532" s="63">
        <v>1</v>
      </c>
      <c r="Z2532" s="63"/>
      <c r="AA2532" s="63"/>
      <c r="AB2532" s="63"/>
      <c r="AC2532" s="63"/>
      <c r="AD2532" s="63"/>
      <c r="AE2532" s="63">
        <v>0</v>
      </c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>
        <v>250</v>
      </c>
      <c r="AR2532" s="63"/>
      <c r="AS2532" s="63"/>
      <c r="AT2532" s="63"/>
      <c r="AU2532" s="63"/>
      <c r="AW2532" s="5">
        <f>IF(Q2532&gt;0,RANK(Q2532,(N2532:P2532,Q2532:AE2532)),0)</f>
        <v>3</v>
      </c>
      <c r="AX2532" s="5">
        <f>IF(R2532&gt;0,RANK(R2532,(N2532:P2532,Q2532:AE2532)),0)</f>
        <v>4</v>
      </c>
      <c r="AY2532" s="5">
        <f>IF(T2532&gt;0,RANK(T2532,(N2532:P2532,Q2532:AE2532)),0)</f>
        <v>6</v>
      </c>
      <c r="AZ2532" s="5">
        <f>IF(S2532&gt;0,RANK(S2532,(N2532:P2532,Q2532:AE2532)),0)</f>
        <v>8</v>
      </c>
      <c r="BA2532" s="2">
        <f t="shared" si="1043"/>
        <v>3.1910818265399939E-2</v>
      </c>
      <c r="BB2532" s="2">
        <f t="shared" si="1044"/>
        <v>5.9952497701501687E-3</v>
      </c>
      <c r="BC2532" s="2">
        <f t="shared" si="1045"/>
        <v>1.5897946674839104E-3</v>
      </c>
      <c r="BD2532" s="2">
        <f t="shared" si="1046"/>
        <v>9.7686178363469195E-4</v>
      </c>
      <c r="BF2532" t="s">
        <v>2579</v>
      </c>
      <c r="BG2532" t="s">
        <v>18</v>
      </c>
      <c r="BH2532" s="1">
        <v>2</v>
      </c>
      <c r="BI2532" s="1"/>
      <c r="BJ2532" s="114">
        <v>47</v>
      </c>
      <c r="BK2532" s="116">
        <v>9</v>
      </c>
      <c r="BL2532" s="120">
        <f t="shared" si="1026"/>
        <v>47009</v>
      </c>
      <c r="BM2532" s="1"/>
      <c r="BN2532" s="5" t="s">
        <v>3154</v>
      </c>
      <c r="CD2532" s="63">
        <v>1</v>
      </c>
      <c r="CE2532" s="63">
        <v>1</v>
      </c>
      <c r="CF2532" s="63">
        <v>0</v>
      </c>
    </row>
    <row r="2533" spans="1:84" hidden="1" outlineLevel="1">
      <c r="A2533" t="s">
        <v>610</v>
      </c>
      <c r="B2533" t="s">
        <v>18</v>
      </c>
      <c r="C2533" s="1">
        <f t="shared" si="1038"/>
        <v>38666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4</v>
      </c>
      <c r="G2533" s="132">
        <f t="shared" si="1036"/>
        <v>22698</v>
      </c>
      <c r="H2533" s="137">
        <f t="shared" si="1037"/>
        <v>0.58702736254073351</v>
      </c>
      <c r="I2533" s="2"/>
      <c r="J2533" s="2">
        <f t="shared" si="1039"/>
        <v>0.18284798013758857</v>
      </c>
      <c r="K2533" s="2">
        <f t="shared" si="1040"/>
        <v>0.76987534267832203</v>
      </c>
      <c r="L2533" s="2">
        <f t="shared" si="1041"/>
        <v>6.1035535095432681E-3</v>
      </c>
      <c r="M2533" s="2">
        <f t="shared" si="1042"/>
        <v>4.1173123674546078E-2</v>
      </c>
      <c r="N2533" s="63">
        <v>7070</v>
      </c>
      <c r="O2533" s="63">
        <v>29768</v>
      </c>
      <c r="P2533" s="63">
        <v>236</v>
      </c>
      <c r="Q2533" s="63">
        <v>1098</v>
      </c>
      <c r="R2533" s="63">
        <v>210</v>
      </c>
      <c r="S2533" s="63">
        <v>29</v>
      </c>
      <c r="T2533" s="63">
        <v>66</v>
      </c>
      <c r="U2533" s="63"/>
      <c r="V2533" s="63"/>
      <c r="W2533" s="63">
        <f>IF(Copyright!B$11=1,IF(CA2533&gt;0,CA2533-SUM(U2533:V2533)-SUM(Y2533:AC2533)-SUM(AE2533:AP2533),SUM(CD2533:CF2533)),SUM(CD2533:CF2533))</f>
        <v>1</v>
      </c>
      <c r="X2533" s="63">
        <v>44</v>
      </c>
      <c r="Y2533" s="63">
        <v>1</v>
      </c>
      <c r="Z2533" s="63"/>
      <c r="AA2533" s="63"/>
      <c r="AB2533" s="63"/>
      <c r="AC2533" s="63"/>
      <c r="AD2533" s="63"/>
      <c r="AE2533" s="63">
        <v>0</v>
      </c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>
        <v>143</v>
      </c>
      <c r="AR2533" s="63"/>
      <c r="AS2533" s="63"/>
      <c r="AT2533" s="63"/>
      <c r="AU2533" s="63"/>
      <c r="AW2533" s="5">
        <f>IF(Q2533&gt;0,RANK(Q2533,(N2533:P2533,Q2533:AE2533)),0)</f>
        <v>3</v>
      </c>
      <c r="AX2533" s="5">
        <f>IF(R2533&gt;0,RANK(R2533,(N2533:P2533,Q2533:AE2533)),0)</f>
        <v>5</v>
      </c>
      <c r="AY2533" s="5">
        <f>IF(T2533&gt;0,RANK(T2533,(N2533:P2533,Q2533:AE2533)),0)</f>
        <v>6</v>
      </c>
      <c r="AZ2533" s="5">
        <f>IF(S2533&gt;0,RANK(S2533,(N2533:P2533,Q2533:AE2533)),0)</f>
        <v>8</v>
      </c>
      <c r="BA2533" s="2">
        <f t="shared" si="1043"/>
        <v>2.8397041328298765E-2</v>
      </c>
      <c r="BB2533" s="2">
        <f t="shared" si="1044"/>
        <v>5.4311281228986708E-3</v>
      </c>
      <c r="BC2533" s="2">
        <f t="shared" si="1045"/>
        <v>1.7069259814824394E-3</v>
      </c>
      <c r="BD2533" s="2">
        <f t="shared" si="1046"/>
        <v>7.5001293125743552E-4</v>
      </c>
      <c r="BF2533" t="s">
        <v>610</v>
      </c>
      <c r="BG2533" t="s">
        <v>18</v>
      </c>
      <c r="BH2533" s="1"/>
      <c r="BI2533" s="1"/>
      <c r="BJ2533" s="114">
        <v>47</v>
      </c>
      <c r="BK2533" s="116">
        <v>11</v>
      </c>
      <c r="BL2533" s="120">
        <f t="shared" si="1026"/>
        <v>47011</v>
      </c>
      <c r="BM2533" s="1"/>
      <c r="BN2533" s="5" t="s">
        <v>3154</v>
      </c>
      <c r="CA2533" s="133"/>
      <c r="CD2533" s="63">
        <v>1</v>
      </c>
      <c r="CE2533" s="63">
        <v>0</v>
      </c>
      <c r="CF2533" s="63">
        <v>0</v>
      </c>
    </row>
    <row r="2534" spans="1:84" hidden="1" outlineLevel="1">
      <c r="A2534" t="s">
        <v>206</v>
      </c>
      <c r="B2534" t="s">
        <v>18</v>
      </c>
      <c r="C2534" s="1">
        <f t="shared" si="1038"/>
        <v>12532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7</v>
      </c>
      <c r="G2534" s="132">
        <f t="shared" si="1036"/>
        <v>7622</v>
      </c>
      <c r="H2534" s="137">
        <f t="shared" si="1037"/>
        <v>0.60820300031918284</v>
      </c>
      <c r="I2534" s="2"/>
      <c r="J2534" s="2">
        <f t="shared" si="1039"/>
        <v>0.17938078518991382</v>
      </c>
      <c r="K2534" s="2">
        <f t="shared" si="1040"/>
        <v>0.78758378550909669</v>
      </c>
      <c r="L2534" s="2">
        <f t="shared" si="1041"/>
        <v>1.037344398340249E-3</v>
      </c>
      <c r="M2534" s="2">
        <f t="shared" si="1042"/>
        <v>3.1998084902649208E-2</v>
      </c>
      <c r="N2534" s="63">
        <v>2248</v>
      </c>
      <c r="O2534" s="63">
        <v>9870</v>
      </c>
      <c r="P2534" s="63">
        <v>13</v>
      </c>
      <c r="Q2534" s="63">
        <v>251</v>
      </c>
      <c r="R2534" s="63">
        <v>45</v>
      </c>
      <c r="S2534" s="63">
        <v>5</v>
      </c>
      <c r="T2534" s="63">
        <v>32</v>
      </c>
      <c r="U2534" s="63"/>
      <c r="V2534" s="63"/>
      <c r="W2534" s="63">
        <f>IF(Copyright!B$11=1,IF(CA2534&gt;0,CA2534-SUM(U2534:V2534)-SUM(Y2534:AC2534)-SUM(AE2534:AP2534),SUM(CD2534:CF2534)),SUM(CD2534:CF2534))</f>
        <v>0</v>
      </c>
      <c r="X2534" s="63">
        <v>25</v>
      </c>
      <c r="Y2534" s="63">
        <v>0</v>
      </c>
      <c r="Z2534" s="63"/>
      <c r="AA2534" s="63"/>
      <c r="AB2534" s="63"/>
      <c r="AC2534" s="63"/>
      <c r="AD2534" s="63"/>
      <c r="AE2534" s="63">
        <v>0</v>
      </c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>
        <v>43</v>
      </c>
      <c r="AR2534" s="63"/>
      <c r="AS2534" s="63"/>
      <c r="AT2534" s="63"/>
      <c r="AU2534" s="63"/>
      <c r="AW2534" s="5">
        <f>IF(Q2534&gt;0,RANK(Q2534,(N2534:P2534,Q2534:AE2534)),0)</f>
        <v>3</v>
      </c>
      <c r="AX2534" s="5">
        <f>IF(R2534&gt;0,RANK(R2534,(N2534:P2534,Q2534:AE2534)),0)</f>
        <v>4</v>
      </c>
      <c r="AY2534" s="5">
        <f>IF(T2534&gt;0,RANK(T2534,(N2534:P2534,Q2534:AE2534)),0)</f>
        <v>5</v>
      </c>
      <c r="AZ2534" s="5">
        <f>IF(S2534&gt;0,RANK(S2534,(N2534:P2534,Q2534:AE2534)),0)</f>
        <v>8</v>
      </c>
      <c r="BA2534" s="2">
        <f t="shared" si="1043"/>
        <v>2.0028726460261732E-2</v>
      </c>
      <c r="BB2534" s="2">
        <f t="shared" si="1044"/>
        <v>3.5908075327162462E-3</v>
      </c>
      <c r="BC2534" s="2">
        <f t="shared" si="1045"/>
        <v>2.5534631343759975E-3</v>
      </c>
      <c r="BD2534" s="2">
        <f t="shared" si="1046"/>
        <v>3.9897861474624959E-4</v>
      </c>
      <c r="BF2534" t="s">
        <v>206</v>
      </c>
      <c r="BG2534" t="s">
        <v>18</v>
      </c>
      <c r="BH2534" s="1"/>
      <c r="BI2534" s="1"/>
      <c r="BJ2534" s="114">
        <v>47</v>
      </c>
      <c r="BK2534" s="116">
        <v>13</v>
      </c>
      <c r="BL2534" s="120">
        <f t="shared" si="1026"/>
        <v>47013</v>
      </c>
      <c r="BM2534" s="1"/>
      <c r="BN2534" s="5" t="s">
        <v>3154</v>
      </c>
      <c r="CD2534" s="63">
        <v>0</v>
      </c>
      <c r="CE2534" s="63">
        <v>0</v>
      </c>
      <c r="CF2534" s="63">
        <v>0</v>
      </c>
    </row>
    <row r="2535" spans="1:84" hidden="1" outlineLevel="1">
      <c r="A2535" t="s">
        <v>513</v>
      </c>
      <c r="B2535" t="s">
        <v>18</v>
      </c>
      <c r="C2535" s="1">
        <f t="shared" si="1038"/>
        <v>5314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5</v>
      </c>
      <c r="G2535" s="132">
        <f t="shared" si="1036"/>
        <v>2880</v>
      </c>
      <c r="H2535" s="137">
        <f t="shared" si="1037"/>
        <v>0.54196462175385773</v>
      </c>
      <c r="I2535" s="2"/>
      <c r="J2535" s="2">
        <f t="shared" si="1039"/>
        <v>0.21208129469326309</v>
      </c>
      <c r="K2535" s="2">
        <f t="shared" si="1040"/>
        <v>0.75404591644712082</v>
      </c>
      <c r="L2535" s="2">
        <f t="shared" si="1041"/>
        <v>1.6936394429808055E-3</v>
      </c>
      <c r="M2535" s="2">
        <f t="shared" si="1042"/>
        <v>3.2179149416635279E-2</v>
      </c>
      <c r="N2535" s="63">
        <v>1127</v>
      </c>
      <c r="O2535" s="63">
        <v>4007</v>
      </c>
      <c r="P2535" s="63">
        <v>9</v>
      </c>
      <c r="Q2535" s="63">
        <v>106</v>
      </c>
      <c r="R2535" s="63">
        <v>29</v>
      </c>
      <c r="S2535" s="63">
        <v>3</v>
      </c>
      <c r="T2535" s="63">
        <v>8</v>
      </c>
      <c r="U2535" s="63"/>
      <c r="V2535" s="63"/>
      <c r="W2535" s="63">
        <f>IF(Copyright!B$11=1,IF(CA2535&gt;0,CA2535-SUM(U2535:V2535)-SUM(Y2535:AC2535)-SUM(AE2535:AP2535),SUM(CD2535:CF2535)),SUM(CD2535:CF2535))</f>
        <v>0</v>
      </c>
      <c r="X2535" s="63">
        <v>7</v>
      </c>
      <c r="Y2535" s="63">
        <v>0</v>
      </c>
      <c r="Z2535" s="63"/>
      <c r="AA2535" s="63"/>
      <c r="AB2535" s="63"/>
      <c r="AC2535" s="63"/>
      <c r="AD2535" s="63"/>
      <c r="AE2535" s="63">
        <v>0</v>
      </c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>
        <v>18</v>
      </c>
      <c r="AR2535" s="63"/>
      <c r="AS2535" s="63"/>
      <c r="AT2535" s="63"/>
      <c r="AU2535" s="63"/>
      <c r="AW2535" s="5">
        <f>IF(Q2535&gt;0,RANK(Q2535,(N2535:P2535,Q2535:AE2535)),0)</f>
        <v>3</v>
      </c>
      <c r="AX2535" s="5">
        <f>IF(R2535&gt;0,RANK(R2535,(N2535:P2535,Q2535:AE2535)),0)</f>
        <v>4</v>
      </c>
      <c r="AY2535" s="5">
        <f>IF(T2535&gt;0,RANK(T2535,(N2535:P2535,Q2535:AE2535)),0)</f>
        <v>6</v>
      </c>
      <c r="AZ2535" s="5">
        <f>IF(S2535&gt;0,RANK(S2535,(N2535:P2535,Q2535:AE2535)),0)</f>
        <v>8</v>
      </c>
      <c r="BA2535" s="2">
        <f t="shared" si="1043"/>
        <v>1.9947308995107264E-2</v>
      </c>
      <c r="BB2535" s="2">
        <f t="shared" si="1044"/>
        <v>5.4572826496048178E-3</v>
      </c>
      <c r="BC2535" s="2">
        <f t="shared" si="1045"/>
        <v>1.5054572826496049E-3</v>
      </c>
      <c r="BD2535" s="2">
        <f t="shared" si="1046"/>
        <v>5.645464809936018E-4</v>
      </c>
      <c r="BF2535" t="s">
        <v>513</v>
      </c>
      <c r="BG2535" t="s">
        <v>18</v>
      </c>
      <c r="BH2535" s="1">
        <v>6</v>
      </c>
      <c r="BI2535" s="1"/>
      <c r="BJ2535" s="114">
        <v>47</v>
      </c>
      <c r="BK2535" s="116">
        <v>15</v>
      </c>
      <c r="BL2535" s="120">
        <f t="shared" si="1026"/>
        <v>47015</v>
      </c>
      <c r="BM2535" s="1"/>
      <c r="BN2535" s="5" t="s">
        <v>3154</v>
      </c>
      <c r="CD2535" s="63">
        <v>0</v>
      </c>
      <c r="CE2535" s="63">
        <v>0</v>
      </c>
      <c r="CF2535" s="63">
        <v>0</v>
      </c>
    </row>
    <row r="2536" spans="1:84" hidden="1" outlineLevel="1">
      <c r="A2536" t="s">
        <v>1675</v>
      </c>
      <c r="B2536" t="s">
        <v>18</v>
      </c>
      <c r="C2536" s="1">
        <f t="shared" si="1038"/>
        <v>10384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7</v>
      </c>
      <c r="G2536" s="132">
        <f t="shared" si="1036"/>
        <v>5429</v>
      </c>
      <c r="H2536" s="137">
        <f t="shared" si="1037"/>
        <v>0.52282357473035435</v>
      </c>
      <c r="I2536" s="2"/>
      <c r="J2536" s="2">
        <f t="shared" si="1039"/>
        <v>0.22409476117103236</v>
      </c>
      <c r="K2536" s="2">
        <f t="shared" si="1040"/>
        <v>0.74691833590138679</v>
      </c>
      <c r="L2536" s="2">
        <f t="shared" si="1041"/>
        <v>1.8297380585516178E-3</v>
      </c>
      <c r="M2536" s="2">
        <f t="shared" si="1042"/>
        <v>2.7157164869029263E-2</v>
      </c>
      <c r="N2536" s="63">
        <v>2327</v>
      </c>
      <c r="O2536" s="63">
        <v>7756</v>
      </c>
      <c r="P2536" s="63">
        <v>19</v>
      </c>
      <c r="Q2536" s="63">
        <v>181</v>
      </c>
      <c r="R2536" s="63">
        <v>39</v>
      </c>
      <c r="S2536" s="63">
        <v>2</v>
      </c>
      <c r="T2536" s="63">
        <v>22</v>
      </c>
      <c r="U2536" s="63"/>
      <c r="V2536" s="63"/>
      <c r="W2536" s="63">
        <f>IF(Copyright!B$11=1,IF(CA2536&gt;0,CA2536-SUM(U2536:V2536)-SUM(Y2536:AC2536)-SUM(AE2536:AP2536),SUM(CD2536:CF2536)),SUM(CD2536:CF2536))</f>
        <v>0</v>
      </c>
      <c r="X2536" s="63">
        <v>20</v>
      </c>
      <c r="Y2536" s="63">
        <v>0</v>
      </c>
      <c r="Z2536" s="63"/>
      <c r="AA2536" s="63"/>
      <c r="AB2536" s="63"/>
      <c r="AC2536" s="63"/>
      <c r="AD2536" s="63"/>
      <c r="AE2536" s="63">
        <v>0</v>
      </c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>
        <v>18</v>
      </c>
      <c r="AR2536" s="63"/>
      <c r="AS2536" s="63"/>
      <c r="AT2536" s="63"/>
      <c r="AU2536" s="63"/>
      <c r="AW2536" s="5">
        <f>IF(Q2536&gt;0,RANK(Q2536,(N2536:P2536,Q2536:AE2536)),0)</f>
        <v>3</v>
      </c>
      <c r="AX2536" s="5">
        <f>IF(R2536&gt;0,RANK(R2536,(N2536:P2536,Q2536:AE2536)),0)</f>
        <v>4</v>
      </c>
      <c r="AY2536" s="5">
        <f>IF(T2536&gt;0,RANK(T2536,(N2536:P2536,Q2536:AE2536)),0)</f>
        <v>5</v>
      </c>
      <c r="AZ2536" s="5">
        <f>IF(S2536&gt;0,RANK(S2536,(N2536:P2536,Q2536:AE2536)),0)</f>
        <v>8</v>
      </c>
      <c r="BA2536" s="2">
        <f t="shared" si="1043"/>
        <v>1.7430662557781203E-2</v>
      </c>
      <c r="BB2536" s="2">
        <f t="shared" si="1044"/>
        <v>3.7557781201848998E-3</v>
      </c>
      <c r="BC2536" s="2">
        <f t="shared" si="1045"/>
        <v>2.1186440677966102E-3</v>
      </c>
      <c r="BD2536" s="2">
        <f t="shared" si="1046"/>
        <v>1.926040061633282E-4</v>
      </c>
      <c r="BF2536" t="s">
        <v>1675</v>
      </c>
      <c r="BG2536" t="s">
        <v>18</v>
      </c>
      <c r="BH2536" s="1">
        <v>8</v>
      </c>
      <c r="BI2536" s="1"/>
      <c r="BJ2536" s="114">
        <v>47</v>
      </c>
      <c r="BK2536" s="116">
        <v>17</v>
      </c>
      <c r="BL2536" s="120">
        <f t="shared" si="1026"/>
        <v>47017</v>
      </c>
      <c r="BM2536" s="1"/>
      <c r="BN2536" s="5" t="s">
        <v>3154</v>
      </c>
      <c r="CD2536" s="63">
        <v>0</v>
      </c>
      <c r="CE2536" s="63">
        <v>0</v>
      </c>
      <c r="CF2536" s="63">
        <v>0</v>
      </c>
    </row>
    <row r="2537" spans="1:84" hidden="1" outlineLevel="1">
      <c r="A2537" t="s">
        <v>1842</v>
      </c>
      <c r="B2537" t="s">
        <v>18</v>
      </c>
      <c r="C2537" s="1">
        <f t="shared" si="1038"/>
        <v>21084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5</v>
      </c>
      <c r="G2537" s="132">
        <f t="shared" si="1036"/>
        <v>13445</v>
      </c>
      <c r="H2537" s="137">
        <f t="shared" si="1037"/>
        <v>0.63768734585467657</v>
      </c>
      <c r="I2537" s="2"/>
      <c r="J2537" s="2">
        <f t="shared" si="1039"/>
        <v>0.16377347751849744</v>
      </c>
      <c r="K2537" s="2">
        <f t="shared" si="1040"/>
        <v>0.80146082337317393</v>
      </c>
      <c r="L2537" s="2">
        <f t="shared" si="1041"/>
        <v>3.0354771390627964E-3</v>
      </c>
      <c r="M2537" s="2">
        <f t="shared" si="1042"/>
        <v>3.1730221969265809E-2</v>
      </c>
      <c r="N2537" s="63">
        <v>3453</v>
      </c>
      <c r="O2537" s="63">
        <v>16898</v>
      </c>
      <c r="P2537" s="63">
        <v>64</v>
      </c>
      <c r="Q2537" s="63">
        <v>409</v>
      </c>
      <c r="R2537" s="63">
        <v>130</v>
      </c>
      <c r="S2537" s="63">
        <v>26</v>
      </c>
      <c r="T2537" s="63">
        <v>30</v>
      </c>
      <c r="U2537" s="63"/>
      <c r="V2537" s="63"/>
      <c r="W2537" s="63">
        <f>IF(Copyright!B$11=1,IF(CA2537&gt;0,CA2537-SUM(U2537:V2537)-SUM(Y2537:AC2537)-SUM(AE2537:AP2537),SUM(CD2537:CF2537)),SUM(CD2537:CF2537))</f>
        <v>0</v>
      </c>
      <c r="X2537" s="63">
        <v>20</v>
      </c>
      <c r="Y2537" s="63">
        <v>0</v>
      </c>
      <c r="Z2537" s="63"/>
      <c r="AA2537" s="63"/>
      <c r="AB2537" s="63"/>
      <c r="AC2537" s="63"/>
      <c r="AD2537" s="63"/>
      <c r="AE2537" s="63">
        <v>0</v>
      </c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>
        <v>54</v>
      </c>
      <c r="AR2537" s="63"/>
      <c r="AS2537" s="63"/>
      <c r="AT2537" s="63"/>
      <c r="AU2537" s="63"/>
      <c r="AW2537" s="5">
        <f>IF(Q2537&gt;0,RANK(Q2537,(N2537:P2537,Q2537:AE2537)),0)</f>
        <v>3</v>
      </c>
      <c r="AX2537" s="5">
        <f>IF(R2537&gt;0,RANK(R2537,(N2537:P2537,Q2537:AE2537)),0)</f>
        <v>4</v>
      </c>
      <c r="AY2537" s="5">
        <f>IF(T2537&gt;0,RANK(T2537,(N2537:P2537,Q2537:AE2537)),0)</f>
        <v>6</v>
      </c>
      <c r="AZ2537" s="5">
        <f>IF(S2537&gt;0,RANK(S2537,(N2537:P2537,Q2537:AE2537)),0)</f>
        <v>7</v>
      </c>
      <c r="BA2537" s="2">
        <f t="shared" si="1043"/>
        <v>1.9398596091823185E-2</v>
      </c>
      <c r="BB2537" s="2">
        <f t="shared" si="1044"/>
        <v>6.1658129387213052E-3</v>
      </c>
      <c r="BC2537" s="2">
        <f t="shared" si="1045"/>
        <v>1.4228799089356858E-3</v>
      </c>
      <c r="BD2537" s="2">
        <f t="shared" si="1046"/>
        <v>1.2331625877442611E-3</v>
      </c>
      <c r="BF2537" t="s">
        <v>1842</v>
      </c>
      <c r="BG2537" t="s">
        <v>18</v>
      </c>
      <c r="BH2537" s="1">
        <v>1</v>
      </c>
      <c r="BI2537" s="1"/>
      <c r="BJ2537" s="114">
        <v>47</v>
      </c>
      <c r="BK2537" s="116">
        <v>19</v>
      </c>
      <c r="BL2537" s="120">
        <f t="shared" si="1026"/>
        <v>47019</v>
      </c>
      <c r="BM2537" s="1"/>
      <c r="BN2537" s="5" t="s">
        <v>3154</v>
      </c>
      <c r="CD2537" s="63">
        <v>0</v>
      </c>
      <c r="CE2537" s="63">
        <v>0</v>
      </c>
      <c r="CF2537" s="63">
        <v>0</v>
      </c>
    </row>
    <row r="2538" spans="1:84" hidden="1" outlineLevel="1">
      <c r="A2538" t="s">
        <v>831</v>
      </c>
      <c r="B2538" t="s">
        <v>18</v>
      </c>
      <c r="C2538" s="1">
        <f t="shared" si="1038"/>
        <v>15924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5</v>
      </c>
      <c r="G2538" s="132">
        <f t="shared" si="1036"/>
        <v>7419</v>
      </c>
      <c r="H2538" s="137">
        <f t="shared" si="1037"/>
        <v>0.46590052750565186</v>
      </c>
      <c r="I2538" s="2"/>
      <c r="J2538" s="2">
        <f t="shared" si="1039"/>
        <v>0.24353177593569456</v>
      </c>
      <c r="K2538" s="2">
        <f t="shared" si="1040"/>
        <v>0.70943230344134645</v>
      </c>
      <c r="L2538" s="2">
        <f t="shared" si="1041"/>
        <v>5.6518462697814622E-3</v>
      </c>
      <c r="M2538" s="2">
        <f t="shared" si="1042"/>
        <v>4.1384074353177563E-2</v>
      </c>
      <c r="N2538" s="63">
        <v>3878</v>
      </c>
      <c r="O2538" s="63">
        <v>11297</v>
      </c>
      <c r="P2538" s="63">
        <v>90</v>
      </c>
      <c r="Q2538" s="63">
        <v>463</v>
      </c>
      <c r="R2538" s="63">
        <v>99</v>
      </c>
      <c r="S2538" s="63">
        <v>8</v>
      </c>
      <c r="T2538" s="63">
        <v>26</v>
      </c>
      <c r="U2538" s="63"/>
      <c r="V2538" s="63"/>
      <c r="W2538" s="63">
        <f>IF(Copyright!B$11=1,IF(CA2538&gt;0,CA2538-SUM(U2538:V2538)-SUM(Y2538:AC2538)-SUM(AE2538:AP2538),SUM(CD2538:CF2538)),SUM(CD2538:CF2538))</f>
        <v>0</v>
      </c>
      <c r="X2538" s="63">
        <v>13</v>
      </c>
      <c r="Y2538" s="63">
        <v>0</v>
      </c>
      <c r="Z2538" s="63"/>
      <c r="AA2538" s="63"/>
      <c r="AB2538" s="63"/>
      <c r="AC2538" s="63"/>
      <c r="AD2538" s="63"/>
      <c r="AE2538" s="63">
        <v>0</v>
      </c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>
        <v>50</v>
      </c>
      <c r="AR2538" s="63"/>
      <c r="AS2538" s="63"/>
      <c r="AT2538" s="63"/>
      <c r="AU2538" s="63"/>
      <c r="AW2538" s="5">
        <f>IF(Q2538&gt;0,RANK(Q2538,(N2538:P2538,Q2538:AE2538)),0)</f>
        <v>3</v>
      </c>
      <c r="AX2538" s="5">
        <f>IF(R2538&gt;0,RANK(R2538,(N2538:P2538,Q2538:AE2538)),0)</f>
        <v>4</v>
      </c>
      <c r="AY2538" s="5">
        <f>IF(T2538&gt;0,RANK(T2538,(N2538:P2538,Q2538:AE2538)),0)</f>
        <v>6</v>
      </c>
      <c r="AZ2538" s="5">
        <f>IF(S2538&gt;0,RANK(S2538,(N2538:P2538,Q2538:AE2538)),0)</f>
        <v>8</v>
      </c>
      <c r="BA2538" s="2">
        <f t="shared" si="1043"/>
        <v>2.90756091434313E-2</v>
      </c>
      <c r="BB2538" s="2">
        <f t="shared" si="1044"/>
        <v>6.2170308967596085E-3</v>
      </c>
      <c r="BC2538" s="2">
        <f t="shared" si="1045"/>
        <v>1.632755589047978E-3</v>
      </c>
      <c r="BD2538" s="2">
        <f t="shared" si="1046"/>
        <v>5.0238633509168548E-4</v>
      </c>
      <c r="BF2538" t="s">
        <v>831</v>
      </c>
      <c r="BG2538" t="s">
        <v>18</v>
      </c>
      <c r="BH2538" s="1"/>
      <c r="BI2538" s="1"/>
      <c r="BJ2538" s="114">
        <v>47</v>
      </c>
      <c r="BK2538" s="116">
        <v>21</v>
      </c>
      <c r="BL2538" s="120">
        <f t="shared" ref="BL2538:BL2601" si="1047">1000*BJ2538+BK2538</f>
        <v>47021</v>
      </c>
      <c r="BM2538" s="1"/>
      <c r="BN2538" s="5" t="s">
        <v>3154</v>
      </c>
      <c r="CD2538" s="63">
        <v>0</v>
      </c>
      <c r="CE2538" s="63">
        <v>0</v>
      </c>
      <c r="CF2538" s="63">
        <v>0</v>
      </c>
    </row>
    <row r="2539" spans="1:84" hidden="1" outlineLevel="1">
      <c r="A2539" t="s">
        <v>357</v>
      </c>
      <c r="B2539" t="s">
        <v>18</v>
      </c>
      <c r="C2539" s="1">
        <f t="shared" si="1038"/>
        <v>6507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4</v>
      </c>
      <c r="G2539" s="132">
        <f t="shared" si="1036"/>
        <v>3838</v>
      </c>
      <c r="H2539" s="137">
        <f t="shared" si="1037"/>
        <v>0.58982634086368524</v>
      </c>
      <c r="I2539" s="2"/>
      <c r="J2539" s="2">
        <f t="shared" si="1039"/>
        <v>0.19102504994621178</v>
      </c>
      <c r="K2539" s="2">
        <f t="shared" si="1040"/>
        <v>0.78085139080989707</v>
      </c>
      <c r="L2539" s="2">
        <f t="shared" si="1041"/>
        <v>5.0714615029967729E-3</v>
      </c>
      <c r="M2539" s="2">
        <f t="shared" si="1042"/>
        <v>2.3052097740894322E-2</v>
      </c>
      <c r="N2539" s="63">
        <v>1243</v>
      </c>
      <c r="O2539" s="63">
        <v>5081</v>
      </c>
      <c r="P2539" s="63">
        <v>33</v>
      </c>
      <c r="Q2539" s="63">
        <v>115</v>
      </c>
      <c r="R2539" s="63">
        <v>10</v>
      </c>
      <c r="S2539" s="63">
        <v>4</v>
      </c>
      <c r="T2539" s="63">
        <v>5</v>
      </c>
      <c r="U2539" s="63"/>
      <c r="V2539" s="63"/>
      <c r="W2539" s="63">
        <f>IF(Copyright!B$11=1,IF(CA2539&gt;0,CA2539-SUM(U2539:V2539)-SUM(Y2539:AC2539)-SUM(AE2539:AP2539),SUM(CD2539:CF2539)),SUM(CD2539:CF2539))</f>
        <v>0</v>
      </c>
      <c r="X2539" s="63">
        <v>4</v>
      </c>
      <c r="Y2539" s="63">
        <v>0</v>
      </c>
      <c r="Z2539" s="63"/>
      <c r="AA2539" s="63"/>
      <c r="AB2539" s="63"/>
      <c r="AC2539" s="63"/>
      <c r="AD2539" s="63"/>
      <c r="AE2539" s="63">
        <v>0</v>
      </c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>
        <v>12</v>
      </c>
      <c r="AR2539" s="63"/>
      <c r="AS2539" s="63"/>
      <c r="AT2539" s="63"/>
      <c r="AU2539" s="63"/>
      <c r="AW2539" s="5">
        <f>IF(Q2539&gt;0,RANK(Q2539,(N2539:P2539,Q2539:AE2539)),0)</f>
        <v>3</v>
      </c>
      <c r="AX2539" s="5">
        <f>IF(R2539&gt;0,RANK(R2539,(N2539:P2539,Q2539:AE2539)),0)</f>
        <v>5</v>
      </c>
      <c r="AY2539" s="5">
        <f>IF(T2539&gt;0,RANK(T2539,(N2539:P2539,Q2539:AE2539)),0)</f>
        <v>6</v>
      </c>
      <c r="AZ2539" s="5">
        <f>IF(S2539&gt;0,RANK(S2539,(N2539:P2539,Q2539:AE2539)),0)</f>
        <v>7</v>
      </c>
      <c r="BA2539" s="2">
        <f t="shared" si="1043"/>
        <v>1.7673274934685724E-2</v>
      </c>
      <c r="BB2539" s="2">
        <f t="shared" si="1044"/>
        <v>1.5368065160596281E-3</v>
      </c>
      <c r="BC2539" s="2">
        <f t="shared" si="1045"/>
        <v>7.6840325802981406E-4</v>
      </c>
      <c r="BD2539" s="2">
        <f t="shared" si="1046"/>
        <v>6.1472260642385119E-4</v>
      </c>
      <c r="BF2539" t="s">
        <v>357</v>
      </c>
      <c r="BG2539" t="s">
        <v>18</v>
      </c>
      <c r="BH2539" s="1">
        <v>7</v>
      </c>
      <c r="BI2539" s="1"/>
      <c r="BJ2539" s="114">
        <v>47</v>
      </c>
      <c r="BK2539" s="116">
        <v>23</v>
      </c>
      <c r="BL2539" s="120">
        <f t="shared" si="1047"/>
        <v>47023</v>
      </c>
      <c r="BM2539" s="1"/>
      <c r="BN2539" s="5" t="s">
        <v>3154</v>
      </c>
      <c r="CD2539" s="63">
        <v>0</v>
      </c>
      <c r="CE2539" s="63">
        <v>0</v>
      </c>
      <c r="CF2539" s="63">
        <v>0</v>
      </c>
    </row>
    <row r="2540" spans="1:84" hidden="1" outlineLevel="1">
      <c r="A2540" t="s">
        <v>937</v>
      </c>
      <c r="B2540" t="s">
        <v>18</v>
      </c>
      <c r="C2540" s="1">
        <f t="shared" si="1038"/>
        <v>10740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6</v>
      </c>
      <c r="G2540" s="132">
        <f t="shared" si="1036"/>
        <v>6770</v>
      </c>
      <c r="H2540" s="137">
        <f t="shared" si="1037"/>
        <v>0.63035381750465547</v>
      </c>
      <c r="I2540" s="2"/>
      <c r="J2540" s="2">
        <f t="shared" si="1039"/>
        <v>0.17057728119180632</v>
      </c>
      <c r="K2540" s="2">
        <f t="shared" si="1040"/>
        <v>0.80093109869646184</v>
      </c>
      <c r="L2540" s="2">
        <f t="shared" si="1041"/>
        <v>1.4897579143389199E-3</v>
      </c>
      <c r="M2540" s="2">
        <f t="shared" si="1042"/>
        <v>2.7001862197392978E-2</v>
      </c>
      <c r="N2540" s="63">
        <v>1832</v>
      </c>
      <c r="O2540" s="63">
        <v>8602</v>
      </c>
      <c r="P2540" s="63">
        <v>16</v>
      </c>
      <c r="Q2540" s="63">
        <v>192</v>
      </c>
      <c r="R2540" s="63">
        <v>29</v>
      </c>
      <c r="S2540" s="63">
        <v>2</v>
      </c>
      <c r="T2540" s="63">
        <v>16</v>
      </c>
      <c r="U2540" s="63"/>
      <c r="V2540" s="63"/>
      <c r="W2540" s="63">
        <f>IF(Copyright!B$11=1,IF(CA2540&gt;0,CA2540-SUM(U2540:V2540)-SUM(Y2540:AC2540)-SUM(AE2540:AP2540),SUM(CD2540:CF2540)),SUM(CD2540:CF2540))</f>
        <v>0</v>
      </c>
      <c r="X2540" s="63">
        <v>24</v>
      </c>
      <c r="Y2540" s="63">
        <v>0</v>
      </c>
      <c r="Z2540" s="63"/>
      <c r="AA2540" s="63"/>
      <c r="AB2540" s="63"/>
      <c r="AC2540" s="63"/>
      <c r="AD2540" s="63"/>
      <c r="AE2540" s="63">
        <v>0</v>
      </c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>
        <v>27</v>
      </c>
      <c r="AR2540" s="63"/>
      <c r="AS2540" s="63"/>
      <c r="AT2540" s="63"/>
      <c r="AU2540" s="63"/>
      <c r="AW2540" s="5">
        <f>IF(Q2540&gt;0,RANK(Q2540,(N2540:P2540,Q2540:AE2540)),0)</f>
        <v>3</v>
      </c>
      <c r="AX2540" s="5">
        <f>IF(R2540&gt;0,RANK(R2540,(N2540:P2540,Q2540:AE2540)),0)</f>
        <v>4</v>
      </c>
      <c r="AY2540" s="5">
        <f>IF(T2540&gt;0,RANK(T2540,(N2540:P2540,Q2540:AE2540)),0)</f>
        <v>6</v>
      </c>
      <c r="AZ2540" s="5">
        <f>IF(S2540&gt;0,RANK(S2540,(N2540:P2540,Q2540:AE2540)),0)</f>
        <v>8</v>
      </c>
      <c r="BA2540" s="2">
        <f t="shared" si="1043"/>
        <v>1.7877094972067038E-2</v>
      </c>
      <c r="BB2540" s="2">
        <f t="shared" si="1044"/>
        <v>2.7001862197392926E-3</v>
      </c>
      <c r="BC2540" s="2">
        <f t="shared" si="1045"/>
        <v>1.4897579143389199E-3</v>
      </c>
      <c r="BD2540" s="2">
        <f t="shared" si="1046"/>
        <v>1.8621973929236498E-4</v>
      </c>
      <c r="BF2540" t="s">
        <v>937</v>
      </c>
      <c r="BG2540" t="s">
        <v>18</v>
      </c>
      <c r="BH2540" s="1">
        <v>2</v>
      </c>
      <c r="BJ2540" s="114">
        <v>47</v>
      </c>
      <c r="BK2540" s="116">
        <v>25</v>
      </c>
      <c r="BL2540" s="120">
        <f t="shared" si="1047"/>
        <v>47025</v>
      </c>
      <c r="BN2540" s="5" t="s">
        <v>3154</v>
      </c>
      <c r="CD2540" s="63">
        <v>0</v>
      </c>
      <c r="CE2540" s="63">
        <v>0</v>
      </c>
      <c r="CF2540" s="63">
        <v>0</v>
      </c>
    </row>
    <row r="2541" spans="1:84" hidden="1" outlineLevel="1">
      <c r="A2541" t="s">
        <v>3093</v>
      </c>
      <c r="B2541" t="s">
        <v>18</v>
      </c>
      <c r="C2541" s="1">
        <f t="shared" si="1038"/>
        <v>2920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32">
        <f t="shared" si="1036"/>
        <v>1434</v>
      </c>
      <c r="H2541" s="137">
        <f t="shared" si="1037"/>
        <v>0.49109589041095891</v>
      </c>
      <c r="I2541" s="2"/>
      <c r="J2541" s="2">
        <f t="shared" si="1039"/>
        <v>0.24212328767123287</v>
      </c>
      <c r="K2541" s="2">
        <f t="shared" si="1040"/>
        <v>0.73321917808219184</v>
      </c>
      <c r="L2541" s="2">
        <f t="shared" si="1041"/>
        <v>0</v>
      </c>
      <c r="M2541" s="2">
        <f t="shared" si="1042"/>
        <v>2.4657534246575241E-2</v>
      </c>
      <c r="N2541" s="63">
        <v>707</v>
      </c>
      <c r="O2541" s="63">
        <v>2141</v>
      </c>
      <c r="P2541" s="63">
        <v>0</v>
      </c>
      <c r="Q2541" s="63">
        <v>47</v>
      </c>
      <c r="R2541" s="63">
        <v>11</v>
      </c>
      <c r="S2541" s="63">
        <v>0</v>
      </c>
      <c r="T2541" s="63">
        <v>2</v>
      </c>
      <c r="U2541" s="63"/>
      <c r="V2541" s="63"/>
      <c r="W2541" s="63">
        <f>IF(Copyright!B$11=1,IF(CA2541&gt;0,CA2541-SUM(U2541:V2541)-SUM(Y2541:AC2541)-SUM(AE2541:AP2541),SUM(CD2541:CF2541)),SUM(CD2541:CF2541))</f>
        <v>0</v>
      </c>
      <c r="X2541" s="63">
        <v>2</v>
      </c>
      <c r="Y2541" s="63">
        <v>0</v>
      </c>
      <c r="Z2541" s="63"/>
      <c r="AA2541" s="63"/>
      <c r="AB2541" s="63"/>
      <c r="AC2541" s="63"/>
      <c r="AD2541" s="63"/>
      <c r="AE2541" s="63">
        <v>0</v>
      </c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>
        <v>10</v>
      </c>
      <c r="AR2541" s="63"/>
      <c r="AS2541" s="63"/>
      <c r="AT2541" s="63"/>
      <c r="AU2541" s="63"/>
      <c r="AW2541" s="5">
        <f>IF(Q2541&gt;0,RANK(Q2541,(N2541:P2541,Q2541:AE2541)),0)</f>
        <v>3</v>
      </c>
      <c r="AX2541" s="5">
        <f>IF(R2541&gt;0,RANK(R2541,(N2541:P2541,Q2541:AE2541)),0)</f>
        <v>4</v>
      </c>
      <c r="AY2541" s="5">
        <f>IF(T2541&gt;0,RANK(T2541,(N2541:P2541,Q2541:AE2541)),0)</f>
        <v>5</v>
      </c>
      <c r="AZ2541" s="5">
        <f>IF(S2541&gt;0,RANK(S2541,(N2541:P2541,Q2541:AE2541)),0)</f>
        <v>0</v>
      </c>
      <c r="BA2541" s="2">
        <f t="shared" si="1043"/>
        <v>1.6095890410958904E-2</v>
      </c>
      <c r="BB2541" s="2">
        <f t="shared" si="1044"/>
        <v>3.767123287671233E-3</v>
      </c>
      <c r="BC2541" s="2">
        <f t="shared" si="1045"/>
        <v>6.8493150684931507E-4</v>
      </c>
      <c r="BD2541" s="2">
        <f t="shared" si="1046"/>
        <v>0</v>
      </c>
      <c r="BF2541" t="s">
        <v>3093</v>
      </c>
      <c r="BG2541" t="s">
        <v>18</v>
      </c>
      <c r="BH2541" s="1">
        <v>6</v>
      </c>
      <c r="BJ2541" s="114">
        <v>47</v>
      </c>
      <c r="BK2541" s="116">
        <v>27</v>
      </c>
      <c r="BL2541" s="120">
        <f t="shared" si="1047"/>
        <v>47027</v>
      </c>
      <c r="BN2541" s="5" t="s">
        <v>3154</v>
      </c>
      <c r="CD2541" s="63">
        <v>0</v>
      </c>
      <c r="CE2541" s="63">
        <v>0</v>
      </c>
      <c r="CF2541" s="63">
        <v>0</v>
      </c>
    </row>
    <row r="2542" spans="1:84" hidden="1" outlineLevel="1">
      <c r="A2542" t="s">
        <v>60</v>
      </c>
      <c r="B2542" t="s">
        <v>18</v>
      </c>
      <c r="C2542" s="1">
        <f t="shared" si="1038"/>
        <v>12126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7</v>
      </c>
      <c r="G2542" s="132">
        <f t="shared" si="1036"/>
        <v>7810</v>
      </c>
      <c r="H2542" s="137">
        <f t="shared" si="1037"/>
        <v>0.64407059211611417</v>
      </c>
      <c r="I2542" s="2"/>
      <c r="J2542" s="2">
        <f t="shared" si="1039"/>
        <v>0.16336796965198747</v>
      </c>
      <c r="K2542" s="2">
        <f t="shared" si="1040"/>
        <v>0.80743856176810158</v>
      </c>
      <c r="L2542" s="2">
        <f t="shared" si="1041"/>
        <v>1.0720765297707407E-3</v>
      </c>
      <c r="M2542" s="2">
        <f t="shared" si="1042"/>
        <v>2.8121392050140269E-2</v>
      </c>
      <c r="N2542" s="63">
        <v>1981</v>
      </c>
      <c r="O2542" s="63">
        <v>9791</v>
      </c>
      <c r="P2542" s="63">
        <v>13</v>
      </c>
      <c r="Q2542" s="63">
        <v>211</v>
      </c>
      <c r="R2542" s="63">
        <v>59</v>
      </c>
      <c r="S2542" s="63">
        <v>2</v>
      </c>
      <c r="T2542" s="63">
        <v>21</v>
      </c>
      <c r="U2542" s="63"/>
      <c r="V2542" s="63"/>
      <c r="W2542" s="63">
        <f>IF(Copyright!B$11=1,IF(CA2542&gt;0,CA2542-SUM(U2542:V2542)-SUM(Y2542:AC2542)-SUM(AE2542:AP2542),SUM(CD2542:CF2542)),SUM(CD2542:CF2542))</f>
        <v>0</v>
      </c>
      <c r="X2542" s="63">
        <v>19</v>
      </c>
      <c r="Y2542" s="63">
        <v>2</v>
      </c>
      <c r="Z2542" s="63"/>
      <c r="AA2542" s="63"/>
      <c r="AB2542" s="63"/>
      <c r="AC2542" s="63"/>
      <c r="AD2542" s="63"/>
      <c r="AE2542" s="63">
        <v>0</v>
      </c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>
        <v>27</v>
      </c>
      <c r="AR2542" s="63"/>
      <c r="AS2542" s="63"/>
      <c r="AT2542" s="63"/>
      <c r="AU2542" s="63"/>
      <c r="AW2542" s="5">
        <f>IF(Q2542&gt;0,RANK(Q2542,(N2542:P2542,Q2542:AE2542)),0)</f>
        <v>3</v>
      </c>
      <c r="AX2542" s="5">
        <f>IF(R2542&gt;0,RANK(R2542,(N2542:P2542,Q2542:AE2542)),0)</f>
        <v>4</v>
      </c>
      <c r="AY2542" s="5">
        <f>IF(T2542&gt;0,RANK(T2542,(N2542:P2542,Q2542:AE2542)),0)</f>
        <v>5</v>
      </c>
      <c r="AZ2542" s="5">
        <f>IF(S2542&gt;0,RANK(S2542,(N2542:P2542,Q2542:AE2542)),0)</f>
        <v>8</v>
      </c>
      <c r="BA2542" s="2">
        <f t="shared" si="1043"/>
        <v>1.7400626752432789E-2</v>
      </c>
      <c r="BB2542" s="2">
        <f t="shared" si="1044"/>
        <v>4.8655780966518226E-3</v>
      </c>
      <c r="BC2542" s="2">
        <f t="shared" si="1045"/>
        <v>1.7318159327065809E-3</v>
      </c>
      <c r="BD2542" s="2">
        <f t="shared" si="1046"/>
        <v>1.6493485073396007E-4</v>
      </c>
      <c r="BF2542" t="s">
        <v>60</v>
      </c>
      <c r="BG2542" t="s">
        <v>18</v>
      </c>
      <c r="BH2542" s="1">
        <v>1</v>
      </c>
      <c r="BJ2542" s="114">
        <v>47</v>
      </c>
      <c r="BK2542" s="116">
        <v>29</v>
      </c>
      <c r="BL2542" s="120">
        <f t="shared" si="1047"/>
        <v>47029</v>
      </c>
      <c r="BN2542" s="5" t="s">
        <v>3154</v>
      </c>
      <c r="CD2542" s="63">
        <v>0</v>
      </c>
      <c r="CE2542" s="63">
        <v>0</v>
      </c>
      <c r="CF2542" s="63">
        <v>0</v>
      </c>
    </row>
    <row r="2543" spans="1:84" hidden="1" outlineLevel="1">
      <c r="A2543" t="s">
        <v>1095</v>
      </c>
      <c r="B2543" t="s">
        <v>18</v>
      </c>
      <c r="C2543" s="1">
        <f t="shared" si="1038"/>
        <v>19971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5</v>
      </c>
      <c r="G2543" s="132">
        <f t="shared" si="1036"/>
        <v>9674</v>
      </c>
      <c r="H2543" s="137">
        <f t="shared" si="1037"/>
        <v>0.48440238345601122</v>
      </c>
      <c r="I2543" s="2"/>
      <c r="J2543" s="2">
        <f t="shared" si="1039"/>
        <v>0.23749436683190625</v>
      </c>
      <c r="K2543" s="2">
        <f t="shared" si="1040"/>
        <v>0.72189675028791744</v>
      </c>
      <c r="L2543" s="2">
        <f t="shared" si="1041"/>
        <v>2.7039206849932404E-3</v>
      </c>
      <c r="M2543" s="2">
        <f t="shared" si="1042"/>
        <v>3.7904962195183037E-2</v>
      </c>
      <c r="N2543" s="63">
        <v>4743</v>
      </c>
      <c r="O2543" s="63">
        <v>14417</v>
      </c>
      <c r="P2543" s="63">
        <v>54</v>
      </c>
      <c r="Q2543" s="63">
        <v>517</v>
      </c>
      <c r="R2543" s="63">
        <v>113</v>
      </c>
      <c r="S2543" s="63">
        <v>9</v>
      </c>
      <c r="T2543" s="63">
        <v>32</v>
      </c>
      <c r="U2543" s="63"/>
      <c r="V2543" s="63"/>
      <c r="W2543" s="63">
        <f>IF(Copyright!B$11=1,IF(CA2543&gt;0,CA2543-SUM(U2543:V2543)-SUM(Y2543:AC2543)-SUM(AE2543:AP2543),SUM(CD2543:CF2543)),SUM(CD2543:CF2543))</f>
        <v>0</v>
      </c>
      <c r="X2543" s="63">
        <v>23</v>
      </c>
      <c r="Y2543" s="63">
        <v>1</v>
      </c>
      <c r="Z2543" s="63"/>
      <c r="AA2543" s="63"/>
      <c r="AB2543" s="63"/>
      <c r="AC2543" s="63"/>
      <c r="AD2543" s="63"/>
      <c r="AE2543" s="63">
        <v>0</v>
      </c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>
        <v>62</v>
      </c>
      <c r="AR2543" s="63"/>
      <c r="AS2543" s="63"/>
      <c r="AT2543" s="63"/>
      <c r="AU2543" s="63"/>
      <c r="AW2543" s="5">
        <f>IF(Q2543&gt;0,RANK(Q2543,(N2543:P2543,Q2543:AE2543)),0)</f>
        <v>3</v>
      </c>
      <c r="AX2543" s="5">
        <f>IF(R2543&gt;0,RANK(R2543,(N2543:P2543,Q2543:AE2543)),0)</f>
        <v>4</v>
      </c>
      <c r="AY2543" s="5">
        <f>IF(T2543&gt;0,RANK(T2543,(N2543:P2543,Q2543:AE2543)),0)</f>
        <v>6</v>
      </c>
      <c r="AZ2543" s="5">
        <f>IF(S2543&gt;0,RANK(S2543,(N2543:P2543,Q2543:AE2543)),0)</f>
        <v>8</v>
      </c>
      <c r="BA2543" s="2">
        <f t="shared" si="1043"/>
        <v>2.5887536928546392E-2</v>
      </c>
      <c r="BB2543" s="2">
        <f t="shared" si="1044"/>
        <v>5.6582043963747438E-3</v>
      </c>
      <c r="BC2543" s="2">
        <f t="shared" si="1045"/>
        <v>1.602323368884883E-3</v>
      </c>
      <c r="BD2543" s="2">
        <f t="shared" si="1046"/>
        <v>4.5065344749887338E-4</v>
      </c>
      <c r="BF2543" t="s">
        <v>1095</v>
      </c>
      <c r="BG2543" t="s">
        <v>18</v>
      </c>
      <c r="BH2543" s="1">
        <v>6</v>
      </c>
      <c r="BJ2543" s="114">
        <v>47</v>
      </c>
      <c r="BK2543" s="116">
        <v>31</v>
      </c>
      <c r="BL2543" s="120">
        <f t="shared" si="1047"/>
        <v>47031</v>
      </c>
      <c r="BN2543" s="5" t="s">
        <v>3154</v>
      </c>
      <c r="CD2543" s="63">
        <v>0</v>
      </c>
      <c r="CE2543" s="63">
        <v>0</v>
      </c>
      <c r="CF2543" s="63">
        <v>0</v>
      </c>
    </row>
    <row r="2544" spans="1:84" hidden="1" outlineLevel="1">
      <c r="A2544" t="s">
        <v>1265</v>
      </c>
      <c r="B2544" t="s">
        <v>18</v>
      </c>
      <c r="C2544" s="1">
        <f t="shared" si="1038"/>
        <v>5397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6</v>
      </c>
      <c r="G2544" s="132">
        <f t="shared" si="1036"/>
        <v>2679</v>
      </c>
      <c r="H2544" s="137">
        <f t="shared" si="1037"/>
        <v>0.4963868816008894</v>
      </c>
      <c r="I2544" s="2"/>
      <c r="J2544" s="2">
        <f t="shared" si="1039"/>
        <v>0.24143042430980174</v>
      </c>
      <c r="K2544" s="2">
        <f t="shared" si="1040"/>
        <v>0.73781730591069117</v>
      </c>
      <c r="L2544" s="2">
        <f t="shared" si="1041"/>
        <v>7.4115249212525474E-4</v>
      </c>
      <c r="M2544" s="2">
        <f t="shared" si="1042"/>
        <v>2.0011117287381804E-2</v>
      </c>
      <c r="N2544" s="63">
        <v>1303</v>
      </c>
      <c r="O2544" s="63">
        <v>3982</v>
      </c>
      <c r="P2544" s="63">
        <v>4</v>
      </c>
      <c r="Q2544" s="63">
        <v>76</v>
      </c>
      <c r="R2544" s="63">
        <v>13</v>
      </c>
      <c r="S2544" s="63">
        <v>1</v>
      </c>
      <c r="T2544" s="63">
        <v>7</v>
      </c>
      <c r="U2544" s="63"/>
      <c r="V2544" s="63"/>
      <c r="W2544" s="63">
        <f>IF(Copyright!B$11=1,IF(CA2544&gt;0,CA2544-SUM(U2544:V2544)-SUM(Y2544:AC2544)-SUM(AE2544:AP2544),SUM(CD2544:CF2544)),SUM(CD2544:CF2544))</f>
        <v>0</v>
      </c>
      <c r="X2544" s="63">
        <v>3</v>
      </c>
      <c r="Y2544" s="63">
        <v>0</v>
      </c>
      <c r="Z2544" s="63"/>
      <c r="AA2544" s="63"/>
      <c r="AB2544" s="63"/>
      <c r="AC2544" s="63"/>
      <c r="AD2544" s="63"/>
      <c r="AE2544" s="63">
        <v>0</v>
      </c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>
        <v>8</v>
      </c>
      <c r="AR2544" s="63"/>
      <c r="AS2544" s="63"/>
      <c r="AT2544" s="63"/>
      <c r="AU2544" s="63"/>
      <c r="AW2544" s="5">
        <f>IF(Q2544&gt;0,RANK(Q2544,(N2544:P2544,Q2544:AE2544)),0)</f>
        <v>3</v>
      </c>
      <c r="AX2544" s="5">
        <f>IF(R2544&gt;0,RANK(R2544,(N2544:P2544,Q2544:AE2544)),0)</f>
        <v>4</v>
      </c>
      <c r="AY2544" s="5">
        <f>IF(T2544&gt;0,RANK(T2544,(N2544:P2544,Q2544:AE2544)),0)</f>
        <v>5</v>
      </c>
      <c r="AZ2544" s="5">
        <f>IF(S2544&gt;0,RANK(S2544,(N2544:P2544,Q2544:AE2544)),0)</f>
        <v>8</v>
      </c>
      <c r="BA2544" s="2">
        <f t="shared" si="1043"/>
        <v>1.4081897350379841E-2</v>
      </c>
      <c r="BB2544" s="2">
        <f t="shared" si="1044"/>
        <v>2.4087455994070781E-3</v>
      </c>
      <c r="BC2544" s="2">
        <f t="shared" si="1045"/>
        <v>1.2970168612191958E-3</v>
      </c>
      <c r="BD2544" s="2">
        <f t="shared" si="1046"/>
        <v>1.8528812303131369E-4</v>
      </c>
      <c r="BF2544" t="s">
        <v>1265</v>
      </c>
      <c r="BG2544" t="s">
        <v>18</v>
      </c>
      <c r="BH2544" s="1">
        <v>8</v>
      </c>
      <c r="BJ2544" s="114">
        <v>47</v>
      </c>
      <c r="BK2544" s="116">
        <v>33</v>
      </c>
      <c r="BL2544" s="120">
        <f t="shared" si="1047"/>
        <v>47033</v>
      </c>
      <c r="BN2544" s="5" t="s">
        <v>3154</v>
      </c>
      <c r="CD2544" s="63">
        <v>0</v>
      </c>
      <c r="CE2544" s="63">
        <v>0</v>
      </c>
      <c r="CF2544" s="63">
        <v>0</v>
      </c>
    </row>
    <row r="2545" spans="1:84" hidden="1" outlineLevel="1">
      <c r="A2545" t="s">
        <v>1531</v>
      </c>
      <c r="B2545" t="s">
        <v>18</v>
      </c>
      <c r="C2545" s="1">
        <f t="shared" si="1038"/>
        <v>26360</v>
      </c>
      <c r="D2545" s="5">
        <f>IF(N2545&gt;0, RANK(N2545,(N2545:P2545,Q2545:AE2545)),0)</f>
        <v>2</v>
      </c>
      <c r="E2545" s="5">
        <f>IF(O2545&gt;0,RANK(O2545,(N2545:P2545,Q2545:AE2545)),0)</f>
        <v>1</v>
      </c>
      <c r="F2545" s="5">
        <f>IF(P2545&gt;0,RANK(P2545,(N2545:P2545,Q2545:AE2545)),0)</f>
        <v>5</v>
      </c>
      <c r="G2545" s="132">
        <f t="shared" si="1036"/>
        <v>15211</v>
      </c>
      <c r="H2545" s="137">
        <f t="shared" si="1037"/>
        <v>0.57704855842185132</v>
      </c>
      <c r="I2545" s="2"/>
      <c r="J2545" s="2">
        <f t="shared" si="1039"/>
        <v>0.19734446130500757</v>
      </c>
      <c r="K2545" s="2">
        <f t="shared" si="1040"/>
        <v>0.77439301972685892</v>
      </c>
      <c r="L2545" s="2">
        <f t="shared" si="1041"/>
        <v>1.5553869499241274E-3</v>
      </c>
      <c r="M2545" s="2">
        <f t="shared" si="1042"/>
        <v>2.6707132018209349E-2</v>
      </c>
      <c r="N2545" s="63">
        <v>5202</v>
      </c>
      <c r="O2545" s="63">
        <v>20413</v>
      </c>
      <c r="P2545" s="63">
        <v>41</v>
      </c>
      <c r="Q2545" s="63">
        <v>471</v>
      </c>
      <c r="R2545" s="63">
        <v>99</v>
      </c>
      <c r="S2545" s="63">
        <v>17</v>
      </c>
      <c r="T2545" s="63">
        <v>37</v>
      </c>
      <c r="U2545" s="63"/>
      <c r="V2545" s="63"/>
      <c r="W2545" s="63">
        <f>IF(Copyright!B$11=1,IF(CA2545&gt;0,CA2545-SUM(U2545:V2545)-SUM(Y2545:AC2545)-SUM(AE2545:AP2545),SUM(CD2545:CF2545)),SUM(CD2545:CF2545))</f>
        <v>0</v>
      </c>
      <c r="X2545" s="63">
        <v>26</v>
      </c>
      <c r="Y2545" s="63">
        <v>1</v>
      </c>
      <c r="Z2545" s="63"/>
      <c r="AA2545" s="63"/>
      <c r="AB2545" s="63"/>
      <c r="AC2545" s="63"/>
      <c r="AD2545" s="63"/>
      <c r="AE2545" s="63">
        <v>0</v>
      </c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>
        <v>53</v>
      </c>
      <c r="AR2545" s="63"/>
      <c r="AS2545" s="63"/>
      <c r="AT2545" s="63"/>
      <c r="AU2545" s="63"/>
      <c r="AW2545" s="5">
        <f>IF(Q2545&gt;0,RANK(Q2545,(N2545:P2545,Q2545:AE2545)),0)</f>
        <v>3</v>
      </c>
      <c r="AX2545" s="5">
        <f>IF(R2545&gt;0,RANK(R2545,(N2545:P2545,Q2545:AE2545)),0)</f>
        <v>4</v>
      </c>
      <c r="AY2545" s="5">
        <f>IF(T2545&gt;0,RANK(T2545,(N2545:P2545,Q2545:AE2545)),0)</f>
        <v>6</v>
      </c>
      <c r="AZ2545" s="5">
        <f>IF(S2545&gt;0,RANK(S2545,(N2545:P2545,Q2545:AE2545)),0)</f>
        <v>8</v>
      </c>
      <c r="BA2545" s="2">
        <f t="shared" si="1043"/>
        <v>1.7867981790591805E-2</v>
      </c>
      <c r="BB2545" s="2">
        <f t="shared" si="1044"/>
        <v>3.7556904400606978E-3</v>
      </c>
      <c r="BC2545" s="2">
        <f t="shared" si="1045"/>
        <v>1.4036418816388467E-3</v>
      </c>
      <c r="BD2545" s="2">
        <f t="shared" si="1046"/>
        <v>6.4491654021244307E-4</v>
      </c>
      <c r="BF2545" t="s">
        <v>1531</v>
      </c>
      <c r="BG2545" t="s">
        <v>18</v>
      </c>
      <c r="BH2545" s="1">
        <v>6</v>
      </c>
      <c r="BJ2545" s="114">
        <v>47</v>
      </c>
      <c r="BK2545" s="116">
        <v>35</v>
      </c>
      <c r="BL2545" s="120">
        <f t="shared" si="1047"/>
        <v>47035</v>
      </c>
      <c r="BN2545" s="5" t="s">
        <v>3154</v>
      </c>
      <c r="CA2545" s="133"/>
      <c r="CD2545" s="63">
        <v>0</v>
      </c>
      <c r="CE2545" s="63">
        <v>0</v>
      </c>
      <c r="CF2545" s="63">
        <v>0</v>
      </c>
    </row>
    <row r="2546" spans="1:84" hidden="1" outlineLevel="1">
      <c r="A2546" t="s">
        <v>411</v>
      </c>
      <c r="B2546" t="s">
        <v>18</v>
      </c>
      <c r="C2546" s="1">
        <f t="shared" si="1038"/>
        <v>249068</v>
      </c>
      <c r="D2546" s="5">
        <f>IF(N2546&gt;0, RANK(N2546,(N2546:P2546,Q2546:AE2546)),0)</f>
        <v>1</v>
      </c>
      <c r="E2546" s="5">
        <f>IF(O2546&gt;0,RANK(O2546,(N2546:P2546,Q2546:AE2546)),0)</f>
        <v>2</v>
      </c>
      <c r="F2546" s="5">
        <f>IF(P2546&gt;0,RANK(P2546,(N2546:P2546,Q2546:AE2546)),0)</f>
        <v>5</v>
      </c>
      <c r="G2546" s="132">
        <f t="shared" si="1036"/>
        <v>64314</v>
      </c>
      <c r="H2546" s="137">
        <f t="shared" si="1037"/>
        <v>0.25821863908651455</v>
      </c>
      <c r="I2546" s="2"/>
      <c r="J2546" s="2">
        <f t="shared" si="1039"/>
        <v>0.59768416657298407</v>
      </c>
      <c r="K2546" s="2">
        <f t="shared" si="1040"/>
        <v>0.33946552748646958</v>
      </c>
      <c r="L2546" s="2">
        <f t="shared" si="1041"/>
        <v>8.5880161241106839E-3</v>
      </c>
      <c r="M2546" s="2">
        <f t="shared" si="1042"/>
        <v>5.4262289816435674E-2</v>
      </c>
      <c r="N2546" s="63">
        <v>148864</v>
      </c>
      <c r="O2546" s="63">
        <v>84550</v>
      </c>
      <c r="P2546" s="63">
        <v>2139</v>
      </c>
      <c r="Q2546" s="63">
        <v>9603</v>
      </c>
      <c r="R2546" s="63">
        <v>2459</v>
      </c>
      <c r="S2546" s="63">
        <v>106</v>
      </c>
      <c r="T2546" s="63">
        <v>412</v>
      </c>
      <c r="U2546" s="63"/>
      <c r="V2546" s="63"/>
      <c r="W2546" s="63">
        <f>IF(Copyright!B$11=1,IF(CA2546&gt;0,CA2546-SUM(U2546:V2546)-SUM(Y2546:AC2546)-SUM(AE2546:AP2546),SUM(CD2546:CF2546)),SUM(CD2546:CF2546))</f>
        <v>4</v>
      </c>
      <c r="X2546" s="63">
        <v>304</v>
      </c>
      <c r="Y2546" s="63">
        <v>6</v>
      </c>
      <c r="Z2546" s="63"/>
      <c r="AA2546" s="63"/>
      <c r="AB2546" s="63"/>
      <c r="AC2546" s="63"/>
      <c r="AD2546" s="63"/>
      <c r="AE2546" s="63">
        <v>2</v>
      </c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>
        <v>619</v>
      </c>
      <c r="AR2546" s="63"/>
      <c r="AS2546" s="63"/>
      <c r="AT2546" s="63"/>
      <c r="AU2546" s="63"/>
      <c r="AW2546" s="5">
        <f>IF(Q2546&gt;0,RANK(Q2546,(N2546:P2546,Q2546:AE2546)),0)</f>
        <v>3</v>
      </c>
      <c r="AX2546" s="5">
        <f>IF(R2546&gt;0,RANK(R2546,(N2546:P2546,Q2546:AE2546)),0)</f>
        <v>4</v>
      </c>
      <c r="AY2546" s="5">
        <f>IF(T2546&gt;0,RANK(T2546,(N2546:P2546,Q2546:AE2546)),0)</f>
        <v>6</v>
      </c>
      <c r="AZ2546" s="5">
        <f>IF(S2546&gt;0,RANK(S2546,(N2546:P2546,Q2546:AE2546)),0)</f>
        <v>8</v>
      </c>
      <c r="BA2546" s="2">
        <f t="shared" si="1043"/>
        <v>3.855573578299902E-2</v>
      </c>
      <c r="BB2546" s="2">
        <f t="shared" si="1044"/>
        <v>9.8728058200973235E-3</v>
      </c>
      <c r="BC2546" s="2">
        <f t="shared" si="1045"/>
        <v>1.6541667335827966E-3</v>
      </c>
      <c r="BD2546" s="2">
        <f t="shared" si="1046"/>
        <v>4.2558658679557392E-4</v>
      </c>
      <c r="BF2546" t="s">
        <v>411</v>
      </c>
      <c r="BG2546" t="s">
        <v>18</v>
      </c>
      <c r="BH2546" s="1">
        <v>5</v>
      </c>
      <c r="BJ2546" s="114">
        <v>47</v>
      </c>
      <c r="BK2546" s="116">
        <v>37</v>
      </c>
      <c r="BL2546" s="120">
        <f t="shared" si="1047"/>
        <v>47037</v>
      </c>
      <c r="BN2546" s="5" t="s">
        <v>3154</v>
      </c>
      <c r="CD2546" s="63">
        <v>0</v>
      </c>
      <c r="CE2546" s="63">
        <v>4</v>
      </c>
      <c r="CF2546" s="63">
        <v>0</v>
      </c>
    </row>
    <row r="2547" spans="1:84" hidden="1" outlineLevel="1">
      <c r="A2547" t="s">
        <v>1934</v>
      </c>
      <c r="B2547" t="s">
        <v>18</v>
      </c>
      <c r="C2547" s="1">
        <f t="shared" si="1038"/>
        <v>4592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5</v>
      </c>
      <c r="G2547" s="132">
        <f t="shared" si="1036"/>
        <v>2694</v>
      </c>
      <c r="H2547" s="137">
        <f t="shared" si="1037"/>
        <v>0.5866724738675958</v>
      </c>
      <c r="I2547" s="2"/>
      <c r="J2547" s="2">
        <f t="shared" si="1039"/>
        <v>0.19468641114982579</v>
      </c>
      <c r="K2547" s="2">
        <f t="shared" si="1040"/>
        <v>0.78135888501742157</v>
      </c>
      <c r="L2547" s="2">
        <f t="shared" si="1041"/>
        <v>1.0888501742160278E-3</v>
      </c>
      <c r="M2547" s="2">
        <f t="shared" si="1042"/>
        <v>2.2865853658536637E-2</v>
      </c>
      <c r="N2547" s="63">
        <v>894</v>
      </c>
      <c r="O2547" s="63">
        <v>3588</v>
      </c>
      <c r="P2547" s="63">
        <v>5</v>
      </c>
      <c r="Q2547" s="63">
        <v>70</v>
      </c>
      <c r="R2547" s="63">
        <v>16</v>
      </c>
      <c r="S2547" s="63">
        <v>2</v>
      </c>
      <c r="T2547" s="63">
        <v>5</v>
      </c>
      <c r="U2547" s="63"/>
      <c r="V2547" s="63"/>
      <c r="W2547" s="63">
        <f>IF(Copyright!B$11=1,IF(CA2547&gt;0,CA2547-SUM(U2547:V2547)-SUM(Y2547:AC2547)-SUM(AE2547:AP2547),SUM(CD2547:CF2547)),SUM(CD2547:CF2547))</f>
        <v>0</v>
      </c>
      <c r="X2547" s="63">
        <v>4</v>
      </c>
      <c r="Y2547" s="63">
        <v>0</v>
      </c>
      <c r="Z2547" s="63"/>
      <c r="AA2547" s="63"/>
      <c r="AB2547" s="63"/>
      <c r="AC2547" s="63"/>
      <c r="AD2547" s="63"/>
      <c r="AE2547" s="63">
        <v>0</v>
      </c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>
        <v>8</v>
      </c>
      <c r="AR2547" s="63"/>
      <c r="AS2547" s="63"/>
      <c r="AT2547" s="63"/>
      <c r="AU2547" s="63"/>
      <c r="AW2547" s="5">
        <f>IF(Q2547&gt;0,RANK(Q2547,(N2547:P2547,Q2547:AE2547)),0)</f>
        <v>3</v>
      </c>
      <c r="AX2547" s="5">
        <f>IF(R2547&gt;0,RANK(R2547,(N2547:P2547,Q2547:AE2547)),0)</f>
        <v>4</v>
      </c>
      <c r="AY2547" s="5">
        <f>IF(T2547&gt;0,RANK(T2547,(N2547:P2547,Q2547:AE2547)),0)</f>
        <v>5</v>
      </c>
      <c r="AZ2547" s="5">
        <f>IF(S2547&gt;0,RANK(S2547,(N2547:P2547,Q2547:AE2547)),0)</f>
        <v>8</v>
      </c>
      <c r="BA2547" s="2">
        <f t="shared" si="1043"/>
        <v>1.524390243902439E-2</v>
      </c>
      <c r="BB2547" s="2">
        <f t="shared" si="1044"/>
        <v>3.4843205574912892E-3</v>
      </c>
      <c r="BC2547" s="2">
        <f t="shared" si="1045"/>
        <v>1.0888501742160278E-3</v>
      </c>
      <c r="BD2547" s="2">
        <f t="shared" si="1046"/>
        <v>4.3554006968641115E-4</v>
      </c>
      <c r="BF2547" t="s">
        <v>1934</v>
      </c>
      <c r="BG2547" t="s">
        <v>18</v>
      </c>
      <c r="BH2547" s="1">
        <v>7</v>
      </c>
      <c r="BJ2547" s="114">
        <v>47</v>
      </c>
      <c r="BK2547" s="116">
        <v>39</v>
      </c>
      <c r="BL2547" s="120">
        <f t="shared" si="1047"/>
        <v>47039</v>
      </c>
      <c r="BN2547" s="5" t="s">
        <v>3154</v>
      </c>
      <c r="CD2547" s="63">
        <v>0</v>
      </c>
      <c r="CE2547" s="63">
        <v>0</v>
      </c>
      <c r="CF2547" s="63">
        <v>0</v>
      </c>
    </row>
    <row r="2548" spans="1:84" hidden="1" outlineLevel="1">
      <c r="A2548" t="s">
        <v>1087</v>
      </c>
      <c r="B2548" t="s">
        <v>18</v>
      </c>
      <c r="C2548" s="1">
        <f t="shared" si="1038"/>
        <v>6955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7</v>
      </c>
      <c r="G2548" s="132">
        <f t="shared" si="1036"/>
        <v>3602</v>
      </c>
      <c r="H2548" s="137">
        <f t="shared" si="1037"/>
        <v>0.51790079079798701</v>
      </c>
      <c r="I2548" s="2"/>
      <c r="J2548" s="2">
        <f t="shared" si="1039"/>
        <v>0.22559309849029474</v>
      </c>
      <c r="K2548" s="2">
        <f t="shared" si="1040"/>
        <v>0.74349388928828186</v>
      </c>
      <c r="L2548" s="2">
        <f t="shared" si="1041"/>
        <v>5.7512580877066861E-4</v>
      </c>
      <c r="M2548" s="2">
        <f t="shared" si="1042"/>
        <v>3.0337886412652729E-2</v>
      </c>
      <c r="N2548" s="63">
        <v>1569</v>
      </c>
      <c r="O2548" s="63">
        <v>5171</v>
      </c>
      <c r="P2548" s="63">
        <v>4</v>
      </c>
      <c r="Q2548" s="63">
        <v>117</v>
      </c>
      <c r="R2548" s="63">
        <v>49</v>
      </c>
      <c r="S2548" s="63">
        <v>0</v>
      </c>
      <c r="T2548" s="63">
        <v>10</v>
      </c>
      <c r="U2548" s="63"/>
      <c r="V2548" s="63"/>
      <c r="W2548" s="63">
        <f>IF(Copyright!B$11=1,IF(CA2548&gt;0,CA2548-SUM(U2548:V2548)-SUM(Y2548:AC2548)-SUM(AE2548:AP2548),SUM(CD2548:CF2548)),SUM(CD2548:CF2548))</f>
        <v>0</v>
      </c>
      <c r="X2548" s="63">
        <v>6</v>
      </c>
      <c r="Y2548" s="63">
        <v>0</v>
      </c>
      <c r="Z2548" s="63"/>
      <c r="AA2548" s="63"/>
      <c r="AB2548" s="63"/>
      <c r="AC2548" s="63"/>
      <c r="AD2548" s="63"/>
      <c r="AE2548" s="63">
        <v>0</v>
      </c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>
        <v>29</v>
      </c>
      <c r="AR2548" s="63"/>
      <c r="AS2548" s="63"/>
      <c r="AT2548" s="63"/>
      <c r="AU2548" s="63"/>
      <c r="AW2548" s="5">
        <f>IF(Q2548&gt;0,RANK(Q2548,(N2548:P2548,Q2548:AE2548)),0)</f>
        <v>3</v>
      </c>
      <c r="AX2548" s="5">
        <f>IF(R2548&gt;0,RANK(R2548,(N2548:P2548,Q2548:AE2548)),0)</f>
        <v>4</v>
      </c>
      <c r="AY2548" s="5">
        <f>IF(T2548&gt;0,RANK(T2548,(N2548:P2548,Q2548:AE2548)),0)</f>
        <v>5</v>
      </c>
      <c r="AZ2548" s="5">
        <f>IF(S2548&gt;0,RANK(S2548,(N2548:P2548,Q2548:AE2548)),0)</f>
        <v>0</v>
      </c>
      <c r="BA2548" s="2">
        <f t="shared" si="1043"/>
        <v>1.6822429906542057E-2</v>
      </c>
      <c r="BB2548" s="2">
        <f t="shared" si="1044"/>
        <v>7.0452911574406902E-3</v>
      </c>
      <c r="BC2548" s="2">
        <f t="shared" si="1045"/>
        <v>1.4378145219266715E-3</v>
      </c>
      <c r="BD2548" s="2">
        <f t="shared" si="1046"/>
        <v>0</v>
      </c>
      <c r="BF2548" t="s">
        <v>1087</v>
      </c>
      <c r="BG2548" t="s">
        <v>18</v>
      </c>
      <c r="BH2548" s="1">
        <v>6</v>
      </c>
      <c r="BJ2548" s="114">
        <v>47</v>
      </c>
      <c r="BK2548" s="116">
        <v>41</v>
      </c>
      <c r="BL2548" s="120">
        <f t="shared" si="1047"/>
        <v>47041</v>
      </c>
      <c r="BN2548" s="5" t="s">
        <v>3154</v>
      </c>
      <c r="CD2548" s="63">
        <v>0</v>
      </c>
      <c r="CE2548" s="63">
        <v>0</v>
      </c>
      <c r="CF2548" s="63">
        <v>0</v>
      </c>
    </row>
    <row r="2549" spans="1:84" hidden="1" outlineLevel="1">
      <c r="A2549" t="s">
        <v>250</v>
      </c>
      <c r="B2549" t="s">
        <v>18</v>
      </c>
      <c r="C2549" s="1">
        <f t="shared" si="1038"/>
        <v>18699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5</v>
      </c>
      <c r="G2549" s="132">
        <f t="shared" si="1036"/>
        <v>8511</v>
      </c>
      <c r="H2549" s="137">
        <f t="shared" si="1037"/>
        <v>0.45515802984116799</v>
      </c>
      <c r="I2549" s="2"/>
      <c r="J2549" s="2">
        <f t="shared" si="1039"/>
        <v>0.25252687309481792</v>
      </c>
      <c r="K2549" s="2">
        <f t="shared" si="1040"/>
        <v>0.70768490293598585</v>
      </c>
      <c r="L2549" s="2">
        <f t="shared" si="1041"/>
        <v>2.1926306219583933E-3</v>
      </c>
      <c r="M2549" s="2">
        <f t="shared" si="1042"/>
        <v>3.7595593347237839E-2</v>
      </c>
      <c r="N2549" s="63">
        <v>4722</v>
      </c>
      <c r="O2549" s="63">
        <v>13233</v>
      </c>
      <c r="P2549" s="63">
        <v>41</v>
      </c>
      <c r="Q2549" s="63">
        <v>489</v>
      </c>
      <c r="R2549" s="63">
        <v>94</v>
      </c>
      <c r="S2549" s="63">
        <v>9</v>
      </c>
      <c r="T2549" s="63">
        <v>32</v>
      </c>
      <c r="U2549" s="63"/>
      <c r="V2549" s="63"/>
      <c r="W2549" s="63">
        <f>IF(Copyright!B$11=1,IF(CA2549&gt;0,CA2549-SUM(U2549:V2549)-SUM(Y2549:AC2549)-SUM(AE2549:AP2549),SUM(CD2549:CF2549)),SUM(CD2549:CF2549))</f>
        <v>0</v>
      </c>
      <c r="X2549" s="63">
        <v>18</v>
      </c>
      <c r="Y2549" s="63">
        <v>3</v>
      </c>
      <c r="Z2549" s="63"/>
      <c r="AA2549" s="63"/>
      <c r="AB2549" s="63"/>
      <c r="AC2549" s="63"/>
      <c r="AD2549" s="63"/>
      <c r="AE2549" s="63">
        <v>0</v>
      </c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>
        <v>58</v>
      </c>
      <c r="AR2549" s="63"/>
      <c r="AS2549" s="63"/>
      <c r="AT2549" s="63"/>
      <c r="AU2549" s="63"/>
      <c r="AW2549" s="5">
        <f>IF(Q2549&gt;0,RANK(Q2549,(N2549:P2549,Q2549:AE2549)),0)</f>
        <v>3</v>
      </c>
      <c r="AX2549" s="5">
        <f>IF(R2549&gt;0,RANK(R2549,(N2549:P2549,Q2549:AE2549)),0)</f>
        <v>4</v>
      </c>
      <c r="AY2549" s="5">
        <f>IF(T2549&gt;0,RANK(T2549,(N2549:P2549,Q2549:AE2549)),0)</f>
        <v>6</v>
      </c>
      <c r="AZ2549" s="5">
        <f>IF(S2549&gt;0,RANK(S2549,(N2549:P2549,Q2549:AE2549)),0)</f>
        <v>8</v>
      </c>
      <c r="BA2549" s="2">
        <f t="shared" si="1043"/>
        <v>2.6151131076528156E-2</v>
      </c>
      <c r="BB2549" s="2">
        <f t="shared" si="1044"/>
        <v>5.0270067918070484E-3</v>
      </c>
      <c r="BC2549" s="2">
        <f t="shared" si="1045"/>
        <v>1.7113214610406974E-3</v>
      </c>
      <c r="BD2549" s="2">
        <f t="shared" si="1046"/>
        <v>4.8130916091769613E-4</v>
      </c>
      <c r="BF2549" t="s">
        <v>250</v>
      </c>
      <c r="BG2549" t="s">
        <v>18</v>
      </c>
      <c r="BH2549" s="1">
        <v>5</v>
      </c>
      <c r="BJ2549" s="114">
        <v>47</v>
      </c>
      <c r="BK2549" s="116">
        <v>43</v>
      </c>
      <c r="BL2549" s="120">
        <f t="shared" si="1047"/>
        <v>47043</v>
      </c>
      <c r="BN2549" s="5" t="s">
        <v>3154</v>
      </c>
      <c r="CD2549" s="63">
        <v>0</v>
      </c>
      <c r="CE2549" s="63">
        <v>0</v>
      </c>
      <c r="CF2549" s="63">
        <v>0</v>
      </c>
    </row>
    <row r="2550" spans="1:84" hidden="1" outlineLevel="1">
      <c r="A2550" t="s">
        <v>1316</v>
      </c>
      <c r="B2550" t="s">
        <v>18</v>
      </c>
      <c r="C2550" s="1">
        <f t="shared" si="1038"/>
        <v>13336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5</v>
      </c>
      <c r="G2550" s="132">
        <f t="shared" si="1036"/>
        <v>7364</v>
      </c>
      <c r="H2550" s="137">
        <f t="shared" si="1037"/>
        <v>0.55218956208758252</v>
      </c>
      <c r="I2550" s="2"/>
      <c r="J2550" s="2">
        <f t="shared" si="1039"/>
        <v>0.21115776844631073</v>
      </c>
      <c r="K2550" s="2">
        <f t="shared" si="1040"/>
        <v>0.76334733053389325</v>
      </c>
      <c r="L2550" s="2">
        <f t="shared" si="1041"/>
        <v>2.7744451109778046E-3</v>
      </c>
      <c r="M2550" s="2">
        <f t="shared" si="1042"/>
        <v>2.2720455908818209E-2</v>
      </c>
      <c r="N2550" s="63">
        <v>2816</v>
      </c>
      <c r="O2550" s="63">
        <v>10180</v>
      </c>
      <c r="P2550" s="63">
        <v>37</v>
      </c>
      <c r="Q2550" s="63">
        <v>193</v>
      </c>
      <c r="R2550" s="63">
        <v>48</v>
      </c>
      <c r="S2550" s="63">
        <v>3</v>
      </c>
      <c r="T2550" s="63">
        <v>19</v>
      </c>
      <c r="U2550" s="63"/>
      <c r="V2550" s="63"/>
      <c r="W2550" s="63">
        <f>IF(Copyright!B$11=1,IF(CA2550&gt;0,CA2550-SUM(U2550:V2550)-SUM(Y2550:AC2550)-SUM(AE2550:AP2550),SUM(CD2550:CF2550)),SUM(CD2550:CF2550))</f>
        <v>0</v>
      </c>
      <c r="X2550" s="63">
        <v>13</v>
      </c>
      <c r="Y2550" s="63">
        <v>0</v>
      </c>
      <c r="Z2550" s="63"/>
      <c r="AA2550" s="63"/>
      <c r="AB2550" s="63"/>
      <c r="AC2550" s="63"/>
      <c r="AD2550" s="63"/>
      <c r="AE2550" s="63">
        <v>0</v>
      </c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>
        <v>27</v>
      </c>
      <c r="AR2550" s="63"/>
      <c r="AS2550" s="63"/>
      <c r="AT2550" s="63"/>
      <c r="AU2550" s="63"/>
      <c r="AW2550" s="5">
        <f>IF(Q2550&gt;0,RANK(Q2550,(N2550:P2550,Q2550:AE2550)),0)</f>
        <v>3</v>
      </c>
      <c r="AX2550" s="5">
        <f>IF(R2550&gt;0,RANK(R2550,(N2550:P2550,Q2550:AE2550)),0)</f>
        <v>4</v>
      </c>
      <c r="AY2550" s="5">
        <f>IF(T2550&gt;0,RANK(T2550,(N2550:P2550,Q2550:AE2550)),0)</f>
        <v>6</v>
      </c>
      <c r="AZ2550" s="5">
        <f>IF(S2550&gt;0,RANK(S2550,(N2550:P2550,Q2550:AE2550)),0)</f>
        <v>8</v>
      </c>
      <c r="BA2550" s="2">
        <f t="shared" si="1043"/>
        <v>1.4472105578884223E-2</v>
      </c>
      <c r="BB2550" s="2">
        <f t="shared" si="1044"/>
        <v>3.5992801439712059E-3</v>
      </c>
      <c r="BC2550" s="2">
        <f t="shared" si="1045"/>
        <v>1.4247150569886022E-3</v>
      </c>
      <c r="BD2550" s="2">
        <f t="shared" si="1046"/>
        <v>2.2495500899820037E-4</v>
      </c>
      <c r="BF2550" t="s">
        <v>1316</v>
      </c>
      <c r="BG2550" t="s">
        <v>18</v>
      </c>
      <c r="BH2550" s="1">
        <v>8</v>
      </c>
      <c r="BJ2550" s="114">
        <v>47</v>
      </c>
      <c r="BK2550" s="116">
        <v>45</v>
      </c>
      <c r="BL2550" s="120">
        <f t="shared" si="1047"/>
        <v>47045</v>
      </c>
      <c r="BN2550" s="5" t="s">
        <v>3154</v>
      </c>
      <c r="CA2550" s="132"/>
      <c r="CD2550" s="63">
        <v>0</v>
      </c>
      <c r="CE2550" s="63">
        <v>0</v>
      </c>
      <c r="CF2550" s="63">
        <v>0</v>
      </c>
    </row>
    <row r="2551" spans="1:84" hidden="1" outlineLevel="1">
      <c r="A2551" t="s">
        <v>1416</v>
      </c>
      <c r="B2551" t="s">
        <v>18</v>
      </c>
      <c r="C2551" s="1">
        <f t="shared" si="1038"/>
        <v>19394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5</v>
      </c>
      <c r="G2551" s="132">
        <f t="shared" si="1036"/>
        <v>7181</v>
      </c>
      <c r="H2551" s="137">
        <f t="shared" si="1037"/>
        <v>0.37026915540888933</v>
      </c>
      <c r="I2551" s="2"/>
      <c r="J2551" s="2">
        <f t="shared" si="1039"/>
        <v>0.30287717850881718</v>
      </c>
      <c r="K2551" s="2">
        <f t="shared" si="1040"/>
        <v>0.67314633391770651</v>
      </c>
      <c r="L2551" s="2">
        <f t="shared" si="1041"/>
        <v>2.5265546045168609E-3</v>
      </c>
      <c r="M2551" s="2">
        <f t="shared" si="1042"/>
        <v>2.1449932968959508E-2</v>
      </c>
      <c r="N2551" s="63">
        <v>5874</v>
      </c>
      <c r="O2551" s="63">
        <v>13055</v>
      </c>
      <c r="P2551" s="63">
        <v>49</v>
      </c>
      <c r="Q2551" s="63">
        <v>261</v>
      </c>
      <c r="R2551" s="63">
        <v>62</v>
      </c>
      <c r="S2551" s="63">
        <v>21</v>
      </c>
      <c r="T2551" s="63">
        <v>19</v>
      </c>
      <c r="U2551" s="63"/>
      <c r="V2551" s="63"/>
      <c r="W2551" s="63">
        <f>IF(Copyright!B$11=1,IF(CA2551&gt;0,CA2551-SUM(U2551:V2551)-SUM(Y2551:AC2551)-SUM(AE2551:AP2551),SUM(CD2551:CF2551)),SUM(CD2551:CF2551))</f>
        <v>0</v>
      </c>
      <c r="X2551" s="63">
        <v>16</v>
      </c>
      <c r="Y2551" s="63">
        <v>0</v>
      </c>
      <c r="Z2551" s="63"/>
      <c r="AA2551" s="63"/>
      <c r="AB2551" s="63"/>
      <c r="AC2551" s="63"/>
      <c r="AD2551" s="63"/>
      <c r="AE2551" s="63">
        <v>0</v>
      </c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>
        <v>37</v>
      </c>
      <c r="AR2551" s="63"/>
      <c r="AS2551" s="63"/>
      <c r="AT2551" s="63"/>
      <c r="AU2551" s="63"/>
      <c r="AW2551" s="5">
        <f>IF(Q2551&gt;0,RANK(Q2551,(N2551:P2551,Q2551:AE2551)),0)</f>
        <v>3</v>
      </c>
      <c r="AX2551" s="5">
        <f>IF(R2551&gt;0,RANK(R2551,(N2551:P2551,Q2551:AE2551)),0)</f>
        <v>4</v>
      </c>
      <c r="AY2551" s="5">
        <f>IF(T2551&gt;0,RANK(T2551,(N2551:P2551,Q2551:AE2551)),0)</f>
        <v>7</v>
      </c>
      <c r="AZ2551" s="5">
        <f>IF(S2551&gt;0,RANK(S2551,(N2551:P2551,Q2551:AE2551)),0)</f>
        <v>6</v>
      </c>
      <c r="BA2551" s="2">
        <f t="shared" si="1043"/>
        <v>1.3457770444467361E-2</v>
      </c>
      <c r="BB2551" s="2">
        <f t="shared" si="1044"/>
        <v>3.1968650097968444E-3</v>
      </c>
      <c r="BC2551" s="2">
        <f t="shared" si="1045"/>
        <v>9.7968443848612976E-4</v>
      </c>
      <c r="BD2551" s="2">
        <f t="shared" si="1046"/>
        <v>1.0828091162215119E-3</v>
      </c>
      <c r="BF2551" t="s">
        <v>1416</v>
      </c>
      <c r="BG2551" t="s">
        <v>18</v>
      </c>
      <c r="BH2551" s="1">
        <v>8</v>
      </c>
      <c r="BJ2551" s="114">
        <v>47</v>
      </c>
      <c r="BK2551" s="116">
        <v>47</v>
      </c>
      <c r="BL2551" s="120">
        <f t="shared" si="1047"/>
        <v>47047</v>
      </c>
      <c r="BN2551" s="5" t="s">
        <v>3154</v>
      </c>
      <c r="CD2551" s="63">
        <v>0</v>
      </c>
      <c r="CE2551" s="63">
        <v>0</v>
      </c>
      <c r="CF2551" s="63">
        <v>0</v>
      </c>
    </row>
    <row r="2552" spans="1:84" hidden="1" outlineLevel="1">
      <c r="A2552" t="s">
        <v>1936</v>
      </c>
      <c r="B2552" t="s">
        <v>18</v>
      </c>
      <c r="C2552" s="1">
        <f t="shared" si="1038"/>
        <v>7333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5</v>
      </c>
      <c r="G2552" s="132">
        <f t="shared" si="1036"/>
        <v>4938</v>
      </c>
      <c r="H2552" s="137">
        <f t="shared" si="1037"/>
        <v>0.67339424519296331</v>
      </c>
      <c r="I2552" s="2"/>
      <c r="J2552" s="2">
        <f t="shared" si="1039"/>
        <v>0.15000681849174963</v>
      </c>
      <c r="K2552" s="2">
        <f t="shared" si="1040"/>
        <v>0.82340106368471289</v>
      </c>
      <c r="L2552" s="2">
        <f t="shared" si="1041"/>
        <v>1.9091776898949953E-3</v>
      </c>
      <c r="M2552" s="2">
        <f t="shared" si="1042"/>
        <v>2.4682940133642545E-2</v>
      </c>
      <c r="N2552" s="63">
        <v>1100</v>
      </c>
      <c r="O2552" s="63">
        <v>6038</v>
      </c>
      <c r="P2552" s="63">
        <v>14</v>
      </c>
      <c r="Q2552" s="63">
        <v>107</v>
      </c>
      <c r="R2552" s="63">
        <v>37</v>
      </c>
      <c r="S2552" s="63">
        <v>1</v>
      </c>
      <c r="T2552" s="63">
        <v>10</v>
      </c>
      <c r="U2552" s="63"/>
      <c r="V2552" s="63"/>
      <c r="W2552" s="63">
        <f>IF(Copyright!B$11=1,IF(CA2552&gt;0,CA2552-SUM(U2552:V2552)-SUM(Y2552:AC2552)-SUM(AE2552:AP2552),SUM(CD2552:CF2552)),SUM(CD2552:CF2552))</f>
        <v>1</v>
      </c>
      <c r="X2552" s="63">
        <v>14</v>
      </c>
      <c r="Y2552" s="63">
        <v>0</v>
      </c>
      <c r="Z2552" s="63"/>
      <c r="AA2552" s="63"/>
      <c r="AB2552" s="63"/>
      <c r="AC2552" s="63"/>
      <c r="AD2552" s="63"/>
      <c r="AE2552" s="63">
        <v>0</v>
      </c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>
        <v>11</v>
      </c>
      <c r="AR2552" s="63"/>
      <c r="AS2552" s="63"/>
      <c r="AT2552" s="63"/>
      <c r="AU2552" s="63"/>
      <c r="AW2552" s="5">
        <f>IF(Q2552&gt;0,RANK(Q2552,(N2552:P2552,Q2552:AE2552)),0)</f>
        <v>3</v>
      </c>
      <c r="AX2552" s="5">
        <f>IF(R2552&gt;0,RANK(R2552,(N2552:P2552,Q2552:AE2552)),0)</f>
        <v>4</v>
      </c>
      <c r="AY2552" s="5">
        <f>IF(T2552&gt;0,RANK(T2552,(N2552:P2552,Q2552:AE2552)),0)</f>
        <v>7</v>
      </c>
      <c r="AZ2552" s="5">
        <f>IF(S2552&gt;0,RANK(S2552,(N2552:P2552,Q2552:AE2552)),0)</f>
        <v>8</v>
      </c>
      <c r="BA2552" s="2">
        <f t="shared" si="1043"/>
        <v>1.4591572344197463E-2</v>
      </c>
      <c r="BB2552" s="2">
        <f t="shared" si="1044"/>
        <v>5.0456838947224875E-3</v>
      </c>
      <c r="BC2552" s="2">
        <f t="shared" si="1045"/>
        <v>1.3636983499249965E-3</v>
      </c>
      <c r="BD2552" s="2">
        <f t="shared" si="1046"/>
        <v>1.3636983499249966E-4</v>
      </c>
      <c r="BF2552" t="s">
        <v>1936</v>
      </c>
      <c r="BG2552" t="s">
        <v>18</v>
      </c>
      <c r="BH2552" s="1">
        <v>6</v>
      </c>
      <c r="BJ2552" s="114">
        <v>47</v>
      </c>
      <c r="BK2552" s="116">
        <v>49</v>
      </c>
      <c r="BL2552" s="120">
        <f t="shared" si="1047"/>
        <v>47049</v>
      </c>
      <c r="BN2552" s="5" t="s">
        <v>3154</v>
      </c>
      <c r="CD2552" s="63">
        <v>0</v>
      </c>
      <c r="CE2552" s="63">
        <v>1</v>
      </c>
      <c r="CF2552" s="63">
        <v>0</v>
      </c>
    </row>
    <row r="2553" spans="1:84" hidden="1" outlineLevel="1">
      <c r="A2553" t="s">
        <v>1138</v>
      </c>
      <c r="B2553" t="s">
        <v>18</v>
      </c>
      <c r="C2553" s="1">
        <f t="shared" si="1038"/>
        <v>16404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6</v>
      </c>
      <c r="G2553" s="132">
        <f t="shared" si="1036"/>
        <v>7158</v>
      </c>
      <c r="H2553" s="137">
        <f t="shared" si="1037"/>
        <v>0.43635698610095097</v>
      </c>
      <c r="I2553" s="2"/>
      <c r="J2553" s="2">
        <f t="shared" si="1039"/>
        <v>0.26664228237015364</v>
      </c>
      <c r="K2553" s="2">
        <f t="shared" si="1040"/>
        <v>0.70299926847110461</v>
      </c>
      <c r="L2553" s="2">
        <f t="shared" si="1041"/>
        <v>1.5240185320653499E-3</v>
      </c>
      <c r="M2553" s="2">
        <f t="shared" si="1042"/>
        <v>2.8834430626676403E-2</v>
      </c>
      <c r="N2553" s="63">
        <v>4374</v>
      </c>
      <c r="O2553" s="63">
        <v>11532</v>
      </c>
      <c r="P2553" s="63">
        <v>25</v>
      </c>
      <c r="Q2553" s="63">
        <v>319</v>
      </c>
      <c r="R2553" s="63">
        <v>66</v>
      </c>
      <c r="S2553" s="63">
        <v>7</v>
      </c>
      <c r="T2553" s="63">
        <v>28</v>
      </c>
      <c r="U2553" s="63"/>
      <c r="V2553" s="63"/>
      <c r="W2553" s="63">
        <f>IF(Copyright!B$11=1,IF(CA2553&gt;0,CA2553-SUM(U2553:V2553)-SUM(Y2553:AC2553)-SUM(AE2553:AP2553),SUM(CD2553:CF2553)),SUM(CD2553:CF2553))</f>
        <v>0</v>
      </c>
      <c r="X2553" s="63">
        <v>16</v>
      </c>
      <c r="Y2553" s="63">
        <v>0</v>
      </c>
      <c r="Z2553" s="63"/>
      <c r="AA2553" s="63"/>
      <c r="AB2553" s="63"/>
      <c r="AC2553" s="63"/>
      <c r="AD2553" s="63"/>
      <c r="AE2553" s="63">
        <v>1</v>
      </c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>
        <v>36</v>
      </c>
      <c r="AR2553" s="63"/>
      <c r="AS2553" s="63"/>
      <c r="AT2553" s="63"/>
      <c r="AU2553" s="63"/>
      <c r="AW2553" s="5">
        <f>IF(Q2553&gt;0,RANK(Q2553,(N2553:P2553,Q2553:AE2553)),0)</f>
        <v>3</v>
      </c>
      <c r="AX2553" s="5">
        <f>IF(R2553&gt;0,RANK(R2553,(N2553:P2553,Q2553:AE2553)),0)</f>
        <v>4</v>
      </c>
      <c r="AY2553" s="5">
        <f>IF(T2553&gt;0,RANK(T2553,(N2553:P2553,Q2553:AE2553)),0)</f>
        <v>5</v>
      </c>
      <c r="AZ2553" s="5">
        <f>IF(S2553&gt;0,RANK(S2553,(N2553:P2553,Q2553:AE2553)),0)</f>
        <v>8</v>
      </c>
      <c r="BA2553" s="2">
        <f t="shared" si="1043"/>
        <v>1.9446476469153866E-2</v>
      </c>
      <c r="BB2553" s="2">
        <f t="shared" si="1044"/>
        <v>4.0234089246525238E-3</v>
      </c>
      <c r="BC2553" s="2">
        <f t="shared" si="1045"/>
        <v>1.706900755913192E-3</v>
      </c>
      <c r="BD2553" s="2">
        <f t="shared" si="1046"/>
        <v>4.2672518897829799E-4</v>
      </c>
      <c r="BF2553" t="s">
        <v>1138</v>
      </c>
      <c r="BG2553" t="s">
        <v>18</v>
      </c>
      <c r="BH2553" s="1">
        <v>4</v>
      </c>
      <c r="BJ2553" s="114">
        <v>47</v>
      </c>
      <c r="BK2553" s="116">
        <v>51</v>
      </c>
      <c r="BL2553" s="120">
        <f t="shared" si="1047"/>
        <v>47051</v>
      </c>
      <c r="BN2553" s="5" t="s">
        <v>3154</v>
      </c>
      <c r="CD2553" s="63">
        <v>0</v>
      </c>
      <c r="CE2553" s="63">
        <v>0</v>
      </c>
      <c r="CF2553" s="63">
        <v>0</v>
      </c>
    </row>
    <row r="2554" spans="1:84" hidden="1" outlineLevel="1">
      <c r="A2554" t="s">
        <v>2128</v>
      </c>
      <c r="B2554" t="s">
        <v>18</v>
      </c>
      <c r="C2554" s="1">
        <f t="shared" si="1038"/>
        <v>19547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5</v>
      </c>
      <c r="G2554" s="132">
        <f t="shared" si="1036"/>
        <v>8528</v>
      </c>
      <c r="H2554" s="137">
        <f t="shared" si="1037"/>
        <v>0.43628178237069626</v>
      </c>
      <c r="I2554" s="2"/>
      <c r="J2554" s="2">
        <f t="shared" si="1039"/>
        <v>0.268992684299381</v>
      </c>
      <c r="K2554" s="2">
        <f t="shared" si="1040"/>
        <v>0.7052744666700772</v>
      </c>
      <c r="L2554" s="2">
        <f t="shared" si="1041"/>
        <v>2.1998260602650024E-3</v>
      </c>
      <c r="M2554" s="2">
        <f t="shared" si="1042"/>
        <v>2.3533022970276735E-2</v>
      </c>
      <c r="N2554" s="63">
        <v>5258</v>
      </c>
      <c r="O2554" s="63">
        <v>13786</v>
      </c>
      <c r="P2554" s="63">
        <v>43</v>
      </c>
      <c r="Q2554" s="63">
        <v>305</v>
      </c>
      <c r="R2554" s="63">
        <v>66</v>
      </c>
      <c r="S2554" s="63">
        <v>8</v>
      </c>
      <c r="T2554" s="63">
        <v>26</v>
      </c>
      <c r="U2554" s="63"/>
      <c r="V2554" s="63"/>
      <c r="W2554" s="63">
        <f>IF(Copyright!B$11=1,IF(CA2554&gt;0,CA2554-SUM(U2554:V2554)-SUM(Y2554:AC2554)-SUM(AE2554:AP2554),SUM(CD2554:CF2554)),SUM(CD2554:CF2554))</f>
        <v>1</v>
      </c>
      <c r="X2554" s="63">
        <v>18</v>
      </c>
      <c r="Y2554" s="63">
        <v>0</v>
      </c>
      <c r="Z2554" s="63"/>
      <c r="AA2554" s="63"/>
      <c r="AB2554" s="63"/>
      <c r="AC2554" s="63"/>
      <c r="AD2554" s="63"/>
      <c r="AE2554" s="63">
        <v>0</v>
      </c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>
        <v>36</v>
      </c>
      <c r="AR2554" s="63"/>
      <c r="AS2554" s="63"/>
      <c r="AT2554" s="63"/>
      <c r="AU2554" s="63"/>
      <c r="AW2554" s="5">
        <f>IF(Q2554&gt;0,RANK(Q2554,(N2554:P2554,Q2554:AE2554)),0)</f>
        <v>3</v>
      </c>
      <c r="AX2554" s="5">
        <f>IF(R2554&gt;0,RANK(R2554,(N2554:P2554,Q2554:AE2554)),0)</f>
        <v>4</v>
      </c>
      <c r="AY2554" s="5">
        <f>IF(T2554&gt;0,RANK(T2554,(N2554:P2554,Q2554:AE2554)),0)</f>
        <v>6</v>
      </c>
      <c r="AZ2554" s="5">
        <f>IF(S2554&gt;0,RANK(S2554,(N2554:P2554,Q2554:AE2554)),0)</f>
        <v>8</v>
      </c>
      <c r="BA2554" s="2">
        <f t="shared" si="1043"/>
        <v>1.5603417404205249E-2</v>
      </c>
      <c r="BB2554" s="2">
        <f t="shared" si="1044"/>
        <v>3.3764772087788407E-3</v>
      </c>
      <c r="BC2554" s="2">
        <f t="shared" si="1045"/>
        <v>1.3301273852765131E-3</v>
      </c>
      <c r="BD2554" s="2">
        <f t="shared" si="1046"/>
        <v>4.0926996470046554E-4</v>
      </c>
      <c r="BF2554" t="s">
        <v>2128</v>
      </c>
      <c r="BG2554" t="s">
        <v>18</v>
      </c>
      <c r="BH2554" s="1">
        <v>8</v>
      </c>
      <c r="BJ2554" s="114">
        <v>47</v>
      </c>
      <c r="BK2554" s="116">
        <v>53</v>
      </c>
      <c r="BL2554" s="120">
        <f t="shared" si="1047"/>
        <v>47053</v>
      </c>
      <c r="BN2554" s="5" t="s">
        <v>3154</v>
      </c>
      <c r="CD2554" s="63">
        <v>0</v>
      </c>
      <c r="CE2554" s="63">
        <v>1</v>
      </c>
      <c r="CF2554" s="63">
        <v>0</v>
      </c>
    </row>
    <row r="2555" spans="1:84" hidden="1" outlineLevel="1">
      <c r="A2555" t="s">
        <v>1937</v>
      </c>
      <c r="B2555" t="s">
        <v>18</v>
      </c>
      <c r="C2555" s="1">
        <f t="shared" si="1038"/>
        <v>11137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7</v>
      </c>
      <c r="G2555" s="132">
        <f t="shared" si="1036"/>
        <v>5053</v>
      </c>
      <c r="H2555" s="137">
        <f t="shared" si="1037"/>
        <v>0.4537128490616863</v>
      </c>
      <c r="I2555" s="2"/>
      <c r="J2555" s="2">
        <f t="shared" si="1039"/>
        <v>0.26191972703600608</v>
      </c>
      <c r="K2555" s="2">
        <f t="shared" si="1040"/>
        <v>0.71563257609769237</v>
      </c>
      <c r="L2555" s="2">
        <f t="shared" si="1041"/>
        <v>7.1832629972164858E-4</v>
      </c>
      <c r="M2555" s="2">
        <f t="shared" si="1042"/>
        <v>2.1729370566579899E-2</v>
      </c>
      <c r="N2555" s="63">
        <v>2917</v>
      </c>
      <c r="O2555" s="63">
        <v>7970</v>
      </c>
      <c r="P2555" s="63">
        <v>8</v>
      </c>
      <c r="Q2555" s="63">
        <v>162</v>
      </c>
      <c r="R2555" s="63">
        <v>41</v>
      </c>
      <c r="S2555" s="63">
        <v>1</v>
      </c>
      <c r="T2555" s="63">
        <v>16</v>
      </c>
      <c r="U2555" s="63"/>
      <c r="V2555" s="63"/>
      <c r="W2555" s="63">
        <f>IF(Copyright!B$11=1,IF(CA2555&gt;0,CA2555-SUM(U2555:V2555)-SUM(Y2555:AC2555)-SUM(AE2555:AP2555),SUM(CD2555:CF2555)),SUM(CD2555:CF2555))</f>
        <v>0</v>
      </c>
      <c r="X2555" s="63">
        <v>11</v>
      </c>
      <c r="Y2555" s="63">
        <v>0</v>
      </c>
      <c r="Z2555" s="63"/>
      <c r="AA2555" s="63"/>
      <c r="AB2555" s="63"/>
      <c r="AC2555" s="63"/>
      <c r="AD2555" s="63"/>
      <c r="AE2555" s="63">
        <v>0</v>
      </c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>
        <v>11</v>
      </c>
      <c r="AR2555" s="63"/>
      <c r="AS2555" s="63"/>
      <c r="AT2555" s="63"/>
      <c r="AU2555" s="63"/>
      <c r="AW2555" s="5">
        <f>IF(Q2555&gt;0,RANK(Q2555,(N2555:P2555,Q2555:AE2555)),0)</f>
        <v>3</v>
      </c>
      <c r="AX2555" s="5">
        <f>IF(R2555&gt;0,RANK(R2555,(N2555:P2555,Q2555:AE2555)),0)</f>
        <v>4</v>
      </c>
      <c r="AY2555" s="5">
        <f>IF(T2555&gt;0,RANK(T2555,(N2555:P2555,Q2555:AE2555)),0)</f>
        <v>5</v>
      </c>
      <c r="AZ2555" s="5">
        <f>IF(S2555&gt;0,RANK(S2555,(N2555:P2555,Q2555:AE2555)),0)</f>
        <v>8</v>
      </c>
      <c r="BA2555" s="2">
        <f t="shared" si="1043"/>
        <v>1.4546107569363384E-2</v>
      </c>
      <c r="BB2555" s="2">
        <f t="shared" si="1044"/>
        <v>3.681422286073449E-3</v>
      </c>
      <c r="BC2555" s="2">
        <f t="shared" si="1045"/>
        <v>1.4366525994432972E-3</v>
      </c>
      <c r="BD2555" s="2">
        <f t="shared" si="1046"/>
        <v>8.9790787465206072E-5</v>
      </c>
      <c r="BF2555" t="s">
        <v>1937</v>
      </c>
      <c r="BG2555" t="s">
        <v>18</v>
      </c>
      <c r="BH2555" s="1">
        <v>7</v>
      </c>
      <c r="BJ2555" s="114">
        <v>47</v>
      </c>
      <c r="BK2555" s="116">
        <v>55</v>
      </c>
      <c r="BL2555" s="120">
        <f t="shared" si="1047"/>
        <v>47055</v>
      </c>
      <c r="BN2555" s="5" t="s">
        <v>3154</v>
      </c>
      <c r="CD2555" s="63">
        <v>0</v>
      </c>
      <c r="CE2555" s="63">
        <v>0</v>
      </c>
      <c r="CF2555" s="63">
        <v>0</v>
      </c>
    </row>
    <row r="2556" spans="1:84" hidden="1" outlineLevel="1">
      <c r="A2556" t="s">
        <v>755</v>
      </c>
      <c r="B2556" t="s">
        <v>18</v>
      </c>
      <c r="C2556" s="1">
        <f t="shared" si="1038"/>
        <v>8008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7</v>
      </c>
      <c r="G2556" s="132">
        <f t="shared" si="1036"/>
        <v>5472</v>
      </c>
      <c r="H2556" s="137">
        <f t="shared" si="1037"/>
        <v>0.68331668331668327</v>
      </c>
      <c r="I2556" s="2"/>
      <c r="J2556" s="2">
        <f t="shared" si="1039"/>
        <v>0.14410589410589411</v>
      </c>
      <c r="K2556" s="2">
        <f t="shared" si="1040"/>
        <v>0.82742257742257741</v>
      </c>
      <c r="L2556" s="2">
        <f t="shared" si="1041"/>
        <v>1.3736263736263737E-3</v>
      </c>
      <c r="M2556" s="2">
        <f t="shared" si="1042"/>
        <v>2.7097902097902079E-2</v>
      </c>
      <c r="N2556" s="63">
        <v>1154</v>
      </c>
      <c r="O2556" s="63">
        <v>6626</v>
      </c>
      <c r="P2556" s="63">
        <v>11</v>
      </c>
      <c r="Q2556" s="63">
        <v>130</v>
      </c>
      <c r="R2556" s="63">
        <v>26</v>
      </c>
      <c r="S2556" s="63">
        <v>4</v>
      </c>
      <c r="T2556" s="63">
        <v>17</v>
      </c>
      <c r="U2556" s="63"/>
      <c r="V2556" s="63"/>
      <c r="W2556" s="63">
        <f>IF(Copyright!B$11=1,IF(CA2556&gt;0,CA2556-SUM(U2556:V2556)-SUM(Y2556:AC2556)-SUM(AE2556:AP2556),SUM(CD2556:CF2556)),SUM(CD2556:CF2556))</f>
        <v>0</v>
      </c>
      <c r="X2556" s="63">
        <v>12</v>
      </c>
      <c r="Y2556" s="63">
        <v>0</v>
      </c>
      <c r="Z2556" s="63"/>
      <c r="AA2556" s="63"/>
      <c r="AB2556" s="63"/>
      <c r="AC2556" s="63"/>
      <c r="AD2556" s="63"/>
      <c r="AE2556" s="63">
        <v>0</v>
      </c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>
        <v>28</v>
      </c>
      <c r="AR2556" s="63"/>
      <c r="AS2556" s="63"/>
      <c r="AT2556" s="63"/>
      <c r="AU2556" s="63"/>
      <c r="AW2556" s="5">
        <f>IF(Q2556&gt;0,RANK(Q2556,(N2556:P2556,Q2556:AE2556)),0)</f>
        <v>3</v>
      </c>
      <c r="AX2556" s="5">
        <f>IF(R2556&gt;0,RANK(R2556,(N2556:P2556,Q2556:AE2556)),0)</f>
        <v>4</v>
      </c>
      <c r="AY2556" s="5">
        <f>IF(T2556&gt;0,RANK(T2556,(N2556:P2556,Q2556:AE2556)),0)</f>
        <v>5</v>
      </c>
      <c r="AZ2556" s="5">
        <f>IF(S2556&gt;0,RANK(S2556,(N2556:P2556,Q2556:AE2556)),0)</f>
        <v>8</v>
      </c>
      <c r="BA2556" s="2">
        <f t="shared" si="1043"/>
        <v>1.6233766233766232E-2</v>
      </c>
      <c r="BB2556" s="2">
        <f t="shared" si="1044"/>
        <v>3.246753246753247E-3</v>
      </c>
      <c r="BC2556" s="2">
        <f t="shared" si="1045"/>
        <v>2.122877122877123E-3</v>
      </c>
      <c r="BD2556" s="2">
        <f t="shared" si="1046"/>
        <v>4.995004995004995E-4</v>
      </c>
      <c r="BF2556" t="s">
        <v>755</v>
      </c>
      <c r="BG2556" t="s">
        <v>18</v>
      </c>
      <c r="BH2556" s="1">
        <v>2</v>
      </c>
      <c r="BJ2556" s="114">
        <v>47</v>
      </c>
      <c r="BK2556" s="116">
        <v>57</v>
      </c>
      <c r="BL2556" s="120">
        <f t="shared" si="1047"/>
        <v>47057</v>
      </c>
      <c r="BN2556" s="5" t="s">
        <v>3154</v>
      </c>
      <c r="CD2556" s="63">
        <v>0</v>
      </c>
      <c r="CE2556" s="63">
        <v>0</v>
      </c>
      <c r="CF2556" s="63">
        <v>0</v>
      </c>
    </row>
    <row r="2557" spans="1:84" hidden="1" outlineLevel="1">
      <c r="A2557" t="s">
        <v>2189</v>
      </c>
      <c r="B2557" t="s">
        <v>18</v>
      </c>
      <c r="C2557" s="1">
        <f t="shared" si="1038"/>
        <v>23583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5</v>
      </c>
      <c r="G2557" s="132">
        <f t="shared" si="1036"/>
        <v>14346</v>
      </c>
      <c r="H2557" s="137">
        <f t="shared" si="1037"/>
        <v>0.60831955221981937</v>
      </c>
      <c r="I2557" s="2"/>
      <c r="J2557" s="2">
        <f t="shared" si="1039"/>
        <v>0.17877284484586353</v>
      </c>
      <c r="K2557" s="2">
        <f t="shared" si="1040"/>
        <v>0.7870923970656829</v>
      </c>
      <c r="L2557" s="2">
        <f t="shared" si="1041"/>
        <v>1.865750752660815E-3</v>
      </c>
      <c r="M2557" s="2">
        <f t="shared" si="1042"/>
        <v>3.226900733579275E-2</v>
      </c>
      <c r="N2557" s="63">
        <v>4216</v>
      </c>
      <c r="O2557" s="63">
        <v>18562</v>
      </c>
      <c r="P2557" s="63">
        <v>44</v>
      </c>
      <c r="Q2557" s="63">
        <v>481</v>
      </c>
      <c r="R2557" s="63">
        <v>152</v>
      </c>
      <c r="S2557" s="63">
        <v>14</v>
      </c>
      <c r="T2557" s="63">
        <v>28</v>
      </c>
      <c r="U2557" s="63"/>
      <c r="V2557" s="63"/>
      <c r="W2557" s="63">
        <f>IF(Copyright!B$11=1,IF(CA2557&gt;0,CA2557-SUM(U2557:V2557)-SUM(Y2557:AC2557)-SUM(AE2557:AP2557),SUM(CD2557:CF2557)),SUM(CD2557:CF2557))</f>
        <v>1</v>
      </c>
      <c r="X2557" s="63">
        <v>29</v>
      </c>
      <c r="Y2557" s="63">
        <v>0</v>
      </c>
      <c r="Z2557" s="63"/>
      <c r="AA2557" s="63"/>
      <c r="AB2557" s="63"/>
      <c r="AC2557" s="63"/>
      <c r="AD2557" s="63"/>
      <c r="AE2557" s="63">
        <v>0</v>
      </c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>
        <v>56</v>
      </c>
      <c r="AR2557" s="63"/>
      <c r="AS2557" s="63"/>
      <c r="AT2557" s="63"/>
      <c r="AU2557" s="63"/>
      <c r="AW2557" s="5">
        <f>IF(Q2557&gt;0,RANK(Q2557,(N2557:P2557,Q2557:AE2557)),0)</f>
        <v>3</v>
      </c>
      <c r="AX2557" s="5">
        <f>IF(R2557&gt;0,RANK(R2557,(N2557:P2557,Q2557:AE2557)),0)</f>
        <v>4</v>
      </c>
      <c r="AY2557" s="5">
        <f>IF(T2557&gt;0,RANK(T2557,(N2557:P2557,Q2557:AE2557)),0)</f>
        <v>7</v>
      </c>
      <c r="AZ2557" s="5">
        <f>IF(S2557&gt;0,RANK(S2557,(N2557:P2557,Q2557:AE2557)),0)</f>
        <v>8</v>
      </c>
      <c r="BA2557" s="2">
        <f t="shared" si="1043"/>
        <v>2.0396048000678454E-2</v>
      </c>
      <c r="BB2557" s="2">
        <f t="shared" si="1044"/>
        <v>6.4453207819191788E-3</v>
      </c>
      <c r="BC2557" s="2">
        <f t="shared" si="1045"/>
        <v>1.1872959335114278E-3</v>
      </c>
      <c r="BD2557" s="2">
        <f t="shared" si="1046"/>
        <v>5.9364796675571388E-4</v>
      </c>
      <c r="BF2557" t="s">
        <v>2189</v>
      </c>
      <c r="BG2557" t="s">
        <v>18</v>
      </c>
      <c r="BH2557" s="1">
        <v>1</v>
      </c>
      <c r="BJ2557" s="114">
        <v>47</v>
      </c>
      <c r="BK2557" s="116">
        <v>59</v>
      </c>
      <c r="BL2557" s="120">
        <f t="shared" si="1047"/>
        <v>47059</v>
      </c>
      <c r="BN2557" s="5" t="s">
        <v>3154</v>
      </c>
      <c r="CD2557" s="63">
        <v>0</v>
      </c>
      <c r="CE2557" s="63">
        <v>1</v>
      </c>
      <c r="CF2557" s="63">
        <v>0</v>
      </c>
    </row>
    <row r="2558" spans="1:84" hidden="1" outlineLevel="1">
      <c r="A2558" t="s">
        <v>648</v>
      </c>
      <c r="B2558" t="s">
        <v>18</v>
      </c>
      <c r="C2558" s="1">
        <f t="shared" si="1038"/>
        <v>4763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7</v>
      </c>
      <c r="G2558" s="132">
        <f t="shared" si="1036"/>
        <v>2637</v>
      </c>
      <c r="H2558" s="137">
        <f t="shared" si="1037"/>
        <v>0.55364266218769687</v>
      </c>
      <c r="I2558" s="2"/>
      <c r="J2558" s="2">
        <f t="shared" si="1039"/>
        <v>0.20974175939533907</v>
      </c>
      <c r="K2558" s="2">
        <f t="shared" si="1040"/>
        <v>0.76338442158303588</v>
      </c>
      <c r="L2558" s="2">
        <f t="shared" si="1041"/>
        <v>4.1990342221289101E-4</v>
      </c>
      <c r="M2558" s="2">
        <f t="shared" si="1042"/>
        <v>2.6453915599412219E-2</v>
      </c>
      <c r="N2558" s="63">
        <v>999</v>
      </c>
      <c r="O2558" s="63">
        <v>3636</v>
      </c>
      <c r="P2558" s="63">
        <v>2</v>
      </c>
      <c r="Q2558" s="63">
        <v>80</v>
      </c>
      <c r="R2558" s="63">
        <v>19</v>
      </c>
      <c r="S2558" s="63">
        <v>0</v>
      </c>
      <c r="T2558" s="63">
        <v>11</v>
      </c>
      <c r="U2558" s="63"/>
      <c r="V2558" s="63"/>
      <c r="W2558" s="63">
        <f>IF(Copyright!B$11=1,IF(CA2558&gt;0,CA2558-SUM(U2558:V2558)-SUM(Y2558:AC2558)-SUM(AE2558:AP2558),SUM(CD2558:CF2558)),SUM(CD2558:CF2558))</f>
        <v>0</v>
      </c>
      <c r="X2558" s="63">
        <v>3</v>
      </c>
      <c r="Y2558" s="63">
        <v>0</v>
      </c>
      <c r="Z2558" s="63"/>
      <c r="AA2558" s="63"/>
      <c r="AB2558" s="63"/>
      <c r="AC2558" s="63"/>
      <c r="AD2558" s="63"/>
      <c r="AE2558" s="63">
        <v>0</v>
      </c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>
        <v>13</v>
      </c>
      <c r="AR2558" s="63"/>
      <c r="AS2558" s="63"/>
      <c r="AT2558" s="63"/>
      <c r="AU2558" s="63"/>
      <c r="AW2558" s="5">
        <f>IF(Q2558&gt;0,RANK(Q2558,(N2558:P2558,Q2558:AE2558)),0)</f>
        <v>3</v>
      </c>
      <c r="AX2558" s="5">
        <f>IF(R2558&gt;0,RANK(R2558,(N2558:P2558,Q2558:AE2558)),0)</f>
        <v>4</v>
      </c>
      <c r="AY2558" s="5">
        <f>IF(T2558&gt;0,RANK(T2558,(N2558:P2558,Q2558:AE2558)),0)</f>
        <v>5</v>
      </c>
      <c r="AZ2558" s="5">
        <f>IF(S2558&gt;0,RANK(S2558,(N2558:P2558,Q2558:AE2558)),0)</f>
        <v>0</v>
      </c>
      <c r="BA2558" s="2">
        <f t="shared" si="1043"/>
        <v>1.6796136888515643E-2</v>
      </c>
      <c r="BB2558" s="2">
        <f t="shared" si="1044"/>
        <v>3.9890825110224645E-3</v>
      </c>
      <c r="BC2558" s="2">
        <f t="shared" si="1045"/>
        <v>2.3094688221709007E-3</v>
      </c>
      <c r="BD2558" s="2">
        <f t="shared" si="1046"/>
        <v>0</v>
      </c>
      <c r="BF2558" t="s">
        <v>648</v>
      </c>
      <c r="BG2558" t="s">
        <v>18</v>
      </c>
      <c r="BH2558" s="1">
        <v>4</v>
      </c>
      <c r="BJ2558" s="114">
        <v>47</v>
      </c>
      <c r="BK2558" s="116">
        <v>61</v>
      </c>
      <c r="BL2558" s="120">
        <f t="shared" si="1047"/>
        <v>47061</v>
      </c>
      <c r="BN2558" s="5" t="s">
        <v>3154</v>
      </c>
      <c r="CD2558" s="63">
        <v>0</v>
      </c>
      <c r="CE2558" s="63">
        <v>0</v>
      </c>
      <c r="CF2558" s="63">
        <v>0</v>
      </c>
    </row>
    <row r="2559" spans="1:84" hidden="1" outlineLevel="1">
      <c r="A2559" t="s">
        <v>515</v>
      </c>
      <c r="B2559" t="s">
        <v>18</v>
      </c>
      <c r="C2559" s="1">
        <f t="shared" si="1038"/>
        <v>20692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5</v>
      </c>
      <c r="G2559" s="132">
        <f t="shared" si="1036"/>
        <v>11782</v>
      </c>
      <c r="H2559" s="137">
        <f t="shared" si="1037"/>
        <v>0.56939880146916688</v>
      </c>
      <c r="I2559" s="2"/>
      <c r="J2559" s="2">
        <f t="shared" si="1039"/>
        <v>0.19693601391842258</v>
      </c>
      <c r="K2559" s="2">
        <f t="shared" si="1040"/>
        <v>0.76633481538758941</v>
      </c>
      <c r="L2559" s="2">
        <f t="shared" si="1041"/>
        <v>4.1078677749855014E-3</v>
      </c>
      <c r="M2559" s="2">
        <f t="shared" si="1042"/>
        <v>3.2621302919002455E-2</v>
      </c>
      <c r="N2559" s="63">
        <v>4075</v>
      </c>
      <c r="O2559" s="63">
        <v>15857</v>
      </c>
      <c r="P2559" s="63">
        <v>85</v>
      </c>
      <c r="Q2559" s="63">
        <v>443</v>
      </c>
      <c r="R2559" s="63">
        <v>93</v>
      </c>
      <c r="S2559" s="63">
        <v>8</v>
      </c>
      <c r="T2559" s="63">
        <v>30</v>
      </c>
      <c r="U2559" s="63"/>
      <c r="V2559" s="63"/>
      <c r="W2559" s="63">
        <f>IF(Copyright!B$11=1,IF(CA2559&gt;0,CA2559-SUM(U2559:V2559)-SUM(Y2559:AC2559)-SUM(AE2559:AP2559),SUM(CD2559:CF2559)),SUM(CD2559:CF2559))</f>
        <v>0</v>
      </c>
      <c r="X2559" s="63">
        <v>27</v>
      </c>
      <c r="Y2559" s="63">
        <v>0</v>
      </c>
      <c r="Z2559" s="63"/>
      <c r="AA2559" s="63"/>
      <c r="AB2559" s="63"/>
      <c r="AC2559" s="63"/>
      <c r="AD2559" s="63"/>
      <c r="AE2559" s="63">
        <v>1</v>
      </c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>
        <v>73</v>
      </c>
      <c r="AR2559" s="63"/>
      <c r="AS2559" s="63"/>
      <c r="AT2559" s="63"/>
      <c r="AU2559" s="63"/>
      <c r="AW2559" s="5">
        <f>IF(Q2559&gt;0,RANK(Q2559,(N2559:P2559,Q2559:AE2559)),0)</f>
        <v>3</v>
      </c>
      <c r="AX2559" s="5">
        <f>IF(R2559&gt;0,RANK(R2559,(N2559:P2559,Q2559:AE2559)),0)</f>
        <v>4</v>
      </c>
      <c r="AY2559" s="5">
        <f>IF(T2559&gt;0,RANK(T2559,(N2559:P2559,Q2559:AE2559)),0)</f>
        <v>6</v>
      </c>
      <c r="AZ2559" s="5">
        <f>IF(S2559&gt;0,RANK(S2559,(N2559:P2559,Q2559:AE2559)),0)</f>
        <v>8</v>
      </c>
      <c r="BA2559" s="2">
        <f t="shared" si="1043"/>
        <v>2.140924028610091E-2</v>
      </c>
      <c r="BB2559" s="2">
        <f t="shared" si="1044"/>
        <v>4.4944906243959016E-3</v>
      </c>
      <c r="BC2559" s="2">
        <f t="shared" si="1045"/>
        <v>1.4498356852890005E-3</v>
      </c>
      <c r="BD2559" s="2">
        <f t="shared" si="1046"/>
        <v>3.8662284941040013E-4</v>
      </c>
      <c r="BF2559" t="s">
        <v>515</v>
      </c>
      <c r="BG2559" t="s">
        <v>18</v>
      </c>
      <c r="BH2559" s="1">
        <v>1</v>
      </c>
      <c r="BJ2559" s="114">
        <v>47</v>
      </c>
      <c r="BK2559" s="116">
        <v>63</v>
      </c>
      <c r="BL2559" s="120">
        <f t="shared" si="1047"/>
        <v>47063</v>
      </c>
      <c r="BN2559" s="5" t="s">
        <v>3154</v>
      </c>
      <c r="CD2559" s="63">
        <v>0</v>
      </c>
      <c r="CE2559" s="63">
        <v>0</v>
      </c>
      <c r="CF2559" s="63">
        <v>0</v>
      </c>
    </row>
    <row r="2560" spans="1:84" hidden="1" outlineLevel="1">
      <c r="A2560" t="s">
        <v>2646</v>
      </c>
      <c r="B2560" t="s">
        <v>18</v>
      </c>
      <c r="C2560" s="1">
        <f t="shared" ref="C2560:C2591" si="1048">SUM(N2560:AU2560)</f>
        <v>142408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5</v>
      </c>
      <c r="G2560" s="132">
        <f t="shared" si="1036"/>
        <v>23417</v>
      </c>
      <c r="H2560" s="137">
        <f t="shared" si="1037"/>
        <v>0.16443598674231785</v>
      </c>
      <c r="I2560" s="2"/>
      <c r="J2560" s="2">
        <f t="shared" ref="J2560:J2591" si="1049">IF($C2560=0,"-",N2560/$C2560)</f>
        <v>0.38843323408797259</v>
      </c>
      <c r="K2560" s="2">
        <f t="shared" ref="K2560:K2591" si="1050">IF($C2560=0,"-",O2560/$C2560)</f>
        <v>0.55286922083029044</v>
      </c>
      <c r="L2560" s="2">
        <f t="shared" ref="L2560:L2591" si="1051">IF($C2560=0,"-",P2560/$C2560)</f>
        <v>7.4293579012415034E-3</v>
      </c>
      <c r="M2560" s="2">
        <f t="shared" ref="M2560:M2591" si="1052">IF(C2560=0,"-",(1-J2560-K2560-L2560))</f>
        <v>5.1268187180495466E-2</v>
      </c>
      <c r="N2560" s="63">
        <v>55316</v>
      </c>
      <c r="O2560" s="63">
        <v>78733</v>
      </c>
      <c r="P2560" s="63">
        <v>1058</v>
      </c>
      <c r="Q2560" s="63">
        <v>5443</v>
      </c>
      <c r="R2560" s="63">
        <v>1098</v>
      </c>
      <c r="S2560" s="63">
        <v>121</v>
      </c>
      <c r="T2560" s="63">
        <v>147</v>
      </c>
      <c r="U2560" s="63"/>
      <c r="V2560" s="63"/>
      <c r="W2560" s="63">
        <f>IF(Copyright!B$11=1,IF(CA2560&gt;0,CA2560-SUM(U2560:V2560)-SUM(Y2560:AC2560)-SUM(AE2560:AP2560),SUM(CD2560:CF2560)),SUM(CD2560:CF2560))</f>
        <v>5</v>
      </c>
      <c r="X2560" s="63">
        <v>138</v>
      </c>
      <c r="Y2560" s="63">
        <v>0</v>
      </c>
      <c r="Z2560" s="63"/>
      <c r="AA2560" s="63"/>
      <c r="AB2560" s="63"/>
      <c r="AC2560" s="63"/>
      <c r="AD2560" s="63"/>
      <c r="AE2560" s="63">
        <v>0</v>
      </c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>
        <v>349</v>
      </c>
      <c r="AR2560" s="63"/>
      <c r="AS2560" s="63"/>
      <c r="AT2560" s="63"/>
      <c r="AU2560" s="63"/>
      <c r="AW2560" s="5">
        <f>IF(Q2560&gt;0,RANK(Q2560,(N2560:P2560,Q2560:AE2560)),0)</f>
        <v>3</v>
      </c>
      <c r="AX2560" s="5">
        <f>IF(R2560&gt;0,RANK(R2560,(N2560:P2560,Q2560:AE2560)),0)</f>
        <v>4</v>
      </c>
      <c r="AY2560" s="5">
        <f>IF(T2560&gt;0,RANK(T2560,(N2560:P2560,Q2560:AE2560)),0)</f>
        <v>6</v>
      </c>
      <c r="AZ2560" s="5">
        <f>IF(S2560&gt;0,RANK(S2560,(N2560:P2560,Q2560:AE2560)),0)</f>
        <v>8</v>
      </c>
      <c r="BA2560" s="2">
        <f t="shared" ref="BA2560:BA2591" si="1053">IF($C2560=0,"-",Q2560/$C2560)</f>
        <v>3.8221167350148869E-2</v>
      </c>
      <c r="BB2560" s="2">
        <f t="shared" ref="BB2560:BB2591" si="1054">IF($C2560=0,"-",R2560/$C2560)</f>
        <v>7.7102409976967587E-3</v>
      </c>
      <c r="BC2560" s="2">
        <f t="shared" ref="BC2560:BC2591" si="1055">IF($C2560=0,"-",T2560/$C2560)</f>
        <v>1.0322453794730632E-3</v>
      </c>
      <c r="BD2560" s="2">
        <f t="shared" ref="BD2560:BD2591" si="1056">IF($C2560=0,"-",S2560/$C2560)</f>
        <v>8.4967136677714737E-4</v>
      </c>
      <c r="BF2560" t="s">
        <v>2646</v>
      </c>
      <c r="BG2560" t="s">
        <v>18</v>
      </c>
      <c r="BH2560" s="1">
        <v>3</v>
      </c>
      <c r="BJ2560" s="114">
        <v>47</v>
      </c>
      <c r="BK2560" s="116">
        <v>65</v>
      </c>
      <c r="BL2560" s="120">
        <f t="shared" si="1047"/>
        <v>47065</v>
      </c>
      <c r="BN2560" s="5" t="s">
        <v>3154</v>
      </c>
      <c r="CD2560" s="63">
        <v>0</v>
      </c>
      <c r="CE2560" s="63">
        <v>3</v>
      </c>
      <c r="CF2560" s="63">
        <v>2</v>
      </c>
    </row>
    <row r="2561" spans="1:84" hidden="1" outlineLevel="1">
      <c r="A2561" t="s">
        <v>597</v>
      </c>
      <c r="B2561" t="s">
        <v>18</v>
      </c>
      <c r="C2561" s="1">
        <f t="shared" si="1048"/>
        <v>2231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6</v>
      </c>
      <c r="G2561" s="132">
        <f t="shared" si="1036"/>
        <v>1521</v>
      </c>
      <c r="H2561" s="137">
        <f t="shared" si="1037"/>
        <v>0.6817570596145226</v>
      </c>
      <c r="I2561" s="2"/>
      <c r="J2561" s="2">
        <f t="shared" si="1049"/>
        <v>0.14432989690721648</v>
      </c>
      <c r="K2561" s="2">
        <f t="shared" si="1050"/>
        <v>0.82608695652173914</v>
      </c>
      <c r="L2561" s="2">
        <f t="shared" si="1051"/>
        <v>4.4822949350067237E-4</v>
      </c>
      <c r="M2561" s="2">
        <f t="shared" si="1052"/>
        <v>2.9134917077543766E-2</v>
      </c>
      <c r="N2561" s="63">
        <v>322</v>
      </c>
      <c r="O2561" s="63">
        <v>1843</v>
      </c>
      <c r="P2561" s="63">
        <v>1</v>
      </c>
      <c r="Q2561" s="63">
        <v>42</v>
      </c>
      <c r="R2561" s="63">
        <v>13</v>
      </c>
      <c r="S2561" s="63">
        <v>0</v>
      </c>
      <c r="T2561" s="63">
        <v>4</v>
      </c>
      <c r="U2561" s="63"/>
      <c r="V2561" s="63"/>
      <c r="W2561" s="63">
        <f>IF(Copyright!B$11=1,IF(CA2561&gt;0,CA2561-SUM(U2561:V2561)-SUM(Y2561:AC2561)-SUM(AE2561:AP2561),SUM(CD2561:CF2561)),SUM(CD2561:CF2561))</f>
        <v>0</v>
      </c>
      <c r="X2561" s="63">
        <v>1</v>
      </c>
      <c r="Y2561" s="63">
        <v>0</v>
      </c>
      <c r="Z2561" s="63"/>
      <c r="AA2561" s="63"/>
      <c r="AB2561" s="63"/>
      <c r="AC2561" s="63"/>
      <c r="AD2561" s="63"/>
      <c r="AE2561" s="63">
        <v>0</v>
      </c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>
        <v>5</v>
      </c>
      <c r="AR2561" s="63"/>
      <c r="AS2561" s="63"/>
      <c r="AT2561" s="63"/>
      <c r="AU2561" s="63"/>
      <c r="AW2561" s="5">
        <f>IF(Q2561&gt;0,RANK(Q2561,(N2561:P2561,Q2561:AE2561)),0)</f>
        <v>3</v>
      </c>
      <c r="AX2561" s="5">
        <f>IF(R2561&gt;0,RANK(R2561,(N2561:P2561,Q2561:AE2561)),0)</f>
        <v>4</v>
      </c>
      <c r="AY2561" s="5">
        <f>IF(T2561&gt;0,RANK(T2561,(N2561:P2561,Q2561:AE2561)),0)</f>
        <v>5</v>
      </c>
      <c r="AZ2561" s="5">
        <f>IF(S2561&gt;0,RANK(S2561,(N2561:P2561,Q2561:AE2561)),0)</f>
        <v>0</v>
      </c>
      <c r="BA2561" s="2">
        <f t="shared" si="1053"/>
        <v>1.8825638727028238E-2</v>
      </c>
      <c r="BB2561" s="2">
        <f t="shared" si="1054"/>
        <v>5.8269834155087403E-3</v>
      </c>
      <c r="BC2561" s="2">
        <f t="shared" si="1055"/>
        <v>1.7929179740026895E-3</v>
      </c>
      <c r="BD2561" s="2">
        <f t="shared" si="1056"/>
        <v>0</v>
      </c>
      <c r="BF2561" t="s">
        <v>597</v>
      </c>
      <c r="BG2561" t="s">
        <v>18</v>
      </c>
      <c r="BH2561" s="1">
        <v>1</v>
      </c>
      <c r="BJ2561" s="114">
        <v>47</v>
      </c>
      <c r="BK2561" s="116">
        <v>67</v>
      </c>
      <c r="BL2561" s="120">
        <f t="shared" si="1047"/>
        <v>47067</v>
      </c>
      <c r="BN2561" s="5" t="s">
        <v>3154</v>
      </c>
      <c r="CD2561" s="63">
        <v>0</v>
      </c>
      <c r="CE2561" s="63">
        <v>0</v>
      </c>
      <c r="CF2561" s="63">
        <v>0</v>
      </c>
    </row>
    <row r="2562" spans="1:84" hidden="1" outlineLevel="1">
      <c r="A2562" t="s">
        <v>588</v>
      </c>
      <c r="B2562" t="s">
        <v>18</v>
      </c>
      <c r="C2562" s="1">
        <f t="shared" si="1048"/>
        <v>9273</v>
      </c>
      <c r="D2562" s="5">
        <f>IF(N2562&gt;0, RANK(N2562,(N2562:P2562,Q2562:AE2562)),0)</f>
        <v>2</v>
      </c>
      <c r="E2562" s="5">
        <f>IF(O2562&gt;0,RANK(O2562,(N2562:P2562,Q2562:AE2562)),0)</f>
        <v>1</v>
      </c>
      <c r="F2562" s="5">
        <f>IF(P2562&gt;0,RANK(P2562,(N2562:P2562,Q2562:AE2562)),0)</f>
        <v>8</v>
      </c>
      <c r="G2562" s="132">
        <f t="shared" si="1036"/>
        <v>734</v>
      </c>
      <c r="H2562" s="137">
        <f t="shared" si="1037"/>
        <v>7.9154534670548907E-2</v>
      </c>
      <c r="I2562" s="2"/>
      <c r="J2562" s="2">
        <f t="shared" si="1049"/>
        <v>0.45131025558071819</v>
      </c>
      <c r="K2562" s="2">
        <f t="shared" si="1050"/>
        <v>0.53046479025126714</v>
      </c>
      <c r="L2562" s="2">
        <f t="shared" si="1051"/>
        <v>4.3135986196484415E-4</v>
      </c>
      <c r="M2562" s="2">
        <f t="shared" si="1052"/>
        <v>1.7793594306049775E-2</v>
      </c>
      <c r="N2562" s="63">
        <v>4185</v>
      </c>
      <c r="O2562" s="63">
        <v>4919</v>
      </c>
      <c r="P2562" s="63">
        <v>4</v>
      </c>
      <c r="Q2562" s="63">
        <v>84</v>
      </c>
      <c r="R2562" s="63">
        <v>30</v>
      </c>
      <c r="S2562" s="63">
        <v>9</v>
      </c>
      <c r="T2562" s="63">
        <v>18</v>
      </c>
      <c r="U2562" s="63"/>
      <c r="V2562" s="63"/>
      <c r="W2562" s="63">
        <f>IF(Copyright!B$11=1,IF(CA2562&gt;0,CA2562-SUM(U2562:V2562)-SUM(Y2562:AC2562)-SUM(AE2562:AP2562),SUM(CD2562:CF2562)),SUM(CD2562:CF2562))</f>
        <v>0</v>
      </c>
      <c r="X2562" s="63">
        <v>11</v>
      </c>
      <c r="Y2562" s="63">
        <v>0</v>
      </c>
      <c r="Z2562" s="63"/>
      <c r="AA2562" s="63"/>
      <c r="AB2562" s="63"/>
      <c r="AC2562" s="63"/>
      <c r="AD2562" s="63"/>
      <c r="AE2562" s="63">
        <v>0</v>
      </c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>
        <v>13</v>
      </c>
      <c r="AR2562" s="63"/>
      <c r="AS2562" s="63"/>
      <c r="AT2562" s="63"/>
      <c r="AU2562" s="63"/>
      <c r="AW2562" s="5">
        <f>IF(Q2562&gt;0,RANK(Q2562,(N2562:P2562,Q2562:AE2562)),0)</f>
        <v>3</v>
      </c>
      <c r="AX2562" s="5">
        <f>IF(R2562&gt;0,RANK(R2562,(N2562:P2562,Q2562:AE2562)),0)</f>
        <v>4</v>
      </c>
      <c r="AY2562" s="5">
        <f>IF(T2562&gt;0,RANK(T2562,(N2562:P2562,Q2562:AE2562)),0)</f>
        <v>5</v>
      </c>
      <c r="AZ2562" s="5">
        <f>IF(S2562&gt;0,RANK(S2562,(N2562:P2562,Q2562:AE2562)),0)</f>
        <v>7</v>
      </c>
      <c r="BA2562" s="2">
        <f t="shared" si="1053"/>
        <v>9.0585571012617282E-3</v>
      </c>
      <c r="BB2562" s="2">
        <f t="shared" si="1054"/>
        <v>3.2351989647363311E-3</v>
      </c>
      <c r="BC2562" s="2">
        <f t="shared" si="1055"/>
        <v>1.9411193788417987E-3</v>
      </c>
      <c r="BD2562" s="2">
        <f t="shared" si="1056"/>
        <v>9.7055968942089935E-4</v>
      </c>
      <c r="BF2562" t="s">
        <v>588</v>
      </c>
      <c r="BG2562" t="s">
        <v>18</v>
      </c>
      <c r="BH2562" s="1">
        <v>7</v>
      </c>
      <c r="BJ2562" s="114">
        <v>47</v>
      </c>
      <c r="BK2562" s="116">
        <v>69</v>
      </c>
      <c r="BL2562" s="120">
        <f t="shared" si="1047"/>
        <v>47069</v>
      </c>
      <c r="BN2562" s="5" t="s">
        <v>3154</v>
      </c>
      <c r="CD2562" s="63">
        <v>0</v>
      </c>
      <c r="CE2562" s="63">
        <v>0</v>
      </c>
      <c r="CF2562" s="63">
        <v>0</v>
      </c>
    </row>
    <row r="2563" spans="1:84" hidden="1" outlineLevel="1">
      <c r="A2563" t="s">
        <v>1648</v>
      </c>
      <c r="B2563" t="s">
        <v>18</v>
      </c>
      <c r="C2563" s="1">
        <f t="shared" si="1048"/>
        <v>9949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32">
        <f t="shared" si="1036"/>
        <v>6390</v>
      </c>
      <c r="H2563" s="137">
        <f t="shared" si="1037"/>
        <v>0.64227560558850139</v>
      </c>
      <c r="I2563" s="2"/>
      <c r="J2563" s="2">
        <f t="shared" si="1049"/>
        <v>0.16303146044828626</v>
      </c>
      <c r="K2563" s="2">
        <f t="shared" si="1050"/>
        <v>0.80530706603678759</v>
      </c>
      <c r="L2563" s="2">
        <f t="shared" si="1051"/>
        <v>0</v>
      </c>
      <c r="M2563" s="2">
        <f t="shared" si="1052"/>
        <v>3.1661473514926097E-2</v>
      </c>
      <c r="N2563" s="63">
        <v>1622</v>
      </c>
      <c r="O2563" s="63">
        <v>8012</v>
      </c>
      <c r="P2563" s="63">
        <v>0</v>
      </c>
      <c r="Q2563" s="63">
        <v>134</v>
      </c>
      <c r="R2563" s="63">
        <v>96</v>
      </c>
      <c r="S2563" s="63">
        <v>0</v>
      </c>
      <c r="T2563" s="63">
        <v>15</v>
      </c>
      <c r="U2563" s="63"/>
      <c r="V2563" s="63"/>
      <c r="W2563" s="63">
        <f>IF(Copyright!B$11=1,IF(CA2563&gt;0,CA2563-SUM(U2563:V2563)-SUM(Y2563:AC2563)-SUM(AE2563:AP2563),SUM(CD2563:CF2563)),SUM(CD2563:CF2563))</f>
        <v>0</v>
      </c>
      <c r="X2563" s="63">
        <v>22</v>
      </c>
      <c r="Y2563" s="63">
        <v>0</v>
      </c>
      <c r="Z2563" s="63"/>
      <c r="AA2563" s="63"/>
      <c r="AB2563" s="63"/>
      <c r="AC2563" s="63"/>
      <c r="AD2563" s="63"/>
      <c r="AE2563" s="63">
        <v>0</v>
      </c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>
        <v>48</v>
      </c>
      <c r="AR2563" s="63"/>
      <c r="AS2563" s="63"/>
      <c r="AT2563" s="63"/>
      <c r="AU2563" s="63"/>
      <c r="AW2563" s="5">
        <f>IF(Q2563&gt;0,RANK(Q2563,(N2563:P2563,Q2563:AE2563)),0)</f>
        <v>3</v>
      </c>
      <c r="AX2563" s="5">
        <f>IF(R2563&gt;0,RANK(R2563,(N2563:P2563,Q2563:AE2563)),0)</f>
        <v>4</v>
      </c>
      <c r="AY2563" s="5">
        <f>IF(T2563&gt;0,RANK(T2563,(N2563:P2563,Q2563:AE2563)),0)</f>
        <v>6</v>
      </c>
      <c r="AZ2563" s="5">
        <f>IF(S2563&gt;0,RANK(S2563,(N2563:P2563,Q2563:AE2563)),0)</f>
        <v>0</v>
      </c>
      <c r="BA2563" s="2">
        <f t="shared" si="1053"/>
        <v>1.3468690320635239E-2</v>
      </c>
      <c r="BB2563" s="2">
        <f t="shared" si="1054"/>
        <v>9.6492109759774847E-3</v>
      </c>
      <c r="BC2563" s="2">
        <f t="shared" si="1055"/>
        <v>1.507689214996482E-3</v>
      </c>
      <c r="BD2563" s="2">
        <f t="shared" si="1056"/>
        <v>0</v>
      </c>
      <c r="BF2563" t="s">
        <v>1648</v>
      </c>
      <c r="BG2563" t="s">
        <v>18</v>
      </c>
      <c r="BH2563" s="1">
        <v>7</v>
      </c>
      <c r="BJ2563" s="114">
        <v>47</v>
      </c>
      <c r="BK2563" s="116">
        <v>71</v>
      </c>
      <c r="BL2563" s="120">
        <f t="shared" si="1047"/>
        <v>47071</v>
      </c>
      <c r="BN2563" s="5" t="s">
        <v>3154</v>
      </c>
      <c r="CD2563" s="63">
        <v>0</v>
      </c>
      <c r="CE2563" s="63">
        <v>0</v>
      </c>
      <c r="CF2563" s="63">
        <v>0</v>
      </c>
    </row>
    <row r="2564" spans="1:84" hidden="1" outlineLevel="1">
      <c r="A2564" t="s">
        <v>1833</v>
      </c>
      <c r="B2564" t="s">
        <v>18</v>
      </c>
      <c r="C2564" s="1">
        <f t="shared" si="1048"/>
        <v>20774</v>
      </c>
      <c r="D2564" s="5">
        <f>IF(N2564&gt;0, RANK(N2564,(N2564:P2564,Q2564:AE2564)),0)</f>
        <v>2</v>
      </c>
      <c r="E2564" s="5">
        <f>IF(O2564&gt;0,RANK(O2564,(N2564:P2564,Q2564:AE2564)),0)</f>
        <v>1</v>
      </c>
      <c r="F2564" s="5">
        <f>IF(P2564&gt;0,RANK(P2564,(N2564:P2564,Q2564:AE2564)),0)</f>
        <v>6</v>
      </c>
      <c r="G2564" s="132">
        <f t="shared" si="1036"/>
        <v>13141</v>
      </c>
      <c r="H2564" s="137">
        <f t="shared" si="1037"/>
        <v>0.63256955810147297</v>
      </c>
      <c r="I2564" s="2"/>
      <c r="J2564" s="2">
        <f t="shared" si="1049"/>
        <v>0.1688167902185424</v>
      </c>
      <c r="K2564" s="2">
        <f t="shared" si="1050"/>
        <v>0.80138634832001543</v>
      </c>
      <c r="L2564" s="2">
        <f t="shared" si="1051"/>
        <v>1.2515644555694619E-3</v>
      </c>
      <c r="M2564" s="2">
        <f t="shared" si="1052"/>
        <v>2.8545297005872654E-2</v>
      </c>
      <c r="N2564" s="63">
        <v>3507</v>
      </c>
      <c r="O2564" s="63">
        <v>16648</v>
      </c>
      <c r="P2564" s="63">
        <v>26</v>
      </c>
      <c r="Q2564" s="63">
        <v>397</v>
      </c>
      <c r="R2564" s="63">
        <v>91</v>
      </c>
      <c r="S2564" s="63">
        <v>7</v>
      </c>
      <c r="T2564" s="63">
        <v>31</v>
      </c>
      <c r="U2564" s="63"/>
      <c r="V2564" s="63"/>
      <c r="W2564" s="63">
        <f>IF(Copyright!B$11=1,IF(CA2564&gt;0,CA2564-SUM(U2564:V2564)-SUM(Y2564:AC2564)-SUM(AE2564:AP2564),SUM(CD2564:CF2564)),SUM(CD2564:CF2564))</f>
        <v>0</v>
      </c>
      <c r="X2564" s="63">
        <v>12</v>
      </c>
      <c r="Y2564" s="63">
        <v>3</v>
      </c>
      <c r="Z2564" s="63"/>
      <c r="AA2564" s="63"/>
      <c r="AB2564" s="63"/>
      <c r="AC2564" s="63"/>
      <c r="AD2564" s="63"/>
      <c r="AE2564" s="63">
        <v>0</v>
      </c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>
        <v>52</v>
      </c>
      <c r="AR2564" s="63"/>
      <c r="AS2564" s="63"/>
      <c r="AT2564" s="63"/>
      <c r="AU2564" s="63"/>
      <c r="AW2564" s="5">
        <f>IF(Q2564&gt;0,RANK(Q2564,(N2564:P2564,Q2564:AE2564)),0)</f>
        <v>3</v>
      </c>
      <c r="AX2564" s="5">
        <f>IF(R2564&gt;0,RANK(R2564,(N2564:P2564,Q2564:AE2564)),0)</f>
        <v>4</v>
      </c>
      <c r="AY2564" s="5">
        <f>IF(T2564&gt;0,RANK(T2564,(N2564:P2564,Q2564:AE2564)),0)</f>
        <v>5</v>
      </c>
      <c r="AZ2564" s="5">
        <f>IF(S2564&gt;0,RANK(S2564,(N2564:P2564,Q2564:AE2564)),0)</f>
        <v>8</v>
      </c>
      <c r="BA2564" s="2">
        <f t="shared" si="1053"/>
        <v>1.9110426494656784E-2</v>
      </c>
      <c r="BB2564" s="2">
        <f t="shared" si="1054"/>
        <v>4.3804755944931162E-3</v>
      </c>
      <c r="BC2564" s="2">
        <f t="shared" si="1055"/>
        <v>1.4922499277943582E-3</v>
      </c>
      <c r="BD2564" s="2">
        <f t="shared" si="1056"/>
        <v>3.3695966111485509E-4</v>
      </c>
      <c r="BF2564" t="s">
        <v>1833</v>
      </c>
      <c r="BG2564" t="s">
        <v>18</v>
      </c>
      <c r="BH2564" s="1">
        <v>1</v>
      </c>
      <c r="BJ2564" s="114">
        <v>47</v>
      </c>
      <c r="BK2564" s="116">
        <v>73</v>
      </c>
      <c r="BL2564" s="120">
        <f t="shared" si="1047"/>
        <v>47073</v>
      </c>
      <c r="BN2564" s="5" t="s">
        <v>3154</v>
      </c>
      <c r="CA2564" s="133"/>
      <c r="CD2564" s="63">
        <v>0</v>
      </c>
      <c r="CE2564" s="63">
        <v>0</v>
      </c>
      <c r="CF2564" s="63">
        <v>0</v>
      </c>
    </row>
    <row r="2565" spans="1:84" hidden="1" outlineLevel="1">
      <c r="A2565" t="s">
        <v>109</v>
      </c>
      <c r="B2565" t="s">
        <v>18</v>
      </c>
      <c r="C2565" s="1">
        <f t="shared" si="1048"/>
        <v>6834</v>
      </c>
      <c r="D2565" s="5">
        <f>IF(N2565&gt;0, RANK(N2565,(N2565:P2565,Q2565:AE2565)),0)</f>
        <v>1</v>
      </c>
      <c r="E2565" s="5">
        <f>IF(O2565&gt;0,RANK(O2565,(N2565:P2565,Q2565:AE2565)),0)</f>
        <v>2</v>
      </c>
      <c r="F2565" s="5">
        <f>IF(P2565&gt;0,RANK(P2565,(N2565:P2565,Q2565:AE2565)),0)</f>
        <v>0</v>
      </c>
      <c r="G2565" s="132">
        <f t="shared" si="1036"/>
        <v>698</v>
      </c>
      <c r="H2565" s="137">
        <f t="shared" si="1037"/>
        <v>0.10213637693883523</v>
      </c>
      <c r="I2565" s="2"/>
      <c r="J2565" s="2">
        <f t="shared" si="1049"/>
        <v>0.54302019315188765</v>
      </c>
      <c r="K2565" s="2">
        <f t="shared" si="1050"/>
        <v>0.44088381621305239</v>
      </c>
      <c r="L2565" s="2">
        <f t="shared" si="1051"/>
        <v>0</v>
      </c>
      <c r="M2565" s="2">
        <f t="shared" si="1052"/>
        <v>1.6095990635059954E-2</v>
      </c>
      <c r="N2565" s="63">
        <v>3711</v>
      </c>
      <c r="O2565" s="63">
        <v>3013</v>
      </c>
      <c r="P2565" s="63">
        <v>0</v>
      </c>
      <c r="Q2565" s="63">
        <v>60</v>
      </c>
      <c r="R2565" s="63">
        <v>19</v>
      </c>
      <c r="S2565" s="63">
        <v>0</v>
      </c>
      <c r="T2565" s="63">
        <v>11</v>
      </c>
      <c r="U2565" s="63"/>
      <c r="V2565" s="63"/>
      <c r="W2565" s="63">
        <f>IF(Copyright!B$11=1,IF(CA2565&gt;0,CA2565-SUM(U2565:V2565)-SUM(Y2565:AC2565)-SUM(AE2565:AP2565),SUM(CD2565:CF2565)),SUM(CD2565:CF2565))</f>
        <v>0</v>
      </c>
      <c r="X2565" s="63">
        <v>10</v>
      </c>
      <c r="Y2565" s="63">
        <v>0</v>
      </c>
      <c r="Z2565" s="63"/>
      <c r="AA2565" s="63"/>
      <c r="AB2565" s="63"/>
      <c r="AC2565" s="63"/>
      <c r="AD2565" s="63"/>
      <c r="AE2565" s="63">
        <v>0</v>
      </c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>
        <v>10</v>
      </c>
      <c r="AR2565" s="63"/>
      <c r="AS2565" s="63"/>
      <c r="AT2565" s="63"/>
      <c r="AU2565" s="63"/>
      <c r="AW2565" s="5">
        <f>IF(Q2565&gt;0,RANK(Q2565,(N2565:P2565,Q2565:AE2565)),0)</f>
        <v>3</v>
      </c>
      <c r="AX2565" s="5">
        <f>IF(R2565&gt;0,RANK(R2565,(N2565:P2565,Q2565:AE2565)),0)</f>
        <v>4</v>
      </c>
      <c r="AY2565" s="5">
        <f>IF(T2565&gt;0,RANK(T2565,(N2565:P2565,Q2565:AE2565)),0)</f>
        <v>5</v>
      </c>
      <c r="AZ2565" s="5">
        <f>IF(S2565&gt;0,RANK(S2565,(N2565:P2565,Q2565:AE2565)),0)</f>
        <v>0</v>
      </c>
      <c r="BA2565" s="2">
        <f t="shared" si="1053"/>
        <v>8.7796312554872698E-3</v>
      </c>
      <c r="BB2565" s="2">
        <f t="shared" si="1054"/>
        <v>2.7802165642376352E-3</v>
      </c>
      <c r="BC2565" s="2">
        <f t="shared" si="1055"/>
        <v>1.6095990635059995E-3</v>
      </c>
      <c r="BD2565" s="2">
        <f t="shared" si="1056"/>
        <v>0</v>
      </c>
      <c r="BF2565" t="s">
        <v>109</v>
      </c>
      <c r="BG2565" t="s">
        <v>18</v>
      </c>
      <c r="BH2565" s="1">
        <v>8</v>
      </c>
      <c r="BJ2565" s="114">
        <v>47</v>
      </c>
      <c r="BK2565" s="116">
        <v>75</v>
      </c>
      <c r="BL2565" s="120">
        <f t="shared" si="1047"/>
        <v>47075</v>
      </c>
      <c r="BN2565" s="5" t="s">
        <v>3154</v>
      </c>
      <c r="CD2565" s="63">
        <v>0</v>
      </c>
      <c r="CE2565" s="63">
        <v>0</v>
      </c>
      <c r="CF2565" s="63">
        <v>0</v>
      </c>
    </row>
    <row r="2566" spans="1:84" hidden="1" outlineLevel="1">
      <c r="A2566" t="s">
        <v>954</v>
      </c>
      <c r="B2566" t="s">
        <v>18</v>
      </c>
      <c r="C2566" s="1">
        <f t="shared" si="1048"/>
        <v>10217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5</v>
      </c>
      <c r="G2566" s="132">
        <f t="shared" si="1036"/>
        <v>6338</v>
      </c>
      <c r="H2566" s="137">
        <f t="shared" si="1037"/>
        <v>0.62033865126749532</v>
      </c>
      <c r="I2566" s="2"/>
      <c r="J2566" s="2">
        <f t="shared" si="1049"/>
        <v>0.17617695996867966</v>
      </c>
      <c r="K2566" s="2">
        <f t="shared" si="1050"/>
        <v>0.79651561123617498</v>
      </c>
      <c r="L2566" s="2">
        <f t="shared" si="1051"/>
        <v>1.7617695996867966E-3</v>
      </c>
      <c r="M2566" s="2">
        <f t="shared" si="1052"/>
        <v>2.5545659195458564E-2</v>
      </c>
      <c r="N2566" s="63">
        <v>1800</v>
      </c>
      <c r="O2566" s="63">
        <v>8138</v>
      </c>
      <c r="P2566" s="63">
        <v>18</v>
      </c>
      <c r="Q2566" s="63">
        <v>172</v>
      </c>
      <c r="R2566" s="63">
        <v>39</v>
      </c>
      <c r="S2566" s="63">
        <v>1</v>
      </c>
      <c r="T2566" s="63">
        <v>13</v>
      </c>
      <c r="U2566" s="63"/>
      <c r="V2566" s="63"/>
      <c r="W2566" s="63">
        <f>IF(Copyright!B$11=1,IF(CA2566&gt;0,CA2566-SUM(U2566:V2566)-SUM(Y2566:AC2566)-SUM(AE2566:AP2566),SUM(CD2566:CF2566)),SUM(CD2566:CF2566))</f>
        <v>0</v>
      </c>
      <c r="X2566" s="63">
        <v>9</v>
      </c>
      <c r="Y2566" s="63">
        <v>0</v>
      </c>
      <c r="Z2566" s="63"/>
      <c r="AA2566" s="63"/>
      <c r="AB2566" s="63"/>
      <c r="AC2566" s="63"/>
      <c r="AD2566" s="63"/>
      <c r="AE2566" s="63">
        <v>0</v>
      </c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>
        <v>27</v>
      </c>
      <c r="AR2566" s="63"/>
      <c r="AS2566" s="63"/>
      <c r="AT2566" s="63"/>
      <c r="AU2566" s="63"/>
      <c r="AW2566" s="5">
        <f>IF(Q2566&gt;0,RANK(Q2566,(N2566:P2566,Q2566:AE2566)),0)</f>
        <v>3</v>
      </c>
      <c r="AX2566" s="5">
        <f>IF(R2566&gt;0,RANK(R2566,(N2566:P2566,Q2566:AE2566)),0)</f>
        <v>4</v>
      </c>
      <c r="AY2566" s="5">
        <f>IF(T2566&gt;0,RANK(T2566,(N2566:P2566,Q2566:AE2566)),0)</f>
        <v>6</v>
      </c>
      <c r="AZ2566" s="5">
        <f>IF(S2566&gt;0,RANK(S2566,(N2566:P2566,Q2566:AE2566)),0)</f>
        <v>8</v>
      </c>
      <c r="BA2566" s="2">
        <f t="shared" si="1053"/>
        <v>1.6834687285896054E-2</v>
      </c>
      <c r="BB2566" s="2">
        <f t="shared" si="1054"/>
        <v>3.8171674659880591E-3</v>
      </c>
      <c r="BC2566" s="2">
        <f t="shared" si="1055"/>
        <v>1.272389155329353E-3</v>
      </c>
      <c r="BD2566" s="2">
        <f t="shared" si="1056"/>
        <v>9.7876088871488696E-5</v>
      </c>
      <c r="BF2566" t="s">
        <v>954</v>
      </c>
      <c r="BG2566" t="s">
        <v>18</v>
      </c>
      <c r="BH2566" s="1">
        <v>7</v>
      </c>
      <c r="BJ2566" s="114">
        <v>47</v>
      </c>
      <c r="BK2566" s="116">
        <v>77</v>
      </c>
      <c r="BL2566" s="120">
        <f t="shared" si="1047"/>
        <v>47077</v>
      </c>
      <c r="BN2566" s="5" t="s">
        <v>3154</v>
      </c>
      <c r="CD2566" s="63">
        <v>0</v>
      </c>
      <c r="CE2566" s="63">
        <v>0</v>
      </c>
      <c r="CF2566" s="63">
        <v>0</v>
      </c>
    </row>
    <row r="2567" spans="1:84" hidden="1" outlineLevel="1">
      <c r="A2567" t="s">
        <v>3123</v>
      </c>
      <c r="B2567" t="s">
        <v>18</v>
      </c>
      <c r="C2567" s="1">
        <f t="shared" si="1048"/>
        <v>12945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5</v>
      </c>
      <c r="G2567" s="132">
        <f t="shared" si="1036"/>
        <v>6445</v>
      </c>
      <c r="H2567" s="137">
        <f t="shared" si="1037"/>
        <v>0.49787562765546545</v>
      </c>
      <c r="I2567" s="2"/>
      <c r="J2567" s="2">
        <f t="shared" si="1049"/>
        <v>0.23661645422943223</v>
      </c>
      <c r="K2567" s="2">
        <f t="shared" si="1050"/>
        <v>0.73449208188489767</v>
      </c>
      <c r="L2567" s="2">
        <f t="shared" si="1051"/>
        <v>2.0857473928157589E-3</v>
      </c>
      <c r="M2567" s="2">
        <f t="shared" si="1052"/>
        <v>2.6805716492854341E-2</v>
      </c>
      <c r="N2567" s="63">
        <v>3063</v>
      </c>
      <c r="O2567" s="63">
        <v>9508</v>
      </c>
      <c r="P2567" s="63">
        <v>27</v>
      </c>
      <c r="Q2567" s="63">
        <v>223</v>
      </c>
      <c r="R2567" s="63">
        <v>60</v>
      </c>
      <c r="S2567" s="63">
        <v>4</v>
      </c>
      <c r="T2567" s="63">
        <v>18</v>
      </c>
      <c r="U2567" s="63"/>
      <c r="V2567" s="63"/>
      <c r="W2567" s="63">
        <f>IF(Copyright!B$11=1,IF(CA2567&gt;0,CA2567-SUM(U2567:V2567)-SUM(Y2567:AC2567)-SUM(AE2567:AP2567),SUM(CD2567:CF2567)),SUM(CD2567:CF2567))</f>
        <v>0</v>
      </c>
      <c r="X2567" s="63">
        <v>15</v>
      </c>
      <c r="Y2567" s="63">
        <v>0</v>
      </c>
      <c r="Z2567" s="63"/>
      <c r="AA2567" s="63"/>
      <c r="AB2567" s="63"/>
      <c r="AC2567" s="63"/>
      <c r="AD2567" s="63"/>
      <c r="AE2567" s="63">
        <v>0</v>
      </c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>
        <v>27</v>
      </c>
      <c r="AR2567" s="63"/>
      <c r="AS2567" s="63"/>
      <c r="AT2567" s="63"/>
      <c r="AU2567" s="63"/>
      <c r="AW2567" s="5">
        <f>IF(Q2567&gt;0,RANK(Q2567,(N2567:P2567,Q2567:AE2567)),0)</f>
        <v>3</v>
      </c>
      <c r="AX2567" s="5">
        <f>IF(R2567&gt;0,RANK(R2567,(N2567:P2567,Q2567:AE2567)),0)</f>
        <v>4</v>
      </c>
      <c r="AY2567" s="5">
        <f>IF(T2567&gt;0,RANK(T2567,(N2567:P2567,Q2567:AE2567)),0)</f>
        <v>6</v>
      </c>
      <c r="AZ2567" s="5">
        <f>IF(S2567&gt;0,RANK(S2567,(N2567:P2567,Q2567:AE2567)),0)</f>
        <v>8</v>
      </c>
      <c r="BA2567" s="2">
        <f t="shared" si="1053"/>
        <v>1.7226728466589417E-2</v>
      </c>
      <c r="BB2567" s="2">
        <f t="shared" si="1054"/>
        <v>4.6349942062572421E-3</v>
      </c>
      <c r="BC2567" s="2">
        <f t="shared" si="1055"/>
        <v>1.3904982618771727E-3</v>
      </c>
      <c r="BD2567" s="2">
        <f t="shared" si="1056"/>
        <v>3.089996137504828E-4</v>
      </c>
      <c r="BF2567" t="s">
        <v>3123</v>
      </c>
      <c r="BG2567" t="s">
        <v>18</v>
      </c>
      <c r="BH2567" s="1">
        <v>8</v>
      </c>
      <c r="BJ2567" s="114">
        <v>47</v>
      </c>
      <c r="BK2567" s="116">
        <v>79</v>
      </c>
      <c r="BL2567" s="120">
        <f t="shared" si="1047"/>
        <v>47079</v>
      </c>
      <c r="BN2567" s="5" t="s">
        <v>3154</v>
      </c>
      <c r="CD2567" s="63">
        <v>0</v>
      </c>
      <c r="CE2567" s="63">
        <v>0</v>
      </c>
      <c r="CF2567" s="63">
        <v>0</v>
      </c>
    </row>
    <row r="2568" spans="1:84" hidden="1" outlineLevel="1">
      <c r="A2568" t="s">
        <v>443</v>
      </c>
      <c r="B2568" t="s">
        <v>18</v>
      </c>
      <c r="C2568" s="1">
        <f t="shared" si="1048"/>
        <v>7813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5</v>
      </c>
      <c r="G2568" s="132">
        <f t="shared" si="1036"/>
        <v>3871</v>
      </c>
      <c r="H2568" s="137">
        <f t="shared" si="1037"/>
        <v>0.49545629079738895</v>
      </c>
      <c r="I2568" s="2"/>
      <c r="J2568" s="2">
        <f t="shared" si="1049"/>
        <v>0.2334570587482401</v>
      </c>
      <c r="K2568" s="2">
        <f t="shared" si="1050"/>
        <v>0.72891334954562903</v>
      </c>
      <c r="L2568" s="2">
        <f t="shared" si="1051"/>
        <v>2.815819787533598E-3</v>
      </c>
      <c r="M2568" s="2">
        <f t="shared" si="1052"/>
        <v>3.4813771918597296E-2</v>
      </c>
      <c r="N2568" s="63">
        <v>1824</v>
      </c>
      <c r="O2568" s="63">
        <v>5695</v>
      </c>
      <c r="P2568" s="63">
        <v>22</v>
      </c>
      <c r="Q2568" s="63">
        <v>161</v>
      </c>
      <c r="R2568" s="63">
        <v>39</v>
      </c>
      <c r="S2568" s="63">
        <v>18</v>
      </c>
      <c r="T2568" s="63">
        <v>20</v>
      </c>
      <c r="U2568" s="63"/>
      <c r="V2568" s="63"/>
      <c r="W2568" s="63">
        <f>IF(Copyright!B$11=1,IF(CA2568&gt;0,CA2568-SUM(U2568:V2568)-SUM(Y2568:AC2568)-SUM(AE2568:AP2568),SUM(CD2568:CF2568)),SUM(CD2568:CF2568))</f>
        <v>0</v>
      </c>
      <c r="X2568" s="63">
        <v>19</v>
      </c>
      <c r="Y2568" s="63">
        <v>0</v>
      </c>
      <c r="Z2568" s="63"/>
      <c r="AA2568" s="63"/>
      <c r="AB2568" s="63"/>
      <c r="AC2568" s="63"/>
      <c r="AD2568" s="63"/>
      <c r="AE2568" s="63">
        <v>0</v>
      </c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>
        <v>15</v>
      </c>
      <c r="AR2568" s="63"/>
      <c r="AS2568" s="63"/>
      <c r="AT2568" s="63"/>
      <c r="AU2568" s="63"/>
      <c r="AW2568" s="5">
        <f>IF(Q2568&gt;0,RANK(Q2568,(N2568:P2568,Q2568:AE2568)),0)</f>
        <v>3</v>
      </c>
      <c r="AX2568" s="5">
        <f>IF(R2568&gt;0,RANK(R2568,(N2568:P2568,Q2568:AE2568)),0)</f>
        <v>4</v>
      </c>
      <c r="AY2568" s="5">
        <f>IF(T2568&gt;0,RANK(T2568,(N2568:P2568,Q2568:AE2568)),0)</f>
        <v>6</v>
      </c>
      <c r="AZ2568" s="5">
        <f>IF(S2568&gt;0,RANK(S2568,(N2568:P2568,Q2568:AE2568)),0)</f>
        <v>8</v>
      </c>
      <c r="BA2568" s="2">
        <f t="shared" si="1053"/>
        <v>2.0606681172404967E-2</v>
      </c>
      <c r="BB2568" s="2">
        <f t="shared" si="1054"/>
        <v>4.9916805324459234E-3</v>
      </c>
      <c r="BC2568" s="2">
        <f t="shared" si="1055"/>
        <v>2.5598361704850889E-3</v>
      </c>
      <c r="BD2568" s="2">
        <f t="shared" si="1056"/>
        <v>2.3038525534365799E-3</v>
      </c>
      <c r="BF2568" t="s">
        <v>443</v>
      </c>
      <c r="BG2568" t="s">
        <v>18</v>
      </c>
      <c r="BH2568" s="1">
        <v>7</v>
      </c>
      <c r="BJ2568" s="114">
        <v>47</v>
      </c>
      <c r="BK2568" s="116">
        <v>81</v>
      </c>
      <c r="BL2568" s="120">
        <f t="shared" si="1047"/>
        <v>47081</v>
      </c>
      <c r="BN2568" s="5" t="s">
        <v>3154</v>
      </c>
      <c r="CD2568" s="63">
        <v>0</v>
      </c>
      <c r="CE2568" s="63">
        <v>0</v>
      </c>
      <c r="CF2568" s="63">
        <v>0</v>
      </c>
    </row>
    <row r="2569" spans="1:84" hidden="1" outlineLevel="1">
      <c r="A2569" t="s">
        <v>1007</v>
      </c>
      <c r="B2569" t="s">
        <v>18</v>
      </c>
      <c r="C2569" s="1">
        <f t="shared" si="1048"/>
        <v>3168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32">
        <f t="shared" ref="G2569:G2632" si="1057">IF(C2569&gt;0,MAX(N2569:P2569)-LARGE(N2569:P2569,2),0)</f>
        <v>1316</v>
      </c>
      <c r="H2569" s="137">
        <f t="shared" ref="H2569:H2632" si="1058">IF(C2569&gt;0,G2569/C2569,0)</f>
        <v>0.41540404040404039</v>
      </c>
      <c r="I2569" s="2"/>
      <c r="J2569" s="2">
        <f t="shared" si="1049"/>
        <v>0.27335858585858586</v>
      </c>
      <c r="K2569" s="2">
        <f t="shared" si="1050"/>
        <v>0.6887626262626263</v>
      </c>
      <c r="L2569" s="2">
        <f t="shared" si="1051"/>
        <v>0</v>
      </c>
      <c r="M2569" s="2">
        <f t="shared" si="1052"/>
        <v>3.7878787878787845E-2</v>
      </c>
      <c r="N2569" s="63">
        <v>866</v>
      </c>
      <c r="O2569" s="63">
        <v>2182</v>
      </c>
      <c r="P2569" s="63">
        <v>0</v>
      </c>
      <c r="Q2569" s="63">
        <v>88</v>
      </c>
      <c r="R2569" s="63">
        <v>12</v>
      </c>
      <c r="S2569" s="63">
        <v>0</v>
      </c>
      <c r="T2569" s="63">
        <v>9</v>
      </c>
      <c r="U2569" s="63"/>
      <c r="V2569" s="63"/>
      <c r="W2569" s="63">
        <f>IF(Copyright!B$11=1,IF(CA2569&gt;0,CA2569-SUM(U2569:V2569)-SUM(Y2569:AC2569)-SUM(AE2569:AP2569),SUM(CD2569:CF2569)),SUM(CD2569:CF2569))</f>
        <v>0</v>
      </c>
      <c r="X2569" s="63">
        <v>4</v>
      </c>
      <c r="Y2569" s="63">
        <v>0</v>
      </c>
      <c r="Z2569" s="63"/>
      <c r="AA2569" s="63"/>
      <c r="AB2569" s="63"/>
      <c r="AC2569" s="63"/>
      <c r="AD2569" s="63"/>
      <c r="AE2569" s="63">
        <v>0</v>
      </c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>
        <v>7</v>
      </c>
      <c r="AR2569" s="63"/>
      <c r="AS2569" s="63"/>
      <c r="AT2569" s="63"/>
      <c r="AU2569" s="63"/>
      <c r="AW2569" s="5">
        <f>IF(Q2569&gt;0,RANK(Q2569,(N2569:P2569,Q2569:AE2569)),0)</f>
        <v>3</v>
      </c>
      <c r="AX2569" s="5">
        <f>IF(R2569&gt;0,RANK(R2569,(N2569:P2569,Q2569:AE2569)),0)</f>
        <v>4</v>
      </c>
      <c r="AY2569" s="5">
        <f>IF(T2569&gt;0,RANK(T2569,(N2569:P2569,Q2569:AE2569)),0)</f>
        <v>5</v>
      </c>
      <c r="AZ2569" s="5">
        <f>IF(S2569&gt;0,RANK(S2569,(N2569:P2569,Q2569:AE2569)),0)</f>
        <v>0</v>
      </c>
      <c r="BA2569" s="2">
        <f t="shared" si="1053"/>
        <v>2.7777777777777776E-2</v>
      </c>
      <c r="BB2569" s="2">
        <f t="shared" si="1054"/>
        <v>3.787878787878788E-3</v>
      </c>
      <c r="BC2569" s="2">
        <f t="shared" si="1055"/>
        <v>2.840909090909091E-3</v>
      </c>
      <c r="BD2569" s="2">
        <f t="shared" si="1056"/>
        <v>0</v>
      </c>
      <c r="BF2569" t="s">
        <v>1007</v>
      </c>
      <c r="BG2569" t="s">
        <v>18</v>
      </c>
      <c r="BH2569" s="1">
        <v>7</v>
      </c>
      <c r="BJ2569" s="114">
        <v>47</v>
      </c>
      <c r="BK2569" s="116">
        <v>83</v>
      </c>
      <c r="BL2569" s="120">
        <f t="shared" si="1047"/>
        <v>47083</v>
      </c>
      <c r="BN2569" s="5" t="s">
        <v>3154</v>
      </c>
      <c r="CD2569" s="63">
        <v>0</v>
      </c>
      <c r="CE2569" s="63">
        <v>0</v>
      </c>
      <c r="CF2569" s="63">
        <v>0</v>
      </c>
    </row>
    <row r="2570" spans="1:84" hidden="1" outlineLevel="1">
      <c r="A2570" t="s">
        <v>2669</v>
      </c>
      <c r="B2570" t="s">
        <v>18</v>
      </c>
      <c r="C2570" s="1">
        <f t="shared" si="1048"/>
        <v>7153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7</v>
      </c>
      <c r="G2570" s="132">
        <f t="shared" si="1057"/>
        <v>2963</v>
      </c>
      <c r="H2570" s="137">
        <f t="shared" si="1058"/>
        <v>0.41423179085698308</v>
      </c>
      <c r="I2570" s="2"/>
      <c r="J2570" s="2">
        <f t="shared" si="1049"/>
        <v>0.27498951488885781</v>
      </c>
      <c r="K2570" s="2">
        <f t="shared" si="1050"/>
        <v>0.68922130574584095</v>
      </c>
      <c r="L2570" s="2">
        <f t="shared" si="1051"/>
        <v>9.7861037326995659E-4</v>
      </c>
      <c r="M2570" s="2">
        <f t="shared" si="1052"/>
        <v>3.4810568992031284E-2</v>
      </c>
      <c r="N2570" s="63">
        <v>1967</v>
      </c>
      <c r="O2570" s="63">
        <v>4930</v>
      </c>
      <c r="P2570" s="63">
        <v>7</v>
      </c>
      <c r="Q2570" s="63">
        <v>166</v>
      </c>
      <c r="R2570" s="63">
        <v>26</v>
      </c>
      <c r="S2570" s="63">
        <v>5</v>
      </c>
      <c r="T2570" s="63">
        <v>17</v>
      </c>
      <c r="U2570" s="63"/>
      <c r="V2570" s="63"/>
      <c r="W2570" s="63">
        <f>IF(Copyright!B$11=1,IF(CA2570&gt;0,CA2570-SUM(U2570:V2570)-SUM(Y2570:AC2570)-SUM(AE2570:AP2570),SUM(CD2570:CF2570)),SUM(CD2570:CF2570))</f>
        <v>0</v>
      </c>
      <c r="X2570" s="63">
        <v>12</v>
      </c>
      <c r="Y2570" s="63">
        <v>0</v>
      </c>
      <c r="Z2570" s="63"/>
      <c r="AA2570" s="63"/>
      <c r="AB2570" s="63"/>
      <c r="AC2570" s="63"/>
      <c r="AD2570" s="63"/>
      <c r="AE2570" s="63">
        <v>0</v>
      </c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>
        <v>23</v>
      </c>
      <c r="AR2570" s="63"/>
      <c r="AS2570" s="63"/>
      <c r="AT2570" s="63"/>
      <c r="AU2570" s="63"/>
      <c r="AW2570" s="5">
        <f>IF(Q2570&gt;0,RANK(Q2570,(N2570:P2570,Q2570:AE2570)),0)</f>
        <v>3</v>
      </c>
      <c r="AX2570" s="5">
        <f>IF(R2570&gt;0,RANK(R2570,(N2570:P2570,Q2570:AE2570)),0)</f>
        <v>4</v>
      </c>
      <c r="AY2570" s="5">
        <f>IF(T2570&gt;0,RANK(T2570,(N2570:P2570,Q2570:AE2570)),0)</f>
        <v>5</v>
      </c>
      <c r="AZ2570" s="5">
        <f>IF(S2570&gt;0,RANK(S2570,(N2570:P2570,Q2570:AE2570)),0)</f>
        <v>8</v>
      </c>
      <c r="BA2570" s="2">
        <f t="shared" si="1053"/>
        <v>2.3207045994687543E-2</v>
      </c>
      <c r="BB2570" s="2">
        <f t="shared" si="1054"/>
        <v>3.6348385292884105E-3</v>
      </c>
      <c r="BC2570" s="2">
        <f t="shared" si="1055"/>
        <v>2.3766251922270375E-3</v>
      </c>
      <c r="BD2570" s="2">
        <f t="shared" si="1056"/>
        <v>6.9900740947854046E-4</v>
      </c>
      <c r="BF2570" t="s">
        <v>2669</v>
      </c>
      <c r="BG2570" t="s">
        <v>18</v>
      </c>
      <c r="BH2570" s="1">
        <v>7</v>
      </c>
      <c r="BJ2570" s="114">
        <v>47</v>
      </c>
      <c r="BK2570" s="116">
        <v>85</v>
      </c>
      <c r="BL2570" s="120">
        <f t="shared" si="1047"/>
        <v>47085</v>
      </c>
      <c r="BN2570" s="5" t="s">
        <v>3154</v>
      </c>
      <c r="CD2570" s="63">
        <v>0</v>
      </c>
      <c r="CE2570" s="63">
        <v>0</v>
      </c>
      <c r="CF2570" s="63">
        <v>0</v>
      </c>
    </row>
    <row r="2571" spans="1:84" hidden="1" outlineLevel="1">
      <c r="A2571" t="s">
        <v>2921</v>
      </c>
      <c r="B2571" t="s">
        <v>18</v>
      </c>
      <c r="C2571" s="1">
        <f t="shared" si="1048"/>
        <v>4466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5</v>
      </c>
      <c r="G2571" s="132">
        <f t="shared" si="1057"/>
        <v>2107</v>
      </c>
      <c r="H2571" s="137">
        <f t="shared" si="1058"/>
        <v>0.47178683385579939</v>
      </c>
      <c r="I2571" s="2"/>
      <c r="J2571" s="2">
        <f t="shared" si="1049"/>
        <v>0.2527989252127183</v>
      </c>
      <c r="K2571" s="2">
        <f t="shared" si="1050"/>
        <v>0.72458575906851774</v>
      </c>
      <c r="L2571" s="2">
        <f t="shared" si="1051"/>
        <v>2.4630541871921183E-3</v>
      </c>
      <c r="M2571" s="2">
        <f t="shared" si="1052"/>
        <v>2.0152261531571843E-2</v>
      </c>
      <c r="N2571" s="63">
        <v>1129</v>
      </c>
      <c r="O2571" s="63">
        <v>3236</v>
      </c>
      <c r="P2571" s="63">
        <v>11</v>
      </c>
      <c r="Q2571" s="63">
        <v>62</v>
      </c>
      <c r="R2571" s="63">
        <v>17</v>
      </c>
      <c r="S2571" s="63">
        <v>1</v>
      </c>
      <c r="T2571" s="63">
        <v>2</v>
      </c>
      <c r="U2571" s="63"/>
      <c r="V2571" s="63"/>
      <c r="W2571" s="63">
        <f>IF(Copyright!B$11=1,IF(CA2571&gt;0,CA2571-SUM(U2571:V2571)-SUM(Y2571:AC2571)-SUM(AE2571:AP2571),SUM(CD2571:CF2571)),SUM(CD2571:CF2571))</f>
        <v>0</v>
      </c>
      <c r="X2571" s="63">
        <v>1</v>
      </c>
      <c r="Y2571" s="63">
        <v>0</v>
      </c>
      <c r="Z2571" s="63"/>
      <c r="AA2571" s="63"/>
      <c r="AB2571" s="63"/>
      <c r="AC2571" s="63"/>
      <c r="AD2571" s="63"/>
      <c r="AE2571" s="63">
        <v>0</v>
      </c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>
        <v>7</v>
      </c>
      <c r="AR2571" s="63"/>
      <c r="AS2571" s="63"/>
      <c r="AT2571" s="63"/>
      <c r="AU2571" s="63"/>
      <c r="AW2571" s="5">
        <f>IF(Q2571&gt;0,RANK(Q2571,(N2571:P2571,Q2571:AE2571)),0)</f>
        <v>3</v>
      </c>
      <c r="AX2571" s="5">
        <f>IF(R2571&gt;0,RANK(R2571,(N2571:P2571,Q2571:AE2571)),0)</f>
        <v>4</v>
      </c>
      <c r="AY2571" s="5">
        <f>IF(T2571&gt;0,RANK(T2571,(N2571:P2571,Q2571:AE2571)),0)</f>
        <v>6</v>
      </c>
      <c r="AZ2571" s="5">
        <f>IF(S2571&gt;0,RANK(S2571,(N2571:P2571,Q2571:AE2571)),0)</f>
        <v>7</v>
      </c>
      <c r="BA2571" s="2">
        <f t="shared" si="1053"/>
        <v>1.3882669055082848E-2</v>
      </c>
      <c r="BB2571" s="2">
        <f t="shared" si="1054"/>
        <v>3.8065382892969101E-3</v>
      </c>
      <c r="BC2571" s="2">
        <f t="shared" si="1055"/>
        <v>4.4782803403493058E-4</v>
      </c>
      <c r="BD2571" s="2">
        <f t="shared" si="1056"/>
        <v>2.2391401701746529E-4</v>
      </c>
      <c r="BF2571" t="s">
        <v>2921</v>
      </c>
      <c r="BG2571" t="s">
        <v>18</v>
      </c>
      <c r="BH2571" s="1">
        <v>6</v>
      </c>
      <c r="BJ2571" s="114">
        <v>47</v>
      </c>
      <c r="BK2571" s="116">
        <v>87</v>
      </c>
      <c r="BL2571" s="120">
        <f t="shared" si="1047"/>
        <v>47087</v>
      </c>
      <c r="BN2571" s="5" t="s">
        <v>3154</v>
      </c>
      <c r="CD2571" s="63">
        <v>0</v>
      </c>
      <c r="CE2571" s="63">
        <v>0</v>
      </c>
      <c r="CF2571" s="63">
        <v>0</v>
      </c>
    </row>
    <row r="2572" spans="1:84" hidden="1" outlineLevel="1">
      <c r="A2572" t="s">
        <v>1092</v>
      </c>
      <c r="B2572" t="s">
        <v>18</v>
      </c>
      <c r="C2572" s="1">
        <f t="shared" si="1048"/>
        <v>19072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5</v>
      </c>
      <c r="G2572" s="132">
        <f t="shared" si="1057"/>
        <v>11282</v>
      </c>
      <c r="H2572" s="137">
        <f t="shared" si="1058"/>
        <v>0.59154781879194629</v>
      </c>
      <c r="I2572" s="2"/>
      <c r="J2572" s="2">
        <f t="shared" si="1049"/>
        <v>0.1832005033557047</v>
      </c>
      <c r="K2572" s="2">
        <f t="shared" si="1050"/>
        <v>0.77474832214765099</v>
      </c>
      <c r="L2572" s="2">
        <f t="shared" si="1051"/>
        <v>2.5692114093959733E-3</v>
      </c>
      <c r="M2572" s="2">
        <f t="shared" si="1052"/>
        <v>3.9481963087248335E-2</v>
      </c>
      <c r="N2572" s="63">
        <v>3494</v>
      </c>
      <c r="O2572" s="63">
        <v>14776</v>
      </c>
      <c r="P2572" s="63">
        <v>49</v>
      </c>
      <c r="Q2572" s="63">
        <v>497</v>
      </c>
      <c r="R2572" s="63">
        <v>115</v>
      </c>
      <c r="S2572" s="63">
        <v>8</v>
      </c>
      <c r="T2572" s="63">
        <v>34</v>
      </c>
      <c r="U2572" s="63"/>
      <c r="V2572" s="63"/>
      <c r="W2572" s="63">
        <f>IF(Copyright!B$11=1,IF(CA2572&gt;0,CA2572-SUM(U2572:V2572)-SUM(Y2572:AC2572)-SUM(AE2572:AP2572),SUM(CD2572:CF2572)),SUM(CD2572:CF2572))</f>
        <v>0</v>
      </c>
      <c r="X2572" s="63">
        <v>22</v>
      </c>
      <c r="Y2572" s="63">
        <v>1</v>
      </c>
      <c r="Z2572" s="63"/>
      <c r="AA2572" s="63"/>
      <c r="AB2572" s="63"/>
      <c r="AC2572" s="63"/>
      <c r="AD2572" s="63"/>
      <c r="AE2572" s="63">
        <v>0</v>
      </c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>
        <v>76</v>
      </c>
      <c r="AR2572" s="63"/>
      <c r="AS2572" s="63"/>
      <c r="AT2572" s="63"/>
      <c r="AU2572" s="63"/>
      <c r="AW2572" s="5">
        <f>IF(Q2572&gt;0,RANK(Q2572,(N2572:P2572,Q2572:AE2572)),0)</f>
        <v>3</v>
      </c>
      <c r="AX2572" s="5">
        <f>IF(R2572&gt;0,RANK(R2572,(N2572:P2572,Q2572:AE2572)),0)</f>
        <v>4</v>
      </c>
      <c r="AY2572" s="5">
        <f>IF(T2572&gt;0,RANK(T2572,(N2572:P2572,Q2572:AE2572)),0)</f>
        <v>6</v>
      </c>
      <c r="AZ2572" s="5">
        <f>IF(S2572&gt;0,RANK(S2572,(N2572:P2572,Q2572:AE2572)),0)</f>
        <v>8</v>
      </c>
      <c r="BA2572" s="2">
        <f t="shared" si="1053"/>
        <v>2.6059144295302015E-2</v>
      </c>
      <c r="BB2572" s="2">
        <f t="shared" si="1054"/>
        <v>6.0297818791946308E-3</v>
      </c>
      <c r="BC2572" s="2">
        <f t="shared" si="1055"/>
        <v>1.7827181208053692E-3</v>
      </c>
      <c r="BD2572" s="2">
        <f t="shared" si="1056"/>
        <v>4.1946308724832214E-4</v>
      </c>
      <c r="BF2572" t="s">
        <v>1092</v>
      </c>
      <c r="BG2572" t="s">
        <v>18</v>
      </c>
      <c r="BH2572" s="1"/>
      <c r="BJ2572" s="114">
        <v>47</v>
      </c>
      <c r="BK2572" s="116">
        <v>89</v>
      </c>
      <c r="BL2572" s="120">
        <f t="shared" si="1047"/>
        <v>47089</v>
      </c>
      <c r="BN2572" s="5" t="s">
        <v>3154</v>
      </c>
      <c r="CD2572" s="63">
        <v>0</v>
      </c>
      <c r="CE2572" s="63">
        <v>0</v>
      </c>
      <c r="CF2572" s="63">
        <v>0</v>
      </c>
    </row>
    <row r="2573" spans="1:84" hidden="1" outlineLevel="1">
      <c r="A2573" t="s">
        <v>1361</v>
      </c>
      <c r="B2573" t="s">
        <v>18</v>
      </c>
      <c r="C2573" s="1">
        <f t="shared" si="1048"/>
        <v>6579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6</v>
      </c>
      <c r="G2573" s="132">
        <f t="shared" si="1057"/>
        <v>4422</v>
      </c>
      <c r="H2573" s="137">
        <f t="shared" si="1058"/>
        <v>0.67213862289101689</v>
      </c>
      <c r="I2573" s="2"/>
      <c r="J2573" s="2">
        <f t="shared" si="1049"/>
        <v>0.15017479860161118</v>
      </c>
      <c r="K2573" s="2">
        <f t="shared" si="1050"/>
        <v>0.82231342149262809</v>
      </c>
      <c r="L2573" s="2">
        <f t="shared" si="1051"/>
        <v>1.0639914880680955E-3</v>
      </c>
      <c r="M2573" s="2">
        <f t="shared" si="1052"/>
        <v>2.6447788417692606E-2</v>
      </c>
      <c r="N2573" s="63">
        <v>988</v>
      </c>
      <c r="O2573" s="63">
        <v>5410</v>
      </c>
      <c r="P2573" s="63">
        <v>7</v>
      </c>
      <c r="Q2573" s="63">
        <v>102</v>
      </c>
      <c r="R2573" s="63">
        <v>39</v>
      </c>
      <c r="S2573" s="63">
        <v>6</v>
      </c>
      <c r="T2573" s="63">
        <v>11</v>
      </c>
      <c r="U2573" s="63"/>
      <c r="V2573" s="63"/>
      <c r="W2573" s="63">
        <f>IF(Copyright!B$11=1,IF(CA2573&gt;0,CA2573-SUM(U2573:V2573)-SUM(Y2573:AC2573)-SUM(AE2573:AP2573),SUM(CD2573:CF2573)),SUM(CD2573:CF2573))</f>
        <v>0</v>
      </c>
      <c r="X2573" s="63">
        <v>7</v>
      </c>
      <c r="Y2573" s="63">
        <v>0</v>
      </c>
      <c r="Z2573" s="63"/>
      <c r="AA2573" s="63"/>
      <c r="AB2573" s="63"/>
      <c r="AC2573" s="63"/>
      <c r="AD2573" s="63"/>
      <c r="AE2573" s="63">
        <v>0</v>
      </c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>
        <v>9</v>
      </c>
      <c r="AR2573" s="63"/>
      <c r="AS2573" s="63"/>
      <c r="AT2573" s="63"/>
      <c r="AU2573" s="63"/>
      <c r="AW2573" s="5">
        <f>IF(Q2573&gt;0,RANK(Q2573,(N2573:P2573,Q2573:AE2573)),0)</f>
        <v>3</v>
      </c>
      <c r="AX2573" s="5">
        <f>IF(R2573&gt;0,RANK(R2573,(N2573:P2573,Q2573:AE2573)),0)</f>
        <v>4</v>
      </c>
      <c r="AY2573" s="5">
        <f>IF(T2573&gt;0,RANK(T2573,(N2573:P2573,Q2573:AE2573)),0)</f>
        <v>5</v>
      </c>
      <c r="AZ2573" s="5">
        <f>IF(S2573&gt;0,RANK(S2573,(N2573:P2573,Q2573:AE2573)),0)</f>
        <v>8</v>
      </c>
      <c r="BA2573" s="2">
        <f t="shared" si="1053"/>
        <v>1.5503875968992248E-2</v>
      </c>
      <c r="BB2573" s="2">
        <f t="shared" si="1054"/>
        <v>5.9279525763793889E-3</v>
      </c>
      <c r="BC2573" s="2">
        <f t="shared" si="1055"/>
        <v>1.671986624107007E-3</v>
      </c>
      <c r="BD2573" s="2">
        <f t="shared" si="1056"/>
        <v>9.1199270405836752E-4</v>
      </c>
      <c r="BF2573" t="s">
        <v>1361</v>
      </c>
      <c r="BG2573" t="s">
        <v>18</v>
      </c>
      <c r="BH2573" s="1">
        <v>1</v>
      </c>
      <c r="BJ2573" s="114">
        <v>47</v>
      </c>
      <c r="BK2573" s="116">
        <v>91</v>
      </c>
      <c r="BL2573" s="120">
        <f t="shared" si="1047"/>
        <v>47091</v>
      </c>
      <c r="BN2573" s="5" t="s">
        <v>3154</v>
      </c>
      <c r="CD2573" s="63">
        <v>0</v>
      </c>
      <c r="CE2573" s="63">
        <v>0</v>
      </c>
      <c r="CF2573" s="63">
        <v>0</v>
      </c>
    </row>
    <row r="2574" spans="1:84" hidden="1" outlineLevel="1">
      <c r="A2574" t="s">
        <v>1729</v>
      </c>
      <c r="B2574" t="s">
        <v>18</v>
      </c>
      <c r="C2574" s="1">
        <f t="shared" si="1048"/>
        <v>180697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5</v>
      </c>
      <c r="G2574" s="132">
        <f t="shared" si="1057"/>
        <v>42889</v>
      </c>
      <c r="H2574" s="137">
        <f t="shared" si="1058"/>
        <v>0.23735313812625555</v>
      </c>
      <c r="I2574" s="2"/>
      <c r="J2574" s="2">
        <f t="shared" si="1049"/>
        <v>0.34797478652108227</v>
      </c>
      <c r="K2574" s="2">
        <f t="shared" si="1050"/>
        <v>0.58532792464733785</v>
      </c>
      <c r="L2574" s="2">
        <f t="shared" si="1051"/>
        <v>6.7682363293247814E-3</v>
      </c>
      <c r="M2574" s="2">
        <f t="shared" si="1052"/>
        <v>5.9929052502255102E-2</v>
      </c>
      <c r="N2574" s="63">
        <v>62878</v>
      </c>
      <c r="O2574" s="63">
        <v>105767</v>
      </c>
      <c r="P2574" s="63">
        <v>1223</v>
      </c>
      <c r="Q2574" s="63">
        <v>7458</v>
      </c>
      <c r="R2574" s="63">
        <v>1634</v>
      </c>
      <c r="S2574" s="63">
        <v>122</v>
      </c>
      <c r="T2574" s="63">
        <v>382</v>
      </c>
      <c r="U2574" s="63"/>
      <c r="V2574" s="63"/>
      <c r="W2574" s="63">
        <f>IF(Copyright!B$11=1,IF(CA2574&gt;0,CA2574-SUM(U2574:V2574)-SUM(Y2574:AC2574)-SUM(AE2574:AP2574),SUM(CD2574:CF2574)),SUM(CD2574:CF2574))</f>
        <v>3</v>
      </c>
      <c r="X2574" s="63">
        <v>227</v>
      </c>
      <c r="Y2574" s="63">
        <v>9</v>
      </c>
      <c r="Z2574" s="63"/>
      <c r="AA2574" s="63"/>
      <c r="AB2574" s="63"/>
      <c r="AC2574" s="63"/>
      <c r="AD2574" s="63"/>
      <c r="AE2574" s="63">
        <v>8</v>
      </c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>
        <v>986</v>
      </c>
      <c r="AR2574" s="63"/>
      <c r="AS2574" s="63"/>
      <c r="AT2574" s="63"/>
      <c r="AU2574" s="63"/>
      <c r="AW2574" s="5">
        <f>IF(Q2574&gt;0,RANK(Q2574,(N2574:P2574,Q2574:AE2574)),0)</f>
        <v>3</v>
      </c>
      <c r="AX2574" s="5">
        <f>IF(R2574&gt;0,RANK(R2574,(N2574:P2574,Q2574:AE2574)),0)</f>
        <v>4</v>
      </c>
      <c r="AY2574" s="5">
        <f>IF(T2574&gt;0,RANK(T2574,(N2574:P2574,Q2574:AE2574)),0)</f>
        <v>6</v>
      </c>
      <c r="AZ2574" s="5">
        <f>IF(S2574&gt;0,RANK(S2574,(N2574:P2574,Q2574:AE2574)),0)</f>
        <v>8</v>
      </c>
      <c r="BA2574" s="2">
        <f t="shared" si="1053"/>
        <v>4.1273513118646132E-2</v>
      </c>
      <c r="BB2574" s="2">
        <f t="shared" si="1054"/>
        <v>9.0427621930635263E-3</v>
      </c>
      <c r="BC2574" s="2">
        <f t="shared" si="1055"/>
        <v>2.1140362042535296E-3</v>
      </c>
      <c r="BD2574" s="2">
        <f t="shared" si="1056"/>
        <v>6.751633950757345E-4</v>
      </c>
      <c r="BF2574" t="s">
        <v>1729</v>
      </c>
      <c r="BG2574" t="s">
        <v>18</v>
      </c>
      <c r="BH2574" s="1">
        <v>2</v>
      </c>
      <c r="BJ2574" s="114">
        <v>47</v>
      </c>
      <c r="BK2574" s="116">
        <v>93</v>
      </c>
      <c r="BL2574" s="120">
        <f t="shared" si="1047"/>
        <v>47093</v>
      </c>
      <c r="BN2574" s="5" t="s">
        <v>3154</v>
      </c>
      <c r="CD2574" s="63">
        <v>0</v>
      </c>
      <c r="CE2574" s="63">
        <v>3</v>
      </c>
      <c r="CF2574" s="63">
        <v>0</v>
      </c>
    </row>
    <row r="2575" spans="1:84" hidden="1" outlineLevel="1">
      <c r="A2575" t="s">
        <v>820</v>
      </c>
      <c r="B2575" t="s">
        <v>18</v>
      </c>
      <c r="C2575" s="1">
        <f t="shared" si="1048"/>
        <v>1970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32">
        <f t="shared" si="1057"/>
        <v>780</v>
      </c>
      <c r="H2575" s="137">
        <f t="shared" si="1058"/>
        <v>0.39593908629441626</v>
      </c>
      <c r="I2575" s="2"/>
      <c r="J2575" s="2">
        <f t="shared" si="1049"/>
        <v>0.29289340101522843</v>
      </c>
      <c r="K2575" s="2">
        <f t="shared" si="1050"/>
        <v>0.68883248730964464</v>
      </c>
      <c r="L2575" s="2">
        <f t="shared" si="1051"/>
        <v>0</v>
      </c>
      <c r="M2575" s="2">
        <f t="shared" si="1052"/>
        <v>1.8274111675126936E-2</v>
      </c>
      <c r="N2575" s="63">
        <v>577</v>
      </c>
      <c r="O2575" s="63">
        <v>1357</v>
      </c>
      <c r="P2575" s="63">
        <v>0</v>
      </c>
      <c r="Q2575" s="63">
        <v>18</v>
      </c>
      <c r="R2575" s="63">
        <v>6</v>
      </c>
      <c r="S2575" s="63">
        <v>0</v>
      </c>
      <c r="T2575" s="63">
        <v>5</v>
      </c>
      <c r="U2575" s="63"/>
      <c r="V2575" s="63"/>
      <c r="W2575" s="63">
        <f>IF(Copyright!B$11=1,IF(CA2575&gt;0,CA2575-SUM(U2575:V2575)-SUM(Y2575:AC2575)-SUM(AE2575:AP2575),SUM(CD2575:CF2575)),SUM(CD2575:CF2575))</f>
        <v>0</v>
      </c>
      <c r="X2575" s="63">
        <v>1</v>
      </c>
      <c r="Y2575" s="63">
        <v>0</v>
      </c>
      <c r="Z2575" s="63"/>
      <c r="AA2575" s="63"/>
      <c r="AB2575" s="63"/>
      <c r="AC2575" s="63"/>
      <c r="AD2575" s="63"/>
      <c r="AE2575" s="63">
        <v>0</v>
      </c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>
        <v>6</v>
      </c>
      <c r="AR2575" s="63"/>
      <c r="AS2575" s="63"/>
      <c r="AT2575" s="63"/>
      <c r="AU2575" s="63"/>
      <c r="AW2575" s="5">
        <f>IF(Q2575&gt;0,RANK(Q2575,(N2575:P2575,Q2575:AE2575)),0)</f>
        <v>3</v>
      </c>
      <c r="AX2575" s="5">
        <f>IF(R2575&gt;0,RANK(R2575,(N2575:P2575,Q2575:AE2575)),0)</f>
        <v>4</v>
      </c>
      <c r="AY2575" s="5">
        <f>IF(T2575&gt;0,RANK(T2575,(N2575:P2575,Q2575:AE2575)),0)</f>
        <v>5</v>
      </c>
      <c r="AZ2575" s="5">
        <f>IF(S2575&gt;0,RANK(S2575,(N2575:P2575,Q2575:AE2575)),0)</f>
        <v>0</v>
      </c>
      <c r="BA2575" s="2">
        <f t="shared" si="1053"/>
        <v>9.1370558375634525E-3</v>
      </c>
      <c r="BB2575" s="2">
        <f t="shared" si="1054"/>
        <v>3.0456852791878172E-3</v>
      </c>
      <c r="BC2575" s="2">
        <f t="shared" si="1055"/>
        <v>2.5380710659898475E-3</v>
      </c>
      <c r="BD2575" s="2">
        <f t="shared" si="1056"/>
        <v>0</v>
      </c>
      <c r="BF2575" t="s">
        <v>820</v>
      </c>
      <c r="BG2575" t="s">
        <v>18</v>
      </c>
      <c r="BH2575" s="1">
        <v>8</v>
      </c>
      <c r="BJ2575" s="114">
        <v>47</v>
      </c>
      <c r="BK2575" s="116">
        <v>95</v>
      </c>
      <c r="BL2575" s="120">
        <f t="shared" si="1047"/>
        <v>47095</v>
      </c>
      <c r="BN2575" s="5" t="s">
        <v>3154</v>
      </c>
      <c r="CD2575" s="63">
        <v>0</v>
      </c>
      <c r="CE2575" s="63">
        <v>0</v>
      </c>
      <c r="CF2575" s="63">
        <v>0</v>
      </c>
    </row>
    <row r="2576" spans="1:84" hidden="1" outlineLevel="1">
      <c r="A2576" t="s">
        <v>1457</v>
      </c>
      <c r="B2576" t="s">
        <v>18</v>
      </c>
      <c r="C2576" s="1">
        <f t="shared" si="1048"/>
        <v>8087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7</v>
      </c>
      <c r="G2576" s="132">
        <f t="shared" si="1057"/>
        <v>1828</v>
      </c>
      <c r="H2576" s="137">
        <f t="shared" si="1058"/>
        <v>0.22604179547421788</v>
      </c>
      <c r="I2576" s="2"/>
      <c r="J2576" s="2">
        <f t="shared" si="1049"/>
        <v>0.3778904414492395</v>
      </c>
      <c r="K2576" s="2">
        <f t="shared" si="1050"/>
        <v>0.60393223692345743</v>
      </c>
      <c r="L2576" s="2">
        <f t="shared" si="1051"/>
        <v>4.9462099666130826E-4</v>
      </c>
      <c r="M2576" s="2">
        <f t="shared" si="1052"/>
        <v>1.7682700630641816E-2</v>
      </c>
      <c r="N2576" s="63">
        <v>3056</v>
      </c>
      <c r="O2576" s="63">
        <v>4884</v>
      </c>
      <c r="P2576" s="63">
        <v>4</v>
      </c>
      <c r="Q2576" s="63">
        <v>87</v>
      </c>
      <c r="R2576" s="63">
        <v>14</v>
      </c>
      <c r="S2576" s="63">
        <v>4</v>
      </c>
      <c r="T2576" s="63">
        <v>14</v>
      </c>
      <c r="U2576" s="63"/>
      <c r="V2576" s="63"/>
      <c r="W2576" s="63">
        <f>IF(Copyright!B$11=1,IF(CA2576&gt;0,CA2576-SUM(U2576:V2576)-SUM(Y2576:AC2576)-SUM(AE2576:AP2576),SUM(CD2576:CF2576)),SUM(CD2576:CF2576))</f>
        <v>0</v>
      </c>
      <c r="X2576" s="63">
        <v>13</v>
      </c>
      <c r="Y2576" s="63">
        <v>1</v>
      </c>
      <c r="Z2576" s="63"/>
      <c r="AA2576" s="63"/>
      <c r="AB2576" s="63"/>
      <c r="AC2576" s="63"/>
      <c r="AD2576" s="63"/>
      <c r="AE2576" s="63">
        <v>0</v>
      </c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>
        <v>10</v>
      </c>
      <c r="AR2576" s="63"/>
      <c r="AS2576" s="63"/>
      <c r="AT2576" s="63"/>
      <c r="AU2576" s="63"/>
      <c r="AW2576" s="5">
        <f>IF(Q2576&gt;0,RANK(Q2576,(N2576:P2576,Q2576:AE2576)),0)</f>
        <v>3</v>
      </c>
      <c r="AX2576" s="5">
        <f>IF(R2576&gt;0,RANK(R2576,(N2576:P2576,Q2576:AE2576)),0)</f>
        <v>4</v>
      </c>
      <c r="AY2576" s="5">
        <f>IF(T2576&gt;0,RANK(T2576,(N2576:P2576,Q2576:AE2576)),0)</f>
        <v>4</v>
      </c>
      <c r="AZ2576" s="5">
        <f>IF(S2576&gt;0,RANK(S2576,(N2576:P2576,Q2576:AE2576)),0)</f>
        <v>7</v>
      </c>
      <c r="BA2576" s="2">
        <f t="shared" si="1053"/>
        <v>1.0758006677383455E-2</v>
      </c>
      <c r="BB2576" s="2">
        <f t="shared" si="1054"/>
        <v>1.731173488314579E-3</v>
      </c>
      <c r="BC2576" s="2">
        <f t="shared" si="1055"/>
        <v>1.731173488314579E-3</v>
      </c>
      <c r="BD2576" s="2">
        <f t="shared" si="1056"/>
        <v>4.9462099666130826E-4</v>
      </c>
      <c r="BF2576" t="s">
        <v>1457</v>
      </c>
      <c r="BG2576" t="s">
        <v>18</v>
      </c>
      <c r="BH2576" s="1">
        <v>8</v>
      </c>
      <c r="BJ2576" s="114">
        <v>47</v>
      </c>
      <c r="BK2576" s="116">
        <v>97</v>
      </c>
      <c r="BL2576" s="120">
        <f t="shared" si="1047"/>
        <v>47097</v>
      </c>
      <c r="BN2576" s="5" t="s">
        <v>3154</v>
      </c>
      <c r="CD2576" s="63">
        <v>0</v>
      </c>
      <c r="CE2576" s="63">
        <v>0</v>
      </c>
      <c r="CF2576" s="63">
        <v>0</v>
      </c>
    </row>
    <row r="2577" spans="1:84" hidden="1" outlineLevel="1">
      <c r="A2577" t="s">
        <v>548</v>
      </c>
      <c r="B2577" t="s">
        <v>18</v>
      </c>
      <c r="C2577" s="1">
        <f t="shared" si="1048"/>
        <v>15666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7</v>
      </c>
      <c r="G2577" s="132">
        <f t="shared" si="1057"/>
        <v>9599</v>
      </c>
      <c r="H2577" s="137">
        <f t="shared" si="1058"/>
        <v>0.61272820120005111</v>
      </c>
      <c r="I2577" s="2"/>
      <c r="J2577" s="2">
        <f t="shared" si="1049"/>
        <v>0.18007149240393208</v>
      </c>
      <c r="K2577" s="2">
        <f t="shared" si="1050"/>
        <v>0.79279969360398317</v>
      </c>
      <c r="L2577" s="2">
        <f t="shared" si="1051"/>
        <v>1.9149751053236308E-4</v>
      </c>
      <c r="M2577" s="2">
        <f t="shared" si="1052"/>
        <v>2.6937316481552415E-2</v>
      </c>
      <c r="N2577" s="63">
        <v>2821</v>
      </c>
      <c r="O2577" s="63">
        <v>12420</v>
      </c>
      <c r="P2577" s="63">
        <v>3</v>
      </c>
      <c r="Q2577" s="63">
        <v>271</v>
      </c>
      <c r="R2577" s="63">
        <v>77</v>
      </c>
      <c r="S2577" s="63">
        <v>2</v>
      </c>
      <c r="T2577" s="63">
        <v>21</v>
      </c>
      <c r="U2577" s="63"/>
      <c r="V2577" s="63"/>
      <c r="W2577" s="63">
        <f>IF(Copyright!B$11=1,IF(CA2577&gt;0,CA2577-SUM(U2577:V2577)-SUM(Y2577:AC2577)-SUM(AE2577:AP2577),SUM(CD2577:CF2577)),SUM(CD2577:CF2577))</f>
        <v>0</v>
      </c>
      <c r="X2577" s="63">
        <v>13</v>
      </c>
      <c r="Y2577" s="63">
        <v>2</v>
      </c>
      <c r="Z2577" s="63"/>
      <c r="AA2577" s="63"/>
      <c r="AB2577" s="63"/>
      <c r="AC2577" s="63"/>
      <c r="AD2577" s="63"/>
      <c r="AE2577" s="63">
        <v>0</v>
      </c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>
        <v>36</v>
      </c>
      <c r="AR2577" s="63"/>
      <c r="AS2577" s="63"/>
      <c r="AT2577" s="63"/>
      <c r="AU2577" s="63"/>
      <c r="AW2577" s="5">
        <f>IF(Q2577&gt;0,RANK(Q2577,(N2577:P2577,Q2577:AE2577)),0)</f>
        <v>3</v>
      </c>
      <c r="AX2577" s="5">
        <f>IF(R2577&gt;0,RANK(R2577,(N2577:P2577,Q2577:AE2577)),0)</f>
        <v>4</v>
      </c>
      <c r="AY2577" s="5">
        <f>IF(T2577&gt;0,RANK(T2577,(N2577:P2577,Q2577:AE2577)),0)</f>
        <v>5</v>
      </c>
      <c r="AZ2577" s="5">
        <f>IF(S2577&gt;0,RANK(S2577,(N2577:P2577,Q2577:AE2577)),0)</f>
        <v>8</v>
      </c>
      <c r="BA2577" s="2">
        <f t="shared" si="1053"/>
        <v>1.7298608451423465E-2</v>
      </c>
      <c r="BB2577" s="2">
        <f t="shared" si="1054"/>
        <v>4.9151027703306528E-3</v>
      </c>
      <c r="BC2577" s="2">
        <f t="shared" si="1055"/>
        <v>1.3404825737265416E-3</v>
      </c>
      <c r="BD2577" s="2">
        <f t="shared" si="1056"/>
        <v>1.2766500702157538E-4</v>
      </c>
      <c r="BF2577" t="s">
        <v>548</v>
      </c>
      <c r="BG2577" t="s">
        <v>18</v>
      </c>
      <c r="BH2577" s="1">
        <v>7</v>
      </c>
      <c r="BJ2577" s="114">
        <v>47</v>
      </c>
      <c r="BK2577" s="116">
        <v>99</v>
      </c>
      <c r="BL2577" s="120">
        <f t="shared" si="1047"/>
        <v>47099</v>
      </c>
      <c r="BN2577" s="5" t="s">
        <v>3154</v>
      </c>
      <c r="CD2577" s="63">
        <v>0</v>
      </c>
      <c r="CE2577" s="63">
        <v>0</v>
      </c>
      <c r="CF2577" s="63">
        <v>0</v>
      </c>
    </row>
    <row r="2578" spans="1:84" hidden="1" outlineLevel="1">
      <c r="A2578" t="s">
        <v>2787</v>
      </c>
      <c r="B2578" t="s">
        <v>18</v>
      </c>
      <c r="C2578" s="1">
        <f t="shared" si="1048"/>
        <v>4622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8</v>
      </c>
      <c r="G2578" s="132">
        <f t="shared" si="1057"/>
        <v>2695</v>
      </c>
      <c r="H2578" s="137">
        <f t="shared" si="1058"/>
        <v>0.58308091735179579</v>
      </c>
      <c r="I2578" s="2"/>
      <c r="J2578" s="2">
        <f t="shared" si="1049"/>
        <v>0.19255733448723497</v>
      </c>
      <c r="K2578" s="2">
        <f t="shared" si="1050"/>
        <v>0.77563825183903068</v>
      </c>
      <c r="L2578" s="2">
        <f t="shared" si="1051"/>
        <v>8.6542622241453913E-4</v>
      </c>
      <c r="M2578" s="2">
        <f t="shared" si="1052"/>
        <v>3.0938987451319781E-2</v>
      </c>
      <c r="N2578" s="63">
        <v>890</v>
      </c>
      <c r="O2578" s="63">
        <v>3585</v>
      </c>
      <c r="P2578" s="63">
        <v>4</v>
      </c>
      <c r="Q2578" s="63">
        <v>59</v>
      </c>
      <c r="R2578" s="63">
        <v>42</v>
      </c>
      <c r="S2578" s="63">
        <v>10</v>
      </c>
      <c r="T2578" s="63">
        <v>14</v>
      </c>
      <c r="U2578" s="63"/>
      <c r="V2578" s="63"/>
      <c r="W2578" s="63">
        <f>IF(Copyright!B$11=1,IF(CA2578&gt;0,CA2578-SUM(U2578:V2578)-SUM(Y2578:AC2578)-SUM(AE2578:AP2578),SUM(CD2578:CF2578)),SUM(CD2578:CF2578))</f>
        <v>1</v>
      </c>
      <c r="X2578" s="63">
        <v>8</v>
      </c>
      <c r="Y2578" s="63">
        <v>0</v>
      </c>
      <c r="Z2578" s="63"/>
      <c r="AA2578" s="63"/>
      <c r="AB2578" s="63"/>
      <c r="AC2578" s="63"/>
      <c r="AD2578" s="63"/>
      <c r="AE2578" s="63">
        <v>0</v>
      </c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>
        <v>9</v>
      </c>
      <c r="AR2578" s="63"/>
      <c r="AS2578" s="63"/>
      <c r="AT2578" s="63"/>
      <c r="AU2578" s="63"/>
      <c r="AW2578" s="5">
        <f>IF(Q2578&gt;0,RANK(Q2578,(N2578:P2578,Q2578:AE2578)),0)</f>
        <v>3</v>
      </c>
      <c r="AX2578" s="5">
        <f>IF(R2578&gt;0,RANK(R2578,(N2578:P2578,Q2578:AE2578)),0)</f>
        <v>4</v>
      </c>
      <c r="AY2578" s="5">
        <f>IF(T2578&gt;0,RANK(T2578,(N2578:P2578,Q2578:AE2578)),0)</f>
        <v>5</v>
      </c>
      <c r="AZ2578" s="5">
        <f>IF(S2578&gt;0,RANK(S2578,(N2578:P2578,Q2578:AE2578)),0)</f>
        <v>6</v>
      </c>
      <c r="BA2578" s="2">
        <f t="shared" si="1053"/>
        <v>1.2765036780614452E-2</v>
      </c>
      <c r="BB2578" s="2">
        <f t="shared" si="1054"/>
        <v>9.0869753353526612E-3</v>
      </c>
      <c r="BC2578" s="2">
        <f t="shared" si="1055"/>
        <v>3.0289917784508871E-3</v>
      </c>
      <c r="BD2578" s="2">
        <f t="shared" si="1056"/>
        <v>2.1635655560363477E-3</v>
      </c>
      <c r="BF2578" t="s">
        <v>2787</v>
      </c>
      <c r="BG2578" t="s">
        <v>18</v>
      </c>
      <c r="BH2578" s="1">
        <v>7</v>
      </c>
      <c r="BJ2578" s="114">
        <v>47</v>
      </c>
      <c r="BK2578" s="116">
        <v>101</v>
      </c>
      <c r="BL2578" s="120">
        <f t="shared" si="1047"/>
        <v>47101</v>
      </c>
      <c r="BN2578" s="5" t="s">
        <v>3154</v>
      </c>
      <c r="CD2578" s="63">
        <v>0</v>
      </c>
      <c r="CE2578" s="63">
        <v>1</v>
      </c>
      <c r="CF2578" s="63">
        <v>0</v>
      </c>
    </row>
    <row r="2579" spans="1:84" hidden="1" outlineLevel="1">
      <c r="A2579" t="s">
        <v>1597</v>
      </c>
      <c r="B2579" t="s">
        <v>18</v>
      </c>
      <c r="C2579" s="1">
        <f t="shared" si="1048"/>
        <v>13348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5</v>
      </c>
      <c r="G2579" s="132">
        <f t="shared" si="1057"/>
        <v>7844</v>
      </c>
      <c r="H2579" s="137">
        <f t="shared" si="1058"/>
        <v>0.5876535810608331</v>
      </c>
      <c r="I2579" s="2"/>
      <c r="J2579" s="2">
        <f t="shared" si="1049"/>
        <v>0.19133952652082709</v>
      </c>
      <c r="K2579" s="2">
        <f t="shared" si="1050"/>
        <v>0.77899310758166018</v>
      </c>
      <c r="L2579" s="2">
        <f t="shared" si="1051"/>
        <v>3.1465388073119568E-3</v>
      </c>
      <c r="M2579" s="2">
        <f t="shared" si="1052"/>
        <v>2.6520827090200774E-2</v>
      </c>
      <c r="N2579" s="63">
        <v>2554</v>
      </c>
      <c r="O2579" s="63">
        <v>10398</v>
      </c>
      <c r="P2579" s="63">
        <v>42</v>
      </c>
      <c r="Q2579" s="63">
        <v>231</v>
      </c>
      <c r="R2579" s="63">
        <v>46</v>
      </c>
      <c r="S2579" s="63">
        <v>6</v>
      </c>
      <c r="T2579" s="63">
        <v>19</v>
      </c>
      <c r="U2579" s="63"/>
      <c r="V2579" s="63"/>
      <c r="W2579" s="63">
        <f>IF(Copyright!B$11=1,IF(CA2579&gt;0,CA2579-SUM(U2579:V2579)-SUM(Y2579:AC2579)-SUM(AE2579:AP2579),SUM(CD2579:CF2579)),SUM(CD2579:CF2579))</f>
        <v>0</v>
      </c>
      <c r="X2579" s="63">
        <v>13</v>
      </c>
      <c r="Y2579" s="63">
        <v>0</v>
      </c>
      <c r="Z2579" s="63"/>
      <c r="AA2579" s="63"/>
      <c r="AB2579" s="63"/>
      <c r="AC2579" s="63"/>
      <c r="AD2579" s="63"/>
      <c r="AE2579" s="63">
        <v>0</v>
      </c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>
        <v>39</v>
      </c>
      <c r="AR2579" s="63"/>
      <c r="AS2579" s="63"/>
      <c r="AT2579" s="63"/>
      <c r="AU2579" s="63"/>
      <c r="AW2579" s="5">
        <f>IF(Q2579&gt;0,RANK(Q2579,(N2579:P2579,Q2579:AE2579)),0)</f>
        <v>3</v>
      </c>
      <c r="AX2579" s="5">
        <f>IF(R2579&gt;0,RANK(R2579,(N2579:P2579,Q2579:AE2579)),0)</f>
        <v>4</v>
      </c>
      <c r="AY2579" s="5">
        <f>IF(T2579&gt;0,RANK(T2579,(N2579:P2579,Q2579:AE2579)),0)</f>
        <v>6</v>
      </c>
      <c r="AZ2579" s="5">
        <f>IF(S2579&gt;0,RANK(S2579,(N2579:P2579,Q2579:AE2579)),0)</f>
        <v>8</v>
      </c>
      <c r="BA2579" s="2">
        <f t="shared" si="1053"/>
        <v>1.7305963440215764E-2</v>
      </c>
      <c r="BB2579" s="2">
        <f t="shared" si="1054"/>
        <v>3.4462091699130957E-3</v>
      </c>
      <c r="BC2579" s="2">
        <f t="shared" si="1055"/>
        <v>1.4234342223554092E-3</v>
      </c>
      <c r="BD2579" s="2">
        <f t="shared" si="1056"/>
        <v>4.4950554390170812E-4</v>
      </c>
      <c r="BF2579" t="s">
        <v>1597</v>
      </c>
      <c r="BG2579" t="s">
        <v>18</v>
      </c>
      <c r="BH2579" s="1">
        <v>4</v>
      </c>
      <c r="BJ2579" s="114">
        <v>47</v>
      </c>
      <c r="BK2579" s="116">
        <v>103</v>
      </c>
      <c r="BL2579" s="120">
        <f t="shared" si="1047"/>
        <v>47103</v>
      </c>
      <c r="BN2579" s="5" t="s">
        <v>3154</v>
      </c>
      <c r="CD2579" s="63">
        <v>0</v>
      </c>
      <c r="CE2579" s="63">
        <v>0</v>
      </c>
      <c r="CF2579" s="63">
        <v>0</v>
      </c>
    </row>
    <row r="2580" spans="1:84" hidden="1" outlineLevel="1">
      <c r="A2580" t="s">
        <v>712</v>
      </c>
      <c r="B2580" t="s">
        <v>18</v>
      </c>
      <c r="C2580" s="1">
        <f t="shared" si="1048"/>
        <v>23391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5</v>
      </c>
      <c r="G2580" s="132">
        <f t="shared" si="1057"/>
        <v>12691</v>
      </c>
      <c r="H2580" s="137">
        <f t="shared" si="1058"/>
        <v>0.54255910392886153</v>
      </c>
      <c r="I2580" s="2"/>
      <c r="J2580" s="2">
        <f t="shared" si="1049"/>
        <v>0.21029455773588132</v>
      </c>
      <c r="K2580" s="2">
        <f t="shared" si="1050"/>
        <v>0.75285366166474288</v>
      </c>
      <c r="L2580" s="2">
        <f t="shared" si="1051"/>
        <v>2.0520713094780044E-3</v>
      </c>
      <c r="M2580" s="2">
        <f t="shared" si="1052"/>
        <v>3.4799709289897771E-2</v>
      </c>
      <c r="N2580" s="63">
        <v>4919</v>
      </c>
      <c r="O2580" s="63">
        <v>17610</v>
      </c>
      <c r="P2580" s="63">
        <v>48</v>
      </c>
      <c r="Q2580" s="63">
        <v>573</v>
      </c>
      <c r="R2580" s="63">
        <v>87</v>
      </c>
      <c r="S2580" s="63">
        <v>5</v>
      </c>
      <c r="T2580" s="63">
        <v>41</v>
      </c>
      <c r="U2580" s="63"/>
      <c r="V2580" s="63"/>
      <c r="W2580" s="63">
        <f>IF(Copyright!B$11=1,IF(CA2580&gt;0,CA2580-SUM(U2580:V2580)-SUM(Y2580:AC2580)-SUM(AE2580:AP2580),SUM(CD2580:CF2580)),SUM(CD2580:CF2580))</f>
        <v>3</v>
      </c>
      <c r="X2580" s="63">
        <v>22</v>
      </c>
      <c r="Y2580" s="63">
        <v>6</v>
      </c>
      <c r="Z2580" s="63"/>
      <c r="AA2580" s="63"/>
      <c r="AB2580" s="63"/>
      <c r="AC2580" s="63"/>
      <c r="AD2580" s="63"/>
      <c r="AE2580" s="63">
        <v>0</v>
      </c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>
        <v>77</v>
      </c>
      <c r="AR2580" s="63"/>
      <c r="AS2580" s="63"/>
      <c r="AT2580" s="63"/>
      <c r="AU2580" s="63"/>
      <c r="AW2580" s="5">
        <f>IF(Q2580&gt;0,RANK(Q2580,(N2580:P2580,Q2580:AE2580)),0)</f>
        <v>3</v>
      </c>
      <c r="AX2580" s="5">
        <f>IF(R2580&gt;0,RANK(R2580,(N2580:P2580,Q2580:AE2580)),0)</f>
        <v>4</v>
      </c>
      <c r="AY2580" s="5">
        <f>IF(T2580&gt;0,RANK(T2580,(N2580:P2580,Q2580:AE2580)),0)</f>
        <v>6</v>
      </c>
      <c r="AZ2580" s="5">
        <f>IF(S2580&gt;0,RANK(S2580,(N2580:P2580,Q2580:AE2580)),0)</f>
        <v>9</v>
      </c>
      <c r="BA2580" s="2">
        <f t="shared" si="1053"/>
        <v>2.4496601256893676E-2</v>
      </c>
      <c r="BB2580" s="2">
        <f t="shared" si="1054"/>
        <v>3.719379248428883E-3</v>
      </c>
      <c r="BC2580" s="2">
        <f t="shared" si="1055"/>
        <v>1.7528109101791287E-3</v>
      </c>
      <c r="BD2580" s="2">
        <f t="shared" si="1056"/>
        <v>2.1375742807062546E-4</v>
      </c>
      <c r="BF2580" t="s">
        <v>712</v>
      </c>
      <c r="BG2580" t="s">
        <v>18</v>
      </c>
      <c r="BH2580" s="1">
        <v>2</v>
      </c>
      <c r="BJ2580" s="114">
        <v>47</v>
      </c>
      <c r="BK2580" s="116">
        <v>105</v>
      </c>
      <c r="BL2580" s="120">
        <f t="shared" si="1047"/>
        <v>47105</v>
      </c>
      <c r="BN2580" s="5" t="s">
        <v>3154</v>
      </c>
      <c r="CD2580" s="63">
        <v>3</v>
      </c>
      <c r="CE2580" s="63">
        <v>0</v>
      </c>
      <c r="CF2580" s="63">
        <v>0</v>
      </c>
    </row>
    <row r="2581" spans="1:84" hidden="1" outlineLevel="1">
      <c r="A2581" t="s">
        <v>2326</v>
      </c>
      <c r="B2581" t="s">
        <v>18</v>
      </c>
      <c r="C2581" s="1">
        <f t="shared" si="1048"/>
        <v>18755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6</v>
      </c>
      <c r="G2581" s="132">
        <f t="shared" si="1057"/>
        <v>11181</v>
      </c>
      <c r="H2581" s="137">
        <f t="shared" si="1058"/>
        <v>0.59616102372700608</v>
      </c>
      <c r="I2581" s="2"/>
      <c r="J2581" s="2">
        <f t="shared" si="1049"/>
        <v>0.18715009330845109</v>
      </c>
      <c r="K2581" s="2">
        <f t="shared" si="1050"/>
        <v>0.78331111703545719</v>
      </c>
      <c r="L2581" s="2">
        <f t="shared" si="1051"/>
        <v>1.5462543321780858E-3</v>
      </c>
      <c r="M2581" s="2">
        <f t="shared" si="1052"/>
        <v>2.7992535323913603E-2</v>
      </c>
      <c r="N2581" s="63">
        <v>3510</v>
      </c>
      <c r="O2581" s="63">
        <v>14691</v>
      </c>
      <c r="P2581" s="63">
        <v>29</v>
      </c>
      <c r="Q2581" s="63">
        <v>340</v>
      </c>
      <c r="R2581" s="63">
        <v>69</v>
      </c>
      <c r="S2581" s="63">
        <v>9</v>
      </c>
      <c r="T2581" s="63">
        <v>50</v>
      </c>
      <c r="U2581" s="63"/>
      <c r="V2581" s="63"/>
      <c r="W2581" s="63">
        <f>IF(Copyright!B$11=1,IF(CA2581&gt;0,CA2581-SUM(U2581:V2581)-SUM(Y2581:AC2581)-SUM(AE2581:AP2581),SUM(CD2581:CF2581)),SUM(CD2581:CF2581))</f>
        <v>0</v>
      </c>
      <c r="X2581" s="63">
        <v>20</v>
      </c>
      <c r="Y2581" s="63">
        <v>1</v>
      </c>
      <c r="Z2581" s="63"/>
      <c r="AA2581" s="63"/>
      <c r="AB2581" s="63"/>
      <c r="AC2581" s="63"/>
      <c r="AD2581" s="63"/>
      <c r="AE2581" s="63">
        <v>0</v>
      </c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>
        <v>36</v>
      </c>
      <c r="AR2581" s="63"/>
      <c r="AS2581" s="63"/>
      <c r="AT2581" s="63"/>
      <c r="AU2581" s="63"/>
      <c r="AW2581" s="5">
        <f>IF(Q2581&gt;0,RANK(Q2581,(N2581:P2581,Q2581:AE2581)),0)</f>
        <v>3</v>
      </c>
      <c r="AX2581" s="5">
        <f>IF(R2581&gt;0,RANK(R2581,(N2581:P2581,Q2581:AE2581)),0)</f>
        <v>4</v>
      </c>
      <c r="AY2581" s="5">
        <f>IF(T2581&gt;0,RANK(T2581,(N2581:P2581,Q2581:AE2581)),0)</f>
        <v>5</v>
      </c>
      <c r="AZ2581" s="5">
        <f>IF(S2581&gt;0,RANK(S2581,(N2581:P2581,Q2581:AE2581)),0)</f>
        <v>8</v>
      </c>
      <c r="BA2581" s="2">
        <f t="shared" si="1053"/>
        <v>1.812849906691549E-2</v>
      </c>
      <c r="BB2581" s="2">
        <f t="shared" si="1054"/>
        <v>3.6790189282857903E-3</v>
      </c>
      <c r="BC2581" s="2">
        <f t="shared" si="1055"/>
        <v>2.6659557451346309E-3</v>
      </c>
      <c r="BD2581" s="2">
        <f t="shared" si="1056"/>
        <v>4.7987203412423355E-4</v>
      </c>
      <c r="BF2581" t="s">
        <v>2326</v>
      </c>
      <c r="BG2581" t="s">
        <v>18</v>
      </c>
      <c r="BH2581" s="1">
        <v>3</v>
      </c>
      <c r="BJ2581" s="114">
        <v>47</v>
      </c>
      <c r="BK2581" s="116">
        <v>107</v>
      </c>
      <c r="BL2581" s="120">
        <f t="shared" si="1047"/>
        <v>47107</v>
      </c>
      <c r="BN2581" s="5" t="s">
        <v>3154</v>
      </c>
      <c r="CD2581" s="63">
        <v>0</v>
      </c>
      <c r="CE2581" s="63">
        <v>0</v>
      </c>
      <c r="CF2581" s="63">
        <v>0</v>
      </c>
    </row>
    <row r="2582" spans="1:84" hidden="1" outlineLevel="1">
      <c r="A2582" t="s">
        <v>1637</v>
      </c>
      <c r="B2582" t="s">
        <v>18</v>
      </c>
      <c r="C2582" s="1">
        <f t="shared" si="1048"/>
        <v>10038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32">
        <f t="shared" si="1057"/>
        <v>5993</v>
      </c>
      <c r="H2582" s="137">
        <f t="shared" si="1058"/>
        <v>0.59703128113169956</v>
      </c>
      <c r="I2582" s="2"/>
      <c r="J2582" s="2">
        <f t="shared" si="1049"/>
        <v>0.18410041841004185</v>
      </c>
      <c r="K2582" s="2">
        <f t="shared" si="1050"/>
        <v>0.78113169954174133</v>
      </c>
      <c r="L2582" s="2">
        <f t="shared" si="1051"/>
        <v>0</v>
      </c>
      <c r="M2582" s="2">
        <f t="shared" si="1052"/>
        <v>3.4767882048216792E-2</v>
      </c>
      <c r="N2582" s="63">
        <v>1848</v>
      </c>
      <c r="O2582" s="63">
        <v>7841</v>
      </c>
      <c r="P2582" s="63">
        <v>0</v>
      </c>
      <c r="Q2582" s="63">
        <v>150</v>
      </c>
      <c r="R2582" s="63">
        <v>110</v>
      </c>
      <c r="S2582" s="63">
        <v>0</v>
      </c>
      <c r="T2582" s="63">
        <v>7</v>
      </c>
      <c r="U2582" s="63"/>
      <c r="V2582" s="63"/>
      <c r="W2582" s="63">
        <f>IF(Copyright!B$11=1,IF(CA2582&gt;0,CA2582-SUM(U2582:V2582)-SUM(Y2582:AC2582)-SUM(AE2582:AP2582),SUM(CD2582:CF2582)),SUM(CD2582:CF2582))</f>
        <v>0</v>
      </c>
      <c r="X2582" s="63">
        <v>20</v>
      </c>
      <c r="Y2582" s="63">
        <v>0</v>
      </c>
      <c r="Z2582" s="63"/>
      <c r="AA2582" s="63"/>
      <c r="AB2582" s="63"/>
      <c r="AC2582" s="63"/>
      <c r="AD2582" s="63"/>
      <c r="AE2582" s="63">
        <v>0</v>
      </c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>
        <v>62</v>
      </c>
      <c r="AR2582" s="63"/>
      <c r="AS2582" s="63"/>
      <c r="AT2582" s="63"/>
      <c r="AU2582" s="63"/>
      <c r="AW2582" s="5">
        <f>IF(Q2582&gt;0,RANK(Q2582,(N2582:P2582,Q2582:AE2582)),0)</f>
        <v>3</v>
      </c>
      <c r="AX2582" s="5">
        <f>IF(R2582&gt;0,RANK(R2582,(N2582:P2582,Q2582:AE2582)),0)</f>
        <v>4</v>
      </c>
      <c r="AY2582" s="5">
        <f>IF(T2582&gt;0,RANK(T2582,(N2582:P2582,Q2582:AE2582)),0)</f>
        <v>6</v>
      </c>
      <c r="AZ2582" s="5">
        <f>IF(S2582&gt;0,RANK(S2582,(N2582:P2582,Q2582:AE2582)),0)</f>
        <v>0</v>
      </c>
      <c r="BA2582" s="2">
        <f t="shared" si="1053"/>
        <v>1.4943215780035863E-2</v>
      </c>
      <c r="BB2582" s="2">
        <f t="shared" si="1054"/>
        <v>1.0958358238692966E-2</v>
      </c>
      <c r="BC2582" s="2">
        <f t="shared" si="1055"/>
        <v>6.9735006973500695E-4</v>
      </c>
      <c r="BD2582" s="2">
        <f t="shared" si="1056"/>
        <v>0</v>
      </c>
      <c r="BF2582" t="s">
        <v>1637</v>
      </c>
      <c r="BG2582" t="s">
        <v>18</v>
      </c>
      <c r="BH2582" s="1">
        <v>7</v>
      </c>
      <c r="BJ2582" s="114">
        <v>47</v>
      </c>
      <c r="BK2582" s="116">
        <v>109</v>
      </c>
      <c r="BL2582" s="120">
        <f t="shared" si="1047"/>
        <v>47109</v>
      </c>
      <c r="BN2582" s="5" t="s">
        <v>3154</v>
      </c>
      <c r="CD2582" s="63">
        <v>0</v>
      </c>
      <c r="CE2582" s="63">
        <v>0</v>
      </c>
      <c r="CF2582" s="63">
        <v>0</v>
      </c>
    </row>
    <row r="2583" spans="1:84" hidden="1" outlineLevel="1">
      <c r="A2583" t="s">
        <v>1649</v>
      </c>
      <c r="B2583" t="s">
        <v>18</v>
      </c>
      <c r="C2583" s="1">
        <f t="shared" si="1048"/>
        <v>7504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6</v>
      </c>
      <c r="G2583" s="132">
        <f t="shared" si="1057"/>
        <v>5191</v>
      </c>
      <c r="H2583" s="137">
        <f t="shared" si="1058"/>
        <v>0.69176439232409381</v>
      </c>
      <c r="I2583" s="2"/>
      <c r="J2583" s="2">
        <f t="shared" si="1049"/>
        <v>0.14285714285714285</v>
      </c>
      <c r="K2583" s="2">
        <f t="shared" si="1050"/>
        <v>0.83462153518123672</v>
      </c>
      <c r="L2583" s="2">
        <f t="shared" si="1051"/>
        <v>1.0660980810234541E-3</v>
      </c>
      <c r="M2583" s="2">
        <f t="shared" si="1052"/>
        <v>2.1455223880597035E-2</v>
      </c>
      <c r="N2583" s="63">
        <v>1072</v>
      </c>
      <c r="O2583" s="63">
        <v>6263</v>
      </c>
      <c r="P2583" s="63">
        <v>8</v>
      </c>
      <c r="Q2583" s="63">
        <v>91</v>
      </c>
      <c r="R2583" s="63">
        <v>36</v>
      </c>
      <c r="S2583" s="63">
        <v>2</v>
      </c>
      <c r="T2583" s="63">
        <v>10</v>
      </c>
      <c r="U2583" s="63"/>
      <c r="V2583" s="63"/>
      <c r="W2583" s="63">
        <f>IF(Copyright!B$11=1,IF(CA2583&gt;0,CA2583-SUM(U2583:V2583)-SUM(Y2583:AC2583)-SUM(AE2583:AP2583),SUM(CD2583:CF2583)),SUM(CD2583:CF2583))</f>
        <v>0</v>
      </c>
      <c r="X2583" s="63">
        <v>4</v>
      </c>
      <c r="Y2583" s="63">
        <v>0</v>
      </c>
      <c r="Z2583" s="63"/>
      <c r="AA2583" s="63"/>
      <c r="AB2583" s="63"/>
      <c r="AC2583" s="63"/>
      <c r="AD2583" s="63"/>
      <c r="AE2583" s="63">
        <v>0</v>
      </c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>
        <v>18</v>
      </c>
      <c r="AR2583" s="63"/>
      <c r="AS2583" s="63"/>
      <c r="AT2583" s="63"/>
      <c r="AU2583" s="63"/>
      <c r="AW2583" s="5">
        <f>IF(Q2583&gt;0,RANK(Q2583,(N2583:P2583,Q2583:AE2583)),0)</f>
        <v>3</v>
      </c>
      <c r="AX2583" s="5">
        <f>IF(R2583&gt;0,RANK(R2583,(N2583:P2583,Q2583:AE2583)),0)</f>
        <v>4</v>
      </c>
      <c r="AY2583" s="5">
        <f>IF(T2583&gt;0,RANK(T2583,(N2583:P2583,Q2583:AE2583)),0)</f>
        <v>5</v>
      </c>
      <c r="AZ2583" s="5">
        <f>IF(S2583&gt;0,RANK(S2583,(N2583:P2583,Q2583:AE2583)),0)</f>
        <v>8</v>
      </c>
      <c r="BA2583" s="2">
        <f t="shared" si="1053"/>
        <v>1.2126865671641791E-2</v>
      </c>
      <c r="BB2583" s="2">
        <f t="shared" si="1054"/>
        <v>4.7974413646055441E-3</v>
      </c>
      <c r="BC2583" s="2">
        <f t="shared" si="1055"/>
        <v>1.3326226012793177E-3</v>
      </c>
      <c r="BD2583" s="2">
        <f t="shared" si="1056"/>
        <v>2.6652452025586353E-4</v>
      </c>
      <c r="BF2583" t="s">
        <v>1649</v>
      </c>
      <c r="BG2583" t="s">
        <v>18</v>
      </c>
      <c r="BH2583" s="1">
        <v>6</v>
      </c>
      <c r="BJ2583" s="114">
        <v>47</v>
      </c>
      <c r="BK2583" s="116">
        <v>111</v>
      </c>
      <c r="BL2583" s="120">
        <f t="shared" si="1047"/>
        <v>47111</v>
      </c>
      <c r="BN2583" s="5" t="s">
        <v>3154</v>
      </c>
      <c r="CD2583" s="63">
        <v>0</v>
      </c>
      <c r="CE2583" s="63">
        <v>0</v>
      </c>
      <c r="CF2583" s="63">
        <v>0</v>
      </c>
    </row>
    <row r="2584" spans="1:84" hidden="1" outlineLevel="1">
      <c r="A2584" t="s">
        <v>1650</v>
      </c>
      <c r="B2584" t="s">
        <v>18</v>
      </c>
      <c r="C2584" s="1">
        <f t="shared" si="1048"/>
        <v>38120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4</v>
      </c>
      <c r="G2584" s="132">
        <f t="shared" si="1057"/>
        <v>5887</v>
      </c>
      <c r="H2584" s="137">
        <f t="shared" si="1058"/>
        <v>0.15443336831059812</v>
      </c>
      <c r="I2584" s="2"/>
      <c r="J2584" s="2">
        <f t="shared" si="1049"/>
        <v>0.40524658971668415</v>
      </c>
      <c r="K2584" s="2">
        <f t="shared" si="1050"/>
        <v>0.55967995802728232</v>
      </c>
      <c r="L2584" s="2">
        <f t="shared" si="1051"/>
        <v>8.1846799580272828E-3</v>
      </c>
      <c r="M2584" s="2">
        <f t="shared" si="1052"/>
        <v>2.688877229800625E-2</v>
      </c>
      <c r="N2584" s="63">
        <v>15448</v>
      </c>
      <c r="O2584" s="63">
        <v>21335</v>
      </c>
      <c r="P2584" s="63">
        <v>312</v>
      </c>
      <c r="Q2584" s="63">
        <v>660</v>
      </c>
      <c r="R2584" s="63">
        <v>140</v>
      </c>
      <c r="S2584" s="63">
        <v>19</v>
      </c>
      <c r="T2584" s="63">
        <v>77</v>
      </c>
      <c r="U2584" s="63"/>
      <c r="V2584" s="63"/>
      <c r="W2584" s="63">
        <f>IF(Copyright!B$11=1,IF(CA2584&gt;0,CA2584-SUM(U2584:V2584)-SUM(Y2584:AC2584)-SUM(AE2584:AP2584),SUM(CD2584:CF2584)),SUM(CD2584:CF2584))</f>
        <v>1</v>
      </c>
      <c r="X2584" s="63">
        <v>42</v>
      </c>
      <c r="Y2584" s="63">
        <v>0</v>
      </c>
      <c r="Z2584" s="63"/>
      <c r="AA2584" s="63"/>
      <c r="AB2584" s="63"/>
      <c r="AC2584" s="63"/>
      <c r="AD2584" s="63"/>
      <c r="AE2584" s="63">
        <v>0</v>
      </c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>
        <v>86</v>
      </c>
      <c r="AR2584" s="63"/>
      <c r="AS2584" s="63"/>
      <c r="AT2584" s="63"/>
      <c r="AU2584" s="63"/>
      <c r="AW2584" s="5">
        <f>IF(Q2584&gt;0,RANK(Q2584,(N2584:P2584,Q2584:AE2584)),0)</f>
        <v>3</v>
      </c>
      <c r="AX2584" s="5">
        <f>IF(R2584&gt;0,RANK(R2584,(N2584:P2584,Q2584:AE2584)),0)</f>
        <v>5</v>
      </c>
      <c r="AY2584" s="5">
        <f>IF(T2584&gt;0,RANK(T2584,(N2584:P2584,Q2584:AE2584)),0)</f>
        <v>6</v>
      </c>
      <c r="AZ2584" s="5">
        <f>IF(S2584&gt;0,RANK(S2584,(N2584:P2584,Q2584:AE2584)),0)</f>
        <v>8</v>
      </c>
      <c r="BA2584" s="2">
        <f t="shared" si="1053"/>
        <v>1.7313746065057714E-2</v>
      </c>
      <c r="BB2584" s="2">
        <f t="shared" si="1054"/>
        <v>3.6726128016789086E-3</v>
      </c>
      <c r="BC2584" s="2">
        <f t="shared" si="1055"/>
        <v>2.0199370409233999E-3</v>
      </c>
      <c r="BD2584" s="2">
        <f t="shared" si="1056"/>
        <v>4.984260230849948E-4</v>
      </c>
      <c r="BF2584" t="s">
        <v>1650</v>
      </c>
      <c r="BG2584" t="s">
        <v>18</v>
      </c>
      <c r="BH2584" s="1">
        <v>8</v>
      </c>
      <c r="BJ2584" s="114">
        <v>47</v>
      </c>
      <c r="BK2584" s="116">
        <v>113</v>
      </c>
      <c r="BL2584" s="120">
        <f t="shared" si="1047"/>
        <v>47113</v>
      </c>
      <c r="BN2584" s="5" t="s">
        <v>3154</v>
      </c>
      <c r="CD2584" s="63">
        <v>0</v>
      </c>
      <c r="CE2584" s="63">
        <v>1</v>
      </c>
      <c r="CF2584" s="63">
        <v>0</v>
      </c>
    </row>
    <row r="2585" spans="1:84" hidden="1" outlineLevel="1">
      <c r="A2585" t="s">
        <v>1826</v>
      </c>
      <c r="B2585" t="s">
        <v>18</v>
      </c>
      <c r="C2585" s="1">
        <f t="shared" si="1048"/>
        <v>10862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7</v>
      </c>
      <c r="G2585" s="132">
        <f t="shared" si="1057"/>
        <v>4864</v>
      </c>
      <c r="H2585" s="137">
        <f t="shared" si="1058"/>
        <v>0.44779966856932424</v>
      </c>
      <c r="I2585" s="2"/>
      <c r="J2585" s="2">
        <f t="shared" si="1049"/>
        <v>0.26072546492358684</v>
      </c>
      <c r="K2585" s="2">
        <f t="shared" si="1050"/>
        <v>0.70852513349291102</v>
      </c>
      <c r="L2585" s="2">
        <f t="shared" si="1051"/>
        <v>9.2064076597311731E-4</v>
      </c>
      <c r="M2585" s="2">
        <f t="shared" si="1052"/>
        <v>2.9828760817529026E-2</v>
      </c>
      <c r="N2585" s="63">
        <v>2832</v>
      </c>
      <c r="O2585" s="63">
        <v>7696</v>
      </c>
      <c r="P2585" s="63">
        <v>10</v>
      </c>
      <c r="Q2585" s="63">
        <v>221</v>
      </c>
      <c r="R2585" s="63">
        <v>50</v>
      </c>
      <c r="S2585" s="63">
        <v>0</v>
      </c>
      <c r="T2585" s="63">
        <v>18</v>
      </c>
      <c r="U2585" s="63"/>
      <c r="V2585" s="63"/>
      <c r="W2585" s="63">
        <f>IF(Copyright!B$11=1,IF(CA2585&gt;0,CA2585-SUM(U2585:V2585)-SUM(Y2585:AC2585)-SUM(AE2585:AP2585),SUM(CD2585:CF2585)),SUM(CD2585:CF2585))</f>
        <v>0</v>
      </c>
      <c r="X2585" s="63">
        <v>13</v>
      </c>
      <c r="Y2585" s="63">
        <v>0</v>
      </c>
      <c r="Z2585" s="63"/>
      <c r="AA2585" s="63"/>
      <c r="AB2585" s="63"/>
      <c r="AC2585" s="63"/>
      <c r="AD2585" s="63"/>
      <c r="AE2585" s="63">
        <v>0</v>
      </c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>
        <v>22</v>
      </c>
      <c r="AR2585" s="63"/>
      <c r="AS2585" s="63"/>
      <c r="AT2585" s="63"/>
      <c r="AU2585" s="63"/>
      <c r="AW2585" s="5">
        <f>IF(Q2585&gt;0,RANK(Q2585,(N2585:P2585,Q2585:AE2585)),0)</f>
        <v>3</v>
      </c>
      <c r="AX2585" s="5">
        <f>IF(R2585&gt;0,RANK(R2585,(N2585:P2585,Q2585:AE2585)),0)</f>
        <v>4</v>
      </c>
      <c r="AY2585" s="5">
        <f>IF(T2585&gt;0,RANK(T2585,(N2585:P2585,Q2585:AE2585)),0)</f>
        <v>5</v>
      </c>
      <c r="AZ2585" s="5">
        <f>IF(S2585&gt;0,RANK(S2585,(N2585:P2585,Q2585:AE2585)),0)</f>
        <v>0</v>
      </c>
      <c r="BA2585" s="2">
        <f t="shared" si="1053"/>
        <v>2.0346160928005893E-2</v>
      </c>
      <c r="BB2585" s="2">
        <f t="shared" si="1054"/>
        <v>4.6032038298655861E-3</v>
      </c>
      <c r="BC2585" s="2">
        <f t="shared" si="1055"/>
        <v>1.6571533787516112E-3</v>
      </c>
      <c r="BD2585" s="2">
        <f t="shared" si="1056"/>
        <v>0</v>
      </c>
      <c r="BF2585" t="s">
        <v>1826</v>
      </c>
      <c r="BG2585" t="s">
        <v>18</v>
      </c>
      <c r="BH2585" s="1">
        <v>4</v>
      </c>
      <c r="BJ2585" s="114">
        <v>47</v>
      </c>
      <c r="BK2585" s="116">
        <v>115</v>
      </c>
      <c r="BL2585" s="120">
        <f t="shared" si="1047"/>
        <v>47115</v>
      </c>
      <c r="BN2585" s="5" t="s">
        <v>3154</v>
      </c>
      <c r="CD2585" s="63">
        <v>0</v>
      </c>
      <c r="CE2585" s="63">
        <v>0</v>
      </c>
      <c r="CF2585" s="63">
        <v>0</v>
      </c>
    </row>
    <row r="2586" spans="1:84" hidden="1" outlineLevel="1">
      <c r="A2586" t="s">
        <v>1847</v>
      </c>
      <c r="B2586" t="s">
        <v>18</v>
      </c>
      <c r="C2586" s="1">
        <f t="shared" si="1048"/>
        <v>11455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6</v>
      </c>
      <c r="G2586" s="132">
        <f t="shared" si="1057"/>
        <v>5332</v>
      </c>
      <c r="H2586" s="137">
        <f t="shared" si="1058"/>
        <v>0.46547359231776519</v>
      </c>
      <c r="I2586" s="2"/>
      <c r="J2586" s="2">
        <f t="shared" si="1049"/>
        <v>0.24897424705368834</v>
      </c>
      <c r="K2586" s="2">
        <f t="shared" si="1050"/>
        <v>0.71444783937145351</v>
      </c>
      <c r="L2586" s="2">
        <f t="shared" si="1051"/>
        <v>1.571366215626364E-3</v>
      </c>
      <c r="M2586" s="2">
        <f t="shared" si="1052"/>
        <v>3.5006547359231817E-2</v>
      </c>
      <c r="N2586" s="63">
        <v>2852</v>
      </c>
      <c r="O2586" s="63">
        <v>8184</v>
      </c>
      <c r="P2586" s="63">
        <v>18</v>
      </c>
      <c r="Q2586" s="63">
        <v>256</v>
      </c>
      <c r="R2586" s="63">
        <v>60</v>
      </c>
      <c r="S2586" s="63">
        <v>10</v>
      </c>
      <c r="T2586" s="63">
        <v>23</v>
      </c>
      <c r="U2586" s="63"/>
      <c r="V2586" s="63"/>
      <c r="W2586" s="63">
        <f>IF(Copyright!B$11=1,IF(CA2586&gt;0,CA2586-SUM(U2586:V2586)-SUM(Y2586:AC2586)-SUM(AE2586:AP2586),SUM(CD2586:CF2586)),SUM(CD2586:CF2586))</f>
        <v>0</v>
      </c>
      <c r="X2586" s="63">
        <v>16</v>
      </c>
      <c r="Y2586" s="63">
        <v>2</v>
      </c>
      <c r="Z2586" s="63"/>
      <c r="AA2586" s="63"/>
      <c r="AB2586" s="63"/>
      <c r="AC2586" s="63"/>
      <c r="AD2586" s="63"/>
      <c r="AE2586" s="63">
        <v>0</v>
      </c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>
        <v>34</v>
      </c>
      <c r="AR2586" s="63"/>
      <c r="AS2586" s="63"/>
      <c r="AT2586" s="63"/>
      <c r="AU2586" s="63"/>
      <c r="AW2586" s="5">
        <f>IF(Q2586&gt;0,RANK(Q2586,(N2586:P2586,Q2586:AE2586)),0)</f>
        <v>3</v>
      </c>
      <c r="AX2586" s="5">
        <f>IF(R2586&gt;0,RANK(R2586,(N2586:P2586,Q2586:AE2586)),0)</f>
        <v>4</v>
      </c>
      <c r="AY2586" s="5">
        <f>IF(T2586&gt;0,RANK(T2586,(N2586:P2586,Q2586:AE2586)),0)</f>
        <v>5</v>
      </c>
      <c r="AZ2586" s="5">
        <f>IF(S2586&gt;0,RANK(S2586,(N2586:P2586,Q2586:AE2586)),0)</f>
        <v>8</v>
      </c>
      <c r="BA2586" s="2">
        <f t="shared" si="1053"/>
        <v>2.2348319511130511E-2</v>
      </c>
      <c r="BB2586" s="2">
        <f t="shared" si="1054"/>
        <v>5.2378873854212133E-3</v>
      </c>
      <c r="BC2586" s="2">
        <f t="shared" si="1055"/>
        <v>2.0078568310781318E-3</v>
      </c>
      <c r="BD2586" s="2">
        <f t="shared" si="1056"/>
        <v>8.7298123090353555E-4</v>
      </c>
      <c r="BF2586" t="s">
        <v>1847</v>
      </c>
      <c r="BG2586" t="s">
        <v>18</v>
      </c>
      <c r="BH2586" s="1">
        <v>4</v>
      </c>
      <c r="BJ2586" s="114">
        <v>47</v>
      </c>
      <c r="BK2586" s="116">
        <v>117</v>
      </c>
      <c r="BL2586" s="120">
        <f t="shared" si="1047"/>
        <v>47117</v>
      </c>
      <c r="BN2586" s="5" t="s">
        <v>3154</v>
      </c>
      <c r="CD2586" s="63">
        <v>0</v>
      </c>
      <c r="CE2586" s="63">
        <v>0</v>
      </c>
      <c r="CF2586" s="63">
        <v>0</v>
      </c>
    </row>
    <row r="2587" spans="1:84" hidden="1" outlineLevel="1">
      <c r="A2587" t="s">
        <v>2220</v>
      </c>
      <c r="B2587" t="s">
        <v>18</v>
      </c>
      <c r="C2587" s="1">
        <f t="shared" si="1048"/>
        <v>35369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4</v>
      </c>
      <c r="G2587" s="132">
        <f t="shared" si="1057"/>
        <v>13761</v>
      </c>
      <c r="H2587" s="137">
        <f t="shared" si="1058"/>
        <v>0.38906952415957474</v>
      </c>
      <c r="I2587" s="2"/>
      <c r="J2587" s="2">
        <f t="shared" si="1049"/>
        <v>0.2838078543357177</v>
      </c>
      <c r="K2587" s="2">
        <f t="shared" si="1050"/>
        <v>0.6728773784952925</v>
      </c>
      <c r="L2587" s="2">
        <f t="shared" si="1051"/>
        <v>6.4180497045435271E-3</v>
      </c>
      <c r="M2587" s="2">
        <f t="shared" si="1052"/>
        <v>3.6896717464446324E-2</v>
      </c>
      <c r="N2587" s="63">
        <v>10038</v>
      </c>
      <c r="O2587" s="63">
        <v>23799</v>
      </c>
      <c r="P2587" s="63">
        <v>227</v>
      </c>
      <c r="Q2587" s="63">
        <v>922</v>
      </c>
      <c r="R2587" s="63">
        <v>166</v>
      </c>
      <c r="S2587" s="63">
        <v>37</v>
      </c>
      <c r="T2587" s="63">
        <v>50</v>
      </c>
      <c r="U2587" s="63"/>
      <c r="V2587" s="63"/>
      <c r="W2587" s="63">
        <f>IF(Copyright!B$11=1,IF(CA2587&gt;0,CA2587-SUM(U2587:V2587)-SUM(Y2587:AC2587)-SUM(AE2587:AP2587),SUM(CD2587:CF2587)),SUM(CD2587:CF2587))</f>
        <v>0</v>
      </c>
      <c r="X2587" s="63">
        <v>35</v>
      </c>
      <c r="Y2587" s="63">
        <v>5</v>
      </c>
      <c r="Z2587" s="63"/>
      <c r="AA2587" s="63"/>
      <c r="AB2587" s="63"/>
      <c r="AC2587" s="63"/>
      <c r="AD2587" s="63"/>
      <c r="AE2587" s="63">
        <v>0</v>
      </c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>
        <v>90</v>
      </c>
      <c r="AR2587" s="63"/>
      <c r="AS2587" s="63"/>
      <c r="AT2587" s="63"/>
      <c r="AU2587" s="63"/>
      <c r="AW2587" s="5">
        <f>IF(Q2587&gt;0,RANK(Q2587,(N2587:P2587,Q2587:AE2587)),0)</f>
        <v>3</v>
      </c>
      <c r="AX2587" s="5">
        <f>IF(R2587&gt;0,RANK(R2587,(N2587:P2587,Q2587:AE2587)),0)</f>
        <v>5</v>
      </c>
      <c r="AY2587" s="5">
        <f>IF(T2587&gt;0,RANK(T2587,(N2587:P2587,Q2587:AE2587)),0)</f>
        <v>6</v>
      </c>
      <c r="AZ2587" s="5">
        <f>IF(S2587&gt;0,RANK(S2587,(N2587:P2587,Q2587:AE2587)),0)</f>
        <v>7</v>
      </c>
      <c r="BA2587" s="2">
        <f t="shared" si="1053"/>
        <v>2.6068025672198819E-2</v>
      </c>
      <c r="BB2587" s="2">
        <f t="shared" si="1054"/>
        <v>4.6933755548644292E-3</v>
      </c>
      <c r="BC2587" s="2">
        <f t="shared" si="1055"/>
        <v>1.4136673358025389E-3</v>
      </c>
      <c r="BD2587" s="2">
        <f t="shared" si="1056"/>
        <v>1.0461138284938787E-3</v>
      </c>
      <c r="BF2587" t="s">
        <v>2220</v>
      </c>
      <c r="BG2587" t="s">
        <v>18</v>
      </c>
      <c r="BH2587" s="1"/>
      <c r="BJ2587" s="114">
        <v>47</v>
      </c>
      <c r="BK2587" s="116">
        <v>119</v>
      </c>
      <c r="BL2587" s="120">
        <f t="shared" si="1047"/>
        <v>47119</v>
      </c>
      <c r="BN2587" s="5" t="s">
        <v>3154</v>
      </c>
      <c r="CD2587" s="63">
        <v>0</v>
      </c>
      <c r="CE2587" s="63">
        <v>0</v>
      </c>
      <c r="CF2587" s="63">
        <v>0</v>
      </c>
    </row>
    <row r="2588" spans="1:84" hidden="1" outlineLevel="1">
      <c r="A2588" t="s">
        <v>2654</v>
      </c>
      <c r="B2588" t="s">
        <v>18</v>
      </c>
      <c r="C2588" s="1">
        <f t="shared" si="1048"/>
        <v>4320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6</v>
      </c>
      <c r="G2588" s="132">
        <f t="shared" si="1057"/>
        <v>2486</v>
      </c>
      <c r="H2588" s="137">
        <f t="shared" si="1058"/>
        <v>0.57546296296296295</v>
      </c>
      <c r="I2588" s="2"/>
      <c r="J2588" s="2">
        <f t="shared" si="1049"/>
        <v>0.19814814814814816</v>
      </c>
      <c r="K2588" s="2">
        <f t="shared" si="1050"/>
        <v>0.77361111111111114</v>
      </c>
      <c r="L2588" s="2">
        <f t="shared" si="1051"/>
        <v>4.6296296296296298E-4</v>
      </c>
      <c r="M2588" s="2">
        <f t="shared" si="1052"/>
        <v>2.7777777777777714E-2</v>
      </c>
      <c r="N2588" s="63">
        <v>856</v>
      </c>
      <c r="O2588" s="63">
        <v>3342</v>
      </c>
      <c r="P2588" s="63">
        <v>2</v>
      </c>
      <c r="Q2588" s="63">
        <v>77</v>
      </c>
      <c r="R2588" s="63">
        <v>19</v>
      </c>
      <c r="S2588" s="63">
        <v>2</v>
      </c>
      <c r="T2588" s="63">
        <v>2</v>
      </c>
      <c r="U2588" s="63"/>
      <c r="V2588" s="63"/>
      <c r="W2588" s="63">
        <f>IF(Copyright!B$11=1,IF(CA2588&gt;0,CA2588-SUM(U2588:V2588)-SUM(Y2588:AC2588)-SUM(AE2588:AP2588),SUM(CD2588:CF2588)),SUM(CD2588:CF2588))</f>
        <v>0</v>
      </c>
      <c r="X2588" s="63">
        <v>4</v>
      </c>
      <c r="Y2588" s="63">
        <v>0</v>
      </c>
      <c r="Z2588" s="63"/>
      <c r="AA2588" s="63"/>
      <c r="AB2588" s="63"/>
      <c r="AC2588" s="63"/>
      <c r="AD2588" s="63"/>
      <c r="AE2588" s="63">
        <v>0</v>
      </c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>
        <v>16</v>
      </c>
      <c r="AR2588" s="63"/>
      <c r="AS2588" s="63"/>
      <c r="AT2588" s="63"/>
      <c r="AU2588" s="63"/>
      <c r="AW2588" s="5">
        <f>IF(Q2588&gt;0,RANK(Q2588,(N2588:P2588,Q2588:AE2588)),0)</f>
        <v>3</v>
      </c>
      <c r="AX2588" s="5">
        <f>IF(R2588&gt;0,RANK(R2588,(N2588:P2588,Q2588:AE2588)),0)</f>
        <v>4</v>
      </c>
      <c r="AY2588" s="5">
        <f>IF(T2588&gt;0,RANK(T2588,(N2588:P2588,Q2588:AE2588)),0)</f>
        <v>6</v>
      </c>
      <c r="AZ2588" s="5">
        <f>IF(S2588&gt;0,RANK(S2588,(N2588:P2588,Q2588:AE2588)),0)</f>
        <v>6</v>
      </c>
      <c r="BA2588" s="2">
        <f t="shared" si="1053"/>
        <v>1.7824074074074076E-2</v>
      </c>
      <c r="BB2588" s="2">
        <f t="shared" si="1054"/>
        <v>4.3981481481481484E-3</v>
      </c>
      <c r="BC2588" s="2">
        <f t="shared" si="1055"/>
        <v>4.6296296296296298E-4</v>
      </c>
      <c r="BD2588" s="2">
        <f t="shared" si="1056"/>
        <v>4.6296296296296298E-4</v>
      </c>
      <c r="BF2588" t="s">
        <v>2654</v>
      </c>
      <c r="BG2588" t="s">
        <v>18</v>
      </c>
      <c r="BH2588" s="1">
        <v>4</v>
      </c>
      <c r="BJ2588" s="114">
        <v>47</v>
      </c>
      <c r="BK2588" s="116">
        <v>121</v>
      </c>
      <c r="BL2588" s="120">
        <f t="shared" si="1047"/>
        <v>47121</v>
      </c>
      <c r="BN2588" s="5" t="s">
        <v>3154</v>
      </c>
      <c r="CD2588" s="63">
        <v>0</v>
      </c>
      <c r="CE2588" s="63">
        <v>0</v>
      </c>
      <c r="CF2588" s="63">
        <v>0</v>
      </c>
    </row>
    <row r="2589" spans="1:84" hidden="1" outlineLevel="1">
      <c r="A2589" t="s">
        <v>644</v>
      </c>
      <c r="B2589" t="s">
        <v>18</v>
      </c>
      <c r="C2589" s="1">
        <f t="shared" si="1048"/>
        <v>17093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7</v>
      </c>
      <c r="G2589" s="132">
        <f t="shared" si="1057"/>
        <v>10188</v>
      </c>
      <c r="H2589" s="137">
        <f t="shared" si="1058"/>
        <v>0.59603346399110746</v>
      </c>
      <c r="I2589" s="2"/>
      <c r="J2589" s="2">
        <f t="shared" si="1049"/>
        <v>0.18639209032937459</v>
      </c>
      <c r="K2589" s="2">
        <f t="shared" si="1050"/>
        <v>0.78242555432048211</v>
      </c>
      <c r="L2589" s="2">
        <f t="shared" si="1051"/>
        <v>7.0204177148540338E-4</v>
      </c>
      <c r="M2589" s="2">
        <f t="shared" si="1052"/>
        <v>3.048031357865795E-2</v>
      </c>
      <c r="N2589" s="63">
        <v>3186</v>
      </c>
      <c r="O2589" s="63">
        <v>13374</v>
      </c>
      <c r="P2589" s="63">
        <v>12</v>
      </c>
      <c r="Q2589" s="63">
        <v>345</v>
      </c>
      <c r="R2589" s="63">
        <v>58</v>
      </c>
      <c r="S2589" s="63">
        <v>12</v>
      </c>
      <c r="T2589" s="63">
        <v>31</v>
      </c>
      <c r="U2589" s="63"/>
      <c r="V2589" s="63"/>
      <c r="W2589" s="63">
        <f>IF(Copyright!B$11=1,IF(CA2589&gt;0,CA2589-SUM(U2589:V2589)-SUM(Y2589:AC2589)-SUM(AE2589:AP2589),SUM(CD2589:CF2589)),SUM(CD2589:CF2589))</f>
        <v>0</v>
      </c>
      <c r="X2589" s="63">
        <v>19</v>
      </c>
      <c r="Y2589" s="63">
        <v>3</v>
      </c>
      <c r="Z2589" s="63"/>
      <c r="AA2589" s="63"/>
      <c r="AB2589" s="63"/>
      <c r="AC2589" s="63"/>
      <c r="AD2589" s="63"/>
      <c r="AE2589" s="63">
        <v>0</v>
      </c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>
        <v>53</v>
      </c>
      <c r="AR2589" s="63"/>
      <c r="AS2589" s="63"/>
      <c r="AT2589" s="63"/>
      <c r="AU2589" s="63"/>
      <c r="AW2589" s="5">
        <f>IF(Q2589&gt;0,RANK(Q2589,(N2589:P2589,Q2589:AE2589)),0)</f>
        <v>3</v>
      </c>
      <c r="AX2589" s="5">
        <f>IF(R2589&gt;0,RANK(R2589,(N2589:P2589,Q2589:AE2589)),0)</f>
        <v>4</v>
      </c>
      <c r="AY2589" s="5">
        <f>IF(T2589&gt;0,RANK(T2589,(N2589:P2589,Q2589:AE2589)),0)</f>
        <v>5</v>
      </c>
      <c r="AZ2589" s="5">
        <f>IF(S2589&gt;0,RANK(S2589,(N2589:P2589,Q2589:AE2589)),0)</f>
        <v>7</v>
      </c>
      <c r="BA2589" s="2">
        <f t="shared" si="1053"/>
        <v>2.0183700930205346E-2</v>
      </c>
      <c r="BB2589" s="2">
        <f t="shared" si="1054"/>
        <v>3.3932018955127831E-3</v>
      </c>
      <c r="BC2589" s="2">
        <f t="shared" si="1055"/>
        <v>1.8136079096706254E-3</v>
      </c>
      <c r="BD2589" s="2">
        <f t="shared" si="1056"/>
        <v>7.0204177148540338E-4</v>
      </c>
      <c r="BF2589" t="s">
        <v>644</v>
      </c>
      <c r="BG2589" t="s">
        <v>18</v>
      </c>
      <c r="BH2589" s="1">
        <v>3</v>
      </c>
      <c r="BJ2589" s="114">
        <v>47</v>
      </c>
      <c r="BK2589" s="116">
        <v>123</v>
      </c>
      <c r="BL2589" s="120">
        <f t="shared" si="1047"/>
        <v>47123</v>
      </c>
      <c r="BN2589" s="5" t="s">
        <v>3154</v>
      </c>
      <c r="CD2589" s="63">
        <v>0</v>
      </c>
      <c r="CE2589" s="63">
        <v>0</v>
      </c>
      <c r="CF2589" s="63">
        <v>0</v>
      </c>
    </row>
    <row r="2590" spans="1:84" hidden="1" outlineLevel="1">
      <c r="A2590" t="s">
        <v>1406</v>
      </c>
      <c r="B2590" t="s">
        <v>18</v>
      </c>
      <c r="C2590" s="1">
        <f t="shared" si="1048"/>
        <v>57620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5</v>
      </c>
      <c r="G2590" s="132">
        <f t="shared" si="1057"/>
        <v>10642</v>
      </c>
      <c r="H2590" s="137">
        <f t="shared" si="1058"/>
        <v>0.18469281499479348</v>
      </c>
      <c r="I2590" s="2"/>
      <c r="J2590" s="2">
        <f t="shared" si="1049"/>
        <v>0.37658799028115236</v>
      </c>
      <c r="K2590" s="2">
        <f t="shared" si="1050"/>
        <v>0.56128080527594582</v>
      </c>
      <c r="L2590" s="2">
        <f t="shared" si="1051"/>
        <v>4.2346407497396736E-3</v>
      </c>
      <c r="M2590" s="2">
        <f t="shared" si="1052"/>
        <v>5.7896563693162095E-2</v>
      </c>
      <c r="N2590" s="63">
        <v>21699</v>
      </c>
      <c r="O2590" s="63">
        <v>32341</v>
      </c>
      <c r="P2590" s="63">
        <v>244</v>
      </c>
      <c r="Q2590" s="63">
        <v>2337</v>
      </c>
      <c r="R2590" s="63">
        <v>540</v>
      </c>
      <c r="S2590" s="63">
        <v>60</v>
      </c>
      <c r="T2590" s="63">
        <v>133</v>
      </c>
      <c r="U2590" s="63"/>
      <c r="V2590" s="63"/>
      <c r="W2590" s="63">
        <f>IF(Copyright!B$11=1,IF(CA2590&gt;0,CA2590-SUM(U2590:V2590)-SUM(Y2590:AC2590)-SUM(AE2590:AP2590),SUM(CD2590:CF2590)),SUM(CD2590:CF2590))</f>
        <v>1</v>
      </c>
      <c r="X2590" s="63">
        <v>91</v>
      </c>
      <c r="Y2590" s="63">
        <v>2</v>
      </c>
      <c r="Z2590" s="63"/>
      <c r="AA2590" s="63"/>
      <c r="AB2590" s="63"/>
      <c r="AC2590" s="63"/>
      <c r="AD2590" s="63"/>
      <c r="AE2590" s="63">
        <v>0</v>
      </c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>
        <v>172</v>
      </c>
      <c r="AR2590" s="63"/>
      <c r="AS2590" s="63"/>
      <c r="AT2590" s="63"/>
      <c r="AU2590" s="63"/>
      <c r="AW2590" s="5">
        <f>IF(Q2590&gt;0,RANK(Q2590,(N2590:P2590,Q2590:AE2590)),0)</f>
        <v>3</v>
      </c>
      <c r="AX2590" s="5">
        <f>IF(R2590&gt;0,RANK(R2590,(N2590:P2590,Q2590:AE2590)),0)</f>
        <v>4</v>
      </c>
      <c r="AY2590" s="5">
        <f>IF(T2590&gt;0,RANK(T2590,(N2590:P2590,Q2590:AE2590)),0)</f>
        <v>6</v>
      </c>
      <c r="AZ2590" s="5">
        <f>IF(S2590&gt;0,RANK(S2590,(N2590:P2590,Q2590:AE2590)),0)</f>
        <v>8</v>
      </c>
      <c r="BA2590" s="2">
        <f t="shared" si="1053"/>
        <v>4.0558833738285317E-2</v>
      </c>
      <c r="BB2590" s="2">
        <f t="shared" si="1054"/>
        <v>9.3717459215550154E-3</v>
      </c>
      <c r="BC2590" s="2">
        <f t="shared" si="1055"/>
        <v>2.3082263103089205E-3</v>
      </c>
      <c r="BD2590" s="2">
        <f t="shared" si="1056"/>
        <v>1.0413051023950017E-3</v>
      </c>
      <c r="BF2590" t="s">
        <v>1406</v>
      </c>
      <c r="BG2590" t="s">
        <v>18</v>
      </c>
      <c r="BH2590" s="1">
        <v>7</v>
      </c>
      <c r="BJ2590" s="114">
        <v>47</v>
      </c>
      <c r="BK2590" s="116">
        <v>125</v>
      </c>
      <c r="BL2590" s="120">
        <f t="shared" si="1047"/>
        <v>47125</v>
      </c>
      <c r="BN2590" s="5" t="s">
        <v>3154</v>
      </c>
      <c r="CD2590" s="63">
        <v>0</v>
      </c>
      <c r="CE2590" s="63">
        <v>1</v>
      </c>
      <c r="CF2590" s="63">
        <v>0</v>
      </c>
    </row>
    <row r="2591" spans="1:84" hidden="1" outlineLevel="1">
      <c r="A2591" t="s">
        <v>2659</v>
      </c>
      <c r="B2591" t="s">
        <v>18</v>
      </c>
      <c r="C2591" s="1">
        <f t="shared" si="1048"/>
        <v>2926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32">
        <f t="shared" si="1057"/>
        <v>1829</v>
      </c>
      <c r="H2591" s="137">
        <f t="shared" si="1058"/>
        <v>0.62508544087491458</v>
      </c>
      <c r="I2591" s="2"/>
      <c r="J2591" s="2">
        <f t="shared" si="1049"/>
        <v>0.16951469583048531</v>
      </c>
      <c r="K2591" s="2">
        <f t="shared" si="1050"/>
        <v>0.79460013670539986</v>
      </c>
      <c r="L2591" s="2">
        <f t="shared" si="1051"/>
        <v>0</v>
      </c>
      <c r="M2591" s="2">
        <f t="shared" si="1052"/>
        <v>3.5885167464114853E-2</v>
      </c>
      <c r="N2591" s="63">
        <v>496</v>
      </c>
      <c r="O2591" s="63">
        <v>2325</v>
      </c>
      <c r="P2591" s="63">
        <v>0</v>
      </c>
      <c r="Q2591" s="63">
        <v>71</v>
      </c>
      <c r="R2591" s="63">
        <v>17</v>
      </c>
      <c r="S2591" s="63">
        <v>0</v>
      </c>
      <c r="T2591" s="63">
        <v>7</v>
      </c>
      <c r="U2591" s="63"/>
      <c r="V2591" s="63"/>
      <c r="W2591" s="63">
        <f>IF(Copyright!B$11=1,IF(CA2591&gt;0,CA2591-SUM(U2591:V2591)-SUM(Y2591:AC2591)-SUM(AE2591:AP2591),SUM(CD2591:CF2591)),SUM(CD2591:CF2591))</f>
        <v>0</v>
      </c>
      <c r="X2591" s="63">
        <v>2</v>
      </c>
      <c r="Y2591" s="63">
        <v>0</v>
      </c>
      <c r="Z2591" s="63"/>
      <c r="AA2591" s="63"/>
      <c r="AB2591" s="63"/>
      <c r="AC2591" s="63"/>
      <c r="AD2591" s="63"/>
      <c r="AE2591" s="63">
        <v>0</v>
      </c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>
        <v>8</v>
      </c>
      <c r="AR2591" s="63"/>
      <c r="AS2591" s="63"/>
      <c r="AT2591" s="63"/>
      <c r="AU2591" s="63"/>
      <c r="AW2591" s="5">
        <f>IF(Q2591&gt;0,RANK(Q2591,(N2591:P2591,Q2591:AE2591)),0)</f>
        <v>3</v>
      </c>
      <c r="AX2591" s="5">
        <f>IF(R2591&gt;0,RANK(R2591,(N2591:P2591,Q2591:AE2591)),0)</f>
        <v>4</v>
      </c>
      <c r="AY2591" s="5">
        <f>IF(T2591&gt;0,RANK(T2591,(N2591:P2591,Q2591:AE2591)),0)</f>
        <v>5</v>
      </c>
      <c r="AZ2591" s="5">
        <f>IF(S2591&gt;0,RANK(S2591,(N2591:P2591,Q2591:AE2591)),0)</f>
        <v>0</v>
      </c>
      <c r="BA2591" s="2">
        <f t="shared" si="1053"/>
        <v>2.4265208475734792E-2</v>
      </c>
      <c r="BB2591" s="2">
        <f t="shared" si="1054"/>
        <v>5.8099794941900203E-3</v>
      </c>
      <c r="BC2591" s="2">
        <f t="shared" si="1055"/>
        <v>2.3923444976076554E-3</v>
      </c>
      <c r="BD2591" s="2">
        <f t="shared" si="1056"/>
        <v>0</v>
      </c>
      <c r="BF2591" t="s">
        <v>2659</v>
      </c>
      <c r="BG2591" t="s">
        <v>18</v>
      </c>
      <c r="BH2591" s="1">
        <v>4</v>
      </c>
      <c r="BJ2591" s="114">
        <v>47</v>
      </c>
      <c r="BK2591" s="116">
        <v>127</v>
      </c>
      <c r="BL2591" s="120">
        <f t="shared" si="1047"/>
        <v>47127</v>
      </c>
      <c r="BN2591" s="5" t="s">
        <v>3154</v>
      </c>
      <c r="CD2591" s="63">
        <v>0</v>
      </c>
      <c r="CE2591" s="63">
        <v>0</v>
      </c>
      <c r="CF2591" s="63">
        <v>0</v>
      </c>
    </row>
    <row r="2592" spans="1:84" hidden="1" outlineLevel="1">
      <c r="A2592" t="s">
        <v>1145</v>
      </c>
      <c r="B2592" t="s">
        <v>18</v>
      </c>
      <c r="C2592" s="1">
        <f t="shared" ref="C2592:C2623" si="1059">SUM(N2592:AU2592)</f>
        <v>6705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8</v>
      </c>
      <c r="G2592" s="132">
        <f t="shared" si="1057"/>
        <v>4387</v>
      </c>
      <c r="H2592" s="137">
        <f t="shared" si="1058"/>
        <v>0.65428784489187175</v>
      </c>
      <c r="I2592" s="2"/>
      <c r="J2592" s="2">
        <f t="shared" ref="J2592:J2623" si="1060">IF($C2592=0,"-",N2592/$C2592)</f>
        <v>0.15719612229679344</v>
      </c>
      <c r="K2592" s="2">
        <f t="shared" ref="K2592:K2623" si="1061">IF($C2592=0,"-",O2592/$C2592)</f>
        <v>0.81148396718866522</v>
      </c>
      <c r="L2592" s="2">
        <f t="shared" ref="L2592:L2623" si="1062">IF($C2592=0,"-",P2592/$C2592)</f>
        <v>7.4571215510812821E-4</v>
      </c>
      <c r="M2592" s="2">
        <f t="shared" ref="M2592:M2623" si="1063">IF(C2592=0,"-",(1-J2592-K2592-L2592))</f>
        <v>3.0574198359433178E-2</v>
      </c>
      <c r="N2592" s="63">
        <v>1054</v>
      </c>
      <c r="O2592" s="63">
        <v>5441</v>
      </c>
      <c r="P2592" s="63">
        <v>5</v>
      </c>
      <c r="Q2592" s="63">
        <v>115</v>
      </c>
      <c r="R2592" s="63">
        <v>17</v>
      </c>
      <c r="S2592" s="63">
        <v>23</v>
      </c>
      <c r="T2592" s="63">
        <v>13</v>
      </c>
      <c r="U2592" s="63"/>
      <c r="V2592" s="63"/>
      <c r="W2592" s="63">
        <f>IF(Copyright!B$11=1,IF(CA2592&gt;0,CA2592-SUM(U2592:V2592)-SUM(Y2592:AC2592)-SUM(AE2592:AP2592),SUM(CD2592:CF2592)),SUM(CD2592:CF2592))</f>
        <v>0</v>
      </c>
      <c r="X2592" s="63">
        <v>9</v>
      </c>
      <c r="Y2592" s="63">
        <v>0</v>
      </c>
      <c r="Z2592" s="63"/>
      <c r="AA2592" s="63"/>
      <c r="AB2592" s="63"/>
      <c r="AC2592" s="63"/>
      <c r="AD2592" s="63"/>
      <c r="AE2592" s="63">
        <v>0</v>
      </c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>
        <v>28</v>
      </c>
      <c r="AR2592" s="63"/>
      <c r="AS2592" s="63"/>
      <c r="AT2592" s="63"/>
      <c r="AU2592" s="63"/>
      <c r="AW2592" s="5">
        <f>IF(Q2592&gt;0,RANK(Q2592,(N2592:P2592,Q2592:AE2592)),0)</f>
        <v>3</v>
      </c>
      <c r="AX2592" s="5">
        <f>IF(R2592&gt;0,RANK(R2592,(N2592:P2592,Q2592:AE2592)),0)</f>
        <v>5</v>
      </c>
      <c r="AY2592" s="5">
        <f>IF(T2592&gt;0,RANK(T2592,(N2592:P2592,Q2592:AE2592)),0)</f>
        <v>6</v>
      </c>
      <c r="AZ2592" s="5">
        <f>IF(S2592&gt;0,RANK(S2592,(N2592:P2592,Q2592:AE2592)),0)</f>
        <v>4</v>
      </c>
      <c r="BA2592" s="2">
        <f t="shared" ref="BA2592:BA2623" si="1064">IF($C2592=0,"-",Q2592/$C2592)</f>
        <v>1.7151379567486951E-2</v>
      </c>
      <c r="BB2592" s="2">
        <f t="shared" ref="BB2592:BB2623" si="1065">IF($C2592=0,"-",R2592/$C2592)</f>
        <v>2.535421327367636E-3</v>
      </c>
      <c r="BC2592" s="2">
        <f t="shared" ref="BC2592:BC2623" si="1066">IF($C2592=0,"-",T2592/$C2592)</f>
        <v>1.9388516032811335E-3</v>
      </c>
      <c r="BD2592" s="2">
        <f t="shared" ref="BD2592:BD2623" si="1067">IF($C2592=0,"-",S2592/$C2592)</f>
        <v>3.4302759134973901E-3</v>
      </c>
      <c r="BF2592" t="s">
        <v>1145</v>
      </c>
      <c r="BG2592" t="s">
        <v>18</v>
      </c>
      <c r="BH2592" s="1">
        <v>3</v>
      </c>
      <c r="BJ2592" s="114">
        <v>47</v>
      </c>
      <c r="BK2592" s="116">
        <v>129</v>
      </c>
      <c r="BL2592" s="120">
        <f t="shared" si="1047"/>
        <v>47129</v>
      </c>
      <c r="BN2592" s="5" t="s">
        <v>3154</v>
      </c>
      <c r="CD2592" s="63">
        <v>0</v>
      </c>
      <c r="CE2592" s="63">
        <v>0</v>
      </c>
      <c r="CF2592" s="63">
        <v>0</v>
      </c>
    </row>
    <row r="2593" spans="1:84" hidden="1" outlineLevel="1">
      <c r="A2593" t="s">
        <v>2692</v>
      </c>
      <c r="B2593" t="s">
        <v>18</v>
      </c>
      <c r="C2593" s="1">
        <f t="shared" si="1059"/>
        <v>12249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5</v>
      </c>
      <c r="G2593" s="132">
        <f t="shared" si="1057"/>
        <v>7100</v>
      </c>
      <c r="H2593" s="137">
        <f t="shared" si="1058"/>
        <v>0.57963915421667078</v>
      </c>
      <c r="I2593" s="2"/>
      <c r="J2593" s="2">
        <f t="shared" si="1060"/>
        <v>0.19805698424361173</v>
      </c>
      <c r="K2593" s="2">
        <f t="shared" si="1061"/>
        <v>0.77769613846028252</v>
      </c>
      <c r="L2593" s="2">
        <f t="shared" si="1062"/>
        <v>1.877704302392032E-3</v>
      </c>
      <c r="M2593" s="2">
        <f t="shared" si="1063"/>
        <v>2.2369172993713719E-2</v>
      </c>
      <c r="N2593" s="63">
        <v>2426</v>
      </c>
      <c r="O2593" s="63">
        <v>9526</v>
      </c>
      <c r="P2593" s="63">
        <v>23</v>
      </c>
      <c r="Q2593" s="63">
        <v>193</v>
      </c>
      <c r="R2593" s="63">
        <v>36</v>
      </c>
      <c r="S2593" s="63">
        <v>1</v>
      </c>
      <c r="T2593" s="63">
        <v>6</v>
      </c>
      <c r="U2593" s="63"/>
      <c r="V2593" s="63"/>
      <c r="W2593" s="63">
        <f>IF(Copyright!B$11=1,IF(CA2593&gt;0,CA2593-SUM(U2593:V2593)-SUM(Y2593:AC2593)-SUM(AE2593:AP2593),SUM(CD2593:CF2593)),SUM(CD2593:CF2593))</f>
        <v>0</v>
      </c>
      <c r="X2593" s="63">
        <v>20</v>
      </c>
      <c r="Y2593" s="63">
        <v>0</v>
      </c>
      <c r="Z2593" s="63"/>
      <c r="AA2593" s="63"/>
      <c r="AB2593" s="63"/>
      <c r="AC2593" s="63"/>
      <c r="AD2593" s="63"/>
      <c r="AE2593" s="63">
        <v>0</v>
      </c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>
        <v>18</v>
      </c>
      <c r="AR2593" s="63"/>
      <c r="AS2593" s="63"/>
      <c r="AT2593" s="63"/>
      <c r="AU2593" s="63"/>
      <c r="AW2593" s="5">
        <f>IF(Q2593&gt;0,RANK(Q2593,(N2593:P2593,Q2593:AE2593)),0)</f>
        <v>3</v>
      </c>
      <c r="AX2593" s="5">
        <f>IF(R2593&gt;0,RANK(R2593,(N2593:P2593,Q2593:AE2593)),0)</f>
        <v>4</v>
      </c>
      <c r="AY2593" s="5">
        <f>IF(T2593&gt;0,RANK(T2593,(N2593:P2593,Q2593:AE2593)),0)</f>
        <v>7</v>
      </c>
      <c r="AZ2593" s="5">
        <f>IF(S2593&gt;0,RANK(S2593,(N2593:P2593,Q2593:AE2593)),0)</f>
        <v>8</v>
      </c>
      <c r="BA2593" s="2">
        <f t="shared" si="1064"/>
        <v>1.5756388276594008E-2</v>
      </c>
      <c r="BB2593" s="2">
        <f t="shared" si="1065"/>
        <v>2.9390154298310064E-3</v>
      </c>
      <c r="BC2593" s="2">
        <f t="shared" si="1066"/>
        <v>4.8983590497183444E-4</v>
      </c>
      <c r="BD2593" s="2">
        <f t="shared" si="1067"/>
        <v>8.1639317495305744E-5</v>
      </c>
      <c r="BF2593" t="s">
        <v>2692</v>
      </c>
      <c r="BG2593" t="s">
        <v>18</v>
      </c>
      <c r="BH2593" s="1">
        <v>8</v>
      </c>
      <c r="BJ2593" s="114">
        <v>47</v>
      </c>
      <c r="BK2593" s="116">
        <v>131</v>
      </c>
      <c r="BL2593" s="120">
        <f t="shared" si="1047"/>
        <v>47131</v>
      </c>
      <c r="BN2593" s="5" t="s">
        <v>3154</v>
      </c>
      <c r="CD2593" s="63">
        <v>0</v>
      </c>
      <c r="CE2593" s="63">
        <v>0</v>
      </c>
      <c r="CF2593" s="63">
        <v>0</v>
      </c>
    </row>
    <row r="2594" spans="1:84" hidden="1" outlineLevel="1">
      <c r="A2594" t="s">
        <v>630</v>
      </c>
      <c r="B2594" t="s">
        <v>18</v>
      </c>
      <c r="C2594" s="1">
        <f t="shared" si="1059"/>
        <v>8229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5</v>
      </c>
      <c r="G2594" s="132">
        <f t="shared" si="1057"/>
        <v>4114</v>
      </c>
      <c r="H2594" s="137">
        <f t="shared" si="1058"/>
        <v>0.49993923927573214</v>
      </c>
      <c r="I2594" s="2"/>
      <c r="J2594" s="2">
        <f t="shared" si="1060"/>
        <v>0.23635921740187144</v>
      </c>
      <c r="K2594" s="2">
        <f t="shared" si="1061"/>
        <v>0.73629845667760363</v>
      </c>
      <c r="L2594" s="2">
        <f t="shared" si="1062"/>
        <v>2.1873860736419978E-3</v>
      </c>
      <c r="M2594" s="2">
        <f t="shared" si="1063"/>
        <v>2.5154939846882992E-2</v>
      </c>
      <c r="N2594" s="63">
        <v>1945</v>
      </c>
      <c r="O2594" s="63">
        <v>6059</v>
      </c>
      <c r="P2594" s="63">
        <v>18</v>
      </c>
      <c r="Q2594" s="63">
        <v>111</v>
      </c>
      <c r="R2594" s="63">
        <v>31</v>
      </c>
      <c r="S2594" s="63">
        <v>5</v>
      </c>
      <c r="T2594" s="63">
        <v>15</v>
      </c>
      <c r="U2594" s="63"/>
      <c r="V2594" s="63"/>
      <c r="W2594" s="63">
        <f>IF(Copyright!B$11=1,IF(CA2594&gt;0,CA2594-SUM(U2594:V2594)-SUM(Y2594:AC2594)-SUM(AE2594:AP2594),SUM(CD2594:CF2594)),SUM(CD2594:CF2594))</f>
        <v>0</v>
      </c>
      <c r="X2594" s="63">
        <v>11</v>
      </c>
      <c r="Y2594" s="63">
        <v>3</v>
      </c>
      <c r="Z2594" s="63"/>
      <c r="AA2594" s="63"/>
      <c r="AB2594" s="63"/>
      <c r="AC2594" s="63"/>
      <c r="AD2594" s="63"/>
      <c r="AE2594" s="63">
        <v>2</v>
      </c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>
        <v>29</v>
      </c>
      <c r="AR2594" s="63"/>
      <c r="AS2594" s="63"/>
      <c r="AT2594" s="63"/>
      <c r="AU2594" s="63"/>
      <c r="AW2594" s="5">
        <f>IF(Q2594&gt;0,RANK(Q2594,(N2594:P2594,Q2594:AE2594)),0)</f>
        <v>3</v>
      </c>
      <c r="AX2594" s="5">
        <f>IF(R2594&gt;0,RANK(R2594,(N2594:P2594,Q2594:AE2594)),0)</f>
        <v>4</v>
      </c>
      <c r="AY2594" s="5">
        <f>IF(T2594&gt;0,RANK(T2594,(N2594:P2594,Q2594:AE2594)),0)</f>
        <v>6</v>
      </c>
      <c r="AZ2594" s="5">
        <f>IF(S2594&gt;0,RANK(S2594,(N2594:P2594,Q2594:AE2594)),0)</f>
        <v>8</v>
      </c>
      <c r="BA2594" s="2">
        <f t="shared" si="1064"/>
        <v>1.3488880787458987E-2</v>
      </c>
      <c r="BB2594" s="2">
        <f t="shared" si="1065"/>
        <v>3.7671649046056629E-3</v>
      </c>
      <c r="BC2594" s="2">
        <f t="shared" si="1066"/>
        <v>1.8228217280349982E-3</v>
      </c>
      <c r="BD2594" s="2">
        <f t="shared" si="1067"/>
        <v>6.0760724267833275E-4</v>
      </c>
      <c r="BF2594" t="s">
        <v>630</v>
      </c>
      <c r="BG2594" t="s">
        <v>18</v>
      </c>
      <c r="BH2594" s="1">
        <v>6</v>
      </c>
      <c r="BJ2594" s="114">
        <v>47</v>
      </c>
      <c r="BK2594" s="116">
        <v>133</v>
      </c>
      <c r="BL2594" s="120">
        <f t="shared" si="1047"/>
        <v>47133</v>
      </c>
      <c r="BN2594" s="5" t="s">
        <v>3154</v>
      </c>
      <c r="CD2594" s="63">
        <v>0</v>
      </c>
      <c r="CE2594" s="63">
        <v>0</v>
      </c>
      <c r="CF2594" s="63">
        <v>0</v>
      </c>
    </row>
    <row r="2595" spans="1:84" hidden="1" outlineLevel="1">
      <c r="A2595" t="s">
        <v>2118</v>
      </c>
      <c r="B2595" t="s">
        <v>18</v>
      </c>
      <c r="C2595" s="1">
        <f t="shared" si="1059"/>
        <v>2855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32">
        <f t="shared" si="1057"/>
        <v>1570</v>
      </c>
      <c r="H2595" s="137">
        <f t="shared" si="1058"/>
        <v>0.54991243432574433</v>
      </c>
      <c r="I2595" s="2"/>
      <c r="J2595" s="2">
        <f t="shared" si="1060"/>
        <v>0.20910683012259193</v>
      </c>
      <c r="K2595" s="2">
        <f t="shared" si="1061"/>
        <v>0.75901926444833623</v>
      </c>
      <c r="L2595" s="2">
        <f t="shared" si="1062"/>
        <v>0</v>
      </c>
      <c r="M2595" s="2">
        <f t="shared" si="1063"/>
        <v>3.1873905429071869E-2</v>
      </c>
      <c r="N2595" s="63">
        <v>597</v>
      </c>
      <c r="O2595" s="63">
        <v>2167</v>
      </c>
      <c r="P2595" s="63">
        <v>0</v>
      </c>
      <c r="Q2595" s="63">
        <v>59</v>
      </c>
      <c r="R2595" s="63">
        <v>23</v>
      </c>
      <c r="S2595" s="63">
        <v>0</v>
      </c>
      <c r="T2595" s="63">
        <v>3</v>
      </c>
      <c r="U2595" s="63"/>
      <c r="V2595" s="63"/>
      <c r="W2595" s="63">
        <f>IF(Copyright!B$11=1,IF(CA2595&gt;0,CA2595-SUM(U2595:V2595)-SUM(Y2595:AC2595)-SUM(AE2595:AP2595),SUM(CD2595:CF2595)),SUM(CD2595:CF2595))</f>
        <v>0</v>
      </c>
      <c r="X2595" s="63">
        <v>4</v>
      </c>
      <c r="Y2595" s="63">
        <v>0</v>
      </c>
      <c r="Z2595" s="63"/>
      <c r="AA2595" s="63"/>
      <c r="AB2595" s="63"/>
      <c r="AC2595" s="63"/>
      <c r="AD2595" s="63"/>
      <c r="AE2595" s="63">
        <v>0</v>
      </c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>
        <v>2</v>
      </c>
      <c r="AR2595" s="63"/>
      <c r="AS2595" s="63"/>
      <c r="AT2595" s="63"/>
      <c r="AU2595" s="63"/>
      <c r="AW2595" s="5">
        <f>IF(Q2595&gt;0,RANK(Q2595,(N2595:P2595,Q2595:AE2595)),0)</f>
        <v>3</v>
      </c>
      <c r="AX2595" s="5">
        <f>IF(R2595&gt;0,RANK(R2595,(N2595:P2595,Q2595:AE2595)),0)</f>
        <v>4</v>
      </c>
      <c r="AY2595" s="5">
        <f>IF(T2595&gt;0,RANK(T2595,(N2595:P2595,Q2595:AE2595)),0)</f>
        <v>6</v>
      </c>
      <c r="AZ2595" s="5">
        <f>IF(S2595&gt;0,RANK(S2595,(N2595:P2595,Q2595:AE2595)),0)</f>
        <v>0</v>
      </c>
      <c r="BA2595" s="2">
        <f t="shared" si="1064"/>
        <v>2.0665499124343258E-2</v>
      </c>
      <c r="BB2595" s="2">
        <f t="shared" si="1065"/>
        <v>8.0560420315236424E-3</v>
      </c>
      <c r="BC2595" s="2">
        <f t="shared" si="1066"/>
        <v>1.0507880910683013E-3</v>
      </c>
      <c r="BD2595" s="2">
        <f t="shared" si="1067"/>
        <v>0</v>
      </c>
      <c r="BF2595" t="s">
        <v>2118</v>
      </c>
      <c r="BG2595" t="s">
        <v>18</v>
      </c>
      <c r="BH2595" s="1">
        <v>7</v>
      </c>
      <c r="BJ2595" s="114">
        <v>47</v>
      </c>
      <c r="BK2595" s="116">
        <v>135</v>
      </c>
      <c r="BL2595" s="120">
        <f t="shared" si="1047"/>
        <v>47135</v>
      </c>
      <c r="BN2595" s="5" t="s">
        <v>3154</v>
      </c>
      <c r="CD2595" s="63">
        <v>0</v>
      </c>
      <c r="CE2595" s="63">
        <v>0</v>
      </c>
      <c r="CF2595" s="63">
        <v>0</v>
      </c>
    </row>
    <row r="2596" spans="1:84" hidden="1" outlineLevel="1">
      <c r="A2596" t="s">
        <v>517</v>
      </c>
      <c r="B2596" t="s">
        <v>18</v>
      </c>
      <c r="C2596" s="1">
        <f t="shared" si="1059"/>
        <v>2615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5</v>
      </c>
      <c r="G2596" s="132">
        <f t="shared" si="1057"/>
        <v>1485</v>
      </c>
      <c r="H2596" s="137">
        <f t="shared" si="1058"/>
        <v>0.56787762906309747</v>
      </c>
      <c r="I2596" s="2"/>
      <c r="J2596" s="2">
        <f t="shared" si="1060"/>
        <v>0.20497131931166349</v>
      </c>
      <c r="K2596" s="2">
        <f t="shared" si="1061"/>
        <v>0.77284894837476104</v>
      </c>
      <c r="L2596" s="2">
        <f t="shared" si="1062"/>
        <v>7.6481835564053537E-4</v>
      </c>
      <c r="M2596" s="2">
        <f t="shared" si="1063"/>
        <v>2.1414913957934972E-2</v>
      </c>
      <c r="N2596" s="63">
        <v>536</v>
      </c>
      <c r="O2596" s="63">
        <v>2021</v>
      </c>
      <c r="P2596" s="63">
        <v>2</v>
      </c>
      <c r="Q2596" s="63">
        <v>36</v>
      </c>
      <c r="R2596" s="63">
        <v>7</v>
      </c>
      <c r="S2596" s="63">
        <v>2</v>
      </c>
      <c r="T2596" s="63">
        <v>1</v>
      </c>
      <c r="U2596" s="63"/>
      <c r="V2596" s="63"/>
      <c r="W2596" s="63">
        <f>IF(Copyright!B$11=1,IF(CA2596&gt;0,CA2596-SUM(U2596:V2596)-SUM(Y2596:AC2596)-SUM(AE2596:AP2596),SUM(CD2596:CF2596)),SUM(CD2596:CF2596))</f>
        <v>0</v>
      </c>
      <c r="X2596" s="63">
        <v>2</v>
      </c>
      <c r="Y2596" s="63">
        <v>0</v>
      </c>
      <c r="Z2596" s="63"/>
      <c r="AA2596" s="63"/>
      <c r="AB2596" s="63"/>
      <c r="AC2596" s="63"/>
      <c r="AD2596" s="63"/>
      <c r="AE2596" s="63">
        <v>0</v>
      </c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>
        <v>8</v>
      </c>
      <c r="AR2596" s="63"/>
      <c r="AS2596" s="63"/>
      <c r="AT2596" s="63"/>
      <c r="AU2596" s="63"/>
      <c r="AW2596" s="5">
        <f>IF(Q2596&gt;0,RANK(Q2596,(N2596:P2596,Q2596:AE2596)),0)</f>
        <v>3</v>
      </c>
      <c r="AX2596" s="5">
        <f>IF(R2596&gt;0,RANK(R2596,(N2596:P2596,Q2596:AE2596)),0)</f>
        <v>4</v>
      </c>
      <c r="AY2596" s="5">
        <f>IF(T2596&gt;0,RANK(T2596,(N2596:P2596,Q2596:AE2596)),0)</f>
        <v>8</v>
      </c>
      <c r="AZ2596" s="5">
        <f>IF(S2596&gt;0,RANK(S2596,(N2596:P2596,Q2596:AE2596)),0)</f>
        <v>5</v>
      </c>
      <c r="BA2596" s="2">
        <f t="shared" si="1064"/>
        <v>1.3766730401529637E-2</v>
      </c>
      <c r="BB2596" s="2">
        <f t="shared" si="1065"/>
        <v>2.6768642447418736E-3</v>
      </c>
      <c r="BC2596" s="2">
        <f t="shared" si="1066"/>
        <v>3.8240917782026768E-4</v>
      </c>
      <c r="BD2596" s="2">
        <f t="shared" si="1067"/>
        <v>7.6481835564053537E-4</v>
      </c>
      <c r="BF2596" t="s">
        <v>517</v>
      </c>
      <c r="BG2596" t="s">
        <v>18</v>
      </c>
      <c r="BH2596" s="1">
        <v>6</v>
      </c>
      <c r="BJ2596" s="114">
        <v>47</v>
      </c>
      <c r="BK2596" s="116">
        <v>137</v>
      </c>
      <c r="BL2596" s="120">
        <f t="shared" si="1047"/>
        <v>47137</v>
      </c>
      <c r="BN2596" s="5" t="s">
        <v>3154</v>
      </c>
      <c r="CD2596" s="63">
        <v>0</v>
      </c>
      <c r="CE2596" s="63">
        <v>0</v>
      </c>
      <c r="CF2596" s="63">
        <v>0</v>
      </c>
    </row>
    <row r="2597" spans="1:84" hidden="1" outlineLevel="1">
      <c r="A2597" t="s">
        <v>879</v>
      </c>
      <c r="B2597" t="s">
        <v>18</v>
      </c>
      <c r="C2597" s="1">
        <f t="shared" si="1059"/>
        <v>6520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32">
        <f t="shared" si="1057"/>
        <v>3845</v>
      </c>
      <c r="H2597" s="137">
        <f t="shared" si="1058"/>
        <v>0.58972392638036808</v>
      </c>
      <c r="I2597" s="2"/>
      <c r="J2597" s="2">
        <f t="shared" si="1060"/>
        <v>0.19202453987730062</v>
      </c>
      <c r="K2597" s="2">
        <f t="shared" si="1061"/>
        <v>0.78174846625766869</v>
      </c>
      <c r="L2597" s="2">
        <f t="shared" si="1062"/>
        <v>0</v>
      </c>
      <c r="M2597" s="2">
        <f t="shared" si="1063"/>
        <v>2.622699386503069E-2</v>
      </c>
      <c r="N2597" s="63">
        <v>1252</v>
      </c>
      <c r="O2597" s="63">
        <v>5097</v>
      </c>
      <c r="P2597" s="63">
        <v>0</v>
      </c>
      <c r="Q2597" s="63">
        <v>114</v>
      </c>
      <c r="R2597" s="63">
        <v>26</v>
      </c>
      <c r="S2597" s="63">
        <v>0</v>
      </c>
      <c r="T2597" s="63">
        <v>4</v>
      </c>
      <c r="U2597" s="63"/>
      <c r="V2597" s="63"/>
      <c r="W2597" s="63">
        <f>IF(Copyright!B$11=1,IF(CA2597&gt;0,CA2597-SUM(U2597:V2597)-SUM(Y2597:AC2597)-SUM(AE2597:AP2597),SUM(CD2597:CF2597)),SUM(CD2597:CF2597))</f>
        <v>0</v>
      </c>
      <c r="X2597" s="63">
        <v>4</v>
      </c>
      <c r="Y2597" s="63">
        <v>0</v>
      </c>
      <c r="Z2597" s="63"/>
      <c r="AA2597" s="63"/>
      <c r="AB2597" s="63"/>
      <c r="AC2597" s="63"/>
      <c r="AD2597" s="63"/>
      <c r="AE2597" s="63">
        <v>0</v>
      </c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>
        <v>23</v>
      </c>
      <c r="AR2597" s="63"/>
      <c r="AS2597" s="63"/>
      <c r="AT2597" s="63"/>
      <c r="AU2597" s="63"/>
      <c r="AW2597" s="5">
        <f>IF(Q2597&gt;0,RANK(Q2597,(N2597:P2597,Q2597:AE2597)),0)</f>
        <v>3</v>
      </c>
      <c r="AX2597" s="5">
        <f>IF(R2597&gt;0,RANK(R2597,(N2597:P2597,Q2597:AE2597)),0)</f>
        <v>4</v>
      </c>
      <c r="AY2597" s="5">
        <f>IF(T2597&gt;0,RANK(T2597,(N2597:P2597,Q2597:AE2597)),0)</f>
        <v>5</v>
      </c>
      <c r="AZ2597" s="5">
        <f>IF(S2597&gt;0,RANK(S2597,(N2597:P2597,Q2597:AE2597)),0)</f>
        <v>0</v>
      </c>
      <c r="BA2597" s="2">
        <f t="shared" si="1064"/>
        <v>1.7484662576687116E-2</v>
      </c>
      <c r="BB2597" s="2">
        <f t="shared" si="1065"/>
        <v>3.9877300613496936E-3</v>
      </c>
      <c r="BC2597" s="2">
        <f t="shared" si="1066"/>
        <v>6.1349693251533746E-4</v>
      </c>
      <c r="BD2597" s="2">
        <f t="shared" si="1067"/>
        <v>0</v>
      </c>
      <c r="BF2597" t="s">
        <v>879</v>
      </c>
      <c r="BG2597" t="s">
        <v>18</v>
      </c>
      <c r="BH2597" s="1">
        <v>3</v>
      </c>
      <c r="BJ2597" s="114">
        <v>47</v>
      </c>
      <c r="BK2597" s="116">
        <v>139</v>
      </c>
      <c r="BL2597" s="120">
        <f t="shared" si="1047"/>
        <v>47139</v>
      </c>
      <c r="BN2597" s="5" t="s">
        <v>3154</v>
      </c>
      <c r="CD2597" s="63">
        <v>0</v>
      </c>
      <c r="CE2597" s="63">
        <v>0</v>
      </c>
      <c r="CF2597" s="63">
        <v>0</v>
      </c>
    </row>
    <row r="2598" spans="1:84" hidden="1" outlineLevel="1">
      <c r="A2598" t="s">
        <v>955</v>
      </c>
      <c r="B2598" t="s">
        <v>18</v>
      </c>
      <c r="C2598" s="1">
        <f t="shared" si="1059"/>
        <v>27212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5</v>
      </c>
      <c r="G2598" s="132">
        <f t="shared" si="1057"/>
        <v>12151</v>
      </c>
      <c r="H2598" s="137">
        <f t="shared" si="1058"/>
        <v>0.44653094223136852</v>
      </c>
      <c r="I2598" s="2"/>
      <c r="J2598" s="2">
        <f t="shared" si="1060"/>
        <v>0.25176392767896516</v>
      </c>
      <c r="K2598" s="2">
        <f t="shared" si="1061"/>
        <v>0.69829486991033363</v>
      </c>
      <c r="L2598" s="2">
        <f t="shared" si="1062"/>
        <v>5.9900044098191978E-3</v>
      </c>
      <c r="M2598" s="2">
        <f t="shared" si="1063"/>
        <v>4.3951198000882014E-2</v>
      </c>
      <c r="N2598" s="63">
        <v>6851</v>
      </c>
      <c r="O2598" s="63">
        <v>19002</v>
      </c>
      <c r="P2598" s="63">
        <v>163</v>
      </c>
      <c r="Q2598" s="63">
        <v>757</v>
      </c>
      <c r="R2598" s="63">
        <v>225</v>
      </c>
      <c r="S2598" s="63">
        <v>33</v>
      </c>
      <c r="T2598" s="63">
        <v>39</v>
      </c>
      <c r="U2598" s="63"/>
      <c r="V2598" s="63"/>
      <c r="W2598" s="63">
        <f>IF(Copyright!B$11=1,IF(CA2598&gt;0,CA2598-SUM(U2598:V2598)-SUM(Y2598:AC2598)-SUM(AE2598:AP2598),SUM(CD2598:CF2598)),SUM(CD2598:CF2598))</f>
        <v>1</v>
      </c>
      <c r="X2598" s="63">
        <v>24</v>
      </c>
      <c r="Y2598" s="63">
        <v>30</v>
      </c>
      <c r="Z2598" s="63"/>
      <c r="AA2598" s="63"/>
      <c r="AB2598" s="63"/>
      <c r="AC2598" s="63"/>
      <c r="AD2598" s="63"/>
      <c r="AE2598" s="63">
        <v>0</v>
      </c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>
        <v>87</v>
      </c>
      <c r="AR2598" s="63"/>
      <c r="AS2598" s="63"/>
      <c r="AT2598" s="63"/>
      <c r="AU2598" s="63"/>
      <c r="AW2598" s="5">
        <f>IF(Q2598&gt;0,RANK(Q2598,(N2598:P2598,Q2598:AE2598)),0)</f>
        <v>3</v>
      </c>
      <c r="AX2598" s="5">
        <f>IF(R2598&gt;0,RANK(R2598,(N2598:P2598,Q2598:AE2598)),0)</f>
        <v>4</v>
      </c>
      <c r="AY2598" s="5">
        <f>IF(T2598&gt;0,RANK(T2598,(N2598:P2598,Q2598:AE2598)),0)</f>
        <v>6</v>
      </c>
      <c r="AZ2598" s="5">
        <f>IF(S2598&gt;0,RANK(S2598,(N2598:P2598,Q2598:AE2598)),0)</f>
        <v>7</v>
      </c>
      <c r="BA2598" s="2">
        <f t="shared" si="1064"/>
        <v>2.7818609437013083E-2</v>
      </c>
      <c r="BB2598" s="2">
        <f t="shared" si="1065"/>
        <v>8.2684109951491995E-3</v>
      </c>
      <c r="BC2598" s="2">
        <f t="shared" si="1066"/>
        <v>1.4331912391591945E-3</v>
      </c>
      <c r="BD2598" s="2">
        <f t="shared" si="1067"/>
        <v>1.2127002792885493E-3</v>
      </c>
      <c r="BF2598" t="s">
        <v>955</v>
      </c>
      <c r="BG2598" t="s">
        <v>18</v>
      </c>
      <c r="BH2598" s="1">
        <v>6</v>
      </c>
      <c r="BJ2598" s="114">
        <v>47</v>
      </c>
      <c r="BK2598" s="116">
        <v>141</v>
      </c>
      <c r="BL2598" s="120">
        <f t="shared" si="1047"/>
        <v>47141</v>
      </c>
      <c r="BN2598" s="5" t="s">
        <v>3154</v>
      </c>
      <c r="CD2598" s="63">
        <v>0</v>
      </c>
      <c r="CE2598" s="63">
        <v>0</v>
      </c>
      <c r="CF2598" s="63">
        <v>1</v>
      </c>
    </row>
    <row r="2599" spans="1:84" hidden="1" outlineLevel="1">
      <c r="A2599" t="s">
        <v>1267</v>
      </c>
      <c r="B2599" t="s">
        <v>18</v>
      </c>
      <c r="C2599" s="1">
        <f t="shared" si="1059"/>
        <v>11062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4</v>
      </c>
      <c r="G2599" s="132">
        <f t="shared" si="1057"/>
        <v>6718</v>
      </c>
      <c r="H2599" s="137">
        <f t="shared" si="1058"/>
        <v>0.60730428493943234</v>
      </c>
      <c r="I2599" s="2"/>
      <c r="J2599" s="2">
        <f t="shared" si="1060"/>
        <v>0.1755559573314048</v>
      </c>
      <c r="K2599" s="2">
        <f t="shared" si="1061"/>
        <v>0.78286024227083706</v>
      </c>
      <c r="L2599" s="2">
        <f t="shared" si="1062"/>
        <v>8.4975592117157838E-3</v>
      </c>
      <c r="M2599" s="2">
        <f t="shared" si="1063"/>
        <v>3.3086241186042323E-2</v>
      </c>
      <c r="N2599" s="63">
        <v>1942</v>
      </c>
      <c r="O2599" s="63">
        <v>8660</v>
      </c>
      <c r="P2599" s="63">
        <v>94</v>
      </c>
      <c r="Q2599" s="63">
        <v>221</v>
      </c>
      <c r="R2599" s="63">
        <v>35</v>
      </c>
      <c r="S2599" s="63">
        <v>12</v>
      </c>
      <c r="T2599" s="63">
        <v>32</v>
      </c>
      <c r="U2599" s="63"/>
      <c r="V2599" s="63"/>
      <c r="W2599" s="63">
        <f>IF(Copyright!B$11=1,IF(CA2599&gt;0,CA2599-SUM(U2599:V2599)-SUM(Y2599:AC2599)-SUM(AE2599:AP2599),SUM(CD2599:CF2599)),SUM(CD2599:CF2599))</f>
        <v>0</v>
      </c>
      <c r="X2599" s="63">
        <v>13</v>
      </c>
      <c r="Y2599" s="63">
        <v>0</v>
      </c>
      <c r="Z2599" s="63"/>
      <c r="AA2599" s="63"/>
      <c r="AB2599" s="63"/>
      <c r="AC2599" s="63"/>
      <c r="AD2599" s="63"/>
      <c r="AE2599" s="63">
        <v>0</v>
      </c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>
        <v>53</v>
      </c>
      <c r="AR2599" s="63"/>
      <c r="AS2599" s="63"/>
      <c r="AT2599" s="63"/>
      <c r="AU2599" s="63"/>
      <c r="AW2599" s="5">
        <f>IF(Q2599&gt;0,RANK(Q2599,(N2599:P2599,Q2599:AE2599)),0)</f>
        <v>3</v>
      </c>
      <c r="AX2599" s="5">
        <f>IF(R2599&gt;0,RANK(R2599,(N2599:P2599,Q2599:AE2599)),0)</f>
        <v>5</v>
      </c>
      <c r="AY2599" s="5">
        <f>IF(T2599&gt;0,RANK(T2599,(N2599:P2599,Q2599:AE2599)),0)</f>
        <v>6</v>
      </c>
      <c r="AZ2599" s="5">
        <f>IF(S2599&gt;0,RANK(S2599,(N2599:P2599,Q2599:AE2599)),0)</f>
        <v>8</v>
      </c>
      <c r="BA2599" s="2">
        <f t="shared" si="1064"/>
        <v>1.9978304104140299E-2</v>
      </c>
      <c r="BB2599" s="2">
        <f t="shared" si="1065"/>
        <v>3.1639848128728982E-3</v>
      </c>
      <c r="BC2599" s="2">
        <f t="shared" si="1066"/>
        <v>2.8927861146266498E-3</v>
      </c>
      <c r="BD2599" s="2">
        <f t="shared" si="1067"/>
        <v>1.0847947929849937E-3</v>
      </c>
      <c r="BF2599" t="s">
        <v>1267</v>
      </c>
      <c r="BG2599" t="s">
        <v>18</v>
      </c>
      <c r="BH2599" s="1">
        <v>4</v>
      </c>
      <c r="BJ2599" s="114">
        <v>47</v>
      </c>
      <c r="BK2599" s="116">
        <v>143</v>
      </c>
      <c r="BL2599" s="120">
        <f t="shared" si="1047"/>
        <v>47143</v>
      </c>
      <c r="BN2599" s="5" t="s">
        <v>3154</v>
      </c>
      <c r="CD2599" s="63">
        <v>0</v>
      </c>
      <c r="CE2599" s="63">
        <v>0</v>
      </c>
      <c r="CF2599" s="63">
        <v>0</v>
      </c>
    </row>
    <row r="2600" spans="1:84" hidden="1" outlineLevel="1">
      <c r="A2600" t="s">
        <v>1022</v>
      </c>
      <c r="B2600" t="s">
        <v>18</v>
      </c>
      <c r="C2600" s="1">
        <f t="shared" si="1059"/>
        <v>21669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32">
        <f t="shared" si="1057"/>
        <v>11043</v>
      </c>
      <c r="H2600" s="137">
        <f t="shared" si="1058"/>
        <v>0.50962204070330885</v>
      </c>
      <c r="I2600" s="2"/>
      <c r="J2600" s="2">
        <f t="shared" si="1060"/>
        <v>0.22322211454151092</v>
      </c>
      <c r="K2600" s="2">
        <f t="shared" si="1061"/>
        <v>0.73284415524481983</v>
      </c>
      <c r="L2600" s="2">
        <f t="shared" si="1062"/>
        <v>0</v>
      </c>
      <c r="M2600" s="2">
        <f t="shared" si="1063"/>
        <v>4.3933730213669198E-2</v>
      </c>
      <c r="N2600" s="63">
        <v>4837</v>
      </c>
      <c r="O2600" s="63">
        <v>15880</v>
      </c>
      <c r="P2600" s="63">
        <v>0</v>
      </c>
      <c r="Q2600" s="63">
        <v>596</v>
      </c>
      <c r="R2600" s="63">
        <v>102</v>
      </c>
      <c r="S2600" s="63">
        <v>67</v>
      </c>
      <c r="T2600" s="63">
        <v>60</v>
      </c>
      <c r="U2600" s="63"/>
      <c r="V2600" s="63"/>
      <c r="W2600" s="63">
        <f>IF(Copyright!B$11=1,IF(CA2600&gt;0,CA2600-SUM(U2600:V2600)-SUM(Y2600:AC2600)-SUM(AE2600:AP2600),SUM(CD2600:CF2600)),SUM(CD2600:CF2600))</f>
        <v>0</v>
      </c>
      <c r="X2600" s="63">
        <v>40</v>
      </c>
      <c r="Y2600" s="63">
        <v>0</v>
      </c>
      <c r="Z2600" s="63"/>
      <c r="AA2600" s="63"/>
      <c r="AB2600" s="63"/>
      <c r="AC2600" s="63"/>
      <c r="AD2600" s="63"/>
      <c r="AE2600" s="63">
        <v>0</v>
      </c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>
        <v>87</v>
      </c>
      <c r="AR2600" s="63"/>
      <c r="AS2600" s="63"/>
      <c r="AT2600" s="63"/>
      <c r="AU2600" s="63"/>
      <c r="AW2600" s="5">
        <f>IF(Q2600&gt;0,RANK(Q2600,(N2600:P2600,Q2600:AE2600)),0)</f>
        <v>3</v>
      </c>
      <c r="AX2600" s="5">
        <f>IF(R2600&gt;0,RANK(R2600,(N2600:P2600,Q2600:AE2600)),0)</f>
        <v>4</v>
      </c>
      <c r="AY2600" s="5">
        <f>IF(T2600&gt;0,RANK(T2600,(N2600:P2600,Q2600:AE2600)),0)</f>
        <v>6</v>
      </c>
      <c r="AZ2600" s="5">
        <f>IF(S2600&gt;0,RANK(S2600,(N2600:P2600,Q2600:AE2600)),0)</f>
        <v>5</v>
      </c>
      <c r="BA2600" s="2">
        <f t="shared" si="1064"/>
        <v>2.7504730259818172E-2</v>
      </c>
      <c r="BB2600" s="2">
        <f t="shared" si="1065"/>
        <v>4.7071853800359957E-3</v>
      </c>
      <c r="BC2600" s="2">
        <f t="shared" si="1066"/>
        <v>2.7689325764917623E-3</v>
      </c>
      <c r="BD2600" s="2">
        <f t="shared" si="1067"/>
        <v>3.0919747104158012E-3</v>
      </c>
      <c r="BF2600" t="s">
        <v>1022</v>
      </c>
      <c r="BG2600" t="s">
        <v>18</v>
      </c>
      <c r="BH2600" s="1">
        <v>3</v>
      </c>
      <c r="BJ2600" s="114">
        <v>47</v>
      </c>
      <c r="BK2600" s="116">
        <v>145</v>
      </c>
      <c r="BL2600" s="120">
        <f t="shared" si="1047"/>
        <v>47145</v>
      </c>
      <c r="BN2600" s="5" t="s">
        <v>3154</v>
      </c>
      <c r="CD2600" s="63">
        <v>0</v>
      </c>
      <c r="CE2600" s="63">
        <v>0</v>
      </c>
      <c r="CF2600" s="63">
        <v>0</v>
      </c>
    </row>
    <row r="2601" spans="1:84" hidden="1" outlineLevel="1">
      <c r="A2601" t="s">
        <v>1682</v>
      </c>
      <c r="B2601" t="s">
        <v>18</v>
      </c>
      <c r="C2601" s="1">
        <f t="shared" si="1059"/>
        <v>27113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6</v>
      </c>
      <c r="G2601" s="132">
        <f t="shared" si="1057"/>
        <v>12773</v>
      </c>
      <c r="H2601" s="137">
        <f t="shared" si="1058"/>
        <v>0.47110242319182682</v>
      </c>
      <c r="I2601" s="2"/>
      <c r="J2601" s="2">
        <f t="shared" si="1060"/>
        <v>0.24479032198576328</v>
      </c>
      <c r="K2601" s="2">
        <f t="shared" si="1061"/>
        <v>0.71589274517759005</v>
      </c>
      <c r="L2601" s="2">
        <f t="shared" si="1062"/>
        <v>1.6228377531073656E-3</v>
      </c>
      <c r="M2601" s="2">
        <f t="shared" si="1063"/>
        <v>3.769409508353936E-2</v>
      </c>
      <c r="N2601" s="63">
        <v>6637</v>
      </c>
      <c r="O2601" s="63">
        <v>19410</v>
      </c>
      <c r="P2601" s="63">
        <v>44</v>
      </c>
      <c r="Q2601" s="63">
        <v>717</v>
      </c>
      <c r="R2601" s="63">
        <v>161</v>
      </c>
      <c r="S2601" s="63">
        <v>4</v>
      </c>
      <c r="T2601" s="63">
        <v>50</v>
      </c>
      <c r="U2601" s="63"/>
      <c r="V2601" s="63"/>
      <c r="W2601" s="63">
        <f>IF(Copyright!B$11=1,IF(CA2601&gt;0,CA2601-SUM(U2601:V2601)-SUM(Y2601:AC2601)-SUM(AE2601:AP2601),SUM(CD2601:CF2601)),SUM(CD2601:CF2601))</f>
        <v>1</v>
      </c>
      <c r="X2601" s="63">
        <v>23</v>
      </c>
      <c r="Y2601" s="63">
        <v>2</v>
      </c>
      <c r="Z2601" s="63"/>
      <c r="AA2601" s="63"/>
      <c r="AB2601" s="63"/>
      <c r="AC2601" s="63"/>
      <c r="AD2601" s="63"/>
      <c r="AE2601" s="63">
        <v>0</v>
      </c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>
        <v>64</v>
      </c>
      <c r="AR2601" s="63"/>
      <c r="AS2601" s="63"/>
      <c r="AT2601" s="63"/>
      <c r="AU2601" s="63"/>
      <c r="AW2601" s="5">
        <f>IF(Q2601&gt;0,RANK(Q2601,(N2601:P2601,Q2601:AE2601)),0)</f>
        <v>3</v>
      </c>
      <c r="AX2601" s="5">
        <f>IF(R2601&gt;0,RANK(R2601,(N2601:P2601,Q2601:AE2601)),0)</f>
        <v>4</v>
      </c>
      <c r="AY2601" s="5">
        <f>IF(T2601&gt;0,RANK(T2601,(N2601:P2601,Q2601:AE2601)),0)</f>
        <v>5</v>
      </c>
      <c r="AZ2601" s="5">
        <f>IF(S2601&gt;0,RANK(S2601,(N2601:P2601,Q2601:AE2601)),0)</f>
        <v>8</v>
      </c>
      <c r="BA2601" s="2">
        <f t="shared" si="1064"/>
        <v>2.6444878840408661E-2</v>
      </c>
      <c r="BB2601" s="2">
        <f t="shared" si="1065"/>
        <v>5.9381108693246781E-3</v>
      </c>
      <c r="BC2601" s="2">
        <f t="shared" si="1066"/>
        <v>1.844133810349279E-3</v>
      </c>
      <c r="BD2601" s="2">
        <f t="shared" si="1067"/>
        <v>1.4753070482794231E-4</v>
      </c>
      <c r="BF2601" t="s">
        <v>1682</v>
      </c>
      <c r="BG2601" t="s">
        <v>18</v>
      </c>
      <c r="BH2601" s="1">
        <v>6</v>
      </c>
      <c r="BJ2601" s="114">
        <v>47</v>
      </c>
      <c r="BK2601" s="116">
        <v>147</v>
      </c>
      <c r="BL2601" s="120">
        <f t="shared" si="1047"/>
        <v>47147</v>
      </c>
      <c r="BN2601" s="5" t="s">
        <v>3154</v>
      </c>
      <c r="CD2601" s="63">
        <v>0</v>
      </c>
      <c r="CE2601" s="63">
        <v>1</v>
      </c>
      <c r="CF2601" s="63">
        <v>0</v>
      </c>
    </row>
    <row r="2602" spans="1:84" hidden="1" outlineLevel="1">
      <c r="A2602" t="s">
        <v>2098</v>
      </c>
      <c r="B2602" t="s">
        <v>18</v>
      </c>
      <c r="C2602" s="1">
        <f t="shared" si="1059"/>
        <v>107436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5</v>
      </c>
      <c r="G2602" s="132">
        <f t="shared" si="1057"/>
        <v>27809</v>
      </c>
      <c r="H2602" s="137">
        <f t="shared" si="1058"/>
        <v>0.25884247365873636</v>
      </c>
      <c r="I2602" s="2"/>
      <c r="J2602" s="2">
        <f t="shared" si="1060"/>
        <v>0.34165456643955472</v>
      </c>
      <c r="K2602" s="2">
        <f t="shared" si="1061"/>
        <v>0.60049704009829108</v>
      </c>
      <c r="L2602" s="2">
        <f t="shared" si="1062"/>
        <v>5.9384191518671581E-3</v>
      </c>
      <c r="M2602" s="2">
        <f t="shared" si="1063"/>
        <v>5.1909974310287044E-2</v>
      </c>
      <c r="N2602" s="63">
        <v>36706</v>
      </c>
      <c r="O2602" s="63">
        <v>64515</v>
      </c>
      <c r="P2602" s="63">
        <v>638</v>
      </c>
      <c r="Q2602" s="63">
        <v>3916</v>
      </c>
      <c r="R2602" s="63">
        <v>894</v>
      </c>
      <c r="S2602" s="63">
        <v>65</v>
      </c>
      <c r="T2602" s="63">
        <v>172</v>
      </c>
      <c r="U2602" s="63"/>
      <c r="V2602" s="63"/>
      <c r="W2602" s="63">
        <f>IF(Copyright!B$11=1,IF(CA2602&gt;0,CA2602-SUM(U2602:V2602)-SUM(Y2602:AC2602)-SUM(AE2602:AP2602),SUM(CD2602:CF2602)),SUM(CD2602:CF2602))</f>
        <v>30</v>
      </c>
      <c r="X2602" s="63">
        <v>133</v>
      </c>
      <c r="Y2602" s="63">
        <v>7</v>
      </c>
      <c r="Z2602" s="63"/>
      <c r="AA2602" s="63"/>
      <c r="AB2602" s="63"/>
      <c r="AC2602" s="63"/>
      <c r="AD2602" s="63"/>
      <c r="AE2602" s="63">
        <v>0</v>
      </c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>
        <v>360</v>
      </c>
      <c r="AR2602" s="63"/>
      <c r="AS2602" s="63"/>
      <c r="AT2602" s="63"/>
      <c r="AU2602" s="63"/>
      <c r="AW2602" s="5">
        <f>IF(Q2602&gt;0,RANK(Q2602,(N2602:P2602,Q2602:AE2602)),0)</f>
        <v>3</v>
      </c>
      <c r="AX2602" s="5">
        <f>IF(R2602&gt;0,RANK(R2602,(N2602:P2602,Q2602:AE2602)),0)</f>
        <v>4</v>
      </c>
      <c r="AY2602" s="5">
        <f>IF(T2602&gt;0,RANK(T2602,(N2602:P2602,Q2602:AE2602)),0)</f>
        <v>6</v>
      </c>
      <c r="AZ2602" s="5">
        <f>IF(S2602&gt;0,RANK(S2602,(N2602:P2602,Q2602:AE2602)),0)</f>
        <v>8</v>
      </c>
      <c r="BA2602" s="2">
        <f t="shared" si="1064"/>
        <v>3.6449607208012214E-2</v>
      </c>
      <c r="BB2602" s="2">
        <f t="shared" si="1065"/>
        <v>8.321233106221378E-3</v>
      </c>
      <c r="BC2602" s="2">
        <f t="shared" si="1066"/>
        <v>1.6009531255817416E-3</v>
      </c>
      <c r="BD2602" s="2">
        <f t="shared" si="1067"/>
        <v>6.0501135559775125E-4</v>
      </c>
      <c r="BF2602" t="s">
        <v>2098</v>
      </c>
      <c r="BG2602" t="s">
        <v>18</v>
      </c>
      <c r="BH2602" s="1">
        <v>4</v>
      </c>
      <c r="BJ2602" s="114">
        <v>47</v>
      </c>
      <c r="BK2602" s="116">
        <v>149</v>
      </c>
      <c r="BL2602" s="120">
        <f t="shared" ref="BL2602:BL2665" si="1068">1000*BJ2602+BK2602</f>
        <v>47149</v>
      </c>
      <c r="BN2602" s="5" t="s">
        <v>3154</v>
      </c>
      <c r="CD2602" s="63">
        <v>0</v>
      </c>
      <c r="CE2602" s="63">
        <v>30</v>
      </c>
      <c r="CF2602" s="63">
        <v>0</v>
      </c>
    </row>
    <row r="2603" spans="1:84" hidden="1" outlineLevel="1">
      <c r="A2603" t="s">
        <v>830</v>
      </c>
      <c r="B2603" t="s">
        <v>18</v>
      </c>
      <c r="C2603" s="1">
        <f t="shared" si="1059"/>
        <v>7123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32">
        <f t="shared" si="1057"/>
        <v>5110</v>
      </c>
      <c r="H2603" s="137">
        <f t="shared" si="1058"/>
        <v>0.71739435631054327</v>
      </c>
      <c r="I2603" s="2"/>
      <c r="J2603" s="2">
        <f t="shared" si="1060"/>
        <v>0.13112452618278816</v>
      </c>
      <c r="K2603" s="2">
        <f t="shared" si="1061"/>
        <v>0.84851888249333152</v>
      </c>
      <c r="L2603" s="2">
        <f t="shared" si="1062"/>
        <v>0</v>
      </c>
      <c r="M2603" s="2">
        <f t="shared" si="1063"/>
        <v>2.0356591323880346E-2</v>
      </c>
      <c r="N2603" s="63">
        <v>934</v>
      </c>
      <c r="O2603" s="63">
        <v>6044</v>
      </c>
      <c r="P2603" s="63">
        <v>0</v>
      </c>
      <c r="Q2603" s="63">
        <v>80</v>
      </c>
      <c r="R2603" s="63">
        <v>21</v>
      </c>
      <c r="S2603" s="63">
        <v>0</v>
      </c>
      <c r="T2603" s="63">
        <v>10</v>
      </c>
      <c r="U2603" s="63"/>
      <c r="V2603" s="63"/>
      <c r="W2603" s="63">
        <f>IF(Copyright!B$11=1,IF(CA2603&gt;0,CA2603-SUM(U2603:V2603)-SUM(Y2603:AC2603)-SUM(AE2603:AP2603),SUM(CD2603:CF2603)),SUM(CD2603:CF2603))</f>
        <v>0</v>
      </c>
      <c r="X2603" s="63">
        <v>6</v>
      </c>
      <c r="Y2603" s="63">
        <v>0</v>
      </c>
      <c r="Z2603" s="63"/>
      <c r="AA2603" s="63"/>
      <c r="AB2603" s="63"/>
      <c r="AC2603" s="63"/>
      <c r="AD2603" s="63"/>
      <c r="AE2603" s="63">
        <v>0</v>
      </c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>
        <v>28</v>
      </c>
      <c r="AR2603" s="63"/>
      <c r="AS2603" s="63"/>
      <c r="AT2603" s="63"/>
      <c r="AU2603" s="63"/>
      <c r="AW2603" s="5">
        <f>IF(Q2603&gt;0,RANK(Q2603,(N2603:P2603,Q2603:AE2603)),0)</f>
        <v>3</v>
      </c>
      <c r="AX2603" s="5">
        <f>IF(R2603&gt;0,RANK(R2603,(N2603:P2603,Q2603:AE2603)),0)</f>
        <v>4</v>
      </c>
      <c r="AY2603" s="5">
        <f>IF(T2603&gt;0,RANK(T2603,(N2603:P2603,Q2603:AE2603)),0)</f>
        <v>5</v>
      </c>
      <c r="AZ2603" s="5">
        <f>IF(S2603&gt;0,RANK(S2603,(N2603:P2603,Q2603:AE2603)),0)</f>
        <v>0</v>
      </c>
      <c r="BA2603" s="2">
        <f t="shared" si="1064"/>
        <v>1.1231222799382283E-2</v>
      </c>
      <c r="BB2603" s="2">
        <f t="shared" si="1065"/>
        <v>2.9481959848378491E-3</v>
      </c>
      <c r="BC2603" s="2">
        <f t="shared" si="1066"/>
        <v>1.4039028499227854E-3</v>
      </c>
      <c r="BD2603" s="2">
        <f t="shared" si="1067"/>
        <v>0</v>
      </c>
      <c r="BF2603" t="s">
        <v>830</v>
      </c>
      <c r="BG2603" t="s">
        <v>18</v>
      </c>
      <c r="BH2603" s="1">
        <v>3</v>
      </c>
      <c r="BJ2603" s="114">
        <v>47</v>
      </c>
      <c r="BK2603" s="116">
        <v>151</v>
      </c>
      <c r="BL2603" s="120">
        <f t="shared" si="1068"/>
        <v>47151</v>
      </c>
      <c r="BN2603" s="5" t="s">
        <v>3154</v>
      </c>
      <c r="CD2603" s="63">
        <v>0</v>
      </c>
      <c r="CE2603" s="63">
        <v>0</v>
      </c>
      <c r="CF2603" s="63">
        <v>0</v>
      </c>
    </row>
    <row r="2604" spans="1:84" hidden="1" outlineLevel="1">
      <c r="A2604" t="s">
        <v>1449</v>
      </c>
      <c r="B2604" t="s">
        <v>18</v>
      </c>
      <c r="C2604" s="1">
        <f t="shared" si="1059"/>
        <v>5694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5</v>
      </c>
      <c r="G2604" s="132">
        <f t="shared" si="1057"/>
        <v>3388</v>
      </c>
      <c r="H2604" s="137">
        <f t="shared" si="1058"/>
        <v>0.59501229364243058</v>
      </c>
      <c r="I2604" s="2"/>
      <c r="J2604" s="2">
        <f t="shared" si="1060"/>
        <v>0.18493150684931506</v>
      </c>
      <c r="K2604" s="2">
        <f t="shared" si="1061"/>
        <v>0.77994380049174572</v>
      </c>
      <c r="L2604" s="2">
        <f t="shared" si="1062"/>
        <v>2.4587284861257463E-3</v>
      </c>
      <c r="M2604" s="2">
        <f t="shared" si="1063"/>
        <v>3.2665964172813505E-2</v>
      </c>
      <c r="N2604" s="63">
        <v>1053</v>
      </c>
      <c r="O2604" s="63">
        <v>4441</v>
      </c>
      <c r="P2604" s="63">
        <v>14</v>
      </c>
      <c r="Q2604" s="63">
        <v>128</v>
      </c>
      <c r="R2604" s="63">
        <v>25</v>
      </c>
      <c r="S2604" s="63">
        <v>3</v>
      </c>
      <c r="T2604" s="63">
        <v>9</v>
      </c>
      <c r="U2604" s="63"/>
      <c r="V2604" s="63"/>
      <c r="W2604" s="63">
        <f>IF(Copyright!B$11=1,IF(CA2604&gt;0,CA2604-SUM(U2604:V2604)-SUM(Y2604:AC2604)-SUM(AE2604:AP2604),SUM(CD2604:CF2604)),SUM(CD2604:CF2604))</f>
        <v>0</v>
      </c>
      <c r="X2604" s="63">
        <v>4</v>
      </c>
      <c r="Y2604" s="63">
        <v>0</v>
      </c>
      <c r="Z2604" s="63"/>
      <c r="AA2604" s="63"/>
      <c r="AB2604" s="63"/>
      <c r="AC2604" s="63"/>
      <c r="AD2604" s="63"/>
      <c r="AE2604" s="63">
        <v>0</v>
      </c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>
        <v>17</v>
      </c>
      <c r="AR2604" s="63"/>
      <c r="AS2604" s="63"/>
      <c r="AT2604" s="63"/>
      <c r="AU2604" s="63"/>
      <c r="AW2604" s="5">
        <f>IF(Q2604&gt;0,RANK(Q2604,(N2604:P2604,Q2604:AE2604)),0)</f>
        <v>3</v>
      </c>
      <c r="AX2604" s="5">
        <f>IF(R2604&gt;0,RANK(R2604,(N2604:P2604,Q2604:AE2604)),0)</f>
        <v>4</v>
      </c>
      <c r="AY2604" s="5">
        <f>IF(T2604&gt;0,RANK(T2604,(N2604:P2604,Q2604:AE2604)),0)</f>
        <v>6</v>
      </c>
      <c r="AZ2604" s="5">
        <f>IF(S2604&gt;0,RANK(S2604,(N2604:P2604,Q2604:AE2604)),0)</f>
        <v>8</v>
      </c>
      <c r="BA2604" s="2">
        <f t="shared" si="1064"/>
        <v>2.2479803301721109E-2</v>
      </c>
      <c r="BB2604" s="2">
        <f t="shared" si="1065"/>
        <v>4.3905865823674044E-3</v>
      </c>
      <c r="BC2604" s="2">
        <f t="shared" si="1066"/>
        <v>1.5806111696522655E-3</v>
      </c>
      <c r="BD2604" s="2">
        <f t="shared" si="1067"/>
        <v>5.2687038988408848E-4</v>
      </c>
      <c r="BF2604" t="s">
        <v>1449</v>
      </c>
      <c r="BG2604" t="s">
        <v>18</v>
      </c>
      <c r="BH2604" s="1">
        <v>4</v>
      </c>
      <c r="BJ2604" s="114">
        <v>47</v>
      </c>
      <c r="BK2604" s="116">
        <v>153</v>
      </c>
      <c r="BL2604" s="120">
        <f t="shared" si="1068"/>
        <v>47153</v>
      </c>
      <c r="BN2604" s="5" t="s">
        <v>3154</v>
      </c>
      <c r="CA2604" s="133"/>
      <c r="CD2604" s="63">
        <v>0</v>
      </c>
      <c r="CE2604" s="63">
        <v>0</v>
      </c>
      <c r="CF2604" s="63">
        <v>0</v>
      </c>
    </row>
    <row r="2605" spans="1:84" hidden="1" outlineLevel="1">
      <c r="A2605" t="s">
        <v>808</v>
      </c>
      <c r="B2605" t="s">
        <v>18</v>
      </c>
      <c r="C2605" s="1">
        <f t="shared" si="1059"/>
        <v>36312</v>
      </c>
      <c r="D2605" s="5">
        <f>IF(N2605&gt;0, RANK(N2605,(N2605:P2605,Q2605:AE2605)),0)</f>
        <v>2</v>
      </c>
      <c r="E2605" s="5">
        <f>IF(O2605&gt;0,RANK(O2605,(N2605:P2605,Q2605:AE2605)),0)</f>
        <v>1</v>
      </c>
      <c r="F2605" s="5">
        <f>IF(P2605&gt;0,RANK(P2605,(N2605:P2605,Q2605:AE2605)),0)</f>
        <v>5</v>
      </c>
      <c r="G2605" s="132">
        <f t="shared" si="1057"/>
        <v>22332</v>
      </c>
      <c r="H2605" s="137">
        <f t="shared" si="1058"/>
        <v>0.61500330469266362</v>
      </c>
      <c r="I2605" s="2"/>
      <c r="J2605" s="2">
        <f t="shared" si="1060"/>
        <v>0.1734137475214805</v>
      </c>
      <c r="K2605" s="2">
        <f t="shared" si="1061"/>
        <v>0.78841705221414404</v>
      </c>
      <c r="L2605" s="2">
        <f t="shared" si="1062"/>
        <v>2.5611368142762722E-3</v>
      </c>
      <c r="M2605" s="2">
        <f t="shared" si="1063"/>
        <v>3.5608063450099155E-2</v>
      </c>
      <c r="N2605" s="63">
        <v>6297</v>
      </c>
      <c r="O2605" s="63">
        <v>28629</v>
      </c>
      <c r="P2605" s="63">
        <v>93</v>
      </c>
      <c r="Q2605" s="63">
        <v>915</v>
      </c>
      <c r="R2605" s="63">
        <v>212</v>
      </c>
      <c r="S2605" s="63">
        <v>13</v>
      </c>
      <c r="T2605" s="63">
        <v>37</v>
      </c>
      <c r="U2605" s="63"/>
      <c r="V2605" s="63"/>
      <c r="W2605" s="63">
        <f>IF(Copyright!B$11=1,IF(CA2605&gt;0,CA2605-SUM(U2605:V2605)-SUM(Y2605:AC2605)-SUM(AE2605:AP2605),SUM(CD2605:CF2605)),SUM(CD2605:CF2605))</f>
        <v>0</v>
      </c>
      <c r="X2605" s="63">
        <v>36</v>
      </c>
      <c r="Y2605" s="63">
        <v>2</v>
      </c>
      <c r="Z2605" s="63"/>
      <c r="AA2605" s="63"/>
      <c r="AB2605" s="63"/>
      <c r="AC2605" s="63"/>
      <c r="AD2605" s="63"/>
      <c r="AE2605" s="63">
        <v>0</v>
      </c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>
        <v>78</v>
      </c>
      <c r="AR2605" s="63"/>
      <c r="AS2605" s="63"/>
      <c r="AT2605" s="63"/>
      <c r="AU2605" s="63"/>
      <c r="AW2605" s="5">
        <f>IF(Q2605&gt;0,RANK(Q2605,(N2605:P2605,Q2605:AE2605)),0)</f>
        <v>3</v>
      </c>
      <c r="AX2605" s="5">
        <f>IF(R2605&gt;0,RANK(R2605,(N2605:P2605,Q2605:AE2605)),0)</f>
        <v>4</v>
      </c>
      <c r="AY2605" s="5">
        <f>IF(T2605&gt;0,RANK(T2605,(N2605:P2605,Q2605:AE2605)),0)</f>
        <v>6</v>
      </c>
      <c r="AZ2605" s="5">
        <f>IF(S2605&gt;0,RANK(S2605,(N2605:P2605,Q2605:AE2605)),0)</f>
        <v>8</v>
      </c>
      <c r="BA2605" s="2">
        <f t="shared" si="1064"/>
        <v>2.5198281559814937E-2</v>
      </c>
      <c r="BB2605" s="2">
        <f t="shared" si="1065"/>
        <v>5.8382903723287064E-3</v>
      </c>
      <c r="BC2605" s="2">
        <f t="shared" si="1066"/>
        <v>1.0189469046045384E-3</v>
      </c>
      <c r="BD2605" s="2">
        <f t="shared" si="1067"/>
        <v>3.5800837188808109E-4</v>
      </c>
      <c r="BF2605" t="s">
        <v>808</v>
      </c>
      <c r="BG2605" t="s">
        <v>18</v>
      </c>
      <c r="BH2605" s="1">
        <v>1</v>
      </c>
      <c r="BJ2605" s="114">
        <v>47</v>
      </c>
      <c r="BK2605" s="116">
        <v>155</v>
      </c>
      <c r="BL2605" s="120">
        <f t="shared" si="1068"/>
        <v>47155</v>
      </c>
      <c r="BN2605" s="5" t="s">
        <v>3154</v>
      </c>
      <c r="CD2605" s="63">
        <v>0</v>
      </c>
      <c r="CE2605" s="63">
        <v>0</v>
      </c>
      <c r="CF2605" s="63">
        <v>0</v>
      </c>
    </row>
    <row r="2606" spans="1:84" hidden="1" outlineLevel="1">
      <c r="A2606" t="s">
        <v>23</v>
      </c>
      <c r="B2606" t="s">
        <v>18</v>
      </c>
      <c r="C2606" s="1">
        <f t="shared" si="1059"/>
        <v>337383</v>
      </c>
      <c r="D2606" s="5">
        <f>IF(N2606&gt;0, RANK(N2606,(N2606:P2606,Q2606:AE2606)),0)</f>
        <v>1</v>
      </c>
      <c r="E2606" s="5">
        <f>IF(O2606&gt;0,RANK(O2606,(N2606:P2606,Q2606:AE2606)),0)</f>
        <v>2</v>
      </c>
      <c r="F2606" s="5">
        <f>IF(P2606&gt;0,RANK(P2606,(N2606:P2606,Q2606:AE2606)),0)</f>
        <v>5</v>
      </c>
      <c r="G2606" s="132">
        <f t="shared" si="1057"/>
        <v>92648</v>
      </c>
      <c r="H2606" s="137">
        <f t="shared" si="1058"/>
        <v>0.27460778995977864</v>
      </c>
      <c r="I2606" s="2"/>
      <c r="J2606" s="2">
        <f t="shared" si="1060"/>
        <v>0.6194502983256418</v>
      </c>
      <c r="K2606" s="2">
        <f t="shared" si="1061"/>
        <v>0.34484250836586311</v>
      </c>
      <c r="L2606" s="2">
        <f t="shared" si="1062"/>
        <v>4.1436586905682863E-3</v>
      </c>
      <c r="M2606" s="2">
        <f t="shared" si="1063"/>
        <v>3.1563534617926804E-2</v>
      </c>
      <c r="N2606" s="63">
        <v>208992</v>
      </c>
      <c r="O2606" s="63">
        <v>116344</v>
      </c>
      <c r="P2606" s="63">
        <v>1398</v>
      </c>
      <c r="Q2606" s="63">
        <v>6939</v>
      </c>
      <c r="R2606" s="63">
        <v>1986</v>
      </c>
      <c r="S2606" s="63">
        <v>195</v>
      </c>
      <c r="T2606" s="63">
        <v>540</v>
      </c>
      <c r="U2606" s="63"/>
      <c r="V2606" s="63"/>
      <c r="W2606" s="63">
        <f>IF(Copyright!B$11=1,IF(CA2606&gt;0,CA2606-SUM(U2606:V2606)-SUM(Y2606:AC2606)-SUM(AE2606:AP2606),SUM(CD2606:CF2606)),SUM(CD2606:CF2606))</f>
        <v>1</v>
      </c>
      <c r="X2606" s="63">
        <v>358</v>
      </c>
      <c r="Y2606" s="63">
        <v>10</v>
      </c>
      <c r="Z2606" s="63"/>
      <c r="AA2606" s="63"/>
      <c r="AB2606" s="63"/>
      <c r="AC2606" s="63"/>
      <c r="AD2606" s="63"/>
      <c r="AE2606" s="63">
        <v>1</v>
      </c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>
        <v>619</v>
      </c>
      <c r="AR2606" s="63"/>
      <c r="AS2606" s="63"/>
      <c r="AT2606" s="63"/>
      <c r="AU2606" s="63"/>
      <c r="AW2606" s="5">
        <f>IF(Q2606&gt;0,RANK(Q2606,(N2606:P2606,Q2606:AE2606)),0)</f>
        <v>3</v>
      </c>
      <c r="AX2606" s="5">
        <f>IF(R2606&gt;0,RANK(R2606,(N2606:P2606,Q2606:AE2606)),0)</f>
        <v>4</v>
      </c>
      <c r="AY2606" s="5">
        <f>IF(T2606&gt;0,RANK(T2606,(N2606:P2606,Q2606:AE2606)),0)</f>
        <v>6</v>
      </c>
      <c r="AZ2606" s="5">
        <f>IF(S2606&gt;0,RANK(S2606,(N2606:P2606,Q2606:AE2606)),0)</f>
        <v>8</v>
      </c>
      <c r="BA2606" s="2">
        <f t="shared" si="1064"/>
        <v>2.0567129938378639E-2</v>
      </c>
      <c r="BB2606" s="2">
        <f t="shared" si="1065"/>
        <v>5.8864850926098828E-3</v>
      </c>
      <c r="BC2606" s="2">
        <f t="shared" si="1066"/>
        <v>1.6005548590177928E-3</v>
      </c>
      <c r="BD2606" s="2">
        <f t="shared" si="1067"/>
        <v>5.7797814353420301E-4</v>
      </c>
      <c r="BF2606" t="s">
        <v>23</v>
      </c>
      <c r="BG2606" t="s">
        <v>18</v>
      </c>
      <c r="BH2606" s="1"/>
      <c r="BJ2606" s="114">
        <v>47</v>
      </c>
      <c r="BK2606" s="116">
        <v>157</v>
      </c>
      <c r="BL2606" s="120">
        <f t="shared" si="1068"/>
        <v>47157</v>
      </c>
      <c r="BN2606" s="5" t="s">
        <v>3154</v>
      </c>
      <c r="BR2606" s="63"/>
      <c r="CD2606" s="63">
        <v>1</v>
      </c>
      <c r="CE2606" s="63">
        <v>0</v>
      </c>
      <c r="CF2606" s="63">
        <v>0</v>
      </c>
    </row>
    <row r="2607" spans="1:84" hidden="1" outlineLevel="1">
      <c r="A2607" t="s">
        <v>1984</v>
      </c>
      <c r="B2607" t="s">
        <v>18</v>
      </c>
      <c r="C2607" s="1">
        <f t="shared" si="1059"/>
        <v>7436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6</v>
      </c>
      <c r="G2607" s="132">
        <f t="shared" si="1057"/>
        <v>3805</v>
      </c>
      <c r="H2607" s="137">
        <f t="shared" si="1058"/>
        <v>0.51169983862291557</v>
      </c>
      <c r="I2607" s="2"/>
      <c r="J2607" s="2">
        <f t="shared" si="1060"/>
        <v>0.22713824636901561</v>
      </c>
      <c r="K2607" s="2">
        <f t="shared" si="1061"/>
        <v>0.73883808499193115</v>
      </c>
      <c r="L2607" s="2">
        <f t="shared" si="1062"/>
        <v>9.413663259817106E-4</v>
      </c>
      <c r="M2607" s="2">
        <f t="shared" si="1063"/>
        <v>3.3082302313071549E-2</v>
      </c>
      <c r="N2607" s="63">
        <v>1689</v>
      </c>
      <c r="O2607" s="63">
        <v>5494</v>
      </c>
      <c r="P2607" s="63">
        <v>7</v>
      </c>
      <c r="Q2607" s="63">
        <v>171</v>
      </c>
      <c r="R2607" s="63">
        <v>30</v>
      </c>
      <c r="S2607" s="63">
        <v>7</v>
      </c>
      <c r="T2607" s="63">
        <v>6</v>
      </c>
      <c r="U2607" s="63"/>
      <c r="V2607" s="63"/>
      <c r="W2607" s="63">
        <f>IF(Copyright!B$11=1,IF(CA2607&gt;0,CA2607-SUM(U2607:V2607)-SUM(Y2607:AC2607)-SUM(AE2607:AP2607),SUM(CD2607:CF2607)),SUM(CD2607:CF2607))</f>
        <v>1</v>
      </c>
      <c r="X2607" s="63">
        <v>11</v>
      </c>
      <c r="Y2607" s="63">
        <v>1</v>
      </c>
      <c r="Z2607" s="63"/>
      <c r="AA2607" s="63"/>
      <c r="AB2607" s="63"/>
      <c r="AC2607" s="63"/>
      <c r="AD2607" s="63"/>
      <c r="AE2607" s="63">
        <v>0</v>
      </c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>
        <v>19</v>
      </c>
      <c r="AR2607" s="63"/>
      <c r="AS2607" s="63"/>
      <c r="AT2607" s="63"/>
      <c r="AU2607" s="63"/>
      <c r="AW2607" s="5">
        <f>IF(Q2607&gt;0,RANK(Q2607,(N2607:P2607,Q2607:AE2607)),0)</f>
        <v>3</v>
      </c>
      <c r="AX2607" s="5">
        <f>IF(R2607&gt;0,RANK(R2607,(N2607:P2607,Q2607:AE2607)),0)</f>
        <v>4</v>
      </c>
      <c r="AY2607" s="5">
        <f>IF(T2607&gt;0,RANK(T2607,(N2607:P2607,Q2607:AE2607)),0)</f>
        <v>8</v>
      </c>
      <c r="AZ2607" s="5">
        <f>IF(S2607&gt;0,RANK(S2607,(N2607:P2607,Q2607:AE2607)),0)</f>
        <v>6</v>
      </c>
      <c r="BA2607" s="2">
        <f t="shared" si="1064"/>
        <v>2.2996234534696073E-2</v>
      </c>
      <c r="BB2607" s="2">
        <f t="shared" si="1065"/>
        <v>4.0344271113501879E-3</v>
      </c>
      <c r="BC2607" s="2">
        <f t="shared" si="1066"/>
        <v>8.0688542227003765E-4</v>
      </c>
      <c r="BD2607" s="2">
        <f t="shared" si="1067"/>
        <v>9.413663259817106E-4</v>
      </c>
      <c r="BF2607" t="s">
        <v>1984</v>
      </c>
      <c r="BG2607" t="s">
        <v>18</v>
      </c>
      <c r="BH2607" s="1">
        <v>6</v>
      </c>
      <c r="BJ2607" s="114">
        <v>47</v>
      </c>
      <c r="BK2607" s="116">
        <v>159</v>
      </c>
      <c r="BL2607" s="120">
        <f t="shared" si="1068"/>
        <v>47159</v>
      </c>
      <c r="BN2607" s="5" t="s">
        <v>3154</v>
      </c>
      <c r="CA2607" s="133"/>
      <c r="CD2607" s="63">
        <v>0</v>
      </c>
      <c r="CE2607" s="63">
        <v>1</v>
      </c>
      <c r="CF2607" s="63">
        <v>0</v>
      </c>
    </row>
    <row r="2608" spans="1:84" hidden="1" outlineLevel="1">
      <c r="A2608" t="s">
        <v>1088</v>
      </c>
      <c r="B2608" t="s">
        <v>18</v>
      </c>
      <c r="C2608" s="1">
        <f t="shared" si="1059"/>
        <v>5299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6</v>
      </c>
      <c r="G2608" s="132">
        <f t="shared" si="1057"/>
        <v>2642</v>
      </c>
      <c r="H2608" s="137">
        <f t="shared" si="1058"/>
        <v>0.49858463861105867</v>
      </c>
      <c r="I2608" s="2"/>
      <c r="J2608" s="2">
        <f t="shared" si="1060"/>
        <v>0.23060954897150407</v>
      </c>
      <c r="K2608" s="2">
        <f t="shared" si="1061"/>
        <v>0.72919418758256271</v>
      </c>
      <c r="L2608" s="2">
        <f t="shared" si="1062"/>
        <v>2.2645782223060956E-3</v>
      </c>
      <c r="M2608" s="2">
        <f t="shared" si="1063"/>
        <v>3.7931685223627096E-2</v>
      </c>
      <c r="N2608" s="63">
        <v>1222</v>
      </c>
      <c r="O2608" s="63">
        <v>3864</v>
      </c>
      <c r="P2608" s="63">
        <v>12</v>
      </c>
      <c r="Q2608" s="63">
        <v>147</v>
      </c>
      <c r="R2608" s="63">
        <v>21</v>
      </c>
      <c r="S2608" s="63">
        <v>4</v>
      </c>
      <c r="T2608" s="63">
        <v>13</v>
      </c>
      <c r="U2608" s="63"/>
      <c r="V2608" s="63"/>
      <c r="W2608" s="63">
        <f>IF(Copyright!B$11=1,IF(CA2608&gt;0,CA2608-SUM(U2608:V2608)-SUM(Y2608:AC2608)-SUM(AE2608:AP2608),SUM(CD2608:CF2608)),SUM(CD2608:CF2608))</f>
        <v>0</v>
      </c>
      <c r="X2608" s="63">
        <v>4</v>
      </c>
      <c r="Y2608" s="63">
        <v>0</v>
      </c>
      <c r="Z2608" s="63"/>
      <c r="AA2608" s="63"/>
      <c r="AB2608" s="63"/>
      <c r="AC2608" s="63"/>
      <c r="AD2608" s="63"/>
      <c r="AE2608" s="63">
        <v>0</v>
      </c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>
        <v>12</v>
      </c>
      <c r="AR2608" s="63"/>
      <c r="AS2608" s="63"/>
      <c r="AT2608" s="63"/>
      <c r="AU2608" s="63"/>
      <c r="AW2608" s="5">
        <f>IF(Q2608&gt;0,RANK(Q2608,(N2608:P2608,Q2608:AE2608)),0)</f>
        <v>3</v>
      </c>
      <c r="AX2608" s="5">
        <f>IF(R2608&gt;0,RANK(R2608,(N2608:P2608,Q2608:AE2608)),0)</f>
        <v>4</v>
      </c>
      <c r="AY2608" s="5">
        <f>IF(T2608&gt;0,RANK(T2608,(N2608:P2608,Q2608:AE2608)),0)</f>
        <v>5</v>
      </c>
      <c r="AZ2608" s="5">
        <f>IF(S2608&gt;0,RANK(S2608,(N2608:P2608,Q2608:AE2608)),0)</f>
        <v>7</v>
      </c>
      <c r="BA2608" s="2">
        <f t="shared" si="1064"/>
        <v>2.7741083223249668E-2</v>
      </c>
      <c r="BB2608" s="2">
        <f t="shared" si="1065"/>
        <v>3.9630118890356669E-3</v>
      </c>
      <c r="BC2608" s="2">
        <f t="shared" si="1066"/>
        <v>2.4532930741649368E-3</v>
      </c>
      <c r="BD2608" s="2">
        <f t="shared" si="1067"/>
        <v>7.5485940743536515E-4</v>
      </c>
      <c r="BF2608" t="s">
        <v>1088</v>
      </c>
      <c r="BG2608" t="s">
        <v>18</v>
      </c>
      <c r="BH2608" s="1">
        <v>7</v>
      </c>
      <c r="BJ2608" s="114">
        <v>47</v>
      </c>
      <c r="BK2608" s="116">
        <v>161</v>
      </c>
      <c r="BL2608" s="120">
        <f t="shared" si="1068"/>
        <v>47161</v>
      </c>
      <c r="BN2608" s="5" t="s">
        <v>3154</v>
      </c>
      <c r="CD2608" s="63">
        <v>0</v>
      </c>
      <c r="CE2608" s="63">
        <v>0</v>
      </c>
      <c r="CF2608" s="63">
        <v>0</v>
      </c>
    </row>
    <row r="2609" spans="1:87" hidden="1" outlineLevel="1">
      <c r="A2609" t="s">
        <v>1040</v>
      </c>
      <c r="B2609" t="s">
        <v>18</v>
      </c>
      <c r="C2609" s="1">
        <f t="shared" si="1059"/>
        <v>62278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5</v>
      </c>
      <c r="G2609" s="132">
        <f t="shared" si="1057"/>
        <v>34401</v>
      </c>
      <c r="H2609" s="137">
        <f t="shared" si="1058"/>
        <v>0.55237804682231284</v>
      </c>
      <c r="I2609" s="2"/>
      <c r="J2609" s="2">
        <f t="shared" si="1060"/>
        <v>0.20196538103343076</v>
      </c>
      <c r="K2609" s="2">
        <f t="shared" si="1061"/>
        <v>0.7543434278557436</v>
      </c>
      <c r="L2609" s="2">
        <f t="shared" si="1062"/>
        <v>2.7457529143517776E-3</v>
      </c>
      <c r="M2609" s="2">
        <f t="shared" si="1063"/>
        <v>4.0945438196473866E-2</v>
      </c>
      <c r="N2609" s="63">
        <v>12578</v>
      </c>
      <c r="O2609" s="63">
        <v>46979</v>
      </c>
      <c r="P2609" s="63">
        <v>171</v>
      </c>
      <c r="Q2609" s="63">
        <v>1793</v>
      </c>
      <c r="R2609" s="63">
        <v>355</v>
      </c>
      <c r="S2609" s="63">
        <v>54</v>
      </c>
      <c r="T2609" s="63">
        <v>96</v>
      </c>
      <c r="U2609" s="63"/>
      <c r="V2609" s="63"/>
      <c r="W2609" s="63">
        <f>IF(Copyright!B$11=1,IF(CA2609&gt;0,CA2609-SUM(U2609:V2609)-SUM(Y2609:AC2609)-SUM(AE2609:AP2609),SUM(CD2609:CF2609)),SUM(CD2609:CF2609))</f>
        <v>0</v>
      </c>
      <c r="X2609" s="63">
        <v>73</v>
      </c>
      <c r="Y2609" s="63">
        <v>9</v>
      </c>
      <c r="Z2609" s="63"/>
      <c r="AA2609" s="63"/>
      <c r="AB2609" s="63"/>
      <c r="AC2609" s="63"/>
      <c r="AD2609" s="63"/>
      <c r="AE2609" s="63">
        <v>0</v>
      </c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>
        <v>170</v>
      </c>
      <c r="AR2609" s="63"/>
      <c r="AS2609" s="63"/>
      <c r="AT2609" s="63"/>
      <c r="AU2609" s="63"/>
      <c r="AW2609" s="5">
        <f>IF(Q2609&gt;0,RANK(Q2609,(N2609:P2609,Q2609:AE2609)),0)</f>
        <v>3</v>
      </c>
      <c r="AX2609" s="5">
        <f>IF(R2609&gt;0,RANK(R2609,(N2609:P2609,Q2609:AE2609)),0)</f>
        <v>4</v>
      </c>
      <c r="AY2609" s="5">
        <f>IF(T2609&gt;0,RANK(T2609,(N2609:P2609,Q2609:AE2609)),0)</f>
        <v>6</v>
      </c>
      <c r="AZ2609" s="5">
        <f>IF(S2609&gt;0,RANK(S2609,(N2609:P2609,Q2609:AE2609)),0)</f>
        <v>8</v>
      </c>
      <c r="BA2609" s="2">
        <f t="shared" si="1064"/>
        <v>2.8790263014226533E-2</v>
      </c>
      <c r="BB2609" s="2">
        <f t="shared" si="1065"/>
        <v>5.7002472783326376E-3</v>
      </c>
      <c r="BC2609" s="2">
        <f t="shared" si="1066"/>
        <v>1.5414753203378401E-3</v>
      </c>
      <c r="BD2609" s="2">
        <f t="shared" si="1067"/>
        <v>8.6707986769003504E-4</v>
      </c>
      <c r="BF2609" t="s">
        <v>1040</v>
      </c>
      <c r="BG2609" t="s">
        <v>18</v>
      </c>
      <c r="BH2609" s="1">
        <v>1</v>
      </c>
      <c r="BJ2609" s="114">
        <v>47</v>
      </c>
      <c r="BK2609" s="116">
        <v>163</v>
      </c>
      <c r="BL2609" s="120">
        <f t="shared" si="1068"/>
        <v>47163</v>
      </c>
      <c r="BN2609" s="5" t="s">
        <v>3154</v>
      </c>
      <c r="CD2609" s="63">
        <v>0</v>
      </c>
      <c r="CE2609" s="63">
        <v>0</v>
      </c>
      <c r="CF2609" s="63">
        <v>0</v>
      </c>
    </row>
    <row r="2610" spans="1:87" hidden="1" outlineLevel="1">
      <c r="A2610" t="s">
        <v>3170</v>
      </c>
      <c r="B2610" t="s">
        <v>18</v>
      </c>
      <c r="C2610" s="1">
        <f t="shared" si="1059"/>
        <v>71505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5</v>
      </c>
      <c r="G2610" s="132">
        <f t="shared" si="1057"/>
        <v>31968</v>
      </c>
      <c r="H2610" s="137">
        <f t="shared" si="1058"/>
        <v>0.44707363121460036</v>
      </c>
      <c r="I2610" s="2"/>
      <c r="J2610" s="2">
        <f t="shared" si="1060"/>
        <v>0.25398223900426542</v>
      </c>
      <c r="K2610" s="2">
        <f t="shared" si="1061"/>
        <v>0.70105587021886584</v>
      </c>
      <c r="L2610" s="2">
        <f t="shared" si="1062"/>
        <v>5.1325082162086569E-3</v>
      </c>
      <c r="M2610" s="2">
        <f t="shared" si="1063"/>
        <v>3.9829382560660084E-2</v>
      </c>
      <c r="N2610" s="63">
        <v>18161</v>
      </c>
      <c r="O2610" s="63">
        <v>50129</v>
      </c>
      <c r="P2610" s="63">
        <v>367</v>
      </c>
      <c r="Q2610" s="63">
        <v>2102</v>
      </c>
      <c r="R2610" s="63">
        <v>369</v>
      </c>
      <c r="S2610" s="63">
        <v>22</v>
      </c>
      <c r="T2610" s="63">
        <v>102</v>
      </c>
      <c r="U2610" s="63"/>
      <c r="V2610" s="63"/>
      <c r="W2610" s="63">
        <f>IF(Copyright!B$11=1,IF(CA2610&gt;0,CA2610-SUM(U2610:V2610)-SUM(Y2610:AC2610)-SUM(AE2610:AP2610),SUM(CD2610:CF2610)),SUM(CD2610:CF2610))</f>
        <v>0</v>
      </c>
      <c r="X2610" s="63">
        <v>75</v>
      </c>
      <c r="Y2610" s="63">
        <v>2</v>
      </c>
      <c r="Z2610" s="63"/>
      <c r="AA2610" s="63"/>
      <c r="AB2610" s="63"/>
      <c r="AC2610" s="63"/>
      <c r="AD2610" s="63"/>
      <c r="AE2610" s="63">
        <v>0</v>
      </c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>
        <v>176</v>
      </c>
      <c r="AR2610" s="63"/>
      <c r="AS2610" s="63"/>
      <c r="AT2610" s="63"/>
      <c r="AU2610" s="63"/>
      <c r="AW2610" s="5">
        <f>IF(Q2610&gt;0,RANK(Q2610,(N2610:P2610,Q2610:AE2610)),0)</f>
        <v>3</v>
      </c>
      <c r="AX2610" s="5">
        <f>IF(R2610&gt;0,RANK(R2610,(N2610:P2610,Q2610:AE2610)),0)</f>
        <v>4</v>
      </c>
      <c r="AY2610" s="5">
        <f>IF(T2610&gt;0,RANK(T2610,(N2610:P2610,Q2610:AE2610)),0)</f>
        <v>6</v>
      </c>
      <c r="AZ2610" s="5">
        <f>IF(S2610&gt;0,RANK(S2610,(N2610:P2610,Q2610:AE2610)),0)</f>
        <v>8</v>
      </c>
      <c r="BA2610" s="2">
        <f t="shared" si="1064"/>
        <v>2.9396545696105166E-2</v>
      </c>
      <c r="BB2610" s="2">
        <f t="shared" si="1065"/>
        <v>5.1604782882315918E-3</v>
      </c>
      <c r="BC2610" s="2">
        <f t="shared" si="1066"/>
        <v>1.4264736731697085E-3</v>
      </c>
      <c r="BD2610" s="2">
        <f t="shared" si="1067"/>
        <v>3.0767079225229004E-4</v>
      </c>
      <c r="BF2610" t="s">
        <v>3170</v>
      </c>
      <c r="BG2610" t="s">
        <v>18</v>
      </c>
      <c r="BH2610" s="1">
        <v>6</v>
      </c>
      <c r="BJ2610" s="114">
        <v>47</v>
      </c>
      <c r="BK2610" s="116">
        <v>165</v>
      </c>
      <c r="BL2610" s="120">
        <f t="shared" si="1068"/>
        <v>47165</v>
      </c>
      <c r="BN2610" s="5" t="s">
        <v>3154</v>
      </c>
      <c r="CD2610" s="63">
        <v>0</v>
      </c>
      <c r="CE2610" s="63">
        <v>0</v>
      </c>
      <c r="CF2610" s="63">
        <v>0</v>
      </c>
    </row>
    <row r="2611" spans="1:87" hidden="1" outlineLevel="1">
      <c r="A2611" t="s">
        <v>59</v>
      </c>
      <c r="B2611" t="s">
        <v>18</v>
      </c>
      <c r="C2611" s="1">
        <f t="shared" si="1059"/>
        <v>23481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5</v>
      </c>
      <c r="G2611" s="132">
        <f t="shared" si="1057"/>
        <v>11125</v>
      </c>
      <c r="H2611" s="137">
        <f t="shared" si="1058"/>
        <v>0.47378731740556196</v>
      </c>
      <c r="I2611" s="2"/>
      <c r="J2611" s="2">
        <f t="shared" si="1060"/>
        <v>0.24636940505089222</v>
      </c>
      <c r="K2611" s="2">
        <f t="shared" si="1061"/>
        <v>0.72015672245645412</v>
      </c>
      <c r="L2611" s="2">
        <f t="shared" si="1062"/>
        <v>2.6830203142966655E-3</v>
      </c>
      <c r="M2611" s="2">
        <f t="shared" si="1063"/>
        <v>3.0790852178356989E-2</v>
      </c>
      <c r="N2611" s="63">
        <v>5785</v>
      </c>
      <c r="O2611" s="63">
        <v>16910</v>
      </c>
      <c r="P2611" s="63">
        <v>63</v>
      </c>
      <c r="Q2611" s="63">
        <v>485</v>
      </c>
      <c r="R2611" s="63">
        <v>90</v>
      </c>
      <c r="S2611" s="63">
        <v>22</v>
      </c>
      <c r="T2611" s="63">
        <v>40</v>
      </c>
      <c r="U2611" s="63"/>
      <c r="V2611" s="63"/>
      <c r="W2611" s="63">
        <f>IF(Copyright!B$11=1,IF(CA2611&gt;0,CA2611-SUM(U2611:V2611)-SUM(Y2611:AC2611)-SUM(AE2611:AP2611),SUM(CD2611:CF2611)),SUM(CD2611:CF2611))</f>
        <v>0</v>
      </c>
      <c r="X2611" s="63">
        <v>33</v>
      </c>
      <c r="Y2611" s="63">
        <v>0</v>
      </c>
      <c r="Z2611" s="63"/>
      <c r="AA2611" s="63"/>
      <c r="AB2611" s="63"/>
      <c r="AC2611" s="63"/>
      <c r="AD2611" s="63"/>
      <c r="AE2611" s="63">
        <v>0</v>
      </c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>
        <v>53</v>
      </c>
      <c r="AR2611" s="63"/>
      <c r="AS2611" s="63"/>
      <c r="AT2611" s="63"/>
      <c r="AU2611" s="63"/>
      <c r="AW2611" s="5">
        <f>IF(Q2611&gt;0,RANK(Q2611,(N2611:P2611,Q2611:AE2611)),0)</f>
        <v>3</v>
      </c>
      <c r="AX2611" s="5">
        <f>IF(R2611&gt;0,RANK(R2611,(N2611:P2611,Q2611:AE2611)),0)</f>
        <v>4</v>
      </c>
      <c r="AY2611" s="5">
        <f>IF(T2611&gt;0,RANK(T2611,(N2611:P2611,Q2611:AE2611)),0)</f>
        <v>6</v>
      </c>
      <c r="AZ2611" s="5">
        <f>IF(S2611&gt;0,RANK(S2611,(N2611:P2611,Q2611:AE2611)),0)</f>
        <v>8</v>
      </c>
      <c r="BA2611" s="2">
        <f t="shared" si="1064"/>
        <v>2.0654997657680679E-2</v>
      </c>
      <c r="BB2611" s="2">
        <f t="shared" si="1065"/>
        <v>3.8328861632809506E-3</v>
      </c>
      <c r="BC2611" s="2">
        <f t="shared" si="1066"/>
        <v>1.7035049614582002E-3</v>
      </c>
      <c r="BD2611" s="2">
        <f t="shared" si="1067"/>
        <v>9.3692772880201011E-4</v>
      </c>
      <c r="BF2611" t="s">
        <v>59</v>
      </c>
      <c r="BG2611" t="s">
        <v>18</v>
      </c>
      <c r="BH2611" s="1">
        <v>8</v>
      </c>
      <c r="BJ2611" s="114">
        <v>47</v>
      </c>
      <c r="BK2611" s="116">
        <v>167</v>
      </c>
      <c r="BL2611" s="120">
        <f t="shared" si="1068"/>
        <v>47167</v>
      </c>
      <c r="BN2611" s="5" t="s">
        <v>3154</v>
      </c>
      <c r="CD2611" s="63">
        <v>0</v>
      </c>
      <c r="CE2611" s="63">
        <v>0</v>
      </c>
      <c r="CF2611" s="63">
        <v>0</v>
      </c>
    </row>
    <row r="2612" spans="1:87" hidden="1" outlineLevel="1">
      <c r="A2612" t="s">
        <v>2309</v>
      </c>
      <c r="B2612" t="s">
        <v>18</v>
      </c>
      <c r="C2612" s="1">
        <f t="shared" si="1059"/>
        <v>3160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7</v>
      </c>
      <c r="G2612" s="132">
        <f t="shared" si="1057"/>
        <v>1157</v>
      </c>
      <c r="H2612" s="137">
        <f t="shared" si="1058"/>
        <v>0.36613924050632912</v>
      </c>
      <c r="I2612" s="2"/>
      <c r="J2612" s="2">
        <f t="shared" si="1060"/>
        <v>0.29936708860759492</v>
      </c>
      <c r="K2612" s="2">
        <f t="shared" si="1061"/>
        <v>0.66550632911392404</v>
      </c>
      <c r="L2612" s="2">
        <f t="shared" si="1062"/>
        <v>1.5822784810126582E-3</v>
      </c>
      <c r="M2612" s="2">
        <f t="shared" si="1063"/>
        <v>3.3544303797468318E-2</v>
      </c>
      <c r="N2612" s="63">
        <v>946</v>
      </c>
      <c r="O2612" s="63">
        <v>2103</v>
      </c>
      <c r="P2612" s="63">
        <v>5</v>
      </c>
      <c r="Q2612" s="63">
        <v>73</v>
      </c>
      <c r="R2612" s="63">
        <v>6</v>
      </c>
      <c r="S2612" s="63">
        <v>5</v>
      </c>
      <c r="T2612" s="63">
        <v>10</v>
      </c>
      <c r="U2612" s="63"/>
      <c r="V2612" s="63"/>
      <c r="W2612" s="63">
        <f>IF(Copyright!B$11=1,IF(CA2612&gt;0,CA2612-SUM(U2612:V2612)-SUM(Y2612:AC2612)-SUM(AE2612:AP2612),SUM(CD2612:CF2612)),SUM(CD2612:CF2612))</f>
        <v>0</v>
      </c>
      <c r="X2612" s="63">
        <v>8</v>
      </c>
      <c r="Y2612" s="63">
        <v>0</v>
      </c>
      <c r="Z2612" s="63"/>
      <c r="AA2612" s="63"/>
      <c r="AB2612" s="63"/>
      <c r="AC2612" s="63"/>
      <c r="AD2612" s="63"/>
      <c r="AE2612" s="63">
        <v>0</v>
      </c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>
        <v>4</v>
      </c>
      <c r="AR2612" s="63"/>
      <c r="AS2612" s="63"/>
      <c r="AT2612" s="63"/>
      <c r="AU2612" s="63"/>
      <c r="AW2612" s="5">
        <f>IF(Q2612&gt;0,RANK(Q2612,(N2612:P2612,Q2612:AE2612)),0)</f>
        <v>3</v>
      </c>
      <c r="AX2612" s="5">
        <f>IF(R2612&gt;0,RANK(R2612,(N2612:P2612,Q2612:AE2612)),0)</f>
        <v>6</v>
      </c>
      <c r="AY2612" s="5">
        <f>IF(T2612&gt;0,RANK(T2612,(N2612:P2612,Q2612:AE2612)),0)</f>
        <v>4</v>
      </c>
      <c r="AZ2612" s="5">
        <f>IF(S2612&gt;0,RANK(S2612,(N2612:P2612,Q2612:AE2612)),0)</f>
        <v>7</v>
      </c>
      <c r="BA2612" s="2">
        <f t="shared" si="1064"/>
        <v>2.3101265822784812E-2</v>
      </c>
      <c r="BB2612" s="2">
        <f t="shared" si="1065"/>
        <v>1.8987341772151898E-3</v>
      </c>
      <c r="BC2612" s="2">
        <f t="shared" si="1066"/>
        <v>3.1645569620253164E-3</v>
      </c>
      <c r="BD2612" s="2">
        <f t="shared" si="1067"/>
        <v>1.5822784810126582E-3</v>
      </c>
      <c r="BF2612" t="s">
        <v>2309</v>
      </c>
      <c r="BG2612" t="s">
        <v>18</v>
      </c>
      <c r="BH2612" s="1">
        <v>6</v>
      </c>
      <c r="BJ2612" s="114">
        <v>47</v>
      </c>
      <c r="BK2612" s="116">
        <v>169</v>
      </c>
      <c r="BL2612" s="120">
        <f t="shared" si="1068"/>
        <v>47169</v>
      </c>
      <c r="BN2612" s="5" t="s">
        <v>3154</v>
      </c>
      <c r="CD2612" s="63">
        <v>0</v>
      </c>
      <c r="CE2612" s="63">
        <v>0</v>
      </c>
      <c r="CF2612" s="63">
        <v>0</v>
      </c>
    </row>
    <row r="2613" spans="1:87" hidden="1" outlineLevel="1">
      <c r="A2613" t="s">
        <v>1999</v>
      </c>
      <c r="B2613" t="s">
        <v>18</v>
      </c>
      <c r="C2613" s="1">
        <f t="shared" si="1059"/>
        <v>7195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5</v>
      </c>
      <c r="G2613" s="132">
        <f t="shared" si="1057"/>
        <v>4409</v>
      </c>
      <c r="H2613" s="137">
        <f t="shared" si="1058"/>
        <v>0.61278665740097293</v>
      </c>
      <c r="I2613" s="2"/>
      <c r="J2613" s="2">
        <f t="shared" si="1060"/>
        <v>0.17539958304378039</v>
      </c>
      <c r="K2613" s="2">
        <f t="shared" si="1061"/>
        <v>0.78818624044475327</v>
      </c>
      <c r="L2613" s="2">
        <f t="shared" si="1062"/>
        <v>2.3627519110493399E-3</v>
      </c>
      <c r="M2613" s="2">
        <f t="shared" si="1063"/>
        <v>3.4051424600416935E-2</v>
      </c>
      <c r="N2613" s="63">
        <v>1262</v>
      </c>
      <c r="O2613" s="63">
        <v>5671</v>
      </c>
      <c r="P2613" s="63">
        <v>17</v>
      </c>
      <c r="Q2613" s="63">
        <v>139</v>
      </c>
      <c r="R2613" s="63">
        <v>53</v>
      </c>
      <c r="S2613" s="63">
        <v>4</v>
      </c>
      <c r="T2613" s="63">
        <v>8</v>
      </c>
      <c r="U2613" s="63"/>
      <c r="V2613" s="63"/>
      <c r="W2613" s="63">
        <f>IF(Copyright!B$11=1,IF(CA2613&gt;0,CA2613-SUM(U2613:V2613)-SUM(Y2613:AC2613)-SUM(AE2613:AP2613),SUM(CD2613:CF2613)),SUM(CD2613:CF2613))</f>
        <v>0</v>
      </c>
      <c r="X2613" s="63">
        <v>14</v>
      </c>
      <c r="Y2613" s="63">
        <v>0</v>
      </c>
      <c r="Z2613" s="63"/>
      <c r="AA2613" s="63"/>
      <c r="AB2613" s="63"/>
      <c r="AC2613" s="63"/>
      <c r="AD2613" s="63"/>
      <c r="AE2613" s="63">
        <v>0</v>
      </c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>
        <v>27</v>
      </c>
      <c r="AR2613" s="63"/>
      <c r="AS2613" s="63"/>
      <c r="AT2613" s="63"/>
      <c r="AU2613" s="63"/>
      <c r="AW2613" s="5">
        <f>IF(Q2613&gt;0,RANK(Q2613,(N2613:P2613,Q2613:AE2613)),0)</f>
        <v>3</v>
      </c>
      <c r="AX2613" s="5">
        <f>IF(R2613&gt;0,RANK(R2613,(N2613:P2613,Q2613:AE2613)),0)</f>
        <v>4</v>
      </c>
      <c r="AY2613" s="5">
        <f>IF(T2613&gt;0,RANK(T2613,(N2613:P2613,Q2613:AE2613)),0)</f>
        <v>7</v>
      </c>
      <c r="AZ2613" s="5">
        <f>IF(S2613&gt;0,RANK(S2613,(N2613:P2613,Q2613:AE2613)),0)</f>
        <v>8</v>
      </c>
      <c r="BA2613" s="2">
        <f t="shared" si="1064"/>
        <v>1.931897150799166E-2</v>
      </c>
      <c r="BB2613" s="2">
        <f t="shared" si="1065"/>
        <v>7.3662265462126481E-3</v>
      </c>
      <c r="BC2613" s="2">
        <f t="shared" si="1066"/>
        <v>1.1118832522585128E-3</v>
      </c>
      <c r="BD2613" s="2">
        <f t="shared" si="1067"/>
        <v>5.5594162612925642E-4</v>
      </c>
      <c r="BF2613" t="s">
        <v>1999</v>
      </c>
      <c r="BG2613" t="s">
        <v>18</v>
      </c>
      <c r="BH2613" s="1">
        <v>1</v>
      </c>
      <c r="BJ2613" s="114">
        <v>47</v>
      </c>
      <c r="BK2613" s="116">
        <v>171</v>
      </c>
      <c r="BL2613" s="120">
        <f t="shared" si="1068"/>
        <v>47171</v>
      </c>
      <c r="BN2613" s="5" t="s">
        <v>3154</v>
      </c>
      <c r="CD2613" s="63">
        <v>0</v>
      </c>
      <c r="CE2613" s="63">
        <v>0</v>
      </c>
      <c r="CF2613" s="63">
        <v>0</v>
      </c>
    </row>
    <row r="2614" spans="1:87" hidden="1" outlineLevel="1">
      <c r="A2614" t="s">
        <v>1513</v>
      </c>
      <c r="B2614" t="s">
        <v>18</v>
      </c>
      <c r="C2614" s="1">
        <f t="shared" si="1059"/>
        <v>6247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6</v>
      </c>
      <c r="G2614" s="132">
        <f t="shared" si="1057"/>
        <v>4041</v>
      </c>
      <c r="H2614" s="137">
        <f t="shared" si="1058"/>
        <v>0.64687049783896267</v>
      </c>
      <c r="I2614" s="2"/>
      <c r="J2614" s="2">
        <f t="shared" si="1060"/>
        <v>0.16199775892428367</v>
      </c>
      <c r="K2614" s="2">
        <f t="shared" si="1061"/>
        <v>0.80886825676324636</v>
      </c>
      <c r="L2614" s="2">
        <f t="shared" si="1062"/>
        <v>1.6007683688170323E-3</v>
      </c>
      <c r="M2614" s="2">
        <f t="shared" si="1063"/>
        <v>2.7533215943652909E-2</v>
      </c>
      <c r="N2614" s="63">
        <v>1012</v>
      </c>
      <c r="O2614" s="63">
        <v>5053</v>
      </c>
      <c r="P2614" s="63">
        <v>10</v>
      </c>
      <c r="Q2614" s="63">
        <v>108</v>
      </c>
      <c r="R2614" s="63">
        <v>24</v>
      </c>
      <c r="S2614" s="63">
        <v>2</v>
      </c>
      <c r="T2614" s="63">
        <v>11</v>
      </c>
      <c r="U2614" s="63"/>
      <c r="V2614" s="63"/>
      <c r="W2614" s="63">
        <f>IF(Copyright!B$11=1,IF(CA2614&gt;0,CA2614-SUM(U2614:V2614)-SUM(Y2614:AC2614)-SUM(AE2614:AP2614),SUM(CD2614:CF2614)),SUM(CD2614:CF2614))</f>
        <v>0</v>
      </c>
      <c r="X2614" s="63">
        <v>8</v>
      </c>
      <c r="Y2614" s="63">
        <v>0</v>
      </c>
      <c r="Z2614" s="63"/>
      <c r="AA2614" s="63"/>
      <c r="AB2614" s="63"/>
      <c r="AC2614" s="63"/>
      <c r="AD2614" s="63"/>
      <c r="AE2614" s="63">
        <v>0</v>
      </c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>
        <v>19</v>
      </c>
      <c r="AR2614" s="63"/>
      <c r="AS2614" s="63"/>
      <c r="AT2614" s="63"/>
      <c r="AU2614" s="63"/>
      <c r="AW2614" s="5">
        <f>IF(Q2614&gt;0,RANK(Q2614,(N2614:P2614,Q2614:AE2614)),0)</f>
        <v>3</v>
      </c>
      <c r="AX2614" s="5">
        <f>IF(R2614&gt;0,RANK(R2614,(N2614:P2614,Q2614:AE2614)),0)</f>
        <v>4</v>
      </c>
      <c r="AY2614" s="5">
        <f>IF(T2614&gt;0,RANK(T2614,(N2614:P2614,Q2614:AE2614)),0)</f>
        <v>5</v>
      </c>
      <c r="AZ2614" s="5">
        <f>IF(S2614&gt;0,RANK(S2614,(N2614:P2614,Q2614:AE2614)),0)</f>
        <v>8</v>
      </c>
      <c r="BA2614" s="2">
        <f t="shared" si="1064"/>
        <v>1.7288298383223946E-2</v>
      </c>
      <c r="BB2614" s="2">
        <f t="shared" si="1065"/>
        <v>3.8418440851608771E-3</v>
      </c>
      <c r="BC2614" s="2">
        <f t="shared" si="1066"/>
        <v>1.7608452056987354E-3</v>
      </c>
      <c r="BD2614" s="2">
        <f t="shared" si="1067"/>
        <v>3.2015367376340644E-4</v>
      </c>
      <c r="BF2614" t="s">
        <v>1513</v>
      </c>
      <c r="BG2614" t="s">
        <v>18</v>
      </c>
      <c r="BH2614" s="1">
        <v>3</v>
      </c>
      <c r="BJ2614" s="114">
        <v>47</v>
      </c>
      <c r="BK2614" s="116">
        <v>173</v>
      </c>
      <c r="BL2614" s="120">
        <f t="shared" si="1068"/>
        <v>47173</v>
      </c>
      <c r="BN2614" s="5" t="s">
        <v>3154</v>
      </c>
      <c r="CA2614" s="133"/>
      <c r="CD2614" s="63">
        <v>0</v>
      </c>
      <c r="CE2614" s="63">
        <v>0</v>
      </c>
      <c r="CF2614" s="63">
        <v>0</v>
      </c>
    </row>
    <row r="2615" spans="1:87" hidden="1" outlineLevel="1">
      <c r="A2615" t="s">
        <v>1598</v>
      </c>
      <c r="B2615" t="s">
        <v>18</v>
      </c>
      <c r="C2615" s="1">
        <f t="shared" si="1059"/>
        <v>2419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6</v>
      </c>
      <c r="G2615" s="132">
        <f t="shared" si="1057"/>
        <v>1281</v>
      </c>
      <c r="H2615" s="137">
        <f t="shared" si="1058"/>
        <v>0.52955766845804053</v>
      </c>
      <c r="I2615" s="2"/>
      <c r="J2615" s="2">
        <f t="shared" si="1060"/>
        <v>0.22281934683753618</v>
      </c>
      <c r="K2615" s="2">
        <f t="shared" si="1061"/>
        <v>0.75237701529557666</v>
      </c>
      <c r="L2615" s="2">
        <f t="shared" si="1062"/>
        <v>4.1339396444811904E-4</v>
      </c>
      <c r="M2615" s="2">
        <f t="shared" si="1063"/>
        <v>2.4390243902439098E-2</v>
      </c>
      <c r="N2615" s="63">
        <v>539</v>
      </c>
      <c r="O2615" s="63">
        <v>1820</v>
      </c>
      <c r="P2615" s="63">
        <v>1</v>
      </c>
      <c r="Q2615" s="63">
        <v>46</v>
      </c>
      <c r="R2615" s="63">
        <v>8</v>
      </c>
      <c r="S2615" s="63">
        <v>1</v>
      </c>
      <c r="T2615" s="63">
        <v>2</v>
      </c>
      <c r="U2615" s="63"/>
      <c r="V2615" s="63"/>
      <c r="W2615" s="63">
        <f>IF(Copyright!B$11=1,IF(CA2615&gt;0,CA2615-SUM(U2615:V2615)-SUM(Y2615:AC2615)-SUM(AE2615:AP2615),SUM(CD2615:CF2615)),SUM(CD2615:CF2615))</f>
        <v>0</v>
      </c>
      <c r="X2615" s="63">
        <v>1</v>
      </c>
      <c r="Y2615" s="63">
        <v>0</v>
      </c>
      <c r="Z2615" s="63"/>
      <c r="AA2615" s="63"/>
      <c r="AB2615" s="63"/>
      <c r="AC2615" s="63"/>
      <c r="AD2615" s="63"/>
      <c r="AE2615" s="63">
        <v>0</v>
      </c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>
        <v>1</v>
      </c>
      <c r="AR2615" s="63"/>
      <c r="AS2615" s="63"/>
      <c r="AT2615" s="63"/>
      <c r="AU2615" s="63"/>
      <c r="AW2615" s="5">
        <f>IF(Q2615&gt;0,RANK(Q2615,(N2615:P2615,Q2615:AE2615)),0)</f>
        <v>3</v>
      </c>
      <c r="AX2615" s="5">
        <f>IF(R2615&gt;0,RANK(R2615,(N2615:P2615,Q2615:AE2615)),0)</f>
        <v>4</v>
      </c>
      <c r="AY2615" s="5">
        <f>IF(T2615&gt;0,RANK(T2615,(N2615:P2615,Q2615:AE2615)),0)</f>
        <v>5</v>
      </c>
      <c r="AZ2615" s="5">
        <f>IF(S2615&gt;0,RANK(S2615,(N2615:P2615,Q2615:AE2615)),0)</f>
        <v>6</v>
      </c>
      <c r="BA2615" s="2">
        <f t="shared" si="1064"/>
        <v>1.9016122364613478E-2</v>
      </c>
      <c r="BB2615" s="2">
        <f t="shared" si="1065"/>
        <v>3.3071517155849523E-3</v>
      </c>
      <c r="BC2615" s="2">
        <f t="shared" si="1066"/>
        <v>8.2678792889623808E-4</v>
      </c>
      <c r="BD2615" s="2">
        <f t="shared" si="1067"/>
        <v>4.1339396444811904E-4</v>
      </c>
      <c r="BF2615" t="s">
        <v>1598</v>
      </c>
      <c r="BG2615" t="s">
        <v>18</v>
      </c>
      <c r="BH2615" s="1"/>
      <c r="BJ2615" s="114">
        <v>47</v>
      </c>
      <c r="BK2615" s="116">
        <v>175</v>
      </c>
      <c r="BL2615" s="120">
        <f t="shared" si="1068"/>
        <v>47175</v>
      </c>
      <c r="BN2615" s="5" t="s">
        <v>3154</v>
      </c>
      <c r="CD2615" s="63">
        <v>0</v>
      </c>
      <c r="CE2615" s="63">
        <v>0</v>
      </c>
      <c r="CF2615" s="63">
        <v>0</v>
      </c>
    </row>
    <row r="2616" spans="1:87" hidden="1" outlineLevel="1">
      <c r="A2616" t="s">
        <v>422</v>
      </c>
      <c r="B2616" t="s">
        <v>18</v>
      </c>
      <c r="C2616" s="1">
        <f t="shared" si="1059"/>
        <v>13612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6</v>
      </c>
      <c r="G2616" s="132">
        <f t="shared" si="1057"/>
        <v>6005</v>
      </c>
      <c r="H2616" s="137">
        <f t="shared" si="1058"/>
        <v>0.44115486335586246</v>
      </c>
      <c r="I2616" s="2"/>
      <c r="J2616" s="2">
        <f t="shared" si="1060"/>
        <v>0.25969732588892153</v>
      </c>
      <c r="K2616" s="2">
        <f t="shared" si="1061"/>
        <v>0.70085218924478399</v>
      </c>
      <c r="L2616" s="2">
        <f t="shared" si="1062"/>
        <v>2.4243314722303851E-3</v>
      </c>
      <c r="M2616" s="2">
        <f t="shared" si="1063"/>
        <v>3.7026153394064162E-2</v>
      </c>
      <c r="N2616" s="63">
        <v>3535</v>
      </c>
      <c r="O2616" s="63">
        <v>9540</v>
      </c>
      <c r="P2616" s="63">
        <v>33</v>
      </c>
      <c r="Q2616" s="63">
        <v>339</v>
      </c>
      <c r="R2616" s="63">
        <v>61</v>
      </c>
      <c r="S2616" s="63">
        <v>7</v>
      </c>
      <c r="T2616" s="63">
        <v>35</v>
      </c>
      <c r="U2616" s="63"/>
      <c r="V2616" s="63"/>
      <c r="W2616" s="63">
        <f>IF(Copyright!B$11=1,IF(CA2616&gt;0,CA2616-SUM(U2616:V2616)-SUM(Y2616:AC2616)-SUM(AE2616:AP2616),SUM(CD2616:CF2616)),SUM(CD2616:CF2616))</f>
        <v>2</v>
      </c>
      <c r="X2616" s="63">
        <v>19</v>
      </c>
      <c r="Y2616" s="63">
        <v>0</v>
      </c>
      <c r="Z2616" s="63"/>
      <c r="AA2616" s="63"/>
      <c r="AB2616" s="63"/>
      <c r="AC2616" s="63"/>
      <c r="AD2616" s="63"/>
      <c r="AE2616" s="63">
        <v>0</v>
      </c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>
        <v>41</v>
      </c>
      <c r="AR2616" s="63"/>
      <c r="AS2616" s="63"/>
      <c r="AT2616" s="63"/>
      <c r="AU2616" s="63"/>
      <c r="AW2616" s="5">
        <f>IF(Q2616&gt;0,RANK(Q2616,(N2616:P2616,Q2616:AE2616)),0)</f>
        <v>3</v>
      </c>
      <c r="AX2616" s="5">
        <f>IF(R2616&gt;0,RANK(R2616,(N2616:P2616,Q2616:AE2616)),0)</f>
        <v>4</v>
      </c>
      <c r="AY2616" s="5">
        <f>IF(T2616&gt;0,RANK(T2616,(N2616:P2616,Q2616:AE2616)),0)</f>
        <v>5</v>
      </c>
      <c r="AZ2616" s="5">
        <f>IF(S2616&gt;0,RANK(S2616,(N2616:P2616,Q2616:AE2616)),0)</f>
        <v>8</v>
      </c>
      <c r="BA2616" s="2">
        <f t="shared" si="1064"/>
        <v>2.4904496032912136E-2</v>
      </c>
      <c r="BB2616" s="2">
        <f t="shared" si="1065"/>
        <v>4.4813399941228326E-3</v>
      </c>
      <c r="BC2616" s="2">
        <f t="shared" si="1066"/>
        <v>2.5712606523655597E-3</v>
      </c>
      <c r="BD2616" s="2">
        <f t="shared" si="1067"/>
        <v>5.1425213047311201E-4</v>
      </c>
      <c r="BF2616" t="s">
        <v>422</v>
      </c>
      <c r="BG2616" t="s">
        <v>18</v>
      </c>
      <c r="BH2616" s="1">
        <v>4</v>
      </c>
      <c r="BJ2616" s="114">
        <v>47</v>
      </c>
      <c r="BK2616" s="116">
        <v>177</v>
      </c>
      <c r="BL2616" s="120">
        <f t="shared" si="1068"/>
        <v>47177</v>
      </c>
      <c r="BN2616" s="5" t="s">
        <v>3154</v>
      </c>
      <c r="CD2616" s="63">
        <v>0</v>
      </c>
      <c r="CE2616" s="63">
        <v>2</v>
      </c>
      <c r="CF2616" s="63">
        <v>0</v>
      </c>
    </row>
    <row r="2617" spans="1:87" hidden="1" outlineLevel="1">
      <c r="A2617" t="s">
        <v>692</v>
      </c>
      <c r="B2617" t="s">
        <v>18</v>
      </c>
      <c r="C2617" s="1">
        <f t="shared" si="1059"/>
        <v>49750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5</v>
      </c>
      <c r="G2617" s="132">
        <f t="shared" si="1057"/>
        <v>21228</v>
      </c>
      <c r="H2617" s="137">
        <f t="shared" si="1058"/>
        <v>0.4266934673366834</v>
      </c>
      <c r="I2617" s="2"/>
      <c r="J2617" s="2">
        <f t="shared" si="1060"/>
        <v>0.26178894472361808</v>
      </c>
      <c r="K2617" s="2">
        <f t="shared" si="1061"/>
        <v>0.68848241206030147</v>
      </c>
      <c r="L2617" s="2">
        <f t="shared" si="1062"/>
        <v>4.1608040201005026E-3</v>
      </c>
      <c r="M2617" s="2">
        <f t="shared" si="1063"/>
        <v>4.5567839195979891E-2</v>
      </c>
      <c r="N2617" s="63">
        <v>13024</v>
      </c>
      <c r="O2617" s="63">
        <v>34252</v>
      </c>
      <c r="P2617" s="63">
        <v>207</v>
      </c>
      <c r="Q2617" s="63">
        <v>1468</v>
      </c>
      <c r="R2617" s="63">
        <v>478</v>
      </c>
      <c r="S2617" s="63">
        <v>34</v>
      </c>
      <c r="T2617" s="63">
        <v>82</v>
      </c>
      <c r="U2617" s="63"/>
      <c r="V2617" s="63"/>
      <c r="W2617" s="63">
        <f>IF(Copyright!B$11=1,IF(CA2617&gt;0,CA2617-SUM(U2617:V2617)-SUM(Y2617:AC2617)-SUM(AE2617:AP2617),SUM(CD2617:CF2617)),SUM(CD2617:CF2617))</f>
        <v>0</v>
      </c>
      <c r="X2617" s="63">
        <v>53</v>
      </c>
      <c r="Y2617" s="63">
        <v>0</v>
      </c>
      <c r="Z2617" s="63"/>
      <c r="AA2617" s="63"/>
      <c r="AB2617" s="63"/>
      <c r="AC2617" s="63"/>
      <c r="AD2617" s="63"/>
      <c r="AE2617" s="63">
        <v>0</v>
      </c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>
        <v>152</v>
      </c>
      <c r="AR2617" s="63"/>
      <c r="AS2617" s="63"/>
      <c r="AT2617" s="63"/>
      <c r="AU2617" s="63"/>
      <c r="AW2617" s="5">
        <f>IF(Q2617&gt;0,RANK(Q2617,(N2617:P2617,Q2617:AE2617)),0)</f>
        <v>3</v>
      </c>
      <c r="AX2617" s="5">
        <f>IF(R2617&gt;0,RANK(R2617,(N2617:P2617,Q2617:AE2617)),0)</f>
        <v>4</v>
      </c>
      <c r="AY2617" s="5">
        <f>IF(T2617&gt;0,RANK(T2617,(N2617:P2617,Q2617:AE2617)),0)</f>
        <v>6</v>
      </c>
      <c r="AZ2617" s="5">
        <f>IF(S2617&gt;0,RANK(S2617,(N2617:P2617,Q2617:AE2617)),0)</f>
        <v>8</v>
      </c>
      <c r="BA2617" s="2">
        <f t="shared" si="1064"/>
        <v>2.950753768844221E-2</v>
      </c>
      <c r="BB2617" s="2">
        <f t="shared" si="1065"/>
        <v>9.6080402010050251E-3</v>
      </c>
      <c r="BC2617" s="2">
        <f t="shared" si="1066"/>
        <v>1.6482412060301508E-3</v>
      </c>
      <c r="BD2617" s="2">
        <f t="shared" si="1067"/>
        <v>6.8341708542713571E-4</v>
      </c>
      <c r="BF2617" t="s">
        <v>692</v>
      </c>
      <c r="BG2617" t="s">
        <v>18</v>
      </c>
      <c r="BH2617" s="1">
        <v>1</v>
      </c>
      <c r="BJ2617" s="114">
        <v>47</v>
      </c>
      <c r="BK2617" s="116">
        <v>179</v>
      </c>
      <c r="BL2617" s="120">
        <f t="shared" si="1068"/>
        <v>47179</v>
      </c>
      <c r="BN2617" s="5" t="s">
        <v>3154</v>
      </c>
      <c r="CD2617" s="63">
        <v>0</v>
      </c>
      <c r="CE2617" s="63">
        <v>0</v>
      </c>
      <c r="CF2617" s="63">
        <v>0</v>
      </c>
    </row>
    <row r="2618" spans="1:87" hidden="1" outlineLevel="1">
      <c r="A2618" t="s">
        <v>423</v>
      </c>
      <c r="B2618" t="s">
        <v>18</v>
      </c>
      <c r="C2618" s="1">
        <f t="shared" si="1059"/>
        <v>5857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6</v>
      </c>
      <c r="G2618" s="132">
        <f t="shared" si="1057"/>
        <v>4319</v>
      </c>
      <c r="H2618" s="137">
        <f t="shared" si="1058"/>
        <v>0.73740822946901141</v>
      </c>
      <c r="I2618" s="2"/>
      <c r="J2618" s="2">
        <f t="shared" si="1060"/>
        <v>0.1224176199419498</v>
      </c>
      <c r="K2618" s="2">
        <f t="shared" si="1061"/>
        <v>0.8598258494109613</v>
      </c>
      <c r="L2618" s="2">
        <f t="shared" si="1062"/>
        <v>1.3658869728529965E-3</v>
      </c>
      <c r="M2618" s="2">
        <f t="shared" si="1063"/>
        <v>1.6390643674235934E-2</v>
      </c>
      <c r="N2618" s="63">
        <v>717</v>
      </c>
      <c r="O2618" s="63">
        <v>5036</v>
      </c>
      <c r="P2618" s="63">
        <v>8</v>
      </c>
      <c r="Q2618" s="63">
        <v>56</v>
      </c>
      <c r="R2618" s="63">
        <v>9</v>
      </c>
      <c r="S2618" s="63">
        <v>5</v>
      </c>
      <c r="T2618" s="63">
        <v>11</v>
      </c>
      <c r="U2618" s="63"/>
      <c r="V2618" s="63"/>
      <c r="W2618" s="63">
        <f>IF(Copyright!B$11=1,IF(CA2618&gt;0,CA2618-SUM(U2618:V2618)-SUM(Y2618:AC2618)-SUM(AE2618:AP2618),SUM(CD2618:CF2618)),SUM(CD2618:CF2618))</f>
        <v>0</v>
      </c>
      <c r="X2618" s="63">
        <v>3</v>
      </c>
      <c r="Y2618" s="63">
        <v>0</v>
      </c>
      <c r="Z2618" s="63"/>
      <c r="AA2618" s="63"/>
      <c r="AB2618" s="63"/>
      <c r="AC2618" s="63"/>
      <c r="AD2618" s="63"/>
      <c r="AE2618" s="63">
        <v>0</v>
      </c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>
        <v>12</v>
      </c>
      <c r="AR2618" s="63"/>
      <c r="AS2618" s="63"/>
      <c r="AT2618" s="63"/>
      <c r="AU2618" s="63"/>
      <c r="AW2618" s="5">
        <f>IF(Q2618&gt;0,RANK(Q2618,(N2618:P2618,Q2618:AE2618)),0)</f>
        <v>3</v>
      </c>
      <c r="AX2618" s="5">
        <f>IF(R2618&gt;0,RANK(R2618,(N2618:P2618,Q2618:AE2618)),0)</f>
        <v>5</v>
      </c>
      <c r="AY2618" s="5">
        <f>IF(T2618&gt;0,RANK(T2618,(N2618:P2618,Q2618:AE2618)),0)</f>
        <v>4</v>
      </c>
      <c r="AZ2618" s="5">
        <f>IF(S2618&gt;0,RANK(S2618,(N2618:P2618,Q2618:AE2618)),0)</f>
        <v>7</v>
      </c>
      <c r="BA2618" s="2">
        <f t="shared" si="1064"/>
        <v>9.5612088099709756E-3</v>
      </c>
      <c r="BB2618" s="2">
        <f t="shared" si="1065"/>
        <v>1.536622844459621E-3</v>
      </c>
      <c r="BC2618" s="2">
        <f t="shared" si="1066"/>
        <v>1.8780945876728701E-3</v>
      </c>
      <c r="BD2618" s="2">
        <f t="shared" si="1067"/>
        <v>8.5367935803312277E-4</v>
      </c>
      <c r="BF2618" t="s">
        <v>423</v>
      </c>
      <c r="BG2618" t="s">
        <v>18</v>
      </c>
      <c r="BH2618" s="1">
        <v>7</v>
      </c>
      <c r="BJ2618" s="114">
        <v>47</v>
      </c>
      <c r="BK2618" s="116">
        <v>181</v>
      </c>
      <c r="BL2618" s="120">
        <f t="shared" si="1068"/>
        <v>47181</v>
      </c>
      <c r="BN2618" s="5" t="s">
        <v>3154</v>
      </c>
      <c r="CD2618" s="63">
        <v>0</v>
      </c>
      <c r="CE2618" s="63">
        <v>0</v>
      </c>
      <c r="CF2618" s="63">
        <v>0</v>
      </c>
    </row>
    <row r="2619" spans="1:87" hidden="1" outlineLevel="1">
      <c r="A2619" t="s">
        <v>1599</v>
      </c>
      <c r="B2619" t="s">
        <v>18</v>
      </c>
      <c r="C2619" s="1">
        <f t="shared" si="1059"/>
        <v>12184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5</v>
      </c>
      <c r="G2619" s="132">
        <f t="shared" si="1057"/>
        <v>6236</v>
      </c>
      <c r="H2619" s="137">
        <f t="shared" si="1058"/>
        <v>0.5118187787261983</v>
      </c>
      <c r="I2619" s="2"/>
      <c r="J2619" s="2">
        <f t="shared" si="1060"/>
        <v>0.22751149047931712</v>
      </c>
      <c r="K2619" s="2">
        <f t="shared" si="1061"/>
        <v>0.73933026920551548</v>
      </c>
      <c r="L2619" s="2">
        <f t="shared" si="1062"/>
        <v>3.5292186474064347E-3</v>
      </c>
      <c r="M2619" s="2">
        <f t="shared" si="1063"/>
        <v>2.9629021667760908E-2</v>
      </c>
      <c r="N2619" s="63">
        <v>2772</v>
      </c>
      <c r="O2619" s="63">
        <v>9008</v>
      </c>
      <c r="P2619" s="63">
        <v>43</v>
      </c>
      <c r="Q2619" s="63">
        <v>220</v>
      </c>
      <c r="R2619" s="63">
        <v>62</v>
      </c>
      <c r="S2619" s="63">
        <v>5</v>
      </c>
      <c r="T2619" s="63">
        <v>25</v>
      </c>
      <c r="U2619" s="63"/>
      <c r="V2619" s="63"/>
      <c r="W2619" s="63">
        <f>IF(Copyright!B$11=1,IF(CA2619&gt;0,CA2619-SUM(U2619:V2619)-SUM(Y2619:AC2619)-SUM(AE2619:AP2619),SUM(CD2619:CF2619)),SUM(CD2619:CF2619))</f>
        <v>0</v>
      </c>
      <c r="X2619" s="63">
        <v>10</v>
      </c>
      <c r="Y2619" s="63">
        <v>0</v>
      </c>
      <c r="Z2619" s="63"/>
      <c r="AA2619" s="63"/>
      <c r="AB2619" s="63"/>
      <c r="AC2619" s="63"/>
      <c r="AD2619" s="63"/>
      <c r="AE2619" s="63">
        <v>0</v>
      </c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>
        <v>39</v>
      </c>
      <c r="AR2619" s="63"/>
      <c r="AS2619" s="63"/>
      <c r="AT2619" s="63"/>
      <c r="AU2619" s="63"/>
      <c r="AW2619" s="5">
        <f>IF(Q2619&gt;0,RANK(Q2619,(N2619:P2619,Q2619:AE2619)),0)</f>
        <v>3</v>
      </c>
      <c r="AX2619" s="5">
        <f>IF(R2619&gt;0,RANK(R2619,(N2619:P2619,Q2619:AE2619)),0)</f>
        <v>4</v>
      </c>
      <c r="AY2619" s="5">
        <f>IF(T2619&gt;0,RANK(T2619,(N2619:P2619,Q2619:AE2619)),0)</f>
        <v>6</v>
      </c>
      <c r="AZ2619" s="5">
        <f>IF(S2619&gt;0,RANK(S2619,(N2619:P2619,Q2619:AE2619)),0)</f>
        <v>8</v>
      </c>
      <c r="BA2619" s="2">
        <f t="shared" si="1064"/>
        <v>1.8056467498358503E-2</v>
      </c>
      <c r="BB2619" s="2">
        <f t="shared" si="1065"/>
        <v>5.0886408404464869E-3</v>
      </c>
      <c r="BC2619" s="2">
        <f t="shared" si="1066"/>
        <v>2.0518713066316483E-3</v>
      </c>
      <c r="BD2619" s="2">
        <f t="shared" si="1067"/>
        <v>4.1037426132632963E-4</v>
      </c>
      <c r="BF2619" t="s">
        <v>1599</v>
      </c>
      <c r="BG2619" t="s">
        <v>18</v>
      </c>
      <c r="BH2619" s="1">
        <v>8</v>
      </c>
      <c r="BJ2619" s="114">
        <v>47</v>
      </c>
      <c r="BK2619" s="116">
        <v>183</v>
      </c>
      <c r="BL2619" s="120">
        <f t="shared" si="1068"/>
        <v>47183</v>
      </c>
      <c r="BN2619" s="5" t="s">
        <v>3154</v>
      </c>
      <c r="CD2619" s="63">
        <v>0</v>
      </c>
      <c r="CE2619" s="63">
        <v>0</v>
      </c>
      <c r="CF2619" s="63">
        <v>0</v>
      </c>
    </row>
    <row r="2620" spans="1:87" hidden="1" outlineLevel="1">
      <c r="A2620" t="s">
        <v>1976</v>
      </c>
      <c r="B2620" t="s">
        <v>18</v>
      </c>
      <c r="C2620" s="1">
        <f t="shared" si="1059"/>
        <v>9825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5</v>
      </c>
      <c r="G2620" s="132">
        <f t="shared" si="1057"/>
        <v>5826</v>
      </c>
      <c r="H2620" s="137">
        <f t="shared" si="1058"/>
        <v>0.59297709923664121</v>
      </c>
      <c r="I2620" s="2"/>
      <c r="J2620" s="2">
        <f t="shared" si="1060"/>
        <v>0.18778625954198475</v>
      </c>
      <c r="K2620" s="2">
        <f t="shared" si="1061"/>
        <v>0.7807633587786259</v>
      </c>
      <c r="L2620" s="2">
        <f t="shared" si="1062"/>
        <v>2.6463104325699744E-3</v>
      </c>
      <c r="M2620" s="2">
        <f t="shared" si="1063"/>
        <v>2.8804071246819319E-2</v>
      </c>
      <c r="N2620" s="63">
        <v>1845</v>
      </c>
      <c r="O2620" s="63">
        <v>7671</v>
      </c>
      <c r="P2620" s="63">
        <v>26</v>
      </c>
      <c r="Q2620" s="63">
        <v>149</v>
      </c>
      <c r="R2620" s="63">
        <v>45</v>
      </c>
      <c r="S2620" s="63">
        <v>4</v>
      </c>
      <c r="T2620" s="63">
        <v>22</v>
      </c>
      <c r="U2620" s="63"/>
      <c r="V2620" s="63"/>
      <c r="W2620" s="63">
        <f>IF(Copyright!B$11=1,IF(CA2620&gt;0,CA2620-SUM(U2620:V2620)-SUM(Y2620:AC2620)-SUM(AE2620:AP2620),SUM(CD2620:CF2620)),SUM(CD2620:CF2620))</f>
        <v>0</v>
      </c>
      <c r="X2620" s="63">
        <v>22</v>
      </c>
      <c r="Y2620" s="63">
        <v>2</v>
      </c>
      <c r="Z2620" s="63"/>
      <c r="AA2620" s="63"/>
      <c r="AB2620" s="63"/>
      <c r="AC2620" s="63"/>
      <c r="AD2620" s="63"/>
      <c r="AE2620" s="63">
        <v>0</v>
      </c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>
        <v>39</v>
      </c>
      <c r="AR2620" s="63"/>
      <c r="AS2620" s="63"/>
      <c r="AT2620" s="63"/>
      <c r="AU2620" s="63"/>
      <c r="AW2620" s="5">
        <f>IF(Q2620&gt;0,RANK(Q2620,(N2620:P2620,Q2620:AE2620)),0)</f>
        <v>3</v>
      </c>
      <c r="AX2620" s="5">
        <f>IF(R2620&gt;0,RANK(R2620,(N2620:P2620,Q2620:AE2620)),0)</f>
        <v>4</v>
      </c>
      <c r="AY2620" s="5">
        <f>IF(T2620&gt;0,RANK(T2620,(N2620:P2620,Q2620:AE2620)),0)</f>
        <v>6</v>
      </c>
      <c r="AZ2620" s="5">
        <f>IF(S2620&gt;0,RANK(S2620,(N2620:P2620,Q2620:AE2620)),0)</f>
        <v>8</v>
      </c>
      <c r="BA2620" s="2">
        <f t="shared" si="1064"/>
        <v>1.5165394402035624E-2</v>
      </c>
      <c r="BB2620" s="2">
        <f t="shared" si="1065"/>
        <v>4.5801526717557254E-3</v>
      </c>
      <c r="BC2620" s="2">
        <f t="shared" si="1066"/>
        <v>2.2391857506361321E-3</v>
      </c>
      <c r="BD2620" s="2">
        <f t="shared" si="1067"/>
        <v>4.0712468193384221E-4</v>
      </c>
      <c r="BF2620" t="s">
        <v>1976</v>
      </c>
      <c r="BG2620" t="s">
        <v>18</v>
      </c>
      <c r="BH2620" s="1">
        <v>6</v>
      </c>
      <c r="BJ2620" s="114">
        <v>47</v>
      </c>
      <c r="BK2620" s="116">
        <v>185</v>
      </c>
      <c r="BL2620" s="120">
        <f t="shared" si="1068"/>
        <v>47185</v>
      </c>
      <c r="BN2620" s="5" t="s">
        <v>3154</v>
      </c>
      <c r="CD2620" s="63">
        <v>0</v>
      </c>
      <c r="CE2620" s="63">
        <v>0</v>
      </c>
      <c r="CF2620" s="63">
        <v>0</v>
      </c>
    </row>
    <row r="2621" spans="1:87" hidden="1" outlineLevel="1">
      <c r="A2621" t="s">
        <v>565</v>
      </c>
      <c r="B2621" t="s">
        <v>18</v>
      </c>
      <c r="C2621" s="1">
        <f t="shared" si="1059"/>
        <v>106271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4</v>
      </c>
      <c r="G2621" s="132">
        <f t="shared" si="1057"/>
        <v>37199</v>
      </c>
      <c r="H2621" s="137">
        <f t="shared" si="1058"/>
        <v>0.35003905110519334</v>
      </c>
      <c r="I2621" s="2"/>
      <c r="J2621" s="2">
        <f t="shared" si="1060"/>
        <v>0.29182937960497218</v>
      </c>
      <c r="K2621" s="2">
        <f t="shared" si="1061"/>
        <v>0.64186843071016553</v>
      </c>
      <c r="L2621" s="2">
        <f t="shared" si="1062"/>
        <v>1.2900979571096536E-2</v>
      </c>
      <c r="M2621" s="2">
        <f t="shared" si="1063"/>
        <v>5.3401210113765696E-2</v>
      </c>
      <c r="N2621" s="63">
        <v>31013</v>
      </c>
      <c r="O2621" s="63">
        <v>68212</v>
      </c>
      <c r="P2621" s="63">
        <v>1371</v>
      </c>
      <c r="Q2621" s="63">
        <v>4518</v>
      </c>
      <c r="R2621" s="63">
        <v>526</v>
      </c>
      <c r="S2621" s="63">
        <v>102</v>
      </c>
      <c r="T2621" s="63">
        <v>130</v>
      </c>
      <c r="U2621" s="63"/>
      <c r="V2621" s="63"/>
      <c r="W2621" s="63">
        <f>IF(Copyright!B$11=1,IF(CA2621&gt;0,CA2621-SUM(U2621:V2621)-SUM(Y2621:AC2621)-SUM(AE2621:AP2621),SUM(CD2621:CF2621)),SUM(CD2621:CF2621))</f>
        <v>2</v>
      </c>
      <c r="X2621" s="63">
        <v>67</v>
      </c>
      <c r="Y2621" s="63">
        <v>8</v>
      </c>
      <c r="Z2621" s="63"/>
      <c r="AA2621" s="63"/>
      <c r="AB2621" s="63"/>
      <c r="AC2621" s="63"/>
      <c r="AD2621" s="63"/>
      <c r="AE2621" s="63">
        <v>4</v>
      </c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>
        <v>318</v>
      </c>
      <c r="AR2621" s="63"/>
      <c r="AS2621" s="63"/>
      <c r="AT2621" s="63"/>
      <c r="AU2621" s="63"/>
      <c r="AW2621" s="5">
        <f>IF(Q2621&gt;0,RANK(Q2621,(N2621:P2621,Q2621:AE2621)),0)</f>
        <v>3</v>
      </c>
      <c r="AX2621" s="5">
        <f>IF(R2621&gt;0,RANK(R2621,(N2621:P2621,Q2621:AE2621)),0)</f>
        <v>5</v>
      </c>
      <c r="AY2621" s="5">
        <f>IF(T2621&gt;0,RANK(T2621,(N2621:P2621,Q2621:AE2621)),0)</f>
        <v>6</v>
      </c>
      <c r="AZ2621" s="5">
        <f>IF(S2621&gt;0,RANK(S2621,(N2621:P2621,Q2621:AE2621)),0)</f>
        <v>7</v>
      </c>
      <c r="BA2621" s="2">
        <f t="shared" si="1064"/>
        <v>4.2513950183963638E-2</v>
      </c>
      <c r="BB2621" s="2">
        <f t="shared" si="1065"/>
        <v>4.9496099594433102E-3</v>
      </c>
      <c r="BC2621" s="2">
        <f t="shared" si="1066"/>
        <v>1.2232876325620349E-3</v>
      </c>
      <c r="BD2621" s="2">
        <f t="shared" si="1067"/>
        <v>9.598102963179042E-4</v>
      </c>
      <c r="BF2621" t="s">
        <v>565</v>
      </c>
      <c r="BG2621" t="s">
        <v>18</v>
      </c>
      <c r="BH2621" s="1">
        <v>7</v>
      </c>
      <c r="BJ2621" s="114">
        <v>47</v>
      </c>
      <c r="BK2621" s="116">
        <v>187</v>
      </c>
      <c r="BL2621" s="120">
        <f t="shared" si="1068"/>
        <v>47187</v>
      </c>
      <c r="BN2621" s="5" t="s">
        <v>3154</v>
      </c>
      <c r="CD2621" s="63">
        <v>0</v>
      </c>
      <c r="CE2621" s="63">
        <v>2</v>
      </c>
      <c r="CF2621" s="63">
        <v>0</v>
      </c>
    </row>
    <row r="2622" spans="1:87" hidden="1" outlineLevel="1">
      <c r="A2622" t="s">
        <v>1232</v>
      </c>
      <c r="B2622" t="s">
        <v>18</v>
      </c>
      <c r="C2622" s="1">
        <f t="shared" si="1059"/>
        <v>56734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5</v>
      </c>
      <c r="G2622" s="132">
        <f t="shared" si="1057"/>
        <v>25021</v>
      </c>
      <c r="H2622" s="137">
        <f t="shared" si="1058"/>
        <v>0.44102301970599639</v>
      </c>
      <c r="I2622" s="2"/>
      <c r="J2622" s="2">
        <f t="shared" si="1060"/>
        <v>0.25355166214263053</v>
      </c>
      <c r="K2622" s="2">
        <f t="shared" si="1061"/>
        <v>0.69457468184862692</v>
      </c>
      <c r="L2622" s="2">
        <f t="shared" si="1062"/>
        <v>4.9353121584940251E-3</v>
      </c>
      <c r="M2622" s="2">
        <f t="shared" si="1063"/>
        <v>4.6938343850248469E-2</v>
      </c>
      <c r="N2622" s="63">
        <v>14385</v>
      </c>
      <c r="O2622" s="63">
        <v>39406</v>
      </c>
      <c r="P2622" s="63">
        <v>280</v>
      </c>
      <c r="Q2622" s="63">
        <v>1807</v>
      </c>
      <c r="R2622" s="63">
        <v>467</v>
      </c>
      <c r="S2622" s="63">
        <v>23</v>
      </c>
      <c r="T2622" s="63">
        <v>69</v>
      </c>
      <c r="U2622" s="63"/>
      <c r="V2622" s="63"/>
      <c r="W2622" s="63">
        <f>IF(Copyright!B$11=1,IF(CA2622&gt;0,CA2622-SUM(U2622:V2622)-SUM(Y2622:AC2622)-SUM(AE2622:AP2622),SUM(CD2622:CF2622)),SUM(CD2622:CF2622))</f>
        <v>0</v>
      </c>
      <c r="X2622" s="63">
        <v>83</v>
      </c>
      <c r="Y2622" s="63">
        <v>6</v>
      </c>
      <c r="Z2622" s="63"/>
      <c r="AA2622" s="63"/>
      <c r="AB2622" s="63"/>
      <c r="AC2622" s="63"/>
      <c r="AD2622" s="63"/>
      <c r="AE2622" s="63">
        <v>1</v>
      </c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>
        <v>207</v>
      </c>
      <c r="AR2622" s="63"/>
      <c r="AS2622" s="63"/>
      <c r="AT2622" s="63"/>
      <c r="AU2622" s="63"/>
      <c r="AW2622" s="5">
        <f>IF(Q2622&gt;0,RANK(Q2622,(N2622:P2622,Q2622:AE2622)),0)</f>
        <v>3</v>
      </c>
      <c r="AX2622" s="5">
        <f>IF(R2622&gt;0,RANK(R2622,(N2622:P2622,Q2622:AE2622)),0)</f>
        <v>4</v>
      </c>
      <c r="AY2622" s="5">
        <f>IF(T2622&gt;0,RANK(T2622,(N2622:P2622,Q2622:AE2622)),0)</f>
        <v>7</v>
      </c>
      <c r="AZ2622" s="5">
        <f>IF(S2622&gt;0,RANK(S2622,(N2622:P2622,Q2622:AE2622)),0)</f>
        <v>8</v>
      </c>
      <c r="BA2622" s="2">
        <f t="shared" si="1064"/>
        <v>3.1850389537138223E-2</v>
      </c>
      <c r="BB2622" s="2">
        <f t="shared" si="1065"/>
        <v>8.231395635773962E-3</v>
      </c>
      <c r="BC2622" s="2">
        <f t="shared" si="1066"/>
        <v>1.2162019247717419E-3</v>
      </c>
      <c r="BD2622" s="2">
        <f t="shared" si="1067"/>
        <v>4.0540064159058062E-4</v>
      </c>
      <c r="BF2622" t="s">
        <v>1232</v>
      </c>
      <c r="BG2622" t="s">
        <v>18</v>
      </c>
      <c r="BH2622" s="1">
        <v>6</v>
      </c>
      <c r="BJ2622" s="114">
        <v>47</v>
      </c>
      <c r="BK2622" s="116">
        <v>189</v>
      </c>
      <c r="BL2622" s="120">
        <f t="shared" si="1068"/>
        <v>47189</v>
      </c>
      <c r="BN2622" s="5" t="s">
        <v>3154</v>
      </c>
      <c r="BR2622" s="63"/>
      <c r="CD2622" s="63">
        <v>0</v>
      </c>
      <c r="CE2622" s="63">
        <v>0</v>
      </c>
      <c r="CF2622" s="63">
        <v>0</v>
      </c>
    </row>
    <row r="2623" spans="1:87" collapsed="1">
      <c r="A2623" t="s">
        <v>2523</v>
      </c>
      <c r="B2623" t="s">
        <v>544</v>
      </c>
      <c r="C2623" s="1">
        <f t="shared" si="1059"/>
        <v>2508027</v>
      </c>
      <c r="D2623" s="5">
        <f>IF(N2623&gt;0, RANK(N2623,(N2623:P2623,Q2623:AE2623)),0)</f>
        <v>2</v>
      </c>
      <c r="E2623" s="5">
        <f>IF(O2623&gt;0,RANK(O2623,(N2623:P2623,Q2623:AE2623)),0)</f>
        <v>1</v>
      </c>
      <c r="F2623" s="5">
        <f>IF(P2623&gt;0,RANK(P2623,(N2623:P2623,Q2623:AE2623)),0)</f>
        <v>5</v>
      </c>
      <c r="G2623" s="132">
        <f t="shared" si="1057"/>
        <v>652230</v>
      </c>
      <c r="H2623" s="137">
        <f t="shared" si="1058"/>
        <v>0.26005700895564521</v>
      </c>
      <c r="I2623" s="2"/>
      <c r="J2623" s="2">
        <f t="shared" si="1060"/>
        <v>0.34716332798650096</v>
      </c>
      <c r="K2623" s="2">
        <f t="shared" si="1061"/>
        <v>0.60722033694214617</v>
      </c>
      <c r="L2623" s="2">
        <f t="shared" si="1062"/>
        <v>4.7810490078456095E-3</v>
      </c>
      <c r="M2623" s="2">
        <f t="shared" si="1063"/>
        <v>4.0835286063507267E-2</v>
      </c>
      <c r="N2623" s="63">
        <f t="shared" ref="N2623:S2623" si="1069">SUM(N2528:N2622)</f>
        <v>870695</v>
      </c>
      <c r="O2623" s="63">
        <f t="shared" si="1069"/>
        <v>1522925</v>
      </c>
      <c r="P2623" s="63">
        <f t="shared" si="1069"/>
        <v>11991</v>
      </c>
      <c r="Q2623" s="63">
        <f t="shared" si="1069"/>
        <v>70397</v>
      </c>
      <c r="R2623" s="63">
        <f t="shared" si="1069"/>
        <v>15993</v>
      </c>
      <c r="S2623" s="63">
        <f t="shared" si="1069"/>
        <v>1584</v>
      </c>
      <c r="T2623" s="63">
        <f>SUM(T2528:T2622)</f>
        <v>4075</v>
      </c>
      <c r="U2623" s="63"/>
      <c r="V2623" s="63"/>
      <c r="W2623" s="63">
        <f>SUM(W2528:W2622)</f>
        <v>62</v>
      </c>
      <c r="X2623" s="63">
        <f>SUM(X2528:X2622)</f>
        <v>2877</v>
      </c>
      <c r="Y2623" s="63">
        <f>SUM(Y2528:Y2622)</f>
        <v>132</v>
      </c>
      <c r="Z2623" s="63"/>
      <c r="AA2623" s="63"/>
      <c r="AB2623" s="63"/>
      <c r="AC2623" s="63"/>
      <c r="AD2623" s="63"/>
      <c r="AE2623" s="63">
        <f>SUM(AE2528:AE2622)</f>
        <v>20</v>
      </c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>
        <f>SUM(AQ2528:AQ2622)</f>
        <v>7276</v>
      </c>
      <c r="AR2623" s="63"/>
      <c r="AS2623" s="63"/>
      <c r="AT2623" s="63"/>
      <c r="AU2623" s="63"/>
      <c r="AW2623" s="5">
        <f>IF(Q2623&gt;0,RANK(Q2623,(N2623:P2623,Q2623:AE2623)),0)</f>
        <v>3</v>
      </c>
      <c r="AX2623" s="5">
        <f>IF(R2623&gt;0,RANK(R2623,(N2623:P2623,Q2623:AE2623)),0)</f>
        <v>4</v>
      </c>
      <c r="AY2623" s="5">
        <f>IF(T2623&gt;0,RANK(T2623,(N2623:P2623,Q2623:AE2623)),0)</f>
        <v>6</v>
      </c>
      <c r="AZ2623" s="5">
        <f>IF(S2623&gt;0,RANK(S2623,(N2623:P2623,Q2623:AE2623)),0)</f>
        <v>8</v>
      </c>
      <c r="BA2623" s="2">
        <f t="shared" si="1064"/>
        <v>2.8068677091594309E-2</v>
      </c>
      <c r="BB2623" s="2">
        <f t="shared" si="1065"/>
        <v>6.3767256094132956E-3</v>
      </c>
      <c r="BC2623" s="2">
        <f t="shared" si="1066"/>
        <v>1.6247831462739436E-3</v>
      </c>
      <c r="BD2623" s="2">
        <f t="shared" si="1067"/>
        <v>6.3157214814673051E-4</v>
      </c>
      <c r="BF2623" t="s">
        <v>2523</v>
      </c>
      <c r="BG2623" t="s">
        <v>544</v>
      </c>
      <c r="BJ2623" s="114">
        <v>47</v>
      </c>
      <c r="BK2623" s="116"/>
      <c r="BL2623" s="114">
        <v>47</v>
      </c>
      <c r="BN2623" s="5" t="s">
        <v>711</v>
      </c>
      <c r="CA2623" s="63">
        <f>SUM(CA2528:CA2622)</f>
        <v>0</v>
      </c>
      <c r="CD2623" s="63">
        <f>SUM(CD2528:CD2622)</f>
        <v>6</v>
      </c>
      <c r="CE2623" s="63">
        <f>SUM(CE2528:CE2622)</f>
        <v>53</v>
      </c>
      <c r="CF2623" s="63">
        <f>SUM(CF2528:CF2622)</f>
        <v>3</v>
      </c>
    </row>
    <row r="2624" spans="1:87">
      <c r="C2624" s="1"/>
      <c r="E2624" s="5"/>
      <c r="F2624" s="5"/>
      <c r="G2624" s="132"/>
      <c r="H2624" s="137"/>
      <c r="I2624" s="2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W2624" s="5"/>
      <c r="AX2624" s="5"/>
      <c r="AY2624" s="5"/>
      <c r="AZ2624" s="5"/>
      <c r="BJ2624" s="114"/>
      <c r="BK2624" s="116"/>
      <c r="BL2624" s="120"/>
      <c r="CA2624" s="132"/>
      <c r="CB2624" s="132"/>
      <c r="CC2624" s="1"/>
      <c r="CD2624" s="132" t="s">
        <v>3570</v>
      </c>
      <c r="CE2624" s="1" t="s">
        <v>3571</v>
      </c>
      <c r="CF2624" s="63" t="s">
        <v>3572</v>
      </c>
      <c r="CG2624" s="8" t="s">
        <v>3573</v>
      </c>
      <c r="CH2624" s="8" t="s">
        <v>3574</v>
      </c>
      <c r="CI2624" s="8" t="s">
        <v>3575</v>
      </c>
    </row>
    <row r="2625" spans="1:87" hidden="1" outlineLevel="1">
      <c r="A2625" t="s">
        <v>1961</v>
      </c>
      <c r="B2625" t="s">
        <v>53</v>
      </c>
      <c r="C2625" s="1">
        <f t="shared" ref="C2625:C2688" si="1070">SUM(N2625:AU2625)</f>
        <v>16977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5</v>
      </c>
      <c r="G2625" s="132">
        <f t="shared" si="1057"/>
        <v>9832</v>
      </c>
      <c r="H2625" s="137">
        <f t="shared" si="1058"/>
        <v>0.57913647876538843</v>
      </c>
      <c r="I2625" s="2"/>
      <c r="J2625" s="2">
        <f t="shared" ref="J2625:J2688" si="1071">IF($C2625=0,"-",N2625/$C2625)</f>
        <v>0.19844495493903516</v>
      </c>
      <c r="K2625" s="2">
        <f t="shared" ref="K2625:K2688" si="1072">IF($C2625=0,"-",O2625/$C2625)</f>
        <v>0.77758143370442367</v>
      </c>
      <c r="L2625" s="2">
        <f t="shared" ref="L2625:L2688" si="1073">IF($C2625=0,"-",P2625/$C2625)</f>
        <v>1.8259998821935561E-3</v>
      </c>
      <c r="M2625" s="2">
        <f t="shared" ref="M2625:M2688" si="1074">IF(C2625=0,"-",(1-J2625-K2625-L2625))</f>
        <v>2.2147611474347635E-2</v>
      </c>
      <c r="N2625" s="63">
        <v>3369</v>
      </c>
      <c r="O2625" s="63">
        <v>13201</v>
      </c>
      <c r="P2625" s="63">
        <v>31</v>
      </c>
      <c r="Q2625" s="63">
        <v>308</v>
      </c>
      <c r="R2625" s="63">
        <v>57</v>
      </c>
      <c r="S2625" s="63">
        <v>9</v>
      </c>
      <c r="T2625" s="63"/>
      <c r="U2625" s="63">
        <v>0</v>
      </c>
      <c r="V2625" s="63"/>
      <c r="W2625" s="63">
        <f>IF(Copyright!B$11=1,IF(CA2625&gt;0,CA2625-SUM(S2625:V2625)-P2625-SUM(X2625:AQ2625),SUM(CB2625:CI2625)),SUM(CB2625:CI2625))</f>
        <v>0</v>
      </c>
      <c r="X2625" s="63"/>
      <c r="Y2625" s="63">
        <v>0</v>
      </c>
      <c r="Z2625" s="63"/>
      <c r="AA2625" s="63">
        <v>0</v>
      </c>
      <c r="AB2625" s="63"/>
      <c r="AC2625" s="63"/>
      <c r="AD2625" s="63"/>
      <c r="AE2625" s="63">
        <v>0</v>
      </c>
      <c r="AF2625" s="63"/>
      <c r="AG2625" s="63"/>
      <c r="AH2625" s="63"/>
      <c r="AI2625" s="63"/>
      <c r="AJ2625" s="63"/>
      <c r="AK2625" s="63"/>
      <c r="AL2625" s="63"/>
      <c r="AM2625" s="63"/>
      <c r="AN2625" s="63">
        <v>2</v>
      </c>
      <c r="AO2625" s="63"/>
      <c r="AP2625" s="63"/>
      <c r="AQ2625" s="63"/>
      <c r="AR2625" s="63"/>
      <c r="AS2625" s="63"/>
      <c r="AT2625" s="63"/>
      <c r="AU2625" s="63"/>
      <c r="AW2625" s="5">
        <f>IF(Q2625&gt;0,RANK(Q2625,(N2625:P2625,Q2625:AE2625)),0)</f>
        <v>3</v>
      </c>
      <c r="AX2625" s="5">
        <f>IF(R2625&gt;0,RANK(R2625,(N2625:P2625,Q2625:AE2625)),0)</f>
        <v>4</v>
      </c>
      <c r="AY2625" s="5">
        <f>IF(T2625&gt;0,RANK(T2625,(N2625:P2625,Q2625:AE2625)),0)</f>
        <v>0</v>
      </c>
      <c r="AZ2625" s="5">
        <f>IF(S2625&gt;0,RANK(S2625,(N2625:P2625,Q2625:AE2625)),0)</f>
        <v>6</v>
      </c>
      <c r="BA2625" s="2">
        <f t="shared" ref="BA2625:BA2688" si="1075">IF($C2625=0,"-",Q2625/$C2625)</f>
        <v>1.8142192377923073E-2</v>
      </c>
      <c r="BB2625" s="2">
        <f t="shared" ref="BB2625:BB2688" si="1076">IF($C2625=0,"-",R2625/$C2625)</f>
        <v>3.3574836543558933E-3</v>
      </c>
      <c r="BC2625" s="2">
        <f t="shared" ref="BC2625:BC2688" si="1077">IF($C2625=0,"-",T2625/$C2625)</f>
        <v>0</v>
      </c>
      <c r="BD2625" s="2">
        <f t="shared" ref="BD2625:BD2688" si="1078">IF($C2625=0,"-",S2625/$C2625)</f>
        <v>5.3012899805619372E-4</v>
      </c>
      <c r="BF2625" t="s">
        <v>1961</v>
      </c>
      <c r="BG2625" t="s">
        <v>53</v>
      </c>
      <c r="BH2625">
        <v>5</v>
      </c>
      <c r="BJ2625" s="114">
        <v>48</v>
      </c>
      <c r="BK2625" s="116">
        <v>1</v>
      </c>
      <c r="BL2625" s="120">
        <f t="shared" si="1068"/>
        <v>48001</v>
      </c>
      <c r="BN2625" s="5" t="s">
        <v>3154</v>
      </c>
      <c r="BZ2625" s="63">
        <f t="shared" ref="BZ2625:BZ2688" si="1079">C2625</f>
        <v>16977</v>
      </c>
      <c r="CD2625" s="63">
        <v>0</v>
      </c>
      <c r="CE2625" s="63">
        <v>0</v>
      </c>
      <c r="CF2625" s="63">
        <v>0</v>
      </c>
      <c r="CG2625" s="8">
        <v>0</v>
      </c>
      <c r="CH2625" s="8">
        <v>0</v>
      </c>
      <c r="CI2625" s="8">
        <v>0</v>
      </c>
    </row>
    <row r="2626" spans="1:87" hidden="1" outlineLevel="1">
      <c r="A2626" t="s">
        <v>1614</v>
      </c>
      <c r="B2626" t="s">
        <v>53</v>
      </c>
      <c r="C2626" s="1">
        <f t="shared" si="1070"/>
        <v>4943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5</v>
      </c>
      <c r="G2626" s="132">
        <f t="shared" si="1057"/>
        <v>3091</v>
      </c>
      <c r="H2626" s="137">
        <f t="shared" si="1058"/>
        <v>0.62532874772405422</v>
      </c>
      <c r="I2626" s="2"/>
      <c r="J2626" s="2">
        <f t="shared" si="1071"/>
        <v>0.16912805988266236</v>
      </c>
      <c r="K2626" s="2">
        <f t="shared" si="1072"/>
        <v>0.79445680760671655</v>
      </c>
      <c r="L2626" s="2">
        <f t="shared" si="1073"/>
        <v>2.6299817924337445E-3</v>
      </c>
      <c r="M2626" s="2">
        <f t="shared" si="1074"/>
        <v>3.3785150718187371E-2</v>
      </c>
      <c r="N2626" s="63">
        <v>836</v>
      </c>
      <c r="O2626" s="63">
        <v>3927</v>
      </c>
      <c r="P2626" s="63">
        <v>13</v>
      </c>
      <c r="Q2626" s="63">
        <v>147</v>
      </c>
      <c r="R2626" s="63">
        <v>18</v>
      </c>
      <c r="S2626" s="63">
        <v>2</v>
      </c>
      <c r="T2626" s="63"/>
      <c r="U2626" s="63">
        <v>0</v>
      </c>
      <c r="V2626" s="63"/>
      <c r="W2626" s="63">
        <f>IF(Copyright!B$11=1,IF(CA2626&gt;0,CA2626-SUM(S2626:V2626)-P2626-SUM(X2626:AQ2626),SUM(CB2626:CI2626)),SUM(CB2626:CI2626))</f>
        <v>0</v>
      </c>
      <c r="X2626" s="63"/>
      <c r="Y2626" s="63">
        <v>0</v>
      </c>
      <c r="Z2626" s="63"/>
      <c r="AA2626" s="63">
        <v>0</v>
      </c>
      <c r="AB2626" s="63"/>
      <c r="AC2626" s="63"/>
      <c r="AD2626" s="63"/>
      <c r="AE2626" s="63">
        <v>0</v>
      </c>
      <c r="AF2626" s="63"/>
      <c r="AG2626" s="63"/>
      <c r="AH2626" s="63"/>
      <c r="AI2626" s="63"/>
      <c r="AJ2626" s="63"/>
      <c r="AK2626" s="63"/>
      <c r="AL2626" s="63"/>
      <c r="AM2626" s="63"/>
      <c r="AN2626" s="63">
        <v>0</v>
      </c>
      <c r="AO2626" s="63"/>
      <c r="AP2626" s="63"/>
      <c r="AQ2626" s="63"/>
      <c r="AR2626" s="63"/>
      <c r="AS2626" s="63"/>
      <c r="AT2626" s="63"/>
      <c r="AU2626" s="63"/>
      <c r="AW2626" s="5">
        <f>IF(Q2626&gt;0,RANK(Q2626,(N2626:P2626,Q2626:AE2626)),0)</f>
        <v>3</v>
      </c>
      <c r="AX2626" s="5">
        <f>IF(R2626&gt;0,RANK(R2626,(N2626:P2626,Q2626:AE2626)),0)</f>
        <v>4</v>
      </c>
      <c r="AY2626" s="5">
        <f>IF(T2626&gt;0,RANK(T2626,(N2626:P2626,Q2626:AE2626)),0)</f>
        <v>0</v>
      </c>
      <c r="AZ2626" s="5">
        <f>IF(S2626&gt;0,RANK(S2626,(N2626:P2626,Q2626:AE2626)),0)</f>
        <v>6</v>
      </c>
      <c r="BA2626" s="2">
        <f t="shared" si="1075"/>
        <v>2.9739024883673883E-2</v>
      </c>
      <c r="BB2626" s="2">
        <f t="shared" si="1076"/>
        <v>3.641513251062108E-3</v>
      </c>
      <c r="BC2626" s="2">
        <f t="shared" si="1077"/>
        <v>0</v>
      </c>
      <c r="BD2626" s="2">
        <f t="shared" si="1078"/>
        <v>4.0461258345134534E-4</v>
      </c>
      <c r="BF2626" t="s">
        <v>1614</v>
      </c>
      <c r="BG2626" t="s">
        <v>53</v>
      </c>
      <c r="BH2626">
        <v>11</v>
      </c>
      <c r="BJ2626" s="114">
        <v>48</v>
      </c>
      <c r="BK2626" s="116">
        <v>3</v>
      </c>
      <c r="BL2626" s="120">
        <f t="shared" si="1068"/>
        <v>48003</v>
      </c>
      <c r="BN2626" s="5" t="s">
        <v>3154</v>
      </c>
      <c r="BZ2626" s="63">
        <f t="shared" si="1079"/>
        <v>4943</v>
      </c>
      <c r="CD2626" s="63">
        <v>0</v>
      </c>
      <c r="CE2626" s="63">
        <v>0</v>
      </c>
      <c r="CF2626" s="63">
        <v>0</v>
      </c>
      <c r="CG2626" s="8">
        <v>0</v>
      </c>
      <c r="CH2626" s="8">
        <v>0</v>
      </c>
      <c r="CI2626" s="8">
        <v>0</v>
      </c>
    </row>
    <row r="2627" spans="1:87" hidden="1" outlineLevel="1">
      <c r="A2627" t="s">
        <v>631</v>
      </c>
      <c r="B2627" t="s">
        <v>53</v>
      </c>
      <c r="C2627" s="1">
        <f t="shared" si="1070"/>
        <v>29911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5</v>
      </c>
      <c r="G2627" s="132">
        <f t="shared" si="1057"/>
        <v>14130</v>
      </c>
      <c r="H2627" s="137">
        <f t="shared" si="1058"/>
        <v>0.4724014576577179</v>
      </c>
      <c r="I2627" s="2"/>
      <c r="J2627" s="2">
        <f t="shared" si="1071"/>
        <v>0.25201430911704725</v>
      </c>
      <c r="K2627" s="2">
        <f t="shared" si="1072"/>
        <v>0.72441576677476516</v>
      </c>
      <c r="L2627" s="2">
        <f t="shared" si="1073"/>
        <v>9.695429774999164E-4</v>
      </c>
      <c r="M2627" s="2">
        <f t="shared" si="1074"/>
        <v>2.2600381130687672E-2</v>
      </c>
      <c r="N2627" s="63">
        <v>7538</v>
      </c>
      <c r="O2627" s="63">
        <v>21668</v>
      </c>
      <c r="P2627" s="63">
        <v>29</v>
      </c>
      <c r="Q2627" s="63">
        <v>560</v>
      </c>
      <c r="R2627" s="63">
        <v>106</v>
      </c>
      <c r="S2627" s="63">
        <v>7</v>
      </c>
      <c r="T2627" s="63"/>
      <c r="U2627" s="63">
        <v>0</v>
      </c>
      <c r="V2627" s="63"/>
      <c r="W2627" s="63">
        <f>IF(Copyright!B$11=1,IF(CA2627&gt;0,CA2627-SUM(S2627:V2627)-P2627-SUM(X2627:AQ2627),SUM(CB2627:CI2627)),SUM(CB2627:CI2627))</f>
        <v>0</v>
      </c>
      <c r="X2627" s="63"/>
      <c r="Y2627" s="63">
        <v>0</v>
      </c>
      <c r="Z2627" s="63"/>
      <c r="AA2627" s="63">
        <v>3</v>
      </c>
      <c r="AB2627" s="63"/>
      <c r="AC2627" s="63"/>
      <c r="AD2627" s="63"/>
      <c r="AE2627" s="63">
        <v>0</v>
      </c>
      <c r="AF2627" s="63"/>
      <c r="AG2627" s="63"/>
      <c r="AH2627" s="63"/>
      <c r="AI2627" s="63"/>
      <c r="AJ2627" s="63"/>
      <c r="AK2627" s="63"/>
      <c r="AL2627" s="63"/>
      <c r="AM2627" s="63"/>
      <c r="AN2627" s="63">
        <v>0</v>
      </c>
      <c r="AO2627" s="63"/>
      <c r="AP2627" s="63"/>
      <c r="AQ2627" s="63"/>
      <c r="AR2627" s="63"/>
      <c r="AS2627" s="63"/>
      <c r="AT2627" s="63"/>
      <c r="AU2627" s="63"/>
      <c r="AW2627" s="5">
        <f>IF(Q2627&gt;0,RANK(Q2627,(N2627:P2627,Q2627:AE2627)),0)</f>
        <v>3</v>
      </c>
      <c r="AX2627" s="5">
        <f>IF(R2627&gt;0,RANK(R2627,(N2627:P2627,Q2627:AE2627)),0)</f>
        <v>4</v>
      </c>
      <c r="AY2627" s="5">
        <f>IF(T2627&gt;0,RANK(T2627,(N2627:P2627,Q2627:AE2627)),0)</f>
        <v>0</v>
      </c>
      <c r="AZ2627" s="5">
        <f>IF(S2627&gt;0,RANK(S2627,(N2627:P2627,Q2627:AE2627)),0)</f>
        <v>6</v>
      </c>
      <c r="BA2627" s="2">
        <f t="shared" si="1075"/>
        <v>1.8722209220688041E-2</v>
      </c>
      <c r="BB2627" s="2">
        <f t="shared" si="1076"/>
        <v>3.543846745344522E-3</v>
      </c>
      <c r="BC2627" s="2">
        <f t="shared" si="1077"/>
        <v>0</v>
      </c>
      <c r="BD2627" s="2">
        <f t="shared" si="1078"/>
        <v>2.3402761525860051E-4</v>
      </c>
      <c r="BF2627" t="s">
        <v>631</v>
      </c>
      <c r="BG2627" t="s">
        <v>53</v>
      </c>
      <c r="BH2627">
        <v>1</v>
      </c>
      <c r="BJ2627" s="114">
        <v>48</v>
      </c>
      <c r="BK2627" s="116">
        <v>5</v>
      </c>
      <c r="BL2627" s="120">
        <f t="shared" si="1068"/>
        <v>48005</v>
      </c>
      <c r="BN2627" s="5" t="s">
        <v>3154</v>
      </c>
      <c r="BZ2627" s="63">
        <f t="shared" si="1079"/>
        <v>29911</v>
      </c>
      <c r="CD2627" s="63">
        <v>0</v>
      </c>
      <c r="CE2627" s="63">
        <v>0</v>
      </c>
      <c r="CF2627" s="63">
        <v>0</v>
      </c>
      <c r="CG2627" s="8">
        <v>0</v>
      </c>
      <c r="CH2627" s="8">
        <v>0</v>
      </c>
      <c r="CI2627" s="8">
        <v>0</v>
      </c>
    </row>
    <row r="2628" spans="1:87" hidden="1" outlineLevel="1">
      <c r="A2628" t="s">
        <v>177</v>
      </c>
      <c r="B2628" t="s">
        <v>53</v>
      </c>
      <c r="C2628" s="1">
        <f t="shared" si="1070"/>
        <v>10512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5</v>
      </c>
      <c r="G2628" s="132">
        <f t="shared" si="1057"/>
        <v>5275</v>
      </c>
      <c r="H2628" s="137">
        <f t="shared" si="1058"/>
        <v>0.50180745814307459</v>
      </c>
      <c r="I2628" s="2"/>
      <c r="J2628" s="2">
        <f t="shared" si="1071"/>
        <v>0.23449391171993911</v>
      </c>
      <c r="K2628" s="2">
        <f t="shared" si="1072"/>
        <v>0.73630136986301364</v>
      </c>
      <c r="L2628" s="2">
        <f t="shared" si="1073"/>
        <v>1.7123287671232876E-3</v>
      </c>
      <c r="M2628" s="2">
        <f t="shared" si="1074"/>
        <v>2.7492389649923905E-2</v>
      </c>
      <c r="N2628" s="63">
        <v>2465</v>
      </c>
      <c r="O2628" s="63">
        <v>7740</v>
      </c>
      <c r="P2628" s="63">
        <v>18</v>
      </c>
      <c r="Q2628" s="63">
        <v>238</v>
      </c>
      <c r="R2628" s="63">
        <v>41</v>
      </c>
      <c r="S2628" s="63">
        <v>1</v>
      </c>
      <c r="T2628" s="63"/>
      <c r="U2628" s="63">
        <v>0</v>
      </c>
      <c r="V2628" s="63"/>
      <c r="W2628" s="63">
        <f>IF(Copyright!B$11=1,IF(CA2628&gt;0,CA2628-SUM(S2628:V2628)-P2628-SUM(X2628:AQ2628),SUM(CB2628:CI2628)),SUM(CB2628:CI2628))</f>
        <v>0</v>
      </c>
      <c r="X2628" s="63"/>
      <c r="Y2628" s="63">
        <v>6</v>
      </c>
      <c r="Z2628" s="63"/>
      <c r="AA2628" s="63">
        <v>0</v>
      </c>
      <c r="AB2628" s="63"/>
      <c r="AC2628" s="63"/>
      <c r="AD2628" s="63"/>
      <c r="AE2628" s="63">
        <v>3</v>
      </c>
      <c r="AF2628" s="63"/>
      <c r="AG2628" s="63"/>
      <c r="AH2628" s="63"/>
      <c r="AI2628" s="63"/>
      <c r="AJ2628" s="63"/>
      <c r="AK2628" s="63"/>
      <c r="AL2628" s="63"/>
      <c r="AM2628" s="63"/>
      <c r="AN2628" s="63">
        <v>0</v>
      </c>
      <c r="AO2628" s="63"/>
      <c r="AP2628" s="63"/>
      <c r="AQ2628" s="63"/>
      <c r="AR2628" s="63"/>
      <c r="AS2628" s="63"/>
      <c r="AT2628" s="63"/>
      <c r="AU2628" s="63"/>
      <c r="AW2628" s="5">
        <f>IF(Q2628&gt;0,RANK(Q2628,(N2628:P2628,Q2628:AE2628)),0)</f>
        <v>3</v>
      </c>
      <c r="AX2628" s="5">
        <f>IF(R2628&gt;0,RANK(R2628,(N2628:P2628,Q2628:AE2628)),0)</f>
        <v>4</v>
      </c>
      <c r="AY2628" s="5">
        <f>IF(T2628&gt;0,RANK(T2628,(N2628:P2628,Q2628:AE2628)),0)</f>
        <v>0</v>
      </c>
      <c r="AZ2628" s="5">
        <f>IF(S2628&gt;0,RANK(S2628,(N2628:P2628,Q2628:AE2628)),0)</f>
        <v>8</v>
      </c>
      <c r="BA2628" s="2">
        <f t="shared" si="1075"/>
        <v>2.2640791476407914E-2</v>
      </c>
      <c r="BB2628" s="2">
        <f t="shared" si="1076"/>
        <v>3.9003044140030439E-3</v>
      </c>
      <c r="BC2628" s="2">
        <f t="shared" si="1077"/>
        <v>0</v>
      </c>
      <c r="BD2628" s="2">
        <f t="shared" si="1078"/>
        <v>9.5129375951293754E-5</v>
      </c>
      <c r="BF2628" t="s">
        <v>177</v>
      </c>
      <c r="BG2628" t="s">
        <v>53</v>
      </c>
      <c r="BH2628">
        <v>27</v>
      </c>
      <c r="BJ2628" s="114">
        <v>48</v>
      </c>
      <c r="BK2628" s="116">
        <v>7</v>
      </c>
      <c r="BL2628" s="120">
        <f t="shared" si="1068"/>
        <v>48007</v>
      </c>
      <c r="BN2628" s="5" t="s">
        <v>3154</v>
      </c>
      <c r="BZ2628" s="63">
        <f t="shared" si="1079"/>
        <v>10512</v>
      </c>
      <c r="CD2628" s="63">
        <v>0</v>
      </c>
      <c r="CE2628" s="63">
        <v>0</v>
      </c>
      <c r="CF2628" s="63">
        <v>0</v>
      </c>
      <c r="CG2628" s="8">
        <v>0</v>
      </c>
      <c r="CH2628" s="8">
        <v>0</v>
      </c>
      <c r="CI2628" s="8">
        <v>0</v>
      </c>
    </row>
    <row r="2629" spans="1:87" hidden="1" outlineLevel="1">
      <c r="A2629" t="s">
        <v>3122</v>
      </c>
      <c r="B2629" t="s">
        <v>53</v>
      </c>
      <c r="C2629" s="1">
        <f t="shared" si="1070"/>
        <v>4283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5</v>
      </c>
      <c r="G2629" s="132">
        <f t="shared" si="1057"/>
        <v>3392</v>
      </c>
      <c r="H2629" s="137">
        <f t="shared" si="1058"/>
        <v>0.79196824655615228</v>
      </c>
      <c r="I2629" s="2"/>
      <c r="J2629" s="2">
        <f t="shared" si="1071"/>
        <v>9.1991594676628527E-2</v>
      </c>
      <c r="K2629" s="2">
        <f t="shared" si="1072"/>
        <v>0.88395984123278071</v>
      </c>
      <c r="L2629" s="2">
        <f t="shared" si="1073"/>
        <v>1.8678496381041327E-3</v>
      </c>
      <c r="M2629" s="2">
        <f t="shared" si="1074"/>
        <v>2.2180714452486618E-2</v>
      </c>
      <c r="N2629" s="63">
        <v>394</v>
      </c>
      <c r="O2629" s="63">
        <v>3786</v>
      </c>
      <c r="P2629" s="63">
        <v>8</v>
      </c>
      <c r="Q2629" s="63">
        <v>80</v>
      </c>
      <c r="R2629" s="63">
        <v>10</v>
      </c>
      <c r="S2629" s="63">
        <v>3</v>
      </c>
      <c r="T2629" s="63"/>
      <c r="U2629" s="63">
        <v>0</v>
      </c>
      <c r="V2629" s="63"/>
      <c r="W2629" s="63">
        <f>IF(Copyright!B$11=1,IF(CA2629&gt;0,CA2629-SUM(S2629:V2629)-P2629-SUM(X2629:AQ2629),SUM(CB2629:CI2629)),SUM(CB2629:CI2629))</f>
        <v>0</v>
      </c>
      <c r="X2629" s="63"/>
      <c r="Y2629" s="63">
        <v>0</v>
      </c>
      <c r="Z2629" s="63"/>
      <c r="AA2629" s="63">
        <v>0</v>
      </c>
      <c r="AB2629" s="63"/>
      <c r="AC2629" s="63"/>
      <c r="AD2629" s="63"/>
      <c r="AE2629" s="63">
        <v>0</v>
      </c>
      <c r="AF2629" s="63"/>
      <c r="AG2629" s="63"/>
      <c r="AH2629" s="63"/>
      <c r="AI2629" s="63"/>
      <c r="AJ2629" s="63"/>
      <c r="AK2629" s="63"/>
      <c r="AL2629" s="63"/>
      <c r="AM2629" s="63"/>
      <c r="AN2629" s="63">
        <v>2</v>
      </c>
      <c r="AO2629" s="63"/>
      <c r="AP2629" s="63"/>
      <c r="AQ2629" s="63"/>
      <c r="AR2629" s="63"/>
      <c r="AS2629" s="63"/>
      <c r="AT2629" s="63"/>
      <c r="AU2629" s="63"/>
      <c r="AW2629" s="5">
        <f>IF(Q2629&gt;0,RANK(Q2629,(N2629:P2629,Q2629:AE2629)),0)</f>
        <v>3</v>
      </c>
      <c r="AX2629" s="5">
        <f>IF(R2629&gt;0,RANK(R2629,(N2629:P2629,Q2629:AE2629)),0)</f>
        <v>4</v>
      </c>
      <c r="AY2629" s="5">
        <f>IF(T2629&gt;0,RANK(T2629,(N2629:P2629,Q2629:AE2629)),0)</f>
        <v>0</v>
      </c>
      <c r="AZ2629" s="5">
        <f>IF(S2629&gt;0,RANK(S2629,(N2629:P2629,Q2629:AE2629)),0)</f>
        <v>6</v>
      </c>
      <c r="BA2629" s="2">
        <f t="shared" si="1075"/>
        <v>1.8678496381041326E-2</v>
      </c>
      <c r="BB2629" s="2">
        <f t="shared" si="1076"/>
        <v>2.3348120476301658E-3</v>
      </c>
      <c r="BC2629" s="2">
        <f t="shared" si="1077"/>
        <v>0</v>
      </c>
      <c r="BD2629" s="2">
        <f t="shared" si="1078"/>
        <v>7.0044361428904978E-4</v>
      </c>
      <c r="BF2629" t="s">
        <v>3122</v>
      </c>
      <c r="BG2629" t="s">
        <v>53</v>
      </c>
      <c r="BH2629">
        <v>13</v>
      </c>
      <c r="BJ2629" s="114">
        <v>48</v>
      </c>
      <c r="BK2629" s="116">
        <v>9</v>
      </c>
      <c r="BL2629" s="120">
        <f t="shared" si="1068"/>
        <v>48009</v>
      </c>
      <c r="BN2629" s="5" t="s">
        <v>3154</v>
      </c>
      <c r="BZ2629" s="63">
        <f t="shared" si="1079"/>
        <v>4283</v>
      </c>
      <c r="CD2629" s="63">
        <v>0</v>
      </c>
      <c r="CE2629" s="63">
        <v>0</v>
      </c>
      <c r="CF2629" s="63">
        <v>0</v>
      </c>
      <c r="CG2629" s="8">
        <v>0</v>
      </c>
      <c r="CH2629" s="8">
        <v>0</v>
      </c>
      <c r="CI2629" s="8">
        <v>0</v>
      </c>
    </row>
    <row r="2630" spans="1:87" hidden="1" outlineLevel="1">
      <c r="A2630" t="s">
        <v>1611</v>
      </c>
      <c r="B2630" t="s">
        <v>53</v>
      </c>
      <c r="C2630" s="1">
        <f t="shared" si="1070"/>
        <v>1021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5</v>
      </c>
      <c r="G2630" s="132">
        <f t="shared" si="1057"/>
        <v>854</v>
      </c>
      <c r="H2630" s="137">
        <f t="shared" si="1058"/>
        <v>0.83643486777668952</v>
      </c>
      <c r="I2630" s="2"/>
      <c r="J2630" s="2">
        <f t="shared" si="1071"/>
        <v>6.8560235063663072E-2</v>
      </c>
      <c r="K2630" s="2">
        <f t="shared" si="1072"/>
        <v>0.90499510284035256</v>
      </c>
      <c r="L2630" s="2">
        <f t="shared" si="1073"/>
        <v>2.9382957884427031E-3</v>
      </c>
      <c r="M2630" s="2">
        <f t="shared" si="1074"/>
        <v>2.3506366307541691E-2</v>
      </c>
      <c r="N2630" s="63">
        <v>70</v>
      </c>
      <c r="O2630" s="63">
        <v>924</v>
      </c>
      <c r="P2630" s="63">
        <v>3</v>
      </c>
      <c r="Q2630" s="63">
        <v>18</v>
      </c>
      <c r="R2630" s="63">
        <v>5</v>
      </c>
      <c r="S2630" s="63">
        <v>0</v>
      </c>
      <c r="T2630" s="63"/>
      <c r="U2630" s="63">
        <v>0</v>
      </c>
      <c r="V2630" s="63"/>
      <c r="W2630" s="63">
        <f>IF(Copyright!B$11=1,IF(CA2630&gt;0,CA2630-SUM(S2630:V2630)-P2630-SUM(X2630:AQ2630),SUM(CB2630:CI2630)),SUM(CB2630:CI2630))</f>
        <v>1</v>
      </c>
      <c r="X2630" s="63"/>
      <c r="Y2630" s="63">
        <v>0</v>
      </c>
      <c r="Z2630" s="63"/>
      <c r="AA2630" s="63">
        <v>0</v>
      </c>
      <c r="AB2630" s="63"/>
      <c r="AC2630" s="63"/>
      <c r="AD2630" s="63"/>
      <c r="AE2630" s="63">
        <v>0</v>
      </c>
      <c r="AF2630" s="63"/>
      <c r="AG2630" s="63"/>
      <c r="AH2630" s="63"/>
      <c r="AI2630" s="63"/>
      <c r="AJ2630" s="63"/>
      <c r="AK2630" s="63"/>
      <c r="AL2630" s="63"/>
      <c r="AM2630" s="63"/>
      <c r="AN2630" s="63">
        <v>0</v>
      </c>
      <c r="AO2630" s="63"/>
      <c r="AP2630" s="63"/>
      <c r="AQ2630" s="63"/>
      <c r="AR2630" s="63"/>
      <c r="AS2630" s="63"/>
      <c r="AT2630" s="63"/>
      <c r="AU2630" s="63"/>
      <c r="AW2630" s="5">
        <f>IF(Q2630&gt;0,RANK(Q2630,(N2630:P2630,Q2630:AE2630)),0)</f>
        <v>3</v>
      </c>
      <c r="AX2630" s="5">
        <f>IF(R2630&gt;0,RANK(R2630,(N2630:P2630,Q2630:AE2630)),0)</f>
        <v>4</v>
      </c>
      <c r="AY2630" s="5">
        <f>IF(T2630&gt;0,RANK(T2630,(N2630:P2630,Q2630:AE2630)),0)</f>
        <v>0</v>
      </c>
      <c r="AZ2630" s="5">
        <f>IF(S2630&gt;0,RANK(S2630,(N2630:P2630,Q2630:AE2630)),0)</f>
        <v>0</v>
      </c>
      <c r="BA2630" s="2">
        <f t="shared" si="1075"/>
        <v>1.762977473065622E-2</v>
      </c>
      <c r="BB2630" s="2">
        <f t="shared" si="1076"/>
        <v>4.8971596474045058E-3</v>
      </c>
      <c r="BC2630" s="2">
        <f t="shared" si="1077"/>
        <v>0</v>
      </c>
      <c r="BD2630" s="2">
        <f t="shared" si="1078"/>
        <v>0</v>
      </c>
      <c r="BF2630" t="s">
        <v>1611</v>
      </c>
      <c r="BG2630" t="s">
        <v>53</v>
      </c>
      <c r="BH2630">
        <v>13</v>
      </c>
      <c r="BJ2630" s="114">
        <v>48</v>
      </c>
      <c r="BK2630" s="116">
        <v>11</v>
      </c>
      <c r="BL2630" s="120">
        <f t="shared" si="1068"/>
        <v>48011</v>
      </c>
      <c r="BN2630" s="5" t="s">
        <v>3154</v>
      </c>
      <c r="BZ2630" s="63">
        <f t="shared" si="1079"/>
        <v>1021</v>
      </c>
      <c r="CD2630" s="63">
        <v>0</v>
      </c>
      <c r="CE2630" s="63">
        <v>0</v>
      </c>
      <c r="CF2630" s="63">
        <v>0</v>
      </c>
      <c r="CG2630" s="8">
        <v>0</v>
      </c>
      <c r="CH2630" s="8">
        <v>1</v>
      </c>
      <c r="CI2630" s="8">
        <v>0</v>
      </c>
    </row>
    <row r="2631" spans="1:87" hidden="1" outlineLevel="1">
      <c r="A2631" t="s">
        <v>1440</v>
      </c>
      <c r="B2631" t="s">
        <v>53</v>
      </c>
      <c r="C2631" s="1">
        <f t="shared" si="1070"/>
        <v>13673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5</v>
      </c>
      <c r="G2631" s="132">
        <f t="shared" si="1057"/>
        <v>3967</v>
      </c>
      <c r="H2631" s="137">
        <f t="shared" si="1058"/>
        <v>0.29013384041541723</v>
      </c>
      <c r="I2631" s="2"/>
      <c r="J2631" s="2">
        <f t="shared" si="1071"/>
        <v>0.3401594383090763</v>
      </c>
      <c r="K2631" s="2">
        <f t="shared" si="1072"/>
        <v>0.63029327872449348</v>
      </c>
      <c r="L2631" s="2">
        <f t="shared" si="1073"/>
        <v>1.7552841366196153E-3</v>
      </c>
      <c r="M2631" s="2">
        <f t="shared" si="1074"/>
        <v>2.7791998829810663E-2</v>
      </c>
      <c r="N2631" s="63">
        <v>4651</v>
      </c>
      <c r="O2631" s="63">
        <v>8618</v>
      </c>
      <c r="P2631" s="63">
        <v>24</v>
      </c>
      <c r="Q2631" s="63">
        <v>308</v>
      </c>
      <c r="R2631" s="63">
        <v>65</v>
      </c>
      <c r="S2631" s="63">
        <v>6</v>
      </c>
      <c r="T2631" s="63"/>
      <c r="U2631" s="63">
        <v>0</v>
      </c>
      <c r="V2631" s="63"/>
      <c r="W2631" s="63">
        <f>IF(Copyright!B$11=1,IF(CA2631&gt;0,CA2631-SUM(S2631:V2631)-P2631-SUM(X2631:AQ2631),SUM(CB2631:CI2631)),SUM(CB2631:CI2631))</f>
        <v>1</v>
      </c>
      <c r="X2631" s="63"/>
      <c r="Y2631" s="63">
        <v>0</v>
      </c>
      <c r="Z2631" s="63"/>
      <c r="AA2631" s="63">
        <v>0</v>
      </c>
      <c r="AB2631" s="63"/>
      <c r="AC2631" s="63"/>
      <c r="AD2631" s="63"/>
      <c r="AE2631" s="63">
        <v>0</v>
      </c>
      <c r="AF2631" s="63"/>
      <c r="AG2631" s="63"/>
      <c r="AH2631" s="63"/>
      <c r="AI2631" s="63"/>
      <c r="AJ2631" s="63"/>
      <c r="AK2631" s="63"/>
      <c r="AL2631" s="63"/>
      <c r="AM2631" s="63"/>
      <c r="AN2631" s="63">
        <v>0</v>
      </c>
      <c r="AO2631" s="63"/>
      <c r="AP2631" s="63"/>
      <c r="AQ2631" s="63"/>
      <c r="AR2631" s="63"/>
      <c r="AS2631" s="63"/>
      <c r="AT2631" s="63"/>
      <c r="AU2631" s="63"/>
      <c r="AW2631" s="5">
        <f>IF(Q2631&gt;0,RANK(Q2631,(N2631:P2631,Q2631:AE2631)),0)</f>
        <v>3</v>
      </c>
      <c r="AX2631" s="5">
        <f>IF(R2631&gt;0,RANK(R2631,(N2631:P2631,Q2631:AE2631)),0)</f>
        <v>4</v>
      </c>
      <c r="AY2631" s="5">
        <f>IF(T2631&gt;0,RANK(T2631,(N2631:P2631,Q2631:AE2631)),0)</f>
        <v>0</v>
      </c>
      <c r="AZ2631" s="5">
        <f>IF(S2631&gt;0,RANK(S2631,(N2631:P2631,Q2631:AE2631)),0)</f>
        <v>6</v>
      </c>
      <c r="BA2631" s="2">
        <f t="shared" si="1075"/>
        <v>2.252614641995173E-2</v>
      </c>
      <c r="BB2631" s="2">
        <f t="shared" si="1076"/>
        <v>4.7538945366781245E-3</v>
      </c>
      <c r="BC2631" s="2">
        <f t="shared" si="1077"/>
        <v>0</v>
      </c>
      <c r="BD2631" s="2">
        <f t="shared" si="1078"/>
        <v>4.3882103415490383E-4</v>
      </c>
      <c r="BF2631" t="s">
        <v>1440</v>
      </c>
      <c r="BG2631" t="s">
        <v>53</v>
      </c>
      <c r="BH2631">
        <v>28</v>
      </c>
      <c r="BJ2631" s="114">
        <v>48</v>
      </c>
      <c r="BK2631" s="116">
        <v>13</v>
      </c>
      <c r="BL2631" s="120">
        <f t="shared" si="1068"/>
        <v>48013</v>
      </c>
      <c r="BN2631" s="5" t="s">
        <v>3154</v>
      </c>
      <c r="BZ2631" s="63">
        <f t="shared" si="1079"/>
        <v>13673</v>
      </c>
      <c r="CD2631" s="63">
        <v>0</v>
      </c>
      <c r="CE2631" s="63">
        <v>0</v>
      </c>
      <c r="CF2631" s="63">
        <v>1</v>
      </c>
      <c r="CG2631" s="8">
        <v>0</v>
      </c>
      <c r="CH2631" s="8">
        <v>0</v>
      </c>
      <c r="CI2631" s="8">
        <v>0</v>
      </c>
    </row>
    <row r="2632" spans="1:87" hidden="1" outlineLevel="1">
      <c r="A2632" t="s">
        <v>3174</v>
      </c>
      <c r="B2632" t="s">
        <v>53</v>
      </c>
      <c r="C2632" s="1">
        <f t="shared" si="1070"/>
        <v>12274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5</v>
      </c>
      <c r="G2632" s="132">
        <f t="shared" si="1057"/>
        <v>7317</v>
      </c>
      <c r="H2632" s="137">
        <f t="shared" si="1058"/>
        <v>0.59613817826299498</v>
      </c>
      <c r="I2632" s="2"/>
      <c r="J2632" s="2">
        <f t="shared" si="1071"/>
        <v>0.18901743522893921</v>
      </c>
      <c r="K2632" s="2">
        <f t="shared" si="1072"/>
        <v>0.78515561349193419</v>
      </c>
      <c r="L2632" s="2">
        <f t="shared" si="1073"/>
        <v>1.0591494215414698E-3</v>
      </c>
      <c r="M2632" s="2">
        <f t="shared" si="1074"/>
        <v>2.4767801857585127E-2</v>
      </c>
      <c r="N2632" s="63">
        <v>2320</v>
      </c>
      <c r="O2632" s="63">
        <v>9637</v>
      </c>
      <c r="P2632" s="63">
        <v>13</v>
      </c>
      <c r="Q2632" s="63">
        <v>248</v>
      </c>
      <c r="R2632" s="63">
        <v>51</v>
      </c>
      <c r="S2632" s="63">
        <v>5</v>
      </c>
      <c r="T2632" s="63"/>
      <c r="U2632" s="63">
        <v>0</v>
      </c>
      <c r="V2632" s="63"/>
      <c r="W2632" s="63">
        <f>IF(Copyright!B$11=1,IF(CA2632&gt;0,CA2632-SUM(S2632:V2632)-P2632-SUM(X2632:AQ2632),SUM(CB2632:CI2632)),SUM(CB2632:CI2632))</f>
        <v>0</v>
      </c>
      <c r="X2632" s="63"/>
      <c r="Y2632" s="63">
        <v>0</v>
      </c>
      <c r="Z2632" s="63"/>
      <c r="AA2632" s="63">
        <v>0</v>
      </c>
      <c r="AB2632" s="63"/>
      <c r="AC2632" s="63"/>
      <c r="AD2632" s="63"/>
      <c r="AE2632" s="63">
        <v>0</v>
      </c>
      <c r="AF2632" s="63"/>
      <c r="AG2632" s="63"/>
      <c r="AH2632" s="63"/>
      <c r="AI2632" s="63"/>
      <c r="AJ2632" s="63"/>
      <c r="AK2632" s="63"/>
      <c r="AL2632" s="63"/>
      <c r="AM2632" s="63"/>
      <c r="AN2632" s="63">
        <v>0</v>
      </c>
      <c r="AO2632" s="63"/>
      <c r="AP2632" s="63"/>
      <c r="AQ2632" s="63"/>
      <c r="AR2632" s="63"/>
      <c r="AS2632" s="63"/>
      <c r="AT2632" s="63"/>
      <c r="AU2632" s="63"/>
      <c r="AW2632" s="5">
        <f>IF(Q2632&gt;0,RANK(Q2632,(N2632:P2632,Q2632:AE2632)),0)</f>
        <v>3</v>
      </c>
      <c r="AX2632" s="5">
        <f>IF(R2632&gt;0,RANK(R2632,(N2632:P2632,Q2632:AE2632)),0)</f>
        <v>4</v>
      </c>
      <c r="AY2632" s="5">
        <f>IF(T2632&gt;0,RANK(T2632,(N2632:P2632,Q2632:AE2632)),0)</f>
        <v>0</v>
      </c>
      <c r="AZ2632" s="5">
        <f>IF(S2632&gt;0,RANK(S2632,(N2632:P2632,Q2632:AE2632)),0)</f>
        <v>6</v>
      </c>
      <c r="BA2632" s="2">
        <f t="shared" si="1075"/>
        <v>2.0205312041714194E-2</v>
      </c>
      <c r="BB2632" s="2">
        <f t="shared" si="1076"/>
        <v>4.1551246537396124E-3</v>
      </c>
      <c r="BC2632" s="2">
        <f t="shared" si="1077"/>
        <v>0</v>
      </c>
      <c r="BD2632" s="2">
        <f t="shared" si="1078"/>
        <v>4.0736516213133454E-4</v>
      </c>
      <c r="BF2632" t="s">
        <v>3174</v>
      </c>
      <c r="BG2632" t="s">
        <v>53</v>
      </c>
      <c r="BH2632">
        <v>10</v>
      </c>
      <c r="BJ2632" s="114">
        <v>48</v>
      </c>
      <c r="BK2632" s="116">
        <v>15</v>
      </c>
      <c r="BL2632" s="120">
        <f t="shared" si="1068"/>
        <v>48015</v>
      </c>
      <c r="BN2632" s="5" t="s">
        <v>3154</v>
      </c>
      <c r="BZ2632" s="63">
        <f t="shared" si="1079"/>
        <v>12274</v>
      </c>
      <c r="CD2632" s="63">
        <v>0</v>
      </c>
      <c r="CE2632" s="63">
        <v>0</v>
      </c>
      <c r="CF2632" s="63">
        <v>0</v>
      </c>
      <c r="CG2632" s="8">
        <v>0</v>
      </c>
      <c r="CH2632" s="8">
        <v>0</v>
      </c>
      <c r="CI2632" s="8">
        <v>0</v>
      </c>
    </row>
    <row r="2633" spans="1:87" hidden="1" outlineLevel="1">
      <c r="A2633" t="s">
        <v>1286</v>
      </c>
      <c r="B2633" t="s">
        <v>53</v>
      </c>
      <c r="C2633" s="1">
        <f t="shared" si="1070"/>
        <v>1793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5</v>
      </c>
      <c r="G2633" s="132">
        <f t="shared" ref="G2633:G2696" si="1080">IF(C2633&gt;0,MAX(N2633:P2633)-LARGE(N2633:P2633,2),0)</f>
        <v>947</v>
      </c>
      <c r="H2633" s="137">
        <f t="shared" ref="H2633:H2696" si="1081">IF(C2633&gt;0,G2633/C2633,0)</f>
        <v>0.52816508644729498</v>
      </c>
      <c r="I2633" s="2"/>
      <c r="J2633" s="2">
        <f t="shared" si="1071"/>
        <v>0.22141662018962632</v>
      </c>
      <c r="K2633" s="2">
        <f t="shared" si="1072"/>
        <v>0.74958170663692136</v>
      </c>
      <c r="L2633" s="2">
        <f t="shared" si="1073"/>
        <v>2.2308979364194089E-3</v>
      </c>
      <c r="M2633" s="2">
        <f t="shared" si="1074"/>
        <v>2.6770775237032848E-2</v>
      </c>
      <c r="N2633" s="63">
        <v>397</v>
      </c>
      <c r="O2633" s="63">
        <v>1344</v>
      </c>
      <c r="P2633" s="63">
        <v>4</v>
      </c>
      <c r="Q2633" s="63">
        <v>39</v>
      </c>
      <c r="R2633" s="63">
        <v>5</v>
      </c>
      <c r="S2633" s="63">
        <v>0</v>
      </c>
      <c r="T2633" s="63"/>
      <c r="U2633" s="63">
        <v>0</v>
      </c>
      <c r="V2633" s="63"/>
      <c r="W2633" s="63">
        <f>IF(Copyright!B$11=1,IF(CA2633&gt;0,CA2633-SUM(S2633:V2633)-P2633-SUM(X2633:AQ2633),SUM(CB2633:CI2633)),SUM(CB2633:CI2633))</f>
        <v>3</v>
      </c>
      <c r="X2633" s="63"/>
      <c r="Y2633" s="63">
        <v>0</v>
      </c>
      <c r="Z2633" s="63"/>
      <c r="AA2633" s="63">
        <v>0</v>
      </c>
      <c r="AB2633" s="63"/>
      <c r="AC2633" s="63"/>
      <c r="AD2633" s="63"/>
      <c r="AE2633" s="63">
        <v>0</v>
      </c>
      <c r="AF2633" s="63"/>
      <c r="AG2633" s="63"/>
      <c r="AH2633" s="63"/>
      <c r="AI2633" s="63"/>
      <c r="AJ2633" s="63"/>
      <c r="AK2633" s="63"/>
      <c r="AL2633" s="63"/>
      <c r="AM2633" s="63"/>
      <c r="AN2633" s="63">
        <v>1</v>
      </c>
      <c r="AO2633" s="63"/>
      <c r="AP2633" s="63"/>
      <c r="AQ2633" s="63"/>
      <c r="AR2633" s="63"/>
      <c r="AS2633" s="63"/>
      <c r="AT2633" s="63"/>
      <c r="AU2633" s="63"/>
      <c r="AW2633" s="5">
        <f>IF(Q2633&gt;0,RANK(Q2633,(N2633:P2633,Q2633:AE2633)),0)</f>
        <v>3</v>
      </c>
      <c r="AX2633" s="5">
        <f>IF(R2633&gt;0,RANK(R2633,(N2633:P2633,Q2633:AE2633)),0)</f>
        <v>4</v>
      </c>
      <c r="AY2633" s="5">
        <f>IF(T2633&gt;0,RANK(T2633,(N2633:P2633,Q2633:AE2633)),0)</f>
        <v>0</v>
      </c>
      <c r="AZ2633" s="5">
        <f>IF(S2633&gt;0,RANK(S2633,(N2633:P2633,Q2633:AE2633)),0)</f>
        <v>0</v>
      </c>
      <c r="BA2633" s="2">
        <f t="shared" si="1075"/>
        <v>2.1751254880089235E-2</v>
      </c>
      <c r="BB2633" s="2">
        <f t="shared" si="1076"/>
        <v>2.788622420524261E-3</v>
      </c>
      <c r="BC2633" s="2">
        <f t="shared" si="1077"/>
        <v>0</v>
      </c>
      <c r="BD2633" s="2">
        <f t="shared" si="1078"/>
        <v>0</v>
      </c>
      <c r="BF2633" t="s">
        <v>1286</v>
      </c>
      <c r="BG2633" t="s">
        <v>53</v>
      </c>
      <c r="BH2633">
        <v>19</v>
      </c>
      <c r="BJ2633" s="114">
        <v>48</v>
      </c>
      <c r="BK2633" s="116">
        <v>17</v>
      </c>
      <c r="BL2633" s="120">
        <f t="shared" si="1068"/>
        <v>48017</v>
      </c>
      <c r="BN2633" s="5" t="s">
        <v>3154</v>
      </c>
      <c r="BZ2633" s="63">
        <f t="shared" si="1079"/>
        <v>1793</v>
      </c>
      <c r="CD2633" s="63">
        <v>2</v>
      </c>
      <c r="CE2633" s="63">
        <v>0</v>
      </c>
      <c r="CF2633" s="63">
        <v>0</v>
      </c>
      <c r="CG2633" s="8">
        <v>1</v>
      </c>
      <c r="CH2633" s="8">
        <v>0</v>
      </c>
      <c r="CI2633" s="8">
        <v>0</v>
      </c>
    </row>
    <row r="2634" spans="1:87" hidden="1" outlineLevel="1">
      <c r="A2634" t="s">
        <v>2630</v>
      </c>
      <c r="B2634" t="s">
        <v>53</v>
      </c>
      <c r="C2634" s="1">
        <f t="shared" si="1070"/>
        <v>10218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32">
        <f t="shared" si="1080"/>
        <v>6437</v>
      </c>
      <c r="H2634" s="137">
        <f t="shared" si="1081"/>
        <v>0.62996672538657272</v>
      </c>
      <c r="I2634" s="2"/>
      <c r="J2634" s="2">
        <f t="shared" si="1071"/>
        <v>0.16891759639851242</v>
      </c>
      <c r="K2634" s="2">
        <f t="shared" si="1072"/>
        <v>0.79888432178508517</v>
      </c>
      <c r="L2634" s="2">
        <f t="shared" si="1073"/>
        <v>0</v>
      </c>
      <c r="M2634" s="2">
        <f t="shared" si="1074"/>
        <v>3.219808181640238E-2</v>
      </c>
      <c r="N2634" s="63">
        <v>1726</v>
      </c>
      <c r="O2634" s="63">
        <v>8163</v>
      </c>
      <c r="P2634" s="63">
        <v>0</v>
      </c>
      <c r="Q2634" s="63">
        <v>262</v>
      </c>
      <c r="R2634" s="63">
        <v>66</v>
      </c>
      <c r="S2634" s="63">
        <v>1</v>
      </c>
      <c r="T2634" s="63"/>
      <c r="U2634" s="63">
        <v>0</v>
      </c>
      <c r="V2634" s="63"/>
      <c r="W2634" s="63">
        <f>IF(Copyright!B$11=1,IF(CA2634&gt;0,CA2634-SUM(S2634:V2634)-P2634-SUM(X2634:AQ2634),SUM(CB2634:CI2634)),SUM(CB2634:CI2634))</f>
        <v>0</v>
      </c>
      <c r="X2634" s="63"/>
      <c r="Y2634" s="63">
        <v>0</v>
      </c>
      <c r="Z2634" s="63"/>
      <c r="AA2634" s="63">
        <v>0</v>
      </c>
      <c r="AB2634" s="63"/>
      <c r="AC2634" s="63"/>
      <c r="AD2634" s="63"/>
      <c r="AE2634" s="63">
        <v>0</v>
      </c>
      <c r="AF2634" s="63"/>
      <c r="AG2634" s="63"/>
      <c r="AH2634" s="63"/>
      <c r="AI2634" s="63"/>
      <c r="AJ2634" s="63"/>
      <c r="AK2634" s="63"/>
      <c r="AL2634" s="63"/>
      <c r="AM2634" s="63"/>
      <c r="AN2634" s="63">
        <v>0</v>
      </c>
      <c r="AO2634" s="63"/>
      <c r="AP2634" s="63"/>
      <c r="AQ2634" s="63"/>
      <c r="AR2634" s="63"/>
      <c r="AS2634" s="63"/>
      <c r="AT2634" s="63"/>
      <c r="AU2634" s="63"/>
      <c r="AW2634" s="5">
        <f>IF(Q2634&gt;0,RANK(Q2634,(N2634:P2634,Q2634:AE2634)),0)</f>
        <v>3</v>
      </c>
      <c r="AX2634" s="5">
        <f>IF(R2634&gt;0,RANK(R2634,(N2634:P2634,Q2634:AE2634)),0)</f>
        <v>4</v>
      </c>
      <c r="AY2634" s="5">
        <f>IF(T2634&gt;0,RANK(T2634,(N2634:P2634,Q2634:AE2634)),0)</f>
        <v>0</v>
      </c>
      <c r="AZ2634" s="5">
        <f>IF(S2634&gt;0,RANK(S2634,(N2634:P2634,Q2634:AE2634)),0)</f>
        <v>5</v>
      </c>
      <c r="BA2634" s="2">
        <f t="shared" si="1075"/>
        <v>2.564102564102564E-2</v>
      </c>
      <c r="BB2634" s="2">
        <f t="shared" si="1076"/>
        <v>6.4591896652965355E-3</v>
      </c>
      <c r="BC2634" s="2">
        <f t="shared" si="1077"/>
        <v>0</v>
      </c>
      <c r="BD2634" s="2">
        <f t="shared" si="1078"/>
        <v>9.786651008025054E-5</v>
      </c>
      <c r="BF2634" t="s">
        <v>2630</v>
      </c>
      <c r="BG2634" t="s">
        <v>53</v>
      </c>
      <c r="BH2634">
        <v>21</v>
      </c>
      <c r="BJ2634" s="114">
        <v>48</v>
      </c>
      <c r="BK2634" s="116">
        <v>19</v>
      </c>
      <c r="BL2634" s="120">
        <f t="shared" si="1068"/>
        <v>48019</v>
      </c>
      <c r="BN2634" s="5" t="s">
        <v>3154</v>
      </c>
      <c r="BZ2634" s="63">
        <f t="shared" si="1079"/>
        <v>10218</v>
      </c>
      <c r="CD2634" s="63">
        <v>0</v>
      </c>
      <c r="CE2634" s="63">
        <v>0</v>
      </c>
      <c r="CF2634" s="63">
        <v>0</v>
      </c>
      <c r="CG2634" s="8">
        <v>0</v>
      </c>
      <c r="CH2634" s="8">
        <v>0</v>
      </c>
      <c r="CI2634" s="8">
        <v>0</v>
      </c>
    </row>
    <row r="2635" spans="1:87" hidden="1" outlineLevel="1">
      <c r="A2635" t="s">
        <v>1074</v>
      </c>
      <c r="B2635" t="s">
        <v>53</v>
      </c>
      <c r="C2635" s="1">
        <f t="shared" si="1070"/>
        <v>28665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6</v>
      </c>
      <c r="G2635" s="132">
        <f t="shared" si="1080"/>
        <v>5759</v>
      </c>
      <c r="H2635" s="137">
        <f t="shared" si="1081"/>
        <v>0.20090702947845804</v>
      </c>
      <c r="I2635" s="2"/>
      <c r="J2635" s="2">
        <f t="shared" si="1071"/>
        <v>0.36870748299319728</v>
      </c>
      <c r="K2635" s="2">
        <f t="shared" si="1072"/>
        <v>0.56961451247165529</v>
      </c>
      <c r="L2635" s="2">
        <f t="shared" si="1073"/>
        <v>4.5700331414617133E-3</v>
      </c>
      <c r="M2635" s="2">
        <f t="shared" si="1074"/>
        <v>5.7107971393685668E-2</v>
      </c>
      <c r="N2635" s="63">
        <v>10569</v>
      </c>
      <c r="O2635" s="63">
        <v>16328</v>
      </c>
      <c r="P2635" s="63">
        <v>131</v>
      </c>
      <c r="Q2635" s="63">
        <v>1063</v>
      </c>
      <c r="R2635" s="63">
        <v>320</v>
      </c>
      <c r="S2635" s="63">
        <v>21</v>
      </c>
      <c r="T2635" s="63"/>
      <c r="U2635" s="63">
        <v>0</v>
      </c>
      <c r="V2635" s="63"/>
      <c r="W2635" s="63">
        <f>IF(Copyright!B$11=1,IF(CA2635&gt;0,CA2635-SUM(S2635:V2635)-P2635-SUM(X2635:AQ2635),SUM(CB2635:CI2635)),SUM(CB2635:CI2635))</f>
        <v>218</v>
      </c>
      <c r="X2635" s="63"/>
      <c r="Y2635" s="63">
        <v>4</v>
      </c>
      <c r="Z2635" s="63"/>
      <c r="AA2635" s="63">
        <v>3</v>
      </c>
      <c r="AB2635" s="63"/>
      <c r="AC2635" s="63"/>
      <c r="AD2635" s="63"/>
      <c r="AE2635" s="63">
        <v>6</v>
      </c>
      <c r="AF2635" s="63"/>
      <c r="AG2635" s="63"/>
      <c r="AH2635" s="63"/>
      <c r="AI2635" s="63"/>
      <c r="AJ2635" s="63"/>
      <c r="AK2635" s="63"/>
      <c r="AL2635" s="63"/>
      <c r="AM2635" s="63"/>
      <c r="AN2635" s="63">
        <v>2</v>
      </c>
      <c r="AO2635" s="63"/>
      <c r="AP2635" s="63"/>
      <c r="AQ2635" s="63"/>
      <c r="AR2635" s="63"/>
      <c r="AS2635" s="63"/>
      <c r="AT2635" s="63"/>
      <c r="AU2635" s="63"/>
      <c r="AW2635" s="5">
        <f>IF(Q2635&gt;0,RANK(Q2635,(N2635:P2635,Q2635:AE2635)),0)</f>
        <v>3</v>
      </c>
      <c r="AX2635" s="5">
        <f>IF(R2635&gt;0,RANK(R2635,(N2635:P2635,Q2635:AE2635)),0)</f>
        <v>4</v>
      </c>
      <c r="AY2635" s="5">
        <f>IF(T2635&gt;0,RANK(T2635,(N2635:P2635,Q2635:AE2635)),0)</f>
        <v>0</v>
      </c>
      <c r="AZ2635" s="5">
        <f>IF(S2635&gt;0,RANK(S2635,(N2635:P2635,Q2635:AE2635)),0)</f>
        <v>7</v>
      </c>
      <c r="BA2635" s="2">
        <f t="shared" si="1075"/>
        <v>3.7083551369265652E-2</v>
      </c>
      <c r="BB2635" s="2">
        <f t="shared" si="1076"/>
        <v>1.1163439734868306E-2</v>
      </c>
      <c r="BC2635" s="2">
        <f t="shared" si="1077"/>
        <v>0</v>
      </c>
      <c r="BD2635" s="2">
        <f t="shared" si="1078"/>
        <v>7.326007326007326E-4</v>
      </c>
      <c r="BF2635" t="s">
        <v>1074</v>
      </c>
      <c r="BG2635" t="s">
        <v>53</v>
      </c>
      <c r="BJ2635" s="114">
        <v>48</v>
      </c>
      <c r="BK2635" s="116">
        <v>21</v>
      </c>
      <c r="BL2635" s="120">
        <f t="shared" si="1068"/>
        <v>48021</v>
      </c>
      <c r="BN2635" s="5" t="s">
        <v>3154</v>
      </c>
      <c r="BY2635" s="63">
        <v>28665</v>
      </c>
      <c r="BZ2635" s="63">
        <f t="shared" si="1079"/>
        <v>28665</v>
      </c>
      <c r="CA2635" s="63">
        <v>385</v>
      </c>
      <c r="CD2635" s="63">
        <v>2</v>
      </c>
      <c r="CE2635" s="63">
        <v>0</v>
      </c>
      <c r="CF2635" s="63">
        <v>3</v>
      </c>
      <c r="CG2635" s="8">
        <v>0</v>
      </c>
      <c r="CH2635" s="8">
        <v>1</v>
      </c>
      <c r="CI2635" s="8">
        <v>1</v>
      </c>
    </row>
    <row r="2636" spans="1:87" hidden="1" outlineLevel="1">
      <c r="A2636" t="s">
        <v>1075</v>
      </c>
      <c r="B2636" t="s">
        <v>53</v>
      </c>
      <c r="C2636" s="1">
        <f t="shared" si="1070"/>
        <v>1499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4</v>
      </c>
      <c r="G2636" s="132">
        <f t="shared" si="1080"/>
        <v>1076</v>
      </c>
      <c r="H2636" s="137">
        <f t="shared" si="1081"/>
        <v>0.7178118745830554</v>
      </c>
      <c r="I2636" s="2"/>
      <c r="J2636" s="2">
        <f t="shared" si="1071"/>
        <v>0.12741827885256837</v>
      </c>
      <c r="K2636" s="2">
        <f t="shared" si="1072"/>
        <v>0.8452301534356238</v>
      </c>
      <c r="L2636" s="2">
        <f t="shared" si="1073"/>
        <v>3.3355570380253501E-3</v>
      </c>
      <c r="M2636" s="2">
        <f t="shared" si="1074"/>
        <v>2.4016010673782451E-2</v>
      </c>
      <c r="N2636" s="63">
        <v>191</v>
      </c>
      <c r="O2636" s="63">
        <v>1267</v>
      </c>
      <c r="P2636" s="63">
        <v>5</v>
      </c>
      <c r="Q2636" s="63">
        <v>31</v>
      </c>
      <c r="R2636" s="63">
        <v>3</v>
      </c>
      <c r="S2636" s="63">
        <v>2</v>
      </c>
      <c r="T2636" s="63"/>
      <c r="U2636" s="63">
        <v>0</v>
      </c>
      <c r="V2636" s="63"/>
      <c r="W2636" s="63">
        <f>IF(Copyright!B$11=1,IF(CA2636&gt;0,CA2636-SUM(S2636:V2636)-P2636-SUM(X2636:AQ2636),SUM(CB2636:CI2636)),SUM(CB2636:CI2636))</f>
        <v>0</v>
      </c>
      <c r="X2636" s="63"/>
      <c r="Y2636" s="63">
        <v>0</v>
      </c>
      <c r="Z2636" s="63"/>
      <c r="AA2636" s="63">
        <v>0</v>
      </c>
      <c r="AB2636" s="63"/>
      <c r="AC2636" s="63"/>
      <c r="AD2636" s="63"/>
      <c r="AE2636" s="63">
        <v>0</v>
      </c>
      <c r="AF2636" s="63"/>
      <c r="AG2636" s="63"/>
      <c r="AH2636" s="63"/>
      <c r="AI2636" s="63"/>
      <c r="AJ2636" s="63"/>
      <c r="AK2636" s="63"/>
      <c r="AL2636" s="63"/>
      <c r="AM2636" s="63"/>
      <c r="AN2636" s="63">
        <v>0</v>
      </c>
      <c r="AO2636" s="63"/>
      <c r="AP2636" s="63"/>
      <c r="AQ2636" s="63"/>
      <c r="AR2636" s="63"/>
      <c r="AS2636" s="63"/>
      <c r="AT2636" s="63"/>
      <c r="AU2636" s="63"/>
      <c r="AW2636" s="5">
        <f>IF(Q2636&gt;0,RANK(Q2636,(N2636:P2636,Q2636:AE2636)),0)</f>
        <v>3</v>
      </c>
      <c r="AX2636" s="5">
        <f>IF(R2636&gt;0,RANK(R2636,(N2636:P2636,Q2636:AE2636)),0)</f>
        <v>5</v>
      </c>
      <c r="AY2636" s="5">
        <f>IF(T2636&gt;0,RANK(T2636,(N2636:P2636,Q2636:AE2636)),0)</f>
        <v>0</v>
      </c>
      <c r="AZ2636" s="5">
        <f>IF(S2636&gt;0,RANK(S2636,(N2636:P2636,Q2636:AE2636)),0)</f>
        <v>6</v>
      </c>
      <c r="BA2636" s="2">
        <f t="shared" si="1075"/>
        <v>2.0680453635757171E-2</v>
      </c>
      <c r="BB2636" s="2">
        <f t="shared" si="1076"/>
        <v>2.0013342228152103E-3</v>
      </c>
      <c r="BC2636" s="2">
        <f t="shared" si="1077"/>
        <v>0</v>
      </c>
      <c r="BD2636" s="2">
        <f t="shared" si="1078"/>
        <v>1.33422281521014E-3</v>
      </c>
      <c r="BF2636" t="s">
        <v>1075</v>
      </c>
      <c r="BG2636" t="s">
        <v>53</v>
      </c>
      <c r="BH2636">
        <v>13</v>
      </c>
      <c r="BJ2636" s="114">
        <v>48</v>
      </c>
      <c r="BK2636" s="116">
        <v>23</v>
      </c>
      <c r="BL2636" s="120">
        <f t="shared" si="1068"/>
        <v>48023</v>
      </c>
      <c r="BN2636" s="5" t="s">
        <v>3154</v>
      </c>
      <c r="BZ2636" s="63">
        <f t="shared" si="1079"/>
        <v>1499</v>
      </c>
      <c r="CD2636" s="63">
        <v>0</v>
      </c>
      <c r="CE2636" s="63">
        <v>0</v>
      </c>
      <c r="CF2636" s="63">
        <v>0</v>
      </c>
      <c r="CG2636" s="8">
        <v>0</v>
      </c>
      <c r="CH2636" s="8">
        <v>0</v>
      </c>
      <c r="CI2636" s="8">
        <v>0</v>
      </c>
    </row>
    <row r="2637" spans="1:87" hidden="1" outlineLevel="1">
      <c r="A2637" t="s">
        <v>3103</v>
      </c>
      <c r="B2637" t="s">
        <v>53</v>
      </c>
      <c r="C2637" s="1">
        <f t="shared" si="1070"/>
        <v>8485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5</v>
      </c>
      <c r="G2637" s="132">
        <f t="shared" si="1080"/>
        <v>1300</v>
      </c>
      <c r="H2637" s="137">
        <f t="shared" si="1081"/>
        <v>0.15321154979375368</v>
      </c>
      <c r="I2637" s="2"/>
      <c r="J2637" s="2">
        <f t="shared" si="1071"/>
        <v>0.40589275191514435</v>
      </c>
      <c r="K2637" s="2">
        <f t="shared" si="1072"/>
        <v>0.55910430170889802</v>
      </c>
      <c r="L2637" s="2">
        <f t="shared" si="1073"/>
        <v>2.3571007660577489E-3</v>
      </c>
      <c r="M2637" s="2">
        <f t="shared" si="1074"/>
        <v>3.2645845609899943E-2</v>
      </c>
      <c r="N2637" s="63">
        <v>3444</v>
      </c>
      <c r="O2637" s="63">
        <v>4744</v>
      </c>
      <c r="P2637" s="63">
        <v>20</v>
      </c>
      <c r="Q2637" s="63">
        <v>238</v>
      </c>
      <c r="R2637" s="63">
        <v>34</v>
      </c>
      <c r="S2637" s="63">
        <v>0</v>
      </c>
      <c r="T2637" s="63"/>
      <c r="U2637" s="63">
        <v>0</v>
      </c>
      <c r="V2637" s="63"/>
      <c r="W2637" s="63">
        <f>IF(Copyright!B$11=1,IF(CA2637&gt;0,CA2637-SUM(S2637:V2637)-P2637-SUM(X2637:AQ2637),SUM(CB2637:CI2637)),SUM(CB2637:CI2637))</f>
        <v>3</v>
      </c>
      <c r="X2637" s="63"/>
      <c r="Y2637" s="63">
        <v>0</v>
      </c>
      <c r="Z2637" s="63"/>
      <c r="AA2637" s="63">
        <v>0</v>
      </c>
      <c r="AB2637" s="63"/>
      <c r="AC2637" s="63"/>
      <c r="AD2637" s="63"/>
      <c r="AE2637" s="63">
        <v>0</v>
      </c>
      <c r="AF2637" s="63"/>
      <c r="AG2637" s="63"/>
      <c r="AH2637" s="63"/>
      <c r="AI2637" s="63"/>
      <c r="AJ2637" s="63"/>
      <c r="AK2637" s="63"/>
      <c r="AL2637" s="63"/>
      <c r="AM2637" s="63"/>
      <c r="AN2637" s="63">
        <v>2</v>
      </c>
      <c r="AO2637" s="63"/>
      <c r="AP2637" s="63"/>
      <c r="AQ2637" s="63"/>
      <c r="AR2637" s="63"/>
      <c r="AS2637" s="63"/>
      <c r="AT2637" s="63"/>
      <c r="AU2637" s="63"/>
      <c r="AW2637" s="5">
        <f>IF(Q2637&gt;0,RANK(Q2637,(N2637:P2637,Q2637:AE2637)),0)</f>
        <v>3</v>
      </c>
      <c r="AX2637" s="5">
        <f>IF(R2637&gt;0,RANK(R2637,(N2637:P2637,Q2637:AE2637)),0)</f>
        <v>4</v>
      </c>
      <c r="AY2637" s="5">
        <f>IF(T2637&gt;0,RANK(T2637,(N2637:P2637,Q2637:AE2637)),0)</f>
        <v>0</v>
      </c>
      <c r="AZ2637" s="5">
        <f>IF(S2637&gt;0,RANK(S2637,(N2637:P2637,Q2637:AE2637)),0)</f>
        <v>0</v>
      </c>
      <c r="BA2637" s="2">
        <f t="shared" si="1075"/>
        <v>2.8049499116087211E-2</v>
      </c>
      <c r="BB2637" s="2">
        <f t="shared" si="1076"/>
        <v>4.0070713022981735E-3</v>
      </c>
      <c r="BC2637" s="2">
        <f t="shared" si="1077"/>
        <v>0</v>
      </c>
      <c r="BD2637" s="2">
        <f t="shared" si="1078"/>
        <v>0</v>
      </c>
      <c r="BF2637" t="s">
        <v>3103</v>
      </c>
      <c r="BG2637" t="s">
        <v>53</v>
      </c>
      <c r="BH2637">
        <v>34</v>
      </c>
      <c r="BJ2637" s="114">
        <v>48</v>
      </c>
      <c r="BK2637" s="116">
        <v>25</v>
      </c>
      <c r="BL2637" s="120">
        <f t="shared" si="1068"/>
        <v>48025</v>
      </c>
      <c r="BN2637" s="5" t="s">
        <v>3154</v>
      </c>
      <c r="BZ2637" s="63">
        <f t="shared" si="1079"/>
        <v>8485</v>
      </c>
      <c r="CD2637" s="63">
        <v>2</v>
      </c>
      <c r="CE2637" s="63">
        <v>0</v>
      </c>
      <c r="CF2637" s="63">
        <v>0</v>
      </c>
      <c r="CG2637" s="8">
        <v>0</v>
      </c>
      <c r="CH2637" s="8">
        <v>0</v>
      </c>
      <c r="CI2637" s="8">
        <v>1</v>
      </c>
    </row>
    <row r="2638" spans="1:87" hidden="1" outlineLevel="1">
      <c r="A2638" t="s">
        <v>1972</v>
      </c>
      <c r="B2638" t="s">
        <v>53</v>
      </c>
      <c r="C2638" s="1">
        <f t="shared" si="1070"/>
        <v>95701</v>
      </c>
      <c r="D2638" s="5">
        <f>IF(N2638&gt;0, RANK(N2638,(N2638:P2638,Q2638:AE2638)),0)</f>
        <v>2</v>
      </c>
      <c r="E2638" s="5">
        <f>IF(O2638&gt;0,RANK(O2638,(N2638:P2638,Q2638:AE2638)),0)</f>
        <v>1</v>
      </c>
      <c r="F2638" s="5">
        <f>IF(P2638&gt;0,RANK(P2638,(N2638:P2638,Q2638:AE2638)),0)</f>
        <v>6</v>
      </c>
      <c r="G2638" s="132">
        <f t="shared" si="1080"/>
        <v>14197</v>
      </c>
      <c r="H2638" s="137">
        <f t="shared" si="1081"/>
        <v>0.14834745718435544</v>
      </c>
      <c r="I2638" s="2"/>
      <c r="J2638" s="2">
        <f t="shared" si="1071"/>
        <v>0.39499064795561173</v>
      </c>
      <c r="K2638" s="2">
        <f t="shared" si="1072"/>
        <v>0.54333810513996716</v>
      </c>
      <c r="L2638" s="2">
        <f t="shared" si="1073"/>
        <v>4.6081023186800556E-3</v>
      </c>
      <c r="M2638" s="2">
        <f t="shared" si="1074"/>
        <v>5.7063144585740994E-2</v>
      </c>
      <c r="N2638" s="63">
        <v>37801</v>
      </c>
      <c r="O2638" s="63">
        <v>51998</v>
      </c>
      <c r="P2638" s="63">
        <v>441</v>
      </c>
      <c r="Q2638" s="63">
        <v>3824</v>
      </c>
      <c r="R2638" s="63">
        <v>812</v>
      </c>
      <c r="S2638" s="63">
        <v>52</v>
      </c>
      <c r="T2638" s="63"/>
      <c r="U2638" s="63">
        <v>2</v>
      </c>
      <c r="V2638" s="63"/>
      <c r="W2638" s="63">
        <f>IF(Copyright!B$11=1,IF(CA2638&gt;0,CA2638-SUM(S2638:V2638)-P2638-SUM(X2638:AQ2638),SUM(CB2638:CI2638)),SUM(CB2638:CI2638))</f>
        <v>721</v>
      </c>
      <c r="X2638" s="63"/>
      <c r="Y2638" s="63">
        <v>18</v>
      </c>
      <c r="Z2638" s="63"/>
      <c r="AA2638" s="63">
        <v>8</v>
      </c>
      <c r="AB2638" s="63"/>
      <c r="AC2638" s="63"/>
      <c r="AD2638" s="63"/>
      <c r="AE2638" s="63">
        <v>7</v>
      </c>
      <c r="AF2638" s="63"/>
      <c r="AG2638" s="63"/>
      <c r="AH2638" s="63"/>
      <c r="AI2638" s="63"/>
      <c r="AJ2638" s="63"/>
      <c r="AK2638" s="63"/>
      <c r="AL2638" s="63"/>
      <c r="AM2638" s="63"/>
      <c r="AN2638" s="63">
        <v>17</v>
      </c>
      <c r="AO2638" s="63"/>
      <c r="AP2638" s="63"/>
      <c r="AQ2638" s="63"/>
      <c r="AR2638" s="63"/>
      <c r="AS2638" s="63"/>
      <c r="AT2638" s="63"/>
      <c r="AU2638" s="63"/>
      <c r="AW2638" s="5">
        <f>IF(Q2638&gt;0,RANK(Q2638,(N2638:P2638,Q2638:AE2638)),0)</f>
        <v>3</v>
      </c>
      <c r="AX2638" s="5">
        <f>IF(R2638&gt;0,RANK(R2638,(N2638:P2638,Q2638:AE2638)),0)</f>
        <v>4</v>
      </c>
      <c r="AY2638" s="5">
        <f>IF(T2638&gt;0,RANK(T2638,(N2638:P2638,Q2638:AE2638)),0)</f>
        <v>0</v>
      </c>
      <c r="AZ2638" s="5">
        <f>IF(S2638&gt;0,RANK(S2638,(N2638:P2638,Q2638:AE2638)),0)</f>
        <v>7</v>
      </c>
      <c r="BA2638" s="2">
        <f t="shared" si="1075"/>
        <v>3.9957785185107786E-2</v>
      </c>
      <c r="BB2638" s="2">
        <f t="shared" si="1076"/>
        <v>8.4847598248712127E-3</v>
      </c>
      <c r="BC2638" s="2">
        <f t="shared" si="1077"/>
        <v>0</v>
      </c>
      <c r="BD2638" s="2">
        <f t="shared" si="1078"/>
        <v>5.433590035631812E-4</v>
      </c>
      <c r="BF2638" t="s">
        <v>1972</v>
      </c>
      <c r="BG2638" t="s">
        <v>53</v>
      </c>
      <c r="BJ2638" s="114">
        <v>48</v>
      </c>
      <c r="BK2638" s="116">
        <v>27</v>
      </c>
      <c r="BL2638" s="120">
        <f t="shared" si="1068"/>
        <v>48027</v>
      </c>
      <c r="BN2638" s="5" t="s">
        <v>3154</v>
      </c>
      <c r="BY2638" s="63">
        <f>1266+812+3824+37801+51998</f>
        <v>95701</v>
      </c>
      <c r="BZ2638" s="63">
        <f t="shared" si="1079"/>
        <v>95701</v>
      </c>
      <c r="CA2638" s="63">
        <v>1266</v>
      </c>
      <c r="CD2638" s="63">
        <v>2</v>
      </c>
      <c r="CE2638" s="63">
        <v>1</v>
      </c>
      <c r="CF2638" s="63">
        <v>6</v>
      </c>
      <c r="CG2638" s="8">
        <v>0</v>
      </c>
      <c r="CH2638" s="8">
        <v>2</v>
      </c>
      <c r="CI2638" s="8">
        <v>3</v>
      </c>
    </row>
    <row r="2639" spans="1:87" hidden="1" outlineLevel="1">
      <c r="A2639" t="s">
        <v>1386</v>
      </c>
      <c r="B2639" t="s">
        <v>53</v>
      </c>
      <c r="C2639" s="1">
        <f t="shared" si="1070"/>
        <v>594574</v>
      </c>
      <c r="D2639" s="5">
        <f>IF(N2639&gt;0, RANK(N2639,(N2639:P2639,Q2639:AE2639)),0)</f>
        <v>1</v>
      </c>
      <c r="E2639" s="5">
        <f>IF(O2639&gt;0,RANK(O2639,(N2639:P2639,Q2639:AE2639)),0)</f>
        <v>2</v>
      </c>
      <c r="F2639" s="5">
        <f>IF(P2639&gt;0,RANK(P2639,(N2639:P2639,Q2639:AE2639)),0)</f>
        <v>6</v>
      </c>
      <c r="G2639" s="132">
        <f t="shared" si="1080"/>
        <v>79217</v>
      </c>
      <c r="H2639" s="137">
        <f t="shared" si="1081"/>
        <v>0.13323320562284929</v>
      </c>
      <c r="I2639" s="2"/>
      <c r="J2639" s="2">
        <f t="shared" si="1071"/>
        <v>0.53744361509248639</v>
      </c>
      <c r="K2639" s="2">
        <f t="shared" si="1072"/>
        <v>0.4042104094696371</v>
      </c>
      <c r="L2639" s="2">
        <f t="shared" si="1073"/>
        <v>4.4502450493967109E-3</v>
      </c>
      <c r="M2639" s="2">
        <f t="shared" si="1074"/>
        <v>5.3895730388479793E-2</v>
      </c>
      <c r="N2639" s="63">
        <v>319550</v>
      </c>
      <c r="O2639" s="63">
        <v>240333</v>
      </c>
      <c r="P2639" s="63">
        <v>2646</v>
      </c>
      <c r="Q2639" s="63">
        <v>20091</v>
      </c>
      <c r="R2639" s="63">
        <v>6645</v>
      </c>
      <c r="S2639" s="63">
        <v>206</v>
      </c>
      <c r="T2639" s="63"/>
      <c r="U2639" s="63">
        <v>2</v>
      </c>
      <c r="V2639" s="63"/>
      <c r="W2639" s="63">
        <f>IF(Copyright!B$11=1,IF(CA2639&gt;0,CA2639-SUM(S2639:V2639)-P2639-SUM(X2639:AQ2639),SUM(CB2639:CI2639)),SUM(CB2639:CI2639))</f>
        <v>4976</v>
      </c>
      <c r="X2639" s="63"/>
      <c r="Y2639" s="63">
        <v>45</v>
      </c>
      <c r="Z2639" s="63"/>
      <c r="AA2639" s="63">
        <v>6</v>
      </c>
      <c r="AB2639" s="63"/>
      <c r="AC2639" s="63"/>
      <c r="AD2639" s="63"/>
      <c r="AE2639" s="63">
        <v>27</v>
      </c>
      <c r="AF2639" s="63"/>
      <c r="AG2639" s="63"/>
      <c r="AH2639" s="63"/>
      <c r="AI2639" s="63"/>
      <c r="AJ2639" s="63"/>
      <c r="AK2639" s="63"/>
      <c r="AL2639" s="63"/>
      <c r="AM2639" s="63"/>
      <c r="AN2639" s="63">
        <v>47</v>
      </c>
      <c r="AO2639" s="63"/>
      <c r="AP2639" s="63"/>
      <c r="AQ2639" s="63"/>
      <c r="AR2639" s="63"/>
      <c r="AS2639" s="63"/>
      <c r="AT2639" s="63"/>
      <c r="AU2639" s="63"/>
      <c r="AW2639" s="5">
        <f>IF(Q2639&gt;0,RANK(Q2639,(N2639:P2639,Q2639:AE2639)),0)</f>
        <v>3</v>
      </c>
      <c r="AX2639" s="5">
        <f>IF(R2639&gt;0,RANK(R2639,(N2639:P2639,Q2639:AE2639)),0)</f>
        <v>4</v>
      </c>
      <c r="AY2639" s="5">
        <f>IF(T2639&gt;0,RANK(T2639,(N2639:P2639,Q2639:AE2639)),0)</f>
        <v>0</v>
      </c>
      <c r="AZ2639" s="5">
        <f>IF(S2639&gt;0,RANK(S2639,(N2639:P2639,Q2639:AE2639)),0)</f>
        <v>7</v>
      </c>
      <c r="BA2639" s="2">
        <f t="shared" si="1075"/>
        <v>3.3790579473707227E-2</v>
      </c>
      <c r="BB2639" s="2">
        <f t="shared" si="1076"/>
        <v>1.1176068916568837E-2</v>
      </c>
      <c r="BC2639" s="2">
        <f t="shared" si="1077"/>
        <v>0</v>
      </c>
      <c r="BD2639" s="2">
        <f t="shared" si="1078"/>
        <v>3.4646654579581346E-4</v>
      </c>
      <c r="BF2639" t="s">
        <v>1386</v>
      </c>
      <c r="BG2639" t="s">
        <v>53</v>
      </c>
      <c r="BJ2639" s="114">
        <v>48</v>
      </c>
      <c r="BK2639" s="116">
        <v>29</v>
      </c>
      <c r="BL2639" s="120">
        <f t="shared" si="1068"/>
        <v>48029</v>
      </c>
      <c r="BN2639" s="5" t="s">
        <v>3154</v>
      </c>
      <c r="BR2639" s="63"/>
      <c r="BZ2639" s="63">
        <f t="shared" si="1079"/>
        <v>594574</v>
      </c>
      <c r="CA2639" s="63">
        <v>7955</v>
      </c>
      <c r="CD2639" s="63">
        <v>15</v>
      </c>
      <c r="CE2639" s="63">
        <v>0</v>
      </c>
      <c r="CF2639" s="63">
        <v>23</v>
      </c>
      <c r="CG2639" s="8">
        <v>3</v>
      </c>
      <c r="CH2639" s="8">
        <v>1</v>
      </c>
      <c r="CI2639" s="8">
        <v>5</v>
      </c>
    </row>
    <row r="2640" spans="1:87" hidden="1" outlineLevel="1">
      <c r="A2640" t="s">
        <v>551</v>
      </c>
      <c r="B2640" t="s">
        <v>53</v>
      </c>
      <c r="C2640" s="1">
        <f t="shared" si="1070"/>
        <v>5685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5</v>
      </c>
      <c r="G2640" s="132">
        <f t="shared" si="1080"/>
        <v>2968</v>
      </c>
      <c r="H2640" s="137">
        <f t="shared" si="1081"/>
        <v>0.52207563764291998</v>
      </c>
      <c r="I2640" s="2"/>
      <c r="J2640" s="2">
        <f t="shared" si="1071"/>
        <v>0.21882145998240984</v>
      </c>
      <c r="K2640" s="2">
        <f t="shared" si="1072"/>
        <v>0.74089709762532985</v>
      </c>
      <c r="L2640" s="2">
        <f t="shared" si="1073"/>
        <v>2.1108179419525065E-3</v>
      </c>
      <c r="M2640" s="2">
        <f t="shared" si="1074"/>
        <v>3.8170624450307777E-2</v>
      </c>
      <c r="N2640" s="63">
        <v>1244</v>
      </c>
      <c r="O2640" s="63">
        <v>4212</v>
      </c>
      <c r="P2640" s="63">
        <v>12</v>
      </c>
      <c r="Q2640" s="63">
        <v>180</v>
      </c>
      <c r="R2640" s="63">
        <v>33</v>
      </c>
      <c r="S2640" s="63">
        <v>2</v>
      </c>
      <c r="T2640" s="63"/>
      <c r="U2640" s="63">
        <v>1</v>
      </c>
      <c r="V2640" s="63"/>
      <c r="W2640" s="63">
        <f>IF(Copyright!B$11=1,IF(CA2640&gt;0,CA2640-SUM(S2640:V2640)-P2640-SUM(X2640:AQ2640),SUM(CB2640:CI2640)),SUM(CB2640:CI2640))</f>
        <v>0</v>
      </c>
      <c r="X2640" s="63"/>
      <c r="Y2640" s="63">
        <v>1</v>
      </c>
      <c r="Z2640" s="63"/>
      <c r="AA2640" s="63">
        <v>0</v>
      </c>
      <c r="AB2640" s="63"/>
      <c r="AC2640" s="63"/>
      <c r="AD2640" s="63"/>
      <c r="AE2640" s="63">
        <v>0</v>
      </c>
      <c r="AF2640" s="63"/>
      <c r="AG2640" s="63"/>
      <c r="AH2640" s="63"/>
      <c r="AI2640" s="63"/>
      <c r="AJ2640" s="63"/>
      <c r="AK2640" s="63"/>
      <c r="AL2640" s="63"/>
      <c r="AM2640" s="63"/>
      <c r="AN2640" s="63">
        <v>0</v>
      </c>
      <c r="AO2640" s="63"/>
      <c r="AP2640" s="63"/>
      <c r="AQ2640" s="63"/>
      <c r="AR2640" s="63"/>
      <c r="AS2640" s="63"/>
      <c r="AT2640" s="63"/>
      <c r="AU2640" s="63"/>
      <c r="AW2640" s="5">
        <f>IF(Q2640&gt;0,RANK(Q2640,(N2640:P2640,Q2640:AE2640)),0)</f>
        <v>3</v>
      </c>
      <c r="AX2640" s="5">
        <f>IF(R2640&gt;0,RANK(R2640,(N2640:P2640,Q2640:AE2640)),0)</f>
        <v>4</v>
      </c>
      <c r="AY2640" s="5">
        <f>IF(T2640&gt;0,RANK(T2640,(N2640:P2640,Q2640:AE2640)),0)</f>
        <v>0</v>
      </c>
      <c r="AZ2640" s="5">
        <f>IF(S2640&gt;0,RANK(S2640,(N2640:P2640,Q2640:AE2640)),0)</f>
        <v>6</v>
      </c>
      <c r="BA2640" s="2">
        <f t="shared" si="1075"/>
        <v>3.1662269129287601E-2</v>
      </c>
      <c r="BB2640" s="2">
        <f t="shared" si="1076"/>
        <v>5.8047493403693929E-3</v>
      </c>
      <c r="BC2640" s="2">
        <f t="shared" si="1077"/>
        <v>0</v>
      </c>
      <c r="BD2640" s="2">
        <f t="shared" si="1078"/>
        <v>3.5180299032541777E-4</v>
      </c>
      <c r="BF2640" t="s">
        <v>551</v>
      </c>
      <c r="BG2640" t="s">
        <v>53</v>
      </c>
      <c r="BH2640">
        <v>21</v>
      </c>
      <c r="BJ2640" s="114">
        <v>48</v>
      </c>
      <c r="BK2640" s="116">
        <v>31</v>
      </c>
      <c r="BL2640" s="120">
        <f t="shared" si="1068"/>
        <v>48031</v>
      </c>
      <c r="BN2640" s="5" t="s">
        <v>3154</v>
      </c>
      <c r="BZ2640" s="63">
        <f t="shared" si="1079"/>
        <v>5685</v>
      </c>
      <c r="CD2640" s="63">
        <v>0</v>
      </c>
      <c r="CE2640" s="63">
        <v>0</v>
      </c>
      <c r="CF2640" s="63">
        <v>0</v>
      </c>
      <c r="CG2640" s="8">
        <v>0</v>
      </c>
      <c r="CH2640" s="8">
        <v>0</v>
      </c>
      <c r="CI2640" s="8">
        <v>0</v>
      </c>
    </row>
    <row r="2641" spans="1:87" hidden="1" outlineLevel="1">
      <c r="A2641" t="s">
        <v>2823</v>
      </c>
      <c r="B2641" t="s">
        <v>53</v>
      </c>
      <c r="C2641" s="1">
        <f t="shared" si="1070"/>
        <v>365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32">
        <f t="shared" si="1080"/>
        <v>299</v>
      </c>
      <c r="H2641" s="137">
        <f t="shared" si="1081"/>
        <v>0.81917808219178079</v>
      </c>
      <c r="I2641" s="2"/>
      <c r="J2641" s="2">
        <f t="shared" si="1071"/>
        <v>8.4931506849315067E-2</v>
      </c>
      <c r="K2641" s="2">
        <f t="shared" si="1072"/>
        <v>0.90410958904109584</v>
      </c>
      <c r="L2641" s="2">
        <f t="shared" si="1073"/>
        <v>0</v>
      </c>
      <c r="M2641" s="2">
        <f t="shared" si="1074"/>
        <v>1.0958904109589107E-2</v>
      </c>
      <c r="N2641" s="63">
        <v>31</v>
      </c>
      <c r="O2641" s="63">
        <v>330</v>
      </c>
      <c r="P2641" s="63">
        <v>0</v>
      </c>
      <c r="Q2641" s="63">
        <v>3</v>
      </c>
      <c r="R2641" s="63">
        <v>1</v>
      </c>
      <c r="S2641" s="63">
        <v>0</v>
      </c>
      <c r="T2641" s="63"/>
      <c r="U2641" s="63">
        <v>0</v>
      </c>
      <c r="V2641" s="63"/>
      <c r="W2641" s="63">
        <f>IF(Copyright!B$11=1,IF(CA2641&gt;0,CA2641-SUM(S2641:V2641)-P2641-SUM(X2641:AQ2641),SUM(CB2641:CI2641)),SUM(CB2641:CI2641))</f>
        <v>0</v>
      </c>
      <c r="X2641" s="63"/>
      <c r="Y2641" s="63">
        <v>0</v>
      </c>
      <c r="Z2641" s="63"/>
      <c r="AA2641" s="63">
        <v>0</v>
      </c>
      <c r="AB2641" s="63"/>
      <c r="AC2641" s="63"/>
      <c r="AD2641" s="63"/>
      <c r="AE2641" s="63">
        <v>0</v>
      </c>
      <c r="AF2641" s="63"/>
      <c r="AG2641" s="63"/>
      <c r="AH2641" s="63"/>
      <c r="AI2641" s="63"/>
      <c r="AJ2641" s="63"/>
      <c r="AK2641" s="63"/>
      <c r="AL2641" s="63"/>
      <c r="AM2641" s="63"/>
      <c r="AN2641" s="63">
        <v>0</v>
      </c>
      <c r="AO2641" s="63"/>
      <c r="AP2641" s="63"/>
      <c r="AQ2641" s="63"/>
      <c r="AR2641" s="63"/>
      <c r="AS2641" s="63"/>
      <c r="AT2641" s="63"/>
      <c r="AU2641" s="63"/>
      <c r="AW2641" s="5">
        <f>IF(Q2641&gt;0,RANK(Q2641,(N2641:P2641,Q2641:AE2641)),0)</f>
        <v>3</v>
      </c>
      <c r="AX2641" s="5">
        <f>IF(R2641&gt;0,RANK(R2641,(N2641:P2641,Q2641:AE2641)),0)</f>
        <v>4</v>
      </c>
      <c r="AY2641" s="5">
        <f>IF(T2641&gt;0,RANK(T2641,(N2641:P2641,Q2641:AE2641)),0)</f>
        <v>0</v>
      </c>
      <c r="AZ2641" s="5">
        <f>IF(S2641&gt;0,RANK(S2641,(N2641:P2641,Q2641:AE2641)),0)</f>
        <v>0</v>
      </c>
      <c r="BA2641" s="2">
        <f t="shared" si="1075"/>
        <v>8.21917808219178E-3</v>
      </c>
      <c r="BB2641" s="2">
        <f t="shared" si="1076"/>
        <v>2.7397260273972603E-3</v>
      </c>
      <c r="BC2641" s="2">
        <f t="shared" si="1077"/>
        <v>0</v>
      </c>
      <c r="BD2641" s="2">
        <f t="shared" si="1078"/>
        <v>0</v>
      </c>
      <c r="BF2641" t="s">
        <v>2823</v>
      </c>
      <c r="BG2641" t="s">
        <v>53</v>
      </c>
      <c r="BH2641">
        <v>19</v>
      </c>
      <c r="BJ2641" s="114">
        <v>48</v>
      </c>
      <c r="BK2641" s="116">
        <v>33</v>
      </c>
      <c r="BL2641" s="120">
        <f t="shared" si="1068"/>
        <v>48033</v>
      </c>
      <c r="BN2641" s="5" t="s">
        <v>3154</v>
      </c>
      <c r="BZ2641" s="63">
        <f t="shared" si="1079"/>
        <v>365</v>
      </c>
      <c r="CD2641" s="63">
        <v>0</v>
      </c>
      <c r="CE2641" s="63">
        <v>0</v>
      </c>
      <c r="CF2641" s="63">
        <v>0</v>
      </c>
      <c r="CG2641" s="8">
        <v>0</v>
      </c>
      <c r="CH2641" s="8">
        <v>0</v>
      </c>
      <c r="CI2641" s="8">
        <v>0</v>
      </c>
    </row>
    <row r="2642" spans="1:87" hidden="1" outlineLevel="1">
      <c r="A2642" t="s">
        <v>876</v>
      </c>
      <c r="B2642" t="s">
        <v>53</v>
      </c>
      <c r="C2642" s="1">
        <f t="shared" si="1070"/>
        <v>7867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6</v>
      </c>
      <c r="G2642" s="132">
        <f t="shared" si="1080"/>
        <v>5061</v>
      </c>
      <c r="H2642" s="137">
        <f t="shared" si="1081"/>
        <v>0.6433201982966823</v>
      </c>
      <c r="I2642" s="2"/>
      <c r="J2642" s="2">
        <f t="shared" si="1071"/>
        <v>0.16245074361255879</v>
      </c>
      <c r="K2642" s="2">
        <f t="shared" si="1072"/>
        <v>0.80577094190924115</v>
      </c>
      <c r="L2642" s="2">
        <f t="shared" si="1073"/>
        <v>1.7795856107792043E-3</v>
      </c>
      <c r="M2642" s="2">
        <f t="shared" si="1074"/>
        <v>2.9998728867420804E-2</v>
      </c>
      <c r="N2642" s="63">
        <v>1278</v>
      </c>
      <c r="O2642" s="63">
        <v>6339</v>
      </c>
      <c r="P2642" s="63">
        <v>14</v>
      </c>
      <c r="Q2642" s="63">
        <v>155</v>
      </c>
      <c r="R2642" s="63">
        <v>40</v>
      </c>
      <c r="S2642" s="63">
        <v>9</v>
      </c>
      <c r="T2642" s="63"/>
      <c r="U2642" s="63">
        <v>0</v>
      </c>
      <c r="V2642" s="63"/>
      <c r="W2642" s="63">
        <f>IF(Copyright!B$11=1,IF(CA2642&gt;0,CA2642-SUM(S2642:V2642)-P2642-SUM(X2642:AQ2642),SUM(CB2642:CI2642)),SUM(CB2642:CI2642))</f>
        <v>29</v>
      </c>
      <c r="X2642" s="63"/>
      <c r="Y2642" s="63">
        <v>0</v>
      </c>
      <c r="Z2642" s="63"/>
      <c r="AA2642" s="63">
        <v>1</v>
      </c>
      <c r="AB2642" s="63"/>
      <c r="AC2642" s="63"/>
      <c r="AD2642" s="63"/>
      <c r="AE2642" s="63">
        <v>2</v>
      </c>
      <c r="AF2642" s="63"/>
      <c r="AG2642" s="63"/>
      <c r="AH2642" s="63"/>
      <c r="AI2642" s="63"/>
      <c r="AJ2642" s="63"/>
      <c r="AK2642" s="63"/>
      <c r="AL2642" s="63"/>
      <c r="AM2642" s="63"/>
      <c r="AN2642" s="63">
        <v>0</v>
      </c>
      <c r="AO2642" s="63"/>
      <c r="AP2642" s="63"/>
      <c r="AQ2642" s="63"/>
      <c r="AR2642" s="63"/>
      <c r="AS2642" s="63"/>
      <c r="AT2642" s="63"/>
      <c r="AU2642" s="63"/>
      <c r="AW2642" s="5">
        <f>IF(Q2642&gt;0,RANK(Q2642,(N2642:P2642,Q2642:AE2642)),0)</f>
        <v>3</v>
      </c>
      <c r="AX2642" s="5">
        <f>IF(R2642&gt;0,RANK(R2642,(N2642:P2642,Q2642:AE2642)),0)</f>
        <v>4</v>
      </c>
      <c r="AY2642" s="5">
        <f>IF(T2642&gt;0,RANK(T2642,(N2642:P2642,Q2642:AE2642)),0)</f>
        <v>0</v>
      </c>
      <c r="AZ2642" s="5">
        <f>IF(S2642&gt;0,RANK(S2642,(N2642:P2642,Q2642:AE2642)),0)</f>
        <v>7</v>
      </c>
      <c r="BA2642" s="2">
        <f t="shared" si="1075"/>
        <v>1.9702554976484047E-2</v>
      </c>
      <c r="BB2642" s="2">
        <f t="shared" si="1076"/>
        <v>5.0845303165120122E-3</v>
      </c>
      <c r="BC2642" s="2">
        <f t="shared" si="1077"/>
        <v>0</v>
      </c>
      <c r="BD2642" s="2">
        <f t="shared" si="1078"/>
        <v>1.1440193212152027E-3</v>
      </c>
      <c r="BF2642" t="s">
        <v>876</v>
      </c>
      <c r="BG2642" t="s">
        <v>53</v>
      </c>
      <c r="BH2642">
        <v>25</v>
      </c>
      <c r="BJ2642" s="114">
        <v>48</v>
      </c>
      <c r="BK2642" s="116">
        <v>35</v>
      </c>
      <c r="BL2642" s="120">
        <f t="shared" si="1068"/>
        <v>48035</v>
      </c>
      <c r="BN2642" s="5" t="s">
        <v>3154</v>
      </c>
      <c r="BY2642" s="63">
        <v>7867</v>
      </c>
      <c r="BZ2642" s="63">
        <f t="shared" si="1079"/>
        <v>7867</v>
      </c>
      <c r="CA2642" s="63">
        <v>55</v>
      </c>
      <c r="CD2642" s="63">
        <v>0</v>
      </c>
      <c r="CE2642" s="63">
        <v>0</v>
      </c>
      <c r="CF2642" s="63">
        <v>0</v>
      </c>
      <c r="CG2642" s="8">
        <v>0</v>
      </c>
      <c r="CH2642" s="8">
        <v>0</v>
      </c>
      <c r="CI2642" s="8">
        <v>0</v>
      </c>
    </row>
    <row r="2643" spans="1:87" hidden="1" outlineLevel="1">
      <c r="A2643" t="s">
        <v>1390</v>
      </c>
      <c r="B2643" t="s">
        <v>53</v>
      </c>
      <c r="C2643" s="1">
        <f t="shared" si="1070"/>
        <v>34602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5</v>
      </c>
      <c r="G2643" s="132">
        <f t="shared" si="1080"/>
        <v>16086</v>
      </c>
      <c r="H2643" s="137">
        <f t="shared" si="1081"/>
        <v>0.46488642275013004</v>
      </c>
      <c r="I2643" s="2"/>
      <c r="J2643" s="2">
        <f t="shared" si="1071"/>
        <v>0.25541876192127622</v>
      </c>
      <c r="K2643" s="2">
        <f t="shared" si="1072"/>
        <v>0.72030518467140625</v>
      </c>
      <c r="L2643" s="2">
        <f t="shared" si="1073"/>
        <v>2.2831050228310501E-3</v>
      </c>
      <c r="M2643" s="2">
        <f t="shared" si="1074"/>
        <v>2.1992948384486483E-2</v>
      </c>
      <c r="N2643" s="63">
        <v>8838</v>
      </c>
      <c r="O2643" s="63">
        <v>24924</v>
      </c>
      <c r="P2643" s="63">
        <v>79</v>
      </c>
      <c r="Q2643" s="63">
        <v>582</v>
      </c>
      <c r="R2643" s="63">
        <v>145</v>
      </c>
      <c r="S2643" s="63">
        <v>19</v>
      </c>
      <c r="T2643" s="63"/>
      <c r="U2643" s="63">
        <v>0</v>
      </c>
      <c r="V2643" s="63"/>
      <c r="W2643" s="63">
        <f>IF(Copyright!B$11=1,IF(CA2643&gt;0,CA2643-SUM(S2643:V2643)-P2643-SUM(X2643:AQ2643),SUM(CB2643:CI2643)),SUM(CB2643:CI2643))</f>
        <v>3</v>
      </c>
      <c r="X2643" s="63"/>
      <c r="Y2643" s="63">
        <v>10</v>
      </c>
      <c r="Z2643" s="63"/>
      <c r="AA2643" s="63">
        <v>0</v>
      </c>
      <c r="AB2643" s="63"/>
      <c r="AC2643" s="63"/>
      <c r="AD2643" s="63"/>
      <c r="AE2643" s="63">
        <v>1</v>
      </c>
      <c r="AF2643" s="63"/>
      <c r="AG2643" s="63"/>
      <c r="AH2643" s="63"/>
      <c r="AI2643" s="63"/>
      <c r="AJ2643" s="63"/>
      <c r="AK2643" s="63"/>
      <c r="AL2643" s="63"/>
      <c r="AM2643" s="63"/>
      <c r="AN2643" s="63">
        <v>1</v>
      </c>
      <c r="AO2643" s="63"/>
      <c r="AP2643" s="63"/>
      <c r="AQ2643" s="63"/>
      <c r="AR2643" s="63"/>
      <c r="AS2643" s="63"/>
      <c r="AT2643" s="63"/>
      <c r="AU2643" s="63"/>
      <c r="AW2643" s="5">
        <f>IF(Q2643&gt;0,RANK(Q2643,(N2643:P2643,Q2643:AE2643)),0)</f>
        <v>3</v>
      </c>
      <c r="AX2643" s="5">
        <f>IF(R2643&gt;0,RANK(R2643,(N2643:P2643,Q2643:AE2643)),0)</f>
        <v>4</v>
      </c>
      <c r="AY2643" s="5">
        <f>IF(T2643&gt;0,RANK(T2643,(N2643:P2643,Q2643:AE2643)),0)</f>
        <v>0</v>
      </c>
      <c r="AZ2643" s="5">
        <f>IF(S2643&gt;0,RANK(S2643,(N2643:P2643,Q2643:AE2643)),0)</f>
        <v>6</v>
      </c>
      <c r="BA2643" s="2">
        <f t="shared" si="1075"/>
        <v>1.6819837003641407E-2</v>
      </c>
      <c r="BB2643" s="2">
        <f t="shared" si="1076"/>
        <v>4.1905092191202821E-3</v>
      </c>
      <c r="BC2643" s="2">
        <f t="shared" si="1077"/>
        <v>0</v>
      </c>
      <c r="BD2643" s="2">
        <f t="shared" si="1078"/>
        <v>5.4910120802265767E-4</v>
      </c>
      <c r="BF2643" t="s">
        <v>1390</v>
      </c>
      <c r="BG2643" t="s">
        <v>53</v>
      </c>
      <c r="BH2643">
        <v>4</v>
      </c>
      <c r="BJ2643" s="114">
        <v>48</v>
      </c>
      <c r="BK2643" s="116">
        <v>37</v>
      </c>
      <c r="BL2643" s="120">
        <f t="shared" si="1068"/>
        <v>48037</v>
      </c>
      <c r="BN2643" s="5" t="s">
        <v>3154</v>
      </c>
      <c r="BZ2643" s="63">
        <f t="shared" si="1079"/>
        <v>34602</v>
      </c>
      <c r="CD2643" s="63">
        <v>3</v>
      </c>
      <c r="CE2643" s="63">
        <v>0</v>
      </c>
      <c r="CF2643" s="63">
        <v>0</v>
      </c>
      <c r="CG2643" s="8">
        <v>0</v>
      </c>
      <c r="CH2643" s="8">
        <v>0</v>
      </c>
      <c r="CI2643" s="8">
        <v>0</v>
      </c>
    </row>
    <row r="2644" spans="1:87" hidden="1" outlineLevel="1">
      <c r="A2644" t="s">
        <v>815</v>
      </c>
      <c r="B2644" t="s">
        <v>53</v>
      </c>
      <c r="C2644" s="1">
        <f t="shared" si="1070"/>
        <v>121181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5</v>
      </c>
      <c r="G2644" s="132">
        <f t="shared" si="1080"/>
        <v>29591</v>
      </c>
      <c r="H2644" s="137">
        <f t="shared" si="1081"/>
        <v>0.24418844538335219</v>
      </c>
      <c r="I2644" s="2"/>
      <c r="J2644" s="2">
        <f t="shared" si="1071"/>
        <v>0.35649152920012211</v>
      </c>
      <c r="K2644" s="2">
        <f t="shared" si="1072"/>
        <v>0.60067997458347433</v>
      </c>
      <c r="L2644" s="2">
        <f t="shared" si="1073"/>
        <v>4.1590678406680914E-3</v>
      </c>
      <c r="M2644" s="2">
        <f t="shared" si="1074"/>
        <v>3.8669428375735518E-2</v>
      </c>
      <c r="N2644" s="63">
        <v>43200</v>
      </c>
      <c r="O2644" s="63">
        <v>72791</v>
      </c>
      <c r="P2644" s="63">
        <v>504</v>
      </c>
      <c r="Q2644" s="63">
        <v>3768</v>
      </c>
      <c r="R2644" s="63">
        <v>806</v>
      </c>
      <c r="S2644" s="63">
        <v>70</v>
      </c>
      <c r="T2644" s="63"/>
      <c r="U2644" s="63">
        <v>1</v>
      </c>
      <c r="V2644" s="63"/>
      <c r="W2644" s="63">
        <f>IF(Copyright!B$11=1,IF(CA2644&gt;0,CA2644-SUM(S2644:V2644)-P2644-SUM(X2644:AQ2644),SUM(CB2644:CI2644)),SUM(CB2644:CI2644))</f>
        <v>7</v>
      </c>
      <c r="X2644" s="63"/>
      <c r="Y2644" s="63">
        <v>17</v>
      </c>
      <c r="Z2644" s="63"/>
      <c r="AA2644" s="63">
        <v>2</v>
      </c>
      <c r="AB2644" s="63"/>
      <c r="AC2644" s="63"/>
      <c r="AD2644" s="63"/>
      <c r="AE2644" s="63">
        <v>6</v>
      </c>
      <c r="AF2644" s="63"/>
      <c r="AG2644" s="63"/>
      <c r="AH2644" s="63"/>
      <c r="AI2644" s="63"/>
      <c r="AJ2644" s="63"/>
      <c r="AK2644" s="63"/>
      <c r="AL2644" s="63"/>
      <c r="AM2644" s="63"/>
      <c r="AN2644" s="63">
        <v>9</v>
      </c>
      <c r="AO2644" s="63"/>
      <c r="AP2644" s="63"/>
      <c r="AQ2644" s="63"/>
      <c r="AR2644" s="63"/>
      <c r="AS2644" s="63"/>
      <c r="AT2644" s="63"/>
      <c r="AU2644" s="63"/>
      <c r="AW2644" s="5">
        <f>IF(Q2644&gt;0,RANK(Q2644,(N2644:P2644,Q2644:AE2644)),0)</f>
        <v>3</v>
      </c>
      <c r="AX2644" s="5">
        <f>IF(R2644&gt;0,RANK(R2644,(N2644:P2644,Q2644:AE2644)),0)</f>
        <v>4</v>
      </c>
      <c r="AY2644" s="5">
        <f>IF(T2644&gt;0,RANK(T2644,(N2644:P2644,Q2644:AE2644)),0)</f>
        <v>0</v>
      </c>
      <c r="AZ2644" s="5">
        <f>IF(S2644&gt;0,RANK(S2644,(N2644:P2644,Q2644:AE2644)),0)</f>
        <v>6</v>
      </c>
      <c r="BA2644" s="2">
        <f t="shared" si="1075"/>
        <v>3.1093983380232875E-2</v>
      </c>
      <c r="BB2644" s="2">
        <f t="shared" si="1076"/>
        <v>6.6512076975763527E-3</v>
      </c>
      <c r="BC2644" s="2">
        <f t="shared" si="1077"/>
        <v>0</v>
      </c>
      <c r="BD2644" s="2">
        <f t="shared" si="1078"/>
        <v>5.7764831120390157E-4</v>
      </c>
      <c r="BF2644" t="s">
        <v>815</v>
      </c>
      <c r="BG2644" t="s">
        <v>53</v>
      </c>
      <c r="BJ2644" s="114">
        <v>48</v>
      </c>
      <c r="BK2644" s="116">
        <v>39</v>
      </c>
      <c r="BL2644" s="120">
        <f t="shared" si="1068"/>
        <v>48039</v>
      </c>
      <c r="BN2644" s="5" t="s">
        <v>3154</v>
      </c>
      <c r="BZ2644" s="63">
        <f t="shared" si="1079"/>
        <v>121181</v>
      </c>
      <c r="CD2644" s="63">
        <v>0</v>
      </c>
      <c r="CE2644" s="63">
        <v>2</v>
      </c>
      <c r="CF2644" s="63">
        <v>3</v>
      </c>
      <c r="CG2644" s="8">
        <v>0</v>
      </c>
      <c r="CH2644" s="8">
        <v>0</v>
      </c>
      <c r="CI2644" s="8">
        <v>2</v>
      </c>
    </row>
    <row r="2645" spans="1:87" hidden="1" outlineLevel="1">
      <c r="A2645" t="s">
        <v>562</v>
      </c>
      <c r="B2645" t="s">
        <v>53</v>
      </c>
      <c r="C2645" s="1">
        <f t="shared" si="1070"/>
        <v>67211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4</v>
      </c>
      <c r="G2645" s="132">
        <f t="shared" si="1080"/>
        <v>15617</v>
      </c>
      <c r="H2645" s="137">
        <f t="shared" si="1081"/>
        <v>0.23235779857463809</v>
      </c>
      <c r="I2645" s="2"/>
      <c r="J2645" s="2">
        <f t="shared" si="1071"/>
        <v>0.34400618946303435</v>
      </c>
      <c r="K2645" s="2">
        <f t="shared" si="1072"/>
        <v>0.57636398803767241</v>
      </c>
      <c r="L2645" s="2">
        <f t="shared" si="1073"/>
        <v>1.2542589754653256E-2</v>
      </c>
      <c r="M2645" s="2">
        <f t="shared" si="1074"/>
        <v>6.708723274463993E-2</v>
      </c>
      <c r="N2645" s="63">
        <v>23121</v>
      </c>
      <c r="O2645" s="63">
        <v>38738</v>
      </c>
      <c r="P2645" s="63">
        <v>843</v>
      </c>
      <c r="Q2645" s="63">
        <v>3813</v>
      </c>
      <c r="R2645" s="63">
        <v>536</v>
      </c>
      <c r="S2645" s="63">
        <v>73</v>
      </c>
      <c r="T2645" s="63"/>
      <c r="U2645" s="63">
        <v>1</v>
      </c>
      <c r="V2645" s="63"/>
      <c r="W2645" s="63">
        <f>IF(Copyright!B$11=1,IF(CA2645&gt;0,CA2645-SUM(S2645:V2645)-P2645-SUM(X2645:AQ2645),SUM(CB2645:CI2645)),SUM(CB2645:CI2645))</f>
        <v>9</v>
      </c>
      <c r="X2645" s="63"/>
      <c r="Y2645" s="63">
        <v>7</v>
      </c>
      <c r="Z2645" s="63"/>
      <c r="AA2645" s="63">
        <v>0</v>
      </c>
      <c r="AB2645" s="63"/>
      <c r="AC2645" s="63"/>
      <c r="AD2645" s="63"/>
      <c r="AE2645" s="63">
        <v>10</v>
      </c>
      <c r="AF2645" s="63"/>
      <c r="AG2645" s="63"/>
      <c r="AH2645" s="63"/>
      <c r="AI2645" s="63"/>
      <c r="AJ2645" s="63"/>
      <c r="AK2645" s="63"/>
      <c r="AL2645" s="63"/>
      <c r="AM2645" s="63"/>
      <c r="AN2645" s="63">
        <v>60</v>
      </c>
      <c r="AO2645" s="63"/>
      <c r="AP2645" s="63"/>
      <c r="AQ2645" s="63"/>
      <c r="AR2645" s="63"/>
      <c r="AS2645" s="63"/>
      <c r="AT2645" s="63"/>
      <c r="AU2645" s="63"/>
      <c r="AW2645" s="5">
        <f>IF(Q2645&gt;0,RANK(Q2645,(N2645:P2645,Q2645:AE2645)),0)</f>
        <v>3</v>
      </c>
      <c r="AX2645" s="5">
        <f>IF(R2645&gt;0,RANK(R2645,(N2645:P2645,Q2645:AE2645)),0)</f>
        <v>5</v>
      </c>
      <c r="AY2645" s="5">
        <f>IF(T2645&gt;0,RANK(T2645,(N2645:P2645,Q2645:AE2645)),0)</f>
        <v>0</v>
      </c>
      <c r="AZ2645" s="5">
        <f>IF(S2645&gt;0,RANK(S2645,(N2645:P2645,Q2645:AE2645)),0)</f>
        <v>6</v>
      </c>
      <c r="BA2645" s="2">
        <f t="shared" si="1075"/>
        <v>5.6731784975673626E-2</v>
      </c>
      <c r="BB2645" s="2">
        <f t="shared" si="1076"/>
        <v>7.9748850634568744E-3</v>
      </c>
      <c r="BC2645" s="2">
        <f t="shared" si="1077"/>
        <v>0</v>
      </c>
      <c r="BD2645" s="2">
        <f t="shared" si="1078"/>
        <v>1.0861317343887162E-3</v>
      </c>
      <c r="BF2645" t="s">
        <v>562</v>
      </c>
      <c r="BG2645" t="s">
        <v>53</v>
      </c>
      <c r="BH2645">
        <v>17</v>
      </c>
      <c r="BJ2645" s="114">
        <v>48</v>
      </c>
      <c r="BK2645" s="116">
        <v>41</v>
      </c>
      <c r="BL2645" s="120">
        <f t="shared" si="1068"/>
        <v>48041</v>
      </c>
      <c r="BN2645" s="5" t="s">
        <v>3154</v>
      </c>
      <c r="BZ2645" s="63">
        <f t="shared" si="1079"/>
        <v>67211</v>
      </c>
      <c r="CD2645" s="63">
        <v>2</v>
      </c>
      <c r="CE2645" s="63">
        <v>1</v>
      </c>
      <c r="CF2645" s="63">
        <v>5</v>
      </c>
      <c r="CG2645" s="8">
        <v>0</v>
      </c>
      <c r="CH2645" s="8">
        <v>1</v>
      </c>
      <c r="CI2645" s="8">
        <v>0</v>
      </c>
    </row>
    <row r="2646" spans="1:87" hidden="1" outlineLevel="1">
      <c r="A2646" t="s">
        <v>1779</v>
      </c>
      <c r="B2646" t="s">
        <v>53</v>
      </c>
      <c r="C2646" s="1">
        <f t="shared" si="1070"/>
        <v>4252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5</v>
      </c>
      <c r="G2646" s="132">
        <f t="shared" si="1080"/>
        <v>204</v>
      </c>
      <c r="H2646" s="137">
        <f t="shared" si="1081"/>
        <v>4.7977422389463779E-2</v>
      </c>
      <c r="I2646" s="2"/>
      <c r="J2646" s="2">
        <f t="shared" si="1071"/>
        <v>0.44049858889934146</v>
      </c>
      <c r="K2646" s="2">
        <f t="shared" si="1072"/>
        <v>0.48847601128880525</v>
      </c>
      <c r="L2646" s="2">
        <f t="shared" si="1073"/>
        <v>3.292568203198495E-3</v>
      </c>
      <c r="M2646" s="2">
        <f t="shared" si="1074"/>
        <v>6.77328316086548E-2</v>
      </c>
      <c r="N2646" s="63">
        <v>1873</v>
      </c>
      <c r="O2646" s="63">
        <v>2077</v>
      </c>
      <c r="P2646" s="63">
        <v>14</v>
      </c>
      <c r="Q2646" s="63">
        <v>210</v>
      </c>
      <c r="R2646" s="63">
        <v>77</v>
      </c>
      <c r="S2646" s="63">
        <v>0</v>
      </c>
      <c r="T2646" s="63"/>
      <c r="U2646" s="63">
        <v>0</v>
      </c>
      <c r="V2646" s="63"/>
      <c r="W2646" s="63">
        <f>IF(Copyright!B$11=1,IF(CA2646&gt;0,CA2646-SUM(S2646:V2646)-P2646-SUM(X2646:AQ2646),SUM(CB2646:CI2646)),SUM(CB2646:CI2646))</f>
        <v>0</v>
      </c>
      <c r="X2646" s="63"/>
      <c r="Y2646" s="63">
        <v>0</v>
      </c>
      <c r="Z2646" s="63"/>
      <c r="AA2646" s="63">
        <v>0</v>
      </c>
      <c r="AB2646" s="63"/>
      <c r="AC2646" s="63"/>
      <c r="AD2646" s="63"/>
      <c r="AE2646" s="63">
        <v>0</v>
      </c>
      <c r="AF2646" s="63"/>
      <c r="AG2646" s="63"/>
      <c r="AH2646" s="63"/>
      <c r="AI2646" s="63"/>
      <c r="AJ2646" s="63"/>
      <c r="AK2646" s="63"/>
      <c r="AL2646" s="63"/>
      <c r="AM2646" s="63"/>
      <c r="AN2646" s="63">
        <v>1</v>
      </c>
      <c r="AO2646" s="63"/>
      <c r="AP2646" s="63"/>
      <c r="AQ2646" s="63"/>
      <c r="AR2646" s="63"/>
      <c r="AS2646" s="63"/>
      <c r="AT2646" s="63"/>
      <c r="AU2646" s="63"/>
      <c r="AW2646" s="5">
        <f>IF(Q2646&gt;0,RANK(Q2646,(N2646:P2646,Q2646:AE2646)),0)</f>
        <v>3</v>
      </c>
      <c r="AX2646" s="5">
        <f>IF(R2646&gt;0,RANK(R2646,(N2646:P2646,Q2646:AE2646)),0)</f>
        <v>4</v>
      </c>
      <c r="AY2646" s="5">
        <f>IF(T2646&gt;0,RANK(T2646,(N2646:P2646,Q2646:AE2646)),0)</f>
        <v>0</v>
      </c>
      <c r="AZ2646" s="5">
        <f>IF(S2646&gt;0,RANK(S2646,(N2646:P2646,Q2646:AE2646)),0)</f>
        <v>0</v>
      </c>
      <c r="BA2646" s="2">
        <f t="shared" si="1075"/>
        <v>4.9388523047977424E-2</v>
      </c>
      <c r="BB2646" s="2">
        <f t="shared" si="1076"/>
        <v>1.8109125117591721E-2</v>
      </c>
      <c r="BC2646" s="2">
        <f t="shared" si="1077"/>
        <v>0</v>
      </c>
      <c r="BD2646" s="2">
        <f t="shared" si="1078"/>
        <v>0</v>
      </c>
      <c r="BF2646" t="s">
        <v>1779</v>
      </c>
      <c r="BG2646" t="s">
        <v>53</v>
      </c>
      <c r="BH2646">
        <v>23</v>
      </c>
      <c r="BJ2646" s="114">
        <v>48</v>
      </c>
      <c r="BK2646" s="116">
        <v>43</v>
      </c>
      <c r="BL2646" s="120">
        <f t="shared" si="1068"/>
        <v>48043</v>
      </c>
      <c r="BN2646" s="5" t="s">
        <v>3154</v>
      </c>
      <c r="BZ2646" s="63">
        <f t="shared" si="1079"/>
        <v>4252</v>
      </c>
      <c r="CD2646" s="63">
        <v>0</v>
      </c>
      <c r="CE2646" s="63">
        <v>0</v>
      </c>
      <c r="CF2646" s="63">
        <v>0</v>
      </c>
      <c r="CG2646" s="8">
        <v>0</v>
      </c>
      <c r="CH2646" s="8">
        <v>0</v>
      </c>
      <c r="CI2646" s="8">
        <v>0</v>
      </c>
    </row>
    <row r="2647" spans="1:87" hidden="1" outlineLevel="1">
      <c r="A2647" t="s">
        <v>676</v>
      </c>
      <c r="B2647" t="s">
        <v>53</v>
      </c>
      <c r="C2647" s="1">
        <f t="shared" si="1070"/>
        <v>736</v>
      </c>
      <c r="D2647" s="5">
        <f>IF(N2647&gt;0, RANK(N2647,(N2647:P2647,Q2647:AE2647)),0)</f>
        <v>2</v>
      </c>
      <c r="E2647" s="5">
        <f>IF(O2647&gt;0,RANK(O2647,(N2647:P2647,Q2647:AE2647)),0)</f>
        <v>1</v>
      </c>
      <c r="F2647" s="5">
        <f>IF(P2647&gt;0,RANK(P2647,(N2647:P2647,Q2647:AE2647)),0)</f>
        <v>5</v>
      </c>
      <c r="G2647" s="132">
        <f t="shared" si="1080"/>
        <v>534</v>
      </c>
      <c r="H2647" s="137">
        <f t="shared" si="1081"/>
        <v>0.72554347826086951</v>
      </c>
      <c r="I2647" s="2"/>
      <c r="J2647" s="2">
        <f t="shared" si="1071"/>
        <v>0.12364130434782608</v>
      </c>
      <c r="K2647" s="2">
        <f t="shared" si="1072"/>
        <v>0.84918478260869568</v>
      </c>
      <c r="L2647" s="2">
        <f t="shared" si="1073"/>
        <v>2.717391304347826E-3</v>
      </c>
      <c r="M2647" s="2">
        <f t="shared" si="1074"/>
        <v>2.4456521739130446E-2</v>
      </c>
      <c r="N2647" s="63">
        <v>91</v>
      </c>
      <c r="O2647" s="63">
        <v>625</v>
      </c>
      <c r="P2647" s="63">
        <v>2</v>
      </c>
      <c r="Q2647" s="63">
        <v>14</v>
      </c>
      <c r="R2647" s="63">
        <v>4</v>
      </c>
      <c r="S2647" s="63">
        <v>0</v>
      </c>
      <c r="T2647" s="63"/>
      <c r="U2647" s="63">
        <v>0</v>
      </c>
      <c r="V2647" s="63"/>
      <c r="W2647" s="63">
        <f>IF(Copyright!B$11=1,IF(CA2647&gt;0,CA2647-SUM(S2647:V2647)-P2647-SUM(X2647:AQ2647),SUM(CB2647:CI2647)),SUM(CB2647:CI2647))</f>
        <v>0</v>
      </c>
      <c r="X2647" s="63"/>
      <c r="Y2647" s="63">
        <v>0</v>
      </c>
      <c r="Z2647" s="63"/>
      <c r="AA2647" s="63">
        <v>0</v>
      </c>
      <c r="AB2647" s="63"/>
      <c r="AC2647" s="63"/>
      <c r="AD2647" s="63"/>
      <c r="AE2647" s="63">
        <v>0</v>
      </c>
      <c r="AF2647" s="63"/>
      <c r="AG2647" s="63"/>
      <c r="AH2647" s="63"/>
      <c r="AI2647" s="63"/>
      <c r="AJ2647" s="63"/>
      <c r="AK2647" s="63"/>
      <c r="AL2647" s="63"/>
      <c r="AM2647" s="63"/>
      <c r="AN2647" s="63">
        <v>0</v>
      </c>
      <c r="AO2647" s="63"/>
      <c r="AP2647" s="63"/>
      <c r="AQ2647" s="63"/>
      <c r="AR2647" s="63"/>
      <c r="AS2647" s="63"/>
      <c r="AT2647" s="63"/>
      <c r="AU2647" s="63"/>
      <c r="AW2647" s="5">
        <f>IF(Q2647&gt;0,RANK(Q2647,(N2647:P2647,Q2647:AE2647)),0)</f>
        <v>3</v>
      </c>
      <c r="AX2647" s="5">
        <f>IF(R2647&gt;0,RANK(R2647,(N2647:P2647,Q2647:AE2647)),0)</f>
        <v>4</v>
      </c>
      <c r="AY2647" s="5">
        <f>IF(T2647&gt;0,RANK(T2647,(N2647:P2647,Q2647:AE2647)),0)</f>
        <v>0</v>
      </c>
      <c r="AZ2647" s="5">
        <f>IF(S2647&gt;0,RANK(S2647,(N2647:P2647,Q2647:AE2647)),0)</f>
        <v>0</v>
      </c>
      <c r="BA2647" s="2">
        <f t="shared" si="1075"/>
        <v>1.9021739130434784E-2</v>
      </c>
      <c r="BB2647" s="2">
        <f t="shared" si="1076"/>
        <v>5.434782608695652E-3</v>
      </c>
      <c r="BC2647" s="2">
        <f t="shared" si="1077"/>
        <v>0</v>
      </c>
      <c r="BD2647" s="2">
        <f t="shared" si="1078"/>
        <v>0</v>
      </c>
      <c r="BF2647" t="s">
        <v>676</v>
      </c>
      <c r="BG2647" t="s">
        <v>53</v>
      </c>
      <c r="BH2647">
        <v>13</v>
      </c>
      <c r="BJ2647" s="114">
        <v>48</v>
      </c>
      <c r="BK2647" s="116">
        <v>45</v>
      </c>
      <c r="BL2647" s="120">
        <f t="shared" si="1068"/>
        <v>48045</v>
      </c>
      <c r="BN2647" s="5" t="s">
        <v>3154</v>
      </c>
      <c r="BZ2647" s="63">
        <f t="shared" si="1079"/>
        <v>736</v>
      </c>
      <c r="CD2647" s="63">
        <v>0</v>
      </c>
      <c r="CE2647" s="63">
        <v>0</v>
      </c>
      <c r="CF2647" s="63">
        <v>0</v>
      </c>
      <c r="CG2647" s="8">
        <v>0</v>
      </c>
      <c r="CH2647" s="8">
        <v>0</v>
      </c>
      <c r="CI2647" s="8">
        <v>0</v>
      </c>
    </row>
    <row r="2648" spans="1:87" hidden="1" outlineLevel="1">
      <c r="A2648" t="s">
        <v>3134</v>
      </c>
      <c r="B2648" t="s">
        <v>53</v>
      </c>
      <c r="C2648" s="1">
        <f t="shared" si="1070"/>
        <v>2596</v>
      </c>
      <c r="D2648" s="5">
        <f>IF(N2648&gt;0, RANK(N2648,(N2648:P2648,Q2648:AE2648)),0)</f>
        <v>1</v>
      </c>
      <c r="E2648" s="5">
        <f>IF(O2648&gt;0,RANK(O2648,(N2648:P2648,Q2648:AE2648)),0)</f>
        <v>2</v>
      </c>
      <c r="F2648" s="5">
        <f>IF(P2648&gt;0,RANK(P2648,(N2648:P2648,Q2648:AE2648)),0)</f>
        <v>0</v>
      </c>
      <c r="G2648" s="132">
        <f t="shared" si="1080"/>
        <v>1324</v>
      </c>
      <c r="H2648" s="137">
        <f t="shared" si="1081"/>
        <v>0.51001540832049308</v>
      </c>
      <c r="I2648" s="2"/>
      <c r="J2648" s="2">
        <f t="shared" si="1071"/>
        <v>0.74614791987673346</v>
      </c>
      <c r="K2648" s="2">
        <f t="shared" si="1072"/>
        <v>0.23613251155624038</v>
      </c>
      <c r="L2648" s="2">
        <f t="shared" si="1073"/>
        <v>0</v>
      </c>
      <c r="M2648" s="2">
        <f t="shared" si="1074"/>
        <v>1.7719568567026167E-2</v>
      </c>
      <c r="N2648" s="63">
        <v>1937</v>
      </c>
      <c r="O2648" s="63">
        <v>613</v>
      </c>
      <c r="P2648" s="63">
        <v>0</v>
      </c>
      <c r="Q2648" s="63">
        <v>32</v>
      </c>
      <c r="R2648" s="63">
        <v>14</v>
      </c>
      <c r="S2648" s="63">
        <v>0</v>
      </c>
      <c r="T2648" s="63"/>
      <c r="U2648" s="63">
        <v>0</v>
      </c>
      <c r="V2648" s="63"/>
      <c r="W2648" s="63">
        <f>IF(Copyright!B$11=1,IF(CA2648&gt;0,CA2648-SUM(S2648:V2648)-P2648-SUM(X2648:AQ2648),SUM(CB2648:CI2648)),SUM(CB2648:CI2648))</f>
        <v>0</v>
      </c>
      <c r="X2648" s="63"/>
      <c r="Y2648" s="63">
        <v>0</v>
      </c>
      <c r="Z2648" s="63"/>
      <c r="AA2648" s="63">
        <v>0</v>
      </c>
      <c r="AB2648" s="63"/>
      <c r="AC2648" s="63"/>
      <c r="AD2648" s="63"/>
      <c r="AE2648" s="63">
        <v>0</v>
      </c>
      <c r="AF2648" s="63"/>
      <c r="AG2648" s="63"/>
      <c r="AH2648" s="63"/>
      <c r="AI2648" s="63"/>
      <c r="AJ2648" s="63"/>
      <c r="AK2648" s="63"/>
      <c r="AL2648" s="63"/>
      <c r="AM2648" s="63"/>
      <c r="AN2648" s="63">
        <v>0</v>
      </c>
      <c r="AO2648" s="63"/>
      <c r="AP2648" s="63"/>
      <c r="AQ2648" s="63"/>
      <c r="AR2648" s="63"/>
      <c r="AS2648" s="63"/>
      <c r="AT2648" s="63"/>
      <c r="AU2648" s="63"/>
      <c r="AW2648" s="5">
        <f>IF(Q2648&gt;0,RANK(Q2648,(N2648:P2648,Q2648:AE2648)),0)</f>
        <v>3</v>
      </c>
      <c r="AX2648" s="5">
        <f>IF(R2648&gt;0,RANK(R2648,(N2648:P2648,Q2648:AE2648)),0)</f>
        <v>4</v>
      </c>
      <c r="AY2648" s="5">
        <f>IF(T2648&gt;0,RANK(T2648,(N2648:P2648,Q2648:AE2648)),0)</f>
        <v>0</v>
      </c>
      <c r="AZ2648" s="5">
        <f>IF(S2648&gt;0,RANK(S2648,(N2648:P2648,Q2648:AE2648)),0)</f>
        <v>0</v>
      </c>
      <c r="BA2648" s="2">
        <f t="shared" si="1075"/>
        <v>1.2326656394453005E-2</v>
      </c>
      <c r="BB2648" s="2">
        <f t="shared" si="1076"/>
        <v>5.3929121725731898E-3</v>
      </c>
      <c r="BC2648" s="2">
        <f t="shared" si="1077"/>
        <v>0</v>
      </c>
      <c r="BD2648" s="2">
        <f t="shared" si="1078"/>
        <v>0</v>
      </c>
      <c r="BF2648" t="s">
        <v>3134</v>
      </c>
      <c r="BG2648" t="s">
        <v>53</v>
      </c>
      <c r="BH2648">
        <v>15</v>
      </c>
      <c r="BJ2648" s="114">
        <v>48</v>
      </c>
      <c r="BK2648" s="116">
        <v>47</v>
      </c>
      <c r="BL2648" s="120">
        <f t="shared" si="1068"/>
        <v>48047</v>
      </c>
      <c r="BN2648" s="5" t="s">
        <v>3154</v>
      </c>
      <c r="BZ2648" s="63">
        <f t="shared" si="1079"/>
        <v>2596</v>
      </c>
      <c r="CD2648" s="63">
        <v>0</v>
      </c>
      <c r="CE2648" s="63">
        <v>0</v>
      </c>
      <c r="CF2648" s="63">
        <v>0</v>
      </c>
      <c r="CG2648" s="8">
        <v>0</v>
      </c>
      <c r="CH2648" s="8">
        <v>0</v>
      </c>
      <c r="CI2648" s="8">
        <v>0</v>
      </c>
    </row>
    <row r="2649" spans="1:87" hidden="1" outlineLevel="1">
      <c r="A2649" t="s">
        <v>578</v>
      </c>
      <c r="B2649" t="s">
        <v>53</v>
      </c>
      <c r="C2649" s="1">
        <f t="shared" si="1070"/>
        <v>14026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5</v>
      </c>
      <c r="G2649" s="132">
        <f t="shared" si="1080"/>
        <v>10396</v>
      </c>
      <c r="H2649" s="137">
        <f t="shared" si="1081"/>
        <v>0.74119492371310425</v>
      </c>
      <c r="I2649" s="2"/>
      <c r="J2649" s="2">
        <f t="shared" si="1071"/>
        <v>0.11557108227577356</v>
      </c>
      <c r="K2649" s="2">
        <f t="shared" si="1072"/>
        <v>0.85676600598887775</v>
      </c>
      <c r="L2649" s="2">
        <f t="shared" si="1073"/>
        <v>4.277769855981748E-3</v>
      </c>
      <c r="M2649" s="2">
        <f t="shared" si="1074"/>
        <v>2.338514187936688E-2</v>
      </c>
      <c r="N2649" s="63">
        <v>1621</v>
      </c>
      <c r="O2649" s="63">
        <v>12017</v>
      </c>
      <c r="P2649" s="63">
        <v>60</v>
      </c>
      <c r="Q2649" s="63">
        <v>253</v>
      </c>
      <c r="R2649" s="63">
        <v>65</v>
      </c>
      <c r="S2649" s="63">
        <v>9</v>
      </c>
      <c r="T2649" s="63"/>
      <c r="U2649" s="63">
        <v>0</v>
      </c>
      <c r="V2649" s="63"/>
      <c r="W2649" s="63">
        <f>IF(Copyright!B$11=1,IF(CA2649&gt;0,CA2649-SUM(S2649:V2649)-P2649-SUM(X2649:AQ2649),SUM(CB2649:CI2649)),SUM(CB2649:CI2649))</f>
        <v>0</v>
      </c>
      <c r="X2649" s="63"/>
      <c r="Y2649" s="63">
        <v>1</v>
      </c>
      <c r="Z2649" s="63"/>
      <c r="AA2649" s="63">
        <v>0</v>
      </c>
      <c r="AB2649" s="63"/>
      <c r="AC2649" s="63"/>
      <c r="AD2649" s="63"/>
      <c r="AE2649" s="63">
        <v>0</v>
      </c>
      <c r="AF2649" s="63"/>
      <c r="AG2649" s="63"/>
      <c r="AH2649" s="63"/>
      <c r="AI2649" s="63"/>
      <c r="AJ2649" s="63"/>
      <c r="AK2649" s="63"/>
      <c r="AL2649" s="63"/>
      <c r="AM2649" s="63"/>
      <c r="AN2649" s="63">
        <v>0</v>
      </c>
      <c r="AO2649" s="63"/>
      <c r="AP2649" s="63"/>
      <c r="AQ2649" s="63"/>
      <c r="AR2649" s="63"/>
      <c r="AS2649" s="63"/>
      <c r="AT2649" s="63"/>
      <c r="AU2649" s="63"/>
      <c r="AW2649" s="5">
        <f>IF(Q2649&gt;0,RANK(Q2649,(N2649:P2649,Q2649:AE2649)),0)</f>
        <v>3</v>
      </c>
      <c r="AX2649" s="5">
        <f>IF(R2649&gt;0,RANK(R2649,(N2649:P2649,Q2649:AE2649)),0)</f>
        <v>4</v>
      </c>
      <c r="AY2649" s="5">
        <f>IF(T2649&gt;0,RANK(T2649,(N2649:P2649,Q2649:AE2649)),0)</f>
        <v>0</v>
      </c>
      <c r="AZ2649" s="5">
        <f>IF(S2649&gt;0,RANK(S2649,(N2649:P2649,Q2649:AE2649)),0)</f>
        <v>6</v>
      </c>
      <c r="BA2649" s="2">
        <f t="shared" si="1075"/>
        <v>1.8037929559389706E-2</v>
      </c>
      <c r="BB2649" s="2">
        <f t="shared" si="1076"/>
        <v>4.6342506773135606E-3</v>
      </c>
      <c r="BC2649" s="2">
        <f t="shared" si="1077"/>
        <v>0</v>
      </c>
      <c r="BD2649" s="2">
        <f t="shared" si="1078"/>
        <v>6.4166547839726226E-4</v>
      </c>
      <c r="BF2649" t="s">
        <v>578</v>
      </c>
      <c r="BG2649" t="s">
        <v>53</v>
      </c>
      <c r="BH2649">
        <v>11</v>
      </c>
      <c r="BJ2649" s="114">
        <v>48</v>
      </c>
      <c r="BK2649" s="116">
        <v>49</v>
      </c>
      <c r="BL2649" s="120">
        <f t="shared" si="1068"/>
        <v>48049</v>
      </c>
      <c r="BN2649" s="5" t="s">
        <v>3154</v>
      </c>
      <c r="BZ2649" s="63">
        <f t="shared" si="1079"/>
        <v>14026</v>
      </c>
      <c r="CD2649" s="63">
        <v>0</v>
      </c>
      <c r="CE2649" s="63">
        <v>0</v>
      </c>
      <c r="CF2649" s="63">
        <v>0</v>
      </c>
      <c r="CG2649" s="8">
        <v>0</v>
      </c>
      <c r="CH2649" s="8">
        <v>0</v>
      </c>
      <c r="CI2649" s="8">
        <v>0</v>
      </c>
    </row>
    <row r="2650" spans="1:87" hidden="1" outlineLevel="1">
      <c r="A2650" t="s">
        <v>886</v>
      </c>
      <c r="B2650" t="s">
        <v>53</v>
      </c>
      <c r="C2650" s="1">
        <f t="shared" si="1070"/>
        <v>6960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5</v>
      </c>
      <c r="G2650" s="132">
        <f t="shared" si="1080"/>
        <v>3825</v>
      </c>
      <c r="H2650" s="137">
        <f t="shared" si="1081"/>
        <v>0.54956896551724133</v>
      </c>
      <c r="I2650" s="2"/>
      <c r="J2650" s="2">
        <f t="shared" si="1071"/>
        <v>0.21422413793103448</v>
      </c>
      <c r="K2650" s="2">
        <f t="shared" si="1072"/>
        <v>0.76379310344827589</v>
      </c>
      <c r="L2650" s="2">
        <f t="shared" si="1073"/>
        <v>1.4367816091954023E-3</v>
      </c>
      <c r="M2650" s="2">
        <f t="shared" si="1074"/>
        <v>2.0545977011494257E-2</v>
      </c>
      <c r="N2650" s="63">
        <v>1491</v>
      </c>
      <c r="O2650" s="63">
        <v>5316</v>
      </c>
      <c r="P2650" s="63">
        <v>10</v>
      </c>
      <c r="Q2650" s="63">
        <v>118</v>
      </c>
      <c r="R2650" s="63">
        <v>20</v>
      </c>
      <c r="S2650" s="63">
        <v>2</v>
      </c>
      <c r="T2650" s="63"/>
      <c r="U2650" s="63">
        <v>0</v>
      </c>
      <c r="V2650" s="63"/>
      <c r="W2650" s="63">
        <f>IF(Copyright!B$11=1,IF(CA2650&gt;0,CA2650-SUM(S2650:V2650)-P2650-SUM(X2650:AQ2650),SUM(CB2650:CI2650)),SUM(CB2650:CI2650))</f>
        <v>0</v>
      </c>
      <c r="X2650" s="63"/>
      <c r="Y2650" s="63">
        <v>1</v>
      </c>
      <c r="Z2650" s="63"/>
      <c r="AA2650" s="63">
        <v>0</v>
      </c>
      <c r="AB2650" s="63"/>
      <c r="AC2650" s="63"/>
      <c r="AD2650" s="63"/>
      <c r="AE2650" s="63">
        <v>2</v>
      </c>
      <c r="AF2650" s="63"/>
      <c r="AG2650" s="63"/>
      <c r="AH2650" s="63"/>
      <c r="AI2650" s="63"/>
      <c r="AJ2650" s="63"/>
      <c r="AK2650" s="63"/>
      <c r="AL2650" s="63"/>
      <c r="AM2650" s="63"/>
      <c r="AN2650" s="63">
        <v>0</v>
      </c>
      <c r="AO2650" s="63"/>
      <c r="AP2650" s="63"/>
      <c r="AQ2650" s="63"/>
      <c r="AR2650" s="63"/>
      <c r="AS2650" s="63"/>
      <c r="AT2650" s="63"/>
      <c r="AU2650" s="63"/>
      <c r="AW2650" s="5">
        <f>IF(Q2650&gt;0,RANK(Q2650,(N2650:P2650,Q2650:AE2650)),0)</f>
        <v>3</v>
      </c>
      <c r="AX2650" s="5">
        <f>IF(R2650&gt;0,RANK(R2650,(N2650:P2650,Q2650:AE2650)),0)</f>
        <v>4</v>
      </c>
      <c r="AY2650" s="5">
        <f>IF(T2650&gt;0,RANK(T2650,(N2650:P2650,Q2650:AE2650)),0)</f>
        <v>0</v>
      </c>
      <c r="AZ2650" s="5">
        <f>IF(S2650&gt;0,RANK(S2650,(N2650:P2650,Q2650:AE2650)),0)</f>
        <v>6</v>
      </c>
      <c r="BA2650" s="2">
        <f t="shared" si="1075"/>
        <v>1.6954022988505749E-2</v>
      </c>
      <c r="BB2650" s="2">
        <f t="shared" si="1076"/>
        <v>2.8735632183908046E-3</v>
      </c>
      <c r="BC2650" s="2">
        <f t="shared" si="1077"/>
        <v>0</v>
      </c>
      <c r="BD2650" s="2">
        <f t="shared" si="1078"/>
        <v>2.8735632183908046E-4</v>
      </c>
      <c r="BF2650" t="s">
        <v>886</v>
      </c>
      <c r="BG2650" t="s">
        <v>53</v>
      </c>
      <c r="BH2650">
        <v>17</v>
      </c>
      <c r="BJ2650" s="114">
        <v>48</v>
      </c>
      <c r="BK2650" s="116">
        <v>51</v>
      </c>
      <c r="BL2650" s="120">
        <f t="shared" si="1068"/>
        <v>48051</v>
      </c>
      <c r="BN2650" s="5" t="s">
        <v>3154</v>
      </c>
      <c r="BZ2650" s="63">
        <f t="shared" si="1079"/>
        <v>6960</v>
      </c>
      <c r="CD2650" s="63">
        <v>0</v>
      </c>
      <c r="CE2650" s="63">
        <v>0</v>
      </c>
      <c r="CF2650" s="63">
        <v>0</v>
      </c>
      <c r="CG2650" s="8">
        <v>0</v>
      </c>
      <c r="CH2650" s="8">
        <v>0</v>
      </c>
      <c r="CI2650" s="8">
        <v>0</v>
      </c>
    </row>
    <row r="2651" spans="1:87" hidden="1" outlineLevel="1">
      <c r="A2651" t="s">
        <v>2446</v>
      </c>
      <c r="B2651" t="s">
        <v>53</v>
      </c>
      <c r="C2651" s="1">
        <f t="shared" si="1070"/>
        <v>19204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5</v>
      </c>
      <c r="G2651" s="132">
        <f t="shared" si="1080"/>
        <v>10841</v>
      </c>
      <c r="H2651" s="137">
        <f t="shared" si="1081"/>
        <v>0.56451780878983548</v>
      </c>
      <c r="I2651" s="2"/>
      <c r="J2651" s="2">
        <f t="shared" si="1071"/>
        <v>0.19771922516142471</v>
      </c>
      <c r="K2651" s="2">
        <f t="shared" si="1072"/>
        <v>0.76223703395126019</v>
      </c>
      <c r="L2651" s="2">
        <f t="shared" si="1073"/>
        <v>3.5409289731305978E-3</v>
      </c>
      <c r="M2651" s="2">
        <f t="shared" si="1074"/>
        <v>3.6502811914184509E-2</v>
      </c>
      <c r="N2651" s="63">
        <v>3797</v>
      </c>
      <c r="O2651" s="63">
        <v>14638</v>
      </c>
      <c r="P2651" s="63">
        <v>68</v>
      </c>
      <c r="Q2651" s="63">
        <v>564</v>
      </c>
      <c r="R2651" s="63">
        <v>104</v>
      </c>
      <c r="S2651" s="63">
        <v>10</v>
      </c>
      <c r="T2651" s="63"/>
      <c r="U2651" s="63">
        <v>0</v>
      </c>
      <c r="V2651" s="63"/>
      <c r="W2651" s="63">
        <f>IF(Copyright!B$11=1,IF(CA2651&gt;0,CA2651-SUM(S2651:V2651)-P2651-SUM(X2651:AQ2651),SUM(CB2651:CI2651)),SUM(CB2651:CI2651))</f>
        <v>1</v>
      </c>
      <c r="X2651" s="63"/>
      <c r="Y2651" s="63">
        <v>18</v>
      </c>
      <c r="Z2651" s="63"/>
      <c r="AA2651" s="63">
        <v>0</v>
      </c>
      <c r="AB2651" s="63"/>
      <c r="AC2651" s="63"/>
      <c r="AD2651" s="63"/>
      <c r="AE2651" s="63">
        <v>4</v>
      </c>
      <c r="AF2651" s="63"/>
      <c r="AG2651" s="63"/>
      <c r="AH2651" s="63"/>
      <c r="AI2651" s="63"/>
      <c r="AJ2651" s="63"/>
      <c r="AK2651" s="63"/>
      <c r="AL2651" s="63"/>
      <c r="AM2651" s="63"/>
      <c r="AN2651" s="63">
        <v>0</v>
      </c>
      <c r="AO2651" s="63"/>
      <c r="AP2651" s="63"/>
      <c r="AQ2651" s="63"/>
      <c r="AR2651" s="63"/>
      <c r="AS2651" s="63"/>
      <c r="AT2651" s="63"/>
      <c r="AU2651" s="63"/>
      <c r="AW2651" s="5">
        <f>IF(Q2651&gt;0,RANK(Q2651,(N2651:P2651,Q2651:AE2651)),0)</f>
        <v>3</v>
      </c>
      <c r="AX2651" s="5">
        <f>IF(R2651&gt;0,RANK(R2651,(N2651:P2651,Q2651:AE2651)),0)</f>
        <v>4</v>
      </c>
      <c r="AY2651" s="5">
        <f>IF(T2651&gt;0,RANK(T2651,(N2651:P2651,Q2651:AE2651)),0)</f>
        <v>0</v>
      </c>
      <c r="AZ2651" s="5">
        <f>IF(S2651&gt;0,RANK(S2651,(N2651:P2651,Q2651:AE2651)),0)</f>
        <v>7</v>
      </c>
      <c r="BA2651" s="2">
        <f t="shared" si="1075"/>
        <v>2.936888148302437E-2</v>
      </c>
      <c r="BB2651" s="2">
        <f t="shared" si="1076"/>
        <v>5.4155384294938555E-3</v>
      </c>
      <c r="BC2651" s="2">
        <f t="shared" si="1077"/>
        <v>0</v>
      </c>
      <c r="BD2651" s="2">
        <f t="shared" si="1078"/>
        <v>5.207248489897938E-4</v>
      </c>
      <c r="BF2651" t="s">
        <v>2446</v>
      </c>
      <c r="BG2651" t="s">
        <v>53</v>
      </c>
      <c r="BH2651">
        <v>25</v>
      </c>
      <c r="BJ2651" s="114">
        <v>48</v>
      </c>
      <c r="BK2651" s="116">
        <v>53</v>
      </c>
      <c r="BL2651" s="120">
        <f t="shared" si="1068"/>
        <v>48053</v>
      </c>
      <c r="BN2651" s="5" t="s">
        <v>3154</v>
      </c>
      <c r="BZ2651" s="63">
        <f t="shared" si="1079"/>
        <v>19204</v>
      </c>
      <c r="CD2651" s="63">
        <v>0</v>
      </c>
      <c r="CE2651" s="63">
        <v>0</v>
      </c>
      <c r="CF2651" s="63">
        <v>1</v>
      </c>
      <c r="CG2651" s="8">
        <v>0</v>
      </c>
      <c r="CH2651" s="8">
        <v>0</v>
      </c>
      <c r="CI2651" s="8">
        <v>0</v>
      </c>
    </row>
    <row r="2652" spans="1:87" hidden="1" outlineLevel="1">
      <c r="A2652" t="s">
        <v>317</v>
      </c>
      <c r="B2652" t="s">
        <v>53</v>
      </c>
      <c r="C2652" s="1">
        <f t="shared" si="1070"/>
        <v>12178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6</v>
      </c>
      <c r="G2652" s="132">
        <f t="shared" si="1080"/>
        <v>1896</v>
      </c>
      <c r="H2652" s="137">
        <f t="shared" si="1081"/>
        <v>0.15569058958778126</v>
      </c>
      <c r="I2652" s="2"/>
      <c r="J2652" s="2">
        <f t="shared" si="1071"/>
        <v>0.39374281491213664</v>
      </c>
      <c r="K2652" s="2">
        <f t="shared" si="1072"/>
        <v>0.54943340449991784</v>
      </c>
      <c r="L2652" s="2">
        <f t="shared" si="1073"/>
        <v>2.7098045656101166E-3</v>
      </c>
      <c r="M2652" s="2">
        <f t="shared" si="1074"/>
        <v>5.4113976022335343E-2</v>
      </c>
      <c r="N2652" s="63">
        <v>4795</v>
      </c>
      <c r="O2652" s="63">
        <v>6691</v>
      </c>
      <c r="P2652" s="63">
        <v>33</v>
      </c>
      <c r="Q2652" s="63">
        <v>446</v>
      </c>
      <c r="R2652" s="63">
        <v>105</v>
      </c>
      <c r="S2652" s="63">
        <v>7</v>
      </c>
      <c r="T2652" s="63"/>
      <c r="U2652" s="63">
        <v>0</v>
      </c>
      <c r="V2652" s="63"/>
      <c r="W2652" s="63">
        <f>IF(Copyright!B$11=1,IF(CA2652&gt;0,CA2652-SUM(S2652:V2652)-P2652-SUM(X2652:AQ2652),SUM(CB2652:CI2652)),SUM(CB2652:CI2652))</f>
        <v>87</v>
      </c>
      <c r="X2652" s="63"/>
      <c r="Y2652" s="63">
        <v>5</v>
      </c>
      <c r="Z2652" s="63"/>
      <c r="AA2652" s="63">
        <v>0</v>
      </c>
      <c r="AB2652" s="63"/>
      <c r="AC2652" s="63"/>
      <c r="AD2652" s="63"/>
      <c r="AE2652" s="63">
        <v>4</v>
      </c>
      <c r="AF2652" s="63"/>
      <c r="AG2652" s="63"/>
      <c r="AH2652" s="63"/>
      <c r="AI2652" s="63"/>
      <c r="AJ2652" s="63"/>
      <c r="AK2652" s="63"/>
      <c r="AL2652" s="63"/>
      <c r="AM2652" s="63"/>
      <c r="AN2652" s="63">
        <v>5</v>
      </c>
      <c r="AO2652" s="63"/>
      <c r="AP2652" s="63"/>
      <c r="AQ2652" s="63"/>
      <c r="AR2652" s="63"/>
      <c r="AS2652" s="63"/>
      <c r="AT2652" s="63"/>
      <c r="AU2652" s="63"/>
      <c r="AW2652" s="5">
        <f>IF(Q2652&gt;0,RANK(Q2652,(N2652:P2652,Q2652:AE2652)),0)</f>
        <v>3</v>
      </c>
      <c r="AX2652" s="5">
        <f>IF(R2652&gt;0,RANK(R2652,(N2652:P2652,Q2652:AE2652)),0)</f>
        <v>4</v>
      </c>
      <c r="AY2652" s="5">
        <f>IF(T2652&gt;0,RANK(T2652,(N2652:P2652,Q2652:AE2652)),0)</f>
        <v>0</v>
      </c>
      <c r="AZ2652" s="5">
        <f>IF(S2652&gt;0,RANK(S2652,(N2652:P2652,Q2652:AE2652)),0)</f>
        <v>7</v>
      </c>
      <c r="BA2652" s="2">
        <f t="shared" si="1075"/>
        <v>3.6623419280670061E-2</v>
      </c>
      <c r="BB2652" s="2">
        <f t="shared" si="1076"/>
        <v>8.6221054360321892E-3</v>
      </c>
      <c r="BC2652" s="2">
        <f t="shared" si="1077"/>
        <v>0</v>
      </c>
      <c r="BD2652" s="2">
        <f t="shared" si="1078"/>
        <v>5.7480702906881267E-4</v>
      </c>
      <c r="BF2652" t="s">
        <v>317</v>
      </c>
      <c r="BG2652" t="s">
        <v>53</v>
      </c>
      <c r="BJ2652" s="114">
        <v>48</v>
      </c>
      <c r="BK2652" s="116">
        <v>55</v>
      </c>
      <c r="BL2652" s="120">
        <f t="shared" si="1068"/>
        <v>48055</v>
      </c>
      <c r="BN2652" s="5" t="s">
        <v>3154</v>
      </c>
      <c r="BY2652" s="63">
        <f>141+105+446+4795+6691</f>
        <v>12178</v>
      </c>
      <c r="BZ2652" s="63">
        <f t="shared" si="1079"/>
        <v>12178</v>
      </c>
      <c r="CA2652" s="63">
        <v>141</v>
      </c>
      <c r="CD2652" s="63">
        <v>0</v>
      </c>
      <c r="CE2652" s="63">
        <v>0</v>
      </c>
      <c r="CF2652" s="63">
        <v>1</v>
      </c>
      <c r="CG2652" s="8">
        <v>0</v>
      </c>
      <c r="CH2652" s="8">
        <v>0</v>
      </c>
      <c r="CI2652" s="8">
        <v>0</v>
      </c>
    </row>
    <row r="2653" spans="1:87" hidden="1" outlineLevel="1">
      <c r="A2653" t="s">
        <v>1197</v>
      </c>
      <c r="B2653" t="s">
        <v>53</v>
      </c>
      <c r="C2653" s="1">
        <f t="shared" si="1070"/>
        <v>6974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6</v>
      </c>
      <c r="G2653" s="132">
        <f t="shared" si="1080"/>
        <v>2520</v>
      </c>
      <c r="H2653" s="137">
        <f t="shared" si="1081"/>
        <v>0.36134212790364212</v>
      </c>
      <c r="I2653" s="2"/>
      <c r="J2653" s="2">
        <f t="shared" si="1071"/>
        <v>0.30369945511901347</v>
      </c>
      <c r="K2653" s="2">
        <f t="shared" si="1072"/>
        <v>0.66504158302265559</v>
      </c>
      <c r="L2653" s="2">
        <f t="shared" si="1073"/>
        <v>8.6033839977057644E-4</v>
      </c>
      <c r="M2653" s="2">
        <f t="shared" si="1074"/>
        <v>3.0398623458560304E-2</v>
      </c>
      <c r="N2653" s="63">
        <v>2118</v>
      </c>
      <c r="O2653" s="63">
        <v>4638</v>
      </c>
      <c r="P2653" s="63">
        <v>6</v>
      </c>
      <c r="Q2653" s="63">
        <v>168</v>
      </c>
      <c r="R2653" s="63">
        <v>33</v>
      </c>
      <c r="S2653" s="63">
        <v>2</v>
      </c>
      <c r="T2653" s="63"/>
      <c r="U2653" s="63">
        <v>0</v>
      </c>
      <c r="V2653" s="63"/>
      <c r="W2653" s="63">
        <f>IF(Copyright!B$11=1,IF(CA2653&gt;0,CA2653-SUM(S2653:V2653)-P2653-SUM(X2653:AQ2653),SUM(CB2653:CI2653)),SUM(CB2653:CI2653))</f>
        <v>9</v>
      </c>
      <c r="X2653" s="63"/>
      <c r="Y2653" s="63">
        <v>0</v>
      </c>
      <c r="Z2653" s="63"/>
      <c r="AA2653" s="63">
        <v>0</v>
      </c>
      <c r="AB2653" s="63"/>
      <c r="AC2653" s="63"/>
      <c r="AD2653" s="63"/>
      <c r="AE2653" s="63">
        <v>0</v>
      </c>
      <c r="AF2653" s="63"/>
      <c r="AG2653" s="63"/>
      <c r="AH2653" s="63"/>
      <c r="AI2653" s="63"/>
      <c r="AJ2653" s="63"/>
      <c r="AK2653" s="63"/>
      <c r="AL2653" s="63"/>
      <c r="AM2653" s="63"/>
      <c r="AN2653" s="63">
        <v>0</v>
      </c>
      <c r="AO2653" s="63"/>
      <c r="AP2653" s="63"/>
      <c r="AQ2653" s="63"/>
      <c r="AR2653" s="63"/>
      <c r="AS2653" s="63"/>
      <c r="AT2653" s="63"/>
      <c r="AU2653" s="63"/>
      <c r="AW2653" s="5">
        <f>IF(Q2653&gt;0,RANK(Q2653,(N2653:P2653,Q2653:AE2653)),0)</f>
        <v>3</v>
      </c>
      <c r="AX2653" s="5">
        <f>IF(R2653&gt;0,RANK(R2653,(N2653:P2653,Q2653:AE2653)),0)</f>
        <v>4</v>
      </c>
      <c r="AY2653" s="5">
        <f>IF(T2653&gt;0,RANK(T2653,(N2653:P2653,Q2653:AE2653)),0)</f>
        <v>0</v>
      </c>
      <c r="AZ2653" s="5">
        <f>IF(S2653&gt;0,RANK(S2653,(N2653:P2653,Q2653:AE2653)),0)</f>
        <v>7</v>
      </c>
      <c r="BA2653" s="2">
        <f t="shared" si="1075"/>
        <v>2.408947519357614E-2</v>
      </c>
      <c r="BB2653" s="2">
        <f t="shared" si="1076"/>
        <v>4.7318611987381704E-3</v>
      </c>
      <c r="BC2653" s="2">
        <f t="shared" si="1077"/>
        <v>0</v>
      </c>
      <c r="BD2653" s="2">
        <f t="shared" si="1078"/>
        <v>2.8677946659019213E-4</v>
      </c>
      <c r="BF2653" t="s">
        <v>1197</v>
      </c>
      <c r="BG2653" t="s">
        <v>53</v>
      </c>
      <c r="BH2653">
        <v>27</v>
      </c>
      <c r="BJ2653" s="114">
        <v>48</v>
      </c>
      <c r="BK2653" s="116">
        <v>57</v>
      </c>
      <c r="BL2653" s="120">
        <f t="shared" si="1068"/>
        <v>48057</v>
      </c>
      <c r="BN2653" s="5" t="s">
        <v>3154</v>
      </c>
      <c r="BY2653" s="63">
        <f>4638+2118+168+33+17</f>
        <v>6974</v>
      </c>
      <c r="BZ2653" s="63">
        <f t="shared" si="1079"/>
        <v>6974</v>
      </c>
      <c r="CA2653" s="63">
        <v>17</v>
      </c>
      <c r="CD2653" s="63">
        <v>0</v>
      </c>
      <c r="CE2653" s="63">
        <v>0</v>
      </c>
      <c r="CF2653" s="63">
        <v>0</v>
      </c>
      <c r="CG2653" s="8">
        <v>0</v>
      </c>
      <c r="CH2653" s="8">
        <v>0</v>
      </c>
      <c r="CI2653" s="8">
        <v>0</v>
      </c>
    </row>
    <row r="2654" spans="1:87" hidden="1" outlineLevel="1">
      <c r="A2654" t="s">
        <v>1493</v>
      </c>
      <c r="B2654" t="s">
        <v>53</v>
      </c>
      <c r="C2654" s="1">
        <f t="shared" si="1070"/>
        <v>5579</v>
      </c>
      <c r="D2654" s="5">
        <f>IF(N2654&gt;0, RANK(N2654,(N2654:P2654,Q2654:AE2654)),0)</f>
        <v>2</v>
      </c>
      <c r="E2654" s="5">
        <f>IF(O2654&gt;0,RANK(O2654,(N2654:P2654,Q2654:AE2654)),0)</f>
        <v>1</v>
      </c>
      <c r="F2654" s="5">
        <f>IF(P2654&gt;0,RANK(P2654,(N2654:P2654,Q2654:AE2654)),0)</f>
        <v>5</v>
      </c>
      <c r="G2654" s="132">
        <f t="shared" si="1080"/>
        <v>4296</v>
      </c>
      <c r="H2654" s="137">
        <f t="shared" si="1081"/>
        <v>0.77003047141064707</v>
      </c>
      <c r="I2654" s="2"/>
      <c r="J2654" s="2">
        <f t="shared" si="1071"/>
        <v>0.10198960387166159</v>
      </c>
      <c r="K2654" s="2">
        <f t="shared" si="1072"/>
        <v>0.87202007528230863</v>
      </c>
      <c r="L2654" s="2">
        <f t="shared" si="1073"/>
        <v>2.3301666965405985E-3</v>
      </c>
      <c r="M2654" s="2">
        <f t="shared" si="1074"/>
        <v>2.3660154149489215E-2</v>
      </c>
      <c r="N2654" s="63">
        <v>569</v>
      </c>
      <c r="O2654" s="63">
        <v>4865</v>
      </c>
      <c r="P2654" s="63">
        <v>13</v>
      </c>
      <c r="Q2654" s="63">
        <v>107</v>
      </c>
      <c r="R2654" s="63">
        <v>23</v>
      </c>
      <c r="S2654" s="63">
        <v>2</v>
      </c>
      <c r="T2654" s="63"/>
      <c r="U2654" s="63">
        <v>0</v>
      </c>
      <c r="V2654" s="63"/>
      <c r="W2654" s="63">
        <f>IF(Copyright!B$11=1,IF(CA2654&gt;0,CA2654-SUM(S2654:V2654)-P2654-SUM(X2654:AQ2654),SUM(CB2654:CI2654)),SUM(CB2654:CI2654))</f>
        <v>0</v>
      </c>
      <c r="X2654" s="63"/>
      <c r="Y2654" s="63">
        <v>0</v>
      </c>
      <c r="Z2654" s="63"/>
      <c r="AA2654" s="63">
        <v>0</v>
      </c>
      <c r="AB2654" s="63"/>
      <c r="AC2654" s="63"/>
      <c r="AD2654" s="63"/>
      <c r="AE2654" s="63">
        <v>0</v>
      </c>
      <c r="AF2654" s="63"/>
      <c r="AG2654" s="63"/>
      <c r="AH2654" s="63"/>
      <c r="AI2654" s="63"/>
      <c r="AJ2654" s="63"/>
      <c r="AK2654" s="63"/>
      <c r="AL2654" s="63"/>
      <c r="AM2654" s="63"/>
      <c r="AN2654" s="63">
        <v>0</v>
      </c>
      <c r="AO2654" s="63"/>
      <c r="AP2654" s="63"/>
      <c r="AQ2654" s="63"/>
      <c r="AR2654" s="63"/>
      <c r="AS2654" s="63"/>
      <c r="AT2654" s="63"/>
      <c r="AU2654" s="63"/>
      <c r="AW2654" s="5">
        <f>IF(Q2654&gt;0,RANK(Q2654,(N2654:P2654,Q2654:AE2654)),0)</f>
        <v>3</v>
      </c>
      <c r="AX2654" s="5">
        <f>IF(R2654&gt;0,RANK(R2654,(N2654:P2654,Q2654:AE2654)),0)</f>
        <v>4</v>
      </c>
      <c r="AY2654" s="5">
        <f>IF(T2654&gt;0,RANK(T2654,(N2654:P2654,Q2654:AE2654)),0)</f>
        <v>0</v>
      </c>
      <c r="AZ2654" s="5">
        <f>IF(S2654&gt;0,RANK(S2654,(N2654:P2654,Q2654:AE2654)),0)</f>
        <v>6</v>
      </c>
      <c r="BA2654" s="2">
        <f t="shared" si="1075"/>
        <v>1.9179064348449543E-2</v>
      </c>
      <c r="BB2654" s="2">
        <f t="shared" si="1076"/>
        <v>4.1226026169564438E-3</v>
      </c>
      <c r="BC2654" s="2">
        <f t="shared" si="1077"/>
        <v>0</v>
      </c>
      <c r="BD2654" s="2">
        <f t="shared" si="1078"/>
        <v>3.5848718408316901E-4</v>
      </c>
      <c r="BF2654" t="s">
        <v>1493</v>
      </c>
      <c r="BG2654" t="s">
        <v>53</v>
      </c>
      <c r="BH2654">
        <v>11</v>
      </c>
      <c r="BJ2654" s="114">
        <v>48</v>
      </c>
      <c r="BK2654" s="116">
        <v>59</v>
      </c>
      <c r="BL2654" s="120">
        <f t="shared" si="1068"/>
        <v>48059</v>
      </c>
      <c r="BN2654" s="5" t="s">
        <v>3154</v>
      </c>
      <c r="BZ2654" s="63">
        <f t="shared" si="1079"/>
        <v>5579</v>
      </c>
      <c r="CD2654" s="63">
        <v>0</v>
      </c>
      <c r="CE2654" s="63">
        <v>0</v>
      </c>
      <c r="CF2654" s="63">
        <v>0</v>
      </c>
      <c r="CG2654" s="8">
        <v>0</v>
      </c>
      <c r="CH2654" s="8">
        <v>0</v>
      </c>
      <c r="CI2654" s="8">
        <v>0</v>
      </c>
    </row>
    <row r="2655" spans="1:87" hidden="1" outlineLevel="1">
      <c r="A2655" t="s">
        <v>2699</v>
      </c>
      <c r="B2655" t="s">
        <v>53</v>
      </c>
      <c r="C2655" s="1">
        <f t="shared" si="1070"/>
        <v>92079</v>
      </c>
      <c r="D2655" s="5">
        <f>IF(N2655&gt;0, RANK(N2655,(N2655:P2655,Q2655:AE2655)),0)</f>
        <v>1</v>
      </c>
      <c r="E2655" s="5">
        <f>IF(O2655&gt;0,RANK(O2655,(N2655:P2655,Q2655:AE2655)),0)</f>
        <v>2</v>
      </c>
      <c r="F2655" s="5">
        <f>IF(P2655&gt;0,RANK(P2655,(N2655:P2655,Q2655:AE2655)),0)</f>
        <v>5</v>
      </c>
      <c r="G2655" s="132">
        <f t="shared" si="1080"/>
        <v>29930</v>
      </c>
      <c r="H2655" s="137">
        <f t="shared" si="1081"/>
        <v>0.32504697053617004</v>
      </c>
      <c r="I2655" s="2"/>
      <c r="J2655" s="2">
        <f t="shared" si="1071"/>
        <v>0.64511995134612665</v>
      </c>
      <c r="K2655" s="2">
        <f t="shared" si="1072"/>
        <v>0.32007298080995666</v>
      </c>
      <c r="L2655" s="2">
        <f t="shared" si="1073"/>
        <v>1.1186046764191618E-3</v>
      </c>
      <c r="M2655" s="2">
        <f t="shared" si="1074"/>
        <v>3.3688463167497525E-2</v>
      </c>
      <c r="N2655" s="63">
        <v>59402</v>
      </c>
      <c r="O2655" s="63">
        <v>29472</v>
      </c>
      <c r="P2655" s="63">
        <v>103</v>
      </c>
      <c r="Q2655" s="63">
        <v>2236</v>
      </c>
      <c r="R2655" s="63">
        <v>822</v>
      </c>
      <c r="S2655" s="63">
        <v>22</v>
      </c>
      <c r="T2655" s="63"/>
      <c r="U2655" s="63">
        <v>0</v>
      </c>
      <c r="V2655" s="63"/>
      <c r="W2655" s="63">
        <f>IF(Copyright!B$11=1,IF(CA2655&gt;0,CA2655-SUM(S2655:V2655)-P2655-SUM(X2655:AQ2655),SUM(CB2655:CI2655)),SUM(CB2655:CI2655))</f>
        <v>10</v>
      </c>
      <c r="X2655" s="63"/>
      <c r="Y2655" s="63">
        <v>5</v>
      </c>
      <c r="Z2655" s="63"/>
      <c r="AA2655" s="63">
        <v>1</v>
      </c>
      <c r="AB2655" s="63"/>
      <c r="AC2655" s="63"/>
      <c r="AD2655" s="63"/>
      <c r="AE2655" s="63">
        <v>1</v>
      </c>
      <c r="AF2655" s="63"/>
      <c r="AG2655" s="63"/>
      <c r="AH2655" s="63"/>
      <c r="AI2655" s="63"/>
      <c r="AJ2655" s="63"/>
      <c r="AK2655" s="63"/>
      <c r="AL2655" s="63"/>
      <c r="AM2655" s="63"/>
      <c r="AN2655" s="63">
        <v>5</v>
      </c>
      <c r="AO2655" s="63"/>
      <c r="AP2655" s="63"/>
      <c r="AQ2655" s="63"/>
      <c r="AR2655" s="63"/>
      <c r="AS2655" s="63"/>
      <c r="AT2655" s="63"/>
      <c r="AU2655" s="63"/>
      <c r="AW2655" s="5">
        <f>IF(Q2655&gt;0,RANK(Q2655,(N2655:P2655,Q2655:AE2655)),0)</f>
        <v>3</v>
      </c>
      <c r="AX2655" s="5">
        <f>IF(R2655&gt;0,RANK(R2655,(N2655:P2655,Q2655:AE2655)),0)</f>
        <v>4</v>
      </c>
      <c r="AY2655" s="5">
        <f>IF(T2655&gt;0,RANK(T2655,(N2655:P2655,Q2655:AE2655)),0)</f>
        <v>0</v>
      </c>
      <c r="AZ2655" s="5">
        <f>IF(S2655&gt;0,RANK(S2655,(N2655:P2655,Q2655:AE2655)),0)</f>
        <v>6</v>
      </c>
      <c r="BA2655" s="2">
        <f t="shared" si="1075"/>
        <v>2.4283495693915007E-2</v>
      </c>
      <c r="BB2655" s="2">
        <f t="shared" si="1076"/>
        <v>8.9271169321995247E-3</v>
      </c>
      <c r="BC2655" s="2">
        <f t="shared" si="1077"/>
        <v>0</v>
      </c>
      <c r="BD2655" s="2">
        <f t="shared" si="1078"/>
        <v>2.3892527069147146E-4</v>
      </c>
      <c r="BF2655" t="s">
        <v>2699</v>
      </c>
      <c r="BG2655" t="s">
        <v>53</v>
      </c>
      <c r="BH2655">
        <v>34</v>
      </c>
      <c r="BJ2655" s="114">
        <v>48</v>
      </c>
      <c r="BK2655" s="116">
        <v>61</v>
      </c>
      <c r="BL2655" s="120">
        <f t="shared" si="1068"/>
        <v>48061</v>
      </c>
      <c r="BN2655" s="5" t="s">
        <v>3154</v>
      </c>
      <c r="BZ2655" s="63">
        <f t="shared" si="1079"/>
        <v>92079</v>
      </c>
      <c r="CD2655" s="63">
        <v>2</v>
      </c>
      <c r="CE2655" s="63">
        <v>3</v>
      </c>
      <c r="CF2655" s="63">
        <v>3</v>
      </c>
      <c r="CG2655" s="8">
        <v>2</v>
      </c>
      <c r="CH2655" s="8">
        <v>0</v>
      </c>
      <c r="CI2655" s="8">
        <v>0</v>
      </c>
    </row>
    <row r="2656" spans="1:87" hidden="1" outlineLevel="1">
      <c r="A2656" t="s">
        <v>132</v>
      </c>
      <c r="B2656" t="s">
        <v>53</v>
      </c>
      <c r="C2656" s="1">
        <f t="shared" si="1070"/>
        <v>4542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32">
        <f t="shared" si="1080"/>
        <v>1941</v>
      </c>
      <c r="H2656" s="137">
        <f t="shared" si="1081"/>
        <v>0.42734478203434612</v>
      </c>
      <c r="I2656" s="2"/>
      <c r="J2656" s="2">
        <f t="shared" si="1071"/>
        <v>0.27741083223249668</v>
      </c>
      <c r="K2656" s="2">
        <f t="shared" si="1072"/>
        <v>0.70475561426684286</v>
      </c>
      <c r="L2656" s="2">
        <f t="shared" si="1073"/>
        <v>0</v>
      </c>
      <c r="M2656" s="2">
        <f t="shared" si="1074"/>
        <v>1.7833553500660515E-2</v>
      </c>
      <c r="N2656" s="63">
        <v>1260</v>
      </c>
      <c r="O2656" s="63">
        <v>3201</v>
      </c>
      <c r="P2656" s="63">
        <v>0</v>
      </c>
      <c r="Q2656" s="63">
        <v>66</v>
      </c>
      <c r="R2656" s="63">
        <v>15</v>
      </c>
      <c r="S2656" s="63">
        <v>0</v>
      </c>
      <c r="T2656" s="63"/>
      <c r="U2656" s="63">
        <v>0</v>
      </c>
      <c r="V2656" s="63"/>
      <c r="W2656" s="63">
        <f>IF(Copyright!B$11=1,IF(CA2656&gt;0,CA2656-SUM(S2656:V2656)-P2656-SUM(X2656:AQ2656),SUM(CB2656:CI2656)),SUM(CB2656:CI2656))</f>
        <v>0</v>
      </c>
      <c r="X2656" s="63"/>
      <c r="Y2656" s="63">
        <v>0</v>
      </c>
      <c r="Z2656" s="63"/>
      <c r="AA2656" s="63">
        <v>0</v>
      </c>
      <c r="AB2656" s="63"/>
      <c r="AC2656" s="63"/>
      <c r="AD2656" s="63"/>
      <c r="AE2656" s="63">
        <v>0</v>
      </c>
      <c r="AF2656" s="63"/>
      <c r="AG2656" s="63"/>
      <c r="AH2656" s="63"/>
      <c r="AI2656" s="63"/>
      <c r="AJ2656" s="63"/>
      <c r="AK2656" s="63"/>
      <c r="AL2656" s="63"/>
      <c r="AM2656" s="63"/>
      <c r="AN2656" s="63">
        <v>0</v>
      </c>
      <c r="AO2656" s="63"/>
      <c r="AP2656" s="63"/>
      <c r="AQ2656" s="63"/>
      <c r="AR2656" s="63"/>
      <c r="AS2656" s="63"/>
      <c r="AT2656" s="63"/>
      <c r="AU2656" s="63"/>
      <c r="AW2656" s="5">
        <f>IF(Q2656&gt;0,RANK(Q2656,(N2656:P2656,Q2656:AE2656)),0)</f>
        <v>3</v>
      </c>
      <c r="AX2656" s="5">
        <f>IF(R2656&gt;0,RANK(R2656,(N2656:P2656,Q2656:AE2656)),0)</f>
        <v>4</v>
      </c>
      <c r="AY2656" s="5">
        <f>IF(T2656&gt;0,RANK(T2656,(N2656:P2656,Q2656:AE2656)),0)</f>
        <v>0</v>
      </c>
      <c r="AZ2656" s="5">
        <f>IF(S2656&gt;0,RANK(S2656,(N2656:P2656,Q2656:AE2656)),0)</f>
        <v>0</v>
      </c>
      <c r="BA2656" s="2">
        <f t="shared" si="1075"/>
        <v>1.4531043593130779E-2</v>
      </c>
      <c r="BB2656" s="2">
        <f t="shared" si="1076"/>
        <v>3.3025099075297227E-3</v>
      </c>
      <c r="BC2656" s="2">
        <f t="shared" si="1077"/>
        <v>0</v>
      </c>
      <c r="BD2656" s="2">
        <f t="shared" si="1078"/>
        <v>0</v>
      </c>
      <c r="BF2656" t="s">
        <v>132</v>
      </c>
      <c r="BG2656" t="s">
        <v>53</v>
      </c>
      <c r="BH2656">
        <v>4</v>
      </c>
      <c r="BJ2656" s="114">
        <v>48</v>
      </c>
      <c r="BK2656" s="116">
        <v>63</v>
      </c>
      <c r="BL2656" s="120">
        <f t="shared" si="1068"/>
        <v>48063</v>
      </c>
      <c r="BN2656" s="5" t="s">
        <v>3154</v>
      </c>
      <c r="BZ2656" s="63">
        <f t="shared" si="1079"/>
        <v>4542</v>
      </c>
      <c r="CD2656" s="63">
        <v>0</v>
      </c>
      <c r="CE2656" s="63">
        <v>0</v>
      </c>
      <c r="CF2656" s="63">
        <v>0</v>
      </c>
      <c r="CG2656" s="8">
        <v>0</v>
      </c>
      <c r="CH2656" s="8">
        <v>0</v>
      </c>
      <c r="CI2656" s="8">
        <v>0</v>
      </c>
    </row>
    <row r="2657" spans="1:87" hidden="1" outlineLevel="1">
      <c r="A2657" t="s">
        <v>133</v>
      </c>
      <c r="B2657" t="s">
        <v>53</v>
      </c>
      <c r="C2657" s="1">
        <f t="shared" si="1070"/>
        <v>2964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4</v>
      </c>
      <c r="G2657" s="132">
        <f t="shared" si="1080"/>
        <v>2371</v>
      </c>
      <c r="H2657" s="137">
        <f t="shared" si="1081"/>
        <v>0.79993252361673417</v>
      </c>
      <c r="I2657" s="2"/>
      <c r="J2657" s="2">
        <f t="shared" si="1071"/>
        <v>8.4008097165991905E-2</v>
      </c>
      <c r="K2657" s="2">
        <f t="shared" si="1072"/>
        <v>0.88394062078272606</v>
      </c>
      <c r="L2657" s="2">
        <f t="shared" si="1073"/>
        <v>4.3859649122807015E-3</v>
      </c>
      <c r="M2657" s="2">
        <f t="shared" si="1074"/>
        <v>2.7665317139001347E-2</v>
      </c>
      <c r="N2657" s="63">
        <v>249</v>
      </c>
      <c r="O2657" s="63">
        <v>2620</v>
      </c>
      <c r="P2657" s="63">
        <v>13</v>
      </c>
      <c r="Q2657" s="63">
        <v>68</v>
      </c>
      <c r="R2657" s="63">
        <v>11</v>
      </c>
      <c r="S2657" s="63">
        <v>3</v>
      </c>
      <c r="T2657" s="63"/>
      <c r="U2657" s="63">
        <v>0</v>
      </c>
      <c r="V2657" s="63"/>
      <c r="W2657" s="63">
        <f>IF(Copyright!B$11=1,IF(CA2657&gt;0,CA2657-SUM(S2657:V2657)-P2657-SUM(X2657:AQ2657),SUM(CB2657:CI2657)),SUM(CB2657:CI2657))</f>
        <v>0</v>
      </c>
      <c r="X2657" s="63"/>
      <c r="Y2657" s="63">
        <v>0</v>
      </c>
      <c r="Z2657" s="63"/>
      <c r="AA2657" s="63">
        <v>0</v>
      </c>
      <c r="AB2657" s="63"/>
      <c r="AC2657" s="63"/>
      <c r="AD2657" s="63"/>
      <c r="AE2657" s="63">
        <v>0</v>
      </c>
      <c r="AF2657" s="63"/>
      <c r="AG2657" s="63"/>
      <c r="AH2657" s="63"/>
      <c r="AI2657" s="63"/>
      <c r="AJ2657" s="63"/>
      <c r="AK2657" s="63"/>
      <c r="AL2657" s="63"/>
      <c r="AM2657" s="63"/>
      <c r="AN2657" s="63">
        <v>0</v>
      </c>
      <c r="AO2657" s="63"/>
      <c r="AP2657" s="63"/>
      <c r="AQ2657" s="63"/>
      <c r="AR2657" s="63"/>
      <c r="AS2657" s="63"/>
      <c r="AT2657" s="63"/>
      <c r="AU2657" s="63"/>
      <c r="AW2657" s="5">
        <f>IF(Q2657&gt;0,RANK(Q2657,(N2657:P2657,Q2657:AE2657)),0)</f>
        <v>3</v>
      </c>
      <c r="AX2657" s="5">
        <f>IF(R2657&gt;0,RANK(R2657,(N2657:P2657,Q2657:AE2657)),0)</f>
        <v>5</v>
      </c>
      <c r="AY2657" s="5">
        <f>IF(T2657&gt;0,RANK(T2657,(N2657:P2657,Q2657:AE2657)),0)</f>
        <v>0</v>
      </c>
      <c r="AZ2657" s="5">
        <f>IF(S2657&gt;0,RANK(S2657,(N2657:P2657,Q2657:AE2657)),0)</f>
        <v>6</v>
      </c>
      <c r="BA2657" s="2">
        <f t="shared" si="1075"/>
        <v>2.2941970310391364E-2</v>
      </c>
      <c r="BB2657" s="2">
        <f t="shared" si="1076"/>
        <v>3.7112010796221321E-3</v>
      </c>
      <c r="BC2657" s="2">
        <f t="shared" si="1077"/>
        <v>0</v>
      </c>
      <c r="BD2657" s="2">
        <f t="shared" si="1078"/>
        <v>1.0121457489878543E-3</v>
      </c>
      <c r="BF2657" t="s">
        <v>133</v>
      </c>
      <c r="BG2657" t="s">
        <v>53</v>
      </c>
      <c r="BH2657">
        <v>13</v>
      </c>
      <c r="BJ2657" s="114">
        <v>48</v>
      </c>
      <c r="BK2657" s="116">
        <v>65</v>
      </c>
      <c r="BL2657" s="120">
        <f t="shared" si="1068"/>
        <v>48065</v>
      </c>
      <c r="BN2657" s="5" t="s">
        <v>3154</v>
      </c>
      <c r="BZ2657" s="63">
        <f t="shared" si="1079"/>
        <v>2964</v>
      </c>
      <c r="CD2657" s="63">
        <v>0</v>
      </c>
      <c r="CE2657" s="63">
        <v>0</v>
      </c>
      <c r="CF2657" s="63">
        <v>0</v>
      </c>
      <c r="CG2657" s="8">
        <v>0</v>
      </c>
      <c r="CH2657" s="8">
        <v>0</v>
      </c>
      <c r="CI2657" s="8">
        <v>0</v>
      </c>
    </row>
    <row r="2658" spans="1:87" hidden="1" outlineLevel="1">
      <c r="A2658" t="s">
        <v>339</v>
      </c>
      <c r="B2658" t="s">
        <v>53</v>
      </c>
      <c r="C2658" s="1">
        <f t="shared" si="1070"/>
        <v>12344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4</v>
      </c>
      <c r="G2658" s="132">
        <f t="shared" si="1080"/>
        <v>7335</v>
      </c>
      <c r="H2658" s="137">
        <f t="shared" si="1081"/>
        <v>0.59421581335061568</v>
      </c>
      <c r="I2658" s="2"/>
      <c r="J2658" s="2">
        <f t="shared" si="1071"/>
        <v>0.19369734283862605</v>
      </c>
      <c r="K2658" s="2">
        <f t="shared" si="1072"/>
        <v>0.78791315618924174</v>
      </c>
      <c r="L2658" s="2">
        <f t="shared" si="1073"/>
        <v>3.0784186649384314E-3</v>
      </c>
      <c r="M2658" s="2">
        <f t="shared" si="1074"/>
        <v>1.5311082307193779E-2</v>
      </c>
      <c r="N2658" s="63">
        <v>2391</v>
      </c>
      <c r="O2658" s="63">
        <v>9726</v>
      </c>
      <c r="P2658" s="63">
        <v>38</v>
      </c>
      <c r="Q2658" s="63">
        <v>145</v>
      </c>
      <c r="R2658" s="63">
        <v>34</v>
      </c>
      <c r="S2658" s="63">
        <v>8</v>
      </c>
      <c r="T2658" s="63"/>
      <c r="U2658" s="63">
        <v>0</v>
      </c>
      <c r="V2658" s="63"/>
      <c r="W2658" s="63">
        <f>IF(Copyright!B$11=1,IF(CA2658&gt;0,CA2658-SUM(S2658:V2658)-P2658-SUM(X2658:AQ2658),SUM(CB2658:CI2658)),SUM(CB2658:CI2658))</f>
        <v>0</v>
      </c>
      <c r="X2658" s="63"/>
      <c r="Y2658" s="63">
        <v>2</v>
      </c>
      <c r="Z2658" s="63"/>
      <c r="AA2658" s="63">
        <v>0</v>
      </c>
      <c r="AB2658" s="63"/>
      <c r="AC2658" s="63"/>
      <c r="AD2658" s="63"/>
      <c r="AE2658" s="63">
        <v>0</v>
      </c>
      <c r="AF2658" s="63"/>
      <c r="AG2658" s="63"/>
      <c r="AH2658" s="63"/>
      <c r="AI2658" s="63"/>
      <c r="AJ2658" s="63"/>
      <c r="AK2658" s="63"/>
      <c r="AL2658" s="63"/>
      <c r="AM2658" s="63"/>
      <c r="AN2658" s="63">
        <v>0</v>
      </c>
      <c r="AO2658" s="63"/>
      <c r="AP2658" s="63"/>
      <c r="AQ2658" s="63"/>
      <c r="AR2658" s="63"/>
      <c r="AS2658" s="63"/>
      <c r="AT2658" s="63"/>
      <c r="AU2658" s="63"/>
      <c r="AW2658" s="5">
        <f>IF(Q2658&gt;0,RANK(Q2658,(N2658:P2658,Q2658:AE2658)),0)</f>
        <v>3</v>
      </c>
      <c r="AX2658" s="5">
        <f>IF(R2658&gt;0,RANK(R2658,(N2658:P2658,Q2658:AE2658)),0)</f>
        <v>5</v>
      </c>
      <c r="AY2658" s="5">
        <f>IF(T2658&gt;0,RANK(T2658,(N2658:P2658,Q2658:AE2658)),0)</f>
        <v>0</v>
      </c>
      <c r="AZ2658" s="5">
        <f>IF(S2658&gt;0,RANK(S2658,(N2658:P2658,Q2658:AE2658)),0)</f>
        <v>6</v>
      </c>
      <c r="BA2658" s="2">
        <f t="shared" si="1075"/>
        <v>1.1746597537265068E-2</v>
      </c>
      <c r="BB2658" s="2">
        <f t="shared" si="1076"/>
        <v>2.7543745949449123E-3</v>
      </c>
      <c r="BC2658" s="2">
        <f t="shared" si="1077"/>
        <v>0</v>
      </c>
      <c r="BD2658" s="2">
        <f t="shared" si="1078"/>
        <v>6.4808813998703824E-4</v>
      </c>
      <c r="BF2658" t="s">
        <v>339</v>
      </c>
      <c r="BG2658" t="s">
        <v>53</v>
      </c>
      <c r="BH2658">
        <v>4</v>
      </c>
      <c r="BJ2658" s="114">
        <v>48</v>
      </c>
      <c r="BK2658" s="116">
        <v>67</v>
      </c>
      <c r="BL2658" s="120">
        <f t="shared" si="1068"/>
        <v>48067</v>
      </c>
      <c r="BN2658" s="5" t="s">
        <v>3154</v>
      </c>
      <c r="BZ2658" s="63">
        <f t="shared" si="1079"/>
        <v>12344</v>
      </c>
      <c r="CD2658" s="63">
        <v>0</v>
      </c>
      <c r="CE2658" s="63">
        <v>0</v>
      </c>
      <c r="CF2658" s="63">
        <v>0</v>
      </c>
      <c r="CG2658" s="8">
        <v>0</v>
      </c>
      <c r="CH2658" s="8">
        <v>0</v>
      </c>
      <c r="CI2658" s="8">
        <v>0</v>
      </c>
    </row>
    <row r="2659" spans="1:87" hidden="1" outlineLevel="1">
      <c r="A2659" t="s">
        <v>2331</v>
      </c>
      <c r="B2659" t="s">
        <v>53</v>
      </c>
      <c r="C2659" s="1">
        <f t="shared" si="1070"/>
        <v>1997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32">
        <f t="shared" si="1080"/>
        <v>888</v>
      </c>
      <c r="H2659" s="137">
        <f t="shared" si="1081"/>
        <v>0.44466700050075114</v>
      </c>
      <c r="I2659" s="2"/>
      <c r="J2659" s="2">
        <f t="shared" si="1071"/>
        <v>0.26339509263895844</v>
      </c>
      <c r="K2659" s="2">
        <f t="shared" si="1072"/>
        <v>0.70806209313970958</v>
      </c>
      <c r="L2659" s="2">
        <f t="shared" si="1073"/>
        <v>0</v>
      </c>
      <c r="M2659" s="2">
        <f t="shared" si="1074"/>
        <v>2.854281422133198E-2</v>
      </c>
      <c r="N2659" s="63">
        <v>526</v>
      </c>
      <c r="O2659" s="63">
        <v>1414</v>
      </c>
      <c r="P2659" s="63">
        <v>0</v>
      </c>
      <c r="Q2659" s="63">
        <v>47</v>
      </c>
      <c r="R2659" s="63">
        <v>10</v>
      </c>
      <c r="S2659" s="63">
        <v>0</v>
      </c>
      <c r="T2659" s="63"/>
      <c r="U2659" s="63">
        <v>0</v>
      </c>
      <c r="V2659" s="63"/>
      <c r="W2659" s="63">
        <f>IF(Copyright!B$11=1,IF(CA2659&gt;0,CA2659-SUM(S2659:V2659)-P2659-SUM(X2659:AQ2659),SUM(CB2659:CI2659)),SUM(CB2659:CI2659))</f>
        <v>0</v>
      </c>
      <c r="X2659" s="63"/>
      <c r="Y2659" s="63">
        <v>0</v>
      </c>
      <c r="Z2659" s="63"/>
      <c r="AA2659" s="63">
        <v>0</v>
      </c>
      <c r="AB2659" s="63"/>
      <c r="AC2659" s="63"/>
      <c r="AD2659" s="63"/>
      <c r="AE2659" s="63">
        <v>0</v>
      </c>
      <c r="AF2659" s="63"/>
      <c r="AG2659" s="63"/>
      <c r="AH2659" s="63"/>
      <c r="AI2659" s="63"/>
      <c r="AJ2659" s="63"/>
      <c r="AK2659" s="63"/>
      <c r="AL2659" s="63"/>
      <c r="AM2659" s="63"/>
      <c r="AN2659" s="63">
        <v>0</v>
      </c>
      <c r="AO2659" s="63"/>
      <c r="AP2659" s="63"/>
      <c r="AQ2659" s="63"/>
      <c r="AR2659" s="63"/>
      <c r="AS2659" s="63"/>
      <c r="AT2659" s="63"/>
      <c r="AU2659" s="63"/>
      <c r="AW2659" s="5">
        <f>IF(Q2659&gt;0,RANK(Q2659,(N2659:P2659,Q2659:AE2659)),0)</f>
        <v>3</v>
      </c>
      <c r="AX2659" s="5">
        <f>IF(R2659&gt;0,RANK(R2659,(N2659:P2659,Q2659:AE2659)),0)</f>
        <v>4</v>
      </c>
      <c r="AY2659" s="5">
        <f>IF(T2659&gt;0,RANK(T2659,(N2659:P2659,Q2659:AE2659)),0)</f>
        <v>0</v>
      </c>
      <c r="AZ2659" s="5">
        <f>IF(S2659&gt;0,RANK(S2659,(N2659:P2659,Q2659:AE2659)),0)</f>
        <v>0</v>
      </c>
      <c r="BA2659" s="2">
        <f t="shared" si="1075"/>
        <v>2.3535302954431646E-2</v>
      </c>
      <c r="BB2659" s="2">
        <f t="shared" si="1076"/>
        <v>5.0075112669003509E-3</v>
      </c>
      <c r="BC2659" s="2">
        <f t="shared" si="1077"/>
        <v>0</v>
      </c>
      <c r="BD2659" s="2">
        <f t="shared" si="1078"/>
        <v>0</v>
      </c>
      <c r="BF2659" t="s">
        <v>2331</v>
      </c>
      <c r="BG2659" t="s">
        <v>53</v>
      </c>
      <c r="BH2659">
        <v>19</v>
      </c>
      <c r="BJ2659" s="114">
        <v>48</v>
      </c>
      <c r="BK2659" s="116">
        <v>69</v>
      </c>
      <c r="BL2659" s="120">
        <f t="shared" si="1068"/>
        <v>48069</v>
      </c>
      <c r="BN2659" s="5" t="s">
        <v>3154</v>
      </c>
      <c r="BZ2659" s="63">
        <f t="shared" si="1079"/>
        <v>1997</v>
      </c>
      <c r="CD2659" s="63">
        <v>0</v>
      </c>
      <c r="CE2659" s="63">
        <v>0</v>
      </c>
      <c r="CF2659" s="63">
        <v>0</v>
      </c>
      <c r="CG2659" s="8">
        <v>0</v>
      </c>
      <c r="CH2659" s="8">
        <v>0</v>
      </c>
      <c r="CI2659" s="8">
        <v>0</v>
      </c>
    </row>
    <row r="2660" spans="1:87" hidden="1" outlineLevel="1">
      <c r="A2660" t="s">
        <v>1065</v>
      </c>
      <c r="B2660" t="s">
        <v>53</v>
      </c>
      <c r="C2660" s="1">
        <f t="shared" si="1070"/>
        <v>16836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6</v>
      </c>
      <c r="G2660" s="132">
        <f t="shared" si="1080"/>
        <v>10391</v>
      </c>
      <c r="H2660" s="137">
        <f t="shared" si="1081"/>
        <v>0.61718935614160131</v>
      </c>
      <c r="I2660" s="2"/>
      <c r="J2660" s="2">
        <f t="shared" si="1071"/>
        <v>0.17510097410311237</v>
      </c>
      <c r="K2660" s="2">
        <f t="shared" si="1072"/>
        <v>0.79229033024471374</v>
      </c>
      <c r="L2660" s="2">
        <f t="shared" si="1073"/>
        <v>2.6728439059158947E-3</v>
      </c>
      <c r="M2660" s="2">
        <f t="shared" si="1074"/>
        <v>2.993585174625794E-2</v>
      </c>
      <c r="N2660" s="63">
        <v>2948</v>
      </c>
      <c r="O2660" s="63">
        <v>13339</v>
      </c>
      <c r="P2660" s="63">
        <v>45</v>
      </c>
      <c r="Q2660" s="63">
        <v>385</v>
      </c>
      <c r="R2660" s="63">
        <v>59</v>
      </c>
      <c r="S2660" s="63">
        <v>3</v>
      </c>
      <c r="T2660" s="63"/>
      <c r="U2660" s="63">
        <v>0</v>
      </c>
      <c r="V2660" s="63"/>
      <c r="W2660" s="63">
        <f>IF(Copyright!B$11=1,IF(CA2660&gt;0,CA2660-SUM(S2660:V2660)-P2660-SUM(X2660:AQ2660),SUM(CB2660:CI2660)),SUM(CB2660:CI2660))</f>
        <v>51</v>
      </c>
      <c r="X2660" s="63"/>
      <c r="Y2660" s="63">
        <v>5</v>
      </c>
      <c r="Z2660" s="63"/>
      <c r="AA2660" s="63">
        <v>0</v>
      </c>
      <c r="AB2660" s="63"/>
      <c r="AC2660" s="63"/>
      <c r="AD2660" s="63"/>
      <c r="AE2660" s="63">
        <v>0</v>
      </c>
      <c r="AF2660" s="63"/>
      <c r="AG2660" s="63"/>
      <c r="AH2660" s="63"/>
      <c r="AI2660" s="63"/>
      <c r="AJ2660" s="63"/>
      <c r="AK2660" s="63"/>
      <c r="AL2660" s="63"/>
      <c r="AM2660" s="63"/>
      <c r="AN2660" s="63">
        <v>1</v>
      </c>
      <c r="AO2660" s="63"/>
      <c r="AP2660" s="63"/>
      <c r="AQ2660" s="63"/>
      <c r="AR2660" s="63"/>
      <c r="AS2660" s="63"/>
      <c r="AT2660" s="63"/>
      <c r="AU2660" s="63"/>
      <c r="AW2660" s="5">
        <f>IF(Q2660&gt;0,RANK(Q2660,(N2660:P2660,Q2660:AE2660)),0)</f>
        <v>3</v>
      </c>
      <c r="AX2660" s="5">
        <f>IF(R2660&gt;0,RANK(R2660,(N2660:P2660,Q2660:AE2660)),0)</f>
        <v>4</v>
      </c>
      <c r="AY2660" s="5">
        <f>IF(T2660&gt;0,RANK(T2660,(N2660:P2660,Q2660:AE2660)),0)</f>
        <v>0</v>
      </c>
      <c r="AZ2660" s="5">
        <f>IF(S2660&gt;0,RANK(S2660,(N2660:P2660,Q2660:AE2660)),0)</f>
        <v>8</v>
      </c>
      <c r="BA2660" s="2">
        <f t="shared" si="1075"/>
        <v>2.2867664528391542E-2</v>
      </c>
      <c r="BB2660" s="2">
        <f t="shared" si="1076"/>
        <v>3.5043953433119505E-3</v>
      </c>
      <c r="BC2660" s="2">
        <f t="shared" si="1077"/>
        <v>0</v>
      </c>
      <c r="BD2660" s="2">
        <f t="shared" si="1078"/>
        <v>1.7818959372772631E-4</v>
      </c>
      <c r="BF2660" t="s">
        <v>1065</v>
      </c>
      <c r="BG2660" t="s">
        <v>53</v>
      </c>
      <c r="BH2660">
        <v>36</v>
      </c>
      <c r="BJ2660" s="114">
        <v>48</v>
      </c>
      <c r="BK2660" s="116">
        <v>71</v>
      </c>
      <c r="BL2660" s="120">
        <f t="shared" si="1068"/>
        <v>48071</v>
      </c>
      <c r="BN2660" s="5" t="s">
        <v>3154</v>
      </c>
      <c r="BY2660" s="63">
        <v>16836</v>
      </c>
      <c r="BZ2660" s="63">
        <f t="shared" si="1079"/>
        <v>16836</v>
      </c>
      <c r="CA2660" s="63">
        <v>105</v>
      </c>
      <c r="CD2660" s="63">
        <v>0</v>
      </c>
      <c r="CE2660" s="63">
        <v>0</v>
      </c>
      <c r="CF2660" s="63">
        <v>0</v>
      </c>
      <c r="CG2660" s="8">
        <v>0</v>
      </c>
      <c r="CH2660" s="8">
        <v>0</v>
      </c>
      <c r="CI2660" s="8">
        <v>1</v>
      </c>
    </row>
    <row r="2661" spans="1:87" hidden="1" outlineLevel="1">
      <c r="A2661" t="s">
        <v>1652</v>
      </c>
      <c r="B2661" t="s">
        <v>53</v>
      </c>
      <c r="C2661" s="1">
        <f t="shared" si="1070"/>
        <v>16790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6</v>
      </c>
      <c r="G2661" s="132">
        <f t="shared" si="1080"/>
        <v>9450</v>
      </c>
      <c r="H2661" s="137">
        <f t="shared" si="1081"/>
        <v>0.56283502084574155</v>
      </c>
      <c r="I2661" s="2"/>
      <c r="J2661" s="2">
        <f t="shared" si="1071"/>
        <v>0.20661107802263251</v>
      </c>
      <c r="K2661" s="2">
        <f t="shared" si="1072"/>
        <v>0.76944609886837401</v>
      </c>
      <c r="L2661" s="2">
        <f t="shared" si="1073"/>
        <v>1.5485407980941036E-3</v>
      </c>
      <c r="M2661" s="2">
        <f t="shared" si="1074"/>
        <v>2.2394282310899436E-2</v>
      </c>
      <c r="N2661" s="63">
        <v>3469</v>
      </c>
      <c r="O2661" s="63">
        <v>12919</v>
      </c>
      <c r="P2661" s="63">
        <v>26</v>
      </c>
      <c r="Q2661" s="63">
        <v>305</v>
      </c>
      <c r="R2661" s="63">
        <v>34</v>
      </c>
      <c r="S2661" s="63">
        <v>7</v>
      </c>
      <c r="T2661" s="63"/>
      <c r="U2661" s="63">
        <v>0</v>
      </c>
      <c r="V2661" s="63"/>
      <c r="W2661" s="63">
        <f>IF(Copyright!B$11=1,IF(CA2661&gt;0,CA2661-SUM(S2661:V2661)-P2661-SUM(X2661:AQ2661),SUM(CB2661:CI2661)),SUM(CB2661:CI2661))</f>
        <v>27</v>
      </c>
      <c r="X2661" s="63"/>
      <c r="Y2661" s="63">
        <v>2</v>
      </c>
      <c r="Z2661" s="63"/>
      <c r="AA2661" s="63">
        <v>0</v>
      </c>
      <c r="AB2661" s="63"/>
      <c r="AC2661" s="63"/>
      <c r="AD2661" s="63"/>
      <c r="AE2661" s="63">
        <v>0</v>
      </c>
      <c r="AF2661" s="63"/>
      <c r="AG2661" s="63"/>
      <c r="AH2661" s="63"/>
      <c r="AI2661" s="63"/>
      <c r="AJ2661" s="63"/>
      <c r="AK2661" s="63"/>
      <c r="AL2661" s="63"/>
      <c r="AM2661" s="63"/>
      <c r="AN2661" s="63">
        <v>1</v>
      </c>
      <c r="AO2661" s="63"/>
      <c r="AP2661" s="63"/>
      <c r="AQ2661" s="63"/>
      <c r="AR2661" s="63"/>
      <c r="AS2661" s="63"/>
      <c r="AT2661" s="63"/>
      <c r="AU2661" s="63"/>
      <c r="AW2661" s="5">
        <f>IF(Q2661&gt;0,RANK(Q2661,(N2661:P2661,Q2661:AE2661)),0)</f>
        <v>3</v>
      </c>
      <c r="AX2661" s="5">
        <f>IF(R2661&gt;0,RANK(R2661,(N2661:P2661,Q2661:AE2661)),0)</f>
        <v>4</v>
      </c>
      <c r="AY2661" s="5">
        <f>IF(T2661&gt;0,RANK(T2661,(N2661:P2661,Q2661:AE2661)),0)</f>
        <v>0</v>
      </c>
      <c r="AZ2661" s="5">
        <f>IF(S2661&gt;0,RANK(S2661,(N2661:P2661,Q2661:AE2661)),0)</f>
        <v>7</v>
      </c>
      <c r="BA2661" s="2">
        <f t="shared" si="1075"/>
        <v>1.816557474687314E-2</v>
      </c>
      <c r="BB2661" s="2">
        <f t="shared" si="1076"/>
        <v>2.0250148898153662E-3</v>
      </c>
      <c r="BC2661" s="2">
        <f t="shared" si="1077"/>
        <v>0</v>
      </c>
      <c r="BD2661" s="2">
        <f t="shared" si="1078"/>
        <v>4.1691483025610481E-4</v>
      </c>
      <c r="BF2661" t="s">
        <v>1652</v>
      </c>
      <c r="BG2661" t="s">
        <v>53</v>
      </c>
      <c r="BH2661">
        <v>5</v>
      </c>
      <c r="BJ2661" s="114">
        <v>48</v>
      </c>
      <c r="BK2661" s="116">
        <v>73</v>
      </c>
      <c r="BL2661" s="120">
        <f t="shared" si="1068"/>
        <v>48073</v>
      </c>
      <c r="BN2661" s="5" t="s">
        <v>3154</v>
      </c>
      <c r="BZ2661" s="63">
        <f t="shared" si="1079"/>
        <v>16790</v>
      </c>
      <c r="CD2661" s="63">
        <v>21</v>
      </c>
      <c r="CE2661" s="63">
        <v>2</v>
      </c>
      <c r="CF2661" s="63">
        <v>3</v>
      </c>
      <c r="CG2661" s="8">
        <v>0</v>
      </c>
      <c r="CH2661" s="8">
        <v>0</v>
      </c>
      <c r="CI2661" s="8">
        <v>1</v>
      </c>
    </row>
    <row r="2662" spans="1:87" hidden="1" outlineLevel="1">
      <c r="A2662" t="s">
        <v>1057</v>
      </c>
      <c r="B2662" t="s">
        <v>53</v>
      </c>
      <c r="C2662" s="1">
        <f t="shared" si="1070"/>
        <v>2084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32">
        <f t="shared" si="1080"/>
        <v>1549</v>
      </c>
      <c r="H2662" s="137">
        <f t="shared" si="1081"/>
        <v>0.74328214971209217</v>
      </c>
      <c r="I2662" s="2"/>
      <c r="J2662" s="2">
        <f t="shared" si="1071"/>
        <v>0.12140115163147792</v>
      </c>
      <c r="K2662" s="2">
        <f t="shared" si="1072"/>
        <v>0.86468330134357008</v>
      </c>
      <c r="L2662" s="2">
        <f t="shared" si="1073"/>
        <v>0</v>
      </c>
      <c r="M2662" s="2">
        <f t="shared" si="1074"/>
        <v>1.3915547024952013E-2</v>
      </c>
      <c r="N2662" s="63">
        <v>253</v>
      </c>
      <c r="O2662" s="63">
        <v>1802</v>
      </c>
      <c r="P2662" s="63">
        <v>0</v>
      </c>
      <c r="Q2662" s="63">
        <v>24</v>
      </c>
      <c r="R2662" s="63">
        <v>5</v>
      </c>
      <c r="S2662" s="63">
        <v>0</v>
      </c>
      <c r="T2662" s="63"/>
      <c r="U2662" s="63">
        <v>0</v>
      </c>
      <c r="V2662" s="63"/>
      <c r="W2662" s="63">
        <f>IF(Copyright!B$11=1,IF(CA2662&gt;0,CA2662-SUM(S2662:V2662)-P2662-SUM(X2662:AQ2662),SUM(CB2662:CI2662)),SUM(CB2662:CI2662))</f>
        <v>0</v>
      </c>
      <c r="X2662" s="63"/>
      <c r="Y2662" s="63">
        <v>0</v>
      </c>
      <c r="Z2662" s="63"/>
      <c r="AA2662" s="63">
        <v>0</v>
      </c>
      <c r="AB2662" s="63"/>
      <c r="AC2662" s="63"/>
      <c r="AD2662" s="63"/>
      <c r="AE2662" s="63">
        <v>0</v>
      </c>
      <c r="AF2662" s="63"/>
      <c r="AG2662" s="63"/>
      <c r="AH2662" s="63"/>
      <c r="AI2662" s="63"/>
      <c r="AJ2662" s="63"/>
      <c r="AK2662" s="63"/>
      <c r="AL2662" s="63"/>
      <c r="AM2662" s="63"/>
      <c r="AN2662" s="63">
        <v>0</v>
      </c>
      <c r="AO2662" s="63"/>
      <c r="AP2662" s="63"/>
      <c r="AQ2662" s="63"/>
      <c r="AR2662" s="63"/>
      <c r="AS2662" s="63"/>
      <c r="AT2662" s="63"/>
      <c r="AU2662" s="63"/>
      <c r="AW2662" s="5">
        <f>IF(Q2662&gt;0,RANK(Q2662,(N2662:P2662,Q2662:AE2662)),0)</f>
        <v>3</v>
      </c>
      <c r="AX2662" s="5">
        <f>IF(R2662&gt;0,RANK(R2662,(N2662:P2662,Q2662:AE2662)),0)</f>
        <v>4</v>
      </c>
      <c r="AY2662" s="5">
        <f>IF(T2662&gt;0,RANK(T2662,(N2662:P2662,Q2662:AE2662)),0)</f>
        <v>0</v>
      </c>
      <c r="AZ2662" s="5">
        <f>IF(S2662&gt;0,RANK(S2662,(N2662:P2662,Q2662:AE2662)),0)</f>
        <v>0</v>
      </c>
      <c r="BA2662" s="2">
        <f t="shared" si="1075"/>
        <v>1.1516314779270634E-2</v>
      </c>
      <c r="BB2662" s="2">
        <f t="shared" si="1076"/>
        <v>2.3992322456813818E-3</v>
      </c>
      <c r="BC2662" s="2">
        <f t="shared" si="1077"/>
        <v>0</v>
      </c>
      <c r="BD2662" s="2">
        <f t="shared" si="1078"/>
        <v>0</v>
      </c>
      <c r="BF2662" t="s">
        <v>1057</v>
      </c>
      <c r="BG2662" t="s">
        <v>53</v>
      </c>
      <c r="BH2662">
        <v>13</v>
      </c>
      <c r="BJ2662" s="114">
        <v>48</v>
      </c>
      <c r="BK2662" s="116">
        <v>75</v>
      </c>
      <c r="BL2662" s="120">
        <f t="shared" si="1068"/>
        <v>48075</v>
      </c>
      <c r="BN2662" s="5" t="s">
        <v>3154</v>
      </c>
      <c r="BZ2662" s="63">
        <f t="shared" si="1079"/>
        <v>2084</v>
      </c>
      <c r="CD2662" s="63">
        <v>0</v>
      </c>
      <c r="CE2662" s="63">
        <v>0</v>
      </c>
      <c r="CF2662" s="63">
        <v>0</v>
      </c>
      <c r="CG2662" s="8">
        <v>0</v>
      </c>
      <c r="CH2662" s="8">
        <v>0</v>
      </c>
      <c r="CI2662" s="8">
        <v>0</v>
      </c>
    </row>
    <row r="2663" spans="1:87" hidden="1" outlineLevel="1">
      <c r="A2663" t="s">
        <v>3093</v>
      </c>
      <c r="B2663" t="s">
        <v>53</v>
      </c>
      <c r="C2663" s="1">
        <f t="shared" si="1070"/>
        <v>5018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5</v>
      </c>
      <c r="G2663" s="132">
        <f t="shared" si="1080"/>
        <v>3841</v>
      </c>
      <c r="H2663" s="137">
        <f t="shared" si="1081"/>
        <v>0.76544440015942605</v>
      </c>
      <c r="I2663" s="2"/>
      <c r="J2663" s="2">
        <f t="shared" si="1071"/>
        <v>0.10681546432841769</v>
      </c>
      <c r="K2663" s="2">
        <f t="shared" si="1072"/>
        <v>0.87225986448784376</v>
      </c>
      <c r="L2663" s="2">
        <f t="shared" si="1073"/>
        <v>9.9641291351135913E-4</v>
      </c>
      <c r="M2663" s="2">
        <f t="shared" si="1074"/>
        <v>1.9928258270227171E-2</v>
      </c>
      <c r="N2663" s="63">
        <v>536</v>
      </c>
      <c r="O2663" s="63">
        <v>4377</v>
      </c>
      <c r="P2663" s="63">
        <v>5</v>
      </c>
      <c r="Q2663" s="63">
        <v>87</v>
      </c>
      <c r="R2663" s="63">
        <v>12</v>
      </c>
      <c r="S2663" s="63">
        <v>0</v>
      </c>
      <c r="T2663" s="63"/>
      <c r="U2663" s="63">
        <v>0</v>
      </c>
      <c r="V2663" s="63"/>
      <c r="W2663" s="63">
        <f>IF(Copyright!B$11=1,IF(CA2663&gt;0,CA2663-SUM(S2663:V2663)-P2663-SUM(X2663:AQ2663),SUM(CB2663:CI2663)),SUM(CB2663:CI2663))</f>
        <v>0</v>
      </c>
      <c r="X2663" s="63"/>
      <c r="Y2663" s="63">
        <v>1</v>
      </c>
      <c r="Z2663" s="63"/>
      <c r="AA2663" s="63">
        <v>0</v>
      </c>
      <c r="AB2663" s="63"/>
      <c r="AC2663" s="63"/>
      <c r="AD2663" s="63"/>
      <c r="AE2663" s="63">
        <v>0</v>
      </c>
      <c r="AF2663" s="63"/>
      <c r="AG2663" s="63"/>
      <c r="AH2663" s="63"/>
      <c r="AI2663" s="63"/>
      <c r="AJ2663" s="63"/>
      <c r="AK2663" s="63"/>
      <c r="AL2663" s="63"/>
      <c r="AM2663" s="63"/>
      <c r="AN2663" s="63">
        <v>0</v>
      </c>
      <c r="AO2663" s="63"/>
      <c r="AP2663" s="63"/>
      <c r="AQ2663" s="63"/>
      <c r="AR2663" s="63"/>
      <c r="AS2663" s="63"/>
      <c r="AT2663" s="63"/>
      <c r="AU2663" s="63"/>
      <c r="AW2663" s="5">
        <f>IF(Q2663&gt;0,RANK(Q2663,(N2663:P2663,Q2663:AE2663)),0)</f>
        <v>3</v>
      </c>
      <c r="AX2663" s="5">
        <f>IF(R2663&gt;0,RANK(R2663,(N2663:P2663,Q2663:AE2663)),0)</f>
        <v>4</v>
      </c>
      <c r="AY2663" s="5">
        <f>IF(T2663&gt;0,RANK(T2663,(N2663:P2663,Q2663:AE2663)),0)</f>
        <v>0</v>
      </c>
      <c r="AZ2663" s="5">
        <f>IF(S2663&gt;0,RANK(S2663,(N2663:P2663,Q2663:AE2663)),0)</f>
        <v>0</v>
      </c>
      <c r="BA2663" s="2">
        <f t="shared" si="1075"/>
        <v>1.7337584695097649E-2</v>
      </c>
      <c r="BB2663" s="2">
        <f t="shared" si="1076"/>
        <v>2.3913909924272616E-3</v>
      </c>
      <c r="BC2663" s="2">
        <f t="shared" si="1077"/>
        <v>0</v>
      </c>
      <c r="BD2663" s="2">
        <f t="shared" si="1078"/>
        <v>0</v>
      </c>
      <c r="BF2663" t="s">
        <v>3093</v>
      </c>
      <c r="BG2663" t="s">
        <v>53</v>
      </c>
      <c r="BH2663">
        <v>13</v>
      </c>
      <c r="BJ2663" s="114">
        <v>48</v>
      </c>
      <c r="BK2663" s="116">
        <v>77</v>
      </c>
      <c r="BL2663" s="120">
        <f t="shared" si="1068"/>
        <v>48077</v>
      </c>
      <c r="BN2663" s="5" t="s">
        <v>3154</v>
      </c>
      <c r="BZ2663" s="63">
        <f t="shared" si="1079"/>
        <v>5018</v>
      </c>
      <c r="CD2663" s="63">
        <v>0</v>
      </c>
      <c r="CE2663" s="63">
        <v>0</v>
      </c>
      <c r="CF2663" s="63">
        <v>0</v>
      </c>
      <c r="CG2663" s="8">
        <v>0</v>
      </c>
      <c r="CH2663" s="8">
        <v>0</v>
      </c>
      <c r="CI2663" s="8">
        <v>0</v>
      </c>
    </row>
    <row r="2664" spans="1:87" hidden="1" outlineLevel="1">
      <c r="A2664" t="s">
        <v>547</v>
      </c>
      <c r="B2664" t="s">
        <v>53</v>
      </c>
      <c r="C2664" s="1">
        <f t="shared" si="1070"/>
        <v>901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32">
        <f t="shared" si="1080"/>
        <v>489</v>
      </c>
      <c r="H2664" s="137">
        <f t="shared" si="1081"/>
        <v>0.54273029966703668</v>
      </c>
      <c r="I2664" s="2"/>
      <c r="J2664" s="2">
        <f t="shared" si="1071"/>
        <v>0.21087680355160932</v>
      </c>
      <c r="K2664" s="2">
        <f t="shared" si="1072"/>
        <v>0.75360710321864599</v>
      </c>
      <c r="L2664" s="2">
        <f t="shared" si="1073"/>
        <v>0</v>
      </c>
      <c r="M2664" s="2">
        <f t="shared" si="1074"/>
        <v>3.5516093229744694E-2</v>
      </c>
      <c r="N2664" s="63">
        <v>190</v>
      </c>
      <c r="O2664" s="63">
        <v>679</v>
      </c>
      <c r="P2664" s="63">
        <v>0</v>
      </c>
      <c r="Q2664" s="63">
        <v>29</v>
      </c>
      <c r="R2664" s="63">
        <v>3</v>
      </c>
      <c r="S2664" s="63">
        <v>0</v>
      </c>
      <c r="T2664" s="63"/>
      <c r="U2664" s="63">
        <v>0</v>
      </c>
      <c r="V2664" s="63"/>
      <c r="W2664" s="63">
        <f>IF(Copyright!B$11=1,IF(CA2664&gt;0,CA2664-SUM(S2664:V2664)-P2664-SUM(X2664:AQ2664),SUM(CB2664:CI2664)),SUM(CB2664:CI2664))</f>
        <v>0</v>
      </c>
      <c r="X2664" s="63"/>
      <c r="Y2664" s="63">
        <v>0</v>
      </c>
      <c r="Z2664" s="63"/>
      <c r="AA2664" s="63">
        <v>0</v>
      </c>
      <c r="AB2664" s="63"/>
      <c r="AC2664" s="63"/>
      <c r="AD2664" s="63"/>
      <c r="AE2664" s="63">
        <v>0</v>
      </c>
      <c r="AF2664" s="63"/>
      <c r="AG2664" s="63"/>
      <c r="AH2664" s="63"/>
      <c r="AI2664" s="63"/>
      <c r="AJ2664" s="63"/>
      <c r="AK2664" s="63"/>
      <c r="AL2664" s="63"/>
      <c r="AM2664" s="63"/>
      <c r="AN2664" s="63">
        <v>0</v>
      </c>
      <c r="AO2664" s="63"/>
      <c r="AP2664" s="63"/>
      <c r="AQ2664" s="63"/>
      <c r="AR2664" s="63"/>
      <c r="AS2664" s="63"/>
      <c r="AT2664" s="63"/>
      <c r="AU2664" s="63"/>
      <c r="AW2664" s="5">
        <f>IF(Q2664&gt;0,RANK(Q2664,(N2664:P2664,Q2664:AE2664)),0)</f>
        <v>3</v>
      </c>
      <c r="AX2664" s="5">
        <f>IF(R2664&gt;0,RANK(R2664,(N2664:P2664,Q2664:AE2664)),0)</f>
        <v>4</v>
      </c>
      <c r="AY2664" s="5">
        <f>IF(T2664&gt;0,RANK(T2664,(N2664:P2664,Q2664:AE2664)),0)</f>
        <v>0</v>
      </c>
      <c r="AZ2664" s="5">
        <f>IF(S2664&gt;0,RANK(S2664,(N2664:P2664,Q2664:AE2664)),0)</f>
        <v>0</v>
      </c>
      <c r="BA2664" s="2">
        <f t="shared" si="1075"/>
        <v>3.2186459489456157E-2</v>
      </c>
      <c r="BB2664" s="2">
        <f t="shared" si="1076"/>
        <v>3.3296337402885681E-3</v>
      </c>
      <c r="BC2664" s="2">
        <f t="shared" si="1077"/>
        <v>0</v>
      </c>
      <c r="BD2664" s="2">
        <f t="shared" si="1078"/>
        <v>0</v>
      </c>
      <c r="BF2664" t="s">
        <v>547</v>
      </c>
      <c r="BG2664" t="s">
        <v>53</v>
      </c>
      <c r="BH2664">
        <v>19</v>
      </c>
      <c r="BJ2664" s="114">
        <v>48</v>
      </c>
      <c r="BK2664" s="116">
        <v>79</v>
      </c>
      <c r="BL2664" s="120">
        <f t="shared" si="1068"/>
        <v>48079</v>
      </c>
      <c r="BN2664" s="5" t="s">
        <v>3154</v>
      </c>
      <c r="BZ2664" s="63">
        <f t="shared" si="1079"/>
        <v>901</v>
      </c>
      <c r="CD2664" s="63">
        <v>0</v>
      </c>
      <c r="CE2664" s="63">
        <v>0</v>
      </c>
      <c r="CF2664" s="63">
        <v>0</v>
      </c>
      <c r="CG2664" s="8">
        <v>0</v>
      </c>
      <c r="CH2664" s="8">
        <v>0</v>
      </c>
      <c r="CI2664" s="8">
        <v>0</v>
      </c>
    </row>
    <row r="2665" spans="1:87" hidden="1" outlineLevel="1">
      <c r="A2665" t="s">
        <v>912</v>
      </c>
      <c r="B2665" t="s">
        <v>53</v>
      </c>
      <c r="C2665" s="1">
        <f t="shared" si="1070"/>
        <v>1423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32">
        <f t="shared" si="1080"/>
        <v>1125</v>
      </c>
      <c r="H2665" s="137">
        <f t="shared" si="1081"/>
        <v>0.79058327477160928</v>
      </c>
      <c r="I2665" s="2"/>
      <c r="J2665" s="2">
        <f t="shared" si="1071"/>
        <v>9.8383696416022487E-2</v>
      </c>
      <c r="K2665" s="2">
        <f t="shared" si="1072"/>
        <v>0.88896697118763179</v>
      </c>
      <c r="L2665" s="2">
        <f t="shared" si="1073"/>
        <v>0</v>
      </c>
      <c r="M2665" s="2">
        <f t="shared" si="1074"/>
        <v>1.2649332396345692E-2</v>
      </c>
      <c r="N2665" s="63">
        <v>140</v>
      </c>
      <c r="O2665" s="63">
        <v>1265</v>
      </c>
      <c r="P2665" s="63">
        <v>0</v>
      </c>
      <c r="Q2665" s="63">
        <v>16</v>
      </c>
      <c r="R2665" s="63">
        <v>2</v>
      </c>
      <c r="S2665" s="63">
        <v>0</v>
      </c>
      <c r="T2665" s="63"/>
      <c r="U2665" s="63">
        <v>0</v>
      </c>
      <c r="V2665" s="63"/>
      <c r="W2665" s="63">
        <f>IF(Copyright!B$11=1,IF(CA2665&gt;0,CA2665-SUM(S2665:V2665)-P2665-SUM(X2665:AQ2665),SUM(CB2665:CI2665)),SUM(CB2665:CI2665))</f>
        <v>0</v>
      </c>
      <c r="X2665" s="63"/>
      <c r="Y2665" s="63">
        <v>0</v>
      </c>
      <c r="Z2665" s="63"/>
      <c r="AA2665" s="63">
        <v>0</v>
      </c>
      <c r="AB2665" s="63"/>
      <c r="AC2665" s="63"/>
      <c r="AD2665" s="63"/>
      <c r="AE2665" s="63">
        <v>0</v>
      </c>
      <c r="AF2665" s="63"/>
      <c r="AG2665" s="63"/>
      <c r="AH2665" s="63"/>
      <c r="AI2665" s="63"/>
      <c r="AJ2665" s="63"/>
      <c r="AK2665" s="63"/>
      <c r="AL2665" s="63"/>
      <c r="AM2665" s="63"/>
      <c r="AN2665" s="63">
        <v>0</v>
      </c>
      <c r="AO2665" s="63"/>
      <c r="AP2665" s="63"/>
      <c r="AQ2665" s="63"/>
      <c r="AR2665" s="63"/>
      <c r="AS2665" s="63"/>
      <c r="AT2665" s="63"/>
      <c r="AU2665" s="63"/>
      <c r="AW2665" s="5">
        <f>IF(Q2665&gt;0,RANK(Q2665,(N2665:P2665,Q2665:AE2665)),0)</f>
        <v>3</v>
      </c>
      <c r="AX2665" s="5">
        <f>IF(R2665&gt;0,RANK(R2665,(N2665:P2665,Q2665:AE2665)),0)</f>
        <v>4</v>
      </c>
      <c r="AY2665" s="5">
        <f>IF(T2665&gt;0,RANK(T2665,(N2665:P2665,Q2665:AE2665)),0)</f>
        <v>0</v>
      </c>
      <c r="AZ2665" s="5">
        <f>IF(S2665&gt;0,RANK(S2665,(N2665:P2665,Q2665:AE2665)),0)</f>
        <v>0</v>
      </c>
      <c r="BA2665" s="2">
        <f t="shared" si="1075"/>
        <v>1.1243851018973999E-2</v>
      </c>
      <c r="BB2665" s="2">
        <f t="shared" si="1076"/>
        <v>1.4054813773717498E-3</v>
      </c>
      <c r="BC2665" s="2">
        <f t="shared" si="1077"/>
        <v>0</v>
      </c>
      <c r="BD2665" s="2">
        <f t="shared" si="1078"/>
        <v>0</v>
      </c>
      <c r="BF2665" t="s">
        <v>912</v>
      </c>
      <c r="BG2665" t="s">
        <v>53</v>
      </c>
      <c r="BH2665">
        <v>11</v>
      </c>
      <c r="BJ2665" s="114">
        <v>48</v>
      </c>
      <c r="BK2665" s="116">
        <v>81</v>
      </c>
      <c r="BL2665" s="120">
        <f t="shared" si="1068"/>
        <v>48081</v>
      </c>
      <c r="BN2665" s="5" t="s">
        <v>3154</v>
      </c>
      <c r="BZ2665" s="63">
        <f t="shared" si="1079"/>
        <v>1423</v>
      </c>
      <c r="CD2665" s="63">
        <v>0</v>
      </c>
      <c r="CE2665" s="63">
        <v>0</v>
      </c>
      <c r="CF2665" s="63">
        <v>0</v>
      </c>
      <c r="CG2665" s="8">
        <v>0</v>
      </c>
      <c r="CH2665" s="8">
        <v>0</v>
      </c>
      <c r="CI2665" s="8">
        <v>0</v>
      </c>
    </row>
    <row r="2666" spans="1:87" hidden="1" outlineLevel="1">
      <c r="A2666" t="s">
        <v>2397</v>
      </c>
      <c r="B2666" t="s">
        <v>53</v>
      </c>
      <c r="C2666" s="1">
        <f t="shared" si="1070"/>
        <v>3643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5</v>
      </c>
      <c r="G2666" s="132">
        <f t="shared" si="1080"/>
        <v>2789</v>
      </c>
      <c r="H2666" s="137">
        <f t="shared" si="1081"/>
        <v>0.76557782047762835</v>
      </c>
      <c r="I2666" s="2"/>
      <c r="J2666" s="2">
        <f t="shared" si="1071"/>
        <v>0.1065056272303047</v>
      </c>
      <c r="K2666" s="2">
        <f t="shared" si="1072"/>
        <v>0.872083447707933</v>
      </c>
      <c r="L2666" s="2">
        <f t="shared" si="1073"/>
        <v>1.0979961570134504E-3</v>
      </c>
      <c r="M2666" s="2">
        <f t="shared" si="1074"/>
        <v>2.0312928904748891E-2</v>
      </c>
      <c r="N2666" s="63">
        <v>388</v>
      </c>
      <c r="O2666" s="63">
        <v>3177</v>
      </c>
      <c r="P2666" s="63">
        <v>4</v>
      </c>
      <c r="Q2666" s="63">
        <v>53</v>
      </c>
      <c r="R2666" s="63">
        <v>18</v>
      </c>
      <c r="S2666" s="63">
        <v>2</v>
      </c>
      <c r="T2666" s="63"/>
      <c r="U2666" s="63">
        <v>0</v>
      </c>
      <c r="V2666" s="63"/>
      <c r="W2666" s="63">
        <f>IF(Copyright!B$11=1,IF(CA2666&gt;0,CA2666-SUM(S2666:V2666)-P2666-SUM(X2666:AQ2666),SUM(CB2666:CI2666)),SUM(CB2666:CI2666))</f>
        <v>0</v>
      </c>
      <c r="X2666" s="63"/>
      <c r="Y2666" s="63">
        <v>0</v>
      </c>
      <c r="Z2666" s="63"/>
      <c r="AA2666" s="63">
        <v>1</v>
      </c>
      <c r="AB2666" s="63"/>
      <c r="AC2666" s="63"/>
      <c r="AD2666" s="63"/>
      <c r="AE2666" s="63">
        <v>0</v>
      </c>
      <c r="AF2666" s="63"/>
      <c r="AG2666" s="63"/>
      <c r="AH2666" s="63"/>
      <c r="AI2666" s="63"/>
      <c r="AJ2666" s="63"/>
      <c r="AK2666" s="63"/>
      <c r="AL2666" s="63"/>
      <c r="AM2666" s="63"/>
      <c r="AN2666" s="63">
        <v>0</v>
      </c>
      <c r="AO2666" s="63"/>
      <c r="AP2666" s="63"/>
      <c r="AQ2666" s="63"/>
      <c r="AR2666" s="63"/>
      <c r="AS2666" s="63"/>
      <c r="AT2666" s="63"/>
      <c r="AU2666" s="63"/>
      <c r="AW2666" s="5">
        <f>IF(Q2666&gt;0,RANK(Q2666,(N2666:P2666,Q2666:AE2666)),0)</f>
        <v>3</v>
      </c>
      <c r="AX2666" s="5">
        <f>IF(R2666&gt;0,RANK(R2666,(N2666:P2666,Q2666:AE2666)),0)</f>
        <v>4</v>
      </c>
      <c r="AY2666" s="5">
        <f>IF(T2666&gt;0,RANK(T2666,(N2666:P2666,Q2666:AE2666)),0)</f>
        <v>0</v>
      </c>
      <c r="AZ2666" s="5">
        <f>IF(S2666&gt;0,RANK(S2666,(N2666:P2666,Q2666:AE2666)),0)</f>
        <v>6</v>
      </c>
      <c r="BA2666" s="2">
        <f t="shared" si="1075"/>
        <v>1.4548449080428218E-2</v>
      </c>
      <c r="BB2666" s="2">
        <f t="shared" si="1076"/>
        <v>4.9409827065605271E-3</v>
      </c>
      <c r="BC2666" s="2">
        <f t="shared" si="1077"/>
        <v>0</v>
      </c>
      <c r="BD2666" s="2">
        <f t="shared" si="1078"/>
        <v>5.4899807850672519E-4</v>
      </c>
      <c r="BF2666" t="s">
        <v>2397</v>
      </c>
      <c r="BG2666" t="s">
        <v>53</v>
      </c>
      <c r="BH2666">
        <v>11</v>
      </c>
      <c r="BJ2666" s="114">
        <v>48</v>
      </c>
      <c r="BK2666" s="116">
        <v>83</v>
      </c>
      <c r="BL2666" s="120">
        <f t="shared" ref="BL2666:BL2729" si="1082">1000*BJ2666+BK2666</f>
        <v>48083</v>
      </c>
      <c r="BN2666" s="5" t="s">
        <v>3154</v>
      </c>
      <c r="BZ2666" s="63">
        <f t="shared" si="1079"/>
        <v>3643</v>
      </c>
      <c r="CD2666" s="63">
        <v>0</v>
      </c>
      <c r="CE2666" s="63">
        <v>0</v>
      </c>
      <c r="CF2666" s="63">
        <v>0</v>
      </c>
      <c r="CG2666" s="8">
        <v>0</v>
      </c>
      <c r="CH2666" s="8">
        <v>0</v>
      </c>
      <c r="CI2666" s="8">
        <v>0</v>
      </c>
    </row>
    <row r="2667" spans="1:87" hidden="1" outlineLevel="1">
      <c r="A2667" t="s">
        <v>632</v>
      </c>
      <c r="B2667" t="s">
        <v>53</v>
      </c>
      <c r="C2667" s="1">
        <f t="shared" si="1070"/>
        <v>364430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5</v>
      </c>
      <c r="G2667" s="132">
        <f t="shared" si="1080"/>
        <v>60390</v>
      </c>
      <c r="H2667" s="137">
        <f t="shared" si="1081"/>
        <v>0.16571083610021128</v>
      </c>
      <c r="I2667" s="2"/>
      <c r="J2667" s="2">
        <f t="shared" si="1071"/>
        <v>0.38587383036522788</v>
      </c>
      <c r="K2667" s="2">
        <f t="shared" si="1072"/>
        <v>0.55158466646543913</v>
      </c>
      <c r="L2667" s="2">
        <f t="shared" si="1073"/>
        <v>8.0673929149630928E-3</v>
      </c>
      <c r="M2667" s="2">
        <f t="shared" si="1074"/>
        <v>5.4474110254369955E-2</v>
      </c>
      <c r="N2667" s="63">
        <v>140624</v>
      </c>
      <c r="O2667" s="63">
        <v>201014</v>
      </c>
      <c r="P2667" s="63">
        <v>2940</v>
      </c>
      <c r="Q2667" s="63">
        <v>13855</v>
      </c>
      <c r="R2667" s="63">
        <v>2539</v>
      </c>
      <c r="S2667" s="63">
        <v>221</v>
      </c>
      <c r="T2667" s="63"/>
      <c r="U2667" s="63">
        <v>0</v>
      </c>
      <c r="V2667" s="63"/>
      <c r="W2667" s="63">
        <f>IF(Copyright!B$11=1,IF(CA2667&gt;0,CA2667-SUM(S2667:V2667)-P2667-SUM(X2667:AQ2667),SUM(CB2667:CI2667)),SUM(CB2667:CI2667))</f>
        <v>3027</v>
      </c>
      <c r="X2667" s="63"/>
      <c r="Y2667" s="63">
        <v>42</v>
      </c>
      <c r="Z2667" s="63"/>
      <c r="AA2667" s="63">
        <v>2</v>
      </c>
      <c r="AB2667" s="63"/>
      <c r="AC2667" s="63"/>
      <c r="AD2667" s="63"/>
      <c r="AE2667" s="63">
        <v>89</v>
      </c>
      <c r="AF2667" s="63"/>
      <c r="AG2667" s="63"/>
      <c r="AH2667" s="63"/>
      <c r="AI2667" s="63"/>
      <c r="AJ2667" s="63"/>
      <c r="AK2667" s="63"/>
      <c r="AL2667" s="63"/>
      <c r="AM2667" s="63"/>
      <c r="AN2667" s="63">
        <v>77</v>
      </c>
      <c r="AO2667" s="63"/>
      <c r="AP2667" s="63"/>
      <c r="AQ2667" s="63"/>
      <c r="AR2667" s="63"/>
      <c r="AS2667" s="63"/>
      <c r="AT2667" s="63"/>
      <c r="AU2667" s="63"/>
      <c r="AW2667" s="5">
        <f>IF(Q2667&gt;0,RANK(Q2667,(N2667:P2667,Q2667:AE2667)),0)</f>
        <v>3</v>
      </c>
      <c r="AX2667" s="5">
        <f>IF(R2667&gt;0,RANK(R2667,(N2667:P2667,Q2667:AE2667)),0)</f>
        <v>6</v>
      </c>
      <c r="AY2667" s="5">
        <f>IF(T2667&gt;0,RANK(T2667,(N2667:P2667,Q2667:AE2667)),0)</f>
        <v>0</v>
      </c>
      <c r="AZ2667" s="5">
        <f>IF(S2667&gt;0,RANK(S2667,(N2667:P2667,Q2667:AE2667)),0)</f>
        <v>7</v>
      </c>
      <c r="BA2667" s="2">
        <f t="shared" si="1075"/>
        <v>3.8018275114562468E-2</v>
      </c>
      <c r="BB2667" s="2">
        <f t="shared" si="1076"/>
        <v>6.9670444255412562E-3</v>
      </c>
      <c r="BC2667" s="2">
        <f t="shared" si="1077"/>
        <v>0</v>
      </c>
      <c r="BD2667" s="2">
        <f t="shared" si="1078"/>
        <v>6.0642647422001479E-4</v>
      </c>
      <c r="BF2667" t="s">
        <v>632</v>
      </c>
      <c r="BG2667" t="s">
        <v>53</v>
      </c>
      <c r="BJ2667" s="114">
        <v>48</v>
      </c>
      <c r="BK2667" s="116">
        <v>85</v>
      </c>
      <c r="BL2667" s="120">
        <f t="shared" si="1082"/>
        <v>48085</v>
      </c>
      <c r="BN2667" s="5" t="s">
        <v>3154</v>
      </c>
      <c r="BR2667" s="63"/>
      <c r="BY2667" s="63">
        <v>367817</v>
      </c>
      <c r="CA2667" s="63">
        <v>6398</v>
      </c>
      <c r="CD2667" s="63">
        <v>3</v>
      </c>
      <c r="CE2667" s="63">
        <v>0</v>
      </c>
      <c r="CF2667" s="63">
        <v>9</v>
      </c>
      <c r="CG2667" s="8">
        <v>0</v>
      </c>
      <c r="CH2667" s="8">
        <v>1</v>
      </c>
      <c r="CI2667" s="8">
        <v>3</v>
      </c>
    </row>
    <row r="2668" spans="1:87" hidden="1" outlineLevel="1">
      <c r="A2668" t="s">
        <v>415</v>
      </c>
      <c r="B2668" t="s">
        <v>53</v>
      </c>
      <c r="C2668" s="1">
        <f t="shared" si="1070"/>
        <v>1156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5</v>
      </c>
      <c r="G2668" s="132">
        <f t="shared" si="1080"/>
        <v>838</v>
      </c>
      <c r="H2668" s="137">
        <f t="shared" si="1081"/>
        <v>0.72491349480968859</v>
      </c>
      <c r="I2668" s="2"/>
      <c r="J2668" s="2">
        <f t="shared" si="1071"/>
        <v>0.1254325259515571</v>
      </c>
      <c r="K2668" s="2">
        <f t="shared" si="1072"/>
        <v>0.85034602076124566</v>
      </c>
      <c r="L2668" s="2">
        <f t="shared" si="1073"/>
        <v>1.7301038062283738E-3</v>
      </c>
      <c r="M2668" s="2">
        <f t="shared" si="1074"/>
        <v>2.2491349480968897E-2</v>
      </c>
      <c r="N2668" s="63">
        <v>145</v>
      </c>
      <c r="O2668" s="63">
        <v>983</v>
      </c>
      <c r="P2668" s="63">
        <v>2</v>
      </c>
      <c r="Q2668" s="63">
        <v>22</v>
      </c>
      <c r="R2668" s="63">
        <v>4</v>
      </c>
      <c r="S2668" s="63">
        <v>0</v>
      </c>
      <c r="T2668" s="63"/>
      <c r="U2668" s="63">
        <v>0</v>
      </c>
      <c r="V2668" s="63"/>
      <c r="W2668" s="63">
        <f>IF(Copyright!B$11=1,IF(CA2668&gt;0,CA2668-SUM(S2668:V2668)-P2668-SUM(X2668:AQ2668),SUM(CB2668:CI2668)),SUM(CB2668:CI2668))</f>
        <v>0</v>
      </c>
      <c r="X2668" s="63"/>
      <c r="Y2668" s="63">
        <v>0</v>
      </c>
      <c r="Z2668" s="63"/>
      <c r="AA2668" s="63">
        <v>0</v>
      </c>
      <c r="AB2668" s="63"/>
      <c r="AC2668" s="63"/>
      <c r="AD2668" s="63"/>
      <c r="AE2668" s="63">
        <v>0</v>
      </c>
      <c r="AF2668" s="63"/>
      <c r="AG2668" s="63"/>
      <c r="AH2668" s="63"/>
      <c r="AI2668" s="63"/>
      <c r="AJ2668" s="63"/>
      <c r="AK2668" s="63"/>
      <c r="AL2668" s="63"/>
      <c r="AM2668" s="63"/>
      <c r="AN2668" s="63">
        <v>0</v>
      </c>
      <c r="AO2668" s="63"/>
      <c r="AP2668" s="63"/>
      <c r="AQ2668" s="63"/>
      <c r="AR2668" s="63"/>
      <c r="AS2668" s="63"/>
      <c r="AT2668" s="63"/>
      <c r="AU2668" s="63"/>
      <c r="AW2668" s="5">
        <f>IF(Q2668&gt;0,RANK(Q2668,(N2668:P2668,Q2668:AE2668)),0)</f>
        <v>3</v>
      </c>
      <c r="AX2668" s="5">
        <f>IF(R2668&gt;0,RANK(R2668,(N2668:P2668,Q2668:AE2668)),0)</f>
        <v>4</v>
      </c>
      <c r="AY2668" s="5">
        <f>IF(T2668&gt;0,RANK(T2668,(N2668:P2668,Q2668:AE2668)),0)</f>
        <v>0</v>
      </c>
      <c r="AZ2668" s="5">
        <f>IF(S2668&gt;0,RANK(S2668,(N2668:P2668,Q2668:AE2668)),0)</f>
        <v>0</v>
      </c>
      <c r="BA2668" s="2">
        <f t="shared" si="1075"/>
        <v>1.9031141868512111E-2</v>
      </c>
      <c r="BB2668" s="2">
        <f t="shared" si="1076"/>
        <v>3.4602076124567475E-3</v>
      </c>
      <c r="BC2668" s="2">
        <f t="shared" si="1077"/>
        <v>0</v>
      </c>
      <c r="BD2668" s="2">
        <f t="shared" si="1078"/>
        <v>0</v>
      </c>
      <c r="BF2668" t="s">
        <v>415</v>
      </c>
      <c r="BG2668" t="s">
        <v>53</v>
      </c>
      <c r="BH2668">
        <v>13</v>
      </c>
      <c r="BJ2668" s="114">
        <v>48</v>
      </c>
      <c r="BK2668" s="116">
        <v>87</v>
      </c>
      <c r="BL2668" s="120">
        <f t="shared" si="1082"/>
        <v>48087</v>
      </c>
      <c r="BN2668" s="5" t="s">
        <v>3154</v>
      </c>
      <c r="BZ2668" s="63">
        <f t="shared" si="1079"/>
        <v>1156</v>
      </c>
      <c r="CD2668" s="63">
        <v>0</v>
      </c>
      <c r="CE2668" s="63">
        <v>0</v>
      </c>
      <c r="CF2668" s="63">
        <v>0</v>
      </c>
      <c r="CG2668" s="8">
        <v>0</v>
      </c>
      <c r="CH2668" s="8">
        <v>0</v>
      </c>
      <c r="CI2668" s="8">
        <v>0</v>
      </c>
    </row>
    <row r="2669" spans="1:87" hidden="1" outlineLevel="1">
      <c r="A2669" t="s">
        <v>1865</v>
      </c>
      <c r="B2669" t="s">
        <v>53</v>
      </c>
      <c r="C2669" s="1">
        <f t="shared" si="1070"/>
        <v>8513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5</v>
      </c>
      <c r="G2669" s="132">
        <f t="shared" si="1080"/>
        <v>4338</v>
      </c>
      <c r="H2669" s="137">
        <f t="shared" si="1081"/>
        <v>0.50957359332785157</v>
      </c>
      <c r="I2669" s="2"/>
      <c r="J2669" s="2">
        <f t="shared" si="1071"/>
        <v>0.23340772935510395</v>
      </c>
      <c r="K2669" s="2">
        <f t="shared" si="1072"/>
        <v>0.74298132268295547</v>
      </c>
      <c r="L2669" s="2">
        <f t="shared" si="1073"/>
        <v>2.1144132503230352E-3</v>
      </c>
      <c r="M2669" s="2">
        <f t="shared" si="1074"/>
        <v>2.1496534711617485E-2</v>
      </c>
      <c r="N2669" s="63">
        <v>1987</v>
      </c>
      <c r="O2669" s="63">
        <v>6325</v>
      </c>
      <c r="P2669" s="63">
        <v>18</v>
      </c>
      <c r="Q2669" s="63">
        <v>144</v>
      </c>
      <c r="R2669" s="63">
        <v>37</v>
      </c>
      <c r="S2669" s="63">
        <v>1</v>
      </c>
      <c r="T2669" s="63"/>
      <c r="U2669" s="63">
        <v>0</v>
      </c>
      <c r="V2669" s="63"/>
      <c r="W2669" s="63">
        <f>IF(Copyright!B$11=1,IF(CA2669&gt;0,CA2669-SUM(S2669:V2669)-P2669-SUM(X2669:AQ2669),SUM(CB2669:CI2669)),SUM(CB2669:CI2669))</f>
        <v>0</v>
      </c>
      <c r="X2669" s="63"/>
      <c r="Y2669" s="63">
        <v>0</v>
      </c>
      <c r="Z2669" s="63"/>
      <c r="AA2669" s="63">
        <v>0</v>
      </c>
      <c r="AB2669" s="63"/>
      <c r="AC2669" s="63"/>
      <c r="AD2669" s="63"/>
      <c r="AE2669" s="63">
        <v>0</v>
      </c>
      <c r="AF2669" s="63"/>
      <c r="AG2669" s="63"/>
      <c r="AH2669" s="63"/>
      <c r="AI2669" s="63"/>
      <c r="AJ2669" s="63"/>
      <c r="AK2669" s="63"/>
      <c r="AL2669" s="63"/>
      <c r="AM2669" s="63"/>
      <c r="AN2669" s="63">
        <v>1</v>
      </c>
      <c r="AO2669" s="63"/>
      <c r="AP2669" s="63"/>
      <c r="AQ2669" s="63"/>
      <c r="AR2669" s="63"/>
      <c r="AS2669" s="63"/>
      <c r="AT2669" s="63"/>
      <c r="AU2669" s="63"/>
      <c r="AW2669" s="5">
        <f>IF(Q2669&gt;0,RANK(Q2669,(N2669:P2669,Q2669:AE2669)),0)</f>
        <v>3</v>
      </c>
      <c r="AX2669" s="5">
        <f>IF(R2669&gt;0,RANK(R2669,(N2669:P2669,Q2669:AE2669)),0)</f>
        <v>4</v>
      </c>
      <c r="AY2669" s="5">
        <f>IF(T2669&gt;0,RANK(T2669,(N2669:P2669,Q2669:AE2669)),0)</f>
        <v>0</v>
      </c>
      <c r="AZ2669" s="5">
        <f>IF(S2669&gt;0,RANK(S2669,(N2669:P2669,Q2669:AE2669)),0)</f>
        <v>6</v>
      </c>
      <c r="BA2669" s="2">
        <f t="shared" si="1075"/>
        <v>1.6915306002584281E-2</v>
      </c>
      <c r="BB2669" s="2">
        <f t="shared" si="1076"/>
        <v>4.3462939034417947E-3</v>
      </c>
      <c r="BC2669" s="2">
        <f t="shared" si="1077"/>
        <v>0</v>
      </c>
      <c r="BD2669" s="2">
        <f t="shared" si="1078"/>
        <v>1.1746740279572419E-4</v>
      </c>
      <c r="BF2669" t="s">
        <v>1865</v>
      </c>
      <c r="BG2669" t="s">
        <v>53</v>
      </c>
      <c r="BH2669">
        <v>10</v>
      </c>
      <c r="BJ2669" s="114">
        <v>48</v>
      </c>
      <c r="BK2669" s="116">
        <v>89</v>
      </c>
      <c r="BL2669" s="120">
        <f t="shared" si="1082"/>
        <v>48089</v>
      </c>
      <c r="BN2669" s="5" t="s">
        <v>3154</v>
      </c>
      <c r="BZ2669" s="63">
        <f t="shared" si="1079"/>
        <v>8513</v>
      </c>
      <c r="CD2669" s="63">
        <v>0</v>
      </c>
      <c r="CE2669" s="63">
        <v>0</v>
      </c>
      <c r="CF2669" s="63">
        <v>0</v>
      </c>
      <c r="CG2669" s="8">
        <v>0</v>
      </c>
      <c r="CH2669" s="8">
        <v>0</v>
      </c>
      <c r="CI2669" s="8">
        <v>0</v>
      </c>
    </row>
    <row r="2670" spans="1:87" hidden="1" outlineLevel="1">
      <c r="A2670" t="s">
        <v>684</v>
      </c>
      <c r="B2670" t="s">
        <v>53</v>
      </c>
      <c r="C2670" s="1">
        <f t="shared" si="1070"/>
        <v>62178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5</v>
      </c>
      <c r="G2670" s="132">
        <f t="shared" si="1080"/>
        <v>30898</v>
      </c>
      <c r="H2670" s="137">
        <f t="shared" si="1081"/>
        <v>0.49692817395220173</v>
      </c>
      <c r="I2670" s="2"/>
      <c r="J2670" s="2">
        <f t="shared" si="1071"/>
        <v>0.22898774486152659</v>
      </c>
      <c r="K2670" s="2">
        <f t="shared" si="1072"/>
        <v>0.7259159188137283</v>
      </c>
      <c r="L2670" s="2">
        <f t="shared" si="1073"/>
        <v>5.0178519733667859E-3</v>
      </c>
      <c r="M2670" s="2">
        <f t="shared" si="1074"/>
        <v>4.0078484351378292E-2</v>
      </c>
      <c r="N2670" s="63">
        <v>14238</v>
      </c>
      <c r="O2670" s="63">
        <v>45136</v>
      </c>
      <c r="P2670" s="63">
        <v>312</v>
      </c>
      <c r="Q2670" s="63">
        <v>2068</v>
      </c>
      <c r="R2670" s="63">
        <v>343</v>
      </c>
      <c r="S2670" s="63">
        <v>49</v>
      </c>
      <c r="T2670" s="63"/>
      <c r="U2670" s="63">
        <v>1</v>
      </c>
      <c r="V2670" s="63"/>
      <c r="W2670" s="63">
        <f>IF(Copyright!B$11=1,IF(CA2670&gt;0,CA2670-SUM(S2670:V2670)-P2670-SUM(X2670:AQ2670),SUM(CB2670:CI2670)),SUM(CB2670:CI2670))</f>
        <v>2</v>
      </c>
      <c r="X2670" s="63"/>
      <c r="Y2670" s="63">
        <v>9</v>
      </c>
      <c r="Z2670" s="63"/>
      <c r="AA2670" s="63">
        <v>1</v>
      </c>
      <c r="AB2670" s="63"/>
      <c r="AC2670" s="63"/>
      <c r="AD2670" s="63"/>
      <c r="AE2670" s="63">
        <v>11</v>
      </c>
      <c r="AF2670" s="63"/>
      <c r="AG2670" s="63"/>
      <c r="AH2670" s="63"/>
      <c r="AI2670" s="63"/>
      <c r="AJ2670" s="63"/>
      <c r="AK2670" s="63"/>
      <c r="AL2670" s="63"/>
      <c r="AM2670" s="63"/>
      <c r="AN2670" s="63">
        <v>8</v>
      </c>
      <c r="AO2670" s="63"/>
      <c r="AP2670" s="63"/>
      <c r="AQ2670" s="63"/>
      <c r="AR2670" s="63"/>
      <c r="AS2670" s="63"/>
      <c r="AT2670" s="63"/>
      <c r="AU2670" s="63"/>
      <c r="AW2670" s="5">
        <f>IF(Q2670&gt;0,RANK(Q2670,(N2670:P2670,Q2670:AE2670)),0)</f>
        <v>3</v>
      </c>
      <c r="AX2670" s="5">
        <f>IF(R2670&gt;0,RANK(R2670,(N2670:P2670,Q2670:AE2670)),0)</f>
        <v>4</v>
      </c>
      <c r="AY2670" s="5">
        <f>IF(T2670&gt;0,RANK(T2670,(N2670:P2670,Q2670:AE2670)),0)</f>
        <v>0</v>
      </c>
      <c r="AZ2670" s="5">
        <f>IF(S2670&gt;0,RANK(S2670,(N2670:P2670,Q2670:AE2670)),0)</f>
        <v>6</v>
      </c>
      <c r="BA2670" s="2">
        <f t="shared" si="1075"/>
        <v>3.3259352182443948E-2</v>
      </c>
      <c r="BB2670" s="2">
        <f t="shared" si="1076"/>
        <v>5.5164205989256653E-3</v>
      </c>
      <c r="BC2670" s="2">
        <f t="shared" si="1077"/>
        <v>0</v>
      </c>
      <c r="BD2670" s="2">
        <f t="shared" si="1078"/>
        <v>7.8806008556080924E-4</v>
      </c>
      <c r="BF2670" t="s">
        <v>684</v>
      </c>
      <c r="BG2670" t="s">
        <v>53</v>
      </c>
      <c r="BJ2670" s="114">
        <v>48</v>
      </c>
      <c r="BK2670" s="116">
        <v>91</v>
      </c>
      <c r="BL2670" s="120">
        <f t="shared" si="1082"/>
        <v>48091</v>
      </c>
      <c r="BN2670" s="5" t="s">
        <v>3154</v>
      </c>
      <c r="BZ2670" s="63">
        <f t="shared" si="1079"/>
        <v>62178</v>
      </c>
      <c r="CD2670" s="63">
        <v>0</v>
      </c>
      <c r="CE2670" s="63">
        <v>0</v>
      </c>
      <c r="CF2670" s="63">
        <v>1</v>
      </c>
      <c r="CG2670" s="8">
        <v>0</v>
      </c>
      <c r="CH2670" s="8">
        <v>0</v>
      </c>
      <c r="CI2670" s="8">
        <v>1</v>
      </c>
    </row>
    <row r="2671" spans="1:87" hidden="1" outlineLevel="1">
      <c r="A2671" t="s">
        <v>1142</v>
      </c>
      <c r="B2671" t="s">
        <v>53</v>
      </c>
      <c r="C2671" s="1">
        <f t="shared" si="1070"/>
        <v>5237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32">
        <f t="shared" si="1080"/>
        <v>3544</v>
      </c>
      <c r="H2671" s="137">
        <f t="shared" si="1081"/>
        <v>0.67672331487492843</v>
      </c>
      <c r="I2671" s="2"/>
      <c r="J2671" s="2">
        <f t="shared" si="1071"/>
        <v>0.15065877410731335</v>
      </c>
      <c r="K2671" s="2">
        <f t="shared" si="1072"/>
        <v>0.82738208898224175</v>
      </c>
      <c r="L2671" s="2">
        <f t="shared" si="1073"/>
        <v>0</v>
      </c>
      <c r="M2671" s="2">
        <f t="shared" si="1074"/>
        <v>2.1959136910444932E-2</v>
      </c>
      <c r="N2671" s="63">
        <v>789</v>
      </c>
      <c r="O2671" s="63">
        <v>4333</v>
      </c>
      <c r="P2671" s="63">
        <v>0</v>
      </c>
      <c r="Q2671" s="63">
        <v>88</v>
      </c>
      <c r="R2671" s="63">
        <v>21</v>
      </c>
      <c r="S2671" s="63">
        <v>5</v>
      </c>
      <c r="T2671" s="63"/>
      <c r="U2671" s="63">
        <v>0</v>
      </c>
      <c r="V2671" s="63"/>
      <c r="W2671" s="63">
        <f>IF(Copyright!B$11=1,IF(CA2671&gt;0,CA2671-SUM(S2671:V2671)-P2671-SUM(X2671:AQ2671),SUM(CB2671:CI2671)),SUM(CB2671:CI2671))</f>
        <v>0</v>
      </c>
      <c r="X2671" s="63"/>
      <c r="Y2671" s="63">
        <v>0</v>
      </c>
      <c r="Z2671" s="63"/>
      <c r="AA2671" s="63">
        <v>0</v>
      </c>
      <c r="AB2671" s="63"/>
      <c r="AC2671" s="63"/>
      <c r="AD2671" s="63"/>
      <c r="AE2671" s="63">
        <v>1</v>
      </c>
      <c r="AF2671" s="63"/>
      <c r="AG2671" s="63"/>
      <c r="AH2671" s="63"/>
      <c r="AI2671" s="63"/>
      <c r="AJ2671" s="63"/>
      <c r="AK2671" s="63"/>
      <c r="AL2671" s="63"/>
      <c r="AM2671" s="63"/>
      <c r="AN2671" s="63">
        <v>0</v>
      </c>
      <c r="AO2671" s="63"/>
      <c r="AP2671" s="63"/>
      <c r="AQ2671" s="63"/>
      <c r="AR2671" s="63"/>
      <c r="AS2671" s="63"/>
      <c r="AT2671" s="63"/>
      <c r="AU2671" s="63"/>
      <c r="AW2671" s="5">
        <f>IF(Q2671&gt;0,RANK(Q2671,(N2671:P2671,Q2671:AE2671)),0)</f>
        <v>3</v>
      </c>
      <c r="AX2671" s="5">
        <f>IF(R2671&gt;0,RANK(R2671,(N2671:P2671,Q2671:AE2671)),0)</f>
        <v>4</v>
      </c>
      <c r="AY2671" s="5">
        <f>IF(T2671&gt;0,RANK(T2671,(N2671:P2671,Q2671:AE2671)),0)</f>
        <v>0</v>
      </c>
      <c r="AZ2671" s="5">
        <f>IF(S2671&gt;0,RANK(S2671,(N2671:P2671,Q2671:AE2671)),0)</f>
        <v>5</v>
      </c>
      <c r="BA2671" s="2">
        <f t="shared" si="1075"/>
        <v>1.6803513461905673E-2</v>
      </c>
      <c r="BB2671" s="2">
        <f t="shared" si="1076"/>
        <v>4.0099293488638534E-3</v>
      </c>
      <c r="BC2671" s="2">
        <f t="shared" si="1077"/>
        <v>0</v>
      </c>
      <c r="BD2671" s="2">
        <f t="shared" si="1078"/>
        <v>9.5474508306282225E-4</v>
      </c>
      <c r="BF2671" t="s">
        <v>1142</v>
      </c>
      <c r="BG2671" t="s">
        <v>53</v>
      </c>
      <c r="BH2671">
        <v>11</v>
      </c>
      <c r="BJ2671" s="114">
        <v>48</v>
      </c>
      <c r="BK2671" s="116">
        <v>93</v>
      </c>
      <c r="BL2671" s="120">
        <f t="shared" si="1082"/>
        <v>48093</v>
      </c>
      <c r="BN2671" s="5" t="s">
        <v>3154</v>
      </c>
      <c r="BZ2671" s="63">
        <f t="shared" si="1079"/>
        <v>5237</v>
      </c>
      <c r="CD2671" s="63">
        <v>0</v>
      </c>
      <c r="CE2671" s="63">
        <v>0</v>
      </c>
      <c r="CF2671" s="63">
        <v>0</v>
      </c>
      <c r="CG2671" s="8">
        <v>0</v>
      </c>
      <c r="CH2671" s="8">
        <v>0</v>
      </c>
      <c r="CI2671" s="8">
        <v>0</v>
      </c>
    </row>
    <row r="2672" spans="1:87" hidden="1" outlineLevel="1">
      <c r="A2672" t="s">
        <v>2906</v>
      </c>
      <c r="B2672" t="s">
        <v>53</v>
      </c>
      <c r="C2672" s="1">
        <f t="shared" si="1070"/>
        <v>1068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32">
        <f t="shared" si="1080"/>
        <v>737</v>
      </c>
      <c r="H2672" s="137">
        <f t="shared" si="1081"/>
        <v>0.69007490636704116</v>
      </c>
      <c r="I2672" s="2"/>
      <c r="J2672" s="2">
        <f t="shared" si="1071"/>
        <v>0.13857677902621723</v>
      </c>
      <c r="K2672" s="2">
        <f t="shared" si="1072"/>
        <v>0.8286516853932584</v>
      </c>
      <c r="L2672" s="2">
        <f t="shared" si="1073"/>
        <v>0</v>
      </c>
      <c r="M2672" s="2">
        <f t="shared" si="1074"/>
        <v>3.2771535580524369E-2</v>
      </c>
      <c r="N2672" s="63">
        <v>148</v>
      </c>
      <c r="O2672" s="63">
        <v>885</v>
      </c>
      <c r="P2672" s="63">
        <v>0</v>
      </c>
      <c r="Q2672" s="63">
        <v>27</v>
      </c>
      <c r="R2672" s="63">
        <v>7</v>
      </c>
      <c r="S2672" s="63">
        <v>1</v>
      </c>
      <c r="T2672" s="63"/>
      <c r="U2672" s="63">
        <v>0</v>
      </c>
      <c r="V2672" s="63"/>
      <c r="W2672" s="63">
        <f>IF(Copyright!B$11=1,IF(CA2672&gt;0,CA2672-SUM(S2672:V2672)-P2672-SUM(X2672:AQ2672),SUM(CB2672:CI2672)),SUM(CB2672:CI2672))</f>
        <v>0</v>
      </c>
      <c r="X2672" s="63"/>
      <c r="Y2672" s="63">
        <v>0</v>
      </c>
      <c r="Z2672" s="63"/>
      <c r="AA2672" s="63">
        <v>0</v>
      </c>
      <c r="AB2672" s="63"/>
      <c r="AC2672" s="63"/>
      <c r="AD2672" s="63"/>
      <c r="AE2672" s="63">
        <v>0</v>
      </c>
      <c r="AF2672" s="63"/>
      <c r="AG2672" s="63"/>
      <c r="AH2672" s="63"/>
      <c r="AI2672" s="63"/>
      <c r="AJ2672" s="63"/>
      <c r="AK2672" s="63"/>
      <c r="AL2672" s="63"/>
      <c r="AM2672" s="63"/>
      <c r="AN2672" s="63">
        <v>0</v>
      </c>
      <c r="AO2672" s="63"/>
      <c r="AP2672" s="63"/>
      <c r="AQ2672" s="63"/>
      <c r="AR2672" s="63"/>
      <c r="AS2672" s="63"/>
      <c r="AT2672" s="63"/>
      <c r="AU2672" s="63"/>
      <c r="AW2672" s="5">
        <f>IF(Q2672&gt;0,RANK(Q2672,(N2672:P2672,Q2672:AE2672)),0)</f>
        <v>3</v>
      </c>
      <c r="AX2672" s="5">
        <f>IF(R2672&gt;0,RANK(R2672,(N2672:P2672,Q2672:AE2672)),0)</f>
        <v>4</v>
      </c>
      <c r="AY2672" s="5">
        <f>IF(T2672&gt;0,RANK(T2672,(N2672:P2672,Q2672:AE2672)),0)</f>
        <v>0</v>
      </c>
      <c r="AZ2672" s="5">
        <f>IF(S2672&gt;0,RANK(S2672,(N2672:P2672,Q2672:AE2672)),0)</f>
        <v>5</v>
      </c>
      <c r="BA2672" s="2">
        <f t="shared" si="1075"/>
        <v>2.5280898876404494E-2</v>
      </c>
      <c r="BB2672" s="2">
        <f t="shared" si="1076"/>
        <v>6.5543071161048693E-3</v>
      </c>
      <c r="BC2672" s="2">
        <f t="shared" si="1077"/>
        <v>0</v>
      </c>
      <c r="BD2672" s="2">
        <f t="shared" si="1078"/>
        <v>9.3632958801498128E-4</v>
      </c>
      <c r="BF2672" t="s">
        <v>2906</v>
      </c>
      <c r="BG2672" t="s">
        <v>53</v>
      </c>
      <c r="BH2672">
        <v>11</v>
      </c>
      <c r="BJ2672" s="114">
        <v>48</v>
      </c>
      <c r="BK2672" s="116">
        <v>95</v>
      </c>
      <c r="BL2672" s="120">
        <f t="shared" si="1082"/>
        <v>48095</v>
      </c>
      <c r="BN2672" s="5" t="s">
        <v>3154</v>
      </c>
      <c r="BZ2672" s="63">
        <f t="shared" si="1079"/>
        <v>1068</v>
      </c>
      <c r="CD2672" s="63">
        <v>0</v>
      </c>
      <c r="CE2672" s="63">
        <v>0</v>
      </c>
      <c r="CF2672" s="63">
        <v>0</v>
      </c>
      <c r="CG2672" s="8">
        <v>0</v>
      </c>
      <c r="CH2672" s="8">
        <v>0</v>
      </c>
      <c r="CI2672" s="8">
        <v>0</v>
      </c>
    </row>
    <row r="2673" spans="1:87" hidden="1" outlineLevel="1">
      <c r="A2673" t="s">
        <v>2770</v>
      </c>
      <c r="B2673" t="s">
        <v>53</v>
      </c>
      <c r="C2673" s="1">
        <f t="shared" si="1070"/>
        <v>15955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5</v>
      </c>
      <c r="G2673" s="132">
        <f t="shared" si="1080"/>
        <v>10829</v>
      </c>
      <c r="H2673" s="137">
        <f t="shared" si="1081"/>
        <v>0.67872140394860547</v>
      </c>
      <c r="I2673" s="2"/>
      <c r="J2673" s="2">
        <f t="shared" si="1071"/>
        <v>0.14741460357254779</v>
      </c>
      <c r="K2673" s="2">
        <f t="shared" si="1072"/>
        <v>0.82613600752115324</v>
      </c>
      <c r="L2673" s="2">
        <f t="shared" si="1073"/>
        <v>2.0056408649326229E-3</v>
      </c>
      <c r="M2673" s="2">
        <f t="shared" si="1074"/>
        <v>2.4443748041366377E-2</v>
      </c>
      <c r="N2673" s="63">
        <v>2352</v>
      </c>
      <c r="O2673" s="63">
        <v>13181</v>
      </c>
      <c r="P2673" s="63">
        <v>32</v>
      </c>
      <c r="Q2673" s="63">
        <v>317</v>
      </c>
      <c r="R2673" s="63">
        <v>60</v>
      </c>
      <c r="S2673" s="63">
        <v>9</v>
      </c>
      <c r="T2673" s="63"/>
      <c r="U2673" s="63">
        <v>0</v>
      </c>
      <c r="V2673" s="63"/>
      <c r="W2673" s="63">
        <f>IF(Copyright!B$11=1,IF(CA2673&gt;0,CA2673-SUM(S2673:V2673)-P2673-SUM(X2673:AQ2673),SUM(CB2673:CI2673)),SUM(CB2673:CI2673))</f>
        <v>0</v>
      </c>
      <c r="X2673" s="63"/>
      <c r="Y2673" s="63">
        <v>1</v>
      </c>
      <c r="Z2673" s="63"/>
      <c r="AA2673" s="63">
        <v>0</v>
      </c>
      <c r="AB2673" s="63"/>
      <c r="AC2673" s="63"/>
      <c r="AD2673" s="63"/>
      <c r="AE2673" s="63">
        <v>2</v>
      </c>
      <c r="AF2673" s="63"/>
      <c r="AG2673" s="63"/>
      <c r="AH2673" s="63"/>
      <c r="AI2673" s="63"/>
      <c r="AJ2673" s="63"/>
      <c r="AK2673" s="63"/>
      <c r="AL2673" s="63"/>
      <c r="AM2673" s="63"/>
      <c r="AN2673" s="63">
        <v>1</v>
      </c>
      <c r="AO2673" s="63"/>
      <c r="AP2673" s="63"/>
      <c r="AQ2673" s="63"/>
      <c r="AR2673" s="63"/>
      <c r="AS2673" s="63"/>
      <c r="AT2673" s="63"/>
      <c r="AU2673" s="63"/>
      <c r="AW2673" s="5">
        <f>IF(Q2673&gt;0,RANK(Q2673,(N2673:P2673,Q2673:AE2673)),0)</f>
        <v>3</v>
      </c>
      <c r="AX2673" s="5">
        <f>IF(R2673&gt;0,RANK(R2673,(N2673:P2673,Q2673:AE2673)),0)</f>
        <v>4</v>
      </c>
      <c r="AY2673" s="5">
        <f>IF(T2673&gt;0,RANK(T2673,(N2673:P2673,Q2673:AE2673)),0)</f>
        <v>0</v>
      </c>
      <c r="AZ2673" s="5">
        <f>IF(S2673&gt;0,RANK(S2673,(N2673:P2673,Q2673:AE2673)),0)</f>
        <v>6</v>
      </c>
      <c r="BA2673" s="2">
        <f t="shared" si="1075"/>
        <v>1.9868379818238798E-2</v>
      </c>
      <c r="BB2673" s="2">
        <f t="shared" si="1076"/>
        <v>3.760576621748668E-3</v>
      </c>
      <c r="BC2673" s="2">
        <f t="shared" si="1077"/>
        <v>0</v>
      </c>
      <c r="BD2673" s="2">
        <f t="shared" si="1078"/>
        <v>5.6408649326230025E-4</v>
      </c>
      <c r="BF2673" t="s">
        <v>2770</v>
      </c>
      <c r="BG2673" t="s">
        <v>53</v>
      </c>
      <c r="BH2673">
        <v>13</v>
      </c>
      <c r="BJ2673" s="114">
        <v>48</v>
      </c>
      <c r="BK2673" s="116">
        <v>97</v>
      </c>
      <c r="BL2673" s="120">
        <f t="shared" si="1082"/>
        <v>48097</v>
      </c>
      <c r="BN2673" s="5" t="s">
        <v>3154</v>
      </c>
      <c r="BZ2673" s="63">
        <f t="shared" si="1079"/>
        <v>15955</v>
      </c>
      <c r="CD2673" s="63">
        <v>0</v>
      </c>
      <c r="CE2673" s="63">
        <v>0</v>
      </c>
      <c r="CF2673" s="63">
        <v>0</v>
      </c>
      <c r="CG2673" s="8">
        <v>0</v>
      </c>
      <c r="CH2673" s="8">
        <v>0</v>
      </c>
      <c r="CI2673" s="8">
        <v>0</v>
      </c>
    </row>
    <row r="2674" spans="1:87" hidden="1" outlineLevel="1">
      <c r="A2674" t="s">
        <v>2447</v>
      </c>
      <c r="B2674" t="s">
        <v>53</v>
      </c>
      <c r="C2674" s="1">
        <f t="shared" si="1070"/>
        <v>18253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5</v>
      </c>
      <c r="G2674" s="132">
        <f t="shared" si="1080"/>
        <v>7161</v>
      </c>
      <c r="H2674" s="137">
        <f t="shared" si="1081"/>
        <v>0.39231907083767054</v>
      </c>
      <c r="I2674" s="2"/>
      <c r="J2674" s="2">
        <f t="shared" si="1071"/>
        <v>0.27743384649098779</v>
      </c>
      <c r="K2674" s="2">
        <f t="shared" si="1072"/>
        <v>0.66975291732865827</v>
      </c>
      <c r="L2674" s="2">
        <f t="shared" si="1073"/>
        <v>4.4376266915027666E-3</v>
      </c>
      <c r="M2674" s="2">
        <f t="shared" si="1074"/>
        <v>4.8375609488851175E-2</v>
      </c>
      <c r="N2674" s="63">
        <v>5064</v>
      </c>
      <c r="O2674" s="63">
        <v>12225</v>
      </c>
      <c r="P2674" s="63">
        <v>81</v>
      </c>
      <c r="Q2674" s="63">
        <v>704</v>
      </c>
      <c r="R2674" s="63">
        <v>161</v>
      </c>
      <c r="S2674" s="63">
        <v>14</v>
      </c>
      <c r="T2674" s="63"/>
      <c r="U2674" s="63">
        <v>0</v>
      </c>
      <c r="V2674" s="63"/>
      <c r="W2674" s="63">
        <f>IF(Copyright!B$11=1,IF(CA2674&gt;0,CA2674-SUM(S2674:V2674)-P2674-SUM(X2674:AQ2674),SUM(CB2674:CI2674)),SUM(CB2674:CI2674))</f>
        <v>3</v>
      </c>
      <c r="X2674" s="63"/>
      <c r="Y2674" s="63">
        <v>0</v>
      </c>
      <c r="Z2674" s="63"/>
      <c r="AA2674" s="63">
        <v>0</v>
      </c>
      <c r="AB2674" s="63"/>
      <c r="AC2674" s="63"/>
      <c r="AD2674" s="63"/>
      <c r="AE2674" s="63">
        <v>1</v>
      </c>
      <c r="AF2674" s="63"/>
      <c r="AG2674" s="63"/>
      <c r="AH2674" s="63"/>
      <c r="AI2674" s="63"/>
      <c r="AJ2674" s="63"/>
      <c r="AK2674" s="63"/>
      <c r="AL2674" s="63"/>
      <c r="AM2674" s="63"/>
      <c r="AN2674" s="63">
        <v>0</v>
      </c>
      <c r="AO2674" s="63"/>
      <c r="AP2674" s="63"/>
      <c r="AQ2674" s="63"/>
      <c r="AR2674" s="63"/>
      <c r="AS2674" s="63"/>
      <c r="AT2674" s="63"/>
      <c r="AU2674" s="63"/>
      <c r="AW2674" s="5">
        <f>IF(Q2674&gt;0,RANK(Q2674,(N2674:P2674,Q2674:AE2674)),0)</f>
        <v>3</v>
      </c>
      <c r="AX2674" s="5">
        <f>IF(R2674&gt;0,RANK(R2674,(N2674:P2674,Q2674:AE2674)),0)</f>
        <v>4</v>
      </c>
      <c r="AY2674" s="5">
        <f>IF(T2674&gt;0,RANK(T2674,(N2674:P2674,Q2674:AE2674)),0)</f>
        <v>0</v>
      </c>
      <c r="AZ2674" s="5">
        <f>IF(S2674&gt;0,RANK(S2674,(N2674:P2674,Q2674:AE2674)),0)</f>
        <v>6</v>
      </c>
      <c r="BA2674" s="2">
        <f t="shared" si="1075"/>
        <v>3.8569002355777135E-2</v>
      </c>
      <c r="BB2674" s="2">
        <f t="shared" si="1076"/>
        <v>8.8204678682956231E-3</v>
      </c>
      <c r="BC2674" s="2">
        <f t="shared" si="1077"/>
        <v>0</v>
      </c>
      <c r="BD2674" s="2">
        <f t="shared" si="1078"/>
        <v>7.6699720593874983E-4</v>
      </c>
      <c r="BF2674" t="s">
        <v>2447</v>
      </c>
      <c r="BG2674" t="s">
        <v>53</v>
      </c>
      <c r="BH2674">
        <v>25</v>
      </c>
      <c r="BJ2674" s="114">
        <v>48</v>
      </c>
      <c r="BK2674" s="116">
        <v>99</v>
      </c>
      <c r="BL2674" s="120">
        <f t="shared" si="1082"/>
        <v>48099</v>
      </c>
      <c r="BN2674" s="5" t="s">
        <v>3154</v>
      </c>
      <c r="BZ2674" s="63">
        <f t="shared" si="1079"/>
        <v>18253</v>
      </c>
      <c r="CD2674" s="63">
        <v>0</v>
      </c>
      <c r="CE2674" s="63">
        <v>0</v>
      </c>
      <c r="CF2674" s="63">
        <v>2</v>
      </c>
      <c r="CG2674" s="8">
        <v>1</v>
      </c>
      <c r="CH2674" s="8">
        <v>0</v>
      </c>
      <c r="CI2674" s="8">
        <v>0</v>
      </c>
    </row>
    <row r="2675" spans="1:87" hidden="1" outlineLevel="1">
      <c r="A2675" t="s">
        <v>2448</v>
      </c>
      <c r="B2675" t="s">
        <v>53</v>
      </c>
      <c r="C2675" s="1">
        <f t="shared" si="1070"/>
        <v>612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32">
        <f t="shared" si="1080"/>
        <v>414</v>
      </c>
      <c r="H2675" s="137">
        <f t="shared" si="1081"/>
        <v>0.67647058823529416</v>
      </c>
      <c r="I2675" s="2"/>
      <c r="J2675" s="2">
        <f t="shared" si="1071"/>
        <v>0.15032679738562091</v>
      </c>
      <c r="K2675" s="2">
        <f t="shared" si="1072"/>
        <v>0.82679738562091498</v>
      </c>
      <c r="L2675" s="2">
        <f t="shared" si="1073"/>
        <v>0</v>
      </c>
      <c r="M2675" s="2">
        <f t="shared" si="1074"/>
        <v>2.2875816993464082E-2</v>
      </c>
      <c r="N2675" s="63">
        <v>92</v>
      </c>
      <c r="O2675" s="63">
        <v>506</v>
      </c>
      <c r="P2675" s="63">
        <v>0</v>
      </c>
      <c r="Q2675" s="63">
        <v>12</v>
      </c>
      <c r="R2675" s="63">
        <v>2</v>
      </c>
      <c r="S2675" s="63">
        <v>0</v>
      </c>
      <c r="T2675" s="63"/>
      <c r="U2675" s="63">
        <v>0</v>
      </c>
      <c r="V2675" s="63"/>
      <c r="W2675" s="63">
        <f>IF(Copyright!B$11=1,IF(CA2675&gt;0,CA2675-SUM(S2675:V2675)-P2675-SUM(X2675:AQ2675),SUM(CB2675:CI2675)),SUM(CB2675:CI2675))</f>
        <v>0</v>
      </c>
      <c r="X2675" s="63"/>
      <c r="Y2675" s="63">
        <v>0</v>
      </c>
      <c r="Z2675" s="63"/>
      <c r="AA2675" s="63">
        <v>0</v>
      </c>
      <c r="AB2675" s="63"/>
      <c r="AC2675" s="63"/>
      <c r="AD2675" s="63"/>
      <c r="AE2675" s="63">
        <v>0</v>
      </c>
      <c r="AF2675" s="63"/>
      <c r="AG2675" s="63"/>
      <c r="AH2675" s="63"/>
      <c r="AI2675" s="63"/>
      <c r="AJ2675" s="63"/>
      <c r="AK2675" s="63"/>
      <c r="AL2675" s="63"/>
      <c r="AM2675" s="63"/>
      <c r="AN2675" s="63">
        <v>0</v>
      </c>
      <c r="AO2675" s="63"/>
      <c r="AP2675" s="63"/>
      <c r="AQ2675" s="63"/>
      <c r="AR2675" s="63"/>
      <c r="AS2675" s="63"/>
      <c r="AT2675" s="63"/>
      <c r="AU2675" s="63"/>
      <c r="AW2675" s="5">
        <f>IF(Q2675&gt;0,RANK(Q2675,(N2675:P2675,Q2675:AE2675)),0)</f>
        <v>3</v>
      </c>
      <c r="AX2675" s="5">
        <f>IF(R2675&gt;0,RANK(R2675,(N2675:P2675,Q2675:AE2675)),0)</f>
        <v>4</v>
      </c>
      <c r="AY2675" s="5">
        <f>IF(T2675&gt;0,RANK(T2675,(N2675:P2675,Q2675:AE2675)),0)</f>
        <v>0</v>
      </c>
      <c r="AZ2675" s="5">
        <f>IF(S2675&gt;0,RANK(S2675,(N2675:P2675,Q2675:AE2675)),0)</f>
        <v>0</v>
      </c>
      <c r="BA2675" s="2">
        <f t="shared" si="1075"/>
        <v>1.9607843137254902E-2</v>
      </c>
      <c r="BB2675" s="2">
        <f t="shared" si="1076"/>
        <v>3.2679738562091504E-3</v>
      </c>
      <c r="BC2675" s="2">
        <f t="shared" si="1077"/>
        <v>0</v>
      </c>
      <c r="BD2675" s="2">
        <f t="shared" si="1078"/>
        <v>0</v>
      </c>
      <c r="BF2675" t="s">
        <v>2448</v>
      </c>
      <c r="BG2675" t="s">
        <v>53</v>
      </c>
      <c r="BH2675">
        <v>13</v>
      </c>
      <c r="BJ2675" s="114">
        <v>48</v>
      </c>
      <c r="BK2675" s="116">
        <v>101</v>
      </c>
      <c r="BL2675" s="120">
        <f t="shared" si="1082"/>
        <v>48101</v>
      </c>
      <c r="BN2675" s="5" t="s">
        <v>3154</v>
      </c>
      <c r="BZ2675" s="63">
        <f t="shared" si="1079"/>
        <v>612</v>
      </c>
      <c r="CD2675" s="63">
        <v>0</v>
      </c>
      <c r="CE2675" s="63">
        <v>0</v>
      </c>
      <c r="CF2675" s="63">
        <v>0</v>
      </c>
      <c r="CG2675" s="8">
        <v>0</v>
      </c>
      <c r="CH2675" s="8">
        <v>0</v>
      </c>
      <c r="CI2675" s="8">
        <v>0</v>
      </c>
    </row>
    <row r="2676" spans="1:87" hidden="1" outlineLevel="1">
      <c r="A2676" t="s">
        <v>2785</v>
      </c>
      <c r="B2676" t="s">
        <v>53</v>
      </c>
      <c r="C2676" s="1">
        <f t="shared" si="1070"/>
        <v>1384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32">
        <f t="shared" si="1080"/>
        <v>750</v>
      </c>
      <c r="H2676" s="137">
        <f t="shared" si="1081"/>
        <v>0.54190751445086704</v>
      </c>
      <c r="I2676" s="2"/>
      <c r="J2676" s="2">
        <f t="shared" si="1071"/>
        <v>0.21604046242774566</v>
      </c>
      <c r="K2676" s="2">
        <f t="shared" si="1072"/>
        <v>0.75794797687861271</v>
      </c>
      <c r="L2676" s="2">
        <f t="shared" si="1073"/>
        <v>0</v>
      </c>
      <c r="M2676" s="2">
        <f t="shared" si="1074"/>
        <v>2.6011560693641633E-2</v>
      </c>
      <c r="N2676" s="63">
        <v>299</v>
      </c>
      <c r="O2676" s="63">
        <v>1049</v>
      </c>
      <c r="P2676" s="63">
        <v>0</v>
      </c>
      <c r="Q2676" s="63">
        <v>28</v>
      </c>
      <c r="R2676" s="63">
        <v>7</v>
      </c>
      <c r="S2676" s="63">
        <v>1</v>
      </c>
      <c r="T2676" s="63"/>
      <c r="U2676" s="63">
        <v>0</v>
      </c>
      <c r="V2676" s="63"/>
      <c r="W2676" s="63">
        <f>IF(Copyright!B$11=1,IF(CA2676&gt;0,CA2676-SUM(S2676:V2676)-P2676-SUM(X2676:AQ2676),SUM(CB2676:CI2676)),SUM(CB2676:CI2676))</f>
        <v>0</v>
      </c>
      <c r="X2676" s="63"/>
      <c r="Y2676" s="63">
        <v>0</v>
      </c>
      <c r="Z2676" s="63"/>
      <c r="AA2676" s="63">
        <v>0</v>
      </c>
      <c r="AB2676" s="63"/>
      <c r="AC2676" s="63"/>
      <c r="AD2676" s="63"/>
      <c r="AE2676" s="63">
        <v>0</v>
      </c>
      <c r="AF2676" s="63"/>
      <c r="AG2676" s="63"/>
      <c r="AH2676" s="63"/>
      <c r="AI2676" s="63"/>
      <c r="AJ2676" s="63"/>
      <c r="AK2676" s="63"/>
      <c r="AL2676" s="63"/>
      <c r="AM2676" s="63"/>
      <c r="AN2676" s="63">
        <v>0</v>
      </c>
      <c r="AO2676" s="63"/>
      <c r="AP2676" s="63"/>
      <c r="AQ2676" s="63"/>
      <c r="AR2676" s="63"/>
      <c r="AS2676" s="63"/>
      <c r="AT2676" s="63"/>
      <c r="AU2676" s="63"/>
      <c r="AW2676" s="5">
        <f>IF(Q2676&gt;0,RANK(Q2676,(N2676:P2676,Q2676:AE2676)),0)</f>
        <v>3</v>
      </c>
      <c r="AX2676" s="5">
        <f>IF(R2676&gt;0,RANK(R2676,(N2676:P2676,Q2676:AE2676)),0)</f>
        <v>4</v>
      </c>
      <c r="AY2676" s="5">
        <f>IF(T2676&gt;0,RANK(T2676,(N2676:P2676,Q2676:AE2676)),0)</f>
        <v>0</v>
      </c>
      <c r="AZ2676" s="5">
        <f>IF(S2676&gt;0,RANK(S2676,(N2676:P2676,Q2676:AE2676)),0)</f>
        <v>5</v>
      </c>
      <c r="BA2676" s="2">
        <f t="shared" si="1075"/>
        <v>2.023121387283237E-2</v>
      </c>
      <c r="BB2676" s="2">
        <f t="shared" si="1076"/>
        <v>5.0578034682080926E-3</v>
      </c>
      <c r="BC2676" s="2">
        <f t="shared" si="1077"/>
        <v>0</v>
      </c>
      <c r="BD2676" s="2">
        <f t="shared" si="1078"/>
        <v>7.2254335260115603E-4</v>
      </c>
      <c r="BF2676" t="s">
        <v>2785</v>
      </c>
      <c r="BG2676" t="s">
        <v>53</v>
      </c>
      <c r="BH2676">
        <v>23</v>
      </c>
      <c r="BJ2676" s="114">
        <v>48</v>
      </c>
      <c r="BK2676" s="116">
        <v>103</v>
      </c>
      <c r="BL2676" s="120">
        <f t="shared" si="1082"/>
        <v>48103</v>
      </c>
      <c r="BN2676" s="5" t="s">
        <v>3154</v>
      </c>
      <c r="BZ2676" s="63">
        <f t="shared" si="1079"/>
        <v>1384</v>
      </c>
      <c r="CD2676" s="63">
        <v>0</v>
      </c>
      <c r="CE2676" s="63">
        <v>0</v>
      </c>
      <c r="CF2676" s="63">
        <v>0</v>
      </c>
      <c r="CG2676" s="8">
        <v>0</v>
      </c>
      <c r="CH2676" s="8">
        <v>0</v>
      </c>
      <c r="CI2676" s="8">
        <v>0</v>
      </c>
    </row>
    <row r="2677" spans="1:87" hidden="1" outlineLevel="1">
      <c r="A2677" t="s">
        <v>1265</v>
      </c>
      <c r="B2677" t="s">
        <v>53</v>
      </c>
      <c r="C2677" s="1">
        <f t="shared" si="1070"/>
        <v>1395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32">
        <f t="shared" si="1080"/>
        <v>608</v>
      </c>
      <c r="H2677" s="137">
        <f t="shared" si="1081"/>
        <v>0.43584229390681006</v>
      </c>
      <c r="I2677" s="2"/>
      <c r="J2677" s="2">
        <f t="shared" si="1071"/>
        <v>0.26666666666666666</v>
      </c>
      <c r="K2677" s="2">
        <f t="shared" si="1072"/>
        <v>0.70250896057347667</v>
      </c>
      <c r="L2677" s="2">
        <f t="shared" si="1073"/>
        <v>0</v>
      </c>
      <c r="M2677" s="2">
        <f t="shared" si="1074"/>
        <v>3.0824372759856722E-2</v>
      </c>
      <c r="N2677" s="63">
        <v>372</v>
      </c>
      <c r="O2677" s="63">
        <v>980</v>
      </c>
      <c r="P2677" s="63">
        <v>0</v>
      </c>
      <c r="Q2677" s="63">
        <v>39</v>
      </c>
      <c r="R2677" s="63">
        <v>4</v>
      </c>
      <c r="S2677" s="63">
        <v>0</v>
      </c>
      <c r="T2677" s="63"/>
      <c r="U2677" s="63">
        <v>0</v>
      </c>
      <c r="V2677" s="63"/>
      <c r="W2677" s="63">
        <f>IF(Copyright!B$11=1,IF(CA2677&gt;0,CA2677-SUM(S2677:V2677)-P2677-SUM(X2677:AQ2677),SUM(CB2677:CI2677)),SUM(CB2677:CI2677))</f>
        <v>0</v>
      </c>
      <c r="X2677" s="63"/>
      <c r="Y2677" s="63">
        <v>0</v>
      </c>
      <c r="Z2677" s="63"/>
      <c r="AA2677" s="63">
        <v>0</v>
      </c>
      <c r="AB2677" s="63"/>
      <c r="AC2677" s="63"/>
      <c r="AD2677" s="63"/>
      <c r="AE2677" s="63">
        <v>0</v>
      </c>
      <c r="AF2677" s="63"/>
      <c r="AG2677" s="63"/>
      <c r="AH2677" s="63"/>
      <c r="AI2677" s="63"/>
      <c r="AJ2677" s="63"/>
      <c r="AK2677" s="63"/>
      <c r="AL2677" s="63"/>
      <c r="AM2677" s="63"/>
      <c r="AN2677" s="63">
        <v>0</v>
      </c>
      <c r="AO2677" s="63"/>
      <c r="AP2677" s="63"/>
      <c r="AQ2677" s="63"/>
      <c r="AR2677" s="63"/>
      <c r="AS2677" s="63"/>
      <c r="AT2677" s="63"/>
      <c r="AU2677" s="63"/>
      <c r="AW2677" s="5">
        <f>IF(Q2677&gt;0,RANK(Q2677,(N2677:P2677,Q2677:AE2677)),0)</f>
        <v>3</v>
      </c>
      <c r="AX2677" s="5">
        <f>IF(R2677&gt;0,RANK(R2677,(N2677:P2677,Q2677:AE2677)),0)</f>
        <v>4</v>
      </c>
      <c r="AY2677" s="5">
        <f>IF(T2677&gt;0,RANK(T2677,(N2677:P2677,Q2677:AE2677)),0)</f>
        <v>0</v>
      </c>
      <c r="AZ2677" s="5">
        <f>IF(S2677&gt;0,RANK(S2677,(N2677:P2677,Q2677:AE2677)),0)</f>
        <v>0</v>
      </c>
      <c r="BA2677" s="2">
        <f t="shared" si="1075"/>
        <v>2.7956989247311829E-2</v>
      </c>
      <c r="BB2677" s="2">
        <f t="shared" si="1076"/>
        <v>2.8673835125448029E-3</v>
      </c>
      <c r="BC2677" s="2">
        <f t="shared" si="1077"/>
        <v>0</v>
      </c>
      <c r="BD2677" s="2">
        <f t="shared" si="1078"/>
        <v>0</v>
      </c>
      <c r="BF2677" t="s">
        <v>1265</v>
      </c>
      <c r="BG2677" t="s">
        <v>53</v>
      </c>
      <c r="BH2677">
        <v>23</v>
      </c>
      <c r="BJ2677" s="114">
        <v>48</v>
      </c>
      <c r="BK2677" s="116">
        <v>105</v>
      </c>
      <c r="BL2677" s="120">
        <f t="shared" si="1082"/>
        <v>48105</v>
      </c>
      <c r="BN2677" s="5" t="s">
        <v>3154</v>
      </c>
      <c r="BZ2677" s="63">
        <f t="shared" si="1079"/>
        <v>1395</v>
      </c>
      <c r="CD2677" s="63">
        <v>0</v>
      </c>
      <c r="CE2677" s="63">
        <v>0</v>
      </c>
      <c r="CF2677" s="63">
        <v>0</v>
      </c>
      <c r="CG2677" s="8">
        <v>0</v>
      </c>
      <c r="CH2677" s="8">
        <v>0</v>
      </c>
      <c r="CI2677" s="8">
        <v>0</v>
      </c>
    </row>
    <row r="2678" spans="1:87" hidden="1" outlineLevel="1">
      <c r="A2678" t="s">
        <v>573</v>
      </c>
      <c r="B2678" t="s">
        <v>53</v>
      </c>
      <c r="C2678" s="1">
        <f t="shared" si="1070"/>
        <v>1728</v>
      </c>
      <c r="D2678" s="5">
        <f>IF(N2678&gt;0, RANK(N2678,(N2678:P2678,Q2678:AE2678)),0)</f>
        <v>2</v>
      </c>
      <c r="E2678" s="5">
        <f>IF(O2678&gt;0,RANK(O2678,(N2678:P2678,Q2678:AE2678)),0)</f>
        <v>1</v>
      </c>
      <c r="F2678" s="5">
        <f>IF(P2678&gt;0,RANK(P2678,(N2678:P2678,Q2678:AE2678)),0)</f>
        <v>4</v>
      </c>
      <c r="G2678" s="132">
        <f t="shared" si="1080"/>
        <v>713</v>
      </c>
      <c r="H2678" s="137">
        <f t="shared" si="1081"/>
        <v>0.41261574074074076</v>
      </c>
      <c r="I2678" s="2"/>
      <c r="J2678" s="2">
        <f t="shared" si="1071"/>
        <v>0.27083333333333331</v>
      </c>
      <c r="K2678" s="2">
        <f t="shared" si="1072"/>
        <v>0.68344907407407407</v>
      </c>
      <c r="L2678" s="2">
        <f t="shared" si="1073"/>
        <v>4.6296296296296294E-3</v>
      </c>
      <c r="M2678" s="2">
        <f t="shared" si="1074"/>
        <v>4.1087962962963041E-2</v>
      </c>
      <c r="N2678" s="63">
        <v>468</v>
      </c>
      <c r="O2678" s="63">
        <v>1181</v>
      </c>
      <c r="P2678" s="63">
        <v>8</v>
      </c>
      <c r="Q2678" s="63">
        <v>60</v>
      </c>
      <c r="R2678" s="63">
        <v>5</v>
      </c>
      <c r="S2678" s="63">
        <v>4</v>
      </c>
      <c r="T2678" s="63"/>
      <c r="U2678" s="63">
        <v>0</v>
      </c>
      <c r="V2678" s="63"/>
      <c r="W2678" s="63">
        <f>IF(Copyright!B$11=1,IF(CA2678&gt;0,CA2678-SUM(S2678:V2678)-P2678-SUM(X2678:AQ2678),SUM(CB2678:CI2678)),SUM(CB2678:CI2678))</f>
        <v>0</v>
      </c>
      <c r="X2678" s="63"/>
      <c r="Y2678" s="63">
        <v>0</v>
      </c>
      <c r="Z2678" s="63"/>
      <c r="AA2678" s="63">
        <v>0</v>
      </c>
      <c r="AB2678" s="63"/>
      <c r="AC2678" s="63"/>
      <c r="AD2678" s="63"/>
      <c r="AE2678" s="63">
        <v>0</v>
      </c>
      <c r="AF2678" s="63"/>
      <c r="AG2678" s="63"/>
      <c r="AH2678" s="63"/>
      <c r="AI2678" s="63"/>
      <c r="AJ2678" s="63"/>
      <c r="AK2678" s="63"/>
      <c r="AL2678" s="63"/>
      <c r="AM2678" s="63"/>
      <c r="AN2678" s="63">
        <v>2</v>
      </c>
      <c r="AO2678" s="63"/>
      <c r="AP2678" s="63"/>
      <c r="AQ2678" s="63"/>
      <c r="AR2678" s="63"/>
      <c r="AS2678" s="63"/>
      <c r="AT2678" s="63"/>
      <c r="AU2678" s="63"/>
      <c r="AW2678" s="5">
        <f>IF(Q2678&gt;0,RANK(Q2678,(N2678:P2678,Q2678:AE2678)),0)</f>
        <v>3</v>
      </c>
      <c r="AX2678" s="5">
        <f>IF(R2678&gt;0,RANK(R2678,(N2678:P2678,Q2678:AE2678)),0)</f>
        <v>5</v>
      </c>
      <c r="AY2678" s="5">
        <f>IF(T2678&gt;0,RANK(T2678,(N2678:P2678,Q2678:AE2678)),0)</f>
        <v>0</v>
      </c>
      <c r="AZ2678" s="5">
        <f>IF(S2678&gt;0,RANK(S2678,(N2678:P2678,Q2678:AE2678)),0)</f>
        <v>6</v>
      </c>
      <c r="BA2678" s="2">
        <f t="shared" si="1075"/>
        <v>3.4722222222222224E-2</v>
      </c>
      <c r="BB2678" s="2">
        <f t="shared" si="1076"/>
        <v>2.8935185185185184E-3</v>
      </c>
      <c r="BC2678" s="2">
        <f t="shared" si="1077"/>
        <v>0</v>
      </c>
      <c r="BD2678" s="2">
        <f t="shared" si="1078"/>
        <v>2.3148148148148147E-3</v>
      </c>
      <c r="BF2678" t="s">
        <v>573</v>
      </c>
      <c r="BG2678" t="s">
        <v>53</v>
      </c>
      <c r="BH2678">
        <v>19</v>
      </c>
      <c r="BJ2678" s="114">
        <v>48</v>
      </c>
      <c r="BK2678" s="116">
        <v>107</v>
      </c>
      <c r="BL2678" s="120">
        <f t="shared" si="1082"/>
        <v>48107</v>
      </c>
      <c r="BN2678" s="5" t="s">
        <v>3154</v>
      </c>
      <c r="BZ2678" s="63">
        <f t="shared" si="1079"/>
        <v>1728</v>
      </c>
      <c r="CD2678" s="63">
        <v>0</v>
      </c>
      <c r="CE2678" s="63">
        <v>0</v>
      </c>
      <c r="CF2678" s="63">
        <v>0</v>
      </c>
      <c r="CG2678" s="8">
        <v>0</v>
      </c>
      <c r="CH2678" s="8">
        <v>0</v>
      </c>
      <c r="CI2678" s="8">
        <v>0</v>
      </c>
    </row>
    <row r="2679" spans="1:87" hidden="1" outlineLevel="1">
      <c r="A2679" t="s">
        <v>2434</v>
      </c>
      <c r="B2679" t="s">
        <v>53</v>
      </c>
      <c r="C2679" s="1">
        <f t="shared" si="1070"/>
        <v>767</v>
      </c>
      <c r="D2679" s="5">
        <f>IF(N2679&gt;0, RANK(N2679,(N2679:P2679,Q2679:AE2679)),0)</f>
        <v>1</v>
      </c>
      <c r="E2679" s="5">
        <f>IF(O2679&gt;0,RANK(O2679,(N2679:P2679,Q2679:AE2679)),0)</f>
        <v>2</v>
      </c>
      <c r="F2679" s="5">
        <f>IF(P2679&gt;0,RANK(P2679,(N2679:P2679,Q2679:AE2679)),0)</f>
        <v>5</v>
      </c>
      <c r="G2679" s="132">
        <f t="shared" si="1080"/>
        <v>174</v>
      </c>
      <c r="H2679" s="137">
        <f t="shared" si="1081"/>
        <v>0.22685788787483702</v>
      </c>
      <c r="I2679" s="2"/>
      <c r="J2679" s="2">
        <f t="shared" si="1071"/>
        <v>0.59191655801825294</v>
      </c>
      <c r="K2679" s="2">
        <f t="shared" si="1072"/>
        <v>0.36505867014341592</v>
      </c>
      <c r="L2679" s="2">
        <f t="shared" si="1073"/>
        <v>2.6075619295958278E-3</v>
      </c>
      <c r="M2679" s="2">
        <f t="shared" si="1074"/>
        <v>4.0417209908735319E-2</v>
      </c>
      <c r="N2679" s="63">
        <v>454</v>
      </c>
      <c r="O2679" s="63">
        <v>280</v>
      </c>
      <c r="P2679" s="63">
        <v>2</v>
      </c>
      <c r="Q2679" s="63">
        <v>23</v>
      </c>
      <c r="R2679" s="63">
        <v>6</v>
      </c>
      <c r="S2679" s="63">
        <v>0</v>
      </c>
      <c r="T2679" s="63"/>
      <c r="U2679" s="63">
        <v>0</v>
      </c>
      <c r="V2679" s="63"/>
      <c r="W2679" s="63">
        <f>IF(Copyright!B$11=1,IF(CA2679&gt;0,CA2679-SUM(S2679:V2679)-P2679-SUM(X2679:AQ2679),SUM(CB2679:CI2679)),SUM(CB2679:CI2679))</f>
        <v>0</v>
      </c>
      <c r="X2679" s="63"/>
      <c r="Y2679" s="63">
        <v>2</v>
      </c>
      <c r="Z2679" s="63"/>
      <c r="AA2679" s="63">
        <v>0</v>
      </c>
      <c r="AB2679" s="63"/>
      <c r="AC2679" s="63"/>
      <c r="AD2679" s="63"/>
      <c r="AE2679" s="63">
        <v>0</v>
      </c>
      <c r="AF2679" s="63"/>
      <c r="AG2679" s="63"/>
      <c r="AH2679" s="63"/>
      <c r="AI2679" s="63"/>
      <c r="AJ2679" s="63"/>
      <c r="AK2679" s="63"/>
      <c r="AL2679" s="63"/>
      <c r="AM2679" s="63"/>
      <c r="AN2679" s="63">
        <v>0</v>
      </c>
      <c r="AO2679" s="63"/>
      <c r="AP2679" s="63"/>
      <c r="AQ2679" s="63"/>
      <c r="AR2679" s="63"/>
      <c r="AS2679" s="63"/>
      <c r="AT2679" s="63"/>
      <c r="AU2679" s="63"/>
      <c r="AW2679" s="5">
        <f>IF(Q2679&gt;0,RANK(Q2679,(N2679:P2679,Q2679:AE2679)),0)</f>
        <v>3</v>
      </c>
      <c r="AX2679" s="5">
        <f>IF(R2679&gt;0,RANK(R2679,(N2679:P2679,Q2679:AE2679)),0)</f>
        <v>4</v>
      </c>
      <c r="AY2679" s="5">
        <f>IF(T2679&gt;0,RANK(T2679,(N2679:P2679,Q2679:AE2679)),0)</f>
        <v>0</v>
      </c>
      <c r="AZ2679" s="5">
        <f>IF(S2679&gt;0,RANK(S2679,(N2679:P2679,Q2679:AE2679)),0)</f>
        <v>0</v>
      </c>
      <c r="BA2679" s="2">
        <f t="shared" si="1075"/>
        <v>2.9986962190352021E-2</v>
      </c>
      <c r="BB2679" s="2">
        <f t="shared" si="1076"/>
        <v>7.8226857887874843E-3</v>
      </c>
      <c r="BC2679" s="2">
        <f t="shared" si="1077"/>
        <v>0</v>
      </c>
      <c r="BD2679" s="2">
        <f t="shared" si="1078"/>
        <v>0</v>
      </c>
      <c r="BF2679" t="s">
        <v>2434</v>
      </c>
      <c r="BG2679" t="s">
        <v>53</v>
      </c>
      <c r="BH2679">
        <v>23</v>
      </c>
      <c r="BJ2679" s="114">
        <v>48</v>
      </c>
      <c r="BK2679" s="116">
        <v>109</v>
      </c>
      <c r="BL2679" s="120">
        <f t="shared" si="1082"/>
        <v>48109</v>
      </c>
      <c r="BN2679" s="5" t="s">
        <v>3154</v>
      </c>
      <c r="BZ2679" s="63">
        <f t="shared" si="1079"/>
        <v>767</v>
      </c>
      <c r="CD2679" s="63">
        <v>0</v>
      </c>
      <c r="CE2679" s="63">
        <v>0</v>
      </c>
      <c r="CF2679" s="63">
        <v>0</v>
      </c>
      <c r="CG2679" s="8">
        <v>0</v>
      </c>
      <c r="CH2679" s="8">
        <v>0</v>
      </c>
      <c r="CI2679" s="8">
        <v>0</v>
      </c>
    </row>
    <row r="2680" spans="1:87" hidden="1" outlineLevel="1">
      <c r="A2680" t="s">
        <v>388</v>
      </c>
      <c r="B2680" t="s">
        <v>53</v>
      </c>
      <c r="C2680" s="1">
        <f t="shared" si="1070"/>
        <v>1544</v>
      </c>
      <c r="D2680" s="5">
        <f>IF(N2680&gt;0, RANK(N2680,(N2680:P2680,Q2680:AE2680)),0)</f>
        <v>2</v>
      </c>
      <c r="E2680" s="5">
        <f>IF(O2680&gt;0,RANK(O2680,(N2680:P2680,Q2680:AE2680)),0)</f>
        <v>1</v>
      </c>
      <c r="F2680" s="5">
        <f>IF(P2680&gt;0,RANK(P2680,(N2680:P2680,Q2680:AE2680)),0)</f>
        <v>5</v>
      </c>
      <c r="G2680" s="132">
        <f t="shared" si="1080"/>
        <v>1039</v>
      </c>
      <c r="H2680" s="137">
        <f t="shared" si="1081"/>
        <v>0.67292746113989632</v>
      </c>
      <c r="I2680" s="2"/>
      <c r="J2680" s="2">
        <f t="shared" si="1071"/>
        <v>0.14378238341968913</v>
      </c>
      <c r="K2680" s="2">
        <f t="shared" si="1072"/>
        <v>0.81670984455958551</v>
      </c>
      <c r="L2680" s="2">
        <f t="shared" si="1073"/>
        <v>3.8860103626943004E-3</v>
      </c>
      <c r="M2680" s="2">
        <f t="shared" si="1074"/>
        <v>3.5621761658031006E-2</v>
      </c>
      <c r="N2680" s="63">
        <v>222</v>
      </c>
      <c r="O2680" s="63">
        <v>1261</v>
      </c>
      <c r="P2680" s="63">
        <v>6</v>
      </c>
      <c r="Q2680" s="63">
        <v>46</v>
      </c>
      <c r="R2680" s="63">
        <v>9</v>
      </c>
      <c r="S2680" s="63">
        <v>0</v>
      </c>
      <c r="T2680" s="63"/>
      <c r="U2680" s="63">
        <v>0</v>
      </c>
      <c r="V2680" s="63"/>
      <c r="W2680" s="63">
        <f>IF(Copyright!B$11=1,IF(CA2680&gt;0,CA2680-SUM(S2680:V2680)-P2680-SUM(X2680:AQ2680),SUM(CB2680:CI2680)),SUM(CB2680:CI2680))</f>
        <v>0</v>
      </c>
      <c r="X2680" s="63"/>
      <c r="Y2680" s="63">
        <v>0</v>
      </c>
      <c r="Z2680" s="63"/>
      <c r="AA2680" s="63">
        <v>0</v>
      </c>
      <c r="AB2680" s="63"/>
      <c r="AC2680" s="63"/>
      <c r="AD2680" s="63"/>
      <c r="AE2680" s="63">
        <v>0</v>
      </c>
      <c r="AF2680" s="63"/>
      <c r="AG2680" s="63"/>
      <c r="AH2680" s="63"/>
      <c r="AI2680" s="63"/>
      <c r="AJ2680" s="63"/>
      <c r="AK2680" s="63"/>
      <c r="AL2680" s="63"/>
      <c r="AM2680" s="63"/>
      <c r="AN2680" s="63">
        <v>0</v>
      </c>
      <c r="AO2680" s="63"/>
      <c r="AP2680" s="63"/>
      <c r="AQ2680" s="63"/>
      <c r="AR2680" s="63"/>
      <c r="AS2680" s="63"/>
      <c r="AT2680" s="63"/>
      <c r="AU2680" s="63"/>
      <c r="AW2680" s="5">
        <f>IF(Q2680&gt;0,RANK(Q2680,(N2680:P2680,Q2680:AE2680)),0)</f>
        <v>3</v>
      </c>
      <c r="AX2680" s="5">
        <f>IF(R2680&gt;0,RANK(R2680,(N2680:P2680,Q2680:AE2680)),0)</f>
        <v>4</v>
      </c>
      <c r="AY2680" s="5">
        <f>IF(T2680&gt;0,RANK(T2680,(N2680:P2680,Q2680:AE2680)),0)</f>
        <v>0</v>
      </c>
      <c r="AZ2680" s="5">
        <f>IF(S2680&gt;0,RANK(S2680,(N2680:P2680,Q2680:AE2680)),0)</f>
        <v>0</v>
      </c>
      <c r="BA2680" s="2">
        <f t="shared" si="1075"/>
        <v>2.9792746113989636E-2</v>
      </c>
      <c r="BB2680" s="2">
        <f t="shared" si="1076"/>
        <v>5.8290155440414507E-3</v>
      </c>
      <c r="BC2680" s="2">
        <f t="shared" si="1077"/>
        <v>0</v>
      </c>
      <c r="BD2680" s="2">
        <f t="shared" si="1078"/>
        <v>0</v>
      </c>
      <c r="BF2680" t="s">
        <v>388</v>
      </c>
      <c r="BG2680" t="s">
        <v>53</v>
      </c>
      <c r="BH2680">
        <v>13</v>
      </c>
      <c r="BJ2680" s="114">
        <v>48</v>
      </c>
      <c r="BK2680" s="116">
        <v>111</v>
      </c>
      <c r="BL2680" s="120">
        <f t="shared" si="1082"/>
        <v>48111</v>
      </c>
      <c r="BN2680" s="5" t="s">
        <v>3154</v>
      </c>
      <c r="BZ2680" s="63">
        <f t="shared" si="1079"/>
        <v>1544</v>
      </c>
      <c r="CD2680" s="63">
        <v>0</v>
      </c>
      <c r="CE2680" s="63">
        <v>0</v>
      </c>
      <c r="CF2680" s="63">
        <v>0</v>
      </c>
      <c r="CG2680" s="8">
        <v>0</v>
      </c>
      <c r="CH2680" s="8">
        <v>0</v>
      </c>
      <c r="CI2680" s="8">
        <v>0</v>
      </c>
    </row>
    <row r="2681" spans="1:87" hidden="1" outlineLevel="1">
      <c r="A2681" t="s">
        <v>1086</v>
      </c>
      <c r="B2681" t="s">
        <v>53</v>
      </c>
      <c r="C2681" s="1">
        <f t="shared" si="1070"/>
        <v>765682</v>
      </c>
      <c r="D2681" s="5">
        <f>IF(N2681&gt;0, RANK(N2681,(N2681:P2681,Q2681:AE2681)),0)</f>
        <v>1</v>
      </c>
      <c r="E2681" s="5">
        <f>IF(O2681&gt;0,RANK(O2681,(N2681:P2681,Q2681:AE2681)),0)</f>
        <v>2</v>
      </c>
      <c r="F2681" s="5">
        <f>IF(P2681&gt;0,RANK(P2681,(N2681:P2681,Q2681:AE2681)),0)</f>
        <v>6</v>
      </c>
      <c r="G2681" s="132">
        <f t="shared" si="1080"/>
        <v>198135</v>
      </c>
      <c r="H2681" s="137">
        <f t="shared" si="1081"/>
        <v>0.2587693063177664</v>
      </c>
      <c r="I2681" s="2"/>
      <c r="J2681" s="2">
        <f t="shared" si="1071"/>
        <v>0.6021821069321206</v>
      </c>
      <c r="K2681" s="2">
        <f t="shared" si="1072"/>
        <v>0.34341280061435425</v>
      </c>
      <c r="L2681" s="2">
        <f t="shared" si="1073"/>
        <v>5.37690581729752E-3</v>
      </c>
      <c r="M2681" s="2">
        <f t="shared" si="1074"/>
        <v>4.9028186636227628E-2</v>
      </c>
      <c r="N2681" s="63">
        <v>461080</v>
      </c>
      <c r="O2681" s="63">
        <v>262945</v>
      </c>
      <c r="P2681" s="63">
        <v>4117</v>
      </c>
      <c r="Q2681" s="63">
        <v>24025</v>
      </c>
      <c r="R2681" s="63">
        <v>6114</v>
      </c>
      <c r="S2681" s="63">
        <v>235</v>
      </c>
      <c r="T2681" s="63"/>
      <c r="U2681" s="63">
        <v>3</v>
      </c>
      <c r="V2681" s="63"/>
      <c r="W2681" s="63">
        <f>IF(Copyright!B$11=1,IF(CA2681&gt;0,CA2681-SUM(S2681:V2681)-P2681-SUM(X2681:AQ2681),SUM(CB2681:CI2681)),SUM(CB2681:CI2681))</f>
        <v>6748</v>
      </c>
      <c r="X2681" s="63"/>
      <c r="Y2681" s="63">
        <v>64</v>
      </c>
      <c r="Z2681" s="63"/>
      <c r="AA2681" s="63">
        <v>6</v>
      </c>
      <c r="AB2681" s="63"/>
      <c r="AC2681" s="63"/>
      <c r="AD2681" s="63"/>
      <c r="AE2681" s="63">
        <v>190</v>
      </c>
      <c r="AF2681" s="63"/>
      <c r="AG2681" s="63"/>
      <c r="AH2681" s="63"/>
      <c r="AI2681" s="63"/>
      <c r="AJ2681" s="63"/>
      <c r="AK2681" s="63"/>
      <c r="AL2681" s="63"/>
      <c r="AM2681" s="63"/>
      <c r="AN2681" s="63">
        <v>155</v>
      </c>
      <c r="AO2681" s="63"/>
      <c r="AP2681" s="63"/>
      <c r="AQ2681" s="63"/>
      <c r="AR2681" s="63"/>
      <c r="AS2681" s="63"/>
      <c r="AT2681" s="63"/>
      <c r="AU2681" s="63"/>
      <c r="AW2681" s="5">
        <f>IF(Q2681&gt;0,RANK(Q2681,(N2681:P2681,Q2681:AE2681)),0)</f>
        <v>3</v>
      </c>
      <c r="AX2681" s="5">
        <f>IF(R2681&gt;0,RANK(R2681,(N2681:P2681,Q2681:AE2681)),0)</f>
        <v>5</v>
      </c>
      <c r="AY2681" s="5">
        <f>IF(T2681&gt;0,RANK(T2681,(N2681:P2681,Q2681:AE2681)),0)</f>
        <v>0</v>
      </c>
      <c r="AZ2681" s="5">
        <f>IF(S2681&gt;0,RANK(S2681,(N2681:P2681,Q2681:AE2681)),0)</f>
        <v>7</v>
      </c>
      <c r="BA2681" s="2">
        <f t="shared" si="1075"/>
        <v>3.1377255832055605E-2</v>
      </c>
      <c r="BB2681" s="2">
        <f t="shared" si="1076"/>
        <v>7.9850381751170856E-3</v>
      </c>
      <c r="BC2681" s="2">
        <f t="shared" si="1077"/>
        <v>0</v>
      </c>
      <c r="BD2681" s="2">
        <f t="shared" si="1078"/>
        <v>3.0691592593269792E-4</v>
      </c>
      <c r="BF2681" t="s">
        <v>1086</v>
      </c>
      <c r="BG2681" t="s">
        <v>53</v>
      </c>
      <c r="BJ2681" s="114">
        <v>48</v>
      </c>
      <c r="BK2681" s="116">
        <v>113</v>
      </c>
      <c r="BL2681" s="120">
        <f t="shared" si="1082"/>
        <v>48113</v>
      </c>
      <c r="BN2681" s="5" t="s">
        <v>3154</v>
      </c>
      <c r="BR2681" s="63"/>
      <c r="BY2681" s="63">
        <v>765682</v>
      </c>
      <c r="CA2681" s="63">
        <v>11518</v>
      </c>
      <c r="CD2681" s="63">
        <v>8</v>
      </c>
      <c r="CE2681" s="63">
        <v>6</v>
      </c>
      <c r="CF2681" s="63">
        <v>17</v>
      </c>
      <c r="CG2681" s="8">
        <v>3</v>
      </c>
      <c r="CH2681" s="8">
        <v>1</v>
      </c>
      <c r="CI2681" s="8">
        <v>4</v>
      </c>
    </row>
    <row r="2682" spans="1:87" hidden="1" outlineLevel="1">
      <c r="A2682" t="s">
        <v>2759</v>
      </c>
      <c r="B2682" t="s">
        <v>53</v>
      </c>
      <c r="C2682" s="1">
        <f t="shared" si="1070"/>
        <v>3563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32">
        <f t="shared" si="1080"/>
        <v>1801</v>
      </c>
      <c r="H2682" s="137">
        <f t="shared" si="1081"/>
        <v>0.50547291608195344</v>
      </c>
      <c r="I2682" s="2"/>
      <c r="J2682" s="2">
        <f t="shared" si="1071"/>
        <v>0.2343530732528768</v>
      </c>
      <c r="K2682" s="2">
        <f t="shared" si="1072"/>
        <v>0.73982598933483024</v>
      </c>
      <c r="L2682" s="2">
        <f t="shared" si="1073"/>
        <v>0</v>
      </c>
      <c r="M2682" s="2">
        <f t="shared" si="1074"/>
        <v>2.5820937412292966E-2</v>
      </c>
      <c r="N2682" s="63">
        <v>835</v>
      </c>
      <c r="O2682" s="63">
        <v>2636</v>
      </c>
      <c r="P2682" s="63">
        <v>0</v>
      </c>
      <c r="Q2682" s="63">
        <v>80</v>
      </c>
      <c r="R2682" s="63">
        <v>11</v>
      </c>
      <c r="S2682" s="63">
        <v>0</v>
      </c>
      <c r="T2682" s="63"/>
      <c r="U2682" s="63">
        <v>0</v>
      </c>
      <c r="V2682" s="63"/>
      <c r="W2682" s="63">
        <f>IF(Copyright!B$11=1,IF(CA2682&gt;0,CA2682-SUM(S2682:V2682)-P2682-SUM(X2682:AQ2682),SUM(CB2682:CI2682)),SUM(CB2682:CI2682))</f>
        <v>1</v>
      </c>
      <c r="X2682" s="63"/>
      <c r="Y2682" s="63">
        <v>0</v>
      </c>
      <c r="Z2682" s="63"/>
      <c r="AA2682" s="63">
        <v>0</v>
      </c>
      <c r="AB2682" s="63"/>
      <c r="AC2682" s="63"/>
      <c r="AD2682" s="63"/>
      <c r="AE2682" s="63">
        <v>0</v>
      </c>
      <c r="AF2682" s="63"/>
      <c r="AG2682" s="63"/>
      <c r="AH2682" s="63"/>
      <c r="AI2682" s="63"/>
      <c r="AJ2682" s="63"/>
      <c r="AK2682" s="63"/>
      <c r="AL2682" s="63"/>
      <c r="AM2682" s="63"/>
      <c r="AN2682" s="63">
        <v>0</v>
      </c>
      <c r="AO2682" s="63"/>
      <c r="AP2682" s="63"/>
      <c r="AQ2682" s="63"/>
      <c r="AR2682" s="63"/>
      <c r="AS2682" s="63"/>
      <c r="AT2682" s="63"/>
      <c r="AU2682" s="63"/>
      <c r="AW2682" s="5">
        <f>IF(Q2682&gt;0,RANK(Q2682,(N2682:P2682,Q2682:AE2682)),0)</f>
        <v>3</v>
      </c>
      <c r="AX2682" s="5">
        <f>IF(R2682&gt;0,RANK(R2682,(N2682:P2682,Q2682:AE2682)),0)</f>
        <v>4</v>
      </c>
      <c r="AY2682" s="5">
        <f>IF(T2682&gt;0,RANK(T2682,(N2682:P2682,Q2682:AE2682)),0)</f>
        <v>0</v>
      </c>
      <c r="AZ2682" s="5">
        <f>IF(S2682&gt;0,RANK(S2682,(N2682:P2682,Q2682:AE2682)),0)</f>
        <v>0</v>
      </c>
      <c r="BA2682" s="2">
        <f t="shared" si="1075"/>
        <v>2.2452989054167836E-2</v>
      </c>
      <c r="BB2682" s="2">
        <f t="shared" si="1076"/>
        <v>3.0872859949480774E-3</v>
      </c>
      <c r="BC2682" s="2">
        <f t="shared" si="1077"/>
        <v>0</v>
      </c>
      <c r="BD2682" s="2">
        <f t="shared" si="1078"/>
        <v>0</v>
      </c>
      <c r="BF2682" t="s">
        <v>2759</v>
      </c>
      <c r="BG2682" t="s">
        <v>53</v>
      </c>
      <c r="BH2682">
        <v>11</v>
      </c>
      <c r="BJ2682" s="114">
        <v>48</v>
      </c>
      <c r="BK2682" s="116">
        <v>115</v>
      </c>
      <c r="BL2682" s="120">
        <f t="shared" si="1082"/>
        <v>48115</v>
      </c>
      <c r="BN2682" s="5" t="s">
        <v>3154</v>
      </c>
      <c r="BZ2682" s="63">
        <f t="shared" si="1079"/>
        <v>3563</v>
      </c>
      <c r="CD2682" s="63">
        <v>0</v>
      </c>
      <c r="CE2682" s="63">
        <v>0</v>
      </c>
      <c r="CF2682" s="63">
        <v>0</v>
      </c>
      <c r="CG2682" s="8">
        <v>0</v>
      </c>
      <c r="CH2682" s="8">
        <v>1</v>
      </c>
      <c r="CI2682" s="8">
        <v>0</v>
      </c>
    </row>
    <row r="2683" spans="1:87" hidden="1" outlineLevel="1">
      <c r="A2683" t="s">
        <v>699</v>
      </c>
      <c r="B2683" t="s">
        <v>53</v>
      </c>
      <c r="C2683" s="1">
        <f t="shared" si="1070"/>
        <v>4216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5</v>
      </c>
      <c r="G2683" s="132">
        <f t="shared" si="1080"/>
        <v>1726</v>
      </c>
      <c r="H2683" s="137">
        <f t="shared" si="1081"/>
        <v>0.40939278937381401</v>
      </c>
      <c r="I2683" s="2"/>
      <c r="J2683" s="2">
        <f t="shared" si="1071"/>
        <v>0.28107210626185958</v>
      </c>
      <c r="K2683" s="2">
        <f t="shared" si="1072"/>
        <v>0.69046489563567359</v>
      </c>
      <c r="L2683" s="2">
        <f t="shared" si="1073"/>
        <v>2.8462998102466793E-3</v>
      </c>
      <c r="M2683" s="2">
        <f t="shared" si="1074"/>
        <v>2.5616698292220207E-2</v>
      </c>
      <c r="N2683" s="63">
        <v>1185</v>
      </c>
      <c r="O2683" s="63">
        <v>2911</v>
      </c>
      <c r="P2683" s="63">
        <v>12</v>
      </c>
      <c r="Q2683" s="63">
        <v>91</v>
      </c>
      <c r="R2683" s="63">
        <v>14</v>
      </c>
      <c r="S2683" s="63">
        <v>0</v>
      </c>
      <c r="T2683" s="63"/>
      <c r="U2683" s="63">
        <v>0</v>
      </c>
      <c r="V2683" s="63"/>
      <c r="W2683" s="63">
        <f>IF(Copyright!B$11=1,IF(CA2683&gt;0,CA2683-SUM(S2683:V2683)-P2683-SUM(X2683:AQ2683),SUM(CB2683:CI2683)),SUM(CB2683:CI2683))</f>
        <v>3</v>
      </c>
      <c r="X2683" s="63"/>
      <c r="Y2683" s="63">
        <v>0</v>
      </c>
      <c r="Z2683" s="63"/>
      <c r="AA2683" s="63">
        <v>0</v>
      </c>
      <c r="AB2683" s="63"/>
      <c r="AC2683" s="63"/>
      <c r="AD2683" s="63"/>
      <c r="AE2683" s="63">
        <v>0</v>
      </c>
      <c r="AF2683" s="63"/>
      <c r="AG2683" s="63"/>
      <c r="AH2683" s="63"/>
      <c r="AI2683" s="63"/>
      <c r="AJ2683" s="63"/>
      <c r="AK2683" s="63"/>
      <c r="AL2683" s="63"/>
      <c r="AM2683" s="63"/>
      <c r="AN2683" s="63">
        <v>0</v>
      </c>
      <c r="AO2683" s="63"/>
      <c r="AP2683" s="63"/>
      <c r="AQ2683" s="63"/>
      <c r="AR2683" s="63"/>
      <c r="AS2683" s="63"/>
      <c r="AT2683" s="63"/>
      <c r="AU2683" s="63"/>
      <c r="AW2683" s="5">
        <f>IF(Q2683&gt;0,RANK(Q2683,(N2683:P2683,Q2683:AE2683)),0)</f>
        <v>3</v>
      </c>
      <c r="AX2683" s="5">
        <f>IF(R2683&gt;0,RANK(R2683,(N2683:P2683,Q2683:AE2683)),0)</f>
        <v>4</v>
      </c>
      <c r="AY2683" s="5">
        <f>IF(T2683&gt;0,RANK(T2683,(N2683:P2683,Q2683:AE2683)),0)</f>
        <v>0</v>
      </c>
      <c r="AZ2683" s="5">
        <f>IF(S2683&gt;0,RANK(S2683,(N2683:P2683,Q2683:AE2683)),0)</f>
        <v>0</v>
      </c>
      <c r="BA2683" s="2">
        <f t="shared" si="1075"/>
        <v>2.1584440227703984E-2</v>
      </c>
      <c r="BB2683" s="2">
        <f t="shared" si="1076"/>
        <v>3.3206831119544592E-3</v>
      </c>
      <c r="BC2683" s="2">
        <f t="shared" si="1077"/>
        <v>0</v>
      </c>
      <c r="BD2683" s="2">
        <f t="shared" si="1078"/>
        <v>0</v>
      </c>
      <c r="BF2683" t="s">
        <v>699</v>
      </c>
      <c r="BG2683" t="s">
        <v>53</v>
      </c>
      <c r="BH2683">
        <v>13</v>
      </c>
      <c r="BJ2683" s="114">
        <v>48</v>
      </c>
      <c r="BK2683" s="116">
        <v>117</v>
      </c>
      <c r="BL2683" s="120">
        <f t="shared" si="1082"/>
        <v>48117</v>
      </c>
      <c r="BN2683" s="5" t="s">
        <v>3154</v>
      </c>
      <c r="BZ2683" s="63">
        <f t="shared" si="1079"/>
        <v>4216</v>
      </c>
      <c r="CD2683" s="63">
        <v>3</v>
      </c>
      <c r="CE2683" s="63">
        <v>0</v>
      </c>
      <c r="CF2683" s="63">
        <v>0</v>
      </c>
      <c r="CG2683" s="8">
        <v>0</v>
      </c>
      <c r="CH2683" s="8">
        <v>0</v>
      </c>
      <c r="CI2683" s="8">
        <v>0</v>
      </c>
    </row>
    <row r="2684" spans="1:87" hidden="1" outlineLevel="1">
      <c r="A2684" t="s">
        <v>2632</v>
      </c>
      <c r="B2684" t="s">
        <v>53</v>
      </c>
      <c r="C2684" s="1">
        <f t="shared" si="1070"/>
        <v>2281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5</v>
      </c>
      <c r="G2684" s="132">
        <f t="shared" si="1080"/>
        <v>1436</v>
      </c>
      <c r="H2684" s="137">
        <f t="shared" si="1081"/>
        <v>0.62954844366505913</v>
      </c>
      <c r="I2684" s="2"/>
      <c r="J2684" s="2">
        <f t="shared" si="1071"/>
        <v>0.17536168347216133</v>
      </c>
      <c r="K2684" s="2">
        <f t="shared" si="1072"/>
        <v>0.80491012713722054</v>
      </c>
      <c r="L2684" s="2">
        <f t="shared" si="1073"/>
        <v>4.3840420868040335E-4</v>
      </c>
      <c r="M2684" s="2">
        <f t="shared" si="1074"/>
        <v>1.9289785181937753E-2</v>
      </c>
      <c r="N2684" s="63">
        <v>400</v>
      </c>
      <c r="O2684" s="63">
        <v>1836</v>
      </c>
      <c r="P2684" s="63">
        <v>1</v>
      </c>
      <c r="Q2684" s="63">
        <v>36</v>
      </c>
      <c r="R2684" s="63">
        <v>7</v>
      </c>
      <c r="S2684" s="63">
        <v>0</v>
      </c>
      <c r="T2684" s="63"/>
      <c r="U2684" s="63">
        <v>0</v>
      </c>
      <c r="V2684" s="63"/>
      <c r="W2684" s="63">
        <f>IF(Copyright!B$11=1,IF(CA2684&gt;0,CA2684-SUM(S2684:V2684)-P2684-SUM(X2684:AQ2684),SUM(CB2684:CI2684)),SUM(CB2684:CI2684))</f>
        <v>0</v>
      </c>
      <c r="X2684" s="63"/>
      <c r="Y2684" s="63">
        <v>0</v>
      </c>
      <c r="Z2684" s="63"/>
      <c r="AA2684" s="63">
        <v>0</v>
      </c>
      <c r="AB2684" s="63"/>
      <c r="AC2684" s="63"/>
      <c r="AD2684" s="63"/>
      <c r="AE2684" s="63">
        <v>0</v>
      </c>
      <c r="AF2684" s="63"/>
      <c r="AG2684" s="63"/>
      <c r="AH2684" s="63"/>
      <c r="AI2684" s="63"/>
      <c r="AJ2684" s="63"/>
      <c r="AK2684" s="63"/>
      <c r="AL2684" s="63"/>
      <c r="AM2684" s="63"/>
      <c r="AN2684" s="63">
        <v>1</v>
      </c>
      <c r="AO2684" s="63"/>
      <c r="AP2684" s="63"/>
      <c r="AQ2684" s="63"/>
      <c r="AR2684" s="63"/>
      <c r="AS2684" s="63"/>
      <c r="AT2684" s="63"/>
      <c r="AU2684" s="63"/>
      <c r="AW2684" s="5">
        <f>IF(Q2684&gt;0,RANK(Q2684,(N2684:P2684,Q2684:AE2684)),0)</f>
        <v>3</v>
      </c>
      <c r="AX2684" s="5">
        <f>IF(R2684&gt;0,RANK(R2684,(N2684:P2684,Q2684:AE2684)),0)</f>
        <v>4</v>
      </c>
      <c r="AY2684" s="5">
        <f>IF(T2684&gt;0,RANK(T2684,(N2684:P2684,Q2684:AE2684)),0)</f>
        <v>0</v>
      </c>
      <c r="AZ2684" s="5">
        <f>IF(S2684&gt;0,RANK(S2684,(N2684:P2684,Q2684:AE2684)),0)</f>
        <v>0</v>
      </c>
      <c r="BA2684" s="2">
        <f t="shared" si="1075"/>
        <v>1.5782551512494521E-2</v>
      </c>
      <c r="BB2684" s="2">
        <f t="shared" si="1076"/>
        <v>3.0688294607628232E-3</v>
      </c>
      <c r="BC2684" s="2">
        <f t="shared" si="1077"/>
        <v>0</v>
      </c>
      <c r="BD2684" s="2">
        <f t="shared" si="1078"/>
        <v>0</v>
      </c>
      <c r="BF2684" t="s">
        <v>2632</v>
      </c>
      <c r="BG2684" t="s">
        <v>53</v>
      </c>
      <c r="BH2684">
        <v>4</v>
      </c>
      <c r="BJ2684" s="114">
        <v>48</v>
      </c>
      <c r="BK2684" s="116">
        <v>119</v>
      </c>
      <c r="BL2684" s="120">
        <f t="shared" si="1082"/>
        <v>48119</v>
      </c>
      <c r="BN2684" s="5" t="s">
        <v>3154</v>
      </c>
      <c r="BZ2684" s="63">
        <f t="shared" si="1079"/>
        <v>2281</v>
      </c>
      <c r="CD2684" s="63">
        <v>0</v>
      </c>
      <c r="CE2684" s="63">
        <v>0</v>
      </c>
      <c r="CF2684" s="63">
        <v>0</v>
      </c>
      <c r="CG2684" s="8">
        <v>0</v>
      </c>
      <c r="CH2684" s="8">
        <v>0</v>
      </c>
      <c r="CI2684" s="8">
        <v>0</v>
      </c>
    </row>
    <row r="2685" spans="1:87" hidden="1" outlineLevel="1">
      <c r="A2685" t="s">
        <v>2696</v>
      </c>
      <c r="B2685" t="s">
        <v>53</v>
      </c>
      <c r="C2685" s="1">
        <f t="shared" si="1070"/>
        <v>298645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5</v>
      </c>
      <c r="G2685" s="132">
        <f t="shared" si="1080"/>
        <v>59713</v>
      </c>
      <c r="H2685" s="137">
        <f t="shared" si="1081"/>
        <v>0.19994642468482646</v>
      </c>
      <c r="I2685" s="2"/>
      <c r="J2685" s="2">
        <f t="shared" si="1071"/>
        <v>0.37131041872457266</v>
      </c>
      <c r="K2685" s="2">
        <f t="shared" si="1072"/>
        <v>0.57125684340939908</v>
      </c>
      <c r="L2685" s="2">
        <f t="shared" si="1073"/>
        <v>8.4046275678481136E-3</v>
      </c>
      <c r="M2685" s="2">
        <f t="shared" si="1074"/>
        <v>4.9028110298180202E-2</v>
      </c>
      <c r="N2685" s="63">
        <v>110890</v>
      </c>
      <c r="O2685" s="63">
        <v>170603</v>
      </c>
      <c r="P2685" s="63">
        <v>2510</v>
      </c>
      <c r="Q2685" s="63">
        <v>11583</v>
      </c>
      <c r="R2685" s="63">
        <v>2660</v>
      </c>
      <c r="S2685" s="63">
        <v>191</v>
      </c>
      <c r="T2685" s="63"/>
      <c r="U2685" s="63">
        <v>2</v>
      </c>
      <c r="V2685" s="63"/>
      <c r="W2685" s="63">
        <f>IF(Copyright!B$11=1,IF(CA2685&gt;0,CA2685-SUM(S2685:V2685)-P2685-SUM(X2685:AQ2685),SUM(CB2685:CI2685)),SUM(CB2685:CI2685))</f>
        <v>15</v>
      </c>
      <c r="X2685" s="63"/>
      <c r="Y2685" s="63">
        <v>56</v>
      </c>
      <c r="Z2685" s="63"/>
      <c r="AA2685" s="63">
        <v>3</v>
      </c>
      <c r="AB2685" s="63"/>
      <c r="AC2685" s="63"/>
      <c r="AD2685" s="63"/>
      <c r="AE2685" s="63">
        <v>61</v>
      </c>
      <c r="AF2685" s="63"/>
      <c r="AG2685" s="63"/>
      <c r="AH2685" s="63"/>
      <c r="AI2685" s="63"/>
      <c r="AJ2685" s="63"/>
      <c r="AK2685" s="63"/>
      <c r="AL2685" s="63"/>
      <c r="AM2685" s="63"/>
      <c r="AN2685" s="63">
        <v>71</v>
      </c>
      <c r="AO2685" s="63"/>
      <c r="AP2685" s="63"/>
      <c r="AQ2685" s="63"/>
      <c r="AR2685" s="63"/>
      <c r="AS2685" s="63"/>
      <c r="AT2685" s="63"/>
      <c r="AU2685" s="63"/>
      <c r="AW2685" s="5">
        <f>IF(Q2685&gt;0,RANK(Q2685,(N2685:P2685,Q2685:AE2685)),0)</f>
        <v>3</v>
      </c>
      <c r="AX2685" s="5">
        <f>IF(R2685&gt;0,RANK(R2685,(N2685:P2685,Q2685:AE2685)),0)</f>
        <v>4</v>
      </c>
      <c r="AY2685" s="5">
        <f>IF(T2685&gt;0,RANK(T2685,(N2685:P2685,Q2685:AE2685)),0)</f>
        <v>0</v>
      </c>
      <c r="AZ2685" s="5">
        <f>IF(S2685&gt;0,RANK(S2685,(N2685:P2685,Q2685:AE2685)),0)</f>
        <v>6</v>
      </c>
      <c r="BA2685" s="2">
        <f t="shared" si="1075"/>
        <v>3.8785179728440124E-2</v>
      </c>
      <c r="BB2685" s="2">
        <f t="shared" si="1076"/>
        <v>8.9068961475999939E-3</v>
      </c>
      <c r="BC2685" s="2">
        <f t="shared" si="1077"/>
        <v>0</v>
      </c>
      <c r="BD2685" s="2">
        <f t="shared" si="1078"/>
        <v>6.3955532488405964E-4</v>
      </c>
      <c r="BF2685" t="s">
        <v>2696</v>
      </c>
      <c r="BG2685" t="s">
        <v>53</v>
      </c>
      <c r="BJ2685" s="114">
        <v>48</v>
      </c>
      <c r="BK2685" s="116">
        <v>121</v>
      </c>
      <c r="BL2685" s="120">
        <f t="shared" si="1082"/>
        <v>48121</v>
      </c>
      <c r="BN2685" s="5" t="s">
        <v>3154</v>
      </c>
      <c r="BZ2685" s="63">
        <f t="shared" si="1079"/>
        <v>298645</v>
      </c>
      <c r="CD2685" s="63">
        <v>4</v>
      </c>
      <c r="CE2685" s="63">
        <v>2</v>
      </c>
      <c r="CF2685" s="63">
        <v>7</v>
      </c>
      <c r="CG2685" s="8">
        <v>0</v>
      </c>
      <c r="CH2685" s="8">
        <v>0</v>
      </c>
      <c r="CI2685" s="8">
        <v>2</v>
      </c>
    </row>
    <row r="2686" spans="1:87" hidden="1" outlineLevel="1">
      <c r="A2686" t="s">
        <v>3163</v>
      </c>
      <c r="B2686" t="s">
        <v>53</v>
      </c>
      <c r="C2686" s="1">
        <f t="shared" si="1070"/>
        <v>6844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5</v>
      </c>
      <c r="G2686" s="132">
        <f t="shared" si="1080"/>
        <v>4356</v>
      </c>
      <c r="H2686" s="137">
        <f t="shared" si="1081"/>
        <v>0.63646990064289888</v>
      </c>
      <c r="I2686" s="2"/>
      <c r="J2686" s="2">
        <f t="shared" si="1071"/>
        <v>0.16992986557568673</v>
      </c>
      <c r="K2686" s="2">
        <f t="shared" si="1072"/>
        <v>0.80639976621858567</v>
      </c>
      <c r="L2686" s="2">
        <f t="shared" si="1073"/>
        <v>1.4611338398597311E-3</v>
      </c>
      <c r="M2686" s="2">
        <f t="shared" si="1074"/>
        <v>2.2209234365867924E-2</v>
      </c>
      <c r="N2686" s="63">
        <v>1163</v>
      </c>
      <c r="O2686" s="63">
        <v>5519</v>
      </c>
      <c r="P2686" s="63">
        <v>10</v>
      </c>
      <c r="Q2686" s="63">
        <v>124</v>
      </c>
      <c r="R2686" s="63">
        <v>27</v>
      </c>
      <c r="S2686" s="63">
        <v>1</v>
      </c>
      <c r="T2686" s="63"/>
      <c r="U2686" s="63">
        <v>0</v>
      </c>
      <c r="V2686" s="63"/>
      <c r="W2686" s="63">
        <f>IF(Copyright!B$11=1,IF(CA2686&gt;0,CA2686-SUM(S2686:V2686)-P2686-SUM(X2686:AQ2686),SUM(CB2686:CI2686)),SUM(CB2686:CI2686))</f>
        <v>0</v>
      </c>
      <c r="X2686" s="63"/>
      <c r="Y2686" s="63">
        <v>0</v>
      </c>
      <c r="Z2686" s="63"/>
      <c r="AA2686" s="63">
        <v>0</v>
      </c>
      <c r="AB2686" s="63"/>
      <c r="AC2686" s="63"/>
      <c r="AD2686" s="63"/>
      <c r="AE2686" s="63">
        <v>0</v>
      </c>
      <c r="AF2686" s="63"/>
      <c r="AG2686" s="63"/>
      <c r="AH2686" s="63"/>
      <c r="AI2686" s="63"/>
      <c r="AJ2686" s="63"/>
      <c r="AK2686" s="63"/>
      <c r="AL2686" s="63"/>
      <c r="AM2686" s="63"/>
      <c r="AN2686" s="63">
        <v>0</v>
      </c>
      <c r="AO2686" s="63"/>
      <c r="AP2686" s="63"/>
      <c r="AQ2686" s="63"/>
      <c r="AR2686" s="63"/>
      <c r="AS2686" s="63"/>
      <c r="AT2686" s="63"/>
      <c r="AU2686" s="63"/>
      <c r="AW2686" s="5">
        <f>IF(Q2686&gt;0,RANK(Q2686,(N2686:P2686,Q2686:AE2686)),0)</f>
        <v>3</v>
      </c>
      <c r="AX2686" s="5">
        <f>IF(R2686&gt;0,RANK(R2686,(N2686:P2686,Q2686:AE2686)),0)</f>
        <v>4</v>
      </c>
      <c r="AY2686" s="5">
        <f>IF(T2686&gt;0,RANK(T2686,(N2686:P2686,Q2686:AE2686)),0)</f>
        <v>0</v>
      </c>
      <c r="AZ2686" s="5">
        <f>IF(S2686&gt;0,RANK(S2686,(N2686:P2686,Q2686:AE2686)),0)</f>
        <v>6</v>
      </c>
      <c r="BA2686" s="2">
        <f t="shared" si="1075"/>
        <v>1.8118059614260665E-2</v>
      </c>
      <c r="BB2686" s="2">
        <f t="shared" si="1076"/>
        <v>3.9450613676212743E-3</v>
      </c>
      <c r="BC2686" s="2">
        <f t="shared" si="1077"/>
        <v>0</v>
      </c>
      <c r="BD2686" s="2">
        <f t="shared" si="1078"/>
        <v>1.4611338398597311E-4</v>
      </c>
      <c r="BF2686" t="s">
        <v>869</v>
      </c>
      <c r="BG2686" t="s">
        <v>53</v>
      </c>
      <c r="BH2686">
        <v>34</v>
      </c>
      <c r="BJ2686" s="114">
        <v>48</v>
      </c>
      <c r="BK2686" s="116">
        <v>123</v>
      </c>
      <c r="BL2686" s="120">
        <f t="shared" si="1082"/>
        <v>48123</v>
      </c>
      <c r="BN2686" s="5" t="s">
        <v>3154</v>
      </c>
      <c r="BZ2686" s="63">
        <f t="shared" si="1079"/>
        <v>6844</v>
      </c>
      <c r="CD2686" s="63">
        <v>0</v>
      </c>
      <c r="CE2686" s="63">
        <v>0</v>
      </c>
      <c r="CF2686" s="63">
        <v>0</v>
      </c>
      <c r="CG2686" s="8">
        <v>0</v>
      </c>
      <c r="CH2686" s="8">
        <v>0</v>
      </c>
      <c r="CI2686" s="8">
        <v>0</v>
      </c>
    </row>
    <row r="2687" spans="1:87" hidden="1" outlineLevel="1">
      <c r="A2687" t="s">
        <v>870</v>
      </c>
      <c r="B2687" t="s">
        <v>53</v>
      </c>
      <c r="C2687" s="1">
        <f t="shared" si="1070"/>
        <v>909</v>
      </c>
      <c r="D2687" s="5">
        <f>IF(N2687&gt;0, RANK(N2687,(N2687:P2687,Q2687:AE2687)),0)</f>
        <v>2</v>
      </c>
      <c r="E2687" s="5">
        <f>IF(O2687&gt;0,RANK(O2687,(N2687:P2687,Q2687:AE2687)),0)</f>
        <v>1</v>
      </c>
      <c r="F2687" s="5">
        <f>IF(P2687&gt;0,RANK(P2687,(N2687:P2687,Q2687:AE2687)),0)</f>
        <v>0</v>
      </c>
      <c r="G2687" s="132">
        <f t="shared" si="1080"/>
        <v>627</v>
      </c>
      <c r="H2687" s="137">
        <f t="shared" si="1081"/>
        <v>0.68976897689768979</v>
      </c>
      <c r="I2687" s="2"/>
      <c r="J2687" s="2">
        <f t="shared" si="1071"/>
        <v>0.14081408140814081</v>
      </c>
      <c r="K2687" s="2">
        <f t="shared" si="1072"/>
        <v>0.83058305830583057</v>
      </c>
      <c r="L2687" s="2">
        <f t="shared" si="1073"/>
        <v>0</v>
      </c>
      <c r="M2687" s="2">
        <f t="shared" si="1074"/>
        <v>2.8602860286028653E-2</v>
      </c>
      <c r="N2687" s="63">
        <v>128</v>
      </c>
      <c r="O2687" s="63">
        <v>755</v>
      </c>
      <c r="P2687" s="63">
        <v>0</v>
      </c>
      <c r="Q2687" s="63">
        <v>23</v>
      </c>
      <c r="R2687" s="63">
        <v>3</v>
      </c>
      <c r="S2687" s="63">
        <v>0</v>
      </c>
      <c r="T2687" s="63"/>
      <c r="U2687" s="63">
        <v>0</v>
      </c>
      <c r="V2687" s="63"/>
      <c r="W2687" s="63">
        <f>IF(Copyright!B$11=1,IF(CA2687&gt;0,CA2687-SUM(S2687:V2687)-P2687-SUM(X2687:AQ2687),SUM(CB2687:CI2687)),SUM(CB2687:CI2687))</f>
        <v>0</v>
      </c>
      <c r="X2687" s="63"/>
      <c r="Y2687" s="63">
        <v>0</v>
      </c>
      <c r="Z2687" s="63"/>
      <c r="AA2687" s="63">
        <v>0</v>
      </c>
      <c r="AB2687" s="63"/>
      <c r="AC2687" s="63"/>
      <c r="AD2687" s="63"/>
      <c r="AE2687" s="63">
        <v>0</v>
      </c>
      <c r="AF2687" s="63"/>
      <c r="AG2687" s="63"/>
      <c r="AH2687" s="63"/>
      <c r="AI2687" s="63"/>
      <c r="AJ2687" s="63"/>
      <c r="AK2687" s="63"/>
      <c r="AL2687" s="63"/>
      <c r="AM2687" s="63"/>
      <c r="AN2687" s="63">
        <v>0</v>
      </c>
      <c r="AO2687" s="63"/>
      <c r="AP2687" s="63"/>
      <c r="AQ2687" s="63"/>
      <c r="AR2687" s="63"/>
      <c r="AS2687" s="63"/>
      <c r="AT2687" s="63"/>
      <c r="AU2687" s="63"/>
      <c r="AW2687" s="5">
        <f>IF(Q2687&gt;0,RANK(Q2687,(N2687:P2687,Q2687:AE2687)),0)</f>
        <v>3</v>
      </c>
      <c r="AX2687" s="5">
        <f>IF(R2687&gt;0,RANK(R2687,(N2687:P2687,Q2687:AE2687)),0)</f>
        <v>4</v>
      </c>
      <c r="AY2687" s="5">
        <f>IF(T2687&gt;0,RANK(T2687,(N2687:P2687,Q2687:AE2687)),0)</f>
        <v>0</v>
      </c>
      <c r="AZ2687" s="5">
        <f>IF(S2687&gt;0,RANK(S2687,(N2687:P2687,Q2687:AE2687)),0)</f>
        <v>0</v>
      </c>
      <c r="BA2687" s="2">
        <f t="shared" si="1075"/>
        <v>2.5302530253025302E-2</v>
      </c>
      <c r="BB2687" s="2">
        <f t="shared" si="1076"/>
        <v>3.3003300330033004E-3</v>
      </c>
      <c r="BC2687" s="2">
        <f t="shared" si="1077"/>
        <v>0</v>
      </c>
      <c r="BD2687" s="2">
        <f t="shared" si="1078"/>
        <v>0</v>
      </c>
      <c r="BF2687" t="s">
        <v>870</v>
      </c>
      <c r="BG2687" t="s">
        <v>53</v>
      </c>
      <c r="BH2687">
        <v>13</v>
      </c>
      <c r="BJ2687" s="114">
        <v>48</v>
      </c>
      <c r="BK2687" s="116">
        <v>125</v>
      </c>
      <c r="BL2687" s="120">
        <f t="shared" si="1082"/>
        <v>48125</v>
      </c>
      <c r="BN2687" s="5" t="s">
        <v>3154</v>
      </c>
      <c r="BZ2687" s="63">
        <f t="shared" si="1079"/>
        <v>909</v>
      </c>
      <c r="CD2687" s="63">
        <v>0</v>
      </c>
      <c r="CE2687" s="63">
        <v>0</v>
      </c>
      <c r="CF2687" s="63">
        <v>0</v>
      </c>
      <c r="CG2687" s="8">
        <v>0</v>
      </c>
      <c r="CH2687" s="8">
        <v>0</v>
      </c>
      <c r="CI2687" s="8">
        <v>0</v>
      </c>
    </row>
    <row r="2688" spans="1:87" hidden="1" outlineLevel="1">
      <c r="A2688" t="s">
        <v>1143</v>
      </c>
      <c r="B2688" t="s">
        <v>53</v>
      </c>
      <c r="C2688" s="1">
        <f t="shared" si="1070"/>
        <v>3225</v>
      </c>
      <c r="D2688" s="5">
        <f>IF(N2688&gt;0, RANK(N2688,(N2688:P2688,Q2688:AE2688)),0)</f>
        <v>1</v>
      </c>
      <c r="E2688" s="5">
        <f>IF(O2688&gt;0,RANK(O2688,(N2688:P2688,Q2688:AE2688)),0)</f>
        <v>2</v>
      </c>
      <c r="F2688" s="5">
        <f>IF(P2688&gt;0,RANK(P2688,(N2688:P2688,Q2688:AE2688)),0)</f>
        <v>0</v>
      </c>
      <c r="G2688" s="132">
        <f t="shared" si="1080"/>
        <v>1199</v>
      </c>
      <c r="H2688" s="137">
        <f t="shared" si="1081"/>
        <v>0.37178294573643411</v>
      </c>
      <c r="I2688" s="2"/>
      <c r="J2688" s="2">
        <f t="shared" si="1071"/>
        <v>0.67379844961240309</v>
      </c>
      <c r="K2688" s="2">
        <f t="shared" si="1072"/>
        <v>0.30201550387596898</v>
      </c>
      <c r="L2688" s="2">
        <f t="shared" si="1073"/>
        <v>0</v>
      </c>
      <c r="M2688" s="2">
        <f t="shared" si="1074"/>
        <v>2.4186046511627923E-2</v>
      </c>
      <c r="N2688" s="63">
        <v>2173</v>
      </c>
      <c r="O2688" s="63">
        <v>974</v>
      </c>
      <c r="P2688" s="63">
        <v>0</v>
      </c>
      <c r="Q2688" s="63">
        <v>57</v>
      </c>
      <c r="R2688" s="63">
        <v>21</v>
      </c>
      <c r="S2688" s="63">
        <v>0</v>
      </c>
      <c r="T2688" s="63"/>
      <c r="U2688" s="63">
        <v>0</v>
      </c>
      <c r="V2688" s="63"/>
      <c r="W2688" s="63">
        <f>IF(Copyright!B$11=1,IF(CA2688&gt;0,CA2688-SUM(S2688:V2688)-P2688-SUM(X2688:AQ2688),SUM(CB2688:CI2688)),SUM(CB2688:CI2688))</f>
        <v>0</v>
      </c>
      <c r="X2688" s="63"/>
      <c r="Y2688" s="63">
        <v>0</v>
      </c>
      <c r="Z2688" s="63"/>
      <c r="AA2688" s="63">
        <v>0</v>
      </c>
      <c r="AB2688" s="63"/>
      <c r="AC2688" s="63"/>
      <c r="AD2688" s="63"/>
      <c r="AE2688" s="63">
        <v>0</v>
      </c>
      <c r="AF2688" s="63"/>
      <c r="AG2688" s="63"/>
      <c r="AH2688" s="63"/>
      <c r="AI2688" s="63"/>
      <c r="AJ2688" s="63"/>
      <c r="AK2688" s="63"/>
      <c r="AL2688" s="63"/>
      <c r="AM2688" s="63"/>
      <c r="AN2688" s="63">
        <v>0</v>
      </c>
      <c r="AO2688" s="63"/>
      <c r="AP2688" s="63"/>
      <c r="AQ2688" s="63"/>
      <c r="AR2688" s="63"/>
      <c r="AS2688" s="63"/>
      <c r="AT2688" s="63"/>
      <c r="AU2688" s="63"/>
      <c r="AW2688" s="5">
        <f>IF(Q2688&gt;0,RANK(Q2688,(N2688:P2688,Q2688:AE2688)),0)</f>
        <v>3</v>
      </c>
      <c r="AX2688" s="5">
        <f>IF(R2688&gt;0,RANK(R2688,(N2688:P2688,Q2688:AE2688)),0)</f>
        <v>4</v>
      </c>
      <c r="AY2688" s="5">
        <f>IF(T2688&gt;0,RANK(T2688,(N2688:P2688,Q2688:AE2688)),0)</f>
        <v>0</v>
      </c>
      <c r="AZ2688" s="5">
        <f>IF(S2688&gt;0,RANK(S2688,(N2688:P2688,Q2688:AE2688)),0)</f>
        <v>0</v>
      </c>
      <c r="BA2688" s="2">
        <f t="shared" si="1075"/>
        <v>1.7674418604651163E-2</v>
      </c>
      <c r="BB2688" s="2">
        <f t="shared" si="1076"/>
        <v>6.5116279069767444E-3</v>
      </c>
      <c r="BC2688" s="2">
        <f t="shared" si="1077"/>
        <v>0</v>
      </c>
      <c r="BD2688" s="2">
        <f t="shared" si="1078"/>
        <v>0</v>
      </c>
      <c r="BF2688" t="s">
        <v>1143</v>
      </c>
      <c r="BG2688" t="s">
        <v>53</v>
      </c>
      <c r="BH2688">
        <v>23</v>
      </c>
      <c r="BJ2688" s="114">
        <v>48</v>
      </c>
      <c r="BK2688" s="116">
        <v>127</v>
      </c>
      <c r="BL2688" s="120">
        <f t="shared" si="1082"/>
        <v>48127</v>
      </c>
      <c r="BN2688" s="5" t="s">
        <v>3154</v>
      </c>
      <c r="BZ2688" s="63">
        <f t="shared" si="1079"/>
        <v>3225</v>
      </c>
      <c r="CD2688" s="63">
        <v>0</v>
      </c>
      <c r="CE2688" s="63">
        <v>0</v>
      </c>
      <c r="CF2688" s="63">
        <v>0</v>
      </c>
      <c r="CG2688" s="8">
        <v>0</v>
      </c>
      <c r="CH2688" s="8">
        <v>0</v>
      </c>
      <c r="CI2688" s="8">
        <v>0</v>
      </c>
    </row>
    <row r="2689" spans="1:87" hidden="1" outlineLevel="1">
      <c r="A2689" t="s">
        <v>1144</v>
      </c>
      <c r="B2689" t="s">
        <v>53</v>
      </c>
      <c r="C2689" s="1">
        <f t="shared" ref="C2689:C2752" si="1083">SUM(N2689:AU2689)</f>
        <v>1465</v>
      </c>
      <c r="D2689" s="5">
        <f>IF(N2689&gt;0, RANK(N2689,(N2689:P2689,Q2689:AE2689)),0)</f>
        <v>2</v>
      </c>
      <c r="E2689" s="5">
        <f>IF(O2689&gt;0,RANK(O2689,(N2689:P2689,Q2689:AE2689)),0)</f>
        <v>1</v>
      </c>
      <c r="F2689" s="5">
        <f>IF(P2689&gt;0,RANK(P2689,(N2689:P2689,Q2689:AE2689)),0)</f>
        <v>5</v>
      </c>
      <c r="G2689" s="132">
        <f t="shared" si="1080"/>
        <v>1034</v>
      </c>
      <c r="H2689" s="137">
        <f t="shared" si="1081"/>
        <v>0.70580204778156996</v>
      </c>
      <c r="I2689" s="2"/>
      <c r="J2689" s="2">
        <f t="shared" ref="J2689:J2752" si="1084">IF($C2689=0,"-",N2689/$C2689)</f>
        <v>0.13037542662116042</v>
      </c>
      <c r="K2689" s="2">
        <f t="shared" ref="K2689:K2752" si="1085">IF($C2689=0,"-",O2689/$C2689)</f>
        <v>0.83617747440273038</v>
      </c>
      <c r="L2689" s="2">
        <f t="shared" ref="L2689:L2752" si="1086">IF($C2689=0,"-",P2689/$C2689)</f>
        <v>2.7303754266211604E-3</v>
      </c>
      <c r="M2689" s="2">
        <f t="shared" ref="M2689:M2752" si="1087">IF(C2689=0,"-",(1-J2689-K2689-L2689))</f>
        <v>3.071672354948804E-2</v>
      </c>
      <c r="N2689" s="63">
        <v>191</v>
      </c>
      <c r="O2689" s="63">
        <v>1225</v>
      </c>
      <c r="P2689" s="63">
        <v>4</v>
      </c>
      <c r="Q2689" s="63">
        <v>40</v>
      </c>
      <c r="R2689" s="63">
        <v>5</v>
      </c>
      <c r="S2689" s="63">
        <v>0</v>
      </c>
      <c r="T2689" s="63"/>
      <c r="U2689" s="63">
        <v>0</v>
      </c>
      <c r="V2689" s="63"/>
      <c r="W2689" s="63">
        <f>IF(Copyright!B$11=1,IF(CA2689&gt;0,CA2689-SUM(S2689:V2689)-P2689-SUM(X2689:AQ2689),SUM(CB2689:CI2689)),SUM(CB2689:CI2689))</f>
        <v>0</v>
      </c>
      <c r="X2689" s="63"/>
      <c r="Y2689" s="63">
        <v>0</v>
      </c>
      <c r="Z2689" s="63"/>
      <c r="AA2689" s="63">
        <v>0</v>
      </c>
      <c r="AB2689" s="63"/>
      <c r="AC2689" s="63"/>
      <c r="AD2689" s="63"/>
      <c r="AE2689" s="63">
        <v>0</v>
      </c>
      <c r="AF2689" s="63"/>
      <c r="AG2689" s="63"/>
      <c r="AH2689" s="63"/>
      <c r="AI2689" s="63"/>
      <c r="AJ2689" s="63"/>
      <c r="AK2689" s="63"/>
      <c r="AL2689" s="63"/>
      <c r="AM2689" s="63"/>
      <c r="AN2689" s="63">
        <v>0</v>
      </c>
      <c r="AO2689" s="63"/>
      <c r="AP2689" s="63"/>
      <c r="AQ2689" s="63"/>
      <c r="AR2689" s="63"/>
      <c r="AS2689" s="63"/>
      <c r="AT2689" s="63"/>
      <c r="AU2689" s="63"/>
      <c r="AW2689" s="5">
        <f>IF(Q2689&gt;0,RANK(Q2689,(N2689:P2689,Q2689:AE2689)),0)</f>
        <v>3</v>
      </c>
      <c r="AX2689" s="5">
        <f>IF(R2689&gt;0,RANK(R2689,(N2689:P2689,Q2689:AE2689)),0)</f>
        <v>4</v>
      </c>
      <c r="AY2689" s="5">
        <f>IF(T2689&gt;0,RANK(T2689,(N2689:P2689,Q2689:AE2689)),0)</f>
        <v>0</v>
      </c>
      <c r="AZ2689" s="5">
        <f>IF(S2689&gt;0,RANK(S2689,(N2689:P2689,Q2689:AE2689)),0)</f>
        <v>0</v>
      </c>
      <c r="BA2689" s="2">
        <f t="shared" ref="BA2689:BA2752" si="1088">IF($C2689=0,"-",Q2689/$C2689)</f>
        <v>2.7303754266211604E-2</v>
      </c>
      <c r="BB2689" s="2">
        <f t="shared" ref="BB2689:BB2752" si="1089">IF($C2689=0,"-",R2689/$C2689)</f>
        <v>3.4129692832764505E-3</v>
      </c>
      <c r="BC2689" s="2">
        <f t="shared" ref="BC2689:BC2752" si="1090">IF($C2689=0,"-",T2689/$C2689)</f>
        <v>0</v>
      </c>
      <c r="BD2689" s="2">
        <f t="shared" ref="BD2689:BD2752" si="1091">IF($C2689=0,"-",S2689/$C2689)</f>
        <v>0</v>
      </c>
      <c r="BF2689" t="s">
        <v>1144</v>
      </c>
      <c r="BG2689" t="s">
        <v>53</v>
      </c>
      <c r="BH2689">
        <v>13</v>
      </c>
      <c r="BJ2689" s="114">
        <v>48</v>
      </c>
      <c r="BK2689" s="116">
        <v>129</v>
      </c>
      <c r="BL2689" s="120">
        <f t="shared" si="1082"/>
        <v>48129</v>
      </c>
      <c r="BN2689" s="5" t="s">
        <v>3154</v>
      </c>
      <c r="BZ2689" s="63">
        <f t="shared" ref="BZ2689:BZ2752" si="1092">C2689</f>
        <v>1465</v>
      </c>
      <c r="CD2689" s="63">
        <v>0</v>
      </c>
      <c r="CE2689" s="63">
        <v>0</v>
      </c>
      <c r="CF2689" s="63">
        <v>0</v>
      </c>
      <c r="CG2689" s="8">
        <v>0</v>
      </c>
      <c r="CH2689" s="8">
        <v>0</v>
      </c>
      <c r="CI2689" s="8">
        <v>0</v>
      </c>
    </row>
    <row r="2690" spans="1:87" hidden="1" outlineLevel="1">
      <c r="A2690" t="s">
        <v>2337</v>
      </c>
      <c r="B2690" t="s">
        <v>53</v>
      </c>
      <c r="C2690" s="1">
        <f t="shared" si="1083"/>
        <v>4168</v>
      </c>
      <c r="D2690" s="5">
        <f>IF(N2690&gt;0, RANK(N2690,(N2690:P2690,Q2690:AE2690)),0)</f>
        <v>1</v>
      </c>
      <c r="E2690" s="5">
        <f>IF(O2690&gt;0,RANK(O2690,(N2690:P2690,Q2690:AE2690)),0)</f>
        <v>2</v>
      </c>
      <c r="F2690" s="5">
        <f>IF(P2690&gt;0,RANK(P2690,(N2690:P2690,Q2690:AE2690)),0)</f>
        <v>0</v>
      </c>
      <c r="G2690" s="132">
        <f t="shared" si="1080"/>
        <v>1467</v>
      </c>
      <c r="H2690" s="137">
        <f t="shared" si="1081"/>
        <v>0.35196737044145876</v>
      </c>
      <c r="I2690" s="2"/>
      <c r="J2690" s="2">
        <f t="shared" si="1084"/>
        <v>0.66770633397312862</v>
      </c>
      <c r="K2690" s="2">
        <f t="shared" si="1085"/>
        <v>0.31573896353166986</v>
      </c>
      <c r="L2690" s="2">
        <f t="shared" si="1086"/>
        <v>0</v>
      </c>
      <c r="M2690" s="2">
        <f t="shared" si="1087"/>
        <v>1.6554702495201523E-2</v>
      </c>
      <c r="N2690" s="63">
        <v>2783</v>
      </c>
      <c r="O2690" s="63">
        <v>1316</v>
      </c>
      <c r="P2690" s="63">
        <v>0</v>
      </c>
      <c r="Q2690" s="63">
        <v>49</v>
      </c>
      <c r="R2690" s="63">
        <v>19</v>
      </c>
      <c r="S2690" s="63">
        <v>1</v>
      </c>
      <c r="T2690" s="63"/>
      <c r="U2690" s="63">
        <v>0</v>
      </c>
      <c r="V2690" s="63"/>
      <c r="W2690" s="63">
        <f>IF(Copyright!B$11=1,IF(CA2690&gt;0,CA2690-SUM(S2690:V2690)-P2690-SUM(X2690:AQ2690),SUM(CB2690:CI2690)),SUM(CB2690:CI2690))</f>
        <v>0</v>
      </c>
      <c r="X2690" s="63"/>
      <c r="Y2690" s="63">
        <v>0</v>
      </c>
      <c r="Z2690" s="63"/>
      <c r="AA2690" s="63">
        <v>0</v>
      </c>
      <c r="AB2690" s="63"/>
      <c r="AC2690" s="63"/>
      <c r="AD2690" s="63"/>
      <c r="AE2690" s="63">
        <v>0</v>
      </c>
      <c r="AF2690" s="63"/>
      <c r="AG2690" s="63"/>
      <c r="AH2690" s="63"/>
      <c r="AI2690" s="63"/>
      <c r="AJ2690" s="63"/>
      <c r="AK2690" s="63"/>
      <c r="AL2690" s="63"/>
      <c r="AM2690" s="63"/>
      <c r="AN2690" s="63">
        <v>0</v>
      </c>
      <c r="AO2690" s="63"/>
      <c r="AP2690" s="63"/>
      <c r="AQ2690" s="63"/>
      <c r="AR2690" s="63"/>
      <c r="AS2690" s="63"/>
      <c r="AT2690" s="63"/>
      <c r="AU2690" s="63"/>
      <c r="AW2690" s="5">
        <f>IF(Q2690&gt;0,RANK(Q2690,(N2690:P2690,Q2690:AE2690)),0)</f>
        <v>3</v>
      </c>
      <c r="AX2690" s="5">
        <f>IF(R2690&gt;0,RANK(R2690,(N2690:P2690,Q2690:AE2690)),0)</f>
        <v>4</v>
      </c>
      <c r="AY2690" s="5">
        <f>IF(T2690&gt;0,RANK(T2690,(N2690:P2690,Q2690:AE2690)),0)</f>
        <v>0</v>
      </c>
      <c r="AZ2690" s="5">
        <f>IF(S2690&gt;0,RANK(S2690,(N2690:P2690,Q2690:AE2690)),0)</f>
        <v>5</v>
      </c>
      <c r="BA2690" s="2">
        <f t="shared" si="1088"/>
        <v>1.1756238003838772E-2</v>
      </c>
      <c r="BB2690" s="2">
        <f t="shared" si="1089"/>
        <v>4.5585412667946256E-3</v>
      </c>
      <c r="BC2690" s="2">
        <f t="shared" si="1090"/>
        <v>0</v>
      </c>
      <c r="BD2690" s="2">
        <f t="shared" si="1091"/>
        <v>2.3992322456813819E-4</v>
      </c>
      <c r="BF2690" t="s">
        <v>2337</v>
      </c>
      <c r="BG2690" t="s">
        <v>53</v>
      </c>
      <c r="BH2690">
        <v>15</v>
      </c>
      <c r="BJ2690" s="114">
        <v>48</v>
      </c>
      <c r="BK2690" s="116">
        <v>131</v>
      </c>
      <c r="BL2690" s="120">
        <f t="shared" si="1082"/>
        <v>48131</v>
      </c>
      <c r="BN2690" s="5" t="s">
        <v>3154</v>
      </c>
      <c r="BZ2690" s="63">
        <f t="shared" si="1092"/>
        <v>4168</v>
      </c>
      <c r="CD2690" s="63">
        <v>0</v>
      </c>
      <c r="CE2690" s="63">
        <v>0</v>
      </c>
      <c r="CF2690" s="63">
        <v>0</v>
      </c>
      <c r="CG2690" s="8">
        <v>0</v>
      </c>
      <c r="CH2690" s="8">
        <v>0</v>
      </c>
      <c r="CI2690" s="8">
        <v>0</v>
      </c>
    </row>
    <row r="2691" spans="1:87" hidden="1" outlineLevel="1">
      <c r="A2691" t="s">
        <v>1186</v>
      </c>
      <c r="B2691" t="s">
        <v>53</v>
      </c>
      <c r="C2691" s="1">
        <f t="shared" si="1083"/>
        <v>6963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6</v>
      </c>
      <c r="G2691" s="132">
        <f t="shared" si="1080"/>
        <v>5235</v>
      </c>
      <c r="H2691" s="137">
        <f t="shared" si="1081"/>
        <v>0.75183110728134428</v>
      </c>
      <c r="I2691" s="2"/>
      <c r="J2691" s="2">
        <f t="shared" si="1084"/>
        <v>0.11144621571161856</v>
      </c>
      <c r="K2691" s="2">
        <f t="shared" si="1085"/>
        <v>0.86327732299296278</v>
      </c>
      <c r="L2691" s="2">
        <f t="shared" si="1086"/>
        <v>1.4361625736033319E-4</v>
      </c>
      <c r="M2691" s="2">
        <f t="shared" si="1087"/>
        <v>2.5132845038058384E-2</v>
      </c>
      <c r="N2691" s="63">
        <v>776</v>
      </c>
      <c r="O2691" s="63">
        <v>6011</v>
      </c>
      <c r="P2691" s="63">
        <v>1</v>
      </c>
      <c r="Q2691" s="63">
        <v>120</v>
      </c>
      <c r="R2691" s="63">
        <v>31</v>
      </c>
      <c r="S2691" s="63">
        <v>22</v>
      </c>
      <c r="T2691" s="63"/>
      <c r="U2691" s="63">
        <v>0</v>
      </c>
      <c r="V2691" s="63"/>
      <c r="W2691" s="63">
        <f>IF(Copyright!B$11=1,IF(CA2691&gt;0,CA2691-SUM(S2691:V2691)-P2691-SUM(X2691:AQ2691),SUM(CB2691:CI2691)),SUM(CB2691:CI2691))</f>
        <v>0</v>
      </c>
      <c r="X2691" s="63"/>
      <c r="Y2691" s="63">
        <v>0</v>
      </c>
      <c r="Z2691" s="63"/>
      <c r="AA2691" s="63">
        <v>0</v>
      </c>
      <c r="AB2691" s="63"/>
      <c r="AC2691" s="63"/>
      <c r="AD2691" s="63"/>
      <c r="AE2691" s="63">
        <v>0</v>
      </c>
      <c r="AF2691" s="63"/>
      <c r="AG2691" s="63"/>
      <c r="AH2691" s="63"/>
      <c r="AI2691" s="63"/>
      <c r="AJ2691" s="63"/>
      <c r="AK2691" s="63"/>
      <c r="AL2691" s="63"/>
      <c r="AM2691" s="63"/>
      <c r="AN2691" s="63">
        <v>2</v>
      </c>
      <c r="AO2691" s="63"/>
      <c r="AP2691" s="63"/>
      <c r="AQ2691" s="63"/>
      <c r="AR2691" s="63"/>
      <c r="AS2691" s="63"/>
      <c r="AT2691" s="63"/>
      <c r="AU2691" s="63"/>
      <c r="AW2691" s="5">
        <f>IF(Q2691&gt;0,RANK(Q2691,(N2691:P2691,Q2691:AE2691)),0)</f>
        <v>3</v>
      </c>
      <c r="AX2691" s="5">
        <f>IF(R2691&gt;0,RANK(R2691,(N2691:P2691,Q2691:AE2691)),0)</f>
        <v>4</v>
      </c>
      <c r="AY2691" s="5">
        <f>IF(T2691&gt;0,RANK(T2691,(N2691:P2691,Q2691:AE2691)),0)</f>
        <v>0</v>
      </c>
      <c r="AZ2691" s="5">
        <f>IF(S2691&gt;0,RANK(S2691,(N2691:P2691,Q2691:AE2691)),0)</f>
        <v>5</v>
      </c>
      <c r="BA2691" s="2">
        <f t="shared" si="1088"/>
        <v>1.7233950883239983E-2</v>
      </c>
      <c r="BB2691" s="2">
        <f t="shared" si="1089"/>
        <v>4.4521039781703292E-3</v>
      </c>
      <c r="BC2691" s="2">
        <f t="shared" si="1090"/>
        <v>0</v>
      </c>
      <c r="BD2691" s="2">
        <f t="shared" si="1091"/>
        <v>3.1595576619273301E-3</v>
      </c>
      <c r="BF2691" t="s">
        <v>1186</v>
      </c>
      <c r="BG2691" t="s">
        <v>53</v>
      </c>
      <c r="BH2691">
        <v>11</v>
      </c>
      <c r="BJ2691" s="114">
        <v>48</v>
      </c>
      <c r="BK2691" s="116">
        <v>133</v>
      </c>
      <c r="BL2691" s="120">
        <f t="shared" si="1082"/>
        <v>48133</v>
      </c>
      <c r="BN2691" s="5" t="s">
        <v>3154</v>
      </c>
      <c r="BZ2691" s="63">
        <f t="shared" si="1092"/>
        <v>6963</v>
      </c>
      <c r="CD2691" s="63">
        <v>0</v>
      </c>
      <c r="CE2691" s="63">
        <v>0</v>
      </c>
      <c r="CF2691" s="63">
        <v>0</v>
      </c>
      <c r="CG2691" s="8">
        <v>0</v>
      </c>
      <c r="CH2691" s="8">
        <v>0</v>
      </c>
      <c r="CI2691" s="8">
        <v>0</v>
      </c>
    </row>
    <row r="2692" spans="1:87" hidden="1" outlineLevel="1">
      <c r="A2692" t="s">
        <v>2249</v>
      </c>
      <c r="B2692" t="s">
        <v>53</v>
      </c>
      <c r="C2692" s="1">
        <f t="shared" si="1083"/>
        <v>36530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5</v>
      </c>
      <c r="G2692" s="132">
        <f t="shared" si="1080"/>
        <v>14771</v>
      </c>
      <c r="H2692" s="137">
        <f t="shared" si="1081"/>
        <v>0.40435258691486448</v>
      </c>
      <c r="I2692" s="2"/>
      <c r="J2692" s="2">
        <f t="shared" si="1084"/>
        <v>0.28056392006569941</v>
      </c>
      <c r="K2692" s="2">
        <f t="shared" si="1085"/>
        <v>0.68491650698056394</v>
      </c>
      <c r="L2692" s="2">
        <f t="shared" si="1086"/>
        <v>2.025732274842595E-3</v>
      </c>
      <c r="M2692" s="2">
        <f t="shared" si="1087"/>
        <v>3.2493840678894048E-2</v>
      </c>
      <c r="N2692" s="63">
        <v>10249</v>
      </c>
      <c r="O2692" s="63">
        <v>25020</v>
      </c>
      <c r="P2692" s="63">
        <v>74</v>
      </c>
      <c r="Q2692" s="63">
        <v>1009</v>
      </c>
      <c r="R2692" s="63">
        <v>167</v>
      </c>
      <c r="S2692" s="63">
        <v>8</v>
      </c>
      <c r="T2692" s="63"/>
      <c r="U2692" s="63">
        <v>0</v>
      </c>
      <c r="V2692" s="63"/>
      <c r="W2692" s="63">
        <f>IF(Copyright!B$11=1,IF(CA2692&gt;0,CA2692-SUM(S2692:V2692)-P2692-SUM(X2692:AQ2692),SUM(CB2692:CI2692)),SUM(CB2692:CI2692))</f>
        <v>2</v>
      </c>
      <c r="X2692" s="63"/>
      <c r="Y2692" s="63">
        <v>0</v>
      </c>
      <c r="Z2692" s="63"/>
      <c r="AA2692" s="63">
        <v>1</v>
      </c>
      <c r="AB2692" s="63"/>
      <c r="AC2692" s="63"/>
      <c r="AD2692" s="63"/>
      <c r="AE2692" s="63">
        <v>0</v>
      </c>
      <c r="AF2692" s="63"/>
      <c r="AG2692" s="63"/>
      <c r="AH2692" s="63"/>
      <c r="AI2692" s="63"/>
      <c r="AJ2692" s="63"/>
      <c r="AK2692" s="63"/>
      <c r="AL2692" s="63"/>
      <c r="AM2692" s="63"/>
      <c r="AN2692" s="63">
        <v>0</v>
      </c>
      <c r="AO2692" s="63"/>
      <c r="AP2692" s="63"/>
      <c r="AQ2692" s="63"/>
      <c r="AR2692" s="63"/>
      <c r="AS2692" s="63"/>
      <c r="AT2692" s="63"/>
      <c r="AU2692" s="63"/>
      <c r="AW2692" s="5">
        <f>IF(Q2692&gt;0,RANK(Q2692,(N2692:P2692,Q2692:AE2692)),0)</f>
        <v>3</v>
      </c>
      <c r="AX2692" s="5">
        <f>IF(R2692&gt;0,RANK(R2692,(N2692:P2692,Q2692:AE2692)),0)</f>
        <v>4</v>
      </c>
      <c r="AY2692" s="5">
        <f>IF(T2692&gt;0,RANK(T2692,(N2692:P2692,Q2692:AE2692)),0)</f>
        <v>0</v>
      </c>
      <c r="AZ2692" s="5">
        <f>IF(S2692&gt;0,RANK(S2692,(N2692:P2692,Q2692:AE2692)),0)</f>
        <v>6</v>
      </c>
      <c r="BA2692" s="2">
        <f t="shared" si="1088"/>
        <v>2.7621133315083493E-2</v>
      </c>
      <c r="BB2692" s="2">
        <f t="shared" si="1089"/>
        <v>4.5715849986312619E-3</v>
      </c>
      <c r="BC2692" s="2">
        <f t="shared" si="1090"/>
        <v>0</v>
      </c>
      <c r="BD2692" s="2">
        <f t="shared" si="1091"/>
        <v>2.1899808376676705E-4</v>
      </c>
      <c r="BF2692" t="s">
        <v>2249</v>
      </c>
      <c r="BG2692" t="s">
        <v>53</v>
      </c>
      <c r="BH2692">
        <v>11</v>
      </c>
      <c r="BJ2692" s="114">
        <v>48</v>
      </c>
      <c r="BK2692" s="116">
        <v>135</v>
      </c>
      <c r="BL2692" s="120">
        <f t="shared" si="1082"/>
        <v>48135</v>
      </c>
      <c r="BN2692" s="5" t="s">
        <v>3154</v>
      </c>
      <c r="BZ2692" s="63">
        <f t="shared" si="1092"/>
        <v>36530</v>
      </c>
      <c r="CD2692" s="63">
        <v>1</v>
      </c>
      <c r="CE2692" s="63">
        <v>0</v>
      </c>
      <c r="CF2692" s="63">
        <v>1</v>
      </c>
      <c r="CG2692" s="8">
        <v>0</v>
      </c>
      <c r="CH2692" s="8">
        <v>0</v>
      </c>
      <c r="CI2692" s="8">
        <v>0</v>
      </c>
    </row>
    <row r="2693" spans="1:87" hidden="1" outlineLevel="1">
      <c r="A2693" t="s">
        <v>2115</v>
      </c>
      <c r="B2693" t="s">
        <v>53</v>
      </c>
      <c r="C2693" s="1">
        <f t="shared" si="1083"/>
        <v>1073</v>
      </c>
      <c r="D2693" s="5">
        <f>IF(N2693&gt;0, RANK(N2693,(N2693:P2693,Q2693:AE2693)),0)</f>
        <v>2</v>
      </c>
      <c r="E2693" s="5">
        <f>IF(O2693&gt;0,RANK(O2693,(N2693:P2693,Q2693:AE2693)),0)</f>
        <v>1</v>
      </c>
      <c r="F2693" s="5">
        <f>IF(P2693&gt;0,RANK(P2693,(N2693:P2693,Q2693:AE2693)),0)</f>
        <v>5</v>
      </c>
      <c r="G2693" s="132">
        <f t="shared" si="1080"/>
        <v>443</v>
      </c>
      <c r="H2693" s="137">
        <f t="shared" si="1081"/>
        <v>0.41286113699906801</v>
      </c>
      <c r="I2693" s="2"/>
      <c r="J2693" s="2">
        <f t="shared" si="1084"/>
        <v>0.28238583410997203</v>
      </c>
      <c r="K2693" s="2">
        <f t="shared" si="1085"/>
        <v>0.6952469711090401</v>
      </c>
      <c r="L2693" s="2">
        <f t="shared" si="1086"/>
        <v>1.863932898415657E-3</v>
      </c>
      <c r="M2693" s="2">
        <f t="shared" si="1087"/>
        <v>2.0503261882572153E-2</v>
      </c>
      <c r="N2693" s="63">
        <v>303</v>
      </c>
      <c r="O2693" s="63">
        <v>746</v>
      </c>
      <c r="P2693" s="63">
        <v>2</v>
      </c>
      <c r="Q2693" s="63">
        <v>17</v>
      </c>
      <c r="R2693" s="63">
        <v>5</v>
      </c>
      <c r="S2693" s="63">
        <v>0</v>
      </c>
      <c r="T2693" s="63"/>
      <c r="U2693" s="63">
        <v>0</v>
      </c>
      <c r="V2693" s="63"/>
      <c r="W2693" s="63">
        <f>IF(Copyright!B$11=1,IF(CA2693&gt;0,CA2693-SUM(S2693:V2693)-P2693-SUM(X2693:AQ2693),SUM(CB2693:CI2693)),SUM(CB2693:CI2693))</f>
        <v>0</v>
      </c>
      <c r="X2693" s="63"/>
      <c r="Y2693" s="63">
        <v>0</v>
      </c>
      <c r="Z2693" s="63"/>
      <c r="AA2693" s="63">
        <v>0</v>
      </c>
      <c r="AB2693" s="63"/>
      <c r="AC2693" s="63"/>
      <c r="AD2693" s="63"/>
      <c r="AE2693" s="63">
        <v>0</v>
      </c>
      <c r="AF2693" s="63"/>
      <c r="AG2693" s="63"/>
      <c r="AH2693" s="63"/>
      <c r="AI2693" s="63"/>
      <c r="AJ2693" s="63"/>
      <c r="AK2693" s="63"/>
      <c r="AL2693" s="63"/>
      <c r="AM2693" s="63"/>
      <c r="AN2693" s="63">
        <v>0</v>
      </c>
      <c r="AO2693" s="63"/>
      <c r="AP2693" s="63"/>
      <c r="AQ2693" s="63"/>
      <c r="AR2693" s="63"/>
      <c r="AS2693" s="63"/>
      <c r="AT2693" s="63"/>
      <c r="AU2693" s="63"/>
      <c r="AW2693" s="5">
        <f>IF(Q2693&gt;0,RANK(Q2693,(N2693:P2693,Q2693:AE2693)),0)</f>
        <v>3</v>
      </c>
      <c r="AX2693" s="5">
        <f>IF(R2693&gt;0,RANK(R2693,(N2693:P2693,Q2693:AE2693)),0)</f>
        <v>4</v>
      </c>
      <c r="AY2693" s="5">
        <f>IF(T2693&gt;0,RANK(T2693,(N2693:P2693,Q2693:AE2693)),0)</f>
        <v>0</v>
      </c>
      <c r="AZ2693" s="5">
        <f>IF(S2693&gt;0,RANK(S2693,(N2693:P2693,Q2693:AE2693)),0)</f>
        <v>0</v>
      </c>
      <c r="BA2693" s="2">
        <f t="shared" si="1088"/>
        <v>1.5843429636533086E-2</v>
      </c>
      <c r="BB2693" s="2">
        <f t="shared" si="1089"/>
        <v>4.6598322460391422E-3</v>
      </c>
      <c r="BC2693" s="2">
        <f t="shared" si="1090"/>
        <v>0</v>
      </c>
      <c r="BD2693" s="2">
        <f t="shared" si="1091"/>
        <v>0</v>
      </c>
      <c r="BF2693" t="s">
        <v>2115</v>
      </c>
      <c r="BG2693" t="s">
        <v>53</v>
      </c>
      <c r="BH2693">
        <v>23</v>
      </c>
      <c r="BJ2693" s="114">
        <v>48</v>
      </c>
      <c r="BK2693" s="116">
        <v>137</v>
      </c>
      <c r="BL2693" s="120">
        <f t="shared" si="1082"/>
        <v>48137</v>
      </c>
      <c r="BN2693" s="5" t="s">
        <v>3154</v>
      </c>
      <c r="BZ2693" s="63">
        <f t="shared" si="1092"/>
        <v>1073</v>
      </c>
      <c r="CD2693" s="63">
        <v>0</v>
      </c>
      <c r="CE2693" s="63">
        <v>0</v>
      </c>
      <c r="CF2693" s="63">
        <v>0</v>
      </c>
      <c r="CG2693" s="8">
        <v>0</v>
      </c>
      <c r="CH2693" s="8">
        <v>0</v>
      </c>
      <c r="CI2693" s="8">
        <v>0</v>
      </c>
    </row>
    <row r="2694" spans="1:87" hidden="1" outlineLevel="1">
      <c r="A2694" t="s">
        <v>992</v>
      </c>
      <c r="B2694" t="s">
        <v>53</v>
      </c>
      <c r="C2694" s="1">
        <f t="shared" si="1083"/>
        <v>215922</v>
      </c>
      <c r="D2694" s="5">
        <f>IF(N2694&gt;0, RANK(N2694,(N2694:P2694,Q2694:AE2694)),0)</f>
        <v>1</v>
      </c>
      <c r="E2694" s="5">
        <f>IF(O2694&gt;0,RANK(O2694,(N2694:P2694,Q2694:AE2694)),0)</f>
        <v>2</v>
      </c>
      <c r="F2694" s="5">
        <f>IF(P2694&gt;0,RANK(P2694,(N2694:P2694,Q2694:AE2694)),0)</f>
        <v>7</v>
      </c>
      <c r="G2694" s="132">
        <f t="shared" si="1080"/>
        <v>92331</v>
      </c>
      <c r="H2694" s="137">
        <f t="shared" si="1081"/>
        <v>0.4276127490482674</v>
      </c>
      <c r="I2694" s="2"/>
      <c r="J2694" s="2">
        <f t="shared" si="1084"/>
        <v>0.68470558812904658</v>
      </c>
      <c r="K2694" s="2">
        <f t="shared" si="1085"/>
        <v>0.25709283908077918</v>
      </c>
      <c r="L2694" s="2">
        <f t="shared" si="1086"/>
        <v>3.7050416354053779E-5</v>
      </c>
      <c r="M2694" s="2">
        <f t="shared" si="1087"/>
        <v>5.8164522373820186E-2</v>
      </c>
      <c r="N2694" s="63">
        <v>147843</v>
      </c>
      <c r="O2694" s="63">
        <v>55512</v>
      </c>
      <c r="P2694" s="63">
        <v>8</v>
      </c>
      <c r="Q2694" s="63">
        <v>7607</v>
      </c>
      <c r="R2694" s="63">
        <v>2945</v>
      </c>
      <c r="S2694" s="63">
        <v>43</v>
      </c>
      <c r="T2694" s="63"/>
      <c r="U2694" s="63">
        <v>2</v>
      </c>
      <c r="V2694" s="63"/>
      <c r="W2694" s="63">
        <f>IF(Copyright!B$11=1,IF(CA2694&gt;0,CA2694-SUM(S2694:V2694)-P2694-SUM(X2694:AQ2694),SUM(CB2694:CI2694)),SUM(CB2694:CI2694))</f>
        <v>1929</v>
      </c>
      <c r="X2694" s="63"/>
      <c r="Y2694" s="63">
        <v>3</v>
      </c>
      <c r="Z2694" s="63"/>
      <c r="AA2694" s="63">
        <v>2</v>
      </c>
      <c r="AB2694" s="63"/>
      <c r="AC2694" s="63"/>
      <c r="AD2694" s="63"/>
      <c r="AE2694" s="63">
        <v>3</v>
      </c>
      <c r="AF2694" s="63"/>
      <c r="AG2694" s="63"/>
      <c r="AH2694" s="63"/>
      <c r="AI2694" s="63"/>
      <c r="AJ2694" s="63"/>
      <c r="AK2694" s="63"/>
      <c r="AL2694" s="63"/>
      <c r="AM2694" s="63"/>
      <c r="AN2694" s="63">
        <v>25</v>
      </c>
      <c r="AO2694" s="63"/>
      <c r="AP2694" s="63"/>
      <c r="AQ2694" s="63"/>
      <c r="AR2694" s="63"/>
      <c r="AS2694" s="63"/>
      <c r="AT2694" s="63"/>
      <c r="AU2694" s="63"/>
      <c r="AW2694" s="5">
        <f>IF(Q2694&gt;0,RANK(Q2694,(N2694:P2694,Q2694:AE2694)),0)</f>
        <v>3</v>
      </c>
      <c r="AX2694" s="5">
        <f>IF(R2694&gt;0,RANK(R2694,(N2694:P2694,Q2694:AE2694)),0)</f>
        <v>4</v>
      </c>
      <c r="AY2694" s="5">
        <f>IF(T2694&gt;0,RANK(T2694,(N2694:P2694,Q2694:AE2694)),0)</f>
        <v>0</v>
      </c>
      <c r="AZ2694" s="5">
        <f>IF(S2694&gt;0,RANK(S2694,(N2694:P2694,Q2694:AE2694)),0)</f>
        <v>6</v>
      </c>
      <c r="BA2694" s="2">
        <f t="shared" si="1088"/>
        <v>3.5230314650660885E-2</v>
      </c>
      <c r="BB2694" s="2">
        <f t="shared" si="1089"/>
        <v>1.3639184520336047E-2</v>
      </c>
      <c r="BC2694" s="2">
        <f t="shared" si="1090"/>
        <v>0</v>
      </c>
      <c r="BD2694" s="2">
        <f t="shared" si="1091"/>
        <v>1.9914598790303907E-4</v>
      </c>
      <c r="BF2694" t="s">
        <v>992</v>
      </c>
      <c r="BG2694" t="s">
        <v>53</v>
      </c>
      <c r="BJ2694" s="114">
        <v>48</v>
      </c>
      <c r="BK2694" s="116">
        <v>141</v>
      </c>
      <c r="BL2694" s="120">
        <f t="shared" si="1082"/>
        <v>48141</v>
      </c>
      <c r="BN2694" s="5" t="s">
        <v>3154</v>
      </c>
      <c r="BR2694" s="63"/>
      <c r="BY2694" s="63">
        <v>215922</v>
      </c>
      <c r="BZ2694" s="63">
        <f t="shared" si="1092"/>
        <v>215922</v>
      </c>
      <c r="CA2694" s="63">
        <v>2015</v>
      </c>
      <c r="CD2694" s="63">
        <v>3</v>
      </c>
      <c r="CE2694" s="63">
        <v>5</v>
      </c>
      <c r="CF2694" s="63">
        <v>1</v>
      </c>
      <c r="CG2694" s="8">
        <v>2</v>
      </c>
      <c r="CH2694" s="8">
        <v>1</v>
      </c>
      <c r="CI2694" s="8">
        <v>3</v>
      </c>
    </row>
    <row r="2695" spans="1:87" hidden="1" outlineLevel="1">
      <c r="A2695" t="s">
        <v>2381</v>
      </c>
      <c r="B2695" t="s">
        <v>53</v>
      </c>
      <c r="C2695" s="1">
        <f t="shared" si="1083"/>
        <v>64110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6</v>
      </c>
      <c r="G2695" s="132">
        <f t="shared" si="1080"/>
        <v>28688</v>
      </c>
      <c r="H2695" s="137">
        <f t="shared" si="1081"/>
        <v>0.44748089221650289</v>
      </c>
      <c r="I2695" s="2"/>
      <c r="J2695" s="2">
        <f t="shared" si="1084"/>
        <v>0.25351739198253004</v>
      </c>
      <c r="K2695" s="2">
        <f t="shared" si="1085"/>
        <v>0.70099828419903287</v>
      </c>
      <c r="L2695" s="2">
        <f t="shared" si="1086"/>
        <v>5.0538137576041182E-3</v>
      </c>
      <c r="M2695" s="2">
        <f t="shared" si="1087"/>
        <v>4.0430510060833029E-2</v>
      </c>
      <c r="N2695" s="63">
        <v>16253</v>
      </c>
      <c r="O2695" s="63">
        <v>44941</v>
      </c>
      <c r="P2695" s="63">
        <v>324</v>
      </c>
      <c r="Q2695" s="63">
        <v>1747</v>
      </c>
      <c r="R2695" s="63">
        <v>325</v>
      </c>
      <c r="S2695" s="63">
        <v>53</v>
      </c>
      <c r="T2695" s="63"/>
      <c r="U2695" s="63">
        <v>0</v>
      </c>
      <c r="V2695" s="63"/>
      <c r="W2695" s="63">
        <f>IF(Copyright!B$11=1,IF(CA2695&gt;0,CA2695-SUM(S2695:V2695)-P2695-SUM(X2695:AQ2695),SUM(CB2695:CI2695)),SUM(CB2695:CI2695))</f>
        <v>442</v>
      </c>
      <c r="X2695" s="63"/>
      <c r="Y2695" s="63">
        <v>8</v>
      </c>
      <c r="Z2695" s="63"/>
      <c r="AA2695" s="63">
        <v>2</v>
      </c>
      <c r="AB2695" s="63"/>
      <c r="AC2695" s="63"/>
      <c r="AD2695" s="63"/>
      <c r="AE2695" s="63">
        <v>11</v>
      </c>
      <c r="AF2695" s="63"/>
      <c r="AG2695" s="63"/>
      <c r="AH2695" s="63"/>
      <c r="AI2695" s="63"/>
      <c r="AJ2695" s="63"/>
      <c r="AK2695" s="63"/>
      <c r="AL2695" s="63"/>
      <c r="AM2695" s="63"/>
      <c r="AN2695" s="63">
        <v>4</v>
      </c>
      <c r="AO2695" s="63"/>
      <c r="AP2695" s="63"/>
      <c r="AQ2695" s="63"/>
      <c r="AR2695" s="63"/>
      <c r="AS2695" s="63"/>
      <c r="AT2695" s="63"/>
      <c r="AU2695" s="63"/>
      <c r="AW2695" s="5">
        <f>IF(Q2695&gt;0,RANK(Q2695,(N2695:P2695,Q2695:AE2695)),0)</f>
        <v>3</v>
      </c>
      <c r="AX2695" s="5">
        <f>IF(R2695&gt;0,RANK(R2695,(N2695:P2695,Q2695:AE2695)),0)</f>
        <v>5</v>
      </c>
      <c r="AY2695" s="5">
        <f>IF(T2695&gt;0,RANK(T2695,(N2695:P2695,Q2695:AE2695)),0)</f>
        <v>0</v>
      </c>
      <c r="AZ2695" s="5">
        <f>IF(S2695&gt;0,RANK(S2695,(N2695:P2695,Q2695:AE2695)),0)</f>
        <v>7</v>
      </c>
      <c r="BA2695" s="2">
        <f t="shared" si="1088"/>
        <v>2.7250038995476525E-2</v>
      </c>
      <c r="BB2695" s="2">
        <f t="shared" si="1089"/>
        <v>5.0694119482140075E-3</v>
      </c>
      <c r="BC2695" s="2">
        <f t="shared" si="1090"/>
        <v>0</v>
      </c>
      <c r="BD2695" s="2">
        <f t="shared" si="1091"/>
        <v>8.2670410232413044E-4</v>
      </c>
      <c r="BF2695" t="s">
        <v>2381</v>
      </c>
      <c r="BG2695" t="s">
        <v>53</v>
      </c>
      <c r="BH2695">
        <v>6</v>
      </c>
      <c r="BJ2695" s="114">
        <v>48</v>
      </c>
      <c r="BK2695" s="116">
        <v>139</v>
      </c>
      <c r="BL2695" s="120">
        <f t="shared" si="1082"/>
        <v>48139</v>
      </c>
      <c r="BN2695" s="5" t="s">
        <v>3154</v>
      </c>
      <c r="BO2695" s="133"/>
      <c r="BP2695" s="133"/>
      <c r="BY2695" s="63">
        <v>64110</v>
      </c>
      <c r="BZ2695" s="63">
        <f t="shared" si="1092"/>
        <v>64110</v>
      </c>
      <c r="CA2695" s="132">
        <v>844</v>
      </c>
      <c r="CD2695" s="63">
        <v>0</v>
      </c>
      <c r="CE2695" s="63">
        <v>0</v>
      </c>
      <c r="CF2695" s="63">
        <v>3</v>
      </c>
      <c r="CG2695" s="8">
        <v>0</v>
      </c>
      <c r="CH2695" s="8">
        <v>0</v>
      </c>
      <c r="CI2695" s="8">
        <v>2</v>
      </c>
    </row>
    <row r="2696" spans="1:87" hidden="1" outlineLevel="1">
      <c r="A2696" t="s">
        <v>2875</v>
      </c>
      <c r="B2696" t="s">
        <v>53</v>
      </c>
      <c r="C2696" s="1">
        <f t="shared" si="1083"/>
        <v>13893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5</v>
      </c>
      <c r="G2696" s="132">
        <f t="shared" si="1080"/>
        <v>9050</v>
      </c>
      <c r="H2696" s="137">
        <f t="shared" si="1081"/>
        <v>0.65140718347369175</v>
      </c>
      <c r="I2696" s="2"/>
      <c r="J2696" s="2">
        <f t="shared" si="1084"/>
        <v>0.15547397970200821</v>
      </c>
      <c r="K2696" s="2">
        <f t="shared" si="1085"/>
        <v>0.80688116317570002</v>
      </c>
      <c r="L2696" s="2">
        <f t="shared" si="1086"/>
        <v>4.2467429640826318E-3</v>
      </c>
      <c r="M2696" s="2">
        <f t="shared" si="1087"/>
        <v>3.3398114158209188E-2</v>
      </c>
      <c r="N2696" s="63">
        <v>2160</v>
      </c>
      <c r="O2696" s="63">
        <v>11210</v>
      </c>
      <c r="P2696" s="63">
        <v>59</v>
      </c>
      <c r="Q2696" s="63">
        <v>378</v>
      </c>
      <c r="R2696" s="63">
        <v>68</v>
      </c>
      <c r="S2696" s="63">
        <v>12</v>
      </c>
      <c r="T2696" s="63"/>
      <c r="U2696" s="63">
        <v>1</v>
      </c>
      <c r="V2696" s="63"/>
      <c r="W2696" s="63">
        <f>IF(Copyright!B$11=1,IF(CA2696&gt;0,CA2696-SUM(S2696:V2696)-P2696-SUM(X2696:AQ2696),SUM(CB2696:CI2696)),SUM(CB2696:CI2696))</f>
        <v>3</v>
      </c>
      <c r="X2696" s="63"/>
      <c r="Y2696" s="63">
        <v>0</v>
      </c>
      <c r="Z2696" s="63"/>
      <c r="AA2696" s="63">
        <v>0</v>
      </c>
      <c r="AB2696" s="63"/>
      <c r="AC2696" s="63"/>
      <c r="AD2696" s="63"/>
      <c r="AE2696" s="63">
        <v>0</v>
      </c>
      <c r="AF2696" s="63"/>
      <c r="AG2696" s="63"/>
      <c r="AH2696" s="63"/>
      <c r="AI2696" s="63"/>
      <c r="AJ2696" s="63"/>
      <c r="AK2696" s="63"/>
      <c r="AL2696" s="63"/>
      <c r="AM2696" s="63"/>
      <c r="AN2696" s="63">
        <v>2</v>
      </c>
      <c r="AO2696" s="63"/>
      <c r="AP2696" s="63"/>
      <c r="AQ2696" s="63"/>
      <c r="AR2696" s="63"/>
      <c r="AS2696" s="63"/>
      <c r="AT2696" s="63"/>
      <c r="AU2696" s="63"/>
      <c r="AW2696" s="5">
        <f>IF(Q2696&gt;0,RANK(Q2696,(N2696:P2696,Q2696:AE2696)),0)</f>
        <v>3</v>
      </c>
      <c r="AX2696" s="5">
        <f>IF(R2696&gt;0,RANK(R2696,(N2696:P2696,Q2696:AE2696)),0)</f>
        <v>4</v>
      </c>
      <c r="AY2696" s="5">
        <f>IF(T2696&gt;0,RANK(T2696,(N2696:P2696,Q2696:AE2696)),0)</f>
        <v>0</v>
      </c>
      <c r="AZ2696" s="5">
        <f>IF(S2696&gt;0,RANK(S2696,(N2696:P2696,Q2696:AE2696)),0)</f>
        <v>6</v>
      </c>
      <c r="BA2696" s="2">
        <f t="shared" si="1088"/>
        <v>2.7207946447851437E-2</v>
      </c>
      <c r="BB2696" s="2">
        <f t="shared" si="1089"/>
        <v>4.8945512128409988E-3</v>
      </c>
      <c r="BC2696" s="2">
        <f t="shared" si="1090"/>
        <v>0</v>
      </c>
      <c r="BD2696" s="2">
        <f t="shared" si="1091"/>
        <v>8.6374433167782339E-4</v>
      </c>
      <c r="BF2696" t="s">
        <v>2875</v>
      </c>
      <c r="BG2696" t="s">
        <v>53</v>
      </c>
      <c r="BJ2696" s="114">
        <v>48</v>
      </c>
      <c r="BK2696" s="116">
        <v>143</v>
      </c>
      <c r="BL2696" s="120">
        <f t="shared" si="1082"/>
        <v>48143</v>
      </c>
      <c r="BN2696" s="5" t="s">
        <v>3154</v>
      </c>
      <c r="BZ2696" s="63">
        <f t="shared" si="1092"/>
        <v>13893</v>
      </c>
      <c r="CD2696" s="63">
        <v>0</v>
      </c>
      <c r="CE2696" s="63">
        <v>0</v>
      </c>
      <c r="CF2696" s="63">
        <v>0</v>
      </c>
      <c r="CG2696" s="8">
        <v>0</v>
      </c>
      <c r="CH2696" s="8">
        <v>2</v>
      </c>
      <c r="CI2696" s="8">
        <v>1</v>
      </c>
    </row>
    <row r="2697" spans="1:87" hidden="1" outlineLevel="1">
      <c r="A2697" t="s">
        <v>2584</v>
      </c>
      <c r="B2697" t="s">
        <v>53</v>
      </c>
      <c r="C2697" s="1">
        <f t="shared" si="1083"/>
        <v>5248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5</v>
      </c>
      <c r="G2697" s="132">
        <f t="shared" ref="G2697:G2760" si="1093">IF(C2697&gt;0,MAX(N2697:P2697)-LARGE(N2697:P2697,2),0)</f>
        <v>1757</v>
      </c>
      <c r="H2697" s="137">
        <f t="shared" ref="H2697:H2760" si="1094">IF(C2697&gt;0,G2697/C2697,0)</f>
        <v>0.33479420731707316</v>
      </c>
      <c r="I2697" s="2"/>
      <c r="J2697" s="2">
        <f t="shared" si="1084"/>
        <v>0.32088414634146339</v>
      </c>
      <c r="K2697" s="2">
        <f t="shared" si="1085"/>
        <v>0.65567835365853655</v>
      </c>
      <c r="L2697" s="2">
        <f t="shared" si="1086"/>
        <v>1.7149390243902439E-3</v>
      </c>
      <c r="M2697" s="2">
        <f t="shared" si="1087"/>
        <v>2.1722560975609866E-2</v>
      </c>
      <c r="N2697" s="63">
        <v>1684</v>
      </c>
      <c r="O2697" s="63">
        <v>3441</v>
      </c>
      <c r="P2697" s="63">
        <v>9</v>
      </c>
      <c r="Q2697" s="63">
        <v>90</v>
      </c>
      <c r="R2697" s="63">
        <v>23</v>
      </c>
      <c r="S2697" s="63">
        <v>0</v>
      </c>
      <c r="T2697" s="63"/>
      <c r="U2697" s="63">
        <v>0</v>
      </c>
      <c r="V2697" s="63"/>
      <c r="W2697" s="63">
        <f>IF(Copyright!B$11=1,IF(CA2697&gt;0,CA2697-SUM(S2697:V2697)-P2697-SUM(X2697:AQ2697),SUM(CB2697:CI2697)),SUM(CB2697:CI2697))</f>
        <v>0</v>
      </c>
      <c r="X2697" s="63"/>
      <c r="Y2697" s="63">
        <v>0</v>
      </c>
      <c r="Z2697" s="63"/>
      <c r="AA2697" s="63">
        <v>0</v>
      </c>
      <c r="AB2697" s="63"/>
      <c r="AC2697" s="63"/>
      <c r="AD2697" s="63"/>
      <c r="AE2697" s="63">
        <v>0</v>
      </c>
      <c r="AF2697" s="63"/>
      <c r="AG2697" s="63"/>
      <c r="AH2697" s="63"/>
      <c r="AI2697" s="63"/>
      <c r="AJ2697" s="63"/>
      <c r="AK2697" s="63"/>
      <c r="AL2697" s="63"/>
      <c r="AM2697" s="63"/>
      <c r="AN2697" s="63">
        <v>1</v>
      </c>
      <c r="AO2697" s="63"/>
      <c r="AP2697" s="63"/>
      <c r="AQ2697" s="63"/>
      <c r="AR2697" s="63"/>
      <c r="AS2697" s="63"/>
      <c r="AT2697" s="63"/>
      <c r="AU2697" s="63"/>
      <c r="AW2697" s="5">
        <f>IF(Q2697&gt;0,RANK(Q2697,(N2697:P2697,Q2697:AE2697)),0)</f>
        <v>3</v>
      </c>
      <c r="AX2697" s="5">
        <f>IF(R2697&gt;0,RANK(R2697,(N2697:P2697,Q2697:AE2697)),0)</f>
        <v>4</v>
      </c>
      <c r="AY2697" s="5">
        <f>IF(T2697&gt;0,RANK(T2697,(N2697:P2697,Q2697:AE2697)),0)</f>
        <v>0</v>
      </c>
      <c r="AZ2697" s="5">
        <f>IF(S2697&gt;0,RANK(S2697,(N2697:P2697,Q2697:AE2697)),0)</f>
        <v>0</v>
      </c>
      <c r="BA2697" s="2">
        <f t="shared" si="1088"/>
        <v>1.714939024390244E-2</v>
      </c>
      <c r="BB2697" s="2">
        <f t="shared" si="1089"/>
        <v>4.3826219512195126E-3</v>
      </c>
      <c r="BC2697" s="2">
        <f t="shared" si="1090"/>
        <v>0</v>
      </c>
      <c r="BD2697" s="2">
        <f t="shared" si="1091"/>
        <v>0</v>
      </c>
      <c r="BF2697" t="s">
        <v>2584</v>
      </c>
      <c r="BG2697" t="s">
        <v>53</v>
      </c>
      <c r="BH2697">
        <v>17</v>
      </c>
      <c r="BJ2697" s="114">
        <v>48</v>
      </c>
      <c r="BK2697" s="116">
        <v>145</v>
      </c>
      <c r="BL2697" s="120">
        <f t="shared" si="1082"/>
        <v>48145</v>
      </c>
      <c r="BN2697" s="5" t="s">
        <v>3154</v>
      </c>
      <c r="BZ2697" s="63">
        <f t="shared" si="1092"/>
        <v>5248</v>
      </c>
      <c r="CD2697" s="63">
        <v>0</v>
      </c>
      <c r="CE2697" s="63">
        <v>0</v>
      </c>
      <c r="CF2697" s="63">
        <v>0</v>
      </c>
      <c r="CG2697" s="8">
        <v>0</v>
      </c>
      <c r="CH2697" s="8">
        <v>0</v>
      </c>
      <c r="CI2697" s="8">
        <v>0</v>
      </c>
    </row>
    <row r="2698" spans="1:87" hidden="1" outlineLevel="1">
      <c r="A2698" t="s">
        <v>2090</v>
      </c>
      <c r="B2698" t="s">
        <v>53</v>
      </c>
      <c r="C2698" s="1">
        <f t="shared" si="1083"/>
        <v>12044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5</v>
      </c>
      <c r="G2698" s="132">
        <f t="shared" si="1093"/>
        <v>7416</v>
      </c>
      <c r="H2698" s="137">
        <f t="shared" si="1094"/>
        <v>0.61574227831285289</v>
      </c>
      <c r="I2698" s="2"/>
      <c r="J2698" s="2">
        <f t="shared" si="1084"/>
        <v>0.17701760212553969</v>
      </c>
      <c r="K2698" s="2">
        <f t="shared" si="1085"/>
        <v>0.79275988043839252</v>
      </c>
      <c r="L2698" s="2">
        <f t="shared" si="1086"/>
        <v>2.5738957157090668E-3</v>
      </c>
      <c r="M2698" s="2">
        <f t="shared" si="1087"/>
        <v>2.7648621720358785E-2</v>
      </c>
      <c r="N2698" s="63">
        <v>2132</v>
      </c>
      <c r="O2698" s="63">
        <v>9548</v>
      </c>
      <c r="P2698" s="63">
        <v>31</v>
      </c>
      <c r="Q2698" s="63">
        <v>269</v>
      </c>
      <c r="R2698" s="63">
        <v>46</v>
      </c>
      <c r="S2698" s="63">
        <v>17</v>
      </c>
      <c r="T2698" s="63"/>
      <c r="U2698" s="63">
        <v>0</v>
      </c>
      <c r="V2698" s="63"/>
      <c r="W2698" s="63">
        <f>IF(Copyright!B$11=1,IF(CA2698&gt;0,CA2698-SUM(S2698:V2698)-P2698-SUM(X2698:AQ2698),SUM(CB2698:CI2698)),SUM(CB2698:CI2698))</f>
        <v>0</v>
      </c>
      <c r="X2698" s="63"/>
      <c r="Y2698" s="63">
        <v>0</v>
      </c>
      <c r="Z2698" s="63"/>
      <c r="AA2698" s="63">
        <v>0</v>
      </c>
      <c r="AB2698" s="63"/>
      <c r="AC2698" s="63"/>
      <c r="AD2698" s="63"/>
      <c r="AE2698" s="63">
        <v>0</v>
      </c>
      <c r="AF2698" s="63"/>
      <c r="AG2698" s="63"/>
      <c r="AH2698" s="63"/>
      <c r="AI2698" s="63"/>
      <c r="AJ2698" s="63"/>
      <c r="AK2698" s="63"/>
      <c r="AL2698" s="63"/>
      <c r="AM2698" s="63"/>
      <c r="AN2698" s="63">
        <v>1</v>
      </c>
      <c r="AO2698" s="63"/>
      <c r="AP2698" s="63"/>
      <c r="AQ2698" s="63"/>
      <c r="AR2698" s="63"/>
      <c r="AS2698" s="63"/>
      <c r="AT2698" s="63"/>
      <c r="AU2698" s="63"/>
      <c r="AW2698" s="5">
        <f>IF(Q2698&gt;0,RANK(Q2698,(N2698:P2698,Q2698:AE2698)),0)</f>
        <v>3</v>
      </c>
      <c r="AX2698" s="5">
        <f>IF(R2698&gt;0,RANK(R2698,(N2698:P2698,Q2698:AE2698)),0)</f>
        <v>4</v>
      </c>
      <c r="AY2698" s="5">
        <f>IF(T2698&gt;0,RANK(T2698,(N2698:P2698,Q2698:AE2698)),0)</f>
        <v>0</v>
      </c>
      <c r="AZ2698" s="5">
        <f>IF(S2698&gt;0,RANK(S2698,(N2698:P2698,Q2698:AE2698)),0)</f>
        <v>6</v>
      </c>
      <c r="BA2698" s="2">
        <f t="shared" si="1088"/>
        <v>2.233477250083029E-2</v>
      </c>
      <c r="BB2698" s="2">
        <f t="shared" si="1089"/>
        <v>3.8193291265360345E-3</v>
      </c>
      <c r="BC2698" s="2">
        <f t="shared" si="1090"/>
        <v>0</v>
      </c>
      <c r="BD2698" s="2">
        <f t="shared" si="1091"/>
        <v>1.4114911989372301E-3</v>
      </c>
      <c r="BF2698" t="s">
        <v>2090</v>
      </c>
      <c r="BG2698" t="s">
        <v>53</v>
      </c>
      <c r="BH2698">
        <v>4</v>
      </c>
      <c r="BJ2698" s="114">
        <v>48</v>
      </c>
      <c r="BK2698" s="116">
        <v>147</v>
      </c>
      <c r="BL2698" s="120">
        <f t="shared" si="1082"/>
        <v>48147</v>
      </c>
      <c r="BN2698" s="5" t="s">
        <v>3154</v>
      </c>
      <c r="BZ2698" s="63">
        <f t="shared" si="1092"/>
        <v>12044</v>
      </c>
      <c r="CD2698" s="63">
        <v>0</v>
      </c>
      <c r="CE2698" s="63">
        <v>0</v>
      </c>
      <c r="CF2698" s="63">
        <v>0</v>
      </c>
      <c r="CG2698" s="8">
        <v>0</v>
      </c>
      <c r="CH2698" s="8">
        <v>0</v>
      </c>
      <c r="CI2698" s="8">
        <v>0</v>
      </c>
    </row>
    <row r="2699" spans="1:87" hidden="1" outlineLevel="1">
      <c r="A2699" t="s">
        <v>1416</v>
      </c>
      <c r="B2699" t="s">
        <v>53</v>
      </c>
      <c r="C2699" s="1">
        <f t="shared" si="1083"/>
        <v>11174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5</v>
      </c>
      <c r="G2699" s="132">
        <f t="shared" si="1093"/>
        <v>6599</v>
      </c>
      <c r="H2699" s="137">
        <f t="shared" si="1094"/>
        <v>0.59056738858063362</v>
      </c>
      <c r="I2699" s="2"/>
      <c r="J2699" s="2">
        <f t="shared" si="1084"/>
        <v>0.19187399319849652</v>
      </c>
      <c r="K2699" s="2">
        <f t="shared" si="1085"/>
        <v>0.78244138177913014</v>
      </c>
      <c r="L2699" s="2">
        <f t="shared" si="1086"/>
        <v>2.1478432074458565E-3</v>
      </c>
      <c r="M2699" s="2">
        <f t="shared" si="1087"/>
        <v>2.3536781814927486E-2</v>
      </c>
      <c r="N2699" s="63">
        <v>2144</v>
      </c>
      <c r="O2699" s="63">
        <v>8743</v>
      </c>
      <c r="P2699" s="63">
        <v>24</v>
      </c>
      <c r="Q2699" s="63">
        <v>209</v>
      </c>
      <c r="R2699" s="63">
        <v>45</v>
      </c>
      <c r="S2699" s="63">
        <v>7</v>
      </c>
      <c r="T2699" s="63"/>
      <c r="U2699" s="63">
        <v>0</v>
      </c>
      <c r="V2699" s="63"/>
      <c r="W2699" s="63">
        <f>IF(Copyright!B$11=1,IF(CA2699&gt;0,CA2699-SUM(S2699:V2699)-P2699-SUM(X2699:AQ2699),SUM(CB2699:CI2699)),SUM(CB2699:CI2699))</f>
        <v>1</v>
      </c>
      <c r="X2699" s="63"/>
      <c r="Y2699" s="63">
        <v>0</v>
      </c>
      <c r="Z2699" s="63"/>
      <c r="AA2699" s="63">
        <v>0</v>
      </c>
      <c r="AB2699" s="63"/>
      <c r="AC2699" s="63"/>
      <c r="AD2699" s="63"/>
      <c r="AE2699" s="63">
        <v>1</v>
      </c>
      <c r="AF2699" s="63"/>
      <c r="AG2699" s="63"/>
      <c r="AH2699" s="63"/>
      <c r="AI2699" s="63"/>
      <c r="AJ2699" s="63"/>
      <c r="AK2699" s="63"/>
      <c r="AL2699" s="63"/>
      <c r="AM2699" s="63"/>
      <c r="AN2699" s="63">
        <v>0</v>
      </c>
      <c r="AO2699" s="63"/>
      <c r="AP2699" s="63"/>
      <c r="AQ2699" s="63"/>
      <c r="AR2699" s="63"/>
      <c r="AS2699" s="63"/>
      <c r="AT2699" s="63"/>
      <c r="AU2699" s="63"/>
      <c r="AW2699" s="5">
        <f>IF(Q2699&gt;0,RANK(Q2699,(N2699:P2699,Q2699:AE2699)),0)</f>
        <v>3</v>
      </c>
      <c r="AX2699" s="5">
        <f>IF(R2699&gt;0,RANK(R2699,(N2699:P2699,Q2699:AE2699)),0)</f>
        <v>4</v>
      </c>
      <c r="AY2699" s="5">
        <f>IF(T2699&gt;0,RANK(T2699,(N2699:P2699,Q2699:AE2699)),0)</f>
        <v>0</v>
      </c>
      <c r="AZ2699" s="5">
        <f>IF(S2699&gt;0,RANK(S2699,(N2699:P2699,Q2699:AE2699)),0)</f>
        <v>6</v>
      </c>
      <c r="BA2699" s="2">
        <f t="shared" si="1088"/>
        <v>1.8704134598174334E-2</v>
      </c>
      <c r="BB2699" s="2">
        <f t="shared" si="1089"/>
        <v>4.027206013960981E-3</v>
      </c>
      <c r="BC2699" s="2">
        <f t="shared" si="1090"/>
        <v>0</v>
      </c>
      <c r="BD2699" s="2">
        <f t="shared" si="1091"/>
        <v>6.2645426883837477E-4</v>
      </c>
      <c r="BF2699" t="s">
        <v>1416</v>
      </c>
      <c r="BG2699" t="s">
        <v>53</v>
      </c>
      <c r="BH2699">
        <v>10</v>
      </c>
      <c r="BJ2699" s="114">
        <v>48</v>
      </c>
      <c r="BK2699" s="116">
        <v>149</v>
      </c>
      <c r="BL2699" s="120">
        <f t="shared" si="1082"/>
        <v>48149</v>
      </c>
      <c r="BN2699" s="5" t="s">
        <v>3154</v>
      </c>
      <c r="CD2699" s="63">
        <v>1</v>
      </c>
      <c r="CE2699" s="63">
        <v>0</v>
      </c>
      <c r="CF2699" s="63">
        <v>0</v>
      </c>
      <c r="CG2699" s="8">
        <v>0</v>
      </c>
      <c r="CH2699" s="8">
        <v>0</v>
      </c>
      <c r="CI2699" s="8">
        <v>0</v>
      </c>
    </row>
    <row r="2700" spans="1:87" hidden="1" outlineLevel="1">
      <c r="A2700" t="s">
        <v>2603</v>
      </c>
      <c r="B2700" t="s">
        <v>53</v>
      </c>
      <c r="C2700" s="1">
        <f t="shared" si="1083"/>
        <v>1729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5</v>
      </c>
      <c r="G2700" s="132">
        <f t="shared" si="1093"/>
        <v>862</v>
      </c>
      <c r="H2700" s="137">
        <f t="shared" si="1094"/>
        <v>0.49855407750144592</v>
      </c>
      <c r="I2700" s="2"/>
      <c r="J2700" s="2">
        <f t="shared" si="1084"/>
        <v>0.23308270676691728</v>
      </c>
      <c r="K2700" s="2">
        <f t="shared" si="1085"/>
        <v>0.73163678426836321</v>
      </c>
      <c r="L2700" s="2">
        <f t="shared" si="1086"/>
        <v>2.8918449971081549E-3</v>
      </c>
      <c r="M2700" s="2">
        <f t="shared" si="1087"/>
        <v>3.2388663967611413E-2</v>
      </c>
      <c r="N2700" s="63">
        <v>403</v>
      </c>
      <c r="O2700" s="63">
        <v>1265</v>
      </c>
      <c r="P2700" s="63">
        <v>5</v>
      </c>
      <c r="Q2700" s="63">
        <v>44</v>
      </c>
      <c r="R2700" s="63">
        <v>10</v>
      </c>
      <c r="S2700" s="63">
        <v>2</v>
      </c>
      <c r="T2700" s="63"/>
      <c r="U2700" s="63">
        <v>0</v>
      </c>
      <c r="V2700" s="63"/>
      <c r="W2700" s="63">
        <f>IF(Copyright!B$11=1,IF(CA2700&gt;0,CA2700-SUM(S2700:V2700)-P2700-SUM(X2700:AQ2700),SUM(CB2700:CI2700)),SUM(CB2700:CI2700))</f>
        <v>0</v>
      </c>
      <c r="X2700" s="63"/>
      <c r="Y2700" s="63">
        <v>0</v>
      </c>
      <c r="Z2700" s="63"/>
      <c r="AA2700" s="63">
        <v>0</v>
      </c>
      <c r="AB2700" s="63"/>
      <c r="AC2700" s="63"/>
      <c r="AD2700" s="63"/>
      <c r="AE2700" s="63">
        <v>0</v>
      </c>
      <c r="AF2700" s="63"/>
      <c r="AG2700" s="63"/>
      <c r="AH2700" s="63"/>
      <c r="AI2700" s="63"/>
      <c r="AJ2700" s="63"/>
      <c r="AK2700" s="63"/>
      <c r="AL2700" s="63"/>
      <c r="AM2700" s="63"/>
      <c r="AN2700" s="63">
        <v>0</v>
      </c>
      <c r="AO2700" s="63"/>
      <c r="AP2700" s="63"/>
      <c r="AQ2700" s="63"/>
      <c r="AR2700" s="63"/>
      <c r="AS2700" s="63"/>
      <c r="AT2700" s="63"/>
      <c r="AU2700" s="63"/>
      <c r="AW2700" s="5">
        <f>IF(Q2700&gt;0,RANK(Q2700,(N2700:P2700,Q2700:AE2700)),0)</f>
        <v>3</v>
      </c>
      <c r="AX2700" s="5">
        <f>IF(R2700&gt;0,RANK(R2700,(N2700:P2700,Q2700:AE2700)),0)</f>
        <v>4</v>
      </c>
      <c r="AY2700" s="5">
        <f>IF(T2700&gt;0,RANK(T2700,(N2700:P2700,Q2700:AE2700)),0)</f>
        <v>0</v>
      </c>
      <c r="AZ2700" s="5">
        <f>IF(S2700&gt;0,RANK(S2700,(N2700:P2700,Q2700:AE2700)),0)</f>
        <v>6</v>
      </c>
      <c r="BA2700" s="2">
        <f t="shared" si="1088"/>
        <v>2.5448235974551765E-2</v>
      </c>
      <c r="BB2700" s="2">
        <f t="shared" si="1089"/>
        <v>5.7836899942163098E-3</v>
      </c>
      <c r="BC2700" s="2">
        <f t="shared" si="1090"/>
        <v>0</v>
      </c>
      <c r="BD2700" s="2">
        <f t="shared" si="1091"/>
        <v>1.1567379988432619E-3</v>
      </c>
      <c r="BF2700" t="s">
        <v>2603</v>
      </c>
      <c r="BG2700" t="s">
        <v>53</v>
      </c>
      <c r="BH2700">
        <v>19</v>
      </c>
      <c r="BJ2700" s="114">
        <v>48</v>
      </c>
      <c r="BK2700" s="116">
        <v>151</v>
      </c>
      <c r="BL2700" s="120">
        <f t="shared" si="1082"/>
        <v>48151</v>
      </c>
      <c r="BN2700" s="5" t="s">
        <v>3154</v>
      </c>
      <c r="BZ2700" s="63">
        <f t="shared" si="1092"/>
        <v>1729</v>
      </c>
      <c r="CD2700" s="63">
        <v>0</v>
      </c>
      <c r="CE2700" s="63">
        <v>0</v>
      </c>
      <c r="CF2700" s="63">
        <v>0</v>
      </c>
      <c r="CG2700" s="8">
        <v>0</v>
      </c>
      <c r="CH2700" s="8">
        <v>0</v>
      </c>
      <c r="CI2700" s="8">
        <v>0</v>
      </c>
    </row>
    <row r="2701" spans="1:87" hidden="1" outlineLevel="1">
      <c r="A2701" t="s">
        <v>2935</v>
      </c>
      <c r="B2701" t="s">
        <v>53</v>
      </c>
      <c r="C2701" s="1">
        <f t="shared" si="1083"/>
        <v>1959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32">
        <f t="shared" si="1093"/>
        <v>1039</v>
      </c>
      <c r="H2701" s="137">
        <f t="shared" si="1094"/>
        <v>0.53037263910158239</v>
      </c>
      <c r="I2701" s="2"/>
      <c r="J2701" s="2">
        <f t="shared" si="1084"/>
        <v>0.222052067381317</v>
      </c>
      <c r="K2701" s="2">
        <f t="shared" si="1085"/>
        <v>0.75242470648289939</v>
      </c>
      <c r="L2701" s="2">
        <f t="shared" si="1086"/>
        <v>0</v>
      </c>
      <c r="M2701" s="2">
        <f t="shared" si="1087"/>
        <v>2.5523226135783617E-2</v>
      </c>
      <c r="N2701" s="63">
        <v>435</v>
      </c>
      <c r="O2701" s="63">
        <v>1474</v>
      </c>
      <c r="P2701" s="63">
        <v>0</v>
      </c>
      <c r="Q2701" s="63">
        <v>47</v>
      </c>
      <c r="R2701" s="63">
        <v>3</v>
      </c>
      <c r="S2701" s="63">
        <v>0</v>
      </c>
      <c r="T2701" s="63"/>
      <c r="U2701" s="63">
        <v>0</v>
      </c>
      <c r="V2701" s="63"/>
      <c r="W2701" s="63">
        <f>IF(Copyright!B$11=1,IF(CA2701&gt;0,CA2701-SUM(S2701:V2701)-P2701-SUM(X2701:AQ2701),SUM(CB2701:CI2701)),SUM(CB2701:CI2701))</f>
        <v>0</v>
      </c>
      <c r="X2701" s="63"/>
      <c r="Y2701" s="63">
        <v>0</v>
      </c>
      <c r="Z2701" s="63"/>
      <c r="AA2701" s="63">
        <v>0</v>
      </c>
      <c r="AB2701" s="63"/>
      <c r="AC2701" s="63"/>
      <c r="AD2701" s="63"/>
      <c r="AE2701" s="63">
        <v>0</v>
      </c>
      <c r="AF2701" s="63"/>
      <c r="AG2701" s="63"/>
      <c r="AH2701" s="63"/>
      <c r="AI2701" s="63"/>
      <c r="AJ2701" s="63"/>
      <c r="AK2701" s="63"/>
      <c r="AL2701" s="63"/>
      <c r="AM2701" s="63"/>
      <c r="AN2701" s="63">
        <v>0</v>
      </c>
      <c r="AO2701" s="63"/>
      <c r="AP2701" s="63"/>
      <c r="AQ2701" s="63"/>
      <c r="AR2701" s="63"/>
      <c r="AS2701" s="63"/>
      <c r="AT2701" s="63"/>
      <c r="AU2701" s="63"/>
      <c r="AW2701" s="5">
        <f>IF(Q2701&gt;0,RANK(Q2701,(N2701:P2701,Q2701:AE2701)),0)</f>
        <v>3</v>
      </c>
      <c r="AX2701" s="5">
        <f>IF(R2701&gt;0,RANK(R2701,(N2701:P2701,Q2701:AE2701)),0)</f>
        <v>4</v>
      </c>
      <c r="AY2701" s="5">
        <f>IF(T2701&gt;0,RANK(T2701,(N2701:P2701,Q2701:AE2701)),0)</f>
        <v>0</v>
      </c>
      <c r="AZ2701" s="5">
        <f>IF(S2701&gt;0,RANK(S2701,(N2701:P2701,Q2701:AE2701)),0)</f>
        <v>0</v>
      </c>
      <c r="BA2701" s="2">
        <f t="shared" si="1088"/>
        <v>2.399183256763655E-2</v>
      </c>
      <c r="BB2701" s="2">
        <f t="shared" si="1089"/>
        <v>1.5313935681470138E-3</v>
      </c>
      <c r="BC2701" s="2">
        <f t="shared" si="1090"/>
        <v>0</v>
      </c>
      <c r="BD2701" s="2">
        <f t="shared" si="1091"/>
        <v>0</v>
      </c>
      <c r="BF2701" t="s">
        <v>2935</v>
      </c>
      <c r="BG2701" t="s">
        <v>53</v>
      </c>
      <c r="BJ2701" s="114">
        <v>48</v>
      </c>
      <c r="BK2701" s="116">
        <v>153</v>
      </c>
      <c r="BL2701" s="120">
        <f t="shared" si="1082"/>
        <v>48153</v>
      </c>
      <c r="BN2701" s="5" t="s">
        <v>3154</v>
      </c>
      <c r="BZ2701" s="63">
        <f t="shared" si="1092"/>
        <v>1959</v>
      </c>
      <c r="CD2701" s="63">
        <v>0</v>
      </c>
      <c r="CE2701" s="63">
        <v>0</v>
      </c>
      <c r="CF2701" s="63">
        <v>0</v>
      </c>
      <c r="CG2701" s="8">
        <v>0</v>
      </c>
      <c r="CH2701" s="8">
        <v>0</v>
      </c>
      <c r="CI2701" s="8">
        <v>0</v>
      </c>
    </row>
    <row r="2702" spans="1:87" hidden="1" outlineLevel="1">
      <c r="A2702" t="s">
        <v>3168</v>
      </c>
      <c r="B2702" t="s">
        <v>53</v>
      </c>
      <c r="C2702" s="1">
        <f t="shared" si="1083"/>
        <v>513</v>
      </c>
      <c r="D2702" s="5">
        <f>IF(N2702&gt;0, RANK(N2702,(N2702:P2702,Q2702:AE2702)),0)</f>
        <v>2</v>
      </c>
      <c r="E2702" s="5">
        <f>IF(O2702&gt;0,RANK(O2702,(N2702:P2702,Q2702:AE2702)),0)</f>
        <v>1</v>
      </c>
      <c r="F2702" s="5">
        <f>IF(P2702&gt;0,RANK(P2702,(N2702:P2702,Q2702:AE2702)),0)</f>
        <v>0</v>
      </c>
      <c r="G2702" s="132">
        <f t="shared" si="1093"/>
        <v>270</v>
      </c>
      <c r="H2702" s="137">
        <f t="shared" si="1094"/>
        <v>0.52631578947368418</v>
      </c>
      <c r="I2702" s="2"/>
      <c r="J2702" s="2">
        <f t="shared" si="1084"/>
        <v>0.22027290448343079</v>
      </c>
      <c r="K2702" s="2">
        <f t="shared" si="1085"/>
        <v>0.74658869395711502</v>
      </c>
      <c r="L2702" s="2">
        <f t="shared" si="1086"/>
        <v>0</v>
      </c>
      <c r="M2702" s="2">
        <f t="shared" si="1087"/>
        <v>3.3138401559454134E-2</v>
      </c>
      <c r="N2702" s="63">
        <v>113</v>
      </c>
      <c r="O2702" s="63">
        <v>383</v>
      </c>
      <c r="P2702" s="63">
        <v>0</v>
      </c>
      <c r="Q2702" s="63">
        <v>14</v>
      </c>
      <c r="R2702" s="63">
        <v>1</v>
      </c>
      <c r="S2702" s="63">
        <v>0</v>
      </c>
      <c r="T2702" s="63"/>
      <c r="U2702" s="63">
        <v>0</v>
      </c>
      <c r="V2702" s="63"/>
      <c r="W2702" s="63">
        <f>IF(Copyright!B$11=1,IF(CA2702&gt;0,CA2702-SUM(S2702:V2702)-P2702-SUM(X2702:AQ2702),SUM(CB2702:CI2702)),SUM(CB2702:CI2702))</f>
        <v>0</v>
      </c>
      <c r="X2702" s="63"/>
      <c r="Y2702" s="63">
        <v>0</v>
      </c>
      <c r="Z2702" s="63"/>
      <c r="AA2702" s="63">
        <v>0</v>
      </c>
      <c r="AB2702" s="63"/>
      <c r="AC2702" s="63"/>
      <c r="AD2702" s="63"/>
      <c r="AE2702" s="63">
        <v>0</v>
      </c>
      <c r="AF2702" s="63"/>
      <c r="AG2702" s="63"/>
      <c r="AH2702" s="63"/>
      <c r="AI2702" s="63"/>
      <c r="AJ2702" s="63"/>
      <c r="AK2702" s="63"/>
      <c r="AL2702" s="63"/>
      <c r="AM2702" s="63"/>
      <c r="AN2702" s="63">
        <v>2</v>
      </c>
      <c r="AO2702" s="63"/>
      <c r="AP2702" s="63"/>
      <c r="AQ2702" s="63"/>
      <c r="AR2702" s="63"/>
      <c r="AS2702" s="63"/>
      <c r="AT2702" s="63"/>
      <c r="AU2702" s="63"/>
      <c r="AW2702" s="5">
        <f>IF(Q2702&gt;0,RANK(Q2702,(N2702:P2702,Q2702:AE2702)),0)</f>
        <v>3</v>
      </c>
      <c r="AX2702" s="5">
        <f>IF(R2702&gt;0,RANK(R2702,(N2702:P2702,Q2702:AE2702)),0)</f>
        <v>4</v>
      </c>
      <c r="AY2702" s="5">
        <f>IF(T2702&gt;0,RANK(T2702,(N2702:P2702,Q2702:AE2702)),0)</f>
        <v>0</v>
      </c>
      <c r="AZ2702" s="5">
        <f>IF(S2702&gt;0,RANK(S2702,(N2702:P2702,Q2702:AE2702)),0)</f>
        <v>0</v>
      </c>
      <c r="BA2702" s="2">
        <f t="shared" si="1088"/>
        <v>2.7290448343079921E-2</v>
      </c>
      <c r="BB2702" s="2">
        <f t="shared" si="1089"/>
        <v>1.9493177387914229E-3</v>
      </c>
      <c r="BC2702" s="2">
        <f t="shared" si="1090"/>
        <v>0</v>
      </c>
      <c r="BD2702" s="2">
        <f t="shared" si="1091"/>
        <v>0</v>
      </c>
      <c r="BF2702" t="s">
        <v>3168</v>
      </c>
      <c r="BG2702" t="s">
        <v>53</v>
      </c>
      <c r="BH2702">
        <v>13</v>
      </c>
      <c r="BJ2702" s="114">
        <v>48</v>
      </c>
      <c r="BK2702" s="116">
        <v>155</v>
      </c>
      <c r="BL2702" s="120">
        <f t="shared" si="1082"/>
        <v>48155</v>
      </c>
      <c r="BN2702" s="5" t="s">
        <v>3154</v>
      </c>
      <c r="BZ2702" s="63">
        <f t="shared" si="1092"/>
        <v>513</v>
      </c>
      <c r="CD2702" s="63">
        <v>0</v>
      </c>
      <c r="CE2702" s="63">
        <v>0</v>
      </c>
      <c r="CF2702" s="63">
        <v>0</v>
      </c>
      <c r="CG2702" s="8">
        <v>0</v>
      </c>
      <c r="CH2702" s="8">
        <v>0</v>
      </c>
      <c r="CI2702" s="8">
        <v>0</v>
      </c>
    </row>
    <row r="2703" spans="1:87" hidden="1" outlineLevel="1">
      <c r="A2703" t="s">
        <v>1104</v>
      </c>
      <c r="B2703" t="s">
        <v>53</v>
      </c>
      <c r="C2703" s="1">
        <f t="shared" si="1083"/>
        <v>262066</v>
      </c>
      <c r="D2703" s="5">
        <f>IF(N2703&gt;0, RANK(N2703,(N2703:P2703,Q2703:AE2703)),0)</f>
        <v>1</v>
      </c>
      <c r="E2703" s="5">
        <f>IF(O2703&gt;0,RANK(O2703,(N2703:P2703,Q2703:AE2703)),0)</f>
        <v>2</v>
      </c>
      <c r="F2703" s="5">
        <f>IF(P2703&gt;0,RANK(P2703,(N2703:P2703,Q2703:AE2703)),0)</f>
        <v>5</v>
      </c>
      <c r="G2703" s="132">
        <f t="shared" si="1093"/>
        <v>17395</v>
      </c>
      <c r="H2703" s="137">
        <f t="shared" si="1094"/>
        <v>6.6376408996207059E-2</v>
      </c>
      <c r="I2703" s="2"/>
      <c r="J2703" s="2">
        <f t="shared" si="1084"/>
        <v>0.51393923668083608</v>
      </c>
      <c r="K2703" s="2">
        <f t="shared" si="1085"/>
        <v>0.44756282768462907</v>
      </c>
      <c r="L2703" s="2">
        <f t="shared" si="1086"/>
        <v>4.6018941793288717E-3</v>
      </c>
      <c r="M2703" s="2">
        <f t="shared" si="1087"/>
        <v>3.3896041455205979E-2</v>
      </c>
      <c r="N2703" s="63">
        <v>134686</v>
      </c>
      <c r="O2703" s="63">
        <v>117291</v>
      </c>
      <c r="P2703" s="63">
        <v>1206</v>
      </c>
      <c r="Q2703" s="63">
        <v>6907</v>
      </c>
      <c r="R2703" s="63">
        <v>1783</v>
      </c>
      <c r="S2703" s="63">
        <v>111</v>
      </c>
      <c r="T2703" s="63"/>
      <c r="U2703" s="63">
        <v>0</v>
      </c>
      <c r="V2703" s="63"/>
      <c r="W2703" s="63">
        <f>IF(Copyright!B$11=1,IF(CA2703&gt;0,CA2703-SUM(S2703:V2703)-P2703-SUM(X2703:AQ2703),SUM(CB2703:CI2703)),SUM(CB2703:CI2703))</f>
        <v>4</v>
      </c>
      <c r="X2703" s="63"/>
      <c r="Y2703" s="63">
        <v>16</v>
      </c>
      <c r="Z2703" s="63"/>
      <c r="AA2703" s="63">
        <v>3</v>
      </c>
      <c r="AB2703" s="63"/>
      <c r="AC2703" s="63"/>
      <c r="AD2703" s="63"/>
      <c r="AE2703" s="63">
        <v>22</v>
      </c>
      <c r="AF2703" s="63"/>
      <c r="AG2703" s="63"/>
      <c r="AH2703" s="63"/>
      <c r="AI2703" s="63"/>
      <c r="AJ2703" s="63"/>
      <c r="AK2703" s="63"/>
      <c r="AL2703" s="63"/>
      <c r="AM2703" s="63"/>
      <c r="AN2703" s="63">
        <v>37</v>
      </c>
      <c r="AO2703" s="63"/>
      <c r="AP2703" s="63"/>
      <c r="AQ2703" s="63"/>
      <c r="AR2703" s="63"/>
      <c r="AS2703" s="63"/>
      <c r="AT2703" s="63"/>
      <c r="AU2703" s="63"/>
      <c r="AW2703" s="5">
        <f>IF(Q2703&gt;0,RANK(Q2703,(N2703:P2703,Q2703:AE2703)),0)</f>
        <v>3</v>
      </c>
      <c r="AX2703" s="5">
        <f>IF(R2703&gt;0,RANK(R2703,(N2703:P2703,Q2703:AE2703)),0)</f>
        <v>4</v>
      </c>
      <c r="AY2703" s="5">
        <f>IF(T2703&gt;0,RANK(T2703,(N2703:P2703,Q2703:AE2703)),0)</f>
        <v>0</v>
      </c>
      <c r="AZ2703" s="5">
        <f>IF(S2703&gt;0,RANK(S2703,(N2703:P2703,Q2703:AE2703)),0)</f>
        <v>6</v>
      </c>
      <c r="BA2703" s="2">
        <f t="shared" si="1088"/>
        <v>2.6355956133187822E-2</v>
      </c>
      <c r="BB2703" s="2">
        <f t="shared" si="1089"/>
        <v>6.8036296200193842E-3</v>
      </c>
      <c r="BC2703" s="2">
        <f t="shared" si="1090"/>
        <v>0</v>
      </c>
      <c r="BD2703" s="2">
        <f t="shared" si="1091"/>
        <v>4.2355742446559264E-4</v>
      </c>
      <c r="BF2703" t="s">
        <v>1104</v>
      </c>
      <c r="BG2703" t="s">
        <v>53</v>
      </c>
      <c r="BJ2703" s="114">
        <v>48</v>
      </c>
      <c r="BK2703" s="116">
        <v>157</v>
      </c>
      <c r="BL2703" s="120">
        <f t="shared" si="1082"/>
        <v>48157</v>
      </c>
      <c r="BN2703" s="5" t="s">
        <v>3154</v>
      </c>
      <c r="BZ2703" s="63">
        <f t="shared" si="1092"/>
        <v>262066</v>
      </c>
      <c r="CD2703" s="63">
        <v>2</v>
      </c>
      <c r="CE2703" s="63">
        <v>0</v>
      </c>
      <c r="CF2703" s="63">
        <v>0</v>
      </c>
      <c r="CG2703" s="8">
        <v>2</v>
      </c>
      <c r="CH2703" s="8">
        <v>0</v>
      </c>
      <c r="CI2703" s="8">
        <v>0</v>
      </c>
    </row>
    <row r="2704" spans="1:87" hidden="1" outlineLevel="1">
      <c r="A2704" t="s">
        <v>1138</v>
      </c>
      <c r="B2704" t="s">
        <v>53</v>
      </c>
      <c r="C2704" s="1">
        <f t="shared" si="1083"/>
        <v>4380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5</v>
      </c>
      <c r="G2704" s="132">
        <f t="shared" si="1093"/>
        <v>2920</v>
      </c>
      <c r="H2704" s="137">
        <f t="shared" si="1094"/>
        <v>0.66666666666666663</v>
      </c>
      <c r="I2704" s="2"/>
      <c r="J2704" s="2">
        <f t="shared" si="1084"/>
        <v>0.15182648401826485</v>
      </c>
      <c r="K2704" s="2">
        <f t="shared" si="1085"/>
        <v>0.81849315068493156</v>
      </c>
      <c r="L2704" s="2">
        <f t="shared" si="1086"/>
        <v>2.5114155251141552E-3</v>
      </c>
      <c r="M2704" s="2">
        <f t="shared" si="1087"/>
        <v>2.7168949771689467E-2</v>
      </c>
      <c r="N2704" s="63">
        <v>665</v>
      </c>
      <c r="O2704" s="63">
        <v>3585</v>
      </c>
      <c r="P2704" s="63">
        <v>11</v>
      </c>
      <c r="Q2704" s="63">
        <v>96</v>
      </c>
      <c r="R2704" s="63">
        <v>12</v>
      </c>
      <c r="S2704" s="63">
        <v>8</v>
      </c>
      <c r="T2704" s="63"/>
      <c r="U2704" s="63">
        <v>0</v>
      </c>
      <c r="V2704" s="63"/>
      <c r="W2704" s="63">
        <f>IF(Copyright!B$11=1,IF(CA2704&gt;0,CA2704-SUM(S2704:V2704)-P2704-SUM(X2704:AQ2704),SUM(CB2704:CI2704)),SUM(CB2704:CI2704))</f>
        <v>0</v>
      </c>
      <c r="X2704" s="63"/>
      <c r="Y2704" s="63">
        <v>0</v>
      </c>
      <c r="Z2704" s="63"/>
      <c r="AA2704" s="63">
        <v>0</v>
      </c>
      <c r="AB2704" s="63"/>
      <c r="AC2704" s="63"/>
      <c r="AD2704" s="63"/>
      <c r="AE2704" s="63">
        <v>2</v>
      </c>
      <c r="AF2704" s="63"/>
      <c r="AG2704" s="63"/>
      <c r="AH2704" s="63"/>
      <c r="AI2704" s="63"/>
      <c r="AJ2704" s="63"/>
      <c r="AK2704" s="63"/>
      <c r="AL2704" s="63"/>
      <c r="AM2704" s="63"/>
      <c r="AN2704" s="63">
        <v>1</v>
      </c>
      <c r="AO2704" s="63"/>
      <c r="AP2704" s="63"/>
      <c r="AQ2704" s="63"/>
      <c r="AR2704" s="63"/>
      <c r="AS2704" s="63"/>
      <c r="AT2704" s="63"/>
      <c r="AU2704" s="63"/>
      <c r="AW2704" s="5">
        <f>IF(Q2704&gt;0,RANK(Q2704,(N2704:P2704,Q2704:AE2704)),0)</f>
        <v>3</v>
      </c>
      <c r="AX2704" s="5">
        <f>IF(R2704&gt;0,RANK(R2704,(N2704:P2704,Q2704:AE2704)),0)</f>
        <v>4</v>
      </c>
      <c r="AY2704" s="5">
        <f>IF(T2704&gt;0,RANK(T2704,(N2704:P2704,Q2704:AE2704)),0)</f>
        <v>0</v>
      </c>
      <c r="AZ2704" s="5">
        <f>IF(S2704&gt;0,RANK(S2704,(N2704:P2704,Q2704:AE2704)),0)</f>
        <v>6</v>
      </c>
      <c r="BA2704" s="2">
        <f t="shared" si="1088"/>
        <v>2.1917808219178082E-2</v>
      </c>
      <c r="BB2704" s="2">
        <f t="shared" si="1089"/>
        <v>2.7397260273972603E-3</v>
      </c>
      <c r="BC2704" s="2">
        <f t="shared" si="1090"/>
        <v>0</v>
      </c>
      <c r="BD2704" s="2">
        <f t="shared" si="1091"/>
        <v>1.8264840182648401E-3</v>
      </c>
      <c r="BF2704" t="s">
        <v>1138</v>
      </c>
      <c r="BG2704" t="s">
        <v>53</v>
      </c>
      <c r="BH2704">
        <v>4</v>
      </c>
      <c r="BJ2704" s="114">
        <v>48</v>
      </c>
      <c r="BK2704" s="116">
        <v>159</v>
      </c>
      <c r="BL2704" s="120">
        <f t="shared" si="1082"/>
        <v>48159</v>
      </c>
      <c r="BN2704" s="5" t="s">
        <v>3154</v>
      </c>
      <c r="BZ2704" s="63">
        <f t="shared" si="1092"/>
        <v>4380</v>
      </c>
      <c r="CD2704" s="63">
        <v>0</v>
      </c>
      <c r="CE2704" s="63">
        <v>0</v>
      </c>
      <c r="CF2704" s="63">
        <v>0</v>
      </c>
      <c r="CG2704" s="8">
        <v>0</v>
      </c>
      <c r="CH2704" s="8">
        <v>0</v>
      </c>
      <c r="CI2704" s="8">
        <v>0</v>
      </c>
    </row>
    <row r="2705" spans="1:87" hidden="1" outlineLevel="1">
      <c r="A2705" t="s">
        <v>1173</v>
      </c>
      <c r="B2705" t="s">
        <v>53</v>
      </c>
      <c r="C2705" s="1">
        <f t="shared" si="1083"/>
        <v>7684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7</v>
      </c>
      <c r="G2705" s="132">
        <f t="shared" si="1093"/>
        <v>4555</v>
      </c>
      <c r="H2705" s="137">
        <f t="shared" si="1094"/>
        <v>0.59279021343050498</v>
      </c>
      <c r="I2705" s="2"/>
      <c r="J2705" s="2">
        <f t="shared" si="1084"/>
        <v>0.19143675169182717</v>
      </c>
      <c r="K2705" s="2">
        <f t="shared" si="1085"/>
        <v>0.78422696512233214</v>
      </c>
      <c r="L2705" s="2">
        <f t="shared" si="1086"/>
        <v>5.2056220718375845E-4</v>
      </c>
      <c r="M2705" s="2">
        <f t="shared" si="1087"/>
        <v>2.3815720978656932E-2</v>
      </c>
      <c r="N2705" s="63">
        <v>1471</v>
      </c>
      <c r="O2705" s="63">
        <v>6026</v>
      </c>
      <c r="P2705" s="63">
        <v>4</v>
      </c>
      <c r="Q2705" s="63">
        <v>139</v>
      </c>
      <c r="R2705" s="63">
        <v>13</v>
      </c>
      <c r="S2705" s="63">
        <v>2</v>
      </c>
      <c r="T2705" s="63"/>
      <c r="U2705" s="63">
        <v>5</v>
      </c>
      <c r="V2705" s="63"/>
      <c r="W2705" s="63">
        <f>IF(Copyright!B$11=1,IF(CA2705&gt;0,CA2705-SUM(S2705:V2705)-P2705-SUM(X2705:AQ2705),SUM(CB2705:CI2705)),SUM(CB2705:CI2705))</f>
        <v>16</v>
      </c>
      <c r="X2705" s="63"/>
      <c r="Y2705" s="63">
        <v>1</v>
      </c>
      <c r="Z2705" s="63"/>
      <c r="AA2705" s="63">
        <v>1</v>
      </c>
      <c r="AB2705" s="63"/>
      <c r="AC2705" s="63"/>
      <c r="AD2705" s="63"/>
      <c r="AE2705" s="63">
        <v>1</v>
      </c>
      <c r="AF2705" s="63"/>
      <c r="AG2705" s="63"/>
      <c r="AH2705" s="63"/>
      <c r="AI2705" s="63"/>
      <c r="AJ2705" s="63"/>
      <c r="AK2705" s="63"/>
      <c r="AL2705" s="63"/>
      <c r="AM2705" s="63"/>
      <c r="AN2705" s="63">
        <v>5</v>
      </c>
      <c r="AO2705" s="63"/>
      <c r="AP2705" s="63"/>
      <c r="AQ2705" s="63"/>
      <c r="AR2705" s="63"/>
      <c r="AS2705" s="63"/>
      <c r="AT2705" s="63"/>
      <c r="AU2705" s="63"/>
      <c r="AW2705" s="5">
        <f>IF(Q2705&gt;0,RANK(Q2705,(N2705:P2705,Q2705:AE2705)),0)</f>
        <v>3</v>
      </c>
      <c r="AX2705" s="5">
        <f>IF(R2705&gt;0,RANK(R2705,(N2705:P2705,Q2705:AE2705)),0)</f>
        <v>5</v>
      </c>
      <c r="AY2705" s="5">
        <f>IF(T2705&gt;0,RANK(T2705,(N2705:P2705,Q2705:AE2705)),0)</f>
        <v>0</v>
      </c>
      <c r="AZ2705" s="5">
        <f>IF(S2705&gt;0,RANK(S2705,(N2705:P2705,Q2705:AE2705)),0)</f>
        <v>8</v>
      </c>
      <c r="BA2705" s="2">
        <f t="shared" si="1088"/>
        <v>1.8089536699635606E-2</v>
      </c>
      <c r="BB2705" s="2">
        <f t="shared" si="1089"/>
        <v>1.691827173347215E-3</v>
      </c>
      <c r="BC2705" s="2">
        <f t="shared" si="1090"/>
        <v>0</v>
      </c>
      <c r="BD2705" s="2">
        <f t="shared" si="1091"/>
        <v>2.6028110359187923E-4</v>
      </c>
      <c r="BF2705" t="s">
        <v>1173</v>
      </c>
      <c r="BG2705" t="s">
        <v>53</v>
      </c>
      <c r="BH2705">
        <v>17</v>
      </c>
      <c r="BJ2705" s="114">
        <v>48</v>
      </c>
      <c r="BK2705" s="116">
        <v>161</v>
      </c>
      <c r="BL2705" s="120">
        <f t="shared" si="1082"/>
        <v>48161</v>
      </c>
      <c r="BN2705" s="5" t="s">
        <v>3154</v>
      </c>
      <c r="BZ2705" s="63">
        <f t="shared" si="1092"/>
        <v>7684</v>
      </c>
      <c r="CD2705" s="63">
        <v>10</v>
      </c>
      <c r="CE2705" s="63">
        <v>1</v>
      </c>
      <c r="CF2705" s="63">
        <v>1</v>
      </c>
      <c r="CG2705" s="8">
        <v>2</v>
      </c>
      <c r="CH2705" s="8">
        <v>1</v>
      </c>
      <c r="CI2705" s="8">
        <v>1</v>
      </c>
    </row>
    <row r="2706" spans="1:87" hidden="1" outlineLevel="1">
      <c r="A2706" t="s">
        <v>202</v>
      </c>
      <c r="B2706" t="s">
        <v>53</v>
      </c>
      <c r="C2706" s="1">
        <f t="shared" si="1083"/>
        <v>4400</v>
      </c>
      <c r="D2706" s="5">
        <f>IF(N2706&gt;0, RANK(N2706,(N2706:P2706,Q2706:AE2706)),0)</f>
        <v>1</v>
      </c>
      <c r="E2706" s="5">
        <f>IF(O2706&gt;0,RANK(O2706,(N2706:P2706,Q2706:AE2706)),0)</f>
        <v>2</v>
      </c>
      <c r="F2706" s="5">
        <f>IF(P2706&gt;0,RANK(P2706,(N2706:P2706,Q2706:AE2706)),0)</f>
        <v>0</v>
      </c>
      <c r="G2706" s="132">
        <f t="shared" si="1093"/>
        <v>588</v>
      </c>
      <c r="H2706" s="137">
        <f t="shared" si="1094"/>
        <v>0.13363636363636364</v>
      </c>
      <c r="I2706" s="2"/>
      <c r="J2706" s="2">
        <f t="shared" si="1084"/>
        <v>0.55545454545454542</v>
      </c>
      <c r="K2706" s="2">
        <f t="shared" si="1085"/>
        <v>0.42181818181818181</v>
      </c>
      <c r="L2706" s="2">
        <f t="shared" si="1086"/>
        <v>0</v>
      </c>
      <c r="M2706" s="2">
        <f t="shared" si="1087"/>
        <v>2.2727272727272763E-2</v>
      </c>
      <c r="N2706" s="63">
        <v>2444</v>
      </c>
      <c r="O2706" s="63">
        <v>1856</v>
      </c>
      <c r="P2706" s="63">
        <v>0</v>
      </c>
      <c r="Q2706" s="63">
        <v>76</v>
      </c>
      <c r="R2706" s="63">
        <v>24</v>
      </c>
      <c r="S2706" s="63">
        <v>0</v>
      </c>
      <c r="T2706" s="63"/>
      <c r="U2706" s="63">
        <v>0</v>
      </c>
      <c r="V2706" s="63"/>
      <c r="W2706" s="63">
        <f>IF(Copyright!B$11=1,IF(CA2706&gt;0,CA2706-SUM(S2706:V2706)-P2706-SUM(X2706:AQ2706),SUM(CB2706:CI2706)),SUM(CB2706:CI2706))</f>
        <v>0</v>
      </c>
      <c r="X2706" s="63"/>
      <c r="Y2706" s="63">
        <v>0</v>
      </c>
      <c r="Z2706" s="63"/>
      <c r="AA2706" s="63">
        <v>0</v>
      </c>
      <c r="AB2706" s="63"/>
      <c r="AC2706" s="63"/>
      <c r="AD2706" s="63"/>
      <c r="AE2706" s="63">
        <v>0</v>
      </c>
      <c r="AF2706" s="63"/>
      <c r="AG2706" s="63"/>
      <c r="AH2706" s="63"/>
      <c r="AI2706" s="63"/>
      <c r="AJ2706" s="63"/>
      <c r="AK2706" s="63"/>
      <c r="AL2706" s="63"/>
      <c r="AM2706" s="63"/>
      <c r="AN2706" s="63">
        <v>0</v>
      </c>
      <c r="AO2706" s="63"/>
      <c r="AP2706" s="63"/>
      <c r="AQ2706" s="63"/>
      <c r="AR2706" s="63"/>
      <c r="AS2706" s="63"/>
      <c r="AT2706" s="63"/>
      <c r="AU2706" s="63"/>
      <c r="AW2706" s="5">
        <f>IF(Q2706&gt;0,RANK(Q2706,(N2706:P2706,Q2706:AE2706)),0)</f>
        <v>3</v>
      </c>
      <c r="AX2706" s="5">
        <f>IF(R2706&gt;0,RANK(R2706,(N2706:P2706,Q2706:AE2706)),0)</f>
        <v>4</v>
      </c>
      <c r="AY2706" s="5">
        <f>IF(T2706&gt;0,RANK(T2706,(N2706:P2706,Q2706:AE2706)),0)</f>
        <v>0</v>
      </c>
      <c r="AZ2706" s="5">
        <f>IF(S2706&gt;0,RANK(S2706,(N2706:P2706,Q2706:AE2706)),0)</f>
        <v>0</v>
      </c>
      <c r="BA2706" s="2">
        <f t="shared" si="1088"/>
        <v>1.7272727272727273E-2</v>
      </c>
      <c r="BB2706" s="2">
        <f t="shared" si="1089"/>
        <v>5.454545454545455E-3</v>
      </c>
      <c r="BC2706" s="2">
        <f t="shared" si="1090"/>
        <v>0</v>
      </c>
      <c r="BD2706" s="2">
        <f t="shared" si="1091"/>
        <v>0</v>
      </c>
      <c r="BF2706" t="s">
        <v>202</v>
      </c>
      <c r="BG2706" t="s">
        <v>53</v>
      </c>
      <c r="BH2706">
        <v>23</v>
      </c>
      <c r="BJ2706" s="114">
        <v>48</v>
      </c>
      <c r="BK2706" s="116">
        <v>163</v>
      </c>
      <c r="BL2706" s="120">
        <f t="shared" si="1082"/>
        <v>48163</v>
      </c>
      <c r="BN2706" s="5" t="s">
        <v>3154</v>
      </c>
      <c r="BZ2706" s="63">
        <f t="shared" si="1092"/>
        <v>4400</v>
      </c>
      <c r="CD2706" s="63">
        <v>0</v>
      </c>
      <c r="CE2706" s="63">
        <v>0</v>
      </c>
      <c r="CF2706" s="63">
        <v>0</v>
      </c>
      <c r="CG2706" s="8">
        <v>0</v>
      </c>
      <c r="CH2706" s="8">
        <v>0</v>
      </c>
      <c r="CI2706" s="8">
        <v>0</v>
      </c>
    </row>
    <row r="2707" spans="1:87" hidden="1" outlineLevel="1">
      <c r="A2707" t="s">
        <v>1743</v>
      </c>
      <c r="B2707" t="s">
        <v>53</v>
      </c>
      <c r="C2707" s="1">
        <f t="shared" si="1083"/>
        <v>4620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5</v>
      </c>
      <c r="G2707" s="132">
        <f t="shared" si="1093"/>
        <v>3310</v>
      </c>
      <c r="H2707" s="137">
        <f t="shared" si="1094"/>
        <v>0.71645021645021645</v>
      </c>
      <c r="I2707" s="2"/>
      <c r="J2707" s="2">
        <f t="shared" si="1084"/>
        <v>0.12922077922077921</v>
      </c>
      <c r="K2707" s="2">
        <f t="shared" si="1085"/>
        <v>0.84567099567099568</v>
      </c>
      <c r="L2707" s="2">
        <f t="shared" si="1086"/>
        <v>1.9480519480519481E-3</v>
      </c>
      <c r="M2707" s="2">
        <f t="shared" si="1087"/>
        <v>2.3160173160173131E-2</v>
      </c>
      <c r="N2707" s="63">
        <v>597</v>
      </c>
      <c r="O2707" s="63">
        <v>3907</v>
      </c>
      <c r="P2707" s="63">
        <v>9</v>
      </c>
      <c r="Q2707" s="63">
        <v>85</v>
      </c>
      <c r="R2707" s="63">
        <v>20</v>
      </c>
      <c r="S2707" s="63">
        <v>1</v>
      </c>
      <c r="T2707" s="63"/>
      <c r="U2707" s="63">
        <v>0</v>
      </c>
      <c r="V2707" s="63"/>
      <c r="W2707" s="63">
        <f>IF(Copyright!B$11=1,IF(CA2707&gt;0,CA2707-SUM(S2707:V2707)-P2707-SUM(X2707:AQ2707),SUM(CB2707:CI2707)),SUM(CB2707:CI2707))</f>
        <v>0</v>
      </c>
      <c r="X2707" s="63"/>
      <c r="Y2707" s="63">
        <v>0</v>
      </c>
      <c r="Z2707" s="63"/>
      <c r="AA2707" s="63">
        <v>0</v>
      </c>
      <c r="AB2707" s="63"/>
      <c r="AC2707" s="63"/>
      <c r="AD2707" s="63"/>
      <c r="AE2707" s="63">
        <v>0</v>
      </c>
      <c r="AF2707" s="63"/>
      <c r="AG2707" s="63"/>
      <c r="AH2707" s="63"/>
      <c r="AI2707" s="63"/>
      <c r="AJ2707" s="63"/>
      <c r="AK2707" s="63"/>
      <c r="AL2707" s="63"/>
      <c r="AM2707" s="63"/>
      <c r="AN2707" s="63">
        <v>1</v>
      </c>
      <c r="AO2707" s="63"/>
      <c r="AP2707" s="63"/>
      <c r="AQ2707" s="63"/>
      <c r="AR2707" s="63"/>
      <c r="AS2707" s="63"/>
      <c r="AT2707" s="63"/>
      <c r="AU2707" s="63"/>
      <c r="AW2707" s="5">
        <f>IF(Q2707&gt;0,RANK(Q2707,(N2707:P2707,Q2707:AE2707)),0)</f>
        <v>3</v>
      </c>
      <c r="AX2707" s="5">
        <f>IF(R2707&gt;0,RANK(R2707,(N2707:P2707,Q2707:AE2707)),0)</f>
        <v>4</v>
      </c>
      <c r="AY2707" s="5">
        <f>IF(T2707&gt;0,RANK(T2707,(N2707:P2707,Q2707:AE2707)),0)</f>
        <v>0</v>
      </c>
      <c r="AZ2707" s="5">
        <f>IF(S2707&gt;0,RANK(S2707,(N2707:P2707,Q2707:AE2707)),0)</f>
        <v>6</v>
      </c>
      <c r="BA2707" s="2">
        <f t="shared" si="1088"/>
        <v>1.83982683982684E-2</v>
      </c>
      <c r="BB2707" s="2">
        <f t="shared" si="1089"/>
        <v>4.329004329004329E-3</v>
      </c>
      <c r="BC2707" s="2">
        <f t="shared" si="1090"/>
        <v>0</v>
      </c>
      <c r="BD2707" s="2">
        <f t="shared" si="1091"/>
        <v>2.1645021645021645E-4</v>
      </c>
      <c r="BF2707" t="s">
        <v>1743</v>
      </c>
      <c r="BG2707" t="s">
        <v>53</v>
      </c>
      <c r="BH2707">
        <v>19</v>
      </c>
      <c r="BJ2707" s="114">
        <v>48</v>
      </c>
      <c r="BK2707" s="116">
        <v>165</v>
      </c>
      <c r="BL2707" s="120">
        <f t="shared" si="1082"/>
        <v>48165</v>
      </c>
      <c r="BN2707" s="5" t="s">
        <v>3154</v>
      </c>
      <c r="BZ2707" s="63">
        <f t="shared" si="1092"/>
        <v>4620</v>
      </c>
      <c r="CD2707" s="63">
        <v>0</v>
      </c>
      <c r="CE2707" s="63">
        <v>0</v>
      </c>
      <c r="CF2707" s="63">
        <v>0</v>
      </c>
      <c r="CG2707" s="8">
        <v>0</v>
      </c>
      <c r="CH2707" s="8">
        <v>0</v>
      </c>
      <c r="CI2707" s="8">
        <v>0</v>
      </c>
    </row>
    <row r="2708" spans="1:87" hidden="1" outlineLevel="1">
      <c r="A2708" t="s">
        <v>2463</v>
      </c>
      <c r="B2708" t="s">
        <v>53</v>
      </c>
      <c r="C2708" s="1">
        <f t="shared" si="1083"/>
        <v>122903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5</v>
      </c>
      <c r="G2708" s="132">
        <f t="shared" si="1093"/>
        <v>30099</v>
      </c>
      <c r="H2708" s="137">
        <f t="shared" si="1094"/>
        <v>0.24490044994833324</v>
      </c>
      <c r="I2708" s="2"/>
      <c r="J2708" s="2">
        <f t="shared" si="1084"/>
        <v>0.35522322481957314</v>
      </c>
      <c r="K2708" s="2">
        <f t="shared" si="1085"/>
        <v>0.6001236747679064</v>
      </c>
      <c r="L2708" s="2">
        <f t="shared" si="1086"/>
        <v>3.4661481005345677E-3</v>
      </c>
      <c r="M2708" s="2">
        <f t="shared" si="1087"/>
        <v>4.1186952311985894E-2</v>
      </c>
      <c r="N2708" s="63">
        <v>43658</v>
      </c>
      <c r="O2708" s="63">
        <v>73757</v>
      </c>
      <c r="P2708" s="63">
        <v>426</v>
      </c>
      <c r="Q2708" s="63">
        <v>4045</v>
      </c>
      <c r="R2708" s="63">
        <v>889</v>
      </c>
      <c r="S2708" s="63">
        <v>69</v>
      </c>
      <c r="T2708" s="63"/>
      <c r="U2708" s="63">
        <v>0</v>
      </c>
      <c r="V2708" s="63"/>
      <c r="W2708" s="63">
        <f>IF(Copyright!B$11=1,IF(CA2708&gt;0,CA2708-SUM(S2708:V2708)-P2708-SUM(X2708:AQ2708),SUM(CB2708:CI2708)),SUM(CB2708:CI2708))</f>
        <v>15</v>
      </c>
      <c r="X2708" s="63"/>
      <c r="Y2708" s="63">
        <v>13</v>
      </c>
      <c r="Z2708" s="63"/>
      <c r="AA2708" s="63">
        <v>6</v>
      </c>
      <c r="AB2708" s="63"/>
      <c r="AC2708" s="63"/>
      <c r="AD2708" s="63"/>
      <c r="AE2708" s="63">
        <v>10</v>
      </c>
      <c r="AF2708" s="63"/>
      <c r="AG2708" s="63"/>
      <c r="AH2708" s="63"/>
      <c r="AI2708" s="63"/>
      <c r="AJ2708" s="63"/>
      <c r="AK2708" s="63"/>
      <c r="AL2708" s="63"/>
      <c r="AM2708" s="63"/>
      <c r="AN2708" s="63">
        <v>15</v>
      </c>
      <c r="AO2708" s="63"/>
      <c r="AP2708" s="63"/>
      <c r="AQ2708" s="63"/>
      <c r="AR2708" s="63"/>
      <c r="AS2708" s="63"/>
      <c r="AT2708" s="63"/>
      <c r="AU2708" s="63"/>
      <c r="AW2708" s="5">
        <f>IF(Q2708&gt;0,RANK(Q2708,(N2708:P2708,Q2708:AE2708)),0)</f>
        <v>3</v>
      </c>
      <c r="AX2708" s="5">
        <f>IF(R2708&gt;0,RANK(R2708,(N2708:P2708,Q2708:AE2708)),0)</f>
        <v>4</v>
      </c>
      <c r="AY2708" s="5">
        <f>IF(T2708&gt;0,RANK(T2708,(N2708:P2708,Q2708:AE2708)),0)</f>
        <v>0</v>
      </c>
      <c r="AZ2708" s="5">
        <f>IF(S2708&gt;0,RANK(S2708,(N2708:P2708,Q2708:AE2708)),0)</f>
        <v>6</v>
      </c>
      <c r="BA2708" s="2">
        <f t="shared" si="1088"/>
        <v>3.2912133959301239E-2</v>
      </c>
      <c r="BB2708" s="2">
        <f t="shared" si="1089"/>
        <v>7.233346622946551E-3</v>
      </c>
      <c r="BC2708" s="2">
        <f t="shared" si="1090"/>
        <v>0</v>
      </c>
      <c r="BD2708" s="2">
        <f t="shared" si="1091"/>
        <v>5.6141835431193705E-4</v>
      </c>
      <c r="BF2708" t="s">
        <v>2463</v>
      </c>
      <c r="BG2708" t="s">
        <v>53</v>
      </c>
      <c r="BH2708">
        <v>14</v>
      </c>
      <c r="BJ2708" s="114">
        <v>48</v>
      </c>
      <c r="BK2708" s="116">
        <v>167</v>
      </c>
      <c r="BL2708" s="120">
        <f t="shared" si="1082"/>
        <v>48167</v>
      </c>
      <c r="BN2708" s="5" t="s">
        <v>3154</v>
      </c>
      <c r="BZ2708" s="63">
        <f t="shared" si="1092"/>
        <v>122903</v>
      </c>
      <c r="CD2708" s="63">
        <v>1</v>
      </c>
      <c r="CE2708" s="63">
        <v>1</v>
      </c>
      <c r="CF2708" s="63">
        <v>10</v>
      </c>
      <c r="CG2708" s="8">
        <v>0</v>
      </c>
      <c r="CH2708" s="8">
        <v>0</v>
      </c>
      <c r="CI2708" s="8">
        <v>3</v>
      </c>
    </row>
    <row r="2709" spans="1:87" hidden="1" outlineLevel="1">
      <c r="A2709" t="s">
        <v>1259</v>
      </c>
      <c r="B2709" t="s">
        <v>53</v>
      </c>
      <c r="C2709" s="1">
        <f t="shared" si="1083"/>
        <v>1484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5</v>
      </c>
      <c r="G2709" s="132">
        <f t="shared" si="1093"/>
        <v>995</v>
      </c>
      <c r="H2709" s="137">
        <f t="shared" si="1094"/>
        <v>0.67048517520215634</v>
      </c>
      <c r="I2709" s="2"/>
      <c r="J2709" s="2">
        <f t="shared" si="1084"/>
        <v>0.15498652291105122</v>
      </c>
      <c r="K2709" s="2">
        <f t="shared" si="1085"/>
        <v>0.82547169811320753</v>
      </c>
      <c r="L2709" s="2">
        <f t="shared" si="1086"/>
        <v>6.7385444743935314E-4</v>
      </c>
      <c r="M2709" s="2">
        <f t="shared" si="1087"/>
        <v>1.8867924528301921E-2</v>
      </c>
      <c r="N2709" s="63">
        <v>230</v>
      </c>
      <c r="O2709" s="63">
        <v>1225</v>
      </c>
      <c r="P2709" s="63">
        <v>1</v>
      </c>
      <c r="Q2709" s="63">
        <v>21</v>
      </c>
      <c r="R2709" s="63">
        <v>7</v>
      </c>
      <c r="S2709" s="63">
        <v>0</v>
      </c>
      <c r="T2709" s="63"/>
      <c r="U2709" s="63">
        <v>0</v>
      </c>
      <c r="V2709" s="63"/>
      <c r="W2709" s="63">
        <f>IF(Copyright!B$11=1,IF(CA2709&gt;0,CA2709-SUM(S2709:V2709)-P2709-SUM(X2709:AQ2709),SUM(CB2709:CI2709)),SUM(CB2709:CI2709))</f>
        <v>0</v>
      </c>
      <c r="X2709" s="63"/>
      <c r="Y2709" s="63">
        <v>0</v>
      </c>
      <c r="Z2709" s="63"/>
      <c r="AA2709" s="63">
        <v>0</v>
      </c>
      <c r="AB2709" s="63"/>
      <c r="AC2709" s="63"/>
      <c r="AD2709" s="63"/>
      <c r="AE2709" s="63">
        <v>0</v>
      </c>
      <c r="AF2709" s="63"/>
      <c r="AG2709" s="63"/>
      <c r="AH2709" s="63"/>
      <c r="AI2709" s="63"/>
      <c r="AJ2709" s="63"/>
      <c r="AK2709" s="63"/>
      <c r="AL2709" s="63"/>
      <c r="AM2709" s="63"/>
      <c r="AN2709" s="63">
        <v>0</v>
      </c>
      <c r="AO2709" s="63"/>
      <c r="AP2709" s="63"/>
      <c r="AQ2709" s="63"/>
      <c r="AR2709" s="63"/>
      <c r="AS2709" s="63"/>
      <c r="AT2709" s="63"/>
      <c r="AU2709" s="63"/>
      <c r="AW2709" s="5">
        <f>IF(Q2709&gt;0,RANK(Q2709,(N2709:P2709,Q2709:AE2709)),0)</f>
        <v>3</v>
      </c>
      <c r="AX2709" s="5">
        <f>IF(R2709&gt;0,RANK(R2709,(N2709:P2709,Q2709:AE2709)),0)</f>
        <v>4</v>
      </c>
      <c r="AY2709" s="5">
        <f>IF(T2709&gt;0,RANK(T2709,(N2709:P2709,Q2709:AE2709)),0)</f>
        <v>0</v>
      </c>
      <c r="AZ2709" s="5">
        <f>IF(S2709&gt;0,RANK(S2709,(N2709:P2709,Q2709:AE2709)),0)</f>
        <v>0</v>
      </c>
      <c r="BA2709" s="2">
        <f t="shared" si="1088"/>
        <v>1.4150943396226415E-2</v>
      </c>
      <c r="BB2709" s="2">
        <f t="shared" si="1089"/>
        <v>4.7169811320754715E-3</v>
      </c>
      <c r="BC2709" s="2">
        <f t="shared" si="1090"/>
        <v>0</v>
      </c>
      <c r="BD2709" s="2">
        <f t="shared" si="1091"/>
        <v>0</v>
      </c>
      <c r="BF2709" t="s">
        <v>1259</v>
      </c>
      <c r="BG2709" t="s">
        <v>53</v>
      </c>
      <c r="BH2709">
        <v>19</v>
      </c>
      <c r="BJ2709" s="114">
        <v>48</v>
      </c>
      <c r="BK2709" s="116">
        <v>169</v>
      </c>
      <c r="BL2709" s="120">
        <f t="shared" si="1082"/>
        <v>48169</v>
      </c>
      <c r="BN2709" s="5" t="s">
        <v>3154</v>
      </c>
      <c r="BZ2709" s="63">
        <f t="shared" si="1092"/>
        <v>1484</v>
      </c>
      <c r="CD2709" s="63">
        <v>0</v>
      </c>
      <c r="CE2709" s="63">
        <v>0</v>
      </c>
      <c r="CF2709" s="63">
        <v>0</v>
      </c>
      <c r="CG2709" s="8">
        <v>0</v>
      </c>
      <c r="CH2709" s="8">
        <v>0</v>
      </c>
      <c r="CI2709" s="8">
        <v>0</v>
      </c>
    </row>
    <row r="2710" spans="1:87" hidden="1" outlineLevel="1">
      <c r="A2710" t="s">
        <v>1329</v>
      </c>
      <c r="B2710" t="s">
        <v>53</v>
      </c>
      <c r="C2710" s="1">
        <f t="shared" si="1083"/>
        <v>13214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4</v>
      </c>
      <c r="G2710" s="132">
        <f t="shared" si="1093"/>
        <v>8158</v>
      </c>
      <c r="H2710" s="137">
        <f t="shared" si="1094"/>
        <v>0.6173755108218556</v>
      </c>
      <c r="I2710" s="2"/>
      <c r="J2710" s="2">
        <f t="shared" si="1084"/>
        <v>0.17314968972302103</v>
      </c>
      <c r="K2710" s="2">
        <f t="shared" si="1085"/>
        <v>0.79052520054487663</v>
      </c>
      <c r="L2710" s="2">
        <f t="shared" si="1086"/>
        <v>4.8433479642803088E-3</v>
      </c>
      <c r="M2710" s="2">
        <f t="shared" si="1087"/>
        <v>3.1481761767822039E-2</v>
      </c>
      <c r="N2710" s="63">
        <v>2288</v>
      </c>
      <c r="O2710" s="63">
        <v>10446</v>
      </c>
      <c r="P2710" s="63">
        <v>64</v>
      </c>
      <c r="Q2710" s="63">
        <v>333</v>
      </c>
      <c r="R2710" s="63">
        <v>61</v>
      </c>
      <c r="S2710" s="63">
        <v>3</v>
      </c>
      <c r="T2710" s="63"/>
      <c r="U2710" s="63">
        <v>0</v>
      </c>
      <c r="V2710" s="63"/>
      <c r="W2710" s="63">
        <f>IF(Copyright!B$11=1,IF(CA2710&gt;0,CA2710-SUM(S2710:V2710)-P2710-SUM(X2710:AQ2710),SUM(CB2710:CI2710)),SUM(CB2710:CI2710))</f>
        <v>12</v>
      </c>
      <c r="X2710" s="63"/>
      <c r="Y2710" s="63">
        <v>4</v>
      </c>
      <c r="Z2710" s="63"/>
      <c r="AA2710" s="63">
        <v>0</v>
      </c>
      <c r="AB2710" s="63"/>
      <c r="AC2710" s="63"/>
      <c r="AD2710" s="63"/>
      <c r="AE2710" s="63">
        <v>3</v>
      </c>
      <c r="AF2710" s="63"/>
      <c r="AG2710" s="63"/>
      <c r="AH2710" s="63"/>
      <c r="AI2710" s="63"/>
      <c r="AJ2710" s="63"/>
      <c r="AK2710" s="63"/>
      <c r="AL2710" s="63"/>
      <c r="AM2710" s="63"/>
      <c r="AN2710" s="63">
        <v>0</v>
      </c>
      <c r="AO2710" s="63"/>
      <c r="AP2710" s="63"/>
      <c r="AQ2710" s="63"/>
      <c r="AR2710" s="63"/>
      <c r="AS2710" s="63"/>
      <c r="AT2710" s="63"/>
      <c r="AU2710" s="63"/>
      <c r="AW2710" s="5">
        <f>IF(Q2710&gt;0,RANK(Q2710,(N2710:P2710,Q2710:AE2710)),0)</f>
        <v>3</v>
      </c>
      <c r="AX2710" s="5">
        <f>IF(R2710&gt;0,RANK(R2710,(N2710:P2710,Q2710:AE2710)),0)</f>
        <v>5</v>
      </c>
      <c r="AY2710" s="5">
        <f>IF(T2710&gt;0,RANK(T2710,(N2710:P2710,Q2710:AE2710)),0)</f>
        <v>0</v>
      </c>
      <c r="AZ2710" s="5">
        <f>IF(S2710&gt;0,RANK(S2710,(N2710:P2710,Q2710:AE2710)),0)</f>
        <v>8</v>
      </c>
      <c r="BA2710" s="2">
        <f t="shared" si="1088"/>
        <v>2.520054487664598E-2</v>
      </c>
      <c r="BB2710" s="2">
        <f t="shared" si="1089"/>
        <v>4.6163160284546697E-3</v>
      </c>
      <c r="BC2710" s="2">
        <f t="shared" si="1090"/>
        <v>0</v>
      </c>
      <c r="BD2710" s="2">
        <f t="shared" si="1091"/>
        <v>2.2703193582563946E-4</v>
      </c>
      <c r="BF2710" t="s">
        <v>1329</v>
      </c>
      <c r="BG2710" t="s">
        <v>53</v>
      </c>
      <c r="BH2710">
        <v>21</v>
      </c>
      <c r="BJ2710" s="114">
        <v>48</v>
      </c>
      <c r="BK2710" s="116">
        <v>171</v>
      </c>
      <c r="BL2710" s="120">
        <f t="shared" si="1082"/>
        <v>48171</v>
      </c>
      <c r="BN2710" s="5" t="s">
        <v>3154</v>
      </c>
      <c r="BZ2710" s="63">
        <f t="shared" si="1092"/>
        <v>13214</v>
      </c>
      <c r="CD2710" s="63">
        <v>1</v>
      </c>
      <c r="CE2710" s="63">
        <v>0</v>
      </c>
      <c r="CF2710" s="63">
        <v>0</v>
      </c>
      <c r="CG2710" s="8">
        <v>0</v>
      </c>
      <c r="CH2710" s="8">
        <v>0</v>
      </c>
      <c r="CI2710" s="8">
        <v>11</v>
      </c>
    </row>
    <row r="2711" spans="1:87" hidden="1" outlineLevel="1">
      <c r="A2711" t="s">
        <v>1287</v>
      </c>
      <c r="B2711" t="s">
        <v>53</v>
      </c>
      <c r="C2711" s="1">
        <f t="shared" si="1083"/>
        <v>604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32">
        <f t="shared" si="1093"/>
        <v>519</v>
      </c>
      <c r="H2711" s="137">
        <f t="shared" si="1094"/>
        <v>0.85927152317880795</v>
      </c>
      <c r="I2711" s="2"/>
      <c r="J2711" s="2">
        <f t="shared" si="1084"/>
        <v>5.6291390728476824E-2</v>
      </c>
      <c r="K2711" s="2">
        <f t="shared" si="1085"/>
        <v>0.91556291390728473</v>
      </c>
      <c r="L2711" s="2">
        <f t="shared" si="1086"/>
        <v>0</v>
      </c>
      <c r="M2711" s="2">
        <f t="shared" si="1087"/>
        <v>2.8145695364238499E-2</v>
      </c>
      <c r="N2711" s="63">
        <v>34</v>
      </c>
      <c r="O2711" s="63">
        <v>553</v>
      </c>
      <c r="P2711" s="63">
        <v>0</v>
      </c>
      <c r="Q2711" s="63">
        <v>13</v>
      </c>
      <c r="R2711" s="63">
        <v>2</v>
      </c>
      <c r="S2711" s="63">
        <v>2</v>
      </c>
      <c r="T2711" s="63"/>
      <c r="U2711" s="63">
        <v>0</v>
      </c>
      <c r="V2711" s="63"/>
      <c r="W2711" s="63">
        <f>IF(Copyright!B$11=1,IF(CA2711&gt;0,CA2711-SUM(S2711:V2711)-P2711-SUM(X2711:AQ2711),SUM(CB2711:CI2711)),SUM(CB2711:CI2711))</f>
        <v>0</v>
      </c>
      <c r="X2711" s="63"/>
      <c r="Y2711" s="63">
        <v>0</v>
      </c>
      <c r="Z2711" s="63"/>
      <c r="AA2711" s="63">
        <v>0</v>
      </c>
      <c r="AB2711" s="63"/>
      <c r="AC2711" s="63"/>
      <c r="AD2711" s="63"/>
      <c r="AE2711" s="63">
        <v>0</v>
      </c>
      <c r="AF2711" s="63"/>
      <c r="AG2711" s="63"/>
      <c r="AH2711" s="63"/>
      <c r="AI2711" s="63"/>
      <c r="AJ2711" s="63"/>
      <c r="AK2711" s="63"/>
      <c r="AL2711" s="63"/>
      <c r="AM2711" s="63"/>
      <c r="AN2711" s="63">
        <v>0</v>
      </c>
      <c r="AO2711" s="63"/>
      <c r="AP2711" s="63"/>
      <c r="AQ2711" s="63"/>
      <c r="AR2711" s="63"/>
      <c r="AS2711" s="63"/>
      <c r="AT2711" s="63"/>
      <c r="AU2711" s="63"/>
      <c r="AW2711" s="5">
        <f>IF(Q2711&gt;0,RANK(Q2711,(N2711:P2711,Q2711:AE2711)),0)</f>
        <v>3</v>
      </c>
      <c r="AX2711" s="5">
        <f>IF(R2711&gt;0,RANK(R2711,(N2711:P2711,Q2711:AE2711)),0)</f>
        <v>4</v>
      </c>
      <c r="AY2711" s="5">
        <f>IF(T2711&gt;0,RANK(T2711,(N2711:P2711,Q2711:AE2711)),0)</f>
        <v>0</v>
      </c>
      <c r="AZ2711" s="5">
        <f>IF(S2711&gt;0,RANK(S2711,(N2711:P2711,Q2711:AE2711)),0)</f>
        <v>4</v>
      </c>
      <c r="BA2711" s="2">
        <f t="shared" si="1088"/>
        <v>2.1523178807947019E-2</v>
      </c>
      <c r="BB2711" s="2">
        <f t="shared" si="1089"/>
        <v>3.3112582781456954E-3</v>
      </c>
      <c r="BC2711" s="2">
        <f t="shared" si="1090"/>
        <v>0</v>
      </c>
      <c r="BD2711" s="2">
        <f t="shared" si="1091"/>
        <v>3.3112582781456954E-3</v>
      </c>
      <c r="BF2711" t="s">
        <v>1287</v>
      </c>
      <c r="BG2711" t="s">
        <v>53</v>
      </c>
      <c r="BH2711">
        <v>11</v>
      </c>
      <c r="BJ2711" s="114">
        <v>48</v>
      </c>
      <c r="BK2711" s="116">
        <v>173</v>
      </c>
      <c r="BL2711" s="120">
        <f t="shared" si="1082"/>
        <v>48173</v>
      </c>
      <c r="BN2711" s="5" t="s">
        <v>3154</v>
      </c>
      <c r="BZ2711" s="63">
        <f t="shared" si="1092"/>
        <v>604</v>
      </c>
      <c r="CD2711" s="63">
        <v>0</v>
      </c>
      <c r="CE2711" s="63">
        <v>0</v>
      </c>
      <c r="CF2711" s="63">
        <v>0</v>
      </c>
      <c r="CG2711" s="8">
        <v>0</v>
      </c>
      <c r="CH2711" s="8">
        <v>0</v>
      </c>
      <c r="CI2711" s="8">
        <v>0</v>
      </c>
    </row>
    <row r="2712" spans="1:87" hidden="1" outlineLevel="1">
      <c r="A2712" t="s">
        <v>1467</v>
      </c>
      <c r="B2712" t="s">
        <v>53</v>
      </c>
      <c r="C2712" s="1">
        <f t="shared" si="1083"/>
        <v>3708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5</v>
      </c>
      <c r="G2712" s="132">
        <f t="shared" si="1093"/>
        <v>1647</v>
      </c>
      <c r="H2712" s="137">
        <f t="shared" si="1094"/>
        <v>0.44417475728155342</v>
      </c>
      <c r="I2712" s="2"/>
      <c r="J2712" s="2">
        <f t="shared" si="1084"/>
        <v>0.26240560949298813</v>
      </c>
      <c r="K2712" s="2">
        <f t="shared" si="1085"/>
        <v>0.7065803667745415</v>
      </c>
      <c r="L2712" s="2">
        <f t="shared" si="1086"/>
        <v>8.090614886731392E-4</v>
      </c>
      <c r="M2712" s="2">
        <f t="shared" si="1087"/>
        <v>3.0204962243797279E-2</v>
      </c>
      <c r="N2712" s="63">
        <v>973</v>
      </c>
      <c r="O2712" s="63">
        <v>2620</v>
      </c>
      <c r="P2712" s="63">
        <v>3</v>
      </c>
      <c r="Q2712" s="63">
        <v>101</v>
      </c>
      <c r="R2712" s="63">
        <v>10</v>
      </c>
      <c r="S2712" s="63">
        <v>1</v>
      </c>
      <c r="T2712" s="63"/>
      <c r="U2712" s="63">
        <v>0</v>
      </c>
      <c r="V2712" s="63"/>
      <c r="W2712" s="63">
        <f>IF(Copyright!B$11=1,IF(CA2712&gt;0,CA2712-SUM(S2712:V2712)-P2712-SUM(X2712:AQ2712),SUM(CB2712:CI2712)),SUM(CB2712:CI2712))</f>
        <v>0</v>
      </c>
      <c r="X2712" s="63"/>
      <c r="Y2712" s="63">
        <v>0</v>
      </c>
      <c r="Z2712" s="63"/>
      <c r="AA2712" s="63">
        <v>0</v>
      </c>
      <c r="AB2712" s="63"/>
      <c r="AC2712" s="63"/>
      <c r="AD2712" s="63"/>
      <c r="AE2712" s="63">
        <v>0</v>
      </c>
      <c r="AF2712" s="63"/>
      <c r="AG2712" s="63"/>
      <c r="AH2712" s="63"/>
      <c r="AI2712" s="63"/>
      <c r="AJ2712" s="63"/>
      <c r="AK2712" s="63"/>
      <c r="AL2712" s="63"/>
      <c r="AM2712" s="63"/>
      <c r="AN2712" s="63">
        <v>0</v>
      </c>
      <c r="AO2712" s="63"/>
      <c r="AP2712" s="63"/>
      <c r="AQ2712" s="63"/>
      <c r="AR2712" s="63"/>
      <c r="AS2712" s="63"/>
      <c r="AT2712" s="63"/>
      <c r="AU2712" s="63"/>
      <c r="AW2712" s="5">
        <f>IF(Q2712&gt;0,RANK(Q2712,(N2712:P2712,Q2712:AE2712)),0)</f>
        <v>3</v>
      </c>
      <c r="AX2712" s="5">
        <f>IF(R2712&gt;0,RANK(R2712,(N2712:P2712,Q2712:AE2712)),0)</f>
        <v>4</v>
      </c>
      <c r="AY2712" s="5">
        <f>IF(T2712&gt;0,RANK(T2712,(N2712:P2712,Q2712:AE2712)),0)</f>
        <v>0</v>
      </c>
      <c r="AZ2712" s="5">
        <f>IF(S2712&gt;0,RANK(S2712,(N2712:P2712,Q2712:AE2712)),0)</f>
        <v>6</v>
      </c>
      <c r="BA2712" s="2">
        <f t="shared" si="1088"/>
        <v>2.7238403451995685E-2</v>
      </c>
      <c r="BB2712" s="2">
        <f t="shared" si="1089"/>
        <v>2.6968716289104641E-3</v>
      </c>
      <c r="BC2712" s="2">
        <f t="shared" si="1090"/>
        <v>0</v>
      </c>
      <c r="BD2712" s="2">
        <f t="shared" si="1091"/>
        <v>2.6968716289104636E-4</v>
      </c>
      <c r="BF2712" t="s">
        <v>1467</v>
      </c>
      <c r="BG2712" t="s">
        <v>53</v>
      </c>
      <c r="BH2712">
        <v>34</v>
      </c>
      <c r="BJ2712" s="114">
        <v>48</v>
      </c>
      <c r="BK2712" s="116">
        <v>175</v>
      </c>
      <c r="BL2712" s="120">
        <f t="shared" si="1082"/>
        <v>48175</v>
      </c>
      <c r="BN2712" s="5" t="s">
        <v>3154</v>
      </c>
      <c r="BZ2712" s="63">
        <f t="shared" si="1092"/>
        <v>3708</v>
      </c>
      <c r="CD2712" s="63">
        <v>0</v>
      </c>
      <c r="CE2712" s="63">
        <v>0</v>
      </c>
      <c r="CF2712" s="63">
        <v>0</v>
      </c>
      <c r="CG2712" s="8">
        <v>0</v>
      </c>
      <c r="CH2712" s="8">
        <v>0</v>
      </c>
      <c r="CI2712" s="8">
        <v>0</v>
      </c>
    </row>
    <row r="2713" spans="1:87" hidden="1" outlineLevel="1">
      <c r="A2713" t="s">
        <v>2798</v>
      </c>
      <c r="B2713" t="s">
        <v>53</v>
      </c>
      <c r="C2713" s="1">
        <f t="shared" si="1083"/>
        <v>6349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7</v>
      </c>
      <c r="G2713" s="132">
        <f t="shared" si="1093"/>
        <v>3016</v>
      </c>
      <c r="H2713" s="137">
        <f t="shared" si="1094"/>
        <v>0.47503543865175618</v>
      </c>
      <c r="I2713" s="2"/>
      <c r="J2713" s="2">
        <f t="shared" si="1084"/>
        <v>0.24744054181760908</v>
      </c>
      <c r="K2713" s="2">
        <f t="shared" si="1085"/>
        <v>0.72247598046936523</v>
      </c>
      <c r="L2713" s="2">
        <f t="shared" si="1086"/>
        <v>1.5750511891636477E-4</v>
      </c>
      <c r="M2713" s="2">
        <f t="shared" si="1087"/>
        <v>2.9925972594109299E-2</v>
      </c>
      <c r="N2713" s="63">
        <v>1571</v>
      </c>
      <c r="O2713" s="63">
        <v>4587</v>
      </c>
      <c r="P2713" s="63">
        <v>1</v>
      </c>
      <c r="Q2713" s="63">
        <v>129</v>
      </c>
      <c r="R2713" s="63">
        <v>28</v>
      </c>
      <c r="S2713" s="63">
        <v>1</v>
      </c>
      <c r="T2713" s="63"/>
      <c r="U2713" s="63">
        <v>3</v>
      </c>
      <c r="V2713" s="63"/>
      <c r="W2713" s="63">
        <f>IF(Copyright!B$11=1,IF(CA2713&gt;0,CA2713-SUM(S2713:V2713)-P2713-SUM(X2713:AQ2713),SUM(CB2713:CI2713)),SUM(CB2713:CI2713))</f>
        <v>24</v>
      </c>
      <c r="X2713" s="63"/>
      <c r="Y2713" s="63">
        <v>1</v>
      </c>
      <c r="Z2713" s="63"/>
      <c r="AA2713" s="63">
        <v>1</v>
      </c>
      <c r="AB2713" s="63"/>
      <c r="AC2713" s="63"/>
      <c r="AD2713" s="63"/>
      <c r="AE2713" s="63">
        <v>1</v>
      </c>
      <c r="AF2713" s="63"/>
      <c r="AG2713" s="63"/>
      <c r="AH2713" s="63"/>
      <c r="AI2713" s="63"/>
      <c r="AJ2713" s="63"/>
      <c r="AK2713" s="63"/>
      <c r="AL2713" s="63"/>
      <c r="AM2713" s="63"/>
      <c r="AN2713" s="63">
        <v>2</v>
      </c>
      <c r="AO2713" s="63"/>
      <c r="AP2713" s="63"/>
      <c r="AQ2713" s="63"/>
      <c r="AR2713" s="63"/>
      <c r="AS2713" s="63"/>
      <c r="AT2713" s="63"/>
      <c r="AU2713" s="63"/>
      <c r="AW2713" s="5">
        <f>IF(Q2713&gt;0,RANK(Q2713,(N2713:P2713,Q2713:AE2713)),0)</f>
        <v>3</v>
      </c>
      <c r="AX2713" s="5">
        <f>IF(R2713&gt;0,RANK(R2713,(N2713:P2713,Q2713:AE2713)),0)</f>
        <v>4</v>
      </c>
      <c r="AY2713" s="5">
        <f>IF(T2713&gt;0,RANK(T2713,(N2713:P2713,Q2713:AE2713)),0)</f>
        <v>0</v>
      </c>
      <c r="AZ2713" s="5">
        <f>IF(S2713&gt;0,RANK(S2713,(N2713:P2713,Q2713:AE2713)),0)</f>
        <v>7</v>
      </c>
      <c r="BA2713" s="2">
        <f t="shared" si="1088"/>
        <v>2.0318160340211056E-2</v>
      </c>
      <c r="BB2713" s="2">
        <f t="shared" si="1089"/>
        <v>4.410143329658214E-3</v>
      </c>
      <c r="BC2713" s="2">
        <f t="shared" si="1090"/>
        <v>0</v>
      </c>
      <c r="BD2713" s="2">
        <f t="shared" si="1091"/>
        <v>1.5750511891636477E-4</v>
      </c>
      <c r="BF2713" t="s">
        <v>2798</v>
      </c>
      <c r="BG2713" t="s">
        <v>53</v>
      </c>
      <c r="BJ2713" s="114">
        <v>48</v>
      </c>
      <c r="BK2713" s="116">
        <v>177</v>
      </c>
      <c r="BL2713" s="120">
        <f t="shared" si="1082"/>
        <v>48177</v>
      </c>
      <c r="BN2713" s="5" t="s">
        <v>3154</v>
      </c>
      <c r="BZ2713" s="63">
        <f t="shared" si="1092"/>
        <v>6349</v>
      </c>
      <c r="CA2713" s="63">
        <v>34</v>
      </c>
      <c r="CD2713" s="63">
        <v>3</v>
      </c>
      <c r="CE2713" s="63">
        <v>1</v>
      </c>
      <c r="CF2713" s="63">
        <v>1</v>
      </c>
      <c r="CG2713" s="8">
        <v>1</v>
      </c>
      <c r="CH2713" s="8">
        <v>1</v>
      </c>
      <c r="CI2713" s="8">
        <v>2</v>
      </c>
    </row>
    <row r="2714" spans="1:87" hidden="1" outlineLevel="1">
      <c r="A2714" t="s">
        <v>2207</v>
      </c>
      <c r="B2714" t="s">
        <v>53</v>
      </c>
      <c r="C2714" s="1">
        <f t="shared" si="1083"/>
        <v>7405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4</v>
      </c>
      <c r="G2714" s="132">
        <f t="shared" si="1093"/>
        <v>5799</v>
      </c>
      <c r="H2714" s="137">
        <f t="shared" si="1094"/>
        <v>0.78311951384199863</v>
      </c>
      <c r="I2714" s="2"/>
      <c r="J2714" s="2">
        <f t="shared" si="1084"/>
        <v>9.4665766374071578E-2</v>
      </c>
      <c r="K2714" s="2">
        <f t="shared" si="1085"/>
        <v>0.87778528021607027</v>
      </c>
      <c r="L2714" s="2">
        <f t="shared" si="1086"/>
        <v>4.3214044564483453E-3</v>
      </c>
      <c r="M2714" s="2">
        <f t="shared" si="1087"/>
        <v>2.3227548953409845E-2</v>
      </c>
      <c r="N2714" s="63">
        <v>701</v>
      </c>
      <c r="O2714" s="63">
        <v>6500</v>
      </c>
      <c r="P2714" s="63">
        <v>32</v>
      </c>
      <c r="Q2714" s="63">
        <v>144</v>
      </c>
      <c r="R2714" s="63">
        <v>22</v>
      </c>
      <c r="S2714" s="63">
        <v>4</v>
      </c>
      <c r="T2714" s="63"/>
      <c r="U2714" s="63">
        <v>0</v>
      </c>
      <c r="V2714" s="63"/>
      <c r="W2714" s="63">
        <f>IF(Copyright!B$11=1,IF(CA2714&gt;0,CA2714-SUM(S2714:V2714)-P2714-SUM(X2714:AQ2714),SUM(CB2714:CI2714)),SUM(CB2714:CI2714))</f>
        <v>1</v>
      </c>
      <c r="X2714" s="63"/>
      <c r="Y2714" s="63">
        <v>1</v>
      </c>
      <c r="Z2714" s="63"/>
      <c r="AA2714" s="63">
        <v>0</v>
      </c>
      <c r="AB2714" s="63"/>
      <c r="AC2714" s="63"/>
      <c r="AD2714" s="63"/>
      <c r="AE2714" s="63">
        <v>0</v>
      </c>
      <c r="AF2714" s="63"/>
      <c r="AG2714" s="63"/>
      <c r="AH2714" s="63"/>
      <c r="AI2714" s="63"/>
      <c r="AJ2714" s="63"/>
      <c r="AK2714" s="63"/>
      <c r="AL2714" s="63"/>
      <c r="AM2714" s="63"/>
      <c r="AN2714" s="63">
        <v>0</v>
      </c>
      <c r="AO2714" s="63"/>
      <c r="AP2714" s="63"/>
      <c r="AQ2714" s="63"/>
      <c r="AR2714" s="63"/>
      <c r="AS2714" s="63"/>
      <c r="AT2714" s="63"/>
      <c r="AU2714" s="63"/>
      <c r="AW2714" s="5">
        <f>IF(Q2714&gt;0,RANK(Q2714,(N2714:P2714,Q2714:AE2714)),0)</f>
        <v>3</v>
      </c>
      <c r="AX2714" s="5">
        <f>IF(R2714&gt;0,RANK(R2714,(N2714:P2714,Q2714:AE2714)),0)</f>
        <v>5</v>
      </c>
      <c r="AY2714" s="5">
        <f>IF(T2714&gt;0,RANK(T2714,(N2714:P2714,Q2714:AE2714)),0)</f>
        <v>0</v>
      </c>
      <c r="AZ2714" s="5">
        <f>IF(S2714&gt;0,RANK(S2714,(N2714:P2714,Q2714:AE2714)),0)</f>
        <v>6</v>
      </c>
      <c r="BA2714" s="2">
        <f t="shared" si="1088"/>
        <v>1.9446320054017557E-2</v>
      </c>
      <c r="BB2714" s="2">
        <f t="shared" si="1089"/>
        <v>2.9709655638082378E-3</v>
      </c>
      <c r="BC2714" s="2">
        <f t="shared" si="1090"/>
        <v>0</v>
      </c>
      <c r="BD2714" s="2">
        <f t="shared" si="1091"/>
        <v>5.4017555705604316E-4</v>
      </c>
      <c r="BF2714" t="s">
        <v>2207</v>
      </c>
      <c r="BG2714" t="s">
        <v>53</v>
      </c>
      <c r="BH2714">
        <v>13</v>
      </c>
      <c r="BJ2714" s="114">
        <v>48</v>
      </c>
      <c r="BK2714" s="116">
        <v>179</v>
      </c>
      <c r="BL2714" s="120">
        <f t="shared" si="1082"/>
        <v>48179</v>
      </c>
      <c r="BN2714" s="5" t="s">
        <v>3154</v>
      </c>
      <c r="BZ2714" s="63">
        <f t="shared" si="1092"/>
        <v>7405</v>
      </c>
      <c r="CD2714" s="63">
        <v>0</v>
      </c>
      <c r="CE2714" s="63">
        <v>0</v>
      </c>
      <c r="CF2714" s="63">
        <v>0</v>
      </c>
      <c r="CG2714" s="8">
        <v>0</v>
      </c>
      <c r="CH2714" s="8">
        <v>0</v>
      </c>
      <c r="CI2714" s="8">
        <v>1</v>
      </c>
    </row>
    <row r="2715" spans="1:87" hidden="1" outlineLevel="1">
      <c r="A2715" t="s">
        <v>2250</v>
      </c>
      <c r="B2715" t="s">
        <v>53</v>
      </c>
      <c r="C2715" s="1">
        <f t="shared" si="1083"/>
        <v>47416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5</v>
      </c>
      <c r="G2715" s="132">
        <f t="shared" si="1093"/>
        <v>25024</v>
      </c>
      <c r="H2715" s="137">
        <f t="shared" si="1094"/>
        <v>0.52775434452505487</v>
      </c>
      <c r="I2715" s="2"/>
      <c r="J2715" s="2">
        <f t="shared" si="1084"/>
        <v>0.21724734266914122</v>
      </c>
      <c r="K2715" s="2">
        <f t="shared" si="1085"/>
        <v>0.74500168719419602</v>
      </c>
      <c r="L2715" s="2">
        <f t="shared" si="1086"/>
        <v>4.4921545469883582E-3</v>
      </c>
      <c r="M2715" s="2">
        <f t="shared" si="1087"/>
        <v>3.3258815589674376E-2</v>
      </c>
      <c r="N2715" s="63">
        <v>10301</v>
      </c>
      <c r="O2715" s="63">
        <v>35325</v>
      </c>
      <c r="P2715" s="63">
        <v>213</v>
      </c>
      <c r="Q2715" s="63">
        <v>1258</v>
      </c>
      <c r="R2715" s="63">
        <v>264</v>
      </c>
      <c r="S2715" s="63">
        <v>32</v>
      </c>
      <c r="T2715" s="63"/>
      <c r="U2715" s="63">
        <v>0</v>
      </c>
      <c r="V2715" s="63"/>
      <c r="W2715" s="63">
        <f>IF(Copyright!B$11=1,IF(CA2715&gt;0,CA2715-SUM(S2715:V2715)-P2715-SUM(X2715:AQ2715),SUM(CB2715:CI2715)),SUM(CB2715:CI2715))</f>
        <v>5</v>
      </c>
      <c r="X2715" s="63"/>
      <c r="Y2715" s="63">
        <v>4</v>
      </c>
      <c r="Z2715" s="63"/>
      <c r="AA2715" s="63">
        <v>0</v>
      </c>
      <c r="AB2715" s="63"/>
      <c r="AC2715" s="63"/>
      <c r="AD2715" s="63"/>
      <c r="AE2715" s="63">
        <v>7</v>
      </c>
      <c r="AF2715" s="63"/>
      <c r="AG2715" s="63"/>
      <c r="AH2715" s="63"/>
      <c r="AI2715" s="63"/>
      <c r="AJ2715" s="63"/>
      <c r="AK2715" s="63"/>
      <c r="AL2715" s="63"/>
      <c r="AM2715" s="63"/>
      <c r="AN2715" s="63">
        <v>7</v>
      </c>
      <c r="AO2715" s="63"/>
      <c r="AP2715" s="63"/>
      <c r="AQ2715" s="63"/>
      <c r="AR2715" s="63"/>
      <c r="AS2715" s="63"/>
      <c r="AT2715" s="63"/>
      <c r="AU2715" s="63"/>
      <c r="AW2715" s="5">
        <f>IF(Q2715&gt;0,RANK(Q2715,(N2715:P2715,Q2715:AE2715)),0)</f>
        <v>3</v>
      </c>
      <c r="AX2715" s="5">
        <f>IF(R2715&gt;0,RANK(R2715,(N2715:P2715,Q2715:AE2715)),0)</f>
        <v>4</v>
      </c>
      <c r="AY2715" s="5">
        <f>IF(T2715&gt;0,RANK(T2715,(N2715:P2715,Q2715:AE2715)),0)</f>
        <v>0</v>
      </c>
      <c r="AZ2715" s="5">
        <f>IF(S2715&gt;0,RANK(S2715,(N2715:P2715,Q2715:AE2715)),0)</f>
        <v>6</v>
      </c>
      <c r="BA2715" s="2">
        <f t="shared" si="1088"/>
        <v>2.6531128732917159E-2</v>
      </c>
      <c r="BB2715" s="2">
        <f t="shared" si="1089"/>
        <v>5.5677408469714867E-3</v>
      </c>
      <c r="BC2715" s="2">
        <f t="shared" si="1090"/>
        <v>0</v>
      </c>
      <c r="BD2715" s="2">
        <f t="shared" si="1091"/>
        <v>6.7487767842078618E-4</v>
      </c>
      <c r="BF2715" t="s">
        <v>2250</v>
      </c>
      <c r="BG2715" t="s">
        <v>53</v>
      </c>
      <c r="BH2715">
        <v>4</v>
      </c>
      <c r="BJ2715" s="114">
        <v>48</v>
      </c>
      <c r="BK2715" s="116">
        <v>181</v>
      </c>
      <c r="BL2715" s="120">
        <f t="shared" si="1082"/>
        <v>48181</v>
      </c>
      <c r="BN2715" s="5" t="s">
        <v>3154</v>
      </c>
      <c r="BZ2715" s="63">
        <f t="shared" si="1092"/>
        <v>47416</v>
      </c>
      <c r="CD2715" s="63">
        <v>1</v>
      </c>
      <c r="CE2715" s="63">
        <v>0</v>
      </c>
      <c r="CF2715" s="63">
        <v>1</v>
      </c>
      <c r="CG2715" s="8">
        <v>0</v>
      </c>
      <c r="CH2715" s="8">
        <v>1</v>
      </c>
      <c r="CI2715" s="8">
        <v>2</v>
      </c>
    </row>
    <row r="2716" spans="1:87" hidden="1" outlineLevel="1">
      <c r="A2716" t="s">
        <v>140</v>
      </c>
      <c r="B2716" t="s">
        <v>53</v>
      </c>
      <c r="C2716" s="1">
        <f t="shared" si="1083"/>
        <v>41749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4</v>
      </c>
      <c r="G2716" s="132">
        <f t="shared" si="1093"/>
        <v>17087</v>
      </c>
      <c r="H2716" s="137">
        <f t="shared" si="1094"/>
        <v>0.40927926417399219</v>
      </c>
      <c r="I2716" s="2"/>
      <c r="J2716" s="2">
        <f t="shared" si="1084"/>
        <v>0.27969532204364178</v>
      </c>
      <c r="K2716" s="2">
        <f t="shared" si="1085"/>
        <v>0.68897458621763397</v>
      </c>
      <c r="L2716" s="2">
        <f t="shared" si="1086"/>
        <v>4.8863445831037865E-3</v>
      </c>
      <c r="M2716" s="2">
        <f t="shared" si="1087"/>
        <v>2.6443747155620465E-2</v>
      </c>
      <c r="N2716" s="63">
        <v>11677</v>
      </c>
      <c r="O2716" s="63">
        <v>28764</v>
      </c>
      <c r="P2716" s="63">
        <v>204</v>
      </c>
      <c r="Q2716" s="63">
        <v>903</v>
      </c>
      <c r="R2716" s="63">
        <v>150</v>
      </c>
      <c r="S2716" s="63">
        <v>27</v>
      </c>
      <c r="T2716" s="63"/>
      <c r="U2716" s="63">
        <v>0</v>
      </c>
      <c r="V2716" s="63"/>
      <c r="W2716" s="63">
        <f>IF(Copyright!B$11=1,IF(CA2716&gt;0,CA2716-SUM(S2716:V2716)-P2716-SUM(X2716:AQ2716),SUM(CB2716:CI2716)),SUM(CB2716:CI2716))</f>
        <v>2</v>
      </c>
      <c r="X2716" s="63"/>
      <c r="Y2716" s="63">
        <v>6</v>
      </c>
      <c r="Z2716" s="63"/>
      <c r="AA2716" s="63">
        <v>1</v>
      </c>
      <c r="AB2716" s="63"/>
      <c r="AC2716" s="63"/>
      <c r="AD2716" s="63"/>
      <c r="AE2716" s="63">
        <v>7</v>
      </c>
      <c r="AF2716" s="63"/>
      <c r="AG2716" s="63"/>
      <c r="AH2716" s="63"/>
      <c r="AI2716" s="63"/>
      <c r="AJ2716" s="63"/>
      <c r="AK2716" s="63"/>
      <c r="AL2716" s="63"/>
      <c r="AM2716" s="63"/>
      <c r="AN2716" s="63">
        <v>8</v>
      </c>
      <c r="AO2716" s="63"/>
      <c r="AP2716" s="63"/>
      <c r="AQ2716" s="63"/>
      <c r="AR2716" s="63"/>
      <c r="AS2716" s="63"/>
      <c r="AT2716" s="63"/>
      <c r="AU2716" s="63"/>
      <c r="AW2716" s="5">
        <f>IF(Q2716&gt;0,RANK(Q2716,(N2716:P2716,Q2716:AE2716)),0)</f>
        <v>3</v>
      </c>
      <c r="AX2716" s="5">
        <f>IF(R2716&gt;0,RANK(R2716,(N2716:P2716,Q2716:AE2716)),0)</f>
        <v>5</v>
      </c>
      <c r="AY2716" s="5">
        <f>IF(T2716&gt;0,RANK(T2716,(N2716:P2716,Q2716:AE2716)),0)</f>
        <v>0</v>
      </c>
      <c r="AZ2716" s="5">
        <f>IF(S2716&gt;0,RANK(S2716,(N2716:P2716,Q2716:AE2716)),0)</f>
        <v>6</v>
      </c>
      <c r="BA2716" s="2">
        <f t="shared" si="1088"/>
        <v>2.1629260581091762E-2</v>
      </c>
      <c r="BB2716" s="2">
        <f t="shared" si="1089"/>
        <v>3.5929004287527846E-3</v>
      </c>
      <c r="BC2716" s="2">
        <f t="shared" si="1090"/>
        <v>0</v>
      </c>
      <c r="BD2716" s="2">
        <f t="shared" si="1091"/>
        <v>6.467220771755012E-4</v>
      </c>
      <c r="BF2716" t="s">
        <v>140</v>
      </c>
      <c r="BG2716" t="s">
        <v>53</v>
      </c>
      <c r="BH2716">
        <v>1</v>
      </c>
      <c r="BJ2716" s="114">
        <v>48</v>
      </c>
      <c r="BK2716" s="116">
        <v>183</v>
      </c>
      <c r="BL2716" s="120">
        <f t="shared" si="1082"/>
        <v>48183</v>
      </c>
      <c r="BN2716" s="5" t="s">
        <v>3154</v>
      </c>
      <c r="BZ2716" s="63">
        <f t="shared" si="1092"/>
        <v>41749</v>
      </c>
      <c r="CD2716" s="63">
        <v>0</v>
      </c>
      <c r="CE2716" s="63">
        <v>0</v>
      </c>
      <c r="CF2716" s="63">
        <v>2</v>
      </c>
      <c r="CG2716" s="8">
        <v>0</v>
      </c>
      <c r="CH2716" s="8">
        <v>0</v>
      </c>
      <c r="CI2716" s="8">
        <v>0</v>
      </c>
    </row>
    <row r="2717" spans="1:87" hidden="1" outlineLevel="1">
      <c r="A2717" t="s">
        <v>487</v>
      </c>
      <c r="B2717" t="s">
        <v>53</v>
      </c>
      <c r="C2717" s="1">
        <f t="shared" si="1083"/>
        <v>9533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32">
        <f t="shared" si="1093"/>
        <v>4871</v>
      </c>
      <c r="H2717" s="137">
        <f t="shared" si="1094"/>
        <v>0.51096192174551558</v>
      </c>
      <c r="I2717" s="2"/>
      <c r="J2717" s="2">
        <f t="shared" si="1084"/>
        <v>0.23014790726948495</v>
      </c>
      <c r="K2717" s="2">
        <f t="shared" si="1085"/>
        <v>0.74110982901500055</v>
      </c>
      <c r="L2717" s="2">
        <f t="shared" si="1086"/>
        <v>0</v>
      </c>
      <c r="M2717" s="2">
        <f t="shared" si="1087"/>
        <v>2.8742263715514471E-2</v>
      </c>
      <c r="N2717" s="63">
        <v>2194</v>
      </c>
      <c r="O2717" s="63">
        <v>7065</v>
      </c>
      <c r="P2717" s="63">
        <v>0</v>
      </c>
      <c r="Q2717" s="63">
        <v>219</v>
      </c>
      <c r="R2717" s="63">
        <v>50</v>
      </c>
      <c r="S2717" s="63">
        <v>5</v>
      </c>
      <c r="T2717" s="63"/>
      <c r="U2717" s="63">
        <v>0</v>
      </c>
      <c r="V2717" s="63"/>
      <c r="W2717" s="63">
        <f>IF(Copyright!B$11=1,IF(CA2717&gt;0,CA2717-SUM(S2717:V2717)-P2717-SUM(X2717:AQ2717),SUM(CB2717:CI2717)),SUM(CB2717:CI2717))</f>
        <v>0</v>
      </c>
      <c r="X2717" s="63"/>
      <c r="Y2717" s="63">
        <v>0</v>
      </c>
      <c r="Z2717" s="63"/>
      <c r="AA2717" s="63">
        <v>0</v>
      </c>
      <c r="AB2717" s="63"/>
      <c r="AC2717" s="63"/>
      <c r="AD2717" s="63"/>
      <c r="AE2717" s="63">
        <v>0</v>
      </c>
      <c r="AF2717" s="63"/>
      <c r="AG2717" s="63"/>
      <c r="AH2717" s="63"/>
      <c r="AI2717" s="63"/>
      <c r="AJ2717" s="63"/>
      <c r="AK2717" s="63"/>
      <c r="AL2717" s="63"/>
      <c r="AM2717" s="63"/>
      <c r="AN2717" s="63">
        <v>0</v>
      </c>
      <c r="AO2717" s="63"/>
      <c r="AP2717" s="63"/>
      <c r="AQ2717" s="63"/>
      <c r="AR2717" s="63"/>
      <c r="AS2717" s="63"/>
      <c r="AT2717" s="63"/>
      <c r="AU2717" s="63"/>
      <c r="AW2717" s="5">
        <f>IF(Q2717&gt;0,RANK(Q2717,(N2717:P2717,Q2717:AE2717)),0)</f>
        <v>3</v>
      </c>
      <c r="AX2717" s="5">
        <f>IF(R2717&gt;0,RANK(R2717,(N2717:P2717,Q2717:AE2717)),0)</f>
        <v>4</v>
      </c>
      <c r="AY2717" s="5">
        <f>IF(T2717&gt;0,RANK(T2717,(N2717:P2717,Q2717:AE2717)),0)</f>
        <v>0</v>
      </c>
      <c r="AZ2717" s="5">
        <f>IF(S2717&gt;0,RANK(S2717,(N2717:P2717,Q2717:AE2717)),0)</f>
        <v>5</v>
      </c>
      <c r="BA2717" s="2">
        <f t="shared" si="1088"/>
        <v>2.2972831217874752E-2</v>
      </c>
      <c r="BB2717" s="2">
        <f t="shared" si="1089"/>
        <v>5.2449386342179796E-3</v>
      </c>
      <c r="BC2717" s="2">
        <f t="shared" si="1090"/>
        <v>0</v>
      </c>
      <c r="BD2717" s="2">
        <f t="shared" si="1091"/>
        <v>5.2449386342179793E-4</v>
      </c>
      <c r="BF2717" t="s">
        <v>487</v>
      </c>
      <c r="BG2717" t="s">
        <v>53</v>
      </c>
      <c r="BH2717">
        <v>8</v>
      </c>
      <c r="BJ2717" s="114">
        <v>48</v>
      </c>
      <c r="BK2717" s="116">
        <v>185</v>
      </c>
      <c r="BL2717" s="120">
        <f t="shared" si="1082"/>
        <v>48185</v>
      </c>
      <c r="BN2717" s="5" t="s">
        <v>3154</v>
      </c>
      <c r="BZ2717" s="63">
        <f t="shared" si="1092"/>
        <v>9533</v>
      </c>
      <c r="CD2717" s="63">
        <v>0</v>
      </c>
      <c r="CE2717" s="63">
        <v>0</v>
      </c>
      <c r="CF2717" s="63">
        <v>0</v>
      </c>
      <c r="CG2717" s="8">
        <v>0</v>
      </c>
      <c r="CH2717" s="8">
        <v>0</v>
      </c>
      <c r="CI2717" s="8">
        <v>0</v>
      </c>
    </row>
    <row r="2718" spans="1:87" hidden="1" outlineLevel="1">
      <c r="A2718" t="s">
        <v>2876</v>
      </c>
      <c r="B2718" t="s">
        <v>53</v>
      </c>
      <c r="C2718" s="1">
        <f t="shared" si="1083"/>
        <v>58123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6</v>
      </c>
      <c r="G2718" s="132">
        <f t="shared" si="1093"/>
        <v>18241</v>
      </c>
      <c r="H2718" s="137">
        <f t="shared" si="1094"/>
        <v>0.31383445451886516</v>
      </c>
      <c r="I2718" s="2"/>
      <c r="J2718" s="2">
        <f t="shared" si="1084"/>
        <v>0.31641518847960359</v>
      </c>
      <c r="K2718" s="2">
        <f t="shared" si="1085"/>
        <v>0.63024964299846875</v>
      </c>
      <c r="L2718" s="2">
        <f t="shared" si="1086"/>
        <v>5.0926483491905098E-3</v>
      </c>
      <c r="M2718" s="2">
        <f t="shared" si="1087"/>
        <v>4.8242520172737148E-2</v>
      </c>
      <c r="N2718" s="63">
        <v>18391</v>
      </c>
      <c r="O2718" s="63">
        <v>36632</v>
      </c>
      <c r="P2718" s="63">
        <v>296</v>
      </c>
      <c r="Q2718" s="63">
        <v>2022</v>
      </c>
      <c r="R2718" s="63">
        <v>412</v>
      </c>
      <c r="S2718" s="63">
        <v>46</v>
      </c>
      <c r="T2718" s="63"/>
      <c r="U2718" s="63">
        <v>0</v>
      </c>
      <c r="V2718" s="63"/>
      <c r="W2718" s="63">
        <f>IF(Copyright!B$11=1,IF(CA2718&gt;0,CA2718-SUM(S2718:V2718)-P2718-SUM(X2718:AQ2718),SUM(CB2718:CI2718)),SUM(CB2718:CI2718))</f>
        <v>305</v>
      </c>
      <c r="X2718" s="63"/>
      <c r="Y2718" s="63">
        <v>5</v>
      </c>
      <c r="Z2718" s="63"/>
      <c r="AA2718" s="63">
        <v>0</v>
      </c>
      <c r="AB2718" s="63"/>
      <c r="AC2718" s="63"/>
      <c r="AD2718" s="63"/>
      <c r="AE2718" s="63">
        <v>5</v>
      </c>
      <c r="AF2718" s="63"/>
      <c r="AG2718" s="63"/>
      <c r="AH2718" s="63"/>
      <c r="AI2718" s="63"/>
      <c r="AJ2718" s="63"/>
      <c r="AK2718" s="63"/>
      <c r="AL2718" s="63"/>
      <c r="AM2718" s="63"/>
      <c r="AN2718" s="63">
        <v>9</v>
      </c>
      <c r="AO2718" s="63"/>
      <c r="AP2718" s="63"/>
      <c r="AQ2718" s="63"/>
      <c r="AR2718" s="63"/>
      <c r="AS2718" s="63"/>
      <c r="AT2718" s="63"/>
      <c r="AU2718" s="63"/>
      <c r="AW2718" s="5">
        <f>IF(Q2718&gt;0,RANK(Q2718,(N2718:P2718,Q2718:AE2718)),0)</f>
        <v>3</v>
      </c>
      <c r="AX2718" s="5">
        <f>IF(R2718&gt;0,RANK(R2718,(N2718:P2718,Q2718:AE2718)),0)</f>
        <v>4</v>
      </c>
      <c r="AY2718" s="5">
        <f>IF(T2718&gt;0,RANK(T2718,(N2718:P2718,Q2718:AE2718)),0)</f>
        <v>0</v>
      </c>
      <c r="AZ2718" s="5">
        <f>IF(S2718&gt;0,RANK(S2718,(N2718:P2718,Q2718:AE2718)),0)</f>
        <v>7</v>
      </c>
      <c r="BA2718" s="2">
        <f t="shared" si="1088"/>
        <v>3.4788293790754092E-2</v>
      </c>
      <c r="BB2718" s="2">
        <f t="shared" si="1089"/>
        <v>7.0884159454948983E-3</v>
      </c>
      <c r="BC2718" s="2">
        <f t="shared" si="1090"/>
        <v>0</v>
      </c>
      <c r="BD2718" s="2">
        <f t="shared" si="1091"/>
        <v>7.9142508129311981E-4</v>
      </c>
      <c r="BF2718" t="s">
        <v>2876</v>
      </c>
      <c r="BG2718" t="s">
        <v>53</v>
      </c>
      <c r="BJ2718" s="114">
        <v>48</v>
      </c>
      <c r="BK2718" s="116">
        <v>187</v>
      </c>
      <c r="BL2718" s="120">
        <f t="shared" si="1082"/>
        <v>48187</v>
      </c>
      <c r="BN2718" s="5" t="s">
        <v>3154</v>
      </c>
      <c r="BY2718" s="63">
        <v>58123</v>
      </c>
      <c r="BZ2718" s="63">
        <f t="shared" si="1092"/>
        <v>58123</v>
      </c>
      <c r="CA2718" s="63">
        <v>666</v>
      </c>
      <c r="CD2718" s="63">
        <v>1</v>
      </c>
      <c r="CE2718" s="63">
        <v>0</v>
      </c>
      <c r="CF2718" s="63">
        <v>3</v>
      </c>
      <c r="CG2718" s="8">
        <v>0</v>
      </c>
      <c r="CH2718" s="8">
        <v>0</v>
      </c>
      <c r="CI2718" s="8">
        <v>0</v>
      </c>
    </row>
    <row r="2719" spans="1:87" hidden="1" outlineLevel="1">
      <c r="A2719" t="s">
        <v>3084</v>
      </c>
      <c r="B2719" t="s">
        <v>53</v>
      </c>
      <c r="C2719" s="1">
        <f t="shared" si="1083"/>
        <v>8858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5</v>
      </c>
      <c r="G2719" s="132">
        <f t="shared" si="1093"/>
        <v>4265</v>
      </c>
      <c r="H2719" s="137">
        <f t="shared" si="1094"/>
        <v>0.48148566267780535</v>
      </c>
      <c r="I2719" s="2"/>
      <c r="J2719" s="2">
        <f t="shared" si="1084"/>
        <v>0.23718672386543238</v>
      </c>
      <c r="K2719" s="2">
        <f t="shared" si="1085"/>
        <v>0.71867238654323773</v>
      </c>
      <c r="L2719" s="2">
        <f t="shared" si="1086"/>
        <v>2.1449537141566945E-3</v>
      </c>
      <c r="M2719" s="2">
        <f t="shared" si="1087"/>
        <v>4.1995935877173193E-2</v>
      </c>
      <c r="N2719" s="63">
        <v>2101</v>
      </c>
      <c r="O2719" s="63">
        <v>6366</v>
      </c>
      <c r="P2719" s="63">
        <v>19</v>
      </c>
      <c r="Q2719" s="63">
        <v>324</v>
      </c>
      <c r="R2719" s="63">
        <v>43</v>
      </c>
      <c r="S2719" s="63">
        <v>2</v>
      </c>
      <c r="T2719" s="63"/>
      <c r="U2719" s="63">
        <v>0</v>
      </c>
      <c r="V2719" s="63"/>
      <c r="W2719" s="63">
        <f>IF(Copyright!B$11=1,IF(CA2719&gt;0,CA2719-SUM(S2719:V2719)-P2719-SUM(X2719:AQ2719),SUM(CB2719:CI2719)),SUM(CB2719:CI2719))</f>
        <v>2</v>
      </c>
      <c r="X2719" s="63"/>
      <c r="Y2719" s="63">
        <v>0</v>
      </c>
      <c r="Z2719" s="63"/>
      <c r="AA2719" s="63">
        <v>0</v>
      </c>
      <c r="AB2719" s="63"/>
      <c r="AC2719" s="63"/>
      <c r="AD2719" s="63"/>
      <c r="AE2719" s="63">
        <v>0</v>
      </c>
      <c r="AF2719" s="63"/>
      <c r="AG2719" s="63"/>
      <c r="AH2719" s="63"/>
      <c r="AI2719" s="63"/>
      <c r="AJ2719" s="63"/>
      <c r="AK2719" s="63"/>
      <c r="AL2719" s="63"/>
      <c r="AM2719" s="63"/>
      <c r="AN2719" s="63">
        <v>1</v>
      </c>
      <c r="AO2719" s="63"/>
      <c r="AP2719" s="63"/>
      <c r="AQ2719" s="63"/>
      <c r="AR2719" s="63"/>
      <c r="AS2719" s="63"/>
      <c r="AT2719" s="63"/>
      <c r="AU2719" s="63"/>
      <c r="AW2719" s="5">
        <f>IF(Q2719&gt;0,RANK(Q2719,(N2719:P2719,Q2719:AE2719)),0)</f>
        <v>3</v>
      </c>
      <c r="AX2719" s="5">
        <f>IF(R2719&gt;0,RANK(R2719,(N2719:P2719,Q2719:AE2719)),0)</f>
        <v>4</v>
      </c>
      <c r="AY2719" s="5">
        <f>IF(T2719&gt;0,RANK(T2719,(N2719:P2719,Q2719:AE2719)),0)</f>
        <v>0</v>
      </c>
      <c r="AZ2719" s="5">
        <f>IF(S2719&gt;0,RANK(S2719,(N2719:P2719,Q2719:AE2719)),0)</f>
        <v>6</v>
      </c>
      <c r="BA2719" s="2">
        <f t="shared" si="1088"/>
        <v>3.6577105441408894E-2</v>
      </c>
      <c r="BB2719" s="2">
        <f t="shared" si="1089"/>
        <v>4.8543689320388345E-3</v>
      </c>
      <c r="BC2719" s="2">
        <f t="shared" si="1090"/>
        <v>0</v>
      </c>
      <c r="BD2719" s="2">
        <f t="shared" si="1091"/>
        <v>2.2578460149017836E-4</v>
      </c>
      <c r="BF2719" t="s">
        <v>3084</v>
      </c>
      <c r="BG2719" t="s">
        <v>53</v>
      </c>
      <c r="BH2719">
        <v>19</v>
      </c>
      <c r="BJ2719" s="114">
        <v>48</v>
      </c>
      <c r="BK2719" s="116">
        <v>189</v>
      </c>
      <c r="BL2719" s="120">
        <f t="shared" si="1082"/>
        <v>48189</v>
      </c>
      <c r="BN2719" s="5" t="s">
        <v>3154</v>
      </c>
      <c r="BZ2719" s="63">
        <f t="shared" si="1092"/>
        <v>8858</v>
      </c>
      <c r="CD2719" s="63">
        <v>1</v>
      </c>
      <c r="CE2719" s="63">
        <v>0</v>
      </c>
      <c r="CF2719" s="63">
        <v>1</v>
      </c>
      <c r="CG2719" s="8">
        <v>0</v>
      </c>
      <c r="CH2719" s="8">
        <v>0</v>
      </c>
      <c r="CI2719" s="8">
        <v>0</v>
      </c>
    </row>
    <row r="2720" spans="1:87" hidden="1" outlineLevel="1">
      <c r="A2720" t="s">
        <v>230</v>
      </c>
      <c r="B2720" t="s">
        <v>53</v>
      </c>
      <c r="C2720" s="1">
        <f t="shared" si="1083"/>
        <v>1091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32">
        <f t="shared" si="1093"/>
        <v>729</v>
      </c>
      <c r="H2720" s="137">
        <f t="shared" si="1094"/>
        <v>0.66819431714023836</v>
      </c>
      <c r="I2720" s="2"/>
      <c r="J2720" s="2">
        <f t="shared" si="1084"/>
        <v>0.15032080659945005</v>
      </c>
      <c r="K2720" s="2">
        <f t="shared" si="1085"/>
        <v>0.81851512373968838</v>
      </c>
      <c r="L2720" s="2">
        <f t="shared" si="1086"/>
        <v>0</v>
      </c>
      <c r="M2720" s="2">
        <f t="shared" si="1087"/>
        <v>3.1164069660861604E-2</v>
      </c>
      <c r="N2720" s="63">
        <v>164</v>
      </c>
      <c r="O2720" s="63">
        <v>893</v>
      </c>
      <c r="P2720" s="63">
        <v>0</v>
      </c>
      <c r="Q2720" s="63">
        <v>34</v>
      </c>
      <c r="R2720" s="63">
        <v>0</v>
      </c>
      <c r="S2720" s="63">
        <v>0</v>
      </c>
      <c r="T2720" s="63"/>
      <c r="U2720" s="63">
        <v>0</v>
      </c>
      <c r="V2720" s="63"/>
      <c r="W2720" s="63">
        <f>IF(Copyright!B$11=1,IF(CA2720&gt;0,CA2720-SUM(S2720:V2720)-P2720-SUM(X2720:AQ2720),SUM(CB2720:CI2720)),SUM(CB2720:CI2720))</f>
        <v>0</v>
      </c>
      <c r="X2720" s="63"/>
      <c r="Y2720" s="63">
        <v>0</v>
      </c>
      <c r="Z2720" s="63"/>
      <c r="AA2720" s="63">
        <v>0</v>
      </c>
      <c r="AB2720" s="63"/>
      <c r="AC2720" s="63"/>
      <c r="AD2720" s="63"/>
      <c r="AE2720" s="63">
        <v>0</v>
      </c>
      <c r="AF2720" s="63"/>
      <c r="AG2720" s="63"/>
      <c r="AH2720" s="63"/>
      <c r="AI2720" s="63"/>
      <c r="AJ2720" s="63"/>
      <c r="AK2720" s="63"/>
      <c r="AL2720" s="63"/>
      <c r="AM2720" s="63"/>
      <c r="AN2720" s="63">
        <v>0</v>
      </c>
      <c r="AO2720" s="63"/>
      <c r="AP2720" s="63"/>
      <c r="AQ2720" s="63"/>
      <c r="AR2720" s="63"/>
      <c r="AS2720" s="63"/>
      <c r="AT2720" s="63"/>
      <c r="AU2720" s="63"/>
      <c r="AW2720" s="5">
        <f>IF(Q2720&gt;0,RANK(Q2720,(N2720:P2720,Q2720:AE2720)),0)</f>
        <v>3</v>
      </c>
      <c r="AX2720" s="5">
        <f>IF(R2720&gt;0,RANK(R2720,(N2720:P2720,Q2720:AE2720)),0)</f>
        <v>0</v>
      </c>
      <c r="AY2720" s="5">
        <f>IF(T2720&gt;0,RANK(T2720,(N2720:P2720,Q2720:AE2720)),0)</f>
        <v>0</v>
      </c>
      <c r="AZ2720" s="5">
        <f>IF(S2720&gt;0,RANK(S2720,(N2720:P2720,Q2720:AE2720)),0)</f>
        <v>0</v>
      </c>
      <c r="BA2720" s="2">
        <f t="shared" si="1088"/>
        <v>3.1164069660861594E-2</v>
      </c>
      <c r="BB2720" s="2">
        <f t="shared" si="1089"/>
        <v>0</v>
      </c>
      <c r="BC2720" s="2">
        <f t="shared" si="1090"/>
        <v>0</v>
      </c>
      <c r="BD2720" s="2">
        <f t="shared" si="1091"/>
        <v>0</v>
      </c>
      <c r="BF2720" t="s">
        <v>230</v>
      </c>
      <c r="BG2720" t="s">
        <v>53</v>
      </c>
      <c r="BH2720">
        <v>13</v>
      </c>
      <c r="BJ2720" s="114">
        <v>48</v>
      </c>
      <c r="BK2720" s="116">
        <v>191</v>
      </c>
      <c r="BL2720" s="120">
        <f t="shared" si="1082"/>
        <v>48191</v>
      </c>
      <c r="BN2720" s="5" t="s">
        <v>3154</v>
      </c>
      <c r="BZ2720" s="63">
        <f t="shared" si="1092"/>
        <v>1091</v>
      </c>
      <c r="CD2720" s="63">
        <v>0</v>
      </c>
      <c r="CE2720" s="63">
        <v>0</v>
      </c>
      <c r="CF2720" s="63">
        <v>0</v>
      </c>
      <c r="CG2720" s="8">
        <v>0</v>
      </c>
      <c r="CH2720" s="8">
        <v>0</v>
      </c>
      <c r="CI2720" s="8">
        <v>0</v>
      </c>
    </row>
    <row r="2721" spans="1:87" hidden="1" outlineLevel="1">
      <c r="A2721" t="s">
        <v>2646</v>
      </c>
      <c r="B2721" t="s">
        <v>53</v>
      </c>
      <c r="C2721" s="1">
        <f t="shared" si="1083"/>
        <v>3620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6</v>
      </c>
      <c r="G2721" s="132">
        <f t="shared" si="1093"/>
        <v>2581</v>
      </c>
      <c r="H2721" s="137">
        <f t="shared" si="1094"/>
        <v>0.71298342541436466</v>
      </c>
      <c r="I2721" s="2"/>
      <c r="J2721" s="2">
        <f t="shared" si="1084"/>
        <v>0.13232044198895027</v>
      </c>
      <c r="K2721" s="2">
        <f t="shared" si="1085"/>
        <v>0.84530386740331487</v>
      </c>
      <c r="L2721" s="2">
        <f t="shared" si="1086"/>
        <v>8.2872928176795581E-4</v>
      </c>
      <c r="M2721" s="2">
        <f t="shared" si="1087"/>
        <v>2.1546961325966854E-2</v>
      </c>
      <c r="N2721" s="63">
        <v>479</v>
      </c>
      <c r="O2721" s="63">
        <v>3060</v>
      </c>
      <c r="P2721" s="63">
        <v>3</v>
      </c>
      <c r="Q2721" s="63">
        <v>64</v>
      </c>
      <c r="R2721" s="63">
        <v>10</v>
      </c>
      <c r="S2721" s="63">
        <v>4</v>
      </c>
      <c r="T2721" s="63"/>
      <c r="U2721" s="63">
        <v>0</v>
      </c>
      <c r="V2721" s="63"/>
      <c r="W2721" s="63">
        <f>IF(Copyright!B$11=1,IF(CA2721&gt;0,CA2721-SUM(S2721:V2721)-P2721-SUM(X2721:AQ2721),SUM(CB2721:CI2721)),SUM(CB2721:CI2721))</f>
        <v>0</v>
      </c>
      <c r="X2721" s="63"/>
      <c r="Y2721" s="63">
        <v>0</v>
      </c>
      <c r="Z2721" s="63"/>
      <c r="AA2721" s="63">
        <v>0</v>
      </c>
      <c r="AB2721" s="63"/>
      <c r="AC2721" s="63"/>
      <c r="AD2721" s="63"/>
      <c r="AE2721" s="63">
        <v>0</v>
      </c>
      <c r="AF2721" s="63"/>
      <c r="AG2721" s="63"/>
      <c r="AH2721" s="63"/>
      <c r="AI2721" s="63"/>
      <c r="AJ2721" s="63"/>
      <c r="AK2721" s="63"/>
      <c r="AL2721" s="63"/>
      <c r="AM2721" s="63"/>
      <c r="AN2721" s="63">
        <v>0</v>
      </c>
      <c r="AO2721" s="63"/>
      <c r="AP2721" s="63"/>
      <c r="AQ2721" s="63"/>
      <c r="AR2721" s="63"/>
      <c r="AS2721" s="63"/>
      <c r="AT2721" s="63"/>
      <c r="AU2721" s="63"/>
      <c r="AW2721" s="5">
        <f>IF(Q2721&gt;0,RANK(Q2721,(N2721:P2721,Q2721:AE2721)),0)</f>
        <v>3</v>
      </c>
      <c r="AX2721" s="5">
        <f>IF(R2721&gt;0,RANK(R2721,(N2721:P2721,Q2721:AE2721)),0)</f>
        <v>4</v>
      </c>
      <c r="AY2721" s="5">
        <f>IF(T2721&gt;0,RANK(T2721,(N2721:P2721,Q2721:AE2721)),0)</f>
        <v>0</v>
      </c>
      <c r="AZ2721" s="5">
        <f>IF(S2721&gt;0,RANK(S2721,(N2721:P2721,Q2721:AE2721)),0)</f>
        <v>5</v>
      </c>
      <c r="BA2721" s="2">
        <f t="shared" si="1088"/>
        <v>1.7679558011049725E-2</v>
      </c>
      <c r="BB2721" s="2">
        <f t="shared" si="1089"/>
        <v>2.7624309392265192E-3</v>
      </c>
      <c r="BC2721" s="2">
        <f t="shared" si="1090"/>
        <v>0</v>
      </c>
      <c r="BD2721" s="2">
        <f t="shared" si="1091"/>
        <v>1.1049723756906078E-3</v>
      </c>
      <c r="BF2721" t="s">
        <v>2646</v>
      </c>
      <c r="BG2721" t="s">
        <v>53</v>
      </c>
      <c r="BH2721">
        <v>25</v>
      </c>
      <c r="BJ2721" s="114">
        <v>48</v>
      </c>
      <c r="BK2721" s="116">
        <v>193</v>
      </c>
      <c r="BL2721" s="120">
        <f t="shared" si="1082"/>
        <v>48193</v>
      </c>
      <c r="BN2721" s="5" t="s">
        <v>3154</v>
      </c>
      <c r="BZ2721" s="63">
        <f t="shared" si="1092"/>
        <v>3620</v>
      </c>
      <c r="CD2721" s="63">
        <v>0</v>
      </c>
      <c r="CE2721" s="63">
        <v>0</v>
      </c>
      <c r="CF2721" s="63">
        <v>0</v>
      </c>
      <c r="CG2721" s="8">
        <v>0</v>
      </c>
      <c r="CH2721" s="8">
        <v>0</v>
      </c>
      <c r="CI2721" s="8">
        <v>0</v>
      </c>
    </row>
    <row r="2722" spans="1:87" hidden="1" outlineLevel="1">
      <c r="A2722" t="s">
        <v>284</v>
      </c>
      <c r="B2722" t="s">
        <v>53</v>
      </c>
      <c r="C2722" s="1">
        <f t="shared" si="1083"/>
        <v>1947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32">
        <f t="shared" si="1093"/>
        <v>1559</v>
      </c>
      <c r="H2722" s="137">
        <f t="shared" si="1094"/>
        <v>0.8007190549563431</v>
      </c>
      <c r="I2722" s="2"/>
      <c r="J2722" s="2">
        <f t="shared" si="1084"/>
        <v>8.7827426810477657E-2</v>
      </c>
      <c r="K2722" s="2">
        <f t="shared" si="1085"/>
        <v>0.88854648176682072</v>
      </c>
      <c r="L2722" s="2">
        <f t="shared" si="1086"/>
        <v>0</v>
      </c>
      <c r="M2722" s="2">
        <f t="shared" si="1087"/>
        <v>2.3626091422701667E-2</v>
      </c>
      <c r="N2722" s="63">
        <v>171</v>
      </c>
      <c r="O2722" s="63">
        <v>1730</v>
      </c>
      <c r="P2722" s="63">
        <v>0</v>
      </c>
      <c r="Q2722" s="63">
        <v>37</v>
      </c>
      <c r="R2722" s="63">
        <v>9</v>
      </c>
      <c r="S2722" s="63">
        <v>0</v>
      </c>
      <c r="T2722" s="63"/>
      <c r="U2722" s="63">
        <v>0</v>
      </c>
      <c r="V2722" s="63"/>
      <c r="W2722" s="63">
        <f>IF(Copyright!B$11=1,IF(CA2722&gt;0,CA2722-SUM(S2722:V2722)-P2722-SUM(X2722:AQ2722),SUM(CB2722:CI2722)),SUM(CB2722:CI2722))</f>
        <v>0</v>
      </c>
      <c r="X2722" s="63"/>
      <c r="Y2722" s="63">
        <v>0</v>
      </c>
      <c r="Z2722" s="63"/>
      <c r="AA2722" s="63">
        <v>0</v>
      </c>
      <c r="AB2722" s="63"/>
      <c r="AC2722" s="63"/>
      <c r="AD2722" s="63"/>
      <c r="AE2722" s="63">
        <v>0</v>
      </c>
      <c r="AF2722" s="63"/>
      <c r="AG2722" s="63"/>
      <c r="AH2722" s="63"/>
      <c r="AI2722" s="63"/>
      <c r="AJ2722" s="63"/>
      <c r="AK2722" s="63"/>
      <c r="AL2722" s="63"/>
      <c r="AM2722" s="63"/>
      <c r="AN2722" s="63">
        <v>0</v>
      </c>
      <c r="AO2722" s="63"/>
      <c r="AP2722" s="63"/>
      <c r="AQ2722" s="63"/>
      <c r="AR2722" s="63"/>
      <c r="AS2722" s="63"/>
      <c r="AT2722" s="63"/>
      <c r="AU2722" s="63"/>
      <c r="AW2722" s="5">
        <f>IF(Q2722&gt;0,RANK(Q2722,(N2722:P2722,Q2722:AE2722)),0)</f>
        <v>3</v>
      </c>
      <c r="AX2722" s="5">
        <f>IF(R2722&gt;0,RANK(R2722,(N2722:P2722,Q2722:AE2722)),0)</f>
        <v>4</v>
      </c>
      <c r="AY2722" s="5">
        <f>IF(T2722&gt;0,RANK(T2722,(N2722:P2722,Q2722:AE2722)),0)</f>
        <v>0</v>
      </c>
      <c r="AZ2722" s="5">
        <f>IF(S2722&gt;0,RANK(S2722,(N2722:P2722,Q2722:AE2722)),0)</f>
        <v>0</v>
      </c>
      <c r="BA2722" s="2">
        <f t="shared" si="1088"/>
        <v>1.9003595274781716E-2</v>
      </c>
      <c r="BB2722" s="2">
        <f t="shared" si="1089"/>
        <v>4.6224961479198771E-3</v>
      </c>
      <c r="BC2722" s="2">
        <f t="shared" si="1090"/>
        <v>0</v>
      </c>
      <c r="BD2722" s="2">
        <f t="shared" si="1091"/>
        <v>0</v>
      </c>
      <c r="BF2722" t="s">
        <v>284</v>
      </c>
      <c r="BG2722" t="s">
        <v>53</v>
      </c>
      <c r="BH2722">
        <v>13</v>
      </c>
      <c r="BJ2722" s="114">
        <v>48</v>
      </c>
      <c r="BK2722" s="116">
        <v>195</v>
      </c>
      <c r="BL2722" s="120">
        <f t="shared" si="1082"/>
        <v>48195</v>
      </c>
      <c r="BN2722" s="5" t="s">
        <v>3154</v>
      </c>
      <c r="BZ2722" s="63">
        <f t="shared" si="1092"/>
        <v>1947</v>
      </c>
      <c r="CD2722" s="63">
        <v>0</v>
      </c>
      <c r="CE2722" s="63">
        <v>0</v>
      </c>
      <c r="CF2722" s="63">
        <v>0</v>
      </c>
      <c r="CG2722" s="8">
        <v>0</v>
      </c>
      <c r="CH2722" s="8">
        <v>0</v>
      </c>
      <c r="CI2722" s="8">
        <v>0</v>
      </c>
    </row>
    <row r="2723" spans="1:87" hidden="1" outlineLevel="1">
      <c r="A2723" t="s">
        <v>588</v>
      </c>
      <c r="B2723" t="s">
        <v>53</v>
      </c>
      <c r="C2723" s="1">
        <f t="shared" si="1083"/>
        <v>1513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5</v>
      </c>
      <c r="G2723" s="132">
        <f t="shared" si="1093"/>
        <v>958</v>
      </c>
      <c r="H2723" s="137">
        <f t="shared" si="1094"/>
        <v>0.63317911434236618</v>
      </c>
      <c r="I2723" s="2"/>
      <c r="J2723" s="2">
        <f t="shared" si="1084"/>
        <v>0.16457369464639787</v>
      </c>
      <c r="K2723" s="2">
        <f t="shared" si="1085"/>
        <v>0.797752808988764</v>
      </c>
      <c r="L2723" s="2">
        <f t="shared" si="1086"/>
        <v>1.3218770654329147E-3</v>
      </c>
      <c r="M2723" s="2">
        <f t="shared" si="1087"/>
        <v>3.6351619299405273E-2</v>
      </c>
      <c r="N2723" s="63">
        <v>249</v>
      </c>
      <c r="O2723" s="63">
        <v>1207</v>
      </c>
      <c r="P2723" s="63">
        <v>2</v>
      </c>
      <c r="Q2723" s="63">
        <v>48</v>
      </c>
      <c r="R2723" s="63">
        <v>7</v>
      </c>
      <c r="S2723" s="63">
        <v>0</v>
      </c>
      <c r="T2723" s="63"/>
      <c r="U2723" s="63">
        <v>0</v>
      </c>
      <c r="V2723" s="63"/>
      <c r="W2723" s="63">
        <f>IF(Copyright!B$11=1,IF(CA2723&gt;0,CA2723-SUM(S2723:V2723)-P2723-SUM(X2723:AQ2723),SUM(CB2723:CI2723)),SUM(CB2723:CI2723))</f>
        <v>0</v>
      </c>
      <c r="X2723" s="63"/>
      <c r="Y2723" s="63">
        <v>0</v>
      </c>
      <c r="Z2723" s="63"/>
      <c r="AA2723" s="63">
        <v>0</v>
      </c>
      <c r="AB2723" s="63"/>
      <c r="AC2723" s="63"/>
      <c r="AD2723" s="63"/>
      <c r="AE2723" s="63">
        <v>0</v>
      </c>
      <c r="AF2723" s="63"/>
      <c r="AG2723" s="63"/>
      <c r="AH2723" s="63"/>
      <c r="AI2723" s="63"/>
      <c r="AJ2723" s="63"/>
      <c r="AK2723" s="63"/>
      <c r="AL2723" s="63"/>
      <c r="AM2723" s="63"/>
      <c r="AN2723" s="63">
        <v>0</v>
      </c>
      <c r="AO2723" s="63"/>
      <c r="AP2723" s="63"/>
      <c r="AQ2723" s="63"/>
      <c r="AR2723" s="63"/>
      <c r="AS2723" s="63"/>
      <c r="AT2723" s="63"/>
      <c r="AU2723" s="63"/>
      <c r="AW2723" s="5">
        <f>IF(Q2723&gt;0,RANK(Q2723,(N2723:P2723,Q2723:AE2723)),0)</f>
        <v>3</v>
      </c>
      <c r="AX2723" s="5">
        <f>IF(R2723&gt;0,RANK(R2723,(N2723:P2723,Q2723:AE2723)),0)</f>
        <v>4</v>
      </c>
      <c r="AY2723" s="5">
        <f>IF(T2723&gt;0,RANK(T2723,(N2723:P2723,Q2723:AE2723)),0)</f>
        <v>0</v>
      </c>
      <c r="AZ2723" s="5">
        <f>IF(S2723&gt;0,RANK(S2723,(N2723:P2723,Q2723:AE2723)),0)</f>
        <v>0</v>
      </c>
      <c r="BA2723" s="2">
        <f t="shared" si="1088"/>
        <v>3.1725049570389956E-2</v>
      </c>
      <c r="BB2723" s="2">
        <f t="shared" si="1089"/>
        <v>4.626569729015202E-3</v>
      </c>
      <c r="BC2723" s="2">
        <f t="shared" si="1090"/>
        <v>0</v>
      </c>
      <c r="BD2723" s="2">
        <f t="shared" si="1091"/>
        <v>0</v>
      </c>
      <c r="BF2723" t="s">
        <v>588</v>
      </c>
      <c r="BG2723" t="s">
        <v>53</v>
      </c>
      <c r="BH2723">
        <v>13</v>
      </c>
      <c r="BJ2723" s="114">
        <v>48</v>
      </c>
      <c r="BK2723" s="116">
        <v>197</v>
      </c>
      <c r="BL2723" s="120">
        <f t="shared" si="1082"/>
        <v>48197</v>
      </c>
      <c r="BN2723" s="5" t="s">
        <v>3154</v>
      </c>
      <c r="BZ2723" s="63">
        <f t="shared" si="1092"/>
        <v>1513</v>
      </c>
      <c r="CD2723" s="63">
        <v>0</v>
      </c>
      <c r="CE2723" s="63">
        <v>0</v>
      </c>
      <c r="CF2723" s="63">
        <v>0</v>
      </c>
      <c r="CG2723" s="8">
        <v>0</v>
      </c>
      <c r="CH2723" s="8">
        <v>0</v>
      </c>
      <c r="CI2723" s="8">
        <v>0</v>
      </c>
    </row>
    <row r="2724" spans="1:87" hidden="1" outlineLevel="1">
      <c r="A2724" t="s">
        <v>1648</v>
      </c>
      <c r="B2724" t="s">
        <v>53</v>
      </c>
      <c r="C2724" s="1">
        <f t="shared" si="1083"/>
        <v>22780</v>
      </c>
      <c r="D2724" s="5">
        <f>IF(N2724&gt;0, RANK(N2724,(N2724:P2724,Q2724:AE2724)),0)</f>
        <v>2</v>
      </c>
      <c r="E2724" s="5">
        <f>IF(O2724&gt;0,RANK(O2724,(N2724:P2724,Q2724:AE2724)),0)</f>
        <v>1</v>
      </c>
      <c r="F2724" s="5">
        <f>IF(P2724&gt;0,RANK(P2724,(N2724:P2724,Q2724:AE2724)),0)</f>
        <v>0</v>
      </c>
      <c r="G2724" s="132">
        <f t="shared" si="1093"/>
        <v>16826</v>
      </c>
      <c r="H2724" s="137">
        <f t="shared" si="1094"/>
        <v>0.73863037752414396</v>
      </c>
      <c r="I2724" s="2"/>
      <c r="J2724" s="2">
        <f t="shared" si="1084"/>
        <v>0.12203687445127305</v>
      </c>
      <c r="K2724" s="2">
        <f t="shared" si="1085"/>
        <v>0.86066725197541705</v>
      </c>
      <c r="L2724" s="2">
        <f t="shared" si="1086"/>
        <v>0</v>
      </c>
      <c r="M2724" s="2">
        <f t="shared" si="1087"/>
        <v>1.7295873573309861E-2</v>
      </c>
      <c r="N2724" s="63">
        <v>2780</v>
      </c>
      <c r="O2724" s="63">
        <v>19606</v>
      </c>
      <c r="P2724" s="63">
        <v>0</v>
      </c>
      <c r="Q2724" s="63">
        <v>353</v>
      </c>
      <c r="R2724" s="63">
        <v>41</v>
      </c>
      <c r="S2724" s="63">
        <v>0</v>
      </c>
      <c r="T2724" s="63"/>
      <c r="U2724" s="63">
        <v>0</v>
      </c>
      <c r="V2724" s="63"/>
      <c r="W2724" s="63">
        <f>IF(Copyright!B$11=1,IF(CA2724&gt;0,CA2724-SUM(S2724:V2724)-P2724-SUM(X2724:AQ2724),SUM(CB2724:CI2724)),SUM(CB2724:CI2724))</f>
        <v>0</v>
      </c>
      <c r="X2724" s="63"/>
      <c r="Y2724" s="63">
        <v>0</v>
      </c>
      <c r="Z2724" s="63"/>
      <c r="AA2724" s="63">
        <v>0</v>
      </c>
      <c r="AB2724" s="63"/>
      <c r="AC2724" s="63"/>
      <c r="AD2724" s="63"/>
      <c r="AE2724" s="63">
        <v>0</v>
      </c>
      <c r="AF2724" s="63"/>
      <c r="AG2724" s="63"/>
      <c r="AH2724" s="63"/>
      <c r="AI2724" s="63"/>
      <c r="AJ2724" s="63"/>
      <c r="AK2724" s="63"/>
      <c r="AL2724" s="63"/>
      <c r="AM2724" s="63"/>
      <c r="AN2724" s="63">
        <v>0</v>
      </c>
      <c r="AO2724" s="63"/>
      <c r="AP2724" s="63"/>
      <c r="AQ2724" s="63"/>
      <c r="AR2724" s="63"/>
      <c r="AS2724" s="63"/>
      <c r="AT2724" s="63"/>
      <c r="AU2724" s="63"/>
      <c r="AW2724" s="5">
        <f>IF(Q2724&gt;0,RANK(Q2724,(N2724:P2724,Q2724:AE2724)),0)</f>
        <v>3</v>
      </c>
      <c r="AX2724" s="5">
        <f>IF(R2724&gt;0,RANK(R2724,(N2724:P2724,Q2724:AE2724)),0)</f>
        <v>4</v>
      </c>
      <c r="AY2724" s="5">
        <f>IF(T2724&gt;0,RANK(T2724,(N2724:P2724,Q2724:AE2724)),0)</f>
        <v>0</v>
      </c>
      <c r="AZ2724" s="5">
        <f>IF(S2724&gt;0,RANK(S2724,(N2724:P2724,Q2724:AE2724)),0)</f>
        <v>0</v>
      </c>
      <c r="BA2724" s="2">
        <f t="shared" si="1088"/>
        <v>1.5496049165935031E-2</v>
      </c>
      <c r="BB2724" s="2">
        <f t="shared" si="1089"/>
        <v>1.7998244073748903E-3</v>
      </c>
      <c r="BC2724" s="2">
        <f t="shared" si="1090"/>
        <v>0</v>
      </c>
      <c r="BD2724" s="2">
        <f t="shared" si="1091"/>
        <v>0</v>
      </c>
      <c r="BF2724" t="s">
        <v>1648</v>
      </c>
      <c r="BG2724" t="s">
        <v>53</v>
      </c>
      <c r="BH2724">
        <v>36</v>
      </c>
      <c r="BJ2724" s="114">
        <v>48</v>
      </c>
      <c r="BK2724" s="116">
        <v>199</v>
      </c>
      <c r="BL2724" s="120">
        <f t="shared" si="1082"/>
        <v>48199</v>
      </c>
      <c r="BN2724" s="5" t="s">
        <v>3154</v>
      </c>
      <c r="BZ2724" s="63">
        <f t="shared" si="1092"/>
        <v>22780</v>
      </c>
      <c r="CD2724" s="63">
        <v>0</v>
      </c>
      <c r="CE2724" s="63">
        <v>0</v>
      </c>
      <c r="CF2724" s="63">
        <v>0</v>
      </c>
      <c r="CG2724" s="8">
        <v>0</v>
      </c>
      <c r="CH2724" s="8">
        <v>0</v>
      </c>
      <c r="CI2724" s="8">
        <v>0</v>
      </c>
    </row>
    <row r="2725" spans="1:87" hidden="1" outlineLevel="1">
      <c r="A2725" t="s">
        <v>1182</v>
      </c>
      <c r="B2725" t="s">
        <v>53</v>
      </c>
      <c r="C2725" s="1">
        <f t="shared" si="1083"/>
        <v>1312112</v>
      </c>
      <c r="D2725" s="5">
        <f>IF(N2725&gt;0, RANK(N2725,(N2725:P2725,Q2725:AE2725)),0)</f>
        <v>1</v>
      </c>
      <c r="E2725" s="5">
        <f>IF(O2725&gt;0,RANK(O2725,(N2725:P2725,Q2725:AE2725)),0)</f>
        <v>2</v>
      </c>
      <c r="F2725" s="5">
        <f>IF(P2725&gt;0,RANK(P2725,(N2725:P2725,Q2725:AE2725)),0)</f>
        <v>5</v>
      </c>
      <c r="G2725" s="132">
        <f t="shared" si="1093"/>
        <v>161959</v>
      </c>
      <c r="H2725" s="137">
        <f t="shared" si="1094"/>
        <v>0.12343382272245053</v>
      </c>
      <c r="I2725" s="2"/>
      <c r="J2725" s="2">
        <f t="shared" si="1084"/>
        <v>0.53952254075871575</v>
      </c>
      <c r="K2725" s="2">
        <f t="shared" si="1085"/>
        <v>0.41608871803626518</v>
      </c>
      <c r="L2725" s="2">
        <f t="shared" si="1086"/>
        <v>4.3037484604972745E-3</v>
      </c>
      <c r="M2725" s="2">
        <f t="shared" si="1087"/>
        <v>4.0084992744521791E-2</v>
      </c>
      <c r="N2725" s="63">
        <v>707914</v>
      </c>
      <c r="O2725" s="63">
        <v>545955</v>
      </c>
      <c r="P2725" s="63">
        <v>5647</v>
      </c>
      <c r="Q2725" s="63">
        <v>39781</v>
      </c>
      <c r="R2725" s="63">
        <v>11784</v>
      </c>
      <c r="S2725" s="63">
        <v>471</v>
      </c>
      <c r="T2725" s="63"/>
      <c r="U2725" s="63">
        <v>6</v>
      </c>
      <c r="V2725" s="63"/>
      <c r="W2725" s="63">
        <f>IF(Copyright!B$11=1,IF(CA2725&gt;0,CA2725-SUM(S2725:V2725)-P2725-SUM(X2725:AQ2725),SUM(CB2725:CI2725)),SUM(CB2725:CI2725))</f>
        <v>95</v>
      </c>
      <c r="X2725" s="63"/>
      <c r="Y2725" s="63">
        <v>62</v>
      </c>
      <c r="Z2725" s="63"/>
      <c r="AA2725" s="63">
        <v>21</v>
      </c>
      <c r="AB2725" s="63"/>
      <c r="AC2725" s="63"/>
      <c r="AD2725" s="63"/>
      <c r="AE2725" s="63">
        <v>168</v>
      </c>
      <c r="AF2725" s="63"/>
      <c r="AG2725" s="63"/>
      <c r="AH2725" s="63"/>
      <c r="AI2725" s="63"/>
      <c r="AJ2725" s="63"/>
      <c r="AK2725" s="63"/>
      <c r="AL2725" s="63"/>
      <c r="AM2725" s="63"/>
      <c r="AN2725" s="63">
        <v>208</v>
      </c>
      <c r="AO2725" s="63"/>
      <c r="AP2725" s="63"/>
      <c r="AQ2725" s="63"/>
      <c r="AR2725" s="63"/>
      <c r="AS2725" s="63"/>
      <c r="AT2725" s="63"/>
      <c r="AU2725" s="63"/>
      <c r="AW2725" s="5">
        <f>IF(Q2725&gt;0,RANK(Q2725,(N2725:P2725,Q2725:AE2725)),0)</f>
        <v>3</v>
      </c>
      <c r="AX2725" s="5">
        <f>IF(R2725&gt;0,RANK(R2725,(N2725:P2725,Q2725:AE2725)),0)</f>
        <v>4</v>
      </c>
      <c r="AY2725" s="5">
        <f>IF(T2725&gt;0,RANK(T2725,(N2725:P2725,Q2725:AE2725)),0)</f>
        <v>0</v>
      </c>
      <c r="AZ2725" s="5">
        <f>IF(S2725&gt;0,RANK(S2725,(N2725:P2725,Q2725:AE2725)),0)</f>
        <v>6</v>
      </c>
      <c r="BA2725" s="2">
        <f t="shared" si="1088"/>
        <v>3.0318295999122027E-2</v>
      </c>
      <c r="BB2725" s="2">
        <f t="shared" si="1089"/>
        <v>8.9809406514078059E-3</v>
      </c>
      <c r="BC2725" s="2">
        <f t="shared" si="1090"/>
        <v>0</v>
      </c>
      <c r="BD2725" s="2">
        <f t="shared" si="1091"/>
        <v>3.5896325923396785E-4</v>
      </c>
      <c r="BF2725" t="s">
        <v>1182</v>
      </c>
      <c r="BG2725" t="s">
        <v>53</v>
      </c>
      <c r="BJ2725" s="114">
        <v>48</v>
      </c>
      <c r="BK2725" s="116">
        <v>201</v>
      </c>
      <c r="BL2725" s="120">
        <f t="shared" si="1082"/>
        <v>48201</v>
      </c>
      <c r="BN2725" s="5" t="s">
        <v>3154</v>
      </c>
      <c r="BZ2725" s="63">
        <f t="shared" si="1092"/>
        <v>1312112</v>
      </c>
      <c r="CD2725" s="63">
        <v>8</v>
      </c>
      <c r="CE2725" s="63">
        <v>2</v>
      </c>
      <c r="CF2725" s="63">
        <v>68</v>
      </c>
      <c r="CG2725" s="8">
        <v>9</v>
      </c>
      <c r="CH2725" s="8">
        <v>1</v>
      </c>
      <c r="CI2725" s="8">
        <v>7</v>
      </c>
    </row>
    <row r="2726" spans="1:87" hidden="1" outlineLevel="1">
      <c r="A2726" t="s">
        <v>875</v>
      </c>
      <c r="B2726" t="s">
        <v>53</v>
      </c>
      <c r="C2726" s="1">
        <f t="shared" si="1083"/>
        <v>26548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4</v>
      </c>
      <c r="G2726" s="132">
        <f t="shared" si="1093"/>
        <v>11598</v>
      </c>
      <c r="H2726" s="137">
        <f t="shared" si="1094"/>
        <v>0.43686906734970621</v>
      </c>
      <c r="I2726" s="2"/>
      <c r="J2726" s="2">
        <f t="shared" si="1084"/>
        <v>0.26936115714931447</v>
      </c>
      <c r="K2726" s="2">
        <f t="shared" si="1085"/>
        <v>0.70623022449902062</v>
      </c>
      <c r="L2726" s="2">
        <f t="shared" si="1086"/>
        <v>3.6160916076540604E-3</v>
      </c>
      <c r="M2726" s="2">
        <f t="shared" si="1087"/>
        <v>2.0792526744010907E-2</v>
      </c>
      <c r="N2726" s="63">
        <v>7151</v>
      </c>
      <c r="O2726" s="63">
        <v>18749</v>
      </c>
      <c r="P2726" s="63">
        <v>96</v>
      </c>
      <c r="Q2726" s="63">
        <v>449</v>
      </c>
      <c r="R2726" s="63">
        <v>76</v>
      </c>
      <c r="S2726" s="63">
        <v>15</v>
      </c>
      <c r="T2726" s="63"/>
      <c r="U2726" s="63">
        <v>1</v>
      </c>
      <c r="V2726" s="63"/>
      <c r="W2726" s="63">
        <f>IF(Copyright!B$11=1,IF(CA2726&gt;0,CA2726-SUM(S2726:V2726)-P2726-SUM(X2726:AQ2726),SUM(CB2726:CI2726)),SUM(CB2726:CI2726))</f>
        <v>4</v>
      </c>
      <c r="X2726" s="63"/>
      <c r="Y2726" s="63">
        <v>5</v>
      </c>
      <c r="Z2726" s="63"/>
      <c r="AA2726" s="63">
        <v>0</v>
      </c>
      <c r="AB2726" s="63"/>
      <c r="AC2726" s="63"/>
      <c r="AD2726" s="63"/>
      <c r="AE2726" s="63">
        <v>2</v>
      </c>
      <c r="AF2726" s="63"/>
      <c r="AG2726" s="63"/>
      <c r="AH2726" s="63"/>
      <c r="AI2726" s="63"/>
      <c r="AJ2726" s="63"/>
      <c r="AK2726" s="63"/>
      <c r="AL2726" s="63"/>
      <c r="AM2726" s="63"/>
      <c r="AN2726" s="63">
        <v>0</v>
      </c>
      <c r="AO2726" s="63"/>
      <c r="AP2726" s="63"/>
      <c r="AQ2726" s="63"/>
      <c r="AR2726" s="63"/>
      <c r="AS2726" s="63"/>
      <c r="AT2726" s="63"/>
      <c r="AU2726" s="63"/>
      <c r="AW2726" s="5">
        <f>IF(Q2726&gt;0,RANK(Q2726,(N2726:P2726,Q2726:AE2726)),0)</f>
        <v>3</v>
      </c>
      <c r="AX2726" s="5">
        <f>IF(R2726&gt;0,RANK(R2726,(N2726:P2726,Q2726:AE2726)),0)</f>
        <v>5</v>
      </c>
      <c r="AY2726" s="5">
        <f>IF(T2726&gt;0,RANK(T2726,(N2726:P2726,Q2726:AE2726)),0)</f>
        <v>0</v>
      </c>
      <c r="AZ2726" s="5">
        <f>IF(S2726&gt;0,RANK(S2726,(N2726:P2726,Q2726:AE2726)),0)</f>
        <v>6</v>
      </c>
      <c r="BA2726" s="2">
        <f t="shared" si="1088"/>
        <v>1.6912761789965345E-2</v>
      </c>
      <c r="BB2726" s="2">
        <f t="shared" si="1089"/>
        <v>2.8627391893927979E-3</v>
      </c>
      <c r="BC2726" s="2">
        <f t="shared" si="1090"/>
        <v>0</v>
      </c>
      <c r="BD2726" s="2">
        <f t="shared" si="1091"/>
        <v>5.6501431369594701E-4</v>
      </c>
      <c r="BF2726" t="s">
        <v>875</v>
      </c>
      <c r="BG2726" t="s">
        <v>53</v>
      </c>
      <c r="BH2726">
        <v>1</v>
      </c>
      <c r="BJ2726" s="114">
        <v>48</v>
      </c>
      <c r="BK2726" s="116">
        <v>203</v>
      </c>
      <c r="BL2726" s="120">
        <f t="shared" si="1082"/>
        <v>48203</v>
      </c>
      <c r="BN2726" s="5" t="s">
        <v>3154</v>
      </c>
      <c r="BZ2726" s="63">
        <f t="shared" si="1092"/>
        <v>26548</v>
      </c>
      <c r="CD2726" s="63">
        <v>0</v>
      </c>
      <c r="CE2726" s="63">
        <v>0</v>
      </c>
      <c r="CF2726" s="63">
        <v>1</v>
      </c>
      <c r="CG2726" s="8">
        <v>1</v>
      </c>
      <c r="CH2726" s="8">
        <v>1</v>
      </c>
      <c r="CI2726" s="8">
        <v>1</v>
      </c>
    </row>
    <row r="2727" spans="1:87" hidden="1" outlineLevel="1">
      <c r="A2727" t="s">
        <v>1158</v>
      </c>
      <c r="B2727" t="s">
        <v>53</v>
      </c>
      <c r="C2727" s="1">
        <f t="shared" si="1083"/>
        <v>1952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4</v>
      </c>
      <c r="G2727" s="132">
        <f t="shared" si="1093"/>
        <v>1557</v>
      </c>
      <c r="H2727" s="137">
        <f t="shared" si="1094"/>
        <v>0.79764344262295084</v>
      </c>
      <c r="I2727" s="2"/>
      <c r="J2727" s="2">
        <f t="shared" si="1084"/>
        <v>8.8627049180327863E-2</v>
      </c>
      <c r="K2727" s="2">
        <f t="shared" si="1085"/>
        <v>0.88627049180327866</v>
      </c>
      <c r="L2727" s="2">
        <f t="shared" si="1086"/>
        <v>1.5368852459016393E-3</v>
      </c>
      <c r="M2727" s="2">
        <f t="shared" si="1087"/>
        <v>2.3565573770491878E-2</v>
      </c>
      <c r="N2727" s="63">
        <v>173</v>
      </c>
      <c r="O2727" s="63">
        <v>1730</v>
      </c>
      <c r="P2727" s="63">
        <v>3</v>
      </c>
      <c r="Q2727" s="63">
        <v>43</v>
      </c>
      <c r="R2727" s="63">
        <v>3</v>
      </c>
      <c r="S2727" s="63">
        <v>0</v>
      </c>
      <c r="T2727" s="63"/>
      <c r="U2727" s="63">
        <v>0</v>
      </c>
      <c r="V2727" s="63"/>
      <c r="W2727" s="63">
        <f>IF(Copyright!B$11=1,IF(CA2727&gt;0,CA2727-SUM(S2727:V2727)-P2727-SUM(X2727:AQ2727),SUM(CB2727:CI2727)),SUM(CB2727:CI2727))</f>
        <v>0</v>
      </c>
      <c r="X2727" s="63"/>
      <c r="Y2727" s="63">
        <v>0</v>
      </c>
      <c r="Z2727" s="63"/>
      <c r="AA2727" s="63">
        <v>0</v>
      </c>
      <c r="AB2727" s="63"/>
      <c r="AC2727" s="63"/>
      <c r="AD2727" s="63"/>
      <c r="AE2727" s="63">
        <v>0</v>
      </c>
      <c r="AF2727" s="63"/>
      <c r="AG2727" s="63"/>
      <c r="AH2727" s="63"/>
      <c r="AI2727" s="63"/>
      <c r="AJ2727" s="63"/>
      <c r="AK2727" s="63"/>
      <c r="AL2727" s="63"/>
      <c r="AM2727" s="63"/>
      <c r="AN2727" s="63">
        <v>0</v>
      </c>
      <c r="AO2727" s="63"/>
      <c r="AP2727" s="63"/>
      <c r="AQ2727" s="63"/>
      <c r="AR2727" s="63"/>
      <c r="AS2727" s="63"/>
      <c r="AT2727" s="63"/>
      <c r="AU2727" s="63"/>
      <c r="AW2727" s="5">
        <f>IF(Q2727&gt;0,RANK(Q2727,(N2727:P2727,Q2727:AE2727)),0)</f>
        <v>3</v>
      </c>
      <c r="AX2727" s="5">
        <f>IF(R2727&gt;0,RANK(R2727,(N2727:P2727,Q2727:AE2727)),0)</f>
        <v>4</v>
      </c>
      <c r="AY2727" s="5">
        <f>IF(T2727&gt;0,RANK(T2727,(N2727:P2727,Q2727:AE2727)),0)</f>
        <v>0</v>
      </c>
      <c r="AZ2727" s="5">
        <f>IF(S2727&gt;0,RANK(S2727,(N2727:P2727,Q2727:AE2727)),0)</f>
        <v>0</v>
      </c>
      <c r="BA2727" s="2">
        <f t="shared" si="1088"/>
        <v>2.2028688524590164E-2</v>
      </c>
      <c r="BB2727" s="2">
        <f t="shared" si="1089"/>
        <v>1.5368852459016393E-3</v>
      </c>
      <c r="BC2727" s="2">
        <f t="shared" si="1090"/>
        <v>0</v>
      </c>
      <c r="BD2727" s="2">
        <f t="shared" si="1091"/>
        <v>0</v>
      </c>
      <c r="BF2727" t="s">
        <v>1158</v>
      </c>
      <c r="BG2727" t="s">
        <v>53</v>
      </c>
      <c r="BH2727">
        <v>13</v>
      </c>
      <c r="BJ2727" s="114">
        <v>48</v>
      </c>
      <c r="BK2727" s="116">
        <v>205</v>
      </c>
      <c r="BL2727" s="120">
        <f t="shared" si="1082"/>
        <v>48205</v>
      </c>
      <c r="BN2727" s="5" t="s">
        <v>3154</v>
      </c>
      <c r="BZ2727" s="63">
        <f t="shared" si="1092"/>
        <v>1952</v>
      </c>
      <c r="CD2727" s="63">
        <v>0</v>
      </c>
      <c r="CE2727" s="63">
        <v>0</v>
      </c>
      <c r="CF2727" s="63">
        <v>0</v>
      </c>
      <c r="CG2727" s="8">
        <v>0</v>
      </c>
      <c r="CH2727" s="8">
        <v>0</v>
      </c>
      <c r="CI2727" s="8">
        <v>0</v>
      </c>
    </row>
    <row r="2728" spans="1:87" hidden="1" outlineLevel="1">
      <c r="A2728" t="s">
        <v>2318</v>
      </c>
      <c r="B2728" t="s">
        <v>53</v>
      </c>
      <c r="C2728" s="1">
        <f t="shared" si="1083"/>
        <v>1770</v>
      </c>
      <c r="D2728" s="5">
        <f>IF(N2728&gt;0, RANK(N2728,(N2728:P2728,Q2728:AE2728)),0)</f>
        <v>2</v>
      </c>
      <c r="E2728" s="5">
        <f>IF(O2728&gt;0,RANK(O2728,(N2728:P2728,Q2728:AE2728)),0)</f>
        <v>1</v>
      </c>
      <c r="F2728" s="5">
        <f>IF(P2728&gt;0,RANK(P2728,(N2728:P2728,Q2728:AE2728)),0)</f>
        <v>5</v>
      </c>
      <c r="G2728" s="132">
        <f t="shared" si="1093"/>
        <v>1089</v>
      </c>
      <c r="H2728" s="137">
        <f t="shared" si="1094"/>
        <v>0.61525423728813555</v>
      </c>
      <c r="I2728" s="2"/>
      <c r="J2728" s="2">
        <f t="shared" si="1084"/>
        <v>0.17740112994350282</v>
      </c>
      <c r="K2728" s="2">
        <f t="shared" si="1085"/>
        <v>0.79265536723163843</v>
      </c>
      <c r="L2728" s="2">
        <f t="shared" si="1086"/>
        <v>2.8248587570621469E-3</v>
      </c>
      <c r="M2728" s="2">
        <f t="shared" si="1087"/>
        <v>2.7118644067796654E-2</v>
      </c>
      <c r="N2728" s="63">
        <v>314</v>
      </c>
      <c r="O2728" s="63">
        <v>1403</v>
      </c>
      <c r="P2728" s="63">
        <v>5</v>
      </c>
      <c r="Q2728" s="63">
        <v>42</v>
      </c>
      <c r="R2728" s="63">
        <v>6</v>
      </c>
      <c r="S2728" s="63">
        <v>0</v>
      </c>
      <c r="T2728" s="63"/>
      <c r="U2728" s="63">
        <v>0</v>
      </c>
      <c r="V2728" s="63"/>
      <c r="W2728" s="63">
        <f>IF(Copyright!B$11=1,IF(CA2728&gt;0,CA2728-SUM(S2728:V2728)-P2728-SUM(X2728:AQ2728),SUM(CB2728:CI2728)),SUM(CB2728:CI2728))</f>
        <v>0</v>
      </c>
      <c r="X2728" s="63"/>
      <c r="Y2728" s="63">
        <v>0</v>
      </c>
      <c r="Z2728" s="63"/>
      <c r="AA2728" s="63">
        <v>0</v>
      </c>
      <c r="AB2728" s="63"/>
      <c r="AC2728" s="63"/>
      <c r="AD2728" s="63"/>
      <c r="AE2728" s="63">
        <v>0</v>
      </c>
      <c r="AF2728" s="63"/>
      <c r="AG2728" s="63"/>
      <c r="AH2728" s="63"/>
      <c r="AI2728" s="63"/>
      <c r="AJ2728" s="63"/>
      <c r="AK2728" s="63"/>
      <c r="AL2728" s="63"/>
      <c r="AM2728" s="63"/>
      <c r="AN2728" s="63">
        <v>0</v>
      </c>
      <c r="AO2728" s="63"/>
      <c r="AP2728" s="63"/>
      <c r="AQ2728" s="63"/>
      <c r="AR2728" s="63"/>
      <c r="AS2728" s="63"/>
      <c r="AT2728" s="63"/>
      <c r="AU2728" s="63"/>
      <c r="AW2728" s="5">
        <f>IF(Q2728&gt;0,RANK(Q2728,(N2728:P2728,Q2728:AE2728)),0)</f>
        <v>3</v>
      </c>
      <c r="AX2728" s="5">
        <f>IF(R2728&gt;0,RANK(R2728,(N2728:P2728,Q2728:AE2728)),0)</f>
        <v>4</v>
      </c>
      <c r="AY2728" s="5">
        <f>IF(T2728&gt;0,RANK(T2728,(N2728:P2728,Q2728:AE2728)),0)</f>
        <v>0</v>
      </c>
      <c r="AZ2728" s="5">
        <f>IF(S2728&gt;0,RANK(S2728,(N2728:P2728,Q2728:AE2728)),0)</f>
        <v>0</v>
      </c>
      <c r="BA2728" s="2">
        <f t="shared" si="1088"/>
        <v>2.3728813559322035E-2</v>
      </c>
      <c r="BB2728" s="2">
        <f t="shared" si="1089"/>
        <v>3.3898305084745762E-3</v>
      </c>
      <c r="BC2728" s="2">
        <f t="shared" si="1090"/>
        <v>0</v>
      </c>
      <c r="BD2728" s="2">
        <f t="shared" si="1091"/>
        <v>0</v>
      </c>
      <c r="BF2728" t="s">
        <v>2318</v>
      </c>
      <c r="BG2728" t="s">
        <v>53</v>
      </c>
      <c r="BH2728">
        <v>19</v>
      </c>
      <c r="BJ2728" s="114">
        <v>48</v>
      </c>
      <c r="BK2728" s="116">
        <v>207</v>
      </c>
      <c r="BL2728" s="120">
        <f t="shared" si="1082"/>
        <v>48207</v>
      </c>
      <c r="BN2728" s="5" t="s">
        <v>3154</v>
      </c>
      <c r="BZ2728" s="63">
        <f t="shared" si="1092"/>
        <v>1770</v>
      </c>
      <c r="CD2728" s="63">
        <v>0</v>
      </c>
      <c r="CE2728" s="63">
        <v>0</v>
      </c>
      <c r="CF2728" s="63">
        <v>0</v>
      </c>
      <c r="CG2728" s="8">
        <v>0</v>
      </c>
      <c r="CH2728" s="8">
        <v>0</v>
      </c>
      <c r="CI2728" s="8">
        <v>0</v>
      </c>
    </row>
    <row r="2729" spans="1:87" hidden="1" outlineLevel="1">
      <c r="A2729" t="s">
        <v>1474</v>
      </c>
      <c r="B2729" t="s">
        <v>53</v>
      </c>
      <c r="C2729" s="1">
        <f t="shared" si="1083"/>
        <v>72164</v>
      </c>
      <c r="D2729" s="5">
        <f>IF(N2729&gt;0, RANK(N2729,(N2729:P2729,Q2729:AE2729)),0)</f>
        <v>2</v>
      </c>
      <c r="E2729" s="5">
        <f>IF(O2729&gt;0,RANK(O2729,(N2729:P2729,Q2729:AE2729)),0)</f>
        <v>1</v>
      </c>
      <c r="F2729" s="5">
        <f>IF(P2729&gt;0,RANK(P2729,(N2729:P2729,Q2729:AE2729)),0)</f>
        <v>5</v>
      </c>
      <c r="G2729" s="132">
        <f t="shared" si="1093"/>
        <v>602</v>
      </c>
      <c r="H2729" s="137">
        <f t="shared" si="1094"/>
        <v>8.3421096391552568E-3</v>
      </c>
      <c r="I2729" s="2"/>
      <c r="J2729" s="2">
        <f t="shared" si="1084"/>
        <v>0.46039576520148551</v>
      </c>
      <c r="K2729" s="2">
        <f t="shared" si="1085"/>
        <v>0.46873787484064078</v>
      </c>
      <c r="L2729" s="2">
        <f t="shared" si="1086"/>
        <v>4.8362064187129315E-3</v>
      </c>
      <c r="M2729" s="2">
        <f t="shared" si="1087"/>
        <v>6.603015353916078E-2</v>
      </c>
      <c r="N2729" s="63">
        <v>33224</v>
      </c>
      <c r="O2729" s="63">
        <v>33826</v>
      </c>
      <c r="P2729" s="63">
        <v>349</v>
      </c>
      <c r="Q2729" s="63">
        <v>3630</v>
      </c>
      <c r="R2729" s="63">
        <v>1061</v>
      </c>
      <c r="S2729" s="63">
        <v>24</v>
      </c>
      <c r="T2729" s="63"/>
      <c r="U2729" s="63">
        <v>1</v>
      </c>
      <c r="V2729" s="63"/>
      <c r="W2729" s="63">
        <f>IF(Copyright!B$11=1,IF(CA2729&gt;0,CA2729-SUM(S2729:V2729)-P2729-SUM(X2729:AQ2729),SUM(CB2729:CI2729)),SUM(CB2729:CI2729))</f>
        <v>10</v>
      </c>
      <c r="X2729" s="63"/>
      <c r="Y2729" s="63">
        <v>5</v>
      </c>
      <c r="Z2729" s="63"/>
      <c r="AA2729" s="63">
        <v>0</v>
      </c>
      <c r="AB2729" s="63"/>
      <c r="AC2729" s="63"/>
      <c r="AD2729" s="63"/>
      <c r="AE2729" s="63">
        <v>34</v>
      </c>
      <c r="AF2729" s="63"/>
      <c r="AG2729" s="63"/>
      <c r="AH2729" s="63"/>
      <c r="AI2729" s="63"/>
      <c r="AJ2729" s="63"/>
      <c r="AK2729" s="63"/>
      <c r="AL2729" s="63"/>
      <c r="AM2729" s="63"/>
      <c r="AN2729" s="63">
        <v>0</v>
      </c>
      <c r="AO2729" s="63"/>
      <c r="AP2729" s="63"/>
      <c r="AQ2729" s="63"/>
      <c r="AR2729" s="63"/>
      <c r="AS2729" s="63"/>
      <c r="AT2729" s="63"/>
      <c r="AU2729" s="63"/>
      <c r="AW2729" s="5">
        <f>IF(Q2729&gt;0,RANK(Q2729,(N2729:P2729,Q2729:AE2729)),0)</f>
        <v>3</v>
      </c>
      <c r="AX2729" s="5">
        <f>IF(R2729&gt;0,RANK(R2729,(N2729:P2729,Q2729:AE2729)),0)</f>
        <v>4</v>
      </c>
      <c r="AY2729" s="5">
        <f>IF(T2729&gt;0,RANK(T2729,(N2729:P2729,Q2729:AE2729)),0)</f>
        <v>0</v>
      </c>
      <c r="AZ2729" s="5">
        <f>IF(S2729&gt;0,RANK(S2729,(N2729:P2729,Q2729:AE2729)),0)</f>
        <v>7</v>
      </c>
      <c r="BA2729" s="2">
        <f t="shared" si="1088"/>
        <v>5.0302089684607282E-2</v>
      </c>
      <c r="BB2729" s="2">
        <f t="shared" si="1089"/>
        <v>1.4702621805886591E-2</v>
      </c>
      <c r="BC2729" s="2">
        <f t="shared" si="1090"/>
        <v>0</v>
      </c>
      <c r="BD2729" s="2">
        <f t="shared" si="1091"/>
        <v>3.3257579956765145E-4</v>
      </c>
      <c r="BF2729" t="s">
        <v>1474</v>
      </c>
      <c r="BG2729" t="s">
        <v>53</v>
      </c>
      <c r="BJ2729" s="114">
        <v>48</v>
      </c>
      <c r="BK2729" s="116">
        <v>209</v>
      </c>
      <c r="BL2729" s="120">
        <f t="shared" si="1082"/>
        <v>48209</v>
      </c>
      <c r="BN2729" s="5" t="s">
        <v>3154</v>
      </c>
      <c r="BZ2729" s="63">
        <f t="shared" si="1092"/>
        <v>72164</v>
      </c>
      <c r="CD2729" s="63">
        <v>1</v>
      </c>
      <c r="CE2729" s="63">
        <v>0</v>
      </c>
      <c r="CF2729" s="63">
        <v>5</v>
      </c>
      <c r="CG2729" s="8">
        <v>1</v>
      </c>
      <c r="CH2729" s="8">
        <v>0</v>
      </c>
      <c r="CI2729" s="8">
        <v>3</v>
      </c>
    </row>
    <row r="2730" spans="1:87" hidden="1" outlineLevel="1">
      <c r="A2730" t="s">
        <v>1242</v>
      </c>
      <c r="B2730" t="s">
        <v>53</v>
      </c>
      <c r="C2730" s="1">
        <f t="shared" si="1083"/>
        <v>1704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5</v>
      </c>
      <c r="G2730" s="132">
        <f t="shared" si="1093"/>
        <v>1281</v>
      </c>
      <c r="H2730" s="137">
        <f t="shared" si="1094"/>
        <v>0.75176056338028174</v>
      </c>
      <c r="I2730" s="2"/>
      <c r="J2730" s="2">
        <f t="shared" si="1084"/>
        <v>0.10622065727699531</v>
      </c>
      <c r="K2730" s="2">
        <f t="shared" si="1085"/>
        <v>0.857981220657277</v>
      </c>
      <c r="L2730" s="2">
        <f t="shared" si="1086"/>
        <v>1.7605633802816902E-3</v>
      </c>
      <c r="M2730" s="2">
        <f t="shared" si="1087"/>
        <v>3.4037558685446057E-2</v>
      </c>
      <c r="N2730" s="63">
        <v>181</v>
      </c>
      <c r="O2730" s="63">
        <v>1462</v>
      </c>
      <c r="P2730" s="63">
        <v>3</v>
      </c>
      <c r="Q2730" s="63">
        <v>44</v>
      </c>
      <c r="R2730" s="63">
        <v>2</v>
      </c>
      <c r="S2730" s="63">
        <v>2</v>
      </c>
      <c r="T2730" s="63"/>
      <c r="U2730" s="63">
        <v>0</v>
      </c>
      <c r="V2730" s="63"/>
      <c r="W2730" s="63">
        <f>IF(Copyright!B$11=1,IF(CA2730&gt;0,CA2730-SUM(S2730:V2730)-P2730-SUM(X2730:AQ2730),SUM(CB2730:CI2730)),SUM(CB2730:CI2730))</f>
        <v>10</v>
      </c>
      <c r="X2730" s="63"/>
      <c r="Y2730" s="63">
        <v>0</v>
      </c>
      <c r="Z2730" s="63"/>
      <c r="AA2730" s="63">
        <v>0</v>
      </c>
      <c r="AB2730" s="63"/>
      <c r="AC2730" s="63"/>
      <c r="AD2730" s="63"/>
      <c r="AE2730" s="63">
        <v>0</v>
      </c>
      <c r="AF2730" s="63"/>
      <c r="AG2730" s="63"/>
      <c r="AH2730" s="63"/>
      <c r="AI2730" s="63"/>
      <c r="AJ2730" s="63"/>
      <c r="AK2730" s="63"/>
      <c r="AL2730" s="63"/>
      <c r="AM2730" s="63"/>
      <c r="AN2730" s="63">
        <v>0</v>
      </c>
      <c r="AO2730" s="63"/>
      <c r="AP2730" s="63"/>
      <c r="AQ2730" s="63"/>
      <c r="AR2730" s="63"/>
      <c r="AS2730" s="63"/>
      <c r="AT2730" s="63"/>
      <c r="AU2730" s="63"/>
      <c r="AW2730" s="5">
        <f>IF(Q2730&gt;0,RANK(Q2730,(N2730:P2730,Q2730:AE2730)),0)</f>
        <v>3</v>
      </c>
      <c r="AX2730" s="5">
        <f>IF(R2730&gt;0,RANK(R2730,(N2730:P2730,Q2730:AE2730)),0)</f>
        <v>6</v>
      </c>
      <c r="AY2730" s="5">
        <f>IF(T2730&gt;0,RANK(T2730,(N2730:P2730,Q2730:AE2730)),0)</f>
        <v>0</v>
      </c>
      <c r="AZ2730" s="5">
        <f>IF(S2730&gt;0,RANK(S2730,(N2730:P2730,Q2730:AE2730)),0)</f>
        <v>6</v>
      </c>
      <c r="BA2730" s="2">
        <f t="shared" si="1088"/>
        <v>2.5821596244131457E-2</v>
      </c>
      <c r="BB2730" s="2">
        <f t="shared" si="1089"/>
        <v>1.1737089201877935E-3</v>
      </c>
      <c r="BC2730" s="2">
        <f t="shared" si="1090"/>
        <v>0</v>
      </c>
      <c r="BD2730" s="2">
        <f t="shared" si="1091"/>
        <v>1.1737089201877935E-3</v>
      </c>
      <c r="BF2730" t="s">
        <v>1242</v>
      </c>
      <c r="BG2730" t="s">
        <v>53</v>
      </c>
      <c r="BH2730">
        <v>13</v>
      </c>
      <c r="BJ2730" s="114">
        <v>48</v>
      </c>
      <c r="BK2730" s="116">
        <v>211</v>
      </c>
      <c r="BL2730" s="120">
        <f t="shared" ref="BL2730:BL2793" si="1095">1000*BJ2730+BK2730</f>
        <v>48211</v>
      </c>
      <c r="BN2730" s="5" t="s">
        <v>3154</v>
      </c>
      <c r="BZ2730" s="63">
        <f t="shared" si="1092"/>
        <v>1704</v>
      </c>
      <c r="CA2730" s="63">
        <v>15</v>
      </c>
      <c r="CD2730" s="63">
        <v>0</v>
      </c>
      <c r="CE2730" s="63">
        <v>0</v>
      </c>
      <c r="CF2730" s="63">
        <v>0</v>
      </c>
      <c r="CG2730" s="8">
        <v>1</v>
      </c>
      <c r="CH2730" s="8">
        <v>0</v>
      </c>
      <c r="CI2730" s="8">
        <v>0</v>
      </c>
    </row>
    <row r="2731" spans="1:87" hidden="1" outlineLevel="1">
      <c r="A2731" t="s">
        <v>954</v>
      </c>
      <c r="B2731" t="s">
        <v>53</v>
      </c>
      <c r="C2731" s="1">
        <f t="shared" si="1083"/>
        <v>30045</v>
      </c>
      <c r="D2731" s="5">
        <f>IF(N2731&gt;0, RANK(N2731,(N2731:P2731,Q2731:AE2731)),0)</f>
        <v>2</v>
      </c>
      <c r="E2731" s="5">
        <f>IF(O2731&gt;0,RANK(O2731,(N2731:P2731,Q2731:AE2731)),0)</f>
        <v>1</v>
      </c>
      <c r="F2731" s="5">
        <f>IF(P2731&gt;0,RANK(P2731,(N2731:P2731,Q2731:AE2731)),0)</f>
        <v>5</v>
      </c>
      <c r="G2731" s="132">
        <f t="shared" si="1093"/>
        <v>17981</v>
      </c>
      <c r="H2731" s="137">
        <f t="shared" si="1094"/>
        <v>0.59846896322183396</v>
      </c>
      <c r="I2731" s="2"/>
      <c r="J2731" s="2">
        <f t="shared" si="1084"/>
        <v>0.18868364120485936</v>
      </c>
      <c r="K2731" s="2">
        <f t="shared" si="1085"/>
        <v>0.78715260442669333</v>
      </c>
      <c r="L2731" s="2">
        <f t="shared" si="1086"/>
        <v>2.2965551672491265E-3</v>
      </c>
      <c r="M2731" s="2">
        <f t="shared" si="1087"/>
        <v>2.1867199201198183E-2</v>
      </c>
      <c r="N2731" s="63">
        <v>5669</v>
      </c>
      <c r="O2731" s="63">
        <v>23650</v>
      </c>
      <c r="P2731" s="63">
        <v>69</v>
      </c>
      <c r="Q2731" s="63">
        <v>535</v>
      </c>
      <c r="R2731" s="63">
        <v>102</v>
      </c>
      <c r="S2731" s="63">
        <v>9</v>
      </c>
      <c r="T2731" s="63"/>
      <c r="U2731" s="63">
        <v>0</v>
      </c>
      <c r="V2731" s="63"/>
      <c r="W2731" s="63">
        <f>IF(Copyright!B$11=1,IF(CA2731&gt;0,CA2731-SUM(S2731:V2731)-P2731-SUM(X2731:AQ2731),SUM(CB2731:CI2731)),SUM(CB2731:CI2731))</f>
        <v>4</v>
      </c>
      <c r="X2731" s="63"/>
      <c r="Y2731" s="63">
        <v>3</v>
      </c>
      <c r="Z2731" s="63"/>
      <c r="AA2731" s="63">
        <v>0</v>
      </c>
      <c r="AB2731" s="63"/>
      <c r="AC2731" s="63"/>
      <c r="AD2731" s="63"/>
      <c r="AE2731" s="63">
        <v>2</v>
      </c>
      <c r="AF2731" s="63"/>
      <c r="AG2731" s="63"/>
      <c r="AH2731" s="63"/>
      <c r="AI2731" s="63"/>
      <c r="AJ2731" s="63"/>
      <c r="AK2731" s="63"/>
      <c r="AL2731" s="63"/>
      <c r="AM2731" s="63"/>
      <c r="AN2731" s="63">
        <v>2</v>
      </c>
      <c r="AO2731" s="63"/>
      <c r="AP2731" s="63"/>
      <c r="AQ2731" s="63"/>
      <c r="AR2731" s="63"/>
      <c r="AS2731" s="63"/>
      <c r="AT2731" s="63"/>
      <c r="AU2731" s="63"/>
      <c r="AW2731" s="5">
        <f>IF(Q2731&gt;0,RANK(Q2731,(N2731:P2731,Q2731:AE2731)),0)</f>
        <v>3</v>
      </c>
      <c r="AX2731" s="5">
        <f>IF(R2731&gt;0,RANK(R2731,(N2731:P2731,Q2731:AE2731)),0)</f>
        <v>4</v>
      </c>
      <c r="AY2731" s="5">
        <f>IF(T2731&gt;0,RANK(T2731,(N2731:P2731,Q2731:AE2731)),0)</f>
        <v>0</v>
      </c>
      <c r="AZ2731" s="5">
        <f>IF(S2731&gt;0,RANK(S2731,(N2731:P2731,Q2731:AE2731)),0)</f>
        <v>6</v>
      </c>
      <c r="BA2731" s="2">
        <f t="shared" si="1088"/>
        <v>1.780662339823598E-2</v>
      </c>
      <c r="BB2731" s="2">
        <f t="shared" si="1089"/>
        <v>3.3949076385421865E-3</v>
      </c>
      <c r="BC2731" s="2">
        <f t="shared" si="1090"/>
        <v>0</v>
      </c>
      <c r="BD2731" s="2">
        <f t="shared" si="1091"/>
        <v>2.995506739890165E-4</v>
      </c>
      <c r="BF2731" t="s">
        <v>954</v>
      </c>
      <c r="BG2731" t="s">
        <v>53</v>
      </c>
      <c r="BH2731">
        <v>5</v>
      </c>
      <c r="BJ2731" s="114">
        <v>48</v>
      </c>
      <c r="BK2731" s="116">
        <v>213</v>
      </c>
      <c r="BL2731" s="120">
        <f t="shared" si="1095"/>
        <v>48213</v>
      </c>
      <c r="BN2731" s="5" t="s">
        <v>3154</v>
      </c>
      <c r="BZ2731" s="63">
        <f t="shared" si="1092"/>
        <v>30045</v>
      </c>
      <c r="CD2731" s="63">
        <v>0</v>
      </c>
      <c r="CE2731" s="63">
        <v>0</v>
      </c>
      <c r="CF2731" s="63">
        <v>2</v>
      </c>
      <c r="CG2731" s="8">
        <v>0</v>
      </c>
      <c r="CH2731" s="8">
        <v>0</v>
      </c>
      <c r="CI2731" s="8">
        <v>2</v>
      </c>
    </row>
    <row r="2732" spans="1:87" hidden="1" outlineLevel="1">
      <c r="A2732" t="s">
        <v>2343</v>
      </c>
      <c r="B2732" t="s">
        <v>53</v>
      </c>
      <c r="C2732" s="1">
        <f t="shared" si="1083"/>
        <v>174408</v>
      </c>
      <c r="D2732" s="5">
        <f>IF(N2732&gt;0, RANK(N2732,(N2732:P2732,Q2732:AE2732)),0)</f>
        <v>1</v>
      </c>
      <c r="E2732" s="5">
        <f>IF(O2732&gt;0,RANK(O2732,(N2732:P2732,Q2732:AE2732)),0)</f>
        <v>2</v>
      </c>
      <c r="F2732" s="5">
        <f>IF(P2732&gt;0,RANK(P2732,(N2732:P2732,Q2732:AE2732)),0)</f>
        <v>6</v>
      </c>
      <c r="G2732" s="132">
        <f t="shared" si="1093"/>
        <v>70167</v>
      </c>
      <c r="H2732" s="137">
        <f t="shared" si="1094"/>
        <v>0.40231526076785468</v>
      </c>
      <c r="I2732" s="2"/>
      <c r="J2732" s="2">
        <f t="shared" si="1084"/>
        <v>0.68121301775147924</v>
      </c>
      <c r="K2732" s="2">
        <f t="shared" si="1085"/>
        <v>0.27889775698362462</v>
      </c>
      <c r="L2732" s="2">
        <f t="shared" si="1086"/>
        <v>1.4448878491812303E-3</v>
      </c>
      <c r="M2732" s="2">
        <f t="shared" si="1087"/>
        <v>3.8444337415714902E-2</v>
      </c>
      <c r="N2732" s="63">
        <v>118809</v>
      </c>
      <c r="O2732" s="63">
        <v>48642</v>
      </c>
      <c r="P2732" s="63">
        <v>252</v>
      </c>
      <c r="Q2732" s="63">
        <v>3788</v>
      </c>
      <c r="R2732" s="63">
        <v>1856</v>
      </c>
      <c r="S2732" s="63">
        <v>34</v>
      </c>
      <c r="T2732" s="63"/>
      <c r="U2732" s="63">
        <v>0</v>
      </c>
      <c r="V2732" s="63"/>
      <c r="W2732" s="63">
        <f>IF(Copyright!B$11=1,IF(CA2732&gt;0,CA2732-SUM(S2732:V2732)-P2732-SUM(X2732:AQ2732),SUM(CB2732:CI2732)),SUM(CB2732:CI2732))</f>
        <v>988</v>
      </c>
      <c r="X2732" s="63"/>
      <c r="Y2732" s="63">
        <v>7</v>
      </c>
      <c r="Z2732" s="63"/>
      <c r="AA2732" s="63">
        <v>11</v>
      </c>
      <c r="AB2732" s="63"/>
      <c r="AC2732" s="63"/>
      <c r="AD2732" s="63"/>
      <c r="AE2732" s="63">
        <v>5</v>
      </c>
      <c r="AF2732" s="63"/>
      <c r="AG2732" s="63"/>
      <c r="AH2732" s="63"/>
      <c r="AI2732" s="63"/>
      <c r="AJ2732" s="63"/>
      <c r="AK2732" s="63"/>
      <c r="AL2732" s="63"/>
      <c r="AM2732" s="63"/>
      <c r="AN2732" s="63">
        <v>16</v>
      </c>
      <c r="AO2732" s="63"/>
      <c r="AP2732" s="63"/>
      <c r="AQ2732" s="63"/>
      <c r="AR2732" s="63"/>
      <c r="AS2732" s="63"/>
      <c r="AT2732" s="63"/>
      <c r="AU2732" s="63"/>
      <c r="AW2732" s="5">
        <f>IF(Q2732&gt;0,RANK(Q2732,(N2732:P2732,Q2732:AE2732)),0)</f>
        <v>3</v>
      </c>
      <c r="AX2732" s="5">
        <f>IF(R2732&gt;0,RANK(R2732,(N2732:P2732,Q2732:AE2732)),0)</f>
        <v>4</v>
      </c>
      <c r="AY2732" s="5">
        <f>IF(T2732&gt;0,RANK(T2732,(N2732:P2732,Q2732:AE2732)),0)</f>
        <v>0</v>
      </c>
      <c r="AZ2732" s="5">
        <f>IF(S2732&gt;0,RANK(S2732,(N2732:P2732,Q2732:AE2732)),0)</f>
        <v>7</v>
      </c>
      <c r="BA2732" s="2">
        <f t="shared" si="1088"/>
        <v>2.1719187193248016E-2</v>
      </c>
      <c r="BB2732" s="2">
        <f t="shared" si="1089"/>
        <v>1.0641713682858584E-2</v>
      </c>
      <c r="BC2732" s="2">
        <f t="shared" si="1090"/>
        <v>0</v>
      </c>
      <c r="BD2732" s="2">
        <f t="shared" si="1091"/>
        <v>1.9494518600064216E-4</v>
      </c>
      <c r="BF2732" t="s">
        <v>2343</v>
      </c>
      <c r="BG2732" t="s">
        <v>53</v>
      </c>
      <c r="BJ2732" s="114">
        <v>48</v>
      </c>
      <c r="BK2732" s="116">
        <v>215</v>
      </c>
      <c r="BL2732" s="120">
        <f t="shared" si="1095"/>
        <v>48215</v>
      </c>
      <c r="BN2732" s="5" t="s">
        <v>3154</v>
      </c>
      <c r="BR2732" s="63"/>
      <c r="BY2732" s="63">
        <v>174408</v>
      </c>
      <c r="BZ2732" s="63">
        <f t="shared" si="1092"/>
        <v>174408</v>
      </c>
      <c r="CA2732" s="63">
        <v>1313</v>
      </c>
      <c r="CD2732" s="63">
        <v>8</v>
      </c>
      <c r="CE2732" s="63">
        <v>0</v>
      </c>
      <c r="CF2732" s="63">
        <v>5</v>
      </c>
      <c r="CG2732" s="8">
        <v>1</v>
      </c>
      <c r="CH2732" s="8">
        <v>2</v>
      </c>
      <c r="CI2732" s="8">
        <v>1</v>
      </c>
    </row>
    <row r="2733" spans="1:87" hidden="1" outlineLevel="1">
      <c r="A2733" t="s">
        <v>1566</v>
      </c>
      <c r="B2733" t="s">
        <v>53</v>
      </c>
      <c r="C2733" s="1">
        <f t="shared" si="1083"/>
        <v>12970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5</v>
      </c>
      <c r="G2733" s="132">
        <f t="shared" si="1093"/>
        <v>7561</v>
      </c>
      <c r="H2733" s="137">
        <f t="shared" si="1094"/>
        <v>0.58296067848882038</v>
      </c>
      <c r="I2733" s="2"/>
      <c r="J2733" s="2">
        <f t="shared" si="1084"/>
        <v>0.1963762528912876</v>
      </c>
      <c r="K2733" s="2">
        <f t="shared" si="1085"/>
        <v>0.77933693138010796</v>
      </c>
      <c r="L2733" s="2">
        <f t="shared" si="1086"/>
        <v>1.233616037008481E-3</v>
      </c>
      <c r="M2733" s="2">
        <f t="shared" si="1087"/>
        <v>2.3053199691595992E-2</v>
      </c>
      <c r="N2733" s="63">
        <v>2547</v>
      </c>
      <c r="O2733" s="63">
        <v>10108</v>
      </c>
      <c r="P2733" s="63">
        <v>16</v>
      </c>
      <c r="Q2733" s="63">
        <v>256</v>
      </c>
      <c r="R2733" s="63">
        <v>40</v>
      </c>
      <c r="S2733" s="63">
        <v>3</v>
      </c>
      <c r="T2733" s="63"/>
      <c r="U2733" s="63">
        <v>0</v>
      </c>
      <c r="V2733" s="63"/>
      <c r="W2733" s="63">
        <f>IF(Copyright!B$11=1,IF(CA2733&gt;0,CA2733-SUM(S2733:V2733)-P2733-SUM(X2733:AQ2733),SUM(CB2733:CI2733)),SUM(CB2733:CI2733))</f>
        <v>0</v>
      </c>
      <c r="X2733" s="63"/>
      <c r="Y2733" s="63">
        <v>0</v>
      </c>
      <c r="Z2733" s="63"/>
      <c r="AA2733" s="63">
        <v>0</v>
      </c>
      <c r="AB2733" s="63"/>
      <c r="AC2733" s="63"/>
      <c r="AD2733" s="63"/>
      <c r="AE2733" s="63">
        <v>0</v>
      </c>
      <c r="AF2733" s="63"/>
      <c r="AG2733" s="63"/>
      <c r="AH2733" s="63"/>
      <c r="AI2733" s="63"/>
      <c r="AJ2733" s="63"/>
      <c r="AK2733" s="63"/>
      <c r="AL2733" s="63"/>
      <c r="AM2733" s="63"/>
      <c r="AN2733" s="63">
        <v>0</v>
      </c>
      <c r="AO2733" s="63"/>
      <c r="AP2733" s="63"/>
      <c r="AQ2733" s="63"/>
      <c r="AR2733" s="63"/>
      <c r="AS2733" s="63"/>
      <c r="AT2733" s="63"/>
      <c r="AU2733" s="63"/>
      <c r="AW2733" s="5">
        <f>IF(Q2733&gt;0,RANK(Q2733,(N2733:P2733,Q2733:AE2733)),0)</f>
        <v>3</v>
      </c>
      <c r="AX2733" s="5">
        <f>IF(R2733&gt;0,RANK(R2733,(N2733:P2733,Q2733:AE2733)),0)</f>
        <v>4</v>
      </c>
      <c r="AY2733" s="5">
        <f>IF(T2733&gt;0,RANK(T2733,(N2733:P2733,Q2733:AE2733)),0)</f>
        <v>0</v>
      </c>
      <c r="AZ2733" s="5">
        <f>IF(S2733&gt;0,RANK(S2733,(N2733:P2733,Q2733:AE2733)),0)</f>
        <v>6</v>
      </c>
      <c r="BA2733" s="2">
        <f t="shared" si="1088"/>
        <v>1.9737856592135696E-2</v>
      </c>
      <c r="BB2733" s="2">
        <f t="shared" si="1089"/>
        <v>3.0840400925212026E-3</v>
      </c>
      <c r="BC2733" s="2">
        <f t="shared" si="1090"/>
        <v>0</v>
      </c>
      <c r="BD2733" s="2">
        <f t="shared" si="1091"/>
        <v>2.313030069390902E-4</v>
      </c>
      <c r="BF2733" t="s">
        <v>1566</v>
      </c>
      <c r="BG2733" t="s">
        <v>53</v>
      </c>
      <c r="BH2733">
        <v>25</v>
      </c>
      <c r="BJ2733" s="114">
        <v>48</v>
      </c>
      <c r="BK2733" s="116">
        <v>217</v>
      </c>
      <c r="BL2733" s="120">
        <f t="shared" si="1095"/>
        <v>48217</v>
      </c>
      <c r="BN2733" s="5" t="s">
        <v>3154</v>
      </c>
      <c r="BZ2733" s="63">
        <f t="shared" si="1092"/>
        <v>12970</v>
      </c>
      <c r="CD2733" s="63">
        <v>0</v>
      </c>
      <c r="CE2733" s="63">
        <v>0</v>
      </c>
      <c r="CF2733" s="63">
        <v>0</v>
      </c>
      <c r="CG2733" s="8">
        <v>0</v>
      </c>
      <c r="CH2733" s="8">
        <v>0</v>
      </c>
      <c r="CI2733" s="8">
        <v>0</v>
      </c>
    </row>
    <row r="2734" spans="1:87" hidden="1" outlineLevel="1">
      <c r="A2734" t="s">
        <v>1852</v>
      </c>
      <c r="B2734" t="s">
        <v>53</v>
      </c>
      <c r="C2734" s="1">
        <f t="shared" si="1083"/>
        <v>7311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5</v>
      </c>
      <c r="G2734" s="132">
        <f t="shared" si="1093"/>
        <v>4549</v>
      </c>
      <c r="H2734" s="137">
        <f t="shared" si="1094"/>
        <v>0.62221310354260706</v>
      </c>
      <c r="I2734" s="2"/>
      <c r="J2734" s="2">
        <f t="shared" si="1084"/>
        <v>0.1723430447271235</v>
      </c>
      <c r="K2734" s="2">
        <f t="shared" si="1085"/>
        <v>0.79455614826973053</v>
      </c>
      <c r="L2734" s="2">
        <f t="shared" si="1086"/>
        <v>8.206811653672548E-4</v>
      </c>
      <c r="M2734" s="2">
        <f t="shared" si="1087"/>
        <v>3.2280125837778742E-2</v>
      </c>
      <c r="N2734" s="63">
        <v>1260</v>
      </c>
      <c r="O2734" s="63">
        <v>5809</v>
      </c>
      <c r="P2734" s="63">
        <v>6</v>
      </c>
      <c r="Q2734" s="63">
        <v>199</v>
      </c>
      <c r="R2734" s="63">
        <v>33</v>
      </c>
      <c r="S2734" s="63">
        <v>0</v>
      </c>
      <c r="T2734" s="63"/>
      <c r="U2734" s="63">
        <v>0</v>
      </c>
      <c r="V2734" s="63"/>
      <c r="W2734" s="63">
        <f>IF(Copyright!B$11=1,IF(CA2734&gt;0,CA2734-SUM(S2734:V2734)-P2734-SUM(X2734:AQ2734),SUM(CB2734:CI2734)),SUM(CB2734:CI2734))</f>
        <v>2</v>
      </c>
      <c r="X2734" s="63"/>
      <c r="Y2734" s="63">
        <v>2</v>
      </c>
      <c r="Z2734" s="63"/>
      <c r="AA2734" s="63">
        <v>0</v>
      </c>
      <c r="AB2734" s="63"/>
      <c r="AC2734" s="63"/>
      <c r="AD2734" s="63"/>
      <c r="AE2734" s="63">
        <v>0</v>
      </c>
      <c r="AF2734" s="63"/>
      <c r="AG2734" s="63"/>
      <c r="AH2734" s="63"/>
      <c r="AI2734" s="63"/>
      <c r="AJ2734" s="63"/>
      <c r="AK2734" s="63"/>
      <c r="AL2734" s="63"/>
      <c r="AM2734" s="63"/>
      <c r="AN2734" s="63">
        <v>0</v>
      </c>
      <c r="AO2734" s="63"/>
      <c r="AP2734" s="63"/>
      <c r="AQ2734" s="63"/>
      <c r="AR2734" s="63"/>
      <c r="AS2734" s="63"/>
      <c r="AT2734" s="63"/>
      <c r="AU2734" s="63"/>
      <c r="AW2734" s="5">
        <f>IF(Q2734&gt;0,RANK(Q2734,(N2734:P2734,Q2734:AE2734)),0)</f>
        <v>3</v>
      </c>
      <c r="AX2734" s="5">
        <f>IF(R2734&gt;0,RANK(R2734,(N2734:P2734,Q2734:AE2734)),0)</f>
        <v>4</v>
      </c>
      <c r="AY2734" s="5">
        <f>IF(T2734&gt;0,RANK(T2734,(N2734:P2734,Q2734:AE2734)),0)</f>
        <v>0</v>
      </c>
      <c r="AZ2734" s="5">
        <f>IF(S2734&gt;0,RANK(S2734,(N2734:P2734,Q2734:AE2734)),0)</f>
        <v>0</v>
      </c>
      <c r="BA2734" s="2">
        <f t="shared" si="1088"/>
        <v>2.7219258651347285E-2</v>
      </c>
      <c r="BB2734" s="2">
        <f t="shared" si="1089"/>
        <v>4.5137464095199014E-3</v>
      </c>
      <c r="BC2734" s="2">
        <f t="shared" si="1090"/>
        <v>0</v>
      </c>
      <c r="BD2734" s="2">
        <f t="shared" si="1091"/>
        <v>0</v>
      </c>
      <c r="BF2734" t="s">
        <v>1852</v>
      </c>
      <c r="BG2734" t="s">
        <v>53</v>
      </c>
      <c r="BH2734">
        <v>19</v>
      </c>
      <c r="BJ2734" s="114">
        <v>48</v>
      </c>
      <c r="BK2734" s="116">
        <v>219</v>
      </c>
      <c r="BL2734" s="120">
        <f t="shared" si="1095"/>
        <v>48219</v>
      </c>
      <c r="BN2734" s="5" t="s">
        <v>3154</v>
      </c>
      <c r="BZ2734" s="63">
        <f t="shared" si="1092"/>
        <v>7311</v>
      </c>
      <c r="CD2734" s="63">
        <v>1</v>
      </c>
      <c r="CE2734" s="63">
        <v>0</v>
      </c>
      <c r="CF2734" s="63">
        <v>0</v>
      </c>
      <c r="CG2734" s="8">
        <v>1</v>
      </c>
      <c r="CH2734" s="8">
        <v>0</v>
      </c>
      <c r="CI2734" s="8">
        <v>0</v>
      </c>
    </row>
    <row r="2735" spans="1:87" hidden="1" outlineLevel="1">
      <c r="A2735" t="s">
        <v>885</v>
      </c>
      <c r="B2735" t="s">
        <v>53</v>
      </c>
      <c r="C2735" s="1">
        <f t="shared" si="1083"/>
        <v>26262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5</v>
      </c>
      <c r="G2735" s="132">
        <f t="shared" si="1093"/>
        <v>17374</v>
      </c>
      <c r="H2735" s="137">
        <f t="shared" si="1094"/>
        <v>0.6615642373010433</v>
      </c>
      <c r="I2735" s="2"/>
      <c r="J2735" s="2">
        <f t="shared" si="1084"/>
        <v>0.15261594699565914</v>
      </c>
      <c r="K2735" s="2">
        <f t="shared" si="1085"/>
        <v>0.81418018429670247</v>
      </c>
      <c r="L2735" s="2">
        <f t="shared" si="1086"/>
        <v>3.5031604599801997E-3</v>
      </c>
      <c r="M2735" s="2">
        <f t="shared" si="1087"/>
        <v>2.9700708247658164E-2</v>
      </c>
      <c r="N2735" s="63">
        <v>4008</v>
      </c>
      <c r="O2735" s="63">
        <v>21382</v>
      </c>
      <c r="P2735" s="63">
        <v>92</v>
      </c>
      <c r="Q2735" s="63">
        <v>641</v>
      </c>
      <c r="R2735" s="63">
        <v>113</v>
      </c>
      <c r="S2735" s="63">
        <v>18</v>
      </c>
      <c r="T2735" s="63"/>
      <c r="U2735" s="63">
        <v>0</v>
      </c>
      <c r="V2735" s="63"/>
      <c r="W2735" s="63">
        <f>IF(Copyright!B$11=1,IF(CA2735&gt;0,CA2735-SUM(S2735:V2735)-P2735-SUM(X2735:AQ2735),SUM(CB2735:CI2735)),SUM(CB2735:CI2735))</f>
        <v>3</v>
      </c>
      <c r="X2735" s="63"/>
      <c r="Y2735" s="63">
        <v>2</v>
      </c>
      <c r="Z2735" s="63"/>
      <c r="AA2735" s="63">
        <v>0</v>
      </c>
      <c r="AB2735" s="63"/>
      <c r="AC2735" s="63"/>
      <c r="AD2735" s="63"/>
      <c r="AE2735" s="63">
        <v>0</v>
      </c>
      <c r="AF2735" s="63"/>
      <c r="AG2735" s="63"/>
      <c r="AH2735" s="63"/>
      <c r="AI2735" s="63"/>
      <c r="AJ2735" s="63"/>
      <c r="AK2735" s="63"/>
      <c r="AL2735" s="63"/>
      <c r="AM2735" s="63"/>
      <c r="AN2735" s="63">
        <v>3</v>
      </c>
      <c r="AO2735" s="63"/>
      <c r="AP2735" s="63"/>
      <c r="AQ2735" s="63"/>
      <c r="AR2735" s="63"/>
      <c r="AS2735" s="63"/>
      <c r="AT2735" s="63"/>
      <c r="AU2735" s="63"/>
      <c r="AW2735" s="5">
        <f>IF(Q2735&gt;0,RANK(Q2735,(N2735:P2735,Q2735:AE2735)),0)</f>
        <v>3</v>
      </c>
      <c r="AX2735" s="5">
        <f>IF(R2735&gt;0,RANK(R2735,(N2735:P2735,Q2735:AE2735)),0)</f>
        <v>4</v>
      </c>
      <c r="AY2735" s="5">
        <f>IF(T2735&gt;0,RANK(T2735,(N2735:P2735,Q2735:AE2735)),0)</f>
        <v>0</v>
      </c>
      <c r="AZ2735" s="5">
        <f>IF(S2735&gt;0,RANK(S2735,(N2735:P2735,Q2735:AE2735)),0)</f>
        <v>6</v>
      </c>
      <c r="BA2735" s="2">
        <f t="shared" si="1088"/>
        <v>2.4407889726601174E-2</v>
      </c>
      <c r="BB2735" s="2">
        <f t="shared" si="1089"/>
        <v>4.3027949128017669E-3</v>
      </c>
      <c r="BC2735" s="2">
        <f t="shared" si="1090"/>
        <v>0</v>
      </c>
      <c r="BD2735" s="2">
        <f t="shared" si="1091"/>
        <v>6.8540095956134343E-4</v>
      </c>
      <c r="BF2735" t="s">
        <v>885</v>
      </c>
      <c r="BG2735" t="s">
        <v>53</v>
      </c>
      <c r="BH2735">
        <v>11</v>
      </c>
      <c r="BJ2735" s="114">
        <v>48</v>
      </c>
      <c r="BK2735" s="116">
        <v>221</v>
      </c>
      <c r="BL2735" s="120">
        <f t="shared" si="1095"/>
        <v>48221</v>
      </c>
      <c r="BN2735" s="5" t="s">
        <v>3154</v>
      </c>
      <c r="BZ2735" s="63">
        <f t="shared" si="1092"/>
        <v>26262</v>
      </c>
      <c r="CA2735" s="133"/>
      <c r="CD2735" s="63">
        <v>0</v>
      </c>
      <c r="CE2735" s="63">
        <v>2</v>
      </c>
      <c r="CF2735" s="63">
        <v>0</v>
      </c>
      <c r="CG2735" s="8">
        <v>1</v>
      </c>
      <c r="CH2735" s="8">
        <v>0</v>
      </c>
      <c r="CI2735" s="8">
        <v>0</v>
      </c>
    </row>
    <row r="2736" spans="1:87" hidden="1" outlineLevel="1">
      <c r="A2736" t="s">
        <v>40</v>
      </c>
      <c r="B2736" t="s">
        <v>53</v>
      </c>
      <c r="C2736" s="1">
        <f t="shared" si="1083"/>
        <v>13538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5</v>
      </c>
      <c r="G2736" s="132">
        <f t="shared" si="1093"/>
        <v>8197</v>
      </c>
      <c r="H2736" s="137">
        <f t="shared" si="1094"/>
        <v>0.60548086866597728</v>
      </c>
      <c r="I2736" s="2"/>
      <c r="J2736" s="2">
        <f t="shared" si="1084"/>
        <v>0.18540404786526812</v>
      </c>
      <c r="K2736" s="2">
        <f t="shared" si="1085"/>
        <v>0.79088491653124537</v>
      </c>
      <c r="L2736" s="2">
        <f t="shared" si="1086"/>
        <v>3.1023784901758012E-3</v>
      </c>
      <c r="M2736" s="2">
        <f t="shared" si="1087"/>
        <v>2.0608657113310728E-2</v>
      </c>
      <c r="N2736" s="63">
        <v>2510</v>
      </c>
      <c r="O2736" s="63">
        <v>10707</v>
      </c>
      <c r="P2736" s="63">
        <v>42</v>
      </c>
      <c r="Q2736" s="63">
        <v>220</v>
      </c>
      <c r="R2736" s="63">
        <v>44</v>
      </c>
      <c r="S2736" s="63">
        <v>13</v>
      </c>
      <c r="T2736" s="63"/>
      <c r="U2736" s="63">
        <v>0</v>
      </c>
      <c r="V2736" s="63"/>
      <c r="W2736" s="63">
        <f>IF(Copyright!B$11=1,IF(CA2736&gt;0,CA2736-SUM(S2736:V2736)-P2736-SUM(X2736:AQ2736),SUM(CB2736:CI2736)),SUM(CB2736:CI2736))</f>
        <v>1</v>
      </c>
      <c r="X2736" s="63"/>
      <c r="Y2736" s="63">
        <v>0</v>
      </c>
      <c r="Z2736" s="63"/>
      <c r="AA2736" s="63">
        <v>0</v>
      </c>
      <c r="AB2736" s="63"/>
      <c r="AC2736" s="63"/>
      <c r="AD2736" s="63"/>
      <c r="AE2736" s="63">
        <v>1</v>
      </c>
      <c r="AF2736" s="63"/>
      <c r="AG2736" s="63"/>
      <c r="AH2736" s="63"/>
      <c r="AI2736" s="63"/>
      <c r="AJ2736" s="63"/>
      <c r="AK2736" s="63"/>
      <c r="AL2736" s="63"/>
      <c r="AM2736" s="63"/>
      <c r="AN2736" s="63">
        <v>0</v>
      </c>
      <c r="AO2736" s="63"/>
      <c r="AP2736" s="63"/>
      <c r="AQ2736" s="63"/>
      <c r="AR2736" s="63"/>
      <c r="AS2736" s="63"/>
      <c r="AT2736" s="63"/>
      <c r="AU2736" s="63"/>
      <c r="AW2736" s="5">
        <f>IF(Q2736&gt;0,RANK(Q2736,(N2736:P2736,Q2736:AE2736)),0)</f>
        <v>3</v>
      </c>
      <c r="AX2736" s="5">
        <f>IF(R2736&gt;0,RANK(R2736,(N2736:P2736,Q2736:AE2736)),0)</f>
        <v>4</v>
      </c>
      <c r="AY2736" s="5">
        <f>IF(T2736&gt;0,RANK(T2736,(N2736:P2736,Q2736:AE2736)),0)</f>
        <v>0</v>
      </c>
      <c r="AZ2736" s="5">
        <f>IF(S2736&gt;0,RANK(S2736,(N2736:P2736,Q2736:AE2736)),0)</f>
        <v>6</v>
      </c>
      <c r="BA2736" s="2">
        <f t="shared" si="1088"/>
        <v>1.6250553996158958E-2</v>
      </c>
      <c r="BB2736" s="2">
        <f t="shared" si="1089"/>
        <v>3.2501107992317919E-3</v>
      </c>
      <c r="BC2736" s="2">
        <f t="shared" si="1090"/>
        <v>0</v>
      </c>
      <c r="BD2736" s="2">
        <f t="shared" si="1091"/>
        <v>9.6026000886393855E-4</v>
      </c>
      <c r="BF2736" t="s">
        <v>40</v>
      </c>
      <c r="BG2736" t="s">
        <v>53</v>
      </c>
      <c r="BH2736">
        <v>4</v>
      </c>
      <c r="BJ2736" s="114">
        <v>48</v>
      </c>
      <c r="BK2736" s="116">
        <v>223</v>
      </c>
      <c r="BL2736" s="120">
        <f t="shared" si="1095"/>
        <v>48223</v>
      </c>
      <c r="BN2736" s="5" t="s">
        <v>3154</v>
      </c>
      <c r="BZ2736" s="63">
        <f t="shared" si="1092"/>
        <v>13538</v>
      </c>
      <c r="CD2736" s="63">
        <v>0</v>
      </c>
      <c r="CE2736" s="63">
        <v>0</v>
      </c>
      <c r="CF2736" s="63">
        <v>1</v>
      </c>
      <c r="CG2736" s="8">
        <v>0</v>
      </c>
      <c r="CH2736" s="8">
        <v>0</v>
      </c>
      <c r="CI2736" s="8">
        <v>0</v>
      </c>
    </row>
    <row r="2737" spans="1:87" hidden="1" outlineLevel="1">
      <c r="A2737" t="s">
        <v>1007</v>
      </c>
      <c r="B2737" t="s">
        <v>53</v>
      </c>
      <c r="C2737" s="1">
        <f t="shared" si="1083"/>
        <v>8353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32">
        <f t="shared" si="1093"/>
        <v>4227</v>
      </c>
      <c r="H2737" s="137">
        <f t="shared" si="1094"/>
        <v>0.5060457320723093</v>
      </c>
      <c r="I2737" s="2"/>
      <c r="J2737" s="2">
        <f t="shared" si="1084"/>
        <v>0.23680114928768106</v>
      </c>
      <c r="K2737" s="2">
        <f t="shared" si="1085"/>
        <v>0.74284688135999044</v>
      </c>
      <c r="L2737" s="2">
        <f t="shared" si="1086"/>
        <v>0</v>
      </c>
      <c r="M2737" s="2">
        <f t="shared" si="1087"/>
        <v>2.0351969352328525E-2</v>
      </c>
      <c r="N2737" s="63">
        <v>1978</v>
      </c>
      <c r="O2737" s="63">
        <v>6205</v>
      </c>
      <c r="P2737" s="63">
        <v>0</v>
      </c>
      <c r="Q2737" s="63">
        <v>90</v>
      </c>
      <c r="R2737" s="63">
        <v>29</v>
      </c>
      <c r="S2737" s="63">
        <v>0</v>
      </c>
      <c r="T2737" s="63"/>
      <c r="U2737" s="63">
        <v>0</v>
      </c>
      <c r="V2737" s="63"/>
      <c r="W2737" s="63">
        <f>IF(Copyright!B$11=1,IF(CA2737&gt;0,CA2737-SUM(S2737:V2737)-P2737-SUM(X2737:AQ2737),SUM(CB2737:CI2737)),SUM(CB2737:CI2737))</f>
        <v>51</v>
      </c>
      <c r="X2737" s="63"/>
      <c r="Y2737" s="63">
        <v>0</v>
      </c>
      <c r="Z2737" s="63"/>
      <c r="AA2737" s="63">
        <v>0</v>
      </c>
      <c r="AB2737" s="63"/>
      <c r="AC2737" s="63"/>
      <c r="AD2737" s="63"/>
      <c r="AE2737" s="63">
        <v>0</v>
      </c>
      <c r="AF2737" s="63"/>
      <c r="AG2737" s="63"/>
      <c r="AH2737" s="63"/>
      <c r="AI2737" s="63"/>
      <c r="AJ2737" s="63"/>
      <c r="AK2737" s="63"/>
      <c r="AL2737" s="63"/>
      <c r="AM2737" s="63"/>
      <c r="AN2737" s="63">
        <v>0</v>
      </c>
      <c r="AO2737" s="63"/>
      <c r="AP2737" s="63"/>
      <c r="AQ2737" s="63"/>
      <c r="AR2737" s="63"/>
      <c r="AS2737" s="63"/>
      <c r="AT2737" s="63"/>
      <c r="AU2737" s="63"/>
      <c r="AW2737" s="5">
        <f>IF(Q2737&gt;0,RANK(Q2737,(N2737:P2737,Q2737:AE2737)),0)</f>
        <v>3</v>
      </c>
      <c r="AX2737" s="5">
        <f>IF(R2737&gt;0,RANK(R2737,(N2737:P2737,Q2737:AE2737)),0)</f>
        <v>5</v>
      </c>
      <c r="AY2737" s="5">
        <f>IF(T2737&gt;0,RANK(T2737,(N2737:P2737,Q2737:AE2737)),0)</f>
        <v>0</v>
      </c>
      <c r="AZ2737" s="5">
        <f>IF(S2737&gt;0,RANK(S2737,(N2737:P2737,Q2737:AE2737)),0)</f>
        <v>0</v>
      </c>
      <c r="BA2737" s="2">
        <f t="shared" si="1088"/>
        <v>1.0774572010056268E-2</v>
      </c>
      <c r="BB2737" s="2">
        <f t="shared" si="1089"/>
        <v>3.4718065365736861E-3</v>
      </c>
      <c r="BC2737" s="2">
        <f t="shared" si="1090"/>
        <v>0</v>
      </c>
      <c r="BD2737" s="2">
        <f t="shared" si="1091"/>
        <v>0</v>
      </c>
      <c r="BF2737" t="s">
        <v>1007</v>
      </c>
      <c r="BG2737" t="s">
        <v>53</v>
      </c>
      <c r="BH2737">
        <v>8</v>
      </c>
      <c r="BJ2737" s="114">
        <v>48</v>
      </c>
      <c r="BK2737" s="116">
        <v>225</v>
      </c>
      <c r="BL2737" s="120">
        <f t="shared" si="1095"/>
        <v>48225</v>
      </c>
      <c r="BN2737" s="5" t="s">
        <v>3154</v>
      </c>
      <c r="BZ2737" s="63">
        <f t="shared" si="1092"/>
        <v>8353</v>
      </c>
      <c r="CD2737" s="63">
        <v>51</v>
      </c>
      <c r="CE2737" s="63">
        <v>0</v>
      </c>
      <c r="CF2737" s="63">
        <v>0</v>
      </c>
      <c r="CG2737" s="8">
        <v>0</v>
      </c>
      <c r="CH2737" s="8">
        <v>0</v>
      </c>
      <c r="CI2737" s="8">
        <v>0</v>
      </c>
    </row>
    <row r="2738" spans="1:87" hidden="1" outlineLevel="1">
      <c r="A2738" t="s">
        <v>1049</v>
      </c>
      <c r="B2738" t="s">
        <v>53</v>
      </c>
      <c r="C2738" s="1">
        <f t="shared" si="1083"/>
        <v>8723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5</v>
      </c>
      <c r="G2738" s="132">
        <f t="shared" si="1093"/>
        <v>4867</v>
      </c>
      <c r="H2738" s="137">
        <f t="shared" si="1094"/>
        <v>0.5579502464748366</v>
      </c>
      <c r="I2738" s="2"/>
      <c r="J2738" s="2">
        <f t="shared" si="1084"/>
        <v>0.20291184225610456</v>
      </c>
      <c r="K2738" s="2">
        <f t="shared" si="1085"/>
        <v>0.76086208873094119</v>
      </c>
      <c r="L2738" s="2">
        <f t="shared" si="1086"/>
        <v>1.8342313424280637E-3</v>
      </c>
      <c r="M2738" s="2">
        <f t="shared" si="1087"/>
        <v>3.4391837670526157E-2</v>
      </c>
      <c r="N2738" s="63">
        <v>1770</v>
      </c>
      <c r="O2738" s="63">
        <v>6637</v>
      </c>
      <c r="P2738" s="63">
        <v>16</v>
      </c>
      <c r="Q2738" s="63">
        <v>232</v>
      </c>
      <c r="R2738" s="63">
        <v>56</v>
      </c>
      <c r="S2738" s="63">
        <v>7</v>
      </c>
      <c r="T2738" s="63"/>
      <c r="U2738" s="63">
        <v>0</v>
      </c>
      <c r="V2738" s="63"/>
      <c r="W2738" s="63">
        <f>IF(Copyright!B$11=1,IF(CA2738&gt;0,CA2738-SUM(S2738:V2738)-P2738-SUM(X2738:AQ2738),SUM(CB2738:CI2738)),SUM(CB2738:CI2738))</f>
        <v>1</v>
      </c>
      <c r="X2738" s="63"/>
      <c r="Y2738" s="63">
        <v>3</v>
      </c>
      <c r="Z2738" s="63"/>
      <c r="AA2738" s="63">
        <v>0</v>
      </c>
      <c r="AB2738" s="63"/>
      <c r="AC2738" s="63"/>
      <c r="AD2738" s="63"/>
      <c r="AE2738" s="63">
        <v>0</v>
      </c>
      <c r="AF2738" s="63"/>
      <c r="AG2738" s="63"/>
      <c r="AH2738" s="63"/>
      <c r="AI2738" s="63"/>
      <c r="AJ2738" s="63"/>
      <c r="AK2738" s="63"/>
      <c r="AL2738" s="63"/>
      <c r="AM2738" s="63"/>
      <c r="AN2738" s="63">
        <v>1</v>
      </c>
      <c r="AO2738" s="63"/>
      <c r="AP2738" s="63"/>
      <c r="AQ2738" s="63"/>
      <c r="AR2738" s="63"/>
      <c r="AS2738" s="63"/>
      <c r="AT2738" s="63"/>
      <c r="AU2738" s="63"/>
      <c r="AW2738" s="5">
        <f>IF(Q2738&gt;0,RANK(Q2738,(N2738:P2738,Q2738:AE2738)),0)</f>
        <v>3</v>
      </c>
      <c r="AX2738" s="5">
        <f>IF(R2738&gt;0,RANK(R2738,(N2738:P2738,Q2738:AE2738)),0)</f>
        <v>4</v>
      </c>
      <c r="AY2738" s="5">
        <f>IF(T2738&gt;0,RANK(T2738,(N2738:P2738,Q2738:AE2738)),0)</f>
        <v>0</v>
      </c>
      <c r="AZ2738" s="5">
        <f>IF(S2738&gt;0,RANK(S2738,(N2738:P2738,Q2738:AE2738)),0)</f>
        <v>6</v>
      </c>
      <c r="BA2738" s="2">
        <f t="shared" si="1088"/>
        <v>2.6596354465206924E-2</v>
      </c>
      <c r="BB2738" s="2">
        <f t="shared" si="1089"/>
        <v>6.4198096984982231E-3</v>
      </c>
      <c r="BC2738" s="2">
        <f t="shared" si="1090"/>
        <v>0</v>
      </c>
      <c r="BD2738" s="2">
        <f t="shared" si="1091"/>
        <v>8.0247621231227789E-4</v>
      </c>
      <c r="BF2738" t="s">
        <v>1049</v>
      </c>
      <c r="BG2738" t="s">
        <v>53</v>
      </c>
      <c r="BH2738">
        <v>19</v>
      </c>
      <c r="BJ2738" s="114">
        <v>48</v>
      </c>
      <c r="BK2738" s="116">
        <v>227</v>
      </c>
      <c r="BL2738" s="120">
        <f t="shared" si="1095"/>
        <v>48227</v>
      </c>
      <c r="BN2738" s="5" t="s">
        <v>3154</v>
      </c>
      <c r="BZ2738" s="63">
        <f t="shared" si="1092"/>
        <v>8723</v>
      </c>
      <c r="CD2738" s="63">
        <v>1</v>
      </c>
      <c r="CE2738" s="63">
        <v>0</v>
      </c>
      <c r="CF2738" s="63">
        <v>0</v>
      </c>
      <c r="CG2738" s="8">
        <v>0</v>
      </c>
      <c r="CH2738" s="8">
        <v>0</v>
      </c>
      <c r="CI2738" s="8">
        <v>0</v>
      </c>
    </row>
    <row r="2739" spans="1:87" hidden="1" outlineLevel="1">
      <c r="A2739" t="s">
        <v>289</v>
      </c>
      <c r="B2739" t="s">
        <v>53</v>
      </c>
      <c r="C2739" s="1">
        <f t="shared" si="1083"/>
        <v>871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32">
        <f t="shared" si="1093"/>
        <v>179</v>
      </c>
      <c r="H2739" s="137">
        <f t="shared" si="1094"/>
        <v>0.20551090700344432</v>
      </c>
      <c r="I2739" s="2"/>
      <c r="J2739" s="2">
        <f t="shared" si="1084"/>
        <v>0.37198622273249138</v>
      </c>
      <c r="K2739" s="2">
        <f t="shared" si="1085"/>
        <v>0.5774971297359357</v>
      </c>
      <c r="L2739" s="2">
        <f t="shared" si="1086"/>
        <v>0</v>
      </c>
      <c r="M2739" s="2">
        <f t="shared" si="1087"/>
        <v>5.0516647531572922E-2</v>
      </c>
      <c r="N2739" s="63">
        <v>324</v>
      </c>
      <c r="O2739" s="63">
        <v>503</v>
      </c>
      <c r="P2739" s="63">
        <v>0</v>
      </c>
      <c r="Q2739" s="63">
        <v>38</v>
      </c>
      <c r="R2739" s="63">
        <v>6</v>
      </c>
      <c r="S2739" s="63">
        <v>0</v>
      </c>
      <c r="T2739" s="63"/>
      <c r="U2739" s="63">
        <v>0</v>
      </c>
      <c r="V2739" s="63"/>
      <c r="W2739" s="63">
        <f>IF(Copyright!B$11=1,IF(CA2739&gt;0,CA2739-SUM(S2739:V2739)-P2739-SUM(X2739:AQ2739),SUM(CB2739:CI2739)),SUM(CB2739:CI2739))</f>
        <v>0</v>
      </c>
      <c r="X2739" s="63"/>
      <c r="Y2739" s="63">
        <v>0</v>
      </c>
      <c r="Z2739" s="63"/>
      <c r="AA2739" s="63">
        <v>0</v>
      </c>
      <c r="AB2739" s="63"/>
      <c r="AC2739" s="63"/>
      <c r="AD2739" s="63"/>
      <c r="AE2739" s="63">
        <v>0</v>
      </c>
      <c r="AF2739" s="63"/>
      <c r="AG2739" s="63"/>
      <c r="AH2739" s="63"/>
      <c r="AI2739" s="63"/>
      <c r="AJ2739" s="63"/>
      <c r="AK2739" s="63"/>
      <c r="AL2739" s="63"/>
      <c r="AM2739" s="63"/>
      <c r="AN2739" s="63">
        <v>0</v>
      </c>
      <c r="AO2739" s="63"/>
      <c r="AP2739" s="63"/>
      <c r="AQ2739" s="63"/>
      <c r="AR2739" s="63"/>
      <c r="AS2739" s="63"/>
      <c r="AT2739" s="63"/>
      <c r="AU2739" s="63"/>
      <c r="AW2739" s="5">
        <f>IF(Q2739&gt;0,RANK(Q2739,(N2739:P2739,Q2739:AE2739)),0)</f>
        <v>3</v>
      </c>
      <c r="AX2739" s="5">
        <f>IF(R2739&gt;0,RANK(R2739,(N2739:P2739,Q2739:AE2739)),0)</f>
        <v>4</v>
      </c>
      <c r="AY2739" s="5">
        <f>IF(T2739&gt;0,RANK(T2739,(N2739:P2739,Q2739:AE2739)),0)</f>
        <v>0</v>
      </c>
      <c r="AZ2739" s="5">
        <f>IF(S2739&gt;0,RANK(S2739,(N2739:P2739,Q2739:AE2739)),0)</f>
        <v>0</v>
      </c>
      <c r="BA2739" s="2">
        <f t="shared" si="1088"/>
        <v>4.3628013777267508E-2</v>
      </c>
      <c r="BB2739" s="2">
        <f t="shared" si="1089"/>
        <v>6.8886337543053958E-3</v>
      </c>
      <c r="BC2739" s="2">
        <f t="shared" si="1090"/>
        <v>0</v>
      </c>
      <c r="BD2739" s="2">
        <f t="shared" si="1091"/>
        <v>0</v>
      </c>
      <c r="BF2739" t="s">
        <v>289</v>
      </c>
      <c r="BG2739" t="s">
        <v>53</v>
      </c>
      <c r="BH2739">
        <v>23</v>
      </c>
      <c r="BJ2739" s="114">
        <v>48</v>
      </c>
      <c r="BK2739" s="116">
        <v>229</v>
      </c>
      <c r="BL2739" s="120">
        <f t="shared" si="1095"/>
        <v>48229</v>
      </c>
      <c r="BN2739" s="5" t="s">
        <v>3154</v>
      </c>
      <c r="BZ2739" s="63">
        <f t="shared" si="1092"/>
        <v>871</v>
      </c>
      <c r="CD2739" s="63">
        <v>0</v>
      </c>
      <c r="CE2739" s="63">
        <v>0</v>
      </c>
      <c r="CF2739" s="63">
        <v>0</v>
      </c>
      <c r="CG2739" s="8">
        <v>0</v>
      </c>
      <c r="CH2739" s="8">
        <v>0</v>
      </c>
      <c r="CI2739" s="8">
        <v>0</v>
      </c>
    </row>
    <row r="2740" spans="1:87" hidden="1" outlineLevel="1">
      <c r="A2740" t="s">
        <v>1318</v>
      </c>
      <c r="B2740" t="s">
        <v>53</v>
      </c>
      <c r="C2740" s="1">
        <f t="shared" si="1083"/>
        <v>31554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4</v>
      </c>
      <c r="G2740" s="132">
        <f t="shared" si="1093"/>
        <v>17514</v>
      </c>
      <c r="H2740" s="137">
        <f t="shared" si="1094"/>
        <v>0.55504848830576159</v>
      </c>
      <c r="I2740" s="2"/>
      <c r="J2740" s="2">
        <f t="shared" si="1084"/>
        <v>0.20270013310515306</v>
      </c>
      <c r="K2740" s="2">
        <f t="shared" si="1085"/>
        <v>0.75774862141091459</v>
      </c>
      <c r="L2740" s="2">
        <f t="shared" si="1086"/>
        <v>5.8312733726310455E-3</v>
      </c>
      <c r="M2740" s="2">
        <f t="shared" si="1087"/>
        <v>3.3719972111301358E-2</v>
      </c>
      <c r="N2740" s="63">
        <v>6396</v>
      </c>
      <c r="O2740" s="63">
        <v>23910</v>
      </c>
      <c r="P2740" s="63">
        <v>184</v>
      </c>
      <c r="Q2740" s="63">
        <v>862</v>
      </c>
      <c r="R2740" s="63">
        <v>162</v>
      </c>
      <c r="S2740" s="63">
        <v>28</v>
      </c>
      <c r="T2740" s="63"/>
      <c r="U2740" s="63">
        <v>0</v>
      </c>
      <c r="V2740" s="63"/>
      <c r="W2740" s="63">
        <f>IF(Copyright!B$11=1,IF(CA2740&gt;0,CA2740-SUM(S2740:V2740)-P2740-SUM(X2740:AQ2740),SUM(CB2740:CI2740)),SUM(CB2740:CI2740))</f>
        <v>5</v>
      </c>
      <c r="X2740" s="63"/>
      <c r="Y2740" s="63">
        <v>2</v>
      </c>
      <c r="Z2740" s="63"/>
      <c r="AA2740" s="63">
        <v>0</v>
      </c>
      <c r="AB2740" s="63"/>
      <c r="AC2740" s="63"/>
      <c r="AD2740" s="63"/>
      <c r="AE2740" s="63">
        <v>2</v>
      </c>
      <c r="AF2740" s="63"/>
      <c r="AG2740" s="63"/>
      <c r="AH2740" s="63"/>
      <c r="AI2740" s="63"/>
      <c r="AJ2740" s="63"/>
      <c r="AK2740" s="63"/>
      <c r="AL2740" s="63"/>
      <c r="AM2740" s="63"/>
      <c r="AN2740" s="63">
        <v>3</v>
      </c>
      <c r="AO2740" s="63"/>
      <c r="AP2740" s="63"/>
      <c r="AQ2740" s="63"/>
      <c r="AR2740" s="63"/>
      <c r="AS2740" s="63"/>
      <c r="AT2740" s="63"/>
      <c r="AU2740" s="63"/>
      <c r="AW2740" s="5">
        <f>IF(Q2740&gt;0,RANK(Q2740,(N2740:P2740,Q2740:AE2740)),0)</f>
        <v>3</v>
      </c>
      <c r="AX2740" s="5">
        <f>IF(R2740&gt;0,RANK(R2740,(N2740:P2740,Q2740:AE2740)),0)</f>
        <v>5</v>
      </c>
      <c r="AY2740" s="5">
        <f>IF(T2740&gt;0,RANK(T2740,(N2740:P2740,Q2740:AE2740)),0)</f>
        <v>0</v>
      </c>
      <c r="AZ2740" s="5">
        <f>IF(S2740&gt;0,RANK(S2740,(N2740:P2740,Q2740:AE2740)),0)</f>
        <v>6</v>
      </c>
      <c r="BA2740" s="2">
        <f t="shared" si="1088"/>
        <v>2.7318248082651962E-2</v>
      </c>
      <c r="BB2740" s="2">
        <f t="shared" si="1089"/>
        <v>5.1340559041642897E-3</v>
      </c>
      <c r="BC2740" s="2">
        <f t="shared" si="1090"/>
        <v>0</v>
      </c>
      <c r="BD2740" s="2">
        <f t="shared" si="1091"/>
        <v>8.8736768713950688E-4</v>
      </c>
      <c r="BF2740" t="s">
        <v>1318</v>
      </c>
      <c r="BG2740" t="s">
        <v>53</v>
      </c>
      <c r="BH2740">
        <v>4</v>
      </c>
      <c r="BJ2740" s="114">
        <v>48</v>
      </c>
      <c r="BK2740" s="116">
        <v>231</v>
      </c>
      <c r="BL2740" s="120">
        <f t="shared" si="1095"/>
        <v>48231</v>
      </c>
      <c r="BN2740" s="5" t="s">
        <v>3154</v>
      </c>
      <c r="BZ2740" s="63">
        <f t="shared" si="1092"/>
        <v>31554</v>
      </c>
      <c r="CD2740" s="63">
        <v>0</v>
      </c>
      <c r="CE2740" s="63">
        <v>0</v>
      </c>
      <c r="CF2740" s="63">
        <v>1</v>
      </c>
      <c r="CG2740" s="8">
        <v>0</v>
      </c>
      <c r="CH2740" s="8">
        <v>1</v>
      </c>
      <c r="CI2740" s="8">
        <v>3</v>
      </c>
    </row>
    <row r="2741" spans="1:87" hidden="1" outlineLevel="1">
      <c r="A2741" t="s">
        <v>1786</v>
      </c>
      <c r="B2741" t="s">
        <v>53</v>
      </c>
      <c r="C2741" s="1">
        <f t="shared" si="1083"/>
        <v>8155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4</v>
      </c>
      <c r="G2741" s="132">
        <f t="shared" si="1093"/>
        <v>6188</v>
      </c>
      <c r="H2741" s="137">
        <f t="shared" si="1094"/>
        <v>0.75879828326180254</v>
      </c>
      <c r="I2741" s="2"/>
      <c r="J2741" s="2">
        <f t="shared" si="1084"/>
        <v>0.10472103004291845</v>
      </c>
      <c r="K2741" s="2">
        <f t="shared" si="1085"/>
        <v>0.86351931330472098</v>
      </c>
      <c r="L2741" s="2">
        <f t="shared" si="1086"/>
        <v>2.9429797670141016E-3</v>
      </c>
      <c r="M2741" s="2">
        <f t="shared" si="1087"/>
        <v>2.8816676885346476E-2</v>
      </c>
      <c r="N2741" s="63">
        <v>854</v>
      </c>
      <c r="O2741" s="63">
        <v>7042</v>
      </c>
      <c r="P2741" s="63">
        <v>24</v>
      </c>
      <c r="Q2741" s="63">
        <v>210</v>
      </c>
      <c r="R2741" s="63">
        <v>23</v>
      </c>
      <c r="S2741" s="63">
        <v>2</v>
      </c>
      <c r="T2741" s="63"/>
      <c r="U2741" s="63">
        <v>0</v>
      </c>
      <c r="V2741" s="63"/>
      <c r="W2741" s="63">
        <f>IF(Copyright!B$11=1,IF(CA2741&gt;0,CA2741-SUM(S2741:V2741)-P2741-SUM(X2741:AQ2741),SUM(CB2741:CI2741)),SUM(CB2741:CI2741))</f>
        <v>0</v>
      </c>
      <c r="X2741" s="63"/>
      <c r="Y2741" s="63">
        <v>0</v>
      </c>
      <c r="Z2741" s="63"/>
      <c r="AA2741" s="63">
        <v>0</v>
      </c>
      <c r="AB2741" s="63"/>
      <c r="AC2741" s="63"/>
      <c r="AD2741" s="63"/>
      <c r="AE2741" s="63">
        <v>0</v>
      </c>
      <c r="AF2741" s="63"/>
      <c r="AG2741" s="63"/>
      <c r="AH2741" s="63"/>
      <c r="AI2741" s="63"/>
      <c r="AJ2741" s="63"/>
      <c r="AK2741" s="63"/>
      <c r="AL2741" s="63"/>
      <c r="AM2741" s="63"/>
      <c r="AN2741" s="63">
        <v>0</v>
      </c>
      <c r="AO2741" s="63"/>
      <c r="AP2741" s="63"/>
      <c r="AQ2741" s="63"/>
      <c r="AR2741" s="63"/>
      <c r="AS2741" s="63"/>
      <c r="AT2741" s="63"/>
      <c r="AU2741" s="63"/>
      <c r="AW2741" s="5">
        <f>IF(Q2741&gt;0,RANK(Q2741,(N2741:P2741,Q2741:AE2741)),0)</f>
        <v>3</v>
      </c>
      <c r="AX2741" s="5">
        <f>IF(R2741&gt;0,RANK(R2741,(N2741:P2741,Q2741:AE2741)),0)</f>
        <v>5</v>
      </c>
      <c r="AY2741" s="5">
        <f>IF(T2741&gt;0,RANK(T2741,(N2741:P2741,Q2741:AE2741)),0)</f>
        <v>0</v>
      </c>
      <c r="AZ2741" s="5">
        <f>IF(S2741&gt;0,RANK(S2741,(N2741:P2741,Q2741:AE2741)),0)</f>
        <v>6</v>
      </c>
      <c r="BA2741" s="2">
        <f t="shared" si="1088"/>
        <v>2.575107296137339E-2</v>
      </c>
      <c r="BB2741" s="2">
        <f t="shared" si="1089"/>
        <v>2.8203556100551809E-3</v>
      </c>
      <c r="BC2741" s="2">
        <f t="shared" si="1090"/>
        <v>0</v>
      </c>
      <c r="BD2741" s="2">
        <f t="shared" si="1091"/>
        <v>2.452483139178418E-4</v>
      </c>
      <c r="BF2741" t="s">
        <v>1786</v>
      </c>
      <c r="BG2741" t="s">
        <v>53</v>
      </c>
      <c r="BH2741">
        <v>13</v>
      </c>
      <c r="BJ2741" s="114">
        <v>48</v>
      </c>
      <c r="BK2741" s="116">
        <v>233</v>
      </c>
      <c r="BL2741" s="120">
        <f t="shared" si="1095"/>
        <v>48233</v>
      </c>
      <c r="BN2741" s="5" t="s">
        <v>3154</v>
      </c>
      <c r="BZ2741" s="63">
        <f t="shared" si="1092"/>
        <v>8155</v>
      </c>
      <c r="CD2741" s="63">
        <v>0</v>
      </c>
      <c r="CE2741" s="63">
        <v>0</v>
      </c>
      <c r="CF2741" s="63">
        <v>0</v>
      </c>
      <c r="CG2741" s="8">
        <v>0</v>
      </c>
      <c r="CH2741" s="8">
        <v>0</v>
      </c>
      <c r="CI2741" s="8">
        <v>0</v>
      </c>
    </row>
    <row r="2742" spans="1:87" hidden="1" outlineLevel="1">
      <c r="A2742" t="s">
        <v>576</v>
      </c>
      <c r="B2742" t="s">
        <v>53</v>
      </c>
      <c r="C2742" s="1">
        <f t="shared" si="1083"/>
        <v>766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4</v>
      </c>
      <c r="G2742" s="132">
        <f t="shared" si="1093"/>
        <v>570</v>
      </c>
      <c r="H2742" s="137">
        <f t="shared" si="1094"/>
        <v>0.74412532637075723</v>
      </c>
      <c r="I2742" s="2"/>
      <c r="J2742" s="2">
        <f t="shared" si="1084"/>
        <v>0.1174934725848564</v>
      </c>
      <c r="K2742" s="2">
        <f t="shared" si="1085"/>
        <v>0.86161879895561355</v>
      </c>
      <c r="L2742" s="2">
        <f t="shared" si="1086"/>
        <v>5.2219321148825066E-3</v>
      </c>
      <c r="M2742" s="2">
        <f t="shared" si="1087"/>
        <v>1.5665796344647515E-2</v>
      </c>
      <c r="N2742" s="63">
        <v>90</v>
      </c>
      <c r="O2742" s="63">
        <v>660</v>
      </c>
      <c r="P2742" s="63">
        <v>4</v>
      </c>
      <c r="Q2742" s="63">
        <v>9</v>
      </c>
      <c r="R2742" s="63">
        <v>1</v>
      </c>
      <c r="S2742" s="63">
        <v>1</v>
      </c>
      <c r="T2742" s="63"/>
      <c r="U2742" s="63">
        <v>0</v>
      </c>
      <c r="V2742" s="63"/>
      <c r="W2742" s="63">
        <f>IF(Copyright!B$11=1,IF(CA2742&gt;0,CA2742-SUM(S2742:V2742)-P2742-SUM(X2742:AQ2742),SUM(CB2742:CI2742)),SUM(CB2742:CI2742))</f>
        <v>0</v>
      </c>
      <c r="X2742" s="63"/>
      <c r="Y2742" s="63">
        <v>0</v>
      </c>
      <c r="Z2742" s="63"/>
      <c r="AA2742" s="63">
        <v>1</v>
      </c>
      <c r="AB2742" s="63"/>
      <c r="AC2742" s="63"/>
      <c r="AD2742" s="63"/>
      <c r="AE2742" s="63">
        <v>0</v>
      </c>
      <c r="AF2742" s="63"/>
      <c r="AG2742" s="63"/>
      <c r="AH2742" s="63"/>
      <c r="AI2742" s="63"/>
      <c r="AJ2742" s="63"/>
      <c r="AK2742" s="63"/>
      <c r="AL2742" s="63"/>
      <c r="AM2742" s="63"/>
      <c r="AN2742" s="63">
        <v>0</v>
      </c>
      <c r="AO2742" s="63"/>
      <c r="AP2742" s="63"/>
      <c r="AQ2742" s="63"/>
      <c r="AR2742" s="63"/>
      <c r="AS2742" s="63"/>
      <c r="AT2742" s="63"/>
      <c r="AU2742" s="63"/>
      <c r="AW2742" s="5">
        <f>IF(Q2742&gt;0,RANK(Q2742,(N2742:P2742,Q2742:AE2742)),0)</f>
        <v>3</v>
      </c>
      <c r="AX2742" s="5">
        <f>IF(R2742&gt;0,RANK(R2742,(N2742:P2742,Q2742:AE2742)),0)</f>
        <v>5</v>
      </c>
      <c r="AY2742" s="5">
        <f>IF(T2742&gt;0,RANK(T2742,(N2742:P2742,Q2742:AE2742)),0)</f>
        <v>0</v>
      </c>
      <c r="AZ2742" s="5">
        <f>IF(S2742&gt;0,RANK(S2742,(N2742:P2742,Q2742:AE2742)),0)</f>
        <v>5</v>
      </c>
      <c r="BA2742" s="2">
        <f t="shared" si="1088"/>
        <v>1.1749347258485639E-2</v>
      </c>
      <c r="BB2742" s="2">
        <f t="shared" si="1089"/>
        <v>1.3054830287206266E-3</v>
      </c>
      <c r="BC2742" s="2">
        <f t="shared" si="1090"/>
        <v>0</v>
      </c>
      <c r="BD2742" s="2">
        <f t="shared" si="1091"/>
        <v>1.3054830287206266E-3</v>
      </c>
      <c r="BF2742" t="s">
        <v>576</v>
      </c>
      <c r="BG2742" t="s">
        <v>53</v>
      </c>
      <c r="BH2742">
        <v>11</v>
      </c>
      <c r="BJ2742" s="114">
        <v>48</v>
      </c>
      <c r="BK2742" s="116">
        <v>235</v>
      </c>
      <c r="BL2742" s="120">
        <f t="shared" si="1095"/>
        <v>48235</v>
      </c>
      <c r="BN2742" s="5" t="s">
        <v>3154</v>
      </c>
      <c r="BZ2742" s="63">
        <f t="shared" si="1092"/>
        <v>766</v>
      </c>
      <c r="CD2742" s="63">
        <v>0</v>
      </c>
      <c r="CE2742" s="63">
        <v>0</v>
      </c>
      <c r="CF2742" s="63">
        <v>0</v>
      </c>
      <c r="CG2742" s="8">
        <v>0</v>
      </c>
      <c r="CH2742" s="8">
        <v>0</v>
      </c>
      <c r="CI2742" s="8">
        <v>0</v>
      </c>
    </row>
    <row r="2743" spans="1:87" hidden="1" outlineLevel="1">
      <c r="A2743" t="s">
        <v>577</v>
      </c>
      <c r="B2743" t="s">
        <v>53</v>
      </c>
      <c r="C2743" s="1">
        <f t="shared" si="1083"/>
        <v>3350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5</v>
      </c>
      <c r="G2743" s="132">
        <f t="shared" si="1093"/>
        <v>2659</v>
      </c>
      <c r="H2743" s="137">
        <f t="shared" si="1094"/>
        <v>0.79373134328358208</v>
      </c>
      <c r="I2743" s="2"/>
      <c r="J2743" s="2">
        <f t="shared" si="1084"/>
        <v>9.3731343283582083E-2</v>
      </c>
      <c r="K2743" s="2">
        <f t="shared" si="1085"/>
        <v>0.88746268656716421</v>
      </c>
      <c r="L2743" s="2">
        <f t="shared" si="1086"/>
        <v>2.3880597014925373E-3</v>
      </c>
      <c r="M2743" s="2">
        <f t="shared" si="1087"/>
        <v>1.6417910447761135E-2</v>
      </c>
      <c r="N2743" s="63">
        <v>314</v>
      </c>
      <c r="O2743" s="63">
        <v>2973</v>
      </c>
      <c r="P2743" s="63">
        <v>8</v>
      </c>
      <c r="Q2743" s="63">
        <v>42</v>
      </c>
      <c r="R2743" s="63">
        <v>10</v>
      </c>
      <c r="S2743" s="63">
        <v>0</v>
      </c>
      <c r="T2743" s="63"/>
      <c r="U2743" s="63">
        <v>0</v>
      </c>
      <c r="V2743" s="63"/>
      <c r="W2743" s="63">
        <f>IF(Copyright!B$11=1,IF(CA2743&gt;0,CA2743-SUM(S2743:V2743)-P2743-SUM(X2743:AQ2743),SUM(CB2743:CI2743)),SUM(CB2743:CI2743))</f>
        <v>0</v>
      </c>
      <c r="X2743" s="63"/>
      <c r="Y2743" s="63">
        <v>3</v>
      </c>
      <c r="Z2743" s="63"/>
      <c r="AA2743" s="63">
        <v>0</v>
      </c>
      <c r="AB2743" s="63"/>
      <c r="AC2743" s="63"/>
      <c r="AD2743" s="63"/>
      <c r="AE2743" s="63">
        <v>0</v>
      </c>
      <c r="AF2743" s="63"/>
      <c r="AG2743" s="63"/>
      <c r="AH2743" s="63"/>
      <c r="AI2743" s="63"/>
      <c r="AJ2743" s="63"/>
      <c r="AK2743" s="63"/>
      <c r="AL2743" s="63"/>
      <c r="AM2743" s="63"/>
      <c r="AN2743" s="63">
        <v>0</v>
      </c>
      <c r="AO2743" s="63"/>
      <c r="AP2743" s="63"/>
      <c r="AQ2743" s="63"/>
      <c r="AR2743" s="63"/>
      <c r="AS2743" s="63"/>
      <c r="AT2743" s="63"/>
      <c r="AU2743" s="63"/>
      <c r="AW2743" s="5">
        <f>IF(Q2743&gt;0,RANK(Q2743,(N2743:P2743,Q2743:AE2743)),0)</f>
        <v>3</v>
      </c>
      <c r="AX2743" s="5">
        <f>IF(R2743&gt;0,RANK(R2743,(N2743:P2743,Q2743:AE2743)),0)</f>
        <v>4</v>
      </c>
      <c r="AY2743" s="5">
        <f>IF(T2743&gt;0,RANK(T2743,(N2743:P2743,Q2743:AE2743)),0)</f>
        <v>0</v>
      </c>
      <c r="AZ2743" s="5">
        <f>IF(S2743&gt;0,RANK(S2743,(N2743:P2743,Q2743:AE2743)),0)</f>
        <v>0</v>
      </c>
      <c r="BA2743" s="2">
        <f t="shared" si="1088"/>
        <v>1.2537313432835821E-2</v>
      </c>
      <c r="BB2743" s="2">
        <f t="shared" si="1089"/>
        <v>2.9850746268656717E-3</v>
      </c>
      <c r="BC2743" s="2">
        <f t="shared" si="1090"/>
        <v>0</v>
      </c>
      <c r="BD2743" s="2">
        <f t="shared" si="1091"/>
        <v>0</v>
      </c>
      <c r="BF2743" t="s">
        <v>577</v>
      </c>
      <c r="BG2743" t="s">
        <v>53</v>
      </c>
      <c r="BH2743">
        <v>13</v>
      </c>
      <c r="BJ2743" s="114">
        <v>48</v>
      </c>
      <c r="BK2743" s="116">
        <v>237</v>
      </c>
      <c r="BL2743" s="120">
        <f t="shared" si="1095"/>
        <v>48237</v>
      </c>
      <c r="BN2743" s="5" t="s">
        <v>3154</v>
      </c>
      <c r="BZ2743" s="63">
        <f t="shared" si="1092"/>
        <v>3350</v>
      </c>
      <c r="CD2743" s="63">
        <v>0</v>
      </c>
      <c r="CE2743" s="63">
        <v>0</v>
      </c>
      <c r="CF2743" s="63">
        <v>0</v>
      </c>
      <c r="CG2743" s="8">
        <v>0</v>
      </c>
      <c r="CH2743" s="8">
        <v>0</v>
      </c>
      <c r="CI2743" s="8">
        <v>0</v>
      </c>
    </row>
    <row r="2744" spans="1:87" hidden="1" outlineLevel="1">
      <c r="A2744" t="s">
        <v>2921</v>
      </c>
      <c r="B2744" t="s">
        <v>53</v>
      </c>
      <c r="C2744" s="1">
        <f t="shared" si="1083"/>
        <v>5302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5</v>
      </c>
      <c r="G2744" s="132">
        <f t="shared" si="1093"/>
        <v>3362</v>
      </c>
      <c r="H2744" s="137">
        <f t="shared" si="1094"/>
        <v>0.63410033949453037</v>
      </c>
      <c r="I2744" s="2"/>
      <c r="J2744" s="2">
        <f t="shared" si="1084"/>
        <v>0.17050169747265184</v>
      </c>
      <c r="K2744" s="2">
        <f t="shared" si="1085"/>
        <v>0.80460203696718224</v>
      </c>
      <c r="L2744" s="2">
        <f t="shared" si="1086"/>
        <v>3.9607695209354964E-3</v>
      </c>
      <c r="M2744" s="2">
        <f t="shared" si="1087"/>
        <v>2.0935496039230391E-2</v>
      </c>
      <c r="N2744" s="63">
        <v>904</v>
      </c>
      <c r="O2744" s="63">
        <v>4266</v>
      </c>
      <c r="P2744" s="63">
        <v>21</v>
      </c>
      <c r="Q2744" s="63">
        <v>78</v>
      </c>
      <c r="R2744" s="63">
        <v>27</v>
      </c>
      <c r="S2744" s="63">
        <v>6</v>
      </c>
      <c r="T2744" s="63"/>
      <c r="U2744" s="63">
        <v>0</v>
      </c>
      <c r="V2744" s="63"/>
      <c r="W2744" s="63">
        <f>IF(Copyright!B$11=1,IF(CA2744&gt;0,CA2744-SUM(S2744:V2744)-P2744-SUM(X2744:AQ2744),SUM(CB2744:CI2744)),SUM(CB2744:CI2744))</f>
        <v>0</v>
      </c>
      <c r="X2744" s="63"/>
      <c r="Y2744" s="63">
        <v>0</v>
      </c>
      <c r="Z2744" s="63"/>
      <c r="AA2744" s="63">
        <v>0</v>
      </c>
      <c r="AB2744" s="63"/>
      <c r="AC2744" s="63"/>
      <c r="AD2744" s="63"/>
      <c r="AE2744" s="63">
        <v>0</v>
      </c>
      <c r="AF2744" s="63"/>
      <c r="AG2744" s="63"/>
      <c r="AH2744" s="63"/>
      <c r="AI2744" s="63"/>
      <c r="AJ2744" s="63"/>
      <c r="AK2744" s="63"/>
      <c r="AL2744" s="63"/>
      <c r="AM2744" s="63"/>
      <c r="AN2744" s="63">
        <v>0</v>
      </c>
      <c r="AO2744" s="63"/>
      <c r="AP2744" s="63"/>
      <c r="AQ2744" s="63"/>
      <c r="AR2744" s="63"/>
      <c r="AS2744" s="63"/>
      <c r="AT2744" s="63"/>
      <c r="AU2744" s="63"/>
      <c r="AW2744" s="5">
        <f>IF(Q2744&gt;0,RANK(Q2744,(N2744:P2744,Q2744:AE2744)),0)</f>
        <v>3</v>
      </c>
      <c r="AX2744" s="5">
        <f>IF(R2744&gt;0,RANK(R2744,(N2744:P2744,Q2744:AE2744)),0)</f>
        <v>4</v>
      </c>
      <c r="AY2744" s="5">
        <f>IF(T2744&gt;0,RANK(T2744,(N2744:P2744,Q2744:AE2744)),0)</f>
        <v>0</v>
      </c>
      <c r="AZ2744" s="5">
        <f>IF(S2744&gt;0,RANK(S2744,(N2744:P2744,Q2744:AE2744)),0)</f>
        <v>6</v>
      </c>
      <c r="BA2744" s="2">
        <f t="shared" si="1088"/>
        <v>1.4711429649188985E-2</v>
      </c>
      <c r="BB2744" s="2">
        <f t="shared" si="1089"/>
        <v>5.0924179554884949E-3</v>
      </c>
      <c r="BC2744" s="2">
        <f t="shared" si="1090"/>
        <v>0</v>
      </c>
      <c r="BD2744" s="2">
        <f t="shared" si="1091"/>
        <v>1.1316484345529989E-3</v>
      </c>
      <c r="BF2744" t="s">
        <v>2921</v>
      </c>
      <c r="BG2744" t="s">
        <v>53</v>
      </c>
      <c r="BH2744">
        <v>27</v>
      </c>
      <c r="BJ2744" s="114">
        <v>48</v>
      </c>
      <c r="BK2744" s="116">
        <v>239</v>
      </c>
      <c r="BL2744" s="120">
        <f t="shared" si="1095"/>
        <v>48239</v>
      </c>
      <c r="BN2744" s="5" t="s">
        <v>3154</v>
      </c>
      <c r="BZ2744" s="63">
        <f t="shared" si="1092"/>
        <v>5302</v>
      </c>
      <c r="CD2744" s="63">
        <v>0</v>
      </c>
      <c r="CE2744" s="63">
        <v>0</v>
      </c>
      <c r="CF2744" s="63">
        <v>0</v>
      </c>
      <c r="CG2744" s="8">
        <v>0</v>
      </c>
      <c r="CH2744" s="8">
        <v>0</v>
      </c>
      <c r="CI2744" s="8">
        <v>0</v>
      </c>
    </row>
    <row r="2745" spans="1:87" hidden="1" outlineLevel="1">
      <c r="A2745" t="s">
        <v>1471</v>
      </c>
      <c r="B2745" t="s">
        <v>53</v>
      </c>
      <c r="C2745" s="1">
        <f t="shared" si="1083"/>
        <v>13419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5</v>
      </c>
      <c r="G2745" s="132">
        <f t="shared" si="1093"/>
        <v>8019</v>
      </c>
      <c r="H2745" s="137">
        <f t="shared" si="1094"/>
        <v>0.59758551307847085</v>
      </c>
      <c r="I2745" s="2"/>
      <c r="J2745" s="2">
        <f t="shared" si="1084"/>
        <v>0.19300991131977047</v>
      </c>
      <c r="K2745" s="2">
        <f t="shared" si="1085"/>
        <v>0.79059542439824126</v>
      </c>
      <c r="L2745" s="2">
        <f t="shared" si="1086"/>
        <v>1.3413816230717639E-3</v>
      </c>
      <c r="M2745" s="2">
        <f t="shared" si="1087"/>
        <v>1.505328265891645E-2</v>
      </c>
      <c r="N2745" s="63">
        <v>2590</v>
      </c>
      <c r="O2745" s="63">
        <v>10609</v>
      </c>
      <c r="P2745" s="63">
        <v>18</v>
      </c>
      <c r="Q2745" s="63">
        <v>156</v>
      </c>
      <c r="R2745" s="63">
        <v>38</v>
      </c>
      <c r="S2745" s="63">
        <v>7</v>
      </c>
      <c r="T2745" s="63"/>
      <c r="U2745" s="63">
        <v>0</v>
      </c>
      <c r="V2745" s="63"/>
      <c r="W2745" s="63">
        <f>IF(Copyright!B$11=1,IF(CA2745&gt;0,CA2745-SUM(S2745:V2745)-P2745-SUM(X2745:AQ2745),SUM(CB2745:CI2745)),SUM(CB2745:CI2745))</f>
        <v>1</v>
      </c>
      <c r="X2745" s="63"/>
      <c r="Y2745" s="63">
        <v>0</v>
      </c>
      <c r="Z2745" s="63"/>
      <c r="AA2745" s="63">
        <v>0</v>
      </c>
      <c r="AB2745" s="63"/>
      <c r="AC2745" s="63"/>
      <c r="AD2745" s="63"/>
      <c r="AE2745" s="63">
        <v>0</v>
      </c>
      <c r="AF2745" s="63"/>
      <c r="AG2745" s="63"/>
      <c r="AH2745" s="63"/>
      <c r="AI2745" s="63"/>
      <c r="AJ2745" s="63"/>
      <c r="AK2745" s="63"/>
      <c r="AL2745" s="63"/>
      <c r="AM2745" s="63"/>
      <c r="AN2745" s="63">
        <v>0</v>
      </c>
      <c r="AO2745" s="63"/>
      <c r="AP2745" s="63"/>
      <c r="AQ2745" s="63"/>
      <c r="AR2745" s="63"/>
      <c r="AS2745" s="63"/>
      <c r="AT2745" s="63"/>
      <c r="AU2745" s="63"/>
      <c r="AW2745" s="5">
        <f>IF(Q2745&gt;0,RANK(Q2745,(N2745:P2745,Q2745:AE2745)),0)</f>
        <v>3</v>
      </c>
      <c r="AX2745" s="5">
        <f>IF(R2745&gt;0,RANK(R2745,(N2745:P2745,Q2745:AE2745)),0)</f>
        <v>4</v>
      </c>
      <c r="AY2745" s="5">
        <f>IF(T2745&gt;0,RANK(T2745,(N2745:P2745,Q2745:AE2745)),0)</f>
        <v>0</v>
      </c>
      <c r="AZ2745" s="5">
        <f>IF(S2745&gt;0,RANK(S2745,(N2745:P2745,Q2745:AE2745)),0)</f>
        <v>6</v>
      </c>
      <c r="BA2745" s="2">
        <f t="shared" si="1088"/>
        <v>1.1625307399955287E-2</v>
      </c>
      <c r="BB2745" s="2">
        <f t="shared" si="1089"/>
        <v>2.831805648707057E-3</v>
      </c>
      <c r="BC2745" s="2">
        <f t="shared" si="1090"/>
        <v>0</v>
      </c>
      <c r="BD2745" s="2">
        <f t="shared" si="1091"/>
        <v>5.2164840897235261E-4</v>
      </c>
      <c r="BF2745" t="s">
        <v>1471</v>
      </c>
      <c r="BG2745" t="s">
        <v>53</v>
      </c>
      <c r="BH2745">
        <v>36</v>
      </c>
      <c r="BJ2745" s="114">
        <v>48</v>
      </c>
      <c r="BK2745" s="116">
        <v>241</v>
      </c>
      <c r="BL2745" s="120">
        <f t="shared" si="1095"/>
        <v>48241</v>
      </c>
      <c r="BN2745" s="5" t="s">
        <v>3154</v>
      </c>
      <c r="BZ2745" s="63">
        <f t="shared" si="1092"/>
        <v>13419</v>
      </c>
      <c r="CD2745" s="63">
        <v>0</v>
      </c>
      <c r="CE2745" s="63">
        <v>0</v>
      </c>
      <c r="CF2745" s="63">
        <v>1</v>
      </c>
      <c r="CG2745" s="8">
        <v>0</v>
      </c>
      <c r="CH2745" s="8">
        <v>0</v>
      </c>
      <c r="CI2745" s="8">
        <v>0</v>
      </c>
    </row>
    <row r="2746" spans="1:87" hidden="1" outlineLevel="1">
      <c r="A2746" t="s">
        <v>1071</v>
      </c>
      <c r="B2746" t="s">
        <v>53</v>
      </c>
      <c r="C2746" s="1">
        <f t="shared" si="1083"/>
        <v>1191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5</v>
      </c>
      <c r="G2746" s="132">
        <f t="shared" si="1093"/>
        <v>273</v>
      </c>
      <c r="H2746" s="137">
        <f t="shared" si="1094"/>
        <v>0.22921914357682618</v>
      </c>
      <c r="I2746" s="2"/>
      <c r="J2746" s="2">
        <f t="shared" si="1084"/>
        <v>0.35432409739714527</v>
      </c>
      <c r="K2746" s="2">
        <f t="shared" si="1085"/>
        <v>0.58354324097397148</v>
      </c>
      <c r="L2746" s="2">
        <f t="shared" si="1086"/>
        <v>1.09151973131822E-2</v>
      </c>
      <c r="M2746" s="2">
        <f t="shared" si="1087"/>
        <v>5.1217464315700997E-2</v>
      </c>
      <c r="N2746" s="63">
        <v>422</v>
      </c>
      <c r="O2746" s="63">
        <v>695</v>
      </c>
      <c r="P2746" s="63">
        <v>13</v>
      </c>
      <c r="Q2746" s="63">
        <v>42</v>
      </c>
      <c r="R2746" s="63">
        <v>17</v>
      </c>
      <c r="S2746" s="63">
        <v>0</v>
      </c>
      <c r="T2746" s="63"/>
      <c r="U2746" s="63">
        <v>0</v>
      </c>
      <c r="V2746" s="63"/>
      <c r="W2746" s="63">
        <f>IF(Copyright!B$11=1,IF(CA2746&gt;0,CA2746-SUM(S2746:V2746)-P2746-SUM(X2746:AQ2746),SUM(CB2746:CI2746)),SUM(CB2746:CI2746))</f>
        <v>1</v>
      </c>
      <c r="X2746" s="63"/>
      <c r="Y2746" s="63">
        <v>0</v>
      </c>
      <c r="Z2746" s="63"/>
      <c r="AA2746" s="63">
        <v>0</v>
      </c>
      <c r="AB2746" s="63"/>
      <c r="AC2746" s="63"/>
      <c r="AD2746" s="63"/>
      <c r="AE2746" s="63">
        <v>0</v>
      </c>
      <c r="AF2746" s="63"/>
      <c r="AG2746" s="63"/>
      <c r="AH2746" s="63"/>
      <c r="AI2746" s="63"/>
      <c r="AJ2746" s="63"/>
      <c r="AK2746" s="63"/>
      <c r="AL2746" s="63"/>
      <c r="AM2746" s="63"/>
      <c r="AN2746" s="63">
        <v>1</v>
      </c>
      <c r="AO2746" s="63"/>
      <c r="AP2746" s="63"/>
      <c r="AQ2746" s="63"/>
      <c r="AR2746" s="63"/>
      <c r="AS2746" s="63"/>
      <c r="AT2746" s="63"/>
      <c r="AU2746" s="63"/>
      <c r="AW2746" s="5">
        <f>IF(Q2746&gt;0,RANK(Q2746,(N2746:P2746,Q2746:AE2746)),0)</f>
        <v>3</v>
      </c>
      <c r="AX2746" s="5">
        <f>IF(R2746&gt;0,RANK(R2746,(N2746:P2746,Q2746:AE2746)),0)</f>
        <v>4</v>
      </c>
      <c r="AY2746" s="5">
        <f>IF(T2746&gt;0,RANK(T2746,(N2746:P2746,Q2746:AE2746)),0)</f>
        <v>0</v>
      </c>
      <c r="AZ2746" s="5">
        <f>IF(S2746&gt;0,RANK(S2746,(N2746:P2746,Q2746:AE2746)),0)</f>
        <v>0</v>
      </c>
      <c r="BA2746" s="2">
        <f t="shared" si="1088"/>
        <v>3.5264483627204031E-2</v>
      </c>
      <c r="BB2746" s="2">
        <f t="shared" si="1089"/>
        <v>1.4273719563392108E-2</v>
      </c>
      <c r="BC2746" s="2">
        <f t="shared" si="1090"/>
        <v>0</v>
      </c>
      <c r="BD2746" s="2">
        <f t="shared" si="1091"/>
        <v>0</v>
      </c>
      <c r="BF2746" t="s">
        <v>1071</v>
      </c>
      <c r="BG2746" t="s">
        <v>53</v>
      </c>
      <c r="BH2746">
        <v>23</v>
      </c>
      <c r="BJ2746" s="114">
        <v>48</v>
      </c>
      <c r="BK2746" s="116">
        <v>243</v>
      </c>
      <c r="BL2746" s="120">
        <f t="shared" si="1095"/>
        <v>48243</v>
      </c>
      <c r="BN2746" s="5" t="s">
        <v>3154</v>
      </c>
      <c r="BZ2746" s="63">
        <f t="shared" si="1092"/>
        <v>1191</v>
      </c>
      <c r="CD2746" s="63">
        <v>0</v>
      </c>
      <c r="CE2746" s="63">
        <v>0</v>
      </c>
      <c r="CF2746" s="63">
        <v>0</v>
      </c>
      <c r="CG2746" s="8">
        <v>0</v>
      </c>
      <c r="CH2746" s="8">
        <v>0</v>
      </c>
      <c r="CI2746" s="8">
        <v>1</v>
      </c>
    </row>
    <row r="2747" spans="1:87" hidden="1" outlineLevel="1">
      <c r="A2747" t="s">
        <v>1092</v>
      </c>
      <c r="B2747" t="s">
        <v>53</v>
      </c>
      <c r="C2747" s="1">
        <f t="shared" si="1083"/>
        <v>87618</v>
      </c>
      <c r="D2747" s="5">
        <f>IF(N2747&gt;0, RANK(N2747,(N2747:P2747,Q2747:AE2747)),0)</f>
        <v>2</v>
      </c>
      <c r="E2747" s="5">
        <f>IF(O2747&gt;0,RANK(O2747,(N2747:P2747,Q2747:AE2747)),0)</f>
        <v>1</v>
      </c>
      <c r="F2747" s="5">
        <f>IF(P2747&gt;0,RANK(P2747,(N2747:P2747,Q2747:AE2747)),0)</f>
        <v>5</v>
      </c>
      <c r="G2747" s="132">
        <f t="shared" si="1093"/>
        <v>419</v>
      </c>
      <c r="H2747" s="137">
        <f t="shared" si="1094"/>
        <v>4.7821223949416789E-3</v>
      </c>
      <c r="I2747" s="2"/>
      <c r="J2747" s="2">
        <f t="shared" si="1084"/>
        <v>0.48440959620169372</v>
      </c>
      <c r="K2747" s="2">
        <f t="shared" si="1085"/>
        <v>0.48919171859663541</v>
      </c>
      <c r="L2747" s="2">
        <f t="shared" si="1086"/>
        <v>1.632084731447876E-3</v>
      </c>
      <c r="M2747" s="2">
        <f t="shared" si="1087"/>
        <v>2.4766600470223058E-2</v>
      </c>
      <c r="N2747" s="63">
        <v>42443</v>
      </c>
      <c r="O2747" s="63">
        <v>42862</v>
      </c>
      <c r="P2747" s="63">
        <v>143</v>
      </c>
      <c r="Q2747" s="63">
        <v>1714</v>
      </c>
      <c r="R2747" s="63">
        <v>420</v>
      </c>
      <c r="S2747" s="63">
        <v>22</v>
      </c>
      <c r="T2747" s="63"/>
      <c r="U2747" s="63">
        <v>0</v>
      </c>
      <c r="V2747" s="63"/>
      <c r="W2747" s="63">
        <f>IF(Copyright!B$11=1,IF(CA2747&gt;0,CA2747-SUM(S2747:V2747)-P2747-SUM(X2747:AQ2747),SUM(CB2747:CI2747)),SUM(CB2747:CI2747))</f>
        <v>2</v>
      </c>
      <c r="X2747" s="63"/>
      <c r="Y2747" s="63">
        <v>2</v>
      </c>
      <c r="Z2747" s="63"/>
      <c r="AA2747" s="63">
        <v>3</v>
      </c>
      <c r="AB2747" s="63"/>
      <c r="AC2747" s="63"/>
      <c r="AD2747" s="63"/>
      <c r="AE2747" s="63">
        <v>2</v>
      </c>
      <c r="AF2747" s="63"/>
      <c r="AG2747" s="63"/>
      <c r="AH2747" s="63"/>
      <c r="AI2747" s="63"/>
      <c r="AJ2747" s="63"/>
      <c r="AK2747" s="63"/>
      <c r="AL2747" s="63"/>
      <c r="AM2747" s="63"/>
      <c r="AN2747" s="63">
        <v>5</v>
      </c>
      <c r="AO2747" s="63"/>
      <c r="AP2747" s="63"/>
      <c r="AQ2747" s="63"/>
      <c r="AR2747" s="63"/>
      <c r="AS2747" s="63"/>
      <c r="AT2747" s="63"/>
      <c r="AU2747" s="63"/>
      <c r="AW2747" s="5">
        <f>IF(Q2747&gt;0,RANK(Q2747,(N2747:P2747,Q2747:AE2747)),0)</f>
        <v>3</v>
      </c>
      <c r="AX2747" s="5">
        <f>IF(R2747&gt;0,RANK(R2747,(N2747:P2747,Q2747:AE2747)),0)</f>
        <v>4</v>
      </c>
      <c r="AY2747" s="5">
        <f>IF(T2747&gt;0,RANK(T2747,(N2747:P2747,Q2747:AE2747)),0)</f>
        <v>0</v>
      </c>
      <c r="AZ2747" s="5">
        <f>IF(S2747&gt;0,RANK(S2747,(N2747:P2747,Q2747:AE2747)),0)</f>
        <v>6</v>
      </c>
      <c r="BA2747" s="2">
        <f t="shared" si="1088"/>
        <v>1.9562190417494123E-2</v>
      </c>
      <c r="BB2747" s="2">
        <f t="shared" si="1089"/>
        <v>4.7935355748818737E-3</v>
      </c>
      <c r="BC2747" s="2">
        <f t="shared" si="1090"/>
        <v>0</v>
      </c>
      <c r="BD2747" s="2">
        <f t="shared" si="1091"/>
        <v>2.5108995868428861E-4</v>
      </c>
      <c r="BF2747" t="s">
        <v>1092</v>
      </c>
      <c r="BG2747" t="s">
        <v>53</v>
      </c>
      <c r="BH2747">
        <v>14</v>
      </c>
      <c r="BJ2747" s="114">
        <v>48</v>
      </c>
      <c r="BK2747" s="116">
        <v>245</v>
      </c>
      <c r="BL2747" s="120">
        <f t="shared" si="1095"/>
        <v>48245</v>
      </c>
      <c r="BN2747" s="5" t="s">
        <v>3154</v>
      </c>
      <c r="BR2747" s="63"/>
      <c r="BZ2747" s="63">
        <f t="shared" si="1092"/>
        <v>87618</v>
      </c>
      <c r="CD2747" s="63">
        <v>0</v>
      </c>
      <c r="CE2747" s="63">
        <v>0</v>
      </c>
      <c r="CF2747" s="63">
        <v>1</v>
      </c>
      <c r="CG2747" s="8">
        <v>1</v>
      </c>
      <c r="CH2747" s="8">
        <v>0</v>
      </c>
      <c r="CI2747" s="8">
        <v>0</v>
      </c>
    </row>
    <row r="2748" spans="1:87" hidden="1" outlineLevel="1">
      <c r="A2748" t="s">
        <v>208</v>
      </c>
      <c r="B2748" t="s">
        <v>53</v>
      </c>
      <c r="C2748" s="1">
        <f t="shared" si="1083"/>
        <v>2119</v>
      </c>
      <c r="D2748" s="5">
        <f>IF(N2748&gt;0, RANK(N2748,(N2748:P2748,Q2748:AE2748)),0)</f>
        <v>1</v>
      </c>
      <c r="E2748" s="5">
        <f>IF(O2748&gt;0,RANK(O2748,(N2748:P2748,Q2748:AE2748)),0)</f>
        <v>2</v>
      </c>
      <c r="F2748" s="5">
        <f>IF(P2748&gt;0,RANK(P2748,(N2748:P2748,Q2748:AE2748)),0)</f>
        <v>0</v>
      </c>
      <c r="G2748" s="132">
        <f t="shared" si="1093"/>
        <v>1205</v>
      </c>
      <c r="H2748" s="137">
        <f t="shared" si="1094"/>
        <v>0.56866446436998586</v>
      </c>
      <c r="I2748" s="2"/>
      <c r="J2748" s="2">
        <f t="shared" si="1084"/>
        <v>0.77159037281736664</v>
      </c>
      <c r="K2748" s="2">
        <f t="shared" si="1085"/>
        <v>0.20292590844738084</v>
      </c>
      <c r="L2748" s="2">
        <f t="shared" si="1086"/>
        <v>0</v>
      </c>
      <c r="M2748" s="2">
        <f t="shared" si="1087"/>
        <v>2.5483718735252514E-2</v>
      </c>
      <c r="N2748" s="63">
        <v>1635</v>
      </c>
      <c r="O2748" s="63">
        <v>430</v>
      </c>
      <c r="P2748" s="63">
        <v>0</v>
      </c>
      <c r="Q2748" s="63">
        <v>42</v>
      </c>
      <c r="R2748" s="63">
        <v>12</v>
      </c>
      <c r="S2748" s="63">
        <v>0</v>
      </c>
      <c r="T2748" s="63"/>
      <c r="U2748" s="63">
        <v>0</v>
      </c>
      <c r="V2748" s="63"/>
      <c r="W2748" s="63">
        <f>IF(Copyright!B$11=1,IF(CA2748&gt;0,CA2748-SUM(S2748:V2748)-P2748-SUM(X2748:AQ2748),SUM(CB2748:CI2748)),SUM(CB2748:CI2748))</f>
        <v>0</v>
      </c>
      <c r="X2748" s="63"/>
      <c r="Y2748" s="63">
        <v>0</v>
      </c>
      <c r="Z2748" s="63"/>
      <c r="AA2748" s="63">
        <v>0</v>
      </c>
      <c r="AB2748" s="63"/>
      <c r="AC2748" s="63"/>
      <c r="AD2748" s="63"/>
      <c r="AE2748" s="63">
        <v>0</v>
      </c>
      <c r="AF2748" s="63"/>
      <c r="AG2748" s="63"/>
      <c r="AH2748" s="63"/>
      <c r="AI2748" s="63"/>
      <c r="AJ2748" s="63"/>
      <c r="AK2748" s="63"/>
      <c r="AL2748" s="63"/>
      <c r="AM2748" s="63"/>
      <c r="AN2748" s="63">
        <v>0</v>
      </c>
      <c r="AO2748" s="63"/>
      <c r="AP2748" s="63"/>
      <c r="AQ2748" s="63"/>
      <c r="AR2748" s="63"/>
      <c r="AS2748" s="63"/>
      <c r="AT2748" s="63"/>
      <c r="AU2748" s="63"/>
      <c r="AW2748" s="5">
        <f>IF(Q2748&gt;0,RANK(Q2748,(N2748:P2748,Q2748:AE2748)),0)</f>
        <v>3</v>
      </c>
      <c r="AX2748" s="5">
        <f>IF(R2748&gt;0,RANK(R2748,(N2748:P2748,Q2748:AE2748)),0)</f>
        <v>4</v>
      </c>
      <c r="AY2748" s="5">
        <f>IF(T2748&gt;0,RANK(T2748,(N2748:P2748,Q2748:AE2748)),0)</f>
        <v>0</v>
      </c>
      <c r="AZ2748" s="5">
        <f>IF(S2748&gt;0,RANK(S2748,(N2748:P2748,Q2748:AE2748)),0)</f>
        <v>0</v>
      </c>
      <c r="BA2748" s="2">
        <f t="shared" si="1088"/>
        <v>1.9820670127418595E-2</v>
      </c>
      <c r="BB2748" s="2">
        <f t="shared" si="1089"/>
        <v>5.6630486078338843E-3</v>
      </c>
      <c r="BC2748" s="2">
        <f t="shared" si="1090"/>
        <v>0</v>
      </c>
      <c r="BD2748" s="2">
        <f t="shared" si="1091"/>
        <v>0</v>
      </c>
      <c r="BF2748" t="s">
        <v>208</v>
      </c>
      <c r="BG2748" t="s">
        <v>53</v>
      </c>
      <c r="BH2748">
        <v>15</v>
      </c>
      <c r="BJ2748" s="114">
        <v>48</v>
      </c>
      <c r="BK2748" s="116">
        <v>247</v>
      </c>
      <c r="BL2748" s="120">
        <f t="shared" si="1095"/>
        <v>48247</v>
      </c>
      <c r="BN2748" s="5" t="s">
        <v>3154</v>
      </c>
      <c r="BZ2748" s="63">
        <f t="shared" si="1092"/>
        <v>2119</v>
      </c>
      <c r="CD2748" s="63">
        <v>0</v>
      </c>
      <c r="CE2748" s="63">
        <v>0</v>
      </c>
      <c r="CF2748" s="63">
        <v>0</v>
      </c>
      <c r="CG2748" s="8">
        <v>0</v>
      </c>
      <c r="CH2748" s="8">
        <v>0</v>
      </c>
      <c r="CI2748" s="8">
        <v>0</v>
      </c>
    </row>
    <row r="2749" spans="1:87" hidden="1" outlineLevel="1">
      <c r="A2749" t="s">
        <v>135</v>
      </c>
      <c r="B2749" t="s">
        <v>53</v>
      </c>
      <c r="C2749" s="1">
        <f t="shared" si="1083"/>
        <v>12379</v>
      </c>
      <c r="D2749" s="5">
        <f>IF(N2749&gt;0, RANK(N2749,(N2749:P2749,Q2749:AE2749)),0)</f>
        <v>1</v>
      </c>
      <c r="E2749" s="5">
        <f>IF(O2749&gt;0,RANK(O2749,(N2749:P2749,Q2749:AE2749)),0)</f>
        <v>2</v>
      </c>
      <c r="F2749" s="5">
        <f>IF(P2749&gt;0,RANK(P2749,(N2749:P2749,Q2749:AE2749)),0)</f>
        <v>5</v>
      </c>
      <c r="G2749" s="132">
        <f t="shared" si="1093"/>
        <v>1274</v>
      </c>
      <c r="H2749" s="137">
        <f t="shared" si="1094"/>
        <v>0.1029162290976654</v>
      </c>
      <c r="I2749" s="2"/>
      <c r="J2749" s="2">
        <f t="shared" si="1084"/>
        <v>0.5407545035947976</v>
      </c>
      <c r="K2749" s="2">
        <f t="shared" si="1085"/>
        <v>0.43783827449713225</v>
      </c>
      <c r="L2749" s="2">
        <f t="shared" si="1086"/>
        <v>8.0781969464415544E-4</v>
      </c>
      <c r="M2749" s="2">
        <f t="shared" si="1087"/>
        <v>2.0599402213425995E-2</v>
      </c>
      <c r="N2749" s="63">
        <v>6694</v>
      </c>
      <c r="O2749" s="63">
        <v>5420</v>
      </c>
      <c r="P2749" s="63">
        <v>10</v>
      </c>
      <c r="Q2749" s="63">
        <v>210</v>
      </c>
      <c r="R2749" s="63">
        <v>40</v>
      </c>
      <c r="S2749" s="63">
        <v>2</v>
      </c>
      <c r="T2749" s="63"/>
      <c r="U2749" s="63">
        <v>0</v>
      </c>
      <c r="V2749" s="63"/>
      <c r="W2749" s="63">
        <f>IF(Copyright!B$11=1,IF(CA2749&gt;0,CA2749-SUM(S2749:V2749)-P2749-SUM(X2749:AQ2749),SUM(CB2749:CI2749)),SUM(CB2749:CI2749))</f>
        <v>1</v>
      </c>
      <c r="X2749" s="63"/>
      <c r="Y2749" s="63">
        <v>0</v>
      </c>
      <c r="Z2749" s="63"/>
      <c r="AA2749" s="63">
        <v>1</v>
      </c>
      <c r="AB2749" s="63"/>
      <c r="AC2749" s="63"/>
      <c r="AD2749" s="63"/>
      <c r="AE2749" s="63">
        <v>1</v>
      </c>
      <c r="AF2749" s="63"/>
      <c r="AG2749" s="63"/>
      <c r="AH2749" s="63"/>
      <c r="AI2749" s="63"/>
      <c r="AJ2749" s="63"/>
      <c r="AK2749" s="63"/>
      <c r="AL2749" s="63"/>
      <c r="AM2749" s="63"/>
      <c r="AN2749" s="63">
        <v>0</v>
      </c>
      <c r="AO2749" s="63"/>
      <c r="AP2749" s="63"/>
      <c r="AQ2749" s="63"/>
      <c r="AR2749" s="63"/>
      <c r="AS2749" s="63"/>
      <c r="AT2749" s="63"/>
      <c r="AU2749" s="63"/>
      <c r="AW2749" s="5">
        <f>IF(Q2749&gt;0,RANK(Q2749,(N2749:P2749,Q2749:AE2749)),0)</f>
        <v>3</v>
      </c>
      <c r="AX2749" s="5">
        <f>IF(R2749&gt;0,RANK(R2749,(N2749:P2749,Q2749:AE2749)),0)</f>
        <v>4</v>
      </c>
      <c r="AY2749" s="5">
        <f>IF(T2749&gt;0,RANK(T2749,(N2749:P2749,Q2749:AE2749)),0)</f>
        <v>0</v>
      </c>
      <c r="AZ2749" s="5">
        <f>IF(S2749&gt;0,RANK(S2749,(N2749:P2749,Q2749:AE2749)),0)</f>
        <v>6</v>
      </c>
      <c r="BA2749" s="2">
        <f t="shared" si="1088"/>
        <v>1.6964213587527265E-2</v>
      </c>
      <c r="BB2749" s="2">
        <f t="shared" si="1089"/>
        <v>3.2312787785766218E-3</v>
      </c>
      <c r="BC2749" s="2">
        <f t="shared" si="1090"/>
        <v>0</v>
      </c>
      <c r="BD2749" s="2">
        <f t="shared" si="1091"/>
        <v>1.6156393892883107E-4</v>
      </c>
      <c r="BF2749" t="s">
        <v>135</v>
      </c>
      <c r="BG2749" t="s">
        <v>53</v>
      </c>
      <c r="BH2749">
        <v>34</v>
      </c>
      <c r="BJ2749" s="114">
        <v>48</v>
      </c>
      <c r="BK2749" s="116">
        <v>249</v>
      </c>
      <c r="BL2749" s="120">
        <f t="shared" si="1095"/>
        <v>48249</v>
      </c>
      <c r="BN2749" s="5" t="s">
        <v>3154</v>
      </c>
      <c r="BZ2749" s="63">
        <f t="shared" si="1092"/>
        <v>12379</v>
      </c>
      <c r="CD2749" s="63">
        <v>0</v>
      </c>
      <c r="CE2749" s="63">
        <v>0</v>
      </c>
      <c r="CF2749" s="63">
        <v>0</v>
      </c>
      <c r="CG2749" s="8">
        <v>0</v>
      </c>
      <c r="CH2749" s="8">
        <v>0</v>
      </c>
      <c r="CI2749" s="8">
        <v>1</v>
      </c>
    </row>
    <row r="2750" spans="1:87" hidden="1" outlineLevel="1">
      <c r="A2750" t="s">
        <v>1361</v>
      </c>
      <c r="B2750" t="s">
        <v>53</v>
      </c>
      <c r="C2750" s="1">
        <f t="shared" si="1083"/>
        <v>57606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5</v>
      </c>
      <c r="G2750" s="132">
        <f t="shared" si="1093"/>
        <v>33394</v>
      </c>
      <c r="H2750" s="137">
        <f t="shared" si="1094"/>
        <v>0.57969655938617504</v>
      </c>
      <c r="I2750" s="2"/>
      <c r="J2750" s="2">
        <f t="shared" si="1084"/>
        <v>0.19074401972016805</v>
      </c>
      <c r="K2750" s="2">
        <f t="shared" si="1085"/>
        <v>0.77044057910634312</v>
      </c>
      <c r="L2750" s="2">
        <f t="shared" si="1086"/>
        <v>4.4960594382529601E-3</v>
      </c>
      <c r="M2750" s="2">
        <f t="shared" si="1087"/>
        <v>3.4319341735235848E-2</v>
      </c>
      <c r="N2750" s="63">
        <v>10988</v>
      </c>
      <c r="O2750" s="63">
        <v>44382</v>
      </c>
      <c r="P2750" s="63">
        <v>259</v>
      </c>
      <c r="Q2750" s="63">
        <v>1605</v>
      </c>
      <c r="R2750" s="63">
        <v>324</v>
      </c>
      <c r="S2750" s="63">
        <v>33</v>
      </c>
      <c r="T2750" s="63"/>
      <c r="U2750" s="63">
        <v>1</v>
      </c>
      <c r="V2750" s="63"/>
      <c r="W2750" s="63">
        <f>IF(Copyright!B$11=1,IF(CA2750&gt;0,CA2750-SUM(S2750:V2750)-P2750-SUM(X2750:AQ2750),SUM(CB2750:CI2750)),SUM(CB2750:CI2750))</f>
        <v>4</v>
      </c>
      <c r="X2750" s="63"/>
      <c r="Y2750" s="63">
        <v>3</v>
      </c>
      <c r="Z2750" s="63"/>
      <c r="AA2750" s="63">
        <v>1</v>
      </c>
      <c r="AB2750" s="63"/>
      <c r="AC2750" s="63"/>
      <c r="AD2750" s="63"/>
      <c r="AE2750" s="63">
        <v>0</v>
      </c>
      <c r="AF2750" s="63"/>
      <c r="AG2750" s="63"/>
      <c r="AH2750" s="63"/>
      <c r="AI2750" s="63"/>
      <c r="AJ2750" s="63"/>
      <c r="AK2750" s="63"/>
      <c r="AL2750" s="63"/>
      <c r="AM2750" s="63"/>
      <c r="AN2750" s="63">
        <v>6</v>
      </c>
      <c r="AO2750" s="63"/>
      <c r="AP2750" s="63"/>
      <c r="AQ2750" s="63"/>
      <c r="AR2750" s="63"/>
      <c r="AS2750" s="63"/>
      <c r="AT2750" s="63"/>
      <c r="AU2750" s="63"/>
      <c r="AW2750" s="5">
        <f>IF(Q2750&gt;0,RANK(Q2750,(N2750:P2750,Q2750:AE2750)),0)</f>
        <v>3</v>
      </c>
      <c r="AX2750" s="5">
        <f>IF(R2750&gt;0,RANK(R2750,(N2750:P2750,Q2750:AE2750)),0)</f>
        <v>4</v>
      </c>
      <c r="AY2750" s="5">
        <f>IF(T2750&gt;0,RANK(T2750,(N2750:P2750,Q2750:AE2750)),0)</f>
        <v>0</v>
      </c>
      <c r="AZ2750" s="5">
        <f>IF(S2750&gt;0,RANK(S2750,(N2750:P2750,Q2750:AE2750)),0)</f>
        <v>6</v>
      </c>
      <c r="BA2750" s="2">
        <f t="shared" si="1088"/>
        <v>2.7861681074888033E-2</v>
      </c>
      <c r="BB2750" s="2">
        <f t="shared" si="1089"/>
        <v>5.6244141235287995E-3</v>
      </c>
      <c r="BC2750" s="2">
        <f t="shared" si="1090"/>
        <v>0</v>
      </c>
      <c r="BD2750" s="2">
        <f t="shared" si="1091"/>
        <v>5.7285699406311845E-4</v>
      </c>
      <c r="BF2750" t="s">
        <v>1361</v>
      </c>
      <c r="BG2750" t="s">
        <v>53</v>
      </c>
      <c r="BH2750">
        <v>25</v>
      </c>
      <c r="BJ2750" s="114">
        <v>48</v>
      </c>
      <c r="BK2750" s="116">
        <v>251</v>
      </c>
      <c r="BL2750" s="120">
        <f t="shared" si="1095"/>
        <v>48251</v>
      </c>
      <c r="BN2750" s="5" t="s">
        <v>3154</v>
      </c>
      <c r="BZ2750" s="63">
        <f t="shared" si="1092"/>
        <v>57606</v>
      </c>
      <c r="CD2750" s="63">
        <v>0</v>
      </c>
      <c r="CE2750" s="63">
        <v>0</v>
      </c>
      <c r="CF2750" s="63">
        <v>1</v>
      </c>
      <c r="CG2750" s="8">
        <v>0</v>
      </c>
      <c r="CH2750" s="8">
        <v>0</v>
      </c>
      <c r="CI2750" s="8">
        <v>3</v>
      </c>
    </row>
    <row r="2751" spans="1:87" hidden="1" outlineLevel="1">
      <c r="A2751" t="s">
        <v>241</v>
      </c>
      <c r="B2751" t="s">
        <v>53</v>
      </c>
      <c r="C2751" s="1">
        <f t="shared" si="1083"/>
        <v>5960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5</v>
      </c>
      <c r="G2751" s="132">
        <f t="shared" si="1093"/>
        <v>3883</v>
      </c>
      <c r="H2751" s="137">
        <f t="shared" si="1094"/>
        <v>0.65151006711409398</v>
      </c>
      <c r="I2751" s="2"/>
      <c r="J2751" s="2">
        <f t="shared" si="1084"/>
        <v>0.15704697986577182</v>
      </c>
      <c r="K2751" s="2">
        <f t="shared" si="1085"/>
        <v>0.80855704697986575</v>
      </c>
      <c r="L2751" s="2">
        <f t="shared" si="1086"/>
        <v>2.181208053691275E-3</v>
      </c>
      <c r="M2751" s="2">
        <f t="shared" si="1087"/>
        <v>3.2214765100671103E-2</v>
      </c>
      <c r="N2751" s="63">
        <v>936</v>
      </c>
      <c r="O2751" s="63">
        <v>4819</v>
      </c>
      <c r="P2751" s="63">
        <v>13</v>
      </c>
      <c r="Q2751" s="63">
        <v>162</v>
      </c>
      <c r="R2751" s="63">
        <v>21</v>
      </c>
      <c r="S2751" s="63">
        <v>6</v>
      </c>
      <c r="T2751" s="63"/>
      <c r="U2751" s="63">
        <v>0</v>
      </c>
      <c r="V2751" s="63"/>
      <c r="W2751" s="63">
        <f>IF(Copyright!B$11=1,IF(CA2751&gt;0,CA2751-SUM(S2751:V2751)-P2751-SUM(X2751:AQ2751),SUM(CB2751:CI2751)),SUM(CB2751:CI2751))</f>
        <v>2</v>
      </c>
      <c r="X2751" s="63"/>
      <c r="Y2751" s="63">
        <v>0</v>
      </c>
      <c r="Z2751" s="63"/>
      <c r="AA2751" s="63">
        <v>0</v>
      </c>
      <c r="AB2751" s="63"/>
      <c r="AC2751" s="63"/>
      <c r="AD2751" s="63"/>
      <c r="AE2751" s="63">
        <v>1</v>
      </c>
      <c r="AF2751" s="63"/>
      <c r="AG2751" s="63"/>
      <c r="AH2751" s="63"/>
      <c r="AI2751" s="63"/>
      <c r="AJ2751" s="63"/>
      <c r="AK2751" s="63"/>
      <c r="AL2751" s="63"/>
      <c r="AM2751" s="63"/>
      <c r="AN2751" s="63">
        <v>0</v>
      </c>
      <c r="AO2751" s="63"/>
      <c r="AP2751" s="63"/>
      <c r="AQ2751" s="63"/>
      <c r="AR2751" s="63"/>
      <c r="AS2751" s="63"/>
      <c r="AT2751" s="63"/>
      <c r="AU2751" s="63"/>
      <c r="AW2751" s="5">
        <f>IF(Q2751&gt;0,RANK(Q2751,(N2751:P2751,Q2751:AE2751)),0)</f>
        <v>3</v>
      </c>
      <c r="AX2751" s="5">
        <f>IF(R2751&gt;0,RANK(R2751,(N2751:P2751,Q2751:AE2751)),0)</f>
        <v>4</v>
      </c>
      <c r="AY2751" s="5">
        <f>IF(T2751&gt;0,RANK(T2751,(N2751:P2751,Q2751:AE2751)),0)</f>
        <v>0</v>
      </c>
      <c r="AZ2751" s="5">
        <f>IF(S2751&gt;0,RANK(S2751,(N2751:P2751,Q2751:AE2751)),0)</f>
        <v>6</v>
      </c>
      <c r="BA2751" s="2">
        <f t="shared" si="1088"/>
        <v>2.7181208053691275E-2</v>
      </c>
      <c r="BB2751" s="2">
        <f t="shared" si="1089"/>
        <v>3.523489932885906E-3</v>
      </c>
      <c r="BC2751" s="2">
        <f t="shared" si="1090"/>
        <v>0</v>
      </c>
      <c r="BD2751" s="2">
        <f t="shared" si="1091"/>
        <v>1.0067114093959733E-3</v>
      </c>
      <c r="BF2751" t="s">
        <v>241</v>
      </c>
      <c r="BG2751" t="s">
        <v>53</v>
      </c>
      <c r="BH2751">
        <v>19</v>
      </c>
      <c r="BJ2751" s="114">
        <v>48</v>
      </c>
      <c r="BK2751" s="116">
        <v>253</v>
      </c>
      <c r="BL2751" s="120">
        <f t="shared" si="1095"/>
        <v>48253</v>
      </c>
      <c r="BN2751" s="5" t="s">
        <v>3154</v>
      </c>
      <c r="BZ2751" s="63">
        <f t="shared" si="1092"/>
        <v>5960</v>
      </c>
      <c r="CD2751" s="63">
        <v>0</v>
      </c>
      <c r="CE2751" s="63">
        <v>0</v>
      </c>
      <c r="CF2751" s="63">
        <v>0</v>
      </c>
      <c r="CG2751" s="8">
        <v>0</v>
      </c>
      <c r="CH2751" s="8">
        <v>0</v>
      </c>
      <c r="CI2751" s="8">
        <v>2</v>
      </c>
    </row>
    <row r="2752" spans="1:87" hidden="1" outlineLevel="1">
      <c r="A2752" t="s">
        <v>291</v>
      </c>
      <c r="B2752" t="s">
        <v>53</v>
      </c>
      <c r="C2752" s="1">
        <f t="shared" si="1083"/>
        <v>4198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5</v>
      </c>
      <c r="G2752" s="132">
        <f t="shared" si="1093"/>
        <v>1820</v>
      </c>
      <c r="H2752" s="137">
        <f t="shared" si="1094"/>
        <v>0.43353978084802286</v>
      </c>
      <c r="I2752" s="2"/>
      <c r="J2752" s="2">
        <f t="shared" si="1084"/>
        <v>0.27274892806098144</v>
      </c>
      <c r="K2752" s="2">
        <f t="shared" si="1085"/>
        <v>0.7062887089090043</v>
      </c>
      <c r="L2752" s="2">
        <f t="shared" si="1086"/>
        <v>1.1910433539780848E-3</v>
      </c>
      <c r="M2752" s="2">
        <f t="shared" si="1087"/>
        <v>1.9771319676036223E-2</v>
      </c>
      <c r="N2752" s="63">
        <v>1145</v>
      </c>
      <c r="O2752" s="63">
        <v>2965</v>
      </c>
      <c r="P2752" s="63">
        <v>5</v>
      </c>
      <c r="Q2752" s="63">
        <v>70</v>
      </c>
      <c r="R2752" s="63">
        <v>12</v>
      </c>
      <c r="S2752" s="63">
        <v>1</v>
      </c>
      <c r="T2752" s="63"/>
      <c r="U2752" s="63">
        <v>0</v>
      </c>
      <c r="V2752" s="63"/>
      <c r="W2752" s="63">
        <f>IF(Copyright!B$11=1,IF(CA2752&gt;0,CA2752-SUM(S2752:V2752)-P2752-SUM(X2752:AQ2752),SUM(CB2752:CI2752)),SUM(CB2752:CI2752))</f>
        <v>0</v>
      </c>
      <c r="X2752" s="63"/>
      <c r="Y2752" s="63">
        <v>0</v>
      </c>
      <c r="Z2752" s="63"/>
      <c r="AA2752" s="63">
        <v>0</v>
      </c>
      <c r="AB2752" s="63"/>
      <c r="AC2752" s="63"/>
      <c r="AD2752" s="63"/>
      <c r="AE2752" s="63">
        <v>0</v>
      </c>
      <c r="AF2752" s="63"/>
      <c r="AG2752" s="63"/>
      <c r="AH2752" s="63"/>
      <c r="AI2752" s="63"/>
      <c r="AJ2752" s="63"/>
      <c r="AK2752" s="63"/>
      <c r="AL2752" s="63"/>
      <c r="AM2752" s="63"/>
      <c r="AN2752" s="63">
        <v>0</v>
      </c>
      <c r="AO2752" s="63"/>
      <c r="AP2752" s="63"/>
      <c r="AQ2752" s="63"/>
      <c r="AR2752" s="63"/>
      <c r="AS2752" s="63"/>
      <c r="AT2752" s="63"/>
      <c r="AU2752" s="63"/>
      <c r="AW2752" s="5">
        <f>IF(Q2752&gt;0,RANK(Q2752,(N2752:P2752,Q2752:AE2752)),0)</f>
        <v>3</v>
      </c>
      <c r="AX2752" s="5">
        <f>IF(R2752&gt;0,RANK(R2752,(N2752:P2752,Q2752:AE2752)),0)</f>
        <v>4</v>
      </c>
      <c r="AY2752" s="5">
        <f>IF(T2752&gt;0,RANK(T2752,(N2752:P2752,Q2752:AE2752)),0)</f>
        <v>0</v>
      </c>
      <c r="AZ2752" s="5">
        <f>IF(S2752&gt;0,RANK(S2752,(N2752:P2752,Q2752:AE2752)),0)</f>
        <v>6</v>
      </c>
      <c r="BA2752" s="2">
        <f t="shared" si="1088"/>
        <v>1.6674606955693186E-2</v>
      </c>
      <c r="BB2752" s="2">
        <f t="shared" si="1089"/>
        <v>2.8585040495474035E-3</v>
      </c>
      <c r="BC2752" s="2">
        <f t="shared" si="1090"/>
        <v>0</v>
      </c>
      <c r="BD2752" s="2">
        <f t="shared" si="1091"/>
        <v>2.3820867079561695E-4</v>
      </c>
      <c r="BF2752" t="s">
        <v>291</v>
      </c>
      <c r="BG2752" t="s">
        <v>53</v>
      </c>
      <c r="BH2752">
        <v>15</v>
      </c>
      <c r="BJ2752" s="114">
        <v>48</v>
      </c>
      <c r="BK2752" s="116">
        <v>255</v>
      </c>
      <c r="BL2752" s="120">
        <f t="shared" si="1095"/>
        <v>48255</v>
      </c>
      <c r="BN2752" s="5" t="s">
        <v>3154</v>
      </c>
      <c r="BZ2752" s="63">
        <f t="shared" si="1092"/>
        <v>4198</v>
      </c>
      <c r="CD2752" s="63">
        <v>0</v>
      </c>
      <c r="CE2752" s="63">
        <v>0</v>
      </c>
      <c r="CF2752" s="63">
        <v>0</v>
      </c>
      <c r="CG2752" s="8">
        <v>0</v>
      </c>
      <c r="CH2752" s="8">
        <v>0</v>
      </c>
      <c r="CI2752" s="8">
        <v>0</v>
      </c>
    </row>
    <row r="2753" spans="1:87" hidden="1" outlineLevel="1">
      <c r="A2753" t="s">
        <v>1861</v>
      </c>
      <c r="B2753" t="s">
        <v>53</v>
      </c>
      <c r="C2753" s="1">
        <f t="shared" ref="C2753:C2816" si="1096">SUM(N2753:AU2753)</f>
        <v>41265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5</v>
      </c>
      <c r="G2753" s="132">
        <f t="shared" si="1093"/>
        <v>19309</v>
      </c>
      <c r="H2753" s="137">
        <f t="shared" si="1094"/>
        <v>0.46792681449169998</v>
      </c>
      <c r="I2753" s="2"/>
      <c r="J2753" s="2">
        <f t="shared" ref="J2753:J2816" si="1097">IF($C2753=0,"-",N2753/$C2753)</f>
        <v>0.2490730643402399</v>
      </c>
      <c r="K2753" s="2">
        <f t="shared" ref="K2753:K2816" si="1098">IF($C2753=0,"-",O2753/$C2753)</f>
        <v>0.71699987883193994</v>
      </c>
      <c r="L2753" s="2">
        <f t="shared" ref="L2753:L2816" si="1099">IF($C2753=0,"-",P2753/$C2753)</f>
        <v>4.7255543438749544E-3</v>
      </c>
      <c r="M2753" s="2">
        <f t="shared" ref="M2753:M2816" si="1100">IF(C2753=0,"-",(1-J2753-K2753-L2753))</f>
        <v>2.9201502483945201E-2</v>
      </c>
      <c r="N2753" s="63">
        <v>10278</v>
      </c>
      <c r="O2753" s="63">
        <v>29587</v>
      </c>
      <c r="P2753" s="63">
        <v>195</v>
      </c>
      <c r="Q2753" s="63">
        <v>983</v>
      </c>
      <c r="R2753" s="63">
        <v>197</v>
      </c>
      <c r="S2753" s="63">
        <v>16</v>
      </c>
      <c r="T2753" s="63"/>
      <c r="U2753" s="63">
        <v>0</v>
      </c>
      <c r="V2753" s="63"/>
      <c r="W2753" s="63">
        <f>IF(Copyright!B$11=1,IF(CA2753&gt;0,CA2753-SUM(S2753:V2753)-P2753-SUM(X2753:AQ2753),SUM(CB2753:CI2753)),SUM(CB2753:CI2753))</f>
        <v>3</v>
      </c>
      <c r="X2753" s="63"/>
      <c r="Y2753" s="63">
        <v>4</v>
      </c>
      <c r="Z2753" s="63"/>
      <c r="AA2753" s="63">
        <v>0</v>
      </c>
      <c r="AB2753" s="63"/>
      <c r="AC2753" s="63"/>
      <c r="AD2753" s="63"/>
      <c r="AE2753" s="63">
        <v>2</v>
      </c>
      <c r="AF2753" s="63"/>
      <c r="AG2753" s="63"/>
      <c r="AH2753" s="63"/>
      <c r="AI2753" s="63"/>
      <c r="AJ2753" s="63"/>
      <c r="AK2753" s="63"/>
      <c r="AL2753" s="63"/>
      <c r="AM2753" s="63"/>
      <c r="AN2753" s="63">
        <v>0</v>
      </c>
      <c r="AO2753" s="63"/>
      <c r="AP2753" s="63"/>
      <c r="AQ2753" s="63"/>
      <c r="AR2753" s="63"/>
      <c r="AS2753" s="63"/>
      <c r="AT2753" s="63"/>
      <c r="AU2753" s="63"/>
      <c r="AW2753" s="5">
        <f>IF(Q2753&gt;0,RANK(Q2753,(N2753:P2753,Q2753:AE2753)),0)</f>
        <v>3</v>
      </c>
      <c r="AX2753" s="5">
        <f>IF(R2753&gt;0,RANK(R2753,(N2753:P2753,Q2753:AE2753)),0)</f>
        <v>4</v>
      </c>
      <c r="AY2753" s="5">
        <f>IF(T2753&gt;0,RANK(T2753,(N2753:P2753,Q2753:AE2753)),0)</f>
        <v>0</v>
      </c>
      <c r="AZ2753" s="5">
        <f>IF(S2753&gt;0,RANK(S2753,(N2753:P2753,Q2753:AE2753)),0)</f>
        <v>6</v>
      </c>
      <c r="BA2753" s="2">
        <f t="shared" ref="BA2753:BA2816" si="1101">IF($C2753=0,"-",Q2753/$C2753)</f>
        <v>2.3821640615533744E-2</v>
      </c>
      <c r="BB2753" s="2">
        <f t="shared" ref="BB2753:BB2816" si="1102">IF($C2753=0,"-",R2753/$C2753)</f>
        <v>4.7740215679146977E-3</v>
      </c>
      <c r="BC2753" s="2">
        <f t="shared" ref="BC2753:BC2816" si="1103">IF($C2753=0,"-",T2753/$C2753)</f>
        <v>0</v>
      </c>
      <c r="BD2753" s="2">
        <f t="shared" ref="BD2753:BD2816" si="1104">IF($C2753=0,"-",S2753/$C2753)</f>
        <v>3.8773779231794501E-4</v>
      </c>
      <c r="BF2753" t="s">
        <v>1861</v>
      </c>
      <c r="BG2753" t="s">
        <v>53</v>
      </c>
      <c r="BH2753">
        <v>5</v>
      </c>
      <c r="BJ2753" s="114">
        <v>48</v>
      </c>
      <c r="BK2753" s="116">
        <v>257</v>
      </c>
      <c r="BL2753" s="120">
        <f t="shared" si="1095"/>
        <v>48257</v>
      </c>
      <c r="BN2753" s="5" t="s">
        <v>3154</v>
      </c>
      <c r="BZ2753" s="63">
        <f t="shared" ref="BZ2753:BZ2816" si="1105">C2753</f>
        <v>41265</v>
      </c>
      <c r="CD2753" s="63">
        <v>0</v>
      </c>
      <c r="CE2753" s="63">
        <v>0</v>
      </c>
      <c r="CF2753" s="63">
        <v>0</v>
      </c>
      <c r="CG2753" s="8">
        <v>1</v>
      </c>
      <c r="CH2753" s="8">
        <v>1</v>
      </c>
      <c r="CI2753" s="8">
        <v>1</v>
      </c>
    </row>
    <row r="2754" spans="1:87" hidden="1" outlineLevel="1">
      <c r="A2754" t="s">
        <v>1853</v>
      </c>
      <c r="B2754" t="s">
        <v>53</v>
      </c>
      <c r="C2754" s="1">
        <f t="shared" si="1096"/>
        <v>20283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5</v>
      </c>
      <c r="G2754" s="132">
        <f t="shared" si="1093"/>
        <v>12057</v>
      </c>
      <c r="H2754" s="137">
        <f t="shared" si="1094"/>
        <v>0.59443869250110926</v>
      </c>
      <c r="I2754" s="2"/>
      <c r="J2754" s="2">
        <f t="shared" si="1097"/>
        <v>0.17960853917073411</v>
      </c>
      <c r="K2754" s="2">
        <f t="shared" si="1098"/>
        <v>0.77404723167184342</v>
      </c>
      <c r="L2754" s="2">
        <f t="shared" si="1099"/>
        <v>5.7190750875117094E-3</v>
      </c>
      <c r="M2754" s="2">
        <f t="shared" si="1100"/>
        <v>4.0625154069910824E-2</v>
      </c>
      <c r="N2754" s="63">
        <v>3643</v>
      </c>
      <c r="O2754" s="63">
        <v>15700</v>
      </c>
      <c r="P2754" s="63">
        <v>116</v>
      </c>
      <c r="Q2754" s="63">
        <v>555</v>
      </c>
      <c r="R2754" s="63">
        <v>87</v>
      </c>
      <c r="S2754" s="63">
        <v>9</v>
      </c>
      <c r="T2754" s="63"/>
      <c r="U2754" s="63">
        <v>0</v>
      </c>
      <c r="V2754" s="63"/>
      <c r="W2754" s="63">
        <f>IF(Copyright!B$11=1,IF(CA2754&gt;0,CA2754-SUM(S2754:V2754)-P2754-SUM(X2754:AQ2754),SUM(CB2754:CI2754)),SUM(CB2754:CI2754))</f>
        <v>165</v>
      </c>
      <c r="X2754" s="63"/>
      <c r="Y2754" s="63">
        <v>0</v>
      </c>
      <c r="Z2754" s="63"/>
      <c r="AA2754" s="63">
        <v>0</v>
      </c>
      <c r="AB2754" s="63"/>
      <c r="AC2754" s="63"/>
      <c r="AD2754" s="63"/>
      <c r="AE2754" s="63">
        <v>3</v>
      </c>
      <c r="AF2754" s="63"/>
      <c r="AG2754" s="63"/>
      <c r="AH2754" s="63"/>
      <c r="AI2754" s="63"/>
      <c r="AJ2754" s="63"/>
      <c r="AK2754" s="63"/>
      <c r="AL2754" s="63"/>
      <c r="AM2754" s="63"/>
      <c r="AN2754" s="63">
        <v>5</v>
      </c>
      <c r="AO2754" s="63"/>
      <c r="AP2754" s="63"/>
      <c r="AQ2754" s="63"/>
      <c r="AR2754" s="63"/>
      <c r="AS2754" s="63"/>
      <c r="AT2754" s="63"/>
      <c r="AU2754" s="63"/>
      <c r="AW2754" s="5">
        <f>IF(Q2754&gt;0,RANK(Q2754,(N2754:P2754,Q2754:AE2754)),0)</f>
        <v>3</v>
      </c>
      <c r="AX2754" s="5">
        <f>IF(R2754&gt;0,RANK(R2754,(N2754:P2754,Q2754:AE2754)),0)</f>
        <v>6</v>
      </c>
      <c r="AY2754" s="5">
        <f>IF(T2754&gt;0,RANK(T2754,(N2754:P2754,Q2754:AE2754)),0)</f>
        <v>0</v>
      </c>
      <c r="AZ2754" s="5">
        <f>IF(S2754&gt;0,RANK(S2754,(N2754:P2754,Q2754:AE2754)),0)</f>
        <v>7</v>
      </c>
      <c r="BA2754" s="2">
        <f t="shared" si="1101"/>
        <v>2.7362816151456883E-2</v>
      </c>
      <c r="BB2754" s="2">
        <f t="shared" si="1102"/>
        <v>4.2893063156337818E-3</v>
      </c>
      <c r="BC2754" s="2">
        <f t="shared" si="1103"/>
        <v>0</v>
      </c>
      <c r="BD2754" s="2">
        <f t="shared" si="1104"/>
        <v>4.4372134299659814E-4</v>
      </c>
      <c r="BF2754" t="s">
        <v>1853</v>
      </c>
      <c r="BG2754" t="s">
        <v>53</v>
      </c>
      <c r="BH2754">
        <v>21</v>
      </c>
      <c r="BJ2754" s="114">
        <v>48</v>
      </c>
      <c r="BK2754" s="116">
        <v>259</v>
      </c>
      <c r="BL2754" s="120">
        <f t="shared" si="1095"/>
        <v>48259</v>
      </c>
      <c r="BN2754" s="5" t="s">
        <v>3154</v>
      </c>
      <c r="BY2754" s="63">
        <v>20283</v>
      </c>
      <c r="BZ2754" s="63">
        <f t="shared" si="1105"/>
        <v>20283</v>
      </c>
      <c r="CA2754" s="63">
        <v>298</v>
      </c>
      <c r="CD2754" s="63">
        <v>0</v>
      </c>
      <c r="CE2754" s="63">
        <v>1</v>
      </c>
      <c r="CF2754" s="63">
        <v>1</v>
      </c>
      <c r="CG2754" s="8">
        <v>0</v>
      </c>
      <c r="CH2754" s="8">
        <v>0</v>
      </c>
      <c r="CI2754" s="8">
        <v>0</v>
      </c>
    </row>
    <row r="2755" spans="1:87" hidden="1" outlineLevel="1">
      <c r="A2755" t="s">
        <v>276</v>
      </c>
      <c r="B2755" t="s">
        <v>53</v>
      </c>
      <c r="C2755" s="1">
        <f t="shared" si="1096"/>
        <v>186</v>
      </c>
      <c r="D2755" s="5">
        <f>IF(N2755&gt;0, RANK(N2755,(N2755:P2755,Q2755:AE2755)),0)</f>
        <v>1</v>
      </c>
      <c r="E2755" s="5">
        <f>IF(O2755&gt;0,RANK(O2755,(N2755:P2755,Q2755:AE2755)),0)</f>
        <v>2</v>
      </c>
      <c r="F2755" s="5">
        <f>IF(P2755&gt;0,RANK(P2755,(N2755:P2755,Q2755:AE2755)),0)</f>
        <v>0</v>
      </c>
      <c r="G2755" s="132">
        <f t="shared" si="1093"/>
        <v>15</v>
      </c>
      <c r="H2755" s="137">
        <f t="shared" si="1094"/>
        <v>8.0645161290322578E-2</v>
      </c>
      <c r="I2755" s="2"/>
      <c r="J2755" s="2">
        <f t="shared" si="1097"/>
        <v>0.532258064516129</v>
      </c>
      <c r="K2755" s="2">
        <f t="shared" si="1098"/>
        <v>0.45161290322580644</v>
      </c>
      <c r="L2755" s="2">
        <f t="shared" si="1099"/>
        <v>0</v>
      </c>
      <c r="M2755" s="2">
        <f t="shared" si="1100"/>
        <v>1.6129032258064557E-2</v>
      </c>
      <c r="N2755" s="63">
        <v>99</v>
      </c>
      <c r="O2755" s="63">
        <v>84</v>
      </c>
      <c r="P2755" s="63">
        <v>0</v>
      </c>
      <c r="Q2755" s="63">
        <v>3</v>
      </c>
      <c r="R2755" s="63">
        <v>0</v>
      </c>
      <c r="S2755" s="63">
        <v>0</v>
      </c>
      <c r="T2755" s="63"/>
      <c r="U2755" s="63">
        <v>0</v>
      </c>
      <c r="V2755" s="63"/>
      <c r="W2755" s="63">
        <f>IF(Copyright!B$11=1,IF(CA2755&gt;0,CA2755-SUM(S2755:V2755)-P2755-SUM(X2755:AQ2755),SUM(CB2755:CI2755)),SUM(CB2755:CI2755))</f>
        <v>0</v>
      </c>
      <c r="X2755" s="63"/>
      <c r="Y2755" s="63">
        <v>0</v>
      </c>
      <c r="Z2755" s="63"/>
      <c r="AA2755" s="63">
        <v>0</v>
      </c>
      <c r="AB2755" s="63"/>
      <c r="AC2755" s="63"/>
      <c r="AD2755" s="63"/>
      <c r="AE2755" s="63">
        <v>0</v>
      </c>
      <c r="AF2755" s="63"/>
      <c r="AG2755" s="63"/>
      <c r="AH2755" s="63"/>
      <c r="AI2755" s="63"/>
      <c r="AJ2755" s="63"/>
      <c r="AK2755" s="63"/>
      <c r="AL2755" s="63"/>
      <c r="AM2755" s="63"/>
      <c r="AN2755" s="63">
        <v>0</v>
      </c>
      <c r="AO2755" s="63"/>
      <c r="AP2755" s="63"/>
      <c r="AQ2755" s="63"/>
      <c r="AR2755" s="63"/>
      <c r="AS2755" s="63"/>
      <c r="AT2755" s="63"/>
      <c r="AU2755" s="63"/>
      <c r="AW2755" s="5">
        <f>IF(Q2755&gt;0,RANK(Q2755,(N2755:P2755,Q2755:AE2755)),0)</f>
        <v>3</v>
      </c>
      <c r="AX2755" s="5">
        <f>IF(R2755&gt;0,RANK(R2755,(N2755:P2755,Q2755:AE2755)),0)</f>
        <v>0</v>
      </c>
      <c r="AY2755" s="5">
        <f>IF(T2755&gt;0,RANK(T2755,(N2755:P2755,Q2755:AE2755)),0)</f>
        <v>0</v>
      </c>
      <c r="AZ2755" s="5">
        <f>IF(S2755&gt;0,RANK(S2755,(N2755:P2755,Q2755:AE2755)),0)</f>
        <v>0</v>
      </c>
      <c r="BA2755" s="2">
        <f t="shared" si="1101"/>
        <v>1.6129032258064516E-2</v>
      </c>
      <c r="BB2755" s="2">
        <f t="shared" si="1102"/>
        <v>0</v>
      </c>
      <c r="BC2755" s="2">
        <f t="shared" si="1103"/>
        <v>0</v>
      </c>
      <c r="BD2755" s="2">
        <f t="shared" si="1104"/>
        <v>0</v>
      </c>
      <c r="BF2755" t="s">
        <v>276</v>
      </c>
      <c r="BG2755" t="s">
        <v>53</v>
      </c>
      <c r="BH2755">
        <v>34</v>
      </c>
      <c r="BJ2755" s="114">
        <v>48</v>
      </c>
      <c r="BK2755" s="116">
        <v>261</v>
      </c>
      <c r="BL2755" s="120">
        <f t="shared" si="1095"/>
        <v>48261</v>
      </c>
      <c r="BN2755" s="5" t="s">
        <v>3154</v>
      </c>
      <c r="BZ2755" s="63">
        <f t="shared" si="1105"/>
        <v>186</v>
      </c>
      <c r="CD2755" s="63">
        <v>0</v>
      </c>
      <c r="CE2755" s="63">
        <v>0</v>
      </c>
      <c r="CF2755" s="63">
        <v>0</v>
      </c>
      <c r="CG2755" s="8">
        <v>0</v>
      </c>
      <c r="CH2755" s="8">
        <v>0</v>
      </c>
      <c r="CI2755" s="8">
        <v>0</v>
      </c>
    </row>
    <row r="2756" spans="1:87" hidden="1" outlineLevel="1">
      <c r="A2756" t="s">
        <v>725</v>
      </c>
      <c r="B2756" t="s">
        <v>53</v>
      </c>
      <c r="C2756" s="1">
        <f t="shared" si="1096"/>
        <v>434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4</v>
      </c>
      <c r="G2756" s="132">
        <f t="shared" si="1093"/>
        <v>301</v>
      </c>
      <c r="H2756" s="137">
        <f t="shared" si="1094"/>
        <v>0.69354838709677424</v>
      </c>
      <c r="I2756" s="2"/>
      <c r="J2756" s="2">
        <f t="shared" si="1097"/>
        <v>0.13594470046082949</v>
      </c>
      <c r="K2756" s="2">
        <f t="shared" si="1098"/>
        <v>0.82949308755760365</v>
      </c>
      <c r="L2756" s="2">
        <f t="shared" si="1099"/>
        <v>2.304147465437788E-3</v>
      </c>
      <c r="M2756" s="2">
        <f t="shared" si="1100"/>
        <v>3.2258064516129052E-2</v>
      </c>
      <c r="N2756" s="63">
        <v>59</v>
      </c>
      <c r="O2756" s="63">
        <v>360</v>
      </c>
      <c r="P2756" s="63">
        <v>1</v>
      </c>
      <c r="Q2756" s="63">
        <v>14</v>
      </c>
      <c r="R2756" s="63">
        <v>0</v>
      </c>
      <c r="S2756" s="63">
        <v>0</v>
      </c>
      <c r="T2756" s="63"/>
      <c r="U2756" s="63">
        <v>0</v>
      </c>
      <c r="V2756" s="63"/>
      <c r="W2756" s="63">
        <f>IF(Copyright!B$11=1,IF(CA2756&gt;0,CA2756-SUM(S2756:V2756)-P2756-SUM(X2756:AQ2756),SUM(CB2756:CI2756)),SUM(CB2756:CI2756))</f>
        <v>0</v>
      </c>
      <c r="X2756" s="63"/>
      <c r="Y2756" s="63">
        <v>0</v>
      </c>
      <c r="Z2756" s="63"/>
      <c r="AA2756" s="63">
        <v>0</v>
      </c>
      <c r="AB2756" s="63"/>
      <c r="AC2756" s="63"/>
      <c r="AD2756" s="63"/>
      <c r="AE2756" s="63">
        <v>0</v>
      </c>
      <c r="AF2756" s="63"/>
      <c r="AG2756" s="63"/>
      <c r="AH2756" s="63"/>
      <c r="AI2756" s="63"/>
      <c r="AJ2756" s="63"/>
      <c r="AK2756" s="63"/>
      <c r="AL2756" s="63"/>
      <c r="AM2756" s="63"/>
      <c r="AN2756" s="63">
        <v>0</v>
      </c>
      <c r="AO2756" s="63"/>
      <c r="AP2756" s="63"/>
      <c r="AQ2756" s="63"/>
      <c r="AR2756" s="63"/>
      <c r="AS2756" s="63"/>
      <c r="AT2756" s="63"/>
      <c r="AU2756" s="63"/>
      <c r="AW2756" s="5">
        <f>IF(Q2756&gt;0,RANK(Q2756,(N2756:P2756,Q2756:AE2756)),0)</f>
        <v>3</v>
      </c>
      <c r="AX2756" s="5">
        <f>IF(R2756&gt;0,RANK(R2756,(N2756:P2756,Q2756:AE2756)),0)</f>
        <v>0</v>
      </c>
      <c r="AY2756" s="5">
        <f>IF(T2756&gt;0,RANK(T2756,(N2756:P2756,Q2756:AE2756)),0)</f>
        <v>0</v>
      </c>
      <c r="AZ2756" s="5">
        <f>IF(S2756&gt;0,RANK(S2756,(N2756:P2756,Q2756:AE2756)),0)</f>
        <v>0</v>
      </c>
      <c r="BA2756" s="2">
        <f t="shared" si="1101"/>
        <v>3.2258064516129031E-2</v>
      </c>
      <c r="BB2756" s="2">
        <f t="shared" si="1102"/>
        <v>0</v>
      </c>
      <c r="BC2756" s="2">
        <f t="shared" si="1103"/>
        <v>0</v>
      </c>
      <c r="BD2756" s="2">
        <f t="shared" si="1104"/>
        <v>0</v>
      </c>
      <c r="BF2756" t="s">
        <v>725</v>
      </c>
      <c r="BG2756" t="s">
        <v>53</v>
      </c>
      <c r="BH2756">
        <v>19</v>
      </c>
      <c r="BJ2756" s="114">
        <v>48</v>
      </c>
      <c r="BK2756" s="116">
        <v>263</v>
      </c>
      <c r="BL2756" s="120">
        <f t="shared" si="1095"/>
        <v>48263</v>
      </c>
      <c r="BN2756" s="5" t="s">
        <v>3154</v>
      </c>
      <c r="BZ2756" s="63">
        <f t="shared" si="1105"/>
        <v>434</v>
      </c>
      <c r="CD2756" s="63">
        <v>0</v>
      </c>
      <c r="CE2756" s="63">
        <v>0</v>
      </c>
      <c r="CF2756" s="63">
        <v>0</v>
      </c>
      <c r="CG2756" s="8">
        <v>0</v>
      </c>
      <c r="CH2756" s="8">
        <v>0</v>
      </c>
      <c r="CI2756" s="8">
        <v>0</v>
      </c>
    </row>
    <row r="2757" spans="1:87" hidden="1" outlineLevel="1">
      <c r="A2757" t="s">
        <v>268</v>
      </c>
      <c r="B2757" t="s">
        <v>53</v>
      </c>
      <c r="C2757" s="1">
        <f t="shared" si="1096"/>
        <v>23297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5</v>
      </c>
      <c r="G2757" s="132">
        <f t="shared" si="1093"/>
        <v>13046</v>
      </c>
      <c r="H2757" s="137">
        <f t="shared" si="1094"/>
        <v>0.55998626432587884</v>
      </c>
      <c r="I2757" s="2"/>
      <c r="J2757" s="2">
        <f t="shared" si="1097"/>
        <v>0.20092715800317637</v>
      </c>
      <c r="K2757" s="2">
        <f t="shared" si="1098"/>
        <v>0.76091342232905523</v>
      </c>
      <c r="L2757" s="2">
        <f t="shared" si="1099"/>
        <v>3.9919302914538353E-3</v>
      </c>
      <c r="M2757" s="2">
        <f t="shared" si="1100"/>
        <v>3.416748937631453E-2</v>
      </c>
      <c r="N2757" s="63">
        <v>4681</v>
      </c>
      <c r="O2757" s="63">
        <v>17727</v>
      </c>
      <c r="P2757" s="63">
        <v>93</v>
      </c>
      <c r="Q2757" s="63">
        <v>657</v>
      </c>
      <c r="R2757" s="63">
        <v>116</v>
      </c>
      <c r="S2757" s="63">
        <v>14</v>
      </c>
      <c r="T2757" s="63"/>
      <c r="U2757" s="63">
        <v>0</v>
      </c>
      <c r="V2757" s="63"/>
      <c r="W2757" s="63">
        <f>IF(Copyright!B$11=1,IF(CA2757&gt;0,CA2757-SUM(S2757:V2757)-P2757-SUM(X2757:AQ2757),SUM(CB2757:CI2757)),SUM(CB2757:CI2757))</f>
        <v>5</v>
      </c>
      <c r="X2757" s="63"/>
      <c r="Y2757" s="63">
        <v>2</v>
      </c>
      <c r="Z2757" s="63"/>
      <c r="AA2757" s="63">
        <v>0</v>
      </c>
      <c r="AB2757" s="63"/>
      <c r="AC2757" s="63"/>
      <c r="AD2757" s="63"/>
      <c r="AE2757" s="63">
        <v>1</v>
      </c>
      <c r="AF2757" s="63"/>
      <c r="AG2757" s="63"/>
      <c r="AH2757" s="63"/>
      <c r="AI2757" s="63"/>
      <c r="AJ2757" s="63"/>
      <c r="AK2757" s="63"/>
      <c r="AL2757" s="63"/>
      <c r="AM2757" s="63"/>
      <c r="AN2757" s="63">
        <v>1</v>
      </c>
      <c r="AO2757" s="63"/>
      <c r="AP2757" s="63"/>
      <c r="AQ2757" s="63"/>
      <c r="AR2757" s="63"/>
      <c r="AS2757" s="63"/>
      <c r="AT2757" s="63"/>
      <c r="AU2757" s="63"/>
      <c r="AW2757" s="5">
        <f>IF(Q2757&gt;0,RANK(Q2757,(N2757:P2757,Q2757:AE2757)),0)</f>
        <v>3</v>
      </c>
      <c r="AX2757" s="5">
        <f>IF(R2757&gt;0,RANK(R2757,(N2757:P2757,Q2757:AE2757)),0)</f>
        <v>4</v>
      </c>
      <c r="AY2757" s="5">
        <f>IF(T2757&gt;0,RANK(T2757,(N2757:P2757,Q2757:AE2757)),0)</f>
        <v>0</v>
      </c>
      <c r="AZ2757" s="5">
        <f>IF(S2757&gt;0,RANK(S2757,(N2757:P2757,Q2757:AE2757)),0)</f>
        <v>6</v>
      </c>
      <c r="BA2757" s="2">
        <f t="shared" si="1101"/>
        <v>2.8201055929948062E-2</v>
      </c>
      <c r="BB2757" s="2">
        <f t="shared" si="1102"/>
        <v>4.97918186891016E-3</v>
      </c>
      <c r="BC2757" s="2">
        <f t="shared" si="1103"/>
        <v>0</v>
      </c>
      <c r="BD2757" s="2">
        <f t="shared" si="1104"/>
        <v>6.0093574279950206E-4</v>
      </c>
      <c r="BF2757" t="s">
        <v>268</v>
      </c>
      <c r="BG2757" t="s">
        <v>53</v>
      </c>
      <c r="BH2757">
        <v>21</v>
      </c>
      <c r="BJ2757" s="114">
        <v>48</v>
      </c>
      <c r="BK2757" s="116">
        <v>265</v>
      </c>
      <c r="BL2757" s="120">
        <f t="shared" si="1095"/>
        <v>48265</v>
      </c>
      <c r="BN2757" s="5" t="s">
        <v>3154</v>
      </c>
      <c r="BZ2757" s="63">
        <f t="shared" si="1105"/>
        <v>23297</v>
      </c>
      <c r="CD2757" s="63">
        <v>0</v>
      </c>
      <c r="CE2757" s="63">
        <v>0</v>
      </c>
      <c r="CF2757" s="63">
        <v>4</v>
      </c>
      <c r="CG2757" s="8">
        <v>0</v>
      </c>
      <c r="CH2757" s="8">
        <v>1</v>
      </c>
      <c r="CI2757" s="8">
        <v>0</v>
      </c>
    </row>
    <row r="2758" spans="1:87" hidden="1" outlineLevel="1">
      <c r="A2758" t="s">
        <v>940</v>
      </c>
      <c r="B2758" t="s">
        <v>53</v>
      </c>
      <c r="C2758" s="1">
        <f t="shared" si="1096"/>
        <v>1952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4</v>
      </c>
      <c r="G2758" s="132">
        <f t="shared" si="1093"/>
        <v>1491</v>
      </c>
      <c r="H2758" s="137">
        <f t="shared" si="1094"/>
        <v>0.76383196721311475</v>
      </c>
      <c r="I2758" s="2"/>
      <c r="J2758" s="2">
        <f t="shared" si="1097"/>
        <v>0.10553278688524591</v>
      </c>
      <c r="K2758" s="2">
        <f t="shared" si="1098"/>
        <v>0.86936475409836067</v>
      </c>
      <c r="L2758" s="2">
        <f t="shared" si="1099"/>
        <v>3.5860655737704919E-3</v>
      </c>
      <c r="M2758" s="2">
        <f t="shared" si="1100"/>
        <v>2.1516393442622916E-2</v>
      </c>
      <c r="N2758" s="63">
        <v>206</v>
      </c>
      <c r="O2758" s="63">
        <v>1697</v>
      </c>
      <c r="P2758" s="63">
        <v>7</v>
      </c>
      <c r="Q2758" s="63">
        <v>37</v>
      </c>
      <c r="R2758" s="63">
        <v>5</v>
      </c>
      <c r="S2758" s="63">
        <v>0</v>
      </c>
      <c r="T2758" s="63"/>
      <c r="U2758" s="63">
        <v>0</v>
      </c>
      <c r="V2758" s="63"/>
      <c r="W2758" s="63">
        <f>IF(Copyright!B$11=1,IF(CA2758&gt;0,CA2758-SUM(S2758:V2758)-P2758-SUM(X2758:AQ2758),SUM(CB2758:CI2758)),SUM(CB2758:CI2758))</f>
        <v>0</v>
      </c>
      <c r="X2758" s="63"/>
      <c r="Y2758" s="63">
        <v>0</v>
      </c>
      <c r="Z2758" s="63"/>
      <c r="AA2758" s="63">
        <v>0</v>
      </c>
      <c r="AB2758" s="63"/>
      <c r="AC2758" s="63"/>
      <c r="AD2758" s="63"/>
      <c r="AE2758" s="63">
        <v>0</v>
      </c>
      <c r="AF2758" s="63"/>
      <c r="AG2758" s="63"/>
      <c r="AH2758" s="63"/>
      <c r="AI2758" s="63"/>
      <c r="AJ2758" s="63"/>
      <c r="AK2758" s="63"/>
      <c r="AL2758" s="63"/>
      <c r="AM2758" s="63"/>
      <c r="AN2758" s="63">
        <v>0</v>
      </c>
      <c r="AO2758" s="63"/>
      <c r="AP2758" s="63"/>
      <c r="AQ2758" s="63"/>
      <c r="AR2758" s="63"/>
      <c r="AS2758" s="63"/>
      <c r="AT2758" s="63"/>
      <c r="AU2758" s="63"/>
      <c r="AW2758" s="5">
        <f>IF(Q2758&gt;0,RANK(Q2758,(N2758:P2758,Q2758:AE2758)),0)</f>
        <v>3</v>
      </c>
      <c r="AX2758" s="5">
        <f>IF(R2758&gt;0,RANK(R2758,(N2758:P2758,Q2758:AE2758)),0)</f>
        <v>5</v>
      </c>
      <c r="AY2758" s="5">
        <f>IF(T2758&gt;0,RANK(T2758,(N2758:P2758,Q2758:AE2758)),0)</f>
        <v>0</v>
      </c>
      <c r="AZ2758" s="5">
        <f>IF(S2758&gt;0,RANK(S2758,(N2758:P2758,Q2758:AE2758)),0)</f>
        <v>0</v>
      </c>
      <c r="BA2758" s="2">
        <f t="shared" si="1101"/>
        <v>1.8954918032786885E-2</v>
      </c>
      <c r="BB2758" s="2">
        <f t="shared" si="1102"/>
        <v>2.5614754098360654E-3</v>
      </c>
      <c r="BC2758" s="2">
        <f t="shared" si="1103"/>
        <v>0</v>
      </c>
      <c r="BD2758" s="2">
        <f t="shared" si="1104"/>
        <v>0</v>
      </c>
      <c r="BF2758" t="s">
        <v>940</v>
      </c>
      <c r="BG2758" t="s">
        <v>53</v>
      </c>
      <c r="BH2758">
        <v>11</v>
      </c>
      <c r="BJ2758" s="114">
        <v>48</v>
      </c>
      <c r="BK2758" s="116">
        <v>267</v>
      </c>
      <c r="BL2758" s="120">
        <f t="shared" si="1095"/>
        <v>48267</v>
      </c>
      <c r="BN2758" s="5" t="s">
        <v>3154</v>
      </c>
      <c r="BZ2758" s="63">
        <f t="shared" si="1105"/>
        <v>1952</v>
      </c>
      <c r="CD2758" s="63">
        <v>0</v>
      </c>
      <c r="CE2758" s="63">
        <v>0</v>
      </c>
      <c r="CF2758" s="63">
        <v>0</v>
      </c>
      <c r="CG2758" s="8">
        <v>0</v>
      </c>
      <c r="CH2758" s="8">
        <v>0</v>
      </c>
      <c r="CI2758" s="8">
        <v>0</v>
      </c>
    </row>
    <row r="2759" spans="1:87" hidden="1" outlineLevel="1">
      <c r="A2759" t="s">
        <v>407</v>
      </c>
      <c r="B2759" t="s">
        <v>53</v>
      </c>
      <c r="C2759" s="1">
        <f t="shared" si="1096"/>
        <v>159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32">
        <f t="shared" si="1093"/>
        <v>144</v>
      </c>
      <c r="H2759" s="137">
        <f t="shared" si="1094"/>
        <v>0.90566037735849059</v>
      </c>
      <c r="I2759" s="2"/>
      <c r="J2759" s="2">
        <f t="shared" si="1097"/>
        <v>3.1446540880503145E-2</v>
      </c>
      <c r="K2759" s="2">
        <f t="shared" si="1098"/>
        <v>0.93710691823899372</v>
      </c>
      <c r="L2759" s="2">
        <f t="shared" si="1099"/>
        <v>0</v>
      </c>
      <c r="M2759" s="2">
        <f t="shared" si="1100"/>
        <v>3.1446540880503138E-2</v>
      </c>
      <c r="N2759" s="63">
        <v>5</v>
      </c>
      <c r="O2759" s="63">
        <v>149</v>
      </c>
      <c r="P2759" s="63">
        <v>0</v>
      </c>
      <c r="Q2759" s="63">
        <v>5</v>
      </c>
      <c r="R2759" s="63">
        <v>0</v>
      </c>
      <c r="S2759" s="63">
        <v>0</v>
      </c>
      <c r="T2759" s="63"/>
      <c r="U2759" s="63">
        <v>0</v>
      </c>
      <c r="V2759" s="63"/>
      <c r="W2759" s="63">
        <f>IF(Copyright!B$11=1,IF(CA2759&gt;0,CA2759-SUM(S2759:V2759)-P2759-SUM(X2759:AQ2759),SUM(CB2759:CI2759)),SUM(CB2759:CI2759))</f>
        <v>0</v>
      </c>
      <c r="X2759" s="63"/>
      <c r="Y2759" s="63">
        <v>0</v>
      </c>
      <c r="Z2759" s="63"/>
      <c r="AA2759" s="63">
        <v>0</v>
      </c>
      <c r="AB2759" s="63"/>
      <c r="AC2759" s="63"/>
      <c r="AD2759" s="63"/>
      <c r="AE2759" s="63">
        <v>0</v>
      </c>
      <c r="AF2759" s="63"/>
      <c r="AG2759" s="63"/>
      <c r="AH2759" s="63"/>
      <c r="AI2759" s="63"/>
      <c r="AJ2759" s="63"/>
      <c r="AK2759" s="63"/>
      <c r="AL2759" s="63"/>
      <c r="AM2759" s="63"/>
      <c r="AN2759" s="63">
        <v>0</v>
      </c>
      <c r="AO2759" s="63"/>
      <c r="AP2759" s="63"/>
      <c r="AQ2759" s="63"/>
      <c r="AR2759" s="63"/>
      <c r="AS2759" s="63"/>
      <c r="AT2759" s="63"/>
      <c r="AU2759" s="63"/>
      <c r="AW2759" s="5">
        <f>IF(Q2759&gt;0,RANK(Q2759,(N2759:P2759,Q2759:AE2759)),0)</f>
        <v>2</v>
      </c>
      <c r="AX2759" s="5">
        <f>IF(R2759&gt;0,RANK(R2759,(N2759:P2759,Q2759:AE2759)),0)</f>
        <v>0</v>
      </c>
      <c r="AY2759" s="5">
        <f>IF(T2759&gt;0,RANK(T2759,(N2759:P2759,Q2759:AE2759)),0)</f>
        <v>0</v>
      </c>
      <c r="AZ2759" s="5">
        <f>IF(S2759&gt;0,RANK(S2759,(N2759:P2759,Q2759:AE2759)),0)</f>
        <v>0</v>
      </c>
      <c r="BA2759" s="2">
        <f t="shared" si="1101"/>
        <v>3.1446540880503145E-2</v>
      </c>
      <c r="BB2759" s="2">
        <f t="shared" si="1102"/>
        <v>0</v>
      </c>
      <c r="BC2759" s="2">
        <f t="shared" si="1103"/>
        <v>0</v>
      </c>
      <c r="BD2759" s="2">
        <f t="shared" si="1104"/>
        <v>0</v>
      </c>
      <c r="BF2759" t="s">
        <v>407</v>
      </c>
      <c r="BG2759" t="s">
        <v>53</v>
      </c>
      <c r="BH2759">
        <v>13</v>
      </c>
      <c r="BJ2759" s="114">
        <v>48</v>
      </c>
      <c r="BK2759" s="116">
        <v>269</v>
      </c>
      <c r="BL2759" s="120">
        <f t="shared" si="1095"/>
        <v>48269</v>
      </c>
      <c r="BN2759" s="5" t="s">
        <v>3154</v>
      </c>
      <c r="BZ2759" s="63">
        <f t="shared" si="1105"/>
        <v>159</v>
      </c>
      <c r="CD2759" s="63">
        <v>0</v>
      </c>
      <c r="CE2759" s="63">
        <v>0</v>
      </c>
      <c r="CF2759" s="63">
        <v>0</v>
      </c>
      <c r="CG2759" s="8">
        <v>0</v>
      </c>
      <c r="CH2759" s="8">
        <v>0</v>
      </c>
      <c r="CI2759" s="8">
        <v>0</v>
      </c>
    </row>
    <row r="2760" spans="1:87" hidden="1" outlineLevel="1">
      <c r="A2760" t="s">
        <v>2237</v>
      </c>
      <c r="B2760" t="s">
        <v>53</v>
      </c>
      <c r="C2760" s="1">
        <f t="shared" si="1096"/>
        <v>1430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32">
        <f t="shared" si="1093"/>
        <v>478</v>
      </c>
      <c r="H2760" s="137">
        <f t="shared" si="1094"/>
        <v>0.33426573426573425</v>
      </c>
      <c r="I2760" s="2"/>
      <c r="J2760" s="2">
        <f t="shared" si="1097"/>
        <v>0.32027972027972029</v>
      </c>
      <c r="K2760" s="2">
        <f t="shared" si="1098"/>
        <v>0.65454545454545454</v>
      </c>
      <c r="L2760" s="2">
        <f t="shared" si="1099"/>
        <v>0</v>
      </c>
      <c r="M2760" s="2">
        <f t="shared" si="1100"/>
        <v>2.5174825174825166E-2</v>
      </c>
      <c r="N2760" s="63">
        <v>458</v>
      </c>
      <c r="O2760" s="63">
        <v>936</v>
      </c>
      <c r="P2760" s="63">
        <v>0</v>
      </c>
      <c r="Q2760" s="63">
        <v>25</v>
      </c>
      <c r="R2760" s="63">
        <v>6</v>
      </c>
      <c r="S2760" s="63">
        <v>5</v>
      </c>
      <c r="T2760" s="63"/>
      <c r="U2760" s="63">
        <v>0</v>
      </c>
      <c r="V2760" s="63"/>
      <c r="W2760" s="63">
        <f>IF(Copyright!B$11=1,IF(CA2760&gt;0,CA2760-SUM(S2760:V2760)-P2760-SUM(X2760:AQ2760),SUM(CB2760:CI2760)),SUM(CB2760:CI2760))</f>
        <v>0</v>
      </c>
      <c r="X2760" s="63"/>
      <c r="Y2760" s="63">
        <v>0</v>
      </c>
      <c r="Z2760" s="63"/>
      <c r="AA2760" s="63">
        <v>0</v>
      </c>
      <c r="AB2760" s="63"/>
      <c r="AC2760" s="63"/>
      <c r="AD2760" s="63"/>
      <c r="AE2760" s="63">
        <v>0</v>
      </c>
      <c r="AF2760" s="63"/>
      <c r="AG2760" s="63"/>
      <c r="AH2760" s="63"/>
      <c r="AI2760" s="63"/>
      <c r="AJ2760" s="63"/>
      <c r="AK2760" s="63"/>
      <c r="AL2760" s="63"/>
      <c r="AM2760" s="63"/>
      <c r="AN2760" s="63">
        <v>0</v>
      </c>
      <c r="AO2760" s="63"/>
      <c r="AP2760" s="63"/>
      <c r="AQ2760" s="63"/>
      <c r="AR2760" s="63"/>
      <c r="AS2760" s="63"/>
      <c r="AT2760" s="63"/>
      <c r="AU2760" s="63"/>
      <c r="AW2760" s="5">
        <f>IF(Q2760&gt;0,RANK(Q2760,(N2760:P2760,Q2760:AE2760)),0)</f>
        <v>3</v>
      </c>
      <c r="AX2760" s="5">
        <f>IF(R2760&gt;0,RANK(R2760,(N2760:P2760,Q2760:AE2760)),0)</f>
        <v>4</v>
      </c>
      <c r="AY2760" s="5">
        <f>IF(T2760&gt;0,RANK(T2760,(N2760:P2760,Q2760:AE2760)),0)</f>
        <v>0</v>
      </c>
      <c r="AZ2760" s="5">
        <f>IF(S2760&gt;0,RANK(S2760,(N2760:P2760,Q2760:AE2760)),0)</f>
        <v>5</v>
      </c>
      <c r="BA2760" s="2">
        <f t="shared" si="1101"/>
        <v>1.7482517482517484E-2</v>
      </c>
      <c r="BB2760" s="2">
        <f t="shared" si="1102"/>
        <v>4.1958041958041958E-3</v>
      </c>
      <c r="BC2760" s="2">
        <f t="shared" si="1103"/>
        <v>0</v>
      </c>
      <c r="BD2760" s="2">
        <f t="shared" si="1104"/>
        <v>3.4965034965034965E-3</v>
      </c>
      <c r="BF2760" t="s">
        <v>2237</v>
      </c>
      <c r="BG2760" t="s">
        <v>53</v>
      </c>
      <c r="BH2760">
        <v>23</v>
      </c>
      <c r="BJ2760" s="114">
        <v>48</v>
      </c>
      <c r="BK2760" s="116">
        <v>271</v>
      </c>
      <c r="BL2760" s="120">
        <f t="shared" si="1095"/>
        <v>48271</v>
      </c>
      <c r="BN2760" s="5" t="s">
        <v>3154</v>
      </c>
      <c r="BZ2760" s="63">
        <f t="shared" si="1105"/>
        <v>1430</v>
      </c>
      <c r="CD2760" s="63">
        <v>0</v>
      </c>
      <c r="CE2760" s="63">
        <v>0</v>
      </c>
      <c r="CF2760" s="63">
        <v>0</v>
      </c>
      <c r="CG2760" s="8">
        <v>0</v>
      </c>
      <c r="CH2760" s="8">
        <v>0</v>
      </c>
      <c r="CI2760" s="8">
        <v>0</v>
      </c>
    </row>
    <row r="2761" spans="1:87" hidden="1" outlineLevel="1">
      <c r="A2761" t="s">
        <v>381</v>
      </c>
      <c r="B2761" t="s">
        <v>53</v>
      </c>
      <c r="C2761" s="1">
        <f t="shared" si="1096"/>
        <v>9587</v>
      </c>
      <c r="D2761" s="5">
        <f>IF(N2761&gt;0, RANK(N2761,(N2761:P2761,Q2761:AE2761)),0)</f>
        <v>1</v>
      </c>
      <c r="E2761" s="5">
        <f>IF(O2761&gt;0,RANK(O2761,(N2761:P2761,Q2761:AE2761)),0)</f>
        <v>2</v>
      </c>
      <c r="F2761" s="5">
        <f>IF(P2761&gt;0,RANK(P2761,(N2761:P2761,Q2761:AE2761)),0)</f>
        <v>6</v>
      </c>
      <c r="G2761" s="132">
        <f t="shared" ref="G2761:G2824" si="1106">IF(C2761&gt;0,MAX(N2761:P2761)-LARGE(N2761:P2761,2),0)</f>
        <v>349</v>
      </c>
      <c r="H2761" s="137">
        <f t="shared" ref="H2761:H2824" si="1107">IF(C2761&gt;0,G2761/C2761,0)</f>
        <v>3.6403463022843432E-2</v>
      </c>
      <c r="I2761" s="2"/>
      <c r="J2761" s="2">
        <f t="shared" si="1097"/>
        <v>0.4919161364347554</v>
      </c>
      <c r="K2761" s="2">
        <f t="shared" si="1098"/>
        <v>0.45551267341191198</v>
      </c>
      <c r="L2761" s="2">
        <f t="shared" si="1099"/>
        <v>1.8775425054761655E-3</v>
      </c>
      <c r="M2761" s="2">
        <f t="shared" si="1100"/>
        <v>5.069364764785645E-2</v>
      </c>
      <c r="N2761" s="63">
        <v>4716</v>
      </c>
      <c r="O2761" s="63">
        <v>4367</v>
      </c>
      <c r="P2761" s="63">
        <v>18</v>
      </c>
      <c r="Q2761" s="63">
        <v>314</v>
      </c>
      <c r="R2761" s="63">
        <v>92</v>
      </c>
      <c r="S2761" s="63">
        <v>3</v>
      </c>
      <c r="T2761" s="63"/>
      <c r="U2761" s="63">
        <v>0</v>
      </c>
      <c r="V2761" s="63"/>
      <c r="W2761" s="63">
        <f>IF(Copyright!B$11=1,IF(CA2761&gt;0,CA2761-SUM(S2761:V2761)-P2761-SUM(X2761:AQ2761),SUM(CB2761:CI2761)),SUM(CB2761:CI2761))</f>
        <v>75</v>
      </c>
      <c r="X2761" s="63"/>
      <c r="Y2761" s="63">
        <v>0</v>
      </c>
      <c r="Z2761" s="63"/>
      <c r="AA2761" s="63">
        <v>0</v>
      </c>
      <c r="AB2761" s="63"/>
      <c r="AC2761" s="63"/>
      <c r="AD2761" s="63"/>
      <c r="AE2761" s="63">
        <v>0</v>
      </c>
      <c r="AF2761" s="63"/>
      <c r="AG2761" s="63"/>
      <c r="AH2761" s="63"/>
      <c r="AI2761" s="63"/>
      <c r="AJ2761" s="63"/>
      <c r="AK2761" s="63"/>
      <c r="AL2761" s="63"/>
      <c r="AM2761" s="63"/>
      <c r="AN2761" s="63">
        <v>2</v>
      </c>
      <c r="AO2761" s="63"/>
      <c r="AP2761" s="63"/>
      <c r="AQ2761" s="63"/>
      <c r="AR2761" s="63"/>
      <c r="AS2761" s="63"/>
      <c r="AT2761" s="63"/>
      <c r="AU2761" s="63"/>
      <c r="AW2761" s="5">
        <f>IF(Q2761&gt;0,RANK(Q2761,(N2761:P2761,Q2761:AE2761)),0)</f>
        <v>3</v>
      </c>
      <c r="AX2761" s="5">
        <f>IF(R2761&gt;0,RANK(R2761,(N2761:P2761,Q2761:AE2761)),0)</f>
        <v>4</v>
      </c>
      <c r="AY2761" s="5">
        <f>IF(T2761&gt;0,RANK(T2761,(N2761:P2761,Q2761:AE2761)),0)</f>
        <v>0</v>
      </c>
      <c r="AZ2761" s="5">
        <f>IF(S2761&gt;0,RANK(S2761,(N2761:P2761,Q2761:AE2761)),0)</f>
        <v>7</v>
      </c>
      <c r="BA2761" s="2">
        <f t="shared" si="1101"/>
        <v>3.2752685928861998E-2</v>
      </c>
      <c r="BB2761" s="2">
        <f t="shared" si="1102"/>
        <v>9.5963283613226241E-3</v>
      </c>
      <c r="BC2761" s="2">
        <f t="shared" si="1103"/>
        <v>0</v>
      </c>
      <c r="BD2761" s="2">
        <f t="shared" si="1104"/>
        <v>3.1292375091269427E-4</v>
      </c>
      <c r="BF2761" t="s">
        <v>381</v>
      </c>
      <c r="BG2761" t="s">
        <v>53</v>
      </c>
      <c r="BH2761">
        <v>34</v>
      </c>
      <c r="BJ2761" s="114">
        <v>48</v>
      </c>
      <c r="BK2761" s="116">
        <v>273</v>
      </c>
      <c r="BL2761" s="120">
        <f t="shared" si="1095"/>
        <v>48273</v>
      </c>
      <c r="BN2761" s="5" t="s">
        <v>3154</v>
      </c>
      <c r="BY2761" s="133">
        <v>9581</v>
      </c>
      <c r="BZ2761" s="63">
        <f t="shared" si="1105"/>
        <v>9587</v>
      </c>
      <c r="CA2761" s="133">
        <v>98</v>
      </c>
      <c r="CD2761" s="63">
        <v>0</v>
      </c>
      <c r="CE2761" s="63">
        <v>0</v>
      </c>
      <c r="CF2761" s="63">
        <v>0</v>
      </c>
      <c r="CG2761" s="8">
        <v>0</v>
      </c>
      <c r="CH2761" s="8">
        <v>0</v>
      </c>
      <c r="CI2761" s="8">
        <v>0</v>
      </c>
    </row>
    <row r="2762" spans="1:87" hidden="1" outlineLevel="1">
      <c r="A2762" t="s">
        <v>1729</v>
      </c>
      <c r="B2762" t="s">
        <v>53</v>
      </c>
      <c r="C2762" s="1">
        <f t="shared" si="1096"/>
        <v>1367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4</v>
      </c>
      <c r="G2762" s="132">
        <f t="shared" si="1106"/>
        <v>831</v>
      </c>
      <c r="H2762" s="137">
        <f t="shared" si="1107"/>
        <v>0.60790051207022677</v>
      </c>
      <c r="I2762" s="2"/>
      <c r="J2762" s="2">
        <f t="shared" si="1097"/>
        <v>0.18068763716166789</v>
      </c>
      <c r="K2762" s="2">
        <f t="shared" si="1098"/>
        <v>0.78858814923189469</v>
      </c>
      <c r="L2762" s="2">
        <f t="shared" si="1099"/>
        <v>5.8522311631309439E-3</v>
      </c>
      <c r="M2762" s="2">
        <f t="shared" si="1100"/>
        <v>2.4871982443306455E-2</v>
      </c>
      <c r="N2762" s="63">
        <v>247</v>
      </c>
      <c r="O2762" s="63">
        <v>1078</v>
      </c>
      <c r="P2762" s="63">
        <v>8</v>
      </c>
      <c r="Q2762" s="63">
        <v>28</v>
      </c>
      <c r="R2762" s="63">
        <v>5</v>
      </c>
      <c r="S2762" s="63">
        <v>1</v>
      </c>
      <c r="T2762" s="63"/>
      <c r="U2762" s="63">
        <v>0</v>
      </c>
      <c r="V2762" s="63"/>
      <c r="W2762" s="63">
        <f>IF(Copyright!B$11=1,IF(CA2762&gt;0,CA2762-SUM(S2762:V2762)-P2762-SUM(X2762:AQ2762),SUM(CB2762:CI2762)),SUM(CB2762:CI2762))</f>
        <v>0</v>
      </c>
      <c r="X2762" s="63"/>
      <c r="Y2762" s="63">
        <v>0</v>
      </c>
      <c r="Z2762" s="63"/>
      <c r="AA2762" s="63">
        <v>0</v>
      </c>
      <c r="AB2762" s="63"/>
      <c r="AC2762" s="63"/>
      <c r="AD2762" s="63"/>
      <c r="AE2762" s="63">
        <v>0</v>
      </c>
      <c r="AF2762" s="63"/>
      <c r="AG2762" s="63"/>
      <c r="AH2762" s="63"/>
      <c r="AI2762" s="63"/>
      <c r="AJ2762" s="63"/>
      <c r="AK2762" s="63"/>
      <c r="AL2762" s="63"/>
      <c r="AM2762" s="63"/>
      <c r="AN2762" s="63">
        <v>0</v>
      </c>
      <c r="AO2762" s="63"/>
      <c r="AP2762" s="63"/>
      <c r="AQ2762" s="63"/>
      <c r="AR2762" s="63"/>
      <c r="AS2762" s="63"/>
      <c r="AT2762" s="63"/>
      <c r="AU2762" s="63"/>
      <c r="AW2762" s="5">
        <f>IF(Q2762&gt;0,RANK(Q2762,(N2762:P2762,Q2762:AE2762)),0)</f>
        <v>3</v>
      </c>
      <c r="AX2762" s="5">
        <f>IF(R2762&gt;0,RANK(R2762,(N2762:P2762,Q2762:AE2762)),0)</f>
        <v>5</v>
      </c>
      <c r="AY2762" s="5">
        <f>IF(T2762&gt;0,RANK(T2762,(N2762:P2762,Q2762:AE2762)),0)</f>
        <v>0</v>
      </c>
      <c r="AZ2762" s="5">
        <f>IF(S2762&gt;0,RANK(S2762,(N2762:P2762,Q2762:AE2762)),0)</f>
        <v>6</v>
      </c>
      <c r="BA2762" s="2">
        <f t="shared" si="1101"/>
        <v>2.0482809070958303E-2</v>
      </c>
      <c r="BB2762" s="2">
        <f t="shared" si="1102"/>
        <v>3.6576444769568397E-3</v>
      </c>
      <c r="BC2762" s="2">
        <f t="shared" si="1103"/>
        <v>0</v>
      </c>
      <c r="BD2762" s="2">
        <f t="shared" si="1104"/>
        <v>7.3152889539136799E-4</v>
      </c>
      <c r="BF2762" t="s">
        <v>1729</v>
      </c>
      <c r="BG2762" t="s">
        <v>53</v>
      </c>
      <c r="BH2762">
        <v>13</v>
      </c>
      <c r="BJ2762" s="114">
        <v>48</v>
      </c>
      <c r="BK2762" s="116">
        <v>275</v>
      </c>
      <c r="BL2762" s="120">
        <f t="shared" si="1095"/>
        <v>48275</v>
      </c>
      <c r="BN2762" s="5" t="s">
        <v>3154</v>
      </c>
      <c r="BZ2762" s="63">
        <f t="shared" si="1105"/>
        <v>1367</v>
      </c>
      <c r="CD2762" s="63">
        <v>0</v>
      </c>
      <c r="CE2762" s="63">
        <v>0</v>
      </c>
      <c r="CF2762" s="63">
        <v>0</v>
      </c>
      <c r="CG2762" s="8">
        <v>0</v>
      </c>
      <c r="CH2762" s="8">
        <v>0</v>
      </c>
      <c r="CI2762" s="8">
        <v>0</v>
      </c>
    </row>
    <row r="2763" spans="1:87" hidden="1" outlineLevel="1">
      <c r="A2763" t="s">
        <v>310</v>
      </c>
      <c r="B2763" t="s">
        <v>53</v>
      </c>
      <c r="C2763" s="1">
        <f t="shared" si="1096"/>
        <v>18611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5</v>
      </c>
      <c r="G2763" s="132">
        <f t="shared" si="1106"/>
        <v>10978</v>
      </c>
      <c r="H2763" s="137">
        <f t="shared" si="1107"/>
        <v>0.58986620815646662</v>
      </c>
      <c r="I2763" s="2"/>
      <c r="J2763" s="2">
        <f t="shared" si="1097"/>
        <v>0.19252055236150664</v>
      </c>
      <c r="K2763" s="2">
        <f t="shared" si="1098"/>
        <v>0.78238676051797329</v>
      </c>
      <c r="L2763" s="2">
        <f t="shared" si="1099"/>
        <v>2.4179248831336306E-3</v>
      </c>
      <c r="M2763" s="2">
        <f t="shared" si="1100"/>
        <v>2.267476223738641E-2</v>
      </c>
      <c r="N2763" s="63">
        <v>3583</v>
      </c>
      <c r="O2763" s="63">
        <v>14561</v>
      </c>
      <c r="P2763" s="63">
        <v>45</v>
      </c>
      <c r="Q2763" s="63">
        <v>343</v>
      </c>
      <c r="R2763" s="63">
        <v>70</v>
      </c>
      <c r="S2763" s="63">
        <v>8</v>
      </c>
      <c r="T2763" s="63"/>
      <c r="U2763" s="63">
        <v>0</v>
      </c>
      <c r="V2763" s="63"/>
      <c r="W2763" s="63">
        <f>IF(Copyright!B$11=1,IF(CA2763&gt;0,CA2763-SUM(S2763:V2763)-P2763-SUM(X2763:AQ2763),SUM(CB2763:CI2763)),SUM(CB2763:CI2763))</f>
        <v>0</v>
      </c>
      <c r="X2763" s="63"/>
      <c r="Y2763" s="63">
        <v>0</v>
      </c>
      <c r="Z2763" s="63"/>
      <c r="AA2763" s="63">
        <v>0</v>
      </c>
      <c r="AB2763" s="63"/>
      <c r="AC2763" s="63"/>
      <c r="AD2763" s="63"/>
      <c r="AE2763" s="63">
        <v>0</v>
      </c>
      <c r="AF2763" s="63"/>
      <c r="AG2763" s="63"/>
      <c r="AH2763" s="63"/>
      <c r="AI2763" s="63"/>
      <c r="AJ2763" s="63"/>
      <c r="AK2763" s="63"/>
      <c r="AL2763" s="63"/>
      <c r="AM2763" s="63"/>
      <c r="AN2763" s="63">
        <v>1</v>
      </c>
      <c r="AO2763" s="63"/>
      <c r="AP2763" s="63"/>
      <c r="AQ2763" s="63"/>
      <c r="AR2763" s="63"/>
      <c r="AS2763" s="63"/>
      <c r="AT2763" s="63"/>
      <c r="AU2763" s="63"/>
      <c r="AW2763" s="5">
        <f>IF(Q2763&gt;0,RANK(Q2763,(N2763:P2763,Q2763:AE2763)),0)</f>
        <v>3</v>
      </c>
      <c r="AX2763" s="5">
        <f>IF(R2763&gt;0,RANK(R2763,(N2763:P2763,Q2763:AE2763)),0)</f>
        <v>4</v>
      </c>
      <c r="AY2763" s="5">
        <f>IF(T2763&gt;0,RANK(T2763,(N2763:P2763,Q2763:AE2763)),0)</f>
        <v>0</v>
      </c>
      <c r="AZ2763" s="5">
        <f>IF(S2763&gt;0,RANK(S2763,(N2763:P2763,Q2763:AE2763)),0)</f>
        <v>6</v>
      </c>
      <c r="BA2763" s="2">
        <f t="shared" si="1101"/>
        <v>1.842996077588523E-2</v>
      </c>
      <c r="BB2763" s="2">
        <f t="shared" si="1102"/>
        <v>3.7612164848745367E-3</v>
      </c>
      <c r="BC2763" s="2">
        <f t="shared" si="1103"/>
        <v>0</v>
      </c>
      <c r="BD2763" s="2">
        <f t="shared" si="1104"/>
        <v>4.2985331255708992E-4</v>
      </c>
      <c r="BF2763" t="s">
        <v>310</v>
      </c>
      <c r="BG2763" t="s">
        <v>53</v>
      </c>
      <c r="BH2763">
        <v>4</v>
      </c>
      <c r="BJ2763" s="114">
        <v>48</v>
      </c>
      <c r="BK2763" s="116">
        <v>277</v>
      </c>
      <c r="BL2763" s="120">
        <f t="shared" si="1095"/>
        <v>48277</v>
      </c>
      <c r="BN2763" s="5" t="s">
        <v>3154</v>
      </c>
      <c r="BZ2763" s="63">
        <f t="shared" si="1105"/>
        <v>18611</v>
      </c>
      <c r="CD2763" s="63">
        <v>0</v>
      </c>
      <c r="CE2763" s="63">
        <v>0</v>
      </c>
      <c r="CF2763" s="63">
        <v>0</v>
      </c>
      <c r="CG2763" s="8">
        <v>0</v>
      </c>
      <c r="CH2763" s="8">
        <v>0</v>
      </c>
      <c r="CI2763" s="8">
        <v>0</v>
      </c>
    </row>
    <row r="2764" spans="1:87" hidden="1" outlineLevel="1">
      <c r="A2764" t="s">
        <v>1554</v>
      </c>
      <c r="B2764" t="s">
        <v>53</v>
      </c>
      <c r="C2764" s="1">
        <f t="shared" si="1096"/>
        <v>3995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4</v>
      </c>
      <c r="G2764" s="132">
        <f t="shared" si="1106"/>
        <v>2340</v>
      </c>
      <c r="H2764" s="137">
        <f t="shared" si="1107"/>
        <v>0.58573216520650817</v>
      </c>
      <c r="I2764" s="2"/>
      <c r="J2764" s="2">
        <f t="shared" si="1097"/>
        <v>0.19299123904881102</v>
      </c>
      <c r="K2764" s="2">
        <f t="shared" si="1098"/>
        <v>0.77872340425531916</v>
      </c>
      <c r="L2764" s="2">
        <f t="shared" si="1099"/>
        <v>3.5043804755944931E-3</v>
      </c>
      <c r="M2764" s="2">
        <f t="shared" si="1100"/>
        <v>2.4780976220275353E-2</v>
      </c>
      <c r="N2764" s="63">
        <v>771</v>
      </c>
      <c r="O2764" s="63">
        <v>3111</v>
      </c>
      <c r="P2764" s="63">
        <v>14</v>
      </c>
      <c r="Q2764" s="63">
        <v>85</v>
      </c>
      <c r="R2764" s="63">
        <v>8</v>
      </c>
      <c r="S2764" s="63">
        <v>3</v>
      </c>
      <c r="T2764" s="63"/>
      <c r="U2764" s="63">
        <v>0</v>
      </c>
      <c r="V2764" s="63"/>
      <c r="W2764" s="63">
        <f>IF(Copyright!B$11=1,IF(CA2764&gt;0,CA2764-SUM(S2764:V2764)-P2764-SUM(X2764:AQ2764),SUM(CB2764:CI2764)),SUM(CB2764:CI2764))</f>
        <v>0</v>
      </c>
      <c r="X2764" s="63"/>
      <c r="Y2764" s="63">
        <v>0</v>
      </c>
      <c r="Z2764" s="63"/>
      <c r="AA2764" s="63">
        <v>0</v>
      </c>
      <c r="AB2764" s="63"/>
      <c r="AC2764" s="63"/>
      <c r="AD2764" s="63"/>
      <c r="AE2764" s="63">
        <v>0</v>
      </c>
      <c r="AF2764" s="63"/>
      <c r="AG2764" s="63"/>
      <c r="AH2764" s="63"/>
      <c r="AI2764" s="63"/>
      <c r="AJ2764" s="63"/>
      <c r="AK2764" s="63"/>
      <c r="AL2764" s="63"/>
      <c r="AM2764" s="63"/>
      <c r="AN2764" s="63">
        <v>3</v>
      </c>
      <c r="AO2764" s="63"/>
      <c r="AP2764" s="63"/>
      <c r="AQ2764" s="63"/>
      <c r="AR2764" s="63"/>
      <c r="AS2764" s="63"/>
      <c r="AT2764" s="63"/>
      <c r="AU2764" s="63"/>
      <c r="AW2764" s="5">
        <f>IF(Q2764&gt;0,RANK(Q2764,(N2764:P2764,Q2764:AE2764)),0)</f>
        <v>3</v>
      </c>
      <c r="AX2764" s="5">
        <f>IF(R2764&gt;0,RANK(R2764,(N2764:P2764,Q2764:AE2764)),0)</f>
        <v>5</v>
      </c>
      <c r="AY2764" s="5">
        <f>IF(T2764&gt;0,RANK(T2764,(N2764:P2764,Q2764:AE2764)),0)</f>
        <v>0</v>
      </c>
      <c r="AZ2764" s="5">
        <f>IF(S2764&gt;0,RANK(S2764,(N2764:P2764,Q2764:AE2764)),0)</f>
        <v>6</v>
      </c>
      <c r="BA2764" s="2">
        <f t="shared" si="1101"/>
        <v>2.1276595744680851E-2</v>
      </c>
      <c r="BB2764" s="2">
        <f t="shared" si="1102"/>
        <v>2.0025031289111388E-3</v>
      </c>
      <c r="BC2764" s="2">
        <f t="shared" si="1103"/>
        <v>0</v>
      </c>
      <c r="BD2764" s="2">
        <f t="shared" si="1104"/>
        <v>7.5093867334167705E-4</v>
      </c>
      <c r="BF2764" t="s">
        <v>1554</v>
      </c>
      <c r="BG2764" t="s">
        <v>53</v>
      </c>
      <c r="BH2764">
        <v>19</v>
      </c>
      <c r="BJ2764" s="114">
        <v>48</v>
      </c>
      <c r="BK2764" s="116">
        <v>279</v>
      </c>
      <c r="BL2764" s="120">
        <f t="shared" si="1095"/>
        <v>48279</v>
      </c>
      <c r="BN2764" s="5" t="s">
        <v>3154</v>
      </c>
      <c r="BZ2764" s="63">
        <f t="shared" si="1105"/>
        <v>3995</v>
      </c>
      <c r="CD2764" s="63">
        <v>0</v>
      </c>
      <c r="CE2764" s="63">
        <v>0</v>
      </c>
      <c r="CF2764" s="63">
        <v>0</v>
      </c>
      <c r="CG2764" s="8">
        <v>0</v>
      </c>
      <c r="CH2764" s="8">
        <v>0</v>
      </c>
      <c r="CI2764" s="8">
        <v>0</v>
      </c>
    </row>
    <row r="2765" spans="1:87" hidden="1" outlineLevel="1">
      <c r="A2765" t="s">
        <v>1053</v>
      </c>
      <c r="B2765" t="s">
        <v>53</v>
      </c>
      <c r="C2765" s="1">
        <f t="shared" si="1096"/>
        <v>8205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5</v>
      </c>
      <c r="G2765" s="132">
        <f t="shared" si="1106"/>
        <v>4902</v>
      </c>
      <c r="H2765" s="137">
        <f t="shared" si="1107"/>
        <v>0.59744058500914077</v>
      </c>
      <c r="I2765" s="2"/>
      <c r="J2765" s="2">
        <f t="shared" si="1097"/>
        <v>0.18074344911639245</v>
      </c>
      <c r="K2765" s="2">
        <f t="shared" si="1098"/>
        <v>0.77818403412553316</v>
      </c>
      <c r="L2765" s="2">
        <f t="shared" si="1099"/>
        <v>3.9000609384521631E-3</v>
      </c>
      <c r="M2765" s="2">
        <f t="shared" si="1100"/>
        <v>3.717245581962228E-2</v>
      </c>
      <c r="N2765" s="63">
        <v>1483</v>
      </c>
      <c r="O2765" s="63">
        <v>6385</v>
      </c>
      <c r="P2765" s="63">
        <v>32</v>
      </c>
      <c r="Q2765" s="63">
        <v>253</v>
      </c>
      <c r="R2765" s="63">
        <v>47</v>
      </c>
      <c r="S2765" s="63">
        <v>2</v>
      </c>
      <c r="T2765" s="63"/>
      <c r="U2765" s="63">
        <v>0</v>
      </c>
      <c r="V2765" s="63"/>
      <c r="W2765" s="63">
        <f>IF(Copyright!B$11=1,IF(CA2765&gt;0,CA2765-SUM(S2765:V2765)-P2765-SUM(X2765:AQ2765),SUM(CB2765:CI2765)),SUM(CB2765:CI2765))</f>
        <v>0</v>
      </c>
      <c r="X2765" s="63"/>
      <c r="Y2765" s="63">
        <v>3</v>
      </c>
      <c r="Z2765" s="63"/>
      <c r="AA2765" s="63">
        <v>0</v>
      </c>
      <c r="AB2765" s="63"/>
      <c r="AC2765" s="63"/>
      <c r="AD2765" s="63"/>
      <c r="AE2765" s="63">
        <v>0</v>
      </c>
      <c r="AF2765" s="63"/>
      <c r="AG2765" s="63"/>
      <c r="AH2765" s="63"/>
      <c r="AI2765" s="63"/>
      <c r="AJ2765" s="63"/>
      <c r="AK2765" s="63"/>
      <c r="AL2765" s="63"/>
      <c r="AM2765" s="63"/>
      <c r="AN2765" s="63">
        <v>0</v>
      </c>
      <c r="AO2765" s="63"/>
      <c r="AP2765" s="63"/>
      <c r="AQ2765" s="63"/>
      <c r="AR2765" s="63"/>
      <c r="AS2765" s="63"/>
      <c r="AT2765" s="63"/>
      <c r="AU2765" s="63"/>
      <c r="AW2765" s="5">
        <f>IF(Q2765&gt;0,RANK(Q2765,(N2765:P2765,Q2765:AE2765)),0)</f>
        <v>3</v>
      </c>
      <c r="AX2765" s="5">
        <f>IF(R2765&gt;0,RANK(R2765,(N2765:P2765,Q2765:AE2765)),0)</f>
        <v>4</v>
      </c>
      <c r="AY2765" s="5">
        <f>IF(T2765&gt;0,RANK(T2765,(N2765:P2765,Q2765:AE2765)),0)</f>
        <v>0</v>
      </c>
      <c r="AZ2765" s="5">
        <f>IF(S2765&gt;0,RANK(S2765,(N2765:P2765,Q2765:AE2765)),0)</f>
        <v>7</v>
      </c>
      <c r="BA2765" s="2">
        <f t="shared" si="1101"/>
        <v>3.0834856794637416E-2</v>
      </c>
      <c r="BB2765" s="2">
        <f t="shared" si="1102"/>
        <v>5.7282145033516153E-3</v>
      </c>
      <c r="BC2765" s="2">
        <f t="shared" si="1103"/>
        <v>0</v>
      </c>
      <c r="BD2765" s="2">
        <f t="shared" si="1104"/>
        <v>2.4375380865326019E-4</v>
      </c>
      <c r="BF2765" t="s">
        <v>1053</v>
      </c>
      <c r="BG2765" t="s">
        <v>53</v>
      </c>
      <c r="BH2765">
        <v>25</v>
      </c>
      <c r="BJ2765" s="114">
        <v>48</v>
      </c>
      <c r="BK2765" s="116">
        <v>281</v>
      </c>
      <c r="BL2765" s="120">
        <f t="shared" si="1095"/>
        <v>48281</v>
      </c>
      <c r="BN2765" s="5" t="s">
        <v>3154</v>
      </c>
      <c r="BZ2765" s="63">
        <f t="shared" si="1105"/>
        <v>8205</v>
      </c>
      <c r="CD2765" s="63">
        <v>0</v>
      </c>
      <c r="CE2765" s="63">
        <v>0</v>
      </c>
      <c r="CF2765" s="63">
        <v>0</v>
      </c>
      <c r="CG2765" s="8">
        <v>0</v>
      </c>
      <c r="CH2765" s="8">
        <v>0</v>
      </c>
      <c r="CI2765" s="8">
        <v>0</v>
      </c>
    </row>
    <row r="2766" spans="1:87" hidden="1" outlineLevel="1">
      <c r="A2766" t="s">
        <v>387</v>
      </c>
      <c r="B2766" t="s">
        <v>53</v>
      </c>
      <c r="C2766" s="1">
        <f t="shared" si="1096"/>
        <v>2059</v>
      </c>
      <c r="D2766" s="5">
        <f>IF(N2766&gt;0, RANK(N2766,(N2766:P2766,Q2766:AE2766)),0)</f>
        <v>1</v>
      </c>
      <c r="E2766" s="5">
        <f>IF(O2766&gt;0,RANK(O2766,(N2766:P2766,Q2766:AE2766)),0)</f>
        <v>2</v>
      </c>
      <c r="F2766" s="5">
        <f>IF(P2766&gt;0,RANK(P2766,(N2766:P2766,Q2766:AE2766)),0)</f>
        <v>5</v>
      </c>
      <c r="G2766" s="132">
        <f t="shared" si="1106"/>
        <v>257</v>
      </c>
      <c r="H2766" s="137">
        <f t="shared" si="1107"/>
        <v>0.12481787275376396</v>
      </c>
      <c r="I2766" s="2"/>
      <c r="J2766" s="2">
        <f t="shared" si="1097"/>
        <v>0.54832442933462844</v>
      </c>
      <c r="K2766" s="2">
        <f t="shared" si="1098"/>
        <v>0.4235065565808645</v>
      </c>
      <c r="L2766" s="2">
        <f t="shared" si="1099"/>
        <v>1.942690626517727E-3</v>
      </c>
      <c r="M2766" s="2">
        <f t="shared" si="1100"/>
        <v>2.6226323457989333E-2</v>
      </c>
      <c r="N2766" s="63">
        <v>1129</v>
      </c>
      <c r="O2766" s="63">
        <v>872</v>
      </c>
      <c r="P2766" s="63">
        <v>4</v>
      </c>
      <c r="Q2766" s="63">
        <v>44</v>
      </c>
      <c r="R2766" s="63">
        <v>10</v>
      </c>
      <c r="S2766" s="63">
        <v>0</v>
      </c>
      <c r="T2766" s="63"/>
      <c r="U2766" s="63">
        <v>0</v>
      </c>
      <c r="V2766" s="63"/>
      <c r="W2766" s="63">
        <f>IF(Copyright!B$11=1,IF(CA2766&gt;0,CA2766-SUM(S2766:V2766)-P2766-SUM(X2766:AQ2766),SUM(CB2766:CI2766)),SUM(CB2766:CI2766))</f>
        <v>0</v>
      </c>
      <c r="X2766" s="63"/>
      <c r="Y2766" s="63">
        <v>0</v>
      </c>
      <c r="Z2766" s="63"/>
      <c r="AA2766" s="63">
        <v>0</v>
      </c>
      <c r="AB2766" s="63"/>
      <c r="AC2766" s="63"/>
      <c r="AD2766" s="63"/>
      <c r="AE2766" s="63">
        <v>0</v>
      </c>
      <c r="AF2766" s="63"/>
      <c r="AG2766" s="63"/>
      <c r="AH2766" s="63"/>
      <c r="AI2766" s="63"/>
      <c r="AJ2766" s="63"/>
      <c r="AK2766" s="63"/>
      <c r="AL2766" s="63"/>
      <c r="AM2766" s="63"/>
      <c r="AN2766" s="63">
        <v>0</v>
      </c>
      <c r="AO2766" s="63"/>
      <c r="AP2766" s="63"/>
      <c r="AQ2766" s="63"/>
      <c r="AR2766" s="63"/>
      <c r="AS2766" s="63"/>
      <c r="AT2766" s="63"/>
      <c r="AU2766" s="63"/>
      <c r="AW2766" s="5">
        <f>IF(Q2766&gt;0,RANK(Q2766,(N2766:P2766,Q2766:AE2766)),0)</f>
        <v>3</v>
      </c>
      <c r="AX2766" s="5">
        <f>IF(R2766&gt;0,RANK(R2766,(N2766:P2766,Q2766:AE2766)),0)</f>
        <v>4</v>
      </c>
      <c r="AY2766" s="5">
        <f>IF(T2766&gt;0,RANK(T2766,(N2766:P2766,Q2766:AE2766)),0)</f>
        <v>0</v>
      </c>
      <c r="AZ2766" s="5">
        <f>IF(S2766&gt;0,RANK(S2766,(N2766:P2766,Q2766:AE2766)),0)</f>
        <v>0</v>
      </c>
      <c r="BA2766" s="2">
        <f t="shared" si="1101"/>
        <v>2.1369596891694997E-2</v>
      </c>
      <c r="BB2766" s="2">
        <f t="shared" si="1102"/>
        <v>4.8567265662943174E-3</v>
      </c>
      <c r="BC2766" s="2">
        <f t="shared" si="1103"/>
        <v>0</v>
      </c>
      <c r="BD2766" s="2">
        <f t="shared" si="1104"/>
        <v>0</v>
      </c>
      <c r="BF2766" t="s">
        <v>387</v>
      </c>
      <c r="BG2766" t="s">
        <v>53</v>
      </c>
      <c r="BJ2766" s="114">
        <v>48</v>
      </c>
      <c r="BK2766" s="116">
        <v>283</v>
      </c>
      <c r="BL2766" s="120">
        <f t="shared" si="1095"/>
        <v>48283</v>
      </c>
      <c r="BN2766" s="5" t="s">
        <v>3154</v>
      </c>
      <c r="BZ2766" s="63">
        <f t="shared" si="1105"/>
        <v>2059</v>
      </c>
      <c r="CD2766" s="63">
        <v>0</v>
      </c>
      <c r="CE2766" s="63">
        <v>0</v>
      </c>
      <c r="CF2766" s="63">
        <v>0</v>
      </c>
      <c r="CG2766" s="8">
        <v>0</v>
      </c>
      <c r="CH2766" s="8">
        <v>0</v>
      </c>
      <c r="CI2766" s="8">
        <v>0</v>
      </c>
    </row>
    <row r="2767" spans="1:87" hidden="1" outlineLevel="1">
      <c r="A2767" t="s">
        <v>2257</v>
      </c>
      <c r="B2767" t="s">
        <v>53</v>
      </c>
      <c r="C2767" s="1">
        <f t="shared" si="1096"/>
        <v>8665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5</v>
      </c>
      <c r="G2767" s="132">
        <f t="shared" si="1106"/>
        <v>6177</v>
      </c>
      <c r="H2767" s="137">
        <f t="shared" si="1107"/>
        <v>0.712867859203693</v>
      </c>
      <c r="I2767" s="2"/>
      <c r="J2767" s="2">
        <f t="shared" si="1097"/>
        <v>0.13502596653202539</v>
      </c>
      <c r="K2767" s="2">
        <f t="shared" si="1098"/>
        <v>0.84789382573571836</v>
      </c>
      <c r="L2767" s="2">
        <f t="shared" si="1099"/>
        <v>1.0386612810155799E-3</v>
      </c>
      <c r="M2767" s="2">
        <f t="shared" si="1100"/>
        <v>1.6041546451240691E-2</v>
      </c>
      <c r="N2767" s="63">
        <v>1170</v>
      </c>
      <c r="O2767" s="63">
        <v>7347</v>
      </c>
      <c r="P2767" s="63">
        <v>9</v>
      </c>
      <c r="Q2767" s="63">
        <v>112</v>
      </c>
      <c r="R2767" s="63">
        <v>12</v>
      </c>
      <c r="S2767" s="63">
        <v>5</v>
      </c>
      <c r="T2767" s="63"/>
      <c r="U2767" s="63">
        <v>0</v>
      </c>
      <c r="V2767" s="63"/>
      <c r="W2767" s="63">
        <f>IF(Copyright!B$11=1,IF(CA2767&gt;0,CA2767-SUM(S2767:V2767)-P2767-SUM(X2767:AQ2767),SUM(CB2767:CI2767)),SUM(CB2767:CI2767))</f>
        <v>5</v>
      </c>
      <c r="X2767" s="63"/>
      <c r="Y2767" s="63">
        <v>4</v>
      </c>
      <c r="Z2767" s="63"/>
      <c r="AA2767" s="63">
        <v>0</v>
      </c>
      <c r="AB2767" s="63"/>
      <c r="AC2767" s="63"/>
      <c r="AD2767" s="63"/>
      <c r="AE2767" s="63">
        <v>0</v>
      </c>
      <c r="AF2767" s="63"/>
      <c r="AG2767" s="63"/>
      <c r="AH2767" s="63"/>
      <c r="AI2767" s="63"/>
      <c r="AJ2767" s="63"/>
      <c r="AK2767" s="63"/>
      <c r="AL2767" s="63"/>
      <c r="AM2767" s="63"/>
      <c r="AN2767" s="63">
        <v>1</v>
      </c>
      <c r="AO2767" s="63"/>
      <c r="AP2767" s="63"/>
      <c r="AQ2767" s="63"/>
      <c r="AR2767" s="63"/>
      <c r="AS2767" s="63"/>
      <c r="AT2767" s="63"/>
      <c r="AU2767" s="63"/>
      <c r="AW2767" s="5">
        <f>IF(Q2767&gt;0,RANK(Q2767,(N2767:P2767,Q2767:AE2767)),0)</f>
        <v>3</v>
      </c>
      <c r="AX2767" s="5">
        <f>IF(R2767&gt;0,RANK(R2767,(N2767:P2767,Q2767:AE2767)),0)</f>
        <v>4</v>
      </c>
      <c r="AY2767" s="5">
        <f>IF(T2767&gt;0,RANK(T2767,(N2767:P2767,Q2767:AE2767)),0)</f>
        <v>0</v>
      </c>
      <c r="AZ2767" s="5">
        <f>IF(S2767&gt;0,RANK(S2767,(N2767:P2767,Q2767:AE2767)),0)</f>
        <v>6</v>
      </c>
      <c r="BA2767" s="2">
        <f t="shared" si="1101"/>
        <v>1.2925562608193884E-2</v>
      </c>
      <c r="BB2767" s="2">
        <f t="shared" si="1102"/>
        <v>1.3848817080207732E-3</v>
      </c>
      <c r="BC2767" s="2">
        <f t="shared" si="1103"/>
        <v>0</v>
      </c>
      <c r="BD2767" s="2">
        <f t="shared" si="1104"/>
        <v>5.7703404500865547E-4</v>
      </c>
      <c r="BF2767" t="s">
        <v>2257</v>
      </c>
      <c r="BG2767" t="s">
        <v>53</v>
      </c>
      <c r="BH2767">
        <v>27</v>
      </c>
      <c r="BJ2767" s="114">
        <v>48</v>
      </c>
      <c r="BK2767" s="116">
        <v>285</v>
      </c>
      <c r="BL2767" s="120">
        <f t="shared" si="1095"/>
        <v>48285</v>
      </c>
      <c r="BN2767" s="5" t="s">
        <v>3154</v>
      </c>
      <c r="BZ2767" s="63">
        <f t="shared" si="1105"/>
        <v>8665</v>
      </c>
      <c r="CA2767" s="132">
        <v>24</v>
      </c>
      <c r="CD2767" s="63">
        <v>0</v>
      </c>
      <c r="CE2767" s="63">
        <v>0</v>
      </c>
      <c r="CF2767" s="63">
        <v>0</v>
      </c>
      <c r="CG2767" s="8">
        <v>0</v>
      </c>
      <c r="CH2767" s="8">
        <v>0</v>
      </c>
      <c r="CI2767" s="8">
        <v>1</v>
      </c>
    </row>
    <row r="2768" spans="1:87" hidden="1" outlineLevel="1">
      <c r="A2768" t="s">
        <v>97</v>
      </c>
      <c r="B2768" t="s">
        <v>53</v>
      </c>
      <c r="C2768" s="1">
        <f t="shared" si="1096"/>
        <v>6558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6</v>
      </c>
      <c r="G2768" s="132">
        <f t="shared" si="1106"/>
        <v>3625</v>
      </c>
      <c r="H2768" s="137">
        <f t="shared" si="1107"/>
        <v>0.55275998780115887</v>
      </c>
      <c r="I2768" s="2"/>
      <c r="J2768" s="2">
        <f t="shared" si="1097"/>
        <v>0.20921012503812139</v>
      </c>
      <c r="K2768" s="2">
        <f t="shared" si="1098"/>
        <v>0.76197011283928029</v>
      </c>
      <c r="L2768" s="2">
        <f t="shared" si="1099"/>
        <v>1.2198841110094541E-3</v>
      </c>
      <c r="M2768" s="2">
        <f t="shared" si="1100"/>
        <v>2.7599878011588839E-2</v>
      </c>
      <c r="N2768" s="63">
        <v>1372</v>
      </c>
      <c r="O2768" s="63">
        <v>4997</v>
      </c>
      <c r="P2768" s="63">
        <v>8</v>
      </c>
      <c r="Q2768" s="63">
        <v>126</v>
      </c>
      <c r="R2768" s="63">
        <v>28</v>
      </c>
      <c r="S2768" s="63">
        <v>4</v>
      </c>
      <c r="T2768" s="63"/>
      <c r="U2768" s="63">
        <v>0</v>
      </c>
      <c r="V2768" s="63"/>
      <c r="W2768" s="63">
        <f>IF(Copyright!B$11=1,IF(CA2768&gt;0,CA2768-SUM(S2768:V2768)-P2768-SUM(X2768:AQ2768),SUM(CB2768:CI2768)),SUM(CB2768:CI2768))</f>
        <v>23</v>
      </c>
      <c r="X2768" s="63"/>
      <c r="Y2768" s="63">
        <v>0</v>
      </c>
      <c r="Z2768" s="63"/>
      <c r="AA2768" s="63">
        <v>0</v>
      </c>
      <c r="AB2768" s="63"/>
      <c r="AC2768" s="63"/>
      <c r="AD2768" s="63"/>
      <c r="AE2768" s="63">
        <v>0</v>
      </c>
      <c r="AF2768" s="63"/>
      <c r="AG2768" s="63"/>
      <c r="AH2768" s="63"/>
      <c r="AI2768" s="63"/>
      <c r="AJ2768" s="63"/>
      <c r="AK2768" s="63"/>
      <c r="AL2768" s="63"/>
      <c r="AM2768" s="63"/>
      <c r="AN2768" s="63">
        <v>0</v>
      </c>
      <c r="AO2768" s="63"/>
      <c r="AP2768" s="63"/>
      <c r="AQ2768" s="63"/>
      <c r="AR2768" s="63"/>
      <c r="AS2768" s="63"/>
      <c r="AT2768" s="63"/>
      <c r="AU2768" s="63"/>
      <c r="AW2768" s="5">
        <f>IF(Q2768&gt;0,RANK(Q2768,(N2768:P2768,Q2768:AE2768)),0)</f>
        <v>3</v>
      </c>
      <c r="AX2768" s="5">
        <f>IF(R2768&gt;0,RANK(R2768,(N2768:P2768,Q2768:AE2768)),0)</f>
        <v>4</v>
      </c>
      <c r="AY2768" s="5">
        <f>IF(T2768&gt;0,RANK(T2768,(N2768:P2768,Q2768:AE2768)),0)</f>
        <v>0</v>
      </c>
      <c r="AZ2768" s="5">
        <f>IF(S2768&gt;0,RANK(S2768,(N2768:P2768,Q2768:AE2768)),0)</f>
        <v>7</v>
      </c>
      <c r="BA2768" s="2">
        <f t="shared" si="1101"/>
        <v>1.9213174748398901E-2</v>
      </c>
      <c r="BB2768" s="2">
        <f t="shared" si="1102"/>
        <v>4.2695943885330892E-3</v>
      </c>
      <c r="BC2768" s="2">
        <f t="shared" si="1103"/>
        <v>0</v>
      </c>
      <c r="BD2768" s="2">
        <f t="shared" si="1104"/>
        <v>6.0994205550472704E-4</v>
      </c>
      <c r="BF2768" t="s">
        <v>97</v>
      </c>
      <c r="BG2768" t="s">
        <v>53</v>
      </c>
      <c r="BJ2768" s="114">
        <v>48</v>
      </c>
      <c r="BK2768" s="116">
        <v>287</v>
      </c>
      <c r="BL2768" s="120">
        <f t="shared" si="1095"/>
        <v>48287</v>
      </c>
      <c r="BN2768" s="5" t="s">
        <v>3154</v>
      </c>
      <c r="BY2768" s="63">
        <v>6558</v>
      </c>
      <c r="BZ2768" s="63">
        <f t="shared" si="1105"/>
        <v>6558</v>
      </c>
      <c r="CA2768" s="63">
        <f>23+4+8</f>
        <v>35</v>
      </c>
      <c r="CD2768" s="63">
        <v>0</v>
      </c>
      <c r="CE2768" s="63">
        <v>0</v>
      </c>
      <c r="CF2768" s="63">
        <v>0</v>
      </c>
      <c r="CG2768" s="8">
        <v>0</v>
      </c>
      <c r="CH2768" s="8">
        <v>0</v>
      </c>
      <c r="CI2768" s="8">
        <v>0</v>
      </c>
    </row>
    <row r="2769" spans="1:87" hidden="1" outlineLevel="1">
      <c r="A2769" t="s">
        <v>1048</v>
      </c>
      <c r="B2769" t="s">
        <v>53</v>
      </c>
      <c r="C2769" s="1">
        <f t="shared" si="1096"/>
        <v>7439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4</v>
      </c>
      <c r="G2769" s="132">
        <f t="shared" si="1106"/>
        <v>5482</v>
      </c>
      <c r="H2769" s="137">
        <f t="shared" si="1107"/>
        <v>0.73692700631805352</v>
      </c>
      <c r="I2769" s="2"/>
      <c r="J2769" s="2">
        <f t="shared" si="1097"/>
        <v>0.12219384325850249</v>
      </c>
      <c r="K2769" s="2">
        <f t="shared" si="1098"/>
        <v>0.85912084957655599</v>
      </c>
      <c r="L2769" s="2">
        <f t="shared" si="1099"/>
        <v>2.957386745530313E-3</v>
      </c>
      <c r="M2769" s="2">
        <f t="shared" si="1100"/>
        <v>1.5727920419411231E-2</v>
      </c>
      <c r="N2769" s="63">
        <v>909</v>
      </c>
      <c r="O2769" s="63">
        <v>6391</v>
      </c>
      <c r="P2769" s="63">
        <v>22</v>
      </c>
      <c r="Q2769" s="63">
        <v>94</v>
      </c>
      <c r="R2769" s="63">
        <v>13</v>
      </c>
      <c r="S2769" s="63">
        <v>5</v>
      </c>
      <c r="T2769" s="63"/>
      <c r="U2769" s="63">
        <v>0</v>
      </c>
      <c r="V2769" s="63"/>
      <c r="W2769" s="63">
        <f>IF(Copyright!B$11=1,IF(CA2769&gt;0,CA2769-SUM(S2769:V2769)-P2769-SUM(X2769:AQ2769),SUM(CB2769:CI2769)),SUM(CB2769:CI2769))</f>
        <v>1</v>
      </c>
      <c r="X2769" s="63"/>
      <c r="Y2769" s="63">
        <v>2</v>
      </c>
      <c r="Z2769" s="63"/>
      <c r="AA2769" s="63">
        <v>0</v>
      </c>
      <c r="AB2769" s="63"/>
      <c r="AC2769" s="63"/>
      <c r="AD2769" s="63"/>
      <c r="AE2769" s="63">
        <v>0</v>
      </c>
      <c r="AF2769" s="63"/>
      <c r="AG2769" s="63"/>
      <c r="AH2769" s="63"/>
      <c r="AI2769" s="63"/>
      <c r="AJ2769" s="63"/>
      <c r="AK2769" s="63"/>
      <c r="AL2769" s="63"/>
      <c r="AM2769" s="63"/>
      <c r="AN2769" s="63">
        <v>2</v>
      </c>
      <c r="AO2769" s="63"/>
      <c r="AP2769" s="63"/>
      <c r="AQ2769" s="63"/>
      <c r="AR2769" s="63"/>
      <c r="AS2769" s="63"/>
      <c r="AT2769" s="63"/>
      <c r="AU2769" s="63"/>
      <c r="AW2769" s="5">
        <f>IF(Q2769&gt;0,RANK(Q2769,(N2769:P2769,Q2769:AE2769)),0)</f>
        <v>3</v>
      </c>
      <c r="AX2769" s="5">
        <f>IF(R2769&gt;0,RANK(R2769,(N2769:P2769,Q2769:AE2769)),0)</f>
        <v>5</v>
      </c>
      <c r="AY2769" s="5">
        <f>IF(T2769&gt;0,RANK(T2769,(N2769:P2769,Q2769:AE2769)),0)</f>
        <v>0</v>
      </c>
      <c r="AZ2769" s="5">
        <f>IF(S2769&gt;0,RANK(S2769,(N2769:P2769,Q2769:AE2769)),0)</f>
        <v>6</v>
      </c>
      <c r="BA2769" s="2">
        <f t="shared" si="1101"/>
        <v>1.2636107003629521E-2</v>
      </c>
      <c r="BB2769" s="2">
        <f t="shared" si="1102"/>
        <v>1.7475467132679124E-3</v>
      </c>
      <c r="BC2769" s="2">
        <f t="shared" si="1103"/>
        <v>0</v>
      </c>
      <c r="BD2769" s="2">
        <f t="shared" si="1104"/>
        <v>6.7213335125688935E-4</v>
      </c>
      <c r="BF2769" t="s">
        <v>1048</v>
      </c>
      <c r="BG2769" t="s">
        <v>53</v>
      </c>
      <c r="BJ2769" s="114">
        <v>48</v>
      </c>
      <c r="BK2769" s="116">
        <v>289</v>
      </c>
      <c r="BL2769" s="120">
        <f t="shared" si="1095"/>
        <v>48289</v>
      </c>
      <c r="BN2769" s="5" t="s">
        <v>3154</v>
      </c>
      <c r="BZ2769" s="63">
        <f t="shared" si="1105"/>
        <v>7439</v>
      </c>
      <c r="CD2769" s="63">
        <v>0</v>
      </c>
      <c r="CE2769" s="63">
        <v>1</v>
      </c>
      <c r="CF2769" s="63">
        <v>0</v>
      </c>
      <c r="CG2769" s="8">
        <v>0</v>
      </c>
      <c r="CH2769" s="8">
        <v>0</v>
      </c>
      <c r="CI2769" s="8">
        <v>0</v>
      </c>
    </row>
    <row r="2770" spans="1:87" hidden="1" outlineLevel="1">
      <c r="A2770" t="s">
        <v>319</v>
      </c>
      <c r="B2770" t="s">
        <v>53</v>
      </c>
      <c r="C2770" s="1">
        <f t="shared" si="1096"/>
        <v>24267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5</v>
      </c>
      <c r="G2770" s="132">
        <f t="shared" si="1106"/>
        <v>14030</v>
      </c>
      <c r="H2770" s="137">
        <f t="shared" si="1107"/>
        <v>0.57815139901924428</v>
      </c>
      <c r="I2770" s="2"/>
      <c r="J2770" s="2">
        <f t="shared" si="1097"/>
        <v>0.200354390736391</v>
      </c>
      <c r="K2770" s="2">
        <f t="shared" si="1098"/>
        <v>0.77850578975563522</v>
      </c>
      <c r="L2770" s="2">
        <f t="shared" si="1099"/>
        <v>1.6895372316314337E-3</v>
      </c>
      <c r="M2770" s="2">
        <f t="shared" si="1100"/>
        <v>1.94502822763424E-2</v>
      </c>
      <c r="N2770" s="63">
        <v>4862</v>
      </c>
      <c r="O2770" s="63">
        <v>18892</v>
      </c>
      <c r="P2770" s="63">
        <v>41</v>
      </c>
      <c r="Q2770" s="63">
        <v>364</v>
      </c>
      <c r="R2770" s="63">
        <v>85</v>
      </c>
      <c r="S2770" s="63">
        <v>14</v>
      </c>
      <c r="T2770" s="63"/>
      <c r="U2770" s="63">
        <v>0</v>
      </c>
      <c r="V2770" s="63"/>
      <c r="W2770" s="63">
        <f>IF(Copyright!B$11=1,IF(CA2770&gt;0,CA2770-SUM(S2770:V2770)-P2770-SUM(X2770:AQ2770),SUM(CB2770:CI2770)),SUM(CB2770:CI2770))</f>
        <v>1</v>
      </c>
      <c r="X2770" s="63"/>
      <c r="Y2770" s="63">
        <v>8</v>
      </c>
      <c r="Z2770" s="63"/>
      <c r="AA2770" s="63">
        <v>0</v>
      </c>
      <c r="AB2770" s="63"/>
      <c r="AC2770" s="63"/>
      <c r="AD2770" s="63"/>
      <c r="AE2770" s="63">
        <v>0</v>
      </c>
      <c r="AF2770" s="63"/>
      <c r="AG2770" s="63"/>
      <c r="AH2770" s="63"/>
      <c r="AI2770" s="63"/>
      <c r="AJ2770" s="63"/>
      <c r="AK2770" s="63"/>
      <c r="AL2770" s="63"/>
      <c r="AM2770" s="63"/>
      <c r="AN2770" s="63">
        <v>0</v>
      </c>
      <c r="AO2770" s="63"/>
      <c r="AP2770" s="63"/>
      <c r="AQ2770" s="63"/>
      <c r="AR2770" s="63"/>
      <c r="AS2770" s="63"/>
      <c r="AT2770" s="63"/>
      <c r="AU2770" s="63"/>
      <c r="AW2770" s="5">
        <f>IF(Q2770&gt;0,RANK(Q2770,(N2770:P2770,Q2770:AE2770)),0)</f>
        <v>3</v>
      </c>
      <c r="AX2770" s="5">
        <f>IF(R2770&gt;0,RANK(R2770,(N2770:P2770,Q2770:AE2770)),0)</f>
        <v>4</v>
      </c>
      <c r="AY2770" s="5">
        <f>IF(T2770&gt;0,RANK(T2770,(N2770:P2770,Q2770:AE2770)),0)</f>
        <v>0</v>
      </c>
      <c r="AZ2770" s="5">
        <f>IF(S2770&gt;0,RANK(S2770,(N2770:P2770,Q2770:AE2770)),0)</f>
        <v>6</v>
      </c>
      <c r="BA2770" s="2">
        <f t="shared" si="1101"/>
        <v>1.4999793958874191E-2</v>
      </c>
      <c r="BB2770" s="2">
        <f t="shared" si="1102"/>
        <v>3.5026991387480939E-3</v>
      </c>
      <c r="BC2770" s="2">
        <f t="shared" si="1103"/>
        <v>0</v>
      </c>
      <c r="BD2770" s="2">
        <f t="shared" si="1104"/>
        <v>5.7691515226439196E-4</v>
      </c>
      <c r="BF2770" t="s">
        <v>319</v>
      </c>
      <c r="BG2770" t="s">
        <v>53</v>
      </c>
      <c r="BH2770">
        <v>36</v>
      </c>
      <c r="BJ2770" s="114">
        <v>48</v>
      </c>
      <c r="BK2770" s="116">
        <v>291</v>
      </c>
      <c r="BL2770" s="120">
        <f t="shared" si="1095"/>
        <v>48291</v>
      </c>
      <c r="BN2770" s="5" t="s">
        <v>3154</v>
      </c>
      <c r="BZ2770" s="63">
        <f t="shared" si="1105"/>
        <v>24267</v>
      </c>
      <c r="CD2770" s="63">
        <v>0</v>
      </c>
      <c r="CE2770" s="63">
        <v>0</v>
      </c>
      <c r="CF2770" s="63">
        <v>1</v>
      </c>
      <c r="CG2770" s="8">
        <v>0</v>
      </c>
      <c r="CH2770" s="8">
        <v>0</v>
      </c>
      <c r="CI2770" s="8">
        <v>0</v>
      </c>
    </row>
    <row r="2771" spans="1:87" hidden="1" outlineLevel="1">
      <c r="A2771" t="s">
        <v>1335</v>
      </c>
      <c r="B2771" t="s">
        <v>53</v>
      </c>
      <c r="C2771" s="1">
        <f t="shared" si="1096"/>
        <v>7739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5</v>
      </c>
      <c r="G2771" s="132">
        <f t="shared" si="1106"/>
        <v>4018</v>
      </c>
      <c r="H2771" s="137">
        <f t="shared" si="1107"/>
        <v>0.51918852564930873</v>
      </c>
      <c r="I2771" s="2"/>
      <c r="J2771" s="2">
        <f t="shared" si="1097"/>
        <v>0.22974544514795192</v>
      </c>
      <c r="K2771" s="2">
        <f t="shared" si="1098"/>
        <v>0.74893397079726065</v>
      </c>
      <c r="L2771" s="2">
        <f t="shared" si="1099"/>
        <v>1.0337252875048455E-3</v>
      </c>
      <c r="M2771" s="2">
        <f t="shared" si="1100"/>
        <v>2.0286858767282583E-2</v>
      </c>
      <c r="N2771" s="63">
        <v>1778</v>
      </c>
      <c r="O2771" s="63">
        <v>5796</v>
      </c>
      <c r="P2771" s="63">
        <v>8</v>
      </c>
      <c r="Q2771" s="63">
        <v>128</v>
      </c>
      <c r="R2771" s="63">
        <v>27</v>
      </c>
      <c r="S2771" s="63">
        <v>1</v>
      </c>
      <c r="T2771" s="63"/>
      <c r="U2771" s="63">
        <v>0</v>
      </c>
      <c r="V2771" s="63"/>
      <c r="W2771" s="63">
        <f>IF(Copyright!B$11=1,IF(CA2771&gt;0,CA2771-SUM(S2771:V2771)-P2771-SUM(X2771:AQ2771),SUM(CB2771:CI2771)),SUM(CB2771:CI2771))</f>
        <v>0</v>
      </c>
      <c r="X2771" s="63"/>
      <c r="Y2771" s="63">
        <v>0</v>
      </c>
      <c r="Z2771" s="63"/>
      <c r="AA2771" s="63">
        <v>0</v>
      </c>
      <c r="AB2771" s="63"/>
      <c r="AC2771" s="63"/>
      <c r="AD2771" s="63"/>
      <c r="AE2771" s="63">
        <v>0</v>
      </c>
      <c r="AF2771" s="63"/>
      <c r="AG2771" s="63"/>
      <c r="AH2771" s="63"/>
      <c r="AI2771" s="63"/>
      <c r="AJ2771" s="63"/>
      <c r="AK2771" s="63"/>
      <c r="AL2771" s="63"/>
      <c r="AM2771" s="63"/>
      <c r="AN2771" s="63">
        <v>1</v>
      </c>
      <c r="AO2771" s="63"/>
      <c r="AP2771" s="63"/>
      <c r="AQ2771" s="63"/>
      <c r="AR2771" s="63"/>
      <c r="AS2771" s="63"/>
      <c r="AT2771" s="63"/>
      <c r="AU2771" s="63"/>
      <c r="AW2771" s="5">
        <f>IF(Q2771&gt;0,RANK(Q2771,(N2771:P2771,Q2771:AE2771)),0)</f>
        <v>3</v>
      </c>
      <c r="AX2771" s="5">
        <f>IF(R2771&gt;0,RANK(R2771,(N2771:P2771,Q2771:AE2771)),0)</f>
        <v>4</v>
      </c>
      <c r="AY2771" s="5">
        <f>IF(T2771&gt;0,RANK(T2771,(N2771:P2771,Q2771:AE2771)),0)</f>
        <v>0</v>
      </c>
      <c r="AZ2771" s="5">
        <f>IF(S2771&gt;0,RANK(S2771,(N2771:P2771,Q2771:AE2771)),0)</f>
        <v>6</v>
      </c>
      <c r="BA2771" s="2">
        <f t="shared" si="1101"/>
        <v>1.6539604600077529E-2</v>
      </c>
      <c r="BB2771" s="2">
        <f t="shared" si="1102"/>
        <v>3.4888228453288537E-3</v>
      </c>
      <c r="BC2771" s="2">
        <f t="shared" si="1103"/>
        <v>0</v>
      </c>
      <c r="BD2771" s="2">
        <f t="shared" si="1104"/>
        <v>1.2921566093810569E-4</v>
      </c>
      <c r="BF2771" t="s">
        <v>1335</v>
      </c>
      <c r="BG2771" t="s">
        <v>53</v>
      </c>
      <c r="BH2771">
        <v>17</v>
      </c>
      <c r="BJ2771" s="114">
        <v>48</v>
      </c>
      <c r="BK2771" s="116">
        <v>293</v>
      </c>
      <c r="BL2771" s="120">
        <f t="shared" si="1095"/>
        <v>48293</v>
      </c>
      <c r="BN2771" s="5" t="s">
        <v>3154</v>
      </c>
      <c r="BZ2771" s="63">
        <f t="shared" si="1105"/>
        <v>7739</v>
      </c>
      <c r="CD2771" s="63">
        <v>0</v>
      </c>
      <c r="CE2771" s="63">
        <v>0</v>
      </c>
      <c r="CF2771" s="63">
        <v>0</v>
      </c>
      <c r="CG2771" s="8">
        <v>0</v>
      </c>
      <c r="CH2771" s="8">
        <v>0</v>
      </c>
      <c r="CI2771" s="8">
        <v>0</v>
      </c>
    </row>
    <row r="2772" spans="1:87" hidden="1" outlineLevel="1">
      <c r="A2772" t="s">
        <v>402</v>
      </c>
      <c r="B2772" t="s">
        <v>53</v>
      </c>
      <c r="C2772" s="1">
        <f t="shared" si="1096"/>
        <v>1332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4</v>
      </c>
      <c r="G2772" s="132">
        <f t="shared" si="1106"/>
        <v>1024</v>
      </c>
      <c r="H2772" s="137">
        <f t="shared" si="1107"/>
        <v>0.76876876876876876</v>
      </c>
      <c r="I2772" s="2"/>
      <c r="J2772" s="2">
        <f t="shared" si="1097"/>
        <v>0.10135135135135136</v>
      </c>
      <c r="K2772" s="2">
        <f t="shared" si="1098"/>
        <v>0.87012012012012008</v>
      </c>
      <c r="L2772" s="2">
        <f t="shared" si="1099"/>
        <v>5.2552552552552556E-3</v>
      </c>
      <c r="M2772" s="2">
        <f t="shared" si="1100"/>
        <v>2.3273273273273352E-2</v>
      </c>
      <c r="N2772" s="63">
        <v>135</v>
      </c>
      <c r="O2772" s="63">
        <v>1159</v>
      </c>
      <c r="P2772" s="63">
        <v>7</v>
      </c>
      <c r="Q2772" s="63">
        <v>25</v>
      </c>
      <c r="R2772" s="63">
        <v>3</v>
      </c>
      <c r="S2772" s="63">
        <v>2</v>
      </c>
      <c r="T2772" s="63"/>
      <c r="U2772" s="63">
        <v>0</v>
      </c>
      <c r="V2772" s="63"/>
      <c r="W2772" s="63">
        <f>IF(Copyright!B$11=1,IF(CA2772&gt;0,CA2772-SUM(S2772:V2772)-P2772-SUM(X2772:AQ2772),SUM(CB2772:CI2772)),SUM(CB2772:CI2772))</f>
        <v>1</v>
      </c>
      <c r="X2772" s="63"/>
      <c r="Y2772" s="63">
        <v>0</v>
      </c>
      <c r="Z2772" s="63"/>
      <c r="AA2772" s="63">
        <v>0</v>
      </c>
      <c r="AB2772" s="63"/>
      <c r="AC2772" s="63"/>
      <c r="AD2772" s="63"/>
      <c r="AE2772" s="63">
        <v>0</v>
      </c>
      <c r="AF2772" s="63"/>
      <c r="AG2772" s="63"/>
      <c r="AH2772" s="63"/>
      <c r="AI2772" s="63"/>
      <c r="AJ2772" s="63"/>
      <c r="AK2772" s="63"/>
      <c r="AL2772" s="63"/>
      <c r="AM2772" s="63"/>
      <c r="AN2772" s="63">
        <v>0</v>
      </c>
      <c r="AO2772" s="63"/>
      <c r="AP2772" s="63"/>
      <c r="AQ2772" s="63"/>
      <c r="AR2772" s="63"/>
      <c r="AS2772" s="63"/>
      <c r="AT2772" s="63"/>
      <c r="AU2772" s="63"/>
      <c r="AW2772" s="5">
        <f>IF(Q2772&gt;0,RANK(Q2772,(N2772:P2772,Q2772:AE2772)),0)</f>
        <v>3</v>
      </c>
      <c r="AX2772" s="5">
        <f>IF(R2772&gt;0,RANK(R2772,(N2772:P2772,Q2772:AE2772)),0)</f>
        <v>5</v>
      </c>
      <c r="AY2772" s="5">
        <f>IF(T2772&gt;0,RANK(T2772,(N2772:P2772,Q2772:AE2772)),0)</f>
        <v>0</v>
      </c>
      <c r="AZ2772" s="5">
        <f>IF(S2772&gt;0,RANK(S2772,(N2772:P2772,Q2772:AE2772)),0)</f>
        <v>6</v>
      </c>
      <c r="BA2772" s="2">
        <f t="shared" si="1101"/>
        <v>1.8768768768768769E-2</v>
      </c>
      <c r="BB2772" s="2">
        <f t="shared" si="1102"/>
        <v>2.2522522522522522E-3</v>
      </c>
      <c r="BC2772" s="2">
        <f t="shared" si="1103"/>
        <v>0</v>
      </c>
      <c r="BD2772" s="2">
        <f t="shared" si="1104"/>
        <v>1.5015015015015015E-3</v>
      </c>
      <c r="BF2772" t="s">
        <v>402</v>
      </c>
      <c r="BG2772" t="s">
        <v>53</v>
      </c>
      <c r="BH2772">
        <v>13</v>
      </c>
      <c r="BJ2772" s="114">
        <v>48</v>
      </c>
      <c r="BK2772" s="116">
        <v>295</v>
      </c>
      <c r="BL2772" s="120">
        <f t="shared" si="1095"/>
        <v>48295</v>
      </c>
      <c r="BN2772" s="5" t="s">
        <v>3154</v>
      </c>
      <c r="BZ2772" s="63">
        <f t="shared" si="1105"/>
        <v>1332</v>
      </c>
      <c r="CD2772" s="63">
        <v>0</v>
      </c>
      <c r="CE2772" s="63">
        <v>0</v>
      </c>
      <c r="CF2772" s="63">
        <v>1</v>
      </c>
      <c r="CG2772" s="8">
        <v>0</v>
      </c>
      <c r="CH2772" s="8">
        <v>0</v>
      </c>
      <c r="CI2772" s="8">
        <v>0</v>
      </c>
    </row>
    <row r="2773" spans="1:87" hidden="1" outlineLevel="1">
      <c r="A2773" t="s">
        <v>1549</v>
      </c>
      <c r="B2773" t="s">
        <v>53</v>
      </c>
      <c r="C2773" s="1">
        <f t="shared" si="1096"/>
        <v>4302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4</v>
      </c>
      <c r="G2773" s="132">
        <f t="shared" si="1106"/>
        <v>2722</v>
      </c>
      <c r="H2773" s="137">
        <f t="shared" si="1107"/>
        <v>0.63272896327289629</v>
      </c>
      <c r="I2773" s="2"/>
      <c r="J2773" s="2">
        <f t="shared" si="1097"/>
        <v>0.17247791724779171</v>
      </c>
      <c r="K2773" s="2">
        <f t="shared" si="1098"/>
        <v>0.80520688052068801</v>
      </c>
      <c r="L2773" s="2">
        <f t="shared" si="1099"/>
        <v>3.7192003719200371E-3</v>
      </c>
      <c r="M2773" s="2">
        <f t="shared" si="1100"/>
        <v>1.8596001859600246E-2</v>
      </c>
      <c r="N2773" s="63">
        <v>742</v>
      </c>
      <c r="O2773" s="63">
        <v>3464</v>
      </c>
      <c r="P2773" s="63">
        <v>16</v>
      </c>
      <c r="Q2773" s="63">
        <v>65</v>
      </c>
      <c r="R2773" s="63">
        <v>13</v>
      </c>
      <c r="S2773" s="63">
        <v>2</v>
      </c>
      <c r="T2773" s="63"/>
      <c r="U2773" s="63">
        <v>0</v>
      </c>
      <c r="V2773" s="63"/>
      <c r="W2773" s="63">
        <f>IF(Copyright!B$11=1,IF(CA2773&gt;0,CA2773-SUM(S2773:V2773)-P2773-SUM(X2773:AQ2773),SUM(CB2773:CI2773)),SUM(CB2773:CI2773))</f>
        <v>0</v>
      </c>
      <c r="X2773" s="63"/>
      <c r="Y2773" s="63">
        <v>0</v>
      </c>
      <c r="Z2773" s="63"/>
      <c r="AA2773" s="63">
        <v>0</v>
      </c>
      <c r="AB2773" s="63"/>
      <c r="AC2773" s="63"/>
      <c r="AD2773" s="63"/>
      <c r="AE2773" s="63">
        <v>0</v>
      </c>
      <c r="AF2773" s="63"/>
      <c r="AG2773" s="63"/>
      <c r="AH2773" s="63"/>
      <c r="AI2773" s="63"/>
      <c r="AJ2773" s="63"/>
      <c r="AK2773" s="63"/>
      <c r="AL2773" s="63"/>
      <c r="AM2773" s="63"/>
      <c r="AN2773" s="63">
        <v>0</v>
      </c>
      <c r="AO2773" s="63"/>
      <c r="AP2773" s="63"/>
      <c r="AQ2773" s="63"/>
      <c r="AR2773" s="63"/>
      <c r="AS2773" s="63"/>
      <c r="AT2773" s="63"/>
      <c r="AU2773" s="63"/>
      <c r="AW2773" s="5">
        <f>IF(Q2773&gt;0,RANK(Q2773,(N2773:P2773,Q2773:AE2773)),0)</f>
        <v>3</v>
      </c>
      <c r="AX2773" s="5">
        <f>IF(R2773&gt;0,RANK(R2773,(N2773:P2773,Q2773:AE2773)),0)</f>
        <v>5</v>
      </c>
      <c r="AY2773" s="5">
        <f>IF(T2773&gt;0,RANK(T2773,(N2773:P2773,Q2773:AE2773)),0)</f>
        <v>0</v>
      </c>
      <c r="AZ2773" s="5">
        <f>IF(S2773&gt;0,RANK(S2773,(N2773:P2773,Q2773:AE2773)),0)</f>
        <v>6</v>
      </c>
      <c r="BA2773" s="2">
        <f t="shared" si="1101"/>
        <v>1.5109251510925152E-2</v>
      </c>
      <c r="BB2773" s="2">
        <f t="shared" si="1102"/>
        <v>3.02185030218503E-3</v>
      </c>
      <c r="BC2773" s="2">
        <f t="shared" si="1103"/>
        <v>0</v>
      </c>
      <c r="BD2773" s="2">
        <f t="shared" si="1104"/>
        <v>4.6490004649000463E-4</v>
      </c>
      <c r="BF2773" t="s">
        <v>1549</v>
      </c>
      <c r="BG2773" t="s">
        <v>53</v>
      </c>
      <c r="BH2773">
        <v>15</v>
      </c>
      <c r="BJ2773" s="114">
        <v>48</v>
      </c>
      <c r="BK2773" s="116">
        <v>297</v>
      </c>
      <c r="BL2773" s="120">
        <f t="shared" si="1095"/>
        <v>48297</v>
      </c>
      <c r="BN2773" s="5" t="s">
        <v>3154</v>
      </c>
      <c r="BZ2773" s="63">
        <f t="shared" si="1105"/>
        <v>4302</v>
      </c>
      <c r="CD2773" s="63">
        <v>0</v>
      </c>
      <c r="CE2773" s="63">
        <v>0</v>
      </c>
      <c r="CF2773" s="63">
        <v>0</v>
      </c>
      <c r="CG2773" s="8">
        <v>0</v>
      </c>
      <c r="CH2773" s="8">
        <v>0</v>
      </c>
      <c r="CI2773" s="8">
        <v>0</v>
      </c>
    </row>
    <row r="2774" spans="1:87" hidden="1" outlineLevel="1">
      <c r="A2774" t="s">
        <v>225</v>
      </c>
      <c r="B2774" t="s">
        <v>53</v>
      </c>
      <c r="C2774" s="1">
        <f t="shared" si="1096"/>
        <v>10447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6</v>
      </c>
      <c r="G2774" s="132">
        <f t="shared" si="1106"/>
        <v>6474</v>
      </c>
      <c r="H2774" s="137">
        <f t="shared" si="1107"/>
        <v>0.61969943524456783</v>
      </c>
      <c r="I2774" s="2"/>
      <c r="J2774" s="2">
        <f t="shared" si="1097"/>
        <v>0.17469129893749402</v>
      </c>
      <c r="K2774" s="2">
        <f t="shared" si="1098"/>
        <v>0.79439073418206185</v>
      </c>
      <c r="L2774" s="2">
        <f t="shared" si="1099"/>
        <v>5.7432755815066525E-4</v>
      </c>
      <c r="M2774" s="2">
        <f t="shared" si="1100"/>
        <v>3.0343639322293461E-2</v>
      </c>
      <c r="N2774" s="63">
        <v>1825</v>
      </c>
      <c r="O2774" s="63">
        <v>8299</v>
      </c>
      <c r="P2774" s="63">
        <v>6</v>
      </c>
      <c r="Q2774" s="63">
        <v>205</v>
      </c>
      <c r="R2774" s="63">
        <v>65</v>
      </c>
      <c r="S2774" s="63">
        <v>45</v>
      </c>
      <c r="T2774" s="63"/>
      <c r="U2774" s="63">
        <v>0</v>
      </c>
      <c r="V2774" s="63"/>
      <c r="W2774" s="63">
        <f>IF(Copyright!B$11=1,IF(CA2774&gt;0,CA2774-SUM(S2774:V2774)-P2774-SUM(X2774:AQ2774),SUM(CB2774:CI2774)),SUM(CB2774:CI2774))</f>
        <v>2</v>
      </c>
      <c r="X2774" s="63"/>
      <c r="Y2774" s="63">
        <v>0</v>
      </c>
      <c r="Z2774" s="63"/>
      <c r="AA2774" s="63">
        <v>0</v>
      </c>
      <c r="AB2774" s="63"/>
      <c r="AC2774" s="63"/>
      <c r="AD2774" s="63"/>
      <c r="AE2774" s="63">
        <v>0</v>
      </c>
      <c r="AF2774" s="63"/>
      <c r="AG2774" s="63"/>
      <c r="AH2774" s="63"/>
      <c r="AI2774" s="63"/>
      <c r="AJ2774" s="63"/>
      <c r="AK2774" s="63"/>
      <c r="AL2774" s="63"/>
      <c r="AM2774" s="63"/>
      <c r="AN2774" s="63">
        <v>0</v>
      </c>
      <c r="AO2774" s="63"/>
      <c r="AP2774" s="63"/>
      <c r="AQ2774" s="63"/>
      <c r="AR2774" s="63"/>
      <c r="AS2774" s="63"/>
      <c r="AT2774" s="63"/>
      <c r="AU2774" s="63"/>
      <c r="AW2774" s="5">
        <f>IF(Q2774&gt;0,RANK(Q2774,(N2774:P2774,Q2774:AE2774)),0)</f>
        <v>3</v>
      </c>
      <c r="AX2774" s="5">
        <f>IF(R2774&gt;0,RANK(R2774,(N2774:P2774,Q2774:AE2774)),0)</f>
        <v>4</v>
      </c>
      <c r="AY2774" s="5">
        <f>IF(T2774&gt;0,RANK(T2774,(N2774:P2774,Q2774:AE2774)),0)</f>
        <v>0</v>
      </c>
      <c r="AZ2774" s="5">
        <f>IF(S2774&gt;0,RANK(S2774,(N2774:P2774,Q2774:AE2774)),0)</f>
        <v>5</v>
      </c>
      <c r="BA2774" s="2">
        <f t="shared" si="1101"/>
        <v>1.9622858236814398E-2</v>
      </c>
      <c r="BB2774" s="2">
        <f t="shared" si="1102"/>
        <v>6.22188187996554E-3</v>
      </c>
      <c r="BC2774" s="2">
        <f t="shared" si="1103"/>
        <v>0</v>
      </c>
      <c r="BD2774" s="2">
        <f t="shared" si="1104"/>
        <v>4.3074566861299891E-3</v>
      </c>
      <c r="BF2774" t="s">
        <v>225</v>
      </c>
      <c r="BG2774" t="s">
        <v>53</v>
      </c>
      <c r="BH2774">
        <v>11</v>
      </c>
      <c r="BJ2774" s="114">
        <v>48</v>
      </c>
      <c r="BK2774" s="116">
        <v>299</v>
      </c>
      <c r="BL2774" s="120">
        <f t="shared" si="1095"/>
        <v>48299</v>
      </c>
      <c r="BN2774" s="5" t="s">
        <v>3154</v>
      </c>
      <c r="BZ2774" s="63">
        <f t="shared" si="1105"/>
        <v>10447</v>
      </c>
      <c r="CD2774" s="63">
        <v>0</v>
      </c>
      <c r="CE2774" s="63">
        <v>0</v>
      </c>
      <c r="CF2774" s="63">
        <v>1</v>
      </c>
      <c r="CG2774" s="8">
        <v>0</v>
      </c>
      <c r="CH2774" s="8">
        <v>0</v>
      </c>
      <c r="CI2774" s="8">
        <v>1</v>
      </c>
    </row>
    <row r="2775" spans="1:87" hidden="1" outlineLevel="1">
      <c r="A2775" t="s">
        <v>400</v>
      </c>
      <c r="B2775" t="s">
        <v>53</v>
      </c>
      <c r="C2775" s="1">
        <f t="shared" si="1096"/>
        <v>65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32">
        <f t="shared" si="1106"/>
        <v>54</v>
      </c>
      <c r="H2775" s="137">
        <f t="shared" si="1107"/>
        <v>0.83076923076923082</v>
      </c>
      <c r="I2775" s="2"/>
      <c r="J2775" s="2">
        <f t="shared" si="1097"/>
        <v>6.1538461538461542E-2</v>
      </c>
      <c r="K2775" s="2">
        <f t="shared" si="1098"/>
        <v>0.89230769230769236</v>
      </c>
      <c r="L2775" s="2">
        <f t="shared" si="1099"/>
        <v>0</v>
      </c>
      <c r="M2775" s="2">
        <f t="shared" si="1100"/>
        <v>4.6153846153846101E-2</v>
      </c>
      <c r="N2775" s="63">
        <v>4</v>
      </c>
      <c r="O2775" s="63">
        <v>58</v>
      </c>
      <c r="P2775" s="63">
        <v>0</v>
      </c>
      <c r="Q2775" s="63">
        <v>1</v>
      </c>
      <c r="R2775" s="63">
        <v>2</v>
      </c>
      <c r="S2775" s="63">
        <v>0</v>
      </c>
      <c r="T2775" s="63"/>
      <c r="U2775" s="63">
        <v>0</v>
      </c>
      <c r="V2775" s="63"/>
      <c r="W2775" s="63">
        <f>IF(Copyright!B$11=1,IF(CA2775&gt;0,CA2775-SUM(S2775:V2775)-P2775-SUM(X2775:AQ2775),SUM(CB2775:CI2775)),SUM(CB2775:CI2775))</f>
        <v>0</v>
      </c>
      <c r="X2775" s="63"/>
      <c r="Y2775" s="63">
        <v>0</v>
      </c>
      <c r="Z2775" s="63"/>
      <c r="AA2775" s="63">
        <v>0</v>
      </c>
      <c r="AB2775" s="63"/>
      <c r="AC2775" s="63"/>
      <c r="AD2775" s="63"/>
      <c r="AE2775" s="63">
        <v>0</v>
      </c>
      <c r="AF2775" s="63"/>
      <c r="AG2775" s="63"/>
      <c r="AH2775" s="63"/>
      <c r="AI2775" s="63"/>
      <c r="AJ2775" s="63"/>
      <c r="AK2775" s="63"/>
      <c r="AL2775" s="63"/>
      <c r="AM2775" s="63"/>
      <c r="AN2775" s="63">
        <v>0</v>
      </c>
      <c r="AO2775" s="63"/>
      <c r="AP2775" s="63"/>
      <c r="AQ2775" s="63"/>
      <c r="AR2775" s="63"/>
      <c r="AS2775" s="63"/>
      <c r="AT2775" s="63"/>
      <c r="AU2775" s="63"/>
      <c r="AW2775" s="5">
        <f>IF(Q2775&gt;0,RANK(Q2775,(N2775:P2775,Q2775:AE2775)),0)</f>
        <v>4</v>
      </c>
      <c r="AX2775" s="5">
        <f>IF(R2775&gt;0,RANK(R2775,(N2775:P2775,Q2775:AE2775)),0)</f>
        <v>3</v>
      </c>
      <c r="AY2775" s="5">
        <f>IF(T2775&gt;0,RANK(T2775,(N2775:P2775,Q2775:AE2775)),0)</f>
        <v>0</v>
      </c>
      <c r="AZ2775" s="5">
        <f>IF(S2775&gt;0,RANK(S2775,(N2775:P2775,Q2775:AE2775)),0)</f>
        <v>0</v>
      </c>
      <c r="BA2775" s="2">
        <f t="shared" si="1101"/>
        <v>1.5384615384615385E-2</v>
      </c>
      <c r="BB2775" s="2">
        <f t="shared" si="1102"/>
        <v>3.0769230769230771E-2</v>
      </c>
      <c r="BC2775" s="2">
        <f t="shared" si="1103"/>
        <v>0</v>
      </c>
      <c r="BD2775" s="2">
        <f t="shared" si="1104"/>
        <v>0</v>
      </c>
      <c r="BF2775" t="s">
        <v>400</v>
      </c>
      <c r="BG2775" t="s">
        <v>53</v>
      </c>
      <c r="BH2775">
        <v>23</v>
      </c>
      <c r="BJ2775" s="114">
        <v>48</v>
      </c>
      <c r="BK2775" s="116">
        <v>301</v>
      </c>
      <c r="BL2775" s="120">
        <f t="shared" si="1095"/>
        <v>48301</v>
      </c>
      <c r="BN2775" s="5" t="s">
        <v>3154</v>
      </c>
      <c r="BZ2775" s="63">
        <f t="shared" si="1105"/>
        <v>65</v>
      </c>
      <c r="CD2775" s="63">
        <v>0</v>
      </c>
      <c r="CE2775" s="63">
        <v>0</v>
      </c>
      <c r="CF2775" s="63">
        <v>0</v>
      </c>
      <c r="CG2775" s="8">
        <v>0</v>
      </c>
      <c r="CH2775" s="8">
        <v>0</v>
      </c>
      <c r="CI2775" s="8">
        <v>0</v>
      </c>
    </row>
    <row r="2776" spans="1:87" hidden="1" outlineLevel="1">
      <c r="A2776" t="s">
        <v>1722</v>
      </c>
      <c r="B2776" t="s">
        <v>53</v>
      </c>
      <c r="C2776" s="1">
        <f t="shared" si="1096"/>
        <v>99013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4</v>
      </c>
      <c r="G2776" s="132">
        <f t="shared" si="1106"/>
        <v>37628</v>
      </c>
      <c r="H2776" s="137">
        <f t="shared" si="1107"/>
        <v>0.38003090503267245</v>
      </c>
      <c r="I2776" s="2"/>
      <c r="J2776" s="2">
        <f t="shared" si="1097"/>
        <v>0.28302344136628521</v>
      </c>
      <c r="K2776" s="2">
        <f t="shared" si="1098"/>
        <v>0.66305434639895766</v>
      </c>
      <c r="L2776" s="2">
        <f t="shared" si="1099"/>
        <v>6.8172866189288271E-3</v>
      </c>
      <c r="M2776" s="2">
        <f t="shared" si="1100"/>
        <v>4.7104925615828297E-2</v>
      </c>
      <c r="N2776" s="63">
        <v>28023</v>
      </c>
      <c r="O2776" s="63">
        <v>65651</v>
      </c>
      <c r="P2776" s="63">
        <v>675</v>
      </c>
      <c r="Q2776" s="63">
        <v>3917</v>
      </c>
      <c r="R2776" s="63">
        <v>633</v>
      </c>
      <c r="S2776" s="63">
        <v>63</v>
      </c>
      <c r="T2776" s="63"/>
      <c r="U2776" s="63">
        <v>2</v>
      </c>
      <c r="V2776" s="63"/>
      <c r="W2776" s="63">
        <f>IF(Copyright!B$11=1,IF(CA2776&gt;0,CA2776-SUM(S2776:V2776)-P2776-SUM(X2776:AQ2776),SUM(CB2776:CI2776)),SUM(CB2776:CI2776))</f>
        <v>7</v>
      </c>
      <c r="X2776" s="63"/>
      <c r="Y2776" s="63">
        <v>5</v>
      </c>
      <c r="Z2776" s="63"/>
      <c r="AA2776" s="63">
        <v>0</v>
      </c>
      <c r="AB2776" s="63"/>
      <c r="AC2776" s="63"/>
      <c r="AD2776" s="63"/>
      <c r="AE2776" s="63">
        <v>2</v>
      </c>
      <c r="AF2776" s="63"/>
      <c r="AG2776" s="63"/>
      <c r="AH2776" s="63"/>
      <c r="AI2776" s="63"/>
      <c r="AJ2776" s="63"/>
      <c r="AK2776" s="63"/>
      <c r="AL2776" s="63"/>
      <c r="AM2776" s="63"/>
      <c r="AN2776" s="63">
        <v>35</v>
      </c>
      <c r="AO2776" s="63"/>
      <c r="AP2776" s="63"/>
      <c r="AQ2776" s="63"/>
      <c r="AR2776" s="63"/>
      <c r="AS2776" s="63"/>
      <c r="AT2776" s="63"/>
      <c r="AU2776" s="63"/>
      <c r="AW2776" s="5">
        <f>IF(Q2776&gt;0,RANK(Q2776,(N2776:P2776,Q2776:AE2776)),0)</f>
        <v>3</v>
      </c>
      <c r="AX2776" s="5">
        <f>IF(R2776&gt;0,RANK(R2776,(N2776:P2776,Q2776:AE2776)),0)</f>
        <v>5</v>
      </c>
      <c r="AY2776" s="5">
        <f>IF(T2776&gt;0,RANK(T2776,(N2776:P2776,Q2776:AE2776)),0)</f>
        <v>0</v>
      </c>
      <c r="AZ2776" s="5">
        <f>IF(S2776&gt;0,RANK(S2776,(N2776:P2776,Q2776:AE2776)),0)</f>
        <v>6</v>
      </c>
      <c r="BA2776" s="2">
        <f t="shared" si="1101"/>
        <v>3.9560461757546989E-2</v>
      </c>
      <c r="BB2776" s="2">
        <f t="shared" si="1102"/>
        <v>6.3930998959732558E-3</v>
      </c>
      <c r="BC2776" s="2">
        <f t="shared" si="1103"/>
        <v>0</v>
      </c>
      <c r="BD2776" s="2">
        <f t="shared" si="1104"/>
        <v>6.3628008443335725E-4</v>
      </c>
      <c r="BF2776" t="s">
        <v>1722</v>
      </c>
      <c r="BG2776" t="s">
        <v>53</v>
      </c>
      <c r="BH2776">
        <v>19</v>
      </c>
      <c r="BJ2776" s="114">
        <v>48</v>
      </c>
      <c r="BK2776" s="116">
        <v>303</v>
      </c>
      <c r="BL2776" s="120">
        <f t="shared" si="1095"/>
        <v>48303</v>
      </c>
      <c r="BN2776" s="5" t="s">
        <v>3154</v>
      </c>
      <c r="BZ2776" s="63">
        <f t="shared" si="1105"/>
        <v>99013</v>
      </c>
      <c r="CD2776" s="63">
        <v>1</v>
      </c>
      <c r="CE2776" s="63">
        <v>1</v>
      </c>
      <c r="CF2776" s="63">
        <v>4</v>
      </c>
      <c r="CG2776" s="8">
        <v>0</v>
      </c>
      <c r="CH2776" s="8">
        <v>0</v>
      </c>
      <c r="CI2776" s="8">
        <v>1</v>
      </c>
    </row>
    <row r="2777" spans="1:87" hidden="1" outlineLevel="1">
      <c r="A2777" t="s">
        <v>1761</v>
      </c>
      <c r="B2777" t="s">
        <v>53</v>
      </c>
      <c r="C2777" s="1">
        <f t="shared" si="1096"/>
        <v>2009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32">
        <f t="shared" si="1106"/>
        <v>1143</v>
      </c>
      <c r="H2777" s="137">
        <f t="shared" si="1107"/>
        <v>0.56893977103036342</v>
      </c>
      <c r="I2777" s="2"/>
      <c r="J2777" s="2">
        <f t="shared" si="1097"/>
        <v>0.20059731209556994</v>
      </c>
      <c r="K2777" s="2">
        <f t="shared" si="1098"/>
        <v>0.76953708312593327</v>
      </c>
      <c r="L2777" s="2">
        <f t="shared" si="1099"/>
        <v>0</v>
      </c>
      <c r="M2777" s="2">
        <f t="shared" si="1100"/>
        <v>2.9865604778496757E-2</v>
      </c>
      <c r="N2777" s="63">
        <v>403</v>
      </c>
      <c r="O2777" s="63">
        <v>1546</v>
      </c>
      <c r="P2777" s="63">
        <v>0</v>
      </c>
      <c r="Q2777" s="63">
        <v>41</v>
      </c>
      <c r="R2777" s="63">
        <v>7</v>
      </c>
      <c r="S2777" s="63">
        <v>0</v>
      </c>
      <c r="T2777" s="63"/>
      <c r="U2777" s="63">
        <v>1</v>
      </c>
      <c r="V2777" s="63"/>
      <c r="W2777" s="63">
        <f>IF(Copyright!B$11=1,IF(CA2777&gt;0,CA2777-SUM(S2777:V2777)-P2777-SUM(X2777:AQ2777),SUM(CB2777:CI2777)),SUM(CB2777:CI2777))</f>
        <v>11</v>
      </c>
      <c r="X2777" s="63"/>
      <c r="Y2777" s="63">
        <v>0</v>
      </c>
      <c r="Z2777" s="63"/>
      <c r="AA2777" s="63">
        <v>0</v>
      </c>
      <c r="AB2777" s="63"/>
      <c r="AC2777" s="63"/>
      <c r="AD2777" s="63"/>
      <c r="AE2777" s="63">
        <v>0</v>
      </c>
      <c r="AF2777" s="63"/>
      <c r="AG2777" s="63"/>
      <c r="AH2777" s="63"/>
      <c r="AI2777" s="63"/>
      <c r="AJ2777" s="63"/>
      <c r="AK2777" s="63"/>
      <c r="AL2777" s="63"/>
      <c r="AM2777" s="63"/>
      <c r="AN2777" s="63">
        <v>0</v>
      </c>
      <c r="AO2777" s="63"/>
      <c r="AP2777" s="63"/>
      <c r="AQ2777" s="63"/>
      <c r="AR2777" s="63"/>
      <c r="AS2777" s="63"/>
      <c r="AT2777" s="63"/>
      <c r="AU2777" s="63"/>
      <c r="AW2777" s="5">
        <f>IF(Q2777&gt;0,RANK(Q2777,(N2777:P2777,Q2777:AE2777)),0)</f>
        <v>3</v>
      </c>
      <c r="AX2777" s="5">
        <f>IF(R2777&gt;0,RANK(R2777,(N2777:P2777,Q2777:AE2777)),0)</f>
        <v>5</v>
      </c>
      <c r="AY2777" s="5">
        <f>IF(T2777&gt;0,RANK(T2777,(N2777:P2777,Q2777:AE2777)),0)</f>
        <v>0</v>
      </c>
      <c r="AZ2777" s="5">
        <f>IF(S2777&gt;0,RANK(S2777,(N2777:P2777,Q2777:AE2777)),0)</f>
        <v>0</v>
      </c>
      <c r="BA2777" s="2">
        <f t="shared" si="1101"/>
        <v>2.0408163265306121E-2</v>
      </c>
      <c r="BB2777" s="2">
        <f t="shared" si="1102"/>
        <v>3.4843205574912892E-3</v>
      </c>
      <c r="BC2777" s="2">
        <f t="shared" si="1103"/>
        <v>0</v>
      </c>
      <c r="BD2777" s="2">
        <f t="shared" si="1104"/>
        <v>0</v>
      </c>
      <c r="BF2777" t="s">
        <v>1761</v>
      </c>
      <c r="BG2777" t="s">
        <v>53</v>
      </c>
      <c r="BH2777">
        <v>19</v>
      </c>
      <c r="BJ2777" s="114">
        <v>48</v>
      </c>
      <c r="BK2777" s="116">
        <v>305</v>
      </c>
      <c r="BL2777" s="120">
        <f t="shared" si="1095"/>
        <v>48305</v>
      </c>
      <c r="BN2777" s="5" t="s">
        <v>3154</v>
      </c>
      <c r="BZ2777" s="63">
        <f t="shared" si="1105"/>
        <v>2009</v>
      </c>
      <c r="CD2777" s="63">
        <v>11</v>
      </c>
      <c r="CE2777" s="63">
        <v>0</v>
      </c>
      <c r="CF2777" s="63">
        <v>0</v>
      </c>
      <c r="CG2777" s="8">
        <v>0</v>
      </c>
      <c r="CH2777" s="8">
        <v>0</v>
      </c>
      <c r="CI2777" s="8">
        <v>0</v>
      </c>
    </row>
    <row r="2778" spans="1:87" hidden="1" outlineLevel="1">
      <c r="A2778" t="s">
        <v>1685</v>
      </c>
      <c r="B2778" t="s">
        <v>53</v>
      </c>
      <c r="C2778" s="1">
        <f t="shared" si="1096"/>
        <v>3103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5</v>
      </c>
      <c r="G2778" s="132">
        <f t="shared" si="1106"/>
        <v>2070</v>
      </c>
      <c r="H2778" s="137">
        <f t="shared" si="1107"/>
        <v>0.66709635836287462</v>
      </c>
      <c r="I2778" s="2"/>
      <c r="J2778" s="2">
        <f t="shared" si="1097"/>
        <v>0.15533354817918144</v>
      </c>
      <c r="K2778" s="2">
        <f t="shared" si="1098"/>
        <v>0.82242990654205606</v>
      </c>
      <c r="L2778" s="2">
        <f t="shared" si="1099"/>
        <v>2.2558814050918467E-3</v>
      </c>
      <c r="M2778" s="2">
        <f t="shared" si="1100"/>
        <v>1.9980663873670663E-2</v>
      </c>
      <c r="N2778" s="63">
        <v>482</v>
      </c>
      <c r="O2778" s="63">
        <v>2552</v>
      </c>
      <c r="P2778" s="63">
        <v>7</v>
      </c>
      <c r="Q2778" s="63">
        <v>51</v>
      </c>
      <c r="R2778" s="63">
        <v>9</v>
      </c>
      <c r="S2778" s="63">
        <v>0</v>
      </c>
      <c r="T2778" s="63"/>
      <c r="U2778" s="63">
        <v>0</v>
      </c>
      <c r="V2778" s="63"/>
      <c r="W2778" s="63">
        <f>IF(Copyright!B$11=1,IF(CA2778&gt;0,CA2778-SUM(S2778:V2778)-P2778-SUM(X2778:AQ2778),SUM(CB2778:CI2778)),SUM(CB2778:CI2778))</f>
        <v>2</v>
      </c>
      <c r="X2778" s="63"/>
      <c r="Y2778" s="63">
        <v>0</v>
      </c>
      <c r="Z2778" s="63"/>
      <c r="AA2778" s="63">
        <v>0</v>
      </c>
      <c r="AB2778" s="63"/>
      <c r="AC2778" s="63"/>
      <c r="AD2778" s="63"/>
      <c r="AE2778" s="63">
        <v>0</v>
      </c>
      <c r="AF2778" s="63"/>
      <c r="AG2778" s="63"/>
      <c r="AH2778" s="63"/>
      <c r="AI2778" s="63"/>
      <c r="AJ2778" s="63"/>
      <c r="AK2778" s="63"/>
      <c r="AL2778" s="63"/>
      <c r="AM2778" s="63"/>
      <c r="AN2778" s="63">
        <v>0</v>
      </c>
      <c r="AO2778" s="63"/>
      <c r="AP2778" s="63"/>
      <c r="AQ2778" s="63"/>
      <c r="AR2778" s="63"/>
      <c r="AS2778" s="63"/>
      <c r="AT2778" s="63"/>
      <c r="AU2778" s="63"/>
      <c r="AW2778" s="5">
        <f>IF(Q2778&gt;0,RANK(Q2778,(N2778:P2778,Q2778:AE2778)),0)</f>
        <v>3</v>
      </c>
      <c r="AX2778" s="5">
        <f>IF(R2778&gt;0,RANK(R2778,(N2778:P2778,Q2778:AE2778)),0)</f>
        <v>4</v>
      </c>
      <c r="AY2778" s="5">
        <f>IF(T2778&gt;0,RANK(T2778,(N2778:P2778,Q2778:AE2778)),0)</f>
        <v>0</v>
      </c>
      <c r="AZ2778" s="5">
        <f>IF(S2778&gt;0,RANK(S2778,(N2778:P2778,Q2778:AE2778)),0)</f>
        <v>0</v>
      </c>
      <c r="BA2778" s="2">
        <f t="shared" si="1101"/>
        <v>1.6435707379954881E-2</v>
      </c>
      <c r="BB2778" s="2">
        <f t="shared" si="1102"/>
        <v>2.9004189494038026E-3</v>
      </c>
      <c r="BC2778" s="2">
        <f t="shared" si="1103"/>
        <v>0</v>
      </c>
      <c r="BD2778" s="2">
        <f t="shared" si="1104"/>
        <v>0</v>
      </c>
      <c r="BF2778" t="s">
        <v>1685</v>
      </c>
      <c r="BG2778" t="s">
        <v>53</v>
      </c>
      <c r="BH2778">
        <v>11</v>
      </c>
      <c r="BJ2778" s="114">
        <v>48</v>
      </c>
      <c r="BK2778" s="116">
        <v>307</v>
      </c>
      <c r="BL2778" s="120">
        <f t="shared" si="1095"/>
        <v>48307</v>
      </c>
      <c r="BN2778" s="5" t="s">
        <v>3154</v>
      </c>
      <c r="BZ2778" s="63">
        <f t="shared" si="1105"/>
        <v>3103</v>
      </c>
      <c r="CD2778" s="63">
        <v>2</v>
      </c>
      <c r="CE2778" s="63">
        <v>0</v>
      </c>
      <c r="CF2778" s="63">
        <v>0</v>
      </c>
      <c r="CG2778" s="8">
        <v>0</v>
      </c>
      <c r="CH2778" s="8">
        <v>0</v>
      </c>
      <c r="CI2778" s="8">
        <v>0</v>
      </c>
    </row>
    <row r="2779" spans="1:87" hidden="1" outlineLevel="1">
      <c r="A2779" t="s">
        <v>398</v>
      </c>
      <c r="B2779" t="s">
        <v>53</v>
      </c>
      <c r="C2779" s="1">
        <f t="shared" si="1096"/>
        <v>79075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4</v>
      </c>
      <c r="G2779" s="132">
        <f t="shared" si="1106"/>
        <v>21197</v>
      </c>
      <c r="H2779" s="137">
        <f t="shared" si="1107"/>
        <v>0.26806196648751185</v>
      </c>
      <c r="I2779" s="2"/>
      <c r="J2779" s="2">
        <f t="shared" si="1097"/>
        <v>0.34224470439456212</v>
      </c>
      <c r="K2779" s="2">
        <f t="shared" si="1098"/>
        <v>0.61030667088207402</v>
      </c>
      <c r="L2779" s="2">
        <f t="shared" si="1099"/>
        <v>8.4603224786595002E-3</v>
      </c>
      <c r="M2779" s="2">
        <f t="shared" si="1100"/>
        <v>3.8988302244704363E-2</v>
      </c>
      <c r="N2779" s="63">
        <v>27063</v>
      </c>
      <c r="O2779" s="63">
        <v>48260</v>
      </c>
      <c r="P2779" s="63">
        <v>669</v>
      </c>
      <c r="Q2779" s="63">
        <v>2492</v>
      </c>
      <c r="R2779" s="63">
        <v>473</v>
      </c>
      <c r="S2779" s="63">
        <v>53</v>
      </c>
      <c r="T2779" s="63"/>
      <c r="U2779" s="63">
        <v>0</v>
      </c>
      <c r="V2779" s="63"/>
      <c r="W2779" s="63">
        <f>IF(Copyright!B$11=1,IF(CA2779&gt;0,CA2779-SUM(S2779:V2779)-P2779-SUM(X2779:AQ2779),SUM(CB2779:CI2779)),SUM(CB2779:CI2779))</f>
        <v>10</v>
      </c>
      <c r="X2779" s="63"/>
      <c r="Y2779" s="63">
        <v>6</v>
      </c>
      <c r="Z2779" s="63"/>
      <c r="AA2779" s="63">
        <v>1</v>
      </c>
      <c r="AB2779" s="63"/>
      <c r="AC2779" s="63"/>
      <c r="AD2779" s="63"/>
      <c r="AE2779" s="63">
        <v>10</v>
      </c>
      <c r="AF2779" s="63"/>
      <c r="AG2779" s="63"/>
      <c r="AH2779" s="63"/>
      <c r="AI2779" s="63"/>
      <c r="AJ2779" s="63"/>
      <c r="AK2779" s="63"/>
      <c r="AL2779" s="63"/>
      <c r="AM2779" s="63"/>
      <c r="AN2779" s="63">
        <v>38</v>
      </c>
      <c r="AO2779" s="63"/>
      <c r="AP2779" s="63"/>
      <c r="AQ2779" s="63"/>
      <c r="AR2779" s="63"/>
      <c r="AS2779" s="63"/>
      <c r="AT2779" s="63"/>
      <c r="AU2779" s="63"/>
      <c r="AW2779" s="5">
        <f>IF(Q2779&gt;0,RANK(Q2779,(N2779:P2779,Q2779:AE2779)),0)</f>
        <v>3</v>
      </c>
      <c r="AX2779" s="5">
        <f>IF(R2779&gt;0,RANK(R2779,(N2779:P2779,Q2779:AE2779)),0)</f>
        <v>5</v>
      </c>
      <c r="AY2779" s="5">
        <f>IF(T2779&gt;0,RANK(T2779,(N2779:P2779,Q2779:AE2779)),0)</f>
        <v>0</v>
      </c>
      <c r="AZ2779" s="5">
        <f>IF(S2779&gt;0,RANK(S2779,(N2779:P2779,Q2779:AE2779)),0)</f>
        <v>6</v>
      </c>
      <c r="BA2779" s="2">
        <f t="shared" si="1101"/>
        <v>3.1514385077458108E-2</v>
      </c>
      <c r="BB2779" s="2">
        <f t="shared" si="1102"/>
        <v>5.9816629781852667E-3</v>
      </c>
      <c r="BC2779" s="2">
        <f t="shared" si="1103"/>
        <v>0</v>
      </c>
      <c r="BD2779" s="2">
        <f t="shared" si="1104"/>
        <v>6.7024976288333857E-4</v>
      </c>
      <c r="BF2779" t="s">
        <v>398</v>
      </c>
      <c r="BG2779" t="s">
        <v>53</v>
      </c>
      <c r="BH2779">
        <v>17</v>
      </c>
      <c r="BJ2779" s="114">
        <v>48</v>
      </c>
      <c r="BK2779" s="116">
        <v>309</v>
      </c>
      <c r="BL2779" s="120">
        <f t="shared" si="1095"/>
        <v>48309</v>
      </c>
      <c r="BN2779" s="5" t="s">
        <v>3154</v>
      </c>
      <c r="BZ2779" s="63">
        <f t="shared" si="1105"/>
        <v>79075</v>
      </c>
      <c r="CD2779" s="63">
        <v>1</v>
      </c>
      <c r="CE2779" s="63">
        <v>0</v>
      </c>
      <c r="CF2779" s="63">
        <v>7</v>
      </c>
      <c r="CG2779" s="8">
        <v>2</v>
      </c>
      <c r="CH2779" s="8">
        <v>0</v>
      </c>
      <c r="CI2779" s="8">
        <v>0</v>
      </c>
    </row>
    <row r="2780" spans="1:87" hidden="1" outlineLevel="1">
      <c r="A2780" t="s">
        <v>1190</v>
      </c>
      <c r="B2780" t="s">
        <v>53</v>
      </c>
      <c r="C2780" s="1">
        <f t="shared" si="1096"/>
        <v>499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3</v>
      </c>
      <c r="G2780" s="132">
        <f t="shared" si="1106"/>
        <v>414</v>
      </c>
      <c r="H2780" s="137">
        <f t="shared" si="1107"/>
        <v>0.8296593186372746</v>
      </c>
      <c r="I2780" s="2"/>
      <c r="J2780" s="2">
        <f t="shared" si="1097"/>
        <v>8.0160320641282562E-2</v>
      </c>
      <c r="K2780" s="2">
        <f t="shared" si="1098"/>
        <v>0.90981963927855714</v>
      </c>
      <c r="L2780" s="2">
        <f t="shared" si="1099"/>
        <v>4.0080160320641279E-3</v>
      </c>
      <c r="M2780" s="2">
        <f t="shared" si="1100"/>
        <v>6.0120240480962027E-3</v>
      </c>
      <c r="N2780" s="63">
        <v>40</v>
      </c>
      <c r="O2780" s="63">
        <v>454</v>
      </c>
      <c r="P2780" s="63">
        <v>2</v>
      </c>
      <c r="Q2780" s="63">
        <v>2</v>
      </c>
      <c r="R2780" s="63">
        <v>1</v>
      </c>
      <c r="S2780" s="63">
        <v>0</v>
      </c>
      <c r="T2780" s="63"/>
      <c r="U2780" s="63">
        <v>0</v>
      </c>
      <c r="V2780" s="63"/>
      <c r="W2780" s="63">
        <f>IF(Copyright!B$11=1,IF(CA2780&gt;0,CA2780-SUM(S2780:V2780)-P2780-SUM(X2780:AQ2780),SUM(CB2780:CI2780)),SUM(CB2780:CI2780))</f>
        <v>0</v>
      </c>
      <c r="X2780" s="63"/>
      <c r="Y2780" s="63">
        <v>0</v>
      </c>
      <c r="Z2780" s="63"/>
      <c r="AA2780" s="63">
        <v>0</v>
      </c>
      <c r="AB2780" s="63"/>
      <c r="AC2780" s="63"/>
      <c r="AD2780" s="63"/>
      <c r="AE2780" s="63">
        <v>0</v>
      </c>
      <c r="AF2780" s="63"/>
      <c r="AG2780" s="63"/>
      <c r="AH2780" s="63"/>
      <c r="AI2780" s="63"/>
      <c r="AJ2780" s="63"/>
      <c r="AK2780" s="63"/>
      <c r="AL2780" s="63"/>
      <c r="AM2780" s="63"/>
      <c r="AN2780" s="63">
        <v>0</v>
      </c>
      <c r="AO2780" s="63"/>
      <c r="AP2780" s="63"/>
      <c r="AQ2780" s="63"/>
      <c r="AR2780" s="63"/>
      <c r="AS2780" s="63"/>
      <c r="AT2780" s="63"/>
      <c r="AU2780" s="63"/>
      <c r="AW2780" s="5">
        <f>IF(Q2780&gt;0,RANK(Q2780,(N2780:P2780,Q2780:AE2780)),0)</f>
        <v>3</v>
      </c>
      <c r="AX2780" s="5">
        <f>IF(R2780&gt;0,RANK(R2780,(N2780:P2780,Q2780:AE2780)),0)</f>
        <v>5</v>
      </c>
      <c r="AY2780" s="5">
        <f>IF(T2780&gt;0,RANK(T2780,(N2780:P2780,Q2780:AE2780)),0)</f>
        <v>0</v>
      </c>
      <c r="AZ2780" s="5">
        <f>IF(S2780&gt;0,RANK(S2780,(N2780:P2780,Q2780:AE2780)),0)</f>
        <v>0</v>
      </c>
      <c r="BA2780" s="2">
        <f t="shared" si="1101"/>
        <v>4.0080160320641279E-3</v>
      </c>
      <c r="BB2780" s="2">
        <f t="shared" si="1102"/>
        <v>2.004008016032064E-3</v>
      </c>
      <c r="BC2780" s="2">
        <f t="shared" si="1103"/>
        <v>0</v>
      </c>
      <c r="BD2780" s="2">
        <f t="shared" si="1104"/>
        <v>0</v>
      </c>
      <c r="BF2780" t="s">
        <v>1190</v>
      </c>
      <c r="BG2780" t="s">
        <v>53</v>
      </c>
      <c r="BH2780">
        <v>28</v>
      </c>
      <c r="BJ2780" s="114">
        <v>48</v>
      </c>
      <c r="BK2780" s="116">
        <v>311</v>
      </c>
      <c r="BL2780" s="120">
        <f t="shared" si="1095"/>
        <v>48311</v>
      </c>
      <c r="BN2780" s="5" t="s">
        <v>3154</v>
      </c>
      <c r="BZ2780" s="63">
        <f t="shared" si="1105"/>
        <v>499</v>
      </c>
      <c r="CD2780" s="63">
        <v>0</v>
      </c>
      <c r="CE2780" s="63">
        <v>0</v>
      </c>
      <c r="CF2780" s="63">
        <v>0</v>
      </c>
      <c r="CG2780" s="8">
        <v>0</v>
      </c>
      <c r="CH2780" s="8">
        <v>0</v>
      </c>
      <c r="CI2780" s="8">
        <v>0</v>
      </c>
    </row>
    <row r="2781" spans="1:87" hidden="1" outlineLevel="1">
      <c r="A2781" t="s">
        <v>1650</v>
      </c>
      <c r="B2781" t="s">
        <v>53</v>
      </c>
      <c r="C2781" s="1">
        <f t="shared" si="1096"/>
        <v>4289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32">
        <f t="shared" si="1106"/>
        <v>2470</v>
      </c>
      <c r="H2781" s="137">
        <f t="shared" si="1107"/>
        <v>0.57589181627418984</v>
      </c>
      <c r="I2781" s="2"/>
      <c r="J2781" s="2">
        <f t="shared" si="1097"/>
        <v>0.20540918629051061</v>
      </c>
      <c r="K2781" s="2">
        <f t="shared" si="1098"/>
        <v>0.78130100256470036</v>
      </c>
      <c r="L2781" s="2">
        <f t="shared" si="1099"/>
        <v>0</v>
      </c>
      <c r="M2781" s="2">
        <f t="shared" si="1100"/>
        <v>1.3289811144788999E-2</v>
      </c>
      <c r="N2781" s="63">
        <v>881</v>
      </c>
      <c r="O2781" s="63">
        <v>3351</v>
      </c>
      <c r="P2781" s="63">
        <v>0</v>
      </c>
      <c r="Q2781" s="63">
        <v>45</v>
      </c>
      <c r="R2781" s="63">
        <v>8</v>
      </c>
      <c r="S2781" s="63">
        <v>3</v>
      </c>
      <c r="T2781" s="63"/>
      <c r="U2781" s="63">
        <v>0</v>
      </c>
      <c r="V2781" s="63"/>
      <c r="W2781" s="63">
        <f>IF(Copyright!B$11=1,IF(CA2781&gt;0,CA2781-SUM(S2781:V2781)-P2781-SUM(X2781:AQ2781),SUM(CB2781:CI2781)),SUM(CB2781:CI2781))</f>
        <v>1</v>
      </c>
      <c r="X2781" s="63"/>
      <c r="Y2781" s="63">
        <v>0</v>
      </c>
      <c r="Z2781" s="63"/>
      <c r="AA2781" s="63">
        <v>0</v>
      </c>
      <c r="AB2781" s="63"/>
      <c r="AC2781" s="63"/>
      <c r="AD2781" s="63"/>
      <c r="AE2781" s="63">
        <v>0</v>
      </c>
      <c r="AF2781" s="63"/>
      <c r="AG2781" s="63"/>
      <c r="AH2781" s="63"/>
      <c r="AI2781" s="63"/>
      <c r="AJ2781" s="63"/>
      <c r="AK2781" s="63"/>
      <c r="AL2781" s="63"/>
      <c r="AM2781" s="63"/>
      <c r="AN2781" s="63">
        <v>0</v>
      </c>
      <c r="AO2781" s="63"/>
      <c r="AP2781" s="63"/>
      <c r="AQ2781" s="63"/>
      <c r="AR2781" s="63"/>
      <c r="AS2781" s="63"/>
      <c r="AT2781" s="63"/>
      <c r="AU2781" s="63"/>
      <c r="AW2781" s="5">
        <f>IF(Q2781&gt;0,RANK(Q2781,(N2781:P2781,Q2781:AE2781)),0)</f>
        <v>3</v>
      </c>
      <c r="AX2781" s="5">
        <f>IF(R2781&gt;0,RANK(R2781,(N2781:P2781,Q2781:AE2781)),0)</f>
        <v>4</v>
      </c>
      <c r="AY2781" s="5">
        <f>IF(T2781&gt;0,RANK(T2781,(N2781:P2781,Q2781:AE2781)),0)</f>
        <v>0</v>
      </c>
      <c r="AZ2781" s="5">
        <f>IF(S2781&gt;0,RANK(S2781,(N2781:P2781,Q2781:AE2781)),0)</f>
        <v>5</v>
      </c>
      <c r="BA2781" s="2">
        <f t="shared" si="1101"/>
        <v>1.049195616693868E-2</v>
      </c>
      <c r="BB2781" s="2">
        <f t="shared" si="1102"/>
        <v>1.8652366519002097E-3</v>
      </c>
      <c r="BC2781" s="2">
        <f t="shared" si="1103"/>
        <v>0</v>
      </c>
      <c r="BD2781" s="2">
        <f t="shared" si="1104"/>
        <v>6.9946374446257871E-4</v>
      </c>
      <c r="BF2781" t="s">
        <v>1650</v>
      </c>
      <c r="BG2781" t="s">
        <v>53</v>
      </c>
      <c r="BH2781">
        <v>8</v>
      </c>
      <c r="BJ2781" s="114">
        <v>48</v>
      </c>
      <c r="BK2781" s="116">
        <v>313</v>
      </c>
      <c r="BL2781" s="120">
        <f t="shared" si="1095"/>
        <v>48313</v>
      </c>
      <c r="BN2781" s="5" t="s">
        <v>3154</v>
      </c>
      <c r="BZ2781" s="63">
        <f t="shared" si="1105"/>
        <v>4289</v>
      </c>
      <c r="CD2781" s="63">
        <v>0</v>
      </c>
      <c r="CE2781" s="63">
        <v>0</v>
      </c>
      <c r="CF2781" s="63">
        <v>1</v>
      </c>
      <c r="CG2781" s="8">
        <v>0</v>
      </c>
      <c r="CH2781" s="8">
        <v>0</v>
      </c>
      <c r="CI2781" s="8">
        <v>0</v>
      </c>
    </row>
    <row r="2782" spans="1:87" hidden="1" outlineLevel="1">
      <c r="A2782" t="s">
        <v>1826</v>
      </c>
      <c r="B2782" t="s">
        <v>53</v>
      </c>
      <c r="C2782" s="1">
        <f t="shared" si="1096"/>
        <v>4238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5</v>
      </c>
      <c r="G2782" s="132">
        <f t="shared" si="1106"/>
        <v>1818</v>
      </c>
      <c r="H2782" s="137">
        <f t="shared" si="1107"/>
        <v>0.42897593204341672</v>
      </c>
      <c r="I2782" s="2"/>
      <c r="J2782" s="2">
        <f t="shared" si="1097"/>
        <v>0.27489381783860312</v>
      </c>
      <c r="K2782" s="2">
        <f t="shared" si="1098"/>
        <v>0.70386974988201978</v>
      </c>
      <c r="L2782" s="2">
        <f t="shared" si="1099"/>
        <v>9.4384143463898068E-4</v>
      </c>
      <c r="M2782" s="2">
        <f t="shared" si="1100"/>
        <v>2.0292590844738122E-2</v>
      </c>
      <c r="N2782" s="63">
        <v>1165</v>
      </c>
      <c r="O2782" s="63">
        <v>2983</v>
      </c>
      <c r="P2782" s="63">
        <v>4</v>
      </c>
      <c r="Q2782" s="63">
        <v>71</v>
      </c>
      <c r="R2782" s="63">
        <v>13</v>
      </c>
      <c r="S2782" s="63">
        <v>2</v>
      </c>
      <c r="T2782" s="63"/>
      <c r="U2782" s="63">
        <v>0</v>
      </c>
      <c r="V2782" s="63"/>
      <c r="W2782" s="63">
        <f>IF(Copyright!B$11=1,IF(CA2782&gt;0,CA2782-SUM(S2782:V2782)-P2782-SUM(X2782:AQ2782),SUM(CB2782:CI2782)),SUM(CB2782:CI2782))</f>
        <v>0</v>
      </c>
      <c r="X2782" s="63"/>
      <c r="Y2782" s="63">
        <v>0</v>
      </c>
      <c r="Z2782" s="63"/>
      <c r="AA2782" s="63">
        <v>0</v>
      </c>
      <c r="AB2782" s="63"/>
      <c r="AC2782" s="63"/>
      <c r="AD2782" s="63"/>
      <c r="AE2782" s="63">
        <v>0</v>
      </c>
      <c r="AF2782" s="63"/>
      <c r="AG2782" s="63"/>
      <c r="AH2782" s="63"/>
      <c r="AI2782" s="63"/>
      <c r="AJ2782" s="63"/>
      <c r="AK2782" s="63"/>
      <c r="AL2782" s="63"/>
      <c r="AM2782" s="63"/>
      <c r="AN2782" s="63">
        <v>0</v>
      </c>
      <c r="AO2782" s="63"/>
      <c r="AP2782" s="63"/>
      <c r="AQ2782" s="63"/>
      <c r="AR2782" s="63"/>
      <c r="AS2782" s="63"/>
      <c r="AT2782" s="63"/>
      <c r="AU2782" s="63"/>
      <c r="AW2782" s="5">
        <f>IF(Q2782&gt;0,RANK(Q2782,(N2782:P2782,Q2782:AE2782)),0)</f>
        <v>3</v>
      </c>
      <c r="AX2782" s="5">
        <f>IF(R2782&gt;0,RANK(R2782,(N2782:P2782,Q2782:AE2782)),0)</f>
        <v>4</v>
      </c>
      <c r="AY2782" s="5">
        <f>IF(T2782&gt;0,RANK(T2782,(N2782:P2782,Q2782:AE2782)),0)</f>
        <v>0</v>
      </c>
      <c r="AZ2782" s="5">
        <f>IF(S2782&gt;0,RANK(S2782,(N2782:P2782,Q2782:AE2782)),0)</f>
        <v>6</v>
      </c>
      <c r="BA2782" s="2">
        <f t="shared" si="1101"/>
        <v>1.6753185464841905E-2</v>
      </c>
      <c r="BB2782" s="2">
        <f t="shared" si="1102"/>
        <v>3.0674846625766872E-3</v>
      </c>
      <c r="BC2782" s="2">
        <f t="shared" si="1103"/>
        <v>0</v>
      </c>
      <c r="BD2782" s="2">
        <f t="shared" si="1104"/>
        <v>4.7192071731949034E-4</v>
      </c>
      <c r="BF2782" t="s">
        <v>1826</v>
      </c>
      <c r="BG2782" t="s">
        <v>53</v>
      </c>
      <c r="BH2782">
        <v>4</v>
      </c>
      <c r="BJ2782" s="114">
        <v>48</v>
      </c>
      <c r="BK2782" s="116">
        <v>315</v>
      </c>
      <c r="BL2782" s="120">
        <f t="shared" si="1095"/>
        <v>48315</v>
      </c>
      <c r="BN2782" s="5" t="s">
        <v>3154</v>
      </c>
      <c r="BZ2782" s="63">
        <f t="shared" si="1105"/>
        <v>4238</v>
      </c>
      <c r="CD2782" s="63">
        <v>0</v>
      </c>
      <c r="CE2782" s="63">
        <v>0</v>
      </c>
      <c r="CF2782" s="63">
        <v>0</v>
      </c>
      <c r="CG2782" s="8">
        <v>0</v>
      </c>
      <c r="CH2782" s="8">
        <v>0</v>
      </c>
      <c r="CI2782" s="8">
        <v>0</v>
      </c>
    </row>
    <row r="2783" spans="1:87" hidden="1" outlineLevel="1">
      <c r="A2783" t="s">
        <v>1</v>
      </c>
      <c r="B2783" t="s">
        <v>53</v>
      </c>
      <c r="C2783" s="1">
        <f t="shared" si="1096"/>
        <v>1762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32">
        <f t="shared" si="1106"/>
        <v>1189</v>
      </c>
      <c r="H2783" s="137">
        <f t="shared" si="1107"/>
        <v>0.67480136208853581</v>
      </c>
      <c r="I2783" s="2"/>
      <c r="J2783" s="2">
        <f t="shared" si="1097"/>
        <v>0.15096481271282633</v>
      </c>
      <c r="K2783" s="2">
        <f t="shared" si="1098"/>
        <v>0.82576617480136205</v>
      </c>
      <c r="L2783" s="2">
        <f t="shared" si="1099"/>
        <v>0</v>
      </c>
      <c r="M2783" s="2">
        <f t="shared" si="1100"/>
        <v>2.3269012485811591E-2</v>
      </c>
      <c r="N2783" s="63">
        <v>266</v>
      </c>
      <c r="O2783" s="63">
        <v>1455</v>
      </c>
      <c r="P2783" s="63">
        <v>0</v>
      </c>
      <c r="Q2783" s="63">
        <v>31</v>
      </c>
      <c r="R2783" s="63">
        <v>5</v>
      </c>
      <c r="S2783" s="63">
        <v>5</v>
      </c>
      <c r="T2783" s="63"/>
      <c r="U2783" s="63">
        <v>0</v>
      </c>
      <c r="V2783" s="63"/>
      <c r="W2783" s="63">
        <f>IF(Copyright!B$11=1,IF(CA2783&gt;0,CA2783-SUM(S2783:V2783)-P2783-SUM(X2783:AQ2783),SUM(CB2783:CI2783)),SUM(CB2783:CI2783))</f>
        <v>0</v>
      </c>
      <c r="X2783" s="63"/>
      <c r="Y2783" s="63">
        <v>0</v>
      </c>
      <c r="Z2783" s="63"/>
      <c r="AA2783" s="63">
        <v>0</v>
      </c>
      <c r="AB2783" s="63"/>
      <c r="AC2783" s="63"/>
      <c r="AD2783" s="63"/>
      <c r="AE2783" s="63">
        <v>0</v>
      </c>
      <c r="AF2783" s="63"/>
      <c r="AG2783" s="63"/>
      <c r="AH2783" s="63"/>
      <c r="AI2783" s="63"/>
      <c r="AJ2783" s="63"/>
      <c r="AK2783" s="63"/>
      <c r="AL2783" s="63"/>
      <c r="AM2783" s="63"/>
      <c r="AN2783" s="63">
        <v>0</v>
      </c>
      <c r="AO2783" s="63"/>
      <c r="AP2783" s="63"/>
      <c r="AQ2783" s="63"/>
      <c r="AR2783" s="63"/>
      <c r="AS2783" s="63"/>
      <c r="AT2783" s="63"/>
      <c r="AU2783" s="63"/>
      <c r="AW2783" s="5">
        <f>IF(Q2783&gt;0,RANK(Q2783,(N2783:P2783,Q2783:AE2783)),0)</f>
        <v>3</v>
      </c>
      <c r="AX2783" s="5">
        <f>IF(R2783&gt;0,RANK(R2783,(N2783:P2783,Q2783:AE2783)),0)</f>
        <v>4</v>
      </c>
      <c r="AY2783" s="5">
        <f>IF(T2783&gt;0,RANK(T2783,(N2783:P2783,Q2783:AE2783)),0)</f>
        <v>0</v>
      </c>
      <c r="AZ2783" s="5">
        <f>IF(S2783&gt;0,RANK(S2783,(N2783:P2783,Q2783:AE2783)),0)</f>
        <v>4</v>
      </c>
      <c r="BA2783" s="2">
        <f t="shared" si="1101"/>
        <v>1.7593643586833144E-2</v>
      </c>
      <c r="BB2783" s="2">
        <f t="shared" si="1102"/>
        <v>2.8376844494892167E-3</v>
      </c>
      <c r="BC2783" s="2">
        <f t="shared" si="1103"/>
        <v>0</v>
      </c>
      <c r="BD2783" s="2">
        <f t="shared" si="1104"/>
        <v>2.8376844494892167E-3</v>
      </c>
      <c r="BF2783" t="s">
        <v>1</v>
      </c>
      <c r="BG2783" t="s">
        <v>53</v>
      </c>
      <c r="BH2783">
        <v>11</v>
      </c>
      <c r="BJ2783" s="114">
        <v>48</v>
      </c>
      <c r="BK2783" s="116">
        <v>317</v>
      </c>
      <c r="BL2783" s="120">
        <f t="shared" si="1095"/>
        <v>48317</v>
      </c>
      <c r="BN2783" s="5" t="s">
        <v>3154</v>
      </c>
      <c r="BZ2783" s="63">
        <f t="shared" si="1105"/>
        <v>1762</v>
      </c>
      <c r="CD2783" s="63">
        <v>0</v>
      </c>
      <c r="CE2783" s="63">
        <v>0</v>
      </c>
      <c r="CF2783" s="63">
        <v>0</v>
      </c>
      <c r="CG2783" s="8">
        <v>0</v>
      </c>
      <c r="CH2783" s="8">
        <v>0</v>
      </c>
      <c r="CI2783" s="8">
        <v>0</v>
      </c>
    </row>
    <row r="2784" spans="1:87" hidden="1" outlineLevel="1">
      <c r="A2784" t="s">
        <v>1942</v>
      </c>
      <c r="B2784" t="s">
        <v>53</v>
      </c>
      <c r="C2784" s="1">
        <f t="shared" si="1096"/>
        <v>2057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5</v>
      </c>
      <c r="G2784" s="132">
        <f t="shared" si="1106"/>
        <v>1302</v>
      </c>
      <c r="H2784" s="137">
        <f t="shared" si="1107"/>
        <v>0.63296062226543515</v>
      </c>
      <c r="I2784" s="2"/>
      <c r="J2784" s="2">
        <f t="shared" si="1097"/>
        <v>0.17209528439474964</v>
      </c>
      <c r="K2784" s="2">
        <f t="shared" si="1098"/>
        <v>0.80505590666018478</v>
      </c>
      <c r="L2784" s="2">
        <f t="shared" si="1099"/>
        <v>9.7228974234321824E-4</v>
      </c>
      <c r="M2784" s="2">
        <f t="shared" si="1100"/>
        <v>2.187651920272236E-2</v>
      </c>
      <c r="N2784" s="63">
        <v>354</v>
      </c>
      <c r="O2784" s="63">
        <v>1656</v>
      </c>
      <c r="P2784" s="63">
        <v>2</v>
      </c>
      <c r="Q2784" s="63">
        <v>37</v>
      </c>
      <c r="R2784" s="63">
        <v>7</v>
      </c>
      <c r="S2784" s="63">
        <v>0</v>
      </c>
      <c r="T2784" s="63"/>
      <c r="U2784" s="63">
        <v>0</v>
      </c>
      <c r="V2784" s="63"/>
      <c r="W2784" s="63">
        <f>IF(Copyright!B$11=1,IF(CA2784&gt;0,CA2784-SUM(S2784:V2784)-P2784-SUM(X2784:AQ2784),SUM(CB2784:CI2784)),SUM(CB2784:CI2784))</f>
        <v>0</v>
      </c>
      <c r="X2784" s="63"/>
      <c r="Y2784" s="63">
        <v>0</v>
      </c>
      <c r="Z2784" s="63"/>
      <c r="AA2784" s="63">
        <v>0</v>
      </c>
      <c r="AB2784" s="63"/>
      <c r="AC2784" s="63"/>
      <c r="AD2784" s="63"/>
      <c r="AE2784" s="63">
        <v>1</v>
      </c>
      <c r="AF2784" s="63"/>
      <c r="AG2784" s="63"/>
      <c r="AH2784" s="63"/>
      <c r="AI2784" s="63"/>
      <c r="AJ2784" s="63"/>
      <c r="AK2784" s="63"/>
      <c r="AL2784" s="63"/>
      <c r="AM2784" s="63"/>
      <c r="AN2784" s="63">
        <v>0</v>
      </c>
      <c r="AO2784" s="63"/>
      <c r="AP2784" s="63"/>
      <c r="AQ2784" s="63"/>
      <c r="AR2784" s="63"/>
      <c r="AS2784" s="63"/>
      <c r="AT2784" s="63"/>
      <c r="AU2784" s="63"/>
      <c r="AW2784" s="5">
        <f>IF(Q2784&gt;0,RANK(Q2784,(N2784:P2784,Q2784:AE2784)),0)</f>
        <v>3</v>
      </c>
      <c r="AX2784" s="5">
        <f>IF(R2784&gt;0,RANK(R2784,(N2784:P2784,Q2784:AE2784)),0)</f>
        <v>4</v>
      </c>
      <c r="AY2784" s="5">
        <f>IF(T2784&gt;0,RANK(T2784,(N2784:P2784,Q2784:AE2784)),0)</f>
        <v>0</v>
      </c>
      <c r="AZ2784" s="5">
        <f>IF(S2784&gt;0,RANK(S2784,(N2784:P2784,Q2784:AE2784)),0)</f>
        <v>0</v>
      </c>
      <c r="BA2784" s="2">
        <f t="shared" si="1101"/>
        <v>1.7987360233349538E-2</v>
      </c>
      <c r="BB2784" s="2">
        <f t="shared" si="1102"/>
        <v>3.4030140982012642E-3</v>
      </c>
      <c r="BC2784" s="2">
        <f t="shared" si="1103"/>
        <v>0</v>
      </c>
      <c r="BD2784" s="2">
        <f t="shared" si="1104"/>
        <v>0</v>
      </c>
      <c r="BF2784" t="s">
        <v>1942</v>
      </c>
      <c r="BG2784" t="s">
        <v>53</v>
      </c>
      <c r="BH2784">
        <v>11</v>
      </c>
      <c r="BJ2784" s="114">
        <v>48</v>
      </c>
      <c r="BK2784" s="116">
        <v>319</v>
      </c>
      <c r="BL2784" s="120">
        <f t="shared" si="1095"/>
        <v>48319</v>
      </c>
      <c r="BN2784" s="5" t="s">
        <v>3154</v>
      </c>
      <c r="BZ2784" s="63">
        <f t="shared" si="1105"/>
        <v>2057</v>
      </c>
      <c r="CD2784" s="63">
        <v>0</v>
      </c>
      <c r="CE2784" s="63">
        <v>0</v>
      </c>
      <c r="CF2784" s="63">
        <v>0</v>
      </c>
      <c r="CG2784" s="8">
        <v>0</v>
      </c>
      <c r="CH2784" s="8">
        <v>0</v>
      </c>
      <c r="CI2784" s="8">
        <v>0</v>
      </c>
    </row>
    <row r="2785" spans="1:87" hidden="1" outlineLevel="1">
      <c r="A2785" t="s">
        <v>2150</v>
      </c>
      <c r="B2785" t="s">
        <v>53</v>
      </c>
      <c r="C2785" s="1">
        <f t="shared" si="1096"/>
        <v>12196</v>
      </c>
      <c r="D2785" s="5">
        <f>IF(N2785&gt;0, RANK(N2785,(N2785:P2785,Q2785:AE2785)),0)</f>
        <v>2</v>
      </c>
      <c r="E2785" s="5">
        <f>IF(O2785&gt;0,RANK(O2785,(N2785:P2785,Q2785:AE2785)),0)</f>
        <v>1</v>
      </c>
      <c r="F2785" s="5">
        <f>IF(P2785&gt;0,RANK(P2785,(N2785:P2785,Q2785:AE2785)),0)</f>
        <v>5</v>
      </c>
      <c r="G2785" s="132">
        <f t="shared" si="1106"/>
        <v>4866</v>
      </c>
      <c r="H2785" s="137">
        <f t="shared" si="1107"/>
        <v>0.3989832732043293</v>
      </c>
      <c r="I2785" s="2"/>
      <c r="J2785" s="2">
        <f t="shared" si="1097"/>
        <v>0.28697933748770088</v>
      </c>
      <c r="K2785" s="2">
        <f t="shared" si="1098"/>
        <v>0.68596261069203013</v>
      </c>
      <c r="L2785" s="2">
        <f t="shared" si="1099"/>
        <v>1.9678583142013774E-3</v>
      </c>
      <c r="M2785" s="2">
        <f t="shared" si="1100"/>
        <v>2.5090193506067615E-2</v>
      </c>
      <c r="N2785" s="63">
        <v>3500</v>
      </c>
      <c r="O2785" s="63">
        <v>8366</v>
      </c>
      <c r="P2785" s="63">
        <v>24</v>
      </c>
      <c r="Q2785" s="63">
        <v>239</v>
      </c>
      <c r="R2785" s="63">
        <v>53</v>
      </c>
      <c r="S2785" s="63">
        <v>7</v>
      </c>
      <c r="T2785" s="63"/>
      <c r="U2785" s="63">
        <v>0</v>
      </c>
      <c r="V2785" s="63"/>
      <c r="W2785" s="63">
        <f>IF(Copyright!B$11=1,IF(CA2785&gt;0,CA2785-SUM(S2785:V2785)-P2785-SUM(X2785:AQ2785),SUM(CB2785:CI2785)),SUM(CB2785:CI2785))</f>
        <v>1</v>
      </c>
      <c r="X2785" s="63"/>
      <c r="Y2785" s="63">
        <v>2</v>
      </c>
      <c r="Z2785" s="63"/>
      <c r="AA2785" s="63">
        <v>0</v>
      </c>
      <c r="AB2785" s="63"/>
      <c r="AC2785" s="63"/>
      <c r="AD2785" s="63"/>
      <c r="AE2785" s="63">
        <v>4</v>
      </c>
      <c r="AF2785" s="63"/>
      <c r="AG2785" s="63"/>
      <c r="AH2785" s="63"/>
      <c r="AI2785" s="63"/>
      <c r="AJ2785" s="63"/>
      <c r="AK2785" s="63"/>
      <c r="AL2785" s="63"/>
      <c r="AM2785" s="63"/>
      <c r="AN2785" s="63">
        <v>0</v>
      </c>
      <c r="AO2785" s="63"/>
      <c r="AP2785" s="63"/>
      <c r="AQ2785" s="63"/>
      <c r="AR2785" s="63"/>
      <c r="AS2785" s="63"/>
      <c r="AT2785" s="63"/>
      <c r="AU2785" s="63"/>
      <c r="AW2785" s="5">
        <f>IF(Q2785&gt;0,RANK(Q2785,(N2785:P2785,Q2785:AE2785)),0)</f>
        <v>3</v>
      </c>
      <c r="AX2785" s="5">
        <f>IF(R2785&gt;0,RANK(R2785,(N2785:P2785,Q2785:AE2785)),0)</f>
        <v>4</v>
      </c>
      <c r="AY2785" s="5">
        <f>IF(T2785&gt;0,RANK(T2785,(N2785:P2785,Q2785:AE2785)),0)</f>
        <v>0</v>
      </c>
      <c r="AZ2785" s="5">
        <f>IF(S2785&gt;0,RANK(S2785,(N2785:P2785,Q2785:AE2785)),0)</f>
        <v>6</v>
      </c>
      <c r="BA2785" s="2">
        <f t="shared" si="1101"/>
        <v>1.9596589045588718E-2</v>
      </c>
      <c r="BB2785" s="2">
        <f t="shared" si="1102"/>
        <v>4.3456871105280416E-3</v>
      </c>
      <c r="BC2785" s="2">
        <f t="shared" si="1103"/>
        <v>0</v>
      </c>
      <c r="BD2785" s="2">
        <f t="shared" si="1104"/>
        <v>5.7395867497540181E-4</v>
      </c>
      <c r="BF2785" t="s">
        <v>2150</v>
      </c>
      <c r="BG2785" t="s">
        <v>53</v>
      </c>
      <c r="BH2785">
        <v>27</v>
      </c>
      <c r="BJ2785" s="114">
        <v>48</v>
      </c>
      <c r="BK2785" s="116">
        <v>321</v>
      </c>
      <c r="BL2785" s="120">
        <f t="shared" si="1095"/>
        <v>48321</v>
      </c>
      <c r="BN2785" s="5" t="s">
        <v>3154</v>
      </c>
      <c r="BZ2785" s="63">
        <f t="shared" si="1105"/>
        <v>12196</v>
      </c>
      <c r="CD2785" s="63">
        <v>0</v>
      </c>
      <c r="CE2785" s="63">
        <v>1</v>
      </c>
      <c r="CF2785" s="63">
        <v>0</v>
      </c>
      <c r="CG2785" s="8">
        <v>0</v>
      </c>
      <c r="CH2785" s="8">
        <v>0</v>
      </c>
      <c r="CI2785" s="8">
        <v>0</v>
      </c>
    </row>
    <row r="2786" spans="1:87" hidden="1" outlineLevel="1">
      <c r="A2786" t="s">
        <v>32</v>
      </c>
      <c r="B2786" t="s">
        <v>53</v>
      </c>
      <c r="C2786" s="1">
        <f t="shared" si="1096"/>
        <v>13588</v>
      </c>
      <c r="D2786" s="5">
        <f>IF(N2786&gt;0, RANK(N2786,(N2786:P2786,Q2786:AE2786)),0)</f>
        <v>1</v>
      </c>
      <c r="E2786" s="5">
        <f>IF(O2786&gt;0,RANK(O2786,(N2786:P2786,Q2786:AE2786)),0)</f>
        <v>2</v>
      </c>
      <c r="F2786" s="5">
        <f>IF(P2786&gt;0,RANK(P2786,(N2786:P2786,Q2786:AE2786)),0)</f>
        <v>0</v>
      </c>
      <c r="G2786" s="132">
        <f t="shared" si="1106"/>
        <v>7581</v>
      </c>
      <c r="H2786" s="137">
        <f t="shared" si="1107"/>
        <v>0.55791875183985873</v>
      </c>
      <c r="I2786" s="2"/>
      <c r="J2786" s="2">
        <f t="shared" si="1097"/>
        <v>0.76516043567853986</v>
      </c>
      <c r="K2786" s="2">
        <f t="shared" si="1098"/>
        <v>0.20724168383868119</v>
      </c>
      <c r="L2786" s="2">
        <f t="shared" si="1099"/>
        <v>0</v>
      </c>
      <c r="M2786" s="2">
        <f t="shared" si="1100"/>
        <v>2.7597880482778947E-2</v>
      </c>
      <c r="N2786" s="63">
        <v>10397</v>
      </c>
      <c r="O2786" s="63">
        <v>2816</v>
      </c>
      <c r="P2786" s="63">
        <v>0</v>
      </c>
      <c r="Q2786" s="63">
        <v>266</v>
      </c>
      <c r="R2786" s="63">
        <v>109</v>
      </c>
      <c r="S2786" s="63">
        <v>0</v>
      </c>
      <c r="T2786" s="63"/>
      <c r="U2786" s="63">
        <v>0</v>
      </c>
      <c r="V2786" s="63"/>
      <c r="W2786" s="63">
        <f>IF(Copyright!B$11=1,IF(CA2786&gt;0,CA2786-SUM(S2786:V2786)-P2786-SUM(X2786:AQ2786),SUM(CB2786:CI2786)),SUM(CB2786:CI2786))</f>
        <v>0</v>
      </c>
      <c r="X2786" s="63"/>
      <c r="Y2786" s="63">
        <v>0</v>
      </c>
      <c r="Z2786" s="63"/>
      <c r="AA2786" s="63">
        <v>0</v>
      </c>
      <c r="AB2786" s="63"/>
      <c r="AC2786" s="63"/>
      <c r="AD2786" s="63"/>
      <c r="AE2786" s="63">
        <v>0</v>
      </c>
      <c r="AF2786" s="63"/>
      <c r="AG2786" s="63"/>
      <c r="AH2786" s="63"/>
      <c r="AI2786" s="63"/>
      <c r="AJ2786" s="63"/>
      <c r="AK2786" s="63"/>
      <c r="AL2786" s="63"/>
      <c r="AM2786" s="63"/>
      <c r="AN2786" s="63">
        <v>0</v>
      </c>
      <c r="AO2786" s="63"/>
      <c r="AP2786" s="63"/>
      <c r="AQ2786" s="63"/>
      <c r="AR2786" s="63"/>
      <c r="AS2786" s="63"/>
      <c r="AT2786" s="63"/>
      <c r="AU2786" s="63"/>
      <c r="AW2786" s="5">
        <f>IF(Q2786&gt;0,RANK(Q2786,(N2786:P2786,Q2786:AE2786)),0)</f>
        <v>3</v>
      </c>
      <c r="AX2786" s="5">
        <f>IF(R2786&gt;0,RANK(R2786,(N2786:P2786,Q2786:AE2786)),0)</f>
        <v>4</v>
      </c>
      <c r="AY2786" s="5">
        <f>IF(T2786&gt;0,RANK(T2786,(N2786:P2786,Q2786:AE2786)),0)</f>
        <v>0</v>
      </c>
      <c r="AZ2786" s="5">
        <f>IF(S2786&gt;0,RANK(S2786,(N2786:P2786,Q2786:AE2786)),0)</f>
        <v>0</v>
      </c>
      <c r="BA2786" s="2">
        <f t="shared" si="1101"/>
        <v>1.9576096555784517E-2</v>
      </c>
      <c r="BB2786" s="2">
        <f t="shared" si="1102"/>
        <v>8.0217839269944077E-3</v>
      </c>
      <c r="BC2786" s="2">
        <f t="shared" si="1103"/>
        <v>0</v>
      </c>
      <c r="BD2786" s="2">
        <f t="shared" si="1104"/>
        <v>0</v>
      </c>
      <c r="BF2786" t="s">
        <v>32</v>
      </c>
      <c r="BG2786" t="s">
        <v>53</v>
      </c>
      <c r="BH2786">
        <v>23</v>
      </c>
      <c r="BJ2786" s="114">
        <v>48</v>
      </c>
      <c r="BK2786" s="116">
        <v>323</v>
      </c>
      <c r="BL2786" s="120">
        <f t="shared" si="1095"/>
        <v>48323</v>
      </c>
      <c r="BN2786" s="5" t="s">
        <v>3154</v>
      </c>
      <c r="BZ2786" s="63">
        <f t="shared" si="1105"/>
        <v>13588</v>
      </c>
      <c r="CD2786" s="63">
        <v>0</v>
      </c>
      <c r="CE2786" s="63">
        <v>0</v>
      </c>
      <c r="CF2786" s="63">
        <v>0</v>
      </c>
      <c r="CG2786" s="8">
        <v>0</v>
      </c>
      <c r="CH2786" s="8">
        <v>0</v>
      </c>
      <c r="CI2786" s="8">
        <v>0</v>
      </c>
    </row>
    <row r="2787" spans="1:87" hidden="1" outlineLevel="1">
      <c r="A2787" t="s">
        <v>1301</v>
      </c>
      <c r="B2787" t="s">
        <v>53</v>
      </c>
      <c r="C2787" s="1">
        <f t="shared" si="1096"/>
        <v>17246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32">
        <f t="shared" si="1106"/>
        <v>7451</v>
      </c>
      <c r="H2787" s="137">
        <f t="shared" si="1107"/>
        <v>0.43204221268699988</v>
      </c>
      <c r="I2787" s="2"/>
      <c r="J2787" s="2">
        <f t="shared" si="1097"/>
        <v>0.26869998840310799</v>
      </c>
      <c r="K2787" s="2">
        <f t="shared" si="1098"/>
        <v>0.70074220109010787</v>
      </c>
      <c r="L2787" s="2">
        <f t="shared" si="1099"/>
        <v>0</v>
      </c>
      <c r="M2787" s="2">
        <f t="shared" si="1100"/>
        <v>3.0557810506784078E-2</v>
      </c>
      <c r="N2787" s="63">
        <v>4634</v>
      </c>
      <c r="O2787" s="63">
        <v>12085</v>
      </c>
      <c r="P2787" s="63">
        <v>0</v>
      </c>
      <c r="Q2787" s="63">
        <v>403</v>
      </c>
      <c r="R2787" s="63">
        <v>106</v>
      </c>
      <c r="S2787" s="63">
        <v>16</v>
      </c>
      <c r="T2787" s="63"/>
      <c r="U2787" s="63">
        <v>0</v>
      </c>
      <c r="V2787" s="63"/>
      <c r="W2787" s="63">
        <f>IF(Copyright!B$11=1,IF(CA2787&gt;0,CA2787-SUM(S2787:V2787)-P2787-SUM(X2787:AQ2787),SUM(CB2787:CI2787)),SUM(CB2787:CI2787))</f>
        <v>2</v>
      </c>
      <c r="X2787" s="63"/>
      <c r="Y2787" s="63">
        <v>0</v>
      </c>
      <c r="Z2787" s="63"/>
      <c r="AA2787" s="63">
        <v>0</v>
      </c>
      <c r="AB2787" s="63"/>
      <c r="AC2787" s="63"/>
      <c r="AD2787" s="63"/>
      <c r="AE2787" s="63">
        <v>0</v>
      </c>
      <c r="AF2787" s="63"/>
      <c r="AG2787" s="63"/>
      <c r="AH2787" s="63"/>
      <c r="AI2787" s="63"/>
      <c r="AJ2787" s="63"/>
      <c r="AK2787" s="63"/>
      <c r="AL2787" s="63"/>
      <c r="AM2787" s="63"/>
      <c r="AN2787" s="63">
        <v>0</v>
      </c>
      <c r="AO2787" s="63"/>
      <c r="AP2787" s="63"/>
      <c r="AQ2787" s="63"/>
      <c r="AR2787" s="63"/>
      <c r="AS2787" s="63"/>
      <c r="AT2787" s="63"/>
      <c r="AU2787" s="63"/>
      <c r="AW2787" s="5">
        <f>IF(Q2787&gt;0,RANK(Q2787,(N2787:P2787,Q2787:AE2787)),0)</f>
        <v>3</v>
      </c>
      <c r="AX2787" s="5">
        <f>IF(R2787&gt;0,RANK(R2787,(N2787:P2787,Q2787:AE2787)),0)</f>
        <v>4</v>
      </c>
      <c r="AY2787" s="5">
        <f>IF(T2787&gt;0,RANK(T2787,(N2787:P2787,Q2787:AE2787)),0)</f>
        <v>0</v>
      </c>
      <c r="AZ2787" s="5">
        <f>IF(S2787&gt;0,RANK(S2787,(N2787:P2787,Q2787:AE2787)),0)</f>
        <v>5</v>
      </c>
      <c r="BA2787" s="2">
        <f t="shared" si="1101"/>
        <v>2.3367737446364376E-2</v>
      </c>
      <c r="BB2787" s="2">
        <f t="shared" si="1102"/>
        <v>6.1463527774556423E-3</v>
      </c>
      <c r="BC2787" s="2">
        <f t="shared" si="1103"/>
        <v>0</v>
      </c>
      <c r="BD2787" s="2">
        <f t="shared" si="1104"/>
        <v>9.2775136263481388E-4</v>
      </c>
      <c r="BF2787" t="s">
        <v>1301</v>
      </c>
      <c r="BG2787" t="s">
        <v>53</v>
      </c>
      <c r="BH2787">
        <v>23</v>
      </c>
      <c r="BJ2787" s="114">
        <v>48</v>
      </c>
      <c r="BK2787" s="116">
        <v>325</v>
      </c>
      <c r="BL2787" s="120">
        <f t="shared" si="1095"/>
        <v>48325</v>
      </c>
      <c r="BN2787" s="5" t="s">
        <v>3154</v>
      </c>
      <c r="BZ2787" s="63">
        <f t="shared" si="1105"/>
        <v>17246</v>
      </c>
      <c r="CD2787" s="63">
        <v>1</v>
      </c>
      <c r="CE2787" s="63">
        <v>0</v>
      </c>
      <c r="CF2787" s="63">
        <v>0</v>
      </c>
      <c r="CG2787" s="8">
        <v>0</v>
      </c>
      <c r="CH2787" s="8">
        <v>1</v>
      </c>
      <c r="CI2787" s="8">
        <v>0</v>
      </c>
    </row>
    <row r="2788" spans="1:87" hidden="1" outlineLevel="1">
      <c r="A2788" t="s">
        <v>3037</v>
      </c>
      <c r="B2788" t="s">
        <v>53</v>
      </c>
      <c r="C2788" s="1">
        <f t="shared" si="1096"/>
        <v>864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4</v>
      </c>
      <c r="G2788" s="132">
        <f t="shared" si="1106"/>
        <v>528</v>
      </c>
      <c r="H2788" s="137">
        <f t="shared" si="1107"/>
        <v>0.61111111111111116</v>
      </c>
      <c r="I2788" s="2"/>
      <c r="J2788" s="2">
        <f t="shared" si="1097"/>
        <v>0.17824074074074073</v>
      </c>
      <c r="K2788" s="2">
        <f t="shared" si="1098"/>
        <v>0.78935185185185186</v>
      </c>
      <c r="L2788" s="2">
        <f t="shared" si="1099"/>
        <v>2.3148148148148147E-3</v>
      </c>
      <c r="M2788" s="2">
        <f t="shared" si="1100"/>
        <v>3.0092592592592626E-2</v>
      </c>
      <c r="N2788" s="63">
        <v>154</v>
      </c>
      <c r="O2788" s="63">
        <v>682</v>
      </c>
      <c r="P2788" s="63">
        <v>2</v>
      </c>
      <c r="Q2788" s="63">
        <v>25</v>
      </c>
      <c r="R2788" s="63">
        <v>1</v>
      </c>
      <c r="S2788" s="63">
        <v>0</v>
      </c>
      <c r="T2788" s="63"/>
      <c r="U2788" s="63">
        <v>0</v>
      </c>
      <c r="V2788" s="63"/>
      <c r="W2788" s="63">
        <f>IF(Copyright!B$11=1,IF(CA2788&gt;0,CA2788-SUM(S2788:V2788)-P2788-SUM(X2788:AQ2788),SUM(CB2788:CI2788)),SUM(CB2788:CI2788))</f>
        <v>0</v>
      </c>
      <c r="X2788" s="63"/>
      <c r="Y2788" s="63">
        <v>0</v>
      </c>
      <c r="Z2788" s="63"/>
      <c r="AA2788" s="63">
        <v>0</v>
      </c>
      <c r="AB2788" s="63"/>
      <c r="AC2788" s="63"/>
      <c r="AD2788" s="63"/>
      <c r="AE2788" s="63">
        <v>0</v>
      </c>
      <c r="AF2788" s="63"/>
      <c r="AG2788" s="63"/>
      <c r="AH2788" s="63"/>
      <c r="AI2788" s="63"/>
      <c r="AJ2788" s="63"/>
      <c r="AK2788" s="63"/>
      <c r="AL2788" s="63"/>
      <c r="AM2788" s="63"/>
      <c r="AN2788" s="63">
        <v>0</v>
      </c>
      <c r="AO2788" s="63"/>
      <c r="AP2788" s="63"/>
      <c r="AQ2788" s="63"/>
      <c r="AR2788" s="63"/>
      <c r="AS2788" s="63"/>
      <c r="AT2788" s="63"/>
      <c r="AU2788" s="63"/>
      <c r="AW2788" s="5">
        <f>IF(Q2788&gt;0,RANK(Q2788,(N2788:P2788,Q2788:AE2788)),0)</f>
        <v>3</v>
      </c>
      <c r="AX2788" s="5">
        <f>IF(R2788&gt;0,RANK(R2788,(N2788:P2788,Q2788:AE2788)),0)</f>
        <v>5</v>
      </c>
      <c r="AY2788" s="5">
        <f>IF(T2788&gt;0,RANK(T2788,(N2788:P2788,Q2788:AE2788)),0)</f>
        <v>0</v>
      </c>
      <c r="AZ2788" s="5">
        <f>IF(S2788&gt;0,RANK(S2788,(N2788:P2788,Q2788:AE2788)),0)</f>
        <v>0</v>
      </c>
      <c r="BA2788" s="2">
        <f t="shared" si="1101"/>
        <v>2.8935185185185185E-2</v>
      </c>
      <c r="BB2788" s="2">
        <f t="shared" si="1102"/>
        <v>1.1574074074074073E-3</v>
      </c>
      <c r="BC2788" s="2">
        <f t="shared" si="1103"/>
        <v>0</v>
      </c>
      <c r="BD2788" s="2">
        <f t="shared" si="1104"/>
        <v>0</v>
      </c>
      <c r="BF2788" t="s">
        <v>3037</v>
      </c>
      <c r="BG2788" t="s">
        <v>53</v>
      </c>
      <c r="BH2788">
        <v>11</v>
      </c>
      <c r="BJ2788" s="114">
        <v>48</v>
      </c>
      <c r="BK2788" s="116">
        <v>327</v>
      </c>
      <c r="BL2788" s="120">
        <f t="shared" si="1095"/>
        <v>48327</v>
      </c>
      <c r="BN2788" s="5" t="s">
        <v>3154</v>
      </c>
      <c r="BZ2788" s="63">
        <f t="shared" si="1105"/>
        <v>864</v>
      </c>
      <c r="CD2788" s="63">
        <v>0</v>
      </c>
      <c r="CE2788" s="63">
        <v>0</v>
      </c>
      <c r="CF2788" s="63">
        <v>0</v>
      </c>
      <c r="CG2788" s="8">
        <v>0</v>
      </c>
      <c r="CH2788" s="8">
        <v>0</v>
      </c>
      <c r="CI2788" s="8">
        <v>0</v>
      </c>
    </row>
    <row r="2789" spans="1:87" hidden="1" outlineLevel="1">
      <c r="A2789" t="s">
        <v>2528</v>
      </c>
      <c r="B2789" t="s">
        <v>53</v>
      </c>
      <c r="C2789" s="1">
        <f t="shared" si="1096"/>
        <v>49212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4</v>
      </c>
      <c r="G2789" s="132">
        <f t="shared" si="1106"/>
        <v>26948</v>
      </c>
      <c r="H2789" s="137">
        <f t="shared" si="1107"/>
        <v>0.54759001869462731</v>
      </c>
      <c r="I2789" s="2"/>
      <c r="J2789" s="2">
        <f t="shared" si="1097"/>
        <v>0.20371047711940177</v>
      </c>
      <c r="K2789" s="2">
        <f t="shared" si="1098"/>
        <v>0.75130049581402913</v>
      </c>
      <c r="L2789" s="2">
        <f t="shared" si="1099"/>
        <v>5.6287084450946925E-3</v>
      </c>
      <c r="M2789" s="2">
        <f t="shared" si="1100"/>
        <v>3.9360318621474349E-2</v>
      </c>
      <c r="N2789" s="63">
        <v>10025</v>
      </c>
      <c r="O2789" s="63">
        <v>36973</v>
      </c>
      <c r="P2789" s="63">
        <v>277</v>
      </c>
      <c r="Q2789" s="63">
        <v>1667</v>
      </c>
      <c r="R2789" s="63">
        <v>203</v>
      </c>
      <c r="S2789" s="63">
        <v>43</v>
      </c>
      <c r="T2789" s="63"/>
      <c r="U2789" s="63">
        <v>1</v>
      </c>
      <c r="V2789" s="63"/>
      <c r="W2789" s="63">
        <f>IF(Copyright!B$11=1,IF(CA2789&gt;0,CA2789-SUM(S2789:V2789)-P2789-SUM(X2789:AQ2789),SUM(CB2789:CI2789)),SUM(CB2789:CI2789))</f>
        <v>9</v>
      </c>
      <c r="X2789" s="63"/>
      <c r="Y2789" s="63">
        <v>4</v>
      </c>
      <c r="Z2789" s="63"/>
      <c r="AA2789" s="63">
        <v>0</v>
      </c>
      <c r="AB2789" s="63"/>
      <c r="AC2789" s="63"/>
      <c r="AD2789" s="63"/>
      <c r="AE2789" s="63">
        <v>2</v>
      </c>
      <c r="AF2789" s="63"/>
      <c r="AG2789" s="63"/>
      <c r="AH2789" s="63"/>
      <c r="AI2789" s="63"/>
      <c r="AJ2789" s="63"/>
      <c r="AK2789" s="63"/>
      <c r="AL2789" s="63"/>
      <c r="AM2789" s="63"/>
      <c r="AN2789" s="63">
        <v>8</v>
      </c>
      <c r="AO2789" s="63"/>
      <c r="AP2789" s="63"/>
      <c r="AQ2789" s="63"/>
      <c r="AR2789" s="63"/>
      <c r="AS2789" s="63"/>
      <c r="AT2789" s="63"/>
      <c r="AU2789" s="63"/>
      <c r="AW2789" s="5">
        <f>IF(Q2789&gt;0,RANK(Q2789,(N2789:P2789,Q2789:AE2789)),0)</f>
        <v>3</v>
      </c>
      <c r="AX2789" s="5">
        <f>IF(R2789&gt;0,RANK(R2789,(N2789:P2789,Q2789:AE2789)),0)</f>
        <v>5</v>
      </c>
      <c r="AY2789" s="5">
        <f>IF(T2789&gt;0,RANK(T2789,(N2789:P2789,Q2789:AE2789)),0)</f>
        <v>0</v>
      </c>
      <c r="AZ2789" s="5">
        <f>IF(S2789&gt;0,RANK(S2789,(N2789:P2789,Q2789:AE2789)),0)</f>
        <v>6</v>
      </c>
      <c r="BA2789" s="2">
        <f t="shared" si="1101"/>
        <v>3.3873851906039178E-2</v>
      </c>
      <c r="BB2789" s="2">
        <f t="shared" si="1102"/>
        <v>4.1250101601235474E-3</v>
      </c>
      <c r="BC2789" s="2">
        <f t="shared" si="1103"/>
        <v>0</v>
      </c>
      <c r="BD2789" s="2">
        <f t="shared" si="1104"/>
        <v>8.7377062505080056E-4</v>
      </c>
      <c r="BF2789" t="s">
        <v>2528</v>
      </c>
      <c r="BG2789" t="s">
        <v>53</v>
      </c>
      <c r="BH2789">
        <v>11</v>
      </c>
      <c r="BJ2789" s="114">
        <v>48</v>
      </c>
      <c r="BK2789" s="116">
        <v>329</v>
      </c>
      <c r="BL2789" s="120">
        <f t="shared" si="1095"/>
        <v>48329</v>
      </c>
      <c r="BN2789" s="5" t="s">
        <v>3154</v>
      </c>
      <c r="BZ2789" s="63">
        <f t="shared" si="1105"/>
        <v>49212</v>
      </c>
      <c r="CA2789" s="133"/>
      <c r="CD2789" s="63">
        <v>3</v>
      </c>
      <c r="CE2789" s="63">
        <v>2</v>
      </c>
      <c r="CF2789" s="63">
        <v>2</v>
      </c>
      <c r="CG2789" s="8">
        <v>1</v>
      </c>
      <c r="CH2789" s="8">
        <v>1</v>
      </c>
      <c r="CI2789" s="8">
        <v>0</v>
      </c>
    </row>
    <row r="2790" spans="1:87" hidden="1" outlineLevel="1">
      <c r="A2790" t="s">
        <v>771</v>
      </c>
      <c r="B2790" t="s">
        <v>53</v>
      </c>
      <c r="C2790" s="1">
        <f t="shared" si="1096"/>
        <v>8664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6</v>
      </c>
      <c r="G2790" s="132">
        <f t="shared" si="1106"/>
        <v>4313</v>
      </c>
      <c r="H2790" s="137">
        <f t="shared" si="1107"/>
        <v>0.49780701754385964</v>
      </c>
      <c r="I2790" s="2"/>
      <c r="J2790" s="2">
        <f t="shared" si="1097"/>
        <v>0.23672668513388734</v>
      </c>
      <c r="K2790" s="2">
        <f t="shared" si="1098"/>
        <v>0.73453370267774698</v>
      </c>
      <c r="L2790" s="2">
        <f t="shared" si="1099"/>
        <v>1.0387811634349031E-3</v>
      </c>
      <c r="M2790" s="2">
        <f t="shared" si="1100"/>
        <v>2.7700831024930723E-2</v>
      </c>
      <c r="N2790" s="63">
        <v>2051</v>
      </c>
      <c r="O2790" s="63">
        <v>6364</v>
      </c>
      <c r="P2790" s="63">
        <v>9</v>
      </c>
      <c r="Q2790" s="63">
        <v>178</v>
      </c>
      <c r="R2790" s="63">
        <v>49</v>
      </c>
      <c r="S2790" s="63">
        <v>12</v>
      </c>
      <c r="T2790" s="63"/>
      <c r="U2790" s="63">
        <v>0</v>
      </c>
      <c r="V2790" s="63"/>
      <c r="W2790" s="63">
        <f>IF(Copyright!B$11=1,IF(CA2790&gt;0,CA2790-SUM(S2790:V2790)-P2790-SUM(X2790:AQ2790),SUM(CB2790:CI2790)),SUM(CB2790:CI2790))</f>
        <v>0</v>
      </c>
      <c r="X2790" s="63"/>
      <c r="Y2790" s="63">
        <v>0</v>
      </c>
      <c r="Z2790" s="63"/>
      <c r="AA2790" s="63">
        <v>0</v>
      </c>
      <c r="AB2790" s="63"/>
      <c r="AC2790" s="63"/>
      <c r="AD2790" s="63"/>
      <c r="AE2790" s="63">
        <v>0</v>
      </c>
      <c r="AF2790" s="63"/>
      <c r="AG2790" s="63"/>
      <c r="AH2790" s="63"/>
      <c r="AI2790" s="63"/>
      <c r="AJ2790" s="63"/>
      <c r="AK2790" s="63"/>
      <c r="AL2790" s="63"/>
      <c r="AM2790" s="63"/>
      <c r="AN2790" s="63">
        <v>1</v>
      </c>
      <c r="AO2790" s="63"/>
      <c r="AP2790" s="63"/>
      <c r="AQ2790" s="63"/>
      <c r="AR2790" s="63"/>
      <c r="AS2790" s="63"/>
      <c r="AT2790" s="63"/>
      <c r="AU2790" s="63"/>
      <c r="AW2790" s="5">
        <f>IF(Q2790&gt;0,RANK(Q2790,(N2790:P2790,Q2790:AE2790)),0)</f>
        <v>3</v>
      </c>
      <c r="AX2790" s="5">
        <f>IF(R2790&gt;0,RANK(R2790,(N2790:P2790,Q2790:AE2790)),0)</f>
        <v>4</v>
      </c>
      <c r="AY2790" s="5">
        <f>IF(T2790&gt;0,RANK(T2790,(N2790:P2790,Q2790:AE2790)),0)</f>
        <v>0</v>
      </c>
      <c r="AZ2790" s="5">
        <f>IF(S2790&gt;0,RANK(S2790,(N2790:P2790,Q2790:AE2790)),0)</f>
        <v>5</v>
      </c>
      <c r="BA2790" s="2">
        <f t="shared" si="1101"/>
        <v>2.0544783010156973E-2</v>
      </c>
      <c r="BB2790" s="2">
        <f t="shared" si="1102"/>
        <v>5.6555863342566941E-3</v>
      </c>
      <c r="BC2790" s="2">
        <f t="shared" si="1103"/>
        <v>0</v>
      </c>
      <c r="BD2790" s="2">
        <f t="shared" si="1104"/>
        <v>1.3850415512465374E-3</v>
      </c>
      <c r="BF2790" t="s">
        <v>771</v>
      </c>
      <c r="BG2790" t="s">
        <v>53</v>
      </c>
      <c r="BH2790">
        <v>17</v>
      </c>
      <c r="BJ2790" s="114">
        <v>48</v>
      </c>
      <c r="BK2790" s="116">
        <v>331</v>
      </c>
      <c r="BL2790" s="120">
        <f t="shared" si="1095"/>
        <v>48331</v>
      </c>
      <c r="BN2790" s="5" t="s">
        <v>3154</v>
      </c>
      <c r="BZ2790" s="63">
        <f t="shared" si="1105"/>
        <v>8664</v>
      </c>
      <c r="CD2790" s="63">
        <v>0</v>
      </c>
      <c r="CE2790" s="63">
        <v>0</v>
      </c>
      <c r="CF2790" s="63">
        <v>0</v>
      </c>
      <c r="CG2790" s="8">
        <v>0</v>
      </c>
      <c r="CH2790" s="8">
        <v>0</v>
      </c>
      <c r="CI2790" s="8">
        <v>0</v>
      </c>
    </row>
    <row r="2791" spans="1:87" hidden="1" outlineLevel="1">
      <c r="A2791" t="s">
        <v>752</v>
      </c>
      <c r="B2791" t="s">
        <v>53</v>
      </c>
      <c r="C2791" s="1">
        <f t="shared" si="1096"/>
        <v>2245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5</v>
      </c>
      <c r="G2791" s="132">
        <f t="shared" si="1106"/>
        <v>1708</v>
      </c>
      <c r="H2791" s="137">
        <f t="shared" si="1107"/>
        <v>0.76080178173719382</v>
      </c>
      <c r="I2791" s="2"/>
      <c r="J2791" s="2">
        <f t="shared" si="1097"/>
        <v>0.10824053452115813</v>
      </c>
      <c r="K2791" s="2">
        <f t="shared" si="1098"/>
        <v>0.86904231625835193</v>
      </c>
      <c r="L2791" s="2">
        <f t="shared" si="1099"/>
        <v>1.7817371937639199E-3</v>
      </c>
      <c r="M2791" s="2">
        <f t="shared" si="1100"/>
        <v>2.0935412026726032E-2</v>
      </c>
      <c r="N2791" s="63">
        <v>243</v>
      </c>
      <c r="O2791" s="63">
        <v>1951</v>
      </c>
      <c r="P2791" s="63">
        <v>4</v>
      </c>
      <c r="Q2791" s="63">
        <v>41</v>
      </c>
      <c r="R2791" s="63">
        <v>6</v>
      </c>
      <c r="S2791" s="63">
        <v>0</v>
      </c>
      <c r="T2791" s="63"/>
      <c r="U2791" s="63">
        <v>0</v>
      </c>
      <c r="V2791" s="63"/>
      <c r="W2791" s="63">
        <f>IF(Copyright!B$11=1,IF(CA2791&gt;0,CA2791-SUM(S2791:V2791)-P2791-SUM(X2791:AQ2791),SUM(CB2791:CI2791)),SUM(CB2791:CI2791))</f>
        <v>0</v>
      </c>
      <c r="X2791" s="63"/>
      <c r="Y2791" s="63">
        <v>0</v>
      </c>
      <c r="Z2791" s="63"/>
      <c r="AA2791" s="63">
        <v>0</v>
      </c>
      <c r="AB2791" s="63"/>
      <c r="AC2791" s="63"/>
      <c r="AD2791" s="63"/>
      <c r="AE2791" s="63">
        <v>0</v>
      </c>
      <c r="AF2791" s="63"/>
      <c r="AG2791" s="63"/>
      <c r="AH2791" s="63"/>
      <c r="AI2791" s="63"/>
      <c r="AJ2791" s="63"/>
      <c r="AK2791" s="63"/>
      <c r="AL2791" s="63"/>
      <c r="AM2791" s="63"/>
      <c r="AN2791" s="63">
        <v>0</v>
      </c>
      <c r="AO2791" s="63"/>
      <c r="AP2791" s="63"/>
      <c r="AQ2791" s="63"/>
      <c r="AR2791" s="63"/>
      <c r="AS2791" s="63"/>
      <c r="AT2791" s="63"/>
      <c r="AU2791" s="63"/>
      <c r="AW2791" s="5">
        <f>IF(Q2791&gt;0,RANK(Q2791,(N2791:P2791,Q2791:AE2791)),0)</f>
        <v>3</v>
      </c>
      <c r="AX2791" s="5">
        <f>IF(R2791&gt;0,RANK(R2791,(N2791:P2791,Q2791:AE2791)),0)</f>
        <v>4</v>
      </c>
      <c r="AY2791" s="5">
        <f>IF(T2791&gt;0,RANK(T2791,(N2791:P2791,Q2791:AE2791)),0)</f>
        <v>0</v>
      </c>
      <c r="AZ2791" s="5">
        <f>IF(S2791&gt;0,RANK(S2791,(N2791:P2791,Q2791:AE2791)),0)</f>
        <v>0</v>
      </c>
      <c r="BA2791" s="2">
        <f t="shared" si="1101"/>
        <v>1.8262806236080179E-2</v>
      </c>
      <c r="BB2791" s="2">
        <f t="shared" si="1102"/>
        <v>2.6726057906458797E-3</v>
      </c>
      <c r="BC2791" s="2">
        <f t="shared" si="1103"/>
        <v>0</v>
      </c>
      <c r="BD2791" s="2">
        <f t="shared" si="1104"/>
        <v>0</v>
      </c>
      <c r="BF2791" t="s">
        <v>752</v>
      </c>
      <c r="BG2791" t="s">
        <v>53</v>
      </c>
      <c r="BH2791">
        <v>11</v>
      </c>
      <c r="BJ2791" s="114">
        <v>48</v>
      </c>
      <c r="BK2791" s="116">
        <v>333</v>
      </c>
      <c r="BL2791" s="120">
        <f t="shared" si="1095"/>
        <v>48333</v>
      </c>
      <c r="BN2791" s="5" t="s">
        <v>3154</v>
      </c>
      <c r="BZ2791" s="63">
        <f t="shared" si="1105"/>
        <v>2245</v>
      </c>
      <c r="CD2791" s="63">
        <v>0</v>
      </c>
      <c r="CE2791" s="63">
        <v>0</v>
      </c>
      <c r="CF2791" s="63">
        <v>0</v>
      </c>
      <c r="CG2791" s="8">
        <v>0</v>
      </c>
      <c r="CH2791" s="8">
        <v>0</v>
      </c>
      <c r="CI2791" s="8">
        <v>0</v>
      </c>
    </row>
    <row r="2792" spans="1:87" hidden="1" outlineLevel="1">
      <c r="A2792" t="s">
        <v>312</v>
      </c>
      <c r="B2792" t="s">
        <v>53</v>
      </c>
      <c r="C2792" s="1">
        <f t="shared" si="1096"/>
        <v>2196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5</v>
      </c>
      <c r="G2792" s="132">
        <f t="shared" si="1106"/>
        <v>1426</v>
      </c>
      <c r="H2792" s="137">
        <f t="shared" si="1107"/>
        <v>0.64936247723132967</v>
      </c>
      <c r="I2792" s="2"/>
      <c r="J2792" s="2">
        <f t="shared" si="1097"/>
        <v>0.16120218579234974</v>
      </c>
      <c r="K2792" s="2">
        <f t="shared" si="1098"/>
        <v>0.81056466302367947</v>
      </c>
      <c r="L2792" s="2">
        <f t="shared" si="1099"/>
        <v>9.1074681238615665E-4</v>
      </c>
      <c r="M2792" s="2">
        <f t="shared" si="1100"/>
        <v>2.7322404371584584E-2</v>
      </c>
      <c r="N2792" s="63">
        <v>354</v>
      </c>
      <c r="O2792" s="63">
        <v>1780</v>
      </c>
      <c r="P2792" s="63">
        <v>2</v>
      </c>
      <c r="Q2792" s="63">
        <v>50</v>
      </c>
      <c r="R2792" s="63">
        <v>7</v>
      </c>
      <c r="S2792" s="63">
        <v>0</v>
      </c>
      <c r="T2792" s="63"/>
      <c r="U2792" s="63">
        <v>0</v>
      </c>
      <c r="V2792" s="63"/>
      <c r="W2792" s="63">
        <f>IF(Copyright!B$11=1,IF(CA2792&gt;0,CA2792-SUM(S2792:V2792)-P2792-SUM(X2792:AQ2792),SUM(CB2792:CI2792)),SUM(CB2792:CI2792))</f>
        <v>2</v>
      </c>
      <c r="X2792" s="63"/>
      <c r="Y2792" s="63">
        <v>0</v>
      </c>
      <c r="Z2792" s="63"/>
      <c r="AA2792" s="63">
        <v>0</v>
      </c>
      <c r="AB2792" s="63"/>
      <c r="AC2792" s="63"/>
      <c r="AD2792" s="63"/>
      <c r="AE2792" s="63">
        <v>1</v>
      </c>
      <c r="AF2792" s="63"/>
      <c r="AG2792" s="63"/>
      <c r="AH2792" s="63"/>
      <c r="AI2792" s="63"/>
      <c r="AJ2792" s="63"/>
      <c r="AK2792" s="63"/>
      <c r="AL2792" s="63"/>
      <c r="AM2792" s="63"/>
      <c r="AN2792" s="63">
        <v>0</v>
      </c>
      <c r="AO2792" s="63"/>
      <c r="AP2792" s="63"/>
      <c r="AQ2792" s="63"/>
      <c r="AR2792" s="63"/>
      <c r="AS2792" s="63"/>
      <c r="AT2792" s="63"/>
      <c r="AU2792" s="63"/>
      <c r="AW2792" s="5">
        <f>IF(Q2792&gt;0,RANK(Q2792,(N2792:P2792,Q2792:AE2792)),0)</f>
        <v>3</v>
      </c>
      <c r="AX2792" s="5">
        <f>IF(R2792&gt;0,RANK(R2792,(N2792:P2792,Q2792:AE2792)),0)</f>
        <v>4</v>
      </c>
      <c r="AY2792" s="5">
        <f>IF(T2792&gt;0,RANK(T2792,(N2792:P2792,Q2792:AE2792)),0)</f>
        <v>0</v>
      </c>
      <c r="AZ2792" s="5">
        <f>IF(S2792&gt;0,RANK(S2792,(N2792:P2792,Q2792:AE2792)),0)</f>
        <v>0</v>
      </c>
      <c r="BA2792" s="2">
        <f t="shared" si="1101"/>
        <v>2.2768670309653915E-2</v>
      </c>
      <c r="BB2792" s="2">
        <f t="shared" si="1102"/>
        <v>3.1876138433515485E-3</v>
      </c>
      <c r="BC2792" s="2">
        <f t="shared" si="1103"/>
        <v>0</v>
      </c>
      <c r="BD2792" s="2">
        <f t="shared" si="1104"/>
        <v>0</v>
      </c>
      <c r="BF2792" t="s">
        <v>312</v>
      </c>
      <c r="BG2792" t="s">
        <v>53</v>
      </c>
      <c r="BH2792">
        <v>11</v>
      </c>
      <c r="BJ2792" s="114">
        <v>48</v>
      </c>
      <c r="BK2792" s="116">
        <v>335</v>
      </c>
      <c r="BL2792" s="120">
        <f t="shared" si="1095"/>
        <v>48335</v>
      </c>
      <c r="BN2792" s="5" t="s">
        <v>3154</v>
      </c>
      <c r="BZ2792" s="63">
        <f t="shared" si="1105"/>
        <v>2196</v>
      </c>
      <c r="CD2792" s="63">
        <v>2</v>
      </c>
      <c r="CE2792" s="63">
        <v>0</v>
      </c>
      <c r="CF2792" s="63">
        <v>0</v>
      </c>
      <c r="CG2792" s="8">
        <v>0</v>
      </c>
      <c r="CH2792" s="8">
        <v>0</v>
      </c>
      <c r="CI2792" s="8">
        <v>0</v>
      </c>
    </row>
    <row r="2793" spans="1:87" hidden="1" outlineLevel="1">
      <c r="A2793" t="s">
        <v>686</v>
      </c>
      <c r="B2793" t="s">
        <v>53</v>
      </c>
      <c r="C2793" s="1">
        <f t="shared" si="1096"/>
        <v>8604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32">
        <f t="shared" si="1106"/>
        <v>6641</v>
      </c>
      <c r="H2793" s="137">
        <f t="shared" si="1107"/>
        <v>0.77185030218503026</v>
      </c>
      <c r="I2793" s="2"/>
      <c r="J2793" s="2">
        <f t="shared" si="1097"/>
        <v>0.10285913528591353</v>
      </c>
      <c r="K2793" s="2">
        <f t="shared" si="1098"/>
        <v>0.87470943747094376</v>
      </c>
      <c r="L2793" s="2">
        <f t="shared" si="1099"/>
        <v>0</v>
      </c>
      <c r="M2793" s="2">
        <f t="shared" si="1100"/>
        <v>2.2431427243142732E-2</v>
      </c>
      <c r="N2793" s="63">
        <v>885</v>
      </c>
      <c r="O2793" s="63">
        <v>7526</v>
      </c>
      <c r="P2793" s="63">
        <v>0</v>
      </c>
      <c r="Q2793" s="63">
        <v>170</v>
      </c>
      <c r="R2793" s="63">
        <v>23</v>
      </c>
      <c r="S2793" s="63">
        <v>0</v>
      </c>
      <c r="T2793" s="63"/>
      <c r="U2793" s="63">
        <v>0</v>
      </c>
      <c r="V2793" s="63"/>
      <c r="W2793" s="63">
        <f>IF(Copyright!B$11=1,IF(CA2793&gt;0,CA2793-SUM(S2793:V2793)-P2793-SUM(X2793:AQ2793),SUM(CB2793:CI2793)),SUM(CB2793:CI2793))</f>
        <v>0</v>
      </c>
      <c r="X2793" s="63"/>
      <c r="Y2793" s="63">
        <v>0</v>
      </c>
      <c r="Z2793" s="63"/>
      <c r="AA2793" s="63">
        <v>0</v>
      </c>
      <c r="AB2793" s="63"/>
      <c r="AC2793" s="63"/>
      <c r="AD2793" s="63"/>
      <c r="AE2793" s="63">
        <v>0</v>
      </c>
      <c r="AF2793" s="63"/>
      <c r="AG2793" s="63"/>
      <c r="AH2793" s="63"/>
      <c r="AI2793" s="63"/>
      <c r="AJ2793" s="63"/>
      <c r="AK2793" s="63"/>
      <c r="AL2793" s="63"/>
      <c r="AM2793" s="63"/>
      <c r="AN2793" s="63">
        <v>0</v>
      </c>
      <c r="AO2793" s="63"/>
      <c r="AP2793" s="63"/>
      <c r="AQ2793" s="63"/>
      <c r="AR2793" s="63"/>
      <c r="AS2793" s="63"/>
      <c r="AT2793" s="63"/>
      <c r="AU2793" s="63"/>
      <c r="AW2793" s="5">
        <f>IF(Q2793&gt;0,RANK(Q2793,(N2793:P2793,Q2793:AE2793)),0)</f>
        <v>3</v>
      </c>
      <c r="AX2793" s="5">
        <f>IF(R2793&gt;0,RANK(R2793,(N2793:P2793,Q2793:AE2793)),0)</f>
        <v>4</v>
      </c>
      <c r="AY2793" s="5">
        <f>IF(T2793&gt;0,RANK(T2793,(N2793:P2793,Q2793:AE2793)),0)</f>
        <v>0</v>
      </c>
      <c r="AZ2793" s="5">
        <f>IF(S2793&gt;0,RANK(S2793,(N2793:P2793,Q2793:AE2793)),0)</f>
        <v>0</v>
      </c>
      <c r="BA2793" s="2">
        <f t="shared" si="1101"/>
        <v>1.9758251975825196E-2</v>
      </c>
      <c r="BB2793" s="2">
        <f t="shared" si="1102"/>
        <v>2.6731752673175269E-3</v>
      </c>
      <c r="BC2793" s="2">
        <f t="shared" si="1103"/>
        <v>0</v>
      </c>
      <c r="BD2793" s="2">
        <f t="shared" si="1104"/>
        <v>0</v>
      </c>
      <c r="BF2793" t="s">
        <v>686</v>
      </c>
      <c r="BG2793" t="s">
        <v>53</v>
      </c>
      <c r="BH2793">
        <v>13</v>
      </c>
      <c r="BJ2793" s="114">
        <v>48</v>
      </c>
      <c r="BK2793" s="116">
        <v>337</v>
      </c>
      <c r="BL2793" s="120">
        <f t="shared" si="1095"/>
        <v>48337</v>
      </c>
      <c r="BN2793" s="5" t="s">
        <v>3154</v>
      </c>
      <c r="BZ2793" s="63">
        <f t="shared" si="1105"/>
        <v>8604</v>
      </c>
      <c r="CD2793" s="63">
        <v>0</v>
      </c>
      <c r="CE2793" s="63">
        <v>0</v>
      </c>
      <c r="CF2793" s="63">
        <v>0</v>
      </c>
      <c r="CG2793" s="8">
        <v>0</v>
      </c>
      <c r="CH2793" s="8">
        <v>0</v>
      </c>
      <c r="CI2793" s="8">
        <v>0</v>
      </c>
    </row>
    <row r="2794" spans="1:87" hidden="1" outlineLevel="1">
      <c r="A2794" t="s">
        <v>1406</v>
      </c>
      <c r="B2794" t="s">
        <v>53</v>
      </c>
      <c r="C2794" s="1">
        <f t="shared" si="1096"/>
        <v>205904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5</v>
      </c>
      <c r="G2794" s="132">
        <f t="shared" si="1106"/>
        <v>104479</v>
      </c>
      <c r="H2794" s="137">
        <f t="shared" si="1107"/>
        <v>0.50741607739529104</v>
      </c>
      <c r="I2794" s="2"/>
      <c r="J2794" s="2">
        <f t="shared" si="1097"/>
        <v>0.22260373766415417</v>
      </c>
      <c r="K2794" s="2">
        <f t="shared" si="1098"/>
        <v>0.73001981505944513</v>
      </c>
      <c r="L2794" s="2">
        <f t="shared" si="1099"/>
        <v>5.1820265754914914E-3</v>
      </c>
      <c r="M2794" s="2">
        <f t="shared" si="1100"/>
        <v>4.2194420700909174E-2</v>
      </c>
      <c r="N2794" s="63">
        <v>45835</v>
      </c>
      <c r="O2794" s="63">
        <v>150314</v>
      </c>
      <c r="P2794" s="63">
        <v>1067</v>
      </c>
      <c r="Q2794" s="63">
        <v>6142</v>
      </c>
      <c r="R2794" s="63">
        <v>1018</v>
      </c>
      <c r="S2794" s="63">
        <v>151</v>
      </c>
      <c r="T2794" s="63"/>
      <c r="U2794" s="63">
        <v>1</v>
      </c>
      <c r="V2794" s="63"/>
      <c r="W2794" s="63">
        <f>IF(Copyright!B$11=1,IF(CA2794&gt;0,CA2794-SUM(S2794:V2794)-P2794-SUM(X2794:AQ2794),SUM(CB2794:CI2794)),SUM(CB2794:CI2794))</f>
        <v>1283</v>
      </c>
      <c r="X2794" s="63"/>
      <c r="Y2794" s="63">
        <v>42</v>
      </c>
      <c r="Z2794" s="63"/>
      <c r="AA2794" s="63">
        <v>2</v>
      </c>
      <c r="AB2794" s="63"/>
      <c r="AC2794" s="63"/>
      <c r="AD2794" s="63"/>
      <c r="AE2794" s="63">
        <v>23</v>
      </c>
      <c r="AF2794" s="63"/>
      <c r="AG2794" s="63"/>
      <c r="AH2794" s="63"/>
      <c r="AI2794" s="63"/>
      <c r="AJ2794" s="63"/>
      <c r="AK2794" s="63"/>
      <c r="AL2794" s="63"/>
      <c r="AM2794" s="63"/>
      <c r="AN2794" s="63">
        <v>26</v>
      </c>
      <c r="AO2794" s="63"/>
      <c r="AP2794" s="63"/>
      <c r="AQ2794" s="63"/>
      <c r="AR2794" s="63"/>
      <c r="AS2794" s="63"/>
      <c r="AT2794" s="63"/>
      <c r="AU2794" s="63"/>
      <c r="AW2794" s="5">
        <f>IF(Q2794&gt;0,RANK(Q2794,(N2794:P2794,Q2794:AE2794)),0)</f>
        <v>3</v>
      </c>
      <c r="AX2794" s="5">
        <f>IF(R2794&gt;0,RANK(R2794,(N2794:P2794,Q2794:AE2794)),0)</f>
        <v>6</v>
      </c>
      <c r="AY2794" s="5">
        <f>IF(T2794&gt;0,RANK(T2794,(N2794:P2794,Q2794:AE2794)),0)</f>
        <v>0</v>
      </c>
      <c r="AZ2794" s="5">
        <f>IF(S2794&gt;0,RANK(S2794,(N2794:P2794,Q2794:AE2794)),0)</f>
        <v>7</v>
      </c>
      <c r="BA2794" s="2">
        <f t="shared" si="1101"/>
        <v>2.9829435076540525E-2</v>
      </c>
      <c r="BB2794" s="2">
        <f t="shared" si="1102"/>
        <v>4.9440515968606725E-3</v>
      </c>
      <c r="BC2794" s="2">
        <f t="shared" si="1103"/>
        <v>0</v>
      </c>
      <c r="BD2794" s="2">
        <f t="shared" si="1104"/>
        <v>7.3335146476027663E-4</v>
      </c>
      <c r="BF2794" t="s">
        <v>1406</v>
      </c>
      <c r="BG2794" t="s">
        <v>53</v>
      </c>
      <c r="BH2794">
        <v>8</v>
      </c>
      <c r="BJ2794" s="114">
        <v>48</v>
      </c>
      <c r="BK2794" s="116">
        <v>339</v>
      </c>
      <c r="BL2794" s="120">
        <f t="shared" ref="BL2794:BL2857" si="1108">1000*BJ2794+BK2794</f>
        <v>48339</v>
      </c>
      <c r="BN2794" s="5" t="s">
        <v>3154</v>
      </c>
      <c r="BR2794" s="63"/>
      <c r="BS2794" s="63"/>
      <c r="BY2794" s="63">
        <v>205904</v>
      </c>
      <c r="BZ2794" s="63">
        <f t="shared" si="1105"/>
        <v>205904</v>
      </c>
      <c r="CA2794" s="63">
        <f>1272+3+42+151+1067+5+2+26+23+1+3</f>
        <v>2595</v>
      </c>
      <c r="CD2794" s="63">
        <v>3</v>
      </c>
      <c r="CE2794" s="63">
        <v>0</v>
      </c>
      <c r="CF2794" s="63">
        <v>5</v>
      </c>
      <c r="CG2794" s="8">
        <v>0</v>
      </c>
      <c r="CH2794" s="8">
        <v>0</v>
      </c>
      <c r="CI2794" s="8">
        <v>3</v>
      </c>
    </row>
    <row r="2795" spans="1:87" hidden="1" outlineLevel="1">
      <c r="A2795" t="s">
        <v>2659</v>
      </c>
      <c r="B2795" t="s">
        <v>53</v>
      </c>
      <c r="C2795" s="1">
        <f t="shared" si="1096"/>
        <v>5284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5</v>
      </c>
      <c r="G2795" s="132">
        <f t="shared" si="1106"/>
        <v>2879</v>
      </c>
      <c r="H2795" s="137">
        <f t="shared" si="1107"/>
        <v>0.54485238455715368</v>
      </c>
      <c r="I2795" s="2"/>
      <c r="J2795" s="2">
        <f t="shared" si="1097"/>
        <v>0.20779712339137019</v>
      </c>
      <c r="K2795" s="2">
        <f t="shared" si="1098"/>
        <v>0.75264950794852381</v>
      </c>
      <c r="L2795" s="2">
        <f t="shared" si="1099"/>
        <v>2.838758516275549E-3</v>
      </c>
      <c r="M2795" s="2">
        <f t="shared" si="1100"/>
        <v>3.6714610143830401E-2</v>
      </c>
      <c r="N2795" s="63">
        <v>1098</v>
      </c>
      <c r="O2795" s="63">
        <v>3977</v>
      </c>
      <c r="P2795" s="63">
        <v>15</v>
      </c>
      <c r="Q2795" s="63">
        <v>166</v>
      </c>
      <c r="R2795" s="63">
        <v>26</v>
      </c>
      <c r="S2795" s="63">
        <v>0</v>
      </c>
      <c r="T2795" s="63"/>
      <c r="U2795" s="63">
        <v>0</v>
      </c>
      <c r="V2795" s="63"/>
      <c r="W2795" s="63">
        <f>IF(Copyright!B$11=1,IF(CA2795&gt;0,CA2795-SUM(S2795:V2795)-P2795-SUM(X2795:AQ2795),SUM(CB2795:CI2795)),SUM(CB2795:CI2795))</f>
        <v>0</v>
      </c>
      <c r="X2795" s="63"/>
      <c r="Y2795" s="63">
        <v>0</v>
      </c>
      <c r="Z2795" s="63"/>
      <c r="AA2795" s="63">
        <v>0</v>
      </c>
      <c r="AB2795" s="63"/>
      <c r="AC2795" s="63"/>
      <c r="AD2795" s="63"/>
      <c r="AE2795" s="63">
        <v>0</v>
      </c>
      <c r="AF2795" s="63"/>
      <c r="AG2795" s="63"/>
      <c r="AH2795" s="63"/>
      <c r="AI2795" s="63"/>
      <c r="AJ2795" s="63"/>
      <c r="AK2795" s="63"/>
      <c r="AL2795" s="63"/>
      <c r="AM2795" s="63"/>
      <c r="AN2795" s="63">
        <v>2</v>
      </c>
      <c r="AO2795" s="63"/>
      <c r="AP2795" s="63"/>
      <c r="AQ2795" s="63"/>
      <c r="AR2795" s="63"/>
      <c r="AS2795" s="63"/>
      <c r="AT2795" s="63"/>
      <c r="AU2795" s="63"/>
      <c r="AW2795" s="5">
        <f>IF(Q2795&gt;0,RANK(Q2795,(N2795:P2795,Q2795:AE2795)),0)</f>
        <v>3</v>
      </c>
      <c r="AX2795" s="5">
        <f>IF(R2795&gt;0,RANK(R2795,(N2795:P2795,Q2795:AE2795)),0)</f>
        <v>4</v>
      </c>
      <c r="AY2795" s="5">
        <f>IF(T2795&gt;0,RANK(T2795,(N2795:P2795,Q2795:AE2795)),0)</f>
        <v>0</v>
      </c>
      <c r="AZ2795" s="5">
        <f>IF(S2795&gt;0,RANK(S2795,(N2795:P2795,Q2795:AE2795)),0)</f>
        <v>0</v>
      </c>
      <c r="BA2795" s="2">
        <f t="shared" si="1101"/>
        <v>3.1415594246782738E-2</v>
      </c>
      <c r="BB2795" s="2">
        <f t="shared" si="1102"/>
        <v>4.9205147615442851E-3</v>
      </c>
      <c r="BC2795" s="2">
        <f t="shared" si="1103"/>
        <v>0</v>
      </c>
      <c r="BD2795" s="2">
        <f t="shared" si="1104"/>
        <v>0</v>
      </c>
      <c r="BF2795" t="s">
        <v>2659</v>
      </c>
      <c r="BG2795" t="s">
        <v>53</v>
      </c>
      <c r="BH2795">
        <v>13</v>
      </c>
      <c r="BJ2795" s="114">
        <v>48</v>
      </c>
      <c r="BK2795" s="116">
        <v>341</v>
      </c>
      <c r="BL2795" s="120">
        <f t="shared" si="1108"/>
        <v>48341</v>
      </c>
      <c r="BN2795" s="5" t="s">
        <v>3154</v>
      </c>
      <c r="BZ2795" s="63">
        <f t="shared" si="1105"/>
        <v>5284</v>
      </c>
      <c r="CD2795" s="63">
        <v>0</v>
      </c>
      <c r="CE2795" s="63">
        <v>0</v>
      </c>
      <c r="CF2795" s="63">
        <v>0</v>
      </c>
      <c r="CG2795" s="8">
        <v>0</v>
      </c>
      <c r="CH2795" s="8">
        <v>0</v>
      </c>
      <c r="CI2795" s="8">
        <v>0</v>
      </c>
    </row>
    <row r="2796" spans="1:87" hidden="1" outlineLevel="1">
      <c r="A2796" t="s">
        <v>2619</v>
      </c>
      <c r="B2796" t="s">
        <v>53</v>
      </c>
      <c r="C2796" s="1">
        <f t="shared" si="1096"/>
        <v>4973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5</v>
      </c>
      <c r="G2796" s="132">
        <f t="shared" si="1106"/>
        <v>2021</v>
      </c>
      <c r="H2796" s="137">
        <f t="shared" si="1107"/>
        <v>0.40639453046450835</v>
      </c>
      <c r="I2796" s="2"/>
      <c r="J2796" s="2">
        <f t="shared" si="1097"/>
        <v>0.28654735572089279</v>
      </c>
      <c r="K2796" s="2">
        <f t="shared" si="1098"/>
        <v>0.6929418861854012</v>
      </c>
      <c r="L2796" s="2">
        <f t="shared" si="1099"/>
        <v>1.0054293183189222E-3</v>
      </c>
      <c r="M2796" s="2">
        <f t="shared" si="1100"/>
        <v>1.9505328775387028E-2</v>
      </c>
      <c r="N2796" s="63">
        <v>1425</v>
      </c>
      <c r="O2796" s="63">
        <v>3446</v>
      </c>
      <c r="P2796" s="63">
        <v>5</v>
      </c>
      <c r="Q2796" s="63">
        <v>77</v>
      </c>
      <c r="R2796" s="63">
        <v>19</v>
      </c>
      <c r="S2796" s="63">
        <v>0</v>
      </c>
      <c r="T2796" s="63"/>
      <c r="U2796" s="63">
        <v>0</v>
      </c>
      <c r="V2796" s="63"/>
      <c r="W2796" s="63">
        <f>IF(Copyright!B$11=1,IF(CA2796&gt;0,CA2796-SUM(S2796:V2796)-P2796-SUM(X2796:AQ2796),SUM(CB2796:CI2796)),SUM(CB2796:CI2796))</f>
        <v>0</v>
      </c>
      <c r="X2796" s="63"/>
      <c r="Y2796" s="63">
        <v>0</v>
      </c>
      <c r="Z2796" s="63"/>
      <c r="AA2796" s="63">
        <v>0</v>
      </c>
      <c r="AB2796" s="63"/>
      <c r="AC2796" s="63"/>
      <c r="AD2796" s="63"/>
      <c r="AE2796" s="63">
        <v>1</v>
      </c>
      <c r="AF2796" s="63"/>
      <c r="AG2796" s="63"/>
      <c r="AH2796" s="63"/>
      <c r="AI2796" s="63"/>
      <c r="AJ2796" s="63"/>
      <c r="AK2796" s="63"/>
      <c r="AL2796" s="63"/>
      <c r="AM2796" s="63"/>
      <c r="AN2796" s="63">
        <v>0</v>
      </c>
      <c r="AO2796" s="63"/>
      <c r="AP2796" s="63"/>
      <c r="AQ2796" s="63"/>
      <c r="AR2796" s="63"/>
      <c r="AS2796" s="63"/>
      <c r="AT2796" s="63"/>
      <c r="AU2796" s="63"/>
      <c r="AW2796" s="5">
        <f>IF(Q2796&gt;0,RANK(Q2796,(N2796:P2796,Q2796:AE2796)),0)</f>
        <v>3</v>
      </c>
      <c r="AX2796" s="5">
        <f>IF(R2796&gt;0,RANK(R2796,(N2796:P2796,Q2796:AE2796)),0)</f>
        <v>4</v>
      </c>
      <c r="AY2796" s="5">
        <f>IF(T2796&gt;0,RANK(T2796,(N2796:P2796,Q2796:AE2796)),0)</f>
        <v>0</v>
      </c>
      <c r="AZ2796" s="5">
        <f>IF(S2796&gt;0,RANK(S2796,(N2796:P2796,Q2796:AE2796)),0)</f>
        <v>0</v>
      </c>
      <c r="BA2796" s="2">
        <f t="shared" si="1101"/>
        <v>1.5483611502111402E-2</v>
      </c>
      <c r="BB2796" s="2">
        <f t="shared" si="1102"/>
        <v>3.8206314096119044E-3</v>
      </c>
      <c r="BC2796" s="2">
        <f t="shared" si="1103"/>
        <v>0</v>
      </c>
      <c r="BD2796" s="2">
        <f t="shared" si="1104"/>
        <v>0</v>
      </c>
      <c r="BF2796" t="s">
        <v>2619</v>
      </c>
      <c r="BG2796" t="s">
        <v>53</v>
      </c>
      <c r="BH2796">
        <v>4</v>
      </c>
      <c r="BJ2796" s="114">
        <v>48</v>
      </c>
      <c r="BK2796" s="116">
        <v>343</v>
      </c>
      <c r="BL2796" s="120">
        <f t="shared" si="1108"/>
        <v>48343</v>
      </c>
      <c r="BN2796" s="5" t="s">
        <v>3154</v>
      </c>
      <c r="BZ2796" s="63">
        <f t="shared" si="1105"/>
        <v>4973</v>
      </c>
      <c r="CD2796" s="63">
        <v>0</v>
      </c>
      <c r="CE2796" s="63">
        <v>0</v>
      </c>
      <c r="CF2796" s="63">
        <v>0</v>
      </c>
      <c r="CG2796" s="8">
        <v>0</v>
      </c>
      <c r="CH2796" s="8">
        <v>0</v>
      </c>
      <c r="CI2796" s="8">
        <v>0</v>
      </c>
    </row>
    <row r="2797" spans="1:87" hidden="1" outlineLevel="1">
      <c r="A2797" t="s">
        <v>2738</v>
      </c>
      <c r="B2797" t="s">
        <v>53</v>
      </c>
      <c r="C2797" s="1">
        <f t="shared" si="1096"/>
        <v>615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32">
        <f t="shared" si="1106"/>
        <v>526</v>
      </c>
      <c r="H2797" s="137">
        <f t="shared" si="1107"/>
        <v>0.8552845528455284</v>
      </c>
      <c r="I2797" s="2"/>
      <c r="J2797" s="2">
        <f t="shared" si="1097"/>
        <v>6.5040650406504072E-2</v>
      </c>
      <c r="K2797" s="2">
        <f t="shared" si="1098"/>
        <v>0.92032520325203249</v>
      </c>
      <c r="L2797" s="2">
        <f t="shared" si="1099"/>
        <v>0</v>
      </c>
      <c r="M2797" s="2">
        <f t="shared" si="1100"/>
        <v>1.4634146341463428E-2</v>
      </c>
      <c r="N2797" s="63">
        <v>40</v>
      </c>
      <c r="O2797" s="63">
        <v>566</v>
      </c>
      <c r="P2797" s="63">
        <v>0</v>
      </c>
      <c r="Q2797" s="63">
        <v>9</v>
      </c>
      <c r="R2797" s="63">
        <v>0</v>
      </c>
      <c r="S2797" s="63">
        <v>0</v>
      </c>
      <c r="T2797" s="63"/>
      <c r="U2797" s="63">
        <v>0</v>
      </c>
      <c r="V2797" s="63"/>
      <c r="W2797" s="63">
        <f>IF(Copyright!B$11=1,IF(CA2797&gt;0,CA2797-SUM(S2797:V2797)-P2797-SUM(X2797:AQ2797),SUM(CB2797:CI2797)),SUM(CB2797:CI2797))</f>
        <v>0</v>
      </c>
      <c r="X2797" s="63"/>
      <c r="Y2797" s="63">
        <v>0</v>
      </c>
      <c r="Z2797" s="63"/>
      <c r="AA2797" s="63">
        <v>0</v>
      </c>
      <c r="AB2797" s="63"/>
      <c r="AC2797" s="63"/>
      <c r="AD2797" s="63"/>
      <c r="AE2797" s="63">
        <v>0</v>
      </c>
      <c r="AF2797" s="63"/>
      <c r="AG2797" s="63"/>
      <c r="AH2797" s="63"/>
      <c r="AI2797" s="63"/>
      <c r="AJ2797" s="63"/>
      <c r="AK2797" s="63"/>
      <c r="AL2797" s="63"/>
      <c r="AM2797" s="63"/>
      <c r="AN2797" s="63">
        <v>0</v>
      </c>
      <c r="AO2797" s="63"/>
      <c r="AP2797" s="63"/>
      <c r="AQ2797" s="63"/>
      <c r="AR2797" s="63"/>
      <c r="AS2797" s="63"/>
      <c r="AT2797" s="63"/>
      <c r="AU2797" s="63"/>
      <c r="AW2797" s="5">
        <f>IF(Q2797&gt;0,RANK(Q2797,(N2797:P2797,Q2797:AE2797)),0)</f>
        <v>3</v>
      </c>
      <c r="AX2797" s="5">
        <f>IF(R2797&gt;0,RANK(R2797,(N2797:P2797,Q2797:AE2797)),0)</f>
        <v>0</v>
      </c>
      <c r="AY2797" s="5">
        <f>IF(T2797&gt;0,RANK(T2797,(N2797:P2797,Q2797:AE2797)),0)</f>
        <v>0</v>
      </c>
      <c r="AZ2797" s="5">
        <f>IF(S2797&gt;0,RANK(S2797,(N2797:P2797,Q2797:AE2797)),0)</f>
        <v>0</v>
      </c>
      <c r="BA2797" s="2">
        <f t="shared" si="1101"/>
        <v>1.4634146341463415E-2</v>
      </c>
      <c r="BB2797" s="2">
        <f t="shared" si="1102"/>
        <v>0</v>
      </c>
      <c r="BC2797" s="2">
        <f t="shared" si="1103"/>
        <v>0</v>
      </c>
      <c r="BD2797" s="2">
        <f t="shared" si="1104"/>
        <v>0</v>
      </c>
      <c r="BF2797" t="s">
        <v>2738</v>
      </c>
      <c r="BG2797" t="s">
        <v>53</v>
      </c>
      <c r="BH2797">
        <v>13</v>
      </c>
      <c r="BJ2797" s="114">
        <v>48</v>
      </c>
      <c r="BK2797" s="116">
        <v>345</v>
      </c>
      <c r="BL2797" s="120">
        <f t="shared" si="1108"/>
        <v>48345</v>
      </c>
      <c r="BN2797" s="5" t="s">
        <v>3154</v>
      </c>
      <c r="BZ2797" s="63">
        <f t="shared" si="1105"/>
        <v>615</v>
      </c>
      <c r="CD2797" s="63">
        <v>0</v>
      </c>
      <c r="CE2797" s="63">
        <v>0</v>
      </c>
      <c r="CF2797" s="63">
        <v>0</v>
      </c>
      <c r="CG2797" s="8">
        <v>0</v>
      </c>
      <c r="CH2797" s="8">
        <v>0</v>
      </c>
      <c r="CI2797" s="8">
        <v>0</v>
      </c>
    </row>
    <row r="2798" spans="1:87" hidden="1" outlineLevel="1">
      <c r="A2798" t="s">
        <v>2811</v>
      </c>
      <c r="B2798" t="s">
        <v>53</v>
      </c>
      <c r="C2798" s="1">
        <f t="shared" si="1096"/>
        <v>22622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5</v>
      </c>
      <c r="G2798" s="132">
        <f t="shared" si="1106"/>
        <v>7925</v>
      </c>
      <c r="H2798" s="137">
        <f t="shared" si="1107"/>
        <v>0.3503226947219521</v>
      </c>
      <c r="I2798" s="2"/>
      <c r="J2798" s="2">
        <f t="shared" si="1097"/>
        <v>0.30262576253204843</v>
      </c>
      <c r="K2798" s="2">
        <f t="shared" si="1098"/>
        <v>0.65294845725400052</v>
      </c>
      <c r="L2798" s="2">
        <f t="shared" si="1099"/>
        <v>5.2161612589514631E-3</v>
      </c>
      <c r="M2798" s="2">
        <f t="shared" si="1100"/>
        <v>3.9209618954999588E-2</v>
      </c>
      <c r="N2798" s="63">
        <v>6846</v>
      </c>
      <c r="O2798" s="63">
        <v>14771</v>
      </c>
      <c r="P2798" s="63">
        <v>118</v>
      </c>
      <c r="Q2798" s="63">
        <v>702</v>
      </c>
      <c r="R2798" s="63">
        <v>159</v>
      </c>
      <c r="S2798" s="63">
        <v>17</v>
      </c>
      <c r="T2798" s="63"/>
      <c r="U2798" s="63">
        <v>0</v>
      </c>
      <c r="V2798" s="63"/>
      <c r="W2798" s="63">
        <f>IF(Copyright!B$11=1,IF(CA2798&gt;0,CA2798-SUM(S2798:V2798)-P2798-SUM(X2798:AQ2798),SUM(CB2798:CI2798)),SUM(CB2798:CI2798))</f>
        <v>2</v>
      </c>
      <c r="X2798" s="63"/>
      <c r="Y2798" s="63">
        <v>2</v>
      </c>
      <c r="Z2798" s="63"/>
      <c r="AA2798" s="63">
        <v>0</v>
      </c>
      <c r="AB2798" s="63"/>
      <c r="AC2798" s="63"/>
      <c r="AD2798" s="63"/>
      <c r="AE2798" s="63">
        <v>0</v>
      </c>
      <c r="AF2798" s="63"/>
      <c r="AG2798" s="63"/>
      <c r="AH2798" s="63"/>
      <c r="AI2798" s="63"/>
      <c r="AJ2798" s="63"/>
      <c r="AK2798" s="63"/>
      <c r="AL2798" s="63"/>
      <c r="AM2798" s="63"/>
      <c r="AN2798" s="63">
        <v>5</v>
      </c>
      <c r="AO2798" s="63"/>
      <c r="AP2798" s="63"/>
      <c r="AQ2798" s="63"/>
      <c r="AR2798" s="63"/>
      <c r="AS2798" s="63"/>
      <c r="AT2798" s="63"/>
      <c r="AU2798" s="63"/>
      <c r="AW2798" s="5">
        <f>IF(Q2798&gt;0,RANK(Q2798,(N2798:P2798,Q2798:AE2798)),0)</f>
        <v>3</v>
      </c>
      <c r="AX2798" s="5">
        <f>IF(R2798&gt;0,RANK(R2798,(N2798:P2798,Q2798:AE2798)),0)</f>
        <v>4</v>
      </c>
      <c r="AY2798" s="5">
        <f>IF(T2798&gt;0,RANK(T2798,(N2798:P2798,Q2798:AE2798)),0)</f>
        <v>0</v>
      </c>
      <c r="AZ2798" s="5">
        <f>IF(S2798&gt;0,RANK(S2798,(N2798:P2798,Q2798:AE2798)),0)</f>
        <v>6</v>
      </c>
      <c r="BA2798" s="2">
        <f t="shared" si="1101"/>
        <v>3.1031739015118028E-2</v>
      </c>
      <c r="BB2798" s="2">
        <f t="shared" si="1102"/>
        <v>7.0285562726549377E-3</v>
      </c>
      <c r="BC2798" s="2">
        <f t="shared" si="1103"/>
        <v>0</v>
      </c>
      <c r="BD2798" s="2">
        <f t="shared" si="1104"/>
        <v>7.5148085934046501E-4</v>
      </c>
      <c r="BF2798" t="s">
        <v>2811</v>
      </c>
      <c r="BG2798" t="s">
        <v>53</v>
      </c>
      <c r="BH2798">
        <v>1</v>
      </c>
      <c r="BJ2798" s="114">
        <v>48</v>
      </c>
      <c r="BK2798" s="116">
        <v>347</v>
      </c>
      <c r="BL2798" s="120">
        <f t="shared" si="1108"/>
        <v>48347</v>
      </c>
      <c r="BN2798" s="5" t="s">
        <v>3154</v>
      </c>
      <c r="BZ2798" s="63">
        <f t="shared" si="1105"/>
        <v>22622</v>
      </c>
      <c r="CD2798" s="63">
        <v>0</v>
      </c>
      <c r="CE2798" s="63">
        <v>0</v>
      </c>
      <c r="CF2798" s="63">
        <v>0</v>
      </c>
      <c r="CG2798" s="8">
        <v>0</v>
      </c>
      <c r="CH2798" s="8">
        <v>0</v>
      </c>
      <c r="CI2798" s="8">
        <v>2</v>
      </c>
    </row>
    <row r="2799" spans="1:87" hidden="1" outlineLevel="1">
      <c r="A2799" t="s">
        <v>2262</v>
      </c>
      <c r="B2799" t="s">
        <v>53</v>
      </c>
      <c r="C2799" s="1">
        <f t="shared" si="1096"/>
        <v>16433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5</v>
      </c>
      <c r="G2799" s="132">
        <f t="shared" si="1106"/>
        <v>7992</v>
      </c>
      <c r="H2799" s="137">
        <f t="shared" si="1107"/>
        <v>0.48633846528327146</v>
      </c>
      <c r="I2799" s="2"/>
      <c r="J2799" s="2">
        <f t="shared" si="1097"/>
        <v>0.24353435160956613</v>
      </c>
      <c r="K2799" s="2">
        <f t="shared" si="1098"/>
        <v>0.72987281689283756</v>
      </c>
      <c r="L2799" s="2">
        <f t="shared" si="1099"/>
        <v>1.7647416783301893E-3</v>
      </c>
      <c r="M2799" s="2">
        <f t="shared" si="1100"/>
        <v>2.482808981926609E-2</v>
      </c>
      <c r="N2799" s="63">
        <v>4002</v>
      </c>
      <c r="O2799" s="63">
        <v>11994</v>
      </c>
      <c r="P2799" s="63">
        <v>29</v>
      </c>
      <c r="Q2799" s="63">
        <v>343</v>
      </c>
      <c r="R2799" s="63">
        <v>58</v>
      </c>
      <c r="S2799" s="63">
        <v>3</v>
      </c>
      <c r="T2799" s="63"/>
      <c r="U2799" s="63">
        <v>0</v>
      </c>
      <c r="V2799" s="63"/>
      <c r="W2799" s="63">
        <f>IF(Copyright!B$11=1,IF(CA2799&gt;0,CA2799-SUM(S2799:V2799)-P2799-SUM(X2799:AQ2799),SUM(CB2799:CI2799)),SUM(CB2799:CI2799))</f>
        <v>1</v>
      </c>
      <c r="X2799" s="63"/>
      <c r="Y2799" s="63">
        <v>1</v>
      </c>
      <c r="Z2799" s="63"/>
      <c r="AA2799" s="63">
        <v>0</v>
      </c>
      <c r="AB2799" s="63"/>
      <c r="AC2799" s="63"/>
      <c r="AD2799" s="63"/>
      <c r="AE2799" s="63">
        <v>2</v>
      </c>
      <c r="AF2799" s="63"/>
      <c r="AG2799" s="63"/>
      <c r="AH2799" s="63"/>
      <c r="AI2799" s="63"/>
      <c r="AJ2799" s="63"/>
      <c r="AK2799" s="63"/>
      <c r="AL2799" s="63"/>
      <c r="AM2799" s="63"/>
      <c r="AN2799" s="63">
        <v>0</v>
      </c>
      <c r="AO2799" s="63"/>
      <c r="AP2799" s="63"/>
      <c r="AQ2799" s="63"/>
      <c r="AR2799" s="63"/>
      <c r="AS2799" s="63"/>
      <c r="AT2799" s="63"/>
      <c r="AU2799" s="63"/>
      <c r="AW2799" s="5">
        <f>IF(Q2799&gt;0,RANK(Q2799,(N2799:P2799,Q2799:AE2799)),0)</f>
        <v>3</v>
      </c>
      <c r="AX2799" s="5">
        <f>IF(R2799&gt;0,RANK(R2799,(N2799:P2799,Q2799:AE2799)),0)</f>
        <v>4</v>
      </c>
      <c r="AY2799" s="5">
        <f>IF(T2799&gt;0,RANK(T2799,(N2799:P2799,Q2799:AE2799)),0)</f>
        <v>0</v>
      </c>
      <c r="AZ2799" s="5">
        <f>IF(S2799&gt;0,RANK(S2799,(N2799:P2799,Q2799:AE2799)),0)</f>
        <v>6</v>
      </c>
      <c r="BA2799" s="2">
        <f t="shared" si="1101"/>
        <v>2.0872634333353617E-2</v>
      </c>
      <c r="BB2799" s="2">
        <f t="shared" si="1102"/>
        <v>3.5294833566603787E-3</v>
      </c>
      <c r="BC2799" s="2">
        <f t="shared" si="1103"/>
        <v>0</v>
      </c>
      <c r="BD2799" s="2">
        <f t="shared" si="1104"/>
        <v>1.82559483965192E-4</v>
      </c>
      <c r="BF2799" t="s">
        <v>2262</v>
      </c>
      <c r="BG2799" t="s">
        <v>53</v>
      </c>
      <c r="BH2799">
        <v>6</v>
      </c>
      <c r="BJ2799" s="114">
        <v>48</v>
      </c>
      <c r="BK2799" s="116">
        <v>349</v>
      </c>
      <c r="BL2799" s="120">
        <f t="shared" si="1108"/>
        <v>48349</v>
      </c>
      <c r="BN2799" s="5" t="s">
        <v>3154</v>
      </c>
      <c r="BZ2799" s="63">
        <f t="shared" si="1105"/>
        <v>16433</v>
      </c>
      <c r="CD2799" s="63">
        <v>0</v>
      </c>
      <c r="CE2799" s="63">
        <v>0</v>
      </c>
      <c r="CF2799" s="63">
        <v>0</v>
      </c>
      <c r="CG2799" s="8">
        <v>0</v>
      </c>
      <c r="CH2799" s="8">
        <v>0</v>
      </c>
      <c r="CI2799" s="8">
        <v>1</v>
      </c>
    </row>
    <row r="2800" spans="1:87" hidden="1" outlineLevel="1">
      <c r="A2800" t="s">
        <v>1136</v>
      </c>
      <c r="B2800" t="s">
        <v>53</v>
      </c>
      <c r="C2800" s="1">
        <f t="shared" si="1096"/>
        <v>5534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5</v>
      </c>
      <c r="G2800" s="132">
        <f t="shared" si="1106"/>
        <v>3132</v>
      </c>
      <c r="H2800" s="137">
        <f t="shared" si="1107"/>
        <v>0.56595590892663539</v>
      </c>
      <c r="I2800" s="2"/>
      <c r="J2800" s="2">
        <f t="shared" si="1097"/>
        <v>0.20889049512106975</v>
      </c>
      <c r="K2800" s="2">
        <f t="shared" si="1098"/>
        <v>0.77484640404770511</v>
      </c>
      <c r="L2800" s="2">
        <f t="shared" si="1099"/>
        <v>1.4456089627755693E-3</v>
      </c>
      <c r="M2800" s="2">
        <f t="shared" si="1100"/>
        <v>1.4817491868449606E-2</v>
      </c>
      <c r="N2800" s="63">
        <v>1156</v>
      </c>
      <c r="O2800" s="63">
        <v>4288</v>
      </c>
      <c r="P2800" s="63">
        <v>8</v>
      </c>
      <c r="Q2800" s="63">
        <v>66</v>
      </c>
      <c r="R2800" s="63">
        <v>13</v>
      </c>
      <c r="S2800" s="63">
        <v>1</v>
      </c>
      <c r="T2800" s="63"/>
      <c r="U2800" s="63">
        <v>0</v>
      </c>
      <c r="V2800" s="63"/>
      <c r="W2800" s="63">
        <f>IF(Copyright!B$11=1,IF(CA2800&gt;0,CA2800-SUM(S2800:V2800)-P2800-SUM(X2800:AQ2800),SUM(CB2800:CI2800)),SUM(CB2800:CI2800))</f>
        <v>2</v>
      </c>
      <c r="X2800" s="63"/>
      <c r="Y2800" s="63">
        <v>0</v>
      </c>
      <c r="Z2800" s="63"/>
      <c r="AA2800" s="63">
        <v>0</v>
      </c>
      <c r="AB2800" s="63"/>
      <c r="AC2800" s="63"/>
      <c r="AD2800" s="63"/>
      <c r="AE2800" s="63">
        <v>0</v>
      </c>
      <c r="AF2800" s="63"/>
      <c r="AG2800" s="63"/>
      <c r="AH2800" s="63"/>
      <c r="AI2800" s="63"/>
      <c r="AJ2800" s="63"/>
      <c r="AK2800" s="63"/>
      <c r="AL2800" s="63"/>
      <c r="AM2800" s="63"/>
      <c r="AN2800" s="63">
        <v>0</v>
      </c>
      <c r="AO2800" s="63"/>
      <c r="AP2800" s="63"/>
      <c r="AQ2800" s="63"/>
      <c r="AR2800" s="63"/>
      <c r="AS2800" s="63"/>
      <c r="AT2800" s="63"/>
      <c r="AU2800" s="63"/>
      <c r="AW2800" s="5">
        <f>IF(Q2800&gt;0,RANK(Q2800,(N2800:P2800,Q2800:AE2800)),0)</f>
        <v>3</v>
      </c>
      <c r="AX2800" s="5">
        <f>IF(R2800&gt;0,RANK(R2800,(N2800:P2800,Q2800:AE2800)),0)</f>
        <v>4</v>
      </c>
      <c r="AY2800" s="5">
        <f>IF(T2800&gt;0,RANK(T2800,(N2800:P2800,Q2800:AE2800)),0)</f>
        <v>0</v>
      </c>
      <c r="AZ2800" s="5">
        <f>IF(S2800&gt;0,RANK(S2800,(N2800:P2800,Q2800:AE2800)),0)</f>
        <v>7</v>
      </c>
      <c r="BA2800" s="2">
        <f t="shared" si="1101"/>
        <v>1.1926273942898446E-2</v>
      </c>
      <c r="BB2800" s="2">
        <f t="shared" si="1102"/>
        <v>2.3491145645102999E-3</v>
      </c>
      <c r="BC2800" s="2">
        <f t="shared" si="1103"/>
        <v>0</v>
      </c>
      <c r="BD2800" s="2">
        <f t="shared" si="1104"/>
        <v>1.8070112034694616E-4</v>
      </c>
      <c r="BF2800" t="s">
        <v>1136</v>
      </c>
      <c r="BG2800" t="s">
        <v>53</v>
      </c>
      <c r="BH2800">
        <v>36</v>
      </c>
      <c r="BJ2800" s="114">
        <v>48</v>
      </c>
      <c r="BK2800" s="116">
        <v>351</v>
      </c>
      <c r="BL2800" s="120">
        <f t="shared" si="1108"/>
        <v>48351</v>
      </c>
      <c r="BN2800" s="5" t="s">
        <v>3154</v>
      </c>
      <c r="BZ2800" s="63">
        <f t="shared" si="1105"/>
        <v>5534</v>
      </c>
      <c r="CD2800" s="63">
        <v>1</v>
      </c>
      <c r="CE2800" s="63">
        <v>0</v>
      </c>
      <c r="CF2800" s="63">
        <v>0</v>
      </c>
      <c r="CG2800" s="8">
        <v>1</v>
      </c>
      <c r="CH2800" s="8">
        <v>0</v>
      </c>
      <c r="CI2800" s="8">
        <v>0</v>
      </c>
    </row>
    <row r="2801" spans="1:87" hidden="1" outlineLevel="1">
      <c r="A2801" t="s">
        <v>1713</v>
      </c>
      <c r="B2801" t="s">
        <v>53</v>
      </c>
      <c r="C2801" s="1">
        <f t="shared" si="1096"/>
        <v>4857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5</v>
      </c>
      <c r="G2801" s="132">
        <f t="shared" si="1106"/>
        <v>2523</v>
      </c>
      <c r="H2801" s="137">
        <f t="shared" si="1107"/>
        <v>0.51945645460160594</v>
      </c>
      <c r="I2801" s="2"/>
      <c r="J2801" s="2">
        <f t="shared" si="1097"/>
        <v>0.21185917232859791</v>
      </c>
      <c r="K2801" s="2">
        <f t="shared" si="1098"/>
        <v>0.7313156269302038</v>
      </c>
      <c r="L2801" s="2">
        <f t="shared" si="1099"/>
        <v>6.1766522544780727E-3</v>
      </c>
      <c r="M2801" s="2">
        <f t="shared" si="1100"/>
        <v>5.064854848672027E-2</v>
      </c>
      <c r="N2801" s="63">
        <v>1029</v>
      </c>
      <c r="O2801" s="63">
        <v>3552</v>
      </c>
      <c r="P2801" s="63">
        <v>30</v>
      </c>
      <c r="Q2801" s="63">
        <v>142</v>
      </c>
      <c r="R2801" s="63">
        <v>22</v>
      </c>
      <c r="S2801" s="63">
        <v>3</v>
      </c>
      <c r="T2801" s="63"/>
      <c r="U2801" s="63">
        <v>0</v>
      </c>
      <c r="V2801" s="63"/>
      <c r="W2801" s="63">
        <f>IF(Copyright!B$11=1,IF(CA2801&gt;0,CA2801-SUM(S2801:V2801)-P2801-SUM(X2801:AQ2801),SUM(CB2801:CI2801)),SUM(CB2801:CI2801))</f>
        <v>75</v>
      </c>
      <c r="X2801" s="63"/>
      <c r="Y2801" s="63">
        <v>1</v>
      </c>
      <c r="Z2801" s="63"/>
      <c r="AA2801" s="63">
        <v>0</v>
      </c>
      <c r="AB2801" s="63"/>
      <c r="AC2801" s="63"/>
      <c r="AD2801" s="63"/>
      <c r="AE2801" s="63">
        <v>0</v>
      </c>
      <c r="AF2801" s="63"/>
      <c r="AG2801" s="63"/>
      <c r="AH2801" s="63"/>
      <c r="AI2801" s="63"/>
      <c r="AJ2801" s="63"/>
      <c r="AK2801" s="63"/>
      <c r="AL2801" s="63"/>
      <c r="AM2801" s="63"/>
      <c r="AN2801" s="63">
        <v>3</v>
      </c>
      <c r="AO2801" s="63"/>
      <c r="AP2801" s="63"/>
      <c r="AQ2801" s="63"/>
      <c r="AR2801" s="63"/>
      <c r="AS2801" s="63"/>
      <c r="AT2801" s="63"/>
      <c r="AU2801" s="63"/>
      <c r="AW2801" s="5">
        <f>IF(Q2801&gt;0,RANK(Q2801,(N2801:P2801,Q2801:AE2801)),0)</f>
        <v>3</v>
      </c>
      <c r="AX2801" s="5">
        <f>IF(R2801&gt;0,RANK(R2801,(N2801:P2801,Q2801:AE2801)),0)</f>
        <v>6</v>
      </c>
      <c r="AY2801" s="5">
        <f>IF(T2801&gt;0,RANK(T2801,(N2801:P2801,Q2801:AE2801)),0)</f>
        <v>0</v>
      </c>
      <c r="AZ2801" s="5">
        <f>IF(S2801&gt;0,RANK(S2801,(N2801:P2801,Q2801:AE2801)),0)</f>
        <v>7</v>
      </c>
      <c r="BA2801" s="2">
        <f t="shared" si="1101"/>
        <v>2.9236154004529544E-2</v>
      </c>
      <c r="BB2801" s="2">
        <f t="shared" si="1102"/>
        <v>4.5295449866172531E-3</v>
      </c>
      <c r="BC2801" s="2">
        <f t="shared" si="1103"/>
        <v>0</v>
      </c>
      <c r="BD2801" s="2">
        <f t="shared" si="1104"/>
        <v>6.1766522544780733E-4</v>
      </c>
      <c r="BF2801" t="s">
        <v>1713</v>
      </c>
      <c r="BG2801" t="s">
        <v>53</v>
      </c>
      <c r="BH2801">
        <v>19</v>
      </c>
      <c r="BJ2801" s="114">
        <v>48</v>
      </c>
      <c r="BK2801" s="116">
        <v>353</v>
      </c>
      <c r="BL2801" s="120">
        <f t="shared" si="1108"/>
        <v>48353</v>
      </c>
      <c r="BN2801" s="5" t="s">
        <v>3154</v>
      </c>
      <c r="BZ2801" s="63">
        <f t="shared" si="1105"/>
        <v>4857</v>
      </c>
      <c r="CD2801" s="63">
        <v>73</v>
      </c>
      <c r="CE2801" s="63">
        <v>0</v>
      </c>
      <c r="CF2801" s="63">
        <v>0</v>
      </c>
      <c r="CG2801" s="8">
        <v>0</v>
      </c>
      <c r="CH2801" s="8">
        <v>0</v>
      </c>
      <c r="CI2801" s="8">
        <v>2</v>
      </c>
    </row>
    <row r="2802" spans="1:87" hidden="1" outlineLevel="1">
      <c r="A2802" t="s">
        <v>3051</v>
      </c>
      <c r="B2802" t="s">
        <v>53</v>
      </c>
      <c r="C2802" s="1">
        <f t="shared" si="1096"/>
        <v>104405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5</v>
      </c>
      <c r="G2802" s="132">
        <f t="shared" si="1106"/>
        <v>1568</v>
      </c>
      <c r="H2802" s="137">
        <f t="shared" si="1107"/>
        <v>1.5018437814280925E-2</v>
      </c>
      <c r="I2802" s="2"/>
      <c r="J2802" s="2">
        <f t="shared" si="1097"/>
        <v>0.47122264259374552</v>
      </c>
      <c r="K2802" s="2">
        <f t="shared" si="1098"/>
        <v>0.48624108040802644</v>
      </c>
      <c r="L2802" s="2">
        <f t="shared" si="1099"/>
        <v>1.9635074948517791E-3</v>
      </c>
      <c r="M2802" s="2">
        <f t="shared" si="1100"/>
        <v>4.0572769503376203E-2</v>
      </c>
      <c r="N2802" s="63">
        <v>49198</v>
      </c>
      <c r="O2802" s="63">
        <v>50766</v>
      </c>
      <c r="P2802" s="63">
        <v>205</v>
      </c>
      <c r="Q2802" s="63">
        <v>3324</v>
      </c>
      <c r="R2802" s="63">
        <v>847</v>
      </c>
      <c r="S2802" s="63">
        <v>38</v>
      </c>
      <c r="T2802" s="63"/>
      <c r="U2802" s="63">
        <v>4</v>
      </c>
      <c r="V2802" s="63"/>
      <c r="W2802" s="63">
        <f>IF(Copyright!B$11=1,IF(CA2802&gt;0,CA2802-SUM(S2802:V2802)-P2802-SUM(X2802:AQ2802),SUM(CB2802:CI2802)),SUM(CB2802:CI2802))</f>
        <v>0</v>
      </c>
      <c r="X2802" s="63"/>
      <c r="Y2802" s="63">
        <v>0</v>
      </c>
      <c r="Z2802" s="63"/>
      <c r="AA2802" s="63">
        <v>0</v>
      </c>
      <c r="AB2802" s="63"/>
      <c r="AC2802" s="63"/>
      <c r="AD2802" s="63"/>
      <c r="AE2802" s="63">
        <v>2</v>
      </c>
      <c r="AF2802" s="63"/>
      <c r="AG2802" s="63"/>
      <c r="AH2802" s="63"/>
      <c r="AI2802" s="63"/>
      <c r="AJ2802" s="63"/>
      <c r="AK2802" s="63"/>
      <c r="AL2802" s="63"/>
      <c r="AM2802" s="63"/>
      <c r="AN2802" s="63">
        <v>21</v>
      </c>
      <c r="AO2802" s="63"/>
      <c r="AP2802" s="63"/>
      <c r="AQ2802" s="63"/>
      <c r="AR2802" s="63"/>
      <c r="AS2802" s="63"/>
      <c r="AT2802" s="63"/>
      <c r="AU2802" s="63"/>
      <c r="AW2802" s="5">
        <f>IF(Q2802&gt;0,RANK(Q2802,(N2802:P2802,Q2802:AE2802)),0)</f>
        <v>3</v>
      </c>
      <c r="AX2802" s="5">
        <f>IF(R2802&gt;0,RANK(R2802,(N2802:P2802,Q2802:AE2802)),0)</f>
        <v>4</v>
      </c>
      <c r="AY2802" s="5">
        <f>IF(T2802&gt;0,RANK(T2802,(N2802:P2802,Q2802:AE2802)),0)</f>
        <v>0</v>
      </c>
      <c r="AZ2802" s="5">
        <f>IF(S2802&gt;0,RANK(S2802,(N2802:P2802,Q2802:AE2802)),0)</f>
        <v>6</v>
      </c>
      <c r="BA2802" s="2">
        <f t="shared" si="1101"/>
        <v>3.1837555672621046E-2</v>
      </c>
      <c r="BB2802" s="2">
        <f t="shared" si="1102"/>
        <v>8.1126382836071067E-3</v>
      </c>
      <c r="BC2802" s="2">
        <f t="shared" si="1103"/>
        <v>0</v>
      </c>
      <c r="BD2802" s="2">
        <f t="shared" si="1104"/>
        <v>3.6396724294813468E-4</v>
      </c>
      <c r="BF2802" t="s">
        <v>3051</v>
      </c>
      <c r="BG2802" t="s">
        <v>53</v>
      </c>
      <c r="BH2802">
        <v>27</v>
      </c>
      <c r="BJ2802" s="114">
        <v>48</v>
      </c>
      <c r="BK2802" s="116">
        <v>355</v>
      </c>
      <c r="BL2802" s="120">
        <f t="shared" si="1108"/>
        <v>48355</v>
      </c>
      <c r="BN2802" s="5" t="s">
        <v>3154</v>
      </c>
      <c r="BZ2802" s="63">
        <f t="shared" si="1105"/>
        <v>104405</v>
      </c>
      <c r="CD2802" s="63">
        <v>0</v>
      </c>
      <c r="CE2802" s="63">
        <v>0</v>
      </c>
      <c r="CF2802" s="63">
        <v>0</v>
      </c>
      <c r="CG2802" s="8">
        <v>0</v>
      </c>
      <c r="CH2802" s="8">
        <v>0</v>
      </c>
      <c r="CI2802" s="8">
        <v>0</v>
      </c>
    </row>
    <row r="2803" spans="1:87" hidden="1" outlineLevel="1">
      <c r="A2803" t="s">
        <v>2636</v>
      </c>
      <c r="B2803" t="s">
        <v>53</v>
      </c>
      <c r="C2803" s="1">
        <f t="shared" si="1096"/>
        <v>3002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4</v>
      </c>
      <c r="G2803" s="132">
        <f t="shared" si="1106"/>
        <v>2354</v>
      </c>
      <c r="H2803" s="137">
        <f t="shared" si="1107"/>
        <v>0.7841439040639574</v>
      </c>
      <c r="I2803" s="2"/>
      <c r="J2803" s="2">
        <f t="shared" si="1097"/>
        <v>9.127248500999334E-2</v>
      </c>
      <c r="K2803" s="2">
        <f t="shared" si="1098"/>
        <v>0.8754163890739507</v>
      </c>
      <c r="L2803" s="2">
        <f t="shared" si="1099"/>
        <v>5.662891405729514E-3</v>
      </c>
      <c r="M2803" s="2">
        <f t="shared" si="1100"/>
        <v>2.764823451032649E-2</v>
      </c>
      <c r="N2803" s="63">
        <v>274</v>
      </c>
      <c r="O2803" s="63">
        <v>2628</v>
      </c>
      <c r="P2803" s="63">
        <v>17</v>
      </c>
      <c r="Q2803" s="63">
        <v>75</v>
      </c>
      <c r="R2803" s="63">
        <v>5</v>
      </c>
      <c r="S2803" s="63">
        <v>2</v>
      </c>
      <c r="T2803" s="63"/>
      <c r="U2803" s="63">
        <v>0</v>
      </c>
      <c r="V2803" s="63"/>
      <c r="W2803" s="63">
        <f>IF(Copyright!B$11=1,IF(CA2803&gt;0,CA2803-SUM(S2803:V2803)-P2803-SUM(X2803:AQ2803),SUM(CB2803:CI2803)),SUM(CB2803:CI2803))</f>
        <v>1</v>
      </c>
      <c r="X2803" s="63"/>
      <c r="Y2803" s="63">
        <v>0</v>
      </c>
      <c r="Z2803" s="63"/>
      <c r="AA2803" s="63">
        <v>0</v>
      </c>
      <c r="AB2803" s="63"/>
      <c r="AC2803" s="63"/>
      <c r="AD2803" s="63"/>
      <c r="AE2803" s="63">
        <v>0</v>
      </c>
      <c r="AF2803" s="63"/>
      <c r="AG2803" s="63"/>
      <c r="AH2803" s="63"/>
      <c r="AI2803" s="63"/>
      <c r="AJ2803" s="63"/>
      <c r="AK2803" s="63"/>
      <c r="AL2803" s="63"/>
      <c r="AM2803" s="63"/>
      <c r="AN2803" s="63">
        <v>0</v>
      </c>
      <c r="AO2803" s="63"/>
      <c r="AP2803" s="63"/>
      <c r="AQ2803" s="63"/>
      <c r="AR2803" s="63"/>
      <c r="AS2803" s="63"/>
      <c r="AT2803" s="63"/>
      <c r="AU2803" s="63"/>
      <c r="AW2803" s="5">
        <f>IF(Q2803&gt;0,RANK(Q2803,(N2803:P2803,Q2803:AE2803)),0)</f>
        <v>3</v>
      </c>
      <c r="AX2803" s="5">
        <f>IF(R2803&gt;0,RANK(R2803,(N2803:P2803,Q2803:AE2803)),0)</f>
        <v>5</v>
      </c>
      <c r="AY2803" s="5">
        <f>IF(T2803&gt;0,RANK(T2803,(N2803:P2803,Q2803:AE2803)),0)</f>
        <v>0</v>
      </c>
      <c r="AZ2803" s="5">
        <f>IF(S2803&gt;0,RANK(S2803,(N2803:P2803,Q2803:AE2803)),0)</f>
        <v>6</v>
      </c>
      <c r="BA2803" s="2">
        <f t="shared" si="1101"/>
        <v>2.4983344437041973E-2</v>
      </c>
      <c r="BB2803" s="2">
        <f t="shared" si="1102"/>
        <v>1.6655562958027982E-3</v>
      </c>
      <c r="BC2803" s="2">
        <f t="shared" si="1103"/>
        <v>0</v>
      </c>
      <c r="BD2803" s="2">
        <f t="shared" si="1104"/>
        <v>6.6622251832111927E-4</v>
      </c>
      <c r="BF2803" t="s">
        <v>2636</v>
      </c>
      <c r="BG2803" t="s">
        <v>53</v>
      </c>
      <c r="BH2803">
        <v>13</v>
      </c>
      <c r="BJ2803" s="114">
        <v>48</v>
      </c>
      <c r="BK2803" s="116">
        <v>357</v>
      </c>
      <c r="BL2803" s="120">
        <f t="shared" si="1108"/>
        <v>48357</v>
      </c>
      <c r="BN2803" s="5" t="s">
        <v>3154</v>
      </c>
      <c r="BZ2803" s="63">
        <f t="shared" si="1105"/>
        <v>3002</v>
      </c>
      <c r="CD2803" s="63">
        <v>0</v>
      </c>
      <c r="CE2803" s="63">
        <v>0</v>
      </c>
      <c r="CF2803" s="63">
        <v>1</v>
      </c>
      <c r="CG2803" s="8">
        <v>0</v>
      </c>
      <c r="CH2803" s="8">
        <v>0</v>
      </c>
      <c r="CI2803" s="8">
        <v>0</v>
      </c>
    </row>
    <row r="2804" spans="1:87" hidden="1" outlineLevel="1">
      <c r="A2804" t="s">
        <v>1444</v>
      </c>
      <c r="B2804" t="s">
        <v>53</v>
      </c>
      <c r="C2804" s="1">
        <f t="shared" si="1096"/>
        <v>953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6</v>
      </c>
      <c r="G2804" s="132">
        <f t="shared" si="1106"/>
        <v>772</v>
      </c>
      <c r="H2804" s="137">
        <f t="shared" si="1107"/>
        <v>0.81007345225603355</v>
      </c>
      <c r="I2804" s="2"/>
      <c r="J2804" s="2">
        <f t="shared" si="1097"/>
        <v>8.1846799580272828E-2</v>
      </c>
      <c r="K2804" s="2">
        <f t="shared" si="1098"/>
        <v>0.89192025183630641</v>
      </c>
      <c r="L2804" s="2">
        <f t="shared" si="1099"/>
        <v>2.0986358866736622E-3</v>
      </c>
      <c r="M2804" s="2">
        <f t="shared" si="1100"/>
        <v>2.4134312696747071E-2</v>
      </c>
      <c r="N2804" s="63">
        <v>78</v>
      </c>
      <c r="O2804" s="63">
        <v>850</v>
      </c>
      <c r="P2804" s="63">
        <v>2</v>
      </c>
      <c r="Q2804" s="63">
        <v>14</v>
      </c>
      <c r="R2804" s="63">
        <v>3</v>
      </c>
      <c r="S2804" s="63">
        <v>1</v>
      </c>
      <c r="T2804" s="63"/>
      <c r="U2804" s="63">
        <v>0</v>
      </c>
      <c r="V2804" s="63"/>
      <c r="W2804" s="63">
        <f>IF(Copyright!B$11=1,IF(CA2804&gt;0,CA2804-SUM(S2804:V2804)-P2804-SUM(X2804:AQ2804),SUM(CB2804:CI2804)),SUM(CB2804:CI2804))</f>
        <v>5</v>
      </c>
      <c r="X2804" s="63"/>
      <c r="Y2804" s="63">
        <v>0</v>
      </c>
      <c r="Z2804" s="63"/>
      <c r="AA2804" s="63">
        <v>0</v>
      </c>
      <c r="AB2804" s="63"/>
      <c r="AC2804" s="63"/>
      <c r="AD2804" s="63"/>
      <c r="AE2804" s="63">
        <v>0</v>
      </c>
      <c r="AF2804" s="63"/>
      <c r="AG2804" s="63"/>
      <c r="AH2804" s="63"/>
      <c r="AI2804" s="63"/>
      <c r="AJ2804" s="63"/>
      <c r="AK2804" s="63"/>
      <c r="AL2804" s="63"/>
      <c r="AM2804" s="63"/>
      <c r="AN2804" s="63">
        <v>0</v>
      </c>
      <c r="AO2804" s="63"/>
      <c r="AP2804" s="63"/>
      <c r="AQ2804" s="63"/>
      <c r="AR2804" s="63"/>
      <c r="AS2804" s="63"/>
      <c r="AT2804" s="63"/>
      <c r="AU2804" s="63"/>
      <c r="AW2804" s="5">
        <f>IF(Q2804&gt;0,RANK(Q2804,(N2804:P2804,Q2804:AE2804)),0)</f>
        <v>3</v>
      </c>
      <c r="AX2804" s="5">
        <f>IF(R2804&gt;0,RANK(R2804,(N2804:P2804,Q2804:AE2804)),0)</f>
        <v>5</v>
      </c>
      <c r="AY2804" s="5">
        <f>IF(T2804&gt;0,RANK(T2804,(N2804:P2804,Q2804:AE2804)),0)</f>
        <v>0</v>
      </c>
      <c r="AZ2804" s="5">
        <f>IF(S2804&gt;0,RANK(S2804,(N2804:P2804,Q2804:AE2804)),0)</f>
        <v>7</v>
      </c>
      <c r="BA2804" s="2">
        <f t="shared" si="1101"/>
        <v>1.4690451206715634E-2</v>
      </c>
      <c r="BB2804" s="2">
        <f t="shared" si="1102"/>
        <v>3.1479538300104933E-3</v>
      </c>
      <c r="BC2804" s="2">
        <f t="shared" si="1103"/>
        <v>0</v>
      </c>
      <c r="BD2804" s="2">
        <f t="shared" si="1104"/>
        <v>1.0493179433368311E-3</v>
      </c>
      <c r="BF2804" t="s">
        <v>1444</v>
      </c>
      <c r="BG2804" t="s">
        <v>53</v>
      </c>
      <c r="BH2804">
        <v>13</v>
      </c>
      <c r="BJ2804" s="114">
        <v>48</v>
      </c>
      <c r="BK2804" s="116">
        <v>359</v>
      </c>
      <c r="BL2804" s="120">
        <f t="shared" si="1108"/>
        <v>48359</v>
      </c>
      <c r="BN2804" s="5" t="s">
        <v>3154</v>
      </c>
      <c r="BZ2804" s="63">
        <f t="shared" si="1105"/>
        <v>953</v>
      </c>
      <c r="CA2804" s="63">
        <v>8</v>
      </c>
      <c r="CD2804" s="63">
        <v>0</v>
      </c>
      <c r="CE2804" s="63">
        <v>0</v>
      </c>
      <c r="CF2804" s="63">
        <v>0</v>
      </c>
      <c r="CG2804" s="8">
        <v>0</v>
      </c>
      <c r="CH2804" s="8">
        <v>0</v>
      </c>
      <c r="CI2804" s="8">
        <v>0</v>
      </c>
    </row>
    <row r="2805" spans="1:87" hidden="1" outlineLevel="1">
      <c r="A2805" t="s">
        <v>2013</v>
      </c>
      <c r="B2805" t="s">
        <v>53</v>
      </c>
      <c r="C2805" s="1">
        <f t="shared" si="1096"/>
        <v>32000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5</v>
      </c>
      <c r="G2805" s="132">
        <f t="shared" si="1106"/>
        <v>19778</v>
      </c>
      <c r="H2805" s="137">
        <f t="shared" si="1107"/>
        <v>0.61806249999999996</v>
      </c>
      <c r="I2805" s="2"/>
      <c r="J2805" s="2">
        <f t="shared" si="1097"/>
        <v>0.17921875000000001</v>
      </c>
      <c r="K2805" s="2">
        <f t="shared" si="1098"/>
        <v>0.79728125000000005</v>
      </c>
      <c r="L2805" s="2">
        <f t="shared" si="1099"/>
        <v>2.1250000000000002E-3</v>
      </c>
      <c r="M2805" s="2">
        <f t="shared" si="1100"/>
        <v>2.1374999999999963E-2</v>
      </c>
      <c r="N2805" s="63">
        <v>5735</v>
      </c>
      <c r="O2805" s="63">
        <v>25513</v>
      </c>
      <c r="P2805" s="63">
        <v>68</v>
      </c>
      <c r="Q2805" s="63">
        <v>550</v>
      </c>
      <c r="R2805" s="63">
        <v>115</v>
      </c>
      <c r="S2805" s="63">
        <v>18</v>
      </c>
      <c r="T2805" s="63"/>
      <c r="U2805" s="63">
        <v>0</v>
      </c>
      <c r="V2805" s="63"/>
      <c r="W2805" s="63">
        <f>IF(Copyright!B$11=1,IF(CA2805&gt;0,CA2805-SUM(S2805:V2805)-P2805-SUM(X2805:AQ2805),SUM(CB2805:CI2805)),SUM(CB2805:CI2805))</f>
        <v>0</v>
      </c>
      <c r="X2805" s="63"/>
      <c r="Y2805" s="63">
        <v>0</v>
      </c>
      <c r="Z2805" s="63"/>
      <c r="AA2805" s="63">
        <v>0</v>
      </c>
      <c r="AB2805" s="63"/>
      <c r="AC2805" s="63"/>
      <c r="AD2805" s="63"/>
      <c r="AE2805" s="63">
        <v>0</v>
      </c>
      <c r="AF2805" s="63"/>
      <c r="AG2805" s="63"/>
      <c r="AH2805" s="63"/>
      <c r="AI2805" s="63"/>
      <c r="AJ2805" s="63"/>
      <c r="AK2805" s="63"/>
      <c r="AL2805" s="63"/>
      <c r="AM2805" s="63"/>
      <c r="AN2805" s="63">
        <v>1</v>
      </c>
      <c r="AO2805" s="63"/>
      <c r="AP2805" s="63"/>
      <c r="AQ2805" s="63"/>
      <c r="AR2805" s="63"/>
      <c r="AS2805" s="63"/>
      <c r="AT2805" s="63"/>
      <c r="AU2805" s="63"/>
      <c r="AW2805" s="5">
        <f>IF(Q2805&gt;0,RANK(Q2805,(N2805:P2805,Q2805:AE2805)),0)</f>
        <v>3</v>
      </c>
      <c r="AX2805" s="5">
        <f>IF(R2805&gt;0,RANK(R2805,(N2805:P2805,Q2805:AE2805)),0)</f>
        <v>4</v>
      </c>
      <c r="AY2805" s="5">
        <f>IF(T2805&gt;0,RANK(T2805,(N2805:P2805,Q2805:AE2805)),0)</f>
        <v>0</v>
      </c>
      <c r="AZ2805" s="5">
        <f>IF(S2805&gt;0,RANK(S2805,(N2805:P2805,Q2805:AE2805)),0)</f>
        <v>6</v>
      </c>
      <c r="BA2805" s="2">
        <f t="shared" si="1101"/>
        <v>1.7187500000000001E-2</v>
      </c>
      <c r="BB2805" s="2">
        <f t="shared" si="1102"/>
        <v>3.5937500000000002E-3</v>
      </c>
      <c r="BC2805" s="2">
        <f t="shared" si="1103"/>
        <v>0</v>
      </c>
      <c r="BD2805" s="2">
        <f t="shared" si="1104"/>
        <v>5.6249999999999996E-4</v>
      </c>
      <c r="BF2805" t="s">
        <v>2013</v>
      </c>
      <c r="BG2805" t="s">
        <v>53</v>
      </c>
      <c r="BH2805">
        <v>36</v>
      </c>
      <c r="BJ2805" s="114">
        <v>48</v>
      </c>
      <c r="BK2805" s="116">
        <v>361</v>
      </c>
      <c r="BL2805" s="120">
        <f t="shared" si="1108"/>
        <v>48361</v>
      </c>
      <c r="BN2805" s="5" t="s">
        <v>3154</v>
      </c>
      <c r="BZ2805" s="63">
        <f t="shared" si="1105"/>
        <v>32000</v>
      </c>
      <c r="CA2805" s="133"/>
      <c r="CD2805" s="63">
        <v>0</v>
      </c>
      <c r="CE2805" s="63">
        <v>0</v>
      </c>
      <c r="CF2805" s="63">
        <v>0</v>
      </c>
      <c r="CG2805" s="8">
        <v>0</v>
      </c>
      <c r="CH2805" s="8">
        <v>0</v>
      </c>
      <c r="CI2805" s="8">
        <v>0</v>
      </c>
    </row>
    <row r="2806" spans="1:87" hidden="1" outlineLevel="1">
      <c r="A2806" t="s">
        <v>2273</v>
      </c>
      <c r="B2806" t="s">
        <v>53</v>
      </c>
      <c r="C2806" s="1">
        <f t="shared" si="1096"/>
        <v>10270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5</v>
      </c>
      <c r="G2806" s="132">
        <f t="shared" si="1106"/>
        <v>6576</v>
      </c>
      <c r="H2806" s="137">
        <f t="shared" si="1107"/>
        <v>0.64031158714703018</v>
      </c>
      <c r="I2806" s="2"/>
      <c r="J2806" s="2">
        <f t="shared" si="1097"/>
        <v>0.16630963972736124</v>
      </c>
      <c r="K2806" s="2">
        <f t="shared" si="1098"/>
        <v>0.80662122687439142</v>
      </c>
      <c r="L2806" s="2">
        <f t="shared" si="1099"/>
        <v>1.557935735150925E-3</v>
      </c>
      <c r="M2806" s="2">
        <f t="shared" si="1100"/>
        <v>2.5511197663096421E-2</v>
      </c>
      <c r="N2806" s="63">
        <v>1708</v>
      </c>
      <c r="O2806" s="63">
        <v>8284</v>
      </c>
      <c r="P2806" s="63">
        <v>16</v>
      </c>
      <c r="Q2806" s="63">
        <v>210</v>
      </c>
      <c r="R2806" s="63">
        <v>48</v>
      </c>
      <c r="S2806" s="63">
        <v>1</v>
      </c>
      <c r="T2806" s="63"/>
      <c r="U2806" s="63">
        <v>0</v>
      </c>
      <c r="V2806" s="63"/>
      <c r="W2806" s="63">
        <f>IF(Copyright!B$11=1,IF(CA2806&gt;0,CA2806-SUM(S2806:V2806)-P2806-SUM(X2806:AQ2806),SUM(CB2806:CI2806)),SUM(CB2806:CI2806))</f>
        <v>2</v>
      </c>
      <c r="X2806" s="63"/>
      <c r="Y2806" s="63">
        <v>1</v>
      </c>
      <c r="Z2806" s="63"/>
      <c r="AA2806" s="63">
        <v>0</v>
      </c>
      <c r="AB2806" s="63"/>
      <c r="AC2806" s="63"/>
      <c r="AD2806" s="63"/>
      <c r="AE2806" s="63">
        <v>0</v>
      </c>
      <c r="AF2806" s="63"/>
      <c r="AG2806" s="63"/>
      <c r="AH2806" s="63"/>
      <c r="AI2806" s="63"/>
      <c r="AJ2806" s="63"/>
      <c r="AK2806" s="63"/>
      <c r="AL2806" s="63"/>
      <c r="AM2806" s="63"/>
      <c r="AN2806" s="63">
        <v>0</v>
      </c>
      <c r="AO2806" s="63"/>
      <c r="AP2806" s="63"/>
      <c r="AQ2806" s="63"/>
      <c r="AR2806" s="63"/>
      <c r="AS2806" s="63"/>
      <c r="AT2806" s="63"/>
      <c r="AU2806" s="63"/>
      <c r="AW2806" s="5">
        <f>IF(Q2806&gt;0,RANK(Q2806,(N2806:P2806,Q2806:AE2806)),0)</f>
        <v>3</v>
      </c>
      <c r="AX2806" s="5">
        <f>IF(R2806&gt;0,RANK(R2806,(N2806:P2806,Q2806:AE2806)),0)</f>
        <v>4</v>
      </c>
      <c r="AY2806" s="5">
        <f>IF(T2806&gt;0,RANK(T2806,(N2806:P2806,Q2806:AE2806)),0)</f>
        <v>0</v>
      </c>
      <c r="AZ2806" s="5">
        <f>IF(S2806&gt;0,RANK(S2806,(N2806:P2806,Q2806:AE2806)),0)</f>
        <v>7</v>
      </c>
      <c r="BA2806" s="2">
        <f t="shared" si="1101"/>
        <v>2.0447906523855891E-2</v>
      </c>
      <c r="BB2806" s="2">
        <f t="shared" si="1102"/>
        <v>4.6738072054527749E-3</v>
      </c>
      <c r="BC2806" s="2">
        <f t="shared" si="1103"/>
        <v>0</v>
      </c>
      <c r="BD2806" s="2">
        <f t="shared" si="1104"/>
        <v>9.7370983446932815E-5</v>
      </c>
      <c r="BF2806" t="s">
        <v>2273</v>
      </c>
      <c r="BG2806" t="s">
        <v>53</v>
      </c>
      <c r="BH2806">
        <v>11</v>
      </c>
      <c r="BJ2806" s="114">
        <v>48</v>
      </c>
      <c r="BK2806" s="116">
        <v>363</v>
      </c>
      <c r="BL2806" s="120">
        <f t="shared" si="1108"/>
        <v>48363</v>
      </c>
      <c r="BN2806" s="5" t="s">
        <v>3154</v>
      </c>
      <c r="BZ2806" s="63">
        <f t="shared" si="1105"/>
        <v>10270</v>
      </c>
      <c r="CA2806" s="133"/>
      <c r="CD2806" s="63">
        <v>0</v>
      </c>
      <c r="CE2806" s="63">
        <v>0</v>
      </c>
      <c r="CF2806" s="63">
        <v>0</v>
      </c>
      <c r="CG2806" s="8">
        <v>0</v>
      </c>
      <c r="CH2806" s="8">
        <v>0</v>
      </c>
      <c r="CI2806" s="8">
        <v>2</v>
      </c>
    </row>
    <row r="2807" spans="1:87" hidden="1" outlineLevel="1">
      <c r="A2807" t="s">
        <v>2376</v>
      </c>
      <c r="B2807" t="s">
        <v>53</v>
      </c>
      <c r="C2807" s="1">
        <f t="shared" si="1096"/>
        <v>10416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32">
        <f t="shared" si="1106"/>
        <v>6610</v>
      </c>
      <c r="H2807" s="137">
        <f t="shared" si="1107"/>
        <v>0.63460061443932414</v>
      </c>
      <c r="I2807" s="2"/>
      <c r="J2807" s="2">
        <f t="shared" si="1097"/>
        <v>0.17617127496159754</v>
      </c>
      <c r="K2807" s="2">
        <f t="shared" si="1098"/>
        <v>0.81077188940092171</v>
      </c>
      <c r="L2807" s="2">
        <f t="shared" si="1099"/>
        <v>0</v>
      </c>
      <c r="M2807" s="2">
        <f t="shared" si="1100"/>
        <v>1.3056835637480724E-2</v>
      </c>
      <c r="N2807" s="63">
        <v>1835</v>
      </c>
      <c r="O2807" s="63">
        <v>8445</v>
      </c>
      <c r="P2807" s="63">
        <v>0</v>
      </c>
      <c r="Q2807" s="63">
        <v>109</v>
      </c>
      <c r="R2807" s="63">
        <v>24</v>
      </c>
      <c r="S2807" s="63">
        <v>0</v>
      </c>
      <c r="T2807" s="63"/>
      <c r="U2807" s="63">
        <v>0</v>
      </c>
      <c r="V2807" s="63"/>
      <c r="W2807" s="63">
        <f>IF(Copyright!B$11=1,IF(CA2807&gt;0,CA2807-SUM(S2807:V2807)-P2807-SUM(X2807:AQ2807),SUM(CB2807:CI2807)),SUM(CB2807:CI2807))</f>
        <v>0</v>
      </c>
      <c r="X2807" s="63"/>
      <c r="Y2807" s="63">
        <v>2</v>
      </c>
      <c r="Z2807" s="63"/>
      <c r="AA2807" s="63">
        <v>0</v>
      </c>
      <c r="AB2807" s="63"/>
      <c r="AC2807" s="63"/>
      <c r="AD2807" s="63"/>
      <c r="AE2807" s="63">
        <v>0</v>
      </c>
      <c r="AF2807" s="63"/>
      <c r="AG2807" s="63"/>
      <c r="AH2807" s="63"/>
      <c r="AI2807" s="63"/>
      <c r="AJ2807" s="63"/>
      <c r="AK2807" s="63"/>
      <c r="AL2807" s="63"/>
      <c r="AM2807" s="63"/>
      <c r="AN2807" s="63">
        <v>1</v>
      </c>
      <c r="AO2807" s="63"/>
      <c r="AP2807" s="63"/>
      <c r="AQ2807" s="63"/>
      <c r="AR2807" s="63"/>
      <c r="AS2807" s="63"/>
      <c r="AT2807" s="63"/>
      <c r="AU2807" s="63"/>
      <c r="AW2807" s="5">
        <f>IF(Q2807&gt;0,RANK(Q2807,(N2807:P2807,Q2807:AE2807)),0)</f>
        <v>3</v>
      </c>
      <c r="AX2807" s="5">
        <f>IF(R2807&gt;0,RANK(R2807,(N2807:P2807,Q2807:AE2807)),0)</f>
        <v>4</v>
      </c>
      <c r="AY2807" s="5">
        <f>IF(T2807&gt;0,RANK(T2807,(N2807:P2807,Q2807:AE2807)),0)</f>
        <v>0</v>
      </c>
      <c r="AZ2807" s="5">
        <f>IF(S2807&gt;0,RANK(S2807,(N2807:P2807,Q2807:AE2807)),0)</f>
        <v>0</v>
      </c>
      <c r="BA2807" s="2">
        <f t="shared" si="1101"/>
        <v>1.0464669738863288E-2</v>
      </c>
      <c r="BB2807" s="2">
        <f t="shared" si="1102"/>
        <v>2.304147465437788E-3</v>
      </c>
      <c r="BC2807" s="2">
        <f t="shared" si="1103"/>
        <v>0</v>
      </c>
      <c r="BD2807" s="2">
        <f t="shared" si="1104"/>
        <v>0</v>
      </c>
      <c r="BF2807" t="s">
        <v>2376</v>
      </c>
      <c r="BG2807" t="s">
        <v>53</v>
      </c>
      <c r="BH2807">
        <v>1</v>
      </c>
      <c r="BJ2807" s="114">
        <v>48</v>
      </c>
      <c r="BK2807" s="116">
        <v>365</v>
      </c>
      <c r="BL2807" s="120">
        <f t="shared" si="1108"/>
        <v>48365</v>
      </c>
      <c r="BN2807" s="5" t="s">
        <v>3154</v>
      </c>
      <c r="BZ2807" s="63">
        <f t="shared" si="1105"/>
        <v>10416</v>
      </c>
      <c r="CD2807" s="63">
        <v>0</v>
      </c>
      <c r="CE2807" s="63">
        <v>0</v>
      </c>
      <c r="CF2807" s="63">
        <v>0</v>
      </c>
      <c r="CG2807" s="8">
        <v>0</v>
      </c>
      <c r="CH2807" s="8">
        <v>0</v>
      </c>
      <c r="CI2807" s="8">
        <v>0</v>
      </c>
    </row>
    <row r="2808" spans="1:87" hidden="1" outlineLevel="1">
      <c r="A2808" t="s">
        <v>2270</v>
      </c>
      <c r="B2808" t="s">
        <v>53</v>
      </c>
      <c r="C2808" s="1">
        <f t="shared" si="1096"/>
        <v>56817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4</v>
      </c>
      <c r="G2808" s="132">
        <f t="shared" si="1106"/>
        <v>38129</v>
      </c>
      <c r="H2808" s="137">
        <f t="shared" si="1107"/>
        <v>0.67108435855465798</v>
      </c>
      <c r="I2808" s="2"/>
      <c r="J2808" s="2">
        <f t="shared" si="1097"/>
        <v>0.14685745463505642</v>
      </c>
      <c r="K2808" s="2">
        <f t="shared" si="1098"/>
        <v>0.81794181318971437</v>
      </c>
      <c r="L2808" s="2">
        <f t="shared" si="1099"/>
        <v>4.6464966471302599E-3</v>
      </c>
      <c r="M2808" s="2">
        <f t="shared" si="1100"/>
        <v>3.0554235528098973E-2</v>
      </c>
      <c r="N2808" s="63">
        <v>8344</v>
      </c>
      <c r="O2808" s="63">
        <v>46473</v>
      </c>
      <c r="P2808" s="63">
        <v>264</v>
      </c>
      <c r="Q2808" s="63">
        <v>1439</v>
      </c>
      <c r="R2808" s="63">
        <v>215</v>
      </c>
      <c r="S2808" s="63">
        <v>46</v>
      </c>
      <c r="T2808" s="63"/>
      <c r="U2808" s="63">
        <v>0</v>
      </c>
      <c r="V2808" s="63"/>
      <c r="W2808" s="63">
        <f>IF(Copyright!B$11=1,IF(CA2808&gt;0,CA2808-SUM(S2808:V2808)-P2808-SUM(X2808:AQ2808),SUM(CB2808:CI2808)),SUM(CB2808:CI2808))</f>
        <v>9</v>
      </c>
      <c r="X2808" s="63"/>
      <c r="Y2808" s="63">
        <v>25</v>
      </c>
      <c r="Z2808" s="63"/>
      <c r="AA2808" s="63">
        <v>1</v>
      </c>
      <c r="AB2808" s="63"/>
      <c r="AC2808" s="63"/>
      <c r="AD2808" s="63"/>
      <c r="AE2808" s="63">
        <v>0</v>
      </c>
      <c r="AF2808" s="63"/>
      <c r="AG2808" s="63"/>
      <c r="AH2808" s="63"/>
      <c r="AI2808" s="63"/>
      <c r="AJ2808" s="63"/>
      <c r="AK2808" s="63"/>
      <c r="AL2808" s="63"/>
      <c r="AM2808" s="63"/>
      <c r="AN2808" s="63">
        <v>1</v>
      </c>
      <c r="AO2808" s="63"/>
      <c r="AP2808" s="63"/>
      <c r="AQ2808" s="63"/>
      <c r="AR2808" s="63"/>
      <c r="AS2808" s="63"/>
      <c r="AT2808" s="63"/>
      <c r="AU2808" s="63"/>
      <c r="AW2808" s="5">
        <f>IF(Q2808&gt;0,RANK(Q2808,(N2808:P2808,Q2808:AE2808)),0)</f>
        <v>3</v>
      </c>
      <c r="AX2808" s="5">
        <f>IF(R2808&gt;0,RANK(R2808,(N2808:P2808,Q2808:AE2808)),0)</f>
        <v>5</v>
      </c>
      <c r="AY2808" s="5">
        <f>IF(T2808&gt;0,RANK(T2808,(N2808:P2808,Q2808:AE2808)),0)</f>
        <v>0</v>
      </c>
      <c r="AZ2808" s="5">
        <f>IF(S2808&gt;0,RANK(S2808,(N2808:P2808,Q2808:AE2808)),0)</f>
        <v>6</v>
      </c>
      <c r="BA2808" s="2">
        <f t="shared" si="1101"/>
        <v>2.5326926800077441E-2</v>
      </c>
      <c r="BB2808" s="2">
        <f t="shared" si="1102"/>
        <v>3.7840787088371437E-3</v>
      </c>
      <c r="BC2808" s="2">
        <f t="shared" si="1103"/>
        <v>0</v>
      </c>
      <c r="BD2808" s="2">
        <f t="shared" si="1104"/>
        <v>8.0961684003027265E-4</v>
      </c>
      <c r="BF2808" t="s">
        <v>2270</v>
      </c>
      <c r="BG2808" t="s">
        <v>53</v>
      </c>
      <c r="BH2808">
        <v>12</v>
      </c>
      <c r="BJ2808" s="114">
        <v>48</v>
      </c>
      <c r="BK2808" s="116">
        <v>367</v>
      </c>
      <c r="BL2808" s="120">
        <f t="shared" si="1108"/>
        <v>48367</v>
      </c>
      <c r="BN2808" s="5" t="s">
        <v>3154</v>
      </c>
      <c r="BZ2808" s="63">
        <f t="shared" si="1105"/>
        <v>56817</v>
      </c>
      <c r="CD2808" s="63">
        <v>1</v>
      </c>
      <c r="CE2808" s="63">
        <v>0</v>
      </c>
      <c r="CF2808" s="63">
        <v>7</v>
      </c>
      <c r="CG2808" s="8">
        <v>0</v>
      </c>
      <c r="CH2808" s="8">
        <v>0</v>
      </c>
      <c r="CI2808" s="8">
        <v>1</v>
      </c>
    </row>
    <row r="2809" spans="1:87" hidden="1" outlineLevel="1">
      <c r="A2809" t="s">
        <v>1539</v>
      </c>
      <c r="B2809" t="s">
        <v>53</v>
      </c>
      <c r="C2809" s="1">
        <f t="shared" si="1096"/>
        <v>2466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4</v>
      </c>
      <c r="G2809" s="132">
        <f t="shared" si="1106"/>
        <v>1430</v>
      </c>
      <c r="H2809" s="137">
        <f t="shared" si="1107"/>
        <v>0.57988645579886455</v>
      </c>
      <c r="I2809" s="2"/>
      <c r="J2809" s="2">
        <f t="shared" si="1097"/>
        <v>0.19667477696674776</v>
      </c>
      <c r="K2809" s="2">
        <f t="shared" si="1098"/>
        <v>0.77656123276561229</v>
      </c>
      <c r="L2809" s="2">
        <f t="shared" si="1099"/>
        <v>2.02757502027575E-3</v>
      </c>
      <c r="M2809" s="2">
        <f t="shared" si="1100"/>
        <v>2.4736415247364231E-2</v>
      </c>
      <c r="N2809" s="63">
        <v>485</v>
      </c>
      <c r="O2809" s="63">
        <v>1915</v>
      </c>
      <c r="P2809" s="63">
        <v>5</v>
      </c>
      <c r="Q2809" s="63">
        <v>55</v>
      </c>
      <c r="R2809" s="63">
        <v>4</v>
      </c>
      <c r="S2809" s="63">
        <v>1</v>
      </c>
      <c r="T2809" s="63"/>
      <c r="U2809" s="63">
        <v>0</v>
      </c>
      <c r="V2809" s="63"/>
      <c r="W2809" s="63">
        <f>IF(Copyright!B$11=1,IF(CA2809&gt;0,CA2809-SUM(S2809:V2809)-P2809-SUM(X2809:AQ2809),SUM(CB2809:CI2809)),SUM(CB2809:CI2809))</f>
        <v>0</v>
      </c>
      <c r="X2809" s="63"/>
      <c r="Y2809" s="63">
        <v>1</v>
      </c>
      <c r="Z2809" s="63"/>
      <c r="AA2809" s="63">
        <v>0</v>
      </c>
      <c r="AB2809" s="63"/>
      <c r="AC2809" s="63"/>
      <c r="AD2809" s="63"/>
      <c r="AE2809" s="63">
        <v>0</v>
      </c>
      <c r="AF2809" s="63"/>
      <c r="AG2809" s="63"/>
      <c r="AH2809" s="63"/>
      <c r="AI2809" s="63"/>
      <c r="AJ2809" s="63"/>
      <c r="AK2809" s="63"/>
      <c r="AL2809" s="63"/>
      <c r="AM2809" s="63"/>
      <c r="AN2809" s="63">
        <v>0</v>
      </c>
      <c r="AO2809" s="63"/>
      <c r="AP2809" s="63"/>
      <c r="AQ2809" s="63"/>
      <c r="AR2809" s="63"/>
      <c r="AS2809" s="63"/>
      <c r="AT2809" s="63"/>
      <c r="AU2809" s="63"/>
      <c r="AW2809" s="5">
        <f>IF(Q2809&gt;0,RANK(Q2809,(N2809:P2809,Q2809:AE2809)),0)</f>
        <v>3</v>
      </c>
      <c r="AX2809" s="5">
        <f>IF(R2809&gt;0,RANK(R2809,(N2809:P2809,Q2809:AE2809)),0)</f>
        <v>5</v>
      </c>
      <c r="AY2809" s="5">
        <f>IF(T2809&gt;0,RANK(T2809,(N2809:P2809,Q2809:AE2809)),0)</f>
        <v>0</v>
      </c>
      <c r="AZ2809" s="5">
        <f>IF(S2809&gt;0,RANK(S2809,(N2809:P2809,Q2809:AE2809)),0)</f>
        <v>6</v>
      </c>
      <c r="BA2809" s="2">
        <f t="shared" si="1101"/>
        <v>2.2303325223033254E-2</v>
      </c>
      <c r="BB2809" s="2">
        <f t="shared" si="1102"/>
        <v>1.6220600162206002E-3</v>
      </c>
      <c r="BC2809" s="2">
        <f t="shared" si="1103"/>
        <v>0</v>
      </c>
      <c r="BD2809" s="2">
        <f t="shared" si="1104"/>
        <v>4.0551500405515005E-4</v>
      </c>
      <c r="BF2809" t="s">
        <v>1539</v>
      </c>
      <c r="BG2809" t="s">
        <v>53</v>
      </c>
      <c r="BH2809">
        <v>19</v>
      </c>
      <c r="BJ2809" s="114">
        <v>48</v>
      </c>
      <c r="BK2809" s="116">
        <v>369</v>
      </c>
      <c r="BL2809" s="120">
        <f t="shared" si="1108"/>
        <v>48369</v>
      </c>
      <c r="BN2809" s="5" t="s">
        <v>3154</v>
      </c>
      <c r="BZ2809" s="63">
        <f t="shared" si="1105"/>
        <v>2466</v>
      </c>
      <c r="CD2809" s="63">
        <v>0</v>
      </c>
      <c r="CE2809" s="63">
        <v>0</v>
      </c>
      <c r="CF2809" s="63">
        <v>0</v>
      </c>
      <c r="CG2809" s="8">
        <v>0</v>
      </c>
      <c r="CH2809" s="8">
        <v>0</v>
      </c>
      <c r="CI2809" s="8">
        <v>0</v>
      </c>
    </row>
    <row r="2810" spans="1:87" hidden="1" outlineLevel="1">
      <c r="A2810" t="s">
        <v>383</v>
      </c>
      <c r="B2810" t="s">
        <v>53</v>
      </c>
      <c r="C2810" s="1">
        <f t="shared" si="1096"/>
        <v>4185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5</v>
      </c>
      <c r="G2810" s="132">
        <f t="shared" si="1106"/>
        <v>914</v>
      </c>
      <c r="H2810" s="137">
        <f t="shared" si="1107"/>
        <v>0.21839904420549583</v>
      </c>
      <c r="I2810" s="2"/>
      <c r="J2810" s="2">
        <f t="shared" si="1097"/>
        <v>0.37132616487455194</v>
      </c>
      <c r="K2810" s="2">
        <f t="shared" si="1098"/>
        <v>0.58972520908004777</v>
      </c>
      <c r="L2810" s="2">
        <f t="shared" si="1099"/>
        <v>1.6726403823178017E-3</v>
      </c>
      <c r="M2810" s="2">
        <f t="shared" si="1100"/>
        <v>3.7275985663082482E-2</v>
      </c>
      <c r="N2810" s="63">
        <v>1554</v>
      </c>
      <c r="O2810" s="63">
        <v>2468</v>
      </c>
      <c r="P2810" s="63">
        <v>7</v>
      </c>
      <c r="Q2810" s="63">
        <v>127</v>
      </c>
      <c r="R2810" s="63">
        <v>26</v>
      </c>
      <c r="S2810" s="63">
        <v>1</v>
      </c>
      <c r="T2810" s="63"/>
      <c r="U2810" s="63">
        <v>0</v>
      </c>
      <c r="V2810" s="63"/>
      <c r="W2810" s="63">
        <f>IF(Copyright!B$11=1,IF(CA2810&gt;0,CA2810-SUM(S2810:V2810)-P2810-SUM(X2810:AQ2810),SUM(CB2810:CI2810)),SUM(CB2810:CI2810))</f>
        <v>0</v>
      </c>
      <c r="X2810" s="63"/>
      <c r="Y2810" s="63">
        <v>0</v>
      </c>
      <c r="Z2810" s="63"/>
      <c r="AA2810" s="63">
        <v>0</v>
      </c>
      <c r="AB2810" s="63"/>
      <c r="AC2810" s="63"/>
      <c r="AD2810" s="63"/>
      <c r="AE2810" s="63">
        <v>0</v>
      </c>
      <c r="AF2810" s="63"/>
      <c r="AG2810" s="63"/>
      <c r="AH2810" s="63"/>
      <c r="AI2810" s="63"/>
      <c r="AJ2810" s="63"/>
      <c r="AK2810" s="63"/>
      <c r="AL2810" s="63"/>
      <c r="AM2810" s="63"/>
      <c r="AN2810" s="63">
        <v>2</v>
      </c>
      <c r="AO2810" s="63"/>
      <c r="AP2810" s="63"/>
      <c r="AQ2810" s="63"/>
      <c r="AR2810" s="63"/>
      <c r="AS2810" s="63"/>
      <c r="AT2810" s="63"/>
      <c r="AU2810" s="63"/>
      <c r="AW2810" s="5">
        <f>IF(Q2810&gt;0,RANK(Q2810,(N2810:P2810,Q2810:AE2810)),0)</f>
        <v>3</v>
      </c>
      <c r="AX2810" s="5">
        <f>IF(R2810&gt;0,RANK(R2810,(N2810:P2810,Q2810:AE2810)),0)</f>
        <v>4</v>
      </c>
      <c r="AY2810" s="5">
        <f>IF(T2810&gt;0,RANK(T2810,(N2810:P2810,Q2810:AE2810)),0)</f>
        <v>0</v>
      </c>
      <c r="AZ2810" s="5">
        <f>IF(S2810&gt;0,RANK(S2810,(N2810:P2810,Q2810:AE2810)),0)</f>
        <v>6</v>
      </c>
      <c r="BA2810" s="2">
        <f t="shared" si="1101"/>
        <v>3.0346475507765831E-2</v>
      </c>
      <c r="BB2810" s="2">
        <f t="shared" si="1102"/>
        <v>6.2126642771804059E-3</v>
      </c>
      <c r="BC2810" s="2">
        <f t="shared" si="1103"/>
        <v>0</v>
      </c>
      <c r="BD2810" s="2">
        <f t="shared" si="1104"/>
        <v>2.3894862604540023E-4</v>
      </c>
      <c r="BF2810" t="s">
        <v>383</v>
      </c>
      <c r="BG2810" t="s">
        <v>53</v>
      </c>
      <c r="BH2810">
        <v>23</v>
      </c>
      <c r="BJ2810" s="114">
        <v>48</v>
      </c>
      <c r="BK2810" s="116">
        <v>371</v>
      </c>
      <c r="BL2810" s="120">
        <f t="shared" si="1108"/>
        <v>48371</v>
      </c>
      <c r="BN2810" s="5" t="s">
        <v>3154</v>
      </c>
      <c r="BZ2810" s="63">
        <f t="shared" si="1105"/>
        <v>4185</v>
      </c>
      <c r="CD2810" s="63">
        <v>0</v>
      </c>
      <c r="CE2810" s="63">
        <v>0</v>
      </c>
      <c r="CF2810" s="63">
        <v>0</v>
      </c>
      <c r="CG2810" s="8">
        <v>0</v>
      </c>
      <c r="CH2810" s="8">
        <v>0</v>
      </c>
      <c r="CI2810" s="8">
        <v>0</v>
      </c>
    </row>
    <row r="2811" spans="1:87" hidden="1" outlineLevel="1">
      <c r="A2811" t="s">
        <v>879</v>
      </c>
      <c r="B2811" t="s">
        <v>53</v>
      </c>
      <c r="C2811" s="1">
        <f t="shared" si="1096"/>
        <v>19852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5</v>
      </c>
      <c r="G2811" s="132">
        <f t="shared" si="1106"/>
        <v>10989</v>
      </c>
      <c r="H2811" s="137">
        <f t="shared" si="1107"/>
        <v>0.55354624219222248</v>
      </c>
      <c r="I2811" s="2"/>
      <c r="J2811" s="2">
        <f t="shared" si="1097"/>
        <v>0.21091073947209349</v>
      </c>
      <c r="K2811" s="2">
        <f t="shared" si="1098"/>
        <v>0.76445698166431597</v>
      </c>
      <c r="L2811" s="2">
        <f t="shared" si="1099"/>
        <v>1.1082006850695145E-3</v>
      </c>
      <c r="M2811" s="2">
        <f t="shared" si="1100"/>
        <v>2.3524078178521025E-2</v>
      </c>
      <c r="N2811" s="63">
        <v>4187</v>
      </c>
      <c r="O2811" s="63">
        <v>15176</v>
      </c>
      <c r="P2811" s="63">
        <v>22</v>
      </c>
      <c r="Q2811" s="63">
        <v>367</v>
      </c>
      <c r="R2811" s="63">
        <v>86</v>
      </c>
      <c r="S2811" s="63">
        <v>10</v>
      </c>
      <c r="T2811" s="63"/>
      <c r="U2811" s="63">
        <v>2</v>
      </c>
      <c r="V2811" s="63"/>
      <c r="W2811" s="63">
        <f>IF(Copyright!B$11=1,IF(CA2811&gt;0,CA2811-SUM(S2811:V2811)-P2811-SUM(X2811:AQ2811),SUM(CB2811:CI2811)),SUM(CB2811:CI2811))</f>
        <v>2</v>
      </c>
      <c r="X2811" s="63"/>
      <c r="Y2811" s="63">
        <v>0</v>
      </c>
      <c r="Z2811" s="63"/>
      <c r="AA2811" s="63">
        <v>0</v>
      </c>
      <c r="AB2811" s="63"/>
      <c r="AC2811" s="63"/>
      <c r="AD2811" s="63"/>
      <c r="AE2811" s="63">
        <v>0</v>
      </c>
      <c r="AF2811" s="63"/>
      <c r="AG2811" s="63"/>
      <c r="AH2811" s="63"/>
      <c r="AI2811" s="63"/>
      <c r="AJ2811" s="63"/>
      <c r="AK2811" s="63"/>
      <c r="AL2811" s="63"/>
      <c r="AM2811" s="63"/>
      <c r="AN2811" s="63">
        <v>0</v>
      </c>
      <c r="AO2811" s="63"/>
      <c r="AP2811" s="63"/>
      <c r="AQ2811" s="63"/>
      <c r="AR2811" s="63"/>
      <c r="AS2811" s="63"/>
      <c r="AT2811" s="63"/>
      <c r="AU2811" s="63"/>
      <c r="AW2811" s="5">
        <f>IF(Q2811&gt;0,RANK(Q2811,(N2811:P2811,Q2811:AE2811)),0)</f>
        <v>3</v>
      </c>
      <c r="AX2811" s="5">
        <f>IF(R2811&gt;0,RANK(R2811,(N2811:P2811,Q2811:AE2811)),0)</f>
        <v>4</v>
      </c>
      <c r="AY2811" s="5">
        <f>IF(T2811&gt;0,RANK(T2811,(N2811:P2811,Q2811:AE2811)),0)</f>
        <v>0</v>
      </c>
      <c r="AZ2811" s="5">
        <f>IF(S2811&gt;0,RANK(S2811,(N2811:P2811,Q2811:AE2811)),0)</f>
        <v>6</v>
      </c>
      <c r="BA2811" s="2">
        <f t="shared" si="1101"/>
        <v>1.848680233729599E-2</v>
      </c>
      <c r="BB2811" s="2">
        <f t="shared" si="1102"/>
        <v>4.3320572234535563E-3</v>
      </c>
      <c r="BC2811" s="2">
        <f t="shared" si="1103"/>
        <v>0</v>
      </c>
      <c r="BD2811" s="2">
        <f t="shared" si="1104"/>
        <v>5.0372758412250659E-4</v>
      </c>
      <c r="BF2811" t="s">
        <v>879</v>
      </c>
      <c r="BG2811" t="s">
        <v>53</v>
      </c>
      <c r="BH2811">
        <v>36</v>
      </c>
      <c r="BJ2811" s="114">
        <v>48</v>
      </c>
      <c r="BK2811" s="116">
        <v>373</v>
      </c>
      <c r="BL2811" s="120">
        <f t="shared" si="1108"/>
        <v>48373</v>
      </c>
      <c r="BN2811" s="5" t="s">
        <v>3154</v>
      </c>
      <c r="BZ2811" s="63">
        <f t="shared" si="1105"/>
        <v>19852</v>
      </c>
      <c r="CD2811" s="63">
        <v>0</v>
      </c>
      <c r="CE2811" s="63">
        <v>0</v>
      </c>
      <c r="CF2811" s="63">
        <v>0</v>
      </c>
      <c r="CG2811" s="8">
        <v>0</v>
      </c>
      <c r="CH2811" s="8">
        <v>0</v>
      </c>
      <c r="CI2811" s="8">
        <v>2</v>
      </c>
    </row>
    <row r="2812" spans="1:87" hidden="1" outlineLevel="1">
      <c r="A2812" t="s">
        <v>1172</v>
      </c>
      <c r="B2812" t="s">
        <v>53</v>
      </c>
      <c r="C2812" s="1">
        <f t="shared" si="1096"/>
        <v>28831</v>
      </c>
      <c r="D2812" s="5">
        <f>IF(N2812&gt;0, RANK(N2812,(N2812:P2812,Q2812:AE2812)),0)</f>
        <v>2</v>
      </c>
      <c r="E2812" s="5">
        <f>IF(O2812&gt;0,RANK(O2812,(N2812:P2812,Q2812:AE2812)),0)</f>
        <v>1</v>
      </c>
      <c r="F2812" s="5">
        <f>IF(P2812&gt;0,RANK(P2812,(N2812:P2812,Q2812:AE2812)),0)</f>
        <v>6</v>
      </c>
      <c r="G2812" s="132">
        <f t="shared" si="1106"/>
        <v>11973</v>
      </c>
      <c r="H2812" s="137">
        <f t="shared" si="1107"/>
        <v>0.41528216156220732</v>
      </c>
      <c r="I2812" s="2"/>
      <c r="J2812" s="2">
        <f t="shared" si="1097"/>
        <v>0.26558218584162879</v>
      </c>
      <c r="K2812" s="2">
        <f t="shared" si="1098"/>
        <v>0.68086434740383617</v>
      </c>
      <c r="L2812" s="2">
        <f t="shared" si="1099"/>
        <v>3.5725434428219623E-3</v>
      </c>
      <c r="M2812" s="2">
        <f t="shared" si="1100"/>
        <v>4.9980923311713131E-2</v>
      </c>
      <c r="N2812" s="63">
        <v>7657</v>
      </c>
      <c r="O2812" s="63">
        <v>19630</v>
      </c>
      <c r="P2812" s="63">
        <v>103</v>
      </c>
      <c r="Q2812" s="63">
        <v>1028</v>
      </c>
      <c r="R2812" s="63">
        <v>190</v>
      </c>
      <c r="S2812" s="63">
        <v>18</v>
      </c>
      <c r="T2812" s="63"/>
      <c r="U2812" s="63">
        <v>0</v>
      </c>
      <c r="V2812" s="63"/>
      <c r="W2812" s="63">
        <f>IF(Copyright!B$11=1,IF(CA2812&gt;0,CA2812-SUM(S2812:V2812)-P2812-SUM(X2812:AQ2812),SUM(CB2812:CI2812)),SUM(CB2812:CI2812))</f>
        <v>183</v>
      </c>
      <c r="X2812" s="63"/>
      <c r="Y2812" s="63">
        <v>18</v>
      </c>
      <c r="Z2812" s="63"/>
      <c r="AA2812" s="63">
        <v>0</v>
      </c>
      <c r="AB2812" s="63"/>
      <c r="AC2812" s="63"/>
      <c r="AD2812" s="63"/>
      <c r="AE2812" s="63">
        <v>1</v>
      </c>
      <c r="AF2812" s="63"/>
      <c r="AG2812" s="63"/>
      <c r="AH2812" s="63"/>
      <c r="AI2812" s="63"/>
      <c r="AJ2812" s="63"/>
      <c r="AK2812" s="63"/>
      <c r="AL2812" s="63"/>
      <c r="AM2812" s="63"/>
      <c r="AN2812" s="63">
        <v>3</v>
      </c>
      <c r="AO2812" s="63"/>
      <c r="AP2812" s="63"/>
      <c r="AQ2812" s="63"/>
      <c r="AR2812" s="63"/>
      <c r="AS2812" s="63"/>
      <c r="AT2812" s="63"/>
      <c r="AU2812" s="63"/>
      <c r="AW2812" s="5">
        <f>IF(Q2812&gt;0,RANK(Q2812,(N2812:P2812,Q2812:AE2812)),0)</f>
        <v>3</v>
      </c>
      <c r="AX2812" s="5">
        <f>IF(R2812&gt;0,RANK(R2812,(N2812:P2812,Q2812:AE2812)),0)</f>
        <v>4</v>
      </c>
      <c r="AY2812" s="5">
        <f>IF(T2812&gt;0,RANK(T2812,(N2812:P2812,Q2812:AE2812)),0)</f>
        <v>0</v>
      </c>
      <c r="AZ2812" s="5">
        <f>IF(S2812&gt;0,RANK(S2812,(N2812:P2812,Q2812:AE2812)),0)</f>
        <v>7</v>
      </c>
      <c r="BA2812" s="2">
        <f t="shared" si="1101"/>
        <v>3.5656064652630846E-2</v>
      </c>
      <c r="BB2812" s="2">
        <f t="shared" si="1102"/>
        <v>6.5901286809337172E-3</v>
      </c>
      <c r="BC2812" s="2">
        <f t="shared" si="1103"/>
        <v>0</v>
      </c>
      <c r="BD2812" s="2">
        <f t="shared" si="1104"/>
        <v>6.2432798029898374E-4</v>
      </c>
      <c r="BF2812" t="s">
        <v>1172</v>
      </c>
      <c r="BG2812" t="s">
        <v>53</v>
      </c>
      <c r="BH2812">
        <v>13</v>
      </c>
      <c r="BJ2812" s="114">
        <v>48</v>
      </c>
      <c r="BK2812" s="116">
        <v>375</v>
      </c>
      <c r="BL2812" s="120">
        <f t="shared" si="1108"/>
        <v>48375</v>
      </c>
      <c r="BN2812" s="5" t="s">
        <v>3154</v>
      </c>
      <c r="BR2812" s="63"/>
      <c r="BY2812" s="63">
        <v>28656</v>
      </c>
      <c r="BZ2812" s="63">
        <f t="shared" si="1105"/>
        <v>28831</v>
      </c>
      <c r="CA2812" s="63">
        <v>326</v>
      </c>
      <c r="CD2812" s="63">
        <v>1</v>
      </c>
      <c r="CE2812" s="63">
        <v>0</v>
      </c>
      <c r="CF2812" s="63">
        <v>1</v>
      </c>
      <c r="CG2812" s="8">
        <v>0</v>
      </c>
      <c r="CH2812" s="8">
        <v>0</v>
      </c>
      <c r="CI2812" s="8">
        <v>1</v>
      </c>
    </row>
    <row r="2813" spans="1:87" hidden="1" outlineLevel="1">
      <c r="A2813" t="s">
        <v>181</v>
      </c>
      <c r="B2813" t="s">
        <v>53</v>
      </c>
      <c r="C2813" s="1">
        <f t="shared" si="1096"/>
        <v>2208</v>
      </c>
      <c r="D2813" s="5">
        <f>IF(N2813&gt;0, RANK(N2813,(N2813:P2813,Q2813:AE2813)),0)</f>
        <v>1</v>
      </c>
      <c r="E2813" s="5">
        <f>IF(O2813&gt;0,RANK(O2813,(N2813:P2813,Q2813:AE2813)),0)</f>
        <v>2</v>
      </c>
      <c r="F2813" s="5">
        <f>IF(P2813&gt;0,RANK(P2813,(N2813:P2813,Q2813:AE2813)),0)</f>
        <v>5</v>
      </c>
      <c r="G2813" s="132">
        <f t="shared" si="1106"/>
        <v>806</v>
      </c>
      <c r="H2813" s="137">
        <f t="shared" si="1107"/>
        <v>0.36503623188405798</v>
      </c>
      <c r="I2813" s="2"/>
      <c r="J2813" s="2">
        <f t="shared" si="1097"/>
        <v>0.66032608695652173</v>
      </c>
      <c r="K2813" s="2">
        <f t="shared" si="1098"/>
        <v>0.29528985507246375</v>
      </c>
      <c r="L2813" s="2">
        <f t="shared" si="1099"/>
        <v>2.2644927536231885E-3</v>
      </c>
      <c r="M2813" s="2">
        <f t="shared" si="1100"/>
        <v>4.2119565217391332E-2</v>
      </c>
      <c r="N2813" s="63">
        <v>1458</v>
      </c>
      <c r="O2813" s="63">
        <v>652</v>
      </c>
      <c r="P2813" s="63">
        <v>5</v>
      </c>
      <c r="Q2813" s="63">
        <v>64</v>
      </c>
      <c r="R2813" s="63">
        <v>29</v>
      </c>
      <c r="S2813" s="63">
        <v>0</v>
      </c>
      <c r="T2813" s="63"/>
      <c r="U2813" s="63">
        <v>0</v>
      </c>
      <c r="V2813" s="63"/>
      <c r="W2813" s="63">
        <f>IF(Copyright!B$11=1,IF(CA2813&gt;0,CA2813-SUM(S2813:V2813)-P2813-SUM(X2813:AQ2813),SUM(CB2813:CI2813)),SUM(CB2813:CI2813))</f>
        <v>0</v>
      </c>
      <c r="X2813" s="63"/>
      <c r="Y2813" s="63">
        <v>0</v>
      </c>
      <c r="Z2813" s="63"/>
      <c r="AA2813" s="63">
        <v>0</v>
      </c>
      <c r="AB2813" s="63"/>
      <c r="AC2813" s="63"/>
      <c r="AD2813" s="63"/>
      <c r="AE2813" s="63">
        <v>0</v>
      </c>
      <c r="AF2813" s="63"/>
      <c r="AG2813" s="63"/>
      <c r="AH2813" s="63"/>
      <c r="AI2813" s="63"/>
      <c r="AJ2813" s="63"/>
      <c r="AK2813" s="63"/>
      <c r="AL2813" s="63"/>
      <c r="AM2813" s="63"/>
      <c r="AN2813" s="63">
        <v>0</v>
      </c>
      <c r="AO2813" s="63"/>
      <c r="AP2813" s="63"/>
      <c r="AQ2813" s="63"/>
      <c r="AR2813" s="63"/>
      <c r="AS2813" s="63"/>
      <c r="AT2813" s="63"/>
      <c r="AU2813" s="63"/>
      <c r="AW2813" s="5">
        <f>IF(Q2813&gt;0,RANK(Q2813,(N2813:P2813,Q2813:AE2813)),0)</f>
        <v>3</v>
      </c>
      <c r="AX2813" s="5">
        <f>IF(R2813&gt;0,RANK(R2813,(N2813:P2813,Q2813:AE2813)),0)</f>
        <v>4</v>
      </c>
      <c r="AY2813" s="5">
        <f>IF(T2813&gt;0,RANK(T2813,(N2813:P2813,Q2813:AE2813)),0)</f>
        <v>0</v>
      </c>
      <c r="AZ2813" s="5">
        <f>IF(S2813&gt;0,RANK(S2813,(N2813:P2813,Q2813:AE2813)),0)</f>
        <v>0</v>
      </c>
      <c r="BA2813" s="2">
        <f t="shared" si="1101"/>
        <v>2.8985507246376812E-2</v>
      </c>
      <c r="BB2813" s="2">
        <f t="shared" si="1102"/>
        <v>1.3134057971014492E-2</v>
      </c>
      <c r="BC2813" s="2">
        <f t="shared" si="1103"/>
        <v>0</v>
      </c>
      <c r="BD2813" s="2">
        <f t="shared" si="1104"/>
        <v>0</v>
      </c>
      <c r="BF2813" t="s">
        <v>181</v>
      </c>
      <c r="BG2813" t="s">
        <v>53</v>
      </c>
      <c r="BH2813">
        <v>23</v>
      </c>
      <c r="BJ2813" s="114">
        <v>48</v>
      </c>
      <c r="BK2813" s="116">
        <v>377</v>
      </c>
      <c r="BL2813" s="120">
        <f t="shared" si="1108"/>
        <v>48377</v>
      </c>
      <c r="BN2813" s="5" t="s">
        <v>3154</v>
      </c>
      <c r="BZ2813" s="63">
        <f t="shared" si="1105"/>
        <v>2208</v>
      </c>
      <c r="CD2813" s="63">
        <v>0</v>
      </c>
      <c r="CE2813" s="63">
        <v>0</v>
      </c>
      <c r="CF2813" s="63">
        <v>0</v>
      </c>
      <c r="CG2813" s="8">
        <v>0</v>
      </c>
      <c r="CH2813" s="8">
        <v>0</v>
      </c>
      <c r="CI2813" s="8">
        <v>0</v>
      </c>
    </row>
    <row r="2814" spans="1:87" hidden="1" outlineLevel="1">
      <c r="A2814" t="s">
        <v>1718</v>
      </c>
      <c r="B2814" t="s">
        <v>53</v>
      </c>
      <c r="C2814" s="1">
        <f t="shared" si="1096"/>
        <v>4701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5</v>
      </c>
      <c r="G2814" s="132">
        <f t="shared" si="1106"/>
        <v>3340</v>
      </c>
      <c r="H2814" s="137">
        <f t="shared" si="1107"/>
        <v>0.71048713039778766</v>
      </c>
      <c r="I2814" s="2"/>
      <c r="J2814" s="2">
        <f t="shared" si="1097"/>
        <v>0.13358859817060201</v>
      </c>
      <c r="K2814" s="2">
        <f t="shared" si="1098"/>
        <v>0.84407572856838975</v>
      </c>
      <c r="L2814" s="2">
        <f t="shared" si="1099"/>
        <v>2.1272069772388853E-3</v>
      </c>
      <c r="M2814" s="2">
        <f t="shared" si="1100"/>
        <v>2.0208466283769384E-2</v>
      </c>
      <c r="N2814" s="63">
        <v>628</v>
      </c>
      <c r="O2814" s="63">
        <v>3968</v>
      </c>
      <c r="P2814" s="63">
        <v>10</v>
      </c>
      <c r="Q2814" s="63">
        <v>80</v>
      </c>
      <c r="R2814" s="63">
        <v>15</v>
      </c>
      <c r="S2814" s="63">
        <v>0</v>
      </c>
      <c r="T2814" s="63"/>
      <c r="U2814" s="63">
        <v>0</v>
      </c>
      <c r="V2814" s="63"/>
      <c r="W2814" s="63">
        <f>IF(Copyright!B$11=1,IF(CA2814&gt;0,CA2814-SUM(S2814:V2814)-P2814-SUM(X2814:AQ2814),SUM(CB2814:CI2814)),SUM(CB2814:CI2814))</f>
        <v>0</v>
      </c>
      <c r="X2814" s="63"/>
      <c r="Y2814" s="63">
        <v>0</v>
      </c>
      <c r="Z2814" s="63"/>
      <c r="AA2814" s="63">
        <v>0</v>
      </c>
      <c r="AB2814" s="63"/>
      <c r="AC2814" s="63"/>
      <c r="AD2814" s="63"/>
      <c r="AE2814" s="63">
        <v>0</v>
      </c>
      <c r="AF2814" s="63"/>
      <c r="AG2814" s="63"/>
      <c r="AH2814" s="63"/>
      <c r="AI2814" s="63"/>
      <c r="AJ2814" s="63"/>
      <c r="AK2814" s="63"/>
      <c r="AL2814" s="63"/>
      <c r="AM2814" s="63"/>
      <c r="AN2814" s="63">
        <v>0</v>
      </c>
      <c r="AO2814" s="63"/>
      <c r="AP2814" s="63"/>
      <c r="AQ2814" s="63"/>
      <c r="AR2814" s="63"/>
      <c r="AS2814" s="63"/>
      <c r="AT2814" s="63"/>
      <c r="AU2814" s="63"/>
      <c r="AW2814" s="5">
        <f>IF(Q2814&gt;0,RANK(Q2814,(N2814:P2814,Q2814:AE2814)),0)</f>
        <v>3</v>
      </c>
      <c r="AX2814" s="5">
        <f>IF(R2814&gt;0,RANK(R2814,(N2814:P2814,Q2814:AE2814)),0)</f>
        <v>4</v>
      </c>
      <c r="AY2814" s="5">
        <f>IF(T2814&gt;0,RANK(T2814,(N2814:P2814,Q2814:AE2814)),0)</f>
        <v>0</v>
      </c>
      <c r="AZ2814" s="5">
        <f>IF(S2814&gt;0,RANK(S2814,(N2814:P2814,Q2814:AE2814)),0)</f>
        <v>0</v>
      </c>
      <c r="BA2814" s="2">
        <f t="shared" si="1101"/>
        <v>1.7017655817911082E-2</v>
      </c>
      <c r="BB2814" s="2">
        <f t="shared" si="1102"/>
        <v>3.1908104658583281E-3</v>
      </c>
      <c r="BC2814" s="2">
        <f t="shared" si="1103"/>
        <v>0</v>
      </c>
      <c r="BD2814" s="2">
        <f t="shared" si="1104"/>
        <v>0</v>
      </c>
      <c r="BF2814" t="s">
        <v>1718</v>
      </c>
      <c r="BG2814" t="s">
        <v>53</v>
      </c>
      <c r="BH2814">
        <v>4</v>
      </c>
      <c r="BJ2814" s="114">
        <v>48</v>
      </c>
      <c r="BK2814" s="116">
        <v>379</v>
      </c>
      <c r="BL2814" s="120">
        <f t="shared" si="1108"/>
        <v>48379</v>
      </c>
      <c r="BN2814" s="5" t="s">
        <v>3154</v>
      </c>
      <c r="BZ2814" s="63">
        <f t="shared" si="1105"/>
        <v>4701</v>
      </c>
      <c r="CD2814" s="63">
        <v>0</v>
      </c>
      <c r="CE2814" s="63">
        <v>0</v>
      </c>
      <c r="CF2814" s="63">
        <v>0</v>
      </c>
      <c r="CG2814" s="8">
        <v>0</v>
      </c>
      <c r="CH2814" s="8">
        <v>0</v>
      </c>
      <c r="CI2814" s="8">
        <v>0</v>
      </c>
    </row>
    <row r="2815" spans="1:87" hidden="1" outlineLevel="1">
      <c r="A2815" t="s">
        <v>602</v>
      </c>
      <c r="B2815" t="s">
        <v>53</v>
      </c>
      <c r="C2815" s="1">
        <f t="shared" si="1096"/>
        <v>54305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4</v>
      </c>
      <c r="G2815" s="132">
        <f t="shared" si="1106"/>
        <v>35095</v>
      </c>
      <c r="H2815" s="137">
        <f t="shared" si="1107"/>
        <v>0.64625725071356233</v>
      </c>
      <c r="I2815" s="2"/>
      <c r="J2815" s="2">
        <f t="shared" si="1097"/>
        <v>0.15407421047785655</v>
      </c>
      <c r="K2815" s="2">
        <f t="shared" si="1098"/>
        <v>0.80033146119141885</v>
      </c>
      <c r="L2815" s="2">
        <f t="shared" si="1099"/>
        <v>5.6348402541202469E-3</v>
      </c>
      <c r="M2815" s="2">
        <f t="shared" si="1100"/>
        <v>3.9959488076604384E-2</v>
      </c>
      <c r="N2815" s="63">
        <v>8367</v>
      </c>
      <c r="O2815" s="63">
        <v>43462</v>
      </c>
      <c r="P2815" s="63">
        <v>306</v>
      </c>
      <c r="Q2815" s="63">
        <v>1872</v>
      </c>
      <c r="R2815" s="63">
        <v>228</v>
      </c>
      <c r="S2815" s="63">
        <v>30</v>
      </c>
      <c r="T2815" s="63"/>
      <c r="U2815" s="63">
        <v>1</v>
      </c>
      <c r="V2815" s="63"/>
      <c r="W2815" s="63">
        <f>IF(Copyright!B$11=1,IF(CA2815&gt;0,CA2815-SUM(S2815:V2815)-P2815-SUM(X2815:AQ2815),SUM(CB2815:CI2815)),SUM(CB2815:CI2815))</f>
        <v>4</v>
      </c>
      <c r="X2815" s="63"/>
      <c r="Y2815" s="63">
        <v>26</v>
      </c>
      <c r="Z2815" s="63"/>
      <c r="AA2815" s="63">
        <v>1</v>
      </c>
      <c r="AB2815" s="63"/>
      <c r="AC2815" s="63"/>
      <c r="AD2815" s="63"/>
      <c r="AE2815" s="63">
        <v>1</v>
      </c>
      <c r="AF2815" s="63"/>
      <c r="AG2815" s="63"/>
      <c r="AH2815" s="63"/>
      <c r="AI2815" s="63"/>
      <c r="AJ2815" s="63"/>
      <c r="AK2815" s="63"/>
      <c r="AL2815" s="63"/>
      <c r="AM2815" s="63"/>
      <c r="AN2815" s="63">
        <v>7</v>
      </c>
      <c r="AO2815" s="63"/>
      <c r="AP2815" s="63"/>
      <c r="AQ2815" s="63"/>
      <c r="AR2815" s="63"/>
      <c r="AS2815" s="63"/>
      <c r="AT2815" s="63"/>
      <c r="AU2815" s="63"/>
      <c r="AW2815" s="5">
        <f>IF(Q2815&gt;0,RANK(Q2815,(N2815:P2815,Q2815:AE2815)),0)</f>
        <v>3</v>
      </c>
      <c r="AX2815" s="5">
        <f>IF(R2815&gt;0,RANK(R2815,(N2815:P2815,Q2815:AE2815)),0)</f>
        <v>5</v>
      </c>
      <c r="AY2815" s="5">
        <f>IF(T2815&gt;0,RANK(T2815,(N2815:P2815,Q2815:AE2815)),0)</f>
        <v>0</v>
      </c>
      <c r="AZ2815" s="5">
        <f>IF(S2815&gt;0,RANK(S2815,(N2815:P2815,Q2815:AE2815)),0)</f>
        <v>6</v>
      </c>
      <c r="BA2815" s="2">
        <f t="shared" si="1101"/>
        <v>3.4471963907559154E-2</v>
      </c>
      <c r="BB2815" s="2">
        <f t="shared" si="1102"/>
        <v>4.1985084246386152E-3</v>
      </c>
      <c r="BC2815" s="2">
        <f t="shared" si="1103"/>
        <v>0</v>
      </c>
      <c r="BD2815" s="2">
        <f t="shared" si="1104"/>
        <v>5.5243531903139678E-4</v>
      </c>
      <c r="BF2815" t="s">
        <v>602</v>
      </c>
      <c r="BG2815" t="s">
        <v>53</v>
      </c>
      <c r="BH2815">
        <v>13</v>
      </c>
      <c r="BJ2815" s="114">
        <v>48</v>
      </c>
      <c r="BK2815" s="116">
        <v>381</v>
      </c>
      <c r="BL2815" s="120">
        <f t="shared" si="1108"/>
        <v>48381</v>
      </c>
      <c r="BN2815" s="5" t="s">
        <v>3154</v>
      </c>
      <c r="BZ2815" s="63">
        <f t="shared" si="1105"/>
        <v>54305</v>
      </c>
      <c r="CD2815" s="63">
        <v>1</v>
      </c>
      <c r="CE2815" s="63">
        <v>0</v>
      </c>
      <c r="CF2815" s="63">
        <v>1</v>
      </c>
      <c r="CG2815" s="8">
        <v>0</v>
      </c>
      <c r="CH2815" s="8">
        <v>1</v>
      </c>
      <c r="CI2815" s="8">
        <v>1</v>
      </c>
    </row>
    <row r="2816" spans="1:87" hidden="1" outlineLevel="1">
      <c r="A2816" t="s">
        <v>2550</v>
      </c>
      <c r="B2816" t="s">
        <v>53</v>
      </c>
      <c r="C2816" s="1">
        <f t="shared" si="1096"/>
        <v>904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32">
        <f t="shared" si="1106"/>
        <v>542</v>
      </c>
      <c r="H2816" s="137">
        <f t="shared" si="1107"/>
        <v>0.59955752212389379</v>
      </c>
      <c r="I2816" s="2"/>
      <c r="J2816" s="2">
        <f t="shared" si="1097"/>
        <v>0.18473451327433629</v>
      </c>
      <c r="K2816" s="2">
        <f t="shared" si="1098"/>
        <v>0.78429203539823011</v>
      </c>
      <c r="L2816" s="2">
        <f t="shared" si="1099"/>
        <v>0</v>
      </c>
      <c r="M2816" s="2">
        <f t="shared" si="1100"/>
        <v>3.0973451327433565E-2</v>
      </c>
      <c r="N2816" s="63">
        <v>167</v>
      </c>
      <c r="O2816" s="63">
        <v>709</v>
      </c>
      <c r="P2816" s="63">
        <v>0</v>
      </c>
      <c r="Q2816" s="63">
        <v>22</v>
      </c>
      <c r="R2816" s="63">
        <v>2</v>
      </c>
      <c r="S2816" s="63">
        <v>4</v>
      </c>
      <c r="T2816" s="63"/>
      <c r="U2816" s="63">
        <v>0</v>
      </c>
      <c r="V2816" s="63"/>
      <c r="W2816" s="63">
        <f>IF(Copyright!B$11=1,IF(CA2816&gt;0,CA2816-SUM(S2816:V2816)-P2816-SUM(X2816:AQ2816),SUM(CB2816:CI2816)),SUM(CB2816:CI2816))</f>
        <v>0</v>
      </c>
      <c r="X2816" s="63"/>
      <c r="Y2816" s="63">
        <v>0</v>
      </c>
      <c r="Z2816" s="63"/>
      <c r="AA2816" s="63">
        <v>0</v>
      </c>
      <c r="AB2816" s="63"/>
      <c r="AC2816" s="63"/>
      <c r="AD2816" s="63"/>
      <c r="AE2816" s="63">
        <v>0</v>
      </c>
      <c r="AF2816" s="63"/>
      <c r="AG2816" s="63"/>
      <c r="AH2816" s="63"/>
      <c r="AI2816" s="63"/>
      <c r="AJ2816" s="63"/>
      <c r="AK2816" s="63"/>
      <c r="AL2816" s="63"/>
      <c r="AM2816" s="63"/>
      <c r="AN2816" s="63">
        <v>0</v>
      </c>
      <c r="AO2816" s="63"/>
      <c r="AP2816" s="63"/>
      <c r="AQ2816" s="63"/>
      <c r="AR2816" s="63"/>
      <c r="AS2816" s="63"/>
      <c r="AT2816" s="63"/>
      <c r="AU2816" s="63"/>
      <c r="AW2816" s="5">
        <f>IF(Q2816&gt;0,RANK(Q2816,(N2816:P2816,Q2816:AE2816)),0)</f>
        <v>3</v>
      </c>
      <c r="AX2816" s="5">
        <f>IF(R2816&gt;0,RANK(R2816,(N2816:P2816,Q2816:AE2816)),0)</f>
        <v>5</v>
      </c>
      <c r="AY2816" s="5">
        <f>IF(T2816&gt;0,RANK(T2816,(N2816:P2816,Q2816:AE2816)),0)</f>
        <v>0</v>
      </c>
      <c r="AZ2816" s="5">
        <f>IF(S2816&gt;0,RANK(S2816,(N2816:P2816,Q2816:AE2816)),0)</f>
        <v>4</v>
      </c>
      <c r="BA2816" s="2">
        <f t="shared" si="1101"/>
        <v>2.4336283185840708E-2</v>
      </c>
      <c r="BB2816" s="2">
        <f t="shared" si="1102"/>
        <v>2.2123893805309734E-3</v>
      </c>
      <c r="BC2816" s="2">
        <f t="shared" si="1103"/>
        <v>0</v>
      </c>
      <c r="BD2816" s="2">
        <f t="shared" si="1104"/>
        <v>4.4247787610619468E-3</v>
      </c>
      <c r="BF2816" t="s">
        <v>2550</v>
      </c>
      <c r="BG2816" t="s">
        <v>53</v>
      </c>
      <c r="BH2816">
        <v>23</v>
      </c>
      <c r="BJ2816" s="114">
        <v>48</v>
      </c>
      <c r="BK2816" s="116">
        <v>383</v>
      </c>
      <c r="BL2816" s="120">
        <f t="shared" si="1108"/>
        <v>48383</v>
      </c>
      <c r="BN2816" s="5" t="s">
        <v>3154</v>
      </c>
      <c r="BZ2816" s="63">
        <f t="shared" si="1105"/>
        <v>904</v>
      </c>
      <c r="CD2816" s="63">
        <v>0</v>
      </c>
      <c r="CE2816" s="63">
        <v>0</v>
      </c>
      <c r="CF2816" s="63">
        <v>0</v>
      </c>
      <c r="CG2816" s="8">
        <v>0</v>
      </c>
      <c r="CH2816" s="8">
        <v>0</v>
      </c>
      <c r="CI2816" s="8">
        <v>0</v>
      </c>
    </row>
    <row r="2817" spans="1:87" hidden="1" outlineLevel="1">
      <c r="A2817" t="s">
        <v>2551</v>
      </c>
      <c r="B2817" t="s">
        <v>53</v>
      </c>
      <c r="C2817" s="1">
        <f t="shared" ref="C2817:C2879" si="1109">SUM(N2817:AU2817)</f>
        <v>1681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5</v>
      </c>
      <c r="G2817" s="132">
        <f t="shared" si="1106"/>
        <v>1120</v>
      </c>
      <c r="H2817" s="137">
        <f t="shared" si="1107"/>
        <v>0.66627007733491972</v>
      </c>
      <c r="I2817" s="2"/>
      <c r="J2817" s="2">
        <f t="shared" ref="J2817:J2879" si="1110">IF($C2817=0,"-",N2817/$C2817)</f>
        <v>0.15585960737656157</v>
      </c>
      <c r="K2817" s="2">
        <f t="shared" ref="K2817:K2879" si="1111">IF($C2817=0,"-",O2817/$C2817)</f>
        <v>0.82212968471148129</v>
      </c>
      <c r="L2817" s="2">
        <f t="shared" ref="L2817:L2879" si="1112">IF($C2817=0,"-",P2817/$C2817)</f>
        <v>1.784651992861392E-3</v>
      </c>
      <c r="M2817" s="2">
        <f t="shared" ref="M2817:M2879" si="1113">IF(C2817=0,"-",(1-J2817-K2817-L2817))</f>
        <v>2.0226055919095747E-2</v>
      </c>
      <c r="N2817" s="63">
        <v>262</v>
      </c>
      <c r="O2817" s="63">
        <v>1382</v>
      </c>
      <c r="P2817" s="63">
        <v>3</v>
      </c>
      <c r="Q2817" s="63">
        <v>28</v>
      </c>
      <c r="R2817" s="63">
        <v>6</v>
      </c>
      <c r="S2817" s="63">
        <v>0</v>
      </c>
      <c r="T2817" s="63"/>
      <c r="U2817" s="63">
        <v>0</v>
      </c>
      <c r="V2817" s="63"/>
      <c r="W2817" s="63">
        <f>IF(Copyright!B$11=1,IF(CA2817&gt;0,CA2817-SUM(S2817:V2817)-P2817-SUM(X2817:AQ2817),SUM(CB2817:CI2817)),SUM(CB2817:CI2817))</f>
        <v>0</v>
      </c>
      <c r="X2817" s="63"/>
      <c r="Y2817" s="63">
        <v>0</v>
      </c>
      <c r="Z2817" s="63"/>
      <c r="AA2817" s="63">
        <v>0</v>
      </c>
      <c r="AB2817" s="63"/>
      <c r="AC2817" s="63"/>
      <c r="AD2817" s="63"/>
      <c r="AE2817" s="63">
        <v>0</v>
      </c>
      <c r="AF2817" s="63"/>
      <c r="AG2817" s="63"/>
      <c r="AH2817" s="63"/>
      <c r="AI2817" s="63"/>
      <c r="AJ2817" s="63"/>
      <c r="AK2817" s="63"/>
      <c r="AL2817" s="63"/>
      <c r="AM2817" s="63"/>
      <c r="AN2817" s="63">
        <v>0</v>
      </c>
      <c r="AO2817" s="63"/>
      <c r="AP2817" s="63"/>
      <c r="AQ2817" s="63"/>
      <c r="AR2817" s="63"/>
      <c r="AS2817" s="63"/>
      <c r="AT2817" s="63"/>
      <c r="AU2817" s="63"/>
      <c r="AW2817" s="5">
        <f>IF(Q2817&gt;0,RANK(Q2817,(N2817:P2817,Q2817:AE2817)),0)</f>
        <v>3</v>
      </c>
      <c r="AX2817" s="5">
        <f>IF(R2817&gt;0,RANK(R2817,(N2817:P2817,Q2817:AE2817)),0)</f>
        <v>4</v>
      </c>
      <c r="AY2817" s="5">
        <f>IF(T2817&gt;0,RANK(T2817,(N2817:P2817,Q2817:AE2817)),0)</f>
        <v>0</v>
      </c>
      <c r="AZ2817" s="5">
        <f>IF(S2817&gt;0,RANK(S2817,(N2817:P2817,Q2817:AE2817)),0)</f>
        <v>0</v>
      </c>
      <c r="BA2817" s="2">
        <f t="shared" ref="BA2817:BA2879" si="1114">IF($C2817=0,"-",Q2817/$C2817)</f>
        <v>1.6656751933372991E-2</v>
      </c>
      <c r="BB2817" s="2">
        <f t="shared" ref="BB2817:BB2879" si="1115">IF($C2817=0,"-",R2817/$C2817)</f>
        <v>3.569303985722784E-3</v>
      </c>
      <c r="BC2817" s="2">
        <f t="shared" ref="BC2817:BC2879" si="1116">IF($C2817=0,"-",T2817/$C2817)</f>
        <v>0</v>
      </c>
      <c r="BD2817" s="2">
        <f t="shared" ref="BD2817:BD2879" si="1117">IF($C2817=0,"-",S2817/$C2817)</f>
        <v>0</v>
      </c>
      <c r="BF2817" t="s">
        <v>2551</v>
      </c>
      <c r="BG2817" t="s">
        <v>53</v>
      </c>
      <c r="BH2817">
        <v>21</v>
      </c>
      <c r="BJ2817" s="114">
        <v>48</v>
      </c>
      <c r="BK2817" s="116">
        <v>385</v>
      </c>
      <c r="BL2817" s="120">
        <f t="shared" si="1108"/>
        <v>48385</v>
      </c>
      <c r="BN2817" s="5" t="s">
        <v>3154</v>
      </c>
      <c r="BZ2817" s="63">
        <f t="shared" ref="BZ2817:BZ2877" si="1118">C2817</f>
        <v>1681</v>
      </c>
      <c r="CD2817" s="63">
        <v>0</v>
      </c>
      <c r="CE2817" s="63">
        <v>0</v>
      </c>
      <c r="CF2817" s="63">
        <v>0</v>
      </c>
      <c r="CG2817" s="8">
        <v>0</v>
      </c>
      <c r="CH2817" s="8">
        <v>0</v>
      </c>
      <c r="CI2817" s="8">
        <v>0</v>
      </c>
    </row>
    <row r="2818" spans="1:87" hidden="1" outlineLevel="1">
      <c r="A2818" t="s">
        <v>867</v>
      </c>
      <c r="B2818" t="s">
        <v>53</v>
      </c>
      <c r="C2818" s="1">
        <f t="shared" si="1109"/>
        <v>5161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4</v>
      </c>
      <c r="G2818" s="132">
        <f t="shared" si="1106"/>
        <v>2777</v>
      </c>
      <c r="H2818" s="137">
        <f t="shared" si="1107"/>
        <v>0.53807401666343735</v>
      </c>
      <c r="I2818" s="2"/>
      <c r="J2818" s="2">
        <f t="shared" si="1110"/>
        <v>0.22263127300910676</v>
      </c>
      <c r="K2818" s="2">
        <f t="shared" si="1111"/>
        <v>0.76070528967254403</v>
      </c>
      <c r="L2818" s="2">
        <f t="shared" si="1112"/>
        <v>1.7438480914551443E-3</v>
      </c>
      <c r="M2818" s="2">
        <f t="shared" si="1113"/>
        <v>1.4919589226894039E-2</v>
      </c>
      <c r="N2818" s="63">
        <v>1149</v>
      </c>
      <c r="O2818" s="63">
        <v>3926</v>
      </c>
      <c r="P2818" s="63">
        <v>9</v>
      </c>
      <c r="Q2818" s="63">
        <v>67</v>
      </c>
      <c r="R2818" s="63">
        <v>8</v>
      </c>
      <c r="S2818" s="63">
        <v>2</v>
      </c>
      <c r="T2818" s="63"/>
      <c r="U2818" s="63">
        <v>0</v>
      </c>
      <c r="V2818" s="63"/>
      <c r="W2818" s="63">
        <f>IF(Copyright!B$11=1,IF(CA2818&gt;0,CA2818-SUM(S2818:V2818)-P2818-SUM(X2818:AQ2818),SUM(CB2818:CI2818)),SUM(CB2818:CI2818))</f>
        <v>0</v>
      </c>
      <c r="X2818" s="63"/>
      <c r="Y2818" s="63">
        <v>0</v>
      </c>
      <c r="Z2818" s="63"/>
      <c r="AA2818" s="63">
        <v>0</v>
      </c>
      <c r="AB2818" s="63"/>
      <c r="AC2818" s="63"/>
      <c r="AD2818" s="63"/>
      <c r="AE2818" s="63">
        <v>0</v>
      </c>
      <c r="AF2818" s="63"/>
      <c r="AG2818" s="63"/>
      <c r="AH2818" s="63"/>
      <c r="AI2818" s="63"/>
      <c r="AJ2818" s="63"/>
      <c r="AK2818" s="63"/>
      <c r="AL2818" s="63"/>
      <c r="AM2818" s="63"/>
      <c r="AN2818" s="63">
        <v>0</v>
      </c>
      <c r="AO2818" s="63"/>
      <c r="AP2818" s="63"/>
      <c r="AQ2818" s="63"/>
      <c r="AR2818" s="63"/>
      <c r="AS2818" s="63"/>
      <c r="AT2818" s="63"/>
      <c r="AU2818" s="63"/>
      <c r="AW2818" s="5">
        <f>IF(Q2818&gt;0,RANK(Q2818,(N2818:P2818,Q2818:AE2818)),0)</f>
        <v>3</v>
      </c>
      <c r="AX2818" s="5">
        <f>IF(R2818&gt;0,RANK(R2818,(N2818:P2818,Q2818:AE2818)),0)</f>
        <v>5</v>
      </c>
      <c r="AY2818" s="5">
        <f>IF(T2818&gt;0,RANK(T2818,(N2818:P2818,Q2818:AE2818)),0)</f>
        <v>0</v>
      </c>
      <c r="AZ2818" s="5">
        <f>IF(S2818&gt;0,RANK(S2818,(N2818:P2818,Q2818:AE2818)),0)</f>
        <v>6</v>
      </c>
      <c r="BA2818" s="2">
        <f t="shared" si="1114"/>
        <v>1.2981980236388297E-2</v>
      </c>
      <c r="BB2818" s="2">
        <f t="shared" si="1115"/>
        <v>1.5500871924045726E-3</v>
      </c>
      <c r="BC2818" s="2">
        <f t="shared" si="1116"/>
        <v>0</v>
      </c>
      <c r="BD2818" s="2">
        <f t="shared" si="1117"/>
        <v>3.8752179810114316E-4</v>
      </c>
      <c r="BF2818" t="s">
        <v>867</v>
      </c>
      <c r="BG2818" t="s">
        <v>53</v>
      </c>
      <c r="BH2818">
        <v>4</v>
      </c>
      <c r="BJ2818" s="114">
        <v>48</v>
      </c>
      <c r="BK2818" s="116">
        <v>387</v>
      </c>
      <c r="BL2818" s="120">
        <f t="shared" si="1108"/>
        <v>48387</v>
      </c>
      <c r="BN2818" s="5" t="s">
        <v>3154</v>
      </c>
      <c r="BZ2818" s="63">
        <f t="shared" si="1118"/>
        <v>5161</v>
      </c>
      <c r="CD2818" s="63">
        <v>0</v>
      </c>
      <c r="CE2818" s="63">
        <v>0</v>
      </c>
      <c r="CF2818" s="63">
        <v>0</v>
      </c>
      <c r="CG2818" s="8">
        <v>0</v>
      </c>
      <c r="CH2818" s="8">
        <v>0</v>
      </c>
      <c r="CI2818" s="8">
        <v>0</v>
      </c>
    </row>
    <row r="2819" spans="1:87" hidden="1" outlineLevel="1">
      <c r="A2819" t="s">
        <v>96</v>
      </c>
      <c r="B2819" t="s">
        <v>53</v>
      </c>
      <c r="C2819" s="1">
        <f t="shared" si="1109"/>
        <v>3184</v>
      </c>
      <c r="D2819" s="5">
        <f>IF(N2819&gt;0, RANK(N2819,(N2819:P2819,Q2819:AE2819)),0)</f>
        <v>1</v>
      </c>
      <c r="E2819" s="5">
        <f>IF(O2819&gt;0,RANK(O2819,(N2819:P2819,Q2819:AE2819)),0)</f>
        <v>2</v>
      </c>
      <c r="F2819" s="5">
        <f>IF(P2819&gt;0,RANK(P2819,(N2819:P2819,Q2819:AE2819)),0)</f>
        <v>0</v>
      </c>
      <c r="G2819" s="132">
        <f t="shared" si="1106"/>
        <v>242</v>
      </c>
      <c r="H2819" s="137">
        <f t="shared" si="1107"/>
        <v>7.6005025125628137E-2</v>
      </c>
      <c r="I2819" s="2"/>
      <c r="J2819" s="2">
        <f t="shared" si="1110"/>
        <v>0.52104271356783916</v>
      </c>
      <c r="K2819" s="2">
        <f t="shared" si="1111"/>
        <v>0.44503768844221103</v>
      </c>
      <c r="L2819" s="2">
        <f t="shared" si="1112"/>
        <v>0</v>
      </c>
      <c r="M2819" s="2">
        <f t="shared" si="1113"/>
        <v>3.3919597989949812E-2</v>
      </c>
      <c r="N2819" s="63">
        <v>1659</v>
      </c>
      <c r="O2819" s="63">
        <v>1417</v>
      </c>
      <c r="P2819" s="63">
        <v>0</v>
      </c>
      <c r="Q2819" s="63">
        <v>98</v>
      </c>
      <c r="R2819" s="63">
        <v>10</v>
      </c>
      <c r="S2819" s="63">
        <v>0</v>
      </c>
      <c r="T2819" s="63"/>
      <c r="U2819" s="63">
        <v>0</v>
      </c>
      <c r="V2819" s="63"/>
      <c r="W2819" s="63">
        <f>IF(Copyright!B$11=1,IF(CA2819&gt;0,CA2819-SUM(S2819:V2819)-P2819-SUM(X2819:AQ2819),SUM(CB2819:CI2819)),SUM(CB2819:CI2819))</f>
        <v>0</v>
      </c>
      <c r="X2819" s="63"/>
      <c r="Y2819" s="63">
        <v>0</v>
      </c>
      <c r="Z2819" s="63"/>
      <c r="AA2819" s="63">
        <v>0</v>
      </c>
      <c r="AB2819" s="63"/>
      <c r="AC2819" s="63"/>
      <c r="AD2819" s="63"/>
      <c r="AE2819" s="63">
        <v>0</v>
      </c>
      <c r="AF2819" s="63"/>
      <c r="AG2819" s="63"/>
      <c r="AH2819" s="63"/>
      <c r="AI2819" s="63"/>
      <c r="AJ2819" s="63"/>
      <c r="AK2819" s="63"/>
      <c r="AL2819" s="63"/>
      <c r="AM2819" s="63"/>
      <c r="AN2819" s="63">
        <v>0</v>
      </c>
      <c r="AO2819" s="63"/>
      <c r="AP2819" s="63"/>
      <c r="AQ2819" s="63"/>
      <c r="AR2819" s="63"/>
      <c r="AS2819" s="63"/>
      <c r="AT2819" s="63"/>
      <c r="AU2819" s="63"/>
      <c r="AW2819" s="5">
        <f>IF(Q2819&gt;0,RANK(Q2819,(N2819:P2819,Q2819:AE2819)),0)</f>
        <v>3</v>
      </c>
      <c r="AX2819" s="5">
        <f>IF(R2819&gt;0,RANK(R2819,(N2819:P2819,Q2819:AE2819)),0)</f>
        <v>4</v>
      </c>
      <c r="AY2819" s="5">
        <f>IF(T2819&gt;0,RANK(T2819,(N2819:P2819,Q2819:AE2819)),0)</f>
        <v>0</v>
      </c>
      <c r="AZ2819" s="5">
        <f>IF(S2819&gt;0,RANK(S2819,(N2819:P2819,Q2819:AE2819)),0)</f>
        <v>0</v>
      </c>
      <c r="BA2819" s="2">
        <f t="shared" si="1114"/>
        <v>3.077889447236181E-2</v>
      </c>
      <c r="BB2819" s="2">
        <f t="shared" si="1115"/>
        <v>3.1407035175879399E-3</v>
      </c>
      <c r="BC2819" s="2">
        <f t="shared" si="1116"/>
        <v>0</v>
      </c>
      <c r="BD2819" s="2">
        <f t="shared" si="1117"/>
        <v>0</v>
      </c>
      <c r="BF2819" t="s">
        <v>96</v>
      </c>
      <c r="BG2819" t="s">
        <v>53</v>
      </c>
      <c r="BH2819">
        <v>23</v>
      </c>
      <c r="BJ2819" s="114">
        <v>48</v>
      </c>
      <c r="BK2819" s="116">
        <v>389</v>
      </c>
      <c r="BL2819" s="120">
        <f t="shared" si="1108"/>
        <v>48389</v>
      </c>
      <c r="BN2819" s="5" t="s">
        <v>3154</v>
      </c>
      <c r="BZ2819" s="63">
        <f t="shared" si="1118"/>
        <v>3184</v>
      </c>
      <c r="CD2819" s="63">
        <v>0</v>
      </c>
      <c r="CE2819" s="63">
        <v>0</v>
      </c>
      <c r="CF2819" s="63">
        <v>0</v>
      </c>
      <c r="CG2819" s="8">
        <v>0</v>
      </c>
      <c r="CH2819" s="8">
        <v>0</v>
      </c>
      <c r="CI2819" s="8">
        <v>0</v>
      </c>
    </row>
    <row r="2820" spans="1:87" hidden="1" outlineLevel="1">
      <c r="A2820" t="s">
        <v>1195</v>
      </c>
      <c r="B2820" t="s">
        <v>53</v>
      </c>
      <c r="C2820" s="1">
        <f t="shared" si="1109"/>
        <v>2948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5</v>
      </c>
      <c r="G2820" s="132">
        <f t="shared" si="1106"/>
        <v>796</v>
      </c>
      <c r="H2820" s="137">
        <f t="shared" si="1107"/>
        <v>0.2700135685210312</v>
      </c>
      <c r="I2820" s="2"/>
      <c r="J2820" s="2">
        <f t="shared" si="1110"/>
        <v>0.35074626865671643</v>
      </c>
      <c r="K2820" s="2">
        <f t="shared" si="1111"/>
        <v>0.62075983717774763</v>
      </c>
      <c r="L2820" s="2">
        <f t="shared" si="1112"/>
        <v>6.7842605156037987E-4</v>
      </c>
      <c r="M2820" s="2">
        <f t="shared" si="1113"/>
        <v>2.7815468113975558E-2</v>
      </c>
      <c r="N2820" s="63">
        <v>1034</v>
      </c>
      <c r="O2820" s="63">
        <v>1830</v>
      </c>
      <c r="P2820" s="63">
        <v>2</v>
      </c>
      <c r="Q2820" s="63">
        <v>71</v>
      </c>
      <c r="R2820" s="63">
        <v>10</v>
      </c>
      <c r="S2820" s="63">
        <v>1</v>
      </c>
      <c r="T2820" s="63"/>
      <c r="U2820" s="63">
        <v>0</v>
      </c>
      <c r="V2820" s="63"/>
      <c r="W2820" s="63">
        <f>IF(Copyright!B$11=1,IF(CA2820&gt;0,CA2820-SUM(S2820:V2820)-P2820-SUM(X2820:AQ2820),SUM(CB2820:CI2820)),SUM(CB2820:CI2820))</f>
        <v>0</v>
      </c>
      <c r="X2820" s="63"/>
      <c r="Y2820" s="63">
        <v>0</v>
      </c>
      <c r="Z2820" s="63"/>
      <c r="AA2820" s="63">
        <v>0</v>
      </c>
      <c r="AB2820" s="63"/>
      <c r="AC2820" s="63"/>
      <c r="AD2820" s="63"/>
      <c r="AE2820" s="63">
        <v>0</v>
      </c>
      <c r="AF2820" s="63"/>
      <c r="AG2820" s="63"/>
      <c r="AH2820" s="63"/>
      <c r="AI2820" s="63"/>
      <c r="AJ2820" s="63"/>
      <c r="AK2820" s="63"/>
      <c r="AL2820" s="63"/>
      <c r="AM2820" s="63"/>
      <c r="AN2820" s="63">
        <v>0</v>
      </c>
      <c r="AO2820" s="63"/>
      <c r="AP2820" s="63"/>
      <c r="AQ2820" s="63"/>
      <c r="AR2820" s="63"/>
      <c r="AS2820" s="63"/>
      <c r="AT2820" s="63"/>
      <c r="AU2820" s="63"/>
      <c r="AW2820" s="5">
        <f>IF(Q2820&gt;0,RANK(Q2820,(N2820:P2820,Q2820:AE2820)),0)</f>
        <v>3</v>
      </c>
      <c r="AX2820" s="5">
        <f>IF(R2820&gt;0,RANK(R2820,(N2820:P2820,Q2820:AE2820)),0)</f>
        <v>4</v>
      </c>
      <c r="AY2820" s="5">
        <f>IF(T2820&gt;0,RANK(T2820,(N2820:P2820,Q2820:AE2820)),0)</f>
        <v>0</v>
      </c>
      <c r="AZ2820" s="5">
        <f>IF(S2820&gt;0,RANK(S2820,(N2820:P2820,Q2820:AE2820)),0)</f>
        <v>6</v>
      </c>
      <c r="BA2820" s="2">
        <f t="shared" si="1114"/>
        <v>2.4084124830393489E-2</v>
      </c>
      <c r="BB2820" s="2">
        <f t="shared" si="1115"/>
        <v>3.3921302578018998E-3</v>
      </c>
      <c r="BC2820" s="2">
        <f t="shared" si="1116"/>
        <v>0</v>
      </c>
      <c r="BD2820" s="2">
        <f t="shared" si="1117"/>
        <v>3.3921302578018993E-4</v>
      </c>
      <c r="BF2820" t="s">
        <v>1195</v>
      </c>
      <c r="BG2820" t="s">
        <v>53</v>
      </c>
      <c r="BH2820">
        <v>27</v>
      </c>
      <c r="BJ2820" s="114">
        <v>48</v>
      </c>
      <c r="BK2820" s="116">
        <v>391</v>
      </c>
      <c r="BL2820" s="120">
        <f t="shared" si="1108"/>
        <v>48391</v>
      </c>
      <c r="BN2820" s="5" t="s">
        <v>3154</v>
      </c>
      <c r="BZ2820" s="63">
        <f t="shared" si="1118"/>
        <v>2948</v>
      </c>
      <c r="CD2820" s="63">
        <v>0</v>
      </c>
      <c r="CE2820" s="63">
        <v>0</v>
      </c>
      <c r="CF2820" s="63">
        <v>0</v>
      </c>
      <c r="CG2820" s="8">
        <v>0</v>
      </c>
      <c r="CH2820" s="8">
        <v>0</v>
      </c>
      <c r="CI2820" s="8">
        <v>0</v>
      </c>
    </row>
    <row r="2821" spans="1:87" hidden="1" outlineLevel="1">
      <c r="A2821" t="s">
        <v>1484</v>
      </c>
      <c r="B2821" t="s">
        <v>53</v>
      </c>
      <c r="C2821" s="1">
        <f t="shared" si="1109"/>
        <v>554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4</v>
      </c>
      <c r="G2821" s="132">
        <f t="shared" si="1106"/>
        <v>504</v>
      </c>
      <c r="H2821" s="137">
        <f t="shared" si="1107"/>
        <v>0.90974729241877261</v>
      </c>
      <c r="I2821" s="2"/>
      <c r="J2821" s="2">
        <f t="shared" si="1110"/>
        <v>3.6101083032490974E-2</v>
      </c>
      <c r="K2821" s="2">
        <f t="shared" si="1111"/>
        <v>0.94584837545126355</v>
      </c>
      <c r="L2821" s="2">
        <f t="shared" si="1112"/>
        <v>3.6101083032490976E-3</v>
      </c>
      <c r="M2821" s="2">
        <f t="shared" si="1113"/>
        <v>1.4440433212996425E-2</v>
      </c>
      <c r="N2821" s="63">
        <v>20</v>
      </c>
      <c r="O2821" s="63">
        <v>524</v>
      </c>
      <c r="P2821" s="63">
        <v>2</v>
      </c>
      <c r="Q2821" s="63">
        <v>6</v>
      </c>
      <c r="R2821" s="63">
        <v>0</v>
      </c>
      <c r="S2821" s="63">
        <v>1</v>
      </c>
      <c r="T2821" s="63"/>
      <c r="U2821" s="63">
        <v>0</v>
      </c>
      <c r="V2821" s="63"/>
      <c r="W2821" s="63">
        <f>IF(Copyright!B$11=1,IF(CA2821&gt;0,CA2821-SUM(S2821:V2821)-P2821-SUM(X2821:AQ2821),SUM(CB2821:CI2821)),SUM(CB2821:CI2821))</f>
        <v>0</v>
      </c>
      <c r="X2821" s="63"/>
      <c r="Y2821" s="63">
        <v>0</v>
      </c>
      <c r="Z2821" s="63"/>
      <c r="AA2821" s="63">
        <v>0</v>
      </c>
      <c r="AB2821" s="63"/>
      <c r="AC2821" s="63"/>
      <c r="AD2821" s="63"/>
      <c r="AE2821" s="63">
        <v>0</v>
      </c>
      <c r="AF2821" s="63"/>
      <c r="AG2821" s="63"/>
      <c r="AH2821" s="63"/>
      <c r="AI2821" s="63"/>
      <c r="AJ2821" s="63"/>
      <c r="AK2821" s="63"/>
      <c r="AL2821" s="63"/>
      <c r="AM2821" s="63"/>
      <c r="AN2821" s="63">
        <v>1</v>
      </c>
      <c r="AO2821" s="63"/>
      <c r="AP2821" s="63"/>
      <c r="AQ2821" s="63"/>
      <c r="AR2821" s="63"/>
      <c r="AS2821" s="63"/>
      <c r="AT2821" s="63"/>
      <c r="AU2821" s="63"/>
      <c r="AW2821" s="5">
        <f>IF(Q2821&gt;0,RANK(Q2821,(N2821:P2821,Q2821:AE2821)),0)</f>
        <v>3</v>
      </c>
      <c r="AX2821" s="5">
        <f>IF(R2821&gt;0,RANK(R2821,(N2821:P2821,Q2821:AE2821)),0)</f>
        <v>0</v>
      </c>
      <c r="AY2821" s="5">
        <f>IF(T2821&gt;0,RANK(T2821,(N2821:P2821,Q2821:AE2821)),0)</f>
        <v>0</v>
      </c>
      <c r="AZ2821" s="5">
        <f>IF(S2821&gt;0,RANK(S2821,(N2821:P2821,Q2821:AE2821)),0)</f>
        <v>5</v>
      </c>
      <c r="BA2821" s="2">
        <f t="shared" si="1114"/>
        <v>1.0830324909747292E-2</v>
      </c>
      <c r="BB2821" s="2">
        <f t="shared" si="1115"/>
        <v>0</v>
      </c>
      <c r="BC2821" s="2">
        <f t="shared" si="1116"/>
        <v>0</v>
      </c>
      <c r="BD2821" s="2">
        <f t="shared" si="1117"/>
        <v>1.8050541516245488E-3</v>
      </c>
      <c r="BF2821" t="s">
        <v>1484</v>
      </c>
      <c r="BG2821" t="s">
        <v>53</v>
      </c>
      <c r="BH2821">
        <v>13</v>
      </c>
      <c r="BJ2821" s="114">
        <v>48</v>
      </c>
      <c r="BK2821" s="116">
        <v>393</v>
      </c>
      <c r="BL2821" s="120">
        <f t="shared" si="1108"/>
        <v>48393</v>
      </c>
      <c r="BN2821" s="5" t="s">
        <v>3154</v>
      </c>
      <c r="BZ2821" s="63">
        <f t="shared" si="1118"/>
        <v>554</v>
      </c>
      <c r="CD2821" s="63">
        <v>0</v>
      </c>
      <c r="CE2821" s="63">
        <v>0</v>
      </c>
      <c r="CF2821" s="63">
        <v>0</v>
      </c>
      <c r="CG2821" s="8">
        <v>0</v>
      </c>
      <c r="CH2821" s="8">
        <v>0</v>
      </c>
      <c r="CI2821" s="8">
        <v>0</v>
      </c>
    </row>
    <row r="2822" spans="1:87" hidden="1" outlineLevel="1">
      <c r="A2822" t="s">
        <v>1682</v>
      </c>
      <c r="B2822" t="s">
        <v>53</v>
      </c>
      <c r="C2822" s="1">
        <f t="shared" si="1109"/>
        <v>7035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4</v>
      </c>
      <c r="G2822" s="132">
        <f t="shared" si="1106"/>
        <v>2465</v>
      </c>
      <c r="H2822" s="137">
        <f t="shared" si="1107"/>
        <v>0.35039090262970862</v>
      </c>
      <c r="I2822" s="2"/>
      <c r="J2822" s="2">
        <f t="shared" si="1110"/>
        <v>0.31314854299928929</v>
      </c>
      <c r="K2822" s="2">
        <f t="shared" si="1111"/>
        <v>0.66353944562899791</v>
      </c>
      <c r="L2822" s="2">
        <f t="shared" si="1112"/>
        <v>2.4164889836531629E-3</v>
      </c>
      <c r="M2822" s="2">
        <f t="shared" si="1113"/>
        <v>2.0895522388059629E-2</v>
      </c>
      <c r="N2822" s="63">
        <v>2203</v>
      </c>
      <c r="O2822" s="63">
        <v>4668</v>
      </c>
      <c r="P2822" s="63">
        <v>17</v>
      </c>
      <c r="Q2822" s="63">
        <v>125</v>
      </c>
      <c r="R2822" s="63">
        <v>17</v>
      </c>
      <c r="S2822" s="63">
        <v>3</v>
      </c>
      <c r="T2822" s="63"/>
      <c r="U2822" s="63">
        <v>0</v>
      </c>
      <c r="V2822" s="63"/>
      <c r="W2822" s="63">
        <f>IF(Copyright!B$11=1,IF(CA2822&gt;0,CA2822-SUM(S2822:V2822)-P2822-SUM(X2822:AQ2822),SUM(CB2822:CI2822)),SUM(CB2822:CI2822))</f>
        <v>0</v>
      </c>
      <c r="X2822" s="63"/>
      <c r="Y2822" s="63">
        <v>0</v>
      </c>
      <c r="Z2822" s="63"/>
      <c r="AA2822" s="63">
        <v>0</v>
      </c>
      <c r="AB2822" s="63"/>
      <c r="AC2822" s="63"/>
      <c r="AD2822" s="63"/>
      <c r="AE2822" s="63">
        <v>1</v>
      </c>
      <c r="AF2822" s="63"/>
      <c r="AG2822" s="63"/>
      <c r="AH2822" s="63"/>
      <c r="AI2822" s="63"/>
      <c r="AJ2822" s="63"/>
      <c r="AK2822" s="63"/>
      <c r="AL2822" s="63"/>
      <c r="AM2822" s="63"/>
      <c r="AN2822" s="63">
        <v>1</v>
      </c>
      <c r="AO2822" s="63"/>
      <c r="AP2822" s="63"/>
      <c r="AQ2822" s="63"/>
      <c r="AR2822" s="63"/>
      <c r="AS2822" s="63"/>
      <c r="AT2822" s="63"/>
      <c r="AU2822" s="63"/>
      <c r="AW2822" s="5">
        <f>IF(Q2822&gt;0,RANK(Q2822,(N2822:P2822,Q2822:AE2822)),0)</f>
        <v>3</v>
      </c>
      <c r="AX2822" s="5">
        <f>IF(R2822&gt;0,RANK(R2822,(N2822:P2822,Q2822:AE2822)),0)</f>
        <v>4</v>
      </c>
      <c r="AY2822" s="5">
        <f>IF(T2822&gt;0,RANK(T2822,(N2822:P2822,Q2822:AE2822)),0)</f>
        <v>0</v>
      </c>
      <c r="AZ2822" s="5">
        <f>IF(S2822&gt;0,RANK(S2822,(N2822:P2822,Q2822:AE2822)),0)</f>
        <v>6</v>
      </c>
      <c r="BA2822" s="2">
        <f t="shared" si="1114"/>
        <v>1.7768301350390904E-2</v>
      </c>
      <c r="BB2822" s="2">
        <f t="shared" si="1115"/>
        <v>2.4164889836531629E-3</v>
      </c>
      <c r="BC2822" s="2">
        <f t="shared" si="1116"/>
        <v>0</v>
      </c>
      <c r="BD2822" s="2">
        <f t="shared" si="1117"/>
        <v>4.2643923240938164E-4</v>
      </c>
      <c r="BF2822" t="s">
        <v>1682</v>
      </c>
      <c r="BG2822" t="s">
        <v>53</v>
      </c>
      <c r="BH2822">
        <v>17</v>
      </c>
      <c r="BJ2822" s="114">
        <v>48</v>
      </c>
      <c r="BK2822" s="116">
        <v>395</v>
      </c>
      <c r="BL2822" s="120">
        <f t="shared" si="1108"/>
        <v>48395</v>
      </c>
      <c r="BN2822" s="5" t="s">
        <v>3154</v>
      </c>
      <c r="BZ2822" s="63">
        <f t="shared" si="1118"/>
        <v>7035</v>
      </c>
      <c r="CD2822" s="63">
        <v>0</v>
      </c>
      <c r="CE2822" s="63">
        <v>0</v>
      </c>
      <c r="CF2822" s="63">
        <v>0</v>
      </c>
      <c r="CG2822" s="8">
        <v>0</v>
      </c>
      <c r="CH2822" s="8">
        <v>0</v>
      </c>
      <c r="CI2822" s="8">
        <v>0</v>
      </c>
    </row>
    <row r="2823" spans="1:87" hidden="1" outlineLevel="1">
      <c r="A2823" t="s">
        <v>722</v>
      </c>
      <c r="B2823" t="s">
        <v>53</v>
      </c>
      <c r="C2823" s="1">
        <f t="shared" si="1109"/>
        <v>40180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4</v>
      </c>
      <c r="G2823" s="132">
        <f t="shared" si="1106"/>
        <v>18796</v>
      </c>
      <c r="H2823" s="137">
        <f t="shared" si="1107"/>
        <v>0.46779492284718766</v>
      </c>
      <c r="I2823" s="2"/>
      <c r="J2823" s="2">
        <f t="shared" si="1110"/>
        <v>0.24029367844698854</v>
      </c>
      <c r="K2823" s="2">
        <f t="shared" si="1111"/>
        <v>0.70808860129417617</v>
      </c>
      <c r="L2823" s="2">
        <f t="shared" si="1112"/>
        <v>7.0930811348929815E-3</v>
      </c>
      <c r="M2823" s="2">
        <f t="shared" si="1113"/>
        <v>4.4524639123942285E-2</v>
      </c>
      <c r="N2823" s="63">
        <v>9655</v>
      </c>
      <c r="O2823" s="63">
        <v>28451</v>
      </c>
      <c r="P2823" s="63">
        <v>285</v>
      </c>
      <c r="Q2823" s="63">
        <v>1305</v>
      </c>
      <c r="R2823" s="63">
        <v>207</v>
      </c>
      <c r="S2823" s="63">
        <v>30</v>
      </c>
      <c r="T2823" s="63"/>
      <c r="U2823" s="63">
        <v>0</v>
      </c>
      <c r="V2823" s="63"/>
      <c r="W2823" s="63">
        <f>IF(Copyright!B$11=1,IF(CA2823&gt;0,CA2823-SUM(S2823:V2823)-P2823-SUM(X2823:AQ2823),SUM(CB2823:CI2823)),SUM(CB2823:CI2823))</f>
        <v>233</v>
      </c>
      <c r="X2823" s="63"/>
      <c r="Y2823" s="63">
        <v>0</v>
      </c>
      <c r="Z2823" s="63"/>
      <c r="AA2823" s="63">
        <v>0</v>
      </c>
      <c r="AB2823" s="63"/>
      <c r="AC2823" s="63"/>
      <c r="AD2823" s="63"/>
      <c r="AE2823" s="63">
        <v>11</v>
      </c>
      <c r="AF2823" s="63"/>
      <c r="AG2823" s="63"/>
      <c r="AH2823" s="63"/>
      <c r="AI2823" s="63"/>
      <c r="AJ2823" s="63"/>
      <c r="AK2823" s="63"/>
      <c r="AL2823" s="63"/>
      <c r="AM2823" s="63"/>
      <c r="AN2823" s="63">
        <v>3</v>
      </c>
      <c r="AO2823" s="63"/>
      <c r="AP2823" s="63"/>
      <c r="AQ2823" s="63"/>
      <c r="AR2823" s="63"/>
      <c r="AS2823" s="63"/>
      <c r="AT2823" s="63"/>
      <c r="AU2823" s="63"/>
      <c r="AW2823" s="5">
        <f>IF(Q2823&gt;0,RANK(Q2823,(N2823:P2823,Q2823:AE2823)),0)</f>
        <v>3</v>
      </c>
      <c r="AX2823" s="5">
        <f>IF(R2823&gt;0,RANK(R2823,(N2823:P2823,Q2823:AE2823)),0)</f>
        <v>6</v>
      </c>
      <c r="AY2823" s="5">
        <f>IF(T2823&gt;0,RANK(T2823,(N2823:P2823,Q2823:AE2823)),0)</f>
        <v>0</v>
      </c>
      <c r="AZ2823" s="5">
        <f>IF(S2823&gt;0,RANK(S2823,(N2823:P2823,Q2823:AE2823)),0)</f>
        <v>7</v>
      </c>
      <c r="BA2823" s="2">
        <f t="shared" si="1114"/>
        <v>3.247884519661523E-2</v>
      </c>
      <c r="BB2823" s="2">
        <f t="shared" si="1115"/>
        <v>5.1518168242906922E-3</v>
      </c>
      <c r="BC2823" s="2">
        <f t="shared" si="1116"/>
        <v>0</v>
      </c>
      <c r="BD2823" s="2">
        <f t="shared" si="1117"/>
        <v>7.4664011946241914E-4</v>
      </c>
      <c r="BF2823" t="s">
        <v>722</v>
      </c>
      <c r="BG2823" t="s">
        <v>53</v>
      </c>
      <c r="BH2823">
        <v>4</v>
      </c>
      <c r="BJ2823" s="114">
        <v>48</v>
      </c>
      <c r="BK2823" s="116">
        <v>397</v>
      </c>
      <c r="BL2823" s="120">
        <f t="shared" si="1108"/>
        <v>48397</v>
      </c>
      <c r="BN2823" s="5" t="s">
        <v>3154</v>
      </c>
      <c r="BY2823" s="133">
        <v>40091</v>
      </c>
      <c r="BZ2823" s="63">
        <f t="shared" si="1118"/>
        <v>40180</v>
      </c>
      <c r="CA2823" s="133">
        <v>562</v>
      </c>
      <c r="CD2823" s="63">
        <v>1</v>
      </c>
      <c r="CE2823" s="63">
        <v>0</v>
      </c>
      <c r="CF2823" s="63">
        <v>0</v>
      </c>
      <c r="CG2823" s="8">
        <v>0</v>
      </c>
      <c r="CH2823" s="8">
        <v>0</v>
      </c>
      <c r="CI2823" s="8">
        <v>0</v>
      </c>
    </row>
    <row r="2824" spans="1:87" hidden="1" outlineLevel="1">
      <c r="A2824" t="s">
        <v>118</v>
      </c>
      <c r="B2824" t="s">
        <v>53</v>
      </c>
      <c r="C2824" s="1">
        <f t="shared" si="1109"/>
        <v>3782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5</v>
      </c>
      <c r="G2824" s="132">
        <f t="shared" si="1106"/>
        <v>2797</v>
      </c>
      <c r="H2824" s="137">
        <f t="shared" si="1107"/>
        <v>0.73955579058699106</v>
      </c>
      <c r="I2824" s="2"/>
      <c r="J2824" s="2">
        <f t="shared" si="1110"/>
        <v>0.1197778952934955</v>
      </c>
      <c r="K2824" s="2">
        <f t="shared" si="1111"/>
        <v>0.85933368588048653</v>
      </c>
      <c r="L2824" s="2">
        <f t="shared" si="1112"/>
        <v>1.3220518244315177E-3</v>
      </c>
      <c r="M2824" s="2">
        <f t="shared" si="1113"/>
        <v>1.9566367001586479E-2</v>
      </c>
      <c r="N2824" s="63">
        <v>453</v>
      </c>
      <c r="O2824" s="63">
        <v>3250</v>
      </c>
      <c r="P2824" s="63">
        <v>5</v>
      </c>
      <c r="Q2824" s="63">
        <v>60</v>
      </c>
      <c r="R2824" s="63">
        <v>13</v>
      </c>
      <c r="S2824" s="63">
        <v>1</v>
      </c>
      <c r="T2824" s="63"/>
      <c r="U2824" s="63">
        <v>0</v>
      </c>
      <c r="V2824" s="63"/>
      <c r="W2824" s="63">
        <f>IF(Copyright!B$11=1,IF(CA2824&gt;0,CA2824-SUM(S2824:V2824)-P2824-SUM(X2824:AQ2824),SUM(CB2824:CI2824)),SUM(CB2824:CI2824))</f>
        <v>0</v>
      </c>
      <c r="X2824" s="63"/>
      <c r="Y2824" s="63">
        <v>0</v>
      </c>
      <c r="Z2824" s="63"/>
      <c r="AA2824" s="63">
        <v>0</v>
      </c>
      <c r="AB2824" s="63"/>
      <c r="AC2824" s="63"/>
      <c r="AD2824" s="63"/>
      <c r="AE2824" s="63">
        <v>0</v>
      </c>
      <c r="AF2824" s="63"/>
      <c r="AG2824" s="63"/>
      <c r="AH2824" s="63"/>
      <c r="AI2824" s="63"/>
      <c r="AJ2824" s="63"/>
      <c r="AK2824" s="63"/>
      <c r="AL2824" s="63"/>
      <c r="AM2824" s="63"/>
      <c r="AN2824" s="63">
        <v>0</v>
      </c>
      <c r="AO2824" s="63"/>
      <c r="AP2824" s="63"/>
      <c r="AQ2824" s="63"/>
      <c r="AR2824" s="63"/>
      <c r="AS2824" s="63"/>
      <c r="AT2824" s="63"/>
      <c r="AU2824" s="63"/>
      <c r="AW2824" s="5">
        <f>IF(Q2824&gt;0,RANK(Q2824,(N2824:P2824,Q2824:AE2824)),0)</f>
        <v>3</v>
      </c>
      <c r="AX2824" s="5">
        <f>IF(R2824&gt;0,RANK(R2824,(N2824:P2824,Q2824:AE2824)),0)</f>
        <v>4</v>
      </c>
      <c r="AY2824" s="5">
        <f>IF(T2824&gt;0,RANK(T2824,(N2824:P2824,Q2824:AE2824)),0)</f>
        <v>0</v>
      </c>
      <c r="AZ2824" s="5">
        <f>IF(S2824&gt;0,RANK(S2824,(N2824:P2824,Q2824:AE2824)),0)</f>
        <v>6</v>
      </c>
      <c r="BA2824" s="2">
        <f t="shared" si="1114"/>
        <v>1.5864621893178214E-2</v>
      </c>
      <c r="BB2824" s="2">
        <f t="shared" si="1115"/>
        <v>3.4373347435219461E-3</v>
      </c>
      <c r="BC2824" s="2">
        <f t="shared" si="1116"/>
        <v>0</v>
      </c>
      <c r="BD2824" s="2">
        <f t="shared" si="1117"/>
        <v>2.6441036488630354E-4</v>
      </c>
      <c r="BF2824" t="s">
        <v>118</v>
      </c>
      <c r="BG2824" t="s">
        <v>53</v>
      </c>
      <c r="BH2824">
        <v>11</v>
      </c>
      <c r="BJ2824" s="114">
        <v>48</v>
      </c>
      <c r="BK2824" s="116">
        <v>399</v>
      </c>
      <c r="BL2824" s="120">
        <f t="shared" si="1108"/>
        <v>48399</v>
      </c>
      <c r="BN2824" s="5" t="s">
        <v>3154</v>
      </c>
      <c r="BZ2824" s="63">
        <f t="shared" si="1118"/>
        <v>3782</v>
      </c>
      <c r="CD2824" s="63">
        <v>0</v>
      </c>
      <c r="CE2824" s="63">
        <v>0</v>
      </c>
      <c r="CF2824" s="63">
        <v>0</v>
      </c>
      <c r="CG2824" s="8">
        <v>0</v>
      </c>
      <c r="CH2824" s="8">
        <v>0</v>
      </c>
      <c r="CI2824" s="8">
        <v>0</v>
      </c>
    </row>
    <row r="2825" spans="1:87" hidden="1" outlineLevel="1">
      <c r="A2825" t="s">
        <v>348</v>
      </c>
      <c r="B2825" t="s">
        <v>53</v>
      </c>
      <c r="C2825" s="1">
        <f t="shared" si="1109"/>
        <v>19134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32">
        <f t="shared" ref="G2825:G2888" si="1119">IF(C2825&gt;0,MAX(N2825:P2825)-LARGE(N2825:P2825,2),0)</f>
        <v>10740</v>
      </c>
      <c r="H2825" s="137">
        <f t="shared" ref="H2825:H2888" si="1120">IF(C2825&gt;0,G2825/C2825,0)</f>
        <v>0.56130448416431489</v>
      </c>
      <c r="I2825" s="2"/>
      <c r="J2825" s="2">
        <f t="shared" si="1110"/>
        <v>0.20565485523152505</v>
      </c>
      <c r="K2825" s="2">
        <f t="shared" si="1111"/>
        <v>0.76695933939583982</v>
      </c>
      <c r="L2825" s="2">
        <f t="shared" si="1112"/>
        <v>0</v>
      </c>
      <c r="M2825" s="2">
        <f t="shared" si="1113"/>
        <v>2.738580537263513E-2</v>
      </c>
      <c r="N2825" s="63">
        <v>3935</v>
      </c>
      <c r="O2825" s="63">
        <v>14675</v>
      </c>
      <c r="P2825" s="63">
        <v>0</v>
      </c>
      <c r="Q2825" s="63">
        <v>333</v>
      </c>
      <c r="R2825" s="63">
        <v>51</v>
      </c>
      <c r="S2825" s="63">
        <v>0</v>
      </c>
      <c r="T2825" s="63"/>
      <c r="U2825" s="63">
        <v>0</v>
      </c>
      <c r="V2825" s="63"/>
      <c r="W2825" s="63">
        <f>IF(Copyright!B$11=1,IF(CA2825&gt;0,CA2825-SUM(S2825:V2825)-P2825-SUM(X2825:AQ2825),SUM(CB2825:CI2825)),SUM(CB2825:CI2825))</f>
        <v>140</v>
      </c>
      <c r="X2825" s="63"/>
      <c r="Y2825" s="63">
        <v>0</v>
      </c>
      <c r="Z2825" s="63"/>
      <c r="AA2825" s="63">
        <v>0</v>
      </c>
      <c r="AB2825" s="63"/>
      <c r="AC2825" s="63"/>
      <c r="AD2825" s="63"/>
      <c r="AE2825" s="63">
        <v>0</v>
      </c>
      <c r="AF2825" s="63"/>
      <c r="AG2825" s="63"/>
      <c r="AH2825" s="63"/>
      <c r="AI2825" s="63"/>
      <c r="AJ2825" s="63"/>
      <c r="AK2825" s="63"/>
      <c r="AL2825" s="63"/>
      <c r="AM2825" s="63"/>
      <c r="AN2825" s="63">
        <v>0</v>
      </c>
      <c r="AO2825" s="63"/>
      <c r="AP2825" s="63"/>
      <c r="AQ2825" s="63"/>
      <c r="AR2825" s="63"/>
      <c r="AS2825" s="63"/>
      <c r="AT2825" s="63"/>
      <c r="AU2825" s="63"/>
      <c r="AW2825" s="5">
        <f>IF(Q2825&gt;0,RANK(Q2825,(N2825:P2825,Q2825:AE2825)),0)</f>
        <v>3</v>
      </c>
      <c r="AX2825" s="5">
        <f>IF(R2825&gt;0,RANK(R2825,(N2825:P2825,Q2825:AE2825)),0)</f>
        <v>5</v>
      </c>
      <c r="AY2825" s="5">
        <f>IF(T2825&gt;0,RANK(T2825,(N2825:P2825,Q2825:AE2825)),0)</f>
        <v>0</v>
      </c>
      <c r="AZ2825" s="5">
        <f>IF(S2825&gt;0,RANK(S2825,(N2825:P2825,Q2825:AE2825)),0)</f>
        <v>0</v>
      </c>
      <c r="BA2825" s="2">
        <f t="shared" si="1114"/>
        <v>1.7403574788334902E-2</v>
      </c>
      <c r="BB2825" s="2">
        <f t="shared" si="1115"/>
        <v>2.6654123549702102E-3</v>
      </c>
      <c r="BC2825" s="2">
        <f t="shared" si="1116"/>
        <v>0</v>
      </c>
      <c r="BD2825" s="2">
        <f t="shared" si="1117"/>
        <v>0</v>
      </c>
      <c r="BF2825" t="s">
        <v>348</v>
      </c>
      <c r="BG2825" t="s">
        <v>53</v>
      </c>
      <c r="BH2825">
        <v>1</v>
      </c>
      <c r="BJ2825" s="114">
        <v>48</v>
      </c>
      <c r="BK2825" s="116">
        <v>401</v>
      </c>
      <c r="BL2825" s="120">
        <f t="shared" si="1108"/>
        <v>48401</v>
      </c>
      <c r="BN2825" s="5" t="s">
        <v>3154</v>
      </c>
      <c r="BY2825" s="63">
        <v>19134</v>
      </c>
      <c r="BZ2825" s="63">
        <f t="shared" si="1118"/>
        <v>19134</v>
      </c>
      <c r="CA2825" s="63">
        <v>140</v>
      </c>
      <c r="CD2825" s="63">
        <v>0</v>
      </c>
      <c r="CE2825" s="63">
        <v>0</v>
      </c>
      <c r="CF2825" s="63">
        <v>0</v>
      </c>
      <c r="CG2825" s="8">
        <v>0</v>
      </c>
      <c r="CH2825" s="8">
        <v>0</v>
      </c>
      <c r="CI2825" s="8">
        <v>0</v>
      </c>
    </row>
    <row r="2826" spans="1:87" hidden="1" outlineLevel="1">
      <c r="A2826" t="s">
        <v>818</v>
      </c>
      <c r="B2826" t="s">
        <v>53</v>
      </c>
      <c r="C2826" s="1">
        <f t="shared" si="1109"/>
        <v>4651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6</v>
      </c>
      <c r="G2826" s="132">
        <f t="shared" si="1119"/>
        <v>3384</v>
      </c>
      <c r="H2826" s="137">
        <f t="shared" si="1120"/>
        <v>0.72758546549129222</v>
      </c>
      <c r="I2826" s="2"/>
      <c r="J2826" s="2">
        <f t="shared" si="1110"/>
        <v>0.13201462051171792</v>
      </c>
      <c r="K2826" s="2">
        <f t="shared" si="1111"/>
        <v>0.85960008600301008</v>
      </c>
      <c r="L2826" s="2">
        <f t="shared" si="1112"/>
        <v>2.1500752526338422E-4</v>
      </c>
      <c r="M2826" s="2">
        <f t="shared" si="1113"/>
        <v>8.1702859600086761E-3</v>
      </c>
      <c r="N2826" s="63">
        <v>614</v>
      </c>
      <c r="O2826" s="63">
        <v>3998</v>
      </c>
      <c r="P2826" s="63">
        <v>1</v>
      </c>
      <c r="Q2826" s="63">
        <v>27</v>
      </c>
      <c r="R2826" s="63">
        <v>9</v>
      </c>
      <c r="S2826" s="63">
        <v>2</v>
      </c>
      <c r="T2826" s="63"/>
      <c r="U2826" s="63">
        <v>0</v>
      </c>
      <c r="V2826" s="63"/>
      <c r="W2826" s="63">
        <f>IF(Copyright!B$11=1,IF(CA2826&gt;0,CA2826-SUM(S2826:V2826)-P2826-SUM(X2826:AQ2826),SUM(CB2826:CI2826)),SUM(CB2826:CI2826))</f>
        <v>0</v>
      </c>
      <c r="X2826" s="63"/>
      <c r="Y2826" s="63">
        <v>0</v>
      </c>
      <c r="Z2826" s="63"/>
      <c r="AA2826" s="63">
        <v>0</v>
      </c>
      <c r="AB2826" s="63"/>
      <c r="AC2826" s="63"/>
      <c r="AD2826" s="63"/>
      <c r="AE2826" s="63">
        <v>0</v>
      </c>
      <c r="AF2826" s="63"/>
      <c r="AG2826" s="63"/>
      <c r="AH2826" s="63"/>
      <c r="AI2826" s="63"/>
      <c r="AJ2826" s="63"/>
      <c r="AK2826" s="63"/>
      <c r="AL2826" s="63"/>
      <c r="AM2826" s="63"/>
      <c r="AN2826" s="63">
        <v>0</v>
      </c>
      <c r="AO2826" s="63"/>
      <c r="AP2826" s="63"/>
      <c r="AQ2826" s="63"/>
      <c r="AR2826" s="63"/>
      <c r="AS2826" s="63"/>
      <c r="AT2826" s="63"/>
      <c r="AU2826" s="63"/>
      <c r="AW2826" s="5">
        <f>IF(Q2826&gt;0,RANK(Q2826,(N2826:P2826,Q2826:AE2826)),0)</f>
        <v>3</v>
      </c>
      <c r="AX2826" s="5">
        <f>IF(R2826&gt;0,RANK(R2826,(N2826:P2826,Q2826:AE2826)),0)</f>
        <v>4</v>
      </c>
      <c r="AY2826" s="5">
        <f>IF(T2826&gt;0,RANK(T2826,(N2826:P2826,Q2826:AE2826)),0)</f>
        <v>0</v>
      </c>
      <c r="AZ2826" s="5">
        <f>IF(S2826&gt;0,RANK(S2826,(N2826:P2826,Q2826:AE2826)),0)</f>
        <v>5</v>
      </c>
      <c r="BA2826" s="2">
        <f t="shared" si="1114"/>
        <v>5.8052031821113738E-3</v>
      </c>
      <c r="BB2826" s="2">
        <f t="shared" si="1115"/>
        <v>1.9350677273704579E-3</v>
      </c>
      <c r="BC2826" s="2">
        <f t="shared" si="1116"/>
        <v>0</v>
      </c>
      <c r="BD2826" s="2">
        <f t="shared" si="1117"/>
        <v>4.3001505052676843E-4</v>
      </c>
      <c r="BF2826" t="s">
        <v>818</v>
      </c>
      <c r="BG2826" t="s">
        <v>53</v>
      </c>
      <c r="BH2826">
        <v>1</v>
      </c>
      <c r="BJ2826" s="114">
        <v>48</v>
      </c>
      <c r="BK2826" s="116">
        <v>403</v>
      </c>
      <c r="BL2826" s="120">
        <f t="shared" si="1108"/>
        <v>48403</v>
      </c>
      <c r="BN2826" s="5" t="s">
        <v>3154</v>
      </c>
      <c r="BZ2826" s="63">
        <f t="shared" si="1118"/>
        <v>4651</v>
      </c>
      <c r="CD2826" s="63">
        <v>0</v>
      </c>
      <c r="CE2826" s="63">
        <v>0</v>
      </c>
      <c r="CF2826" s="63">
        <v>0</v>
      </c>
      <c r="CG2826" s="8">
        <v>0</v>
      </c>
      <c r="CH2826" s="8">
        <v>0</v>
      </c>
      <c r="CI2826" s="8">
        <v>0</v>
      </c>
    </row>
    <row r="2827" spans="1:87" hidden="1" outlineLevel="1">
      <c r="A2827" t="s">
        <v>2954</v>
      </c>
      <c r="B2827" t="s">
        <v>53</v>
      </c>
      <c r="C2827" s="1">
        <f t="shared" si="1109"/>
        <v>3569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5</v>
      </c>
      <c r="G2827" s="132">
        <f t="shared" si="1119"/>
        <v>1712</v>
      </c>
      <c r="H2827" s="137">
        <f t="shared" si="1120"/>
        <v>0.47968618660689266</v>
      </c>
      <c r="I2827" s="2"/>
      <c r="J2827" s="2">
        <f t="shared" si="1110"/>
        <v>0.25497338189969176</v>
      </c>
      <c r="K2827" s="2">
        <f t="shared" si="1111"/>
        <v>0.73465956850658443</v>
      </c>
      <c r="L2827" s="2">
        <f t="shared" si="1112"/>
        <v>2.8019052956010089E-4</v>
      </c>
      <c r="M2827" s="2">
        <f t="shared" si="1113"/>
        <v>1.0086859064163709E-2</v>
      </c>
      <c r="N2827" s="63">
        <v>910</v>
      </c>
      <c r="O2827" s="63">
        <v>2622</v>
      </c>
      <c r="P2827" s="63">
        <v>1</v>
      </c>
      <c r="Q2827" s="63">
        <v>30</v>
      </c>
      <c r="R2827" s="63">
        <v>6</v>
      </c>
      <c r="S2827" s="63">
        <v>0</v>
      </c>
      <c r="T2827" s="63"/>
      <c r="U2827" s="63">
        <v>0</v>
      </c>
      <c r="V2827" s="63"/>
      <c r="W2827" s="63">
        <f>IF(Copyright!B$11=1,IF(CA2827&gt;0,CA2827-SUM(S2827:V2827)-P2827-SUM(X2827:AQ2827),SUM(CB2827:CI2827)),SUM(CB2827:CI2827))</f>
        <v>0</v>
      </c>
      <c r="X2827" s="63"/>
      <c r="Y2827" s="63">
        <v>0</v>
      </c>
      <c r="Z2827" s="63"/>
      <c r="AA2827" s="63">
        <v>0</v>
      </c>
      <c r="AB2827" s="63"/>
      <c r="AC2827" s="63"/>
      <c r="AD2827" s="63"/>
      <c r="AE2827" s="63">
        <v>0</v>
      </c>
      <c r="AF2827" s="63"/>
      <c r="AG2827" s="63"/>
      <c r="AH2827" s="63"/>
      <c r="AI2827" s="63"/>
      <c r="AJ2827" s="63"/>
      <c r="AK2827" s="63"/>
      <c r="AL2827" s="63"/>
      <c r="AM2827" s="63"/>
      <c r="AN2827" s="63">
        <v>0</v>
      </c>
      <c r="AO2827" s="63"/>
      <c r="AP2827" s="63"/>
      <c r="AQ2827" s="63"/>
      <c r="AR2827" s="63"/>
      <c r="AS2827" s="63"/>
      <c r="AT2827" s="63"/>
      <c r="AU2827" s="63"/>
      <c r="AW2827" s="5">
        <f>IF(Q2827&gt;0,RANK(Q2827,(N2827:P2827,Q2827:AE2827)),0)</f>
        <v>3</v>
      </c>
      <c r="AX2827" s="5">
        <f>IF(R2827&gt;0,RANK(R2827,(N2827:P2827,Q2827:AE2827)),0)</f>
        <v>4</v>
      </c>
      <c r="AY2827" s="5">
        <f>IF(T2827&gt;0,RANK(T2827,(N2827:P2827,Q2827:AE2827)),0)</f>
        <v>0</v>
      </c>
      <c r="AZ2827" s="5">
        <f>IF(S2827&gt;0,RANK(S2827,(N2827:P2827,Q2827:AE2827)),0)</f>
        <v>0</v>
      </c>
      <c r="BA2827" s="2">
        <f t="shared" si="1114"/>
        <v>8.4057158868030262E-3</v>
      </c>
      <c r="BB2827" s="2">
        <f t="shared" si="1115"/>
        <v>1.6811431773606051E-3</v>
      </c>
      <c r="BC2827" s="2">
        <f t="shared" si="1116"/>
        <v>0</v>
      </c>
      <c r="BD2827" s="2">
        <f t="shared" si="1117"/>
        <v>0</v>
      </c>
      <c r="BF2827" t="s">
        <v>2954</v>
      </c>
      <c r="BG2827" t="s">
        <v>53</v>
      </c>
      <c r="BH2827">
        <v>1</v>
      </c>
      <c r="BJ2827" s="114">
        <v>48</v>
      </c>
      <c r="BK2827" s="116">
        <v>405</v>
      </c>
      <c r="BL2827" s="120">
        <f t="shared" si="1108"/>
        <v>48405</v>
      </c>
      <c r="BN2827" s="5" t="s">
        <v>3154</v>
      </c>
      <c r="BZ2827" s="63">
        <f t="shared" si="1118"/>
        <v>3569</v>
      </c>
      <c r="CD2827" s="63">
        <v>0</v>
      </c>
      <c r="CE2827" s="63">
        <v>0</v>
      </c>
      <c r="CF2827" s="63">
        <v>0</v>
      </c>
      <c r="CG2827" s="8">
        <v>0</v>
      </c>
      <c r="CH2827" s="8">
        <v>0</v>
      </c>
      <c r="CI2827" s="8">
        <v>0</v>
      </c>
    </row>
    <row r="2828" spans="1:87" hidden="1" outlineLevel="1">
      <c r="A2828" t="s">
        <v>703</v>
      </c>
      <c r="B2828" t="s">
        <v>53</v>
      </c>
      <c r="C2828" s="1">
        <f t="shared" si="1109"/>
        <v>10343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5</v>
      </c>
      <c r="G2828" s="132">
        <f t="shared" si="1119"/>
        <v>6021</v>
      </c>
      <c r="H2828" s="137">
        <f t="shared" si="1120"/>
        <v>0.58213284346901284</v>
      </c>
      <c r="I2828" s="2"/>
      <c r="J2828" s="2">
        <f t="shared" si="1110"/>
        <v>0.19704147732766122</v>
      </c>
      <c r="K2828" s="2">
        <f t="shared" si="1111"/>
        <v>0.77917432079667404</v>
      </c>
      <c r="L2828" s="2">
        <f t="shared" si="1112"/>
        <v>1.546939959392826E-3</v>
      </c>
      <c r="M2828" s="2">
        <f t="shared" si="1113"/>
        <v>2.2237261916271941E-2</v>
      </c>
      <c r="N2828" s="63">
        <v>2038</v>
      </c>
      <c r="O2828" s="63">
        <v>8059</v>
      </c>
      <c r="P2828" s="63">
        <v>16</v>
      </c>
      <c r="Q2828" s="63">
        <v>170</v>
      </c>
      <c r="R2828" s="63">
        <v>52</v>
      </c>
      <c r="S2828" s="63">
        <v>6</v>
      </c>
      <c r="T2828" s="63"/>
      <c r="U2828" s="63">
        <v>0</v>
      </c>
      <c r="V2828" s="63"/>
      <c r="W2828" s="63">
        <f>IF(Copyright!B$11=1,IF(CA2828&gt;0,CA2828-SUM(S2828:V2828)-P2828-SUM(X2828:AQ2828),SUM(CB2828:CI2828)),SUM(CB2828:CI2828))</f>
        <v>1</v>
      </c>
      <c r="X2828" s="63"/>
      <c r="Y2828" s="63">
        <v>0</v>
      </c>
      <c r="Z2828" s="63"/>
      <c r="AA2828" s="63">
        <v>0</v>
      </c>
      <c r="AB2828" s="63"/>
      <c r="AC2828" s="63"/>
      <c r="AD2828" s="63"/>
      <c r="AE2828" s="63">
        <v>1</v>
      </c>
      <c r="AF2828" s="63"/>
      <c r="AG2828" s="63"/>
      <c r="AH2828" s="63"/>
      <c r="AI2828" s="63"/>
      <c r="AJ2828" s="63"/>
      <c r="AK2828" s="63"/>
      <c r="AL2828" s="63"/>
      <c r="AM2828" s="63"/>
      <c r="AN2828" s="63">
        <v>0</v>
      </c>
      <c r="AO2828" s="63"/>
      <c r="AP2828" s="63"/>
      <c r="AQ2828" s="63"/>
      <c r="AR2828" s="63"/>
      <c r="AS2828" s="63"/>
      <c r="AT2828" s="63"/>
      <c r="AU2828" s="63"/>
      <c r="AW2828" s="5">
        <f>IF(Q2828&gt;0,RANK(Q2828,(N2828:P2828,Q2828:AE2828)),0)</f>
        <v>3</v>
      </c>
      <c r="AX2828" s="5">
        <f>IF(R2828&gt;0,RANK(R2828,(N2828:P2828,Q2828:AE2828)),0)</f>
        <v>4</v>
      </c>
      <c r="AY2828" s="5">
        <f>IF(T2828&gt;0,RANK(T2828,(N2828:P2828,Q2828:AE2828)),0)</f>
        <v>0</v>
      </c>
      <c r="AZ2828" s="5">
        <f>IF(S2828&gt;0,RANK(S2828,(N2828:P2828,Q2828:AE2828)),0)</f>
        <v>6</v>
      </c>
      <c r="BA2828" s="2">
        <f t="shared" si="1114"/>
        <v>1.6436237068548777E-2</v>
      </c>
      <c r="BB2828" s="2">
        <f t="shared" si="1115"/>
        <v>5.0275548680266844E-3</v>
      </c>
      <c r="BC2828" s="2">
        <f t="shared" si="1116"/>
        <v>0</v>
      </c>
      <c r="BD2828" s="2">
        <f t="shared" si="1117"/>
        <v>5.8010248477230973E-4</v>
      </c>
      <c r="BF2828" t="s">
        <v>703</v>
      </c>
      <c r="BG2828" t="s">
        <v>53</v>
      </c>
      <c r="BH2828">
        <v>8</v>
      </c>
      <c r="BJ2828" s="114">
        <v>48</v>
      </c>
      <c r="BK2828" s="116">
        <v>407</v>
      </c>
      <c r="BL2828" s="120">
        <f t="shared" si="1108"/>
        <v>48407</v>
      </c>
      <c r="BN2828" s="5" t="s">
        <v>3154</v>
      </c>
      <c r="BZ2828" s="63">
        <f t="shared" si="1118"/>
        <v>10343</v>
      </c>
      <c r="CD2828" s="63">
        <v>0</v>
      </c>
      <c r="CE2828" s="63">
        <v>0</v>
      </c>
      <c r="CF2828" s="63">
        <v>0</v>
      </c>
      <c r="CG2828" s="8">
        <v>0</v>
      </c>
      <c r="CH2828" s="8">
        <v>0</v>
      </c>
      <c r="CI2828" s="8">
        <v>1</v>
      </c>
    </row>
    <row r="2829" spans="1:87" hidden="1" outlineLevel="1">
      <c r="A2829" t="s">
        <v>2256</v>
      </c>
      <c r="B2829" t="s">
        <v>53</v>
      </c>
      <c r="C2829" s="1">
        <f t="shared" si="1109"/>
        <v>21656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5</v>
      </c>
      <c r="G2829" s="132">
        <f t="shared" si="1119"/>
        <v>5159</v>
      </c>
      <c r="H2829" s="137">
        <f t="shared" si="1120"/>
        <v>0.23822497229405246</v>
      </c>
      <c r="I2829" s="2"/>
      <c r="J2829" s="2">
        <f t="shared" si="1110"/>
        <v>0.36345585519024748</v>
      </c>
      <c r="K2829" s="2">
        <f t="shared" si="1111"/>
        <v>0.60168082748429996</v>
      </c>
      <c r="L2829" s="2">
        <f t="shared" si="1112"/>
        <v>2.5858884373845584E-3</v>
      </c>
      <c r="M2829" s="2">
        <f t="shared" si="1113"/>
        <v>3.2277428888067998E-2</v>
      </c>
      <c r="N2829" s="63">
        <v>7871</v>
      </c>
      <c r="O2829" s="63">
        <v>13030</v>
      </c>
      <c r="P2829" s="63">
        <v>56</v>
      </c>
      <c r="Q2829" s="63">
        <v>573</v>
      </c>
      <c r="R2829" s="63">
        <v>113</v>
      </c>
      <c r="S2829" s="63">
        <v>4</v>
      </c>
      <c r="T2829" s="63"/>
      <c r="U2829" s="63">
        <v>0</v>
      </c>
      <c r="V2829" s="63"/>
      <c r="W2829" s="63">
        <f>IF(Copyright!B$11=1,IF(CA2829&gt;0,CA2829-SUM(S2829:V2829)-P2829-SUM(X2829:AQ2829),SUM(CB2829:CI2829)),SUM(CB2829:CI2829))</f>
        <v>3</v>
      </c>
      <c r="X2829" s="63"/>
      <c r="Y2829" s="63">
        <v>4</v>
      </c>
      <c r="Z2829" s="63"/>
      <c r="AA2829" s="63">
        <v>0</v>
      </c>
      <c r="AB2829" s="63"/>
      <c r="AC2829" s="63"/>
      <c r="AD2829" s="63"/>
      <c r="AE2829" s="63">
        <v>0</v>
      </c>
      <c r="AF2829" s="63"/>
      <c r="AG2829" s="63"/>
      <c r="AH2829" s="63"/>
      <c r="AI2829" s="63"/>
      <c r="AJ2829" s="63"/>
      <c r="AK2829" s="63"/>
      <c r="AL2829" s="63"/>
      <c r="AM2829" s="63"/>
      <c r="AN2829" s="63">
        <v>2</v>
      </c>
      <c r="AO2829" s="63"/>
      <c r="AP2829" s="63"/>
      <c r="AQ2829" s="63"/>
      <c r="AR2829" s="63"/>
      <c r="AS2829" s="63"/>
      <c r="AT2829" s="63"/>
      <c r="AU2829" s="63"/>
      <c r="AW2829" s="5">
        <f>IF(Q2829&gt;0,RANK(Q2829,(N2829:P2829,Q2829:AE2829)),0)</f>
        <v>3</v>
      </c>
      <c r="AX2829" s="5">
        <f>IF(R2829&gt;0,RANK(R2829,(N2829:P2829,Q2829:AE2829)),0)</f>
        <v>4</v>
      </c>
      <c r="AY2829" s="5">
        <f>IF(T2829&gt;0,RANK(T2829,(N2829:P2829,Q2829:AE2829)),0)</f>
        <v>0</v>
      </c>
      <c r="AZ2829" s="5">
        <f>IF(S2829&gt;0,RANK(S2829,(N2829:P2829,Q2829:AE2829)),0)</f>
        <v>6</v>
      </c>
      <c r="BA2829" s="2">
        <f t="shared" si="1114"/>
        <v>2.6459179903952714E-2</v>
      </c>
      <c r="BB2829" s="2">
        <f t="shared" si="1115"/>
        <v>5.2179534540081271E-3</v>
      </c>
      <c r="BC2829" s="2">
        <f t="shared" si="1116"/>
        <v>0</v>
      </c>
      <c r="BD2829" s="2">
        <f t="shared" si="1117"/>
        <v>1.8470631695603989E-4</v>
      </c>
      <c r="BF2829" t="s">
        <v>2256</v>
      </c>
      <c r="BG2829" t="s">
        <v>53</v>
      </c>
      <c r="BJ2829" s="114">
        <v>48</v>
      </c>
      <c r="BK2829" s="116">
        <v>409</v>
      </c>
      <c r="BL2829" s="120">
        <f t="shared" si="1108"/>
        <v>48409</v>
      </c>
      <c r="BN2829" s="5" t="s">
        <v>3154</v>
      </c>
      <c r="BZ2829" s="63">
        <f t="shared" si="1118"/>
        <v>21656</v>
      </c>
      <c r="CD2829" s="63">
        <v>0</v>
      </c>
      <c r="CE2829" s="63">
        <v>0</v>
      </c>
      <c r="CF2829" s="63">
        <v>2</v>
      </c>
      <c r="CG2829" s="8">
        <v>0</v>
      </c>
      <c r="CH2829" s="8">
        <v>0</v>
      </c>
      <c r="CI2829" s="8">
        <v>1</v>
      </c>
    </row>
    <row r="2830" spans="1:87" hidden="1" outlineLevel="1">
      <c r="A2830" t="s">
        <v>1688</v>
      </c>
      <c r="B2830" t="s">
        <v>53</v>
      </c>
      <c r="C2830" s="1">
        <f t="shared" si="1109"/>
        <v>2357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5</v>
      </c>
      <c r="G2830" s="132">
        <f t="shared" si="1119"/>
        <v>1732</v>
      </c>
      <c r="H2830" s="137">
        <f t="shared" si="1120"/>
        <v>0.73483241408570221</v>
      </c>
      <c r="I2830" s="2"/>
      <c r="J2830" s="2">
        <f t="shared" si="1110"/>
        <v>0.12431056427662282</v>
      </c>
      <c r="K2830" s="2">
        <f t="shared" si="1111"/>
        <v>0.859142978362325</v>
      </c>
      <c r="L2830" s="2">
        <f t="shared" si="1112"/>
        <v>8.4853627492575306E-4</v>
      </c>
      <c r="M2830" s="2">
        <f t="shared" si="1113"/>
        <v>1.569792108612645E-2</v>
      </c>
      <c r="N2830" s="63">
        <v>293</v>
      </c>
      <c r="O2830" s="63">
        <v>2025</v>
      </c>
      <c r="P2830" s="63">
        <v>2</v>
      </c>
      <c r="Q2830" s="63">
        <v>32</v>
      </c>
      <c r="R2830" s="63">
        <v>4</v>
      </c>
      <c r="S2830" s="63">
        <v>0</v>
      </c>
      <c r="T2830" s="63"/>
      <c r="U2830" s="63">
        <v>0</v>
      </c>
      <c r="V2830" s="63"/>
      <c r="W2830" s="63">
        <f>IF(Copyright!B$11=1,IF(CA2830&gt;0,CA2830-SUM(S2830:V2830)-P2830-SUM(X2830:AQ2830),SUM(CB2830:CI2830)),SUM(CB2830:CI2830))</f>
        <v>0</v>
      </c>
      <c r="X2830" s="63"/>
      <c r="Y2830" s="63">
        <v>0</v>
      </c>
      <c r="Z2830" s="63"/>
      <c r="AA2830" s="63">
        <v>0</v>
      </c>
      <c r="AB2830" s="63"/>
      <c r="AC2830" s="63"/>
      <c r="AD2830" s="63"/>
      <c r="AE2830" s="63">
        <v>0</v>
      </c>
      <c r="AF2830" s="63"/>
      <c r="AG2830" s="63"/>
      <c r="AH2830" s="63"/>
      <c r="AI2830" s="63"/>
      <c r="AJ2830" s="63"/>
      <c r="AK2830" s="63"/>
      <c r="AL2830" s="63"/>
      <c r="AM2830" s="63"/>
      <c r="AN2830" s="63">
        <v>1</v>
      </c>
      <c r="AO2830" s="63"/>
      <c r="AP2830" s="63"/>
      <c r="AQ2830" s="63"/>
      <c r="AR2830" s="63"/>
      <c r="AS2830" s="63"/>
      <c r="AT2830" s="63"/>
      <c r="AU2830" s="63"/>
      <c r="AW2830" s="5">
        <f>IF(Q2830&gt;0,RANK(Q2830,(N2830:P2830,Q2830:AE2830)),0)</f>
        <v>3</v>
      </c>
      <c r="AX2830" s="5">
        <f>IF(R2830&gt;0,RANK(R2830,(N2830:P2830,Q2830:AE2830)),0)</f>
        <v>4</v>
      </c>
      <c r="AY2830" s="5">
        <f>IF(T2830&gt;0,RANK(T2830,(N2830:P2830,Q2830:AE2830)),0)</f>
        <v>0</v>
      </c>
      <c r="AZ2830" s="5">
        <f>IF(S2830&gt;0,RANK(S2830,(N2830:P2830,Q2830:AE2830)),0)</f>
        <v>0</v>
      </c>
      <c r="BA2830" s="2">
        <f t="shared" si="1114"/>
        <v>1.3576580398812049E-2</v>
      </c>
      <c r="BB2830" s="2">
        <f t="shared" si="1115"/>
        <v>1.6970725498515061E-3</v>
      </c>
      <c r="BC2830" s="2">
        <f t="shared" si="1116"/>
        <v>0</v>
      </c>
      <c r="BD2830" s="2">
        <f t="shared" si="1117"/>
        <v>0</v>
      </c>
      <c r="BF2830" t="s">
        <v>1688</v>
      </c>
      <c r="BG2830" t="s">
        <v>53</v>
      </c>
      <c r="BH2830">
        <v>11</v>
      </c>
      <c r="BJ2830" s="114">
        <v>48</v>
      </c>
      <c r="BK2830" s="116">
        <v>411</v>
      </c>
      <c r="BL2830" s="120">
        <f t="shared" si="1108"/>
        <v>48411</v>
      </c>
      <c r="BN2830" s="5" t="s">
        <v>3154</v>
      </c>
      <c r="BZ2830" s="63">
        <f t="shared" si="1118"/>
        <v>2357</v>
      </c>
      <c r="CD2830" s="63">
        <v>0</v>
      </c>
      <c r="CE2830" s="63">
        <v>0</v>
      </c>
      <c r="CF2830" s="63">
        <v>0</v>
      </c>
      <c r="CG2830" s="8">
        <v>0</v>
      </c>
      <c r="CH2830" s="8">
        <v>0</v>
      </c>
      <c r="CI2830" s="8">
        <v>0</v>
      </c>
    </row>
    <row r="2831" spans="1:87" hidden="1" outlineLevel="1">
      <c r="A2831" t="s">
        <v>2588</v>
      </c>
      <c r="B2831" t="s">
        <v>53</v>
      </c>
      <c r="C2831" s="1">
        <f t="shared" si="1109"/>
        <v>1059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4</v>
      </c>
      <c r="G2831" s="132">
        <f t="shared" si="1119"/>
        <v>613</v>
      </c>
      <c r="H2831" s="137">
        <f t="shared" si="1120"/>
        <v>0.57884796978281394</v>
      </c>
      <c r="I2831" s="2"/>
      <c r="J2831" s="2">
        <f t="shared" si="1110"/>
        <v>0.1964117091595845</v>
      </c>
      <c r="K2831" s="2">
        <f t="shared" si="1111"/>
        <v>0.77525967894239844</v>
      </c>
      <c r="L2831" s="2">
        <f t="shared" si="1112"/>
        <v>2.8328611898016999E-3</v>
      </c>
      <c r="M2831" s="2">
        <f t="shared" si="1113"/>
        <v>2.5495750708215352E-2</v>
      </c>
      <c r="N2831" s="63">
        <v>208</v>
      </c>
      <c r="O2831" s="63">
        <v>821</v>
      </c>
      <c r="P2831" s="63">
        <v>3</v>
      </c>
      <c r="Q2831" s="63">
        <v>24</v>
      </c>
      <c r="R2831" s="63">
        <v>3</v>
      </c>
      <c r="S2831" s="63">
        <v>0</v>
      </c>
      <c r="T2831" s="63"/>
      <c r="U2831" s="63">
        <v>0</v>
      </c>
      <c r="V2831" s="63"/>
      <c r="W2831" s="63">
        <f>IF(Copyright!B$11=1,IF(CA2831&gt;0,CA2831-SUM(S2831:V2831)-P2831-SUM(X2831:AQ2831),SUM(CB2831:CI2831)),SUM(CB2831:CI2831))</f>
        <v>0</v>
      </c>
      <c r="X2831" s="63"/>
      <c r="Y2831" s="63">
        <v>0</v>
      </c>
      <c r="Z2831" s="63"/>
      <c r="AA2831" s="63">
        <v>0</v>
      </c>
      <c r="AB2831" s="63"/>
      <c r="AC2831" s="63"/>
      <c r="AD2831" s="63"/>
      <c r="AE2831" s="63">
        <v>0</v>
      </c>
      <c r="AF2831" s="63"/>
      <c r="AG2831" s="63"/>
      <c r="AH2831" s="63"/>
      <c r="AI2831" s="63"/>
      <c r="AJ2831" s="63"/>
      <c r="AK2831" s="63"/>
      <c r="AL2831" s="63"/>
      <c r="AM2831" s="63"/>
      <c r="AN2831" s="63">
        <v>0</v>
      </c>
      <c r="AO2831" s="63"/>
      <c r="AP2831" s="63"/>
      <c r="AQ2831" s="63"/>
      <c r="AR2831" s="63"/>
      <c r="AS2831" s="63"/>
      <c r="AT2831" s="63"/>
      <c r="AU2831" s="63"/>
      <c r="AW2831" s="5">
        <f>IF(Q2831&gt;0,RANK(Q2831,(N2831:P2831,Q2831:AE2831)),0)</f>
        <v>3</v>
      </c>
      <c r="AX2831" s="5">
        <f>IF(R2831&gt;0,RANK(R2831,(N2831:P2831,Q2831:AE2831)),0)</f>
        <v>4</v>
      </c>
      <c r="AY2831" s="5">
        <f>IF(T2831&gt;0,RANK(T2831,(N2831:P2831,Q2831:AE2831)),0)</f>
        <v>0</v>
      </c>
      <c r="AZ2831" s="5">
        <f>IF(S2831&gt;0,RANK(S2831,(N2831:P2831,Q2831:AE2831)),0)</f>
        <v>0</v>
      </c>
      <c r="BA2831" s="2">
        <f t="shared" si="1114"/>
        <v>2.2662889518413599E-2</v>
      </c>
      <c r="BB2831" s="2">
        <f t="shared" si="1115"/>
        <v>2.8328611898016999E-3</v>
      </c>
      <c r="BC2831" s="2">
        <f t="shared" si="1116"/>
        <v>0</v>
      </c>
      <c r="BD2831" s="2">
        <f t="shared" si="1117"/>
        <v>0</v>
      </c>
      <c r="BF2831" t="s">
        <v>2588</v>
      </c>
      <c r="BG2831" t="s">
        <v>53</v>
      </c>
      <c r="BH2831">
        <v>23</v>
      </c>
      <c r="BJ2831" s="114">
        <v>48</v>
      </c>
      <c r="BK2831" s="116">
        <v>413</v>
      </c>
      <c r="BL2831" s="120">
        <f t="shared" si="1108"/>
        <v>48413</v>
      </c>
      <c r="BN2831" s="5" t="s">
        <v>3154</v>
      </c>
      <c r="BZ2831" s="63">
        <f t="shared" si="1118"/>
        <v>1059</v>
      </c>
      <c r="CD2831" s="63">
        <v>0</v>
      </c>
      <c r="CE2831" s="63">
        <v>0</v>
      </c>
      <c r="CF2831" s="63">
        <v>0</v>
      </c>
      <c r="CG2831" s="8">
        <v>0</v>
      </c>
      <c r="CH2831" s="8">
        <v>0</v>
      </c>
      <c r="CI2831" s="8">
        <v>0</v>
      </c>
    </row>
    <row r="2832" spans="1:87" hidden="1" outlineLevel="1">
      <c r="A2832" t="s">
        <v>2280</v>
      </c>
      <c r="B2832" t="s">
        <v>53</v>
      </c>
      <c r="C2832" s="1">
        <f t="shared" si="1109"/>
        <v>5312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6</v>
      </c>
      <c r="G2832" s="132">
        <f t="shared" si="1119"/>
        <v>3677</v>
      </c>
      <c r="H2832" s="137">
        <f t="shared" si="1120"/>
        <v>0.69220632530120485</v>
      </c>
      <c r="I2832" s="2"/>
      <c r="J2832" s="2">
        <f t="shared" si="1110"/>
        <v>0.1379894578313253</v>
      </c>
      <c r="K2832" s="2">
        <f t="shared" si="1111"/>
        <v>0.83019578313253017</v>
      </c>
      <c r="L2832" s="2">
        <f t="shared" si="1112"/>
        <v>3.5768072289156625E-3</v>
      </c>
      <c r="M2832" s="2">
        <f t="shared" si="1113"/>
        <v>2.823795180722884E-2</v>
      </c>
      <c r="N2832" s="63">
        <v>733</v>
      </c>
      <c r="O2832" s="63">
        <v>4410</v>
      </c>
      <c r="P2832" s="63">
        <v>19</v>
      </c>
      <c r="Q2832" s="63">
        <v>103</v>
      </c>
      <c r="R2832" s="63">
        <v>22</v>
      </c>
      <c r="S2832" s="63">
        <v>1</v>
      </c>
      <c r="T2832" s="63"/>
      <c r="U2832" s="63">
        <v>0</v>
      </c>
      <c r="V2832" s="63"/>
      <c r="W2832" s="63">
        <f>IF(Copyright!B$11=1,IF(CA2832&gt;0,CA2832-SUM(S2832:V2832)-P2832-SUM(X2832:AQ2832),SUM(CB2832:CI2832)),SUM(CB2832:CI2832))</f>
        <v>24</v>
      </c>
      <c r="X2832" s="63"/>
      <c r="Y2832" s="63">
        <v>0</v>
      </c>
      <c r="Z2832" s="63"/>
      <c r="AA2832" s="63">
        <v>0</v>
      </c>
      <c r="AB2832" s="63"/>
      <c r="AC2832" s="63"/>
      <c r="AD2832" s="63"/>
      <c r="AE2832" s="63">
        <v>0</v>
      </c>
      <c r="AF2832" s="63"/>
      <c r="AG2832" s="63"/>
      <c r="AH2832" s="63"/>
      <c r="AI2832" s="63"/>
      <c r="AJ2832" s="63"/>
      <c r="AK2832" s="63"/>
      <c r="AL2832" s="63"/>
      <c r="AM2832" s="63"/>
      <c r="AN2832" s="63">
        <v>0</v>
      </c>
      <c r="AO2832" s="63"/>
      <c r="AP2832" s="63"/>
      <c r="AQ2832" s="63"/>
      <c r="AR2832" s="63"/>
      <c r="AS2832" s="63"/>
      <c r="AT2832" s="63"/>
      <c r="AU2832" s="63"/>
      <c r="AW2832" s="5">
        <f>IF(Q2832&gt;0,RANK(Q2832,(N2832:P2832,Q2832:AE2832)),0)</f>
        <v>3</v>
      </c>
      <c r="AX2832" s="5">
        <f>IF(R2832&gt;0,RANK(R2832,(N2832:P2832,Q2832:AE2832)),0)</f>
        <v>5</v>
      </c>
      <c r="AY2832" s="5">
        <f>IF(T2832&gt;0,RANK(T2832,(N2832:P2832,Q2832:AE2832)),0)</f>
        <v>0</v>
      </c>
      <c r="AZ2832" s="5">
        <f>IF(S2832&gt;0,RANK(S2832,(N2832:P2832,Q2832:AE2832)),0)</f>
        <v>7</v>
      </c>
      <c r="BA2832" s="2">
        <f t="shared" si="1114"/>
        <v>1.9390060240963857E-2</v>
      </c>
      <c r="BB2832" s="2">
        <f t="shared" si="1115"/>
        <v>4.1415662650602413E-3</v>
      </c>
      <c r="BC2832" s="2">
        <f t="shared" si="1116"/>
        <v>0</v>
      </c>
      <c r="BD2832" s="2">
        <f t="shared" si="1117"/>
        <v>1.8825301204819278E-4</v>
      </c>
      <c r="BF2832" t="s">
        <v>2280</v>
      </c>
      <c r="BG2832" t="s">
        <v>53</v>
      </c>
      <c r="BH2832">
        <v>19</v>
      </c>
      <c r="BJ2832" s="114">
        <v>48</v>
      </c>
      <c r="BK2832" s="116">
        <v>415</v>
      </c>
      <c r="BL2832" s="120">
        <f t="shared" si="1108"/>
        <v>48415</v>
      </c>
      <c r="BN2832" s="5" t="s">
        <v>3154</v>
      </c>
      <c r="BY2832" s="63">
        <f>4410+733+103+22+44</f>
        <v>5312</v>
      </c>
      <c r="BZ2832" s="63">
        <f t="shared" si="1118"/>
        <v>5312</v>
      </c>
      <c r="CA2832" s="63">
        <v>44</v>
      </c>
      <c r="CD2832" s="63">
        <v>0</v>
      </c>
      <c r="CE2832" s="63">
        <v>0</v>
      </c>
      <c r="CF2832" s="63">
        <v>0</v>
      </c>
      <c r="CG2832" s="8">
        <v>0</v>
      </c>
      <c r="CH2832" s="8">
        <v>1</v>
      </c>
      <c r="CI2832" s="8">
        <v>0</v>
      </c>
    </row>
    <row r="2833" spans="1:87" hidden="1" outlineLevel="1">
      <c r="A2833" t="s">
        <v>2807</v>
      </c>
      <c r="B2833" t="s">
        <v>53</v>
      </c>
      <c r="C2833" s="1">
        <f t="shared" si="1109"/>
        <v>1504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4</v>
      </c>
      <c r="G2833" s="132">
        <f t="shared" si="1119"/>
        <v>1275</v>
      </c>
      <c r="H2833" s="137">
        <f t="shared" si="1120"/>
        <v>0.84773936170212771</v>
      </c>
      <c r="I2833" s="2"/>
      <c r="J2833" s="2">
        <f t="shared" si="1110"/>
        <v>6.8484042553191488E-2</v>
      </c>
      <c r="K2833" s="2">
        <f t="shared" si="1111"/>
        <v>0.91622340425531912</v>
      </c>
      <c r="L2833" s="2">
        <f t="shared" si="1112"/>
        <v>1.3297872340425532E-3</v>
      </c>
      <c r="M2833" s="2">
        <f t="shared" si="1113"/>
        <v>1.3962765957446813E-2</v>
      </c>
      <c r="N2833" s="63">
        <v>103</v>
      </c>
      <c r="O2833" s="63">
        <v>1378</v>
      </c>
      <c r="P2833" s="63">
        <v>2</v>
      </c>
      <c r="Q2833" s="63">
        <v>21</v>
      </c>
      <c r="R2833" s="63">
        <v>0</v>
      </c>
      <c r="S2833" s="63">
        <v>0</v>
      </c>
      <c r="T2833" s="63"/>
      <c r="U2833" s="63">
        <v>0</v>
      </c>
      <c r="V2833" s="63"/>
      <c r="W2833" s="63">
        <f>IF(Copyright!B$11=1,IF(CA2833&gt;0,CA2833-SUM(S2833:V2833)-P2833-SUM(X2833:AQ2833),SUM(CB2833:CI2833)),SUM(CB2833:CI2833))</f>
        <v>0</v>
      </c>
      <c r="X2833" s="63"/>
      <c r="Y2833" s="63">
        <v>0</v>
      </c>
      <c r="Z2833" s="63"/>
      <c r="AA2833" s="63">
        <v>0</v>
      </c>
      <c r="AB2833" s="63"/>
      <c r="AC2833" s="63"/>
      <c r="AD2833" s="63"/>
      <c r="AE2833" s="63">
        <v>0</v>
      </c>
      <c r="AF2833" s="63"/>
      <c r="AG2833" s="63"/>
      <c r="AH2833" s="63"/>
      <c r="AI2833" s="63"/>
      <c r="AJ2833" s="63"/>
      <c r="AK2833" s="63"/>
      <c r="AL2833" s="63"/>
      <c r="AM2833" s="63"/>
      <c r="AN2833" s="63">
        <v>0</v>
      </c>
      <c r="AO2833" s="63"/>
      <c r="AP2833" s="63"/>
      <c r="AQ2833" s="63"/>
      <c r="AR2833" s="63"/>
      <c r="AS2833" s="63"/>
      <c r="AT2833" s="63"/>
      <c r="AU2833" s="63"/>
      <c r="AW2833" s="5">
        <f>IF(Q2833&gt;0,RANK(Q2833,(N2833:P2833,Q2833:AE2833)),0)</f>
        <v>3</v>
      </c>
      <c r="AX2833" s="5">
        <f>IF(R2833&gt;0,RANK(R2833,(N2833:P2833,Q2833:AE2833)),0)</f>
        <v>0</v>
      </c>
      <c r="AY2833" s="5">
        <f>IF(T2833&gt;0,RANK(T2833,(N2833:P2833,Q2833:AE2833)),0)</f>
        <v>0</v>
      </c>
      <c r="AZ2833" s="5">
        <f>IF(S2833&gt;0,RANK(S2833,(N2833:P2833,Q2833:AE2833)),0)</f>
        <v>0</v>
      </c>
      <c r="BA2833" s="2">
        <f t="shared" si="1114"/>
        <v>1.3962765957446808E-2</v>
      </c>
      <c r="BB2833" s="2">
        <f t="shared" si="1115"/>
        <v>0</v>
      </c>
      <c r="BC2833" s="2">
        <f t="shared" si="1116"/>
        <v>0</v>
      </c>
      <c r="BD2833" s="2">
        <f t="shared" si="1117"/>
        <v>0</v>
      </c>
      <c r="BF2833" t="s">
        <v>2807</v>
      </c>
      <c r="BG2833" t="s">
        <v>53</v>
      </c>
      <c r="BH2833">
        <v>19</v>
      </c>
      <c r="BJ2833" s="114">
        <v>48</v>
      </c>
      <c r="BK2833" s="116">
        <v>417</v>
      </c>
      <c r="BL2833" s="120">
        <f t="shared" si="1108"/>
        <v>48417</v>
      </c>
      <c r="BN2833" s="5" t="s">
        <v>3154</v>
      </c>
      <c r="BZ2833" s="63">
        <f t="shared" si="1118"/>
        <v>1504</v>
      </c>
      <c r="CD2833" s="63">
        <v>0</v>
      </c>
      <c r="CE2833" s="63">
        <v>0</v>
      </c>
      <c r="CF2833" s="63">
        <v>0</v>
      </c>
      <c r="CG2833" s="8">
        <v>0</v>
      </c>
      <c r="CH2833" s="8">
        <v>0</v>
      </c>
      <c r="CI2833" s="8">
        <v>0</v>
      </c>
    </row>
    <row r="2834" spans="1:87" hidden="1" outlineLevel="1">
      <c r="A2834" t="s">
        <v>23</v>
      </c>
      <c r="B2834" t="s">
        <v>53</v>
      </c>
      <c r="C2834" s="1">
        <f t="shared" si="1109"/>
        <v>9086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5</v>
      </c>
      <c r="G2834" s="132">
        <f t="shared" si="1119"/>
        <v>5421</v>
      </c>
      <c r="H2834" s="137">
        <f t="shared" si="1120"/>
        <v>0.59663218137794405</v>
      </c>
      <c r="I2834" s="2"/>
      <c r="J2834" s="2">
        <f t="shared" si="1110"/>
        <v>0.19348448162007484</v>
      </c>
      <c r="K2834" s="2">
        <f t="shared" si="1111"/>
        <v>0.79011666299801897</v>
      </c>
      <c r="L2834" s="2">
        <f t="shared" si="1112"/>
        <v>3.3017829627999119E-4</v>
      </c>
      <c r="M2834" s="2">
        <f t="shared" si="1113"/>
        <v>1.6068677085626228E-2</v>
      </c>
      <c r="N2834" s="63">
        <v>1758</v>
      </c>
      <c r="O2834" s="63">
        <v>7179</v>
      </c>
      <c r="P2834" s="63">
        <v>3</v>
      </c>
      <c r="Q2834" s="63">
        <v>123</v>
      </c>
      <c r="R2834" s="63">
        <v>21</v>
      </c>
      <c r="S2834" s="63">
        <v>2</v>
      </c>
      <c r="T2834" s="63"/>
      <c r="U2834" s="63">
        <v>0</v>
      </c>
      <c r="V2834" s="63"/>
      <c r="W2834" s="63">
        <f>IF(Copyright!B$11=1,IF(CA2834&gt;0,CA2834-SUM(S2834:V2834)-P2834-SUM(X2834:AQ2834),SUM(CB2834:CI2834)),SUM(CB2834:CI2834))</f>
        <v>0</v>
      </c>
      <c r="X2834" s="63"/>
      <c r="Y2834" s="63">
        <v>0</v>
      </c>
      <c r="Z2834" s="63"/>
      <c r="AA2834" s="63">
        <v>0</v>
      </c>
      <c r="AB2834" s="63"/>
      <c r="AC2834" s="63"/>
      <c r="AD2834" s="63"/>
      <c r="AE2834" s="63">
        <v>0</v>
      </c>
      <c r="AF2834" s="63"/>
      <c r="AG2834" s="63"/>
      <c r="AH2834" s="63"/>
      <c r="AI2834" s="63"/>
      <c r="AJ2834" s="63"/>
      <c r="AK2834" s="63"/>
      <c r="AL2834" s="63"/>
      <c r="AM2834" s="63"/>
      <c r="AN2834" s="63">
        <v>0</v>
      </c>
      <c r="AO2834" s="63"/>
      <c r="AP2834" s="63"/>
      <c r="AQ2834" s="63"/>
      <c r="AR2834" s="63"/>
      <c r="AS2834" s="63"/>
      <c r="AT2834" s="63"/>
      <c r="AU2834" s="63"/>
      <c r="AW2834" s="5">
        <f>IF(Q2834&gt;0,RANK(Q2834,(N2834:P2834,Q2834:AE2834)),0)</f>
        <v>3</v>
      </c>
      <c r="AX2834" s="5">
        <f>IF(R2834&gt;0,RANK(R2834,(N2834:P2834,Q2834:AE2834)),0)</f>
        <v>4</v>
      </c>
      <c r="AY2834" s="5">
        <f>IF(T2834&gt;0,RANK(T2834,(N2834:P2834,Q2834:AE2834)),0)</f>
        <v>0</v>
      </c>
      <c r="AZ2834" s="5">
        <f>IF(S2834&gt;0,RANK(S2834,(N2834:P2834,Q2834:AE2834)),0)</f>
        <v>6</v>
      </c>
      <c r="BA2834" s="2">
        <f t="shared" si="1114"/>
        <v>1.3537310147479638E-2</v>
      </c>
      <c r="BB2834" s="2">
        <f t="shared" si="1115"/>
        <v>2.3112480739599386E-3</v>
      </c>
      <c r="BC2834" s="2">
        <f t="shared" si="1116"/>
        <v>0</v>
      </c>
      <c r="BD2834" s="2">
        <f t="shared" si="1117"/>
        <v>2.2011886418666079E-4</v>
      </c>
      <c r="BF2834" t="s">
        <v>23</v>
      </c>
      <c r="BG2834" t="s">
        <v>53</v>
      </c>
      <c r="BH2834">
        <v>1</v>
      </c>
      <c r="BJ2834" s="114">
        <v>48</v>
      </c>
      <c r="BK2834" s="116">
        <v>419</v>
      </c>
      <c r="BL2834" s="120">
        <f t="shared" si="1108"/>
        <v>48419</v>
      </c>
      <c r="BN2834" s="5" t="s">
        <v>3154</v>
      </c>
      <c r="BZ2834" s="63">
        <f t="shared" si="1118"/>
        <v>9086</v>
      </c>
      <c r="CA2834" s="133"/>
      <c r="CD2834" s="63">
        <v>0</v>
      </c>
      <c r="CE2834" s="63">
        <v>0</v>
      </c>
      <c r="CF2834" s="63">
        <v>0</v>
      </c>
      <c r="CG2834" s="8">
        <v>0</v>
      </c>
      <c r="CH2834" s="8">
        <v>0</v>
      </c>
      <c r="CI2834" s="8">
        <v>0</v>
      </c>
    </row>
    <row r="2835" spans="1:87" hidden="1" outlineLevel="1">
      <c r="A2835" t="s">
        <v>2877</v>
      </c>
      <c r="B2835" t="s">
        <v>53</v>
      </c>
      <c r="C2835" s="1">
        <f t="shared" si="1109"/>
        <v>935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5</v>
      </c>
      <c r="G2835" s="132">
        <f t="shared" si="1119"/>
        <v>711</v>
      </c>
      <c r="H2835" s="137">
        <f t="shared" si="1120"/>
        <v>0.76042780748663097</v>
      </c>
      <c r="I2835" s="2"/>
      <c r="J2835" s="2">
        <f t="shared" si="1110"/>
        <v>0.10267379679144385</v>
      </c>
      <c r="K2835" s="2">
        <f t="shared" si="1111"/>
        <v>0.86310160427807492</v>
      </c>
      <c r="L2835" s="2">
        <f t="shared" si="1112"/>
        <v>2.1390374331550803E-3</v>
      </c>
      <c r="M2835" s="2">
        <f t="shared" si="1113"/>
        <v>3.2085561497326165E-2</v>
      </c>
      <c r="N2835" s="63">
        <v>96</v>
      </c>
      <c r="O2835" s="63">
        <v>807</v>
      </c>
      <c r="P2835" s="63">
        <v>2</v>
      </c>
      <c r="Q2835" s="63">
        <v>27</v>
      </c>
      <c r="R2835" s="63">
        <v>3</v>
      </c>
      <c r="S2835" s="63">
        <v>0</v>
      </c>
      <c r="T2835" s="63"/>
      <c r="U2835" s="63">
        <v>0</v>
      </c>
      <c r="V2835" s="63"/>
      <c r="W2835" s="63">
        <f>IF(Copyright!B$11=1,IF(CA2835&gt;0,CA2835-SUM(S2835:V2835)-P2835-SUM(X2835:AQ2835),SUM(CB2835:CI2835)),SUM(CB2835:CI2835))</f>
        <v>0</v>
      </c>
      <c r="X2835" s="63"/>
      <c r="Y2835" s="63">
        <v>0</v>
      </c>
      <c r="Z2835" s="63"/>
      <c r="AA2835" s="63">
        <v>0</v>
      </c>
      <c r="AB2835" s="63"/>
      <c r="AC2835" s="63"/>
      <c r="AD2835" s="63"/>
      <c r="AE2835" s="63">
        <v>0</v>
      </c>
      <c r="AF2835" s="63"/>
      <c r="AG2835" s="63"/>
      <c r="AH2835" s="63"/>
      <c r="AI2835" s="63"/>
      <c r="AJ2835" s="63"/>
      <c r="AK2835" s="63"/>
      <c r="AL2835" s="63"/>
      <c r="AM2835" s="63"/>
      <c r="AN2835" s="63">
        <v>0</v>
      </c>
      <c r="AO2835" s="63"/>
      <c r="AP2835" s="63"/>
      <c r="AQ2835" s="63"/>
      <c r="AR2835" s="63"/>
      <c r="AS2835" s="63"/>
      <c r="AT2835" s="63"/>
      <c r="AU2835" s="63"/>
      <c r="AW2835" s="5">
        <f>IF(Q2835&gt;0,RANK(Q2835,(N2835:P2835,Q2835:AE2835)),0)</f>
        <v>3</v>
      </c>
      <c r="AX2835" s="5">
        <f>IF(R2835&gt;0,RANK(R2835,(N2835:P2835,Q2835:AE2835)),0)</f>
        <v>4</v>
      </c>
      <c r="AY2835" s="5">
        <f>IF(T2835&gt;0,RANK(T2835,(N2835:P2835,Q2835:AE2835)),0)</f>
        <v>0</v>
      </c>
      <c r="AZ2835" s="5">
        <f>IF(S2835&gt;0,RANK(S2835,(N2835:P2835,Q2835:AE2835)),0)</f>
        <v>0</v>
      </c>
      <c r="BA2835" s="2">
        <f t="shared" si="1114"/>
        <v>2.8877005347593583E-2</v>
      </c>
      <c r="BB2835" s="2">
        <f t="shared" si="1115"/>
        <v>3.2085561497326204E-3</v>
      </c>
      <c r="BC2835" s="2">
        <f t="shared" si="1116"/>
        <v>0</v>
      </c>
      <c r="BD2835" s="2">
        <f t="shared" si="1117"/>
        <v>0</v>
      </c>
      <c r="BF2835" t="s">
        <v>2877</v>
      </c>
      <c r="BG2835" t="s">
        <v>53</v>
      </c>
      <c r="BH2835">
        <v>13</v>
      </c>
      <c r="BJ2835" s="114">
        <v>48</v>
      </c>
      <c r="BK2835" s="116">
        <v>421</v>
      </c>
      <c r="BL2835" s="120">
        <f t="shared" si="1108"/>
        <v>48421</v>
      </c>
      <c r="BN2835" s="5" t="s">
        <v>3154</v>
      </c>
      <c r="BZ2835" s="63">
        <f t="shared" si="1118"/>
        <v>935</v>
      </c>
      <c r="CD2835" s="63">
        <v>0</v>
      </c>
      <c r="CE2835" s="63">
        <v>0</v>
      </c>
      <c r="CF2835" s="63">
        <v>0</v>
      </c>
      <c r="CG2835" s="8">
        <v>0</v>
      </c>
      <c r="CH2835" s="8">
        <v>0</v>
      </c>
      <c r="CI2835" s="8">
        <v>0</v>
      </c>
    </row>
    <row r="2836" spans="1:87" hidden="1" outlineLevel="1">
      <c r="A2836" t="s">
        <v>1984</v>
      </c>
      <c r="B2836" t="s">
        <v>53</v>
      </c>
      <c r="C2836" s="1">
        <f t="shared" si="1109"/>
        <v>84768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4</v>
      </c>
      <c r="G2836" s="132">
        <f t="shared" si="1119"/>
        <v>36630</v>
      </c>
      <c r="H2836" s="137">
        <f t="shared" si="1120"/>
        <v>0.43212061155152887</v>
      </c>
      <c r="I2836" s="2"/>
      <c r="J2836" s="2">
        <f t="shared" si="1110"/>
        <v>0.26307097017742542</v>
      </c>
      <c r="K2836" s="2">
        <f t="shared" si="1111"/>
        <v>0.69519158172895434</v>
      </c>
      <c r="L2836" s="2">
        <f t="shared" si="1112"/>
        <v>1.1230653076632692E-2</v>
      </c>
      <c r="M2836" s="2">
        <f t="shared" si="1113"/>
        <v>3.050679501698754E-2</v>
      </c>
      <c r="N2836" s="63">
        <v>22300</v>
      </c>
      <c r="O2836" s="63">
        <v>58930</v>
      </c>
      <c r="P2836" s="63">
        <v>952</v>
      </c>
      <c r="Q2836" s="63">
        <v>2076</v>
      </c>
      <c r="R2836" s="63">
        <v>341</v>
      </c>
      <c r="S2836" s="63">
        <v>78</v>
      </c>
      <c r="T2836" s="63"/>
      <c r="U2836" s="63">
        <v>0</v>
      </c>
      <c r="V2836" s="63"/>
      <c r="W2836" s="63">
        <f>IF(Copyright!B$11=1,IF(CA2836&gt;0,CA2836-SUM(S2836:V2836)-P2836-SUM(X2836:AQ2836),SUM(CB2836:CI2836)),SUM(CB2836:CI2836))</f>
        <v>12</v>
      </c>
      <c r="X2836" s="63"/>
      <c r="Y2836" s="63">
        <v>33</v>
      </c>
      <c r="Z2836" s="63"/>
      <c r="AA2836" s="63">
        <v>0</v>
      </c>
      <c r="AB2836" s="63"/>
      <c r="AC2836" s="63"/>
      <c r="AD2836" s="63"/>
      <c r="AE2836" s="63">
        <v>11</v>
      </c>
      <c r="AF2836" s="63"/>
      <c r="AG2836" s="63"/>
      <c r="AH2836" s="63"/>
      <c r="AI2836" s="63"/>
      <c r="AJ2836" s="63"/>
      <c r="AK2836" s="63"/>
      <c r="AL2836" s="63"/>
      <c r="AM2836" s="63"/>
      <c r="AN2836" s="63">
        <v>35</v>
      </c>
      <c r="AO2836" s="63"/>
      <c r="AP2836" s="63"/>
      <c r="AQ2836" s="63"/>
      <c r="AR2836" s="63"/>
      <c r="AS2836" s="63"/>
      <c r="AT2836" s="63"/>
      <c r="AU2836" s="63"/>
      <c r="AW2836" s="5">
        <f>IF(Q2836&gt;0,RANK(Q2836,(N2836:P2836,Q2836:AE2836)),0)</f>
        <v>3</v>
      </c>
      <c r="AX2836" s="5">
        <f>IF(R2836&gt;0,RANK(R2836,(N2836:P2836,Q2836:AE2836)),0)</f>
        <v>5</v>
      </c>
      <c r="AY2836" s="5">
        <f>IF(T2836&gt;0,RANK(T2836,(N2836:P2836,Q2836:AE2836)),0)</f>
        <v>0</v>
      </c>
      <c r="AZ2836" s="5">
        <f>IF(S2836&gt;0,RANK(S2836,(N2836:P2836,Q2836:AE2836)),0)</f>
        <v>6</v>
      </c>
      <c r="BA2836" s="2">
        <f t="shared" si="1114"/>
        <v>2.4490373725934315E-2</v>
      </c>
      <c r="BB2836" s="2">
        <f t="shared" si="1115"/>
        <v>4.0227444318610799E-3</v>
      </c>
      <c r="BC2836" s="2">
        <f t="shared" si="1116"/>
        <v>0</v>
      </c>
      <c r="BD2836" s="2">
        <f t="shared" si="1117"/>
        <v>9.2015855039637596E-4</v>
      </c>
      <c r="BF2836" t="s">
        <v>1984</v>
      </c>
      <c r="BG2836" t="s">
        <v>53</v>
      </c>
      <c r="BH2836">
        <v>1</v>
      </c>
      <c r="BJ2836" s="114">
        <v>48</v>
      </c>
      <c r="BK2836" s="116">
        <v>423</v>
      </c>
      <c r="BL2836" s="120">
        <f t="shared" si="1108"/>
        <v>48423</v>
      </c>
      <c r="BN2836" s="5" t="s">
        <v>3154</v>
      </c>
      <c r="BY2836" s="63">
        <f>58930+2076+22300+341+1121</f>
        <v>84768</v>
      </c>
      <c r="BZ2836" s="63">
        <f t="shared" si="1118"/>
        <v>84768</v>
      </c>
      <c r="CA2836" s="63">
        <v>1121</v>
      </c>
      <c r="CD2836" s="63">
        <v>0</v>
      </c>
      <c r="CE2836" s="63">
        <v>0</v>
      </c>
      <c r="CF2836" s="63">
        <v>12</v>
      </c>
      <c r="CG2836" s="8">
        <v>0</v>
      </c>
      <c r="CH2836" s="8">
        <v>0</v>
      </c>
      <c r="CI2836" s="8">
        <v>0</v>
      </c>
    </row>
    <row r="2837" spans="1:87" hidden="1" outlineLevel="1">
      <c r="A2837" t="s">
        <v>2808</v>
      </c>
      <c r="B2837" t="s">
        <v>53</v>
      </c>
      <c r="C2837" s="1">
        <f t="shared" si="1109"/>
        <v>3897</v>
      </c>
      <c r="D2837" s="5">
        <f>IF(N2837&gt;0, RANK(N2837,(N2837:P2837,Q2837:AE2837)),0)</f>
        <v>2</v>
      </c>
      <c r="E2837" s="5">
        <f>IF(O2837&gt;0,RANK(O2837,(N2837:P2837,Q2837:AE2837)),0)</f>
        <v>1</v>
      </c>
      <c r="F2837" s="5">
        <f>IF(P2837&gt;0,RANK(P2837,(N2837:P2837,Q2837:AE2837)),0)</f>
        <v>5</v>
      </c>
      <c r="G2837" s="132">
        <f t="shared" si="1119"/>
        <v>2665</v>
      </c>
      <c r="H2837" s="137">
        <f t="shared" si="1120"/>
        <v>0.68385937900949445</v>
      </c>
      <c r="I2837" s="2"/>
      <c r="J2837" s="2">
        <f t="shared" si="1110"/>
        <v>0.13882473697716191</v>
      </c>
      <c r="K2837" s="2">
        <f t="shared" si="1111"/>
        <v>0.82268411598665636</v>
      </c>
      <c r="L2837" s="2">
        <f t="shared" si="1112"/>
        <v>4.3623299974339235E-3</v>
      </c>
      <c r="M2837" s="2">
        <f t="shared" si="1113"/>
        <v>3.4128817038747802E-2</v>
      </c>
      <c r="N2837" s="63">
        <v>541</v>
      </c>
      <c r="O2837" s="63">
        <v>3206</v>
      </c>
      <c r="P2837" s="63">
        <v>17</v>
      </c>
      <c r="Q2837" s="63">
        <v>107</v>
      </c>
      <c r="R2837" s="63">
        <v>23</v>
      </c>
      <c r="S2837" s="63">
        <v>3</v>
      </c>
      <c r="T2837" s="63"/>
      <c r="U2837" s="63">
        <v>0</v>
      </c>
      <c r="V2837" s="63"/>
      <c r="W2837" s="63">
        <f>IF(Copyright!B$11=1,IF(CA2837&gt;0,CA2837-SUM(S2837:V2837)-P2837-SUM(X2837:AQ2837),SUM(CB2837:CI2837)),SUM(CB2837:CI2837))</f>
        <v>0</v>
      </c>
      <c r="X2837" s="63"/>
      <c r="Y2837" s="63">
        <v>0</v>
      </c>
      <c r="Z2837" s="63"/>
      <c r="AA2837" s="63">
        <v>0</v>
      </c>
      <c r="AB2837" s="63"/>
      <c r="AC2837" s="63"/>
      <c r="AD2837" s="63"/>
      <c r="AE2837" s="63">
        <v>0</v>
      </c>
      <c r="AF2837" s="63"/>
      <c r="AG2837" s="63"/>
      <c r="AH2837" s="63"/>
      <c r="AI2837" s="63"/>
      <c r="AJ2837" s="63"/>
      <c r="AK2837" s="63"/>
      <c r="AL2837" s="63"/>
      <c r="AM2837" s="63"/>
      <c r="AN2837" s="63">
        <v>0</v>
      </c>
      <c r="AO2837" s="63"/>
      <c r="AP2837" s="63"/>
      <c r="AQ2837" s="63"/>
      <c r="AR2837" s="63"/>
      <c r="AS2837" s="63"/>
      <c r="AT2837" s="63"/>
      <c r="AU2837" s="63"/>
      <c r="AW2837" s="5">
        <f>IF(Q2837&gt;0,RANK(Q2837,(N2837:P2837,Q2837:AE2837)),0)</f>
        <v>3</v>
      </c>
      <c r="AX2837" s="5">
        <f>IF(R2837&gt;0,RANK(R2837,(N2837:P2837,Q2837:AE2837)),0)</f>
        <v>4</v>
      </c>
      <c r="AY2837" s="5">
        <f>IF(T2837&gt;0,RANK(T2837,(N2837:P2837,Q2837:AE2837)),0)</f>
        <v>0</v>
      </c>
      <c r="AZ2837" s="5">
        <f>IF(S2837&gt;0,RANK(S2837,(N2837:P2837,Q2837:AE2837)),0)</f>
        <v>6</v>
      </c>
      <c r="BA2837" s="2">
        <f t="shared" si="1114"/>
        <v>2.7457018219142929E-2</v>
      </c>
      <c r="BB2837" s="2">
        <f t="shared" si="1115"/>
        <v>5.9019758788811903E-3</v>
      </c>
      <c r="BC2837" s="2">
        <f t="shared" si="1116"/>
        <v>0</v>
      </c>
      <c r="BD2837" s="2">
        <f t="shared" si="1117"/>
        <v>7.6982294072363352E-4</v>
      </c>
      <c r="BF2837" t="s">
        <v>2808</v>
      </c>
      <c r="BG2837" t="s">
        <v>53</v>
      </c>
      <c r="BH2837">
        <v>25</v>
      </c>
      <c r="BJ2837" s="114">
        <v>48</v>
      </c>
      <c r="BK2837" s="116">
        <v>425</v>
      </c>
      <c r="BL2837" s="120">
        <f t="shared" si="1108"/>
        <v>48425</v>
      </c>
      <c r="BN2837" s="5" t="s">
        <v>3154</v>
      </c>
      <c r="BZ2837" s="63">
        <f t="shared" si="1118"/>
        <v>3897</v>
      </c>
      <c r="CD2837" s="63">
        <v>0</v>
      </c>
      <c r="CE2837" s="63">
        <v>0</v>
      </c>
      <c r="CF2837" s="63">
        <v>0</v>
      </c>
      <c r="CG2837" s="8">
        <v>0</v>
      </c>
      <c r="CH2837" s="8">
        <v>0</v>
      </c>
      <c r="CI2837" s="8">
        <v>0</v>
      </c>
    </row>
    <row r="2838" spans="1:87" hidden="1" outlineLevel="1">
      <c r="A2838" t="s">
        <v>1894</v>
      </c>
      <c r="B2838" t="s">
        <v>53</v>
      </c>
      <c r="C2838" s="1">
        <f t="shared" si="1109"/>
        <v>11740</v>
      </c>
      <c r="D2838" s="5">
        <f>IF(N2838&gt;0, RANK(N2838,(N2838:P2838,Q2838:AE2838)),0)</f>
        <v>1</v>
      </c>
      <c r="E2838" s="5">
        <f>IF(O2838&gt;0,RANK(O2838,(N2838:P2838,Q2838:AE2838)),0)</f>
        <v>2</v>
      </c>
      <c r="F2838" s="5">
        <f>IF(P2838&gt;0,RANK(P2838,(N2838:P2838,Q2838:AE2838)),0)</f>
        <v>0</v>
      </c>
      <c r="G2838" s="132">
        <f t="shared" si="1119"/>
        <v>7065</v>
      </c>
      <c r="H2838" s="137">
        <f t="shared" si="1120"/>
        <v>0.60178875638841567</v>
      </c>
      <c r="I2838" s="2"/>
      <c r="J2838" s="2">
        <f t="shared" si="1110"/>
        <v>0.79122657580919931</v>
      </c>
      <c r="K2838" s="2">
        <f t="shared" si="1111"/>
        <v>0.18943781942078364</v>
      </c>
      <c r="L2838" s="2">
        <f t="shared" si="1112"/>
        <v>0</v>
      </c>
      <c r="M2838" s="2">
        <f t="shared" si="1113"/>
        <v>1.9335604770017056E-2</v>
      </c>
      <c r="N2838" s="63">
        <v>9289</v>
      </c>
      <c r="O2838" s="63">
        <v>2224</v>
      </c>
      <c r="P2838" s="63">
        <v>0</v>
      </c>
      <c r="Q2838" s="63">
        <v>159</v>
      </c>
      <c r="R2838" s="63">
        <v>68</v>
      </c>
      <c r="S2838" s="63">
        <v>0</v>
      </c>
      <c r="T2838" s="63"/>
      <c r="U2838" s="63">
        <v>0</v>
      </c>
      <c r="V2838" s="63"/>
      <c r="W2838" s="63">
        <f>IF(Copyright!B$11=1,IF(CA2838&gt;0,CA2838-SUM(S2838:V2838)-P2838-SUM(X2838:AQ2838),SUM(CB2838:CI2838)),SUM(CB2838:CI2838))</f>
        <v>0</v>
      </c>
      <c r="X2838" s="63"/>
      <c r="Y2838" s="63">
        <v>0</v>
      </c>
      <c r="Z2838" s="63"/>
      <c r="AA2838" s="63">
        <v>0</v>
      </c>
      <c r="AB2838" s="63"/>
      <c r="AC2838" s="63"/>
      <c r="AD2838" s="63"/>
      <c r="AE2838" s="63">
        <v>0</v>
      </c>
      <c r="AF2838" s="63"/>
      <c r="AG2838" s="63"/>
      <c r="AH2838" s="63"/>
      <c r="AI2838" s="63"/>
      <c r="AJ2838" s="63"/>
      <c r="AK2838" s="63"/>
      <c r="AL2838" s="63"/>
      <c r="AM2838" s="63"/>
      <c r="AN2838" s="63">
        <v>0</v>
      </c>
      <c r="AO2838" s="63"/>
      <c r="AP2838" s="63"/>
      <c r="AQ2838" s="63"/>
      <c r="AR2838" s="63"/>
      <c r="AS2838" s="63"/>
      <c r="AT2838" s="63"/>
      <c r="AU2838" s="63"/>
      <c r="AW2838" s="5">
        <f>IF(Q2838&gt;0,RANK(Q2838,(N2838:P2838,Q2838:AE2838)),0)</f>
        <v>3</v>
      </c>
      <c r="AX2838" s="5">
        <f>IF(R2838&gt;0,RANK(R2838,(N2838:P2838,Q2838:AE2838)),0)</f>
        <v>4</v>
      </c>
      <c r="AY2838" s="5">
        <f>IF(T2838&gt;0,RANK(T2838,(N2838:P2838,Q2838:AE2838)),0)</f>
        <v>0</v>
      </c>
      <c r="AZ2838" s="5">
        <f>IF(S2838&gt;0,RANK(S2838,(N2838:P2838,Q2838:AE2838)),0)</f>
        <v>0</v>
      </c>
      <c r="BA2838" s="2">
        <f t="shared" si="1114"/>
        <v>1.354344122657581E-2</v>
      </c>
      <c r="BB2838" s="2">
        <f t="shared" si="1115"/>
        <v>5.7921635434412264E-3</v>
      </c>
      <c r="BC2838" s="2">
        <f t="shared" si="1116"/>
        <v>0</v>
      </c>
      <c r="BD2838" s="2">
        <f t="shared" si="1117"/>
        <v>0</v>
      </c>
      <c r="BF2838" t="s">
        <v>1894</v>
      </c>
      <c r="BG2838" t="s">
        <v>53</v>
      </c>
      <c r="BH2838">
        <v>28</v>
      </c>
      <c r="BJ2838" s="114">
        <v>48</v>
      </c>
      <c r="BK2838" s="116">
        <v>427</v>
      </c>
      <c r="BL2838" s="120">
        <f t="shared" si="1108"/>
        <v>48427</v>
      </c>
      <c r="BN2838" s="5" t="s">
        <v>3154</v>
      </c>
      <c r="BZ2838" s="63">
        <f t="shared" si="1118"/>
        <v>11740</v>
      </c>
      <c r="CD2838" s="63">
        <v>0</v>
      </c>
      <c r="CE2838" s="63">
        <v>0</v>
      </c>
      <c r="CF2838" s="63">
        <v>0</v>
      </c>
      <c r="CG2838" s="8">
        <v>0</v>
      </c>
      <c r="CH2838" s="8">
        <v>0</v>
      </c>
      <c r="CI2838" s="8">
        <v>0</v>
      </c>
    </row>
    <row r="2839" spans="1:87" hidden="1" outlineLevel="1">
      <c r="A2839" t="s">
        <v>86</v>
      </c>
      <c r="B2839" t="s">
        <v>53</v>
      </c>
      <c r="C2839" s="1">
        <f t="shared" si="1109"/>
        <v>3470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6</v>
      </c>
      <c r="G2839" s="132">
        <f t="shared" si="1119"/>
        <v>2686</v>
      </c>
      <c r="H2839" s="137">
        <f t="shared" si="1120"/>
        <v>0.77406340057636891</v>
      </c>
      <c r="I2839" s="2"/>
      <c r="J2839" s="2">
        <f t="shared" si="1110"/>
        <v>0.10028818443804034</v>
      </c>
      <c r="K2839" s="2">
        <f t="shared" si="1111"/>
        <v>0.87435158501440924</v>
      </c>
      <c r="L2839" s="2">
        <f t="shared" si="1112"/>
        <v>1.440922190201729E-3</v>
      </c>
      <c r="M2839" s="2">
        <f t="shared" si="1113"/>
        <v>2.3919308357348703E-2</v>
      </c>
      <c r="N2839" s="63">
        <v>348</v>
      </c>
      <c r="O2839" s="63">
        <v>3034</v>
      </c>
      <c r="P2839" s="63">
        <v>5</v>
      </c>
      <c r="Q2839" s="63">
        <v>65</v>
      </c>
      <c r="R2839" s="63">
        <v>7</v>
      </c>
      <c r="S2839" s="63">
        <v>2</v>
      </c>
      <c r="T2839" s="63"/>
      <c r="U2839" s="63">
        <v>0</v>
      </c>
      <c r="V2839" s="63"/>
      <c r="W2839" s="63">
        <f>IF(Copyright!B$11=1,IF(CA2839&gt;0,CA2839-SUM(S2839:V2839)-P2839-SUM(X2839:AQ2839),SUM(CB2839:CI2839)),SUM(CB2839:CI2839))</f>
        <v>9</v>
      </c>
      <c r="X2839" s="63"/>
      <c r="Y2839" s="63">
        <v>0</v>
      </c>
      <c r="Z2839" s="63"/>
      <c r="AA2839" s="63">
        <v>0</v>
      </c>
      <c r="AB2839" s="63"/>
      <c r="AC2839" s="63"/>
      <c r="AD2839" s="63"/>
      <c r="AE2839" s="63">
        <v>0</v>
      </c>
      <c r="AF2839" s="63"/>
      <c r="AG2839" s="63"/>
      <c r="AH2839" s="63"/>
      <c r="AI2839" s="63"/>
      <c r="AJ2839" s="63"/>
      <c r="AK2839" s="63"/>
      <c r="AL2839" s="63"/>
      <c r="AM2839" s="63"/>
      <c r="AN2839" s="63">
        <v>0</v>
      </c>
      <c r="AO2839" s="63"/>
      <c r="AP2839" s="63"/>
      <c r="AQ2839" s="63"/>
      <c r="AR2839" s="63"/>
      <c r="AS2839" s="63"/>
      <c r="AT2839" s="63"/>
      <c r="AU2839" s="63"/>
      <c r="AW2839" s="5">
        <f>IF(Q2839&gt;0,RANK(Q2839,(N2839:P2839,Q2839:AE2839)),0)</f>
        <v>3</v>
      </c>
      <c r="AX2839" s="5">
        <f>IF(R2839&gt;0,RANK(R2839,(N2839:P2839,Q2839:AE2839)),0)</f>
        <v>5</v>
      </c>
      <c r="AY2839" s="5">
        <f>IF(T2839&gt;0,RANK(T2839,(N2839:P2839,Q2839:AE2839)),0)</f>
        <v>0</v>
      </c>
      <c r="AZ2839" s="5">
        <f>IF(S2839&gt;0,RANK(S2839,(N2839:P2839,Q2839:AE2839)),0)</f>
        <v>7</v>
      </c>
      <c r="BA2839" s="2">
        <f t="shared" si="1114"/>
        <v>1.8731988472622477E-2</v>
      </c>
      <c r="BB2839" s="2">
        <f t="shared" si="1115"/>
        <v>2.0172910662824206E-3</v>
      </c>
      <c r="BC2839" s="2">
        <f t="shared" si="1116"/>
        <v>0</v>
      </c>
      <c r="BD2839" s="2">
        <f t="shared" si="1117"/>
        <v>5.7636887608069167E-4</v>
      </c>
      <c r="BF2839" t="s">
        <v>86</v>
      </c>
      <c r="BG2839" t="s">
        <v>53</v>
      </c>
      <c r="BJ2839" s="114">
        <v>48</v>
      </c>
      <c r="BK2839" s="116">
        <v>429</v>
      </c>
      <c r="BL2839" s="120">
        <f t="shared" si="1108"/>
        <v>48429</v>
      </c>
      <c r="BN2839" s="5" t="s">
        <v>3154</v>
      </c>
      <c r="BZ2839" s="63">
        <f t="shared" si="1118"/>
        <v>3470</v>
      </c>
      <c r="CA2839" s="63">
        <v>16</v>
      </c>
      <c r="CD2839" s="63">
        <v>0</v>
      </c>
      <c r="CE2839" s="63">
        <v>0</v>
      </c>
      <c r="CF2839" s="63">
        <v>0</v>
      </c>
      <c r="CG2839" s="8">
        <v>0</v>
      </c>
      <c r="CH2839" s="8">
        <v>0</v>
      </c>
      <c r="CI2839" s="8">
        <v>0</v>
      </c>
    </row>
    <row r="2840" spans="1:87" hidden="1" outlineLevel="1">
      <c r="A2840" t="s">
        <v>2625</v>
      </c>
      <c r="B2840" t="s">
        <v>53</v>
      </c>
      <c r="C2840" s="1">
        <f t="shared" si="1109"/>
        <v>633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32">
        <f t="shared" si="1119"/>
        <v>479</v>
      </c>
      <c r="H2840" s="137">
        <f t="shared" si="1120"/>
        <v>0.75671406003159558</v>
      </c>
      <c r="I2840" s="2"/>
      <c r="J2840" s="2">
        <f t="shared" si="1110"/>
        <v>0.11058451816745656</v>
      </c>
      <c r="K2840" s="2">
        <f t="shared" si="1111"/>
        <v>0.86729857819905209</v>
      </c>
      <c r="L2840" s="2">
        <f t="shared" si="1112"/>
        <v>0</v>
      </c>
      <c r="M2840" s="2">
        <f t="shared" si="1113"/>
        <v>2.2116903633491392E-2</v>
      </c>
      <c r="N2840" s="63">
        <v>70</v>
      </c>
      <c r="O2840" s="63">
        <v>549</v>
      </c>
      <c r="P2840" s="63">
        <v>0</v>
      </c>
      <c r="Q2840" s="63">
        <v>9</v>
      </c>
      <c r="R2840" s="63">
        <v>5</v>
      </c>
      <c r="S2840" s="63">
        <v>0</v>
      </c>
      <c r="T2840" s="63"/>
      <c r="U2840" s="63">
        <v>0</v>
      </c>
      <c r="V2840" s="63"/>
      <c r="W2840" s="63">
        <f>IF(Copyright!B$11=1,IF(CA2840&gt;0,CA2840-SUM(S2840:V2840)-P2840-SUM(X2840:AQ2840),SUM(CB2840:CI2840)),SUM(CB2840:CI2840))</f>
        <v>0</v>
      </c>
      <c r="X2840" s="63"/>
      <c r="Y2840" s="63">
        <v>0</v>
      </c>
      <c r="Z2840" s="63"/>
      <c r="AA2840" s="63">
        <v>0</v>
      </c>
      <c r="AB2840" s="63"/>
      <c r="AC2840" s="63"/>
      <c r="AD2840" s="63"/>
      <c r="AE2840" s="63">
        <v>0</v>
      </c>
      <c r="AF2840" s="63"/>
      <c r="AG2840" s="63"/>
      <c r="AH2840" s="63"/>
      <c r="AI2840" s="63"/>
      <c r="AJ2840" s="63"/>
      <c r="AK2840" s="63"/>
      <c r="AL2840" s="63"/>
      <c r="AM2840" s="63"/>
      <c r="AN2840" s="63">
        <v>0</v>
      </c>
      <c r="AO2840" s="63"/>
      <c r="AP2840" s="63"/>
      <c r="AQ2840" s="63"/>
      <c r="AR2840" s="63"/>
      <c r="AS2840" s="63"/>
      <c r="AT2840" s="63"/>
      <c r="AU2840" s="63"/>
      <c r="AW2840" s="5">
        <f>IF(Q2840&gt;0,RANK(Q2840,(N2840:P2840,Q2840:AE2840)),0)</f>
        <v>3</v>
      </c>
      <c r="AX2840" s="5">
        <f>IF(R2840&gt;0,RANK(R2840,(N2840:P2840,Q2840:AE2840)),0)</f>
        <v>4</v>
      </c>
      <c r="AY2840" s="5">
        <f>IF(T2840&gt;0,RANK(T2840,(N2840:P2840,Q2840:AE2840)),0)</f>
        <v>0</v>
      </c>
      <c r="AZ2840" s="5">
        <f>IF(S2840&gt;0,RANK(S2840,(N2840:P2840,Q2840:AE2840)),0)</f>
        <v>0</v>
      </c>
      <c r="BA2840" s="2">
        <f t="shared" si="1114"/>
        <v>1.4218009478672985E-2</v>
      </c>
      <c r="BB2840" s="2">
        <f t="shared" si="1115"/>
        <v>7.8988941548183249E-3</v>
      </c>
      <c r="BC2840" s="2">
        <f t="shared" si="1116"/>
        <v>0</v>
      </c>
      <c r="BD2840" s="2">
        <f t="shared" si="1117"/>
        <v>0</v>
      </c>
      <c r="BF2840" t="s">
        <v>2625</v>
      </c>
      <c r="BG2840" t="s">
        <v>53</v>
      </c>
      <c r="BH2840">
        <v>11</v>
      </c>
      <c r="BJ2840" s="114">
        <v>48</v>
      </c>
      <c r="BK2840" s="116">
        <v>431</v>
      </c>
      <c r="BL2840" s="120">
        <f t="shared" si="1108"/>
        <v>48431</v>
      </c>
      <c r="BN2840" s="5" t="s">
        <v>3154</v>
      </c>
      <c r="BZ2840" s="63">
        <f t="shared" si="1118"/>
        <v>633</v>
      </c>
      <c r="CD2840" s="63">
        <v>0</v>
      </c>
      <c r="CE2840" s="63">
        <v>0</v>
      </c>
      <c r="CF2840" s="63">
        <v>0</v>
      </c>
      <c r="CG2840" s="8">
        <v>0</v>
      </c>
      <c r="CH2840" s="8">
        <v>0</v>
      </c>
      <c r="CI2840" s="8">
        <v>0</v>
      </c>
    </row>
    <row r="2841" spans="1:87" hidden="1" outlineLevel="1">
      <c r="A2841" t="s">
        <v>2828</v>
      </c>
      <c r="B2841" t="s">
        <v>53</v>
      </c>
      <c r="C2841" s="1">
        <f t="shared" si="1109"/>
        <v>701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32">
        <f t="shared" si="1119"/>
        <v>420</v>
      </c>
      <c r="H2841" s="137">
        <f t="shared" si="1120"/>
        <v>0.59914407988587737</v>
      </c>
      <c r="I2841" s="2"/>
      <c r="J2841" s="2">
        <f t="shared" si="1110"/>
        <v>0.19258202567760344</v>
      </c>
      <c r="K2841" s="2">
        <f t="shared" si="1111"/>
        <v>0.79172610556348078</v>
      </c>
      <c r="L2841" s="2">
        <f t="shared" si="1112"/>
        <v>0</v>
      </c>
      <c r="M2841" s="2">
        <f t="shared" si="1113"/>
        <v>1.5691868758915817E-2</v>
      </c>
      <c r="N2841" s="63">
        <v>135</v>
      </c>
      <c r="O2841" s="63">
        <v>555</v>
      </c>
      <c r="P2841" s="63">
        <v>0</v>
      </c>
      <c r="Q2841" s="63">
        <v>10</v>
      </c>
      <c r="R2841" s="63">
        <v>1</v>
      </c>
      <c r="S2841" s="63">
        <v>0</v>
      </c>
      <c r="T2841" s="63"/>
      <c r="U2841" s="63">
        <v>0</v>
      </c>
      <c r="V2841" s="63"/>
      <c r="W2841" s="63">
        <f>IF(Copyright!B$11=1,IF(CA2841&gt;0,CA2841-SUM(S2841:V2841)-P2841-SUM(X2841:AQ2841),SUM(CB2841:CI2841)),SUM(CB2841:CI2841))</f>
        <v>0</v>
      </c>
      <c r="X2841" s="63"/>
      <c r="Y2841" s="63">
        <v>0</v>
      </c>
      <c r="Z2841" s="63"/>
      <c r="AA2841" s="63">
        <v>0</v>
      </c>
      <c r="AB2841" s="63"/>
      <c r="AC2841" s="63"/>
      <c r="AD2841" s="63"/>
      <c r="AE2841" s="63">
        <v>0</v>
      </c>
      <c r="AF2841" s="63"/>
      <c r="AG2841" s="63"/>
      <c r="AH2841" s="63"/>
      <c r="AI2841" s="63"/>
      <c r="AJ2841" s="63"/>
      <c r="AK2841" s="63"/>
      <c r="AL2841" s="63"/>
      <c r="AM2841" s="63"/>
      <c r="AN2841" s="63">
        <v>0</v>
      </c>
      <c r="AO2841" s="63"/>
      <c r="AP2841" s="63"/>
      <c r="AQ2841" s="63"/>
      <c r="AR2841" s="63"/>
      <c r="AS2841" s="63"/>
      <c r="AT2841" s="63"/>
      <c r="AU2841" s="63"/>
      <c r="AW2841" s="5">
        <f>IF(Q2841&gt;0,RANK(Q2841,(N2841:P2841,Q2841:AE2841)),0)</f>
        <v>3</v>
      </c>
      <c r="AX2841" s="5">
        <f>IF(R2841&gt;0,RANK(R2841,(N2841:P2841,Q2841:AE2841)),0)</f>
        <v>4</v>
      </c>
      <c r="AY2841" s="5">
        <f>IF(T2841&gt;0,RANK(T2841,(N2841:P2841,Q2841:AE2841)),0)</f>
        <v>0</v>
      </c>
      <c r="AZ2841" s="5">
        <f>IF(S2841&gt;0,RANK(S2841,(N2841:P2841,Q2841:AE2841)),0)</f>
        <v>0</v>
      </c>
      <c r="BA2841" s="2">
        <f t="shared" si="1114"/>
        <v>1.4265335235378032E-2</v>
      </c>
      <c r="BB2841" s="2">
        <f t="shared" si="1115"/>
        <v>1.4265335235378032E-3</v>
      </c>
      <c r="BC2841" s="2">
        <f t="shared" si="1116"/>
        <v>0</v>
      </c>
      <c r="BD2841" s="2">
        <f t="shared" si="1117"/>
        <v>0</v>
      </c>
      <c r="BF2841" t="s">
        <v>2828</v>
      </c>
      <c r="BG2841" t="s">
        <v>53</v>
      </c>
      <c r="BH2841">
        <v>19</v>
      </c>
      <c r="BJ2841" s="114">
        <v>48</v>
      </c>
      <c r="BK2841" s="116">
        <v>433</v>
      </c>
      <c r="BL2841" s="120">
        <f t="shared" si="1108"/>
        <v>48433</v>
      </c>
      <c r="BN2841" s="5" t="s">
        <v>3154</v>
      </c>
      <c r="BZ2841" s="63">
        <f t="shared" si="1118"/>
        <v>701</v>
      </c>
      <c r="CD2841" s="63">
        <v>0</v>
      </c>
      <c r="CE2841" s="63">
        <v>0</v>
      </c>
      <c r="CF2841" s="63">
        <v>0</v>
      </c>
      <c r="CG2841" s="8">
        <v>0</v>
      </c>
      <c r="CH2841" s="8">
        <v>0</v>
      </c>
      <c r="CI2841" s="8">
        <v>0</v>
      </c>
    </row>
    <row r="2842" spans="1:87" hidden="1" outlineLevel="1">
      <c r="A2842" t="s">
        <v>638</v>
      </c>
      <c r="B2842" t="s">
        <v>53</v>
      </c>
      <c r="C2842" s="1">
        <f t="shared" si="1109"/>
        <v>1416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5</v>
      </c>
      <c r="G2842" s="132">
        <f t="shared" si="1119"/>
        <v>762</v>
      </c>
      <c r="H2842" s="137">
        <f t="shared" si="1120"/>
        <v>0.53813559322033899</v>
      </c>
      <c r="I2842" s="2"/>
      <c r="J2842" s="2">
        <f t="shared" si="1110"/>
        <v>0.221045197740113</v>
      </c>
      <c r="K2842" s="2">
        <f t="shared" si="1111"/>
        <v>0.75918079096045199</v>
      </c>
      <c r="L2842" s="2">
        <f t="shared" si="1112"/>
        <v>7.0621468926553672E-4</v>
      </c>
      <c r="M2842" s="2">
        <f t="shared" si="1113"/>
        <v>1.9067796610169475E-2</v>
      </c>
      <c r="N2842" s="63">
        <v>313</v>
      </c>
      <c r="O2842" s="63">
        <v>1075</v>
      </c>
      <c r="P2842" s="63">
        <v>1</v>
      </c>
      <c r="Q2842" s="63">
        <v>22</v>
      </c>
      <c r="R2842" s="63">
        <v>5</v>
      </c>
      <c r="S2842" s="63">
        <v>0</v>
      </c>
      <c r="T2842" s="63"/>
      <c r="U2842" s="63">
        <v>0</v>
      </c>
      <c r="V2842" s="63"/>
      <c r="W2842" s="63">
        <f>IF(Copyright!B$11=1,IF(CA2842&gt;0,CA2842-SUM(S2842:V2842)-P2842-SUM(X2842:AQ2842),SUM(CB2842:CI2842)),SUM(CB2842:CI2842))</f>
        <v>0</v>
      </c>
      <c r="X2842" s="63"/>
      <c r="Y2842" s="63">
        <v>0</v>
      </c>
      <c r="Z2842" s="63"/>
      <c r="AA2842" s="63">
        <v>0</v>
      </c>
      <c r="AB2842" s="63"/>
      <c r="AC2842" s="63"/>
      <c r="AD2842" s="63"/>
      <c r="AE2842" s="63">
        <v>0</v>
      </c>
      <c r="AF2842" s="63"/>
      <c r="AG2842" s="63"/>
      <c r="AH2842" s="63"/>
      <c r="AI2842" s="63"/>
      <c r="AJ2842" s="63"/>
      <c r="AK2842" s="63"/>
      <c r="AL2842" s="63"/>
      <c r="AM2842" s="63"/>
      <c r="AN2842" s="63">
        <v>0</v>
      </c>
      <c r="AO2842" s="63"/>
      <c r="AP2842" s="63"/>
      <c r="AQ2842" s="63"/>
      <c r="AR2842" s="63"/>
      <c r="AS2842" s="63"/>
      <c r="AT2842" s="63"/>
      <c r="AU2842" s="63"/>
      <c r="AW2842" s="5">
        <f>IF(Q2842&gt;0,RANK(Q2842,(N2842:P2842,Q2842:AE2842)),0)</f>
        <v>3</v>
      </c>
      <c r="AX2842" s="5">
        <f>IF(R2842&gt;0,RANK(R2842,(N2842:P2842,Q2842:AE2842)),0)</f>
        <v>4</v>
      </c>
      <c r="AY2842" s="5">
        <f>IF(T2842&gt;0,RANK(T2842,(N2842:P2842,Q2842:AE2842)),0)</f>
        <v>0</v>
      </c>
      <c r="AZ2842" s="5">
        <f>IF(S2842&gt;0,RANK(S2842,(N2842:P2842,Q2842:AE2842)),0)</f>
        <v>0</v>
      </c>
      <c r="BA2842" s="2">
        <f t="shared" si="1114"/>
        <v>1.5536723163841809E-2</v>
      </c>
      <c r="BB2842" s="2">
        <f t="shared" si="1115"/>
        <v>3.5310734463276836E-3</v>
      </c>
      <c r="BC2842" s="2">
        <f t="shared" si="1116"/>
        <v>0</v>
      </c>
      <c r="BD2842" s="2">
        <f t="shared" si="1117"/>
        <v>0</v>
      </c>
      <c r="BF2842" t="s">
        <v>638</v>
      </c>
      <c r="BG2842" t="s">
        <v>53</v>
      </c>
      <c r="BH2842">
        <v>23</v>
      </c>
      <c r="BJ2842" s="114">
        <v>48</v>
      </c>
      <c r="BK2842" s="116">
        <v>435</v>
      </c>
      <c r="BL2842" s="120">
        <f t="shared" si="1108"/>
        <v>48435</v>
      </c>
      <c r="BN2842" s="5" t="s">
        <v>3154</v>
      </c>
      <c r="BZ2842" s="63">
        <f t="shared" si="1118"/>
        <v>1416</v>
      </c>
      <c r="CD2842" s="63">
        <v>0</v>
      </c>
      <c r="CE2842" s="63">
        <v>0</v>
      </c>
      <c r="CF2842" s="63">
        <v>0</v>
      </c>
      <c r="CG2842" s="8">
        <v>0</v>
      </c>
      <c r="CH2842" s="8">
        <v>0</v>
      </c>
      <c r="CI2842" s="8">
        <v>0</v>
      </c>
    </row>
    <row r="2843" spans="1:87" hidden="1" outlineLevel="1">
      <c r="A2843" t="s">
        <v>792</v>
      </c>
      <c r="B2843" t="s">
        <v>53</v>
      </c>
      <c r="C2843" s="1">
        <f t="shared" si="1109"/>
        <v>2204</v>
      </c>
      <c r="D2843" s="5">
        <f>IF(N2843&gt;0, RANK(N2843,(N2843:P2843,Q2843:AE2843)),0)</f>
        <v>2</v>
      </c>
      <c r="E2843" s="5">
        <f>IF(O2843&gt;0,RANK(O2843,(N2843:P2843,Q2843:AE2843)),0)</f>
        <v>1</v>
      </c>
      <c r="F2843" s="5">
        <f>IF(P2843&gt;0,RANK(P2843,(N2843:P2843,Q2843:AE2843)),0)</f>
        <v>4</v>
      </c>
      <c r="G2843" s="132">
        <f t="shared" si="1119"/>
        <v>1209</v>
      </c>
      <c r="H2843" s="137">
        <f t="shared" si="1120"/>
        <v>0.54854809437386565</v>
      </c>
      <c r="I2843" s="2"/>
      <c r="J2843" s="2">
        <f t="shared" si="1110"/>
        <v>0.20961887477313976</v>
      </c>
      <c r="K2843" s="2">
        <f t="shared" si="1111"/>
        <v>0.75816696914700543</v>
      </c>
      <c r="L2843" s="2">
        <f t="shared" si="1112"/>
        <v>2.7223230490018148E-3</v>
      </c>
      <c r="M2843" s="2">
        <f t="shared" si="1113"/>
        <v>2.9491833030852968E-2</v>
      </c>
      <c r="N2843" s="63">
        <v>462</v>
      </c>
      <c r="O2843" s="63">
        <v>1671</v>
      </c>
      <c r="P2843" s="63">
        <v>6</v>
      </c>
      <c r="Q2843" s="63">
        <v>51</v>
      </c>
      <c r="R2843" s="63">
        <v>6</v>
      </c>
      <c r="S2843" s="63">
        <v>1</v>
      </c>
      <c r="T2843" s="63"/>
      <c r="U2843" s="63">
        <v>0</v>
      </c>
      <c r="V2843" s="63"/>
      <c r="W2843" s="63">
        <f>IF(Copyright!B$11=1,IF(CA2843&gt;0,CA2843-SUM(S2843:V2843)-P2843-SUM(X2843:AQ2843),SUM(CB2843:CI2843)),SUM(CB2843:CI2843))</f>
        <v>6</v>
      </c>
      <c r="X2843" s="63"/>
      <c r="Y2843" s="63">
        <v>0</v>
      </c>
      <c r="Z2843" s="63"/>
      <c r="AA2843" s="63">
        <v>1</v>
      </c>
      <c r="AB2843" s="63"/>
      <c r="AC2843" s="63"/>
      <c r="AD2843" s="63"/>
      <c r="AE2843" s="63">
        <v>0</v>
      </c>
      <c r="AF2843" s="63"/>
      <c r="AG2843" s="63"/>
      <c r="AH2843" s="63"/>
      <c r="AI2843" s="63"/>
      <c r="AJ2843" s="63"/>
      <c r="AK2843" s="63"/>
      <c r="AL2843" s="63"/>
      <c r="AM2843" s="63"/>
      <c r="AN2843" s="63">
        <v>0</v>
      </c>
      <c r="AO2843" s="63"/>
      <c r="AP2843" s="63"/>
      <c r="AQ2843" s="63"/>
      <c r="AR2843" s="63"/>
      <c r="AS2843" s="63"/>
      <c r="AT2843" s="63"/>
      <c r="AU2843" s="63"/>
      <c r="AW2843" s="5">
        <f>IF(Q2843&gt;0,RANK(Q2843,(N2843:P2843,Q2843:AE2843)),0)</f>
        <v>3</v>
      </c>
      <c r="AX2843" s="5">
        <f>IF(R2843&gt;0,RANK(R2843,(N2843:P2843,Q2843:AE2843)),0)</f>
        <v>4</v>
      </c>
      <c r="AY2843" s="5">
        <f>IF(T2843&gt;0,RANK(T2843,(N2843:P2843,Q2843:AE2843)),0)</f>
        <v>0</v>
      </c>
      <c r="AZ2843" s="5">
        <f>IF(S2843&gt;0,RANK(S2843,(N2843:P2843,Q2843:AE2843)),0)</f>
        <v>7</v>
      </c>
      <c r="BA2843" s="2">
        <f t="shared" si="1114"/>
        <v>2.3139745916515426E-2</v>
      </c>
      <c r="BB2843" s="2">
        <f t="shared" si="1115"/>
        <v>2.7223230490018148E-3</v>
      </c>
      <c r="BC2843" s="2">
        <f t="shared" si="1116"/>
        <v>0</v>
      </c>
      <c r="BD2843" s="2">
        <f t="shared" si="1117"/>
        <v>4.5372050816696913E-4</v>
      </c>
      <c r="BF2843" t="s">
        <v>792</v>
      </c>
      <c r="BG2843" t="s">
        <v>53</v>
      </c>
      <c r="BH2843">
        <v>13</v>
      </c>
      <c r="BJ2843" s="114">
        <v>48</v>
      </c>
      <c r="BK2843" s="116">
        <v>437</v>
      </c>
      <c r="BL2843" s="120">
        <f t="shared" si="1108"/>
        <v>48437</v>
      </c>
      <c r="BN2843" s="5" t="s">
        <v>3154</v>
      </c>
      <c r="BZ2843" s="63">
        <f t="shared" si="1118"/>
        <v>2204</v>
      </c>
      <c r="CD2843" s="63">
        <v>1</v>
      </c>
      <c r="CE2843" s="63">
        <v>0</v>
      </c>
      <c r="CF2843" s="63">
        <v>3</v>
      </c>
      <c r="CG2843" s="8">
        <v>1</v>
      </c>
      <c r="CH2843" s="8">
        <v>0</v>
      </c>
      <c r="CI2843" s="8">
        <v>1</v>
      </c>
    </row>
    <row r="2844" spans="1:87" hidden="1" outlineLevel="1">
      <c r="A2844" t="s">
        <v>269</v>
      </c>
      <c r="B2844" t="s">
        <v>53</v>
      </c>
      <c r="C2844" s="1">
        <f t="shared" si="1109"/>
        <v>668514</v>
      </c>
      <c r="D2844" s="5">
        <f>IF(N2844&gt;0, RANK(N2844,(N2844:P2844,Q2844:AE2844)),0)</f>
        <v>2</v>
      </c>
      <c r="E2844" s="5">
        <f>IF(O2844&gt;0,RANK(O2844,(N2844:P2844,Q2844:AE2844)),0)</f>
        <v>1</v>
      </c>
      <c r="F2844" s="5">
        <f>IF(P2844&gt;0,RANK(P2844,(N2844:P2844,Q2844:AE2844)),0)</f>
        <v>5</v>
      </c>
      <c r="G2844" s="132">
        <f t="shared" si="1119"/>
        <v>57529</v>
      </c>
      <c r="H2844" s="137">
        <f t="shared" si="1120"/>
        <v>8.6055041480058755E-2</v>
      </c>
      <c r="I2844" s="2"/>
      <c r="J2844" s="2">
        <f t="shared" si="1110"/>
        <v>0.431392611074712</v>
      </c>
      <c r="K2844" s="2">
        <f t="shared" si="1111"/>
        <v>0.51744765255477077</v>
      </c>
      <c r="L2844" s="2">
        <f t="shared" si="1112"/>
        <v>6.4037551943564386E-3</v>
      </c>
      <c r="M2844" s="2">
        <f t="shared" si="1113"/>
        <v>4.4755981176160857E-2</v>
      </c>
      <c r="N2844" s="63">
        <v>288392</v>
      </c>
      <c r="O2844" s="63">
        <v>345921</v>
      </c>
      <c r="P2844" s="63">
        <v>4281</v>
      </c>
      <c r="Q2844" s="63">
        <v>23775</v>
      </c>
      <c r="R2844" s="63">
        <v>5413</v>
      </c>
      <c r="S2844" s="63">
        <v>406</v>
      </c>
      <c r="T2844" s="63"/>
      <c r="U2844" s="63">
        <v>3</v>
      </c>
      <c r="V2844" s="63"/>
      <c r="W2844" s="63">
        <f>IF(Copyright!B$11=1,IF(CA2844&gt;0,CA2844-SUM(S2844:V2844)-P2844-SUM(X2844:AQ2844),SUM(CB2844:CI2844)),SUM(CB2844:CI2844))</f>
        <v>37</v>
      </c>
      <c r="X2844" s="63"/>
      <c r="Y2844" s="63">
        <v>107</v>
      </c>
      <c r="Z2844" s="63"/>
      <c r="AA2844" s="63">
        <v>5</v>
      </c>
      <c r="AB2844" s="63"/>
      <c r="AC2844" s="63"/>
      <c r="AD2844" s="63"/>
      <c r="AE2844" s="63">
        <v>68</v>
      </c>
      <c r="AF2844" s="63"/>
      <c r="AG2844" s="63"/>
      <c r="AH2844" s="63"/>
      <c r="AI2844" s="63"/>
      <c r="AJ2844" s="63"/>
      <c r="AK2844" s="63"/>
      <c r="AL2844" s="63"/>
      <c r="AM2844" s="63"/>
      <c r="AN2844" s="63">
        <v>106</v>
      </c>
      <c r="AO2844" s="63"/>
      <c r="AP2844" s="63"/>
      <c r="AQ2844" s="63"/>
      <c r="AR2844" s="63"/>
      <c r="AS2844" s="63"/>
      <c r="AT2844" s="63"/>
      <c r="AU2844" s="63"/>
      <c r="AW2844" s="5">
        <f>IF(Q2844&gt;0,RANK(Q2844,(N2844:P2844,Q2844:AE2844)),0)</f>
        <v>3</v>
      </c>
      <c r="AX2844" s="5">
        <f>IF(R2844&gt;0,RANK(R2844,(N2844:P2844,Q2844:AE2844)),0)</f>
        <v>4</v>
      </c>
      <c r="AY2844" s="5">
        <f>IF(T2844&gt;0,RANK(T2844,(N2844:P2844,Q2844:AE2844)),0)</f>
        <v>0</v>
      </c>
      <c r="AZ2844" s="5">
        <f>IF(S2844&gt;0,RANK(S2844,(N2844:P2844,Q2844:AE2844)),0)</f>
        <v>6</v>
      </c>
      <c r="BA2844" s="2">
        <f t="shared" si="1114"/>
        <v>3.5563952288209369E-2</v>
      </c>
      <c r="BB2844" s="2">
        <f t="shared" si="1115"/>
        <v>8.0970630383208134E-3</v>
      </c>
      <c r="BC2844" s="2">
        <f t="shared" si="1116"/>
        <v>0</v>
      </c>
      <c r="BD2844" s="2">
        <f t="shared" si="1117"/>
        <v>6.0731712424870682E-4</v>
      </c>
      <c r="BF2844" t="s">
        <v>269</v>
      </c>
      <c r="BG2844" t="s">
        <v>53</v>
      </c>
      <c r="BJ2844" s="114">
        <v>48</v>
      </c>
      <c r="BK2844" s="116">
        <v>439</v>
      </c>
      <c r="BL2844" s="120">
        <f t="shared" si="1108"/>
        <v>48439</v>
      </c>
      <c r="BN2844" s="5" t="s">
        <v>3154</v>
      </c>
      <c r="BZ2844" s="63">
        <f t="shared" si="1118"/>
        <v>668514</v>
      </c>
      <c r="CD2844" s="63">
        <v>4</v>
      </c>
      <c r="CE2844" s="63">
        <v>2</v>
      </c>
      <c r="CF2844" s="63">
        <v>20</v>
      </c>
      <c r="CG2844" s="8">
        <v>1</v>
      </c>
      <c r="CH2844" s="8">
        <v>4</v>
      </c>
      <c r="CI2844" s="8">
        <v>6</v>
      </c>
    </row>
    <row r="2845" spans="1:87" hidden="1" outlineLevel="1">
      <c r="A2845" t="s">
        <v>1140</v>
      </c>
      <c r="B2845" t="s">
        <v>53</v>
      </c>
      <c r="C2845" s="1">
        <f t="shared" si="1109"/>
        <v>45759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4</v>
      </c>
      <c r="G2845" s="132">
        <f t="shared" si="1119"/>
        <v>23165</v>
      </c>
      <c r="H2845" s="137">
        <f t="shared" si="1120"/>
        <v>0.50623920977294079</v>
      </c>
      <c r="I2845" s="2"/>
      <c r="J2845" s="2">
        <f t="shared" si="1110"/>
        <v>0.22039380231211347</v>
      </c>
      <c r="K2845" s="2">
        <f t="shared" si="1111"/>
        <v>0.72663301208505426</v>
      </c>
      <c r="L2845" s="2">
        <f t="shared" si="1112"/>
        <v>6.8838916934373566E-3</v>
      </c>
      <c r="M2845" s="2">
        <f t="shared" si="1113"/>
        <v>4.6089293909394903E-2</v>
      </c>
      <c r="N2845" s="63">
        <v>10085</v>
      </c>
      <c r="O2845" s="63">
        <v>33250</v>
      </c>
      <c r="P2845" s="63">
        <v>315</v>
      </c>
      <c r="Q2845" s="63">
        <v>1763</v>
      </c>
      <c r="R2845" s="63">
        <v>289</v>
      </c>
      <c r="S2845" s="63">
        <v>33</v>
      </c>
      <c r="T2845" s="63"/>
      <c r="U2845" s="63">
        <v>2</v>
      </c>
      <c r="V2845" s="63"/>
      <c r="W2845" s="63">
        <f>IF(Copyright!B$11=1,IF(CA2845&gt;0,CA2845-SUM(S2845:V2845)-P2845-SUM(X2845:AQ2845),SUM(CB2845:CI2845)),SUM(CB2845:CI2845))</f>
        <v>4</v>
      </c>
      <c r="X2845" s="63"/>
      <c r="Y2845" s="63">
        <v>4</v>
      </c>
      <c r="Z2845" s="63"/>
      <c r="AA2845" s="63">
        <v>0</v>
      </c>
      <c r="AB2845" s="63"/>
      <c r="AC2845" s="63"/>
      <c r="AD2845" s="63"/>
      <c r="AE2845" s="63">
        <v>11</v>
      </c>
      <c r="AF2845" s="63"/>
      <c r="AG2845" s="63"/>
      <c r="AH2845" s="63"/>
      <c r="AI2845" s="63"/>
      <c r="AJ2845" s="63"/>
      <c r="AK2845" s="63"/>
      <c r="AL2845" s="63"/>
      <c r="AM2845" s="63"/>
      <c r="AN2845" s="63">
        <v>3</v>
      </c>
      <c r="AO2845" s="63"/>
      <c r="AP2845" s="63"/>
      <c r="AQ2845" s="63"/>
      <c r="AR2845" s="63"/>
      <c r="AS2845" s="63"/>
      <c r="AT2845" s="63"/>
      <c r="AU2845" s="63"/>
      <c r="AW2845" s="5">
        <f>IF(Q2845&gt;0,RANK(Q2845,(N2845:P2845,Q2845:AE2845)),0)</f>
        <v>3</v>
      </c>
      <c r="AX2845" s="5">
        <f>IF(R2845&gt;0,RANK(R2845,(N2845:P2845,Q2845:AE2845)),0)</f>
        <v>5</v>
      </c>
      <c r="AY2845" s="5">
        <f>IF(T2845&gt;0,RANK(T2845,(N2845:P2845,Q2845:AE2845)),0)</f>
        <v>0</v>
      </c>
      <c r="AZ2845" s="5">
        <f>IF(S2845&gt;0,RANK(S2845,(N2845:P2845,Q2845:AE2845)),0)</f>
        <v>6</v>
      </c>
      <c r="BA2845" s="2">
        <f t="shared" si="1114"/>
        <v>3.8527939858825584E-2</v>
      </c>
      <c r="BB2845" s="2">
        <f t="shared" si="1115"/>
        <v>6.3156974584234792E-3</v>
      </c>
      <c r="BC2845" s="2">
        <f t="shared" si="1116"/>
        <v>0</v>
      </c>
      <c r="BD2845" s="2">
        <f t="shared" si="1117"/>
        <v>7.2116960597915164E-4</v>
      </c>
      <c r="BF2845" t="s">
        <v>1140</v>
      </c>
      <c r="BG2845" t="s">
        <v>53</v>
      </c>
      <c r="BH2845">
        <v>19</v>
      </c>
      <c r="BJ2845" s="114">
        <v>48</v>
      </c>
      <c r="BK2845" s="116">
        <v>441</v>
      </c>
      <c r="BL2845" s="120">
        <f t="shared" si="1108"/>
        <v>48441</v>
      </c>
      <c r="BN2845" s="5" t="s">
        <v>3154</v>
      </c>
      <c r="BZ2845" s="63">
        <f t="shared" si="1118"/>
        <v>45759</v>
      </c>
      <c r="CD2845" s="63">
        <v>0</v>
      </c>
      <c r="CE2845" s="63">
        <v>2</v>
      </c>
      <c r="CF2845" s="63">
        <v>1</v>
      </c>
      <c r="CG2845" s="8">
        <v>0</v>
      </c>
      <c r="CH2845" s="8">
        <v>0</v>
      </c>
      <c r="CI2845" s="8">
        <v>1</v>
      </c>
    </row>
    <row r="2846" spans="1:87" hidden="1" outlineLevel="1">
      <c r="A2846" t="s">
        <v>824</v>
      </c>
      <c r="B2846" t="s">
        <v>53</v>
      </c>
      <c r="C2846" s="1">
        <f t="shared" si="1109"/>
        <v>438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32">
        <f t="shared" si="1119"/>
        <v>148</v>
      </c>
      <c r="H2846" s="137">
        <f t="shared" si="1120"/>
        <v>0.33789954337899542</v>
      </c>
      <c r="I2846" s="2"/>
      <c r="J2846" s="2">
        <f t="shared" si="1110"/>
        <v>0.31963470319634701</v>
      </c>
      <c r="K2846" s="2">
        <f t="shared" si="1111"/>
        <v>0.65753424657534243</v>
      </c>
      <c r="L2846" s="2">
        <f t="shared" si="1112"/>
        <v>0</v>
      </c>
      <c r="M2846" s="2">
        <f t="shared" si="1113"/>
        <v>2.2831050228310557E-2</v>
      </c>
      <c r="N2846" s="63">
        <v>140</v>
      </c>
      <c r="O2846" s="63">
        <v>288</v>
      </c>
      <c r="P2846" s="63">
        <v>0</v>
      </c>
      <c r="Q2846" s="63">
        <v>10</v>
      </c>
      <c r="R2846" s="63">
        <v>0</v>
      </c>
      <c r="S2846" s="63">
        <v>0</v>
      </c>
      <c r="T2846" s="63"/>
      <c r="U2846" s="63">
        <v>0</v>
      </c>
      <c r="V2846" s="63"/>
      <c r="W2846" s="63">
        <f>IF(Copyright!B$11=1,IF(CA2846&gt;0,CA2846-SUM(S2846:V2846)-P2846-SUM(X2846:AQ2846),SUM(CB2846:CI2846)),SUM(CB2846:CI2846))</f>
        <v>0</v>
      </c>
      <c r="X2846" s="63"/>
      <c r="Y2846" s="63">
        <v>0</v>
      </c>
      <c r="Z2846" s="63"/>
      <c r="AA2846" s="63">
        <v>0</v>
      </c>
      <c r="AB2846" s="63"/>
      <c r="AC2846" s="63"/>
      <c r="AD2846" s="63"/>
      <c r="AE2846" s="63">
        <v>0</v>
      </c>
      <c r="AF2846" s="63"/>
      <c r="AG2846" s="63"/>
      <c r="AH2846" s="63"/>
      <c r="AI2846" s="63"/>
      <c r="AJ2846" s="63"/>
      <c r="AK2846" s="63"/>
      <c r="AL2846" s="63"/>
      <c r="AM2846" s="63"/>
      <c r="AN2846" s="63">
        <v>0</v>
      </c>
      <c r="AO2846" s="63"/>
      <c r="AP2846" s="63"/>
      <c r="AQ2846" s="63"/>
      <c r="AR2846" s="63"/>
      <c r="AS2846" s="63"/>
      <c r="AT2846" s="63"/>
      <c r="AU2846" s="63"/>
      <c r="AW2846" s="5">
        <f>IF(Q2846&gt;0,RANK(Q2846,(N2846:P2846,Q2846:AE2846)),0)</f>
        <v>3</v>
      </c>
      <c r="AX2846" s="5">
        <f>IF(R2846&gt;0,RANK(R2846,(N2846:P2846,Q2846:AE2846)),0)</f>
        <v>0</v>
      </c>
      <c r="AY2846" s="5">
        <f>IF(T2846&gt;0,RANK(T2846,(N2846:P2846,Q2846:AE2846)),0)</f>
        <v>0</v>
      </c>
      <c r="AZ2846" s="5">
        <f>IF(S2846&gt;0,RANK(S2846,(N2846:P2846,Q2846:AE2846)),0)</f>
        <v>0</v>
      </c>
      <c r="BA2846" s="2">
        <f t="shared" si="1114"/>
        <v>2.2831050228310501E-2</v>
      </c>
      <c r="BB2846" s="2">
        <f t="shared" si="1115"/>
        <v>0</v>
      </c>
      <c r="BC2846" s="2">
        <f t="shared" si="1116"/>
        <v>0</v>
      </c>
      <c r="BD2846" s="2">
        <f t="shared" si="1117"/>
        <v>0</v>
      </c>
      <c r="BF2846" t="s">
        <v>824</v>
      </c>
      <c r="BG2846" t="s">
        <v>53</v>
      </c>
      <c r="BH2846">
        <v>23</v>
      </c>
      <c r="BJ2846" s="114">
        <v>48</v>
      </c>
      <c r="BK2846" s="116">
        <v>443</v>
      </c>
      <c r="BL2846" s="120">
        <f t="shared" si="1108"/>
        <v>48443</v>
      </c>
      <c r="BN2846" s="5" t="s">
        <v>3154</v>
      </c>
      <c r="BZ2846" s="63">
        <f t="shared" si="1118"/>
        <v>438</v>
      </c>
      <c r="CD2846" s="63">
        <v>0</v>
      </c>
      <c r="CE2846" s="63">
        <v>0</v>
      </c>
      <c r="CF2846" s="63">
        <v>0</v>
      </c>
      <c r="CG2846" s="8">
        <v>0</v>
      </c>
      <c r="CH2846" s="8">
        <v>0</v>
      </c>
      <c r="CI2846" s="8">
        <v>0</v>
      </c>
    </row>
    <row r="2847" spans="1:87" hidden="1" outlineLevel="1">
      <c r="A2847" t="s">
        <v>696</v>
      </c>
      <c r="B2847" t="s">
        <v>53</v>
      </c>
      <c r="C2847" s="1">
        <f t="shared" si="1109"/>
        <v>3355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5</v>
      </c>
      <c r="G2847" s="132">
        <f t="shared" si="1119"/>
        <v>1706</v>
      </c>
      <c r="H2847" s="137">
        <f t="shared" si="1120"/>
        <v>0.50849478390462</v>
      </c>
      <c r="I2847" s="2"/>
      <c r="J2847" s="2">
        <f t="shared" si="1110"/>
        <v>0.22444113263785395</v>
      </c>
      <c r="K2847" s="2">
        <f t="shared" si="1111"/>
        <v>0.73293591654247392</v>
      </c>
      <c r="L2847" s="2">
        <f t="shared" si="1112"/>
        <v>2.9806259314456036E-3</v>
      </c>
      <c r="M2847" s="2">
        <f t="shared" si="1113"/>
        <v>3.9642324888226554E-2</v>
      </c>
      <c r="N2847" s="63">
        <v>753</v>
      </c>
      <c r="O2847" s="63">
        <v>2459</v>
      </c>
      <c r="P2847" s="63">
        <v>10</v>
      </c>
      <c r="Q2847" s="63">
        <v>112</v>
      </c>
      <c r="R2847" s="63">
        <v>21</v>
      </c>
      <c r="S2847" s="63">
        <v>0</v>
      </c>
      <c r="T2847" s="63"/>
      <c r="U2847" s="63">
        <v>0</v>
      </c>
      <c r="V2847" s="63"/>
      <c r="W2847" s="63">
        <f>IF(Copyright!B$11=1,IF(CA2847&gt;0,CA2847-SUM(S2847:V2847)-P2847-SUM(X2847:AQ2847),SUM(CB2847:CI2847)),SUM(CB2847:CI2847))</f>
        <v>0</v>
      </c>
      <c r="X2847" s="63"/>
      <c r="Y2847" s="63">
        <v>0</v>
      </c>
      <c r="Z2847" s="63"/>
      <c r="AA2847" s="63">
        <v>0</v>
      </c>
      <c r="AB2847" s="63"/>
      <c r="AC2847" s="63"/>
      <c r="AD2847" s="63"/>
      <c r="AE2847" s="63">
        <v>0</v>
      </c>
      <c r="AF2847" s="63"/>
      <c r="AG2847" s="63"/>
      <c r="AH2847" s="63"/>
      <c r="AI2847" s="63"/>
      <c r="AJ2847" s="63"/>
      <c r="AK2847" s="63"/>
      <c r="AL2847" s="63"/>
      <c r="AM2847" s="63"/>
      <c r="AN2847" s="63">
        <v>0</v>
      </c>
      <c r="AO2847" s="63"/>
      <c r="AP2847" s="63"/>
      <c r="AQ2847" s="63"/>
      <c r="AR2847" s="63"/>
      <c r="AS2847" s="63"/>
      <c r="AT2847" s="63"/>
      <c r="AU2847" s="63"/>
      <c r="AW2847" s="5">
        <f>IF(Q2847&gt;0,RANK(Q2847,(N2847:P2847,Q2847:AE2847)),0)</f>
        <v>3</v>
      </c>
      <c r="AX2847" s="5">
        <f>IF(R2847&gt;0,RANK(R2847,(N2847:P2847,Q2847:AE2847)),0)</f>
        <v>4</v>
      </c>
      <c r="AY2847" s="5">
        <f>IF(T2847&gt;0,RANK(T2847,(N2847:P2847,Q2847:AE2847)),0)</f>
        <v>0</v>
      </c>
      <c r="AZ2847" s="5">
        <f>IF(S2847&gt;0,RANK(S2847,(N2847:P2847,Q2847:AE2847)),0)</f>
        <v>0</v>
      </c>
      <c r="BA2847" s="2">
        <f t="shared" si="1114"/>
        <v>3.338301043219076E-2</v>
      </c>
      <c r="BB2847" s="2">
        <f t="shared" si="1115"/>
        <v>6.2593144560357675E-3</v>
      </c>
      <c r="BC2847" s="2">
        <f t="shared" si="1116"/>
        <v>0</v>
      </c>
      <c r="BD2847" s="2">
        <f t="shared" si="1117"/>
        <v>0</v>
      </c>
      <c r="BF2847" t="s">
        <v>696</v>
      </c>
      <c r="BG2847" t="s">
        <v>53</v>
      </c>
      <c r="BH2847">
        <v>19</v>
      </c>
      <c r="BJ2847" s="114">
        <v>48</v>
      </c>
      <c r="BK2847" s="116">
        <v>445</v>
      </c>
      <c r="BL2847" s="120">
        <f t="shared" si="1108"/>
        <v>48445</v>
      </c>
      <c r="BN2847" s="5" t="s">
        <v>3154</v>
      </c>
      <c r="BZ2847" s="63">
        <f t="shared" si="1118"/>
        <v>3355</v>
      </c>
      <c r="CD2847" s="63">
        <v>0</v>
      </c>
      <c r="CE2847" s="63">
        <v>0</v>
      </c>
      <c r="CF2847" s="63">
        <v>0</v>
      </c>
      <c r="CG2847" s="8">
        <v>0</v>
      </c>
      <c r="CH2847" s="8">
        <v>0</v>
      </c>
      <c r="CI2847" s="8">
        <v>0</v>
      </c>
    </row>
    <row r="2848" spans="1:87" hidden="1" outlineLevel="1">
      <c r="A2848" t="s">
        <v>1626</v>
      </c>
      <c r="B2848" t="s">
        <v>53</v>
      </c>
      <c r="C2848" s="1">
        <f t="shared" si="1109"/>
        <v>808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32">
        <f t="shared" si="1119"/>
        <v>631</v>
      </c>
      <c r="H2848" s="137">
        <f t="shared" si="1120"/>
        <v>0.78094059405940597</v>
      </c>
      <c r="I2848" s="2"/>
      <c r="J2848" s="2">
        <f t="shared" si="1110"/>
        <v>0.10396039603960396</v>
      </c>
      <c r="K2848" s="2">
        <f t="shared" si="1111"/>
        <v>0.88490099009900991</v>
      </c>
      <c r="L2848" s="2">
        <f t="shared" si="1112"/>
        <v>0</v>
      </c>
      <c r="M2848" s="2">
        <f t="shared" si="1113"/>
        <v>1.1138613861386149E-2</v>
      </c>
      <c r="N2848" s="63">
        <v>84</v>
      </c>
      <c r="O2848" s="63">
        <v>715</v>
      </c>
      <c r="P2848" s="63">
        <v>0</v>
      </c>
      <c r="Q2848" s="63">
        <v>7</v>
      </c>
      <c r="R2848" s="63">
        <v>2</v>
      </c>
      <c r="S2848" s="63">
        <v>0</v>
      </c>
      <c r="T2848" s="63"/>
      <c r="U2848" s="63">
        <v>0</v>
      </c>
      <c r="V2848" s="63"/>
      <c r="W2848" s="63">
        <f>IF(Copyright!B$11=1,IF(CA2848&gt;0,CA2848-SUM(S2848:V2848)-P2848-SUM(X2848:AQ2848),SUM(CB2848:CI2848)),SUM(CB2848:CI2848))</f>
        <v>0</v>
      </c>
      <c r="X2848" s="63"/>
      <c r="Y2848" s="63">
        <v>0</v>
      </c>
      <c r="Z2848" s="63"/>
      <c r="AA2848" s="63">
        <v>0</v>
      </c>
      <c r="AB2848" s="63"/>
      <c r="AC2848" s="63"/>
      <c r="AD2848" s="63"/>
      <c r="AE2848" s="63">
        <v>0</v>
      </c>
      <c r="AF2848" s="63"/>
      <c r="AG2848" s="63"/>
      <c r="AH2848" s="63"/>
      <c r="AI2848" s="63"/>
      <c r="AJ2848" s="63"/>
      <c r="AK2848" s="63"/>
      <c r="AL2848" s="63"/>
      <c r="AM2848" s="63"/>
      <c r="AN2848" s="63">
        <v>0</v>
      </c>
      <c r="AO2848" s="63"/>
      <c r="AP2848" s="63"/>
      <c r="AQ2848" s="63"/>
      <c r="AR2848" s="63"/>
      <c r="AS2848" s="63"/>
      <c r="AT2848" s="63"/>
      <c r="AU2848" s="63"/>
      <c r="AW2848" s="5">
        <f>IF(Q2848&gt;0,RANK(Q2848,(N2848:P2848,Q2848:AE2848)),0)</f>
        <v>3</v>
      </c>
      <c r="AX2848" s="5">
        <f>IF(R2848&gt;0,RANK(R2848,(N2848:P2848,Q2848:AE2848)),0)</f>
        <v>4</v>
      </c>
      <c r="AY2848" s="5">
        <f>IF(T2848&gt;0,RANK(T2848,(N2848:P2848,Q2848:AE2848)),0)</f>
        <v>0</v>
      </c>
      <c r="AZ2848" s="5">
        <f>IF(S2848&gt;0,RANK(S2848,(N2848:P2848,Q2848:AE2848)),0)</f>
        <v>0</v>
      </c>
      <c r="BA2848" s="2">
        <f t="shared" si="1114"/>
        <v>8.6633663366336641E-3</v>
      </c>
      <c r="BB2848" s="2">
        <f t="shared" si="1115"/>
        <v>2.4752475247524753E-3</v>
      </c>
      <c r="BC2848" s="2">
        <f t="shared" si="1116"/>
        <v>0</v>
      </c>
      <c r="BD2848" s="2">
        <f t="shared" si="1117"/>
        <v>0</v>
      </c>
      <c r="BF2848" t="s">
        <v>1626</v>
      </c>
      <c r="BG2848" t="s">
        <v>53</v>
      </c>
      <c r="BH2848">
        <v>19</v>
      </c>
      <c r="BJ2848" s="114">
        <v>48</v>
      </c>
      <c r="BK2848" s="116">
        <v>447</v>
      </c>
      <c r="BL2848" s="120">
        <f t="shared" si="1108"/>
        <v>48447</v>
      </c>
      <c r="BN2848" s="5" t="s">
        <v>3154</v>
      </c>
      <c r="BZ2848" s="63">
        <f t="shared" si="1118"/>
        <v>808</v>
      </c>
      <c r="CD2848" s="63">
        <v>0</v>
      </c>
      <c r="CE2848" s="63">
        <v>0</v>
      </c>
      <c r="CF2848" s="63">
        <v>0</v>
      </c>
      <c r="CG2848" s="8">
        <v>0</v>
      </c>
      <c r="CH2848" s="8">
        <v>0</v>
      </c>
      <c r="CI2848" s="8">
        <v>0</v>
      </c>
    </row>
    <row r="2849" spans="1:87" hidden="1" outlineLevel="1">
      <c r="A2849" t="s">
        <v>3063</v>
      </c>
      <c r="B2849" t="s">
        <v>53</v>
      </c>
      <c r="C2849" s="1">
        <f t="shared" si="1109"/>
        <v>9419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10</v>
      </c>
      <c r="G2849" s="132">
        <f t="shared" si="1119"/>
        <v>3914</v>
      </c>
      <c r="H2849" s="137">
        <f t="shared" si="1120"/>
        <v>0.415543051279329</v>
      </c>
      <c r="I2849" s="2"/>
      <c r="J2849" s="2">
        <f t="shared" si="1110"/>
        <v>0.27571929079520119</v>
      </c>
      <c r="K2849" s="2">
        <f t="shared" si="1111"/>
        <v>0.69126234207453019</v>
      </c>
      <c r="L2849" s="2">
        <f t="shared" si="1112"/>
        <v>3.1850514916657819E-4</v>
      </c>
      <c r="M2849" s="2">
        <f t="shared" si="1113"/>
        <v>3.2699861981102044E-2</v>
      </c>
      <c r="N2849" s="63">
        <v>2597</v>
      </c>
      <c r="O2849" s="63">
        <v>6511</v>
      </c>
      <c r="P2849" s="63">
        <v>3</v>
      </c>
      <c r="Q2849" s="63">
        <v>191</v>
      </c>
      <c r="R2849" s="63">
        <v>44</v>
      </c>
      <c r="S2849" s="63">
        <v>5</v>
      </c>
      <c r="T2849" s="63"/>
      <c r="U2849" s="63">
        <v>5</v>
      </c>
      <c r="V2849" s="63"/>
      <c r="W2849" s="63">
        <f>IF(Copyright!B$11=1,IF(CA2849&gt;0,CA2849-SUM(S2849:V2849)-P2849-SUM(X2849:AQ2849),SUM(CB2849:CI2849)),SUM(CB2849:CI2849))</f>
        <v>36</v>
      </c>
      <c r="X2849" s="63"/>
      <c r="Y2849" s="63">
        <v>5</v>
      </c>
      <c r="Z2849" s="63"/>
      <c r="AA2849" s="63">
        <v>3</v>
      </c>
      <c r="AB2849" s="63"/>
      <c r="AC2849" s="63"/>
      <c r="AD2849" s="63"/>
      <c r="AE2849" s="63">
        <v>13</v>
      </c>
      <c r="AF2849" s="63"/>
      <c r="AG2849" s="63"/>
      <c r="AH2849" s="63"/>
      <c r="AI2849" s="63"/>
      <c r="AJ2849" s="63"/>
      <c r="AK2849" s="63"/>
      <c r="AL2849" s="63"/>
      <c r="AM2849" s="63"/>
      <c r="AN2849" s="63">
        <v>6</v>
      </c>
      <c r="AO2849" s="63"/>
      <c r="AP2849" s="63"/>
      <c r="AQ2849" s="63"/>
      <c r="AR2849" s="63"/>
      <c r="AS2849" s="63"/>
      <c r="AT2849" s="63"/>
      <c r="AU2849" s="63"/>
      <c r="AW2849" s="5">
        <f>IF(Q2849&gt;0,RANK(Q2849,(N2849:P2849,Q2849:AE2849)),0)</f>
        <v>3</v>
      </c>
      <c r="AX2849" s="5">
        <f>IF(R2849&gt;0,RANK(R2849,(N2849:P2849,Q2849:AE2849)),0)</f>
        <v>4</v>
      </c>
      <c r="AY2849" s="5">
        <f>IF(T2849&gt;0,RANK(T2849,(N2849:P2849,Q2849:AE2849)),0)</f>
        <v>0</v>
      </c>
      <c r="AZ2849" s="5">
        <f>IF(S2849&gt;0,RANK(S2849,(N2849:P2849,Q2849:AE2849)),0)</f>
        <v>7</v>
      </c>
      <c r="BA2849" s="2">
        <f t="shared" si="1114"/>
        <v>2.0278161163605479E-2</v>
      </c>
      <c r="BB2849" s="2">
        <f t="shared" si="1115"/>
        <v>4.6714088544431466E-3</v>
      </c>
      <c r="BC2849" s="2">
        <f t="shared" si="1116"/>
        <v>0</v>
      </c>
      <c r="BD2849" s="2">
        <f t="shared" si="1117"/>
        <v>5.3084191527763037E-4</v>
      </c>
      <c r="BF2849" t="s">
        <v>3063</v>
      </c>
      <c r="BG2849" t="s">
        <v>53</v>
      </c>
      <c r="BH2849">
        <v>4</v>
      </c>
      <c r="BJ2849" s="114">
        <v>48</v>
      </c>
      <c r="BK2849" s="116">
        <v>449</v>
      </c>
      <c r="BL2849" s="120">
        <f t="shared" si="1108"/>
        <v>48449</v>
      </c>
      <c r="BN2849" s="5" t="s">
        <v>3154</v>
      </c>
      <c r="BZ2849" s="63">
        <f t="shared" si="1118"/>
        <v>9419</v>
      </c>
      <c r="CD2849" s="63">
        <v>5</v>
      </c>
      <c r="CE2849" s="63">
        <v>12</v>
      </c>
      <c r="CF2849" s="63">
        <v>5</v>
      </c>
      <c r="CG2849" s="8">
        <v>4</v>
      </c>
      <c r="CH2849" s="8">
        <v>7</v>
      </c>
      <c r="CI2849" s="8">
        <v>3</v>
      </c>
    </row>
    <row r="2850" spans="1:87" hidden="1" outlineLevel="1">
      <c r="A2850" t="s">
        <v>952</v>
      </c>
      <c r="B2850" t="s">
        <v>53</v>
      </c>
      <c r="C2850" s="1">
        <f t="shared" si="1109"/>
        <v>38479</v>
      </c>
      <c r="D2850" s="5">
        <f>IF(N2850&gt;0, RANK(N2850,(N2850:P2850,Q2850:AE2850)),0)</f>
        <v>2</v>
      </c>
      <c r="E2850" s="5">
        <f>IF(O2850&gt;0,RANK(O2850,(N2850:P2850,Q2850:AE2850)),0)</f>
        <v>1</v>
      </c>
      <c r="F2850" s="5">
        <f>IF(P2850&gt;0,RANK(P2850,(N2850:P2850,Q2850:AE2850)),0)</f>
        <v>5</v>
      </c>
      <c r="G2850" s="132">
        <f t="shared" si="1119"/>
        <v>18321</v>
      </c>
      <c r="H2850" s="137">
        <f t="shared" si="1120"/>
        <v>0.47612983705397749</v>
      </c>
      <c r="I2850" s="2"/>
      <c r="J2850" s="2">
        <f t="shared" si="1110"/>
        <v>0.23838977104394604</v>
      </c>
      <c r="K2850" s="2">
        <f t="shared" si="1111"/>
        <v>0.71451960809792359</v>
      </c>
      <c r="L2850" s="2">
        <f t="shared" si="1112"/>
        <v>4.1321240156968735E-3</v>
      </c>
      <c r="M2850" s="2">
        <f t="shared" si="1113"/>
        <v>4.2958496842433552E-2</v>
      </c>
      <c r="N2850" s="63">
        <v>9173</v>
      </c>
      <c r="O2850" s="63">
        <v>27494</v>
      </c>
      <c r="P2850" s="63">
        <v>159</v>
      </c>
      <c r="Q2850" s="63">
        <v>1402</v>
      </c>
      <c r="R2850" s="63">
        <v>218</v>
      </c>
      <c r="S2850" s="63">
        <v>25</v>
      </c>
      <c r="T2850" s="63"/>
      <c r="U2850" s="63">
        <v>0</v>
      </c>
      <c r="V2850" s="63"/>
      <c r="W2850" s="63">
        <f>IF(Copyright!B$11=1,IF(CA2850&gt;0,CA2850-SUM(S2850:V2850)-P2850-SUM(X2850:AQ2850),SUM(CB2850:CI2850)),SUM(CB2850:CI2850))</f>
        <v>3</v>
      </c>
      <c r="X2850" s="63"/>
      <c r="Y2850" s="63">
        <v>1</v>
      </c>
      <c r="Z2850" s="63"/>
      <c r="AA2850" s="63">
        <v>0</v>
      </c>
      <c r="AB2850" s="63"/>
      <c r="AC2850" s="63"/>
      <c r="AD2850" s="63"/>
      <c r="AE2850" s="63">
        <v>1</v>
      </c>
      <c r="AF2850" s="63"/>
      <c r="AG2850" s="63"/>
      <c r="AH2850" s="63"/>
      <c r="AI2850" s="63"/>
      <c r="AJ2850" s="63"/>
      <c r="AK2850" s="63"/>
      <c r="AL2850" s="63"/>
      <c r="AM2850" s="63"/>
      <c r="AN2850" s="63">
        <v>3</v>
      </c>
      <c r="AO2850" s="63"/>
      <c r="AP2850" s="63"/>
      <c r="AQ2850" s="63"/>
      <c r="AR2850" s="63"/>
      <c r="AS2850" s="63"/>
      <c r="AT2850" s="63"/>
      <c r="AU2850" s="63"/>
      <c r="AW2850" s="5">
        <f>IF(Q2850&gt;0,RANK(Q2850,(N2850:P2850,Q2850:AE2850)),0)</f>
        <v>3</v>
      </c>
      <c r="AX2850" s="5">
        <f>IF(R2850&gt;0,RANK(R2850,(N2850:P2850,Q2850:AE2850)),0)</f>
        <v>4</v>
      </c>
      <c r="AY2850" s="5">
        <f>IF(T2850&gt;0,RANK(T2850,(N2850:P2850,Q2850:AE2850)),0)</f>
        <v>0</v>
      </c>
      <c r="AZ2850" s="5">
        <f>IF(S2850&gt;0,RANK(S2850,(N2850:P2850,Q2850:AE2850)),0)</f>
        <v>6</v>
      </c>
      <c r="BA2850" s="2">
        <f t="shared" si="1114"/>
        <v>3.6435458301930922E-2</v>
      </c>
      <c r="BB2850" s="2">
        <f t="shared" si="1115"/>
        <v>5.6654278957353364E-3</v>
      </c>
      <c r="BC2850" s="2">
        <f t="shared" si="1116"/>
        <v>0</v>
      </c>
      <c r="BD2850" s="2">
        <f t="shared" si="1117"/>
        <v>6.4970503391460278E-4</v>
      </c>
      <c r="BF2850" t="s">
        <v>952</v>
      </c>
      <c r="BG2850" t="s">
        <v>53</v>
      </c>
      <c r="BH2850">
        <v>11</v>
      </c>
      <c r="BJ2850" s="114">
        <v>48</v>
      </c>
      <c r="BK2850" s="116">
        <v>451</v>
      </c>
      <c r="BL2850" s="120">
        <f t="shared" si="1108"/>
        <v>48451</v>
      </c>
      <c r="BN2850" s="5" t="s">
        <v>3154</v>
      </c>
      <c r="BZ2850" s="63">
        <f t="shared" si="1118"/>
        <v>38479</v>
      </c>
      <c r="CD2850" s="63">
        <v>0</v>
      </c>
      <c r="CE2850" s="63">
        <v>0</v>
      </c>
      <c r="CF2850" s="63">
        <v>1</v>
      </c>
      <c r="CG2850" s="8">
        <v>0</v>
      </c>
      <c r="CH2850" s="8">
        <v>1</v>
      </c>
      <c r="CI2850" s="8">
        <v>1</v>
      </c>
    </row>
    <row r="2851" spans="1:87" hidden="1" outlineLevel="1">
      <c r="A2851" t="s">
        <v>1308</v>
      </c>
      <c r="B2851" t="s">
        <v>53</v>
      </c>
      <c r="C2851" s="1">
        <f t="shared" si="1109"/>
        <v>468720</v>
      </c>
      <c r="D2851" s="5">
        <f>IF(N2851&gt;0, RANK(N2851,(N2851:P2851,Q2851:AE2851)),0)</f>
        <v>1</v>
      </c>
      <c r="E2851" s="5">
        <f>IF(O2851&gt;0,RANK(O2851,(N2851:P2851,Q2851:AE2851)),0)</f>
        <v>2</v>
      </c>
      <c r="F2851" s="5">
        <f>IF(P2851&gt;0,RANK(P2851,(N2851:P2851,Q2851:AE2851)),0)</f>
        <v>5</v>
      </c>
      <c r="G2851" s="132">
        <f t="shared" si="1119"/>
        <v>181051</v>
      </c>
      <c r="H2851" s="137">
        <f t="shared" si="1120"/>
        <v>0.38626685441201569</v>
      </c>
      <c r="I2851" s="2"/>
      <c r="J2851" s="2">
        <f t="shared" si="1110"/>
        <v>0.65766342379245601</v>
      </c>
      <c r="K2851" s="2">
        <f t="shared" si="1111"/>
        <v>0.27139656938044032</v>
      </c>
      <c r="L2851" s="2">
        <f t="shared" si="1112"/>
        <v>7.1279228537293052E-3</v>
      </c>
      <c r="M2851" s="2">
        <f t="shared" si="1113"/>
        <v>6.3812083973374359E-2</v>
      </c>
      <c r="N2851" s="63">
        <v>308260</v>
      </c>
      <c r="O2851" s="63">
        <v>127209</v>
      </c>
      <c r="P2851" s="63">
        <v>3341</v>
      </c>
      <c r="Q2851" s="63">
        <v>21958</v>
      </c>
      <c r="R2851" s="63">
        <v>7462</v>
      </c>
      <c r="S2851" s="63">
        <v>150</v>
      </c>
      <c r="T2851" s="63"/>
      <c r="U2851" s="63">
        <v>8</v>
      </c>
      <c r="V2851" s="63"/>
      <c r="W2851" s="63">
        <f>IF(Copyright!B$11=1,IF(CA2851&gt;0,CA2851-SUM(S2851:V2851)-P2851-SUM(X2851:AQ2851),SUM(CB2851:CI2851)),SUM(CB2851:CI2851))</f>
        <v>55</v>
      </c>
      <c r="X2851" s="63"/>
      <c r="Y2851" s="63">
        <v>47</v>
      </c>
      <c r="Z2851" s="63"/>
      <c r="AA2851" s="63">
        <v>11</v>
      </c>
      <c r="AB2851" s="63"/>
      <c r="AC2851" s="63"/>
      <c r="AD2851" s="63"/>
      <c r="AE2851" s="63">
        <v>88</v>
      </c>
      <c r="AF2851" s="63"/>
      <c r="AG2851" s="63"/>
      <c r="AH2851" s="63"/>
      <c r="AI2851" s="63"/>
      <c r="AJ2851" s="63"/>
      <c r="AK2851" s="63"/>
      <c r="AL2851" s="63"/>
      <c r="AM2851" s="63"/>
      <c r="AN2851" s="63">
        <v>131</v>
      </c>
      <c r="AO2851" s="63"/>
      <c r="AP2851" s="63"/>
      <c r="AQ2851" s="63"/>
      <c r="AR2851" s="63"/>
      <c r="AS2851" s="63"/>
      <c r="AT2851" s="63"/>
      <c r="AU2851" s="63"/>
      <c r="AW2851" s="5">
        <f>IF(Q2851&gt;0,RANK(Q2851,(N2851:P2851,Q2851:AE2851)),0)</f>
        <v>3</v>
      </c>
      <c r="AX2851" s="5">
        <f>IF(R2851&gt;0,RANK(R2851,(N2851:P2851,Q2851:AE2851)),0)</f>
        <v>4</v>
      </c>
      <c r="AY2851" s="5">
        <f>IF(T2851&gt;0,RANK(T2851,(N2851:P2851,Q2851:AE2851)),0)</f>
        <v>0</v>
      </c>
      <c r="AZ2851" s="5">
        <f>IF(S2851&gt;0,RANK(S2851,(N2851:P2851,Q2851:AE2851)),0)</f>
        <v>6</v>
      </c>
      <c r="BA2851" s="2">
        <f t="shared" si="1114"/>
        <v>4.6846731524150878E-2</v>
      </c>
      <c r="BB2851" s="2">
        <f t="shared" si="1115"/>
        <v>1.5919952210274792E-2</v>
      </c>
      <c r="BC2851" s="2">
        <f t="shared" si="1116"/>
        <v>0</v>
      </c>
      <c r="BD2851" s="2">
        <f t="shared" si="1117"/>
        <v>3.2002048131080389E-4</v>
      </c>
      <c r="BF2851" t="s">
        <v>1308</v>
      </c>
      <c r="BG2851" t="s">
        <v>53</v>
      </c>
      <c r="BJ2851" s="114">
        <v>48</v>
      </c>
      <c r="BK2851" s="116">
        <v>453</v>
      </c>
      <c r="BL2851" s="120">
        <f t="shared" si="1108"/>
        <v>48453</v>
      </c>
      <c r="BN2851" s="5" t="s">
        <v>3154</v>
      </c>
      <c r="BZ2851" s="63">
        <f t="shared" si="1118"/>
        <v>468720</v>
      </c>
      <c r="CD2851" s="63">
        <v>6</v>
      </c>
      <c r="CE2851" s="63">
        <v>3</v>
      </c>
      <c r="CF2851" s="63">
        <v>18</v>
      </c>
      <c r="CG2851" s="8">
        <v>5</v>
      </c>
      <c r="CH2851" s="8">
        <v>2</v>
      </c>
      <c r="CI2851" s="8">
        <v>21</v>
      </c>
    </row>
    <row r="2852" spans="1:87" hidden="1" outlineLevel="1">
      <c r="A2852" t="s">
        <v>439</v>
      </c>
      <c r="B2852" t="s">
        <v>53</v>
      </c>
      <c r="C2852" s="1">
        <f t="shared" si="1109"/>
        <v>5985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5</v>
      </c>
      <c r="G2852" s="132">
        <f t="shared" si="1119"/>
        <v>3583</v>
      </c>
      <c r="H2852" s="137">
        <f t="shared" si="1120"/>
        <v>0.59866332497911445</v>
      </c>
      <c r="I2852" s="2"/>
      <c r="J2852" s="2">
        <f t="shared" si="1110"/>
        <v>0.19281537176274019</v>
      </c>
      <c r="K2852" s="2">
        <f t="shared" si="1111"/>
        <v>0.79147869674185467</v>
      </c>
      <c r="L2852" s="2">
        <f t="shared" si="1112"/>
        <v>1.6708437761069341E-4</v>
      </c>
      <c r="M2852" s="2">
        <f t="shared" si="1113"/>
        <v>1.5538847117794418E-2</v>
      </c>
      <c r="N2852" s="63">
        <v>1154</v>
      </c>
      <c r="O2852" s="63">
        <v>4737</v>
      </c>
      <c r="P2852" s="63">
        <v>1</v>
      </c>
      <c r="Q2852" s="63">
        <v>80</v>
      </c>
      <c r="R2852" s="63">
        <v>11</v>
      </c>
      <c r="S2852" s="63">
        <v>1</v>
      </c>
      <c r="T2852" s="63"/>
      <c r="U2852" s="63">
        <v>0</v>
      </c>
      <c r="V2852" s="63"/>
      <c r="W2852" s="63">
        <f>IF(Copyright!B$11=1,IF(CA2852&gt;0,CA2852-SUM(S2852:V2852)-P2852-SUM(X2852:AQ2852),SUM(CB2852:CI2852)),SUM(CB2852:CI2852))</f>
        <v>1</v>
      </c>
      <c r="X2852" s="63"/>
      <c r="Y2852" s="63">
        <v>0</v>
      </c>
      <c r="Z2852" s="63"/>
      <c r="AA2852" s="63">
        <v>0</v>
      </c>
      <c r="AB2852" s="63"/>
      <c r="AC2852" s="63"/>
      <c r="AD2852" s="63"/>
      <c r="AE2852" s="63">
        <v>0</v>
      </c>
      <c r="AF2852" s="63"/>
      <c r="AG2852" s="63"/>
      <c r="AH2852" s="63"/>
      <c r="AI2852" s="63"/>
      <c r="AJ2852" s="63"/>
      <c r="AK2852" s="63"/>
      <c r="AL2852" s="63"/>
      <c r="AM2852" s="63"/>
      <c r="AN2852" s="63">
        <v>0</v>
      </c>
      <c r="AO2852" s="63"/>
      <c r="AP2852" s="63"/>
      <c r="AQ2852" s="63"/>
      <c r="AR2852" s="63"/>
      <c r="AS2852" s="63"/>
      <c r="AT2852" s="63"/>
      <c r="AU2852" s="63"/>
      <c r="AW2852" s="5">
        <f>IF(Q2852&gt;0,RANK(Q2852,(N2852:P2852,Q2852:AE2852)),0)</f>
        <v>3</v>
      </c>
      <c r="AX2852" s="5">
        <f>IF(R2852&gt;0,RANK(R2852,(N2852:P2852,Q2852:AE2852)),0)</f>
        <v>4</v>
      </c>
      <c r="AY2852" s="5">
        <f>IF(T2852&gt;0,RANK(T2852,(N2852:P2852,Q2852:AE2852)),0)</f>
        <v>0</v>
      </c>
      <c r="AZ2852" s="5">
        <f>IF(S2852&gt;0,RANK(S2852,(N2852:P2852,Q2852:AE2852)),0)</f>
        <v>5</v>
      </c>
      <c r="BA2852" s="2">
        <f t="shared" si="1114"/>
        <v>1.3366750208855471E-2</v>
      </c>
      <c r="BB2852" s="2">
        <f t="shared" si="1115"/>
        <v>1.8379281537176273E-3</v>
      </c>
      <c r="BC2852" s="2">
        <f t="shared" si="1116"/>
        <v>0</v>
      </c>
      <c r="BD2852" s="2">
        <f t="shared" si="1117"/>
        <v>1.6708437761069341E-4</v>
      </c>
      <c r="BF2852" t="s">
        <v>439</v>
      </c>
      <c r="BG2852" t="s">
        <v>53</v>
      </c>
      <c r="BH2852">
        <v>8</v>
      </c>
      <c r="BJ2852" s="114">
        <v>48</v>
      </c>
      <c r="BK2852" s="116">
        <v>455</v>
      </c>
      <c r="BL2852" s="120">
        <f t="shared" si="1108"/>
        <v>48455</v>
      </c>
      <c r="BN2852" s="5" t="s">
        <v>3154</v>
      </c>
      <c r="BZ2852" s="63">
        <f t="shared" si="1118"/>
        <v>5985</v>
      </c>
      <c r="CD2852" s="63">
        <v>1</v>
      </c>
      <c r="CE2852" s="63">
        <v>0</v>
      </c>
      <c r="CF2852" s="63">
        <v>0</v>
      </c>
      <c r="CG2852" s="8">
        <v>0</v>
      </c>
      <c r="CH2852" s="8">
        <v>0</v>
      </c>
      <c r="CI2852" s="8">
        <v>0</v>
      </c>
    </row>
    <row r="2853" spans="1:87" hidden="1" outlineLevel="1">
      <c r="A2853" t="s">
        <v>838</v>
      </c>
      <c r="B2853" t="s">
        <v>53</v>
      </c>
      <c r="C2853" s="1">
        <f t="shared" si="1109"/>
        <v>8016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5</v>
      </c>
      <c r="G2853" s="132">
        <f t="shared" si="1119"/>
        <v>5376</v>
      </c>
      <c r="H2853" s="137">
        <f t="shared" si="1120"/>
        <v>0.6706586826347305</v>
      </c>
      <c r="I2853" s="2"/>
      <c r="J2853" s="2">
        <f t="shared" si="1110"/>
        <v>0.15568862275449102</v>
      </c>
      <c r="K2853" s="2">
        <f t="shared" si="1111"/>
        <v>0.82634730538922152</v>
      </c>
      <c r="L2853" s="2">
        <f t="shared" si="1112"/>
        <v>1.621756487025948E-3</v>
      </c>
      <c r="M2853" s="2">
        <f t="shared" si="1113"/>
        <v>1.6342315369261506E-2</v>
      </c>
      <c r="N2853" s="63">
        <v>1248</v>
      </c>
      <c r="O2853" s="63">
        <v>6624</v>
      </c>
      <c r="P2853" s="63">
        <v>13</v>
      </c>
      <c r="Q2853" s="63">
        <v>103</v>
      </c>
      <c r="R2853" s="63">
        <v>22</v>
      </c>
      <c r="S2853" s="63">
        <v>6</v>
      </c>
      <c r="T2853" s="63"/>
      <c r="U2853" s="63">
        <v>0</v>
      </c>
      <c r="V2853" s="63"/>
      <c r="W2853" s="63">
        <f>IF(Copyright!B$11=1,IF(CA2853&gt;0,CA2853-SUM(S2853:V2853)-P2853-SUM(X2853:AQ2853),SUM(CB2853:CI2853)),SUM(CB2853:CI2853))</f>
        <v>0</v>
      </c>
      <c r="X2853" s="63"/>
      <c r="Y2853" s="63">
        <v>0</v>
      </c>
      <c r="Z2853" s="63"/>
      <c r="AA2853" s="63">
        <v>0</v>
      </c>
      <c r="AB2853" s="63"/>
      <c r="AC2853" s="63"/>
      <c r="AD2853" s="63"/>
      <c r="AE2853" s="63">
        <v>0</v>
      </c>
      <c r="AF2853" s="63"/>
      <c r="AG2853" s="63"/>
      <c r="AH2853" s="63"/>
      <c r="AI2853" s="63"/>
      <c r="AJ2853" s="63"/>
      <c r="AK2853" s="63"/>
      <c r="AL2853" s="63"/>
      <c r="AM2853" s="63"/>
      <c r="AN2853" s="63">
        <v>0</v>
      </c>
      <c r="AO2853" s="63"/>
      <c r="AP2853" s="63"/>
      <c r="AQ2853" s="63"/>
      <c r="AR2853" s="63"/>
      <c r="AS2853" s="63"/>
      <c r="AT2853" s="63"/>
      <c r="AU2853" s="63"/>
      <c r="AW2853" s="5">
        <f>IF(Q2853&gt;0,RANK(Q2853,(N2853:P2853,Q2853:AE2853)),0)</f>
        <v>3</v>
      </c>
      <c r="AX2853" s="5">
        <f>IF(R2853&gt;0,RANK(R2853,(N2853:P2853,Q2853:AE2853)),0)</f>
        <v>4</v>
      </c>
      <c r="AY2853" s="5">
        <f>IF(T2853&gt;0,RANK(T2853,(N2853:P2853,Q2853:AE2853)),0)</f>
        <v>0</v>
      </c>
      <c r="AZ2853" s="5">
        <f>IF(S2853&gt;0,RANK(S2853,(N2853:P2853,Q2853:AE2853)),0)</f>
        <v>6</v>
      </c>
      <c r="BA2853" s="2">
        <f t="shared" si="1114"/>
        <v>1.2849301397205588E-2</v>
      </c>
      <c r="BB2853" s="2">
        <f t="shared" si="1115"/>
        <v>2.7445109780439123E-3</v>
      </c>
      <c r="BC2853" s="2">
        <f t="shared" si="1116"/>
        <v>0</v>
      </c>
      <c r="BD2853" s="2">
        <f t="shared" si="1117"/>
        <v>7.4850299401197609E-4</v>
      </c>
      <c r="BF2853" t="s">
        <v>838</v>
      </c>
      <c r="BG2853" t="s">
        <v>53</v>
      </c>
      <c r="BH2853">
        <v>36</v>
      </c>
      <c r="BJ2853" s="114">
        <v>48</v>
      </c>
      <c r="BK2853" s="116">
        <v>457</v>
      </c>
      <c r="BL2853" s="120">
        <f t="shared" si="1108"/>
        <v>48457</v>
      </c>
      <c r="BN2853" s="5" t="s">
        <v>3154</v>
      </c>
      <c r="BZ2853" s="63">
        <f t="shared" si="1118"/>
        <v>8016</v>
      </c>
      <c r="CD2853" s="63">
        <v>0</v>
      </c>
      <c r="CE2853" s="63">
        <v>0</v>
      </c>
      <c r="CF2853" s="63">
        <v>0</v>
      </c>
      <c r="CG2853" s="8">
        <v>0</v>
      </c>
      <c r="CH2853" s="8">
        <v>0</v>
      </c>
      <c r="CI2853" s="8">
        <v>0</v>
      </c>
    </row>
    <row r="2854" spans="1:87" hidden="1" outlineLevel="1">
      <c r="A2854" t="s">
        <v>2841</v>
      </c>
      <c r="B2854" t="s">
        <v>53</v>
      </c>
      <c r="C2854" s="1">
        <f t="shared" si="1109"/>
        <v>16013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4</v>
      </c>
      <c r="G2854" s="132">
        <f t="shared" si="1119"/>
        <v>10829</v>
      </c>
      <c r="H2854" s="137">
        <f t="shared" si="1120"/>
        <v>0.67626303628302009</v>
      </c>
      <c r="I2854" s="2"/>
      <c r="J2854" s="2">
        <f t="shared" si="1110"/>
        <v>0.14862923874352088</v>
      </c>
      <c r="K2854" s="2">
        <f t="shared" si="1111"/>
        <v>0.82489227502654094</v>
      </c>
      <c r="L2854" s="2">
        <f t="shared" si="1112"/>
        <v>4.059201898457503E-3</v>
      </c>
      <c r="M2854" s="2">
        <f t="shared" si="1113"/>
        <v>2.2419284331480702E-2</v>
      </c>
      <c r="N2854" s="63">
        <v>2380</v>
      </c>
      <c r="O2854" s="63">
        <v>13209</v>
      </c>
      <c r="P2854" s="63">
        <v>65</v>
      </c>
      <c r="Q2854" s="63">
        <v>283</v>
      </c>
      <c r="R2854" s="63">
        <v>59</v>
      </c>
      <c r="S2854" s="63">
        <v>15</v>
      </c>
      <c r="T2854" s="63"/>
      <c r="U2854" s="63">
        <v>0</v>
      </c>
      <c r="V2854" s="63"/>
      <c r="W2854" s="63">
        <f>IF(Copyright!B$11=1,IF(CA2854&gt;0,CA2854-SUM(S2854:V2854)-P2854-SUM(X2854:AQ2854),SUM(CB2854:CI2854)),SUM(CB2854:CI2854))</f>
        <v>0</v>
      </c>
      <c r="X2854" s="63"/>
      <c r="Y2854" s="63">
        <v>1</v>
      </c>
      <c r="Z2854" s="63"/>
      <c r="AA2854" s="63">
        <v>0</v>
      </c>
      <c r="AB2854" s="63"/>
      <c r="AC2854" s="63"/>
      <c r="AD2854" s="63"/>
      <c r="AE2854" s="63">
        <v>0</v>
      </c>
      <c r="AF2854" s="63"/>
      <c r="AG2854" s="63"/>
      <c r="AH2854" s="63"/>
      <c r="AI2854" s="63"/>
      <c r="AJ2854" s="63"/>
      <c r="AK2854" s="63"/>
      <c r="AL2854" s="63"/>
      <c r="AM2854" s="63"/>
      <c r="AN2854" s="63">
        <v>1</v>
      </c>
      <c r="AO2854" s="63"/>
      <c r="AP2854" s="63"/>
      <c r="AQ2854" s="63"/>
      <c r="AR2854" s="63"/>
      <c r="AS2854" s="63"/>
      <c r="AT2854" s="63"/>
      <c r="AU2854" s="63"/>
      <c r="AW2854" s="5">
        <f>IF(Q2854&gt;0,RANK(Q2854,(N2854:P2854,Q2854:AE2854)),0)</f>
        <v>3</v>
      </c>
      <c r="AX2854" s="5">
        <f>IF(R2854&gt;0,RANK(R2854,(N2854:P2854,Q2854:AE2854)),0)</f>
        <v>5</v>
      </c>
      <c r="AY2854" s="5">
        <f>IF(T2854&gt;0,RANK(T2854,(N2854:P2854,Q2854:AE2854)),0)</f>
        <v>0</v>
      </c>
      <c r="AZ2854" s="5">
        <f>IF(S2854&gt;0,RANK(S2854,(N2854:P2854,Q2854:AE2854)),0)</f>
        <v>6</v>
      </c>
      <c r="BA2854" s="2">
        <f t="shared" si="1114"/>
        <v>1.7673140573284205E-2</v>
      </c>
      <c r="BB2854" s="2">
        <f t="shared" si="1115"/>
        <v>3.6845063385998874E-3</v>
      </c>
      <c r="BC2854" s="2">
        <f t="shared" si="1116"/>
        <v>0</v>
      </c>
      <c r="BD2854" s="2">
        <f t="shared" si="1117"/>
        <v>9.3673889964403917E-4</v>
      </c>
      <c r="BF2854" t="s">
        <v>2841</v>
      </c>
      <c r="BG2854" t="s">
        <v>53</v>
      </c>
      <c r="BJ2854" s="114">
        <v>48</v>
      </c>
      <c r="BK2854" s="116">
        <v>459</v>
      </c>
      <c r="BL2854" s="120">
        <f t="shared" si="1108"/>
        <v>48459</v>
      </c>
      <c r="BN2854" s="5" t="s">
        <v>3154</v>
      </c>
      <c r="BZ2854" s="63">
        <f t="shared" si="1118"/>
        <v>16013</v>
      </c>
      <c r="CD2854" s="63">
        <v>0</v>
      </c>
      <c r="CE2854" s="63">
        <v>0</v>
      </c>
      <c r="CF2854" s="63">
        <v>0</v>
      </c>
      <c r="CG2854" s="8">
        <v>0</v>
      </c>
      <c r="CH2854" s="8">
        <v>0</v>
      </c>
      <c r="CI2854" s="8">
        <v>0</v>
      </c>
    </row>
    <row r="2855" spans="1:87" hidden="1" outlineLevel="1">
      <c r="A2855" t="s">
        <v>2020</v>
      </c>
      <c r="B2855" t="s">
        <v>53</v>
      </c>
      <c r="C2855" s="1">
        <f t="shared" si="1109"/>
        <v>1347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5</v>
      </c>
      <c r="G2855" s="132">
        <f t="shared" si="1119"/>
        <v>721</v>
      </c>
      <c r="H2855" s="137">
        <f t="shared" si="1120"/>
        <v>0.53526354862657755</v>
      </c>
      <c r="I2855" s="2"/>
      <c r="J2855" s="2">
        <f t="shared" si="1110"/>
        <v>0.21232368225686712</v>
      </c>
      <c r="K2855" s="2">
        <f t="shared" si="1111"/>
        <v>0.7475872308834447</v>
      </c>
      <c r="L2855" s="2">
        <f t="shared" si="1112"/>
        <v>7.4239049740163323E-4</v>
      </c>
      <c r="M2855" s="2">
        <f t="shared" si="1113"/>
        <v>3.9346696362286514E-2</v>
      </c>
      <c r="N2855" s="63">
        <v>286</v>
      </c>
      <c r="O2855" s="63">
        <v>1007</v>
      </c>
      <c r="P2855" s="63">
        <v>1</v>
      </c>
      <c r="Q2855" s="63">
        <v>49</v>
      </c>
      <c r="R2855" s="63">
        <v>3</v>
      </c>
      <c r="S2855" s="63">
        <v>1</v>
      </c>
      <c r="T2855" s="63"/>
      <c r="U2855" s="63">
        <v>0</v>
      </c>
      <c r="V2855" s="63"/>
      <c r="W2855" s="63">
        <f>IF(Copyright!B$11=1,IF(CA2855&gt;0,CA2855-SUM(S2855:V2855)-P2855-SUM(X2855:AQ2855),SUM(CB2855:CI2855)),SUM(CB2855:CI2855))</f>
        <v>0</v>
      </c>
      <c r="X2855" s="63"/>
      <c r="Y2855" s="63">
        <v>0</v>
      </c>
      <c r="Z2855" s="63"/>
      <c r="AA2855" s="63">
        <v>0</v>
      </c>
      <c r="AB2855" s="63"/>
      <c r="AC2855" s="63"/>
      <c r="AD2855" s="63"/>
      <c r="AE2855" s="63">
        <v>0</v>
      </c>
      <c r="AF2855" s="63"/>
      <c r="AG2855" s="63"/>
      <c r="AH2855" s="63"/>
      <c r="AI2855" s="63"/>
      <c r="AJ2855" s="63"/>
      <c r="AK2855" s="63"/>
      <c r="AL2855" s="63"/>
      <c r="AM2855" s="63"/>
      <c r="AN2855" s="63">
        <v>0</v>
      </c>
      <c r="AO2855" s="63"/>
      <c r="AP2855" s="63"/>
      <c r="AQ2855" s="63"/>
      <c r="AR2855" s="63"/>
      <c r="AS2855" s="63"/>
      <c r="AT2855" s="63"/>
      <c r="AU2855" s="63"/>
      <c r="AW2855" s="5">
        <f>IF(Q2855&gt;0,RANK(Q2855,(N2855:P2855,Q2855:AE2855)),0)</f>
        <v>3</v>
      </c>
      <c r="AX2855" s="5">
        <f>IF(R2855&gt;0,RANK(R2855,(N2855:P2855,Q2855:AE2855)),0)</f>
        <v>4</v>
      </c>
      <c r="AY2855" s="5">
        <f>IF(T2855&gt;0,RANK(T2855,(N2855:P2855,Q2855:AE2855)),0)</f>
        <v>0</v>
      </c>
      <c r="AZ2855" s="5">
        <f>IF(S2855&gt;0,RANK(S2855,(N2855:P2855,Q2855:AE2855)),0)</f>
        <v>5</v>
      </c>
      <c r="BA2855" s="2">
        <f t="shared" si="1114"/>
        <v>3.6377134372680031E-2</v>
      </c>
      <c r="BB2855" s="2">
        <f t="shared" si="1115"/>
        <v>2.2271714922048997E-3</v>
      </c>
      <c r="BC2855" s="2">
        <f t="shared" si="1116"/>
        <v>0</v>
      </c>
      <c r="BD2855" s="2">
        <f t="shared" si="1117"/>
        <v>7.4239049740163323E-4</v>
      </c>
      <c r="BF2855" t="s">
        <v>2020</v>
      </c>
      <c r="BG2855" t="s">
        <v>53</v>
      </c>
      <c r="BH2855">
        <v>23</v>
      </c>
      <c r="BJ2855" s="114">
        <v>48</v>
      </c>
      <c r="BK2855" s="116">
        <v>461</v>
      </c>
      <c r="BL2855" s="120">
        <f t="shared" si="1108"/>
        <v>48461</v>
      </c>
      <c r="BN2855" s="5" t="s">
        <v>3154</v>
      </c>
      <c r="BZ2855" s="63">
        <f t="shared" si="1118"/>
        <v>1347</v>
      </c>
      <c r="CD2855" s="63">
        <v>0</v>
      </c>
      <c r="CE2855" s="63">
        <v>0</v>
      </c>
      <c r="CF2855" s="63">
        <v>0</v>
      </c>
      <c r="CG2855" s="8">
        <v>0</v>
      </c>
      <c r="CH2855" s="8">
        <v>0</v>
      </c>
      <c r="CI2855" s="8">
        <v>0</v>
      </c>
    </row>
    <row r="2856" spans="1:87" hidden="1" outlineLevel="1">
      <c r="A2856" t="s">
        <v>747</v>
      </c>
      <c r="B2856" t="s">
        <v>53</v>
      </c>
      <c r="C2856" s="1">
        <f t="shared" si="1109"/>
        <v>8964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5</v>
      </c>
      <c r="G2856" s="132">
        <f t="shared" si="1119"/>
        <v>968</v>
      </c>
      <c r="H2856" s="137">
        <f t="shared" si="1120"/>
        <v>0.10798750557786703</v>
      </c>
      <c r="I2856" s="2"/>
      <c r="J2856" s="2">
        <f t="shared" si="1110"/>
        <v>0.43139223560910306</v>
      </c>
      <c r="K2856" s="2">
        <f t="shared" si="1111"/>
        <v>0.53937974118697007</v>
      </c>
      <c r="L2856" s="2">
        <f t="shared" si="1112"/>
        <v>1.4502454261490407E-3</v>
      </c>
      <c r="M2856" s="2">
        <f t="shared" si="1113"/>
        <v>2.7777777777777769E-2</v>
      </c>
      <c r="N2856" s="63">
        <v>3867</v>
      </c>
      <c r="O2856" s="63">
        <v>4835</v>
      </c>
      <c r="P2856" s="63">
        <v>13</v>
      </c>
      <c r="Q2856" s="63">
        <v>191</v>
      </c>
      <c r="R2856" s="63">
        <v>54</v>
      </c>
      <c r="S2856" s="63">
        <v>3</v>
      </c>
      <c r="T2856" s="63"/>
      <c r="U2856" s="63">
        <v>1</v>
      </c>
      <c r="V2856" s="63"/>
      <c r="W2856" s="63">
        <f>IF(Copyright!B$11=1,IF(CA2856&gt;0,CA2856-SUM(S2856:V2856)-P2856-SUM(X2856:AQ2856),SUM(CB2856:CI2856)),SUM(CB2856:CI2856))</f>
        <v>0</v>
      </c>
      <c r="X2856" s="63"/>
      <c r="Y2856" s="63">
        <v>0</v>
      </c>
      <c r="Z2856" s="63"/>
      <c r="AA2856" s="63">
        <v>0</v>
      </c>
      <c r="AB2856" s="63"/>
      <c r="AC2856" s="63"/>
      <c r="AD2856" s="63"/>
      <c r="AE2856" s="63">
        <v>0</v>
      </c>
      <c r="AF2856" s="63"/>
      <c r="AG2856" s="63"/>
      <c r="AH2856" s="63"/>
      <c r="AI2856" s="63"/>
      <c r="AJ2856" s="63"/>
      <c r="AK2856" s="63"/>
      <c r="AL2856" s="63"/>
      <c r="AM2856" s="63"/>
      <c r="AN2856" s="63">
        <v>0</v>
      </c>
      <c r="AO2856" s="63"/>
      <c r="AP2856" s="63"/>
      <c r="AQ2856" s="63"/>
      <c r="AR2856" s="63"/>
      <c r="AS2856" s="63"/>
      <c r="AT2856" s="63"/>
      <c r="AU2856" s="63"/>
      <c r="AW2856" s="5">
        <f>IF(Q2856&gt;0,RANK(Q2856,(N2856:P2856,Q2856:AE2856)),0)</f>
        <v>3</v>
      </c>
      <c r="AX2856" s="5">
        <f>IF(R2856&gt;0,RANK(R2856,(N2856:P2856,Q2856:AE2856)),0)</f>
        <v>4</v>
      </c>
      <c r="AY2856" s="5">
        <f>IF(T2856&gt;0,RANK(T2856,(N2856:P2856,Q2856:AE2856)),0)</f>
        <v>0</v>
      </c>
      <c r="AZ2856" s="5">
        <f>IF(S2856&gt;0,RANK(S2856,(N2856:P2856,Q2856:AE2856)),0)</f>
        <v>6</v>
      </c>
      <c r="BA2856" s="2">
        <f t="shared" si="1114"/>
        <v>2.1307452030343597E-2</v>
      </c>
      <c r="BB2856" s="2">
        <f t="shared" si="1115"/>
        <v>6.024096385542169E-3</v>
      </c>
      <c r="BC2856" s="2">
        <f t="shared" si="1116"/>
        <v>0</v>
      </c>
      <c r="BD2856" s="2">
        <f t="shared" si="1117"/>
        <v>3.3467202141900936E-4</v>
      </c>
      <c r="BF2856" t="s">
        <v>747</v>
      </c>
      <c r="BG2856" t="s">
        <v>53</v>
      </c>
      <c r="BH2856">
        <v>23</v>
      </c>
      <c r="BJ2856" s="114">
        <v>48</v>
      </c>
      <c r="BK2856" s="116">
        <v>463</v>
      </c>
      <c r="BL2856" s="120">
        <f t="shared" si="1108"/>
        <v>48463</v>
      </c>
      <c r="BN2856" s="5" t="s">
        <v>3154</v>
      </c>
      <c r="BZ2856" s="63">
        <f t="shared" si="1118"/>
        <v>8964</v>
      </c>
      <c r="CD2856" s="63">
        <v>0</v>
      </c>
      <c r="CE2856" s="63">
        <v>0</v>
      </c>
      <c r="CF2856" s="63">
        <v>0</v>
      </c>
      <c r="CG2856" s="8">
        <v>0</v>
      </c>
      <c r="CH2856" s="8">
        <v>0</v>
      </c>
      <c r="CI2856" s="8">
        <v>0</v>
      </c>
    </row>
    <row r="2857" spans="1:87" hidden="1" outlineLevel="1">
      <c r="A2857" t="s">
        <v>926</v>
      </c>
      <c r="B2857" t="s">
        <v>53</v>
      </c>
      <c r="C2857" s="1">
        <f t="shared" si="1109"/>
        <v>13617</v>
      </c>
      <c r="D2857" s="5">
        <f>IF(N2857&gt;0, RANK(N2857,(N2857:P2857,Q2857:AE2857)),0)</f>
        <v>1</v>
      </c>
      <c r="E2857" s="5">
        <f>IF(O2857&gt;0,RANK(O2857,(N2857:P2857,Q2857:AE2857)),0)</f>
        <v>2</v>
      </c>
      <c r="F2857" s="5">
        <f>IF(P2857&gt;0,RANK(P2857,(N2857:P2857,Q2857:AE2857)),0)</f>
        <v>5</v>
      </c>
      <c r="G2857" s="132">
        <f t="shared" si="1119"/>
        <v>1074</v>
      </c>
      <c r="H2857" s="137">
        <f t="shared" si="1120"/>
        <v>7.8871998237497243E-2</v>
      </c>
      <c r="I2857" s="2"/>
      <c r="J2857" s="2">
        <f t="shared" si="1110"/>
        <v>0.51141954909304543</v>
      </c>
      <c r="K2857" s="2">
        <f t="shared" si="1111"/>
        <v>0.43254755085554819</v>
      </c>
      <c r="L2857" s="2">
        <f t="shared" si="1112"/>
        <v>3.7453183520599251E-3</v>
      </c>
      <c r="M2857" s="2">
        <f t="shared" si="1113"/>
        <v>5.2287581699346448E-2</v>
      </c>
      <c r="N2857" s="63">
        <v>6964</v>
      </c>
      <c r="O2857" s="63">
        <v>5890</v>
      </c>
      <c r="P2857" s="63">
        <v>51</v>
      </c>
      <c r="Q2857" s="63">
        <v>573</v>
      </c>
      <c r="R2857" s="63">
        <v>131</v>
      </c>
      <c r="S2857" s="63">
        <v>6</v>
      </c>
      <c r="T2857" s="63"/>
      <c r="U2857" s="63">
        <v>1</v>
      </c>
      <c r="V2857" s="63"/>
      <c r="W2857" s="63">
        <f>IF(Copyright!B$11=1,IF(CA2857&gt;0,CA2857-SUM(S2857:V2857)-P2857-SUM(X2857:AQ2857),SUM(CB2857:CI2857)),SUM(CB2857:CI2857))</f>
        <v>0</v>
      </c>
      <c r="X2857" s="63"/>
      <c r="Y2857" s="63">
        <v>1</v>
      </c>
      <c r="Z2857" s="63"/>
      <c r="AA2857" s="63">
        <v>0</v>
      </c>
      <c r="AB2857" s="63"/>
      <c r="AC2857" s="63"/>
      <c r="AD2857" s="63"/>
      <c r="AE2857" s="63">
        <v>0</v>
      </c>
      <c r="AF2857" s="63"/>
      <c r="AG2857" s="63"/>
      <c r="AH2857" s="63"/>
      <c r="AI2857" s="63"/>
      <c r="AJ2857" s="63"/>
      <c r="AK2857" s="63"/>
      <c r="AL2857" s="63"/>
      <c r="AM2857" s="63"/>
      <c r="AN2857" s="63">
        <v>0</v>
      </c>
      <c r="AO2857" s="63"/>
      <c r="AP2857" s="63"/>
      <c r="AQ2857" s="63"/>
      <c r="AR2857" s="63"/>
      <c r="AS2857" s="63"/>
      <c r="AT2857" s="63"/>
      <c r="AU2857" s="63"/>
      <c r="AW2857" s="5">
        <f>IF(Q2857&gt;0,RANK(Q2857,(N2857:P2857,Q2857:AE2857)),0)</f>
        <v>3</v>
      </c>
      <c r="AX2857" s="5">
        <f>IF(R2857&gt;0,RANK(R2857,(N2857:P2857,Q2857:AE2857)),0)</f>
        <v>4</v>
      </c>
      <c r="AY2857" s="5">
        <f>IF(T2857&gt;0,RANK(T2857,(N2857:P2857,Q2857:AE2857)),0)</f>
        <v>0</v>
      </c>
      <c r="AZ2857" s="5">
        <f>IF(S2857&gt;0,RANK(S2857,(N2857:P2857,Q2857:AE2857)),0)</f>
        <v>6</v>
      </c>
      <c r="BA2857" s="2">
        <f t="shared" si="1114"/>
        <v>4.2079753249614452E-2</v>
      </c>
      <c r="BB2857" s="2">
        <f t="shared" si="1115"/>
        <v>9.620327531761768E-3</v>
      </c>
      <c r="BC2857" s="2">
        <f t="shared" si="1116"/>
        <v>0</v>
      </c>
      <c r="BD2857" s="2">
        <f t="shared" si="1117"/>
        <v>4.4062568847763823E-4</v>
      </c>
      <c r="BF2857" t="s">
        <v>926</v>
      </c>
      <c r="BG2857" t="s">
        <v>53</v>
      </c>
      <c r="BH2857">
        <v>23</v>
      </c>
      <c r="BJ2857" s="114">
        <v>48</v>
      </c>
      <c r="BK2857" s="116">
        <v>465</v>
      </c>
      <c r="BL2857" s="120">
        <f t="shared" si="1108"/>
        <v>48465</v>
      </c>
      <c r="BN2857" s="5" t="s">
        <v>3154</v>
      </c>
      <c r="BZ2857" s="63">
        <f t="shared" si="1118"/>
        <v>13617</v>
      </c>
      <c r="CD2857" s="63">
        <v>0</v>
      </c>
      <c r="CE2857" s="63">
        <v>0</v>
      </c>
      <c r="CF2857" s="63">
        <v>0</v>
      </c>
      <c r="CG2857" s="8">
        <v>0</v>
      </c>
      <c r="CH2857" s="8">
        <v>0</v>
      </c>
      <c r="CI2857" s="8">
        <v>0</v>
      </c>
    </row>
    <row r="2858" spans="1:87" hidden="1" outlineLevel="1">
      <c r="A2858" t="s">
        <v>2095</v>
      </c>
      <c r="B2858" t="s">
        <v>53</v>
      </c>
      <c r="C2858" s="1">
        <f t="shared" si="1109"/>
        <v>21890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4</v>
      </c>
      <c r="G2858" s="132">
        <f t="shared" si="1119"/>
        <v>15674</v>
      </c>
      <c r="H2858" s="137">
        <f t="shared" si="1120"/>
        <v>0.71603471904979443</v>
      </c>
      <c r="I2858" s="2"/>
      <c r="J2858" s="2">
        <f t="shared" si="1110"/>
        <v>0.12786660575605299</v>
      </c>
      <c r="K2858" s="2">
        <f t="shared" si="1111"/>
        <v>0.84390132480584745</v>
      </c>
      <c r="L2858" s="2">
        <f t="shared" si="1112"/>
        <v>4.0657834627683877E-3</v>
      </c>
      <c r="M2858" s="2">
        <f t="shared" si="1113"/>
        <v>2.4166285975331138E-2</v>
      </c>
      <c r="N2858" s="63">
        <v>2799</v>
      </c>
      <c r="O2858" s="63">
        <v>18473</v>
      </c>
      <c r="P2858" s="63">
        <v>89</v>
      </c>
      <c r="Q2858" s="63">
        <v>385</v>
      </c>
      <c r="R2858" s="63">
        <v>77</v>
      </c>
      <c r="S2858" s="63">
        <v>25</v>
      </c>
      <c r="T2858" s="63"/>
      <c r="U2858" s="63">
        <v>3</v>
      </c>
      <c r="V2858" s="63"/>
      <c r="W2858" s="63">
        <f>IF(Copyright!B$11=1,IF(CA2858&gt;0,CA2858-SUM(S2858:V2858)-P2858-SUM(X2858:AQ2858),SUM(CB2858:CI2858)),SUM(CB2858:CI2858))</f>
        <v>19</v>
      </c>
      <c r="X2858" s="63"/>
      <c r="Y2858" s="63">
        <v>10</v>
      </c>
      <c r="Z2858" s="63"/>
      <c r="AA2858" s="63">
        <v>0</v>
      </c>
      <c r="AB2858" s="63"/>
      <c r="AC2858" s="63"/>
      <c r="AD2858" s="63"/>
      <c r="AE2858" s="63">
        <v>4</v>
      </c>
      <c r="AF2858" s="63"/>
      <c r="AG2858" s="63"/>
      <c r="AH2858" s="63"/>
      <c r="AI2858" s="63"/>
      <c r="AJ2858" s="63"/>
      <c r="AK2858" s="63"/>
      <c r="AL2858" s="63"/>
      <c r="AM2858" s="63"/>
      <c r="AN2858" s="63">
        <v>6</v>
      </c>
      <c r="AO2858" s="63"/>
      <c r="AP2858" s="63"/>
      <c r="AQ2858" s="63"/>
      <c r="AR2858" s="63"/>
      <c r="AS2858" s="63"/>
      <c r="AT2858" s="63"/>
      <c r="AU2858" s="63"/>
      <c r="AW2858" s="5">
        <f>IF(Q2858&gt;0,RANK(Q2858,(N2858:P2858,Q2858:AE2858)),0)</f>
        <v>3</v>
      </c>
      <c r="AX2858" s="5">
        <f>IF(R2858&gt;0,RANK(R2858,(N2858:P2858,Q2858:AE2858)),0)</f>
        <v>5</v>
      </c>
      <c r="AY2858" s="5">
        <f>IF(T2858&gt;0,RANK(T2858,(N2858:P2858,Q2858:AE2858)),0)</f>
        <v>0</v>
      </c>
      <c r="AZ2858" s="5">
        <f>IF(S2858&gt;0,RANK(S2858,(N2858:P2858,Q2858:AE2858)),0)</f>
        <v>6</v>
      </c>
      <c r="BA2858" s="2">
        <f t="shared" si="1114"/>
        <v>1.7587939698492462E-2</v>
      </c>
      <c r="BB2858" s="2">
        <f t="shared" si="1115"/>
        <v>3.5175879396984926E-3</v>
      </c>
      <c r="BC2858" s="2">
        <f t="shared" si="1116"/>
        <v>0</v>
      </c>
      <c r="BD2858" s="2">
        <f t="shared" si="1117"/>
        <v>1.1420740063956144E-3</v>
      </c>
      <c r="BF2858" t="s">
        <v>2095</v>
      </c>
      <c r="BG2858" t="s">
        <v>53</v>
      </c>
      <c r="BH2858">
        <v>5</v>
      </c>
      <c r="BJ2858" s="114">
        <v>48</v>
      </c>
      <c r="BK2858" s="116">
        <v>467</v>
      </c>
      <c r="BL2858" s="120">
        <f t="shared" ref="BL2858:BL2921" si="1121">1000*BJ2858+BK2858</f>
        <v>48467</v>
      </c>
      <c r="BN2858" s="5" t="s">
        <v>3154</v>
      </c>
      <c r="BZ2858" s="63">
        <f t="shared" si="1118"/>
        <v>21890</v>
      </c>
      <c r="CD2858" s="63">
        <v>2</v>
      </c>
      <c r="CE2858" s="63">
        <v>5</v>
      </c>
      <c r="CF2858" s="63">
        <v>0</v>
      </c>
      <c r="CG2858" s="8">
        <v>5</v>
      </c>
      <c r="CH2858" s="8">
        <v>0</v>
      </c>
      <c r="CI2858" s="8">
        <v>7</v>
      </c>
    </row>
    <row r="2859" spans="1:87" hidden="1" outlineLevel="1">
      <c r="A2859" t="s">
        <v>6</v>
      </c>
      <c r="B2859" t="s">
        <v>53</v>
      </c>
      <c r="C2859" s="1">
        <f t="shared" si="1109"/>
        <v>31324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6</v>
      </c>
      <c r="G2859" s="132">
        <f t="shared" si="1119"/>
        <v>12409</v>
      </c>
      <c r="H2859" s="137">
        <f t="shared" si="1120"/>
        <v>0.39614991699655216</v>
      </c>
      <c r="I2859" s="2"/>
      <c r="J2859" s="2">
        <f t="shared" si="1110"/>
        <v>0.28304175711914187</v>
      </c>
      <c r="K2859" s="2">
        <f t="shared" si="1111"/>
        <v>0.67919167411569403</v>
      </c>
      <c r="L2859" s="2">
        <f t="shared" si="1112"/>
        <v>1.2131273145192184E-3</v>
      </c>
      <c r="M2859" s="2">
        <f t="shared" si="1113"/>
        <v>3.6553441450644826E-2</v>
      </c>
      <c r="N2859" s="63">
        <v>8866</v>
      </c>
      <c r="O2859" s="63">
        <v>21275</v>
      </c>
      <c r="P2859" s="63">
        <v>38</v>
      </c>
      <c r="Q2859" s="63">
        <v>782</v>
      </c>
      <c r="R2859" s="63">
        <v>156</v>
      </c>
      <c r="S2859" s="63">
        <v>5</v>
      </c>
      <c r="T2859" s="63"/>
      <c r="U2859" s="63">
        <v>0</v>
      </c>
      <c r="V2859" s="63"/>
      <c r="W2859" s="63">
        <f>IF(Copyright!B$11=1,IF(CA2859&gt;0,CA2859-SUM(S2859:V2859)-P2859-SUM(X2859:AQ2859),SUM(CB2859:CI2859)),SUM(CB2859:CI2859))</f>
        <v>201</v>
      </c>
      <c r="X2859" s="63"/>
      <c r="Y2859" s="63">
        <v>0</v>
      </c>
      <c r="Z2859" s="63"/>
      <c r="AA2859" s="63">
        <v>0</v>
      </c>
      <c r="AB2859" s="63"/>
      <c r="AC2859" s="63"/>
      <c r="AD2859" s="63"/>
      <c r="AE2859" s="63">
        <v>0</v>
      </c>
      <c r="AF2859" s="63"/>
      <c r="AG2859" s="63"/>
      <c r="AH2859" s="63"/>
      <c r="AI2859" s="63"/>
      <c r="AJ2859" s="63"/>
      <c r="AK2859" s="63"/>
      <c r="AL2859" s="63"/>
      <c r="AM2859" s="63"/>
      <c r="AN2859" s="63">
        <v>1</v>
      </c>
      <c r="AO2859" s="63"/>
      <c r="AP2859" s="63"/>
      <c r="AQ2859" s="63"/>
      <c r="AR2859" s="63"/>
      <c r="AS2859" s="63"/>
      <c r="AT2859" s="63"/>
      <c r="AU2859" s="63"/>
      <c r="AW2859" s="5">
        <f>IF(Q2859&gt;0,RANK(Q2859,(N2859:P2859,Q2859:AE2859)),0)</f>
        <v>3</v>
      </c>
      <c r="AX2859" s="5">
        <f>IF(R2859&gt;0,RANK(R2859,(N2859:P2859,Q2859:AE2859)),0)</f>
        <v>5</v>
      </c>
      <c r="AY2859" s="5">
        <f>IF(T2859&gt;0,RANK(T2859,(N2859:P2859,Q2859:AE2859)),0)</f>
        <v>0</v>
      </c>
      <c r="AZ2859" s="5">
        <f>IF(S2859&gt;0,RANK(S2859,(N2859:P2859,Q2859:AE2859)),0)</f>
        <v>7</v>
      </c>
      <c r="BA2859" s="2">
        <f t="shared" si="1114"/>
        <v>2.4964883156684971E-2</v>
      </c>
      <c r="BB2859" s="2">
        <f t="shared" si="1115"/>
        <v>4.9802068701315285E-3</v>
      </c>
      <c r="BC2859" s="2">
        <f t="shared" si="1116"/>
        <v>0</v>
      </c>
      <c r="BD2859" s="2">
        <f t="shared" si="1117"/>
        <v>1.5962201506831823E-4</v>
      </c>
      <c r="BF2859" t="s">
        <v>6</v>
      </c>
      <c r="BG2859" t="s">
        <v>53</v>
      </c>
      <c r="BH2859">
        <v>27</v>
      </c>
      <c r="BJ2859" s="114">
        <v>48</v>
      </c>
      <c r="BK2859" s="116">
        <v>469</v>
      </c>
      <c r="BL2859" s="120">
        <f t="shared" si="1121"/>
        <v>48469</v>
      </c>
      <c r="BN2859" s="5" t="s">
        <v>3154</v>
      </c>
      <c r="BY2859" s="63">
        <v>31324</v>
      </c>
      <c r="BZ2859" s="63">
        <f t="shared" si="1118"/>
        <v>31324</v>
      </c>
      <c r="CA2859" s="63">
        <v>245</v>
      </c>
      <c r="CD2859" s="63">
        <v>0</v>
      </c>
      <c r="CE2859" s="63">
        <v>0</v>
      </c>
      <c r="CF2859" s="63">
        <v>0</v>
      </c>
      <c r="CG2859" s="8">
        <v>0</v>
      </c>
      <c r="CH2859" s="8">
        <v>0</v>
      </c>
      <c r="CI2859" s="8">
        <v>0</v>
      </c>
    </row>
    <row r="2860" spans="1:87" hidden="1" outlineLevel="1">
      <c r="A2860" t="s">
        <v>1376</v>
      </c>
      <c r="B2860" t="s">
        <v>53</v>
      </c>
      <c r="C2860" s="1">
        <f t="shared" si="1109"/>
        <v>19796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5</v>
      </c>
      <c r="G2860" s="132">
        <f t="shared" si="1119"/>
        <v>6793</v>
      </c>
      <c r="H2860" s="137">
        <f t="shared" si="1120"/>
        <v>0.3431501313396646</v>
      </c>
      <c r="I2860" s="2"/>
      <c r="J2860" s="2">
        <f t="shared" si="1110"/>
        <v>0.30768842190341483</v>
      </c>
      <c r="K2860" s="2">
        <f t="shared" si="1111"/>
        <v>0.65083855324307938</v>
      </c>
      <c r="L2860" s="2">
        <f t="shared" si="1112"/>
        <v>3.8391594261466965E-3</v>
      </c>
      <c r="M2860" s="2">
        <f t="shared" si="1113"/>
        <v>3.7633865427359095E-2</v>
      </c>
      <c r="N2860" s="63">
        <v>6091</v>
      </c>
      <c r="O2860" s="63">
        <v>12884</v>
      </c>
      <c r="P2860" s="63">
        <v>76</v>
      </c>
      <c r="Q2860" s="63">
        <v>560</v>
      </c>
      <c r="R2860" s="63">
        <v>161</v>
      </c>
      <c r="S2860" s="63">
        <v>18</v>
      </c>
      <c r="T2860" s="63"/>
      <c r="U2860" s="63">
        <v>1</v>
      </c>
      <c r="V2860" s="63"/>
      <c r="W2860" s="63">
        <f>IF(Copyright!B$11=1,IF(CA2860&gt;0,CA2860-SUM(S2860:V2860)-P2860-SUM(X2860:AQ2860),SUM(CB2860:CI2860)),SUM(CB2860:CI2860))</f>
        <v>1</v>
      </c>
      <c r="X2860" s="63"/>
      <c r="Y2860" s="63">
        <v>2</v>
      </c>
      <c r="Z2860" s="63"/>
      <c r="AA2860" s="63">
        <v>0</v>
      </c>
      <c r="AB2860" s="63"/>
      <c r="AC2860" s="63"/>
      <c r="AD2860" s="63"/>
      <c r="AE2860" s="63">
        <v>1</v>
      </c>
      <c r="AF2860" s="63"/>
      <c r="AG2860" s="63"/>
      <c r="AH2860" s="63"/>
      <c r="AI2860" s="63"/>
      <c r="AJ2860" s="63"/>
      <c r="AK2860" s="63"/>
      <c r="AL2860" s="63"/>
      <c r="AM2860" s="63"/>
      <c r="AN2860" s="63">
        <v>1</v>
      </c>
      <c r="AO2860" s="63"/>
      <c r="AP2860" s="63"/>
      <c r="AQ2860" s="63"/>
      <c r="AR2860" s="63"/>
      <c r="AS2860" s="63"/>
      <c r="AT2860" s="63"/>
      <c r="AU2860" s="63"/>
      <c r="AW2860" s="5">
        <f>IF(Q2860&gt;0,RANK(Q2860,(N2860:P2860,Q2860:AE2860)),0)</f>
        <v>3</v>
      </c>
      <c r="AX2860" s="5">
        <f>IF(R2860&gt;0,RANK(R2860,(N2860:P2860,Q2860:AE2860)),0)</f>
        <v>4</v>
      </c>
      <c r="AY2860" s="5">
        <f>IF(T2860&gt;0,RANK(T2860,(N2860:P2860,Q2860:AE2860)),0)</f>
        <v>0</v>
      </c>
      <c r="AZ2860" s="5">
        <f>IF(S2860&gt;0,RANK(S2860,(N2860:P2860,Q2860:AE2860)),0)</f>
        <v>6</v>
      </c>
      <c r="BA2860" s="2">
        <f t="shared" si="1114"/>
        <v>2.8288543140028287E-2</v>
      </c>
      <c r="BB2860" s="2">
        <f t="shared" si="1115"/>
        <v>8.1329561527581327E-3</v>
      </c>
      <c r="BC2860" s="2">
        <f t="shared" si="1116"/>
        <v>0</v>
      </c>
      <c r="BD2860" s="2">
        <f t="shared" si="1117"/>
        <v>9.0927460092948072E-4</v>
      </c>
      <c r="BF2860" t="s">
        <v>1376</v>
      </c>
      <c r="BG2860" t="s">
        <v>53</v>
      </c>
      <c r="BH2860">
        <v>8</v>
      </c>
      <c r="BJ2860" s="114">
        <v>48</v>
      </c>
      <c r="BK2860" s="116">
        <v>471</v>
      </c>
      <c r="BL2860" s="120">
        <f t="shared" si="1121"/>
        <v>48471</v>
      </c>
      <c r="BN2860" s="5" t="s">
        <v>3154</v>
      </c>
      <c r="BZ2860" s="63">
        <f t="shared" si="1118"/>
        <v>19796</v>
      </c>
      <c r="CD2860" s="63">
        <v>0</v>
      </c>
      <c r="CE2860" s="63">
        <v>0</v>
      </c>
      <c r="CF2860" s="63">
        <v>0</v>
      </c>
      <c r="CG2860" s="8">
        <v>0</v>
      </c>
      <c r="CH2860" s="8">
        <v>1</v>
      </c>
      <c r="CI2860" s="8">
        <v>0</v>
      </c>
    </row>
    <row r="2861" spans="1:87" hidden="1" outlineLevel="1">
      <c r="A2861" t="s">
        <v>1935</v>
      </c>
      <c r="B2861" t="s">
        <v>53</v>
      </c>
      <c r="C2861" s="1">
        <f t="shared" si="1109"/>
        <v>16784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5</v>
      </c>
      <c r="G2861" s="132">
        <f t="shared" si="1119"/>
        <v>4783</v>
      </c>
      <c r="H2861" s="137">
        <f t="shared" si="1120"/>
        <v>0.28497378455672068</v>
      </c>
      <c r="I2861" s="2"/>
      <c r="J2861" s="2">
        <f t="shared" si="1110"/>
        <v>0.34246901811248809</v>
      </c>
      <c r="K2861" s="2">
        <f t="shared" si="1111"/>
        <v>0.62744280266920882</v>
      </c>
      <c r="L2861" s="2">
        <f t="shared" si="1112"/>
        <v>2.561963775023832E-3</v>
      </c>
      <c r="M2861" s="2">
        <f t="shared" si="1113"/>
        <v>2.752621544327926E-2</v>
      </c>
      <c r="N2861" s="63">
        <v>5748</v>
      </c>
      <c r="O2861" s="63">
        <v>10531</v>
      </c>
      <c r="P2861" s="63">
        <v>43</v>
      </c>
      <c r="Q2861" s="63">
        <v>342</v>
      </c>
      <c r="R2861" s="63">
        <v>104</v>
      </c>
      <c r="S2861" s="63">
        <v>10</v>
      </c>
      <c r="T2861" s="63"/>
      <c r="U2861" s="63">
        <v>0</v>
      </c>
      <c r="V2861" s="63"/>
      <c r="W2861" s="63">
        <f>IF(Copyright!B$11=1,IF(CA2861&gt;0,CA2861-SUM(S2861:V2861)-P2861-SUM(X2861:AQ2861),SUM(CB2861:CI2861)),SUM(CB2861:CI2861))</f>
        <v>1</v>
      </c>
      <c r="X2861" s="63"/>
      <c r="Y2861" s="63">
        <v>2</v>
      </c>
      <c r="Z2861" s="63"/>
      <c r="AA2861" s="63">
        <v>0</v>
      </c>
      <c r="AB2861" s="63"/>
      <c r="AC2861" s="63"/>
      <c r="AD2861" s="63"/>
      <c r="AE2861" s="63">
        <v>2</v>
      </c>
      <c r="AF2861" s="63"/>
      <c r="AG2861" s="63"/>
      <c r="AH2861" s="63"/>
      <c r="AI2861" s="63"/>
      <c r="AJ2861" s="63"/>
      <c r="AK2861" s="63"/>
      <c r="AL2861" s="63"/>
      <c r="AM2861" s="63"/>
      <c r="AN2861" s="63">
        <v>1</v>
      </c>
      <c r="AO2861" s="63"/>
      <c r="AP2861" s="63"/>
      <c r="AQ2861" s="63"/>
      <c r="AR2861" s="63"/>
      <c r="AS2861" s="63"/>
      <c r="AT2861" s="63"/>
      <c r="AU2861" s="63"/>
      <c r="AW2861" s="5">
        <f>IF(Q2861&gt;0,RANK(Q2861,(N2861:P2861,Q2861:AE2861)),0)</f>
        <v>3</v>
      </c>
      <c r="AX2861" s="5">
        <f>IF(R2861&gt;0,RANK(R2861,(N2861:P2861,Q2861:AE2861)),0)</f>
        <v>4</v>
      </c>
      <c r="AY2861" s="5">
        <f>IF(T2861&gt;0,RANK(T2861,(N2861:P2861,Q2861:AE2861)),0)</f>
        <v>0</v>
      </c>
      <c r="AZ2861" s="5">
        <f>IF(S2861&gt;0,RANK(S2861,(N2861:P2861,Q2861:AE2861)),0)</f>
        <v>6</v>
      </c>
      <c r="BA2861" s="2">
        <f t="shared" si="1114"/>
        <v>2.0376549094375595E-2</v>
      </c>
      <c r="BB2861" s="2">
        <f t="shared" si="1115"/>
        <v>6.1963775023832221E-3</v>
      </c>
      <c r="BC2861" s="2">
        <f t="shared" si="1116"/>
        <v>0</v>
      </c>
      <c r="BD2861" s="2">
        <f t="shared" si="1117"/>
        <v>5.9580552907530985E-4</v>
      </c>
      <c r="BF2861" t="s">
        <v>1935</v>
      </c>
      <c r="BG2861" t="s">
        <v>53</v>
      </c>
      <c r="BH2861">
        <v>10</v>
      </c>
      <c r="BJ2861" s="114">
        <v>48</v>
      </c>
      <c r="BK2861" s="116">
        <v>473</v>
      </c>
      <c r="BL2861" s="120">
        <f t="shared" si="1121"/>
        <v>48473</v>
      </c>
      <c r="BN2861" s="5" t="s">
        <v>3154</v>
      </c>
      <c r="BZ2861" s="63">
        <f t="shared" si="1118"/>
        <v>16784</v>
      </c>
      <c r="CD2861" s="63">
        <v>0</v>
      </c>
      <c r="CE2861" s="63">
        <v>0</v>
      </c>
      <c r="CF2861" s="63">
        <v>1</v>
      </c>
      <c r="CG2861" s="8">
        <v>0</v>
      </c>
      <c r="CH2861" s="8">
        <v>0</v>
      </c>
      <c r="CI2861" s="8">
        <v>0</v>
      </c>
    </row>
    <row r="2862" spans="1:87" hidden="1" outlineLevel="1">
      <c r="A2862" t="s">
        <v>702</v>
      </c>
      <c r="B2862" t="s">
        <v>53</v>
      </c>
      <c r="C2862" s="1">
        <f t="shared" si="1109"/>
        <v>3445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4</v>
      </c>
      <c r="G2862" s="132">
        <f t="shared" si="1119"/>
        <v>1764</v>
      </c>
      <c r="H2862" s="137">
        <f t="shared" si="1120"/>
        <v>0.5120464441219158</v>
      </c>
      <c r="I2862" s="2"/>
      <c r="J2862" s="2">
        <f t="shared" si="1110"/>
        <v>0.22728592162554426</v>
      </c>
      <c r="K2862" s="2">
        <f t="shared" si="1111"/>
        <v>0.73933236574746009</v>
      </c>
      <c r="L2862" s="2">
        <f t="shared" si="1112"/>
        <v>4.0638606676342524E-3</v>
      </c>
      <c r="M2862" s="2">
        <f t="shared" si="1113"/>
        <v>2.9317851959361377E-2</v>
      </c>
      <c r="N2862" s="63">
        <v>783</v>
      </c>
      <c r="O2862" s="63">
        <v>2547</v>
      </c>
      <c r="P2862" s="63">
        <v>14</v>
      </c>
      <c r="Q2862" s="63">
        <v>82</v>
      </c>
      <c r="R2862" s="63">
        <v>10</v>
      </c>
      <c r="S2862" s="63">
        <v>3</v>
      </c>
      <c r="T2862" s="63"/>
      <c r="U2862" s="63">
        <v>0</v>
      </c>
      <c r="V2862" s="63"/>
      <c r="W2862" s="63">
        <f>IF(Copyright!B$11=1,IF(CA2862&gt;0,CA2862-SUM(S2862:V2862)-P2862-SUM(X2862:AQ2862),SUM(CB2862:CI2862)),SUM(CB2862:CI2862))</f>
        <v>4</v>
      </c>
      <c r="X2862" s="63"/>
      <c r="Y2862" s="63">
        <v>0</v>
      </c>
      <c r="Z2862" s="63"/>
      <c r="AA2862" s="63">
        <v>0</v>
      </c>
      <c r="AB2862" s="63"/>
      <c r="AC2862" s="63"/>
      <c r="AD2862" s="63"/>
      <c r="AE2862" s="63">
        <v>0</v>
      </c>
      <c r="AF2862" s="63"/>
      <c r="AG2862" s="63"/>
      <c r="AH2862" s="63"/>
      <c r="AI2862" s="63"/>
      <c r="AJ2862" s="63"/>
      <c r="AK2862" s="63"/>
      <c r="AL2862" s="63"/>
      <c r="AM2862" s="63"/>
      <c r="AN2862" s="63">
        <v>2</v>
      </c>
      <c r="AO2862" s="63"/>
      <c r="AP2862" s="63"/>
      <c r="AQ2862" s="63"/>
      <c r="AR2862" s="63"/>
      <c r="AS2862" s="63"/>
      <c r="AT2862" s="63"/>
      <c r="AU2862" s="63"/>
      <c r="AW2862" s="5">
        <f>IF(Q2862&gt;0,RANK(Q2862,(N2862:P2862,Q2862:AE2862)),0)</f>
        <v>3</v>
      </c>
      <c r="AX2862" s="5">
        <f>IF(R2862&gt;0,RANK(R2862,(N2862:P2862,Q2862:AE2862)),0)</f>
        <v>5</v>
      </c>
      <c r="AY2862" s="5">
        <f>IF(T2862&gt;0,RANK(T2862,(N2862:P2862,Q2862:AE2862)),0)</f>
        <v>0</v>
      </c>
      <c r="AZ2862" s="5">
        <f>IF(S2862&gt;0,RANK(S2862,(N2862:P2862,Q2862:AE2862)),0)</f>
        <v>7</v>
      </c>
      <c r="BA2862" s="2">
        <f t="shared" si="1114"/>
        <v>2.3802612481857766E-2</v>
      </c>
      <c r="BB2862" s="2">
        <f t="shared" si="1115"/>
        <v>2.9027576197387518E-3</v>
      </c>
      <c r="BC2862" s="2">
        <f t="shared" si="1116"/>
        <v>0</v>
      </c>
      <c r="BD2862" s="2">
        <f t="shared" si="1117"/>
        <v>8.7082728592162558E-4</v>
      </c>
      <c r="BF2862" t="s">
        <v>702</v>
      </c>
      <c r="BG2862" t="s">
        <v>53</v>
      </c>
      <c r="BH2862">
        <v>23</v>
      </c>
      <c r="BJ2862" s="114">
        <v>48</v>
      </c>
      <c r="BK2862" s="116">
        <v>475</v>
      </c>
      <c r="BL2862" s="120">
        <f t="shared" si="1121"/>
        <v>48475</v>
      </c>
      <c r="BN2862" s="5" t="s">
        <v>3154</v>
      </c>
      <c r="BZ2862" s="63">
        <f t="shared" si="1118"/>
        <v>3445</v>
      </c>
      <c r="CD2862" s="63">
        <v>3</v>
      </c>
      <c r="CE2862" s="63">
        <v>1</v>
      </c>
      <c r="CF2862" s="63">
        <v>0</v>
      </c>
      <c r="CG2862" s="8">
        <v>0</v>
      </c>
      <c r="CH2862" s="8">
        <v>0</v>
      </c>
      <c r="CI2862" s="8">
        <v>0</v>
      </c>
    </row>
    <row r="2863" spans="1:87" hidden="1" outlineLevel="1">
      <c r="A2863" t="s">
        <v>692</v>
      </c>
      <c r="B2863" t="s">
        <v>53</v>
      </c>
      <c r="C2863" s="1">
        <f t="shared" si="1109"/>
        <v>14832</v>
      </c>
      <c r="D2863" s="5">
        <f>IF(N2863&gt;0, RANK(N2863,(N2863:P2863,Q2863:AE2863)),0)</f>
        <v>2</v>
      </c>
      <c r="E2863" s="5">
        <f>IF(O2863&gt;0,RANK(O2863,(N2863:P2863,Q2863:AE2863)),0)</f>
        <v>1</v>
      </c>
      <c r="F2863" s="5">
        <f>IF(P2863&gt;0,RANK(P2863,(N2863:P2863,Q2863:AE2863)),0)</f>
        <v>5</v>
      </c>
      <c r="G2863" s="132">
        <f t="shared" si="1119"/>
        <v>7563</v>
      </c>
      <c r="H2863" s="137">
        <f t="shared" si="1120"/>
        <v>0.50991100323624594</v>
      </c>
      <c r="I2863" s="2"/>
      <c r="J2863" s="2">
        <f t="shared" si="1110"/>
        <v>0.22802049622437973</v>
      </c>
      <c r="K2863" s="2">
        <f t="shared" si="1111"/>
        <v>0.73793149946062564</v>
      </c>
      <c r="L2863" s="2">
        <f t="shared" si="1112"/>
        <v>4.5846817691477882E-3</v>
      </c>
      <c r="M2863" s="2">
        <f t="shared" si="1113"/>
        <v>2.9463322545846875E-2</v>
      </c>
      <c r="N2863" s="63">
        <v>3382</v>
      </c>
      <c r="O2863" s="63">
        <v>10945</v>
      </c>
      <c r="P2863" s="63">
        <v>68</v>
      </c>
      <c r="Q2863" s="63">
        <v>352</v>
      </c>
      <c r="R2863" s="63">
        <v>70</v>
      </c>
      <c r="S2863" s="63">
        <v>8</v>
      </c>
      <c r="T2863" s="63"/>
      <c r="U2863" s="63">
        <v>0</v>
      </c>
      <c r="V2863" s="63"/>
      <c r="W2863" s="63">
        <f>IF(Copyright!B$11=1,IF(CA2863&gt;0,CA2863-SUM(S2863:V2863)-P2863-SUM(X2863:AQ2863),SUM(CB2863:CI2863)),SUM(CB2863:CI2863))</f>
        <v>5</v>
      </c>
      <c r="X2863" s="63"/>
      <c r="Y2863" s="63">
        <v>0</v>
      </c>
      <c r="Z2863" s="63"/>
      <c r="AA2863" s="63">
        <v>0</v>
      </c>
      <c r="AB2863" s="63"/>
      <c r="AC2863" s="63"/>
      <c r="AD2863" s="63"/>
      <c r="AE2863" s="63">
        <v>0</v>
      </c>
      <c r="AF2863" s="63"/>
      <c r="AG2863" s="63"/>
      <c r="AH2863" s="63"/>
      <c r="AI2863" s="63"/>
      <c r="AJ2863" s="63"/>
      <c r="AK2863" s="63"/>
      <c r="AL2863" s="63"/>
      <c r="AM2863" s="63"/>
      <c r="AN2863" s="63">
        <v>2</v>
      </c>
      <c r="AO2863" s="63"/>
      <c r="AP2863" s="63"/>
      <c r="AQ2863" s="63"/>
      <c r="AR2863" s="63"/>
      <c r="AS2863" s="63"/>
      <c r="AT2863" s="63"/>
      <c r="AU2863" s="63"/>
      <c r="AW2863" s="5">
        <f>IF(Q2863&gt;0,RANK(Q2863,(N2863:P2863,Q2863:AE2863)),0)</f>
        <v>3</v>
      </c>
      <c r="AX2863" s="5">
        <f>IF(R2863&gt;0,RANK(R2863,(N2863:P2863,Q2863:AE2863)),0)</f>
        <v>4</v>
      </c>
      <c r="AY2863" s="5">
        <f>IF(T2863&gt;0,RANK(T2863,(N2863:P2863,Q2863:AE2863)),0)</f>
        <v>0</v>
      </c>
      <c r="AZ2863" s="5">
        <f>IF(S2863&gt;0,RANK(S2863,(N2863:P2863,Q2863:AE2863)),0)</f>
        <v>6</v>
      </c>
      <c r="BA2863" s="2">
        <f t="shared" si="1114"/>
        <v>2.3732470334412083E-2</v>
      </c>
      <c r="BB2863" s="2">
        <f t="shared" si="1115"/>
        <v>4.7195253505933118E-3</v>
      </c>
      <c r="BC2863" s="2">
        <f t="shared" si="1116"/>
        <v>0</v>
      </c>
      <c r="BD2863" s="2">
        <f t="shared" si="1117"/>
        <v>5.3937432578209273E-4</v>
      </c>
      <c r="BF2863" t="s">
        <v>692</v>
      </c>
      <c r="BG2863" t="s">
        <v>53</v>
      </c>
      <c r="BH2863">
        <v>10</v>
      </c>
      <c r="BJ2863" s="114">
        <v>48</v>
      </c>
      <c r="BK2863" s="116">
        <v>477</v>
      </c>
      <c r="BL2863" s="120">
        <f t="shared" si="1121"/>
        <v>48477</v>
      </c>
      <c r="BN2863" s="5" t="s">
        <v>3154</v>
      </c>
      <c r="BY2863" s="63">
        <v>14832</v>
      </c>
      <c r="BZ2863" s="63">
        <f t="shared" si="1118"/>
        <v>14832</v>
      </c>
      <c r="CA2863" s="63">
        <v>83</v>
      </c>
      <c r="CD2863" s="63">
        <v>0</v>
      </c>
      <c r="CE2863" s="63">
        <v>0</v>
      </c>
      <c r="CF2863" s="63">
        <v>0</v>
      </c>
      <c r="CG2863" s="8">
        <v>0</v>
      </c>
      <c r="CH2863" s="8">
        <v>0</v>
      </c>
      <c r="CI2863" s="8">
        <v>1</v>
      </c>
    </row>
    <row r="2864" spans="1:87" hidden="1" outlineLevel="1">
      <c r="A2864" t="s">
        <v>3033</v>
      </c>
      <c r="B2864" t="s">
        <v>53</v>
      </c>
      <c r="C2864" s="1">
        <f t="shared" si="1109"/>
        <v>57585</v>
      </c>
      <c r="D2864" s="5">
        <f>IF(N2864&gt;0, RANK(N2864,(N2864:P2864,Q2864:AE2864)),0)</f>
        <v>1</v>
      </c>
      <c r="E2864" s="5">
        <f>IF(O2864&gt;0,RANK(O2864,(N2864:P2864,Q2864:AE2864)),0)</f>
        <v>2</v>
      </c>
      <c r="F2864" s="5">
        <f>IF(P2864&gt;0,RANK(P2864,(N2864:P2864,Q2864:AE2864)),0)</f>
        <v>6</v>
      </c>
      <c r="G2864" s="132">
        <f t="shared" si="1119"/>
        <v>29360</v>
      </c>
      <c r="H2864" s="137">
        <f t="shared" si="1120"/>
        <v>0.50985499696101411</v>
      </c>
      <c r="I2864" s="2"/>
      <c r="J2864" s="2">
        <f t="shared" si="1110"/>
        <v>0.73468785273942872</v>
      </c>
      <c r="K2864" s="2">
        <f t="shared" si="1111"/>
        <v>0.22483285577841453</v>
      </c>
      <c r="L2864" s="2">
        <f t="shared" si="1112"/>
        <v>3.29947034818095E-4</v>
      </c>
      <c r="M2864" s="2">
        <f t="shared" si="1113"/>
        <v>4.0149344447338663E-2</v>
      </c>
      <c r="N2864" s="63">
        <v>42307</v>
      </c>
      <c r="O2864" s="63">
        <v>12947</v>
      </c>
      <c r="P2864" s="63">
        <v>19</v>
      </c>
      <c r="Q2864" s="63">
        <v>1033</v>
      </c>
      <c r="R2864" s="63">
        <v>591</v>
      </c>
      <c r="S2864" s="63">
        <v>0</v>
      </c>
      <c r="T2864" s="63"/>
      <c r="U2864" s="63">
        <v>0</v>
      </c>
      <c r="V2864" s="63"/>
      <c r="W2864" s="63">
        <f>IF(Copyright!B$11=1,IF(CA2864&gt;0,CA2864-SUM(S2864:V2864)-P2864-SUM(X2864:AQ2864),SUM(CB2864:CI2864)),SUM(CB2864:CI2864))</f>
        <v>688</v>
      </c>
      <c r="X2864" s="63"/>
      <c r="Y2864" s="63">
        <v>0</v>
      </c>
      <c r="Z2864" s="63"/>
      <c r="AA2864" s="63">
        <v>0</v>
      </c>
      <c r="AB2864" s="63"/>
      <c r="AC2864" s="63"/>
      <c r="AD2864" s="63"/>
      <c r="AE2864" s="63">
        <v>0</v>
      </c>
      <c r="AF2864" s="63"/>
      <c r="AG2864" s="63"/>
      <c r="AH2864" s="63"/>
      <c r="AI2864" s="63"/>
      <c r="AJ2864" s="63"/>
      <c r="AK2864" s="63"/>
      <c r="AL2864" s="63"/>
      <c r="AM2864" s="63"/>
      <c r="AN2864" s="63">
        <v>0</v>
      </c>
      <c r="AO2864" s="63"/>
      <c r="AP2864" s="63"/>
      <c r="AQ2864" s="63"/>
      <c r="AR2864" s="63"/>
      <c r="AS2864" s="63"/>
      <c r="AT2864" s="63"/>
      <c r="AU2864" s="63"/>
      <c r="AW2864" s="5">
        <f>IF(Q2864&gt;0,RANK(Q2864,(N2864:P2864,Q2864:AE2864)),0)</f>
        <v>3</v>
      </c>
      <c r="AX2864" s="5">
        <f>IF(R2864&gt;0,RANK(R2864,(N2864:P2864,Q2864:AE2864)),0)</f>
        <v>5</v>
      </c>
      <c r="AY2864" s="5">
        <f>IF(T2864&gt;0,RANK(T2864,(N2864:P2864,Q2864:AE2864)),0)</f>
        <v>0</v>
      </c>
      <c r="AZ2864" s="5">
        <f>IF(S2864&gt;0,RANK(S2864,(N2864:P2864,Q2864:AE2864)),0)</f>
        <v>0</v>
      </c>
      <c r="BA2864" s="2">
        <f t="shared" si="1114"/>
        <v>1.793869931405748E-2</v>
      </c>
      <c r="BB2864" s="2">
        <f t="shared" si="1115"/>
        <v>1.0263089346183902E-2</v>
      </c>
      <c r="BC2864" s="2">
        <f t="shared" si="1116"/>
        <v>0</v>
      </c>
      <c r="BD2864" s="2">
        <f t="shared" si="1117"/>
        <v>0</v>
      </c>
      <c r="BF2864" t="s">
        <v>3033</v>
      </c>
      <c r="BG2864" t="s">
        <v>53</v>
      </c>
      <c r="BH2864">
        <v>28</v>
      </c>
      <c r="BJ2864" s="114">
        <v>48</v>
      </c>
      <c r="BK2864" s="116">
        <v>479</v>
      </c>
      <c r="BL2864" s="120">
        <f t="shared" si="1121"/>
        <v>48479</v>
      </c>
      <c r="BN2864" s="5" t="s">
        <v>3154</v>
      </c>
      <c r="BY2864" s="63">
        <v>57574</v>
      </c>
      <c r="BZ2864" s="63">
        <f t="shared" si="1118"/>
        <v>57585</v>
      </c>
      <c r="CA2864" s="165">
        <v>707</v>
      </c>
      <c r="CD2864" s="63">
        <v>4</v>
      </c>
      <c r="CE2864" s="63">
        <v>3</v>
      </c>
      <c r="CF2864" s="63">
        <v>0</v>
      </c>
      <c r="CG2864" s="8">
        <v>0</v>
      </c>
      <c r="CH2864" s="8">
        <v>0</v>
      </c>
      <c r="CI2864" s="8">
        <v>1</v>
      </c>
    </row>
    <row r="2865" spans="1:87" hidden="1" outlineLevel="1">
      <c r="A2865" t="s">
        <v>1313</v>
      </c>
      <c r="B2865" t="s">
        <v>53</v>
      </c>
      <c r="C2865" s="1">
        <f t="shared" si="1109"/>
        <v>14732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5</v>
      </c>
      <c r="G2865" s="132">
        <f t="shared" si="1119"/>
        <v>5911</v>
      </c>
      <c r="H2865" s="137">
        <f t="shared" si="1120"/>
        <v>0.40123540591908768</v>
      </c>
      <c r="I2865" s="2"/>
      <c r="J2865" s="2">
        <f t="shared" si="1110"/>
        <v>0.28767309258756446</v>
      </c>
      <c r="K2865" s="2">
        <f t="shared" si="1111"/>
        <v>0.68890849850665214</v>
      </c>
      <c r="L2865" s="2">
        <f t="shared" si="1112"/>
        <v>8.1455335324463751E-4</v>
      </c>
      <c r="M2865" s="2">
        <f t="shared" si="1113"/>
        <v>2.2603855552538757E-2</v>
      </c>
      <c r="N2865" s="63">
        <v>4238</v>
      </c>
      <c r="O2865" s="63">
        <v>10149</v>
      </c>
      <c r="P2865" s="63">
        <v>12</v>
      </c>
      <c r="Q2865" s="63">
        <v>269</v>
      </c>
      <c r="R2865" s="63">
        <v>51</v>
      </c>
      <c r="S2865" s="63">
        <v>7</v>
      </c>
      <c r="T2865" s="63"/>
      <c r="U2865" s="63">
        <v>0</v>
      </c>
      <c r="V2865" s="63"/>
      <c r="W2865" s="63">
        <f>IF(Copyright!B$11=1,IF(CA2865&gt;0,CA2865-SUM(S2865:V2865)-P2865-SUM(X2865:AQ2865),SUM(CB2865:CI2865)),SUM(CB2865:CI2865))</f>
        <v>0</v>
      </c>
      <c r="X2865" s="63"/>
      <c r="Y2865" s="63">
        <v>0</v>
      </c>
      <c r="Z2865" s="63"/>
      <c r="AA2865" s="63">
        <v>0</v>
      </c>
      <c r="AB2865" s="63"/>
      <c r="AC2865" s="63"/>
      <c r="AD2865" s="63"/>
      <c r="AE2865" s="63">
        <v>1</v>
      </c>
      <c r="AF2865" s="63"/>
      <c r="AG2865" s="63"/>
      <c r="AH2865" s="63"/>
      <c r="AI2865" s="63"/>
      <c r="AJ2865" s="63"/>
      <c r="AK2865" s="63"/>
      <c r="AL2865" s="63"/>
      <c r="AM2865" s="63"/>
      <c r="AN2865" s="63">
        <v>5</v>
      </c>
      <c r="AO2865" s="63"/>
      <c r="AP2865" s="63"/>
      <c r="AQ2865" s="63"/>
      <c r="AR2865" s="63"/>
      <c r="AS2865" s="63"/>
      <c r="AT2865" s="63"/>
      <c r="AU2865" s="63"/>
      <c r="AW2865" s="5">
        <f>IF(Q2865&gt;0,RANK(Q2865,(N2865:P2865,Q2865:AE2865)),0)</f>
        <v>3</v>
      </c>
      <c r="AX2865" s="5">
        <f>IF(R2865&gt;0,RANK(R2865,(N2865:P2865,Q2865:AE2865)),0)</f>
        <v>4</v>
      </c>
      <c r="AY2865" s="5">
        <f>IF(T2865&gt;0,RANK(T2865,(N2865:P2865,Q2865:AE2865)),0)</f>
        <v>0</v>
      </c>
      <c r="AZ2865" s="5">
        <f>IF(S2865&gt;0,RANK(S2865,(N2865:P2865,Q2865:AE2865)),0)</f>
        <v>6</v>
      </c>
      <c r="BA2865" s="2">
        <f t="shared" si="1114"/>
        <v>1.8259571001900624E-2</v>
      </c>
      <c r="BB2865" s="2">
        <f t="shared" si="1115"/>
        <v>3.4618517512897094E-3</v>
      </c>
      <c r="BC2865" s="2">
        <f t="shared" si="1116"/>
        <v>0</v>
      </c>
      <c r="BD2865" s="2">
        <f t="shared" si="1117"/>
        <v>4.7515612272603855E-4</v>
      </c>
      <c r="BF2865" t="s">
        <v>1313</v>
      </c>
      <c r="BG2865" t="s">
        <v>53</v>
      </c>
      <c r="BH2865">
        <v>27</v>
      </c>
      <c r="BJ2865" s="114">
        <v>48</v>
      </c>
      <c r="BK2865" s="116">
        <v>481</v>
      </c>
      <c r="BL2865" s="120">
        <f t="shared" si="1121"/>
        <v>48481</v>
      </c>
      <c r="BN2865" s="5" t="s">
        <v>3154</v>
      </c>
      <c r="BZ2865" s="63">
        <f t="shared" si="1118"/>
        <v>14732</v>
      </c>
      <c r="CD2865" s="63">
        <v>0</v>
      </c>
      <c r="CE2865" s="63">
        <v>0</v>
      </c>
      <c r="CF2865" s="63">
        <v>0</v>
      </c>
      <c r="CG2865" s="8">
        <v>0</v>
      </c>
      <c r="CH2865" s="8">
        <v>0</v>
      </c>
      <c r="CI2865" s="8">
        <v>0</v>
      </c>
    </row>
    <row r="2866" spans="1:87" hidden="1" outlineLevel="1">
      <c r="A2866" t="s">
        <v>607</v>
      </c>
      <c r="B2866" t="s">
        <v>53</v>
      </c>
      <c r="C2866" s="1">
        <f t="shared" si="1109"/>
        <v>2306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32">
        <f t="shared" si="1119"/>
        <v>1893</v>
      </c>
      <c r="H2866" s="137">
        <f t="shared" si="1120"/>
        <v>0.82090199479618386</v>
      </c>
      <c r="I2866" s="2"/>
      <c r="J2866" s="2">
        <f t="shared" si="1110"/>
        <v>8.4128360797918467E-2</v>
      </c>
      <c r="K2866" s="2">
        <f t="shared" si="1111"/>
        <v>0.90503035559410239</v>
      </c>
      <c r="L2866" s="2">
        <f t="shared" si="1112"/>
        <v>0</v>
      </c>
      <c r="M2866" s="2">
        <f t="shared" si="1113"/>
        <v>1.0841283607979202E-2</v>
      </c>
      <c r="N2866" s="63">
        <v>194</v>
      </c>
      <c r="O2866" s="63">
        <v>2087</v>
      </c>
      <c r="P2866" s="63">
        <v>0</v>
      </c>
      <c r="Q2866" s="63">
        <v>21</v>
      </c>
      <c r="R2866" s="63">
        <v>4</v>
      </c>
      <c r="S2866" s="63">
        <v>0</v>
      </c>
      <c r="T2866" s="63"/>
      <c r="U2866" s="63">
        <v>0</v>
      </c>
      <c r="V2866" s="63"/>
      <c r="W2866" s="63">
        <f>IF(Copyright!B$11=1,IF(CA2866&gt;0,CA2866-SUM(S2866:V2866)-P2866-SUM(X2866:AQ2866),SUM(CB2866:CI2866)),SUM(CB2866:CI2866))</f>
        <v>0</v>
      </c>
      <c r="X2866" s="63"/>
      <c r="Y2866" s="63">
        <v>0</v>
      </c>
      <c r="Z2866" s="63"/>
      <c r="AA2866" s="63">
        <v>0</v>
      </c>
      <c r="AB2866" s="63"/>
      <c r="AC2866" s="63"/>
      <c r="AD2866" s="63"/>
      <c r="AE2866" s="63">
        <v>0</v>
      </c>
      <c r="AF2866" s="63"/>
      <c r="AG2866" s="63"/>
      <c r="AH2866" s="63"/>
      <c r="AI2866" s="63"/>
      <c r="AJ2866" s="63"/>
      <c r="AK2866" s="63"/>
      <c r="AL2866" s="63"/>
      <c r="AM2866" s="63"/>
      <c r="AN2866" s="63">
        <v>0</v>
      </c>
      <c r="AO2866" s="63"/>
      <c r="AP2866" s="63"/>
      <c r="AQ2866" s="63"/>
      <c r="AR2866" s="63"/>
      <c r="AS2866" s="63"/>
      <c r="AT2866" s="63"/>
      <c r="AU2866" s="63"/>
      <c r="AW2866" s="5">
        <f>IF(Q2866&gt;0,RANK(Q2866,(N2866:P2866,Q2866:AE2866)),0)</f>
        <v>3</v>
      </c>
      <c r="AX2866" s="5">
        <f>IF(R2866&gt;0,RANK(R2866,(N2866:P2866,Q2866:AE2866)),0)</f>
        <v>4</v>
      </c>
      <c r="AY2866" s="5">
        <f>IF(T2866&gt;0,RANK(T2866,(N2866:P2866,Q2866:AE2866)),0)</f>
        <v>0</v>
      </c>
      <c r="AZ2866" s="5">
        <f>IF(S2866&gt;0,RANK(S2866,(N2866:P2866,Q2866:AE2866)),0)</f>
        <v>0</v>
      </c>
      <c r="BA2866" s="2">
        <f t="shared" si="1114"/>
        <v>9.1066782307025144E-3</v>
      </c>
      <c r="BB2866" s="2">
        <f t="shared" si="1115"/>
        <v>1.7346053772766695E-3</v>
      </c>
      <c r="BC2866" s="2">
        <f t="shared" si="1116"/>
        <v>0</v>
      </c>
      <c r="BD2866" s="2">
        <f t="shared" si="1117"/>
        <v>0</v>
      </c>
      <c r="BF2866" t="s">
        <v>607</v>
      </c>
      <c r="BG2866" t="s">
        <v>53</v>
      </c>
      <c r="BH2866">
        <v>13</v>
      </c>
      <c r="BJ2866" s="114">
        <v>48</v>
      </c>
      <c r="BK2866" s="116">
        <v>483</v>
      </c>
      <c r="BL2866" s="120">
        <f t="shared" si="1121"/>
        <v>48483</v>
      </c>
      <c r="BN2866" s="5" t="s">
        <v>3154</v>
      </c>
      <c r="BZ2866" s="63">
        <f t="shared" si="1118"/>
        <v>2306</v>
      </c>
      <c r="CD2866" s="63">
        <v>0</v>
      </c>
      <c r="CE2866" s="63">
        <v>0</v>
      </c>
      <c r="CF2866" s="63">
        <v>0</v>
      </c>
      <c r="CG2866" s="8">
        <v>0</v>
      </c>
      <c r="CH2866" s="8">
        <v>0</v>
      </c>
      <c r="CI2866" s="8">
        <v>0</v>
      </c>
    </row>
    <row r="2867" spans="1:87" hidden="1" outlineLevel="1">
      <c r="A2867" t="s">
        <v>1231</v>
      </c>
      <c r="B2867" t="s">
        <v>53</v>
      </c>
      <c r="C2867" s="1">
        <f t="shared" si="1109"/>
        <v>38119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5</v>
      </c>
      <c r="G2867" s="132">
        <f t="shared" si="1119"/>
        <v>18861</v>
      </c>
      <c r="H2867" s="137">
        <f t="shared" si="1120"/>
        <v>0.49479262310134053</v>
      </c>
      <c r="I2867" s="2"/>
      <c r="J2867" s="2">
        <f t="shared" si="1110"/>
        <v>0.23006899446470264</v>
      </c>
      <c r="K2867" s="2">
        <f t="shared" si="1111"/>
        <v>0.72486161756604317</v>
      </c>
      <c r="L2867" s="2">
        <f t="shared" si="1112"/>
        <v>3.7514100579763374E-3</v>
      </c>
      <c r="M2867" s="2">
        <f t="shared" si="1113"/>
        <v>4.1317977911277858E-2</v>
      </c>
      <c r="N2867" s="63">
        <v>8770</v>
      </c>
      <c r="O2867" s="63">
        <v>27631</v>
      </c>
      <c r="P2867" s="63">
        <v>143</v>
      </c>
      <c r="Q2867" s="63">
        <v>1308</v>
      </c>
      <c r="R2867" s="63">
        <v>256</v>
      </c>
      <c r="S2867" s="63">
        <v>11</v>
      </c>
      <c r="T2867" s="63"/>
      <c r="U2867" s="63">
        <v>0</v>
      </c>
      <c r="V2867" s="63"/>
      <c r="W2867" s="63">
        <f>IF(Copyright!B$11=1,IF(CA2867&gt;0,CA2867-SUM(S2867:V2867)-P2867-SUM(X2867:AQ2867),SUM(CB2867:CI2867)),SUM(CB2867:CI2867))</f>
        <v>0</v>
      </c>
      <c r="X2867" s="63"/>
      <c r="Y2867" s="63">
        <v>0</v>
      </c>
      <c r="Z2867" s="63"/>
      <c r="AA2867" s="63">
        <v>0</v>
      </c>
      <c r="AB2867" s="63"/>
      <c r="AC2867" s="63"/>
      <c r="AD2867" s="63"/>
      <c r="AE2867" s="63">
        <v>0</v>
      </c>
      <c r="AF2867" s="63"/>
      <c r="AG2867" s="63"/>
      <c r="AH2867" s="63"/>
      <c r="AI2867" s="63"/>
      <c r="AJ2867" s="63"/>
      <c r="AK2867" s="63"/>
      <c r="AL2867" s="63"/>
      <c r="AM2867" s="63"/>
      <c r="AN2867" s="63">
        <v>0</v>
      </c>
      <c r="AO2867" s="63"/>
      <c r="AP2867" s="63"/>
      <c r="AQ2867" s="63"/>
      <c r="AR2867" s="63"/>
      <c r="AS2867" s="63"/>
      <c r="AT2867" s="63"/>
      <c r="AU2867" s="63"/>
      <c r="AW2867" s="5">
        <f>IF(Q2867&gt;0,RANK(Q2867,(N2867:P2867,Q2867:AE2867)),0)</f>
        <v>3</v>
      </c>
      <c r="AX2867" s="5">
        <f>IF(R2867&gt;0,RANK(R2867,(N2867:P2867,Q2867:AE2867)),0)</f>
        <v>4</v>
      </c>
      <c r="AY2867" s="5">
        <f>IF(T2867&gt;0,RANK(T2867,(N2867:P2867,Q2867:AE2867)),0)</f>
        <v>0</v>
      </c>
      <c r="AZ2867" s="5">
        <f>IF(S2867&gt;0,RANK(S2867,(N2867:P2867,Q2867:AE2867)),0)</f>
        <v>6</v>
      </c>
      <c r="BA2867" s="2">
        <f t="shared" si="1114"/>
        <v>3.4313596893937405E-2</v>
      </c>
      <c r="BB2867" s="2">
        <f t="shared" si="1115"/>
        <v>6.7158110128807159E-3</v>
      </c>
      <c r="BC2867" s="2">
        <f t="shared" si="1116"/>
        <v>0</v>
      </c>
      <c r="BD2867" s="2">
        <f t="shared" si="1117"/>
        <v>2.8857000445971828E-4</v>
      </c>
      <c r="BF2867" t="s">
        <v>1231</v>
      </c>
      <c r="BG2867" t="s">
        <v>53</v>
      </c>
      <c r="BH2867">
        <v>13</v>
      </c>
      <c r="BJ2867" s="114">
        <v>48</v>
      </c>
      <c r="BK2867" s="116">
        <v>485</v>
      </c>
      <c r="BL2867" s="120">
        <f t="shared" si="1121"/>
        <v>48485</v>
      </c>
      <c r="BN2867" s="5" t="s">
        <v>3154</v>
      </c>
      <c r="BZ2867" s="63">
        <f t="shared" si="1118"/>
        <v>38119</v>
      </c>
      <c r="CD2867" s="63">
        <v>0</v>
      </c>
      <c r="CE2867" s="63">
        <v>0</v>
      </c>
      <c r="CF2867" s="63">
        <v>0</v>
      </c>
      <c r="CG2867" s="8">
        <v>0</v>
      </c>
      <c r="CH2867" s="8">
        <v>0</v>
      </c>
      <c r="CI2867" s="8">
        <v>0</v>
      </c>
    </row>
    <row r="2868" spans="1:87" hidden="1" outlineLevel="1">
      <c r="A2868" t="s">
        <v>904</v>
      </c>
      <c r="B2868" t="s">
        <v>53</v>
      </c>
      <c r="C2868" s="1">
        <f t="shared" si="1109"/>
        <v>4105</v>
      </c>
      <c r="D2868" s="5">
        <f>IF(N2868&gt;0, RANK(N2868,(N2868:P2868,Q2868:AE2868)),0)</f>
        <v>2</v>
      </c>
      <c r="E2868" s="5">
        <f>IF(O2868&gt;0,RANK(O2868,(N2868:P2868,Q2868:AE2868)),0)</f>
        <v>1</v>
      </c>
      <c r="F2868" s="5">
        <f>IF(P2868&gt;0,RANK(P2868,(N2868:P2868,Q2868:AE2868)),0)</f>
        <v>0</v>
      </c>
      <c r="G2868" s="132">
        <f t="shared" si="1119"/>
        <v>2357</v>
      </c>
      <c r="H2868" s="137">
        <f t="shared" si="1120"/>
        <v>0.57417783191230209</v>
      </c>
      <c r="I2868" s="2"/>
      <c r="J2868" s="2">
        <f t="shared" si="1110"/>
        <v>0.19707673568818515</v>
      </c>
      <c r="K2868" s="2">
        <f t="shared" si="1111"/>
        <v>0.77125456760048716</v>
      </c>
      <c r="L2868" s="2">
        <f t="shared" si="1112"/>
        <v>0</v>
      </c>
      <c r="M2868" s="2">
        <f t="shared" si="1113"/>
        <v>3.166869671132766E-2</v>
      </c>
      <c r="N2868" s="63">
        <v>809</v>
      </c>
      <c r="O2868" s="63">
        <v>3166</v>
      </c>
      <c r="P2868" s="63">
        <v>0</v>
      </c>
      <c r="Q2868" s="63">
        <v>115</v>
      </c>
      <c r="R2868" s="63">
        <v>13</v>
      </c>
      <c r="S2868" s="63">
        <v>1</v>
      </c>
      <c r="T2868" s="63"/>
      <c r="U2868" s="63">
        <v>0</v>
      </c>
      <c r="V2868" s="63"/>
      <c r="W2868" s="63">
        <f>IF(Copyright!B$11=1,IF(CA2868&gt;0,CA2868-SUM(S2868:V2868)-P2868-SUM(X2868:AQ2868),SUM(CB2868:CI2868)),SUM(CB2868:CI2868))</f>
        <v>1</v>
      </c>
      <c r="X2868" s="63"/>
      <c r="Y2868" s="63">
        <v>0</v>
      </c>
      <c r="Z2868" s="63"/>
      <c r="AA2868" s="63">
        <v>0</v>
      </c>
      <c r="AB2868" s="63"/>
      <c r="AC2868" s="63"/>
      <c r="AD2868" s="63"/>
      <c r="AE2868" s="63">
        <v>0</v>
      </c>
      <c r="AF2868" s="63"/>
      <c r="AG2868" s="63"/>
      <c r="AH2868" s="63"/>
      <c r="AI2868" s="63"/>
      <c r="AJ2868" s="63"/>
      <c r="AK2868" s="63"/>
      <c r="AL2868" s="63"/>
      <c r="AM2868" s="63"/>
      <c r="AN2868" s="63">
        <v>0</v>
      </c>
      <c r="AO2868" s="63"/>
      <c r="AP2868" s="63"/>
      <c r="AQ2868" s="63"/>
      <c r="AR2868" s="63"/>
      <c r="AS2868" s="63"/>
      <c r="AT2868" s="63"/>
      <c r="AU2868" s="63"/>
      <c r="AW2868" s="5">
        <f>IF(Q2868&gt;0,RANK(Q2868,(N2868:P2868,Q2868:AE2868)),0)</f>
        <v>3</v>
      </c>
      <c r="AX2868" s="5">
        <f>IF(R2868&gt;0,RANK(R2868,(N2868:P2868,Q2868:AE2868)),0)</f>
        <v>4</v>
      </c>
      <c r="AY2868" s="5">
        <f>IF(T2868&gt;0,RANK(T2868,(N2868:P2868,Q2868:AE2868)),0)</f>
        <v>0</v>
      </c>
      <c r="AZ2868" s="5">
        <f>IF(S2868&gt;0,RANK(S2868,(N2868:P2868,Q2868:AE2868)),0)</f>
        <v>5</v>
      </c>
      <c r="BA2868" s="2">
        <f t="shared" si="1114"/>
        <v>2.8014616321559074E-2</v>
      </c>
      <c r="BB2868" s="2">
        <f t="shared" si="1115"/>
        <v>3.1668696711327649E-3</v>
      </c>
      <c r="BC2868" s="2">
        <f t="shared" si="1116"/>
        <v>0</v>
      </c>
      <c r="BD2868" s="2">
        <f t="shared" si="1117"/>
        <v>2.43605359317905E-4</v>
      </c>
      <c r="BF2868" t="s">
        <v>904</v>
      </c>
      <c r="BG2868" t="s">
        <v>53</v>
      </c>
      <c r="BH2868">
        <v>13</v>
      </c>
      <c r="BJ2868" s="114">
        <v>48</v>
      </c>
      <c r="BK2868" s="116">
        <v>487</v>
      </c>
      <c r="BL2868" s="120">
        <f t="shared" si="1121"/>
        <v>48487</v>
      </c>
      <c r="BN2868" s="5" t="s">
        <v>3154</v>
      </c>
      <c r="BZ2868" s="63">
        <f t="shared" si="1118"/>
        <v>4105</v>
      </c>
      <c r="CD2868" s="63">
        <v>0</v>
      </c>
      <c r="CE2868" s="63">
        <v>0</v>
      </c>
      <c r="CF2868" s="63">
        <v>0</v>
      </c>
      <c r="CG2868" s="8">
        <v>0</v>
      </c>
      <c r="CH2868" s="8">
        <v>0</v>
      </c>
      <c r="CI2868" s="8">
        <v>1</v>
      </c>
    </row>
    <row r="2869" spans="1:87" hidden="1" outlineLevel="1">
      <c r="A2869" t="s">
        <v>2096</v>
      </c>
      <c r="B2869" t="s">
        <v>53</v>
      </c>
      <c r="C2869" s="1">
        <f t="shared" si="1109"/>
        <v>5095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32">
        <f t="shared" si="1119"/>
        <v>1875</v>
      </c>
      <c r="H2869" s="137">
        <f t="shared" si="1120"/>
        <v>0.36800785083415111</v>
      </c>
      <c r="I2869" s="2"/>
      <c r="J2869" s="2">
        <f t="shared" si="1110"/>
        <v>0.67163886162904807</v>
      </c>
      <c r="K2869" s="2">
        <f t="shared" si="1111"/>
        <v>0.30363101079489696</v>
      </c>
      <c r="L2869" s="2">
        <f t="shared" si="1112"/>
        <v>0</v>
      </c>
      <c r="M2869" s="2">
        <f t="shared" si="1113"/>
        <v>2.4730127576054972E-2</v>
      </c>
      <c r="N2869" s="63">
        <v>3422</v>
      </c>
      <c r="O2869" s="63">
        <v>1547</v>
      </c>
      <c r="P2869" s="63">
        <v>0</v>
      </c>
      <c r="Q2869" s="63">
        <v>95</v>
      </c>
      <c r="R2869" s="63">
        <v>31</v>
      </c>
      <c r="S2869" s="63">
        <v>0</v>
      </c>
      <c r="T2869" s="63"/>
      <c r="U2869" s="63">
        <v>0</v>
      </c>
      <c r="V2869" s="63"/>
      <c r="W2869" s="63">
        <f>IF(Copyright!B$11=1,IF(CA2869&gt;0,CA2869-SUM(S2869:V2869)-P2869-SUM(X2869:AQ2869),SUM(CB2869:CI2869)),SUM(CB2869:CI2869))</f>
        <v>0</v>
      </c>
      <c r="X2869" s="63"/>
      <c r="Y2869" s="63">
        <v>0</v>
      </c>
      <c r="Z2869" s="63"/>
      <c r="AA2869" s="63">
        <v>0</v>
      </c>
      <c r="AB2869" s="63"/>
      <c r="AC2869" s="63"/>
      <c r="AD2869" s="63"/>
      <c r="AE2869" s="63">
        <v>0</v>
      </c>
      <c r="AF2869" s="63"/>
      <c r="AG2869" s="63"/>
      <c r="AH2869" s="63"/>
      <c r="AI2869" s="63"/>
      <c r="AJ2869" s="63"/>
      <c r="AK2869" s="63"/>
      <c r="AL2869" s="63"/>
      <c r="AM2869" s="63"/>
      <c r="AN2869" s="63">
        <v>0</v>
      </c>
      <c r="AO2869" s="63"/>
      <c r="AP2869" s="63"/>
      <c r="AQ2869" s="63"/>
      <c r="AR2869" s="63"/>
      <c r="AS2869" s="63"/>
      <c r="AT2869" s="63"/>
      <c r="AU2869" s="63"/>
      <c r="AW2869" s="5">
        <f>IF(Q2869&gt;0,RANK(Q2869,(N2869:P2869,Q2869:AE2869)),0)</f>
        <v>3</v>
      </c>
      <c r="AX2869" s="5">
        <f>IF(R2869&gt;0,RANK(R2869,(N2869:P2869,Q2869:AE2869)),0)</f>
        <v>4</v>
      </c>
      <c r="AY2869" s="5">
        <f>IF(T2869&gt;0,RANK(T2869,(N2869:P2869,Q2869:AE2869)),0)</f>
        <v>0</v>
      </c>
      <c r="AZ2869" s="5">
        <f>IF(S2869&gt;0,RANK(S2869,(N2869:P2869,Q2869:AE2869)),0)</f>
        <v>0</v>
      </c>
      <c r="BA2869" s="2">
        <f t="shared" si="1114"/>
        <v>1.8645731108930325E-2</v>
      </c>
      <c r="BB2869" s="2">
        <f t="shared" si="1115"/>
        <v>6.0843964671246321E-3</v>
      </c>
      <c r="BC2869" s="2">
        <f t="shared" si="1116"/>
        <v>0</v>
      </c>
      <c r="BD2869" s="2">
        <f t="shared" si="1117"/>
        <v>0</v>
      </c>
      <c r="BF2869" t="s">
        <v>2096</v>
      </c>
      <c r="BG2869" t="s">
        <v>53</v>
      </c>
      <c r="BH2869">
        <v>34</v>
      </c>
      <c r="BJ2869" s="114">
        <v>48</v>
      </c>
      <c r="BK2869" s="116">
        <v>489</v>
      </c>
      <c r="BL2869" s="120">
        <f t="shared" si="1121"/>
        <v>48489</v>
      </c>
      <c r="BN2869" s="5" t="s">
        <v>3154</v>
      </c>
      <c r="BZ2869" s="63">
        <f t="shared" si="1118"/>
        <v>5095</v>
      </c>
      <c r="CD2869" s="63">
        <v>0</v>
      </c>
      <c r="CE2869" s="63">
        <v>0</v>
      </c>
      <c r="CF2869" s="63">
        <v>0</v>
      </c>
      <c r="CG2869" s="8">
        <v>0</v>
      </c>
      <c r="CH2869" s="8">
        <v>0</v>
      </c>
      <c r="CI2869" s="8">
        <v>0</v>
      </c>
    </row>
    <row r="2870" spans="1:87" hidden="1" outlineLevel="1">
      <c r="A2870" t="s">
        <v>565</v>
      </c>
      <c r="B2870" t="s">
        <v>53</v>
      </c>
      <c r="C2870" s="1">
        <f t="shared" si="1109"/>
        <v>204659</v>
      </c>
      <c r="D2870" s="5">
        <f>IF(N2870&gt;0, RANK(N2870,(N2870:P2870,Q2870:AE2870)),0)</f>
        <v>2</v>
      </c>
      <c r="E2870" s="5">
        <f>IF(O2870&gt;0,RANK(O2870,(N2870:P2870,Q2870:AE2870)),0)</f>
        <v>1</v>
      </c>
      <c r="F2870" s="5">
        <f>IF(P2870&gt;0,RANK(P2870,(N2870:P2870,Q2870:AE2870)),0)</f>
        <v>5</v>
      </c>
      <c r="G2870" s="132">
        <f t="shared" si="1119"/>
        <v>19707</v>
      </c>
      <c r="H2870" s="137">
        <f t="shared" si="1120"/>
        <v>9.6291880640480013E-2</v>
      </c>
      <c r="I2870" s="2"/>
      <c r="J2870" s="2">
        <f t="shared" si="1110"/>
        <v>0.41272555812351275</v>
      </c>
      <c r="K2870" s="2">
        <f t="shared" si="1111"/>
        <v>0.50901743876399275</v>
      </c>
      <c r="L2870" s="2">
        <f t="shared" si="1112"/>
        <v>8.4726300822343514E-3</v>
      </c>
      <c r="M2870" s="2">
        <f t="shared" si="1113"/>
        <v>6.9784373030260152E-2</v>
      </c>
      <c r="N2870" s="63">
        <v>84468</v>
      </c>
      <c r="O2870" s="63">
        <v>104175</v>
      </c>
      <c r="P2870" s="63">
        <v>1734</v>
      </c>
      <c r="Q2870" s="63">
        <v>10229</v>
      </c>
      <c r="R2870" s="63">
        <v>2047</v>
      </c>
      <c r="S2870" s="63">
        <v>194</v>
      </c>
      <c r="T2870" s="63"/>
      <c r="U2870" s="63">
        <v>3</v>
      </c>
      <c r="V2870" s="63"/>
      <c r="W2870" s="63">
        <f>IF(Copyright!B$11=1,IF(CA2870&gt;0,CA2870-SUM(S2870:V2870)-P2870-SUM(X2870:AQ2870),SUM(CB2870:CI2870)),SUM(CB2870:CI2870))</f>
        <v>1620</v>
      </c>
      <c r="X2870" s="63"/>
      <c r="Y2870" s="63">
        <v>58</v>
      </c>
      <c r="Z2870" s="63"/>
      <c r="AA2870" s="63">
        <v>5</v>
      </c>
      <c r="AB2870" s="63"/>
      <c r="AC2870" s="63"/>
      <c r="AD2870" s="63"/>
      <c r="AE2870" s="63">
        <v>47</v>
      </c>
      <c r="AF2870" s="63"/>
      <c r="AG2870" s="63"/>
      <c r="AH2870" s="63"/>
      <c r="AI2870" s="63"/>
      <c r="AJ2870" s="63"/>
      <c r="AK2870" s="63"/>
      <c r="AL2870" s="63"/>
      <c r="AM2870" s="63"/>
      <c r="AN2870" s="63">
        <v>79</v>
      </c>
      <c r="AO2870" s="63"/>
      <c r="AP2870" s="63"/>
      <c r="AQ2870" s="63"/>
      <c r="AR2870" s="63"/>
      <c r="AS2870" s="63"/>
      <c r="AT2870" s="63"/>
      <c r="AU2870" s="63"/>
      <c r="AW2870" s="5">
        <f>IF(Q2870&gt;0,RANK(Q2870,(N2870:P2870,Q2870:AE2870)),0)</f>
        <v>3</v>
      </c>
      <c r="AX2870" s="5">
        <f>IF(R2870&gt;0,RANK(R2870,(N2870:P2870,Q2870:AE2870)),0)</f>
        <v>4</v>
      </c>
      <c r="AY2870" s="5">
        <f>IF(T2870&gt;0,RANK(T2870,(N2870:P2870,Q2870:AE2870)),0)</f>
        <v>0</v>
      </c>
      <c r="AZ2870" s="5">
        <f>IF(S2870&gt;0,RANK(S2870,(N2870:P2870,Q2870:AE2870)),0)</f>
        <v>7</v>
      </c>
      <c r="BA2870" s="2">
        <f t="shared" si="1114"/>
        <v>4.998069960275385E-2</v>
      </c>
      <c r="BB2870" s="2">
        <f t="shared" si="1115"/>
        <v>1.0002003332372385E-2</v>
      </c>
      <c r="BC2870" s="2">
        <f t="shared" si="1116"/>
        <v>0</v>
      </c>
      <c r="BD2870" s="2">
        <f t="shared" si="1117"/>
        <v>9.4791824449450056E-4</v>
      </c>
      <c r="BF2870" t="s">
        <v>565</v>
      </c>
      <c r="BG2870" t="s">
        <v>53</v>
      </c>
      <c r="BH2870">
        <v>31</v>
      </c>
      <c r="BJ2870" s="114">
        <v>48</v>
      </c>
      <c r="BK2870" s="116">
        <v>491</v>
      </c>
      <c r="BL2870" s="120">
        <f t="shared" si="1121"/>
        <v>48491</v>
      </c>
      <c r="BN2870" s="5" t="s">
        <v>3154</v>
      </c>
      <c r="BY2870" s="63">
        <v>204659</v>
      </c>
      <c r="BZ2870" s="63">
        <f t="shared" si="1118"/>
        <v>204659</v>
      </c>
      <c r="CA2870" s="132">
        <v>3740</v>
      </c>
      <c r="CD2870" s="63">
        <v>3</v>
      </c>
      <c r="CE2870" s="63">
        <v>4</v>
      </c>
      <c r="CF2870" s="63">
        <v>19</v>
      </c>
      <c r="CG2870" s="8">
        <v>5</v>
      </c>
      <c r="CH2870" s="8">
        <v>4</v>
      </c>
      <c r="CI2870" s="8">
        <v>7</v>
      </c>
    </row>
    <row r="2871" spans="1:87" hidden="1" outlineLevel="1">
      <c r="A2871" t="s">
        <v>1232</v>
      </c>
      <c r="B2871" t="s">
        <v>53</v>
      </c>
      <c r="C2871" s="1">
        <f t="shared" si="1109"/>
        <v>19395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6</v>
      </c>
      <c r="G2871" s="132">
        <f t="shared" si="1119"/>
        <v>9208</v>
      </c>
      <c r="H2871" s="137">
        <f t="shared" si="1120"/>
        <v>0.47476153647847386</v>
      </c>
      <c r="I2871" s="2"/>
      <c r="J2871" s="2">
        <f t="shared" si="1110"/>
        <v>0.24697086878061356</v>
      </c>
      <c r="K2871" s="2">
        <f t="shared" si="1111"/>
        <v>0.72173240525908744</v>
      </c>
      <c r="L2871" s="2">
        <f t="shared" si="1112"/>
        <v>1.3405516885795308E-3</v>
      </c>
      <c r="M2871" s="2">
        <f t="shared" si="1113"/>
        <v>2.9956174271719448E-2</v>
      </c>
      <c r="N2871" s="63">
        <v>4790</v>
      </c>
      <c r="O2871" s="63">
        <v>13998</v>
      </c>
      <c r="P2871" s="63">
        <v>26</v>
      </c>
      <c r="Q2871" s="63">
        <v>392</v>
      </c>
      <c r="R2871" s="63">
        <v>82</v>
      </c>
      <c r="S2871" s="63">
        <v>7</v>
      </c>
      <c r="T2871" s="63"/>
      <c r="U2871" s="63">
        <v>0</v>
      </c>
      <c r="V2871" s="63"/>
      <c r="W2871" s="63">
        <f>IF(Copyright!B$11=1,IF(CA2871&gt;0,CA2871-SUM(S2871:V2871)-P2871-SUM(X2871:AQ2871),SUM(CB2871:CI2871)),SUM(CB2871:CI2871))</f>
        <v>96</v>
      </c>
      <c r="X2871" s="63"/>
      <c r="Y2871" s="63">
        <v>4</v>
      </c>
      <c r="Z2871" s="63"/>
      <c r="AA2871" s="63">
        <v>0</v>
      </c>
      <c r="AB2871" s="63"/>
      <c r="AC2871" s="63"/>
      <c r="AD2871" s="63"/>
      <c r="AE2871" s="63">
        <v>0</v>
      </c>
      <c r="AF2871" s="63"/>
      <c r="AG2871" s="63"/>
      <c r="AH2871" s="63"/>
      <c r="AI2871" s="63"/>
      <c r="AJ2871" s="63"/>
      <c r="AK2871" s="63"/>
      <c r="AL2871" s="63"/>
      <c r="AM2871" s="63"/>
      <c r="AN2871" s="63">
        <v>0</v>
      </c>
      <c r="AO2871" s="63"/>
      <c r="AP2871" s="63"/>
      <c r="AQ2871" s="63"/>
      <c r="AR2871" s="63"/>
      <c r="AS2871" s="63"/>
      <c r="AT2871" s="63"/>
      <c r="AU2871" s="63"/>
      <c r="AW2871" s="5">
        <f>IF(Q2871&gt;0,RANK(Q2871,(N2871:P2871,Q2871:AE2871)),0)</f>
        <v>3</v>
      </c>
      <c r="AX2871" s="5">
        <f>IF(R2871&gt;0,RANK(R2871,(N2871:P2871,Q2871:AE2871)),0)</f>
        <v>5</v>
      </c>
      <c r="AY2871" s="5">
        <f>IF(T2871&gt;0,RANK(T2871,(N2871:P2871,Q2871:AE2871)),0)</f>
        <v>0</v>
      </c>
      <c r="AZ2871" s="5">
        <f>IF(S2871&gt;0,RANK(S2871,(N2871:P2871,Q2871:AE2871)),0)</f>
        <v>7</v>
      </c>
      <c r="BA2871" s="2">
        <f t="shared" si="1114"/>
        <v>2.0211394689352926E-2</v>
      </c>
      <c r="BB2871" s="2">
        <f t="shared" si="1115"/>
        <v>4.2278937870585198E-3</v>
      </c>
      <c r="BC2871" s="2">
        <f t="shared" si="1116"/>
        <v>0</v>
      </c>
      <c r="BD2871" s="2">
        <f t="shared" si="1117"/>
        <v>3.6091776230987369E-4</v>
      </c>
      <c r="BF2871" t="s">
        <v>1232</v>
      </c>
      <c r="BG2871" t="s">
        <v>53</v>
      </c>
      <c r="BJ2871" s="114">
        <v>48</v>
      </c>
      <c r="BK2871" s="116">
        <v>493</v>
      </c>
      <c r="BL2871" s="120">
        <f t="shared" si="1121"/>
        <v>48493</v>
      </c>
      <c r="BN2871" s="5" t="s">
        <v>3154</v>
      </c>
      <c r="BZ2871" s="63">
        <f t="shared" si="1118"/>
        <v>19395</v>
      </c>
      <c r="CA2871" s="63">
        <v>133</v>
      </c>
      <c r="CD2871" s="63">
        <v>133</v>
      </c>
      <c r="CE2871" s="63">
        <v>0</v>
      </c>
      <c r="CF2871" s="63">
        <v>0</v>
      </c>
      <c r="CG2871" s="8">
        <v>0</v>
      </c>
      <c r="CH2871" s="8">
        <v>0</v>
      </c>
      <c r="CI2871" s="8">
        <v>0</v>
      </c>
    </row>
    <row r="2872" spans="1:87" hidden="1" outlineLevel="1">
      <c r="A2872" t="s">
        <v>408</v>
      </c>
      <c r="B2872" t="s">
        <v>53</v>
      </c>
      <c r="C2872" s="1">
        <f t="shared" si="1109"/>
        <v>1876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4</v>
      </c>
      <c r="G2872" s="132">
        <f t="shared" si="1119"/>
        <v>983</v>
      </c>
      <c r="H2872" s="137">
        <f t="shared" si="1120"/>
        <v>0.52398720682302768</v>
      </c>
      <c r="I2872" s="2"/>
      <c r="J2872" s="2">
        <f t="shared" si="1110"/>
        <v>0.22388059701492538</v>
      </c>
      <c r="K2872" s="2">
        <f t="shared" si="1111"/>
        <v>0.74786780383795304</v>
      </c>
      <c r="L2872" s="2">
        <f t="shared" si="1112"/>
        <v>1.5991471215351812E-3</v>
      </c>
      <c r="M2872" s="2">
        <f t="shared" si="1113"/>
        <v>2.6652452025586429E-2</v>
      </c>
      <c r="N2872" s="63">
        <v>420</v>
      </c>
      <c r="O2872" s="63">
        <v>1403</v>
      </c>
      <c r="P2872" s="63">
        <v>3</v>
      </c>
      <c r="Q2872" s="63">
        <v>49</v>
      </c>
      <c r="R2872" s="63">
        <v>1</v>
      </c>
      <c r="S2872" s="63">
        <v>0</v>
      </c>
      <c r="T2872" s="63"/>
      <c r="U2872" s="63">
        <v>0</v>
      </c>
      <c r="V2872" s="63"/>
      <c r="W2872" s="63">
        <f>IF(Copyright!B$11=1,IF(CA2872&gt;0,CA2872-SUM(S2872:V2872)-P2872-SUM(X2872:AQ2872),SUM(CB2872:CI2872)),SUM(CB2872:CI2872))</f>
        <v>0</v>
      </c>
      <c r="X2872" s="63"/>
      <c r="Y2872" s="63">
        <v>0</v>
      </c>
      <c r="Z2872" s="63"/>
      <c r="AA2872" s="63">
        <v>0</v>
      </c>
      <c r="AB2872" s="63"/>
      <c r="AC2872" s="63"/>
      <c r="AD2872" s="63"/>
      <c r="AE2872" s="63">
        <v>0</v>
      </c>
      <c r="AF2872" s="63"/>
      <c r="AG2872" s="63"/>
      <c r="AH2872" s="63"/>
      <c r="AI2872" s="63"/>
      <c r="AJ2872" s="63"/>
      <c r="AK2872" s="63"/>
      <c r="AL2872" s="63"/>
      <c r="AM2872" s="63"/>
      <c r="AN2872" s="63">
        <v>0</v>
      </c>
      <c r="AO2872" s="63"/>
      <c r="AP2872" s="63"/>
      <c r="AQ2872" s="63"/>
      <c r="AR2872" s="63"/>
      <c r="AS2872" s="63"/>
      <c r="AT2872" s="63"/>
      <c r="AU2872" s="63"/>
      <c r="AW2872" s="5">
        <f>IF(Q2872&gt;0,RANK(Q2872,(N2872:P2872,Q2872:AE2872)),0)</f>
        <v>3</v>
      </c>
      <c r="AX2872" s="5">
        <f>IF(R2872&gt;0,RANK(R2872,(N2872:P2872,Q2872:AE2872)),0)</f>
        <v>5</v>
      </c>
      <c r="AY2872" s="5">
        <f>IF(T2872&gt;0,RANK(T2872,(N2872:P2872,Q2872:AE2872)),0)</f>
        <v>0</v>
      </c>
      <c r="AZ2872" s="5">
        <f>IF(S2872&gt;0,RANK(S2872,(N2872:P2872,Q2872:AE2872)),0)</f>
        <v>0</v>
      </c>
      <c r="BA2872" s="2">
        <f t="shared" si="1114"/>
        <v>2.6119402985074626E-2</v>
      </c>
      <c r="BB2872" s="2">
        <f t="shared" si="1115"/>
        <v>5.3304904051172707E-4</v>
      </c>
      <c r="BC2872" s="2">
        <f t="shared" si="1116"/>
        <v>0</v>
      </c>
      <c r="BD2872" s="2">
        <f t="shared" si="1117"/>
        <v>0</v>
      </c>
      <c r="BF2872" t="s">
        <v>408</v>
      </c>
      <c r="BG2872" t="s">
        <v>53</v>
      </c>
      <c r="BH2872">
        <v>23</v>
      </c>
      <c r="BJ2872" s="114">
        <v>48</v>
      </c>
      <c r="BK2872" s="116">
        <v>495</v>
      </c>
      <c r="BL2872" s="120">
        <f t="shared" si="1121"/>
        <v>48495</v>
      </c>
      <c r="BN2872" s="5" t="s">
        <v>3154</v>
      </c>
      <c r="BZ2872" s="63">
        <f t="shared" si="1118"/>
        <v>1876</v>
      </c>
      <c r="CD2872" s="63">
        <v>0</v>
      </c>
      <c r="CE2872" s="63">
        <v>0</v>
      </c>
      <c r="CF2872" s="63">
        <v>0</v>
      </c>
      <c r="CG2872" s="8">
        <v>0</v>
      </c>
      <c r="CH2872" s="8">
        <v>0</v>
      </c>
      <c r="CI2872" s="8">
        <v>0</v>
      </c>
    </row>
    <row r="2873" spans="1:87" hidden="1" outlineLevel="1">
      <c r="A2873" t="s">
        <v>2886</v>
      </c>
      <c r="B2873" t="s">
        <v>53</v>
      </c>
      <c r="C2873" s="1">
        <f t="shared" si="1109"/>
        <v>24776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5</v>
      </c>
      <c r="G2873" s="132">
        <f t="shared" si="1119"/>
        <v>17258</v>
      </c>
      <c r="H2873" s="137">
        <f t="shared" si="1120"/>
        <v>0.69656118824669033</v>
      </c>
      <c r="I2873" s="2"/>
      <c r="J2873" s="2">
        <f t="shared" si="1110"/>
        <v>0.13771391669357444</v>
      </c>
      <c r="K2873" s="2">
        <f t="shared" si="1111"/>
        <v>0.8342751049402648</v>
      </c>
      <c r="L2873" s="2">
        <f t="shared" si="1112"/>
        <v>3.0674846625766872E-3</v>
      </c>
      <c r="M2873" s="2">
        <f t="shared" si="1113"/>
        <v>2.4943493703584046E-2</v>
      </c>
      <c r="N2873" s="63">
        <v>3412</v>
      </c>
      <c r="O2873" s="63">
        <v>20670</v>
      </c>
      <c r="P2873" s="63">
        <v>76</v>
      </c>
      <c r="Q2873" s="63">
        <v>505</v>
      </c>
      <c r="R2873" s="63">
        <v>91</v>
      </c>
      <c r="S2873" s="63">
        <v>10</v>
      </c>
      <c r="T2873" s="63"/>
      <c r="U2873" s="63">
        <v>0</v>
      </c>
      <c r="V2873" s="63"/>
      <c r="W2873" s="63">
        <f>IF(Copyright!B$11=1,IF(CA2873&gt;0,CA2873-SUM(S2873:V2873)-P2873-SUM(X2873:AQ2873),SUM(CB2873:CI2873)),SUM(CB2873:CI2873))</f>
        <v>0</v>
      </c>
      <c r="X2873" s="63"/>
      <c r="Y2873" s="63">
        <v>11</v>
      </c>
      <c r="Z2873" s="63"/>
      <c r="AA2873" s="63">
        <v>0</v>
      </c>
      <c r="AB2873" s="63"/>
      <c r="AC2873" s="63"/>
      <c r="AD2873" s="63"/>
      <c r="AE2873" s="63">
        <v>0</v>
      </c>
      <c r="AF2873" s="63"/>
      <c r="AG2873" s="63"/>
      <c r="AH2873" s="63"/>
      <c r="AI2873" s="63"/>
      <c r="AJ2873" s="63"/>
      <c r="AK2873" s="63"/>
      <c r="AL2873" s="63"/>
      <c r="AM2873" s="63"/>
      <c r="AN2873" s="63">
        <v>1</v>
      </c>
      <c r="AO2873" s="63"/>
      <c r="AP2873" s="63"/>
      <c r="AQ2873" s="63"/>
      <c r="AR2873" s="63"/>
      <c r="AS2873" s="63"/>
      <c r="AT2873" s="63"/>
      <c r="AU2873" s="63"/>
      <c r="AW2873" s="5">
        <f>IF(Q2873&gt;0,RANK(Q2873,(N2873:P2873,Q2873:AE2873)),0)</f>
        <v>3</v>
      </c>
      <c r="AX2873" s="5">
        <f>IF(R2873&gt;0,RANK(R2873,(N2873:P2873,Q2873:AE2873)),0)</f>
        <v>4</v>
      </c>
      <c r="AY2873" s="5">
        <f>IF(T2873&gt;0,RANK(T2873,(N2873:P2873,Q2873:AE2873)),0)</f>
        <v>0</v>
      </c>
      <c r="AZ2873" s="5">
        <f>IF(S2873&gt;0,RANK(S2873,(N2873:P2873,Q2873:AE2873)),0)</f>
        <v>7</v>
      </c>
      <c r="BA2873" s="2">
        <f t="shared" si="1114"/>
        <v>2.0382628350016144E-2</v>
      </c>
      <c r="BB2873" s="2">
        <f t="shared" si="1115"/>
        <v>3.6729092670326124E-3</v>
      </c>
      <c r="BC2873" s="2">
        <f t="shared" si="1116"/>
        <v>0</v>
      </c>
      <c r="BD2873" s="2">
        <f t="shared" si="1117"/>
        <v>4.0361640297061671E-4</v>
      </c>
      <c r="BF2873" t="s">
        <v>2886</v>
      </c>
      <c r="BG2873" t="s">
        <v>53</v>
      </c>
      <c r="BJ2873" s="114">
        <v>48</v>
      </c>
      <c r="BK2873" s="116">
        <v>497</v>
      </c>
      <c r="BL2873" s="120">
        <f t="shared" si="1121"/>
        <v>48497</v>
      </c>
      <c r="BN2873" s="5" t="s">
        <v>3154</v>
      </c>
      <c r="BZ2873" s="63">
        <f t="shared" si="1118"/>
        <v>24776</v>
      </c>
      <c r="CD2873" s="63">
        <v>0</v>
      </c>
      <c r="CE2873" s="63">
        <v>0</v>
      </c>
      <c r="CF2873" s="63">
        <v>0</v>
      </c>
      <c r="CG2873" s="8">
        <v>0</v>
      </c>
      <c r="CH2873" s="8">
        <v>0</v>
      </c>
      <c r="CI2873" s="8">
        <v>0</v>
      </c>
    </row>
    <row r="2874" spans="1:87" hidden="1" outlineLevel="1">
      <c r="A2874" t="s">
        <v>331</v>
      </c>
      <c r="B2874" t="s">
        <v>53</v>
      </c>
      <c r="C2874" s="1">
        <f t="shared" si="1109"/>
        <v>18727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5</v>
      </c>
      <c r="G2874" s="132">
        <f t="shared" si="1119"/>
        <v>13070</v>
      </c>
      <c r="H2874" s="137">
        <f t="shared" si="1120"/>
        <v>0.69792278528328078</v>
      </c>
      <c r="I2874" s="2"/>
      <c r="J2874" s="2">
        <f t="shared" si="1110"/>
        <v>0.14043893843114219</v>
      </c>
      <c r="K2874" s="2">
        <f t="shared" si="1111"/>
        <v>0.83836172371442308</v>
      </c>
      <c r="L2874" s="2">
        <f t="shared" si="1112"/>
        <v>2.0291557644043358E-3</v>
      </c>
      <c r="M2874" s="2">
        <f t="shared" si="1113"/>
        <v>1.9170182090030394E-2</v>
      </c>
      <c r="N2874" s="63">
        <v>2630</v>
      </c>
      <c r="O2874" s="63">
        <v>15700</v>
      </c>
      <c r="P2874" s="63">
        <v>38</v>
      </c>
      <c r="Q2874" s="63">
        <v>280</v>
      </c>
      <c r="R2874" s="63">
        <v>64</v>
      </c>
      <c r="S2874" s="63">
        <v>1</v>
      </c>
      <c r="T2874" s="63"/>
      <c r="U2874" s="63">
        <v>0</v>
      </c>
      <c r="V2874" s="63"/>
      <c r="W2874" s="63">
        <f>IF(Copyright!B$11=1,IF(CA2874&gt;0,CA2874-SUM(S2874:V2874)-P2874-SUM(X2874:AQ2874),SUM(CB2874:CI2874)),SUM(CB2874:CI2874))</f>
        <v>12</v>
      </c>
      <c r="X2874" s="63"/>
      <c r="Y2874" s="63">
        <v>0</v>
      </c>
      <c r="Z2874" s="63"/>
      <c r="AA2874" s="63">
        <v>0</v>
      </c>
      <c r="AB2874" s="63"/>
      <c r="AC2874" s="63"/>
      <c r="AD2874" s="63"/>
      <c r="AE2874" s="63">
        <v>2</v>
      </c>
      <c r="AF2874" s="63"/>
      <c r="AG2874" s="63"/>
      <c r="AH2874" s="63"/>
      <c r="AI2874" s="63"/>
      <c r="AJ2874" s="63"/>
      <c r="AK2874" s="63"/>
      <c r="AL2874" s="63"/>
      <c r="AM2874" s="63"/>
      <c r="AN2874" s="63">
        <v>0</v>
      </c>
      <c r="AO2874" s="63"/>
      <c r="AP2874" s="63"/>
      <c r="AQ2874" s="63"/>
      <c r="AR2874" s="63"/>
      <c r="AS2874" s="63"/>
      <c r="AT2874" s="63"/>
      <c r="AU2874" s="63"/>
      <c r="AW2874" s="5">
        <f>IF(Q2874&gt;0,RANK(Q2874,(N2874:P2874,Q2874:AE2874)),0)</f>
        <v>3</v>
      </c>
      <c r="AX2874" s="5">
        <f>IF(R2874&gt;0,RANK(R2874,(N2874:P2874,Q2874:AE2874)),0)</f>
        <v>4</v>
      </c>
      <c r="AY2874" s="5">
        <f>IF(T2874&gt;0,RANK(T2874,(N2874:P2874,Q2874:AE2874)),0)</f>
        <v>0</v>
      </c>
      <c r="AZ2874" s="5">
        <f>IF(S2874&gt;0,RANK(S2874,(N2874:P2874,Q2874:AE2874)),0)</f>
        <v>8</v>
      </c>
      <c r="BA2874" s="2">
        <f t="shared" si="1114"/>
        <v>1.4951674053505634E-2</v>
      </c>
      <c r="BB2874" s="2">
        <f t="shared" si="1115"/>
        <v>3.4175254979441449E-3</v>
      </c>
      <c r="BC2874" s="2">
        <f t="shared" si="1116"/>
        <v>0</v>
      </c>
      <c r="BD2874" s="2">
        <f t="shared" si="1117"/>
        <v>5.3398835905377265E-5</v>
      </c>
      <c r="BF2874" t="s">
        <v>331</v>
      </c>
      <c r="BG2874" t="s">
        <v>53</v>
      </c>
      <c r="BJ2874" s="114">
        <v>48</v>
      </c>
      <c r="BK2874" s="116">
        <v>499</v>
      </c>
      <c r="BL2874" s="120">
        <f t="shared" si="1121"/>
        <v>48499</v>
      </c>
      <c r="BN2874" s="5" t="s">
        <v>3154</v>
      </c>
      <c r="BZ2874" s="63">
        <f t="shared" si="1118"/>
        <v>18727</v>
      </c>
      <c r="CD2874" s="63">
        <v>0</v>
      </c>
      <c r="CE2874" s="63">
        <v>0</v>
      </c>
      <c r="CF2874" s="63">
        <v>0</v>
      </c>
      <c r="CG2874" s="8">
        <v>12</v>
      </c>
      <c r="CH2874" s="8">
        <v>0</v>
      </c>
      <c r="CI2874" s="8">
        <v>0</v>
      </c>
    </row>
    <row r="2875" spans="1:87" hidden="1" outlineLevel="1">
      <c r="A2875" t="s">
        <v>418</v>
      </c>
      <c r="B2875" t="s">
        <v>53</v>
      </c>
      <c r="C2875" s="1">
        <f t="shared" si="1109"/>
        <v>2303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4</v>
      </c>
      <c r="G2875" s="132">
        <f t="shared" si="1119"/>
        <v>1371</v>
      </c>
      <c r="H2875" s="137">
        <f t="shared" si="1120"/>
        <v>0.59531046461137649</v>
      </c>
      <c r="I2875" s="2"/>
      <c r="J2875" s="2">
        <f t="shared" si="1110"/>
        <v>0.18497611810681719</v>
      </c>
      <c r="K2875" s="2">
        <f t="shared" si="1111"/>
        <v>0.78028658271819362</v>
      </c>
      <c r="L2875" s="2">
        <f t="shared" si="1112"/>
        <v>1.7368649587494573E-3</v>
      </c>
      <c r="M2875" s="2">
        <f t="shared" si="1113"/>
        <v>3.3000434216239674E-2</v>
      </c>
      <c r="N2875" s="63">
        <v>426</v>
      </c>
      <c r="O2875" s="63">
        <v>1797</v>
      </c>
      <c r="P2875" s="63">
        <v>4</v>
      </c>
      <c r="Q2875" s="63">
        <v>73</v>
      </c>
      <c r="R2875" s="63">
        <v>3</v>
      </c>
      <c r="S2875" s="63">
        <v>0</v>
      </c>
      <c r="T2875" s="63"/>
      <c r="U2875" s="63">
        <v>0</v>
      </c>
      <c r="V2875" s="63"/>
      <c r="W2875" s="63">
        <f>IF(Copyright!B$11=1,IF(CA2875&gt;0,CA2875-SUM(S2875:V2875)-P2875-SUM(X2875:AQ2875),SUM(CB2875:CI2875)),SUM(CB2875:CI2875))</f>
        <v>0</v>
      </c>
      <c r="X2875" s="63"/>
      <c r="Y2875" s="63">
        <v>0</v>
      </c>
      <c r="Z2875" s="63"/>
      <c r="AA2875" s="63">
        <v>0</v>
      </c>
      <c r="AB2875" s="63"/>
      <c r="AC2875" s="63"/>
      <c r="AD2875" s="63"/>
      <c r="AE2875" s="63">
        <v>0</v>
      </c>
      <c r="AF2875" s="63"/>
      <c r="AG2875" s="63"/>
      <c r="AH2875" s="63"/>
      <c r="AI2875" s="63"/>
      <c r="AJ2875" s="63"/>
      <c r="AK2875" s="63"/>
      <c r="AL2875" s="63"/>
      <c r="AM2875" s="63"/>
      <c r="AN2875" s="63">
        <v>0</v>
      </c>
      <c r="AO2875" s="63"/>
      <c r="AP2875" s="63"/>
      <c r="AQ2875" s="63"/>
      <c r="AR2875" s="63"/>
      <c r="AS2875" s="63"/>
      <c r="AT2875" s="63"/>
      <c r="AU2875" s="63"/>
      <c r="AW2875" s="5">
        <f>IF(Q2875&gt;0,RANK(Q2875,(N2875:P2875,Q2875:AE2875)),0)</f>
        <v>3</v>
      </c>
      <c r="AX2875" s="5">
        <f>IF(R2875&gt;0,RANK(R2875,(N2875:P2875,Q2875:AE2875)),0)</f>
        <v>5</v>
      </c>
      <c r="AY2875" s="5">
        <f>IF(T2875&gt;0,RANK(T2875,(N2875:P2875,Q2875:AE2875)),0)</f>
        <v>0</v>
      </c>
      <c r="AZ2875" s="5">
        <f>IF(S2875&gt;0,RANK(S2875,(N2875:P2875,Q2875:AE2875)),0)</f>
        <v>0</v>
      </c>
      <c r="BA2875" s="2">
        <f t="shared" si="1114"/>
        <v>3.1697785497177597E-2</v>
      </c>
      <c r="BB2875" s="2">
        <f t="shared" si="1115"/>
        <v>1.3026487190620929E-3</v>
      </c>
      <c r="BC2875" s="2">
        <f t="shared" si="1116"/>
        <v>0</v>
      </c>
      <c r="BD2875" s="2">
        <f t="shared" si="1117"/>
        <v>0</v>
      </c>
      <c r="BF2875" t="s">
        <v>418</v>
      </c>
      <c r="BG2875" t="s">
        <v>53</v>
      </c>
      <c r="BH2875">
        <v>19</v>
      </c>
      <c r="BJ2875" s="114">
        <v>48</v>
      </c>
      <c r="BK2875" s="116">
        <v>501</v>
      </c>
      <c r="BL2875" s="120">
        <f t="shared" si="1121"/>
        <v>48501</v>
      </c>
      <c r="BN2875" s="5" t="s">
        <v>3154</v>
      </c>
      <c r="BZ2875" s="63">
        <f t="shared" si="1118"/>
        <v>2303</v>
      </c>
      <c r="CD2875" s="63">
        <v>0</v>
      </c>
      <c r="CE2875" s="63">
        <v>0</v>
      </c>
      <c r="CF2875" s="63">
        <v>0</v>
      </c>
      <c r="CG2875" s="8">
        <v>0</v>
      </c>
      <c r="CH2875" s="8">
        <v>0</v>
      </c>
      <c r="CI2875" s="8">
        <v>0</v>
      </c>
    </row>
    <row r="2876" spans="1:87" hidden="1" outlineLevel="1">
      <c r="A2876" t="s">
        <v>923</v>
      </c>
      <c r="B2876" t="s">
        <v>53</v>
      </c>
      <c r="C2876" s="1">
        <f t="shared" si="1109"/>
        <v>7707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4</v>
      </c>
      <c r="G2876" s="132">
        <f t="shared" si="1119"/>
        <v>5725</v>
      </c>
      <c r="H2876" s="137">
        <f t="shared" si="1120"/>
        <v>0.74283119242247309</v>
      </c>
      <c r="I2876" s="2"/>
      <c r="J2876" s="2">
        <f t="shared" si="1110"/>
        <v>0.11366290385363954</v>
      </c>
      <c r="K2876" s="2">
        <f t="shared" si="1111"/>
        <v>0.85649409627611262</v>
      </c>
      <c r="L2876" s="2">
        <f t="shared" si="1112"/>
        <v>3.8925652004671079E-3</v>
      </c>
      <c r="M2876" s="2">
        <f t="shared" si="1113"/>
        <v>2.5950434669780746E-2</v>
      </c>
      <c r="N2876" s="63">
        <v>876</v>
      </c>
      <c r="O2876" s="63">
        <v>6601</v>
      </c>
      <c r="P2876" s="63">
        <v>30</v>
      </c>
      <c r="Q2876" s="63">
        <v>180</v>
      </c>
      <c r="R2876" s="63">
        <v>19</v>
      </c>
      <c r="S2876" s="63">
        <v>1</v>
      </c>
      <c r="T2876" s="63"/>
      <c r="U2876" s="63">
        <v>0</v>
      </c>
      <c r="V2876" s="63"/>
      <c r="W2876" s="63">
        <f>IF(Copyright!B$11=1,IF(CA2876&gt;0,CA2876-SUM(S2876:V2876)-P2876-SUM(X2876:AQ2876),SUM(CB2876:CI2876)),SUM(CB2876:CI2876))</f>
        <v>0</v>
      </c>
      <c r="X2876" s="63"/>
      <c r="Y2876" s="63">
        <v>0</v>
      </c>
      <c r="Z2876" s="63"/>
      <c r="AA2876" s="63">
        <v>0</v>
      </c>
      <c r="AB2876" s="63"/>
      <c r="AC2876" s="63"/>
      <c r="AD2876" s="63"/>
      <c r="AE2876" s="63">
        <v>0</v>
      </c>
      <c r="AF2876" s="63"/>
      <c r="AG2876" s="63"/>
      <c r="AH2876" s="63"/>
      <c r="AI2876" s="63"/>
      <c r="AJ2876" s="63"/>
      <c r="AK2876" s="63"/>
      <c r="AL2876" s="63"/>
      <c r="AM2876" s="63"/>
      <c r="AN2876" s="63">
        <v>0</v>
      </c>
      <c r="AO2876" s="63"/>
      <c r="AP2876" s="63"/>
      <c r="AQ2876" s="63"/>
      <c r="AR2876" s="63"/>
      <c r="AS2876" s="63"/>
      <c r="AT2876" s="63"/>
      <c r="AU2876" s="63"/>
      <c r="AW2876" s="5">
        <f>IF(Q2876&gt;0,RANK(Q2876,(N2876:P2876,Q2876:AE2876)),0)</f>
        <v>3</v>
      </c>
      <c r="AX2876" s="5">
        <f>IF(R2876&gt;0,RANK(R2876,(N2876:P2876,Q2876:AE2876)),0)</f>
        <v>5</v>
      </c>
      <c r="AY2876" s="5">
        <f>IF(T2876&gt;0,RANK(T2876,(N2876:P2876,Q2876:AE2876)),0)</f>
        <v>0</v>
      </c>
      <c r="AZ2876" s="5">
        <f>IF(S2876&gt;0,RANK(S2876,(N2876:P2876,Q2876:AE2876)),0)</f>
        <v>6</v>
      </c>
      <c r="BA2876" s="2">
        <f t="shared" si="1114"/>
        <v>2.3355391202802646E-2</v>
      </c>
      <c r="BB2876" s="2">
        <f t="shared" si="1115"/>
        <v>2.4652912936291684E-3</v>
      </c>
      <c r="BC2876" s="2">
        <f t="shared" si="1116"/>
        <v>0</v>
      </c>
      <c r="BD2876" s="2">
        <f t="shared" si="1117"/>
        <v>1.297521733489036E-4</v>
      </c>
      <c r="BF2876" t="s">
        <v>923</v>
      </c>
      <c r="BG2876" t="s">
        <v>53</v>
      </c>
      <c r="BH2876">
        <v>19</v>
      </c>
      <c r="BJ2876" s="114">
        <v>48</v>
      </c>
      <c r="BK2876" s="116">
        <v>503</v>
      </c>
      <c r="BL2876" s="120">
        <f t="shared" si="1121"/>
        <v>48503</v>
      </c>
      <c r="BN2876" s="5" t="s">
        <v>3154</v>
      </c>
      <c r="BZ2876" s="63">
        <f t="shared" si="1118"/>
        <v>7707</v>
      </c>
      <c r="CD2876" s="63">
        <v>0</v>
      </c>
      <c r="CE2876" s="63">
        <v>0</v>
      </c>
      <c r="CF2876" s="63">
        <v>0</v>
      </c>
      <c r="CG2876" s="8">
        <v>0</v>
      </c>
      <c r="CH2876" s="8">
        <v>0</v>
      </c>
      <c r="CI2876" s="8">
        <v>0</v>
      </c>
    </row>
    <row r="2877" spans="1:87" hidden="1" outlineLevel="1">
      <c r="A2877" t="s">
        <v>2213</v>
      </c>
      <c r="B2877" t="s">
        <v>53</v>
      </c>
      <c r="C2877" s="1">
        <f t="shared" si="1109"/>
        <v>3142</v>
      </c>
      <c r="D2877" s="5">
        <f>IF(N2877&gt;0, RANK(N2877,(N2877:P2877,Q2877:AE2877)),0)</f>
        <v>1</v>
      </c>
      <c r="E2877" s="5">
        <f>IF(O2877&gt;0,RANK(O2877,(N2877:P2877,Q2877:AE2877)),0)</f>
        <v>2</v>
      </c>
      <c r="F2877" s="5">
        <f>IF(P2877&gt;0,RANK(P2877,(N2877:P2877,Q2877:AE2877)),0)</f>
        <v>0</v>
      </c>
      <c r="G2877" s="132">
        <f t="shared" si="1119"/>
        <v>1034</v>
      </c>
      <c r="H2877" s="137">
        <f t="shared" si="1120"/>
        <v>0.32908975175047739</v>
      </c>
      <c r="I2877" s="2"/>
      <c r="J2877" s="2">
        <f t="shared" si="1110"/>
        <v>0.65658816040738388</v>
      </c>
      <c r="K2877" s="2">
        <f t="shared" si="1111"/>
        <v>0.32749840865690644</v>
      </c>
      <c r="L2877" s="2">
        <f t="shared" si="1112"/>
        <v>0</v>
      </c>
      <c r="M2877" s="2">
        <f t="shared" si="1113"/>
        <v>1.5913430935709683E-2</v>
      </c>
      <c r="N2877" s="63">
        <v>2063</v>
      </c>
      <c r="O2877" s="63">
        <v>1029</v>
      </c>
      <c r="P2877" s="63">
        <v>0</v>
      </c>
      <c r="Q2877" s="63">
        <v>34</v>
      </c>
      <c r="R2877" s="63">
        <v>16</v>
      </c>
      <c r="S2877" s="63">
        <v>0</v>
      </c>
      <c r="T2877" s="63"/>
      <c r="U2877" s="63">
        <v>0</v>
      </c>
      <c r="V2877" s="63"/>
      <c r="W2877" s="63">
        <f>IF(Copyright!B$11=1,IF(CA2877&gt;0,CA2877-SUM(S2877:V2877)-P2877-SUM(X2877:AQ2877),SUM(CB2877:CI2877)),SUM(CB2877:CI2877))</f>
        <v>0</v>
      </c>
      <c r="X2877" s="63"/>
      <c r="Y2877" s="63">
        <v>0</v>
      </c>
      <c r="Z2877" s="63"/>
      <c r="AA2877" s="63">
        <v>0</v>
      </c>
      <c r="AB2877" s="63"/>
      <c r="AC2877" s="63"/>
      <c r="AD2877" s="63"/>
      <c r="AE2877" s="63">
        <v>0</v>
      </c>
      <c r="AF2877" s="63"/>
      <c r="AG2877" s="63"/>
      <c r="AH2877" s="63"/>
      <c r="AI2877" s="63"/>
      <c r="AJ2877" s="63"/>
      <c r="AK2877" s="63"/>
      <c r="AL2877" s="63"/>
      <c r="AM2877" s="63"/>
      <c r="AN2877" s="63">
        <v>0</v>
      </c>
      <c r="AO2877" s="63"/>
      <c r="AP2877" s="63"/>
      <c r="AQ2877" s="63"/>
      <c r="AR2877" s="63"/>
      <c r="AS2877" s="63"/>
      <c r="AT2877" s="63"/>
      <c r="AU2877" s="63"/>
      <c r="AW2877" s="5">
        <f>IF(Q2877&gt;0,RANK(Q2877,(N2877:P2877,Q2877:AE2877)),0)</f>
        <v>3</v>
      </c>
      <c r="AX2877" s="5">
        <f>IF(R2877&gt;0,RANK(R2877,(N2877:P2877,Q2877:AE2877)),0)</f>
        <v>4</v>
      </c>
      <c r="AY2877" s="5">
        <f>IF(T2877&gt;0,RANK(T2877,(N2877:P2877,Q2877:AE2877)),0)</f>
        <v>0</v>
      </c>
      <c r="AZ2877" s="5">
        <f>IF(S2877&gt;0,RANK(S2877,(N2877:P2877,Q2877:AE2877)),0)</f>
        <v>0</v>
      </c>
      <c r="BA2877" s="2">
        <f t="shared" si="1114"/>
        <v>1.0821133036282623E-2</v>
      </c>
      <c r="BB2877" s="2">
        <f t="shared" si="1115"/>
        <v>5.0922978994271161E-3</v>
      </c>
      <c r="BC2877" s="2">
        <f t="shared" si="1116"/>
        <v>0</v>
      </c>
      <c r="BD2877" s="2">
        <f t="shared" si="1117"/>
        <v>0</v>
      </c>
      <c r="BF2877" t="s">
        <v>2213</v>
      </c>
      <c r="BG2877" t="s">
        <v>53</v>
      </c>
      <c r="BH2877">
        <v>28</v>
      </c>
      <c r="BJ2877" s="114">
        <v>48</v>
      </c>
      <c r="BK2877" s="116">
        <v>505</v>
      </c>
      <c r="BL2877" s="120">
        <f t="shared" si="1121"/>
        <v>48505</v>
      </c>
      <c r="BN2877" s="5" t="s">
        <v>3154</v>
      </c>
      <c r="BZ2877" s="63">
        <f t="shared" si="1118"/>
        <v>3142</v>
      </c>
      <c r="CD2877" s="63">
        <v>0</v>
      </c>
      <c r="CE2877" s="63">
        <v>0</v>
      </c>
      <c r="CF2877" s="63">
        <v>0</v>
      </c>
      <c r="CG2877" s="8">
        <v>0</v>
      </c>
      <c r="CH2877" s="8">
        <v>0</v>
      </c>
      <c r="CI2877" s="8">
        <v>0</v>
      </c>
    </row>
    <row r="2878" spans="1:87" hidden="1" outlineLevel="1">
      <c r="A2878" t="s">
        <v>2479</v>
      </c>
      <c r="B2878" t="s">
        <v>53</v>
      </c>
      <c r="C2878" s="1">
        <f t="shared" si="1109"/>
        <v>3396</v>
      </c>
      <c r="D2878" s="5">
        <f>IF(N2878&gt;0, RANK(N2878,(N2878:P2878,Q2878:AE2878)),0)</f>
        <v>1</v>
      </c>
      <c r="E2878" s="5">
        <f>IF(O2878&gt;0,RANK(O2878,(N2878:P2878,Q2878:AE2878)),0)</f>
        <v>2</v>
      </c>
      <c r="F2878" s="5">
        <f>IF(P2878&gt;0,RANK(P2878,(N2878:P2878,Q2878:AE2878)),0)</f>
        <v>0</v>
      </c>
      <c r="G2878" s="132">
        <f t="shared" si="1119"/>
        <v>1942</v>
      </c>
      <c r="H2878" s="137">
        <f t="shared" si="1120"/>
        <v>0.57184923439340396</v>
      </c>
      <c r="I2878" s="2"/>
      <c r="J2878" s="2">
        <f t="shared" si="1110"/>
        <v>0.77620730270906946</v>
      </c>
      <c r="K2878" s="2">
        <f t="shared" si="1111"/>
        <v>0.2043580683156655</v>
      </c>
      <c r="L2878" s="2">
        <f t="shared" si="1112"/>
        <v>0</v>
      </c>
      <c r="M2878" s="2">
        <f t="shared" si="1113"/>
        <v>1.9434628975265045E-2</v>
      </c>
      <c r="N2878" s="63">
        <v>2636</v>
      </c>
      <c r="O2878" s="63">
        <v>694</v>
      </c>
      <c r="P2878" s="63">
        <v>0</v>
      </c>
      <c r="Q2878" s="63">
        <v>50</v>
      </c>
      <c r="R2878" s="63">
        <v>16</v>
      </c>
      <c r="S2878" s="63">
        <v>0</v>
      </c>
      <c r="T2878" s="63"/>
      <c r="U2878" s="63">
        <v>0</v>
      </c>
      <c r="V2878" s="63"/>
      <c r="W2878" s="63">
        <f>IF(Copyright!B$11=1,IF(CA2878&gt;0,CA2878-SUM(S2878:V2878)-P2878-SUM(X2878:AQ2878),SUM(CB2878:CI2878)),SUM(CB2878:CI2878))</f>
        <v>0</v>
      </c>
      <c r="X2878" s="63"/>
      <c r="Y2878" s="63">
        <v>0</v>
      </c>
      <c r="Z2878" s="63"/>
      <c r="AA2878" s="63">
        <v>0</v>
      </c>
      <c r="AB2878" s="63"/>
      <c r="AC2878" s="63"/>
      <c r="AD2878" s="63"/>
      <c r="AE2878" s="63">
        <v>0</v>
      </c>
      <c r="AF2878" s="63"/>
      <c r="AG2878" s="63"/>
      <c r="AH2878" s="63"/>
      <c r="AI2878" s="63"/>
      <c r="AJ2878" s="63"/>
      <c r="AK2878" s="63"/>
      <c r="AL2878" s="63"/>
      <c r="AM2878" s="63"/>
      <c r="AN2878" s="63">
        <v>0</v>
      </c>
      <c r="AO2878" s="63"/>
      <c r="AP2878" s="63"/>
      <c r="AQ2878" s="63"/>
      <c r="AR2878" s="63"/>
      <c r="AS2878" s="63"/>
      <c r="AT2878" s="63"/>
      <c r="AU2878" s="63"/>
      <c r="AW2878" s="5">
        <f>IF(Q2878&gt;0,RANK(Q2878,(N2878:P2878,Q2878:AE2878)),0)</f>
        <v>3</v>
      </c>
      <c r="AX2878" s="5">
        <f>IF(R2878&gt;0,RANK(R2878,(N2878:P2878,Q2878:AE2878)),0)</f>
        <v>4</v>
      </c>
      <c r="AY2878" s="5">
        <f>IF(T2878&gt;0,RANK(T2878,(N2878:P2878,Q2878:AE2878)),0)</f>
        <v>0</v>
      </c>
      <c r="AZ2878" s="5">
        <f>IF(S2878&gt;0,RANK(S2878,(N2878:P2878,Q2878:AE2878)),0)</f>
        <v>0</v>
      </c>
      <c r="BA2878" s="2">
        <f t="shared" si="1114"/>
        <v>1.4723203769140165E-2</v>
      </c>
      <c r="BB2878" s="2">
        <f t="shared" si="1115"/>
        <v>4.7114252061248524E-3</v>
      </c>
      <c r="BC2878" s="2">
        <f t="shared" si="1116"/>
        <v>0</v>
      </c>
      <c r="BD2878" s="2">
        <f t="shared" si="1117"/>
        <v>0</v>
      </c>
      <c r="BF2878" t="s">
        <v>2479</v>
      </c>
      <c r="BG2878" t="s">
        <v>53</v>
      </c>
      <c r="BH2878">
        <v>23</v>
      </c>
      <c r="BJ2878" s="114">
        <v>48</v>
      </c>
      <c r="BK2878" s="116">
        <v>507</v>
      </c>
      <c r="BL2878" s="120">
        <f t="shared" si="1121"/>
        <v>48507</v>
      </c>
      <c r="BN2878" s="5" t="s">
        <v>3154</v>
      </c>
      <c r="BZ2878" s="63">
        <f>C2878</f>
        <v>3396</v>
      </c>
      <c r="CD2878" s="63">
        <v>0</v>
      </c>
      <c r="CE2878" s="63">
        <v>0</v>
      </c>
      <c r="CF2878" s="63">
        <v>0</v>
      </c>
      <c r="CG2878" s="8">
        <v>0</v>
      </c>
      <c r="CH2878" s="8">
        <v>0</v>
      </c>
      <c r="CI2878" s="8">
        <v>0</v>
      </c>
    </row>
    <row r="2879" spans="1:87" collapsed="1">
      <c r="A2879" t="s">
        <v>492</v>
      </c>
      <c r="B2879" t="s">
        <v>544</v>
      </c>
      <c r="C2879" s="1">
        <f t="shared" si="1109"/>
        <v>8993166</v>
      </c>
      <c r="D2879" s="5">
        <f>IF(N2879&gt;0, RANK(N2879,(N2879:P2879,Q2879:AE2879)),0)</f>
        <v>2</v>
      </c>
      <c r="E2879" s="5">
        <f>IF(O2879&gt;0,RANK(O2879,(N2879:P2879,Q2879:AE2879)),0)</f>
        <v>1</v>
      </c>
      <c r="F2879" s="5">
        <f>IF(P2879&gt;0,RANK(P2879,(N2879:P2879,Q2879:AE2879)),0)</f>
        <v>5</v>
      </c>
      <c r="G2879" s="132">
        <f t="shared" si="1119"/>
        <v>807179</v>
      </c>
      <c r="H2879" s="137">
        <f t="shared" si="1120"/>
        <v>8.9754709298149285E-2</v>
      </c>
      <c r="I2879" s="2"/>
      <c r="J2879" s="2">
        <f t="shared" si="1110"/>
        <v>0.43120164800694216</v>
      </c>
      <c r="K2879" s="2">
        <f t="shared" si="1111"/>
        <v>0.52095635730509149</v>
      </c>
      <c r="L2879" s="2">
        <f t="shared" si="1112"/>
        <v>4.7109104846947119E-3</v>
      </c>
      <c r="M2879" s="2">
        <f t="shared" si="1113"/>
        <v>4.3131084203271636E-2</v>
      </c>
      <c r="N2879" s="63">
        <f t="shared" ref="N2879:S2879" si="1122">SUM(N2625:N2878)</f>
        <v>3877868</v>
      </c>
      <c r="O2879" s="63">
        <f t="shared" si="1122"/>
        <v>4685047</v>
      </c>
      <c r="P2879" s="63">
        <f t="shared" si="1122"/>
        <v>42366</v>
      </c>
      <c r="Q2879" s="63">
        <f t="shared" si="1122"/>
        <v>283492</v>
      </c>
      <c r="R2879" s="63">
        <f t="shared" si="1122"/>
        <v>71558</v>
      </c>
      <c r="S2879" s="63">
        <f t="shared" si="1122"/>
        <v>4261</v>
      </c>
      <c r="T2879" s="63"/>
      <c r="U2879" s="63">
        <f>SUM(U2625:U2878)</f>
        <v>72</v>
      </c>
      <c r="V2879" s="63"/>
      <c r="W2879" s="63">
        <f>SUM(W2625:W2878)</f>
        <v>25010</v>
      </c>
      <c r="X2879" s="63"/>
      <c r="Y2879" s="63">
        <f>SUM(Y2625:Y2878)</f>
        <v>932</v>
      </c>
      <c r="Z2879" s="63"/>
      <c r="AA2879" s="63">
        <f>SUM(AA2625:AA2878)</f>
        <v>122</v>
      </c>
      <c r="AB2879" s="63"/>
      <c r="AC2879" s="63"/>
      <c r="AD2879" s="63"/>
      <c r="AE2879" s="63">
        <f>SUM(AE2625:AE2878)</f>
        <v>1037</v>
      </c>
      <c r="AF2879" s="63"/>
      <c r="AG2879" s="63"/>
      <c r="AH2879" s="63"/>
      <c r="AI2879" s="63"/>
      <c r="AJ2879" s="63"/>
      <c r="AK2879" s="63"/>
      <c r="AL2879" s="63"/>
      <c r="AM2879" s="63"/>
      <c r="AN2879" s="63">
        <f>SUM(AN2625:AN2878)</f>
        <v>1401</v>
      </c>
      <c r="AO2879" s="63"/>
      <c r="AP2879" s="63"/>
      <c r="AQ2879" s="63"/>
      <c r="AR2879" s="63"/>
      <c r="AS2879" s="63"/>
      <c r="AT2879" s="63"/>
      <c r="AU2879" s="63"/>
      <c r="AW2879" s="5">
        <f>IF(Q2879&gt;0,RANK(Q2879,(N2879:P2879,Q2879:AE2879)),0)</f>
        <v>3</v>
      </c>
      <c r="AX2879" s="5">
        <f>IF(R2879&gt;0,RANK(R2879,(N2879:P2879,Q2879:AE2879)),0)</f>
        <v>4</v>
      </c>
      <c r="AY2879" s="5">
        <f>IF(T2879&gt;0,RANK(T2879,(N2879:P2879,Q2879:AE2879)),0)</f>
        <v>0</v>
      </c>
      <c r="AZ2879" s="5">
        <f>IF(S2879&gt;0,RANK(S2879,(N2879:P2879,Q2879:AE2879)),0)</f>
        <v>7</v>
      </c>
      <c r="BA2879" s="2">
        <f t="shared" si="1114"/>
        <v>3.1523047611931101E-2</v>
      </c>
      <c r="BB2879" s="2">
        <f t="shared" si="1115"/>
        <v>7.9569308517156243E-3</v>
      </c>
      <c r="BC2879" s="2">
        <f t="shared" si="1116"/>
        <v>0</v>
      </c>
      <c r="BD2879" s="2">
        <f t="shared" si="1117"/>
        <v>4.7380421978199889E-4</v>
      </c>
      <c r="BF2879" t="s">
        <v>492</v>
      </c>
      <c r="BG2879" t="s">
        <v>544</v>
      </c>
      <c r="BJ2879" s="114">
        <v>48</v>
      </c>
      <c r="BK2879" s="116"/>
      <c r="BL2879" s="114">
        <v>48</v>
      </c>
      <c r="BN2879" s="5" t="s">
        <v>711</v>
      </c>
      <c r="CA2879" s="63">
        <f>SUM(CA2625:CA2878)</f>
        <v>42902</v>
      </c>
      <c r="CD2879" s="63">
        <f t="shared" ref="CD2879:CI2879" si="1123">SUM(CD2625:CD2878)</f>
        <v>428</v>
      </c>
      <c r="CE2879" s="63">
        <f t="shared" si="1123"/>
        <v>67</v>
      </c>
      <c r="CF2879" s="63">
        <f t="shared" si="1123"/>
        <v>314</v>
      </c>
      <c r="CG2879" s="63">
        <f t="shared" si="1123"/>
        <v>71</v>
      </c>
      <c r="CH2879" s="63">
        <f t="shared" si="1123"/>
        <v>45</v>
      </c>
      <c r="CI2879" s="63">
        <f t="shared" si="1123"/>
        <v>145</v>
      </c>
    </row>
    <row r="2880" spans="1:87">
      <c r="C2880" s="1"/>
      <c r="E2880" s="5"/>
      <c r="F2880" s="5"/>
      <c r="G2880" s="132"/>
      <c r="H2880" s="137"/>
      <c r="I2880" s="2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W2880" s="5"/>
      <c r="AX2880" s="5"/>
      <c r="AY2880" s="5"/>
      <c r="AZ2880" s="5"/>
      <c r="BJ2880" s="114"/>
      <c r="BK2880" s="116"/>
      <c r="BL2880" s="120"/>
      <c r="CA2880" s="132"/>
      <c r="CB2880" s="132"/>
      <c r="CD2880" s="132" t="s">
        <v>3558</v>
      </c>
      <c r="CE2880" s="132" t="s">
        <v>3559</v>
      </c>
      <c r="CF2880" s="132" t="s">
        <v>3560</v>
      </c>
      <c r="CG2880" s="132" t="s">
        <v>3561</v>
      </c>
      <c r="CH2880" s="132" t="s">
        <v>3562</v>
      </c>
      <c r="CI2880" s="132" t="s">
        <v>3563</v>
      </c>
    </row>
    <row r="2881" spans="1:87" hidden="1" outlineLevel="1">
      <c r="A2881" t="s">
        <v>1193</v>
      </c>
      <c r="B2881" t="s">
        <v>957</v>
      </c>
      <c r="C2881" s="1">
        <f t="shared" ref="C2881:C2910" si="1124">SUM(N2881:AU2881)</f>
        <v>2505</v>
      </c>
      <c r="D2881" s="5">
        <f>IF(N2881&gt;0, RANK(N2881,(N2881:P2881,Q2881:AE2881)),0)</f>
        <v>3</v>
      </c>
      <c r="E2881" s="5">
        <f>IF(O2881&gt;0,RANK(O2881,(N2881:P2881,Q2881:AE2881)),0)</f>
        <v>1</v>
      </c>
      <c r="F2881" s="5">
        <f>IF(P2881&gt;0,RANK(P2881,(N2881:P2881,Q2881:AE2881)),0)</f>
        <v>2</v>
      </c>
      <c r="G2881" s="132">
        <f t="shared" si="1119"/>
        <v>1515</v>
      </c>
      <c r="H2881" s="137">
        <f t="shared" si="1120"/>
        <v>0.60479041916167664</v>
      </c>
      <c r="I2881" s="2"/>
      <c r="J2881" s="2">
        <f t="shared" ref="J2881:J2910" si="1125">IF($C2881=0,"-",N2881/$C2881)</f>
        <v>0.10538922155688622</v>
      </c>
      <c r="K2881" s="2">
        <f t="shared" ref="K2881:K2910" si="1126">IF($C2881=0,"-",O2881/$C2881)</f>
        <v>0.73373253493013968</v>
      </c>
      <c r="L2881" s="2">
        <f t="shared" ref="L2881:L2910" si="1127">IF($C2881=0,"-",P2881/$C2881)</f>
        <v>0.12894211576846307</v>
      </c>
      <c r="M2881" s="2">
        <f t="shared" ref="M2881:M2910" si="1128">IF(C2881=0,"-",(1-J2881-K2881-L2881))</f>
        <v>3.1936127744511017E-2</v>
      </c>
      <c r="N2881" s="63">
        <v>264</v>
      </c>
      <c r="O2881" s="63">
        <v>1838</v>
      </c>
      <c r="P2881" s="63">
        <v>323</v>
      </c>
      <c r="Q2881" s="63">
        <v>36</v>
      </c>
      <c r="R2881" s="63">
        <v>10</v>
      </c>
      <c r="S2881" s="63">
        <v>12</v>
      </c>
      <c r="T2881" s="63">
        <v>0</v>
      </c>
      <c r="U2881" s="63">
        <v>0</v>
      </c>
      <c r="V2881" s="63">
        <v>0</v>
      </c>
      <c r="W2881" s="63">
        <f>IF(Copyright!B$11=1,IF(CA2881&gt;0,CA2881-SUM(U2881:V2881)-Y2881-SUM(AB2881:AQ2881),SUM(CB2881:CJ2881)),SUM(CC2881:CJ2881))</f>
        <v>14</v>
      </c>
      <c r="X2881" s="63">
        <v>1</v>
      </c>
      <c r="Y2881" s="63">
        <v>0</v>
      </c>
      <c r="Z2881" s="63"/>
      <c r="AA2881" s="63">
        <v>1</v>
      </c>
      <c r="AB2881" s="63"/>
      <c r="AC2881" s="63"/>
      <c r="AD2881" s="63"/>
      <c r="AE2881" s="63">
        <v>0</v>
      </c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>
        <v>0</v>
      </c>
      <c r="AR2881" s="63"/>
      <c r="AS2881" s="63"/>
      <c r="AT2881" s="63">
        <v>6</v>
      </c>
      <c r="AU2881" s="63"/>
      <c r="AW2881" s="5">
        <f>IF(Q2881&gt;0,RANK(Q2881,(N2881:P2881,Q2881:AE2881)),0)</f>
        <v>4</v>
      </c>
      <c r="AX2881" s="5">
        <f>IF(R2881&gt;0,RANK(R2881,(N2881:P2881,Q2881:AE2881)),0)</f>
        <v>7</v>
      </c>
      <c r="AY2881" s="5">
        <f>IF(T2881&gt;0,RANK(T2881,(N2881:P2881,Q2881:AE2881)),0)</f>
        <v>0</v>
      </c>
      <c r="AZ2881" s="5">
        <f>IF(S2881&gt;0,RANK(S2881,(N2881:P2881,Q2881:AE2881)),0)</f>
        <v>6</v>
      </c>
      <c r="BA2881" s="2">
        <f t="shared" ref="BA2881:BA2910" si="1129">IF($C2881=0,"-",Q2881/$C2881)</f>
        <v>1.437125748502994E-2</v>
      </c>
      <c r="BB2881" s="2">
        <f t="shared" ref="BB2881:BB2910" si="1130">IF($C2881=0,"-",R2881/$C2881)</f>
        <v>3.9920159680638719E-3</v>
      </c>
      <c r="BC2881" s="2">
        <f t="shared" ref="BC2881:BC2910" si="1131">IF($C2881=0,"-",T2881/$C2881)</f>
        <v>0</v>
      </c>
      <c r="BD2881" s="2">
        <f t="shared" ref="BD2881:BD2910" si="1132">IF($C2881=0,"-",S2881/$C2881)</f>
        <v>4.7904191616766467E-3</v>
      </c>
      <c r="BF2881" t="s">
        <v>1193</v>
      </c>
      <c r="BG2881" t="s">
        <v>957</v>
      </c>
      <c r="BH2881">
        <v>2</v>
      </c>
      <c r="BJ2881" s="114">
        <v>49</v>
      </c>
      <c r="BK2881" s="116">
        <v>1</v>
      </c>
      <c r="BL2881" s="120">
        <f t="shared" si="1121"/>
        <v>49001</v>
      </c>
      <c r="BN2881" s="5" t="s">
        <v>3154</v>
      </c>
      <c r="BY2881" s="132" t="s">
        <v>3223</v>
      </c>
      <c r="BZ2881" s="63">
        <f>C2881</f>
        <v>2505</v>
      </c>
      <c r="CA2881" s="63">
        <v>14</v>
      </c>
      <c r="CD2881" s="63">
        <v>0</v>
      </c>
      <c r="CE2881" s="63">
        <v>0</v>
      </c>
      <c r="CF2881" s="63">
        <v>0</v>
      </c>
      <c r="CG2881" s="8">
        <v>0</v>
      </c>
      <c r="CH2881" s="8">
        <v>0</v>
      </c>
      <c r="CI2881" s="8">
        <v>0</v>
      </c>
    </row>
    <row r="2882" spans="1:87" hidden="1" outlineLevel="1">
      <c r="A2882" t="s">
        <v>1741</v>
      </c>
      <c r="B2882" t="s">
        <v>957</v>
      </c>
      <c r="C2882" s="1">
        <f t="shared" si="1124"/>
        <v>19878</v>
      </c>
      <c r="D2882" s="5">
        <f>IF(N2882&gt;0, RANK(N2882,(N2882:P2882,Q2882:AE2882)),0)</f>
        <v>3</v>
      </c>
      <c r="E2882" s="5">
        <f>IF(O2882&gt;0,RANK(O2882,(N2882:P2882,Q2882:AE2882)),0)</f>
        <v>1</v>
      </c>
      <c r="F2882" s="5">
        <f>IF(P2882&gt;0,RANK(P2882,(N2882:P2882,Q2882:AE2882)),0)</f>
        <v>2</v>
      </c>
      <c r="G2882" s="132">
        <f t="shared" si="1119"/>
        <v>7973</v>
      </c>
      <c r="H2882" s="137">
        <f t="shared" si="1120"/>
        <v>0.40109668980782776</v>
      </c>
      <c r="I2882" s="2"/>
      <c r="J2882" s="2">
        <f t="shared" si="1125"/>
        <v>0.11480028171848275</v>
      </c>
      <c r="K2882" s="2">
        <f t="shared" si="1126"/>
        <v>0.61525304356575106</v>
      </c>
      <c r="L2882" s="2">
        <f t="shared" si="1127"/>
        <v>0.21415635375792333</v>
      </c>
      <c r="M2882" s="2">
        <f t="shared" si="1128"/>
        <v>5.5790320957842837E-2</v>
      </c>
      <c r="N2882" s="63">
        <v>2282</v>
      </c>
      <c r="O2882" s="63">
        <v>12230</v>
      </c>
      <c r="P2882" s="63">
        <v>4257</v>
      </c>
      <c r="Q2882" s="63">
        <v>591</v>
      </c>
      <c r="R2882" s="63">
        <v>76</v>
      </c>
      <c r="S2882" s="63">
        <v>210</v>
      </c>
      <c r="T2882" s="63">
        <v>15</v>
      </c>
      <c r="U2882" s="63">
        <v>0</v>
      </c>
      <c r="V2882" s="63">
        <v>0</v>
      </c>
      <c r="W2882" s="63">
        <f>IF(Copyright!B$11=1,IF(CA2882&gt;0,CA2882-SUM(U2882:V2882)-Y2882-SUM(AB2882:AQ2882),SUM(CB2882:CJ2882)),SUM(CC2882:CJ2882))</f>
        <v>143</v>
      </c>
      <c r="X2882" s="63">
        <v>4</v>
      </c>
      <c r="Y2882" s="63">
        <v>0</v>
      </c>
      <c r="Z2882" s="63"/>
      <c r="AA2882" s="63">
        <v>9</v>
      </c>
      <c r="AB2882" s="63"/>
      <c r="AC2882" s="63"/>
      <c r="AD2882" s="63"/>
      <c r="AE2882" s="63">
        <v>0</v>
      </c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>
        <v>0</v>
      </c>
      <c r="AR2882" s="63"/>
      <c r="AS2882" s="63"/>
      <c r="AT2882" s="63">
        <v>61</v>
      </c>
      <c r="AU2882" s="63"/>
      <c r="AW2882" s="5">
        <f>IF(Q2882&gt;0,RANK(Q2882,(N2882:P2882,Q2882:AE2882)),0)</f>
        <v>4</v>
      </c>
      <c r="AX2882" s="5">
        <f>IF(R2882&gt;0,RANK(R2882,(N2882:P2882,Q2882:AE2882)),0)</f>
        <v>7</v>
      </c>
      <c r="AY2882" s="5">
        <f>IF(T2882&gt;0,RANK(T2882,(N2882:P2882,Q2882:AE2882)),0)</f>
        <v>8</v>
      </c>
      <c r="AZ2882" s="5">
        <f>IF(S2882&gt;0,RANK(S2882,(N2882:P2882,Q2882:AE2882)),0)</f>
        <v>5</v>
      </c>
      <c r="BA2882" s="2">
        <f t="shared" si="1129"/>
        <v>2.973136130395412E-2</v>
      </c>
      <c r="BB2882" s="2">
        <f t="shared" si="1130"/>
        <v>3.8233222658215112E-3</v>
      </c>
      <c r="BC2882" s="2">
        <f t="shared" si="1131"/>
        <v>7.5460307878056146E-4</v>
      </c>
      <c r="BD2882" s="2">
        <f t="shared" si="1132"/>
        <v>1.056444310292786E-2</v>
      </c>
      <c r="BF2882" t="s">
        <v>1741</v>
      </c>
      <c r="BG2882" t="s">
        <v>957</v>
      </c>
      <c r="BH2882">
        <v>1</v>
      </c>
      <c r="BJ2882" s="114">
        <v>49</v>
      </c>
      <c r="BK2882" s="116">
        <v>3</v>
      </c>
      <c r="BL2882" s="120">
        <f t="shared" si="1121"/>
        <v>49003</v>
      </c>
      <c r="BN2882" s="5" t="s">
        <v>3154</v>
      </c>
      <c r="BY2882" s="132" t="s">
        <v>3223</v>
      </c>
      <c r="BZ2882" s="63">
        <f t="shared" ref="BZ2882:BZ2909" si="1133">C2882</f>
        <v>19878</v>
      </c>
      <c r="CA2882" s="132">
        <v>143</v>
      </c>
      <c r="CD2882" s="63">
        <v>0</v>
      </c>
      <c r="CE2882" s="63">
        <v>0</v>
      </c>
      <c r="CF2882" s="63">
        <v>0</v>
      </c>
      <c r="CG2882" s="8">
        <v>0</v>
      </c>
      <c r="CH2882" s="8">
        <v>0</v>
      </c>
      <c r="CI2882" s="8">
        <v>0</v>
      </c>
    </row>
    <row r="2883" spans="1:87" hidden="1" outlineLevel="1">
      <c r="A2883" t="s">
        <v>1525</v>
      </c>
      <c r="B2883" t="s">
        <v>957</v>
      </c>
      <c r="C2883" s="1">
        <f t="shared" si="1124"/>
        <v>46718</v>
      </c>
      <c r="D2883" s="5">
        <f>IF(N2883&gt;0, RANK(N2883,(N2883:P2883,Q2883:AE2883)),0)</f>
        <v>3</v>
      </c>
      <c r="E2883" s="5">
        <f>IF(O2883&gt;0,RANK(O2883,(N2883:P2883,Q2883:AE2883)),0)</f>
        <v>1</v>
      </c>
      <c r="F2883" s="5">
        <f>IF(P2883&gt;0,RANK(P2883,(N2883:P2883,Q2883:AE2883)),0)</f>
        <v>2</v>
      </c>
      <c r="G2883" s="132">
        <f t="shared" si="1119"/>
        <v>7444</v>
      </c>
      <c r="H2883" s="137">
        <f t="shared" si="1120"/>
        <v>0.15933901280020549</v>
      </c>
      <c r="I2883" s="2"/>
      <c r="J2883" s="2">
        <f t="shared" si="1125"/>
        <v>0.1832912367823965</v>
      </c>
      <c r="K2883" s="2">
        <f t="shared" si="1126"/>
        <v>0.45248084250181941</v>
      </c>
      <c r="L2883" s="2">
        <f t="shared" si="1127"/>
        <v>0.29314182970161395</v>
      </c>
      <c r="M2883" s="2">
        <f t="shared" si="1128"/>
        <v>7.1086091014170183E-2</v>
      </c>
      <c r="N2883" s="63">
        <v>8563</v>
      </c>
      <c r="O2883" s="63">
        <v>21139</v>
      </c>
      <c r="P2883" s="63">
        <v>13695</v>
      </c>
      <c r="Q2883" s="63">
        <v>1630</v>
      </c>
      <c r="R2883" s="63">
        <v>330</v>
      </c>
      <c r="S2883" s="63">
        <v>669</v>
      </c>
      <c r="T2883" s="63">
        <v>33</v>
      </c>
      <c r="U2883" s="63">
        <v>0</v>
      </c>
      <c r="V2883" s="63">
        <v>0</v>
      </c>
      <c r="W2883" s="63">
        <f>IF(Copyright!B$11=1,IF(CA2883&gt;0,CA2883-SUM(U2883:V2883)-Y2883-SUM(AB2883:AQ2883),SUM(CB2883:CJ2883)),SUM(CC2883:CJ2883))</f>
        <v>562</v>
      </c>
      <c r="X2883" s="63">
        <v>11</v>
      </c>
      <c r="Y2883" s="63">
        <v>0</v>
      </c>
      <c r="Z2883" s="63"/>
      <c r="AA2883" s="63">
        <v>9</v>
      </c>
      <c r="AB2883" s="63"/>
      <c r="AC2883" s="63"/>
      <c r="AD2883" s="63"/>
      <c r="AE2883" s="63">
        <v>1</v>
      </c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>
        <v>8</v>
      </c>
      <c r="AR2883" s="63"/>
      <c r="AS2883" s="63"/>
      <c r="AT2883" s="63">
        <v>68</v>
      </c>
      <c r="AU2883" s="63"/>
      <c r="AW2883" s="5">
        <f>IF(Q2883&gt;0,RANK(Q2883,(N2883:P2883,Q2883:AE2883)),0)</f>
        <v>4</v>
      </c>
      <c r="AX2883" s="5">
        <f>IF(R2883&gt;0,RANK(R2883,(N2883:P2883,Q2883:AE2883)),0)</f>
        <v>7</v>
      </c>
      <c r="AY2883" s="5">
        <f>IF(T2883&gt;0,RANK(T2883,(N2883:P2883,Q2883:AE2883)),0)</f>
        <v>8</v>
      </c>
      <c r="AZ2883" s="5">
        <f>IF(S2883&gt;0,RANK(S2883,(N2883:P2883,Q2883:AE2883)),0)</f>
        <v>5</v>
      </c>
      <c r="BA2883" s="2">
        <f t="shared" si="1129"/>
        <v>3.4890192217132583E-2</v>
      </c>
      <c r="BB2883" s="2">
        <f t="shared" si="1130"/>
        <v>7.0636585470268418E-3</v>
      </c>
      <c r="BC2883" s="2">
        <f t="shared" si="1131"/>
        <v>7.063658547026842E-4</v>
      </c>
      <c r="BD2883" s="2">
        <f t="shared" si="1132"/>
        <v>1.4319962327154417E-2</v>
      </c>
      <c r="BF2883" t="s">
        <v>1525</v>
      </c>
      <c r="BG2883" t="s">
        <v>957</v>
      </c>
      <c r="BH2883">
        <v>1</v>
      </c>
      <c r="BJ2883" s="114">
        <v>49</v>
      </c>
      <c r="BK2883" s="116">
        <v>5</v>
      </c>
      <c r="BL2883" s="120">
        <f t="shared" si="1121"/>
        <v>49005</v>
      </c>
      <c r="BN2883" s="5" t="s">
        <v>3154</v>
      </c>
      <c r="BY2883" s="132" t="s">
        <v>3223</v>
      </c>
      <c r="BZ2883" s="63">
        <f t="shared" si="1133"/>
        <v>46718</v>
      </c>
      <c r="CA2883" s="63">
        <v>571</v>
      </c>
      <c r="CD2883" s="63">
        <v>0</v>
      </c>
      <c r="CE2883" s="63">
        <v>0</v>
      </c>
      <c r="CF2883" s="63">
        <v>1</v>
      </c>
      <c r="CG2883" s="8">
        <v>0</v>
      </c>
      <c r="CH2883" s="8">
        <v>0</v>
      </c>
      <c r="CI2883" s="8">
        <v>0</v>
      </c>
    </row>
    <row r="2884" spans="1:87" hidden="1" outlineLevel="1">
      <c r="A2884" t="s">
        <v>159</v>
      </c>
      <c r="B2884" t="s">
        <v>957</v>
      </c>
      <c r="C2884" s="1">
        <f t="shared" si="1124"/>
        <v>7999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3</v>
      </c>
      <c r="G2884" s="132">
        <f t="shared" si="1119"/>
        <v>3558</v>
      </c>
      <c r="H2884" s="137">
        <f t="shared" si="1120"/>
        <v>0.44480560070008751</v>
      </c>
      <c r="I2884" s="2"/>
      <c r="J2884" s="2">
        <f t="shared" si="1125"/>
        <v>0.21465183147893488</v>
      </c>
      <c r="K2884" s="2">
        <f t="shared" si="1126"/>
        <v>0.65945743217902242</v>
      </c>
      <c r="L2884" s="2">
        <f t="shared" si="1127"/>
        <v>7.6884610576322038E-2</v>
      </c>
      <c r="M2884" s="2">
        <f t="shared" si="1128"/>
        <v>4.9006125765720693E-2</v>
      </c>
      <c r="N2884" s="63">
        <v>1717</v>
      </c>
      <c r="O2884" s="63">
        <v>5275</v>
      </c>
      <c r="P2884" s="63">
        <v>615</v>
      </c>
      <c r="Q2884" s="63">
        <v>191</v>
      </c>
      <c r="R2884" s="63">
        <v>41</v>
      </c>
      <c r="S2884" s="63">
        <v>47</v>
      </c>
      <c r="T2884" s="63">
        <v>7</v>
      </c>
      <c r="U2884" s="63">
        <v>0</v>
      </c>
      <c r="V2884" s="63">
        <v>0</v>
      </c>
      <c r="W2884" s="63">
        <f>IF(Copyright!B$11=1,IF(CA2884&gt;0,CA2884-SUM(U2884:V2884)-Y2884-SUM(AB2884:AQ2884),SUM(CB2884:CJ2884)),SUM(CC2884:CJ2884))</f>
        <v>47</v>
      </c>
      <c r="X2884" s="63">
        <v>8</v>
      </c>
      <c r="Y2884" s="63">
        <v>0</v>
      </c>
      <c r="Z2884" s="63"/>
      <c r="AA2884" s="63">
        <v>5</v>
      </c>
      <c r="AB2884" s="63"/>
      <c r="AC2884" s="63"/>
      <c r="AD2884" s="63"/>
      <c r="AE2884" s="63">
        <v>0</v>
      </c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>
        <v>0</v>
      </c>
      <c r="AR2884" s="63"/>
      <c r="AS2884" s="63"/>
      <c r="AT2884" s="63">
        <v>46</v>
      </c>
      <c r="AU2884" s="63"/>
      <c r="AW2884" s="5">
        <f>IF(Q2884&gt;0,RANK(Q2884,(N2884:P2884,Q2884:AE2884)),0)</f>
        <v>4</v>
      </c>
      <c r="AX2884" s="5">
        <f>IF(R2884&gt;0,RANK(R2884,(N2884:P2884,Q2884:AE2884)),0)</f>
        <v>7</v>
      </c>
      <c r="AY2884" s="5">
        <f>IF(T2884&gt;0,RANK(T2884,(N2884:P2884,Q2884:AE2884)),0)</f>
        <v>9</v>
      </c>
      <c r="AZ2884" s="5">
        <f>IF(S2884&gt;0,RANK(S2884,(N2884:P2884,Q2884:AE2884)),0)</f>
        <v>5</v>
      </c>
      <c r="BA2884" s="2">
        <f t="shared" si="1129"/>
        <v>2.3877984748093512E-2</v>
      </c>
      <c r="BB2884" s="2">
        <f t="shared" si="1130"/>
        <v>5.1256407050881362E-3</v>
      </c>
      <c r="BC2884" s="2">
        <f t="shared" si="1131"/>
        <v>8.751093886735842E-4</v>
      </c>
      <c r="BD2884" s="2">
        <f t="shared" si="1132"/>
        <v>5.8757344668083512E-3</v>
      </c>
      <c r="BF2884" t="s">
        <v>159</v>
      </c>
      <c r="BG2884" t="s">
        <v>957</v>
      </c>
      <c r="BH2884">
        <v>3</v>
      </c>
      <c r="BJ2884" s="114">
        <v>49</v>
      </c>
      <c r="BK2884" s="116">
        <v>7</v>
      </c>
      <c r="BL2884" s="120">
        <f t="shared" si="1121"/>
        <v>49007</v>
      </c>
      <c r="BN2884" s="5" t="s">
        <v>3154</v>
      </c>
      <c r="BY2884" s="132" t="s">
        <v>3223</v>
      </c>
      <c r="BZ2884" s="63">
        <f t="shared" si="1133"/>
        <v>7999</v>
      </c>
      <c r="CA2884" s="63">
        <v>47</v>
      </c>
      <c r="CD2884" s="63">
        <v>0</v>
      </c>
      <c r="CE2884" s="63">
        <v>0</v>
      </c>
      <c r="CF2884" s="63">
        <v>0</v>
      </c>
      <c r="CG2884" s="8">
        <v>0</v>
      </c>
      <c r="CH2884" s="8">
        <v>0</v>
      </c>
      <c r="CI2884" s="8">
        <v>0</v>
      </c>
    </row>
    <row r="2885" spans="1:87" hidden="1" outlineLevel="1">
      <c r="A2885" t="s">
        <v>170</v>
      </c>
      <c r="B2885" t="s">
        <v>957</v>
      </c>
      <c r="C2885" s="1">
        <f t="shared" si="1124"/>
        <v>477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3</v>
      </c>
      <c r="G2885" s="132">
        <f t="shared" si="1119"/>
        <v>254</v>
      </c>
      <c r="H2885" s="137">
        <f t="shared" si="1120"/>
        <v>0.53249475890985321</v>
      </c>
      <c r="I2885" s="2"/>
      <c r="J2885" s="2">
        <f t="shared" si="1125"/>
        <v>0.16142557651991615</v>
      </c>
      <c r="K2885" s="2">
        <f t="shared" si="1126"/>
        <v>0.69392033542976939</v>
      </c>
      <c r="L2885" s="2">
        <f t="shared" si="1127"/>
        <v>9.2243186582809222E-2</v>
      </c>
      <c r="M2885" s="2">
        <f t="shared" si="1128"/>
        <v>5.2410901467505211E-2</v>
      </c>
      <c r="N2885" s="63">
        <v>77</v>
      </c>
      <c r="O2885" s="63">
        <v>331</v>
      </c>
      <c r="P2885" s="63">
        <v>44</v>
      </c>
      <c r="Q2885" s="63">
        <v>17</v>
      </c>
      <c r="R2885" s="63">
        <v>0</v>
      </c>
      <c r="S2885" s="63">
        <v>4</v>
      </c>
      <c r="T2885" s="63">
        <v>0</v>
      </c>
      <c r="U2885" s="63">
        <v>0</v>
      </c>
      <c r="V2885" s="63">
        <v>0</v>
      </c>
      <c r="W2885" s="63">
        <f>IF(Copyright!B$11=1,IF(CA2885&gt;0,CA2885-SUM(U2885:V2885)-Y2885-SUM(AB2885:AQ2885),SUM(CB2885:CJ2885)),SUM(CC2885:CJ2885))</f>
        <v>3</v>
      </c>
      <c r="X2885" s="63">
        <v>0</v>
      </c>
      <c r="Y2885" s="63">
        <v>0</v>
      </c>
      <c r="Z2885" s="63"/>
      <c r="AA2885" s="63">
        <v>0</v>
      </c>
      <c r="AB2885" s="63"/>
      <c r="AC2885" s="63"/>
      <c r="AD2885" s="63"/>
      <c r="AE2885" s="63">
        <v>0</v>
      </c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>
        <v>0</v>
      </c>
      <c r="AR2885" s="63"/>
      <c r="AS2885" s="63"/>
      <c r="AT2885" s="63">
        <v>1</v>
      </c>
      <c r="AU2885" s="63"/>
      <c r="AW2885" s="5">
        <f>IF(Q2885&gt;0,RANK(Q2885,(N2885:P2885,Q2885:AE2885)),0)</f>
        <v>4</v>
      </c>
      <c r="AX2885" s="5">
        <f>IF(R2885&gt;0,RANK(R2885,(N2885:P2885,Q2885:AE2885)),0)</f>
        <v>0</v>
      </c>
      <c r="AY2885" s="5">
        <f>IF(T2885&gt;0,RANK(T2885,(N2885:P2885,Q2885:AE2885)),0)</f>
        <v>0</v>
      </c>
      <c r="AZ2885" s="5">
        <f>IF(S2885&gt;0,RANK(S2885,(N2885:P2885,Q2885:AE2885)),0)</f>
        <v>5</v>
      </c>
      <c r="BA2885" s="2">
        <f t="shared" si="1129"/>
        <v>3.5639412997903561E-2</v>
      </c>
      <c r="BB2885" s="2">
        <f t="shared" si="1130"/>
        <v>0</v>
      </c>
      <c r="BC2885" s="2">
        <f t="shared" si="1131"/>
        <v>0</v>
      </c>
      <c r="BD2885" s="2">
        <f t="shared" si="1132"/>
        <v>8.385744234800839E-3</v>
      </c>
      <c r="BF2885" t="s">
        <v>170</v>
      </c>
      <c r="BG2885" t="s">
        <v>957</v>
      </c>
      <c r="BH2885">
        <v>1</v>
      </c>
      <c r="BJ2885" s="114">
        <v>49</v>
      </c>
      <c r="BK2885" s="116">
        <v>9</v>
      </c>
      <c r="BL2885" s="120">
        <f t="shared" si="1121"/>
        <v>49009</v>
      </c>
      <c r="BN2885" s="5" t="s">
        <v>3154</v>
      </c>
      <c r="BZ2885" s="63">
        <f t="shared" si="1133"/>
        <v>477</v>
      </c>
      <c r="CA2885" s="133">
        <v>3</v>
      </c>
      <c r="CD2885" s="63">
        <v>0</v>
      </c>
      <c r="CE2885" s="63">
        <v>0</v>
      </c>
      <c r="CF2885" s="63">
        <v>0</v>
      </c>
      <c r="CG2885" s="8">
        <v>0</v>
      </c>
      <c r="CH2885" s="8">
        <v>0</v>
      </c>
      <c r="CI2885" s="8">
        <v>0</v>
      </c>
    </row>
    <row r="2886" spans="1:87" hidden="1" outlineLevel="1">
      <c r="A2886" t="s">
        <v>1840</v>
      </c>
      <c r="B2886" t="s">
        <v>957</v>
      </c>
      <c r="C2886" s="1">
        <f t="shared" si="1124"/>
        <v>140288</v>
      </c>
      <c r="D2886" s="5">
        <f>IF(N2886&gt;0, RANK(N2886,(N2886:P2886,Q2886:AE2886)),0)</f>
        <v>3</v>
      </c>
      <c r="E2886" s="5">
        <f>IF(O2886&gt;0,RANK(O2886,(N2886:P2886,Q2886:AE2886)),0)</f>
        <v>1</v>
      </c>
      <c r="F2886" s="5">
        <f>IF(P2886&gt;0,RANK(P2886,(N2886:P2886,Q2886:AE2886)),0)</f>
        <v>2</v>
      </c>
      <c r="G2886" s="132">
        <f t="shared" si="1119"/>
        <v>22484</v>
      </c>
      <c r="H2886" s="137">
        <f t="shared" si="1120"/>
        <v>0.16027030109489052</v>
      </c>
      <c r="I2886" s="2"/>
      <c r="J2886" s="2">
        <f t="shared" si="1125"/>
        <v>0.20512089416058393</v>
      </c>
      <c r="K2886" s="2">
        <f t="shared" si="1126"/>
        <v>0.44350906706204379</v>
      </c>
      <c r="L2886" s="2">
        <f t="shared" si="1127"/>
        <v>0.28323876596715331</v>
      </c>
      <c r="M2886" s="2">
        <f t="shared" si="1128"/>
        <v>6.8131272810218912E-2</v>
      </c>
      <c r="N2886" s="63">
        <v>28776</v>
      </c>
      <c r="O2886" s="63">
        <v>62219</v>
      </c>
      <c r="P2886" s="63">
        <v>39735</v>
      </c>
      <c r="Q2886" s="63">
        <v>5390</v>
      </c>
      <c r="R2886" s="63">
        <v>864</v>
      </c>
      <c r="S2886" s="63">
        <v>883</v>
      </c>
      <c r="T2886" s="63">
        <v>81</v>
      </c>
      <c r="U2886" s="63">
        <v>0</v>
      </c>
      <c r="V2886" s="63">
        <v>0</v>
      </c>
      <c r="W2886" s="63">
        <f>IF(Copyright!B$11=1,IF(CA2886&gt;0,CA2886-SUM(U2886:V2886)-Y2886-SUM(AB2886:AQ2886),SUM(CB2886:CJ2886)),SUM(CC2886:CJ2886))</f>
        <v>1882</v>
      </c>
      <c r="X2886" s="63">
        <v>46</v>
      </c>
      <c r="Y2886" s="63">
        <v>1</v>
      </c>
      <c r="Z2886" s="63"/>
      <c r="AA2886" s="63">
        <v>53</v>
      </c>
      <c r="AB2886" s="63"/>
      <c r="AC2886" s="63"/>
      <c r="AD2886" s="63"/>
      <c r="AE2886" s="63">
        <v>1</v>
      </c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>
        <v>8</v>
      </c>
      <c r="AR2886" s="63"/>
      <c r="AS2886" s="63"/>
      <c r="AT2886" s="63">
        <v>349</v>
      </c>
      <c r="AU2886" s="63"/>
      <c r="AW2886" s="5">
        <f>IF(Q2886&gt;0,RANK(Q2886,(N2886:P2886,Q2886:AE2886)),0)</f>
        <v>4</v>
      </c>
      <c r="AX2886" s="5">
        <f>IF(R2886&gt;0,RANK(R2886,(N2886:P2886,Q2886:AE2886)),0)</f>
        <v>7</v>
      </c>
      <c r="AY2886" s="5">
        <f>IF(T2886&gt;0,RANK(T2886,(N2886:P2886,Q2886:AE2886)),0)</f>
        <v>8</v>
      </c>
      <c r="AZ2886" s="5">
        <f>IF(S2886&gt;0,RANK(S2886,(N2886:P2886,Q2886:AE2886)),0)</f>
        <v>6</v>
      </c>
      <c r="BA2886" s="2">
        <f t="shared" si="1129"/>
        <v>3.8420962591240879E-2</v>
      </c>
      <c r="BB2886" s="2">
        <f t="shared" si="1130"/>
        <v>6.1587591240875915E-3</v>
      </c>
      <c r="BC2886" s="2">
        <f t="shared" si="1131"/>
        <v>5.7738366788321173E-4</v>
      </c>
      <c r="BD2886" s="2">
        <f t="shared" si="1132"/>
        <v>6.2941947992700732E-3</v>
      </c>
      <c r="BF2886" t="s">
        <v>1840</v>
      </c>
      <c r="BG2886" t="s">
        <v>957</v>
      </c>
      <c r="BJ2886" s="114">
        <v>49</v>
      </c>
      <c r="BK2886" s="116">
        <v>11</v>
      </c>
      <c r="BL2886" s="120">
        <f t="shared" si="1121"/>
        <v>49011</v>
      </c>
      <c r="BN2886" s="5" t="s">
        <v>3154</v>
      </c>
      <c r="BY2886" s="132" t="s">
        <v>3223</v>
      </c>
      <c r="BZ2886" s="63">
        <f t="shared" si="1133"/>
        <v>140288</v>
      </c>
      <c r="CA2886" s="63">
        <f>1877+15</f>
        <v>1892</v>
      </c>
      <c r="CD2886" s="63">
        <v>5</v>
      </c>
      <c r="CE2886" s="63">
        <v>0</v>
      </c>
      <c r="CF2886" s="63">
        <v>0</v>
      </c>
      <c r="CG2886" s="8">
        <v>0</v>
      </c>
      <c r="CH2886" s="8">
        <v>0</v>
      </c>
      <c r="CI2886" s="8">
        <v>0</v>
      </c>
    </row>
    <row r="2887" spans="1:87" hidden="1" outlineLevel="1">
      <c r="A2887" t="s">
        <v>2070</v>
      </c>
      <c r="B2887" t="s">
        <v>957</v>
      </c>
      <c r="C2887" s="1">
        <f t="shared" si="1124"/>
        <v>6988</v>
      </c>
      <c r="D2887" s="5">
        <f>IF(N2887&gt;0, RANK(N2887,(N2887:P2887,Q2887:AE2887)),0)</f>
        <v>3</v>
      </c>
      <c r="E2887" s="5">
        <f>IF(O2887&gt;0,RANK(O2887,(N2887:P2887,Q2887:AE2887)),0)</f>
        <v>1</v>
      </c>
      <c r="F2887" s="5">
        <f>IF(P2887&gt;0,RANK(P2887,(N2887:P2887,Q2887:AE2887)),0)</f>
        <v>2</v>
      </c>
      <c r="G2887" s="132">
        <f t="shared" si="1119"/>
        <v>4778</v>
      </c>
      <c r="H2887" s="137">
        <f t="shared" si="1120"/>
        <v>0.68374356038923867</v>
      </c>
      <c r="I2887" s="2"/>
      <c r="J2887" s="2">
        <f t="shared" si="1125"/>
        <v>7.1551230681167713E-2</v>
      </c>
      <c r="K2887" s="2">
        <f t="shared" si="1126"/>
        <v>0.7882083571837436</v>
      </c>
      <c r="L2887" s="2">
        <f t="shared" si="1127"/>
        <v>0.10446479679450486</v>
      </c>
      <c r="M2887" s="2">
        <f t="shared" si="1128"/>
        <v>3.577561534058378E-2</v>
      </c>
      <c r="N2887" s="63">
        <v>500</v>
      </c>
      <c r="O2887" s="63">
        <v>5508</v>
      </c>
      <c r="P2887" s="63">
        <v>730</v>
      </c>
      <c r="Q2887" s="63">
        <v>107</v>
      </c>
      <c r="R2887" s="63">
        <v>18</v>
      </c>
      <c r="S2887" s="63">
        <v>68</v>
      </c>
      <c r="T2887" s="63">
        <v>2</v>
      </c>
      <c r="U2887" s="63">
        <v>0</v>
      </c>
      <c r="V2887" s="63">
        <v>0</v>
      </c>
      <c r="W2887" s="63">
        <f>IF(Copyright!B$11=1,IF(CA2887&gt;0,CA2887-SUM(U2887:V2887)-Y2887-SUM(AB2887:AQ2887),SUM(CB2887:CJ2887)),SUM(CC2887:CJ2887))</f>
        <v>46</v>
      </c>
      <c r="X2887" s="63">
        <v>1</v>
      </c>
      <c r="Y2887" s="63">
        <v>0</v>
      </c>
      <c r="Z2887" s="63"/>
      <c r="AA2887" s="63">
        <v>2</v>
      </c>
      <c r="AB2887" s="63"/>
      <c r="AC2887" s="63"/>
      <c r="AD2887" s="63"/>
      <c r="AE2887" s="63">
        <v>0</v>
      </c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>
        <v>0</v>
      </c>
      <c r="AR2887" s="63"/>
      <c r="AS2887" s="63"/>
      <c r="AT2887" s="63">
        <v>6</v>
      </c>
      <c r="AU2887" s="63"/>
      <c r="AW2887" s="5">
        <f>IF(Q2887&gt;0,RANK(Q2887,(N2887:P2887,Q2887:AE2887)),0)</f>
        <v>4</v>
      </c>
      <c r="AX2887" s="5">
        <f>IF(R2887&gt;0,RANK(R2887,(N2887:P2887,Q2887:AE2887)),0)</f>
        <v>7</v>
      </c>
      <c r="AY2887" s="5">
        <f>IF(T2887&gt;0,RANK(T2887,(N2887:P2887,Q2887:AE2887)),0)</f>
        <v>8</v>
      </c>
      <c r="AZ2887" s="5">
        <f>IF(S2887&gt;0,RANK(S2887,(N2887:P2887,Q2887:AE2887)),0)</f>
        <v>5</v>
      </c>
      <c r="BA2887" s="2">
        <f t="shared" si="1129"/>
        <v>1.5311963365769891E-2</v>
      </c>
      <c r="BB2887" s="2">
        <f t="shared" si="1130"/>
        <v>2.5758443045220377E-3</v>
      </c>
      <c r="BC2887" s="2">
        <f t="shared" si="1131"/>
        <v>2.8620492272467084E-4</v>
      </c>
      <c r="BD2887" s="2">
        <f t="shared" si="1132"/>
        <v>9.7309673726388088E-3</v>
      </c>
      <c r="BF2887" t="s">
        <v>2070</v>
      </c>
      <c r="BG2887" t="s">
        <v>957</v>
      </c>
      <c r="BH2887">
        <v>1</v>
      </c>
      <c r="BJ2887" s="114">
        <v>49</v>
      </c>
      <c r="BK2887" s="116">
        <v>13</v>
      </c>
      <c r="BL2887" s="120">
        <f t="shared" si="1121"/>
        <v>49013</v>
      </c>
      <c r="BN2887" s="5" t="s">
        <v>3154</v>
      </c>
      <c r="BY2887" s="132" t="s">
        <v>3223</v>
      </c>
      <c r="BZ2887" s="63">
        <f t="shared" si="1133"/>
        <v>6988</v>
      </c>
      <c r="CA2887" s="63">
        <v>46</v>
      </c>
      <c r="CD2887" s="63">
        <v>0</v>
      </c>
      <c r="CE2887" s="63">
        <v>0</v>
      </c>
      <c r="CF2887" s="63">
        <v>0</v>
      </c>
      <c r="CG2887" s="8">
        <v>0</v>
      </c>
      <c r="CH2887" s="8">
        <v>0</v>
      </c>
      <c r="CI2887" s="8">
        <v>0</v>
      </c>
    </row>
    <row r="2888" spans="1:87" hidden="1" outlineLevel="1">
      <c r="A2888" t="s">
        <v>1866</v>
      </c>
      <c r="B2888" t="s">
        <v>957</v>
      </c>
      <c r="C2888" s="1">
        <f t="shared" si="1124"/>
        <v>4315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3</v>
      </c>
      <c r="G2888" s="132">
        <f t="shared" si="1119"/>
        <v>3045</v>
      </c>
      <c r="H2888" s="137">
        <f t="shared" si="1120"/>
        <v>0.70567786790266507</v>
      </c>
      <c r="I2888" s="2"/>
      <c r="J2888" s="2">
        <f t="shared" si="1125"/>
        <v>8.8064889918887598E-2</v>
      </c>
      <c r="K2888" s="2">
        <f t="shared" si="1126"/>
        <v>0.79374275782155268</v>
      </c>
      <c r="L2888" s="2">
        <f t="shared" si="1127"/>
        <v>8.3893395133256082E-2</v>
      </c>
      <c r="M2888" s="2">
        <f t="shared" si="1128"/>
        <v>3.4298957126303625E-2</v>
      </c>
      <c r="N2888" s="63">
        <v>380</v>
      </c>
      <c r="O2888" s="63">
        <v>3425</v>
      </c>
      <c r="P2888" s="63">
        <v>362</v>
      </c>
      <c r="Q2888" s="63">
        <v>71</v>
      </c>
      <c r="R2888" s="63">
        <v>3</v>
      </c>
      <c r="S2888" s="63">
        <v>15</v>
      </c>
      <c r="T2888" s="63">
        <v>0</v>
      </c>
      <c r="U2888" s="63">
        <v>0</v>
      </c>
      <c r="V2888" s="63">
        <v>0</v>
      </c>
      <c r="W2888" s="63">
        <f>IF(Copyright!B$11=1,IF(CA2888&gt;0,CA2888-SUM(U2888:V2888)-Y2888-SUM(AB2888:AQ2888),SUM(CB2888:CJ2888)),SUM(CC2888:CJ2888))</f>
        <v>26</v>
      </c>
      <c r="X2888" s="63">
        <v>2</v>
      </c>
      <c r="Y2888" s="63">
        <v>1</v>
      </c>
      <c r="Z2888" s="63"/>
      <c r="AA2888" s="63">
        <v>2</v>
      </c>
      <c r="AB2888" s="63"/>
      <c r="AC2888" s="63"/>
      <c r="AD2888" s="63"/>
      <c r="AE2888" s="63">
        <v>0</v>
      </c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>
        <v>0</v>
      </c>
      <c r="AR2888" s="63"/>
      <c r="AS2888" s="63"/>
      <c r="AT2888" s="63">
        <v>28</v>
      </c>
      <c r="AU2888" s="63"/>
      <c r="AW2888" s="5">
        <f>IF(Q2888&gt;0,RANK(Q2888,(N2888:P2888,Q2888:AE2888)),0)</f>
        <v>4</v>
      </c>
      <c r="AX2888" s="5">
        <f>IF(R2888&gt;0,RANK(R2888,(N2888:P2888,Q2888:AE2888)),0)</f>
        <v>7</v>
      </c>
      <c r="AY2888" s="5">
        <f>IF(T2888&gt;0,RANK(T2888,(N2888:P2888,Q2888:AE2888)),0)</f>
        <v>0</v>
      </c>
      <c r="AZ2888" s="5">
        <f>IF(S2888&gt;0,RANK(S2888,(N2888:P2888,Q2888:AE2888)),0)</f>
        <v>6</v>
      </c>
      <c r="BA2888" s="2">
        <f t="shared" si="1129"/>
        <v>1.645422943221321E-2</v>
      </c>
      <c r="BB2888" s="2">
        <f t="shared" si="1130"/>
        <v>6.9524913093858636E-4</v>
      </c>
      <c r="BC2888" s="2">
        <f t="shared" si="1131"/>
        <v>0</v>
      </c>
      <c r="BD2888" s="2">
        <f t="shared" si="1132"/>
        <v>3.4762456546929316E-3</v>
      </c>
      <c r="BF2888" t="s">
        <v>1866</v>
      </c>
      <c r="BG2888" t="s">
        <v>957</v>
      </c>
      <c r="BH2888">
        <v>3</v>
      </c>
      <c r="BJ2888" s="114">
        <v>49</v>
      </c>
      <c r="BK2888" s="116">
        <v>15</v>
      </c>
      <c r="BL2888" s="120">
        <f t="shared" si="1121"/>
        <v>49015</v>
      </c>
      <c r="BN2888" s="5" t="s">
        <v>3154</v>
      </c>
      <c r="BY2888" s="132" t="s">
        <v>3223</v>
      </c>
      <c r="BZ2888" s="63">
        <f t="shared" si="1133"/>
        <v>4315</v>
      </c>
      <c r="CA2888" s="63">
        <v>27</v>
      </c>
      <c r="CD2888" s="63">
        <v>0</v>
      </c>
      <c r="CE2888" s="63">
        <v>0</v>
      </c>
      <c r="CF2888" s="63">
        <v>0</v>
      </c>
      <c r="CG2888" s="8">
        <v>0</v>
      </c>
      <c r="CH2888" s="8">
        <v>0</v>
      </c>
      <c r="CI2888" s="8">
        <v>0</v>
      </c>
    </row>
    <row r="2889" spans="1:87" hidden="1" outlineLevel="1">
      <c r="A2889" t="s">
        <v>2946</v>
      </c>
      <c r="B2889" t="s">
        <v>957</v>
      </c>
      <c r="C2889" s="1">
        <f t="shared" si="1124"/>
        <v>2344</v>
      </c>
      <c r="D2889" s="5">
        <f>IF(N2889&gt;0, RANK(N2889,(N2889:P2889,Q2889:AE2889)),0)</f>
        <v>2</v>
      </c>
      <c r="E2889" s="5">
        <f>IF(O2889&gt;0,RANK(O2889,(N2889:P2889,Q2889:AE2889)),0)</f>
        <v>1</v>
      </c>
      <c r="F2889" s="5">
        <f>IF(P2889&gt;0,RANK(P2889,(N2889:P2889,Q2889:AE2889)),0)</f>
        <v>3</v>
      </c>
      <c r="G2889" s="132">
        <f t="shared" ref="G2889:G2952" si="1134">IF(C2889&gt;0,MAX(N2889:P2889)-LARGE(N2889:P2889,2),0)</f>
        <v>1248</v>
      </c>
      <c r="H2889" s="137">
        <f t="shared" ref="H2889:H2952" si="1135">IF(C2889&gt;0,G2889/C2889,0)</f>
        <v>0.53242320819112632</v>
      </c>
      <c r="I2889" s="2"/>
      <c r="J2889" s="2">
        <f t="shared" si="1125"/>
        <v>0.15273037542662116</v>
      </c>
      <c r="K2889" s="2">
        <f t="shared" si="1126"/>
        <v>0.68515358361774747</v>
      </c>
      <c r="L2889" s="2">
        <f t="shared" si="1127"/>
        <v>0.1220136518771331</v>
      </c>
      <c r="M2889" s="2">
        <f t="shared" si="1128"/>
        <v>4.0102389078498266E-2</v>
      </c>
      <c r="N2889" s="63">
        <v>358</v>
      </c>
      <c r="O2889" s="63">
        <v>1606</v>
      </c>
      <c r="P2889" s="63">
        <v>286</v>
      </c>
      <c r="Q2889" s="63">
        <v>61</v>
      </c>
      <c r="R2889" s="63">
        <v>16</v>
      </c>
      <c r="S2889" s="63">
        <v>3</v>
      </c>
      <c r="T2889" s="63">
        <v>1</v>
      </c>
      <c r="U2889" s="63">
        <v>0</v>
      </c>
      <c r="V2889" s="63">
        <v>0</v>
      </c>
      <c r="W2889" s="63">
        <f>IF(Copyright!B$11=1,IF(CA2889&gt;0,CA2889-SUM(U2889:V2889)-Y2889-SUM(AB2889:AQ2889),SUM(CB2889:CJ2889)),SUM(CC2889:CJ2889))</f>
        <v>0</v>
      </c>
      <c r="X2889" s="63">
        <v>2</v>
      </c>
      <c r="Y2889" s="63">
        <v>0</v>
      </c>
      <c r="Z2889" s="63"/>
      <c r="AA2889" s="63">
        <v>4</v>
      </c>
      <c r="AB2889" s="63"/>
      <c r="AC2889" s="63"/>
      <c r="AD2889" s="63"/>
      <c r="AE2889" s="63">
        <v>0</v>
      </c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>
        <v>0</v>
      </c>
      <c r="AR2889" s="63"/>
      <c r="AS2889" s="63"/>
      <c r="AT2889" s="63">
        <v>7</v>
      </c>
      <c r="AU2889" s="63"/>
      <c r="AW2889" s="5">
        <f>IF(Q2889&gt;0,RANK(Q2889,(N2889:P2889,Q2889:AE2889)),0)</f>
        <v>4</v>
      </c>
      <c r="AX2889" s="5">
        <f>IF(R2889&gt;0,RANK(R2889,(N2889:P2889,Q2889:AE2889)),0)</f>
        <v>5</v>
      </c>
      <c r="AY2889" s="5">
        <f>IF(T2889&gt;0,RANK(T2889,(N2889:P2889,Q2889:AE2889)),0)</f>
        <v>9</v>
      </c>
      <c r="AZ2889" s="5">
        <f>IF(S2889&gt;0,RANK(S2889,(N2889:P2889,Q2889:AE2889)),0)</f>
        <v>7</v>
      </c>
      <c r="BA2889" s="2">
        <f t="shared" si="1129"/>
        <v>2.6023890784982934E-2</v>
      </c>
      <c r="BB2889" s="2">
        <f t="shared" si="1130"/>
        <v>6.8259385665529011E-3</v>
      </c>
      <c r="BC2889" s="2">
        <f t="shared" si="1131"/>
        <v>4.2662116040955632E-4</v>
      </c>
      <c r="BD2889" s="2">
        <f t="shared" si="1132"/>
        <v>1.2798634812286689E-3</v>
      </c>
      <c r="BF2889" t="s">
        <v>2946</v>
      </c>
      <c r="BG2889" t="s">
        <v>957</v>
      </c>
      <c r="BH2889">
        <v>2</v>
      </c>
      <c r="BJ2889" s="114">
        <v>49</v>
      </c>
      <c r="BK2889" s="116">
        <v>17</v>
      </c>
      <c r="BL2889" s="120">
        <f t="shared" si="1121"/>
        <v>49017</v>
      </c>
      <c r="BN2889" s="5" t="s">
        <v>3154</v>
      </c>
      <c r="BZ2889" s="63">
        <f t="shared" si="1133"/>
        <v>2344</v>
      </c>
      <c r="CD2889" s="63">
        <v>0</v>
      </c>
      <c r="CE2889" s="63">
        <v>0</v>
      </c>
      <c r="CF2889" s="63">
        <v>0</v>
      </c>
      <c r="CG2889" s="8">
        <v>0</v>
      </c>
      <c r="CH2889" s="8">
        <v>0</v>
      </c>
      <c r="CI2889" s="8">
        <v>0</v>
      </c>
    </row>
    <row r="2890" spans="1:87" hidden="1" outlineLevel="1">
      <c r="A2890" t="s">
        <v>2402</v>
      </c>
      <c r="B2890" t="s">
        <v>957</v>
      </c>
      <c r="C2890" s="1">
        <f t="shared" si="1124"/>
        <v>4601</v>
      </c>
      <c r="D2890" s="5">
        <f>IF(N2890&gt;0, RANK(N2890,(N2890:P2890,Q2890:AE2890)),0)</f>
        <v>2</v>
      </c>
      <c r="E2890" s="5">
        <f>IF(O2890&gt;0,RANK(O2890,(N2890:P2890,Q2890:AE2890)),0)</f>
        <v>1</v>
      </c>
      <c r="F2890" s="5">
        <f>IF(P2890&gt;0,RANK(P2890,(N2890:P2890,Q2890:AE2890)),0)</f>
        <v>3</v>
      </c>
      <c r="G2890" s="132">
        <f t="shared" si="1134"/>
        <v>15</v>
      </c>
      <c r="H2890" s="137">
        <f t="shared" si="1135"/>
        <v>3.2601608346011736E-3</v>
      </c>
      <c r="I2890" s="2"/>
      <c r="J2890" s="2">
        <f t="shared" si="1125"/>
        <v>0.42599434905455336</v>
      </c>
      <c r="K2890" s="2">
        <f t="shared" si="1126"/>
        <v>0.42925450988915453</v>
      </c>
      <c r="L2890" s="2">
        <f t="shared" si="1127"/>
        <v>6.1073679634861988E-2</v>
      </c>
      <c r="M2890" s="2">
        <f t="shared" si="1128"/>
        <v>8.3677461421430122E-2</v>
      </c>
      <c r="N2890" s="63">
        <v>1960</v>
      </c>
      <c r="O2890" s="63">
        <v>1975</v>
      </c>
      <c r="P2890" s="63">
        <v>281</v>
      </c>
      <c r="Q2890" s="63">
        <v>180</v>
      </c>
      <c r="R2890" s="63">
        <v>109</v>
      </c>
      <c r="S2890" s="63">
        <v>10</v>
      </c>
      <c r="T2890" s="63">
        <v>5</v>
      </c>
      <c r="U2890" s="63">
        <v>0</v>
      </c>
      <c r="V2890" s="63">
        <v>0</v>
      </c>
      <c r="W2890" s="63">
        <f>IF(Copyright!B$11=1,IF(CA2890&gt;0,CA2890-SUM(U2890:V2890)-Y2890-SUM(AB2890:AQ2890),SUM(CB2890:CJ2890)),SUM(CC2890:CJ2890))</f>
        <v>69</v>
      </c>
      <c r="X2890" s="63">
        <v>5</v>
      </c>
      <c r="Y2890" s="63">
        <v>0</v>
      </c>
      <c r="Z2890" s="63"/>
      <c r="AA2890" s="63">
        <v>0</v>
      </c>
      <c r="AB2890" s="63"/>
      <c r="AC2890" s="63"/>
      <c r="AD2890" s="63"/>
      <c r="AE2890" s="63">
        <v>0</v>
      </c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>
        <v>0</v>
      </c>
      <c r="AR2890" s="63"/>
      <c r="AS2890" s="63"/>
      <c r="AT2890" s="63">
        <v>7</v>
      </c>
      <c r="AU2890" s="63"/>
      <c r="AW2890" s="5">
        <f>IF(Q2890&gt;0,RANK(Q2890,(N2890:P2890,Q2890:AE2890)),0)</f>
        <v>4</v>
      </c>
      <c r="AX2890" s="5">
        <f>IF(R2890&gt;0,RANK(R2890,(N2890:P2890,Q2890:AE2890)),0)</f>
        <v>5</v>
      </c>
      <c r="AY2890" s="5">
        <f>IF(T2890&gt;0,RANK(T2890,(N2890:P2890,Q2890:AE2890)),0)</f>
        <v>8</v>
      </c>
      <c r="AZ2890" s="5">
        <f>IF(S2890&gt;0,RANK(S2890,(N2890:P2890,Q2890:AE2890)),0)</f>
        <v>7</v>
      </c>
      <c r="BA2890" s="2">
        <f t="shared" si="1129"/>
        <v>3.9121930015214086E-2</v>
      </c>
      <c r="BB2890" s="2">
        <f t="shared" si="1130"/>
        <v>2.369050206476853E-2</v>
      </c>
      <c r="BC2890" s="2">
        <f t="shared" si="1131"/>
        <v>1.0867202782003911E-3</v>
      </c>
      <c r="BD2890" s="2">
        <f t="shared" si="1132"/>
        <v>2.1734405564007822E-3</v>
      </c>
      <c r="BF2890" t="s">
        <v>2402</v>
      </c>
      <c r="BG2890" t="s">
        <v>957</v>
      </c>
      <c r="BH2890">
        <v>3</v>
      </c>
      <c r="BJ2890" s="114">
        <v>49</v>
      </c>
      <c r="BK2890" s="116">
        <v>19</v>
      </c>
      <c r="BL2890" s="120">
        <f t="shared" si="1121"/>
        <v>49019</v>
      </c>
      <c r="BN2890" s="5" t="s">
        <v>3154</v>
      </c>
      <c r="BY2890" s="132" t="s">
        <v>3223</v>
      </c>
      <c r="BZ2890" s="63">
        <f t="shared" si="1133"/>
        <v>4601</v>
      </c>
      <c r="CA2890" s="63">
        <v>69</v>
      </c>
      <c r="CD2890" s="63">
        <v>1</v>
      </c>
      <c r="CE2890" s="63">
        <v>0</v>
      </c>
      <c r="CF2890" s="63">
        <v>0</v>
      </c>
      <c r="CG2890" s="8">
        <v>0</v>
      </c>
      <c r="CH2890" s="8">
        <v>0</v>
      </c>
      <c r="CI2890" s="8">
        <v>0</v>
      </c>
    </row>
    <row r="2891" spans="1:87" hidden="1" outlineLevel="1">
      <c r="A2891" t="s">
        <v>2833</v>
      </c>
      <c r="B2891" t="s">
        <v>957</v>
      </c>
      <c r="C2891" s="1">
        <f t="shared" si="1124"/>
        <v>17831</v>
      </c>
      <c r="D2891" s="5">
        <f>IF(N2891&gt;0, RANK(N2891,(N2891:P2891,Q2891:AE2891)),0)</f>
        <v>3</v>
      </c>
      <c r="E2891" s="5">
        <f>IF(O2891&gt;0,RANK(O2891,(N2891:P2891,Q2891:AE2891)),0)</f>
        <v>1</v>
      </c>
      <c r="F2891" s="5">
        <f>IF(P2891&gt;0,RANK(P2891,(N2891:P2891,Q2891:AE2891)),0)</f>
        <v>2</v>
      </c>
      <c r="G2891" s="132">
        <f t="shared" si="1134"/>
        <v>8809</v>
      </c>
      <c r="H2891" s="137">
        <f t="shared" si="1135"/>
        <v>0.49402725590264146</v>
      </c>
      <c r="I2891" s="2"/>
      <c r="J2891" s="2">
        <f t="shared" si="1125"/>
        <v>0.13740115529134653</v>
      </c>
      <c r="K2891" s="2">
        <f t="shared" si="1126"/>
        <v>0.64836520666255393</v>
      </c>
      <c r="L2891" s="2">
        <f t="shared" si="1127"/>
        <v>0.15433795075991252</v>
      </c>
      <c r="M2891" s="2">
        <f t="shared" si="1128"/>
        <v>5.9895687286186994E-2</v>
      </c>
      <c r="N2891" s="63">
        <v>2450</v>
      </c>
      <c r="O2891" s="63">
        <v>11561</v>
      </c>
      <c r="P2891" s="63">
        <v>2752</v>
      </c>
      <c r="Q2891" s="63">
        <v>540</v>
      </c>
      <c r="R2891" s="63">
        <v>102</v>
      </c>
      <c r="S2891" s="63">
        <v>173</v>
      </c>
      <c r="T2891" s="63">
        <v>15</v>
      </c>
      <c r="U2891" s="63">
        <v>0</v>
      </c>
      <c r="V2891" s="63">
        <v>0</v>
      </c>
      <c r="W2891" s="63">
        <f>IF(Copyright!B$11=1,IF(CA2891&gt;0,CA2891-SUM(U2891:V2891)-Y2891-SUM(AB2891:AQ2891),SUM(CB2891:CJ2891)),SUM(CC2891:CJ2891))</f>
        <v>177</v>
      </c>
      <c r="X2891" s="63">
        <v>4</v>
      </c>
      <c r="Y2891" s="63">
        <v>0</v>
      </c>
      <c r="Z2891" s="63"/>
      <c r="AA2891" s="63">
        <v>8</v>
      </c>
      <c r="AB2891" s="63"/>
      <c r="AC2891" s="63"/>
      <c r="AD2891" s="63"/>
      <c r="AE2891" s="63">
        <v>0</v>
      </c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>
        <v>0</v>
      </c>
      <c r="AR2891" s="63"/>
      <c r="AS2891" s="63"/>
      <c r="AT2891" s="63">
        <v>49</v>
      </c>
      <c r="AU2891" s="63"/>
      <c r="AW2891" s="5">
        <f>IF(Q2891&gt;0,RANK(Q2891,(N2891:P2891,Q2891:AE2891)),0)</f>
        <v>4</v>
      </c>
      <c r="AX2891" s="5">
        <f>IF(R2891&gt;0,RANK(R2891,(N2891:P2891,Q2891:AE2891)),0)</f>
        <v>7</v>
      </c>
      <c r="AY2891" s="5">
        <f>IF(T2891&gt;0,RANK(T2891,(N2891:P2891,Q2891:AE2891)),0)</f>
        <v>8</v>
      </c>
      <c r="AZ2891" s="5">
        <f>IF(S2891&gt;0,RANK(S2891,(N2891:P2891,Q2891:AE2891)),0)</f>
        <v>6</v>
      </c>
      <c r="BA2891" s="2">
        <f t="shared" si="1129"/>
        <v>3.0284336268296786E-2</v>
      </c>
      <c r="BB2891" s="2">
        <f t="shared" si="1130"/>
        <v>5.7203746284560601E-3</v>
      </c>
      <c r="BC2891" s="2">
        <f t="shared" si="1131"/>
        <v>8.4123156300824409E-4</v>
      </c>
      <c r="BD2891" s="2">
        <f t="shared" si="1132"/>
        <v>9.7022040266950809E-3</v>
      </c>
      <c r="BF2891" t="s">
        <v>2833</v>
      </c>
      <c r="BG2891" t="s">
        <v>957</v>
      </c>
      <c r="BH2891">
        <v>2</v>
      </c>
      <c r="BJ2891" s="114">
        <v>49</v>
      </c>
      <c r="BK2891" s="116">
        <v>21</v>
      </c>
      <c r="BL2891" s="120">
        <f t="shared" si="1121"/>
        <v>49021</v>
      </c>
      <c r="BN2891" s="5" t="s">
        <v>3154</v>
      </c>
      <c r="BY2891" s="132" t="s">
        <v>3223</v>
      </c>
      <c r="BZ2891" s="63">
        <f t="shared" si="1133"/>
        <v>17831</v>
      </c>
      <c r="CA2891" s="63">
        <v>177</v>
      </c>
      <c r="CD2891" s="63">
        <v>0</v>
      </c>
      <c r="CE2891" s="63">
        <v>0</v>
      </c>
      <c r="CF2891" s="63">
        <v>0</v>
      </c>
      <c r="CG2891" s="8">
        <v>0</v>
      </c>
      <c r="CH2891" s="8">
        <v>0</v>
      </c>
      <c r="CI2891" s="8">
        <v>0</v>
      </c>
    </row>
    <row r="2892" spans="1:87" hidden="1" outlineLevel="1">
      <c r="A2892" t="s">
        <v>1452</v>
      </c>
      <c r="B2892" t="s">
        <v>957</v>
      </c>
      <c r="C2892" s="1">
        <f t="shared" si="1124"/>
        <v>4221</v>
      </c>
      <c r="D2892" s="5">
        <f>IF(N2892&gt;0, RANK(N2892,(N2892:P2892,Q2892:AE2892)),0)</f>
        <v>3</v>
      </c>
      <c r="E2892" s="5">
        <f>IF(O2892&gt;0,RANK(O2892,(N2892:P2892,Q2892:AE2892)),0)</f>
        <v>1</v>
      </c>
      <c r="F2892" s="5">
        <f>IF(P2892&gt;0,RANK(P2892,(N2892:P2892,Q2892:AE2892)),0)</f>
        <v>2</v>
      </c>
      <c r="G2892" s="132">
        <f t="shared" si="1134"/>
        <v>2065</v>
      </c>
      <c r="H2892" s="137">
        <f t="shared" si="1135"/>
        <v>0.48922056384742951</v>
      </c>
      <c r="I2892" s="2"/>
      <c r="J2892" s="2">
        <f t="shared" si="1125"/>
        <v>0.10471452262497039</v>
      </c>
      <c r="K2892" s="2">
        <f t="shared" si="1126"/>
        <v>0.66974650556740112</v>
      </c>
      <c r="L2892" s="2">
        <f t="shared" si="1127"/>
        <v>0.18052594171997158</v>
      </c>
      <c r="M2892" s="2">
        <f t="shared" si="1128"/>
        <v>4.5013030087656919E-2</v>
      </c>
      <c r="N2892" s="63">
        <v>442</v>
      </c>
      <c r="O2892" s="63">
        <v>2827</v>
      </c>
      <c r="P2892" s="63">
        <v>762</v>
      </c>
      <c r="Q2892" s="63">
        <v>72</v>
      </c>
      <c r="R2892" s="63">
        <v>14</v>
      </c>
      <c r="S2892" s="63">
        <v>44</v>
      </c>
      <c r="T2892" s="63">
        <v>1</v>
      </c>
      <c r="U2892" s="63">
        <v>0</v>
      </c>
      <c r="V2892" s="63">
        <v>0</v>
      </c>
      <c r="W2892" s="63">
        <f>IF(Copyright!B$11=1,IF(CA2892&gt;0,CA2892-SUM(U2892:V2892)-Y2892-SUM(AB2892:AQ2892),SUM(CB2892:CJ2892)),SUM(CC2892:CJ2892))</f>
        <v>44</v>
      </c>
      <c r="X2892" s="63">
        <v>2</v>
      </c>
      <c r="Y2892" s="63">
        <v>0</v>
      </c>
      <c r="Z2892" s="63"/>
      <c r="AA2892" s="63">
        <v>3</v>
      </c>
      <c r="AB2892" s="63"/>
      <c r="AC2892" s="63"/>
      <c r="AD2892" s="63"/>
      <c r="AE2892" s="63">
        <v>0</v>
      </c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>
        <v>0</v>
      </c>
      <c r="AR2892" s="63"/>
      <c r="AS2892" s="63"/>
      <c r="AT2892" s="63">
        <v>10</v>
      </c>
      <c r="AU2892" s="63"/>
      <c r="AW2892" s="5">
        <f>IF(Q2892&gt;0,RANK(Q2892,(N2892:P2892,Q2892:AE2892)),0)</f>
        <v>4</v>
      </c>
      <c r="AX2892" s="5">
        <f>IF(R2892&gt;0,RANK(R2892,(N2892:P2892,Q2892:AE2892)),0)</f>
        <v>7</v>
      </c>
      <c r="AY2892" s="5">
        <f>IF(T2892&gt;0,RANK(T2892,(N2892:P2892,Q2892:AE2892)),0)</f>
        <v>10</v>
      </c>
      <c r="AZ2892" s="5">
        <f>IF(S2892&gt;0,RANK(S2892,(N2892:P2892,Q2892:AE2892)),0)</f>
        <v>5</v>
      </c>
      <c r="BA2892" s="2">
        <f t="shared" si="1129"/>
        <v>1.7057569296375266E-2</v>
      </c>
      <c r="BB2892" s="2">
        <f t="shared" si="1130"/>
        <v>3.3167495854063019E-3</v>
      </c>
      <c r="BC2892" s="2">
        <f t="shared" si="1131"/>
        <v>2.3691068467187872E-4</v>
      </c>
      <c r="BD2892" s="2">
        <f t="shared" si="1132"/>
        <v>1.0424070125562663E-2</v>
      </c>
      <c r="BF2892" t="s">
        <v>1452</v>
      </c>
      <c r="BG2892" t="s">
        <v>957</v>
      </c>
      <c r="BJ2892" s="114">
        <v>49</v>
      </c>
      <c r="BK2892" s="116">
        <v>23</v>
      </c>
      <c r="BL2892" s="120">
        <f t="shared" si="1121"/>
        <v>49023</v>
      </c>
      <c r="BN2892" s="5" t="s">
        <v>3154</v>
      </c>
      <c r="BY2892" s="132" t="s">
        <v>3223</v>
      </c>
      <c r="BZ2892" s="63">
        <f t="shared" si="1133"/>
        <v>4221</v>
      </c>
      <c r="CA2892" s="63">
        <v>44</v>
      </c>
      <c r="CD2892" s="63">
        <v>0</v>
      </c>
      <c r="CE2892" s="63">
        <v>0</v>
      </c>
      <c r="CF2892" s="63">
        <v>0</v>
      </c>
      <c r="CG2892" s="8">
        <v>0</v>
      </c>
      <c r="CH2892" s="8">
        <v>0</v>
      </c>
      <c r="CI2892" s="8">
        <v>0</v>
      </c>
    </row>
    <row r="2893" spans="1:87" hidden="1" outlineLevel="1">
      <c r="A2893" t="s">
        <v>259</v>
      </c>
      <c r="B2893" t="s">
        <v>957</v>
      </c>
      <c r="C2893" s="1">
        <f t="shared" si="1124"/>
        <v>3537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3</v>
      </c>
      <c r="G2893" s="132">
        <f t="shared" si="1134"/>
        <v>1524</v>
      </c>
      <c r="H2893" s="137">
        <f t="shared" si="1135"/>
        <v>0.43087362171331639</v>
      </c>
      <c r="I2893" s="2"/>
      <c r="J2893" s="2">
        <f t="shared" si="1125"/>
        <v>0.20949957591178966</v>
      </c>
      <c r="K2893" s="2">
        <f t="shared" si="1126"/>
        <v>0.64037319762510603</v>
      </c>
      <c r="L2893" s="2">
        <f t="shared" si="1127"/>
        <v>9.9519366694939215E-2</v>
      </c>
      <c r="M2893" s="2">
        <f t="shared" si="1128"/>
        <v>5.0607859768165064E-2</v>
      </c>
      <c r="N2893" s="63">
        <v>741</v>
      </c>
      <c r="O2893" s="63">
        <v>2265</v>
      </c>
      <c r="P2893" s="63">
        <v>352</v>
      </c>
      <c r="Q2893" s="63">
        <v>86</v>
      </c>
      <c r="R2893" s="63">
        <v>31</v>
      </c>
      <c r="S2893" s="63">
        <v>15</v>
      </c>
      <c r="T2893" s="63">
        <v>5</v>
      </c>
      <c r="U2893" s="63">
        <v>0</v>
      </c>
      <c r="V2893" s="63">
        <v>0</v>
      </c>
      <c r="W2893" s="63">
        <f>IF(Copyright!B$11=1,IF(CA2893&gt;0,CA2893-SUM(U2893:V2893)-Y2893-SUM(AB2893:AQ2893),SUM(CB2893:CJ2893)),SUM(CC2893:CJ2893))</f>
        <v>32</v>
      </c>
      <c r="X2893" s="63">
        <v>3</v>
      </c>
      <c r="Y2893" s="63">
        <v>0</v>
      </c>
      <c r="Z2893" s="63"/>
      <c r="AA2893" s="63">
        <v>1</v>
      </c>
      <c r="AB2893" s="63"/>
      <c r="AC2893" s="63"/>
      <c r="AD2893" s="63"/>
      <c r="AE2893" s="63">
        <v>0</v>
      </c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>
        <v>0</v>
      </c>
      <c r="AR2893" s="63"/>
      <c r="AS2893" s="63"/>
      <c r="AT2893" s="63">
        <v>6</v>
      </c>
      <c r="AU2893" s="63"/>
      <c r="AW2893" s="5">
        <f>IF(Q2893&gt;0,RANK(Q2893,(N2893:P2893,Q2893:AE2893)),0)</f>
        <v>4</v>
      </c>
      <c r="AX2893" s="5">
        <f>IF(R2893&gt;0,RANK(R2893,(N2893:P2893,Q2893:AE2893)),0)</f>
        <v>6</v>
      </c>
      <c r="AY2893" s="5">
        <f>IF(T2893&gt;0,RANK(T2893,(N2893:P2893,Q2893:AE2893)),0)</f>
        <v>8</v>
      </c>
      <c r="AZ2893" s="5">
        <f>IF(S2893&gt;0,RANK(S2893,(N2893:P2893,Q2893:AE2893)),0)</f>
        <v>7</v>
      </c>
      <c r="BA2893" s="2">
        <f t="shared" si="1129"/>
        <v>2.4314390726604466E-2</v>
      </c>
      <c r="BB2893" s="2">
        <f t="shared" si="1130"/>
        <v>8.7644896805202151E-3</v>
      </c>
      <c r="BC2893" s="2">
        <f t="shared" si="1131"/>
        <v>1.4136273678258412E-3</v>
      </c>
      <c r="BD2893" s="2">
        <f t="shared" si="1132"/>
        <v>4.2408821034775231E-3</v>
      </c>
      <c r="BF2893" t="s">
        <v>259</v>
      </c>
      <c r="BG2893" t="s">
        <v>957</v>
      </c>
      <c r="BH2893">
        <v>2</v>
      </c>
      <c r="BJ2893" s="114">
        <v>49</v>
      </c>
      <c r="BK2893" s="116">
        <v>25</v>
      </c>
      <c r="BL2893" s="120">
        <f t="shared" si="1121"/>
        <v>49025</v>
      </c>
      <c r="BN2893" s="5" t="s">
        <v>3154</v>
      </c>
      <c r="BZ2893" s="63">
        <f t="shared" si="1133"/>
        <v>3537</v>
      </c>
      <c r="CA2893" s="133">
        <v>32</v>
      </c>
      <c r="CD2893" s="63">
        <v>0</v>
      </c>
      <c r="CE2893" s="63">
        <v>0</v>
      </c>
      <c r="CF2893" s="63">
        <v>0</v>
      </c>
      <c r="CG2893" s="8">
        <v>0</v>
      </c>
      <c r="CH2893" s="8">
        <v>0</v>
      </c>
      <c r="CI2893" s="8">
        <v>0</v>
      </c>
    </row>
    <row r="2894" spans="1:87" hidden="1" outlineLevel="1">
      <c r="A2894" t="s">
        <v>160</v>
      </c>
      <c r="B2894" t="s">
        <v>957</v>
      </c>
      <c r="C2894" s="1">
        <f t="shared" si="1124"/>
        <v>5269</v>
      </c>
      <c r="D2894" s="5">
        <f>IF(N2894&gt;0, RANK(N2894,(N2894:P2894,Q2894:AE2894)),0)</f>
        <v>3</v>
      </c>
      <c r="E2894" s="5">
        <f>IF(O2894&gt;0,RANK(O2894,(N2894:P2894,Q2894:AE2894)),0)</f>
        <v>1</v>
      </c>
      <c r="F2894" s="5">
        <f>IF(P2894&gt;0,RANK(P2894,(N2894:P2894,Q2894:AE2894)),0)</f>
        <v>2</v>
      </c>
      <c r="G2894" s="132">
        <f t="shared" si="1134"/>
        <v>3141</v>
      </c>
      <c r="H2894" s="137">
        <f t="shared" si="1135"/>
        <v>0.59612829758967545</v>
      </c>
      <c r="I2894" s="2"/>
      <c r="J2894" s="2">
        <f t="shared" si="1125"/>
        <v>8.1799202884797875E-2</v>
      </c>
      <c r="K2894" s="2">
        <f t="shared" si="1126"/>
        <v>0.7325868286202315</v>
      </c>
      <c r="L2894" s="2">
        <f t="shared" si="1127"/>
        <v>0.13645853103055608</v>
      </c>
      <c r="M2894" s="2">
        <f t="shared" si="1128"/>
        <v>4.9155437464414503E-2</v>
      </c>
      <c r="N2894" s="63">
        <v>431</v>
      </c>
      <c r="O2894" s="63">
        <v>3860</v>
      </c>
      <c r="P2894" s="63">
        <v>719</v>
      </c>
      <c r="Q2894" s="63">
        <v>108</v>
      </c>
      <c r="R2894" s="63">
        <v>6</v>
      </c>
      <c r="S2894" s="63">
        <v>99</v>
      </c>
      <c r="T2894" s="63">
        <v>5</v>
      </c>
      <c r="U2894" s="63">
        <v>0</v>
      </c>
      <c r="V2894" s="63">
        <v>0</v>
      </c>
      <c r="W2894" s="63">
        <f>IF(Copyright!B$11=1,IF(CA2894&gt;0,CA2894-SUM(U2894:V2894)-Y2894-SUM(AB2894:AQ2894),SUM(CB2894:CJ2894)),SUM(CC2894:CJ2894))</f>
        <v>27</v>
      </c>
      <c r="X2894" s="63">
        <v>1</v>
      </c>
      <c r="Y2894" s="63">
        <v>0</v>
      </c>
      <c r="Z2894" s="63"/>
      <c r="AA2894" s="63">
        <v>5</v>
      </c>
      <c r="AB2894" s="63"/>
      <c r="AC2894" s="63"/>
      <c r="AD2894" s="63"/>
      <c r="AE2894" s="63">
        <v>0</v>
      </c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>
        <v>0</v>
      </c>
      <c r="AR2894" s="63"/>
      <c r="AS2894" s="63"/>
      <c r="AT2894" s="63">
        <v>8</v>
      </c>
      <c r="AU2894" s="63"/>
      <c r="AW2894" s="5">
        <f>IF(Q2894&gt;0,RANK(Q2894,(N2894:P2894,Q2894:AE2894)),0)</f>
        <v>4</v>
      </c>
      <c r="AX2894" s="5">
        <f>IF(R2894&gt;0,RANK(R2894,(N2894:P2894,Q2894:AE2894)),0)</f>
        <v>7</v>
      </c>
      <c r="AY2894" s="5">
        <f>IF(T2894&gt;0,RANK(T2894,(N2894:P2894,Q2894:AE2894)),0)</f>
        <v>8</v>
      </c>
      <c r="AZ2894" s="5">
        <f>IF(S2894&gt;0,RANK(S2894,(N2894:P2894,Q2894:AE2894)),0)</f>
        <v>5</v>
      </c>
      <c r="BA2894" s="2">
        <f t="shared" si="1129"/>
        <v>2.0497248054659328E-2</v>
      </c>
      <c r="BB2894" s="2">
        <f t="shared" si="1130"/>
        <v>1.1387360030366293E-3</v>
      </c>
      <c r="BC2894" s="2">
        <f t="shared" si="1131"/>
        <v>9.4894666919719114E-4</v>
      </c>
      <c r="BD2894" s="2">
        <f t="shared" si="1132"/>
        <v>1.8789144050104383E-2</v>
      </c>
      <c r="BF2894" t="s">
        <v>160</v>
      </c>
      <c r="BG2894" t="s">
        <v>957</v>
      </c>
      <c r="BH2894">
        <v>2</v>
      </c>
      <c r="BJ2894" s="114">
        <v>49</v>
      </c>
      <c r="BK2894" s="116">
        <v>27</v>
      </c>
      <c r="BL2894" s="120">
        <f t="shared" si="1121"/>
        <v>49027</v>
      </c>
      <c r="BN2894" s="5" t="s">
        <v>3154</v>
      </c>
      <c r="BY2894" s="132" t="s">
        <v>3223</v>
      </c>
      <c r="BZ2894" s="63">
        <f t="shared" si="1133"/>
        <v>5269</v>
      </c>
      <c r="CA2894" s="63">
        <v>27</v>
      </c>
      <c r="CD2894" s="63">
        <v>0</v>
      </c>
      <c r="CE2894" s="63">
        <v>0</v>
      </c>
      <c r="CF2894" s="63">
        <v>0</v>
      </c>
      <c r="CG2894" s="8">
        <v>0</v>
      </c>
      <c r="CH2894" s="8">
        <v>0</v>
      </c>
      <c r="CI2894" s="8">
        <v>0</v>
      </c>
    </row>
    <row r="2895" spans="1:87" hidden="1" outlineLevel="1">
      <c r="A2895" t="s">
        <v>1145</v>
      </c>
      <c r="B2895" t="s">
        <v>957</v>
      </c>
      <c r="C2895" s="1">
        <f t="shared" si="1124"/>
        <v>5192</v>
      </c>
      <c r="D2895" s="5">
        <f>IF(N2895&gt;0, RANK(N2895,(N2895:P2895,Q2895:AE2895)),0)</f>
        <v>3</v>
      </c>
      <c r="E2895" s="5">
        <f>IF(O2895&gt;0,RANK(O2895,(N2895:P2895,Q2895:AE2895)),0)</f>
        <v>1</v>
      </c>
      <c r="F2895" s="5">
        <f>IF(P2895&gt;0,RANK(P2895,(N2895:P2895,Q2895:AE2895)),0)</f>
        <v>2</v>
      </c>
      <c r="G2895" s="132">
        <f t="shared" si="1134"/>
        <v>1990</v>
      </c>
      <c r="H2895" s="137">
        <f t="shared" si="1135"/>
        <v>0.38328197226502309</v>
      </c>
      <c r="I2895" s="2"/>
      <c r="J2895" s="2">
        <f t="shared" si="1125"/>
        <v>0.11113251155624038</v>
      </c>
      <c r="K2895" s="2">
        <f t="shared" si="1126"/>
        <v>0.61402157164869031</v>
      </c>
      <c r="L2895" s="2">
        <f t="shared" si="1127"/>
        <v>0.23073959938366717</v>
      </c>
      <c r="M2895" s="2">
        <f t="shared" si="1128"/>
        <v>4.4106317411402141E-2</v>
      </c>
      <c r="N2895" s="63">
        <v>577</v>
      </c>
      <c r="O2895" s="63">
        <v>3188</v>
      </c>
      <c r="P2895" s="63">
        <v>1198</v>
      </c>
      <c r="Q2895" s="63">
        <v>142</v>
      </c>
      <c r="R2895" s="63">
        <v>11</v>
      </c>
      <c r="S2895" s="63">
        <v>68</v>
      </c>
      <c r="T2895" s="63">
        <v>2</v>
      </c>
      <c r="U2895" s="63">
        <v>0</v>
      </c>
      <c r="V2895" s="63">
        <v>0</v>
      </c>
      <c r="W2895" s="63">
        <f>IF(Copyright!B$11=1,IF(CA2895&gt;0,CA2895-SUM(U2895:V2895)-Y2895-SUM(AB2895:AQ2895),SUM(CB2895:CJ2895)),SUM(CC2895:CJ2895))</f>
        <v>0</v>
      </c>
      <c r="X2895" s="63">
        <v>1</v>
      </c>
      <c r="Y2895" s="63">
        <v>0</v>
      </c>
      <c r="Z2895" s="63"/>
      <c r="AA2895" s="63">
        <v>2</v>
      </c>
      <c r="AB2895" s="63"/>
      <c r="AC2895" s="63"/>
      <c r="AD2895" s="63"/>
      <c r="AE2895" s="63">
        <v>0</v>
      </c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>
        <v>0</v>
      </c>
      <c r="AR2895" s="63"/>
      <c r="AS2895" s="63"/>
      <c r="AT2895" s="63">
        <v>3</v>
      </c>
      <c r="AU2895" s="63"/>
      <c r="AW2895" s="5">
        <f>IF(Q2895&gt;0,RANK(Q2895,(N2895:P2895,Q2895:AE2895)),0)</f>
        <v>4</v>
      </c>
      <c r="AX2895" s="5">
        <f>IF(R2895&gt;0,RANK(R2895,(N2895:P2895,Q2895:AE2895)),0)</f>
        <v>6</v>
      </c>
      <c r="AY2895" s="5">
        <f>IF(T2895&gt;0,RANK(T2895,(N2895:P2895,Q2895:AE2895)),0)</f>
        <v>7</v>
      </c>
      <c r="AZ2895" s="5">
        <f>IF(S2895&gt;0,RANK(S2895,(N2895:P2895,Q2895:AE2895)),0)</f>
        <v>5</v>
      </c>
      <c r="BA2895" s="2">
        <f t="shared" si="1129"/>
        <v>2.7349768875192602E-2</v>
      </c>
      <c r="BB2895" s="2">
        <f t="shared" si="1130"/>
        <v>2.1186440677966102E-3</v>
      </c>
      <c r="BC2895" s="2">
        <f t="shared" si="1131"/>
        <v>3.8520801232665641E-4</v>
      </c>
      <c r="BD2895" s="2">
        <f t="shared" si="1132"/>
        <v>1.3097072419106317E-2</v>
      </c>
      <c r="BF2895" t="s">
        <v>1145</v>
      </c>
      <c r="BG2895" t="s">
        <v>957</v>
      </c>
      <c r="BH2895">
        <v>1</v>
      </c>
      <c r="BJ2895" s="114">
        <v>49</v>
      </c>
      <c r="BK2895" s="116">
        <v>29</v>
      </c>
      <c r="BL2895" s="120">
        <f t="shared" si="1121"/>
        <v>49029</v>
      </c>
      <c r="BN2895" s="5" t="s">
        <v>3154</v>
      </c>
      <c r="BZ2895" s="63">
        <f t="shared" si="1133"/>
        <v>5192</v>
      </c>
      <c r="CD2895" s="63">
        <v>0</v>
      </c>
      <c r="CE2895" s="63">
        <v>0</v>
      </c>
      <c r="CF2895" s="63">
        <v>0</v>
      </c>
      <c r="CG2895" s="8">
        <v>0</v>
      </c>
      <c r="CH2895" s="8">
        <v>0</v>
      </c>
      <c r="CI2895" s="8">
        <v>0</v>
      </c>
    </row>
    <row r="2896" spans="1:87" hidden="1" outlineLevel="1">
      <c r="A2896" t="s">
        <v>220</v>
      </c>
      <c r="B2896" t="s">
        <v>957</v>
      </c>
      <c r="C2896" s="1">
        <f t="shared" si="1124"/>
        <v>729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3</v>
      </c>
      <c r="G2896" s="132">
        <f t="shared" si="1134"/>
        <v>579</v>
      </c>
      <c r="H2896" s="137">
        <f t="shared" si="1135"/>
        <v>0.79423868312757206</v>
      </c>
      <c r="I2896" s="2"/>
      <c r="J2896" s="2">
        <f t="shared" si="1125"/>
        <v>6.4471879286694095E-2</v>
      </c>
      <c r="K2896" s="2">
        <f t="shared" si="1126"/>
        <v>0.85871056241426613</v>
      </c>
      <c r="L2896" s="2">
        <f t="shared" si="1127"/>
        <v>4.9382716049382713E-2</v>
      </c>
      <c r="M2896" s="2">
        <f t="shared" si="1128"/>
        <v>2.7434842249657088E-2</v>
      </c>
      <c r="N2896" s="63">
        <v>47</v>
      </c>
      <c r="O2896" s="63">
        <v>626</v>
      </c>
      <c r="P2896" s="63">
        <v>36</v>
      </c>
      <c r="Q2896" s="63">
        <v>11</v>
      </c>
      <c r="R2896" s="63">
        <v>1</v>
      </c>
      <c r="S2896" s="63">
        <v>5</v>
      </c>
      <c r="T2896" s="63">
        <v>0</v>
      </c>
      <c r="U2896" s="63">
        <v>0</v>
      </c>
      <c r="V2896" s="63">
        <v>0</v>
      </c>
      <c r="W2896" s="63">
        <f>IF(Copyright!B$11=1,IF(CA2896&gt;0,CA2896-SUM(U2896:V2896)-Y2896-SUM(AB2896:AQ2896),SUM(CB2896:CJ2896)),SUM(CC2896:CJ2896))</f>
        <v>0</v>
      </c>
      <c r="X2896" s="63">
        <v>0</v>
      </c>
      <c r="Y2896" s="63">
        <v>0</v>
      </c>
      <c r="Z2896" s="63"/>
      <c r="AA2896" s="63">
        <v>1</v>
      </c>
      <c r="AB2896" s="63"/>
      <c r="AC2896" s="63"/>
      <c r="AD2896" s="63"/>
      <c r="AE2896" s="63">
        <v>0</v>
      </c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>
        <v>0</v>
      </c>
      <c r="AR2896" s="63"/>
      <c r="AS2896" s="63"/>
      <c r="AT2896" s="63">
        <v>2</v>
      </c>
      <c r="AU2896" s="63"/>
      <c r="AW2896" s="5">
        <f>IF(Q2896&gt;0,RANK(Q2896,(N2896:P2896,Q2896:AE2896)),0)</f>
        <v>4</v>
      </c>
      <c r="AX2896" s="5">
        <f>IF(R2896&gt;0,RANK(R2896,(N2896:P2896,Q2896:AE2896)),0)</f>
        <v>6</v>
      </c>
      <c r="AY2896" s="5">
        <f>IF(T2896&gt;0,RANK(T2896,(N2896:P2896,Q2896:AE2896)),0)</f>
        <v>0</v>
      </c>
      <c r="AZ2896" s="5">
        <f>IF(S2896&gt;0,RANK(S2896,(N2896:P2896,Q2896:AE2896)),0)</f>
        <v>5</v>
      </c>
      <c r="BA2896" s="2">
        <f t="shared" si="1129"/>
        <v>1.5089163237311385E-2</v>
      </c>
      <c r="BB2896" s="2">
        <f t="shared" si="1130"/>
        <v>1.3717421124828531E-3</v>
      </c>
      <c r="BC2896" s="2">
        <f t="shared" si="1131"/>
        <v>0</v>
      </c>
      <c r="BD2896" s="2">
        <f t="shared" si="1132"/>
        <v>6.8587105624142658E-3</v>
      </c>
      <c r="BF2896" t="s">
        <v>220</v>
      </c>
      <c r="BG2896" t="s">
        <v>957</v>
      </c>
      <c r="BH2896">
        <v>2</v>
      </c>
      <c r="BJ2896" s="114">
        <v>49</v>
      </c>
      <c r="BK2896" s="116">
        <v>31</v>
      </c>
      <c r="BL2896" s="120">
        <f t="shared" si="1121"/>
        <v>49031</v>
      </c>
      <c r="BN2896" s="5" t="s">
        <v>3154</v>
      </c>
      <c r="BZ2896" s="63">
        <f t="shared" si="1133"/>
        <v>729</v>
      </c>
      <c r="CD2896" s="63">
        <v>0</v>
      </c>
      <c r="CE2896" s="63">
        <v>0</v>
      </c>
      <c r="CF2896" s="63">
        <v>0</v>
      </c>
      <c r="CG2896" s="8">
        <v>0</v>
      </c>
      <c r="CH2896" s="8">
        <v>0</v>
      </c>
      <c r="CI2896" s="8">
        <v>0</v>
      </c>
    </row>
    <row r="2897" spans="1:87" hidden="1" outlineLevel="1">
      <c r="A2897" t="s">
        <v>236</v>
      </c>
      <c r="B2897" t="s">
        <v>957</v>
      </c>
      <c r="C2897" s="1">
        <f t="shared" si="1124"/>
        <v>1109</v>
      </c>
      <c r="D2897" s="5">
        <f>IF(N2897&gt;0, RANK(N2897,(N2897:P2897,Q2897:AE2897)),0)</f>
        <v>3</v>
      </c>
      <c r="E2897" s="5">
        <f>IF(O2897&gt;0,RANK(O2897,(N2897:P2897,Q2897:AE2897)),0)</f>
        <v>1</v>
      </c>
      <c r="F2897" s="5">
        <f>IF(P2897&gt;0,RANK(P2897,(N2897:P2897,Q2897:AE2897)),0)</f>
        <v>2</v>
      </c>
      <c r="G2897" s="132">
        <f t="shared" si="1134"/>
        <v>623</v>
      </c>
      <c r="H2897" s="137">
        <f t="shared" si="1135"/>
        <v>0.56176735798016231</v>
      </c>
      <c r="I2897" s="2"/>
      <c r="J2897" s="2">
        <f t="shared" si="1125"/>
        <v>9.377817853922453E-2</v>
      </c>
      <c r="K2897" s="2">
        <f t="shared" si="1126"/>
        <v>0.71866546438232637</v>
      </c>
      <c r="L2897" s="2">
        <f t="shared" si="1127"/>
        <v>0.15689810640216412</v>
      </c>
      <c r="M2897" s="2">
        <f t="shared" si="1128"/>
        <v>3.065825067628497E-2</v>
      </c>
      <c r="N2897" s="63">
        <v>104</v>
      </c>
      <c r="O2897" s="63">
        <v>797</v>
      </c>
      <c r="P2897" s="63">
        <v>174</v>
      </c>
      <c r="Q2897" s="63">
        <v>21</v>
      </c>
      <c r="R2897" s="63">
        <v>1</v>
      </c>
      <c r="S2897" s="63">
        <v>10</v>
      </c>
      <c r="T2897" s="63">
        <v>2</v>
      </c>
      <c r="U2897" s="63">
        <v>0</v>
      </c>
      <c r="V2897" s="63">
        <v>0</v>
      </c>
      <c r="W2897" s="63">
        <f>IF(Copyright!B$11=1,IF(CA2897&gt;0,CA2897-SUM(U2897:V2897)-Y2897-SUM(AB2897:AQ2897),SUM(CB2897:CJ2897)),SUM(CC2897:CJ2897))</f>
        <v>0</v>
      </c>
      <c r="X2897" s="63">
        <v>0</v>
      </c>
      <c r="Y2897" s="63">
        <v>0</v>
      </c>
      <c r="Z2897" s="63"/>
      <c r="AA2897" s="63">
        <v>0</v>
      </c>
      <c r="AB2897" s="63"/>
      <c r="AC2897" s="63"/>
      <c r="AD2897" s="63"/>
      <c r="AE2897" s="63">
        <v>0</v>
      </c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>
        <v>0</v>
      </c>
      <c r="AR2897" s="63"/>
      <c r="AS2897" s="63"/>
      <c r="AT2897" s="63">
        <v>0</v>
      </c>
      <c r="AU2897" s="63"/>
      <c r="AW2897" s="5">
        <f>IF(Q2897&gt;0,RANK(Q2897,(N2897:P2897,Q2897:AE2897)),0)</f>
        <v>4</v>
      </c>
      <c r="AX2897" s="5">
        <f>IF(R2897&gt;0,RANK(R2897,(N2897:P2897,Q2897:AE2897)),0)</f>
        <v>7</v>
      </c>
      <c r="AY2897" s="5">
        <f>IF(T2897&gt;0,RANK(T2897,(N2897:P2897,Q2897:AE2897)),0)</f>
        <v>6</v>
      </c>
      <c r="AZ2897" s="5">
        <f>IF(S2897&gt;0,RANK(S2897,(N2897:P2897,Q2897:AE2897)),0)</f>
        <v>5</v>
      </c>
      <c r="BA2897" s="2">
        <f t="shared" si="1129"/>
        <v>1.8935978358881875E-2</v>
      </c>
      <c r="BB2897" s="2">
        <f t="shared" si="1130"/>
        <v>9.0171325518485117E-4</v>
      </c>
      <c r="BC2897" s="2">
        <f t="shared" si="1131"/>
        <v>1.8034265103697023E-3</v>
      </c>
      <c r="BD2897" s="2">
        <f t="shared" si="1132"/>
        <v>9.017132551848512E-3</v>
      </c>
      <c r="BF2897" t="s">
        <v>236</v>
      </c>
      <c r="BG2897" t="s">
        <v>957</v>
      </c>
      <c r="BH2897">
        <v>1</v>
      </c>
      <c r="BJ2897" s="114">
        <v>49</v>
      </c>
      <c r="BK2897" s="116">
        <v>33</v>
      </c>
      <c r="BL2897" s="120">
        <f t="shared" si="1121"/>
        <v>49033</v>
      </c>
      <c r="BN2897" s="5" t="s">
        <v>3154</v>
      </c>
      <c r="BZ2897" s="63">
        <f t="shared" si="1133"/>
        <v>1109</v>
      </c>
      <c r="CD2897" s="63">
        <v>0</v>
      </c>
      <c r="CE2897" s="63">
        <v>0</v>
      </c>
      <c r="CF2897" s="63">
        <v>0</v>
      </c>
      <c r="CG2897" s="8">
        <v>0</v>
      </c>
      <c r="CH2897" s="8">
        <v>0</v>
      </c>
      <c r="CI2897" s="8">
        <v>0</v>
      </c>
    </row>
    <row r="2898" spans="1:87" hidden="1" outlineLevel="1">
      <c r="A2898" t="s">
        <v>469</v>
      </c>
      <c r="B2898" t="s">
        <v>957</v>
      </c>
      <c r="C2898" s="1">
        <f t="shared" si="1124"/>
        <v>423743</v>
      </c>
      <c r="D2898" s="5">
        <f>IF(N2898&gt;0, RANK(N2898,(N2898:P2898,Q2898:AE2898)),0)</f>
        <v>1</v>
      </c>
      <c r="E2898" s="5">
        <f>IF(O2898&gt;0,RANK(O2898,(N2898:P2898,Q2898:AE2898)),0)</f>
        <v>2</v>
      </c>
      <c r="F2898" s="5">
        <f>IF(P2898&gt;0,RANK(P2898,(N2898:P2898,Q2898:AE2898)),0)</f>
        <v>3</v>
      </c>
      <c r="G2898" s="132">
        <f t="shared" si="1134"/>
        <v>37820</v>
      </c>
      <c r="H2898" s="137">
        <f t="shared" si="1135"/>
        <v>8.9252211835947726E-2</v>
      </c>
      <c r="I2898" s="2"/>
      <c r="J2898" s="2">
        <f t="shared" si="1125"/>
        <v>0.41502278503715695</v>
      </c>
      <c r="K2898" s="2">
        <f t="shared" si="1126"/>
        <v>0.32577057320120922</v>
      </c>
      <c r="L2898" s="2">
        <f t="shared" si="1127"/>
        <v>0.18851048866883938</v>
      </c>
      <c r="M2898" s="2">
        <f t="shared" si="1128"/>
        <v>7.069615309279445E-2</v>
      </c>
      <c r="N2898" s="63">
        <v>175863</v>
      </c>
      <c r="O2898" s="63">
        <v>138043</v>
      </c>
      <c r="P2898" s="63">
        <v>79880</v>
      </c>
      <c r="Q2898" s="63">
        <v>16306</v>
      </c>
      <c r="R2898" s="63">
        <v>4965</v>
      </c>
      <c r="S2898" s="63">
        <v>2047</v>
      </c>
      <c r="T2898" s="63">
        <v>353</v>
      </c>
      <c r="U2898" s="63">
        <v>4</v>
      </c>
      <c r="V2898" s="63">
        <v>0</v>
      </c>
      <c r="W2898" s="63">
        <f>IF(Copyright!B$11=1,IF(CA2898&gt;0,CA2898-SUM(U2898:V2898)-Y2898-SUM(AB2898:AQ2898),SUM(CB2898:CJ2898)),SUM(CC2898:CJ2898))</f>
        <v>4878</v>
      </c>
      <c r="X2898" s="63">
        <v>250</v>
      </c>
      <c r="Y2898" s="63">
        <v>1</v>
      </c>
      <c r="Z2898" s="63"/>
      <c r="AA2898" s="63">
        <v>246</v>
      </c>
      <c r="AB2898" s="63"/>
      <c r="AC2898" s="63"/>
      <c r="AD2898" s="63"/>
      <c r="AE2898" s="63">
        <v>6</v>
      </c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>
        <v>1</v>
      </c>
      <c r="AR2898" s="63"/>
      <c r="AS2898" s="63"/>
      <c r="AT2898" s="63">
        <v>900</v>
      </c>
      <c r="AU2898" s="63"/>
      <c r="AW2898" s="5">
        <f>IF(Q2898&gt;0,RANK(Q2898,(N2898:P2898,Q2898:AE2898)),0)</f>
        <v>4</v>
      </c>
      <c r="AX2898" s="5">
        <f>IF(R2898&gt;0,RANK(R2898,(N2898:P2898,Q2898:AE2898)),0)</f>
        <v>5</v>
      </c>
      <c r="AY2898" s="5">
        <f>IF(T2898&gt;0,RANK(T2898,(N2898:P2898,Q2898:AE2898)),0)</f>
        <v>8</v>
      </c>
      <c r="AZ2898" s="5">
        <f>IF(S2898&gt;0,RANK(S2898,(N2898:P2898,Q2898:AE2898)),0)</f>
        <v>7</v>
      </c>
      <c r="BA2898" s="2">
        <f t="shared" si="1129"/>
        <v>3.8480871660416811E-2</v>
      </c>
      <c r="BB2898" s="2">
        <f t="shared" si="1130"/>
        <v>1.1717007714581716E-2</v>
      </c>
      <c r="BC2898" s="2">
        <f t="shared" si="1131"/>
        <v>8.3305210941537675E-4</v>
      </c>
      <c r="BD2898" s="2">
        <f t="shared" si="1132"/>
        <v>4.8307582662132469E-3</v>
      </c>
      <c r="BF2898" t="s">
        <v>469</v>
      </c>
      <c r="BG2898" t="s">
        <v>957</v>
      </c>
      <c r="BJ2898" s="114">
        <v>49</v>
      </c>
      <c r="BK2898" s="116">
        <v>35</v>
      </c>
      <c r="BL2898" s="120">
        <f t="shared" si="1121"/>
        <v>49035</v>
      </c>
      <c r="BN2898" s="5" t="s">
        <v>3154</v>
      </c>
      <c r="BY2898" s="132" t="s">
        <v>3223</v>
      </c>
      <c r="BZ2898" s="63">
        <f t="shared" si="1133"/>
        <v>423743</v>
      </c>
      <c r="CA2898" s="63">
        <f>4875+6+2+1+1+4+1</f>
        <v>4890</v>
      </c>
      <c r="CD2898" s="63">
        <v>1</v>
      </c>
      <c r="CE2898" s="63">
        <v>2</v>
      </c>
      <c r="CF2898" s="63">
        <v>0</v>
      </c>
      <c r="CG2898" s="8">
        <v>0</v>
      </c>
      <c r="CH2898" s="8">
        <v>0</v>
      </c>
      <c r="CI2898" s="8">
        <v>0</v>
      </c>
    </row>
    <row r="2899" spans="1:87" hidden="1" outlineLevel="1">
      <c r="A2899" t="s">
        <v>2518</v>
      </c>
      <c r="B2899" t="s">
        <v>957</v>
      </c>
      <c r="C2899" s="1">
        <f t="shared" si="1124"/>
        <v>5534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3</v>
      </c>
      <c r="G2899" s="132">
        <f t="shared" si="1134"/>
        <v>603</v>
      </c>
      <c r="H2899" s="137">
        <f t="shared" si="1135"/>
        <v>0.10896277556920853</v>
      </c>
      <c r="I2899" s="2"/>
      <c r="J2899" s="2">
        <f t="shared" si="1125"/>
        <v>0.36899168774846403</v>
      </c>
      <c r="K2899" s="2">
        <f t="shared" si="1126"/>
        <v>0.47795446331767255</v>
      </c>
      <c r="L2899" s="2">
        <f t="shared" si="1127"/>
        <v>8.7820744488615834E-2</v>
      </c>
      <c r="M2899" s="2">
        <f t="shared" si="1128"/>
        <v>6.5233104445247589E-2</v>
      </c>
      <c r="N2899" s="63">
        <v>2042</v>
      </c>
      <c r="O2899" s="63">
        <v>2645</v>
      </c>
      <c r="P2899" s="63">
        <v>486</v>
      </c>
      <c r="Q2899" s="63">
        <v>165</v>
      </c>
      <c r="R2899" s="63">
        <v>47</v>
      </c>
      <c r="S2899" s="63">
        <v>45</v>
      </c>
      <c r="T2899" s="63">
        <v>8</v>
      </c>
      <c r="U2899" s="63">
        <v>0</v>
      </c>
      <c r="V2899" s="63">
        <v>0</v>
      </c>
      <c r="W2899" s="63">
        <f>IF(Copyright!B$11=1,IF(CA2899&gt;0,CA2899-SUM(U2899:V2899)-Y2899-SUM(AB2899:AQ2899),SUM(CB2899:CJ2899)),SUM(CC2899:CJ2899))</f>
        <v>87</v>
      </c>
      <c r="X2899" s="63">
        <v>5</v>
      </c>
      <c r="Y2899" s="63">
        <v>0</v>
      </c>
      <c r="Z2899" s="63"/>
      <c r="AA2899" s="63">
        <v>4</v>
      </c>
      <c r="AB2899" s="63"/>
      <c r="AC2899" s="63"/>
      <c r="AD2899" s="63"/>
      <c r="AE2899" s="63">
        <v>0</v>
      </c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>
        <v>0</v>
      </c>
      <c r="AR2899" s="63"/>
      <c r="AS2899" s="63"/>
      <c r="AT2899" s="63">
        <v>0</v>
      </c>
      <c r="AU2899" s="63"/>
      <c r="AW2899" s="5">
        <f>IF(Q2899&gt;0,RANK(Q2899,(N2899:P2899,Q2899:AE2899)),0)</f>
        <v>4</v>
      </c>
      <c r="AX2899" s="5">
        <f>IF(R2899&gt;0,RANK(R2899,(N2899:P2899,Q2899:AE2899)),0)</f>
        <v>6</v>
      </c>
      <c r="AY2899" s="5">
        <f>IF(T2899&gt;0,RANK(T2899,(N2899:P2899,Q2899:AE2899)),0)</f>
        <v>8</v>
      </c>
      <c r="AZ2899" s="5">
        <f>IF(S2899&gt;0,RANK(S2899,(N2899:P2899,Q2899:AE2899)),0)</f>
        <v>7</v>
      </c>
      <c r="BA2899" s="2">
        <f t="shared" si="1129"/>
        <v>2.9815684857246116E-2</v>
      </c>
      <c r="BB2899" s="2">
        <f t="shared" si="1130"/>
        <v>8.492952656306469E-3</v>
      </c>
      <c r="BC2899" s="2">
        <f t="shared" si="1131"/>
        <v>1.4456089627755693E-3</v>
      </c>
      <c r="BD2899" s="2">
        <f t="shared" si="1132"/>
        <v>8.1315504156125769E-3</v>
      </c>
      <c r="BF2899" t="s">
        <v>2518</v>
      </c>
      <c r="BG2899" t="s">
        <v>957</v>
      </c>
      <c r="BH2899">
        <v>3</v>
      </c>
      <c r="BJ2899" s="114">
        <v>49</v>
      </c>
      <c r="BK2899" s="116">
        <v>37</v>
      </c>
      <c r="BL2899" s="120">
        <f t="shared" si="1121"/>
        <v>49037</v>
      </c>
      <c r="BN2899" s="5" t="s">
        <v>3154</v>
      </c>
      <c r="BY2899" s="63">
        <f>8+47+5+165+2645+45+2042+4+486+87</f>
        <v>5534</v>
      </c>
      <c r="BZ2899" s="63">
        <f t="shared" si="1133"/>
        <v>5534</v>
      </c>
      <c r="CA2899" s="63">
        <v>87</v>
      </c>
      <c r="CD2899" s="63">
        <v>0</v>
      </c>
      <c r="CE2899" s="63">
        <v>0</v>
      </c>
      <c r="CF2899" s="63">
        <v>0</v>
      </c>
      <c r="CG2899" s="8">
        <v>0</v>
      </c>
      <c r="CH2899" s="8">
        <v>0</v>
      </c>
      <c r="CI2899" s="8">
        <v>0</v>
      </c>
    </row>
    <row r="2900" spans="1:87" hidden="1" outlineLevel="1">
      <c r="A2900" t="s">
        <v>470</v>
      </c>
      <c r="B2900" t="s">
        <v>957</v>
      </c>
      <c r="C2900" s="1">
        <f t="shared" si="1124"/>
        <v>10247</v>
      </c>
      <c r="D2900" s="5">
        <f>IF(N2900&gt;0, RANK(N2900,(N2900:P2900,Q2900:AE2900)),0)</f>
        <v>3</v>
      </c>
      <c r="E2900" s="5">
        <f>IF(O2900&gt;0,RANK(O2900,(N2900:P2900,Q2900:AE2900)),0)</f>
        <v>1</v>
      </c>
      <c r="F2900" s="5">
        <f>IF(P2900&gt;0,RANK(P2900,(N2900:P2900,Q2900:AE2900)),0)</f>
        <v>2</v>
      </c>
      <c r="G2900" s="132">
        <f t="shared" si="1134"/>
        <v>4635</v>
      </c>
      <c r="H2900" s="137">
        <f t="shared" si="1135"/>
        <v>0.45232751049087538</v>
      </c>
      <c r="I2900" s="2"/>
      <c r="J2900" s="2">
        <f t="shared" si="1125"/>
        <v>0.10354250024397385</v>
      </c>
      <c r="K2900" s="2">
        <f t="shared" si="1126"/>
        <v>0.65121498975309844</v>
      </c>
      <c r="L2900" s="2">
        <f t="shared" si="1127"/>
        <v>0.19888747926222308</v>
      </c>
      <c r="M2900" s="2">
        <f t="shared" si="1128"/>
        <v>4.6355030740704656E-2</v>
      </c>
      <c r="N2900" s="63">
        <v>1061</v>
      </c>
      <c r="O2900" s="63">
        <v>6673</v>
      </c>
      <c r="P2900" s="63">
        <v>2038</v>
      </c>
      <c r="Q2900" s="63">
        <v>186</v>
      </c>
      <c r="R2900" s="63">
        <v>30</v>
      </c>
      <c r="S2900" s="63">
        <v>139</v>
      </c>
      <c r="T2900" s="63">
        <v>7</v>
      </c>
      <c r="U2900" s="63">
        <v>0</v>
      </c>
      <c r="V2900" s="63">
        <v>0</v>
      </c>
      <c r="W2900" s="63">
        <f>IF(Copyright!B$11=1,IF(CA2900&gt;0,CA2900-SUM(U2900:V2900)-Y2900-SUM(AB2900:AQ2900),SUM(CB2900:CJ2900)),SUM(CC2900:CJ2900))</f>
        <v>85</v>
      </c>
      <c r="X2900" s="63">
        <v>0</v>
      </c>
      <c r="Y2900" s="63">
        <v>0</v>
      </c>
      <c r="Z2900" s="63"/>
      <c r="AA2900" s="63">
        <v>2</v>
      </c>
      <c r="AB2900" s="63"/>
      <c r="AC2900" s="63"/>
      <c r="AD2900" s="63"/>
      <c r="AE2900" s="63">
        <v>0</v>
      </c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>
        <v>0</v>
      </c>
      <c r="AR2900" s="63"/>
      <c r="AS2900" s="63"/>
      <c r="AT2900" s="63">
        <v>26</v>
      </c>
      <c r="AU2900" s="63"/>
      <c r="AW2900" s="5">
        <f>IF(Q2900&gt;0,RANK(Q2900,(N2900:P2900,Q2900:AE2900)),0)</f>
        <v>4</v>
      </c>
      <c r="AX2900" s="5">
        <f>IF(R2900&gt;0,RANK(R2900,(N2900:P2900,Q2900:AE2900)),0)</f>
        <v>7</v>
      </c>
      <c r="AY2900" s="5">
        <f>IF(T2900&gt;0,RANK(T2900,(N2900:P2900,Q2900:AE2900)),0)</f>
        <v>8</v>
      </c>
      <c r="AZ2900" s="5">
        <f>IF(S2900&gt;0,RANK(S2900,(N2900:P2900,Q2900:AE2900)),0)</f>
        <v>5</v>
      </c>
      <c r="BA2900" s="2">
        <f t="shared" si="1129"/>
        <v>1.8151654142675906E-2</v>
      </c>
      <c r="BB2900" s="2">
        <f t="shared" si="1130"/>
        <v>2.9276861520445008E-3</v>
      </c>
      <c r="BC2900" s="2">
        <f t="shared" si="1131"/>
        <v>6.8312676881038357E-4</v>
      </c>
      <c r="BD2900" s="2">
        <f t="shared" si="1132"/>
        <v>1.3564945837806187E-2</v>
      </c>
      <c r="BF2900" t="s">
        <v>470</v>
      </c>
      <c r="BG2900" t="s">
        <v>957</v>
      </c>
      <c r="BJ2900" s="114">
        <v>49</v>
      </c>
      <c r="BK2900" s="116">
        <v>39</v>
      </c>
      <c r="BL2900" s="120">
        <f t="shared" si="1121"/>
        <v>49039</v>
      </c>
      <c r="BN2900" s="5" t="s">
        <v>3154</v>
      </c>
      <c r="BY2900" s="132" t="s">
        <v>3223</v>
      </c>
      <c r="BZ2900" s="63">
        <f t="shared" si="1133"/>
        <v>10247</v>
      </c>
      <c r="CA2900" s="63">
        <v>85</v>
      </c>
      <c r="CD2900" s="63">
        <v>1</v>
      </c>
      <c r="CE2900" s="63">
        <v>0</v>
      </c>
      <c r="CF2900" s="63">
        <v>0</v>
      </c>
      <c r="CG2900" s="8">
        <v>1</v>
      </c>
      <c r="CH2900" s="8">
        <v>0</v>
      </c>
      <c r="CI2900" s="8">
        <v>0</v>
      </c>
    </row>
    <row r="2901" spans="1:87" hidden="1" outlineLevel="1">
      <c r="A2901" t="s">
        <v>808</v>
      </c>
      <c r="B2901" t="s">
        <v>957</v>
      </c>
      <c r="C2901" s="1">
        <f t="shared" si="1124"/>
        <v>8654</v>
      </c>
      <c r="D2901" s="5">
        <f>IF(N2901&gt;0, RANK(N2901,(N2901:P2901,Q2901:AE2901)),0)</f>
        <v>3</v>
      </c>
      <c r="E2901" s="5">
        <f>IF(O2901&gt;0,RANK(O2901,(N2901:P2901,Q2901:AE2901)),0)</f>
        <v>1</v>
      </c>
      <c r="F2901" s="5">
        <f>IF(P2901&gt;0,RANK(P2901,(N2901:P2901,Q2901:AE2901)),0)</f>
        <v>2</v>
      </c>
      <c r="G2901" s="132">
        <f t="shared" si="1134"/>
        <v>5824</v>
      </c>
      <c r="H2901" s="137">
        <f t="shared" si="1135"/>
        <v>0.67298359140281949</v>
      </c>
      <c r="I2901" s="2"/>
      <c r="J2901" s="2">
        <f t="shared" si="1125"/>
        <v>8.0309683383406522E-2</v>
      </c>
      <c r="K2901" s="2">
        <f t="shared" si="1126"/>
        <v>0.77883059856713655</v>
      </c>
      <c r="L2901" s="2">
        <f t="shared" si="1127"/>
        <v>0.10584700716431708</v>
      </c>
      <c r="M2901" s="2">
        <f t="shared" si="1128"/>
        <v>3.5012710885139881E-2</v>
      </c>
      <c r="N2901" s="63">
        <v>695</v>
      </c>
      <c r="O2901" s="63">
        <v>6740</v>
      </c>
      <c r="P2901" s="63">
        <v>916</v>
      </c>
      <c r="Q2901" s="63">
        <v>175</v>
      </c>
      <c r="R2901" s="63">
        <v>29</v>
      </c>
      <c r="S2901" s="63">
        <v>67</v>
      </c>
      <c r="T2901" s="63">
        <v>1</v>
      </c>
      <c r="U2901" s="63">
        <v>0</v>
      </c>
      <c r="V2901" s="63">
        <v>0</v>
      </c>
      <c r="W2901" s="63">
        <f>IF(Copyright!B$11=1,IF(CA2901&gt;0,CA2901-SUM(U2901:V2901)-Y2901-SUM(AB2901:AQ2901),SUM(CB2901:CJ2901)),SUM(CC2901:CJ2901))</f>
        <v>0</v>
      </c>
      <c r="X2901" s="63">
        <v>3</v>
      </c>
      <c r="Y2901" s="63">
        <v>0</v>
      </c>
      <c r="Z2901" s="63"/>
      <c r="AA2901" s="63">
        <v>6</v>
      </c>
      <c r="AB2901" s="63"/>
      <c r="AC2901" s="63"/>
      <c r="AD2901" s="63"/>
      <c r="AE2901" s="63">
        <v>0</v>
      </c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>
        <v>0</v>
      </c>
      <c r="AR2901" s="63"/>
      <c r="AS2901" s="63"/>
      <c r="AT2901" s="63">
        <v>22</v>
      </c>
      <c r="AU2901" s="63"/>
      <c r="AW2901" s="5">
        <f>IF(Q2901&gt;0,RANK(Q2901,(N2901:P2901,Q2901:AE2901)),0)</f>
        <v>4</v>
      </c>
      <c r="AX2901" s="5">
        <f>IF(R2901&gt;0,RANK(R2901,(N2901:P2901,Q2901:AE2901)),0)</f>
        <v>6</v>
      </c>
      <c r="AY2901" s="5">
        <f>IF(T2901&gt;0,RANK(T2901,(N2901:P2901,Q2901:AE2901)),0)</f>
        <v>9</v>
      </c>
      <c r="AZ2901" s="5">
        <f>IF(S2901&gt;0,RANK(S2901,(N2901:P2901,Q2901:AE2901)),0)</f>
        <v>5</v>
      </c>
      <c r="BA2901" s="2">
        <f t="shared" si="1129"/>
        <v>2.022186272244049E-2</v>
      </c>
      <c r="BB2901" s="2">
        <f t="shared" si="1130"/>
        <v>3.3510515368615668E-3</v>
      </c>
      <c r="BC2901" s="2">
        <f t="shared" si="1131"/>
        <v>1.1555350127108852E-4</v>
      </c>
      <c r="BD2901" s="2">
        <f t="shared" si="1132"/>
        <v>7.74208458516293E-3</v>
      </c>
      <c r="BF2901" t="s">
        <v>808</v>
      </c>
      <c r="BG2901" t="s">
        <v>957</v>
      </c>
      <c r="BH2901">
        <v>2</v>
      </c>
      <c r="BJ2901" s="114">
        <v>49</v>
      </c>
      <c r="BK2901" s="116">
        <v>41</v>
      </c>
      <c r="BL2901" s="120">
        <f t="shared" si="1121"/>
        <v>49041</v>
      </c>
      <c r="BN2901" s="5" t="s">
        <v>3154</v>
      </c>
      <c r="BZ2901" s="63">
        <f t="shared" si="1133"/>
        <v>8654</v>
      </c>
      <c r="CD2901" s="63">
        <v>0</v>
      </c>
      <c r="CE2901" s="63">
        <v>0</v>
      </c>
      <c r="CF2901" s="63">
        <v>0</v>
      </c>
      <c r="CG2901" s="8">
        <v>0</v>
      </c>
      <c r="CH2901" s="8">
        <v>0</v>
      </c>
      <c r="CI2901" s="8">
        <v>0</v>
      </c>
    </row>
    <row r="2902" spans="1:87" hidden="1" outlineLevel="1">
      <c r="A2902" t="s">
        <v>2927</v>
      </c>
      <c r="B2902" t="s">
        <v>957</v>
      </c>
      <c r="C2902" s="1">
        <f t="shared" si="1124"/>
        <v>20885</v>
      </c>
      <c r="D2902" s="5">
        <f>IF(N2902&gt;0, RANK(N2902,(N2902:P2902,Q2902:AE2902)),0)</f>
        <v>1</v>
      </c>
      <c r="E2902" s="5">
        <f>IF(O2902&gt;0,RANK(O2902,(N2902:P2902,Q2902:AE2902)),0)</f>
        <v>2</v>
      </c>
      <c r="F2902" s="5">
        <f>IF(P2902&gt;0,RANK(P2902,(N2902:P2902,Q2902:AE2902)),0)</f>
        <v>3</v>
      </c>
      <c r="G2902" s="132">
        <f t="shared" si="1134"/>
        <v>3170</v>
      </c>
      <c r="H2902" s="137">
        <f t="shared" si="1135"/>
        <v>0.15178357672971032</v>
      </c>
      <c r="I2902" s="2"/>
      <c r="J2902" s="2">
        <f t="shared" si="1125"/>
        <v>0.50289681589657653</v>
      </c>
      <c r="K2902" s="2">
        <f t="shared" si="1126"/>
        <v>0.35111323916686615</v>
      </c>
      <c r="L2902" s="2">
        <f t="shared" si="1127"/>
        <v>8.5515920517117552E-2</v>
      </c>
      <c r="M2902" s="2">
        <f t="shared" si="1128"/>
        <v>6.0474024419439762E-2</v>
      </c>
      <c r="N2902" s="63">
        <v>10503</v>
      </c>
      <c r="O2902" s="63">
        <v>7333</v>
      </c>
      <c r="P2902" s="63">
        <v>1786</v>
      </c>
      <c r="Q2902" s="63">
        <v>756</v>
      </c>
      <c r="R2902" s="63">
        <v>170</v>
      </c>
      <c r="S2902" s="63">
        <v>44</v>
      </c>
      <c r="T2902" s="63">
        <v>11</v>
      </c>
      <c r="U2902" s="63">
        <v>0</v>
      </c>
      <c r="V2902" s="63">
        <v>0</v>
      </c>
      <c r="W2902" s="63">
        <f>IF(Copyright!B$11=1,IF(CA2902&gt;0,CA2902-SUM(U2902:V2902)-Y2902-SUM(AB2902:AQ2902),SUM(CB2902:CJ2902)),SUM(CC2902:CJ2902))</f>
        <v>244</v>
      </c>
      <c r="X2902" s="63">
        <v>7</v>
      </c>
      <c r="Y2902" s="63">
        <v>0</v>
      </c>
      <c r="Z2902" s="63"/>
      <c r="AA2902" s="63">
        <v>4</v>
      </c>
      <c r="AB2902" s="63"/>
      <c r="AC2902" s="63"/>
      <c r="AD2902" s="63"/>
      <c r="AE2902" s="63">
        <v>0</v>
      </c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>
        <v>0</v>
      </c>
      <c r="AR2902" s="63"/>
      <c r="AS2902" s="63"/>
      <c r="AT2902" s="63">
        <v>27</v>
      </c>
      <c r="AU2902" s="63"/>
      <c r="AW2902" s="5">
        <f>IF(Q2902&gt;0,RANK(Q2902,(N2902:P2902,Q2902:AE2902)),0)</f>
        <v>4</v>
      </c>
      <c r="AX2902" s="5">
        <f>IF(R2902&gt;0,RANK(R2902,(N2902:P2902,Q2902:AE2902)),0)</f>
        <v>6</v>
      </c>
      <c r="AY2902" s="5">
        <f>IF(T2902&gt;0,RANK(T2902,(N2902:P2902,Q2902:AE2902)),0)</f>
        <v>8</v>
      </c>
      <c r="AZ2902" s="5">
        <f>IF(S2902&gt;0,RANK(S2902,(N2902:P2902,Q2902:AE2902)),0)</f>
        <v>7</v>
      </c>
      <c r="BA2902" s="2">
        <f t="shared" si="1129"/>
        <v>3.6198228393583914E-2</v>
      </c>
      <c r="BB2902" s="2">
        <f t="shared" si="1130"/>
        <v>8.1398132631074933E-3</v>
      </c>
      <c r="BC2902" s="2">
        <f t="shared" si="1131"/>
        <v>5.2669379937754371E-4</v>
      </c>
      <c r="BD2902" s="2">
        <f t="shared" si="1132"/>
        <v>2.1067751975101748E-3</v>
      </c>
      <c r="BF2902" t="s">
        <v>2927</v>
      </c>
      <c r="BG2902" t="s">
        <v>957</v>
      </c>
      <c r="BH2902">
        <v>1</v>
      </c>
      <c r="BJ2902" s="114">
        <v>49</v>
      </c>
      <c r="BK2902" s="116">
        <v>43</v>
      </c>
      <c r="BL2902" s="120">
        <f t="shared" si="1121"/>
        <v>49043</v>
      </c>
      <c r="BN2902" s="5" t="s">
        <v>3154</v>
      </c>
      <c r="BY2902" s="132" t="s">
        <v>3223</v>
      </c>
      <c r="BZ2902" s="63">
        <f t="shared" si="1133"/>
        <v>20885</v>
      </c>
      <c r="CA2902" s="63">
        <v>244</v>
      </c>
      <c r="CD2902" s="63">
        <v>0</v>
      </c>
      <c r="CE2902" s="63">
        <v>0</v>
      </c>
      <c r="CF2902" s="63">
        <v>0</v>
      </c>
      <c r="CG2902" s="8">
        <v>0</v>
      </c>
      <c r="CH2902" s="8">
        <v>0</v>
      </c>
      <c r="CI2902" s="8">
        <v>0</v>
      </c>
    </row>
    <row r="2903" spans="1:87" hidden="1" outlineLevel="1">
      <c r="A2903" t="s">
        <v>1556</v>
      </c>
      <c r="B2903" t="s">
        <v>957</v>
      </c>
      <c r="C2903" s="1">
        <f t="shared" si="1124"/>
        <v>21962</v>
      </c>
      <c r="D2903" s="5">
        <f>IF(N2903&gt;0, RANK(N2903,(N2903:P2903,Q2903:AE2903)),0)</f>
        <v>3</v>
      </c>
      <c r="E2903" s="5">
        <f>IF(O2903&gt;0,RANK(O2903,(N2903:P2903,Q2903:AE2903)),0)</f>
        <v>1</v>
      </c>
      <c r="F2903" s="5">
        <f>IF(P2903&gt;0,RANK(P2903,(N2903:P2903,Q2903:AE2903)),0)</f>
        <v>2</v>
      </c>
      <c r="G2903" s="132">
        <f t="shared" si="1134"/>
        <v>6400</v>
      </c>
      <c r="H2903" s="137">
        <f t="shared" si="1135"/>
        <v>0.29141243966851837</v>
      </c>
      <c r="I2903" s="2"/>
      <c r="J2903" s="2">
        <f t="shared" si="1125"/>
        <v>0.208223294781896</v>
      </c>
      <c r="K2903" s="2">
        <f t="shared" si="1126"/>
        <v>0.50856024041526271</v>
      </c>
      <c r="L2903" s="2">
        <f t="shared" si="1127"/>
        <v>0.21714780074674439</v>
      </c>
      <c r="M2903" s="2">
        <f t="shared" si="1128"/>
        <v>6.6068664056096849E-2</v>
      </c>
      <c r="N2903" s="63">
        <v>4573</v>
      </c>
      <c r="O2903" s="63">
        <v>11169</v>
      </c>
      <c r="P2903" s="63">
        <v>4769</v>
      </c>
      <c r="Q2903" s="63">
        <v>783</v>
      </c>
      <c r="R2903" s="63">
        <v>182</v>
      </c>
      <c r="S2903" s="63">
        <v>191</v>
      </c>
      <c r="T2903" s="63">
        <v>17</v>
      </c>
      <c r="U2903" s="63">
        <v>0</v>
      </c>
      <c r="V2903" s="63">
        <v>0</v>
      </c>
      <c r="W2903" s="63">
        <f>IF(Copyright!B$11=1,IF(CA2903&gt;0,CA2903-SUM(U2903:V2903)-Y2903-SUM(AB2903:AQ2903),SUM(CB2903:CJ2903)),SUM(CC2903:CJ2903))</f>
        <v>133</v>
      </c>
      <c r="X2903" s="63">
        <v>11</v>
      </c>
      <c r="Y2903" s="63">
        <v>0</v>
      </c>
      <c r="Z2903" s="63"/>
      <c r="AA2903" s="63">
        <v>11</v>
      </c>
      <c r="AB2903" s="63"/>
      <c r="AC2903" s="63"/>
      <c r="AD2903" s="63"/>
      <c r="AE2903" s="63">
        <v>0</v>
      </c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>
        <v>0</v>
      </c>
      <c r="AR2903" s="63"/>
      <c r="AS2903" s="63"/>
      <c r="AT2903" s="63">
        <v>123</v>
      </c>
      <c r="AU2903" s="63"/>
      <c r="AW2903" s="5">
        <f>IF(Q2903&gt;0,RANK(Q2903,(N2903:P2903,Q2903:AE2903)),0)</f>
        <v>4</v>
      </c>
      <c r="AX2903" s="5">
        <f>IF(R2903&gt;0,RANK(R2903,(N2903:P2903,Q2903:AE2903)),0)</f>
        <v>6</v>
      </c>
      <c r="AY2903" s="5">
        <f>IF(T2903&gt;0,RANK(T2903,(N2903:P2903,Q2903:AE2903)),0)</f>
        <v>8</v>
      </c>
      <c r="AZ2903" s="5">
        <f>IF(S2903&gt;0,RANK(S2903,(N2903:P2903,Q2903:AE2903)),0)</f>
        <v>5</v>
      </c>
      <c r="BA2903" s="2">
        <f t="shared" si="1129"/>
        <v>3.5652490665695293E-2</v>
      </c>
      <c r="BB2903" s="2">
        <f t="shared" si="1130"/>
        <v>8.2870412530734912E-3</v>
      </c>
      <c r="BC2903" s="2">
        <f t="shared" si="1131"/>
        <v>7.7406429286950185E-4</v>
      </c>
      <c r="BD2903" s="2">
        <f t="shared" si="1132"/>
        <v>8.6968399963573452E-3</v>
      </c>
      <c r="BF2903" t="s">
        <v>1556</v>
      </c>
      <c r="BG2903" t="s">
        <v>957</v>
      </c>
      <c r="BH2903">
        <v>2</v>
      </c>
      <c r="BJ2903" s="114">
        <v>49</v>
      </c>
      <c r="BK2903" s="116">
        <v>45</v>
      </c>
      <c r="BL2903" s="120">
        <f t="shared" si="1121"/>
        <v>49045</v>
      </c>
      <c r="BN2903" s="5" t="s">
        <v>3154</v>
      </c>
      <c r="BZ2903" s="63">
        <f t="shared" si="1133"/>
        <v>21962</v>
      </c>
      <c r="CA2903" s="133">
        <v>133</v>
      </c>
      <c r="CD2903" s="63">
        <v>0</v>
      </c>
      <c r="CE2903" s="63">
        <v>0</v>
      </c>
      <c r="CF2903" s="63">
        <v>0</v>
      </c>
      <c r="CG2903" s="8">
        <v>0</v>
      </c>
      <c r="CH2903" s="8">
        <v>0</v>
      </c>
      <c r="CI2903" s="8">
        <v>0</v>
      </c>
    </row>
    <row r="2904" spans="1:87" hidden="1" outlineLevel="1">
      <c r="A2904" t="s">
        <v>1692</v>
      </c>
      <c r="B2904" t="s">
        <v>957</v>
      </c>
      <c r="C2904" s="1">
        <f t="shared" si="1124"/>
        <v>12864</v>
      </c>
      <c r="D2904" s="5">
        <f>IF(N2904&gt;0, RANK(N2904,(N2904:P2904,Q2904:AE2904)),0)</f>
        <v>3</v>
      </c>
      <c r="E2904" s="5">
        <f>IF(O2904&gt;0,RANK(O2904,(N2904:P2904,Q2904:AE2904)),0)</f>
        <v>1</v>
      </c>
      <c r="F2904" s="5">
        <f>IF(P2904&gt;0,RANK(P2904,(N2904:P2904,Q2904:AE2904)),0)</f>
        <v>2</v>
      </c>
      <c r="G2904" s="132">
        <f t="shared" si="1134"/>
        <v>8314</v>
      </c>
      <c r="H2904" s="137">
        <f t="shared" si="1135"/>
        <v>0.64629975124378114</v>
      </c>
      <c r="I2904" s="2"/>
      <c r="J2904" s="2">
        <f t="shared" si="1125"/>
        <v>7.7347636815920398E-2</v>
      </c>
      <c r="K2904" s="2">
        <f t="shared" si="1126"/>
        <v>0.76259328358208955</v>
      </c>
      <c r="L2904" s="2">
        <f t="shared" si="1127"/>
        <v>0.11629353233830846</v>
      </c>
      <c r="M2904" s="2">
        <f t="shared" si="1128"/>
        <v>4.3765547263681606E-2</v>
      </c>
      <c r="N2904" s="63">
        <v>995</v>
      </c>
      <c r="O2904" s="63">
        <v>9810</v>
      </c>
      <c r="P2904" s="63">
        <v>1496</v>
      </c>
      <c r="Q2904" s="63">
        <v>275</v>
      </c>
      <c r="R2904" s="63">
        <v>43</v>
      </c>
      <c r="S2904" s="63">
        <v>129</v>
      </c>
      <c r="T2904" s="63">
        <v>10</v>
      </c>
      <c r="U2904" s="63">
        <v>0</v>
      </c>
      <c r="V2904" s="63">
        <v>0</v>
      </c>
      <c r="W2904" s="63">
        <f>IF(Copyright!B$11=1,IF(CA2904&gt;0,CA2904-SUM(U2904:V2904)-Y2904-SUM(AB2904:AQ2904),SUM(CB2904:CJ2904)),SUM(CC2904:CJ2904))</f>
        <v>67</v>
      </c>
      <c r="X2904" s="63">
        <v>6</v>
      </c>
      <c r="Y2904" s="63">
        <v>0</v>
      </c>
      <c r="Z2904" s="63"/>
      <c r="AA2904" s="63">
        <v>5</v>
      </c>
      <c r="AB2904" s="63"/>
      <c r="AC2904" s="63"/>
      <c r="AD2904" s="63"/>
      <c r="AE2904" s="63">
        <v>0</v>
      </c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>
        <v>0</v>
      </c>
      <c r="AR2904" s="63"/>
      <c r="AS2904" s="63"/>
      <c r="AT2904" s="63">
        <v>28</v>
      </c>
      <c r="AU2904" s="63"/>
      <c r="AW2904" s="5">
        <f>IF(Q2904&gt;0,RANK(Q2904,(N2904:P2904,Q2904:AE2904)),0)</f>
        <v>4</v>
      </c>
      <c r="AX2904" s="5">
        <f>IF(R2904&gt;0,RANK(R2904,(N2904:P2904,Q2904:AE2904)),0)</f>
        <v>7</v>
      </c>
      <c r="AY2904" s="5">
        <f>IF(T2904&gt;0,RANK(T2904,(N2904:P2904,Q2904:AE2904)),0)</f>
        <v>8</v>
      </c>
      <c r="AZ2904" s="5">
        <f>IF(S2904&gt;0,RANK(S2904,(N2904:P2904,Q2904:AE2904)),0)</f>
        <v>5</v>
      </c>
      <c r="BA2904" s="2">
        <f t="shared" si="1129"/>
        <v>2.1377487562189056E-2</v>
      </c>
      <c r="BB2904" s="2">
        <f t="shared" si="1130"/>
        <v>3.3426616915422885E-3</v>
      </c>
      <c r="BC2904" s="2">
        <f t="shared" si="1131"/>
        <v>7.7736318407960203E-4</v>
      </c>
      <c r="BD2904" s="2">
        <f t="shared" si="1132"/>
        <v>1.0027985074626865E-2</v>
      </c>
      <c r="BF2904" t="s">
        <v>1692</v>
      </c>
      <c r="BG2904" t="s">
        <v>957</v>
      </c>
      <c r="BH2904">
        <v>1</v>
      </c>
      <c r="BJ2904" s="114">
        <v>49</v>
      </c>
      <c r="BK2904" s="116">
        <v>47</v>
      </c>
      <c r="BL2904" s="120">
        <f t="shared" si="1121"/>
        <v>49047</v>
      </c>
      <c r="BN2904" s="5" t="s">
        <v>3154</v>
      </c>
      <c r="BY2904" s="132" t="s">
        <v>3223</v>
      </c>
      <c r="BZ2904" s="63">
        <f t="shared" si="1133"/>
        <v>12864</v>
      </c>
      <c r="CA2904" s="63">
        <v>67</v>
      </c>
      <c r="CD2904" s="63">
        <v>0</v>
      </c>
      <c r="CE2904" s="63">
        <v>0</v>
      </c>
      <c r="CF2904" s="63">
        <v>0</v>
      </c>
      <c r="CG2904" s="8">
        <v>0</v>
      </c>
      <c r="CH2904" s="8">
        <v>0</v>
      </c>
      <c r="CI2904" s="8">
        <v>0</v>
      </c>
    </row>
    <row r="2905" spans="1:87" hidden="1" outlineLevel="1">
      <c r="A2905" t="s">
        <v>277</v>
      </c>
      <c r="B2905" t="s">
        <v>957</v>
      </c>
      <c r="C2905" s="1">
        <f t="shared" si="1124"/>
        <v>203642</v>
      </c>
      <c r="D2905" s="5">
        <f>IF(N2905&gt;0, RANK(N2905,(N2905:P2905,Q2905:AE2905)),0)</f>
        <v>3</v>
      </c>
      <c r="E2905" s="5">
        <f>IF(O2905&gt;0,RANK(O2905,(N2905:P2905,Q2905:AE2905)),0)</f>
        <v>1</v>
      </c>
      <c r="F2905" s="5">
        <f>IF(P2905&gt;0,RANK(P2905,(N2905:P2905,Q2905:AE2905)),0)</f>
        <v>2</v>
      </c>
      <c r="G2905" s="132">
        <f t="shared" si="1134"/>
        <v>41650</v>
      </c>
      <c r="H2905" s="137">
        <f t="shared" si="1135"/>
        <v>0.20452558902387524</v>
      </c>
      <c r="I2905" s="2"/>
      <c r="J2905" s="2">
        <f t="shared" si="1125"/>
        <v>0.14005951620981918</v>
      </c>
      <c r="K2905" s="2">
        <f t="shared" si="1126"/>
        <v>0.50177271879081919</v>
      </c>
      <c r="L2905" s="2">
        <f t="shared" si="1127"/>
        <v>0.29724712976694395</v>
      </c>
      <c r="M2905" s="2">
        <f t="shared" si="1128"/>
        <v>6.0920635232417697E-2</v>
      </c>
      <c r="N2905" s="63">
        <v>28522</v>
      </c>
      <c r="O2905" s="63">
        <v>102182</v>
      </c>
      <c r="P2905" s="63">
        <v>60532</v>
      </c>
      <c r="Q2905" s="63">
        <v>6437</v>
      </c>
      <c r="R2905" s="63">
        <v>1030</v>
      </c>
      <c r="S2905" s="63">
        <v>1994</v>
      </c>
      <c r="T2905" s="63">
        <v>162</v>
      </c>
      <c r="U2905" s="63">
        <v>0</v>
      </c>
      <c r="V2905" s="63">
        <v>0</v>
      </c>
      <c r="W2905" s="63">
        <f>IF(Copyright!B$11=1,IF(CA2905&gt;0,CA2905-SUM(U2905:V2905)-Y2905-SUM(AB2905:AQ2905),SUM(CB2905:CJ2905)),SUM(CC2905:CJ2905))</f>
        <v>2095</v>
      </c>
      <c r="X2905" s="63">
        <v>61</v>
      </c>
      <c r="Y2905" s="63">
        <v>3</v>
      </c>
      <c r="Z2905" s="63"/>
      <c r="AA2905" s="63">
        <v>84</v>
      </c>
      <c r="AB2905" s="63"/>
      <c r="AC2905" s="63"/>
      <c r="AD2905" s="63"/>
      <c r="AE2905" s="63">
        <v>1</v>
      </c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>
        <v>1</v>
      </c>
      <c r="AR2905" s="63"/>
      <c r="AS2905" s="63"/>
      <c r="AT2905" s="63">
        <v>538</v>
      </c>
      <c r="AU2905" s="63"/>
      <c r="AW2905" s="5">
        <f>IF(Q2905&gt;0,RANK(Q2905,(N2905:P2905,Q2905:AE2905)),0)</f>
        <v>4</v>
      </c>
      <c r="AX2905" s="5">
        <f>IF(R2905&gt;0,RANK(R2905,(N2905:P2905,Q2905:AE2905)),0)</f>
        <v>7</v>
      </c>
      <c r="AY2905" s="5">
        <f>IF(T2905&gt;0,RANK(T2905,(N2905:P2905,Q2905:AE2905)),0)</f>
        <v>8</v>
      </c>
      <c r="AZ2905" s="5">
        <f>IF(S2905&gt;0,RANK(S2905,(N2905:P2905,Q2905:AE2905)),0)</f>
        <v>6</v>
      </c>
      <c r="BA2905" s="2">
        <f t="shared" si="1129"/>
        <v>3.1609392954302158E-2</v>
      </c>
      <c r="BB2905" s="2">
        <f t="shared" si="1130"/>
        <v>5.0578957189577785E-3</v>
      </c>
      <c r="BC2905" s="2">
        <f t="shared" si="1131"/>
        <v>7.9551369560306817E-4</v>
      </c>
      <c r="BD2905" s="2">
        <f t="shared" si="1132"/>
        <v>9.7916932656328254E-3</v>
      </c>
      <c r="BF2905" t="s">
        <v>277</v>
      </c>
      <c r="BG2905" t="s">
        <v>957</v>
      </c>
      <c r="BJ2905" s="114">
        <v>49</v>
      </c>
      <c r="BK2905" s="116">
        <v>49</v>
      </c>
      <c r="BL2905" s="120">
        <f t="shared" si="1121"/>
        <v>49049</v>
      </c>
      <c r="BN2905" s="5" t="s">
        <v>3154</v>
      </c>
      <c r="BY2905" s="132" t="s">
        <v>3223</v>
      </c>
      <c r="BZ2905" s="63">
        <f t="shared" si="1133"/>
        <v>203642</v>
      </c>
      <c r="CA2905" s="63">
        <v>2100</v>
      </c>
      <c r="CD2905" s="63">
        <v>1</v>
      </c>
      <c r="CE2905" s="63">
        <v>1</v>
      </c>
      <c r="CF2905" s="63">
        <v>0</v>
      </c>
      <c r="CG2905" s="8">
        <v>0</v>
      </c>
      <c r="CH2905" s="8">
        <v>1</v>
      </c>
      <c r="CI2905" s="8">
        <v>1</v>
      </c>
    </row>
    <row r="2906" spans="1:87" hidden="1" outlineLevel="1">
      <c r="A2906" t="s">
        <v>1754</v>
      </c>
      <c r="B2906" t="s">
        <v>957</v>
      </c>
      <c r="C2906" s="1">
        <f t="shared" si="1124"/>
        <v>12266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3</v>
      </c>
      <c r="G2906" s="132">
        <f t="shared" si="1134"/>
        <v>3052</v>
      </c>
      <c r="H2906" s="137">
        <f t="shared" si="1135"/>
        <v>0.24881787053644219</v>
      </c>
      <c r="I2906" s="2"/>
      <c r="J2906" s="2">
        <f t="shared" si="1125"/>
        <v>0.24971465840534812</v>
      </c>
      <c r="K2906" s="2">
        <f t="shared" si="1126"/>
        <v>0.49853252894179029</v>
      </c>
      <c r="L2906" s="2">
        <f t="shared" si="1127"/>
        <v>0.18873308331974564</v>
      </c>
      <c r="M2906" s="2">
        <f t="shared" si="1128"/>
        <v>6.3019729333115948E-2</v>
      </c>
      <c r="N2906" s="63">
        <v>3063</v>
      </c>
      <c r="O2906" s="63">
        <v>6115</v>
      </c>
      <c r="P2906" s="63">
        <v>2315</v>
      </c>
      <c r="Q2906" s="63">
        <v>409</v>
      </c>
      <c r="R2906" s="63">
        <v>70</v>
      </c>
      <c r="S2906" s="63">
        <v>103</v>
      </c>
      <c r="T2906" s="63">
        <v>6</v>
      </c>
      <c r="U2906" s="63">
        <v>0</v>
      </c>
      <c r="V2906" s="63">
        <v>0</v>
      </c>
      <c r="W2906" s="63">
        <f>IF(Copyright!B$11=1,IF(CA2906&gt;0,CA2906-SUM(U2906:V2906)-Y2906-SUM(AB2906:AQ2906),SUM(CB2906:CJ2906)),SUM(CC2906:CJ2906))</f>
        <v>146</v>
      </c>
      <c r="X2906" s="63">
        <v>11</v>
      </c>
      <c r="Y2906" s="63">
        <v>0</v>
      </c>
      <c r="Z2906" s="63"/>
      <c r="AA2906" s="63">
        <v>3</v>
      </c>
      <c r="AB2906" s="63"/>
      <c r="AC2906" s="63"/>
      <c r="AD2906" s="63"/>
      <c r="AE2906" s="63">
        <v>0</v>
      </c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>
        <v>0</v>
      </c>
      <c r="AR2906" s="63"/>
      <c r="AS2906" s="63"/>
      <c r="AT2906" s="63">
        <v>25</v>
      </c>
      <c r="AU2906" s="63"/>
      <c r="AW2906" s="5">
        <f>IF(Q2906&gt;0,RANK(Q2906,(N2906:P2906,Q2906:AE2906)),0)</f>
        <v>4</v>
      </c>
      <c r="AX2906" s="5">
        <f>IF(R2906&gt;0,RANK(R2906,(N2906:P2906,Q2906:AE2906)),0)</f>
        <v>7</v>
      </c>
      <c r="AY2906" s="5">
        <f>IF(T2906&gt;0,RANK(T2906,(N2906:P2906,Q2906:AE2906)),0)</f>
        <v>9</v>
      </c>
      <c r="AZ2906" s="5">
        <f>IF(S2906&gt;0,RANK(S2906,(N2906:P2906,Q2906:AE2906)),0)</f>
        <v>6</v>
      </c>
      <c r="BA2906" s="2">
        <f t="shared" si="1129"/>
        <v>3.3344203489320073E-2</v>
      </c>
      <c r="BB2906" s="2">
        <f t="shared" si="1130"/>
        <v>5.7068318930376654E-3</v>
      </c>
      <c r="BC2906" s="2">
        <f t="shared" si="1131"/>
        <v>4.8915701940322842E-4</v>
      </c>
      <c r="BD2906" s="2">
        <f t="shared" si="1132"/>
        <v>8.3971954997554207E-3</v>
      </c>
      <c r="BF2906" t="s">
        <v>1754</v>
      </c>
      <c r="BG2906" t="s">
        <v>957</v>
      </c>
      <c r="BH2906">
        <v>3</v>
      </c>
      <c r="BJ2906" s="114">
        <v>49</v>
      </c>
      <c r="BK2906" s="116">
        <v>51</v>
      </c>
      <c r="BL2906" s="120">
        <f t="shared" si="1121"/>
        <v>49051</v>
      </c>
      <c r="BN2906" s="5" t="s">
        <v>3154</v>
      </c>
      <c r="BY2906" s="132" t="s">
        <v>3223</v>
      </c>
      <c r="BZ2906" s="63">
        <f t="shared" si="1133"/>
        <v>12266</v>
      </c>
      <c r="CA2906" s="63">
        <v>146</v>
      </c>
      <c r="CD2906" s="63">
        <v>0</v>
      </c>
      <c r="CE2906" s="63">
        <v>0</v>
      </c>
      <c r="CF2906" s="63">
        <v>0</v>
      </c>
      <c r="CG2906" s="8">
        <v>0</v>
      </c>
      <c r="CH2906" s="8">
        <v>0</v>
      </c>
      <c r="CI2906" s="8">
        <v>0</v>
      </c>
    </row>
    <row r="2907" spans="1:87" hidden="1" outlineLevel="1">
      <c r="A2907" t="s">
        <v>692</v>
      </c>
      <c r="B2907" t="s">
        <v>957</v>
      </c>
      <c r="C2907" s="1">
        <f t="shared" si="1124"/>
        <v>62371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3</v>
      </c>
      <c r="G2907" s="132">
        <f t="shared" si="1134"/>
        <v>32362</v>
      </c>
      <c r="H2907" s="137">
        <f t="shared" si="1135"/>
        <v>0.51886293309390585</v>
      </c>
      <c r="I2907" s="2"/>
      <c r="J2907" s="2">
        <f t="shared" si="1125"/>
        <v>0.16494845360824742</v>
      </c>
      <c r="K2907" s="2">
        <f t="shared" si="1126"/>
        <v>0.68381138670215325</v>
      </c>
      <c r="L2907" s="2">
        <f t="shared" si="1127"/>
        <v>0.10525725096599381</v>
      </c>
      <c r="M2907" s="2">
        <f t="shared" si="1128"/>
        <v>4.5982908723605553E-2</v>
      </c>
      <c r="N2907" s="63">
        <v>10288</v>
      </c>
      <c r="O2907" s="63">
        <v>42650</v>
      </c>
      <c r="P2907" s="63">
        <v>6565</v>
      </c>
      <c r="Q2907" s="63">
        <v>1473</v>
      </c>
      <c r="R2907" s="63">
        <v>290</v>
      </c>
      <c r="S2907" s="63">
        <v>459</v>
      </c>
      <c r="T2907" s="63">
        <v>45</v>
      </c>
      <c r="U2907" s="63">
        <v>0</v>
      </c>
      <c r="V2907" s="63">
        <v>0</v>
      </c>
      <c r="W2907" s="63">
        <f>IF(Copyright!B$11=1,IF(CA2907&gt;0,CA2907-SUM(U2907:V2907)-Y2907-SUM(AB2907:AQ2907),SUM(CB2907:CJ2907)),SUM(CC2907:CJ2907))</f>
        <v>409</v>
      </c>
      <c r="X2907" s="63">
        <v>25</v>
      </c>
      <c r="Y2907" s="63">
        <v>0</v>
      </c>
      <c r="Z2907" s="63"/>
      <c r="AA2907" s="63">
        <v>20</v>
      </c>
      <c r="AB2907" s="63"/>
      <c r="AC2907" s="63"/>
      <c r="AD2907" s="63"/>
      <c r="AE2907" s="63">
        <v>0</v>
      </c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>
        <v>0</v>
      </c>
      <c r="AR2907" s="63"/>
      <c r="AS2907" s="63"/>
      <c r="AT2907" s="63">
        <v>147</v>
      </c>
      <c r="AU2907" s="63"/>
      <c r="AW2907" s="5">
        <f>IF(Q2907&gt;0,RANK(Q2907,(N2907:P2907,Q2907:AE2907)),0)</f>
        <v>4</v>
      </c>
      <c r="AX2907" s="5">
        <f>IF(R2907&gt;0,RANK(R2907,(N2907:P2907,Q2907:AE2907)),0)</f>
        <v>7</v>
      </c>
      <c r="AY2907" s="5">
        <f>IF(T2907&gt;0,RANK(T2907,(N2907:P2907,Q2907:AE2907)),0)</f>
        <v>8</v>
      </c>
      <c r="AZ2907" s="5">
        <f>IF(S2907&gt;0,RANK(S2907,(N2907:P2907,Q2907:AE2907)),0)</f>
        <v>5</v>
      </c>
      <c r="BA2907" s="2">
        <f t="shared" si="1129"/>
        <v>2.3616744961600745E-2</v>
      </c>
      <c r="BB2907" s="2">
        <f t="shared" si="1130"/>
        <v>4.6495967677285914E-3</v>
      </c>
      <c r="BC2907" s="2">
        <f t="shared" si="1131"/>
        <v>7.2148915361305735E-4</v>
      </c>
      <c r="BD2907" s="2">
        <f t="shared" si="1132"/>
        <v>7.3591893668531853E-3</v>
      </c>
      <c r="BF2907" t="s">
        <v>692</v>
      </c>
      <c r="BG2907" t="s">
        <v>957</v>
      </c>
      <c r="BH2907">
        <v>2</v>
      </c>
      <c r="BJ2907" s="114">
        <v>49</v>
      </c>
      <c r="BK2907" s="116">
        <v>53</v>
      </c>
      <c r="BL2907" s="120">
        <f t="shared" si="1121"/>
        <v>49053</v>
      </c>
      <c r="BN2907" s="5" t="s">
        <v>3154</v>
      </c>
      <c r="BY2907" s="132" t="s">
        <v>3223</v>
      </c>
      <c r="BZ2907" s="63">
        <f t="shared" si="1133"/>
        <v>62371</v>
      </c>
      <c r="CA2907" s="63">
        <v>409</v>
      </c>
      <c r="CD2907" s="63">
        <v>0</v>
      </c>
      <c r="CE2907" s="63">
        <v>1</v>
      </c>
      <c r="CF2907" s="63">
        <v>0</v>
      </c>
      <c r="CG2907" s="8">
        <v>0</v>
      </c>
      <c r="CH2907" s="8">
        <v>0</v>
      </c>
      <c r="CI2907" s="8">
        <v>0</v>
      </c>
    </row>
    <row r="2908" spans="1:87" hidden="1" outlineLevel="1">
      <c r="A2908" t="s">
        <v>423</v>
      </c>
      <c r="B2908" t="s">
        <v>957</v>
      </c>
      <c r="C2908" s="1">
        <f>SUM(N2908:AU2908)</f>
        <v>1426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3</v>
      </c>
      <c r="G2908" s="132">
        <f t="shared" si="1134"/>
        <v>695</v>
      </c>
      <c r="H2908" s="137">
        <f t="shared" si="1135"/>
        <v>0.48737727910238426</v>
      </c>
      <c r="I2908" s="2"/>
      <c r="J2908" s="2">
        <f t="shared" si="1125"/>
        <v>0.19004207573632539</v>
      </c>
      <c r="K2908" s="2">
        <f t="shared" si="1126"/>
        <v>0.67741935483870963</v>
      </c>
      <c r="L2908" s="2">
        <f t="shared" si="1127"/>
        <v>9.4670406732117809E-2</v>
      </c>
      <c r="M2908" s="2">
        <f t="shared" si="1128"/>
        <v>3.7868162692847193E-2</v>
      </c>
      <c r="N2908" s="63">
        <v>271</v>
      </c>
      <c r="O2908" s="63">
        <v>966</v>
      </c>
      <c r="P2908" s="63">
        <v>135</v>
      </c>
      <c r="Q2908" s="63">
        <v>18</v>
      </c>
      <c r="R2908" s="63">
        <v>12</v>
      </c>
      <c r="S2908" s="63">
        <v>14</v>
      </c>
      <c r="T2908" s="63">
        <v>1</v>
      </c>
      <c r="U2908" s="63">
        <v>0</v>
      </c>
      <c r="V2908" s="63">
        <v>0</v>
      </c>
      <c r="W2908" s="63">
        <f>IF(Copyright!B$11=1,IF(CA2908&gt;0,CA2908-SUM(U2908:V2908)-Y2908-SUM(AB2908:AQ2908),SUM(CB2908:CJ2908)),SUM(CC2908:CJ2908))</f>
        <v>5</v>
      </c>
      <c r="X2908" s="63">
        <v>1</v>
      </c>
      <c r="Y2908" s="63">
        <v>0</v>
      </c>
      <c r="Z2908" s="63"/>
      <c r="AA2908" s="63">
        <v>0</v>
      </c>
      <c r="AB2908" s="63"/>
      <c r="AC2908" s="63"/>
      <c r="AD2908" s="63"/>
      <c r="AE2908" s="63">
        <v>0</v>
      </c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>
        <v>0</v>
      </c>
      <c r="AR2908" s="63"/>
      <c r="AS2908" s="63"/>
      <c r="AT2908" s="63">
        <v>3</v>
      </c>
      <c r="AU2908" s="63"/>
      <c r="AW2908" s="5">
        <f>IF(Q2908&gt;0,RANK(Q2908,(N2908:P2908,Q2908:AE2908)),0)</f>
        <v>4</v>
      </c>
      <c r="AX2908" s="5">
        <f>IF(R2908&gt;0,RANK(R2908,(N2908:P2908,Q2908:AE2908)),0)</f>
        <v>6</v>
      </c>
      <c r="AY2908" s="5">
        <f>IF(T2908&gt;0,RANK(T2908,(N2908:P2908,Q2908:AE2908)),0)</f>
        <v>8</v>
      </c>
      <c r="AZ2908" s="5">
        <f>IF(S2908&gt;0,RANK(S2908,(N2908:P2908,Q2908:AE2908)),0)</f>
        <v>5</v>
      </c>
      <c r="BA2908" s="2">
        <f t="shared" si="1129"/>
        <v>1.2622720897615708E-2</v>
      </c>
      <c r="BB2908" s="2">
        <f t="shared" si="1130"/>
        <v>8.4151472650771386E-3</v>
      </c>
      <c r="BC2908" s="2">
        <f t="shared" si="1131"/>
        <v>7.0126227208976155E-4</v>
      </c>
      <c r="BD2908" s="2">
        <f t="shared" si="1132"/>
        <v>9.8176718092566617E-3</v>
      </c>
      <c r="BF2908" t="s">
        <v>423</v>
      </c>
      <c r="BG2908" t="s">
        <v>957</v>
      </c>
      <c r="BH2908">
        <v>2</v>
      </c>
      <c r="BJ2908" s="114">
        <v>49</v>
      </c>
      <c r="BK2908" s="116">
        <v>55</v>
      </c>
      <c r="BL2908" s="120">
        <f t="shared" si="1121"/>
        <v>49055</v>
      </c>
      <c r="BN2908" s="5" t="s">
        <v>3154</v>
      </c>
      <c r="BZ2908" s="63">
        <f t="shared" si="1133"/>
        <v>1426</v>
      </c>
      <c r="CA2908" s="63">
        <v>5</v>
      </c>
      <c r="CD2908" s="63">
        <v>0</v>
      </c>
      <c r="CE2908" s="63">
        <v>0</v>
      </c>
      <c r="CF2908" s="63">
        <v>0</v>
      </c>
      <c r="CG2908" s="8">
        <v>0</v>
      </c>
      <c r="CH2908" s="8">
        <v>0</v>
      </c>
      <c r="CI2908" s="8">
        <v>0</v>
      </c>
    </row>
    <row r="2909" spans="1:87" hidden="1" outlineLevel="1">
      <c r="A2909" t="s">
        <v>1023</v>
      </c>
      <c r="B2909" t="s">
        <v>957</v>
      </c>
      <c r="C2909" s="1">
        <f t="shared" si="1124"/>
        <v>86006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3</v>
      </c>
      <c r="G2909" s="132">
        <f t="shared" si="1134"/>
        <v>17104</v>
      </c>
      <c r="H2909" s="137">
        <f t="shared" si="1135"/>
        <v>0.19886984628979373</v>
      </c>
      <c r="I2909" s="2"/>
      <c r="J2909" s="2">
        <f t="shared" si="1125"/>
        <v>0.26894635258005256</v>
      </c>
      <c r="K2909" s="2">
        <f t="shared" si="1126"/>
        <v>0.46781619886984627</v>
      </c>
      <c r="L2909" s="2">
        <f t="shared" si="1127"/>
        <v>0.19127735274283189</v>
      </c>
      <c r="M2909" s="2">
        <f t="shared" si="1128"/>
        <v>7.1960095807269225E-2</v>
      </c>
      <c r="N2909" s="63">
        <v>23131</v>
      </c>
      <c r="O2909" s="63">
        <v>40235</v>
      </c>
      <c r="P2909" s="63">
        <v>16451</v>
      </c>
      <c r="Q2909" s="63">
        <v>3371</v>
      </c>
      <c r="R2909" s="63">
        <v>937</v>
      </c>
      <c r="S2909" s="63">
        <v>465</v>
      </c>
      <c r="T2909" s="63">
        <v>88</v>
      </c>
      <c r="U2909" s="63">
        <v>0</v>
      </c>
      <c r="V2909" s="63">
        <v>0</v>
      </c>
      <c r="W2909" s="63">
        <f>IF(Copyright!B$11=1,IF(CA2909&gt;0,CA2909-SUM(U2909:V2909)-Y2909-SUM(AB2909:AQ2909),SUM(CB2909:CJ2909)),SUM(CC2909:CJ2909))</f>
        <v>967</v>
      </c>
      <c r="X2909" s="63">
        <v>50</v>
      </c>
      <c r="Y2909" s="63">
        <v>0</v>
      </c>
      <c r="Z2909" s="63"/>
      <c r="AA2909" s="63">
        <v>54</v>
      </c>
      <c r="AB2909" s="63"/>
      <c r="AC2909" s="63"/>
      <c r="AD2909" s="63"/>
      <c r="AE2909" s="63">
        <v>0</v>
      </c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>
        <v>1</v>
      </c>
      <c r="AR2909" s="63"/>
      <c r="AS2909" s="63"/>
      <c r="AT2909" s="63">
        <v>256</v>
      </c>
      <c r="AU2909" s="63"/>
      <c r="AW2909" s="5">
        <f>IF(Q2909&gt;0,RANK(Q2909,(N2909:P2909,Q2909:AE2909)),0)</f>
        <v>4</v>
      </c>
      <c r="AX2909" s="5">
        <f>IF(R2909&gt;0,RANK(R2909,(N2909:P2909,Q2909:AE2909)),0)</f>
        <v>6</v>
      </c>
      <c r="AY2909" s="5">
        <f>IF(T2909&gt;0,RANK(T2909,(N2909:P2909,Q2909:AE2909)),0)</f>
        <v>8</v>
      </c>
      <c r="AZ2909" s="5">
        <f>IF(S2909&gt;0,RANK(S2909,(N2909:P2909,Q2909:AE2909)),0)</f>
        <v>7</v>
      </c>
      <c r="BA2909" s="2">
        <f t="shared" si="1129"/>
        <v>3.9194939887914795E-2</v>
      </c>
      <c r="BB2909" s="2">
        <f t="shared" si="1130"/>
        <v>1.089458874962212E-2</v>
      </c>
      <c r="BC2909" s="2">
        <f t="shared" si="1131"/>
        <v>1.023184428993326E-3</v>
      </c>
      <c r="BD2909" s="2">
        <f t="shared" si="1132"/>
        <v>5.4065995395670072E-3</v>
      </c>
      <c r="BF2909" t="s">
        <v>1023</v>
      </c>
      <c r="BG2909" t="s">
        <v>957</v>
      </c>
      <c r="BH2909">
        <v>1</v>
      </c>
      <c r="BJ2909" s="114">
        <v>49</v>
      </c>
      <c r="BK2909" s="116">
        <v>57</v>
      </c>
      <c r="BL2909" s="120">
        <f t="shared" si="1121"/>
        <v>49057</v>
      </c>
      <c r="BN2909" s="5" t="s">
        <v>3154</v>
      </c>
      <c r="BY2909" s="132" t="s">
        <v>3223</v>
      </c>
      <c r="BZ2909" s="63">
        <f t="shared" si="1133"/>
        <v>86006</v>
      </c>
      <c r="CA2909" s="63">
        <v>968</v>
      </c>
      <c r="CD2909" s="63">
        <v>0</v>
      </c>
      <c r="CE2909" s="63">
        <v>0</v>
      </c>
      <c r="CF2909" s="63">
        <v>0</v>
      </c>
      <c r="CG2909" s="8">
        <v>0</v>
      </c>
      <c r="CH2909" s="8">
        <v>0</v>
      </c>
      <c r="CI2909" s="8">
        <v>0</v>
      </c>
    </row>
    <row r="2910" spans="1:87" collapsed="1">
      <c r="A2910" t="s">
        <v>277</v>
      </c>
      <c r="B2910" t="s">
        <v>544</v>
      </c>
      <c r="C2910" s="1">
        <f t="shared" si="1124"/>
        <v>1143601</v>
      </c>
      <c r="D2910" s="5">
        <f>IF(N2910&gt;0, RANK(N2910,(N2910:P2910,Q2910:AE2910)),0)</f>
        <v>2</v>
      </c>
      <c r="E2910" s="5">
        <f>IF(O2910&gt;0,RANK(O2910,(N2910:P2910,Q2910:AE2910)),0)</f>
        <v>1</v>
      </c>
      <c r="F2910" s="5">
        <f>IF(P2910&gt;0,RANK(P2910,(N2910:P2910,Q2910:AE2910)),0)</f>
        <v>3</v>
      </c>
      <c r="G2910" s="132">
        <f t="shared" si="1134"/>
        <v>204555</v>
      </c>
      <c r="H2910" s="137">
        <f t="shared" si="1135"/>
        <v>0.17886920350716728</v>
      </c>
      <c r="I2910" s="2"/>
      <c r="J2910" s="2">
        <f t="shared" si="1125"/>
        <v>0.27166468025124146</v>
      </c>
      <c r="K2910" s="2">
        <f t="shared" si="1126"/>
        <v>0.45053388375840875</v>
      </c>
      <c r="L2910" s="2">
        <f t="shared" si="1127"/>
        <v>0.21309005501044509</v>
      </c>
      <c r="M2910" s="2">
        <f t="shared" si="1128"/>
        <v>6.4711380979904698E-2</v>
      </c>
      <c r="N2910" s="63">
        <f t="shared" ref="N2910:T2910" si="1136">SUM(N2881:N2909)</f>
        <v>310676</v>
      </c>
      <c r="O2910" s="63">
        <f t="shared" si="1136"/>
        <v>515231</v>
      </c>
      <c r="P2910" s="63">
        <f t="shared" si="1136"/>
        <v>243690</v>
      </c>
      <c r="Q2910" s="63">
        <f t="shared" si="1136"/>
        <v>39608</v>
      </c>
      <c r="R2910" s="63">
        <f t="shared" si="1136"/>
        <v>9438</v>
      </c>
      <c r="S2910" s="63">
        <f t="shared" si="1136"/>
        <v>8032</v>
      </c>
      <c r="T2910" s="63">
        <f t="shared" si="1136"/>
        <v>883</v>
      </c>
      <c r="U2910" s="63">
        <f>SUM(U2881:U2909)</f>
        <v>4</v>
      </c>
      <c r="V2910" s="63">
        <v>0</v>
      </c>
      <c r="W2910" s="63">
        <f>SUM(W2881:W2909)</f>
        <v>12188</v>
      </c>
      <c r="X2910" s="63">
        <f>SUM(X2881:X2909)</f>
        <v>521</v>
      </c>
      <c r="Y2910" s="63">
        <f>SUM(Y2881:Y2909)</f>
        <v>6</v>
      </c>
      <c r="Z2910" s="63"/>
      <c r="AA2910" s="63">
        <f>SUM(AA2881:AA2909)</f>
        <v>544</v>
      </c>
      <c r="AB2910" s="63"/>
      <c r="AC2910" s="63"/>
      <c r="AD2910" s="63"/>
      <c r="AE2910" s="63">
        <f>SUM(AE2881:AE2909)</f>
        <v>9</v>
      </c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>
        <f>SUM(AQ2881:AQ2909)</f>
        <v>19</v>
      </c>
      <c r="AR2910" s="63"/>
      <c r="AS2910" s="63"/>
      <c r="AT2910" s="63">
        <f>SUM(AT2881:AT2909)</f>
        <v>2752</v>
      </c>
      <c r="AU2910" s="63"/>
      <c r="AW2910" s="5">
        <f>IF(Q2910&gt;0,RANK(Q2910,(N2910:P2910,Q2910:AE2910)),0)</f>
        <v>4</v>
      </c>
      <c r="AX2910" s="5">
        <f>IF(R2910&gt;0,RANK(R2910,(N2910:P2910,Q2910:AE2910)),0)</f>
        <v>6</v>
      </c>
      <c r="AY2910" s="5">
        <f>IF(T2910&gt;0,RANK(T2910,(N2910:P2910,Q2910:AE2910)),0)</f>
        <v>8</v>
      </c>
      <c r="AZ2910" s="5">
        <f>IF(S2910&gt;0,RANK(S2910,(N2910:P2910,Q2910:AE2910)),0)</f>
        <v>7</v>
      </c>
      <c r="BA2910" s="2">
        <f t="shared" si="1129"/>
        <v>3.4634457297606419E-2</v>
      </c>
      <c r="BB2910" s="2">
        <f t="shared" si="1130"/>
        <v>8.2528784077663449E-3</v>
      </c>
      <c r="BC2910" s="2">
        <f t="shared" si="1131"/>
        <v>7.7212244480373842E-4</v>
      </c>
      <c r="BD2910" s="2">
        <f t="shared" si="1132"/>
        <v>7.023428625893122E-3</v>
      </c>
      <c r="BF2910" t="s">
        <v>277</v>
      </c>
      <c r="BG2910" t="s">
        <v>544</v>
      </c>
      <c r="BJ2910" s="114">
        <v>49</v>
      </c>
      <c r="BK2910" s="116"/>
      <c r="BL2910" s="114">
        <v>49</v>
      </c>
      <c r="BN2910" s="5" t="s">
        <v>711</v>
      </c>
      <c r="CA2910" s="63">
        <f>SUM(CA2881:CA2909)</f>
        <v>12226</v>
      </c>
      <c r="CD2910" s="63">
        <f t="shared" ref="CD2910:CI2910" si="1137">SUM(CD2881:CD2909)</f>
        <v>9</v>
      </c>
      <c r="CE2910" s="63">
        <f t="shared" si="1137"/>
        <v>4</v>
      </c>
      <c r="CF2910" s="63">
        <f t="shared" si="1137"/>
        <v>1</v>
      </c>
      <c r="CG2910" s="63">
        <f t="shared" si="1137"/>
        <v>1</v>
      </c>
      <c r="CH2910" s="63">
        <f t="shared" si="1137"/>
        <v>1</v>
      </c>
      <c r="CI2910" s="63">
        <f t="shared" si="1137"/>
        <v>1</v>
      </c>
    </row>
    <row r="2911" spans="1:87">
      <c r="C2911" s="1"/>
      <c r="E2911" s="5"/>
      <c r="F2911" s="5"/>
      <c r="G2911" s="132"/>
      <c r="H2911" s="137"/>
      <c r="I2911" s="2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W2911" s="5"/>
      <c r="AX2911" s="5"/>
      <c r="AY2911" s="5"/>
      <c r="AZ2911" s="5"/>
      <c r="BJ2911" s="114"/>
      <c r="BK2911" s="116"/>
      <c r="BL2911" s="120"/>
      <c r="CA2911" s="132"/>
      <c r="CC2911" s="132"/>
    </row>
    <row r="2912" spans="1:87" hidden="1" outlineLevel="1">
      <c r="A2912" t="s">
        <v>1346</v>
      </c>
      <c r="B2912" t="s">
        <v>2016</v>
      </c>
      <c r="C2912" s="1">
        <f t="shared" ref="C2912:C2926" si="1138">SUM(N2912:AU2912)</f>
        <v>19031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7</v>
      </c>
      <c r="G2912" s="132">
        <f t="shared" si="1134"/>
        <v>5922</v>
      </c>
      <c r="H2912" s="137">
        <f t="shared" si="1135"/>
        <v>0.3111765014975566</v>
      </c>
      <c r="I2912" s="2"/>
      <c r="J2912" s="2">
        <f t="shared" ref="J2912:J2926" si="1139">IF($C2912=0,"-",N2912/$C2912)</f>
        <v>0.58951184908832954</v>
      </c>
      <c r="K2912" s="2">
        <f t="shared" ref="K2912:K2926" si="1140">IF($C2912=0,"-",O2912/$C2912)</f>
        <v>0.27833534759077294</v>
      </c>
      <c r="L2912" s="2">
        <f t="shared" ref="L2912:L2926" si="1141">IF($C2912=0,"-",P2912/$C2912)</f>
        <v>2.9425673900478166E-3</v>
      </c>
      <c r="M2912" s="2">
        <f t="shared" ref="M2912:M2926" si="1142">IF(C2912=0,"-",(1-J2912-K2912-L2912))</f>
        <v>0.12921023593084971</v>
      </c>
      <c r="N2912" s="63">
        <f>SUMIF(Town!$BB$1362:$BB$1607,$BL2912,Town!N$1362:N$1607)</f>
        <v>11219</v>
      </c>
      <c r="O2912" s="63">
        <f>SUMIF(Town!$BB$1362:$BB$1607,$BL2912,Town!O$1362:O$1607)</f>
        <v>5297</v>
      </c>
      <c r="P2912" s="63">
        <f>SUMIF(Town!$BB$1362:$BB$1607,$BL2912,Town!P$1362:P$1607)</f>
        <v>56</v>
      </c>
      <c r="Q2912" s="63">
        <f>SUMIF(Town!$BB$1362:$BB$1607,$BL2912,Town!Q$1362:Q$1607)</f>
        <v>639</v>
      </c>
      <c r="R2912" s="63">
        <f>SUMIF(Town!$BB$1362:$BB$1607,$BL2912,Town!R$1362:R$1607)</f>
        <v>361</v>
      </c>
      <c r="S2912" s="63">
        <f>SUMIF(Town!$BB$1362:$BB$1607,$BL2912,Town!S$1362:S$1607)</f>
        <v>1</v>
      </c>
      <c r="T2912" s="63">
        <f>SUMIF(Town!$BB$1362:$BB$1607,$BL2912,Town!T$1362:T$1607)</f>
        <v>66</v>
      </c>
      <c r="U2912" s="63">
        <f>SUMIF(Town!$BB$1362:$BB$1607,$BL2912,Town!U$1362:U$1607)</f>
        <v>0</v>
      </c>
      <c r="V2912" s="63">
        <f>SUMIF(Town!$BB$1362:$BB$1607,$BL2912,Town!V$1362:V$1607)</f>
        <v>13</v>
      </c>
      <c r="W2912" s="63">
        <f>SUMIF(Town!$BB$1362:$BB$1607,$BL2912,Town!W$1362:W$1607)</f>
        <v>1377</v>
      </c>
      <c r="X2912" s="63">
        <f>SUMIF(Town!$BB$1362:$BB$1607,$BL2912,Town!X$1362:X$1607)</f>
        <v>1</v>
      </c>
      <c r="Y2912" s="63"/>
      <c r="Z2912" s="63"/>
      <c r="AA2912" s="63"/>
      <c r="AB2912" s="63"/>
      <c r="AC2912" s="63"/>
      <c r="AD2912" s="63"/>
      <c r="AE2912" s="63">
        <f>SUMIF(Town!$BB$1362:$BB$1607,$BL2912,Town!AE$1362:AE$1607)</f>
        <v>0</v>
      </c>
      <c r="AF2912" s="63">
        <f>SUMIF(Town!$BB$1362:$BB$1607,$BL2912,Town!AF$1362:AF$1607)</f>
        <v>0</v>
      </c>
      <c r="AG2912" s="63">
        <f>SUMIF(Town!$BB$1362:$BB$1607,$BL2912,Town!AG$1362:AG$1607)</f>
        <v>0</v>
      </c>
      <c r="AH2912" s="63"/>
      <c r="AI2912" s="63"/>
      <c r="AJ2912" s="63"/>
      <c r="AK2912" s="63"/>
      <c r="AL2912" s="63"/>
      <c r="AM2912" s="63"/>
      <c r="AN2912" s="63">
        <f>SUMIF(Town!$BB$1362:$BB$1607,$BL2912,Town!AN$1362:AN$1607)</f>
        <v>1</v>
      </c>
      <c r="AO2912" s="63"/>
      <c r="AP2912" s="63"/>
      <c r="AQ2912" s="63">
        <f>SUMIF(Town!$BB$1362:$BB$1607,$BL2912,Town!AQ$1362:AQ$1607)</f>
        <v>0</v>
      </c>
      <c r="AR2912" s="63"/>
      <c r="AS2912" s="63"/>
      <c r="AT2912" s="63"/>
      <c r="AU2912" s="63"/>
      <c r="AW2912" s="5">
        <f>IF(Q2912&gt;0,RANK(Q2912,(N2912:P2912,Q2912:AE2912)),0)</f>
        <v>4</v>
      </c>
      <c r="AX2912" s="5">
        <f>IF(R2912&gt;0,RANK(R2912,(N2912:P2912,Q2912:AE2912)),0)</f>
        <v>5</v>
      </c>
      <c r="AY2912" s="5">
        <f>IF(T2912&gt;0,RANK(T2912,(N2912:P2912,Q2912:AE2912)),0)</f>
        <v>6</v>
      </c>
      <c r="AZ2912" s="5">
        <f>IF(S2912&gt;0,RANK(S2912,(N2912:P2912,Q2912:AE2912)),0)</f>
        <v>9</v>
      </c>
      <c r="BA2912" s="2">
        <f t="shared" ref="BA2912:BA2926" si="1143">IF($C2912=0,"-",Q2912/$C2912)</f>
        <v>3.3576795754295626E-2</v>
      </c>
      <c r="BB2912" s="2">
        <f t="shared" ref="BB2912:BB2926" si="1144">IF($C2912=0,"-",R2912/$C2912)</f>
        <v>1.8969050496558247E-2</v>
      </c>
      <c r="BC2912" s="2">
        <f t="shared" ref="BC2912:BC2926" si="1145">IF($C2912=0,"-",T2912/$C2912)</f>
        <v>3.4680258525563554E-3</v>
      </c>
      <c r="BD2912" s="2">
        <f t="shared" ref="BD2912:BD2925" si="1146">IF($C2912=0,"-",S2912/$C2912)</f>
        <v>5.2545846250853869E-5</v>
      </c>
      <c r="BF2912" t="s">
        <v>1346</v>
      </c>
      <c r="BG2912" t="s">
        <v>2016</v>
      </c>
      <c r="BH2912">
        <v>1</v>
      </c>
      <c r="BJ2912" s="114">
        <v>50</v>
      </c>
      <c r="BK2912" s="116">
        <v>1</v>
      </c>
      <c r="BL2912" s="120">
        <f t="shared" si="1121"/>
        <v>50001</v>
      </c>
      <c r="BN2912" s="5" t="s">
        <v>3154</v>
      </c>
      <c r="BO2912" s="63">
        <f>SUMIF(Town!$BB$1362:$BB$1607,$BL2912,Town!BE$1362:BE$1607)</f>
        <v>311</v>
      </c>
      <c r="BP2912" s="63">
        <f>SUMIF(Town!$BB$1362:$BB$1607,$BL2912,Town!BF$1362:BF$1607)</f>
        <v>49</v>
      </c>
      <c r="BR2912" s="63"/>
      <c r="CA2912" s="63">
        <f>SUMIF(Town!$BB$1362:$BB$1607,$BL2912,Town!BP$1362:BP$1607)</f>
        <v>1436</v>
      </c>
      <c r="CC2912" s="63">
        <f>SUMIF(Town!$BB$1362:$BB$1607,$BL2912,Town!BR$1362:BR$1607)</f>
        <v>996</v>
      </c>
    </row>
    <row r="2913" spans="1:81" hidden="1" outlineLevel="1">
      <c r="A2913" t="s">
        <v>951</v>
      </c>
      <c r="B2913" t="s">
        <v>2016</v>
      </c>
      <c r="C2913" s="1">
        <f t="shared" si="1138"/>
        <v>17381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7</v>
      </c>
      <c r="G2913" s="132">
        <f t="shared" si="1134"/>
        <v>3614</v>
      </c>
      <c r="H2913" s="137">
        <f t="shared" si="1135"/>
        <v>0.20792819745699326</v>
      </c>
      <c r="I2913" s="2"/>
      <c r="J2913" s="2">
        <f t="shared" si="1139"/>
        <v>0.54881767447212471</v>
      </c>
      <c r="K2913" s="2">
        <f t="shared" si="1140"/>
        <v>0.34088947701513145</v>
      </c>
      <c r="L2913" s="2">
        <f t="shared" si="1141"/>
        <v>2.1862953800126576E-3</v>
      </c>
      <c r="M2913" s="2">
        <f t="shared" si="1142"/>
        <v>0.1081065531327312</v>
      </c>
      <c r="N2913" s="63">
        <f>SUMIF(Town!$BB$1362:$BB$1607,$BL2913,Town!N$1362:N$1607)</f>
        <v>9539</v>
      </c>
      <c r="O2913" s="63">
        <f>SUMIF(Town!$BB$1362:$BB$1607,$BL2913,Town!O$1362:O$1607)</f>
        <v>5925</v>
      </c>
      <c r="P2913" s="63">
        <f>SUMIF(Town!$BB$1362:$BB$1607,$BL2913,Town!P$1362:P$1607)</f>
        <v>38</v>
      </c>
      <c r="Q2913" s="63">
        <f>SUMIF(Town!$BB$1362:$BB$1607,$BL2913,Town!Q$1362:Q$1607)</f>
        <v>478</v>
      </c>
      <c r="R2913" s="63">
        <f>SUMIF(Town!$BB$1362:$BB$1607,$BL2913,Town!R$1362:R$1607)</f>
        <v>318</v>
      </c>
      <c r="S2913" s="63">
        <f>SUMIF(Town!$BB$1362:$BB$1607,$BL2913,Town!S$1362:S$1607)</f>
        <v>2</v>
      </c>
      <c r="T2913" s="63">
        <f>SUMIF(Town!$BB$1362:$BB$1607,$BL2913,Town!T$1362:T$1607)</f>
        <v>63</v>
      </c>
      <c r="U2913" s="63">
        <f>SUMIF(Town!$BB$1362:$BB$1607,$BL2913,Town!U$1362:U$1607)</f>
        <v>0</v>
      </c>
      <c r="V2913" s="63">
        <f>SUMIF(Town!$BB$1362:$BB$1607,$BL2913,Town!V$1362:V$1607)</f>
        <v>22</v>
      </c>
      <c r="W2913" s="63">
        <f>SUMIF(Town!$BB$1362:$BB$1607,$BL2913,Town!W$1362:W$1607)</f>
        <v>995</v>
      </c>
      <c r="X2913" s="63">
        <f>SUMIF(Town!$BB$1362:$BB$1607,$BL2913,Town!X$1362:X$1607)</f>
        <v>0</v>
      </c>
      <c r="Y2913" s="63"/>
      <c r="Z2913" s="63"/>
      <c r="AA2913" s="63"/>
      <c r="AB2913" s="63"/>
      <c r="AC2913" s="63"/>
      <c r="AD2913" s="63"/>
      <c r="AE2913" s="63">
        <f>SUMIF(Town!$BB$1362:$BB$1607,$BL2913,Town!AE$1362:AE$1607)</f>
        <v>0</v>
      </c>
      <c r="AF2913" s="63">
        <f>SUMIF(Town!$BB$1362:$BB$1607,$BL2913,Town!AF$1362:AF$1607)</f>
        <v>0</v>
      </c>
      <c r="AG2913" s="63">
        <f>SUMIF(Town!$BB$1362:$BB$1607,$BL2913,Town!AG$1362:AG$1607)</f>
        <v>0</v>
      </c>
      <c r="AH2913" s="63"/>
      <c r="AI2913" s="63"/>
      <c r="AJ2913" s="63"/>
      <c r="AK2913" s="63"/>
      <c r="AL2913" s="63"/>
      <c r="AM2913" s="63"/>
      <c r="AN2913" s="63">
        <f>SUMIF(Town!$BB$1362:$BB$1607,$BL2913,Town!AN$1362:AN$1607)</f>
        <v>1</v>
      </c>
      <c r="AO2913" s="63"/>
      <c r="AP2913" s="63"/>
      <c r="AQ2913" s="63">
        <f>SUMIF(Town!$BB$1362:$BB$1607,$BL2913,Town!AQ$1362:AQ$1607)</f>
        <v>0</v>
      </c>
      <c r="AR2913" s="63"/>
      <c r="AS2913" s="63"/>
      <c r="AT2913" s="63"/>
      <c r="AU2913" s="63"/>
      <c r="AW2913" s="5">
        <f>IF(Q2913&gt;0,RANK(Q2913,(N2913:P2913,Q2913:AE2913)),0)</f>
        <v>4</v>
      </c>
      <c r="AX2913" s="5">
        <f>IF(R2913&gt;0,RANK(R2913,(N2913:P2913,Q2913:AE2913)),0)</f>
        <v>5</v>
      </c>
      <c r="AY2913" s="5">
        <f>IF(T2913&gt;0,RANK(T2913,(N2913:P2913,Q2913:AE2913)),0)</f>
        <v>6</v>
      </c>
      <c r="AZ2913" s="5">
        <f>IF(S2913&gt;0,RANK(S2913,(N2913:P2913,Q2913:AE2913)),0)</f>
        <v>9</v>
      </c>
      <c r="BA2913" s="2">
        <f t="shared" si="1143"/>
        <v>2.7501294517001323E-2</v>
      </c>
      <c r="BB2913" s="2">
        <f t="shared" si="1144"/>
        <v>1.829584028536908E-2</v>
      </c>
      <c r="BC2913" s="2">
        <f t="shared" si="1145"/>
        <v>3.6246476037051951E-3</v>
      </c>
      <c r="BD2913" s="2">
        <f t="shared" si="1146"/>
        <v>1.1506817789540303E-4</v>
      </c>
      <c r="BF2913" t="s">
        <v>951</v>
      </c>
      <c r="BG2913" t="s">
        <v>2016</v>
      </c>
      <c r="BH2913">
        <v>1</v>
      </c>
      <c r="BJ2913" s="114">
        <v>50</v>
      </c>
      <c r="BK2913" s="116">
        <v>3</v>
      </c>
      <c r="BL2913" s="120">
        <f t="shared" si="1121"/>
        <v>50003</v>
      </c>
      <c r="BN2913" s="5" t="s">
        <v>3154</v>
      </c>
      <c r="BO2913" s="63">
        <f>SUMIF(Town!$BB$1362:$BB$1607,$BL2913,Town!BE$1362:BE$1607)</f>
        <v>330</v>
      </c>
      <c r="BP2913" s="63">
        <f>SUMIF(Town!$BB$1362:$BB$1607,$BL2913,Town!BF$1362:BF$1607)</f>
        <v>42</v>
      </c>
      <c r="BR2913" s="63"/>
      <c r="CA2913" s="63">
        <f>SUMIF(Town!$BB$1362:$BB$1607,$BL2913,Town!BP$1362:BP$1607)</f>
        <v>1036</v>
      </c>
      <c r="CC2913" s="63">
        <f>SUMIF(Town!$BB$1362:$BB$1607,$BL2913,Town!BR$1362:BR$1607)</f>
        <v>861</v>
      </c>
    </row>
    <row r="2914" spans="1:81" hidden="1" outlineLevel="1">
      <c r="A2914" t="s">
        <v>681</v>
      </c>
      <c r="B2914" t="s">
        <v>2016</v>
      </c>
      <c r="C2914" s="1">
        <f t="shared" si="1138"/>
        <v>14074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7</v>
      </c>
      <c r="G2914" s="132">
        <f t="shared" si="1134"/>
        <v>911</v>
      </c>
      <c r="H2914" s="137">
        <f t="shared" si="1135"/>
        <v>6.4729288048884462E-2</v>
      </c>
      <c r="I2914" s="2"/>
      <c r="J2914" s="2">
        <f t="shared" si="1139"/>
        <v>0.45793662071905644</v>
      </c>
      <c r="K2914" s="2">
        <f t="shared" si="1140"/>
        <v>0.39320733267017194</v>
      </c>
      <c r="L2914" s="2">
        <f t="shared" si="1141"/>
        <v>2.0605371607218983E-3</v>
      </c>
      <c r="M2914" s="2">
        <f t="shared" si="1142"/>
        <v>0.14679550945004965</v>
      </c>
      <c r="N2914" s="63">
        <f>SUMIF(Town!$BB$1362:$BB$1607,$BL2914,Town!N$1362:N$1607)</f>
        <v>6445</v>
      </c>
      <c r="O2914" s="63">
        <f>SUMIF(Town!$BB$1362:$BB$1607,$BL2914,Town!O$1362:O$1607)</f>
        <v>5534</v>
      </c>
      <c r="P2914" s="63">
        <f>SUMIF(Town!$BB$1362:$BB$1607,$BL2914,Town!P$1362:P$1607)</f>
        <v>29</v>
      </c>
      <c r="Q2914" s="63">
        <f>SUMIF(Town!$BB$1362:$BB$1607,$BL2914,Town!Q$1362:Q$1607)</f>
        <v>578</v>
      </c>
      <c r="R2914" s="63">
        <f>SUMIF(Town!$BB$1362:$BB$1607,$BL2914,Town!R$1362:R$1607)</f>
        <v>333</v>
      </c>
      <c r="S2914" s="63">
        <f>SUMIF(Town!$BB$1362:$BB$1607,$BL2914,Town!S$1362:S$1607)</f>
        <v>3</v>
      </c>
      <c r="T2914" s="63">
        <f>SUMIF(Town!$BB$1362:$BB$1607,$BL2914,Town!T$1362:T$1607)</f>
        <v>56</v>
      </c>
      <c r="U2914" s="63">
        <f>SUMIF(Town!$BB$1362:$BB$1607,$BL2914,Town!U$1362:U$1607)</f>
        <v>0</v>
      </c>
      <c r="V2914" s="63">
        <f>SUMIF(Town!$BB$1362:$BB$1607,$BL2914,Town!V$1362:V$1607)</f>
        <v>21</v>
      </c>
      <c r="W2914" s="63">
        <f>SUMIF(Town!$BB$1362:$BB$1607,$BL2914,Town!W$1362:W$1607)</f>
        <v>1075</v>
      </c>
      <c r="X2914" s="63">
        <f>SUMIF(Town!$BB$1362:$BB$1607,$BL2914,Town!X$1362:X$1607)</f>
        <v>0</v>
      </c>
      <c r="Y2914" s="63"/>
      <c r="Z2914" s="63"/>
      <c r="AA2914" s="63"/>
      <c r="AB2914" s="63"/>
      <c r="AC2914" s="63"/>
      <c r="AD2914" s="63"/>
      <c r="AE2914" s="63">
        <f>SUMIF(Town!$BB$1362:$BB$1607,$BL2914,Town!AE$1362:AE$1607)</f>
        <v>0</v>
      </c>
      <c r="AF2914" s="63">
        <f>SUMIF(Town!$BB$1362:$BB$1607,$BL2914,Town!AF$1362:AF$1607)</f>
        <v>0</v>
      </c>
      <c r="AG2914" s="63">
        <f>SUMIF(Town!$BB$1362:$BB$1607,$BL2914,Town!AG$1362:AG$1607)</f>
        <v>0</v>
      </c>
      <c r="AH2914" s="63"/>
      <c r="AI2914" s="63"/>
      <c r="AJ2914" s="63"/>
      <c r="AK2914" s="63"/>
      <c r="AL2914" s="63"/>
      <c r="AM2914" s="63"/>
      <c r="AN2914" s="63">
        <f>SUMIF(Town!$BB$1362:$BB$1607,$BL2914,Town!AN$1362:AN$1607)</f>
        <v>0</v>
      </c>
      <c r="AO2914" s="63"/>
      <c r="AP2914" s="63"/>
      <c r="AQ2914" s="63">
        <f>SUMIF(Town!$BB$1362:$BB$1607,$BL2914,Town!AQ$1362:AQ$1607)</f>
        <v>0</v>
      </c>
      <c r="AR2914" s="63"/>
      <c r="AS2914" s="63"/>
      <c r="AT2914" s="63"/>
      <c r="AU2914" s="63"/>
      <c r="AW2914" s="5">
        <f>IF(Q2914&gt;0,RANK(Q2914,(N2914:P2914,Q2914:AE2914)),0)</f>
        <v>4</v>
      </c>
      <c r="AX2914" s="5">
        <f>IF(R2914&gt;0,RANK(R2914,(N2914:P2914,Q2914:AE2914)),0)</f>
        <v>5</v>
      </c>
      <c r="AY2914" s="5">
        <f>IF(T2914&gt;0,RANK(T2914,(N2914:P2914,Q2914:AE2914)),0)</f>
        <v>6</v>
      </c>
      <c r="AZ2914" s="5">
        <f>IF(S2914&gt;0,RANK(S2914,(N2914:P2914,Q2914:AE2914)),0)</f>
        <v>9</v>
      </c>
      <c r="BA2914" s="2">
        <f t="shared" si="1143"/>
        <v>4.10686372033537E-2</v>
      </c>
      <c r="BB2914" s="2">
        <f t="shared" si="1144"/>
        <v>2.3660650845530765E-2</v>
      </c>
      <c r="BC2914" s="2">
        <f t="shared" si="1145"/>
        <v>3.9789683103595283E-3</v>
      </c>
      <c r="BD2914" s="2">
        <f t="shared" si="1146"/>
        <v>2.1315901662640331E-4</v>
      </c>
      <c r="BF2914" t="s">
        <v>681</v>
      </c>
      <c r="BG2914" t="s">
        <v>2016</v>
      </c>
      <c r="BH2914">
        <v>1</v>
      </c>
      <c r="BJ2914" s="114">
        <v>50</v>
      </c>
      <c r="BK2914" s="116">
        <v>5</v>
      </c>
      <c r="BL2914" s="120">
        <f t="shared" si="1121"/>
        <v>50005</v>
      </c>
      <c r="BN2914" s="5" t="s">
        <v>3154</v>
      </c>
      <c r="BO2914" s="63">
        <f>SUMIF(Town!$BB$1362:$BB$1607,$BL2914,Town!BE$1362:BE$1607)</f>
        <v>244</v>
      </c>
      <c r="BP2914" s="63">
        <f>SUMIF(Town!$BB$1362:$BB$1607,$BL2914,Town!BF$1362:BF$1607)</f>
        <v>57</v>
      </c>
      <c r="BR2914" s="63"/>
      <c r="CA2914" s="63">
        <f>SUMIF(Town!$BB$1362:$BB$1607,$BL2914,Town!BP$1362:BP$1607)</f>
        <v>1107</v>
      </c>
      <c r="CC2914" s="63">
        <f>SUMIF(Town!$BB$1362:$BB$1607,$BL2914,Town!BR$1362:BR$1607)</f>
        <v>885</v>
      </c>
    </row>
    <row r="2915" spans="1:81" hidden="1" outlineLevel="1">
      <c r="A2915" t="s">
        <v>3175</v>
      </c>
      <c r="B2915" t="s">
        <v>2016</v>
      </c>
      <c r="C2915" s="1">
        <f t="shared" si="1138"/>
        <v>83416</v>
      </c>
      <c r="D2915" s="5">
        <f>IF(N2915&gt;0, RANK(N2915,(N2915:P2915,Q2915:AE2915)),0)</f>
        <v>1</v>
      </c>
      <c r="E2915" s="5">
        <f>IF(O2915&gt;0,RANK(O2915,(N2915:P2915,Q2915:AE2915)),0)</f>
        <v>2</v>
      </c>
      <c r="F2915" s="5">
        <f>IF(P2915&gt;0,RANK(P2915,(N2915:P2915,Q2915:AE2915)),0)</f>
        <v>7</v>
      </c>
      <c r="G2915" s="132">
        <f t="shared" si="1134"/>
        <v>36213</v>
      </c>
      <c r="H2915" s="137">
        <f t="shared" si="1135"/>
        <v>0.43412534765512611</v>
      </c>
      <c r="I2915" s="2"/>
      <c r="J2915" s="2">
        <f t="shared" si="1139"/>
        <v>0.65711614078833802</v>
      </c>
      <c r="K2915" s="2">
        <f t="shared" si="1140"/>
        <v>0.22299079313321185</v>
      </c>
      <c r="L2915" s="2">
        <f t="shared" si="1141"/>
        <v>2.0979188644864293E-3</v>
      </c>
      <c r="M2915" s="2">
        <f t="shared" si="1142"/>
        <v>0.1177951472139637</v>
      </c>
      <c r="N2915" s="63">
        <f>SUMIF(Town!$BB$1362:$BB$1607,$BL2915,Town!N$1362:N$1607)</f>
        <v>54814</v>
      </c>
      <c r="O2915" s="63">
        <f>SUMIF(Town!$BB$1362:$BB$1607,$BL2915,Town!O$1362:O$1607)</f>
        <v>18601</v>
      </c>
      <c r="P2915" s="63">
        <f>SUMIF(Town!$BB$1362:$BB$1607,$BL2915,Town!P$1362:P$1607)</f>
        <v>175</v>
      </c>
      <c r="Q2915" s="63">
        <f>SUMIF(Town!$BB$1362:$BB$1607,$BL2915,Town!Q$1362:Q$1607)</f>
        <v>2469</v>
      </c>
      <c r="R2915" s="63">
        <f>SUMIF(Town!$BB$1362:$BB$1607,$BL2915,Town!R$1362:R$1607)</f>
        <v>1796</v>
      </c>
      <c r="S2915" s="63">
        <f>SUMIF(Town!$BB$1362:$BB$1607,$BL2915,Town!S$1362:S$1607)</f>
        <v>42</v>
      </c>
      <c r="T2915" s="63">
        <f>SUMIF(Town!$BB$1362:$BB$1607,$BL2915,Town!T$1362:T$1607)</f>
        <v>202</v>
      </c>
      <c r="U2915" s="63">
        <f>SUMIF(Town!$BB$1362:$BB$1607,$BL2915,Town!U$1362:U$1607)</f>
        <v>1</v>
      </c>
      <c r="V2915" s="63">
        <f>SUMIF(Town!$BB$1362:$BB$1607,$BL2915,Town!V$1362:V$1607)</f>
        <v>75</v>
      </c>
      <c r="W2915" s="63">
        <f>SUMIF(Town!$BB$1362:$BB$1607,$BL2915,Town!W$1362:W$1607)</f>
        <v>5231</v>
      </c>
      <c r="X2915" s="63">
        <f>SUMIF(Town!$BB$1362:$BB$1607,$BL2915,Town!X$1362:X$1607)</f>
        <v>0</v>
      </c>
      <c r="Y2915" s="63"/>
      <c r="Z2915" s="63"/>
      <c r="AA2915" s="63"/>
      <c r="AB2915" s="63"/>
      <c r="AC2915" s="63"/>
      <c r="AD2915" s="63"/>
      <c r="AE2915" s="63">
        <f>SUMIF(Town!$BB$1362:$BB$1607,$BL2915,Town!AE$1362:AE$1607)</f>
        <v>1</v>
      </c>
      <c r="AF2915" s="63">
        <f>SUMIF(Town!$BB$1362:$BB$1607,$BL2915,Town!AF$1362:AF$1607)</f>
        <v>0</v>
      </c>
      <c r="AG2915" s="63">
        <f>SUMIF(Town!$BB$1362:$BB$1607,$BL2915,Town!AG$1362:AG$1607)</f>
        <v>2</v>
      </c>
      <c r="AH2915" s="63"/>
      <c r="AI2915" s="63"/>
      <c r="AJ2915" s="63"/>
      <c r="AK2915" s="63"/>
      <c r="AL2915" s="63"/>
      <c r="AM2915" s="63"/>
      <c r="AN2915" s="63">
        <f>SUMIF(Town!$BB$1362:$BB$1607,$BL2915,Town!AN$1362:AN$1607)</f>
        <v>7</v>
      </c>
      <c r="AO2915" s="63"/>
      <c r="AP2915" s="63"/>
      <c r="AQ2915" s="63">
        <f>SUMIF(Town!$BB$1362:$BB$1607,$BL2915,Town!AQ$1362:AQ$1607)</f>
        <v>0</v>
      </c>
      <c r="AR2915" s="63"/>
      <c r="AS2915" s="63"/>
      <c r="AT2915" s="63"/>
      <c r="AU2915" s="63"/>
      <c r="AW2915" s="5">
        <f>IF(Q2915&gt;0,RANK(Q2915,(N2915:P2915,Q2915:AE2915)),0)</f>
        <v>4</v>
      </c>
      <c r="AX2915" s="5">
        <f>IF(R2915&gt;0,RANK(R2915,(N2915:P2915,Q2915:AE2915)),0)</f>
        <v>5</v>
      </c>
      <c r="AY2915" s="5">
        <f>IF(T2915&gt;0,RANK(T2915,(N2915:P2915,Q2915:AE2915)),0)</f>
        <v>6</v>
      </c>
      <c r="AZ2915" s="5">
        <f>IF(S2915&gt;0,RANK(S2915,(N2915:P2915,Q2915:AE2915)),0)</f>
        <v>9</v>
      </c>
      <c r="BA2915" s="2">
        <f t="shared" si="1143"/>
        <v>2.9598638150954253E-2</v>
      </c>
      <c r="BB2915" s="2">
        <f t="shared" si="1144"/>
        <v>2.1530641603529299E-2</v>
      </c>
      <c r="BC2915" s="2">
        <f t="shared" si="1145"/>
        <v>2.4215977750071927E-3</v>
      </c>
      <c r="BD2915" s="2">
        <f t="shared" si="1146"/>
        <v>5.035005274767431E-4</v>
      </c>
      <c r="BF2915" t="s">
        <v>3175</v>
      </c>
      <c r="BG2915" t="s">
        <v>2016</v>
      </c>
      <c r="BH2915">
        <v>1</v>
      </c>
      <c r="BJ2915" s="114">
        <v>50</v>
      </c>
      <c r="BK2915" s="116">
        <v>7</v>
      </c>
      <c r="BL2915" s="120">
        <f t="shared" si="1121"/>
        <v>50007</v>
      </c>
      <c r="BN2915" s="5" t="s">
        <v>3154</v>
      </c>
      <c r="BO2915" s="63">
        <f>SUMIF(Town!$BB$1362:$BB$1607,$BL2915,Town!BE$1362:BE$1607)</f>
        <v>1010</v>
      </c>
      <c r="BP2915" s="63">
        <f>SUMIF(Town!$BB$1362:$BB$1607,$BL2915,Town!BF$1362:BF$1607)</f>
        <v>311</v>
      </c>
      <c r="BR2915" s="63"/>
      <c r="CA2915" s="63">
        <f>SUMIF(Town!$BB$1362:$BB$1607,$BL2915,Town!BP$1362:BP$1607)</f>
        <v>5459</v>
      </c>
      <c r="CC2915" s="63">
        <f>SUMIF(Town!$BB$1362:$BB$1607,$BL2915,Town!BR$1362:BR$1607)</f>
        <v>4233</v>
      </c>
    </row>
    <row r="2916" spans="1:81" hidden="1" outlineLevel="1">
      <c r="A2916" t="s">
        <v>842</v>
      </c>
      <c r="B2916" t="s">
        <v>2016</v>
      </c>
      <c r="C2916" s="1">
        <f t="shared" si="1138"/>
        <v>2925</v>
      </c>
      <c r="D2916" s="5">
        <f>IF(N2916&gt;0, RANK(N2916,(N2916:P2916,Q2916:AE2916)),0)</f>
        <v>2</v>
      </c>
      <c r="E2916" s="5">
        <f>IF(O2916&gt;0,RANK(O2916,(N2916:P2916,Q2916:AE2916)),0)</f>
        <v>1</v>
      </c>
      <c r="F2916" s="5">
        <f>IF(P2916&gt;0,RANK(P2916,(N2916:P2916,Q2916:AE2916)),0)</f>
        <v>7</v>
      </c>
      <c r="G2916" s="132">
        <f t="shared" si="1134"/>
        <v>487</v>
      </c>
      <c r="H2916" s="137">
        <f t="shared" si="1135"/>
        <v>0.1664957264957265</v>
      </c>
      <c r="I2916" s="2"/>
      <c r="J2916" s="2">
        <f t="shared" si="1139"/>
        <v>0.34837606837606838</v>
      </c>
      <c r="K2916" s="2">
        <f t="shared" si="1140"/>
        <v>0.51487179487179491</v>
      </c>
      <c r="L2916" s="2">
        <f t="shared" si="1141"/>
        <v>3.4188034188034188E-3</v>
      </c>
      <c r="M2916" s="2">
        <f t="shared" si="1142"/>
        <v>0.1333333333333333</v>
      </c>
      <c r="N2916" s="63">
        <f>SUMIF(Town!$BB$1362:$BB$1607,$BL2916,Town!N$1362:N$1607)</f>
        <v>1019</v>
      </c>
      <c r="O2916" s="63">
        <f>SUMIF(Town!$BB$1362:$BB$1607,$BL2916,Town!O$1362:O$1607)</f>
        <v>1506</v>
      </c>
      <c r="P2916" s="63">
        <f>SUMIF(Town!$BB$1362:$BB$1607,$BL2916,Town!P$1362:P$1607)</f>
        <v>10</v>
      </c>
      <c r="Q2916" s="63">
        <f>SUMIF(Town!$BB$1362:$BB$1607,$BL2916,Town!Q$1362:Q$1607)</f>
        <v>121</v>
      </c>
      <c r="R2916" s="63">
        <f>SUMIF(Town!$BB$1362:$BB$1607,$BL2916,Town!R$1362:R$1607)</f>
        <v>43</v>
      </c>
      <c r="S2916" s="63">
        <f>SUMIF(Town!$BB$1362:$BB$1607,$BL2916,Town!S$1362:S$1607)</f>
        <v>0</v>
      </c>
      <c r="T2916" s="63">
        <f>SUMIF(Town!$BB$1362:$BB$1607,$BL2916,Town!T$1362:T$1607)</f>
        <v>12</v>
      </c>
      <c r="U2916" s="63">
        <f>SUMIF(Town!$BB$1362:$BB$1607,$BL2916,Town!U$1362:U$1607)</f>
        <v>0</v>
      </c>
      <c r="V2916" s="63">
        <f>SUMIF(Town!$BB$1362:$BB$1607,$BL2916,Town!V$1362:V$1607)</f>
        <v>5</v>
      </c>
      <c r="W2916" s="63">
        <f>SUMIF(Town!$BB$1362:$BB$1607,$BL2916,Town!W$1362:W$1607)</f>
        <v>209</v>
      </c>
      <c r="X2916" s="63">
        <f>SUMIF(Town!$BB$1362:$BB$1607,$BL2916,Town!X$1362:X$1607)</f>
        <v>0</v>
      </c>
      <c r="Y2916" s="63"/>
      <c r="Z2916" s="63"/>
      <c r="AA2916" s="63"/>
      <c r="AB2916" s="63"/>
      <c r="AC2916" s="63"/>
      <c r="AD2916" s="63"/>
      <c r="AE2916" s="63">
        <f>SUMIF(Town!$BB$1362:$BB$1607,$BL2916,Town!AE$1362:AE$1607)</f>
        <v>0</v>
      </c>
      <c r="AF2916" s="63">
        <f>SUMIF(Town!$BB$1362:$BB$1607,$BL2916,Town!AF$1362:AF$1607)</f>
        <v>0</v>
      </c>
      <c r="AG2916" s="63">
        <f>SUMIF(Town!$BB$1362:$BB$1607,$BL2916,Town!AG$1362:AG$1607)</f>
        <v>0</v>
      </c>
      <c r="AH2916" s="63"/>
      <c r="AI2916" s="63"/>
      <c r="AJ2916" s="63"/>
      <c r="AK2916" s="63"/>
      <c r="AL2916" s="63"/>
      <c r="AM2916" s="63"/>
      <c r="AN2916" s="63">
        <f>SUMIF(Town!$BB$1362:$BB$1607,$BL2916,Town!AN$1362:AN$1607)</f>
        <v>0</v>
      </c>
      <c r="AO2916" s="63"/>
      <c r="AP2916" s="63"/>
      <c r="AQ2916" s="63">
        <f>SUMIF(Town!$BB$1362:$BB$1607,$BL2916,Town!AQ$1362:AQ$1607)</f>
        <v>0</v>
      </c>
      <c r="AR2916" s="63"/>
      <c r="AS2916" s="63"/>
      <c r="AT2916" s="63"/>
      <c r="AU2916" s="63"/>
      <c r="AW2916" s="5">
        <f>IF(Q2916&gt;0,RANK(Q2916,(N2916:P2916,Q2916:AE2916)),0)</f>
        <v>4</v>
      </c>
      <c r="AX2916" s="5">
        <f>IF(R2916&gt;0,RANK(R2916,(N2916:P2916,Q2916:AE2916)),0)</f>
        <v>5</v>
      </c>
      <c r="AY2916" s="5">
        <f>IF(T2916&gt;0,RANK(T2916,(N2916:P2916,Q2916:AE2916)),0)</f>
        <v>6</v>
      </c>
      <c r="AZ2916" s="5">
        <f>IF(S2916&gt;0,RANK(S2916,(N2916:P2916,Q2916:AE2916)),0)</f>
        <v>0</v>
      </c>
      <c r="BA2916" s="2">
        <f t="shared" si="1143"/>
        <v>4.1367521367521365E-2</v>
      </c>
      <c r="BB2916" s="2">
        <f t="shared" si="1144"/>
        <v>1.4700854700854702E-2</v>
      </c>
      <c r="BC2916" s="2">
        <f t="shared" si="1145"/>
        <v>4.1025641025641026E-3</v>
      </c>
      <c r="BD2916" s="2">
        <f t="shared" si="1146"/>
        <v>0</v>
      </c>
      <c r="BF2916" t="s">
        <v>842</v>
      </c>
      <c r="BG2916" t="s">
        <v>2016</v>
      </c>
      <c r="BH2916">
        <v>1</v>
      </c>
      <c r="BJ2916" s="114">
        <v>50</v>
      </c>
      <c r="BK2916" s="116">
        <v>9</v>
      </c>
      <c r="BL2916" s="120">
        <f t="shared" si="1121"/>
        <v>50009</v>
      </c>
      <c r="BN2916" s="5" t="s">
        <v>3154</v>
      </c>
      <c r="BO2916" s="63">
        <f>SUMIF(Town!$BB$1362:$BB$1607,$BL2916,Town!BE$1362:BE$1607)</f>
        <v>38</v>
      </c>
      <c r="BP2916" s="63">
        <f>SUMIF(Town!$BB$1362:$BB$1607,$BL2916,Town!BF$1362:BF$1607)</f>
        <v>14</v>
      </c>
      <c r="BR2916" s="63"/>
      <c r="CA2916" s="63">
        <f>SUMIF(Town!$BB$1362:$BB$1607,$BL2916,Town!BP$1362:BP$1607)</f>
        <v>219</v>
      </c>
      <c r="CC2916" s="63">
        <f>SUMIF(Town!$BB$1362:$BB$1607,$BL2916,Town!BR$1362:BR$1607)</f>
        <v>148</v>
      </c>
    </row>
    <row r="2917" spans="1:81" hidden="1" outlineLevel="1">
      <c r="A2917" t="s">
        <v>1138</v>
      </c>
      <c r="B2917" t="s">
        <v>2016</v>
      </c>
      <c r="C2917" s="1">
        <f t="shared" si="1138"/>
        <v>21411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7</v>
      </c>
      <c r="G2917" s="132">
        <f t="shared" si="1134"/>
        <v>599</v>
      </c>
      <c r="H2917" s="137">
        <f t="shared" si="1135"/>
        <v>2.7976273877913221E-2</v>
      </c>
      <c r="I2917" s="2"/>
      <c r="J2917" s="2">
        <f t="shared" si="1139"/>
        <v>0.43673812526271544</v>
      </c>
      <c r="K2917" s="2">
        <f t="shared" si="1140"/>
        <v>0.4087618513848022</v>
      </c>
      <c r="L2917" s="2">
        <f t="shared" si="1141"/>
        <v>1.8214936247723133E-3</v>
      </c>
      <c r="M2917" s="2">
        <f t="shared" si="1142"/>
        <v>0.15267852972771009</v>
      </c>
      <c r="N2917" s="63">
        <f>SUMIF(Town!$BB$1362:$BB$1607,$BL2917,Town!N$1362:N$1607)</f>
        <v>9351</v>
      </c>
      <c r="O2917" s="63">
        <f>SUMIF(Town!$BB$1362:$BB$1607,$BL2917,Town!O$1362:O$1607)</f>
        <v>8752</v>
      </c>
      <c r="P2917" s="63">
        <f>SUMIF(Town!$BB$1362:$BB$1607,$BL2917,Town!P$1362:P$1607)</f>
        <v>39</v>
      </c>
      <c r="Q2917" s="63">
        <f>SUMIF(Town!$BB$1362:$BB$1607,$BL2917,Town!Q$1362:Q$1607)</f>
        <v>836</v>
      </c>
      <c r="R2917" s="63">
        <f>SUMIF(Town!$BB$1362:$BB$1607,$BL2917,Town!R$1362:R$1607)</f>
        <v>320</v>
      </c>
      <c r="S2917" s="63">
        <f>SUMIF(Town!$BB$1362:$BB$1607,$BL2917,Town!S$1362:S$1607)</f>
        <v>1</v>
      </c>
      <c r="T2917" s="63">
        <f>SUMIF(Town!$BB$1362:$BB$1607,$BL2917,Town!T$1362:T$1607)</f>
        <v>88</v>
      </c>
      <c r="U2917" s="63">
        <f>SUMIF(Town!$BB$1362:$BB$1607,$BL2917,Town!U$1362:U$1607)</f>
        <v>0</v>
      </c>
      <c r="V2917" s="63">
        <f>SUMIF(Town!$BB$1362:$BB$1607,$BL2917,Town!V$1362:V$1607)</f>
        <v>26</v>
      </c>
      <c r="W2917" s="63">
        <f>SUMIF(Town!$BB$1362:$BB$1607,$BL2917,Town!W$1362:W$1607)</f>
        <v>1996</v>
      </c>
      <c r="X2917" s="63">
        <f>SUMIF(Town!$BB$1362:$BB$1607,$BL2917,Town!X$1362:X$1607)</f>
        <v>0</v>
      </c>
      <c r="Y2917" s="63"/>
      <c r="Z2917" s="63"/>
      <c r="AA2917" s="63"/>
      <c r="AB2917" s="63"/>
      <c r="AC2917" s="63"/>
      <c r="AD2917" s="63"/>
      <c r="AE2917" s="63">
        <f>SUMIF(Town!$BB$1362:$BB$1607,$BL2917,Town!AE$1362:AE$1607)</f>
        <v>0</v>
      </c>
      <c r="AF2917" s="63">
        <f>SUMIF(Town!$BB$1362:$BB$1607,$BL2917,Town!AF$1362:AF$1607)</f>
        <v>0</v>
      </c>
      <c r="AG2917" s="63">
        <f>SUMIF(Town!$BB$1362:$BB$1607,$BL2917,Town!AG$1362:AG$1607)</f>
        <v>0</v>
      </c>
      <c r="AH2917" s="63"/>
      <c r="AI2917" s="63"/>
      <c r="AJ2917" s="63"/>
      <c r="AK2917" s="63"/>
      <c r="AL2917" s="63"/>
      <c r="AM2917" s="63"/>
      <c r="AN2917" s="63">
        <f>SUMIF(Town!$BB$1362:$BB$1607,$BL2917,Town!AN$1362:AN$1607)</f>
        <v>2</v>
      </c>
      <c r="AO2917" s="63"/>
      <c r="AP2917" s="63"/>
      <c r="AQ2917" s="63">
        <f>SUMIF(Town!$BB$1362:$BB$1607,$BL2917,Town!AQ$1362:AQ$1607)</f>
        <v>0</v>
      </c>
      <c r="AR2917" s="63"/>
      <c r="AS2917" s="63"/>
      <c r="AT2917" s="63"/>
      <c r="AU2917" s="63"/>
      <c r="AW2917" s="5">
        <f>IF(Q2917&gt;0,RANK(Q2917,(N2917:P2917,Q2917:AE2917)),0)</f>
        <v>4</v>
      </c>
      <c r="AX2917" s="5">
        <f>IF(R2917&gt;0,RANK(R2917,(N2917:P2917,Q2917:AE2917)),0)</f>
        <v>5</v>
      </c>
      <c r="AY2917" s="5">
        <f>IF(T2917&gt;0,RANK(T2917,(N2917:P2917,Q2917:AE2917)),0)</f>
        <v>6</v>
      </c>
      <c r="AZ2917" s="5">
        <f>IF(S2917&gt;0,RANK(S2917,(N2917:P2917,Q2917:AE2917)),0)</f>
        <v>9</v>
      </c>
      <c r="BA2917" s="2">
        <f t="shared" si="1143"/>
        <v>3.9045350520760358E-2</v>
      </c>
      <c r="BB2917" s="2">
        <f t="shared" si="1144"/>
        <v>1.4945588716080519E-2</v>
      </c>
      <c r="BC2917" s="2">
        <f t="shared" si="1145"/>
        <v>4.1100368969221425E-3</v>
      </c>
      <c r="BD2917" s="2">
        <f t="shared" si="1146"/>
        <v>4.6704964737751625E-5</v>
      </c>
      <c r="BF2917" t="s">
        <v>1138</v>
      </c>
      <c r="BG2917" t="s">
        <v>2016</v>
      </c>
      <c r="BH2917">
        <v>1</v>
      </c>
      <c r="BJ2917" s="114">
        <v>50</v>
      </c>
      <c r="BK2917" s="116">
        <v>11</v>
      </c>
      <c r="BL2917" s="120">
        <f t="shared" si="1121"/>
        <v>50011</v>
      </c>
      <c r="BN2917" s="5" t="s">
        <v>3154</v>
      </c>
      <c r="BO2917" s="63">
        <f>SUMIF(Town!$BB$1362:$BB$1607,$BL2917,Town!BE$1362:BE$1607)</f>
        <v>345</v>
      </c>
      <c r="BP2917" s="63">
        <f>SUMIF(Town!$BB$1362:$BB$1607,$BL2917,Town!BF$1362:BF$1607)</f>
        <v>46</v>
      </c>
      <c r="BR2917" s="63"/>
      <c r="CA2917" s="63">
        <f>SUMIF(Town!$BB$1362:$BB$1607,$BL2917,Town!BP$1362:BP$1607)</f>
        <v>2038</v>
      </c>
      <c r="CC2917" s="63">
        <f>SUMIF(Town!$BB$1362:$BB$1607,$BL2917,Town!BR$1362:BR$1607)</f>
        <v>1656</v>
      </c>
    </row>
    <row r="2918" spans="1:81" hidden="1" outlineLevel="1">
      <c r="A2918" t="s">
        <v>3176</v>
      </c>
      <c r="B2918" t="s">
        <v>2016</v>
      </c>
      <c r="C2918" s="1">
        <f t="shared" si="1138"/>
        <v>4109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7</v>
      </c>
      <c r="G2918" s="132">
        <f t="shared" si="1134"/>
        <v>607</v>
      </c>
      <c r="H2918" s="137">
        <f t="shared" si="1135"/>
        <v>0.14772450717936236</v>
      </c>
      <c r="I2918" s="2"/>
      <c r="J2918" s="2">
        <f t="shared" si="1139"/>
        <v>0.50961304453638356</v>
      </c>
      <c r="K2918" s="2">
        <f t="shared" si="1140"/>
        <v>0.3618885373570212</v>
      </c>
      <c r="L2918" s="2">
        <f t="shared" si="1141"/>
        <v>7.3010464833292768E-4</v>
      </c>
      <c r="M2918" s="2">
        <f t="shared" si="1142"/>
        <v>0.12776831345826231</v>
      </c>
      <c r="N2918" s="63">
        <f>SUMIF(Town!$BB$1362:$BB$1607,$BL2918,Town!N$1362:N$1607)</f>
        <v>2094</v>
      </c>
      <c r="O2918" s="63">
        <f>SUMIF(Town!$BB$1362:$BB$1607,$BL2918,Town!O$1362:O$1607)</f>
        <v>1487</v>
      </c>
      <c r="P2918" s="63">
        <f>SUMIF(Town!$BB$1362:$BB$1607,$BL2918,Town!P$1362:P$1607)</f>
        <v>3</v>
      </c>
      <c r="Q2918" s="63">
        <f>SUMIF(Town!$BB$1362:$BB$1607,$BL2918,Town!Q$1362:Q$1607)</f>
        <v>131</v>
      </c>
      <c r="R2918" s="63">
        <f>SUMIF(Town!$BB$1362:$BB$1607,$BL2918,Town!R$1362:R$1607)</f>
        <v>50</v>
      </c>
      <c r="S2918" s="63">
        <f>SUMIF(Town!$BB$1362:$BB$1607,$BL2918,Town!S$1362:S$1607)</f>
        <v>0</v>
      </c>
      <c r="T2918" s="63">
        <f>SUMIF(Town!$BB$1362:$BB$1607,$BL2918,Town!T$1362:T$1607)</f>
        <v>14</v>
      </c>
      <c r="U2918" s="63">
        <f>SUMIF(Town!$BB$1362:$BB$1607,$BL2918,Town!U$1362:U$1607)</f>
        <v>0</v>
      </c>
      <c r="V2918" s="63">
        <f>SUMIF(Town!$BB$1362:$BB$1607,$BL2918,Town!V$1362:V$1607)</f>
        <v>3</v>
      </c>
      <c r="W2918" s="63">
        <f>SUMIF(Town!$BB$1362:$BB$1607,$BL2918,Town!W$1362:W$1607)</f>
        <v>327</v>
      </c>
      <c r="X2918" s="63">
        <f>SUMIF(Town!$BB$1362:$BB$1607,$BL2918,Town!X$1362:X$1607)</f>
        <v>0</v>
      </c>
      <c r="Y2918" s="63"/>
      <c r="Z2918" s="63"/>
      <c r="AA2918" s="63"/>
      <c r="AB2918" s="63"/>
      <c r="AC2918" s="63"/>
      <c r="AD2918" s="63"/>
      <c r="AE2918" s="63">
        <f>SUMIF(Town!$BB$1362:$BB$1607,$BL2918,Town!AE$1362:AE$1607)</f>
        <v>0</v>
      </c>
      <c r="AF2918" s="63">
        <f>SUMIF(Town!$BB$1362:$BB$1607,$BL2918,Town!AF$1362:AF$1607)</f>
        <v>0</v>
      </c>
      <c r="AG2918" s="63">
        <f>SUMIF(Town!$BB$1362:$BB$1607,$BL2918,Town!AG$1362:AG$1607)</f>
        <v>0</v>
      </c>
      <c r="AH2918" s="63"/>
      <c r="AI2918" s="63"/>
      <c r="AJ2918" s="63"/>
      <c r="AK2918" s="63"/>
      <c r="AL2918" s="63"/>
      <c r="AM2918" s="63"/>
      <c r="AN2918" s="63">
        <f>SUMIF(Town!$BB$1362:$BB$1607,$BL2918,Town!AN$1362:AN$1607)</f>
        <v>0</v>
      </c>
      <c r="AO2918" s="63"/>
      <c r="AP2918" s="63"/>
      <c r="AQ2918" s="63">
        <f>SUMIF(Town!$BB$1362:$BB$1607,$BL2918,Town!AQ$1362:AQ$1607)</f>
        <v>0</v>
      </c>
      <c r="AR2918" s="63"/>
      <c r="AS2918" s="63"/>
      <c r="AT2918" s="63"/>
      <c r="AU2918" s="63"/>
      <c r="AW2918" s="5">
        <f>IF(Q2918&gt;0,RANK(Q2918,(N2918:P2918,Q2918:AE2918)),0)</f>
        <v>4</v>
      </c>
      <c r="AX2918" s="5">
        <f>IF(R2918&gt;0,RANK(R2918,(N2918:P2918,Q2918:AE2918)),0)</f>
        <v>5</v>
      </c>
      <c r="AY2918" s="5">
        <f>IF(T2918&gt;0,RANK(T2918,(N2918:P2918,Q2918:AE2918)),0)</f>
        <v>6</v>
      </c>
      <c r="AZ2918" s="5">
        <f>IF(S2918&gt;0,RANK(S2918,(N2918:P2918,Q2918:AE2918)),0)</f>
        <v>0</v>
      </c>
      <c r="BA2918" s="2">
        <f t="shared" si="1143"/>
        <v>3.1881236310537846E-2</v>
      </c>
      <c r="BB2918" s="2">
        <f t="shared" si="1144"/>
        <v>1.2168410805548795E-2</v>
      </c>
      <c r="BC2918" s="2">
        <f t="shared" si="1145"/>
        <v>3.4071550255536627E-3</v>
      </c>
      <c r="BD2918" s="2">
        <f t="shared" si="1146"/>
        <v>0</v>
      </c>
      <c r="BF2918" t="s">
        <v>3176</v>
      </c>
      <c r="BG2918" t="s">
        <v>2016</v>
      </c>
      <c r="BH2918">
        <v>1</v>
      </c>
      <c r="BJ2918" s="114">
        <v>50</v>
      </c>
      <c r="BK2918" s="116">
        <v>13</v>
      </c>
      <c r="BL2918" s="120">
        <f t="shared" si="1121"/>
        <v>50013</v>
      </c>
      <c r="BN2918" s="5" t="s">
        <v>3154</v>
      </c>
      <c r="BO2918" s="63">
        <f>SUMIF(Town!$BB$1362:$BB$1607,$BL2918,Town!BE$1362:BE$1607)</f>
        <v>78</v>
      </c>
      <c r="BP2918" s="63">
        <f>SUMIF(Town!$BB$1362:$BB$1607,$BL2918,Town!BF$1362:BF$1607)</f>
        <v>12</v>
      </c>
      <c r="BR2918" s="63"/>
      <c r="CA2918" s="63">
        <f>SUMIF(Town!$BB$1362:$BB$1607,$BL2918,Town!BP$1362:BP$1607)</f>
        <v>330</v>
      </c>
      <c r="CC2918" s="63">
        <f>SUMIF(Town!$BB$1362:$BB$1607,$BL2918,Town!BR$1362:BR$1607)</f>
        <v>289</v>
      </c>
    </row>
    <row r="2919" spans="1:81" hidden="1" outlineLevel="1">
      <c r="A2919" t="s">
        <v>2768</v>
      </c>
      <c r="B2919" t="s">
        <v>2016</v>
      </c>
      <c r="C2919" s="1">
        <f t="shared" si="1138"/>
        <v>12762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7</v>
      </c>
      <c r="G2919" s="132">
        <f t="shared" si="1134"/>
        <v>3671</v>
      </c>
      <c r="H2919" s="137">
        <f t="shared" si="1135"/>
        <v>0.2876508384265789</v>
      </c>
      <c r="I2919" s="2"/>
      <c r="J2919" s="2">
        <f t="shared" si="1139"/>
        <v>0.56738755680927755</v>
      </c>
      <c r="K2919" s="2">
        <f t="shared" si="1140"/>
        <v>0.27973671838269865</v>
      </c>
      <c r="L2919" s="2">
        <f t="shared" si="1141"/>
        <v>1.567152483936687E-3</v>
      </c>
      <c r="M2919" s="2">
        <f t="shared" si="1142"/>
        <v>0.15130857232408712</v>
      </c>
      <c r="N2919" s="63">
        <f>SUMIF(Town!$BB$1362:$BB$1607,$BL2919,Town!N$1362:N$1607)</f>
        <v>7241</v>
      </c>
      <c r="O2919" s="63">
        <f>SUMIF(Town!$BB$1362:$BB$1607,$BL2919,Town!O$1362:O$1607)</f>
        <v>3570</v>
      </c>
      <c r="P2919" s="63">
        <f>SUMIF(Town!$BB$1362:$BB$1607,$BL2919,Town!P$1362:P$1607)</f>
        <v>20</v>
      </c>
      <c r="Q2919" s="63">
        <f>SUMIF(Town!$BB$1362:$BB$1607,$BL2919,Town!Q$1362:Q$1607)</f>
        <v>457</v>
      </c>
      <c r="R2919" s="63">
        <f>SUMIF(Town!$BB$1362:$BB$1607,$BL2919,Town!R$1362:R$1607)</f>
        <v>326</v>
      </c>
      <c r="S2919" s="63">
        <f>SUMIF(Town!$BB$1362:$BB$1607,$BL2919,Town!S$1362:S$1607)</f>
        <v>3</v>
      </c>
      <c r="T2919" s="63">
        <f>SUMIF(Town!$BB$1362:$BB$1607,$BL2919,Town!T$1362:T$1607)</f>
        <v>31</v>
      </c>
      <c r="U2919" s="63">
        <f>SUMIF(Town!$BB$1362:$BB$1607,$BL2919,Town!U$1362:U$1607)</f>
        <v>0</v>
      </c>
      <c r="V2919" s="63">
        <f>SUMIF(Town!$BB$1362:$BB$1607,$BL2919,Town!V$1362:V$1607)</f>
        <v>16</v>
      </c>
      <c r="W2919" s="63">
        <f>SUMIF(Town!$BB$1362:$BB$1607,$BL2919,Town!W$1362:W$1607)</f>
        <v>1098</v>
      </c>
      <c r="X2919" s="63">
        <f>SUMIF(Town!$BB$1362:$BB$1607,$BL2919,Town!X$1362:X$1607)</f>
        <v>0</v>
      </c>
      <c r="Y2919" s="63"/>
      <c r="Z2919" s="63"/>
      <c r="AA2919" s="63"/>
      <c r="AB2919" s="63"/>
      <c r="AC2919" s="63"/>
      <c r="AD2919" s="63"/>
      <c r="AE2919" s="63">
        <f>SUMIF(Town!$BB$1362:$BB$1607,$BL2919,Town!AE$1362:AE$1607)</f>
        <v>0</v>
      </c>
      <c r="AF2919" s="63">
        <f>SUMIF(Town!$BB$1362:$BB$1607,$BL2919,Town!AF$1362:AF$1607)</f>
        <v>0</v>
      </c>
      <c r="AG2919" s="63">
        <f>SUMIF(Town!$BB$1362:$BB$1607,$BL2919,Town!AG$1362:AG$1607)</f>
        <v>0</v>
      </c>
      <c r="AH2919" s="63"/>
      <c r="AI2919" s="63"/>
      <c r="AJ2919" s="63"/>
      <c r="AK2919" s="63"/>
      <c r="AL2919" s="63"/>
      <c r="AM2919" s="63"/>
      <c r="AN2919" s="63">
        <f>SUMIF(Town!$BB$1362:$BB$1607,$BL2919,Town!AN$1362:AN$1607)</f>
        <v>0</v>
      </c>
      <c r="AO2919" s="63"/>
      <c r="AP2919" s="63"/>
      <c r="AQ2919" s="63">
        <f>SUMIF(Town!$BB$1362:$BB$1607,$BL2919,Town!AQ$1362:AQ$1607)</f>
        <v>0</v>
      </c>
      <c r="AR2919" s="63"/>
      <c r="AS2919" s="63"/>
      <c r="AT2919" s="63"/>
      <c r="AU2919" s="63"/>
      <c r="AW2919" s="5">
        <f>IF(Q2919&gt;0,RANK(Q2919,(N2919:P2919,Q2919:AE2919)),0)</f>
        <v>4</v>
      </c>
      <c r="AX2919" s="5">
        <f>IF(R2919&gt;0,RANK(R2919,(N2919:P2919,Q2919:AE2919)),0)</f>
        <v>5</v>
      </c>
      <c r="AY2919" s="5">
        <f>IF(T2919&gt;0,RANK(T2919,(N2919:P2919,Q2919:AE2919)),0)</f>
        <v>6</v>
      </c>
      <c r="AZ2919" s="5">
        <f>IF(S2919&gt;0,RANK(S2919,(N2919:P2919,Q2919:AE2919)),0)</f>
        <v>9</v>
      </c>
      <c r="BA2919" s="2">
        <f t="shared" si="1143"/>
        <v>3.5809434257953299E-2</v>
      </c>
      <c r="BB2919" s="2">
        <f t="shared" si="1144"/>
        <v>2.5544585488167997E-2</v>
      </c>
      <c r="BC2919" s="2">
        <f t="shared" si="1145"/>
        <v>2.429086350101865E-3</v>
      </c>
      <c r="BD2919" s="2">
        <f t="shared" si="1146"/>
        <v>2.3507287259050304E-4</v>
      </c>
      <c r="BF2919" t="s">
        <v>2768</v>
      </c>
      <c r="BG2919" t="s">
        <v>2016</v>
      </c>
      <c r="BH2919">
        <v>1</v>
      </c>
      <c r="BJ2919" s="114">
        <v>50</v>
      </c>
      <c r="BK2919" s="116">
        <v>15</v>
      </c>
      <c r="BL2919" s="120">
        <f t="shared" si="1121"/>
        <v>50015</v>
      </c>
      <c r="BN2919" s="5" t="s">
        <v>3154</v>
      </c>
      <c r="BO2919" s="63">
        <f>SUMIF(Town!$BB$1362:$BB$1607,$BL2919,Town!BE$1362:BE$1607)</f>
        <v>197</v>
      </c>
      <c r="BP2919" s="63">
        <f>SUMIF(Town!$BB$1362:$BB$1607,$BL2919,Town!BF$1362:BF$1607)</f>
        <v>24</v>
      </c>
      <c r="BR2919" s="63"/>
      <c r="CA2919" s="63">
        <f>SUMIF(Town!$BB$1362:$BB$1607,$BL2919,Town!BP$1362:BP$1607)</f>
        <v>1121</v>
      </c>
      <c r="CC2919" s="63">
        <f>SUMIF(Town!$BB$1362:$BB$1607,$BL2919,Town!BR$1362:BR$1607)</f>
        <v>925</v>
      </c>
    </row>
    <row r="2920" spans="1:81" hidden="1" outlineLevel="1">
      <c r="A2920" t="s">
        <v>2013</v>
      </c>
      <c r="B2920" t="s">
        <v>2016</v>
      </c>
      <c r="C2920" s="1">
        <f t="shared" si="1138"/>
        <v>14649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7</v>
      </c>
      <c r="G2920" s="132">
        <f t="shared" si="1134"/>
        <v>2534</v>
      </c>
      <c r="H2920" s="137">
        <f t="shared" si="1135"/>
        <v>0.17298109085944433</v>
      </c>
      <c r="I2920" s="2"/>
      <c r="J2920" s="2">
        <f t="shared" si="1139"/>
        <v>0.51477916581336614</v>
      </c>
      <c r="K2920" s="2">
        <f t="shared" si="1140"/>
        <v>0.34179807495392178</v>
      </c>
      <c r="L2920" s="2">
        <f t="shared" si="1141"/>
        <v>2.116185405147109E-3</v>
      </c>
      <c r="M2920" s="2">
        <f t="shared" si="1142"/>
        <v>0.14130657382756498</v>
      </c>
      <c r="N2920" s="63">
        <f>SUMIF(Town!$BB$1362:$BB$1607,$BL2920,Town!N$1362:N$1607)</f>
        <v>7541</v>
      </c>
      <c r="O2920" s="63">
        <f>SUMIF(Town!$BB$1362:$BB$1607,$BL2920,Town!O$1362:O$1607)</f>
        <v>5007</v>
      </c>
      <c r="P2920" s="63">
        <f>SUMIF(Town!$BB$1362:$BB$1607,$BL2920,Town!P$1362:P$1607)</f>
        <v>31</v>
      </c>
      <c r="Q2920" s="63">
        <f>SUMIF(Town!$BB$1362:$BB$1607,$BL2920,Town!Q$1362:Q$1607)</f>
        <v>513</v>
      </c>
      <c r="R2920" s="63">
        <f>SUMIF(Town!$BB$1362:$BB$1607,$BL2920,Town!R$1362:R$1607)</f>
        <v>350</v>
      </c>
      <c r="S2920" s="63">
        <f>SUMIF(Town!$BB$1362:$BB$1607,$BL2920,Town!S$1362:S$1607)</f>
        <v>1</v>
      </c>
      <c r="T2920" s="63">
        <f>SUMIF(Town!$BB$1362:$BB$1607,$BL2920,Town!T$1362:T$1607)</f>
        <v>71</v>
      </c>
      <c r="U2920" s="63">
        <f>SUMIF(Town!$BB$1362:$BB$1607,$BL2920,Town!U$1362:U$1607)</f>
        <v>0</v>
      </c>
      <c r="V2920" s="63">
        <f>SUMIF(Town!$BB$1362:$BB$1607,$BL2920,Town!V$1362:V$1607)</f>
        <v>12</v>
      </c>
      <c r="W2920" s="63">
        <f>SUMIF(Town!$BB$1362:$BB$1607,$BL2920,Town!W$1362:W$1607)</f>
        <v>1122</v>
      </c>
      <c r="X2920" s="63">
        <f>SUMIF(Town!$BB$1362:$BB$1607,$BL2920,Town!X$1362:X$1607)</f>
        <v>0</v>
      </c>
      <c r="Y2920" s="63"/>
      <c r="Z2920" s="63"/>
      <c r="AA2920" s="63"/>
      <c r="AB2920" s="63"/>
      <c r="AC2920" s="63"/>
      <c r="AD2920" s="63"/>
      <c r="AE2920" s="63">
        <f>SUMIF(Town!$BB$1362:$BB$1607,$BL2920,Town!AE$1362:AE$1607)</f>
        <v>0</v>
      </c>
      <c r="AF2920" s="63">
        <f>SUMIF(Town!$BB$1362:$BB$1607,$BL2920,Town!AF$1362:AF$1607)</f>
        <v>0</v>
      </c>
      <c r="AG2920" s="63">
        <f>SUMIF(Town!$BB$1362:$BB$1607,$BL2920,Town!AG$1362:AG$1607)</f>
        <v>0</v>
      </c>
      <c r="AH2920" s="63"/>
      <c r="AI2920" s="63"/>
      <c r="AJ2920" s="63"/>
      <c r="AK2920" s="63"/>
      <c r="AL2920" s="63"/>
      <c r="AM2920" s="63"/>
      <c r="AN2920" s="63">
        <f>SUMIF(Town!$BB$1362:$BB$1607,$BL2920,Town!AN$1362:AN$1607)</f>
        <v>1</v>
      </c>
      <c r="AO2920" s="63"/>
      <c r="AP2920" s="63"/>
      <c r="AQ2920" s="63">
        <f>SUMIF(Town!$BB$1362:$BB$1607,$BL2920,Town!AQ$1362:AQ$1607)</f>
        <v>0</v>
      </c>
      <c r="AR2920" s="63"/>
      <c r="AS2920" s="63"/>
      <c r="AT2920" s="63"/>
      <c r="AU2920" s="63"/>
      <c r="AW2920" s="5">
        <f>IF(Q2920&gt;0,RANK(Q2920,(N2920:P2920,Q2920:AE2920)),0)</f>
        <v>4</v>
      </c>
      <c r="AX2920" s="5">
        <f>IF(R2920&gt;0,RANK(R2920,(N2920:P2920,Q2920:AE2920)),0)</f>
        <v>5</v>
      </c>
      <c r="AY2920" s="5">
        <f>IF(T2920&gt;0,RANK(T2920,(N2920:P2920,Q2920:AE2920)),0)</f>
        <v>6</v>
      </c>
      <c r="AZ2920" s="5">
        <f>IF(S2920&gt;0,RANK(S2920,(N2920:P2920,Q2920:AE2920)),0)</f>
        <v>9</v>
      </c>
      <c r="BA2920" s="2">
        <f t="shared" si="1143"/>
        <v>3.5019455252918288E-2</v>
      </c>
      <c r="BB2920" s="2">
        <f t="shared" si="1144"/>
        <v>2.3892415864564136E-2</v>
      </c>
      <c r="BC2920" s="2">
        <f t="shared" si="1145"/>
        <v>4.8467472182401527E-3</v>
      </c>
      <c r="BD2920" s="2">
        <f t="shared" si="1146"/>
        <v>6.8264045327326103E-5</v>
      </c>
      <c r="BF2920" t="s">
        <v>2013</v>
      </c>
      <c r="BG2920" t="s">
        <v>2016</v>
      </c>
      <c r="BH2920">
        <v>1</v>
      </c>
      <c r="BJ2920" s="114">
        <v>50</v>
      </c>
      <c r="BK2920" s="116">
        <v>17</v>
      </c>
      <c r="BL2920" s="120">
        <f t="shared" si="1121"/>
        <v>50017</v>
      </c>
      <c r="BN2920" s="5" t="s">
        <v>3154</v>
      </c>
      <c r="BO2920" s="63">
        <f>SUMIF(Town!$BB$1362:$BB$1607,$BL2920,Town!BE$1362:BE$1607)</f>
        <v>216</v>
      </c>
      <c r="BP2920" s="63">
        <f>SUMIF(Town!$BB$1362:$BB$1607,$BL2920,Town!BF$1362:BF$1607)</f>
        <v>56</v>
      </c>
      <c r="BR2920" s="63"/>
      <c r="CA2920" s="63">
        <f>SUMIF(Town!$BB$1362:$BB$1607,$BL2920,Town!BP$1362:BP$1607)</f>
        <v>1155</v>
      </c>
      <c r="CC2920" s="63">
        <f>SUMIF(Town!$BB$1362:$BB$1607,$BL2920,Town!BR$1362:BR$1607)</f>
        <v>976</v>
      </c>
    </row>
    <row r="2921" spans="1:81" hidden="1" outlineLevel="1">
      <c r="A2921" t="s">
        <v>405</v>
      </c>
      <c r="B2921" t="s">
        <v>2016</v>
      </c>
      <c r="C2921" s="1">
        <f t="shared" si="1138"/>
        <v>12046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8</v>
      </c>
      <c r="G2921" s="132">
        <f t="shared" si="1134"/>
        <v>26</v>
      </c>
      <c r="H2921" s="137">
        <f t="shared" si="1135"/>
        <v>2.158392827494604E-3</v>
      </c>
      <c r="I2921" s="2"/>
      <c r="J2921" s="2">
        <f t="shared" si="1139"/>
        <v>0.43043333886767393</v>
      </c>
      <c r="K2921" s="2">
        <f t="shared" si="1140"/>
        <v>0.42827494604017929</v>
      </c>
      <c r="L2921" s="2">
        <f t="shared" si="1141"/>
        <v>1.2452266312468869E-3</v>
      </c>
      <c r="M2921" s="2">
        <f t="shared" si="1142"/>
        <v>0.14004648846089984</v>
      </c>
      <c r="N2921" s="63">
        <f>SUMIF(Town!$BB$1362:$BB$1607,$BL2921,Town!N$1362:N$1607)</f>
        <v>5185</v>
      </c>
      <c r="O2921" s="63">
        <f>SUMIF(Town!$BB$1362:$BB$1607,$BL2921,Town!O$1362:O$1607)</f>
        <v>5159</v>
      </c>
      <c r="P2921" s="63">
        <f>SUMIF(Town!$BB$1362:$BB$1607,$BL2921,Town!P$1362:P$1607)</f>
        <v>15</v>
      </c>
      <c r="Q2921" s="63">
        <f>SUMIF(Town!$BB$1362:$BB$1607,$BL2921,Town!Q$1362:Q$1607)</f>
        <v>398</v>
      </c>
      <c r="R2921" s="63">
        <f>SUMIF(Town!$BB$1362:$BB$1607,$BL2921,Town!R$1362:R$1607)</f>
        <v>194</v>
      </c>
      <c r="S2921" s="63">
        <f>SUMIF(Town!$BB$1362:$BB$1607,$BL2921,Town!S$1362:S$1607)</f>
        <v>3</v>
      </c>
      <c r="T2921" s="63">
        <f>SUMIF(Town!$BB$1362:$BB$1607,$BL2921,Town!T$1362:T$1607)</f>
        <v>40</v>
      </c>
      <c r="U2921" s="63">
        <f>SUMIF(Town!$BB$1362:$BB$1607,$BL2921,Town!U$1362:U$1607)</f>
        <v>0</v>
      </c>
      <c r="V2921" s="63">
        <f>SUMIF(Town!$BB$1362:$BB$1607,$BL2921,Town!V$1362:V$1607)</f>
        <v>18</v>
      </c>
      <c r="W2921" s="63">
        <f>SUMIF(Town!$BB$1362:$BB$1607,$BL2921,Town!W$1362:W$1607)</f>
        <v>1031</v>
      </c>
      <c r="X2921" s="63">
        <f>SUMIF(Town!$BB$1362:$BB$1607,$BL2921,Town!X$1362:X$1607)</f>
        <v>1</v>
      </c>
      <c r="Y2921" s="63"/>
      <c r="Z2921" s="63"/>
      <c r="AA2921" s="63"/>
      <c r="AB2921" s="63"/>
      <c r="AC2921" s="63"/>
      <c r="AD2921" s="63"/>
      <c r="AE2921" s="63">
        <f>SUMIF(Town!$BB$1362:$BB$1607,$BL2921,Town!AE$1362:AE$1607)</f>
        <v>0</v>
      </c>
      <c r="AF2921" s="63">
        <f>SUMIF(Town!$BB$1362:$BB$1607,$BL2921,Town!AF$1362:AF$1607)</f>
        <v>0</v>
      </c>
      <c r="AG2921" s="63">
        <f>SUMIF(Town!$BB$1362:$BB$1607,$BL2921,Town!AG$1362:AG$1607)</f>
        <v>0</v>
      </c>
      <c r="AH2921" s="63"/>
      <c r="AI2921" s="63"/>
      <c r="AJ2921" s="63"/>
      <c r="AK2921" s="63"/>
      <c r="AL2921" s="63"/>
      <c r="AM2921" s="63"/>
      <c r="AN2921" s="63">
        <f>SUMIF(Town!$BB$1362:$BB$1607,$BL2921,Town!AN$1362:AN$1607)</f>
        <v>2</v>
      </c>
      <c r="AO2921" s="63"/>
      <c r="AP2921" s="63"/>
      <c r="AQ2921" s="63">
        <f>SUMIF(Town!$BB$1362:$BB$1607,$BL2921,Town!AQ$1362:AQ$1607)</f>
        <v>0</v>
      </c>
      <c r="AR2921" s="63"/>
      <c r="AS2921" s="63"/>
      <c r="AT2921" s="63"/>
      <c r="AU2921" s="63"/>
      <c r="AW2921" s="5">
        <f>IF(Q2921&gt;0,RANK(Q2921,(N2921:P2921,Q2921:AE2921)),0)</f>
        <v>4</v>
      </c>
      <c r="AX2921" s="5">
        <f>IF(R2921&gt;0,RANK(R2921,(N2921:P2921,Q2921:AE2921)),0)</f>
        <v>5</v>
      </c>
      <c r="AY2921" s="5">
        <f>IF(T2921&gt;0,RANK(T2921,(N2921:P2921,Q2921:AE2921)),0)</f>
        <v>6</v>
      </c>
      <c r="AZ2921" s="5">
        <f>IF(S2921&gt;0,RANK(S2921,(N2921:P2921,Q2921:AE2921)),0)</f>
        <v>9</v>
      </c>
      <c r="BA2921" s="2">
        <f t="shared" si="1143"/>
        <v>3.3040013282417402E-2</v>
      </c>
      <c r="BB2921" s="2">
        <f t="shared" si="1144"/>
        <v>1.6104931097459738E-2</v>
      </c>
      <c r="BC2921" s="2">
        <f t="shared" si="1145"/>
        <v>3.3206043499916984E-3</v>
      </c>
      <c r="BD2921" s="2">
        <f t="shared" si="1146"/>
        <v>2.4904532624937738E-4</v>
      </c>
      <c r="BF2921" t="s">
        <v>405</v>
      </c>
      <c r="BG2921" t="s">
        <v>2016</v>
      </c>
      <c r="BH2921">
        <v>1</v>
      </c>
      <c r="BJ2921" s="114">
        <v>50</v>
      </c>
      <c r="BK2921" s="116">
        <v>19</v>
      </c>
      <c r="BL2921" s="120">
        <f t="shared" si="1121"/>
        <v>50019</v>
      </c>
      <c r="BN2921" s="5" t="s">
        <v>3154</v>
      </c>
      <c r="BO2921" s="63">
        <f>SUMIF(Town!$BB$1362:$BB$1607,$BL2921,Town!BE$1362:BE$1607)</f>
        <v>162</v>
      </c>
      <c r="BP2921" s="63">
        <f>SUMIF(Town!$BB$1362:$BB$1607,$BL2921,Town!BF$1362:BF$1607)</f>
        <v>39</v>
      </c>
      <c r="BR2921" s="63"/>
      <c r="CA2921" s="63">
        <f>SUMIF(Town!$BB$1362:$BB$1607,$BL2921,Town!BP$1362:BP$1607)</f>
        <v>1052</v>
      </c>
      <c r="CC2921" s="63">
        <f>SUMIF(Town!$BB$1362:$BB$1607,$BL2921,Town!BR$1362:BR$1607)</f>
        <v>758</v>
      </c>
    </row>
    <row r="2922" spans="1:81" hidden="1" outlineLevel="1">
      <c r="A2922" t="s">
        <v>589</v>
      </c>
      <c r="B2922" t="s">
        <v>2016</v>
      </c>
      <c r="C2922" s="1">
        <f t="shared" si="1138"/>
        <v>29615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7</v>
      </c>
      <c r="G2922" s="132">
        <f t="shared" si="1134"/>
        <v>1156</v>
      </c>
      <c r="H2922" s="137">
        <f t="shared" si="1135"/>
        <v>3.9034273172378862E-2</v>
      </c>
      <c r="I2922" s="2"/>
      <c r="J2922" s="2">
        <f t="shared" si="1139"/>
        <v>0.46040857673476276</v>
      </c>
      <c r="K2922" s="2">
        <f t="shared" si="1140"/>
        <v>0.42137430356238392</v>
      </c>
      <c r="L2922" s="2">
        <f t="shared" si="1141"/>
        <v>1.6883336147222692E-3</v>
      </c>
      <c r="M2922" s="2">
        <f t="shared" si="1142"/>
        <v>0.11652878608813104</v>
      </c>
      <c r="N2922" s="63">
        <f>SUMIF(Town!$BB$1362:$BB$1607,$BL2922,Town!N$1362:N$1607)</f>
        <v>13635</v>
      </c>
      <c r="O2922" s="63">
        <f>SUMIF(Town!$BB$1362:$BB$1607,$BL2922,Town!O$1362:O$1607)</f>
        <v>12479</v>
      </c>
      <c r="P2922" s="63">
        <f>SUMIF(Town!$BB$1362:$BB$1607,$BL2922,Town!P$1362:P$1607)</f>
        <v>50</v>
      </c>
      <c r="Q2922" s="63">
        <f>SUMIF(Town!$BB$1362:$BB$1607,$BL2922,Town!Q$1362:Q$1607)</f>
        <v>946</v>
      </c>
      <c r="R2922" s="63">
        <f>SUMIF(Town!$BB$1362:$BB$1607,$BL2922,Town!R$1362:R$1607)</f>
        <v>467</v>
      </c>
      <c r="S2922" s="63">
        <f>SUMIF(Town!$BB$1362:$BB$1607,$BL2922,Town!S$1362:S$1607)</f>
        <v>1</v>
      </c>
      <c r="T2922" s="63">
        <f>SUMIF(Town!$BB$1362:$BB$1607,$BL2922,Town!T$1362:T$1607)</f>
        <v>112</v>
      </c>
      <c r="U2922" s="63">
        <f>SUMIF(Town!$BB$1362:$BB$1607,$BL2922,Town!U$1362:U$1607)</f>
        <v>0</v>
      </c>
      <c r="V2922" s="63">
        <f>SUMIF(Town!$BB$1362:$BB$1607,$BL2922,Town!V$1362:V$1607)</f>
        <v>36</v>
      </c>
      <c r="W2922" s="63">
        <f>SUMIF(Town!$BB$1362:$BB$1607,$BL2922,Town!W$1362:W$1607)</f>
        <v>1888</v>
      </c>
      <c r="X2922" s="63">
        <f>SUMIF(Town!$BB$1362:$BB$1607,$BL2922,Town!X$1362:X$1607)</f>
        <v>0</v>
      </c>
      <c r="Y2922" s="63"/>
      <c r="Z2922" s="63"/>
      <c r="AA2922" s="63"/>
      <c r="AB2922" s="63"/>
      <c r="AC2922" s="63"/>
      <c r="AD2922" s="63"/>
      <c r="AE2922" s="63">
        <f>SUMIF(Town!$BB$1362:$BB$1607,$BL2922,Town!AE$1362:AE$1607)</f>
        <v>0</v>
      </c>
      <c r="AF2922" s="63">
        <f>SUMIF(Town!$BB$1362:$BB$1607,$BL2922,Town!AF$1362:AF$1607)</f>
        <v>1</v>
      </c>
      <c r="AG2922" s="63">
        <f>SUMIF(Town!$BB$1362:$BB$1607,$BL2922,Town!AG$1362:AG$1607)</f>
        <v>0</v>
      </c>
      <c r="AH2922" s="63"/>
      <c r="AI2922" s="63"/>
      <c r="AJ2922" s="63"/>
      <c r="AK2922" s="63"/>
      <c r="AL2922" s="63"/>
      <c r="AM2922" s="63"/>
      <c r="AN2922" s="63">
        <f>SUMIF(Town!$BB$1362:$BB$1607,$BL2922,Town!AN$1362:AN$1607)</f>
        <v>0</v>
      </c>
      <c r="AO2922" s="63"/>
      <c r="AP2922" s="63"/>
      <c r="AQ2922" s="63">
        <f>SUMIF(Town!$BB$1362:$BB$1607,$BL2922,Town!AQ$1362:AQ$1607)</f>
        <v>0</v>
      </c>
      <c r="AR2922" s="63"/>
      <c r="AS2922" s="63"/>
      <c r="AT2922" s="63"/>
      <c r="AU2922" s="63"/>
      <c r="AW2922" s="5">
        <f>IF(Q2922&gt;0,RANK(Q2922,(N2922:P2922,Q2922:AE2922)),0)</f>
        <v>4</v>
      </c>
      <c r="AX2922" s="5">
        <f>IF(R2922&gt;0,RANK(R2922,(N2922:P2922,Q2922:AE2922)),0)</f>
        <v>5</v>
      </c>
      <c r="AY2922" s="5">
        <f>IF(T2922&gt;0,RANK(T2922,(N2922:P2922,Q2922:AE2922)),0)</f>
        <v>6</v>
      </c>
      <c r="AZ2922" s="5">
        <f>IF(S2922&gt;0,RANK(S2922,(N2922:P2922,Q2922:AE2922)),0)</f>
        <v>9</v>
      </c>
      <c r="BA2922" s="2">
        <f t="shared" si="1143"/>
        <v>3.1943271990545329E-2</v>
      </c>
      <c r="BB2922" s="2">
        <f t="shared" si="1144"/>
        <v>1.5769035961505994E-2</v>
      </c>
      <c r="BC2922" s="2">
        <f t="shared" si="1145"/>
        <v>3.7818672969778828E-3</v>
      </c>
      <c r="BD2922" s="2">
        <f t="shared" si="1146"/>
        <v>3.3766672294445383E-5</v>
      </c>
      <c r="BF2922" t="s">
        <v>589</v>
      </c>
      <c r="BG2922" t="s">
        <v>2016</v>
      </c>
      <c r="BH2922">
        <v>1</v>
      </c>
      <c r="BJ2922" s="114">
        <v>50</v>
      </c>
      <c r="BK2922" s="116">
        <v>21</v>
      </c>
      <c r="BL2922" s="120">
        <f t="shared" ref="BL2922:BL2985" si="1147">1000*BJ2922+BK2922</f>
        <v>50021</v>
      </c>
      <c r="BN2922" s="5" t="s">
        <v>3154</v>
      </c>
      <c r="BO2922" s="63">
        <f>SUMIF(Town!$BB$1362:$BB$1607,$BL2922,Town!BE$1362:BE$1607)</f>
        <v>384</v>
      </c>
      <c r="BP2922" s="63">
        <f>SUMIF(Town!$BB$1362:$BB$1607,$BL2922,Town!BF$1362:BF$1607)</f>
        <v>50</v>
      </c>
      <c r="BR2922" s="63"/>
      <c r="CA2922" s="63">
        <f>SUMIF(Town!$BB$1362:$BB$1607,$BL2922,Town!BP$1362:BP$1607)</f>
        <v>1940</v>
      </c>
      <c r="CC2922" s="63">
        <f>SUMIF(Town!$BB$1362:$BB$1607,$BL2922,Town!BR$1362:BR$1607)</f>
        <v>1489</v>
      </c>
    </row>
    <row r="2923" spans="1:81" hidden="1" outlineLevel="1">
      <c r="A2923" t="s">
        <v>692</v>
      </c>
      <c r="B2923" t="s">
        <v>2016</v>
      </c>
      <c r="C2923" s="1">
        <f t="shared" si="1138"/>
        <v>31086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7</v>
      </c>
      <c r="G2923" s="132">
        <f t="shared" si="1134"/>
        <v>10601</v>
      </c>
      <c r="H2923" s="137">
        <f t="shared" si="1135"/>
        <v>0.341021681786013</v>
      </c>
      <c r="I2923" s="2"/>
      <c r="J2923" s="2">
        <f t="shared" si="1139"/>
        <v>0.59814707585408222</v>
      </c>
      <c r="K2923" s="2">
        <f t="shared" si="1140"/>
        <v>0.25712539406806922</v>
      </c>
      <c r="L2923" s="2">
        <f t="shared" si="1141"/>
        <v>1.7692852087756545E-3</v>
      </c>
      <c r="M2923" s="2">
        <f t="shared" si="1142"/>
        <v>0.14295824486907291</v>
      </c>
      <c r="N2923" s="63">
        <f>SUMIF(Town!$BB$1362:$BB$1607,$BL2923,Town!N$1362:N$1607)</f>
        <v>18594</v>
      </c>
      <c r="O2923" s="63">
        <f>SUMIF(Town!$BB$1362:$BB$1607,$BL2923,Town!O$1362:O$1607)</f>
        <v>7993</v>
      </c>
      <c r="P2923" s="63">
        <f>SUMIF(Town!$BB$1362:$BB$1607,$BL2923,Town!P$1362:P$1607)</f>
        <v>55</v>
      </c>
      <c r="Q2923" s="63">
        <f>SUMIF(Town!$BB$1362:$BB$1607,$BL2923,Town!Q$1362:Q$1607)</f>
        <v>999</v>
      </c>
      <c r="R2923" s="63">
        <f>SUMIF(Town!$BB$1362:$BB$1607,$BL2923,Town!R$1362:R$1607)</f>
        <v>911</v>
      </c>
      <c r="S2923" s="63">
        <f>SUMIF(Town!$BB$1362:$BB$1607,$BL2923,Town!S$1362:S$1607)</f>
        <v>2</v>
      </c>
      <c r="T2923" s="63">
        <f>SUMIF(Town!$BB$1362:$BB$1607,$BL2923,Town!T$1362:T$1607)</f>
        <v>131</v>
      </c>
      <c r="U2923" s="63">
        <f>SUMIF(Town!$BB$1362:$BB$1607,$BL2923,Town!U$1362:U$1607)</f>
        <v>0</v>
      </c>
      <c r="V2923" s="63">
        <f>SUMIF(Town!$BB$1362:$BB$1607,$BL2923,Town!V$1362:V$1607)</f>
        <v>26</v>
      </c>
      <c r="W2923" s="63">
        <f>SUMIF(Town!$BB$1362:$BB$1607,$BL2923,Town!W$1362:W$1607)</f>
        <v>2374</v>
      </c>
      <c r="X2923" s="63">
        <f>SUMIF(Town!$BB$1362:$BB$1607,$BL2923,Town!X$1362:X$1607)</f>
        <v>0</v>
      </c>
      <c r="Y2923" s="63"/>
      <c r="Z2923" s="63"/>
      <c r="AA2923" s="63"/>
      <c r="AB2923" s="63"/>
      <c r="AC2923" s="63"/>
      <c r="AD2923" s="63"/>
      <c r="AE2923" s="63">
        <f>SUMIF(Town!$BB$1362:$BB$1607,$BL2923,Town!AE$1362:AE$1607)</f>
        <v>1</v>
      </c>
      <c r="AF2923" s="63">
        <f>SUMIF(Town!$BB$1362:$BB$1607,$BL2923,Town!AF$1362:AF$1607)</f>
        <v>0</v>
      </c>
      <c r="AG2923" s="63">
        <f>SUMIF(Town!$BB$1362:$BB$1607,$BL2923,Town!AG$1362:AG$1607)</f>
        <v>0</v>
      </c>
      <c r="AH2923" s="63"/>
      <c r="AI2923" s="63"/>
      <c r="AJ2923" s="63"/>
      <c r="AK2923" s="63"/>
      <c r="AL2923" s="63"/>
      <c r="AM2923" s="63"/>
      <c r="AN2923" s="63">
        <f>SUMIF(Town!$BB$1362:$BB$1607,$BL2923,Town!AN$1362:AN$1607)</f>
        <v>0</v>
      </c>
      <c r="AO2923" s="63"/>
      <c r="AP2923" s="63"/>
      <c r="AQ2923" s="63">
        <f>SUMIF(Town!$BB$1362:$BB$1607,$BL2923,Town!AQ$1362:AQ$1607)</f>
        <v>0</v>
      </c>
      <c r="AR2923" s="63"/>
      <c r="AS2923" s="63"/>
      <c r="AT2923" s="63"/>
      <c r="AU2923" s="63"/>
      <c r="AW2923" s="5">
        <f>IF(Q2923&gt;0,RANK(Q2923,(N2923:P2923,Q2923:AE2923)),0)</f>
        <v>4</v>
      </c>
      <c r="AX2923" s="5">
        <f>IF(R2923&gt;0,RANK(R2923,(N2923:P2923,Q2923:AE2923)),0)</f>
        <v>5</v>
      </c>
      <c r="AY2923" s="5">
        <f>IF(T2923&gt;0,RANK(T2923,(N2923:P2923,Q2923:AE2923)),0)</f>
        <v>6</v>
      </c>
      <c r="AZ2923" s="5">
        <f>IF(S2923&gt;0,RANK(S2923,(N2923:P2923,Q2923:AE2923)),0)</f>
        <v>9</v>
      </c>
      <c r="BA2923" s="2">
        <f t="shared" si="1143"/>
        <v>3.2136653155761433E-2</v>
      </c>
      <c r="BB2923" s="2">
        <f t="shared" si="1144"/>
        <v>2.9305796821720388E-2</v>
      </c>
      <c r="BC2923" s="2">
        <f t="shared" si="1145"/>
        <v>4.2141156790838318E-3</v>
      </c>
      <c r="BD2923" s="2">
        <f t="shared" si="1146"/>
        <v>6.4337643955478355E-5</v>
      </c>
      <c r="BF2923" t="s">
        <v>692</v>
      </c>
      <c r="BG2923" t="s">
        <v>2016</v>
      </c>
      <c r="BH2923">
        <v>1</v>
      </c>
      <c r="BJ2923" s="114">
        <v>50</v>
      </c>
      <c r="BK2923" s="116">
        <v>23</v>
      </c>
      <c r="BL2923" s="120">
        <f t="shared" si="1147"/>
        <v>50023</v>
      </c>
      <c r="BN2923" s="5" t="s">
        <v>3154</v>
      </c>
      <c r="BO2923" s="63">
        <f>SUMIF(Town!$BB$1362:$BB$1607,$BL2923,Town!BE$1362:BE$1607)</f>
        <v>607</v>
      </c>
      <c r="BP2923" s="63">
        <f>SUMIF(Town!$BB$1362:$BB$1607,$BL2923,Town!BF$1362:BF$1607)</f>
        <v>32</v>
      </c>
      <c r="BR2923" s="63"/>
      <c r="CA2923" s="63">
        <f>SUMIF(Town!$BB$1362:$BB$1607,$BL2923,Town!BP$1362:BP$1607)</f>
        <v>2432</v>
      </c>
      <c r="CC2923" s="63">
        <f>SUMIF(Town!$BB$1362:$BB$1607,$BL2923,Town!BR$1362:BR$1607)</f>
        <v>2076</v>
      </c>
    </row>
    <row r="2924" spans="1:81" hidden="1" outlineLevel="1">
      <c r="A2924" t="s">
        <v>2129</v>
      </c>
      <c r="B2924" t="s">
        <v>2016</v>
      </c>
      <c r="C2924" s="1">
        <f t="shared" si="1138"/>
        <v>22634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7</v>
      </c>
      <c r="G2924" s="132">
        <f t="shared" si="1134"/>
        <v>8886</v>
      </c>
      <c r="H2924" s="137">
        <f t="shared" si="1135"/>
        <v>0.39259521074489706</v>
      </c>
      <c r="I2924" s="2"/>
      <c r="J2924" s="2">
        <f t="shared" si="1139"/>
        <v>0.63356013077670759</v>
      </c>
      <c r="K2924" s="2">
        <f t="shared" si="1140"/>
        <v>0.24096492003181055</v>
      </c>
      <c r="L2924" s="2">
        <f t="shared" si="1141"/>
        <v>1.413802244411063E-3</v>
      </c>
      <c r="M2924" s="2">
        <f t="shared" si="1142"/>
        <v>0.12406114694707079</v>
      </c>
      <c r="N2924" s="63">
        <f>SUMIF(Town!$BB$1362:$BB$1607,$BL2924,Town!N$1362:N$1607)</f>
        <v>14340</v>
      </c>
      <c r="O2924" s="63">
        <f>SUMIF(Town!$BB$1362:$BB$1607,$BL2924,Town!O$1362:O$1607)</f>
        <v>5454</v>
      </c>
      <c r="P2924" s="63">
        <f>SUMIF(Town!$BB$1362:$BB$1607,$BL2924,Town!P$1362:P$1607)</f>
        <v>32</v>
      </c>
      <c r="Q2924" s="63">
        <f>SUMIF(Town!$BB$1362:$BB$1607,$BL2924,Town!Q$1362:Q$1607)</f>
        <v>582</v>
      </c>
      <c r="R2924" s="63">
        <f>SUMIF(Town!$BB$1362:$BB$1607,$BL2924,Town!R$1362:R$1607)</f>
        <v>677</v>
      </c>
      <c r="S2924" s="63">
        <f>SUMIF(Town!$BB$1362:$BB$1607,$BL2924,Town!S$1362:S$1607)</f>
        <v>2</v>
      </c>
      <c r="T2924" s="63">
        <f>SUMIF(Town!$BB$1362:$BB$1607,$BL2924,Town!T$1362:T$1607)</f>
        <v>61</v>
      </c>
      <c r="U2924" s="63">
        <f>SUMIF(Town!$BB$1362:$BB$1607,$BL2924,Town!U$1362:U$1607)</f>
        <v>0</v>
      </c>
      <c r="V2924" s="63">
        <f>SUMIF(Town!$BB$1362:$BB$1607,$BL2924,Town!V$1362:V$1607)</f>
        <v>29</v>
      </c>
      <c r="W2924" s="63">
        <f>SUMIF(Town!$BB$1362:$BB$1607,$BL2924,Town!W$1362:W$1607)</f>
        <v>1455</v>
      </c>
      <c r="X2924" s="63">
        <f>SUMIF(Town!$BB$1362:$BB$1607,$BL2924,Town!X$1362:X$1607)</f>
        <v>0</v>
      </c>
      <c r="Y2924" s="63"/>
      <c r="Z2924" s="63"/>
      <c r="AA2924" s="63"/>
      <c r="AB2924" s="63"/>
      <c r="AC2924" s="63"/>
      <c r="AD2924" s="63"/>
      <c r="AE2924" s="63">
        <f>SUMIF(Town!$BB$1362:$BB$1607,$BL2924,Town!AE$1362:AE$1607)</f>
        <v>0</v>
      </c>
      <c r="AF2924" s="63">
        <f>SUMIF(Town!$BB$1362:$BB$1607,$BL2924,Town!AF$1362:AF$1607)</f>
        <v>1</v>
      </c>
      <c r="AG2924" s="63">
        <f>SUMIF(Town!$BB$1362:$BB$1607,$BL2924,Town!AG$1362:AG$1607)</f>
        <v>0</v>
      </c>
      <c r="AH2924" s="63"/>
      <c r="AI2924" s="63"/>
      <c r="AJ2924" s="63"/>
      <c r="AK2924" s="63"/>
      <c r="AL2924" s="63"/>
      <c r="AM2924" s="63"/>
      <c r="AN2924" s="63">
        <f>SUMIF(Town!$BB$1362:$BB$1607,$BL2924,Town!AN$1362:AN$1607)</f>
        <v>0</v>
      </c>
      <c r="AO2924" s="63"/>
      <c r="AP2924" s="63"/>
      <c r="AQ2924" s="63">
        <f>SUMIF(Town!$BB$1362:$BB$1607,$BL2924,Town!AQ$1362:AQ$1607)</f>
        <v>1</v>
      </c>
      <c r="AR2924" s="63"/>
      <c r="AS2924" s="63"/>
      <c r="AT2924" s="63"/>
      <c r="AU2924" s="63"/>
      <c r="AW2924" s="5">
        <f>IF(Q2924&gt;0,RANK(Q2924,(N2924:P2924,Q2924:AE2924)),0)</f>
        <v>5</v>
      </c>
      <c r="AX2924" s="5">
        <f>IF(R2924&gt;0,RANK(R2924,(N2924:P2924,Q2924:AE2924)),0)</f>
        <v>4</v>
      </c>
      <c r="AY2924" s="5">
        <f>IF(T2924&gt;0,RANK(T2924,(N2924:P2924,Q2924:AE2924)),0)</f>
        <v>6</v>
      </c>
      <c r="AZ2924" s="5">
        <f>IF(S2924&gt;0,RANK(S2924,(N2924:P2924,Q2924:AE2924)),0)</f>
        <v>9</v>
      </c>
      <c r="BA2924" s="2">
        <f t="shared" si="1143"/>
        <v>2.571352832022621E-2</v>
      </c>
      <c r="BB2924" s="2">
        <f t="shared" si="1144"/>
        <v>2.9910753733321551E-2</v>
      </c>
      <c r="BC2924" s="2">
        <f t="shared" si="1145"/>
        <v>2.695060528408589E-3</v>
      </c>
      <c r="BD2924" s="2">
        <f t="shared" si="1146"/>
        <v>8.8362640275691439E-5</v>
      </c>
      <c r="BF2924" t="s">
        <v>2129</v>
      </c>
      <c r="BG2924" t="s">
        <v>2016</v>
      </c>
      <c r="BH2924">
        <v>1</v>
      </c>
      <c r="BJ2924" s="114">
        <v>50</v>
      </c>
      <c r="BK2924" s="116">
        <v>25</v>
      </c>
      <c r="BL2924" s="120">
        <f t="shared" si="1147"/>
        <v>50025</v>
      </c>
      <c r="BN2924" s="5" t="s">
        <v>3154</v>
      </c>
      <c r="BO2924" s="63">
        <f>SUMIF(Town!$BB$1362:$BB$1607,$BL2924,Town!BE$1362:BE$1607)</f>
        <v>270</v>
      </c>
      <c r="BP2924" s="63">
        <f>SUMIF(Town!$BB$1362:$BB$1607,$BL2924,Town!BF$1362:BF$1607)</f>
        <v>46</v>
      </c>
      <c r="BR2924" s="63"/>
      <c r="CA2924" s="63">
        <f>SUMIF(Town!$BB$1362:$BB$1607,$BL2924,Town!BP$1362:BP$1607)</f>
        <v>1491</v>
      </c>
      <c r="CC2924" s="63">
        <f>SUMIF(Town!$BB$1362:$BB$1607,$BL2924,Town!BR$1362:BR$1607)</f>
        <v>1233</v>
      </c>
    </row>
    <row r="2925" spans="1:81" hidden="1" outlineLevel="1">
      <c r="A2925" t="s">
        <v>2282</v>
      </c>
      <c r="B2925" t="s">
        <v>2016</v>
      </c>
      <c r="C2925" s="1">
        <f t="shared" si="1138"/>
        <v>29928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7</v>
      </c>
      <c r="G2925" s="132">
        <f t="shared" si="1134"/>
        <v>8951</v>
      </c>
      <c r="H2925" s="137">
        <f t="shared" si="1135"/>
        <v>0.29908446939321037</v>
      </c>
      <c r="I2925" s="2"/>
      <c r="J2925" s="2">
        <f t="shared" si="1139"/>
        <v>0.5866078588612671</v>
      </c>
      <c r="K2925" s="2">
        <f t="shared" si="1140"/>
        <v>0.28752338946805667</v>
      </c>
      <c r="L2925" s="2">
        <f t="shared" si="1141"/>
        <v>2.6062550120288693E-3</v>
      </c>
      <c r="M2925" s="2">
        <f t="shared" si="1142"/>
        <v>0.12326249665864737</v>
      </c>
      <c r="N2925" s="63">
        <f>SUMIF(Town!$BB$1362:$BB$1607,$BL2925,Town!N$1362:N$1607)</f>
        <v>17556</v>
      </c>
      <c r="O2925" s="63">
        <f>SUMIF(Town!$BB$1362:$BB$1607,$BL2925,Town!O$1362:O$1607)</f>
        <v>8605</v>
      </c>
      <c r="P2925" s="63">
        <f>SUMIF(Town!$BB$1362:$BB$1607,$BL2925,Town!P$1362:P$1607)</f>
        <v>78</v>
      </c>
      <c r="Q2925" s="63">
        <f>SUMIF(Town!$BB$1362:$BB$1607,$BL2925,Town!Q$1362:Q$1607)</f>
        <v>931</v>
      </c>
      <c r="R2925" s="63">
        <f>SUMIF(Town!$BB$1362:$BB$1607,$BL2925,Town!R$1362:R$1607)</f>
        <v>612</v>
      </c>
      <c r="S2925" s="63">
        <f>SUMIF(Town!$BB$1362:$BB$1607,$BL2925,Town!S$1362:S$1607)</f>
        <v>2</v>
      </c>
      <c r="T2925" s="63">
        <f>SUMIF(Town!$BB$1362:$BB$1607,$BL2925,Town!T$1362:T$1607)</f>
        <v>116</v>
      </c>
      <c r="U2925" s="63">
        <f>SUMIF(Town!$BB$1362:$BB$1607,$BL2925,Town!U$1362:U$1607)</f>
        <v>0</v>
      </c>
      <c r="V2925" s="63">
        <f>SUMIF(Town!$BB$1362:$BB$1607,$BL2925,Town!V$1362:V$1607)</f>
        <v>25</v>
      </c>
      <c r="W2925" s="63">
        <f>SUMIF(Town!$BB$1362:$BB$1607,$BL2925,Town!W$1362:W$1607)</f>
        <v>1999</v>
      </c>
      <c r="X2925" s="63">
        <f>SUMIF(Town!$BB$1362:$BB$1607,$BL2925,Town!X$1362:X$1607)</f>
        <v>0</v>
      </c>
      <c r="Y2925" s="63"/>
      <c r="Z2925" s="63"/>
      <c r="AA2925" s="63"/>
      <c r="AB2925" s="63"/>
      <c r="AC2925" s="63"/>
      <c r="AD2925" s="63"/>
      <c r="AE2925" s="63">
        <f>SUMIF(Town!$BB$1362:$BB$1607,$BL2925,Town!AE$1362:AE$1607)</f>
        <v>1</v>
      </c>
      <c r="AF2925" s="63">
        <f>SUMIF(Town!$BB$1362:$BB$1607,$BL2925,Town!AF$1362:AF$1607)</f>
        <v>0</v>
      </c>
      <c r="AG2925" s="63">
        <f>SUMIF(Town!$BB$1362:$BB$1607,$BL2925,Town!AG$1362:AG$1607)</f>
        <v>1</v>
      </c>
      <c r="AH2925" s="63"/>
      <c r="AI2925" s="63"/>
      <c r="AJ2925" s="63"/>
      <c r="AK2925" s="63"/>
      <c r="AL2925" s="63"/>
      <c r="AM2925" s="63"/>
      <c r="AN2925" s="63">
        <f>SUMIF(Town!$BB$1362:$BB$1607,$BL2925,Town!AN$1362:AN$1607)</f>
        <v>2</v>
      </c>
      <c r="AO2925" s="63"/>
      <c r="AP2925" s="63"/>
      <c r="AQ2925" s="63">
        <f>SUMIF(Town!$BB$1362:$BB$1607,$BL2925,Town!AQ$1362:AQ$1607)</f>
        <v>0</v>
      </c>
      <c r="AR2925" s="63"/>
      <c r="AS2925" s="63"/>
      <c r="AT2925" s="63"/>
      <c r="AU2925" s="63"/>
      <c r="AW2925" s="5">
        <f>IF(Q2925&gt;0,RANK(Q2925,(N2925:P2925,Q2925:AE2925)),0)</f>
        <v>4</v>
      </c>
      <c r="AX2925" s="5">
        <f>IF(R2925&gt;0,RANK(R2925,(N2925:P2925,Q2925:AE2925)),0)</f>
        <v>5</v>
      </c>
      <c r="AY2925" s="5">
        <f>IF(T2925&gt;0,RANK(T2925,(N2925:P2925,Q2925:AE2925)),0)</f>
        <v>6</v>
      </c>
      <c r="AZ2925" s="5">
        <f>IF(S2925&gt;0,RANK(S2925,(N2925:P2925,Q2925:AE2925)),0)</f>
        <v>9</v>
      </c>
      <c r="BA2925" s="2">
        <f t="shared" si="1143"/>
        <v>3.1107992515370223E-2</v>
      </c>
      <c r="BB2925" s="2">
        <f t="shared" si="1144"/>
        <v>2.0449077786688051E-2</v>
      </c>
      <c r="BC2925" s="2">
        <f t="shared" si="1145"/>
        <v>3.875968992248062E-3</v>
      </c>
      <c r="BD2925" s="2">
        <f t="shared" si="1146"/>
        <v>6.6827051590483827E-5</v>
      </c>
      <c r="BF2925" t="s">
        <v>2282</v>
      </c>
      <c r="BG2925" t="s">
        <v>2016</v>
      </c>
      <c r="BH2925">
        <v>1</v>
      </c>
      <c r="BJ2925" s="114">
        <v>50</v>
      </c>
      <c r="BK2925" s="116">
        <v>27</v>
      </c>
      <c r="BL2925" s="120">
        <f t="shared" si="1147"/>
        <v>50027</v>
      </c>
      <c r="BN2925" s="5" t="s">
        <v>3154</v>
      </c>
      <c r="BO2925" s="63">
        <f>SUMIF(Town!$BB$1362:$BB$1607,$BL2925,Town!BE$1362:BE$1607)</f>
        <v>382</v>
      </c>
      <c r="BP2925" s="63">
        <f>SUMIF(Town!$BB$1362:$BB$1607,$BL2925,Town!BF$1362:BF$1607)</f>
        <v>48</v>
      </c>
      <c r="BR2925" s="63"/>
      <c r="CA2925" s="63">
        <f>SUMIF(Town!$BB$1362:$BB$1607,$BL2925,Town!BP$1362:BP$1607)</f>
        <v>2083</v>
      </c>
      <c r="CC2925" s="63">
        <f>SUMIF(Town!$BB$1362:$BB$1607,$BL2925,Town!BR$1362:BR$1607)</f>
        <v>1658</v>
      </c>
    </row>
    <row r="2926" spans="1:81" collapsed="1">
      <c r="A2926" t="s">
        <v>726</v>
      </c>
      <c r="B2926" t="s">
        <v>544</v>
      </c>
      <c r="C2926" s="1">
        <f t="shared" si="1138"/>
        <v>315067</v>
      </c>
      <c r="D2926" s="5">
        <f>IF(N2926&gt;0, RANK(N2926,(N2926:P2926,Q2926:AE2926)),0)</f>
        <v>1</v>
      </c>
      <c r="E2926" s="5">
        <f>IF(O2926&gt;0,RANK(O2926,(N2926:P2926,Q2926:AE2926)),0)</f>
        <v>2</v>
      </c>
      <c r="F2926" s="5">
        <f>IF(P2926&gt;0,RANK(P2926,(N2926:P2926,Q2926:AE2926)),0)</f>
        <v>7</v>
      </c>
      <c r="G2926" s="132">
        <f t="shared" si="1134"/>
        <v>83204</v>
      </c>
      <c r="H2926" s="137">
        <f t="shared" si="1135"/>
        <v>0.26408351239577615</v>
      </c>
      <c r="I2926" s="2"/>
      <c r="J2926" s="2">
        <f t="shared" si="1139"/>
        <v>0.56677785994724927</v>
      </c>
      <c r="K2926" s="2">
        <f t="shared" si="1140"/>
        <v>0.30269434755147318</v>
      </c>
      <c r="L2926" s="2">
        <f t="shared" si="1141"/>
        <v>2.0027486217217292E-3</v>
      </c>
      <c r="M2926" s="2">
        <f t="shared" si="1142"/>
        <v>0.12852504387955582</v>
      </c>
      <c r="N2926" s="63">
        <f t="shared" ref="N2926:T2926" si="1148">SUM(N2912:N2925)</f>
        <v>178573</v>
      </c>
      <c r="O2926" s="63">
        <f t="shared" si="1148"/>
        <v>95369</v>
      </c>
      <c r="P2926" s="63">
        <f t="shared" si="1148"/>
        <v>631</v>
      </c>
      <c r="Q2926" s="63">
        <f t="shared" si="1148"/>
        <v>10078</v>
      </c>
      <c r="R2926" s="63">
        <f t="shared" si="1148"/>
        <v>6758</v>
      </c>
      <c r="S2926" s="63">
        <f t="shared" si="1148"/>
        <v>63</v>
      </c>
      <c r="T2926" s="63">
        <f t="shared" si="1148"/>
        <v>1063</v>
      </c>
      <c r="U2926" s="63">
        <f>SUM(U2912:U2925)</f>
        <v>1</v>
      </c>
      <c r="V2926" s="63">
        <f>SUM(V2912:V2925)</f>
        <v>327</v>
      </c>
      <c r="W2926" s="63">
        <f>SUM(W2912:W2925)</f>
        <v>22177</v>
      </c>
      <c r="X2926" s="63">
        <f>SUM(X2912:X2925)</f>
        <v>2</v>
      </c>
      <c r="Y2926" s="63"/>
      <c r="Z2926" s="63"/>
      <c r="AA2926" s="63"/>
      <c r="AB2926" s="63"/>
      <c r="AC2926" s="63"/>
      <c r="AD2926" s="63"/>
      <c r="AE2926" s="63">
        <f>SUM(AE2912:AE2925)</f>
        <v>3</v>
      </c>
      <c r="AF2926" s="63">
        <f>SUM(AF2912:AF2925)</f>
        <v>2</v>
      </c>
      <c r="AG2926" s="63">
        <f>SUM(AG2912:AG2925)</f>
        <v>3</v>
      </c>
      <c r="AH2926" s="63"/>
      <c r="AI2926" s="63"/>
      <c r="AJ2926" s="63"/>
      <c r="AK2926" s="63"/>
      <c r="AL2926" s="63"/>
      <c r="AM2926" s="63"/>
      <c r="AN2926" s="63">
        <f>SUM(AN2912:AN2925)</f>
        <v>16</v>
      </c>
      <c r="AO2926" s="63"/>
      <c r="AP2926" s="63"/>
      <c r="AQ2926" s="63">
        <f>SUM(AQ2912:AQ2925)</f>
        <v>1</v>
      </c>
      <c r="AR2926" s="63"/>
      <c r="AS2926" s="63"/>
      <c r="AT2926" s="63"/>
      <c r="AU2926" s="63"/>
      <c r="AW2926" s="5">
        <f>IF(Q2926&gt;0,RANK(Q2926,(N2926:P2926,Q2926:AE2926)),0)</f>
        <v>4</v>
      </c>
      <c r="AX2926" s="5">
        <f>IF(R2926&gt;0,RANK(R2926,(N2926:P2926,Q2926:AE2926)),0)</f>
        <v>5</v>
      </c>
      <c r="AY2926" s="5">
        <f>IF(T2926&gt;0,RANK(T2926,(N2926:P2926,Q2926:AE2926)),0)</f>
        <v>6</v>
      </c>
      <c r="AZ2926" s="5">
        <f>IF(S2926&gt;0,RANK(S2926,(N2926:P2926,Q2926:AE2926)),0)</f>
        <v>9</v>
      </c>
      <c r="BA2926" s="2">
        <f t="shared" si="1143"/>
        <v>3.1986847242015191E-2</v>
      </c>
      <c r="BB2926" s="2">
        <f t="shared" si="1144"/>
        <v>2.1449405999358868E-2</v>
      </c>
      <c r="BC2926" s="2">
        <f t="shared" si="1145"/>
        <v>3.3738855545011061E-3</v>
      </c>
      <c r="BD2926" s="2">
        <f>IF($C2926=0,"-",S2926/$C2926)</f>
        <v>1.9995746936365917E-4</v>
      </c>
      <c r="BF2926" t="s">
        <v>726</v>
      </c>
      <c r="BG2926" t="s">
        <v>544</v>
      </c>
      <c r="BJ2926" s="114">
        <v>50</v>
      </c>
      <c r="BK2926" s="116"/>
      <c r="BL2926" s="114">
        <v>50</v>
      </c>
      <c r="BN2926" s="5" t="s">
        <v>711</v>
      </c>
      <c r="BO2926" s="63">
        <f>SUM(BO2912:BO2925)</f>
        <v>4574</v>
      </c>
      <c r="BP2926" s="63">
        <f>SUM(BP2912:BP2925)</f>
        <v>826</v>
      </c>
      <c r="BR2926" s="63"/>
      <c r="CA2926" s="63">
        <f>SUM(CA2912:CA2925)</f>
        <v>22899</v>
      </c>
      <c r="CC2926" s="63">
        <f>SUM(CC2912:CC2925)</f>
        <v>18183</v>
      </c>
    </row>
    <row r="2927" spans="1:81">
      <c r="C2927" s="1"/>
      <c r="E2927" s="5"/>
      <c r="F2927" s="5"/>
      <c r="G2927" s="132"/>
      <c r="H2927" s="137"/>
      <c r="I2927" s="2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W2927" s="5"/>
      <c r="AX2927" s="5"/>
      <c r="AY2927" s="5"/>
      <c r="AZ2927" s="5"/>
      <c r="BJ2927" s="114"/>
      <c r="BK2927" s="116"/>
      <c r="BL2927" s="120"/>
    </row>
    <row r="2928" spans="1:81" hidden="1" outlineLevel="1">
      <c r="A2928" t="s">
        <v>127</v>
      </c>
      <c r="B2928" t="s">
        <v>1595</v>
      </c>
      <c r="C2928" s="1">
        <f t="shared" ref="C2928:C2959" si="1149">SUM(N2928:AU2928)</f>
        <v>15818</v>
      </c>
      <c r="D2928" s="5">
        <f>IF(N2928&gt;0, RANK(N2928,(N2928:P2928,Q2928:AE2928)),0)</f>
        <v>2</v>
      </c>
      <c r="E2928" s="5">
        <f>IF(O2928&gt;0,RANK(O2928,(N2928:P2928,Q2928:AE2928)),0)</f>
        <v>1</v>
      </c>
      <c r="F2928" s="5">
        <f>IF(P2928&gt;0,RANK(P2928,(N2928:P2928,Q2928:AE2928)),0)</f>
        <v>4</v>
      </c>
      <c r="G2928" s="132">
        <f t="shared" si="1134"/>
        <v>1843</v>
      </c>
      <c r="H2928" s="137">
        <f t="shared" si="1135"/>
        <v>0.11651283348084461</v>
      </c>
      <c r="I2928" s="2"/>
      <c r="J2928" s="2">
        <f t="shared" ref="J2928:J2959" si="1150">IF($C2928=0,"-",N2928/$C2928)</f>
        <v>0.42609685168795042</v>
      </c>
      <c r="K2928" s="2">
        <f t="shared" ref="K2928:K2959" si="1151">IF($C2928=0,"-",O2928/$C2928)</f>
        <v>0.54260968516879504</v>
      </c>
      <c r="L2928" s="2">
        <f t="shared" ref="L2928:L2959" si="1152">IF($C2928=0,"-",P2928/$C2928)</f>
        <v>7.0805411556454671E-3</v>
      </c>
      <c r="M2928" s="2">
        <f t="shared" ref="M2928:M2959" si="1153">IF(C2928=0,"-",(1-J2928-K2928-L2928))</f>
        <v>2.4212921987609073E-2</v>
      </c>
      <c r="N2928" s="63">
        <v>6740</v>
      </c>
      <c r="O2928" s="63">
        <v>8583</v>
      </c>
      <c r="P2928" s="63">
        <v>112</v>
      </c>
      <c r="Q2928" s="63">
        <v>264</v>
      </c>
      <c r="R2928" s="63">
        <v>66</v>
      </c>
      <c r="S2928" s="63"/>
      <c r="T2928" s="63"/>
      <c r="U2928" s="63"/>
      <c r="V2928" s="63"/>
      <c r="W2928" s="63">
        <v>53</v>
      </c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W2928" s="5">
        <f>IF(Q2928&gt;0,RANK(Q2928,(N2928:P2928,Q2928:AE2928)),0)</f>
        <v>3</v>
      </c>
      <c r="AX2928" s="5">
        <f>IF(R2928&gt;0,RANK(R2928,(N2928:P2928,Q2928:AE2928)),0)</f>
        <v>5</v>
      </c>
      <c r="AY2928" s="5">
        <f>IF(T2928&gt;0,RANK(T2928,(N2928:P2928,Q2928:AE2928)),0)</f>
        <v>0</v>
      </c>
      <c r="AZ2928" s="5">
        <f>IF(S2928&gt;0,RANK(S2928,(N2928:P2928,Q2928:AE2928)),0)</f>
        <v>0</v>
      </c>
      <c r="BA2928" s="2">
        <f t="shared" ref="BA2928:BA2959" si="1154">IF($C2928=0,"-",Q2928/$C2928)</f>
        <v>1.6689847009735744E-2</v>
      </c>
      <c r="BB2928" s="2">
        <f t="shared" ref="BB2928:BB2959" si="1155">IF($C2928=0,"-",R2928/$C2928)</f>
        <v>4.172461752433936E-3</v>
      </c>
      <c r="BC2928" s="2">
        <f t="shared" ref="BC2928:BC2959" si="1156">IF($C2928=0,"-",T2928/$C2928)</f>
        <v>0</v>
      </c>
      <c r="BD2928" s="2">
        <f t="shared" ref="BD2928:BD2959" si="1157">IF($C2928=0,"-",S2928/$C2928)</f>
        <v>0</v>
      </c>
      <c r="BF2928" t="s">
        <v>127</v>
      </c>
      <c r="BG2928" t="s">
        <v>1595</v>
      </c>
      <c r="BH2928">
        <v>2</v>
      </c>
      <c r="BJ2928" s="114">
        <v>51</v>
      </c>
      <c r="BK2928" s="116">
        <v>1</v>
      </c>
      <c r="BL2928" s="120">
        <f t="shared" si="1147"/>
        <v>51001</v>
      </c>
      <c r="BN2928" s="5" t="s">
        <v>3154</v>
      </c>
    </row>
    <row r="2929" spans="1:66" hidden="1" outlineLevel="1">
      <c r="A2929" t="s">
        <v>653</v>
      </c>
      <c r="B2929" t="s">
        <v>1595</v>
      </c>
      <c r="C2929" s="1">
        <f t="shared" si="1149"/>
        <v>56726</v>
      </c>
      <c r="D2929" s="5">
        <f>IF(N2929&gt;0, RANK(N2929,(N2929:P2929,Q2929:AE2929)),0)</f>
        <v>1</v>
      </c>
      <c r="E2929" s="5">
        <f>IF(O2929&gt;0,RANK(O2929,(N2929:P2929,Q2929:AE2929)),0)</f>
        <v>2</v>
      </c>
      <c r="F2929" s="5">
        <f>IF(P2929&gt;0,RANK(P2929,(N2929:P2929,Q2929:AE2929)),0)</f>
        <v>4</v>
      </c>
      <c r="G2929" s="132">
        <f t="shared" si="1134"/>
        <v>14086</v>
      </c>
      <c r="H2929" s="137">
        <f t="shared" si="1135"/>
        <v>0.24831646863871945</v>
      </c>
      <c r="I2929" s="2"/>
      <c r="J2929" s="2">
        <f t="shared" si="1150"/>
        <v>0.58782568839685501</v>
      </c>
      <c r="K2929" s="2">
        <f t="shared" si="1151"/>
        <v>0.33950921975813558</v>
      </c>
      <c r="L2929" s="2">
        <f t="shared" si="1152"/>
        <v>1.8668688079540245E-2</v>
      </c>
      <c r="M2929" s="2">
        <f t="shared" si="1153"/>
        <v>5.3996403765469166E-2</v>
      </c>
      <c r="N2929" s="63">
        <v>33345</v>
      </c>
      <c r="O2929" s="63">
        <v>19259</v>
      </c>
      <c r="P2929" s="63">
        <v>1059</v>
      </c>
      <c r="Q2929" s="63">
        <v>2105</v>
      </c>
      <c r="R2929" s="63">
        <v>450</v>
      </c>
      <c r="S2929" s="63"/>
      <c r="T2929" s="63"/>
      <c r="U2929" s="63"/>
      <c r="V2929" s="63"/>
      <c r="W2929" s="63">
        <v>508</v>
      </c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W2929" s="5">
        <f>IF(Q2929&gt;0,RANK(Q2929,(N2929:P2929,Q2929:AE2929)),0)</f>
        <v>3</v>
      </c>
      <c r="AX2929" s="5">
        <f>IF(R2929&gt;0,RANK(R2929,(N2929:P2929,Q2929:AE2929)),0)</f>
        <v>6</v>
      </c>
      <c r="AY2929" s="5">
        <f>IF(T2929&gt;0,RANK(T2929,(N2929:P2929,Q2929:AE2929)),0)</f>
        <v>0</v>
      </c>
      <c r="AZ2929" s="5">
        <f>IF(S2929&gt;0,RANK(S2929,(N2929:P2929,Q2929:AE2929)),0)</f>
        <v>0</v>
      </c>
      <c r="BA2929" s="2">
        <f t="shared" si="1154"/>
        <v>3.7108204350738638E-2</v>
      </c>
      <c r="BB2929" s="2">
        <f t="shared" si="1155"/>
        <v>7.9328702887564786E-3</v>
      </c>
      <c r="BC2929" s="2">
        <f t="shared" si="1156"/>
        <v>0</v>
      </c>
      <c r="BD2929" s="2">
        <f t="shared" si="1157"/>
        <v>0</v>
      </c>
      <c r="BF2929" t="s">
        <v>653</v>
      </c>
      <c r="BG2929" t="s">
        <v>1595</v>
      </c>
      <c r="BH2929">
        <v>5</v>
      </c>
      <c r="BJ2929" s="114">
        <v>51</v>
      </c>
      <c r="BK2929" s="116">
        <v>3</v>
      </c>
      <c r="BL2929" s="120">
        <f t="shared" si="1147"/>
        <v>51003</v>
      </c>
      <c r="BN2929" s="5" t="s">
        <v>3154</v>
      </c>
    </row>
    <row r="2930" spans="1:66" hidden="1" outlineLevel="1">
      <c r="A2930" t="s">
        <v>1888</v>
      </c>
      <c r="B2930" t="s">
        <v>1595</v>
      </c>
      <c r="C2930" s="1">
        <f t="shared" si="1149"/>
        <v>7325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4</v>
      </c>
      <c r="G2930" s="132">
        <f t="shared" si="1134"/>
        <v>2708</v>
      </c>
      <c r="H2930" s="137">
        <f t="shared" si="1135"/>
        <v>0.3696928327645051</v>
      </c>
      <c r="I2930" s="2"/>
      <c r="J2930" s="2">
        <f t="shared" si="1150"/>
        <v>0.29569965870307169</v>
      </c>
      <c r="K2930" s="2">
        <f t="shared" si="1151"/>
        <v>0.66539249146757684</v>
      </c>
      <c r="L2930" s="2">
        <f t="shared" si="1152"/>
        <v>9.4197952218430039E-3</v>
      </c>
      <c r="M2930" s="2">
        <f t="shared" si="1153"/>
        <v>2.9488054607508467E-2</v>
      </c>
      <c r="N2930" s="63">
        <v>2166</v>
      </c>
      <c r="O2930" s="63">
        <v>4874</v>
      </c>
      <c r="P2930" s="63">
        <v>69</v>
      </c>
      <c r="Q2930" s="63">
        <v>164</v>
      </c>
      <c r="R2930" s="63">
        <v>35</v>
      </c>
      <c r="S2930" s="63"/>
      <c r="T2930" s="63"/>
      <c r="U2930" s="63"/>
      <c r="V2930" s="63"/>
      <c r="W2930" s="63">
        <v>17</v>
      </c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W2930" s="5">
        <f>IF(Q2930&gt;0,RANK(Q2930,(N2930:P2930,Q2930:AE2930)),0)</f>
        <v>3</v>
      </c>
      <c r="AX2930" s="5">
        <f>IF(R2930&gt;0,RANK(R2930,(N2930:P2930,Q2930:AE2930)),0)</f>
        <v>5</v>
      </c>
      <c r="AY2930" s="5">
        <f>IF(T2930&gt;0,RANK(T2930,(N2930:P2930,Q2930:AE2930)),0)</f>
        <v>0</v>
      </c>
      <c r="AZ2930" s="5">
        <f>IF(S2930&gt;0,RANK(S2930,(N2930:P2930,Q2930:AE2930)),0)</f>
        <v>0</v>
      </c>
      <c r="BA2930" s="2">
        <f t="shared" si="1154"/>
        <v>2.2389078498293514E-2</v>
      </c>
      <c r="BB2930" s="2">
        <f t="shared" si="1155"/>
        <v>4.7781569965870303E-3</v>
      </c>
      <c r="BC2930" s="2">
        <f t="shared" si="1156"/>
        <v>0</v>
      </c>
      <c r="BD2930" s="2">
        <f t="shared" si="1157"/>
        <v>0</v>
      </c>
      <c r="BF2930" t="s">
        <v>1888</v>
      </c>
      <c r="BG2930" t="s">
        <v>1595</v>
      </c>
      <c r="BH2930">
        <v>9</v>
      </c>
      <c r="BJ2930" s="114">
        <v>51</v>
      </c>
      <c r="BK2930" s="116">
        <v>5</v>
      </c>
      <c r="BL2930" s="120">
        <f t="shared" si="1147"/>
        <v>51005</v>
      </c>
      <c r="BN2930" s="5" t="s">
        <v>3154</v>
      </c>
    </row>
    <row r="2931" spans="1:66" hidden="1" outlineLevel="1">
      <c r="A2931" t="s">
        <v>3209</v>
      </c>
      <c r="B2931" t="s">
        <v>1595</v>
      </c>
      <c r="C2931" s="1">
        <f t="shared" si="1149"/>
        <v>7040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4</v>
      </c>
      <c r="G2931" s="132">
        <f t="shared" si="1134"/>
        <v>2580</v>
      </c>
      <c r="H2931" s="137">
        <f t="shared" si="1135"/>
        <v>0.36647727272727271</v>
      </c>
      <c r="I2931" s="2"/>
      <c r="J2931" s="2">
        <f t="shared" si="1150"/>
        <v>0.30227272727272725</v>
      </c>
      <c r="K2931" s="2">
        <f t="shared" si="1151"/>
        <v>0.66874999999999996</v>
      </c>
      <c r="L2931" s="2">
        <f t="shared" si="1152"/>
        <v>5.8238636363636366E-3</v>
      </c>
      <c r="M2931" s="2">
        <f t="shared" si="1153"/>
        <v>2.3153409090909158E-2</v>
      </c>
      <c r="N2931" s="63">
        <v>2128</v>
      </c>
      <c r="O2931" s="63">
        <v>4708</v>
      </c>
      <c r="P2931" s="63">
        <v>41</v>
      </c>
      <c r="Q2931" s="63">
        <v>129</v>
      </c>
      <c r="R2931" s="63">
        <v>11</v>
      </c>
      <c r="S2931" s="63"/>
      <c r="T2931" s="63"/>
      <c r="U2931" s="63"/>
      <c r="V2931" s="63"/>
      <c r="W2931" s="63">
        <v>23</v>
      </c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W2931" s="5">
        <f>IF(Q2931&gt;0,RANK(Q2931,(N2931:P2931,Q2931:AE2931)),0)</f>
        <v>3</v>
      </c>
      <c r="AX2931" s="5">
        <f>IF(R2931&gt;0,RANK(R2931,(N2931:P2931,Q2931:AE2931)),0)</f>
        <v>6</v>
      </c>
      <c r="AY2931" s="5">
        <f>IF(T2931&gt;0,RANK(T2931,(N2931:P2931,Q2931:AE2931)),0)</f>
        <v>0</v>
      </c>
      <c r="AZ2931" s="5">
        <f>IF(S2931&gt;0,RANK(S2931,(N2931:P2931,Q2931:AE2931)),0)</f>
        <v>0</v>
      </c>
      <c r="BA2931" s="2">
        <f t="shared" si="1154"/>
        <v>1.8323863636363635E-2</v>
      </c>
      <c r="BB2931" s="2">
        <f t="shared" si="1155"/>
        <v>1.5625000000000001E-3</v>
      </c>
      <c r="BC2931" s="2">
        <f t="shared" si="1156"/>
        <v>0</v>
      </c>
      <c r="BD2931" s="2">
        <f t="shared" si="1157"/>
        <v>0</v>
      </c>
      <c r="BF2931" t="s">
        <v>3209</v>
      </c>
      <c r="BG2931" t="s">
        <v>1595</v>
      </c>
      <c r="BH2931">
        <v>7</v>
      </c>
      <c r="BJ2931" s="114">
        <v>51</v>
      </c>
      <c r="BK2931" s="116">
        <v>7</v>
      </c>
      <c r="BL2931" s="120">
        <f t="shared" si="1147"/>
        <v>51007</v>
      </c>
      <c r="BN2931" s="5" t="s">
        <v>3154</v>
      </c>
    </row>
    <row r="2932" spans="1:66" hidden="1" outlineLevel="1">
      <c r="A2932" t="s">
        <v>2474</v>
      </c>
      <c r="B2932" t="s">
        <v>1595</v>
      </c>
      <c r="C2932" s="1">
        <f t="shared" si="1149"/>
        <v>15396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4</v>
      </c>
      <c r="G2932" s="132">
        <f t="shared" si="1134"/>
        <v>4662</v>
      </c>
      <c r="H2932" s="137">
        <f t="shared" si="1135"/>
        <v>0.30280592361652375</v>
      </c>
      <c r="I2932" s="2"/>
      <c r="J2932" s="2">
        <f t="shared" si="1150"/>
        <v>0.32846193816575736</v>
      </c>
      <c r="K2932" s="2">
        <f t="shared" si="1151"/>
        <v>0.63126786178228111</v>
      </c>
      <c r="L2932" s="2">
        <f t="shared" si="1152"/>
        <v>1.0327357755261106E-2</v>
      </c>
      <c r="M2932" s="2">
        <f t="shared" si="1153"/>
        <v>2.9942842296700363E-2</v>
      </c>
      <c r="N2932" s="63">
        <v>5057</v>
      </c>
      <c r="O2932" s="63">
        <v>9719</v>
      </c>
      <c r="P2932" s="63">
        <v>159</v>
      </c>
      <c r="Q2932" s="63">
        <v>317</v>
      </c>
      <c r="R2932" s="63">
        <v>65</v>
      </c>
      <c r="S2932" s="63"/>
      <c r="T2932" s="63"/>
      <c r="U2932" s="63"/>
      <c r="V2932" s="63"/>
      <c r="W2932" s="63">
        <v>79</v>
      </c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W2932" s="5">
        <f>IF(Q2932&gt;0,RANK(Q2932,(N2932:P2932,Q2932:AE2932)),0)</f>
        <v>3</v>
      </c>
      <c r="AX2932" s="5">
        <f>IF(R2932&gt;0,RANK(R2932,(N2932:P2932,Q2932:AE2932)),0)</f>
        <v>6</v>
      </c>
      <c r="AY2932" s="5">
        <f>IF(T2932&gt;0,RANK(T2932,(N2932:P2932,Q2932:AE2932)),0)</f>
        <v>0</v>
      </c>
      <c r="AZ2932" s="5">
        <f>IF(S2932&gt;0,RANK(S2932,(N2932:P2932,Q2932:AE2932)),0)</f>
        <v>0</v>
      </c>
      <c r="BA2932" s="2">
        <f t="shared" si="1154"/>
        <v>2.0589763574954532E-2</v>
      </c>
      <c r="BB2932" s="2">
        <f t="shared" si="1155"/>
        <v>4.2218758118991945E-3</v>
      </c>
      <c r="BC2932" s="2">
        <f t="shared" si="1156"/>
        <v>0</v>
      </c>
      <c r="BD2932" s="2">
        <f t="shared" si="1157"/>
        <v>0</v>
      </c>
      <c r="BF2932" t="s">
        <v>2474</v>
      </c>
      <c r="BG2932" t="s">
        <v>1595</v>
      </c>
      <c r="BH2932">
        <v>6</v>
      </c>
      <c r="BJ2932" s="114">
        <v>51</v>
      </c>
      <c r="BK2932" s="116">
        <v>9</v>
      </c>
      <c r="BL2932" s="120">
        <f t="shared" si="1147"/>
        <v>51009</v>
      </c>
      <c r="BN2932" s="5" t="s">
        <v>3154</v>
      </c>
    </row>
    <row r="2933" spans="1:66" hidden="1" outlineLevel="1">
      <c r="A2933" t="s">
        <v>2782</v>
      </c>
      <c r="B2933" t="s">
        <v>1595</v>
      </c>
      <c r="C2933" s="1">
        <f t="shared" si="1149"/>
        <v>7997</v>
      </c>
      <c r="D2933" s="5">
        <f>IF(N2933&gt;0, RANK(N2933,(N2933:P2933,Q2933:AE2933)),0)</f>
        <v>2</v>
      </c>
      <c r="E2933" s="5">
        <f>IF(O2933&gt;0,RANK(O2933,(N2933:P2933,Q2933:AE2933)),0)</f>
        <v>1</v>
      </c>
      <c r="F2933" s="5">
        <f>IF(P2933&gt;0,RANK(P2933,(N2933:P2933,Q2933:AE2933)),0)</f>
        <v>4</v>
      </c>
      <c r="G2933" s="132">
        <f t="shared" si="1134"/>
        <v>3692</v>
      </c>
      <c r="H2933" s="137">
        <f t="shared" si="1135"/>
        <v>0.46167312742278355</v>
      </c>
      <c r="I2933" s="2"/>
      <c r="J2933" s="2">
        <f t="shared" si="1150"/>
        <v>0.25296986369888708</v>
      </c>
      <c r="K2933" s="2">
        <f t="shared" si="1151"/>
        <v>0.71464299112167062</v>
      </c>
      <c r="L2933" s="2">
        <f t="shared" si="1152"/>
        <v>6.2523446292359636E-3</v>
      </c>
      <c r="M2933" s="2">
        <f t="shared" si="1153"/>
        <v>2.6134800550206339E-2</v>
      </c>
      <c r="N2933" s="63">
        <v>2023</v>
      </c>
      <c r="O2933" s="63">
        <v>5715</v>
      </c>
      <c r="P2933" s="63">
        <v>50</v>
      </c>
      <c r="Q2933" s="63">
        <v>136</v>
      </c>
      <c r="R2933" s="63">
        <v>31</v>
      </c>
      <c r="S2933" s="63"/>
      <c r="T2933" s="63"/>
      <c r="U2933" s="63"/>
      <c r="V2933" s="63"/>
      <c r="W2933" s="63">
        <v>42</v>
      </c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W2933" s="5">
        <f>IF(Q2933&gt;0,RANK(Q2933,(N2933:P2933,Q2933:AE2933)),0)</f>
        <v>3</v>
      </c>
      <c r="AX2933" s="5">
        <f>IF(R2933&gt;0,RANK(R2933,(N2933:P2933,Q2933:AE2933)),0)</f>
        <v>6</v>
      </c>
      <c r="AY2933" s="5">
        <f>IF(T2933&gt;0,RANK(T2933,(N2933:P2933,Q2933:AE2933)),0)</f>
        <v>0</v>
      </c>
      <c r="AZ2933" s="5">
        <f>IF(S2933&gt;0,RANK(S2933,(N2933:P2933,Q2933:AE2933)),0)</f>
        <v>0</v>
      </c>
      <c r="BA2933" s="2">
        <f t="shared" si="1154"/>
        <v>1.7006377391521822E-2</v>
      </c>
      <c r="BB2933" s="2">
        <f t="shared" si="1155"/>
        <v>3.8764536701262975E-3</v>
      </c>
      <c r="BC2933" s="2">
        <f t="shared" si="1156"/>
        <v>0</v>
      </c>
      <c r="BD2933" s="2">
        <f t="shared" si="1157"/>
        <v>0</v>
      </c>
      <c r="BF2933" t="s">
        <v>2782</v>
      </c>
      <c r="BG2933" t="s">
        <v>1595</v>
      </c>
      <c r="BH2933">
        <v>5</v>
      </c>
      <c r="BJ2933" s="114">
        <v>51</v>
      </c>
      <c r="BK2933" s="116">
        <v>11</v>
      </c>
      <c r="BL2933" s="120">
        <f t="shared" si="1147"/>
        <v>51011</v>
      </c>
      <c r="BN2933" s="5" t="s">
        <v>3154</v>
      </c>
    </row>
    <row r="2934" spans="1:66" hidden="1" outlineLevel="1">
      <c r="A2934" t="s">
        <v>1818</v>
      </c>
      <c r="B2934" t="s">
        <v>1595</v>
      </c>
      <c r="C2934" s="1">
        <f t="shared" si="1149"/>
        <v>121339</v>
      </c>
      <c r="D2934" s="5">
        <f>IF(N2934&gt;0, RANK(N2934,(N2934:P2934,Q2934:AE2934)),0)</f>
        <v>1</v>
      </c>
      <c r="E2934" s="5">
        <f>IF(O2934&gt;0,RANK(O2934,(N2934:P2934,Q2934:AE2934)),0)</f>
        <v>2</v>
      </c>
      <c r="F2934" s="5">
        <f>IF(P2934&gt;0,RANK(P2934,(N2934:P2934,Q2934:AE2934)),0)</f>
        <v>4</v>
      </c>
      <c r="G2934" s="132">
        <f t="shared" si="1134"/>
        <v>71830</v>
      </c>
      <c r="H2934" s="137">
        <f t="shared" si="1135"/>
        <v>0.59197784718845547</v>
      </c>
      <c r="I2934" s="2"/>
      <c r="J2934" s="2">
        <f t="shared" si="1150"/>
        <v>0.75833820947922759</v>
      </c>
      <c r="K2934" s="2">
        <f t="shared" si="1151"/>
        <v>0.16636036229077214</v>
      </c>
      <c r="L2934" s="2">
        <f t="shared" si="1152"/>
        <v>2.1378122450325124E-2</v>
      </c>
      <c r="M2934" s="2">
        <f t="shared" si="1153"/>
        <v>5.3923305779675149E-2</v>
      </c>
      <c r="N2934" s="63">
        <v>92016</v>
      </c>
      <c r="O2934" s="63">
        <v>20186</v>
      </c>
      <c r="P2934" s="63">
        <v>2594</v>
      </c>
      <c r="Q2934" s="63">
        <v>3827</v>
      </c>
      <c r="R2934" s="63">
        <v>819</v>
      </c>
      <c r="S2934" s="63"/>
      <c r="T2934" s="63"/>
      <c r="U2934" s="63"/>
      <c r="V2934" s="63"/>
      <c r="W2934" s="63">
        <v>1897</v>
      </c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W2934" s="5">
        <f>IF(Q2934&gt;0,RANK(Q2934,(N2934:P2934,Q2934:AE2934)),0)</f>
        <v>3</v>
      </c>
      <c r="AX2934" s="5">
        <f>IF(R2934&gt;0,RANK(R2934,(N2934:P2934,Q2934:AE2934)),0)</f>
        <v>6</v>
      </c>
      <c r="AY2934" s="5">
        <f>IF(T2934&gt;0,RANK(T2934,(N2934:P2934,Q2934:AE2934)),0)</f>
        <v>0</v>
      </c>
      <c r="AZ2934" s="5">
        <f>IF(S2934&gt;0,RANK(S2934,(N2934:P2934,Q2934:AE2934)),0)</f>
        <v>0</v>
      </c>
      <c r="BA2934" s="2">
        <f t="shared" si="1154"/>
        <v>3.1539735781570641E-2</v>
      </c>
      <c r="BB2934" s="2">
        <f t="shared" si="1155"/>
        <v>6.7496847674696509E-3</v>
      </c>
      <c r="BC2934" s="2">
        <f t="shared" si="1156"/>
        <v>0</v>
      </c>
      <c r="BD2934" s="2">
        <f t="shared" si="1157"/>
        <v>0</v>
      </c>
      <c r="BF2934" t="s">
        <v>1818</v>
      </c>
      <c r="BG2934" t="s">
        <v>1595</v>
      </c>
      <c r="BH2934">
        <v>8</v>
      </c>
      <c r="BJ2934" s="114">
        <v>51</v>
      </c>
      <c r="BK2934" s="116">
        <v>13</v>
      </c>
      <c r="BL2934" s="120">
        <f t="shared" si="1147"/>
        <v>51013</v>
      </c>
      <c r="BN2934" s="5" t="s">
        <v>3154</v>
      </c>
    </row>
    <row r="2935" spans="1:66" hidden="1" outlineLevel="1">
      <c r="A2935" t="s">
        <v>2378</v>
      </c>
      <c r="B2935" t="s">
        <v>1595</v>
      </c>
      <c r="C2935" s="1">
        <f t="shared" si="1149"/>
        <v>36343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4</v>
      </c>
      <c r="G2935" s="132">
        <f t="shared" si="1134"/>
        <v>17986</v>
      </c>
      <c r="H2935" s="137">
        <f t="shared" si="1135"/>
        <v>0.4948958533968027</v>
      </c>
      <c r="I2935" s="2"/>
      <c r="J2935" s="2">
        <f t="shared" si="1150"/>
        <v>0.22499518476735547</v>
      </c>
      <c r="K2935" s="2">
        <f t="shared" si="1151"/>
        <v>0.71989103816415811</v>
      </c>
      <c r="L2935" s="2">
        <f t="shared" si="1152"/>
        <v>1.3812838786011061E-2</v>
      </c>
      <c r="M2935" s="2">
        <f t="shared" si="1153"/>
        <v>4.1300938282475351E-2</v>
      </c>
      <c r="N2935" s="63">
        <v>8177</v>
      </c>
      <c r="O2935" s="63">
        <v>26163</v>
      </c>
      <c r="P2935" s="63">
        <v>502</v>
      </c>
      <c r="Q2935" s="63">
        <v>1099</v>
      </c>
      <c r="R2935" s="63">
        <v>200</v>
      </c>
      <c r="S2935" s="63"/>
      <c r="T2935" s="63"/>
      <c r="U2935" s="63"/>
      <c r="V2935" s="63"/>
      <c r="W2935" s="63">
        <v>202</v>
      </c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W2935" s="5">
        <f>IF(Q2935&gt;0,RANK(Q2935,(N2935:P2935,Q2935:AE2935)),0)</f>
        <v>3</v>
      </c>
      <c r="AX2935" s="5">
        <f>IF(R2935&gt;0,RANK(R2935,(N2935:P2935,Q2935:AE2935)),0)</f>
        <v>6</v>
      </c>
      <c r="AY2935" s="5">
        <f>IF(T2935&gt;0,RANK(T2935,(N2935:P2935,Q2935:AE2935)),0)</f>
        <v>0</v>
      </c>
      <c r="AZ2935" s="5">
        <f>IF(S2935&gt;0,RANK(S2935,(N2935:P2935,Q2935:AE2935)),0)</f>
        <v>0</v>
      </c>
      <c r="BA2935" s="2">
        <f t="shared" si="1154"/>
        <v>3.0239661007621824E-2</v>
      </c>
      <c r="BB2935" s="2">
        <f t="shared" si="1155"/>
        <v>5.503123022315164E-3</v>
      </c>
      <c r="BC2935" s="2">
        <f t="shared" si="1156"/>
        <v>0</v>
      </c>
      <c r="BD2935" s="2">
        <f t="shared" si="1157"/>
        <v>0</v>
      </c>
      <c r="BF2935" t="s">
        <v>2378</v>
      </c>
      <c r="BG2935" t="s">
        <v>1595</v>
      </c>
      <c r="BH2935">
        <v>6</v>
      </c>
      <c r="BJ2935" s="114">
        <v>51</v>
      </c>
      <c r="BK2935" s="116">
        <v>15</v>
      </c>
      <c r="BL2935" s="120">
        <f t="shared" si="1147"/>
        <v>51015</v>
      </c>
      <c r="BN2935" s="5" t="s">
        <v>3154</v>
      </c>
    </row>
    <row r="2936" spans="1:66" hidden="1" outlineLevel="1">
      <c r="A2936" t="s">
        <v>708</v>
      </c>
      <c r="B2936" t="s">
        <v>1595</v>
      </c>
      <c r="C2936" s="1">
        <f t="shared" si="1149"/>
        <v>2253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4</v>
      </c>
      <c r="G2936" s="132">
        <f t="shared" si="1134"/>
        <v>945</v>
      </c>
      <c r="H2936" s="137">
        <f t="shared" si="1135"/>
        <v>0.41944074567243678</v>
      </c>
      <c r="I2936" s="2"/>
      <c r="J2936" s="2">
        <f t="shared" si="1150"/>
        <v>0.26764314247669774</v>
      </c>
      <c r="K2936" s="2">
        <f t="shared" si="1151"/>
        <v>0.68708388814913446</v>
      </c>
      <c r="L2936" s="2">
        <f t="shared" si="1152"/>
        <v>9.7647581003106974E-3</v>
      </c>
      <c r="M2936" s="2">
        <f t="shared" si="1153"/>
        <v>3.5508211273857108E-2</v>
      </c>
      <c r="N2936" s="63">
        <v>603</v>
      </c>
      <c r="O2936" s="63">
        <v>1548</v>
      </c>
      <c r="P2936" s="63">
        <v>22</v>
      </c>
      <c r="Q2936" s="63">
        <v>56</v>
      </c>
      <c r="R2936" s="63">
        <v>15</v>
      </c>
      <c r="S2936" s="63"/>
      <c r="T2936" s="63"/>
      <c r="U2936" s="63"/>
      <c r="V2936" s="63"/>
      <c r="W2936" s="63">
        <v>9</v>
      </c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W2936" s="5">
        <f>IF(Q2936&gt;0,RANK(Q2936,(N2936:P2936,Q2936:AE2936)),0)</f>
        <v>3</v>
      </c>
      <c r="AX2936" s="5">
        <f>IF(R2936&gt;0,RANK(R2936,(N2936:P2936,Q2936:AE2936)),0)</f>
        <v>5</v>
      </c>
      <c r="AY2936" s="5">
        <f>IF(T2936&gt;0,RANK(T2936,(N2936:P2936,Q2936:AE2936)),0)</f>
        <v>0</v>
      </c>
      <c r="AZ2936" s="5">
        <f>IF(S2936&gt;0,RANK(S2936,(N2936:P2936,Q2936:AE2936)),0)</f>
        <v>0</v>
      </c>
      <c r="BA2936" s="2">
        <f t="shared" si="1154"/>
        <v>2.4855747891699954E-2</v>
      </c>
      <c r="BB2936" s="2">
        <f t="shared" si="1155"/>
        <v>6.6577896138482022E-3</v>
      </c>
      <c r="BC2936" s="2">
        <f t="shared" si="1156"/>
        <v>0</v>
      </c>
      <c r="BD2936" s="2">
        <f t="shared" si="1157"/>
        <v>0</v>
      </c>
      <c r="BF2936" t="s">
        <v>708</v>
      </c>
      <c r="BG2936" t="s">
        <v>1595</v>
      </c>
      <c r="BH2936">
        <v>6</v>
      </c>
      <c r="BJ2936" s="114">
        <v>51</v>
      </c>
      <c r="BK2936" s="116">
        <v>17</v>
      </c>
      <c r="BL2936" s="120">
        <f t="shared" si="1147"/>
        <v>51017</v>
      </c>
      <c r="BN2936" s="5" t="s">
        <v>3154</v>
      </c>
    </row>
    <row r="2937" spans="1:66" hidden="1" outlineLevel="1">
      <c r="A2937" t="s">
        <v>1766</v>
      </c>
      <c r="B2937" t="s">
        <v>1595</v>
      </c>
      <c r="C2937" s="1">
        <f t="shared" si="1149"/>
        <v>42525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4</v>
      </c>
      <c r="G2937" s="132">
        <f t="shared" si="1134"/>
        <v>20891</v>
      </c>
      <c r="H2937" s="137">
        <f t="shared" si="1135"/>
        <v>0.49126396237507347</v>
      </c>
      <c r="I2937" s="2"/>
      <c r="J2937" s="2">
        <f t="shared" si="1150"/>
        <v>0.22970017636684303</v>
      </c>
      <c r="K2937" s="2">
        <f t="shared" si="1151"/>
        <v>0.72096413874191656</v>
      </c>
      <c r="L2937" s="2">
        <f t="shared" si="1152"/>
        <v>1.4744268077601411E-2</v>
      </c>
      <c r="M2937" s="2">
        <f t="shared" si="1153"/>
        <v>3.4591416813638996E-2</v>
      </c>
      <c r="N2937" s="63">
        <v>9768</v>
      </c>
      <c r="O2937" s="63">
        <v>30659</v>
      </c>
      <c r="P2937" s="63">
        <v>627</v>
      </c>
      <c r="Q2937" s="63">
        <v>1074</v>
      </c>
      <c r="R2937" s="63">
        <v>176</v>
      </c>
      <c r="S2937" s="63"/>
      <c r="T2937" s="63"/>
      <c r="U2937" s="63"/>
      <c r="V2937" s="63"/>
      <c r="W2937" s="63">
        <v>221</v>
      </c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W2937" s="5">
        <f>IF(Q2937&gt;0,RANK(Q2937,(N2937:P2937,Q2937:AE2937)),0)</f>
        <v>3</v>
      </c>
      <c r="AX2937" s="5">
        <f>IF(R2937&gt;0,RANK(R2937,(N2937:P2937,Q2937:AE2937)),0)</f>
        <v>6</v>
      </c>
      <c r="AY2937" s="5">
        <f>IF(T2937&gt;0,RANK(T2937,(N2937:P2937,Q2937:AE2937)),0)</f>
        <v>0</v>
      </c>
      <c r="AZ2937" s="5">
        <f>IF(S2937&gt;0,RANK(S2937,(N2937:P2937,Q2937:AE2937)),0)</f>
        <v>0</v>
      </c>
      <c r="BA2937" s="2">
        <f t="shared" si="1154"/>
        <v>2.5255731922398588E-2</v>
      </c>
      <c r="BB2937" s="2">
        <f t="shared" si="1155"/>
        <v>4.1387419165196939E-3</v>
      </c>
      <c r="BC2937" s="2">
        <f t="shared" si="1156"/>
        <v>0</v>
      </c>
      <c r="BD2937" s="2">
        <f t="shared" si="1157"/>
        <v>0</v>
      </c>
      <c r="BF2937" t="s">
        <v>1766</v>
      </c>
      <c r="BG2937" t="s">
        <v>1595</v>
      </c>
      <c r="BJ2937" s="114">
        <v>51</v>
      </c>
      <c r="BK2937" s="116">
        <v>19</v>
      </c>
      <c r="BL2937" s="120">
        <f t="shared" si="1147"/>
        <v>51019</v>
      </c>
      <c r="BN2937" s="5" t="s">
        <v>3154</v>
      </c>
    </row>
    <row r="2938" spans="1:66" hidden="1" outlineLevel="1">
      <c r="A2938" t="s">
        <v>1224</v>
      </c>
      <c r="B2938" t="s">
        <v>1595</v>
      </c>
      <c r="C2938" s="1">
        <f t="shared" si="1149"/>
        <v>3139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4</v>
      </c>
      <c r="G2938" s="132">
        <f t="shared" si="1134"/>
        <v>2120</v>
      </c>
      <c r="H2938" s="137">
        <f t="shared" si="1135"/>
        <v>0.67537432303281297</v>
      </c>
      <c r="I2938" s="2"/>
      <c r="J2938" s="2">
        <f t="shared" si="1150"/>
        <v>0.14431347562918126</v>
      </c>
      <c r="K2938" s="2">
        <f t="shared" si="1151"/>
        <v>0.81968779866199426</v>
      </c>
      <c r="L2938" s="2">
        <f t="shared" si="1152"/>
        <v>6.6900286715514496E-3</v>
      </c>
      <c r="M2938" s="2">
        <f t="shared" si="1153"/>
        <v>2.9308697037273002E-2</v>
      </c>
      <c r="N2938" s="63">
        <v>453</v>
      </c>
      <c r="O2938" s="63">
        <v>2573</v>
      </c>
      <c r="P2938" s="63">
        <v>21</v>
      </c>
      <c r="Q2938" s="63">
        <v>61</v>
      </c>
      <c r="R2938" s="63">
        <v>17</v>
      </c>
      <c r="S2938" s="63"/>
      <c r="T2938" s="63"/>
      <c r="U2938" s="63"/>
      <c r="V2938" s="63"/>
      <c r="W2938" s="63">
        <v>14</v>
      </c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W2938" s="5">
        <f>IF(Q2938&gt;0,RANK(Q2938,(N2938:P2938,Q2938:AE2938)),0)</f>
        <v>3</v>
      </c>
      <c r="AX2938" s="5">
        <f>IF(R2938&gt;0,RANK(R2938,(N2938:P2938,Q2938:AE2938)),0)</f>
        <v>5</v>
      </c>
      <c r="AY2938" s="5">
        <f>IF(T2938&gt;0,RANK(T2938,(N2938:P2938,Q2938:AE2938)),0)</f>
        <v>0</v>
      </c>
      <c r="AZ2938" s="5">
        <f>IF(S2938&gt;0,RANK(S2938,(N2938:P2938,Q2938:AE2938)),0)</f>
        <v>0</v>
      </c>
      <c r="BA2938" s="2">
        <f t="shared" si="1154"/>
        <v>1.9432940426887545E-2</v>
      </c>
      <c r="BB2938" s="2">
        <f t="shared" si="1155"/>
        <v>5.41573749601784E-3</v>
      </c>
      <c r="BC2938" s="2">
        <f t="shared" si="1156"/>
        <v>0</v>
      </c>
      <c r="BD2938" s="2">
        <f t="shared" si="1157"/>
        <v>0</v>
      </c>
      <c r="BF2938" t="s">
        <v>1224</v>
      </c>
      <c r="BG2938" t="s">
        <v>1595</v>
      </c>
      <c r="BH2938">
        <v>9</v>
      </c>
      <c r="BJ2938" s="114">
        <v>51</v>
      </c>
      <c r="BK2938" s="116">
        <v>21</v>
      </c>
      <c r="BL2938" s="120">
        <f t="shared" si="1147"/>
        <v>51021</v>
      </c>
      <c r="BN2938" s="5" t="s">
        <v>3154</v>
      </c>
    </row>
    <row r="2939" spans="1:66" hidden="1" outlineLevel="1">
      <c r="A2939" t="s">
        <v>1582</v>
      </c>
      <c r="B2939" t="s">
        <v>1595</v>
      </c>
      <c r="C2939" s="1">
        <f t="shared" si="1149"/>
        <v>18739</v>
      </c>
      <c r="D2939" s="5">
        <f>IF(N2939&gt;0, RANK(N2939,(N2939:P2939,Q2939:AE2939)),0)</f>
        <v>2</v>
      </c>
      <c r="E2939" s="5">
        <f>IF(O2939&gt;0,RANK(O2939,(N2939:P2939,Q2939:AE2939)),0)</f>
        <v>1</v>
      </c>
      <c r="F2939" s="5">
        <f>IF(P2939&gt;0,RANK(P2939,(N2939:P2939,Q2939:AE2939)),0)</f>
        <v>4</v>
      </c>
      <c r="G2939" s="132">
        <f t="shared" si="1134"/>
        <v>8881</v>
      </c>
      <c r="H2939" s="137">
        <f t="shared" si="1135"/>
        <v>0.47393137307220234</v>
      </c>
      <c r="I2939" s="2"/>
      <c r="J2939" s="2">
        <f t="shared" si="1150"/>
        <v>0.23982069480762047</v>
      </c>
      <c r="K2939" s="2">
        <f t="shared" si="1151"/>
        <v>0.71375206787982282</v>
      </c>
      <c r="L2939" s="2">
        <f t="shared" si="1152"/>
        <v>9.8724585089919412E-3</v>
      </c>
      <c r="M2939" s="2">
        <f t="shared" si="1153"/>
        <v>3.6554778803564773E-2</v>
      </c>
      <c r="N2939" s="63">
        <v>4494</v>
      </c>
      <c r="O2939" s="63">
        <v>13375</v>
      </c>
      <c r="P2939" s="63">
        <v>185</v>
      </c>
      <c r="Q2939" s="63">
        <v>497</v>
      </c>
      <c r="R2939" s="63">
        <v>101</v>
      </c>
      <c r="S2939" s="63"/>
      <c r="T2939" s="63"/>
      <c r="U2939" s="63"/>
      <c r="V2939" s="63"/>
      <c r="W2939" s="63">
        <v>87</v>
      </c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W2939" s="5">
        <f>IF(Q2939&gt;0,RANK(Q2939,(N2939:P2939,Q2939:AE2939)),0)</f>
        <v>3</v>
      </c>
      <c r="AX2939" s="5">
        <f>IF(R2939&gt;0,RANK(R2939,(N2939:P2939,Q2939:AE2939)),0)</f>
        <v>5</v>
      </c>
      <c r="AY2939" s="5">
        <f>IF(T2939&gt;0,RANK(T2939,(N2939:P2939,Q2939:AE2939)),0)</f>
        <v>0</v>
      </c>
      <c r="AZ2939" s="5">
        <f>IF(S2939&gt;0,RANK(S2939,(N2939:P2939,Q2939:AE2939)),0)</f>
        <v>0</v>
      </c>
      <c r="BA2939" s="2">
        <f t="shared" si="1154"/>
        <v>2.652222637280538E-2</v>
      </c>
      <c r="BB2939" s="2">
        <f t="shared" si="1155"/>
        <v>5.3898286995037086E-3</v>
      </c>
      <c r="BC2939" s="2">
        <f t="shared" si="1156"/>
        <v>0</v>
      </c>
      <c r="BD2939" s="2">
        <f t="shared" si="1157"/>
        <v>0</v>
      </c>
      <c r="BF2939" t="s">
        <v>1582</v>
      </c>
      <c r="BG2939" t="s">
        <v>1595</v>
      </c>
      <c r="BH2939">
        <v>6</v>
      </c>
      <c r="BJ2939" s="114">
        <v>51</v>
      </c>
      <c r="BK2939" s="116">
        <v>23</v>
      </c>
      <c r="BL2939" s="120">
        <f t="shared" si="1147"/>
        <v>51023</v>
      </c>
      <c r="BN2939" s="5" t="s">
        <v>3154</v>
      </c>
    </row>
    <row r="2940" spans="1:66" hidden="1" outlineLevel="1">
      <c r="A2940" t="s">
        <v>1808</v>
      </c>
      <c r="B2940" t="s">
        <v>1595</v>
      </c>
      <c r="C2940" s="1">
        <f t="shared" si="1149"/>
        <v>7669</v>
      </c>
      <c r="D2940" s="5">
        <f>IF(N2940&gt;0, RANK(N2940,(N2940:P2940,Q2940:AE2940)),0)</f>
        <v>1</v>
      </c>
      <c r="E2940" s="5">
        <f>IF(O2940&gt;0,RANK(O2940,(N2940:P2940,Q2940:AE2940)),0)</f>
        <v>2</v>
      </c>
      <c r="F2940" s="5">
        <f>IF(P2940&gt;0,RANK(P2940,(N2940:P2940,Q2940:AE2940)),0)</f>
        <v>4</v>
      </c>
      <c r="G2940" s="132">
        <f t="shared" si="1134"/>
        <v>1435</v>
      </c>
      <c r="H2940" s="137">
        <f t="shared" si="1135"/>
        <v>0.18711696440213849</v>
      </c>
      <c r="I2940" s="2"/>
      <c r="J2940" s="2">
        <f t="shared" si="1150"/>
        <v>0.58430043030382062</v>
      </c>
      <c r="K2940" s="2">
        <f t="shared" si="1151"/>
        <v>0.39718346590168208</v>
      </c>
      <c r="L2940" s="2">
        <f t="shared" si="1152"/>
        <v>3.9118529143304208E-3</v>
      </c>
      <c r="M2940" s="2">
        <f t="shared" si="1153"/>
        <v>1.4604250880166886E-2</v>
      </c>
      <c r="N2940" s="63">
        <v>4481</v>
      </c>
      <c r="O2940" s="63">
        <v>3046</v>
      </c>
      <c r="P2940" s="63">
        <v>30</v>
      </c>
      <c r="Q2940" s="63">
        <v>72</v>
      </c>
      <c r="R2940" s="63">
        <v>25</v>
      </c>
      <c r="S2940" s="63"/>
      <c r="T2940" s="63"/>
      <c r="U2940" s="63"/>
      <c r="V2940" s="63"/>
      <c r="W2940" s="63">
        <v>15</v>
      </c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W2940" s="5">
        <f>IF(Q2940&gt;0,RANK(Q2940,(N2940:P2940,Q2940:AE2940)),0)</f>
        <v>3</v>
      </c>
      <c r="AX2940" s="5">
        <f>IF(R2940&gt;0,RANK(R2940,(N2940:P2940,Q2940:AE2940)),0)</f>
        <v>5</v>
      </c>
      <c r="AY2940" s="5">
        <f>IF(T2940&gt;0,RANK(T2940,(N2940:P2940,Q2940:AE2940)),0)</f>
        <v>0</v>
      </c>
      <c r="AZ2940" s="5">
        <f>IF(S2940&gt;0,RANK(S2940,(N2940:P2940,Q2940:AE2940)),0)</f>
        <v>0</v>
      </c>
      <c r="BA2940" s="2">
        <f t="shared" si="1154"/>
        <v>9.3884469943930106E-3</v>
      </c>
      <c r="BB2940" s="2">
        <f t="shared" si="1155"/>
        <v>3.2598774286086841E-3</v>
      </c>
      <c r="BC2940" s="2">
        <f t="shared" si="1156"/>
        <v>0</v>
      </c>
      <c r="BD2940" s="2">
        <f t="shared" si="1157"/>
        <v>0</v>
      </c>
      <c r="BF2940" t="s">
        <v>1808</v>
      </c>
      <c r="BG2940" t="s">
        <v>1595</v>
      </c>
      <c r="BH2940">
        <v>5</v>
      </c>
      <c r="BJ2940" s="114">
        <v>51</v>
      </c>
      <c r="BK2940" s="116">
        <v>25</v>
      </c>
      <c r="BL2940" s="120">
        <f t="shared" si="1147"/>
        <v>51025</v>
      </c>
      <c r="BN2940" s="5" t="s">
        <v>3154</v>
      </c>
    </row>
    <row r="2941" spans="1:66" hidden="1" outlineLevel="1">
      <c r="A2941" t="s">
        <v>864</v>
      </c>
      <c r="B2941" t="s">
        <v>1595</v>
      </c>
      <c r="C2941" s="1">
        <f t="shared" si="1149"/>
        <v>9247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4</v>
      </c>
      <c r="G2941" s="132">
        <f t="shared" si="1134"/>
        <v>5575</v>
      </c>
      <c r="H2941" s="137">
        <f t="shared" si="1135"/>
        <v>0.60289823726614034</v>
      </c>
      <c r="I2941" s="2"/>
      <c r="J2941" s="2">
        <f t="shared" si="1150"/>
        <v>0.18611441548610361</v>
      </c>
      <c r="K2941" s="2">
        <f t="shared" si="1151"/>
        <v>0.78901265275224397</v>
      </c>
      <c r="L2941" s="2">
        <f t="shared" si="1152"/>
        <v>6.3804477127717097E-3</v>
      </c>
      <c r="M2941" s="2">
        <f t="shared" si="1153"/>
        <v>1.8492484048880684E-2</v>
      </c>
      <c r="N2941" s="63">
        <v>1721</v>
      </c>
      <c r="O2941" s="63">
        <v>7296</v>
      </c>
      <c r="P2941" s="63">
        <v>59</v>
      </c>
      <c r="Q2941" s="63">
        <v>122</v>
      </c>
      <c r="R2941" s="63">
        <v>24</v>
      </c>
      <c r="S2941" s="63"/>
      <c r="T2941" s="63"/>
      <c r="U2941" s="63"/>
      <c r="V2941" s="63"/>
      <c r="W2941" s="63">
        <v>25</v>
      </c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W2941" s="5">
        <f>IF(Q2941&gt;0,RANK(Q2941,(N2941:P2941,Q2941:AE2941)),0)</f>
        <v>3</v>
      </c>
      <c r="AX2941" s="5">
        <f>IF(R2941&gt;0,RANK(R2941,(N2941:P2941,Q2941:AE2941)),0)</f>
        <v>6</v>
      </c>
      <c r="AY2941" s="5">
        <f>IF(T2941&gt;0,RANK(T2941,(N2941:P2941,Q2941:AE2941)),0)</f>
        <v>0</v>
      </c>
      <c r="AZ2941" s="5">
        <f>IF(S2941&gt;0,RANK(S2941,(N2941:P2941,Q2941:AE2941)),0)</f>
        <v>0</v>
      </c>
      <c r="BA2941" s="2">
        <f t="shared" si="1154"/>
        <v>1.3193468151833027E-2</v>
      </c>
      <c r="BB2941" s="2">
        <f t="shared" si="1155"/>
        <v>2.5954363577376446E-3</v>
      </c>
      <c r="BC2941" s="2">
        <f t="shared" si="1156"/>
        <v>0</v>
      </c>
      <c r="BD2941" s="2">
        <f t="shared" si="1157"/>
        <v>0</v>
      </c>
      <c r="BF2941" t="s">
        <v>864</v>
      </c>
      <c r="BG2941" t="s">
        <v>1595</v>
      </c>
      <c r="BH2941">
        <v>9</v>
      </c>
      <c r="BJ2941" s="114">
        <v>51</v>
      </c>
      <c r="BK2941" s="116">
        <v>27</v>
      </c>
      <c r="BL2941" s="120">
        <f t="shared" si="1147"/>
        <v>51027</v>
      </c>
      <c r="BN2941" s="5" t="s">
        <v>3154</v>
      </c>
    </row>
    <row r="2942" spans="1:66" hidden="1" outlineLevel="1">
      <c r="A2942" t="s">
        <v>307</v>
      </c>
      <c r="B2942" t="s">
        <v>1595</v>
      </c>
      <c r="C2942" s="1">
        <f t="shared" si="1149"/>
        <v>7289</v>
      </c>
      <c r="D2942" s="5">
        <f>IF(N2942&gt;0, RANK(N2942,(N2942:P2942,Q2942:AE2942)),0)</f>
        <v>2</v>
      </c>
      <c r="E2942" s="5">
        <f>IF(O2942&gt;0,RANK(O2942,(N2942:P2942,Q2942:AE2942)),0)</f>
        <v>1</v>
      </c>
      <c r="F2942" s="5">
        <f>IF(P2942&gt;0,RANK(P2942,(N2942:P2942,Q2942:AE2942)),0)</f>
        <v>4</v>
      </c>
      <c r="G2942" s="132">
        <f t="shared" si="1134"/>
        <v>822</v>
      </c>
      <c r="H2942" s="137">
        <f t="shared" si="1135"/>
        <v>0.11277267114830566</v>
      </c>
      <c r="I2942" s="2"/>
      <c r="J2942" s="2">
        <f t="shared" si="1150"/>
        <v>0.42913979969817534</v>
      </c>
      <c r="K2942" s="2">
        <f t="shared" si="1151"/>
        <v>0.54191247084648098</v>
      </c>
      <c r="L2942" s="2">
        <f t="shared" si="1152"/>
        <v>7.9571957744546569E-3</v>
      </c>
      <c r="M2942" s="2">
        <f t="shared" si="1153"/>
        <v>2.0990533680888972E-2</v>
      </c>
      <c r="N2942" s="63">
        <v>3128</v>
      </c>
      <c r="O2942" s="63">
        <v>3950</v>
      </c>
      <c r="P2942" s="63">
        <v>58</v>
      </c>
      <c r="Q2942" s="63">
        <v>102</v>
      </c>
      <c r="R2942" s="63">
        <v>27</v>
      </c>
      <c r="S2942" s="63"/>
      <c r="T2942" s="63"/>
      <c r="U2942" s="63"/>
      <c r="V2942" s="63"/>
      <c r="W2942" s="63">
        <v>24</v>
      </c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W2942" s="5">
        <f>IF(Q2942&gt;0,RANK(Q2942,(N2942:P2942,Q2942:AE2942)),0)</f>
        <v>3</v>
      </c>
      <c r="AX2942" s="5">
        <f>IF(R2942&gt;0,RANK(R2942,(N2942:P2942,Q2942:AE2942)),0)</f>
        <v>5</v>
      </c>
      <c r="AY2942" s="5">
        <f>IF(T2942&gt;0,RANK(T2942,(N2942:P2942,Q2942:AE2942)),0)</f>
        <v>0</v>
      </c>
      <c r="AZ2942" s="5">
        <f>IF(S2942&gt;0,RANK(S2942,(N2942:P2942,Q2942:AE2942)),0)</f>
        <v>0</v>
      </c>
      <c r="BA2942" s="2">
        <f t="shared" si="1154"/>
        <v>1.3993689120592673E-2</v>
      </c>
      <c r="BB2942" s="2">
        <f t="shared" si="1155"/>
        <v>3.7042118260392372E-3</v>
      </c>
      <c r="BC2942" s="2">
        <f t="shared" si="1156"/>
        <v>0</v>
      </c>
      <c r="BD2942" s="2">
        <f t="shared" si="1157"/>
        <v>0</v>
      </c>
      <c r="BF2942" t="s">
        <v>307</v>
      </c>
      <c r="BG2942" t="s">
        <v>1595</v>
      </c>
      <c r="BH2942">
        <v>5</v>
      </c>
      <c r="BJ2942" s="114">
        <v>51</v>
      </c>
      <c r="BK2942" s="116">
        <v>29</v>
      </c>
      <c r="BL2942" s="120">
        <f t="shared" si="1147"/>
        <v>51029</v>
      </c>
      <c r="BN2942" s="5" t="s">
        <v>3154</v>
      </c>
    </row>
    <row r="2943" spans="1:66" hidden="1" outlineLevel="1">
      <c r="A2943" t="s">
        <v>206</v>
      </c>
      <c r="B2943" t="s">
        <v>1595</v>
      </c>
      <c r="C2943" s="1">
        <f t="shared" si="1149"/>
        <v>27535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4</v>
      </c>
      <c r="G2943" s="132">
        <f t="shared" si="1134"/>
        <v>12887</v>
      </c>
      <c r="H2943" s="137">
        <f t="shared" si="1135"/>
        <v>0.46802251679680407</v>
      </c>
      <c r="I2943" s="2"/>
      <c r="J2943" s="2">
        <f t="shared" si="1150"/>
        <v>0.24201924822952606</v>
      </c>
      <c r="K2943" s="2">
        <f t="shared" si="1151"/>
        <v>0.7100417650263301</v>
      </c>
      <c r="L2943" s="2">
        <f t="shared" si="1152"/>
        <v>1.5216996549845652E-2</v>
      </c>
      <c r="M2943" s="2">
        <f t="shared" si="1153"/>
        <v>3.2721990194298223E-2</v>
      </c>
      <c r="N2943" s="63">
        <v>6664</v>
      </c>
      <c r="O2943" s="63">
        <v>19551</v>
      </c>
      <c r="P2943" s="63">
        <v>419</v>
      </c>
      <c r="Q2943" s="63">
        <v>665</v>
      </c>
      <c r="R2943" s="63">
        <v>102</v>
      </c>
      <c r="S2943" s="63"/>
      <c r="T2943" s="63"/>
      <c r="U2943" s="63"/>
      <c r="V2943" s="63"/>
      <c r="W2943" s="63">
        <v>134</v>
      </c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W2943" s="5">
        <f>IF(Q2943&gt;0,RANK(Q2943,(N2943:P2943,Q2943:AE2943)),0)</f>
        <v>3</v>
      </c>
      <c r="AX2943" s="5">
        <f>IF(R2943&gt;0,RANK(R2943,(N2943:P2943,Q2943:AE2943)),0)</f>
        <v>6</v>
      </c>
      <c r="AY2943" s="5">
        <f>IF(T2943&gt;0,RANK(T2943,(N2943:P2943,Q2943:AE2943)),0)</f>
        <v>0</v>
      </c>
      <c r="AZ2943" s="5">
        <f>IF(S2943&gt;0,RANK(S2943,(N2943:P2943,Q2943:AE2943)),0)</f>
        <v>0</v>
      </c>
      <c r="BA2943" s="2">
        <f t="shared" si="1154"/>
        <v>2.4151080443072452E-2</v>
      </c>
      <c r="BB2943" s="2">
        <f t="shared" si="1155"/>
        <v>3.704376248411113E-3</v>
      </c>
      <c r="BC2943" s="2">
        <f t="shared" si="1156"/>
        <v>0</v>
      </c>
      <c r="BD2943" s="2">
        <f t="shared" si="1157"/>
        <v>0</v>
      </c>
      <c r="BF2943" t="s">
        <v>206</v>
      </c>
      <c r="BG2943" t="s">
        <v>1595</v>
      </c>
      <c r="BH2943">
        <v>5</v>
      </c>
      <c r="BJ2943" s="114">
        <v>51</v>
      </c>
      <c r="BK2943" s="116">
        <v>31</v>
      </c>
      <c r="BL2943" s="120">
        <f t="shared" si="1147"/>
        <v>51031</v>
      </c>
      <c r="BN2943" s="5" t="s">
        <v>3154</v>
      </c>
    </row>
    <row r="2944" spans="1:66" hidden="1" outlineLevel="1">
      <c r="A2944" t="s">
        <v>15</v>
      </c>
      <c r="B2944" t="s">
        <v>1595</v>
      </c>
      <c r="C2944" s="1">
        <f t="shared" si="1149"/>
        <v>14248</v>
      </c>
      <c r="D2944" s="5">
        <f>IF(N2944&gt;0, RANK(N2944,(N2944:P2944,Q2944:AE2944)),0)</f>
        <v>2</v>
      </c>
      <c r="E2944" s="5">
        <f>IF(O2944&gt;0,RANK(O2944,(N2944:P2944,Q2944:AE2944)),0)</f>
        <v>1</v>
      </c>
      <c r="F2944" s="5">
        <f>IF(P2944&gt;0,RANK(P2944,(N2944:P2944,Q2944:AE2944)),0)</f>
        <v>4</v>
      </c>
      <c r="G2944" s="132">
        <f t="shared" si="1134"/>
        <v>715</v>
      </c>
      <c r="H2944" s="137">
        <f t="shared" si="1135"/>
        <v>5.0182481751824819E-2</v>
      </c>
      <c r="I2944" s="2"/>
      <c r="J2944" s="2">
        <f t="shared" si="1150"/>
        <v>0.45143177989893318</v>
      </c>
      <c r="K2944" s="2">
        <f t="shared" si="1151"/>
        <v>0.50161426165075795</v>
      </c>
      <c r="L2944" s="2">
        <f t="shared" si="1152"/>
        <v>1.0808534531162269E-2</v>
      </c>
      <c r="M2944" s="2">
        <f t="shared" si="1153"/>
        <v>3.6145423919146651E-2</v>
      </c>
      <c r="N2944" s="63">
        <v>6432</v>
      </c>
      <c r="O2944" s="63">
        <v>7147</v>
      </c>
      <c r="P2944" s="63">
        <v>154</v>
      </c>
      <c r="Q2944" s="63">
        <v>368</v>
      </c>
      <c r="R2944" s="63">
        <v>99</v>
      </c>
      <c r="S2944" s="63"/>
      <c r="T2944" s="63"/>
      <c r="U2944" s="63"/>
      <c r="V2944" s="63"/>
      <c r="W2944" s="63">
        <v>48</v>
      </c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W2944" s="5">
        <f>IF(Q2944&gt;0,RANK(Q2944,(N2944:P2944,Q2944:AE2944)),0)</f>
        <v>3</v>
      </c>
      <c r="AX2944" s="5">
        <f>IF(R2944&gt;0,RANK(R2944,(N2944:P2944,Q2944:AE2944)),0)</f>
        <v>5</v>
      </c>
      <c r="AY2944" s="5">
        <f>IF(T2944&gt;0,RANK(T2944,(N2944:P2944,Q2944:AE2944)),0)</f>
        <v>0</v>
      </c>
      <c r="AZ2944" s="5">
        <f>IF(S2944&gt;0,RANK(S2944,(N2944:P2944,Q2944:AE2944)),0)</f>
        <v>0</v>
      </c>
      <c r="BA2944" s="2">
        <f t="shared" si="1154"/>
        <v>2.5828186412128019E-2</v>
      </c>
      <c r="BB2944" s="2">
        <f t="shared" si="1155"/>
        <v>6.9483436271757437E-3</v>
      </c>
      <c r="BC2944" s="2">
        <f t="shared" si="1156"/>
        <v>0</v>
      </c>
      <c r="BD2944" s="2">
        <f t="shared" si="1157"/>
        <v>0</v>
      </c>
      <c r="BF2944" t="s">
        <v>15</v>
      </c>
      <c r="BG2944" t="s">
        <v>1595</v>
      </c>
      <c r="BH2944">
        <v>1</v>
      </c>
      <c r="BJ2944" s="114">
        <v>51</v>
      </c>
      <c r="BK2944" s="116">
        <v>33</v>
      </c>
      <c r="BL2944" s="120">
        <f t="shared" si="1147"/>
        <v>51033</v>
      </c>
      <c r="BN2944" s="5" t="s">
        <v>3154</v>
      </c>
    </row>
    <row r="2945" spans="1:66" hidden="1" outlineLevel="1">
      <c r="A2945" t="s">
        <v>1675</v>
      </c>
      <c r="B2945" t="s">
        <v>1595</v>
      </c>
      <c r="C2945" s="1">
        <f t="shared" si="1149"/>
        <v>13655</v>
      </c>
      <c r="D2945" s="5">
        <f>IF(N2945&gt;0, RANK(N2945,(N2945:P2945,Q2945:AE2945)),0)</f>
        <v>2</v>
      </c>
      <c r="E2945" s="5">
        <f>IF(O2945&gt;0,RANK(O2945,(N2945:P2945,Q2945:AE2945)),0)</f>
        <v>1</v>
      </c>
      <c r="F2945" s="5">
        <f>IF(P2945&gt;0,RANK(P2945,(N2945:P2945,Q2945:AE2945)),0)</f>
        <v>4</v>
      </c>
      <c r="G2945" s="132">
        <f t="shared" si="1134"/>
        <v>8104</v>
      </c>
      <c r="H2945" s="137">
        <f t="shared" si="1135"/>
        <v>0.59348224093738555</v>
      </c>
      <c r="I2945" s="2"/>
      <c r="J2945" s="2">
        <f t="shared" si="1150"/>
        <v>0.1874038813621384</v>
      </c>
      <c r="K2945" s="2">
        <f t="shared" si="1151"/>
        <v>0.78088612229952403</v>
      </c>
      <c r="L2945" s="2">
        <f t="shared" si="1152"/>
        <v>6.4445258147198831E-3</v>
      </c>
      <c r="M2945" s="2">
        <f t="shared" si="1153"/>
        <v>2.5265470523617717E-2</v>
      </c>
      <c r="N2945" s="63">
        <v>2559</v>
      </c>
      <c r="O2945" s="63">
        <v>10663</v>
      </c>
      <c r="P2945" s="63">
        <v>88</v>
      </c>
      <c r="Q2945" s="63">
        <v>220</v>
      </c>
      <c r="R2945" s="63">
        <v>69</v>
      </c>
      <c r="S2945" s="63"/>
      <c r="T2945" s="63"/>
      <c r="U2945" s="63"/>
      <c r="V2945" s="63"/>
      <c r="W2945" s="63">
        <v>56</v>
      </c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W2945" s="5">
        <f>IF(Q2945&gt;0,RANK(Q2945,(N2945:P2945,Q2945:AE2945)),0)</f>
        <v>3</v>
      </c>
      <c r="AX2945" s="5">
        <f>IF(R2945&gt;0,RANK(R2945,(N2945:P2945,Q2945:AE2945)),0)</f>
        <v>5</v>
      </c>
      <c r="AY2945" s="5">
        <f>IF(T2945&gt;0,RANK(T2945,(N2945:P2945,Q2945:AE2945)),0)</f>
        <v>0</v>
      </c>
      <c r="AZ2945" s="5">
        <f>IF(S2945&gt;0,RANK(S2945,(N2945:P2945,Q2945:AE2945)),0)</f>
        <v>0</v>
      </c>
      <c r="BA2945" s="2">
        <f t="shared" si="1154"/>
        <v>1.6111314536799707E-2</v>
      </c>
      <c r="BB2945" s="2">
        <f t="shared" si="1155"/>
        <v>5.0530941047235442E-3</v>
      </c>
      <c r="BC2945" s="2">
        <f t="shared" si="1156"/>
        <v>0</v>
      </c>
      <c r="BD2945" s="2">
        <f t="shared" si="1157"/>
        <v>0</v>
      </c>
      <c r="BF2945" t="s">
        <v>1675</v>
      </c>
      <c r="BG2945" t="s">
        <v>1595</v>
      </c>
      <c r="BH2945">
        <v>9</v>
      </c>
      <c r="BJ2945" s="114">
        <v>51</v>
      </c>
      <c r="BK2945" s="116">
        <v>35</v>
      </c>
      <c r="BL2945" s="120">
        <f t="shared" si="1147"/>
        <v>51035</v>
      </c>
      <c r="BN2945" s="5" t="s">
        <v>3154</v>
      </c>
    </row>
    <row r="2946" spans="1:66" hidden="1" outlineLevel="1">
      <c r="A2946" t="s">
        <v>521</v>
      </c>
      <c r="B2946" t="s">
        <v>1595</v>
      </c>
      <c r="C2946" s="1">
        <f t="shared" si="1149"/>
        <v>4107</v>
      </c>
      <c r="D2946" s="5">
        <f>IF(N2946&gt;0, RANK(N2946,(N2946:P2946,Q2946:AE2946)),0)</f>
        <v>1</v>
      </c>
      <c r="E2946" s="5">
        <f>IF(O2946&gt;0,RANK(O2946,(N2946:P2946,Q2946:AE2946)),0)</f>
        <v>2</v>
      </c>
      <c r="F2946" s="5">
        <f>IF(P2946&gt;0,RANK(P2946,(N2946:P2946,Q2946:AE2946)),0)</f>
        <v>4</v>
      </c>
      <c r="G2946" s="132">
        <f t="shared" si="1134"/>
        <v>1020</v>
      </c>
      <c r="H2946" s="137">
        <f t="shared" si="1135"/>
        <v>0.24835646457268079</v>
      </c>
      <c r="I2946" s="2"/>
      <c r="J2946" s="2">
        <f t="shared" si="1150"/>
        <v>0.6077428780131483</v>
      </c>
      <c r="K2946" s="2">
        <f t="shared" si="1151"/>
        <v>0.35938641344046751</v>
      </c>
      <c r="L2946" s="2">
        <f t="shared" si="1152"/>
        <v>9.4959824689554422E-3</v>
      </c>
      <c r="M2946" s="2">
        <f t="shared" si="1153"/>
        <v>2.3374726077428742E-2</v>
      </c>
      <c r="N2946" s="63">
        <v>2496</v>
      </c>
      <c r="O2946" s="63">
        <v>1476</v>
      </c>
      <c r="P2946" s="63">
        <v>39</v>
      </c>
      <c r="Q2946" s="63">
        <v>67</v>
      </c>
      <c r="R2946" s="63">
        <v>15</v>
      </c>
      <c r="S2946" s="63"/>
      <c r="T2946" s="63"/>
      <c r="U2946" s="63"/>
      <c r="V2946" s="63"/>
      <c r="W2946" s="63">
        <v>14</v>
      </c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W2946" s="5">
        <f>IF(Q2946&gt;0,RANK(Q2946,(N2946:P2946,Q2946:AE2946)),0)</f>
        <v>3</v>
      </c>
      <c r="AX2946" s="5">
        <f>IF(R2946&gt;0,RANK(R2946,(N2946:P2946,Q2946:AE2946)),0)</f>
        <v>5</v>
      </c>
      <c r="AY2946" s="5">
        <f>IF(T2946&gt;0,RANK(T2946,(N2946:P2946,Q2946:AE2946)),0)</f>
        <v>0</v>
      </c>
      <c r="AZ2946" s="5">
        <f>IF(S2946&gt;0,RANK(S2946,(N2946:P2946,Q2946:AE2946)),0)</f>
        <v>0</v>
      </c>
      <c r="BA2946" s="2">
        <f t="shared" si="1154"/>
        <v>1.6313610908205503E-2</v>
      </c>
      <c r="BB2946" s="2">
        <f t="shared" si="1155"/>
        <v>3.6523009495982471E-3</v>
      </c>
      <c r="BC2946" s="2">
        <f t="shared" si="1156"/>
        <v>0</v>
      </c>
      <c r="BD2946" s="2">
        <f t="shared" si="1157"/>
        <v>0</v>
      </c>
      <c r="BF2946" t="s">
        <v>521</v>
      </c>
      <c r="BG2946" t="s">
        <v>1595</v>
      </c>
      <c r="BH2946">
        <v>4</v>
      </c>
      <c r="BJ2946" s="114">
        <v>51</v>
      </c>
      <c r="BK2946" s="116">
        <v>36</v>
      </c>
      <c r="BL2946" s="120">
        <f t="shared" si="1147"/>
        <v>51036</v>
      </c>
      <c r="BN2946" s="5" t="s">
        <v>3154</v>
      </c>
    </row>
    <row r="2947" spans="1:66" hidden="1" outlineLevel="1">
      <c r="A2947" t="s">
        <v>1188</v>
      </c>
      <c r="B2947" t="s">
        <v>1595</v>
      </c>
      <c r="C2947" s="1">
        <f t="shared" si="1149"/>
        <v>5807</v>
      </c>
      <c r="D2947" s="5">
        <f>IF(N2947&gt;0, RANK(N2947,(N2947:P2947,Q2947:AE2947)),0)</f>
        <v>2</v>
      </c>
      <c r="E2947" s="5">
        <f>IF(O2947&gt;0,RANK(O2947,(N2947:P2947,Q2947:AE2947)),0)</f>
        <v>1</v>
      </c>
      <c r="F2947" s="5">
        <f>IF(P2947&gt;0,RANK(P2947,(N2947:P2947,Q2947:AE2947)),0)</f>
        <v>4</v>
      </c>
      <c r="G2947" s="132">
        <f t="shared" si="1134"/>
        <v>1324</v>
      </c>
      <c r="H2947" s="137">
        <f t="shared" si="1135"/>
        <v>0.22800068882383331</v>
      </c>
      <c r="I2947" s="2"/>
      <c r="J2947" s="2">
        <f t="shared" si="1150"/>
        <v>0.37110384019287068</v>
      </c>
      <c r="K2947" s="2">
        <f t="shared" si="1151"/>
        <v>0.59910452901670397</v>
      </c>
      <c r="L2947" s="2">
        <f t="shared" si="1152"/>
        <v>6.5438264163940069E-3</v>
      </c>
      <c r="M2947" s="2">
        <f t="shared" si="1153"/>
        <v>2.3247804374031344E-2</v>
      </c>
      <c r="N2947" s="63">
        <v>2155</v>
      </c>
      <c r="O2947" s="63">
        <v>3479</v>
      </c>
      <c r="P2947" s="63">
        <v>38</v>
      </c>
      <c r="Q2947" s="63">
        <v>111</v>
      </c>
      <c r="R2947" s="63">
        <v>11</v>
      </c>
      <c r="S2947" s="63"/>
      <c r="T2947" s="63"/>
      <c r="U2947" s="63"/>
      <c r="V2947" s="63"/>
      <c r="W2947" s="63">
        <v>13</v>
      </c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W2947" s="5">
        <f>IF(Q2947&gt;0,RANK(Q2947,(N2947:P2947,Q2947:AE2947)),0)</f>
        <v>3</v>
      </c>
      <c r="AX2947" s="5">
        <f>IF(R2947&gt;0,RANK(R2947,(N2947:P2947,Q2947:AE2947)),0)</f>
        <v>6</v>
      </c>
      <c r="AY2947" s="5">
        <f>IF(T2947&gt;0,RANK(T2947,(N2947:P2947,Q2947:AE2947)),0)</f>
        <v>0</v>
      </c>
      <c r="AZ2947" s="5">
        <f>IF(S2947&gt;0,RANK(S2947,(N2947:P2947,Q2947:AE2947)),0)</f>
        <v>0</v>
      </c>
      <c r="BA2947" s="2">
        <f t="shared" si="1154"/>
        <v>1.9114861374203547E-2</v>
      </c>
      <c r="BB2947" s="2">
        <f t="shared" si="1155"/>
        <v>1.8942655415877389E-3</v>
      </c>
      <c r="BC2947" s="2">
        <f t="shared" si="1156"/>
        <v>0</v>
      </c>
      <c r="BD2947" s="2">
        <f t="shared" si="1157"/>
        <v>0</v>
      </c>
      <c r="BF2947" t="s">
        <v>1188</v>
      </c>
      <c r="BG2947" t="s">
        <v>1595</v>
      </c>
      <c r="BH2947">
        <v>5</v>
      </c>
      <c r="BJ2947" s="114">
        <v>51</v>
      </c>
      <c r="BK2947" s="116">
        <v>37</v>
      </c>
      <c r="BL2947" s="120">
        <f t="shared" si="1147"/>
        <v>51037</v>
      </c>
      <c r="BN2947" s="5" t="s">
        <v>3154</v>
      </c>
    </row>
    <row r="2948" spans="1:66" hidden="1" outlineLevel="1">
      <c r="A2948" t="s">
        <v>3091</v>
      </c>
      <c r="B2948" t="s">
        <v>1595</v>
      </c>
      <c r="C2948" s="1">
        <f t="shared" si="1149"/>
        <v>176362</v>
      </c>
      <c r="D2948" s="5">
        <f>IF(N2948&gt;0, RANK(N2948,(N2948:P2948,Q2948:AE2948)),0)</f>
        <v>2</v>
      </c>
      <c r="E2948" s="5">
        <f>IF(O2948&gt;0,RANK(O2948,(N2948:P2948,Q2948:AE2948)),0)</f>
        <v>1</v>
      </c>
      <c r="F2948" s="5">
        <f>IF(P2948&gt;0,RANK(P2948,(N2948:P2948,Q2948:AE2948)),0)</f>
        <v>4</v>
      </c>
      <c r="G2948" s="132">
        <f t="shared" si="1134"/>
        <v>3971</v>
      </c>
      <c r="H2948" s="137">
        <f t="shared" si="1135"/>
        <v>2.2516188294530566E-2</v>
      </c>
      <c r="I2948" s="2"/>
      <c r="J2948" s="2">
        <f t="shared" si="1150"/>
        <v>0.45970220342250601</v>
      </c>
      <c r="K2948" s="2">
        <f t="shared" si="1151"/>
        <v>0.48221839171703657</v>
      </c>
      <c r="L2948" s="2">
        <f t="shared" si="1152"/>
        <v>1.1362992027761082E-2</v>
      </c>
      <c r="M2948" s="2">
        <f t="shared" si="1153"/>
        <v>4.6716412832696348E-2</v>
      </c>
      <c r="N2948" s="63">
        <v>81074</v>
      </c>
      <c r="O2948" s="63">
        <v>85045</v>
      </c>
      <c r="P2948" s="63">
        <v>2004</v>
      </c>
      <c r="Q2948" s="63">
        <v>6247</v>
      </c>
      <c r="R2948" s="63">
        <v>990</v>
      </c>
      <c r="S2948" s="63"/>
      <c r="T2948" s="63"/>
      <c r="U2948" s="63"/>
      <c r="V2948" s="63"/>
      <c r="W2948" s="63">
        <v>1002</v>
      </c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W2948" s="5">
        <f>IF(Q2948&gt;0,RANK(Q2948,(N2948:P2948,Q2948:AE2948)),0)</f>
        <v>3</v>
      </c>
      <c r="AX2948" s="5">
        <f>IF(R2948&gt;0,RANK(R2948,(N2948:P2948,Q2948:AE2948)),0)</f>
        <v>6</v>
      </c>
      <c r="AY2948" s="5">
        <f>IF(T2948&gt;0,RANK(T2948,(N2948:P2948,Q2948:AE2948)),0)</f>
        <v>0</v>
      </c>
      <c r="AZ2948" s="5">
        <f>IF(S2948&gt;0,RANK(S2948,(N2948:P2948,Q2948:AE2948)),0)</f>
        <v>0</v>
      </c>
      <c r="BA2948" s="2">
        <f t="shared" si="1154"/>
        <v>3.542146267336501E-2</v>
      </c>
      <c r="BB2948" s="2">
        <f t="shared" si="1155"/>
        <v>5.613454145450834E-3</v>
      </c>
      <c r="BC2948" s="2">
        <f t="shared" si="1156"/>
        <v>0</v>
      </c>
      <c r="BD2948" s="2">
        <f t="shared" si="1157"/>
        <v>0</v>
      </c>
      <c r="BF2948" t="s">
        <v>3091</v>
      </c>
      <c r="BG2948" t="s">
        <v>1595</v>
      </c>
      <c r="BJ2948" s="114">
        <v>51</v>
      </c>
      <c r="BK2948" s="116">
        <v>41</v>
      </c>
      <c r="BL2948" s="120">
        <f t="shared" si="1147"/>
        <v>51041</v>
      </c>
      <c r="BN2948" s="5" t="s">
        <v>3154</v>
      </c>
    </row>
    <row r="2949" spans="1:66" hidden="1" outlineLevel="1">
      <c r="A2949" t="s">
        <v>3092</v>
      </c>
      <c r="B2949" t="s">
        <v>1595</v>
      </c>
      <c r="C2949" s="1">
        <f t="shared" si="1149"/>
        <v>8213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4</v>
      </c>
      <c r="G2949" s="132">
        <f t="shared" si="1134"/>
        <v>1610</v>
      </c>
      <c r="H2949" s="137">
        <f t="shared" si="1135"/>
        <v>0.19603068306343602</v>
      </c>
      <c r="I2949" s="2"/>
      <c r="J2949" s="2">
        <f t="shared" si="1150"/>
        <v>0.37148423231462313</v>
      </c>
      <c r="K2949" s="2">
        <f t="shared" si="1151"/>
        <v>0.5675149153780592</v>
      </c>
      <c r="L2949" s="2">
        <f t="shared" si="1152"/>
        <v>1.3515158894435652E-2</v>
      </c>
      <c r="M2949" s="2">
        <f t="shared" si="1153"/>
        <v>4.7485693412882016E-2</v>
      </c>
      <c r="N2949" s="63">
        <v>3051</v>
      </c>
      <c r="O2949" s="63">
        <v>4661</v>
      </c>
      <c r="P2949" s="63">
        <v>111</v>
      </c>
      <c r="Q2949" s="63">
        <v>261</v>
      </c>
      <c r="R2949" s="63">
        <v>55</v>
      </c>
      <c r="S2949" s="63"/>
      <c r="T2949" s="63"/>
      <c r="U2949" s="63"/>
      <c r="V2949" s="63"/>
      <c r="W2949" s="63">
        <v>74</v>
      </c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W2949" s="5">
        <f>IF(Q2949&gt;0,RANK(Q2949,(N2949:P2949,Q2949:AE2949)),0)</f>
        <v>3</v>
      </c>
      <c r="AX2949" s="5">
        <f>IF(R2949&gt;0,RANK(R2949,(N2949:P2949,Q2949:AE2949)),0)</f>
        <v>6</v>
      </c>
      <c r="AY2949" s="5">
        <f>IF(T2949&gt;0,RANK(T2949,(N2949:P2949,Q2949:AE2949)),0)</f>
        <v>0</v>
      </c>
      <c r="AZ2949" s="5">
        <f>IF(S2949&gt;0,RANK(S2949,(N2949:P2949,Q2949:AE2949)),0)</f>
        <v>0</v>
      </c>
      <c r="BA2949" s="2">
        <f t="shared" si="1154"/>
        <v>3.17788871301595E-2</v>
      </c>
      <c r="BB2949" s="2">
        <f t="shared" si="1155"/>
        <v>6.6967003530987463E-3</v>
      </c>
      <c r="BC2949" s="2">
        <f t="shared" si="1156"/>
        <v>0</v>
      </c>
      <c r="BD2949" s="2">
        <f t="shared" si="1157"/>
        <v>0</v>
      </c>
      <c r="BF2949" t="s">
        <v>3092</v>
      </c>
      <c r="BG2949" t="s">
        <v>1595</v>
      </c>
      <c r="BH2949">
        <v>10</v>
      </c>
      <c r="BJ2949" s="114">
        <v>51</v>
      </c>
      <c r="BK2949" s="116">
        <v>43</v>
      </c>
      <c r="BL2949" s="120">
        <f t="shared" si="1147"/>
        <v>51043</v>
      </c>
      <c r="BN2949" s="5" t="s">
        <v>3154</v>
      </c>
    </row>
    <row r="2950" spans="1:66" hidden="1" outlineLevel="1">
      <c r="A2950" t="s">
        <v>841</v>
      </c>
      <c r="B2950" t="s">
        <v>1595</v>
      </c>
      <c r="C2950" s="1">
        <f t="shared" si="1149"/>
        <v>2791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4</v>
      </c>
      <c r="G2950" s="132">
        <f t="shared" si="1134"/>
        <v>1599</v>
      </c>
      <c r="H2950" s="137">
        <f t="shared" si="1135"/>
        <v>0.57291293443210323</v>
      </c>
      <c r="I2950" s="2"/>
      <c r="J2950" s="2">
        <f t="shared" si="1150"/>
        <v>0.19383733428878538</v>
      </c>
      <c r="K2950" s="2">
        <f t="shared" si="1151"/>
        <v>0.76675026872088858</v>
      </c>
      <c r="L2950" s="2">
        <f t="shared" si="1152"/>
        <v>1.0748835542816195E-2</v>
      </c>
      <c r="M2950" s="2">
        <f t="shared" si="1153"/>
        <v>2.8663561447509867E-2</v>
      </c>
      <c r="N2950" s="63">
        <v>541</v>
      </c>
      <c r="O2950" s="63">
        <v>2140</v>
      </c>
      <c r="P2950" s="63">
        <v>30</v>
      </c>
      <c r="Q2950" s="63">
        <v>54</v>
      </c>
      <c r="R2950" s="63">
        <v>20</v>
      </c>
      <c r="S2950" s="63"/>
      <c r="T2950" s="63"/>
      <c r="U2950" s="63"/>
      <c r="V2950" s="63"/>
      <c r="W2950" s="63">
        <v>6</v>
      </c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W2950" s="5">
        <f>IF(Q2950&gt;0,RANK(Q2950,(N2950:P2950,Q2950:AE2950)),0)</f>
        <v>3</v>
      </c>
      <c r="AX2950" s="5">
        <f>IF(R2950&gt;0,RANK(R2950,(N2950:P2950,Q2950:AE2950)),0)</f>
        <v>5</v>
      </c>
      <c r="AY2950" s="5">
        <f>IF(T2950&gt;0,RANK(T2950,(N2950:P2950,Q2950:AE2950)),0)</f>
        <v>0</v>
      </c>
      <c r="AZ2950" s="5">
        <f>IF(S2950&gt;0,RANK(S2950,(N2950:P2950,Q2950:AE2950)),0)</f>
        <v>0</v>
      </c>
      <c r="BA2950" s="2">
        <f t="shared" si="1154"/>
        <v>1.9347903977069151E-2</v>
      </c>
      <c r="BB2950" s="2">
        <f t="shared" si="1155"/>
        <v>7.1658903618774632E-3</v>
      </c>
      <c r="BC2950" s="2">
        <f t="shared" si="1156"/>
        <v>0</v>
      </c>
      <c r="BD2950" s="2">
        <f t="shared" si="1157"/>
        <v>0</v>
      </c>
      <c r="BF2950" t="s">
        <v>841</v>
      </c>
      <c r="BG2950" t="s">
        <v>1595</v>
      </c>
      <c r="BH2950">
        <v>9</v>
      </c>
      <c r="BJ2950" s="114">
        <v>51</v>
      </c>
      <c r="BK2950" s="116">
        <v>45</v>
      </c>
      <c r="BL2950" s="120">
        <f t="shared" si="1147"/>
        <v>51045</v>
      </c>
      <c r="BN2950" s="5" t="s">
        <v>3154</v>
      </c>
    </row>
    <row r="2951" spans="1:66" hidden="1" outlineLevel="1">
      <c r="A2951" t="s">
        <v>174</v>
      </c>
      <c r="B2951" t="s">
        <v>1595</v>
      </c>
      <c r="C2951" s="1">
        <f t="shared" si="1149"/>
        <v>22218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4</v>
      </c>
      <c r="G2951" s="132">
        <f t="shared" si="1134"/>
        <v>5590</v>
      </c>
      <c r="H2951" s="137">
        <f t="shared" si="1135"/>
        <v>0.25159780358268069</v>
      </c>
      <c r="I2951" s="2"/>
      <c r="J2951" s="2">
        <f t="shared" si="1150"/>
        <v>0.34922135205689081</v>
      </c>
      <c r="K2951" s="2">
        <f t="shared" si="1151"/>
        <v>0.60081915563957156</v>
      </c>
      <c r="L2951" s="2">
        <f t="shared" si="1152"/>
        <v>1.089206949320371E-2</v>
      </c>
      <c r="M2951" s="2">
        <f t="shared" si="1153"/>
        <v>3.9067422810333978E-2</v>
      </c>
      <c r="N2951" s="63">
        <v>7759</v>
      </c>
      <c r="O2951" s="63">
        <v>13349</v>
      </c>
      <c r="P2951" s="63">
        <v>242</v>
      </c>
      <c r="Q2951" s="63">
        <v>584</v>
      </c>
      <c r="R2951" s="63">
        <v>176</v>
      </c>
      <c r="S2951" s="63"/>
      <c r="T2951" s="63"/>
      <c r="U2951" s="63"/>
      <c r="V2951" s="63"/>
      <c r="W2951" s="63">
        <v>108</v>
      </c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W2951" s="5">
        <f>IF(Q2951&gt;0,RANK(Q2951,(N2951:P2951,Q2951:AE2951)),0)</f>
        <v>3</v>
      </c>
      <c r="AX2951" s="5">
        <f>IF(R2951&gt;0,RANK(R2951,(N2951:P2951,Q2951:AE2951)),0)</f>
        <v>5</v>
      </c>
      <c r="AY2951" s="5">
        <f>IF(T2951&gt;0,RANK(T2951,(N2951:P2951,Q2951:AE2951)),0)</f>
        <v>0</v>
      </c>
      <c r="AZ2951" s="5">
        <f>IF(S2951&gt;0,RANK(S2951,(N2951:P2951,Q2951:AE2951)),0)</f>
        <v>0</v>
      </c>
      <c r="BA2951" s="2">
        <f t="shared" si="1154"/>
        <v>2.628499414888829E-2</v>
      </c>
      <c r="BB2951" s="2">
        <f t="shared" si="1155"/>
        <v>7.9215050859663336E-3</v>
      </c>
      <c r="BC2951" s="2">
        <f t="shared" si="1156"/>
        <v>0</v>
      </c>
      <c r="BD2951" s="2">
        <f t="shared" si="1157"/>
        <v>0</v>
      </c>
      <c r="BF2951" t="s">
        <v>174</v>
      </c>
      <c r="BG2951" t="s">
        <v>1595</v>
      </c>
      <c r="BH2951">
        <v>7</v>
      </c>
      <c r="BJ2951" s="114">
        <v>51</v>
      </c>
      <c r="BK2951" s="116">
        <v>47</v>
      </c>
      <c r="BL2951" s="120">
        <f t="shared" si="1147"/>
        <v>51047</v>
      </c>
      <c r="BN2951" s="5" t="s">
        <v>3154</v>
      </c>
    </row>
    <row r="2952" spans="1:66" hidden="1" outlineLevel="1">
      <c r="A2952" t="s">
        <v>1531</v>
      </c>
      <c r="B2952" t="s">
        <v>1595</v>
      </c>
      <c r="C2952" s="1">
        <f t="shared" si="1149"/>
        <v>4906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4</v>
      </c>
      <c r="G2952" s="132">
        <f t="shared" si="1134"/>
        <v>661</v>
      </c>
      <c r="H2952" s="137">
        <f t="shared" si="1135"/>
        <v>0.13473298002445985</v>
      </c>
      <c r="I2952" s="2"/>
      <c r="J2952" s="2">
        <f t="shared" si="1150"/>
        <v>0.41500203832042398</v>
      </c>
      <c r="K2952" s="2">
        <f t="shared" si="1151"/>
        <v>0.54973501834488381</v>
      </c>
      <c r="L2952" s="2">
        <f t="shared" si="1152"/>
        <v>6.5226253567060742E-3</v>
      </c>
      <c r="M2952" s="2">
        <f t="shared" si="1153"/>
        <v>2.8740317977986079E-2</v>
      </c>
      <c r="N2952" s="63">
        <v>2036</v>
      </c>
      <c r="O2952" s="63">
        <v>2697</v>
      </c>
      <c r="P2952" s="63">
        <v>32</v>
      </c>
      <c r="Q2952" s="63">
        <v>95</v>
      </c>
      <c r="R2952" s="63">
        <v>24</v>
      </c>
      <c r="S2952" s="63"/>
      <c r="T2952" s="63"/>
      <c r="U2952" s="63"/>
      <c r="V2952" s="63"/>
      <c r="W2952" s="63">
        <v>22</v>
      </c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W2952" s="5">
        <f>IF(Q2952&gt;0,RANK(Q2952,(N2952:P2952,Q2952:AE2952)),0)</f>
        <v>3</v>
      </c>
      <c r="AX2952" s="5">
        <f>IF(R2952&gt;0,RANK(R2952,(N2952:P2952,Q2952:AE2952)),0)</f>
        <v>5</v>
      </c>
      <c r="AY2952" s="5">
        <f>IF(T2952&gt;0,RANK(T2952,(N2952:P2952,Q2952:AE2952)),0)</f>
        <v>0</v>
      </c>
      <c r="AZ2952" s="5">
        <f>IF(S2952&gt;0,RANK(S2952,(N2952:P2952,Q2952:AE2952)),0)</f>
        <v>0</v>
      </c>
      <c r="BA2952" s="2">
        <f t="shared" si="1154"/>
        <v>1.9364044027721159E-2</v>
      </c>
      <c r="BB2952" s="2">
        <f t="shared" si="1155"/>
        <v>4.8919690175295554E-3</v>
      </c>
      <c r="BC2952" s="2">
        <f t="shared" si="1156"/>
        <v>0</v>
      </c>
      <c r="BD2952" s="2">
        <f t="shared" si="1157"/>
        <v>0</v>
      </c>
      <c r="BF2952" t="s">
        <v>1531</v>
      </c>
      <c r="BG2952" t="s">
        <v>1595</v>
      </c>
      <c r="BH2952">
        <v>5</v>
      </c>
      <c r="BJ2952" s="114">
        <v>51</v>
      </c>
      <c r="BK2952" s="116">
        <v>49</v>
      </c>
      <c r="BL2952" s="120">
        <f t="shared" si="1147"/>
        <v>51049</v>
      </c>
      <c r="BN2952" s="5" t="s">
        <v>3154</v>
      </c>
    </row>
    <row r="2953" spans="1:66" hidden="1" outlineLevel="1">
      <c r="A2953" t="s">
        <v>2226</v>
      </c>
      <c r="B2953" t="s">
        <v>1595</v>
      </c>
      <c r="C2953" s="1">
        <f t="shared" si="1149"/>
        <v>6440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4</v>
      </c>
      <c r="G2953" s="132">
        <f t="shared" ref="G2953:G3016" si="1158">IF(C2953&gt;0,MAX(N2953:P2953)-LARGE(N2953:P2953,2),0)</f>
        <v>3597</v>
      </c>
      <c r="H2953" s="137">
        <f t="shared" ref="H2953:H3016" si="1159">IF(C2953&gt;0,G2953/C2953,0)</f>
        <v>0.55854037267080747</v>
      </c>
      <c r="I2953" s="2"/>
      <c r="J2953" s="2">
        <f t="shared" si="1150"/>
        <v>0.20729813664596272</v>
      </c>
      <c r="K2953" s="2">
        <f t="shared" si="1151"/>
        <v>0.76583850931677022</v>
      </c>
      <c r="L2953" s="2">
        <f t="shared" si="1152"/>
        <v>6.6770186335403728E-3</v>
      </c>
      <c r="M2953" s="2">
        <f t="shared" si="1153"/>
        <v>2.0186335403726656E-2</v>
      </c>
      <c r="N2953" s="63">
        <v>1335</v>
      </c>
      <c r="O2953" s="63">
        <v>4932</v>
      </c>
      <c r="P2953" s="63">
        <v>43</v>
      </c>
      <c r="Q2953" s="63">
        <v>81</v>
      </c>
      <c r="R2953" s="63">
        <v>14</v>
      </c>
      <c r="S2953" s="63"/>
      <c r="T2953" s="63"/>
      <c r="U2953" s="63"/>
      <c r="V2953" s="63"/>
      <c r="W2953" s="63">
        <v>35</v>
      </c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W2953" s="5">
        <f>IF(Q2953&gt;0,RANK(Q2953,(N2953:P2953,Q2953:AE2953)),0)</f>
        <v>3</v>
      </c>
      <c r="AX2953" s="5">
        <f>IF(R2953&gt;0,RANK(R2953,(N2953:P2953,Q2953:AE2953)),0)</f>
        <v>6</v>
      </c>
      <c r="AY2953" s="5">
        <f>IF(T2953&gt;0,RANK(T2953,(N2953:P2953,Q2953:AE2953)),0)</f>
        <v>0</v>
      </c>
      <c r="AZ2953" s="5">
        <f>IF(S2953&gt;0,RANK(S2953,(N2953:P2953,Q2953:AE2953)),0)</f>
        <v>0</v>
      </c>
      <c r="BA2953" s="2">
        <f t="shared" si="1154"/>
        <v>1.2577639751552796E-2</v>
      </c>
      <c r="BB2953" s="2">
        <f t="shared" si="1155"/>
        <v>2.1739130434782609E-3</v>
      </c>
      <c r="BC2953" s="2">
        <f t="shared" si="1156"/>
        <v>0</v>
      </c>
      <c r="BD2953" s="2">
        <f t="shared" si="1157"/>
        <v>0</v>
      </c>
      <c r="BF2953" t="s">
        <v>2226</v>
      </c>
      <c r="BG2953" t="s">
        <v>1595</v>
      </c>
      <c r="BH2953">
        <v>9</v>
      </c>
      <c r="BJ2953" s="114">
        <v>51</v>
      </c>
      <c r="BK2953" s="116">
        <v>51</v>
      </c>
      <c r="BL2953" s="120">
        <f t="shared" si="1147"/>
        <v>51051</v>
      </c>
      <c r="BN2953" s="5" t="s">
        <v>3154</v>
      </c>
    </row>
    <row r="2954" spans="1:66" hidden="1" outlineLevel="1">
      <c r="A2954" t="s">
        <v>2240</v>
      </c>
      <c r="B2954" t="s">
        <v>1595</v>
      </c>
      <c r="C2954" s="1">
        <f t="shared" si="1149"/>
        <v>13575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4</v>
      </c>
      <c r="G2954" s="132">
        <f t="shared" si="1158"/>
        <v>1682</v>
      </c>
      <c r="H2954" s="137">
        <f t="shared" si="1159"/>
        <v>0.12390423572744015</v>
      </c>
      <c r="I2954" s="2"/>
      <c r="J2954" s="2">
        <f t="shared" si="1150"/>
        <v>0.42467771639042357</v>
      </c>
      <c r="K2954" s="2">
        <f t="shared" si="1151"/>
        <v>0.54858195211786376</v>
      </c>
      <c r="L2954" s="2">
        <f t="shared" si="1152"/>
        <v>5.8195211786372008E-3</v>
      </c>
      <c r="M2954" s="2">
        <f t="shared" si="1153"/>
        <v>2.0920810313075421E-2</v>
      </c>
      <c r="N2954" s="63">
        <v>5765</v>
      </c>
      <c r="O2954" s="63">
        <v>7447</v>
      </c>
      <c r="P2954" s="63">
        <v>79</v>
      </c>
      <c r="Q2954" s="63">
        <v>196</v>
      </c>
      <c r="R2954" s="63">
        <v>46</v>
      </c>
      <c r="S2954" s="63"/>
      <c r="T2954" s="63"/>
      <c r="U2954" s="63"/>
      <c r="V2954" s="63"/>
      <c r="W2954" s="63">
        <v>42</v>
      </c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W2954" s="5">
        <f>IF(Q2954&gt;0,RANK(Q2954,(N2954:P2954,Q2954:AE2954)),0)</f>
        <v>3</v>
      </c>
      <c r="AX2954" s="5">
        <f>IF(R2954&gt;0,RANK(R2954,(N2954:P2954,Q2954:AE2954)),0)</f>
        <v>5</v>
      </c>
      <c r="AY2954" s="5">
        <f>IF(T2954&gt;0,RANK(T2954,(N2954:P2954,Q2954:AE2954)),0)</f>
        <v>0</v>
      </c>
      <c r="AZ2954" s="5">
        <f>IF(S2954&gt;0,RANK(S2954,(N2954:P2954,Q2954:AE2954)),0)</f>
        <v>0</v>
      </c>
      <c r="BA2954" s="2">
        <f t="shared" si="1154"/>
        <v>1.443830570902394E-2</v>
      </c>
      <c r="BB2954" s="2">
        <f t="shared" si="1155"/>
        <v>3.3885819521178636E-3</v>
      </c>
      <c r="BC2954" s="2">
        <f t="shared" si="1156"/>
        <v>0</v>
      </c>
      <c r="BD2954" s="2">
        <f t="shared" si="1157"/>
        <v>0</v>
      </c>
      <c r="BF2954" t="s">
        <v>2240</v>
      </c>
      <c r="BG2954" t="s">
        <v>1595</v>
      </c>
      <c r="BH2954">
        <v>4</v>
      </c>
      <c r="BJ2954" s="114">
        <v>51</v>
      </c>
      <c r="BK2954" s="116">
        <v>53</v>
      </c>
      <c r="BL2954" s="120">
        <f t="shared" si="1147"/>
        <v>51053</v>
      </c>
      <c r="BN2954" s="5" t="s">
        <v>3154</v>
      </c>
    </row>
    <row r="2955" spans="1:66" hidden="1" outlineLevel="1">
      <c r="A2955" t="s">
        <v>842</v>
      </c>
      <c r="B2955" t="s">
        <v>1595</v>
      </c>
      <c r="C2955" s="1">
        <f t="shared" si="1149"/>
        <v>5372</v>
      </c>
      <c r="D2955" s="5">
        <f>IF(N2955&gt;0, RANK(N2955,(N2955:P2955,Q2955:AE2955)),0)</f>
        <v>2</v>
      </c>
      <c r="E2955" s="5">
        <f>IF(O2955&gt;0,RANK(O2955,(N2955:P2955,Q2955:AE2955)),0)</f>
        <v>1</v>
      </c>
      <c r="F2955" s="5">
        <f>IF(P2955&gt;0,RANK(P2955,(N2955:P2955,Q2955:AE2955)),0)</f>
        <v>4</v>
      </c>
      <c r="G2955" s="132">
        <f t="shared" si="1158"/>
        <v>115</v>
      </c>
      <c r="H2955" s="137">
        <f t="shared" si="1159"/>
        <v>2.1407297096053612E-2</v>
      </c>
      <c r="I2955" s="2"/>
      <c r="J2955" s="2">
        <f t="shared" si="1150"/>
        <v>0.47319434102755026</v>
      </c>
      <c r="K2955" s="2">
        <f t="shared" si="1151"/>
        <v>0.49460163812360386</v>
      </c>
      <c r="L2955" s="2">
        <f t="shared" si="1152"/>
        <v>4.6537602382725239E-3</v>
      </c>
      <c r="M2955" s="2">
        <f t="shared" si="1153"/>
        <v>2.7550260610573304E-2</v>
      </c>
      <c r="N2955" s="63">
        <v>2542</v>
      </c>
      <c r="O2955" s="63">
        <v>2657</v>
      </c>
      <c r="P2955" s="63">
        <v>25</v>
      </c>
      <c r="Q2955" s="63">
        <v>113</v>
      </c>
      <c r="R2955" s="63">
        <v>18</v>
      </c>
      <c r="S2955" s="63"/>
      <c r="T2955" s="63"/>
      <c r="U2955" s="63"/>
      <c r="V2955" s="63"/>
      <c r="W2955" s="63">
        <v>17</v>
      </c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W2955" s="5">
        <f>IF(Q2955&gt;0,RANK(Q2955,(N2955:P2955,Q2955:AE2955)),0)</f>
        <v>3</v>
      </c>
      <c r="AX2955" s="5">
        <f>IF(R2955&gt;0,RANK(R2955,(N2955:P2955,Q2955:AE2955)),0)</f>
        <v>5</v>
      </c>
      <c r="AY2955" s="5">
        <f>IF(T2955&gt;0,RANK(T2955,(N2955:P2955,Q2955:AE2955)),0)</f>
        <v>0</v>
      </c>
      <c r="AZ2955" s="5">
        <f>IF(S2955&gt;0,RANK(S2955,(N2955:P2955,Q2955:AE2955)),0)</f>
        <v>0</v>
      </c>
      <c r="BA2955" s="2">
        <f t="shared" si="1154"/>
        <v>2.1034996276991808E-2</v>
      </c>
      <c r="BB2955" s="2">
        <f t="shared" si="1155"/>
        <v>3.3507073715562173E-3</v>
      </c>
      <c r="BC2955" s="2">
        <f t="shared" si="1156"/>
        <v>0</v>
      </c>
      <c r="BD2955" s="2">
        <f t="shared" si="1157"/>
        <v>0</v>
      </c>
      <c r="BF2955" t="s">
        <v>842</v>
      </c>
      <c r="BG2955" t="s">
        <v>1595</v>
      </c>
      <c r="BH2955">
        <v>1</v>
      </c>
      <c r="BJ2955" s="114">
        <v>51</v>
      </c>
      <c r="BK2955" s="116">
        <v>57</v>
      </c>
      <c r="BL2955" s="120">
        <f t="shared" si="1147"/>
        <v>51057</v>
      </c>
      <c r="BN2955" s="5" t="s">
        <v>3154</v>
      </c>
    </row>
    <row r="2956" spans="1:66" hidden="1" outlineLevel="1">
      <c r="A2956" t="s">
        <v>1394</v>
      </c>
      <c r="B2956" t="s">
        <v>1595</v>
      </c>
      <c r="C2956" s="1">
        <f t="shared" si="1149"/>
        <v>551183</v>
      </c>
      <c r="D2956" s="5">
        <f>IF(N2956&gt;0, RANK(N2956,(N2956:P2956,Q2956:AE2956)),0)</f>
        <v>1</v>
      </c>
      <c r="E2956" s="5">
        <f>IF(O2956&gt;0,RANK(O2956,(N2956:P2956,Q2956:AE2956)),0)</f>
        <v>2</v>
      </c>
      <c r="F2956" s="5">
        <f>IF(P2956&gt;0,RANK(P2956,(N2956:P2956,Q2956:AE2956)),0)</f>
        <v>4</v>
      </c>
      <c r="G2956" s="132">
        <f t="shared" si="1158"/>
        <v>197423</v>
      </c>
      <c r="H2956" s="137">
        <f t="shared" si="1159"/>
        <v>0.35818049540715152</v>
      </c>
      <c r="I2956" s="2"/>
      <c r="J2956" s="2">
        <f t="shared" si="1150"/>
        <v>0.64431051030238595</v>
      </c>
      <c r="K2956" s="2">
        <f t="shared" si="1151"/>
        <v>0.28613001489523443</v>
      </c>
      <c r="L2956" s="2">
        <f t="shared" si="1152"/>
        <v>1.8812263803491762E-2</v>
      </c>
      <c r="M2956" s="2">
        <f t="shared" si="1153"/>
        <v>5.0747210998887855E-2</v>
      </c>
      <c r="N2956" s="63">
        <v>355133</v>
      </c>
      <c r="O2956" s="63">
        <v>157710</v>
      </c>
      <c r="P2956" s="63">
        <v>10369</v>
      </c>
      <c r="Q2956" s="63">
        <v>15664</v>
      </c>
      <c r="R2956" s="63">
        <v>4477</v>
      </c>
      <c r="S2956" s="63"/>
      <c r="T2956" s="63"/>
      <c r="U2956" s="63"/>
      <c r="V2956" s="63"/>
      <c r="W2956" s="63">
        <v>7830</v>
      </c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W2956" s="5">
        <f>IF(Q2956&gt;0,RANK(Q2956,(N2956:P2956,Q2956:AE2956)),0)</f>
        <v>3</v>
      </c>
      <c r="AX2956" s="5">
        <f>IF(R2956&gt;0,RANK(R2956,(N2956:P2956,Q2956:AE2956)),0)</f>
        <v>6</v>
      </c>
      <c r="AY2956" s="5">
        <f>IF(T2956&gt;0,RANK(T2956,(N2956:P2956,Q2956:AE2956)),0)</f>
        <v>0</v>
      </c>
      <c r="AZ2956" s="5">
        <f>IF(S2956&gt;0,RANK(S2956,(N2956:P2956,Q2956:AE2956)),0)</f>
        <v>0</v>
      </c>
      <c r="BA2956" s="2">
        <f t="shared" si="1154"/>
        <v>2.8418873586449511E-2</v>
      </c>
      <c r="BB2956" s="2">
        <f t="shared" si="1155"/>
        <v>8.1225291781495436E-3</v>
      </c>
      <c r="BC2956" s="2">
        <f t="shared" si="1156"/>
        <v>0</v>
      </c>
      <c r="BD2956" s="2">
        <f t="shared" si="1157"/>
        <v>0</v>
      </c>
      <c r="BF2956" t="s">
        <v>1394</v>
      </c>
      <c r="BG2956" t="s">
        <v>1595</v>
      </c>
      <c r="BJ2956" s="114">
        <v>51</v>
      </c>
      <c r="BK2956" s="116">
        <v>59</v>
      </c>
      <c r="BL2956" s="120">
        <f t="shared" si="1147"/>
        <v>51059</v>
      </c>
      <c r="BN2956" s="5" t="s">
        <v>3154</v>
      </c>
    </row>
    <row r="2957" spans="1:66" hidden="1" outlineLevel="1">
      <c r="A2957" t="s">
        <v>3020</v>
      </c>
      <c r="B2957" t="s">
        <v>1595</v>
      </c>
      <c r="C2957" s="1">
        <f t="shared" si="1149"/>
        <v>37460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4</v>
      </c>
      <c r="G2957" s="132">
        <f t="shared" si="1158"/>
        <v>9156</v>
      </c>
      <c r="H2957" s="137">
        <f t="shared" si="1159"/>
        <v>0.24442071542979177</v>
      </c>
      <c r="I2957" s="2"/>
      <c r="J2957" s="2">
        <f t="shared" si="1150"/>
        <v>0.34626268019220502</v>
      </c>
      <c r="K2957" s="2">
        <f t="shared" si="1151"/>
        <v>0.59068339562199679</v>
      </c>
      <c r="L2957" s="2">
        <f t="shared" si="1152"/>
        <v>1.5936999466097172E-2</v>
      </c>
      <c r="M2957" s="2">
        <f t="shared" si="1153"/>
        <v>4.711692471970097E-2</v>
      </c>
      <c r="N2957" s="63">
        <v>12971</v>
      </c>
      <c r="O2957" s="63">
        <v>22127</v>
      </c>
      <c r="P2957" s="63">
        <v>597</v>
      </c>
      <c r="Q2957" s="63">
        <v>1191</v>
      </c>
      <c r="R2957" s="63">
        <v>267</v>
      </c>
      <c r="S2957" s="63"/>
      <c r="T2957" s="63"/>
      <c r="U2957" s="63"/>
      <c r="V2957" s="63"/>
      <c r="W2957" s="63">
        <v>307</v>
      </c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W2957" s="5">
        <f>IF(Q2957&gt;0,RANK(Q2957,(N2957:P2957,Q2957:AE2957)),0)</f>
        <v>3</v>
      </c>
      <c r="AX2957" s="5">
        <f>IF(R2957&gt;0,RANK(R2957,(N2957:P2957,Q2957:AE2957)),0)</f>
        <v>6</v>
      </c>
      <c r="AY2957" s="5">
        <f>IF(T2957&gt;0,RANK(T2957,(N2957:P2957,Q2957:AE2957)),0)</f>
        <v>0</v>
      </c>
      <c r="AZ2957" s="5">
        <f>IF(S2957&gt;0,RANK(S2957,(N2957:P2957,Q2957:AE2957)),0)</f>
        <v>0</v>
      </c>
      <c r="BA2957" s="2">
        <f t="shared" si="1154"/>
        <v>3.1793913507741592E-2</v>
      </c>
      <c r="BB2957" s="2">
        <f t="shared" si="1155"/>
        <v>7.1276027762947145E-3</v>
      </c>
      <c r="BC2957" s="2">
        <f t="shared" si="1156"/>
        <v>0</v>
      </c>
      <c r="BD2957" s="2">
        <f t="shared" si="1157"/>
        <v>0</v>
      </c>
      <c r="BF2957" t="s">
        <v>3020</v>
      </c>
      <c r="BG2957" t="s">
        <v>1595</v>
      </c>
      <c r="BJ2957" s="114">
        <v>51</v>
      </c>
      <c r="BK2957" s="116">
        <v>61</v>
      </c>
      <c r="BL2957" s="120">
        <f t="shared" si="1147"/>
        <v>51061</v>
      </c>
      <c r="BN2957" s="5" t="s">
        <v>3154</v>
      </c>
    </row>
    <row r="2958" spans="1:66" hidden="1" outlineLevel="1">
      <c r="A2958" t="s">
        <v>2935</v>
      </c>
      <c r="B2958" t="s">
        <v>1595</v>
      </c>
      <c r="C2958" s="1">
        <f t="shared" si="1149"/>
        <v>8050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5</v>
      </c>
      <c r="G2958" s="132">
        <f t="shared" si="1158"/>
        <v>2993</v>
      </c>
      <c r="H2958" s="137">
        <f t="shared" si="1159"/>
        <v>0.37180124223602484</v>
      </c>
      <c r="I2958" s="2"/>
      <c r="J2958" s="2">
        <f t="shared" si="1150"/>
        <v>0.2857142857142857</v>
      </c>
      <c r="K2958" s="2">
        <f t="shared" si="1151"/>
        <v>0.65751552795031054</v>
      </c>
      <c r="L2958" s="2">
        <f t="shared" si="1152"/>
        <v>1.1304347826086957E-2</v>
      </c>
      <c r="M2958" s="2">
        <f t="shared" si="1153"/>
        <v>4.5465838509316805E-2</v>
      </c>
      <c r="N2958" s="63">
        <v>2300</v>
      </c>
      <c r="O2958" s="63">
        <v>5293</v>
      </c>
      <c r="P2958" s="63">
        <v>91</v>
      </c>
      <c r="Q2958" s="63">
        <v>185</v>
      </c>
      <c r="R2958" s="63">
        <v>107</v>
      </c>
      <c r="S2958" s="63"/>
      <c r="T2958" s="63"/>
      <c r="U2958" s="63"/>
      <c r="V2958" s="63"/>
      <c r="W2958" s="63">
        <v>74</v>
      </c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W2958" s="5">
        <f>IF(Q2958&gt;0,RANK(Q2958,(N2958:P2958,Q2958:AE2958)),0)</f>
        <v>3</v>
      </c>
      <c r="AX2958" s="5">
        <f>IF(R2958&gt;0,RANK(R2958,(N2958:P2958,Q2958:AE2958)),0)</f>
        <v>4</v>
      </c>
      <c r="AY2958" s="5">
        <f>IF(T2958&gt;0,RANK(T2958,(N2958:P2958,Q2958:AE2958)),0)</f>
        <v>0</v>
      </c>
      <c r="AZ2958" s="5">
        <f>IF(S2958&gt;0,RANK(S2958,(N2958:P2958,Q2958:AE2958)),0)</f>
        <v>0</v>
      </c>
      <c r="BA2958" s="2">
        <f t="shared" si="1154"/>
        <v>2.2981366459627329E-2</v>
      </c>
      <c r="BB2958" s="2">
        <f t="shared" si="1155"/>
        <v>1.329192546583851E-2</v>
      </c>
      <c r="BC2958" s="2">
        <f t="shared" si="1156"/>
        <v>0</v>
      </c>
      <c r="BD2958" s="2">
        <f t="shared" si="1157"/>
        <v>0</v>
      </c>
      <c r="BF2958" t="s">
        <v>2935</v>
      </c>
      <c r="BG2958" t="s">
        <v>1595</v>
      </c>
      <c r="BH2958">
        <v>9</v>
      </c>
      <c r="BJ2958" s="114">
        <v>51</v>
      </c>
      <c r="BK2958" s="116">
        <v>63</v>
      </c>
      <c r="BL2958" s="120">
        <f t="shared" si="1147"/>
        <v>51063</v>
      </c>
      <c r="BN2958" s="5" t="s">
        <v>3154</v>
      </c>
    </row>
    <row r="2959" spans="1:66" hidden="1" outlineLevel="1">
      <c r="A2959" t="s">
        <v>366</v>
      </c>
      <c r="B2959" t="s">
        <v>1595</v>
      </c>
      <c r="C2959" s="1">
        <f t="shared" si="1149"/>
        <v>13592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4</v>
      </c>
      <c r="G2959" s="132">
        <f t="shared" si="1158"/>
        <v>1265</v>
      </c>
      <c r="H2959" s="137">
        <f t="shared" si="1159"/>
        <v>9.3069452619187754E-2</v>
      </c>
      <c r="I2959" s="2"/>
      <c r="J2959" s="2">
        <f t="shared" si="1150"/>
        <v>0.42377869334902885</v>
      </c>
      <c r="K2959" s="2">
        <f t="shared" si="1151"/>
        <v>0.5168481459682166</v>
      </c>
      <c r="L2959" s="2">
        <f t="shared" si="1152"/>
        <v>1.6038846380223661E-2</v>
      </c>
      <c r="M2959" s="2">
        <f t="shared" si="1153"/>
        <v>4.3334314302530895E-2</v>
      </c>
      <c r="N2959" s="63">
        <v>5760</v>
      </c>
      <c r="O2959" s="63">
        <v>7025</v>
      </c>
      <c r="P2959" s="63">
        <v>218</v>
      </c>
      <c r="Q2959" s="63">
        <v>425</v>
      </c>
      <c r="R2959" s="63">
        <v>80</v>
      </c>
      <c r="S2959" s="63"/>
      <c r="T2959" s="63"/>
      <c r="U2959" s="63"/>
      <c r="V2959" s="63"/>
      <c r="W2959" s="63">
        <v>84</v>
      </c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W2959" s="5">
        <f>IF(Q2959&gt;0,RANK(Q2959,(N2959:P2959,Q2959:AE2959)),0)</f>
        <v>3</v>
      </c>
      <c r="AX2959" s="5">
        <f>IF(R2959&gt;0,RANK(R2959,(N2959:P2959,Q2959:AE2959)),0)</f>
        <v>6</v>
      </c>
      <c r="AY2959" s="5">
        <f>IF(T2959&gt;0,RANK(T2959,(N2959:P2959,Q2959:AE2959)),0)</f>
        <v>0</v>
      </c>
      <c r="AZ2959" s="5">
        <f>IF(S2959&gt;0,RANK(S2959,(N2959:P2959,Q2959:AE2959)),0)</f>
        <v>0</v>
      </c>
      <c r="BA2959" s="2">
        <f t="shared" si="1154"/>
        <v>3.1268393172454383E-2</v>
      </c>
      <c r="BB2959" s="2">
        <f t="shared" si="1155"/>
        <v>5.885815185403178E-3</v>
      </c>
      <c r="BC2959" s="2">
        <f t="shared" si="1156"/>
        <v>0</v>
      </c>
      <c r="BD2959" s="2">
        <f t="shared" si="1157"/>
        <v>0</v>
      </c>
      <c r="BF2959" t="s">
        <v>366</v>
      </c>
      <c r="BG2959" t="s">
        <v>1595</v>
      </c>
      <c r="BH2959">
        <v>5</v>
      </c>
      <c r="BJ2959" s="114">
        <v>51</v>
      </c>
      <c r="BK2959" s="116">
        <v>65</v>
      </c>
      <c r="BL2959" s="120">
        <f t="shared" si="1147"/>
        <v>51065</v>
      </c>
      <c r="BN2959" s="5" t="s">
        <v>3154</v>
      </c>
    </row>
    <row r="2960" spans="1:66" hidden="1" outlineLevel="1">
      <c r="A2960" t="s">
        <v>1138</v>
      </c>
      <c r="B2960" t="s">
        <v>1595</v>
      </c>
      <c r="C2960" s="1">
        <f t="shared" ref="C2960:C2991" si="1160">SUM(N2960:AU2960)</f>
        <v>26971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4</v>
      </c>
      <c r="G2960" s="132">
        <f t="shared" si="1158"/>
        <v>11312</v>
      </c>
      <c r="H2960" s="137">
        <f t="shared" si="1159"/>
        <v>0.41941344406955616</v>
      </c>
      <c r="I2960" s="2"/>
      <c r="J2960" s="2">
        <f t="shared" ref="J2960:J2991" si="1161">IF($C2960=0,"-",N2960/$C2960)</f>
        <v>0.26906677542545698</v>
      </c>
      <c r="K2960" s="2">
        <f t="shared" ref="K2960:K2991" si="1162">IF($C2960=0,"-",O2960/$C2960)</f>
        <v>0.68848021949501315</v>
      </c>
      <c r="L2960" s="2">
        <f t="shared" ref="L2960:L2991" si="1163">IF($C2960=0,"-",P2960/$C2960)</f>
        <v>1.0159059730821995E-2</v>
      </c>
      <c r="M2960" s="2">
        <f t="shared" ref="M2960:M2991" si="1164">IF(C2960=0,"-",(1-J2960-K2960-L2960))</f>
        <v>3.2293945348707873E-2</v>
      </c>
      <c r="N2960" s="63">
        <v>7257</v>
      </c>
      <c r="O2960" s="63">
        <v>18569</v>
      </c>
      <c r="P2960" s="63">
        <v>274</v>
      </c>
      <c r="Q2960" s="63">
        <v>602</v>
      </c>
      <c r="R2960" s="63">
        <v>115</v>
      </c>
      <c r="S2960" s="63"/>
      <c r="T2960" s="63"/>
      <c r="U2960" s="63"/>
      <c r="V2960" s="63"/>
      <c r="W2960" s="63">
        <v>154</v>
      </c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W2960" s="5">
        <f>IF(Q2960&gt;0,RANK(Q2960,(N2960:P2960,Q2960:AE2960)),0)</f>
        <v>3</v>
      </c>
      <c r="AX2960" s="5">
        <f>IF(R2960&gt;0,RANK(R2960,(N2960:P2960,Q2960:AE2960)),0)</f>
        <v>6</v>
      </c>
      <c r="AY2960" s="5">
        <f>IF(T2960&gt;0,RANK(T2960,(N2960:P2960,Q2960:AE2960)),0)</f>
        <v>0</v>
      </c>
      <c r="AZ2960" s="5">
        <f>IF(S2960&gt;0,RANK(S2960,(N2960:P2960,Q2960:AE2960)),0)</f>
        <v>0</v>
      </c>
      <c r="BA2960" s="2">
        <f t="shared" ref="BA2960:BA2991" si="1165">IF($C2960=0,"-",Q2960/$C2960)</f>
        <v>2.2320269919543213E-2</v>
      </c>
      <c r="BB2960" s="2">
        <f t="shared" ref="BB2960:BB2991" si="1166">IF($C2960=0,"-",R2960/$C2960)</f>
        <v>4.2638389381187197E-3</v>
      </c>
      <c r="BC2960" s="2">
        <f t="shared" ref="BC2960:BC2991" si="1167">IF($C2960=0,"-",T2960/$C2960)</f>
        <v>0</v>
      </c>
      <c r="BD2960" s="2">
        <f t="shared" ref="BD2960:BD2991" si="1168">IF($C2960=0,"-",S2960/$C2960)</f>
        <v>0</v>
      </c>
      <c r="BF2960" t="s">
        <v>1138</v>
      </c>
      <c r="BG2960" t="s">
        <v>1595</v>
      </c>
      <c r="BH2960">
        <v>5</v>
      </c>
      <c r="BJ2960" s="114">
        <v>51</v>
      </c>
      <c r="BK2960" s="116">
        <v>67</v>
      </c>
      <c r="BL2960" s="120">
        <f t="shared" si="1147"/>
        <v>51067</v>
      </c>
      <c r="BN2960" s="5" t="s">
        <v>3154</v>
      </c>
    </row>
    <row r="2961" spans="1:66" hidden="1" outlineLevel="1">
      <c r="A2961" t="s">
        <v>2967</v>
      </c>
      <c r="B2961" t="s">
        <v>1595</v>
      </c>
      <c r="C2961" s="1">
        <f t="shared" si="1160"/>
        <v>40440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4</v>
      </c>
      <c r="G2961" s="132">
        <f t="shared" si="1158"/>
        <v>14151</v>
      </c>
      <c r="H2961" s="137">
        <f t="shared" si="1159"/>
        <v>0.34992581602373884</v>
      </c>
      <c r="I2961" s="2"/>
      <c r="J2961" s="2">
        <f t="shared" si="1161"/>
        <v>0.2950544015825915</v>
      </c>
      <c r="K2961" s="2">
        <f t="shared" si="1162"/>
        <v>0.6449802176063304</v>
      </c>
      <c r="L2961" s="2">
        <f t="shared" si="1163"/>
        <v>1.3427299703264095E-2</v>
      </c>
      <c r="M2961" s="2">
        <f t="shared" si="1164"/>
        <v>4.6538081107813954E-2</v>
      </c>
      <c r="N2961" s="63">
        <v>11932</v>
      </c>
      <c r="O2961" s="63">
        <v>26083</v>
      </c>
      <c r="P2961" s="63">
        <v>543</v>
      </c>
      <c r="Q2961" s="63">
        <v>1280</v>
      </c>
      <c r="R2961" s="63">
        <v>325</v>
      </c>
      <c r="S2961" s="63"/>
      <c r="T2961" s="63"/>
      <c r="U2961" s="63"/>
      <c r="V2961" s="63"/>
      <c r="W2961" s="63">
        <v>277</v>
      </c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W2961" s="5">
        <f>IF(Q2961&gt;0,RANK(Q2961,(N2961:P2961,Q2961:AE2961)),0)</f>
        <v>3</v>
      </c>
      <c r="AX2961" s="5">
        <f>IF(R2961&gt;0,RANK(R2961,(N2961:P2961,Q2961:AE2961)),0)</f>
        <v>5</v>
      </c>
      <c r="AY2961" s="5">
        <f>IF(T2961&gt;0,RANK(T2961,(N2961:P2961,Q2961:AE2961)),0)</f>
        <v>0</v>
      </c>
      <c r="AZ2961" s="5">
        <f>IF(S2961&gt;0,RANK(S2961,(N2961:P2961,Q2961:AE2961)),0)</f>
        <v>0</v>
      </c>
      <c r="BA2961" s="2">
        <f t="shared" si="1165"/>
        <v>3.165182987141444E-2</v>
      </c>
      <c r="BB2961" s="2">
        <f t="shared" si="1166"/>
        <v>8.0365974282888223E-3</v>
      </c>
      <c r="BC2961" s="2">
        <f t="shared" si="1167"/>
        <v>0</v>
      </c>
      <c r="BD2961" s="2">
        <f t="shared" si="1168"/>
        <v>0</v>
      </c>
      <c r="BF2961" t="s">
        <v>2967</v>
      </c>
      <c r="BG2961" t="s">
        <v>1595</v>
      </c>
      <c r="BH2961">
        <v>10</v>
      </c>
      <c r="BJ2961" s="114">
        <v>51</v>
      </c>
      <c r="BK2961" s="116">
        <v>69</v>
      </c>
      <c r="BL2961" s="120">
        <f t="shared" si="1147"/>
        <v>51069</v>
      </c>
      <c r="BN2961" s="5" t="s">
        <v>3154</v>
      </c>
    </row>
    <row r="2962" spans="1:66" hidden="1" outlineLevel="1">
      <c r="A2962" t="s">
        <v>1937</v>
      </c>
      <c r="B2962" t="s">
        <v>1595</v>
      </c>
      <c r="C2962" s="1">
        <f t="shared" si="1160"/>
        <v>8212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4</v>
      </c>
      <c r="G2962" s="132">
        <f t="shared" si="1158"/>
        <v>3960</v>
      </c>
      <c r="H2962" s="137">
        <f t="shared" si="1159"/>
        <v>0.48222113979542136</v>
      </c>
      <c r="I2962" s="2"/>
      <c r="J2962" s="2">
        <f t="shared" si="1161"/>
        <v>0.23745737944471504</v>
      </c>
      <c r="K2962" s="2">
        <f t="shared" si="1162"/>
        <v>0.71967851924013637</v>
      </c>
      <c r="L2962" s="2">
        <f t="shared" si="1163"/>
        <v>9.4982951777886019E-3</v>
      </c>
      <c r="M2962" s="2">
        <f t="shared" si="1164"/>
        <v>3.3365806137360017E-2</v>
      </c>
      <c r="N2962" s="63">
        <v>1950</v>
      </c>
      <c r="O2962" s="63">
        <v>5910</v>
      </c>
      <c r="P2962" s="63">
        <v>78</v>
      </c>
      <c r="Q2962" s="63">
        <v>201</v>
      </c>
      <c r="R2962" s="63">
        <v>39</v>
      </c>
      <c r="S2962" s="63"/>
      <c r="T2962" s="63"/>
      <c r="U2962" s="63"/>
      <c r="V2962" s="63"/>
      <c r="W2962" s="63">
        <v>34</v>
      </c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W2962" s="5">
        <f>IF(Q2962&gt;0,RANK(Q2962,(N2962:P2962,Q2962:AE2962)),0)</f>
        <v>3</v>
      </c>
      <c r="AX2962" s="5">
        <f>IF(R2962&gt;0,RANK(R2962,(N2962:P2962,Q2962:AE2962)),0)</f>
        <v>5</v>
      </c>
      <c r="AY2962" s="5">
        <f>IF(T2962&gt;0,RANK(T2962,(N2962:P2962,Q2962:AE2962)),0)</f>
        <v>0</v>
      </c>
      <c r="AZ2962" s="5">
        <f>IF(S2962&gt;0,RANK(S2962,(N2962:P2962,Q2962:AE2962)),0)</f>
        <v>0</v>
      </c>
      <c r="BA2962" s="2">
        <f t="shared" si="1165"/>
        <v>2.4476376035070628E-2</v>
      </c>
      <c r="BB2962" s="2">
        <f t="shared" si="1166"/>
        <v>4.7491475888943009E-3</v>
      </c>
      <c r="BC2962" s="2">
        <f t="shared" si="1167"/>
        <v>0</v>
      </c>
      <c r="BD2962" s="2">
        <f t="shared" si="1168"/>
        <v>0</v>
      </c>
      <c r="BF2962" t="s">
        <v>1937</v>
      </c>
      <c r="BG2962" t="s">
        <v>1595</v>
      </c>
      <c r="BH2962">
        <v>9</v>
      </c>
      <c r="BJ2962" s="114">
        <v>51</v>
      </c>
      <c r="BK2962" s="116">
        <v>71</v>
      </c>
      <c r="BL2962" s="120">
        <f t="shared" si="1147"/>
        <v>51071</v>
      </c>
      <c r="BN2962" s="5" t="s">
        <v>3154</v>
      </c>
    </row>
    <row r="2963" spans="1:66" hidden="1" outlineLevel="1">
      <c r="A2963" t="s">
        <v>2438</v>
      </c>
      <c r="B2963" t="s">
        <v>1595</v>
      </c>
      <c r="C2963" s="1">
        <f t="shared" si="1160"/>
        <v>19619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4</v>
      </c>
      <c r="G2963" s="132">
        <f t="shared" si="1158"/>
        <v>7692</v>
      </c>
      <c r="H2963" s="137">
        <f t="shared" si="1159"/>
        <v>0.39206891278862327</v>
      </c>
      <c r="I2963" s="2"/>
      <c r="J2963" s="2">
        <f t="shared" si="1161"/>
        <v>0.27544727050308376</v>
      </c>
      <c r="K2963" s="2">
        <f t="shared" si="1162"/>
        <v>0.66751618329170703</v>
      </c>
      <c r="L2963" s="2">
        <f t="shared" si="1163"/>
        <v>1.0856822468015699E-2</v>
      </c>
      <c r="M2963" s="2">
        <f t="shared" si="1164"/>
        <v>4.6179723737193562E-2</v>
      </c>
      <c r="N2963" s="63">
        <v>5404</v>
      </c>
      <c r="O2963" s="63">
        <v>13096</v>
      </c>
      <c r="P2963" s="63">
        <v>213</v>
      </c>
      <c r="Q2963" s="63">
        <v>693</v>
      </c>
      <c r="R2963" s="63">
        <v>134</v>
      </c>
      <c r="S2963" s="63"/>
      <c r="T2963" s="63"/>
      <c r="U2963" s="63"/>
      <c r="V2963" s="63"/>
      <c r="W2963" s="63">
        <v>79</v>
      </c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W2963" s="5">
        <f>IF(Q2963&gt;0,RANK(Q2963,(N2963:P2963,Q2963:AE2963)),0)</f>
        <v>3</v>
      </c>
      <c r="AX2963" s="5">
        <f>IF(R2963&gt;0,RANK(R2963,(N2963:P2963,Q2963:AE2963)),0)</f>
        <v>5</v>
      </c>
      <c r="AY2963" s="5">
        <f>IF(T2963&gt;0,RANK(T2963,(N2963:P2963,Q2963:AE2963)),0)</f>
        <v>0</v>
      </c>
      <c r="AZ2963" s="5">
        <f>IF(S2963&gt;0,RANK(S2963,(N2963:P2963,Q2963:AE2963)),0)</f>
        <v>0</v>
      </c>
      <c r="BA2963" s="2">
        <f t="shared" si="1165"/>
        <v>3.5322901269177837E-2</v>
      </c>
      <c r="BB2963" s="2">
        <f t="shared" si="1166"/>
        <v>6.8301136653244306E-3</v>
      </c>
      <c r="BC2963" s="2">
        <f t="shared" si="1167"/>
        <v>0</v>
      </c>
      <c r="BD2963" s="2">
        <f t="shared" si="1168"/>
        <v>0</v>
      </c>
      <c r="BF2963" t="s">
        <v>2438</v>
      </c>
      <c r="BG2963" t="s">
        <v>1595</v>
      </c>
      <c r="BH2963">
        <v>1</v>
      </c>
      <c r="BJ2963" s="114">
        <v>51</v>
      </c>
      <c r="BK2963" s="116">
        <v>73</v>
      </c>
      <c r="BL2963" s="120">
        <f t="shared" si="1147"/>
        <v>51073</v>
      </c>
      <c r="BN2963" s="5" t="s">
        <v>3154</v>
      </c>
    </row>
    <row r="2964" spans="1:66" hidden="1" outlineLevel="1">
      <c r="A2964" t="s">
        <v>1178</v>
      </c>
      <c r="B2964" t="s">
        <v>1595</v>
      </c>
      <c r="C2964" s="1">
        <f t="shared" si="1160"/>
        <v>14037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4</v>
      </c>
      <c r="G2964" s="132">
        <f t="shared" si="1158"/>
        <v>3495</v>
      </c>
      <c r="H2964" s="137">
        <f t="shared" si="1159"/>
        <v>0.24898482581748238</v>
      </c>
      <c r="I2964" s="2"/>
      <c r="J2964" s="2">
        <f t="shared" si="1161"/>
        <v>0.34829379497043528</v>
      </c>
      <c r="K2964" s="2">
        <f t="shared" si="1162"/>
        <v>0.5972786207879176</v>
      </c>
      <c r="L2964" s="2">
        <f t="shared" si="1163"/>
        <v>1.0329842558951342E-2</v>
      </c>
      <c r="M2964" s="2">
        <f t="shared" si="1164"/>
        <v>4.4097741682695833E-2</v>
      </c>
      <c r="N2964" s="63">
        <v>4889</v>
      </c>
      <c r="O2964" s="63">
        <v>8384</v>
      </c>
      <c r="P2964" s="63">
        <v>145</v>
      </c>
      <c r="Q2964" s="63">
        <v>474</v>
      </c>
      <c r="R2964" s="63">
        <v>54</v>
      </c>
      <c r="S2964" s="63"/>
      <c r="T2964" s="63"/>
      <c r="U2964" s="63"/>
      <c r="V2964" s="63"/>
      <c r="W2964" s="63">
        <v>91</v>
      </c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W2964" s="5">
        <f>IF(Q2964&gt;0,RANK(Q2964,(N2964:P2964,Q2964:AE2964)),0)</f>
        <v>3</v>
      </c>
      <c r="AX2964" s="5">
        <f>IF(R2964&gt;0,RANK(R2964,(N2964:P2964,Q2964:AE2964)),0)</f>
        <v>6</v>
      </c>
      <c r="AY2964" s="5">
        <f>IF(T2964&gt;0,RANK(T2964,(N2964:P2964,Q2964:AE2964)),0)</f>
        <v>0</v>
      </c>
      <c r="AZ2964" s="5">
        <f>IF(S2964&gt;0,RANK(S2964,(N2964:P2964,Q2964:AE2964)),0)</f>
        <v>0</v>
      </c>
      <c r="BA2964" s="2">
        <f t="shared" si="1165"/>
        <v>3.3767899123744387E-2</v>
      </c>
      <c r="BB2964" s="2">
        <f t="shared" si="1166"/>
        <v>3.8469758495405003E-3</v>
      </c>
      <c r="BC2964" s="2">
        <f t="shared" si="1167"/>
        <v>0</v>
      </c>
      <c r="BD2964" s="2">
        <f t="shared" si="1168"/>
        <v>0</v>
      </c>
      <c r="BF2964" t="s">
        <v>1178</v>
      </c>
      <c r="BG2964" t="s">
        <v>1595</v>
      </c>
      <c r="BH2964">
        <v>7</v>
      </c>
      <c r="BJ2964" s="114">
        <v>51</v>
      </c>
      <c r="BK2964" s="116">
        <v>75</v>
      </c>
      <c r="BL2964" s="120">
        <f t="shared" si="1147"/>
        <v>51075</v>
      </c>
      <c r="BN2964" s="5" t="s">
        <v>3154</v>
      </c>
    </row>
    <row r="2965" spans="1:66" hidden="1" outlineLevel="1">
      <c r="A2965" t="s">
        <v>2250</v>
      </c>
      <c r="B2965" t="s">
        <v>1595</v>
      </c>
      <c r="C2965" s="1">
        <f t="shared" si="1160"/>
        <v>7285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4</v>
      </c>
      <c r="G2965" s="132">
        <f t="shared" si="1158"/>
        <v>4185</v>
      </c>
      <c r="H2965" s="137">
        <f t="shared" si="1159"/>
        <v>0.57446808510638303</v>
      </c>
      <c r="I2965" s="2"/>
      <c r="J2965" s="2">
        <f t="shared" si="1161"/>
        <v>0.19313658201784489</v>
      </c>
      <c r="K2965" s="2">
        <f t="shared" si="1162"/>
        <v>0.76760466712422781</v>
      </c>
      <c r="L2965" s="2">
        <f t="shared" si="1163"/>
        <v>1.276595744680851E-2</v>
      </c>
      <c r="M2965" s="2">
        <f t="shared" si="1164"/>
        <v>2.6492793411118785E-2</v>
      </c>
      <c r="N2965" s="63">
        <v>1407</v>
      </c>
      <c r="O2965" s="63">
        <v>5592</v>
      </c>
      <c r="P2965" s="63">
        <v>93</v>
      </c>
      <c r="Q2965" s="63">
        <v>110</v>
      </c>
      <c r="R2965" s="63">
        <v>55</v>
      </c>
      <c r="S2965" s="63"/>
      <c r="T2965" s="63"/>
      <c r="U2965" s="63"/>
      <c r="V2965" s="63"/>
      <c r="W2965" s="63">
        <v>28</v>
      </c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W2965" s="5">
        <f>IF(Q2965&gt;0,RANK(Q2965,(N2965:P2965,Q2965:AE2965)),0)</f>
        <v>3</v>
      </c>
      <c r="AX2965" s="5">
        <f>IF(R2965&gt;0,RANK(R2965,(N2965:P2965,Q2965:AE2965)),0)</f>
        <v>5</v>
      </c>
      <c r="AY2965" s="5">
        <f>IF(T2965&gt;0,RANK(T2965,(N2965:P2965,Q2965:AE2965)),0)</f>
        <v>0</v>
      </c>
      <c r="AZ2965" s="5">
        <f>IF(S2965&gt;0,RANK(S2965,(N2965:P2965,Q2965:AE2965)),0)</f>
        <v>0</v>
      </c>
      <c r="BA2965" s="2">
        <f t="shared" si="1165"/>
        <v>1.5099519560741249E-2</v>
      </c>
      <c r="BB2965" s="2">
        <f t="shared" si="1166"/>
        <v>7.5497597803706245E-3</v>
      </c>
      <c r="BC2965" s="2">
        <f t="shared" si="1167"/>
        <v>0</v>
      </c>
      <c r="BD2965" s="2">
        <f t="shared" si="1168"/>
        <v>0</v>
      </c>
      <c r="BF2965" t="s">
        <v>2250</v>
      </c>
      <c r="BG2965" t="s">
        <v>1595</v>
      </c>
      <c r="BH2965">
        <v>9</v>
      </c>
      <c r="BJ2965" s="114">
        <v>51</v>
      </c>
      <c r="BK2965" s="116">
        <v>77</v>
      </c>
      <c r="BL2965" s="120">
        <f t="shared" si="1147"/>
        <v>51077</v>
      </c>
      <c r="BN2965" s="5" t="s">
        <v>3154</v>
      </c>
    </row>
    <row r="2966" spans="1:66" hidden="1" outlineLevel="1">
      <c r="A2966" t="s">
        <v>2189</v>
      </c>
      <c r="B2966" t="s">
        <v>1595</v>
      </c>
      <c r="C2966" s="1">
        <f t="shared" si="1160"/>
        <v>9607</v>
      </c>
      <c r="D2966" s="5">
        <f>IF(N2966&gt;0, RANK(N2966,(N2966:P2966,Q2966:AE2966)),0)</f>
        <v>2</v>
      </c>
      <c r="E2966" s="5">
        <f>IF(O2966&gt;0,RANK(O2966,(N2966:P2966,Q2966:AE2966)),0)</f>
        <v>1</v>
      </c>
      <c r="F2966" s="5">
        <f>IF(P2966&gt;0,RANK(P2966,(N2966:P2966,Q2966:AE2966)),0)</f>
        <v>4</v>
      </c>
      <c r="G2966" s="132">
        <f t="shared" si="1158"/>
        <v>3021</v>
      </c>
      <c r="H2966" s="137">
        <f t="shared" si="1159"/>
        <v>0.31445820755698972</v>
      </c>
      <c r="I2966" s="2"/>
      <c r="J2966" s="2">
        <f t="shared" si="1161"/>
        <v>0.30436140314354115</v>
      </c>
      <c r="K2966" s="2">
        <f t="shared" si="1162"/>
        <v>0.61881961070053082</v>
      </c>
      <c r="L2966" s="2">
        <f t="shared" si="1163"/>
        <v>1.7383158113875301E-2</v>
      </c>
      <c r="M2966" s="2">
        <f t="shared" si="1164"/>
        <v>5.9435828042052781E-2</v>
      </c>
      <c r="N2966" s="63">
        <v>2924</v>
      </c>
      <c r="O2966" s="63">
        <v>5945</v>
      </c>
      <c r="P2966" s="63">
        <v>167</v>
      </c>
      <c r="Q2966" s="63">
        <v>406</v>
      </c>
      <c r="R2966" s="63">
        <v>66</v>
      </c>
      <c r="S2966" s="63"/>
      <c r="T2966" s="63"/>
      <c r="U2966" s="63"/>
      <c r="V2966" s="63"/>
      <c r="W2966" s="63">
        <v>99</v>
      </c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W2966" s="5">
        <f>IF(Q2966&gt;0,RANK(Q2966,(N2966:P2966,Q2966:AE2966)),0)</f>
        <v>3</v>
      </c>
      <c r="AX2966" s="5">
        <f>IF(R2966&gt;0,RANK(R2966,(N2966:P2966,Q2966:AE2966)),0)</f>
        <v>6</v>
      </c>
      <c r="AY2966" s="5">
        <f>IF(T2966&gt;0,RANK(T2966,(N2966:P2966,Q2966:AE2966)),0)</f>
        <v>0</v>
      </c>
      <c r="AZ2966" s="5">
        <f>IF(S2966&gt;0,RANK(S2966,(N2966:P2966,Q2966:AE2966)),0)</f>
        <v>0</v>
      </c>
      <c r="BA2966" s="2">
        <f t="shared" si="1165"/>
        <v>4.2260851462475275E-2</v>
      </c>
      <c r="BB2966" s="2">
        <f t="shared" si="1166"/>
        <v>6.8699906318309568E-3</v>
      </c>
      <c r="BC2966" s="2">
        <f t="shared" si="1167"/>
        <v>0</v>
      </c>
      <c r="BD2966" s="2">
        <f t="shared" si="1168"/>
        <v>0</v>
      </c>
      <c r="BF2966" t="s">
        <v>2189</v>
      </c>
      <c r="BG2966" t="s">
        <v>1595</v>
      </c>
      <c r="BH2966">
        <v>5</v>
      </c>
      <c r="BJ2966" s="114">
        <v>51</v>
      </c>
      <c r="BK2966" s="116">
        <v>79</v>
      </c>
      <c r="BL2966" s="120">
        <f t="shared" si="1147"/>
        <v>51079</v>
      </c>
      <c r="BN2966" s="5" t="s">
        <v>3154</v>
      </c>
    </row>
    <row r="2967" spans="1:66" hidden="1" outlineLevel="1">
      <c r="A2967" t="s">
        <v>1063</v>
      </c>
      <c r="B2967" t="s">
        <v>1595</v>
      </c>
      <c r="C2967" s="1">
        <f t="shared" si="1160"/>
        <v>4363</v>
      </c>
      <c r="D2967" s="5">
        <f>IF(N2967&gt;0, RANK(N2967,(N2967:P2967,Q2967:AE2967)),0)</f>
        <v>1</v>
      </c>
      <c r="E2967" s="5">
        <f>IF(O2967&gt;0,RANK(O2967,(N2967:P2967,Q2967:AE2967)),0)</f>
        <v>2</v>
      </c>
      <c r="F2967" s="5">
        <f>IF(P2967&gt;0,RANK(P2967,(N2967:P2967,Q2967:AE2967)),0)</f>
        <v>4</v>
      </c>
      <c r="G2967" s="132">
        <f t="shared" si="1158"/>
        <v>821</v>
      </c>
      <c r="H2967" s="137">
        <f t="shared" si="1159"/>
        <v>0.1881732752693101</v>
      </c>
      <c r="I2967" s="2"/>
      <c r="J2967" s="2">
        <f t="shared" si="1161"/>
        <v>0.58629383451753381</v>
      </c>
      <c r="K2967" s="2">
        <f t="shared" si="1162"/>
        <v>0.3981205592482237</v>
      </c>
      <c r="L2967" s="2">
        <f t="shared" si="1163"/>
        <v>2.7504011001604402E-3</v>
      </c>
      <c r="M2967" s="2">
        <f t="shared" si="1164"/>
        <v>1.2835205134082048E-2</v>
      </c>
      <c r="N2967" s="63">
        <v>2558</v>
      </c>
      <c r="O2967" s="63">
        <v>1737</v>
      </c>
      <c r="P2967" s="63">
        <v>12</v>
      </c>
      <c r="Q2967" s="63">
        <v>50</v>
      </c>
      <c r="R2967" s="63">
        <v>6</v>
      </c>
      <c r="S2967" s="63"/>
      <c r="T2967" s="63"/>
      <c r="U2967" s="63"/>
      <c r="V2967" s="63"/>
      <c r="W2967" s="63">
        <v>0</v>
      </c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W2967" s="5">
        <f>IF(Q2967&gt;0,RANK(Q2967,(N2967:P2967,Q2967:AE2967)),0)</f>
        <v>3</v>
      </c>
      <c r="AX2967" s="5">
        <f>IF(R2967&gt;0,RANK(R2967,(N2967:P2967,Q2967:AE2967)),0)</f>
        <v>5</v>
      </c>
      <c r="AY2967" s="5">
        <f>IF(T2967&gt;0,RANK(T2967,(N2967:P2967,Q2967:AE2967)),0)</f>
        <v>0</v>
      </c>
      <c r="AZ2967" s="5">
        <f>IF(S2967&gt;0,RANK(S2967,(N2967:P2967,Q2967:AE2967)),0)</f>
        <v>0</v>
      </c>
      <c r="BA2967" s="2">
        <f t="shared" si="1165"/>
        <v>1.1460004584001834E-2</v>
      </c>
      <c r="BB2967" s="2">
        <f t="shared" si="1166"/>
        <v>1.3752005500802201E-3</v>
      </c>
      <c r="BC2967" s="2">
        <f t="shared" si="1167"/>
        <v>0</v>
      </c>
      <c r="BD2967" s="2">
        <f t="shared" si="1168"/>
        <v>0</v>
      </c>
      <c r="BF2967" t="s">
        <v>1063</v>
      </c>
      <c r="BG2967" t="s">
        <v>1595</v>
      </c>
      <c r="BH2967">
        <v>4</v>
      </c>
      <c r="BJ2967" s="114">
        <v>51</v>
      </c>
      <c r="BK2967" s="116">
        <v>81</v>
      </c>
      <c r="BL2967" s="120">
        <f t="shared" si="1147"/>
        <v>51081</v>
      </c>
      <c r="BN2967" s="5" t="s">
        <v>3154</v>
      </c>
    </row>
    <row r="2968" spans="1:66" hidden="1" outlineLevel="1">
      <c r="A2968" t="s">
        <v>391</v>
      </c>
      <c r="B2968" t="s">
        <v>1595</v>
      </c>
      <c r="C2968" s="1">
        <f t="shared" si="1160"/>
        <v>16994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4</v>
      </c>
      <c r="G2968" s="132">
        <f t="shared" si="1158"/>
        <v>2807</v>
      </c>
      <c r="H2968" s="137">
        <f t="shared" si="1159"/>
        <v>0.16517594445098269</v>
      </c>
      <c r="I2968" s="2"/>
      <c r="J2968" s="2">
        <f t="shared" si="1161"/>
        <v>0.40584912321995997</v>
      </c>
      <c r="K2968" s="2">
        <f t="shared" si="1162"/>
        <v>0.57102506767094263</v>
      </c>
      <c r="L2968" s="2">
        <f t="shared" si="1163"/>
        <v>4.5310109450394254E-3</v>
      </c>
      <c r="M2968" s="2">
        <f t="shared" si="1164"/>
        <v>1.8594798164058027E-2</v>
      </c>
      <c r="N2968" s="63">
        <v>6897</v>
      </c>
      <c r="O2968" s="63">
        <v>9704</v>
      </c>
      <c r="P2968" s="63">
        <v>77</v>
      </c>
      <c r="Q2968" s="63">
        <v>237</v>
      </c>
      <c r="R2968" s="63">
        <v>44</v>
      </c>
      <c r="S2968" s="63"/>
      <c r="T2968" s="63"/>
      <c r="U2968" s="63"/>
      <c r="V2968" s="63"/>
      <c r="W2968" s="63">
        <v>35</v>
      </c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W2968" s="5">
        <f>IF(Q2968&gt;0,RANK(Q2968,(N2968:P2968,Q2968:AE2968)),0)</f>
        <v>3</v>
      </c>
      <c r="AX2968" s="5">
        <f>IF(R2968&gt;0,RANK(R2968,(N2968:P2968,Q2968:AE2968)),0)</f>
        <v>5</v>
      </c>
      <c r="AY2968" s="5">
        <f>IF(T2968&gt;0,RANK(T2968,(N2968:P2968,Q2968:AE2968)),0)</f>
        <v>0</v>
      </c>
      <c r="AZ2968" s="5">
        <f>IF(S2968&gt;0,RANK(S2968,(N2968:P2968,Q2968:AE2968)),0)</f>
        <v>0</v>
      </c>
      <c r="BA2968" s="2">
        <f t="shared" si="1165"/>
        <v>1.3946098623043426E-2</v>
      </c>
      <c r="BB2968" s="2">
        <f t="shared" si="1166"/>
        <v>2.5891491114511003E-3</v>
      </c>
      <c r="BC2968" s="2">
        <f t="shared" si="1167"/>
        <v>0</v>
      </c>
      <c r="BD2968" s="2">
        <f t="shared" si="1168"/>
        <v>0</v>
      </c>
      <c r="BF2968" t="s">
        <v>391</v>
      </c>
      <c r="BG2968" t="s">
        <v>1595</v>
      </c>
      <c r="BH2968">
        <v>5</v>
      </c>
      <c r="BJ2968" s="114">
        <v>51</v>
      </c>
      <c r="BK2968" s="116">
        <v>83</v>
      </c>
      <c r="BL2968" s="120">
        <f t="shared" si="1147"/>
        <v>51083</v>
      </c>
      <c r="BN2968" s="5" t="s">
        <v>3154</v>
      </c>
    </row>
    <row r="2969" spans="1:66" hidden="1" outlineLevel="1">
      <c r="A2969" t="s">
        <v>693</v>
      </c>
      <c r="B2969" t="s">
        <v>1595</v>
      </c>
      <c r="C2969" s="1">
        <f t="shared" si="1160"/>
        <v>62723</v>
      </c>
      <c r="D2969" s="5">
        <f>IF(N2969&gt;0, RANK(N2969,(N2969:P2969,Q2969:AE2969)),0)</f>
        <v>2</v>
      </c>
      <c r="E2969" s="5">
        <f>IF(O2969&gt;0,RANK(O2969,(N2969:P2969,Q2969:AE2969)),0)</f>
        <v>1</v>
      </c>
      <c r="F2969" s="5">
        <f>IF(P2969&gt;0,RANK(P2969,(N2969:P2969,Q2969:AE2969)),0)</f>
        <v>4</v>
      </c>
      <c r="G2969" s="132">
        <f t="shared" si="1158"/>
        <v>20248</v>
      </c>
      <c r="H2969" s="137">
        <f t="shared" si="1159"/>
        <v>0.32281619182755927</v>
      </c>
      <c r="I2969" s="2"/>
      <c r="J2969" s="2">
        <f t="shared" si="1161"/>
        <v>0.30900945426717474</v>
      </c>
      <c r="K2969" s="2">
        <f t="shared" si="1162"/>
        <v>0.63182564609473402</v>
      </c>
      <c r="L2969" s="2">
        <f t="shared" si="1163"/>
        <v>1.1813848189659295E-2</v>
      </c>
      <c r="M2969" s="2">
        <f t="shared" si="1164"/>
        <v>4.7351051448431943E-2</v>
      </c>
      <c r="N2969" s="63">
        <v>19382</v>
      </c>
      <c r="O2969" s="63">
        <v>39630</v>
      </c>
      <c r="P2969" s="63">
        <v>741</v>
      </c>
      <c r="Q2969" s="63">
        <v>2310</v>
      </c>
      <c r="R2969" s="63">
        <v>314</v>
      </c>
      <c r="S2969" s="63"/>
      <c r="T2969" s="63"/>
      <c r="U2969" s="63"/>
      <c r="V2969" s="63"/>
      <c r="W2969" s="63">
        <v>346</v>
      </c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W2969" s="5">
        <f>IF(Q2969&gt;0,RANK(Q2969,(N2969:P2969,Q2969:AE2969)),0)</f>
        <v>3</v>
      </c>
      <c r="AX2969" s="5">
        <f>IF(R2969&gt;0,RANK(R2969,(N2969:P2969,Q2969:AE2969)),0)</f>
        <v>6</v>
      </c>
      <c r="AY2969" s="5">
        <f>IF(T2969&gt;0,RANK(T2969,(N2969:P2969,Q2969:AE2969)),0)</f>
        <v>0</v>
      </c>
      <c r="AZ2969" s="5">
        <f>IF(S2969&gt;0,RANK(S2969,(N2969:P2969,Q2969:AE2969)),0)</f>
        <v>0</v>
      </c>
      <c r="BA2969" s="2">
        <f t="shared" si="1165"/>
        <v>3.6828595571002661E-2</v>
      </c>
      <c r="BB2969" s="2">
        <f t="shared" si="1166"/>
        <v>5.0061380992618334E-3</v>
      </c>
      <c r="BC2969" s="2">
        <f t="shared" si="1167"/>
        <v>0</v>
      </c>
      <c r="BD2969" s="2">
        <f t="shared" si="1168"/>
        <v>0</v>
      </c>
      <c r="BF2969" t="s">
        <v>693</v>
      </c>
      <c r="BG2969" t="s">
        <v>1595</v>
      </c>
      <c r="BH2969">
        <v>1</v>
      </c>
      <c r="BJ2969" s="114">
        <v>51</v>
      </c>
      <c r="BK2969" s="116">
        <v>85</v>
      </c>
      <c r="BL2969" s="120">
        <f t="shared" si="1147"/>
        <v>51085</v>
      </c>
      <c r="BN2969" s="5" t="s">
        <v>3154</v>
      </c>
    </row>
    <row r="2970" spans="1:66" hidden="1" outlineLevel="1">
      <c r="A2970" t="s">
        <v>1201</v>
      </c>
      <c r="B2970" t="s">
        <v>1595</v>
      </c>
      <c r="C2970" s="1">
        <f t="shared" si="1160"/>
        <v>163536</v>
      </c>
      <c r="D2970" s="5">
        <f>IF(N2970&gt;0, RANK(N2970,(N2970:P2970,Q2970:AE2970)),0)</f>
        <v>1</v>
      </c>
      <c r="E2970" s="5">
        <f>IF(O2970&gt;0,RANK(O2970,(N2970:P2970,Q2970:AE2970)),0)</f>
        <v>2</v>
      </c>
      <c r="F2970" s="5">
        <f>IF(P2970&gt;0,RANK(P2970,(N2970:P2970,Q2970:AE2970)),0)</f>
        <v>4</v>
      </c>
      <c r="G2970" s="132">
        <f t="shared" si="1158"/>
        <v>34078</v>
      </c>
      <c r="H2970" s="137">
        <f t="shared" si="1159"/>
        <v>0.20838225222580961</v>
      </c>
      <c r="I2970" s="2"/>
      <c r="J2970" s="2">
        <f t="shared" si="1161"/>
        <v>0.57439952059485377</v>
      </c>
      <c r="K2970" s="2">
        <f t="shared" si="1162"/>
        <v>0.36601726836904414</v>
      </c>
      <c r="L2970" s="2">
        <f t="shared" si="1163"/>
        <v>1.2211378534389982E-2</v>
      </c>
      <c r="M2970" s="2">
        <f t="shared" si="1164"/>
        <v>4.7371832501712105E-2</v>
      </c>
      <c r="N2970" s="63">
        <v>93935</v>
      </c>
      <c r="O2970" s="63">
        <v>59857</v>
      </c>
      <c r="P2970" s="63">
        <v>1997</v>
      </c>
      <c r="Q2970" s="63">
        <v>5657</v>
      </c>
      <c r="R2970" s="63">
        <v>1081</v>
      </c>
      <c r="S2970" s="63"/>
      <c r="T2970" s="63"/>
      <c r="U2970" s="63"/>
      <c r="V2970" s="63"/>
      <c r="W2970" s="63">
        <v>1009</v>
      </c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W2970" s="5">
        <f>IF(Q2970&gt;0,RANK(Q2970,(N2970:P2970,Q2970:AE2970)),0)</f>
        <v>3</v>
      </c>
      <c r="AX2970" s="5">
        <f>IF(R2970&gt;0,RANK(R2970,(N2970:P2970,Q2970:AE2970)),0)</f>
        <v>5</v>
      </c>
      <c r="AY2970" s="5">
        <f>IF(T2970&gt;0,RANK(T2970,(N2970:P2970,Q2970:AE2970)),0)</f>
        <v>0</v>
      </c>
      <c r="AZ2970" s="5">
        <f>IF(S2970&gt;0,RANK(S2970,(N2970:P2970,Q2970:AE2970)),0)</f>
        <v>0</v>
      </c>
      <c r="BA2970" s="2">
        <f t="shared" si="1165"/>
        <v>3.4591771842285492E-2</v>
      </c>
      <c r="BB2970" s="2">
        <f t="shared" si="1166"/>
        <v>6.6101653458565694E-3</v>
      </c>
      <c r="BC2970" s="2">
        <f t="shared" si="1167"/>
        <v>0</v>
      </c>
      <c r="BD2970" s="2">
        <f t="shared" si="1168"/>
        <v>0</v>
      </c>
      <c r="BF2970" t="s">
        <v>1201</v>
      </c>
      <c r="BG2970" t="s">
        <v>1595</v>
      </c>
      <c r="BJ2970" s="114">
        <v>51</v>
      </c>
      <c r="BK2970" s="116">
        <v>87</v>
      </c>
      <c r="BL2970" s="120">
        <f t="shared" si="1147"/>
        <v>51087</v>
      </c>
      <c r="BN2970" s="5" t="s">
        <v>3154</v>
      </c>
    </row>
    <row r="2971" spans="1:66" hidden="1" outlineLevel="1">
      <c r="A2971" t="s">
        <v>3123</v>
      </c>
      <c r="B2971" t="s">
        <v>1595</v>
      </c>
      <c r="C2971" s="1">
        <f t="shared" si="1160"/>
        <v>24091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4</v>
      </c>
      <c r="G2971" s="132">
        <f t="shared" si="1158"/>
        <v>7010</v>
      </c>
      <c r="H2971" s="137">
        <f t="shared" si="1159"/>
        <v>0.29098003403760742</v>
      </c>
      <c r="I2971" s="2"/>
      <c r="J2971" s="2">
        <f t="shared" si="1161"/>
        <v>0.34029305549790378</v>
      </c>
      <c r="K2971" s="2">
        <f t="shared" si="1162"/>
        <v>0.6312730895355112</v>
      </c>
      <c r="L2971" s="2">
        <f t="shared" si="1163"/>
        <v>6.1018637665518245E-3</v>
      </c>
      <c r="M2971" s="2">
        <f t="shared" si="1164"/>
        <v>2.233199120003319E-2</v>
      </c>
      <c r="N2971" s="63">
        <v>8198</v>
      </c>
      <c r="O2971" s="63">
        <v>15208</v>
      </c>
      <c r="P2971" s="63">
        <v>147</v>
      </c>
      <c r="Q2971" s="63">
        <v>378</v>
      </c>
      <c r="R2971" s="63">
        <v>98</v>
      </c>
      <c r="S2971" s="63"/>
      <c r="T2971" s="63"/>
      <c r="U2971" s="63"/>
      <c r="V2971" s="63"/>
      <c r="W2971" s="63">
        <v>62</v>
      </c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W2971" s="5">
        <f>IF(Q2971&gt;0,RANK(Q2971,(N2971:P2971,Q2971:AE2971)),0)</f>
        <v>3</v>
      </c>
      <c r="AX2971" s="5">
        <f>IF(R2971&gt;0,RANK(R2971,(N2971:P2971,Q2971:AE2971)),0)</f>
        <v>5</v>
      </c>
      <c r="AY2971" s="5">
        <f>IF(T2971&gt;0,RANK(T2971,(N2971:P2971,Q2971:AE2971)),0)</f>
        <v>0</v>
      </c>
      <c r="AZ2971" s="5">
        <f>IF(S2971&gt;0,RANK(S2971,(N2971:P2971,Q2971:AE2971)),0)</f>
        <v>0</v>
      </c>
      <c r="BA2971" s="2">
        <f t="shared" si="1165"/>
        <v>1.5690506828276121E-2</v>
      </c>
      <c r="BB2971" s="2">
        <f t="shared" si="1166"/>
        <v>4.0679091777012163E-3</v>
      </c>
      <c r="BC2971" s="2">
        <f t="shared" si="1167"/>
        <v>0</v>
      </c>
      <c r="BD2971" s="2">
        <f t="shared" si="1168"/>
        <v>0</v>
      </c>
      <c r="BF2971" t="s">
        <v>3123</v>
      </c>
      <c r="BG2971" t="s">
        <v>1595</v>
      </c>
      <c r="BJ2971" s="114">
        <v>51</v>
      </c>
      <c r="BK2971" s="116">
        <v>89</v>
      </c>
      <c r="BL2971" s="120">
        <f t="shared" si="1147"/>
        <v>51089</v>
      </c>
      <c r="BN2971" s="5" t="s">
        <v>3154</v>
      </c>
    </row>
    <row r="2972" spans="1:66" hidden="1" outlineLevel="1">
      <c r="A2972" t="s">
        <v>1985</v>
      </c>
      <c r="B2972" t="s">
        <v>1595</v>
      </c>
      <c r="C2972" s="1">
        <f t="shared" si="1160"/>
        <v>1391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4</v>
      </c>
      <c r="G2972" s="132">
        <f t="shared" si="1158"/>
        <v>587</v>
      </c>
      <c r="H2972" s="137">
        <f t="shared" si="1159"/>
        <v>0.4219985621854781</v>
      </c>
      <c r="I2972" s="2"/>
      <c r="J2972" s="2">
        <f t="shared" si="1161"/>
        <v>0.26671459381739754</v>
      </c>
      <c r="K2972" s="2">
        <f t="shared" si="1162"/>
        <v>0.68871315600287564</v>
      </c>
      <c r="L2972" s="2">
        <f t="shared" si="1163"/>
        <v>1.509705248023005E-2</v>
      </c>
      <c r="M2972" s="2">
        <f t="shared" si="1164"/>
        <v>2.9475197699496719E-2</v>
      </c>
      <c r="N2972" s="63">
        <v>371</v>
      </c>
      <c r="O2972" s="63">
        <v>958</v>
      </c>
      <c r="P2972" s="63">
        <v>21</v>
      </c>
      <c r="Q2972" s="63">
        <v>33</v>
      </c>
      <c r="R2972" s="63">
        <v>8</v>
      </c>
      <c r="S2972" s="63"/>
      <c r="T2972" s="63"/>
      <c r="U2972" s="63"/>
      <c r="V2972" s="63"/>
      <c r="W2972" s="63">
        <v>0</v>
      </c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W2972" s="5">
        <f>IF(Q2972&gt;0,RANK(Q2972,(N2972:P2972,Q2972:AE2972)),0)</f>
        <v>3</v>
      </c>
      <c r="AX2972" s="5">
        <f>IF(R2972&gt;0,RANK(R2972,(N2972:P2972,Q2972:AE2972)),0)</f>
        <v>5</v>
      </c>
      <c r="AY2972" s="5">
        <f>IF(T2972&gt;0,RANK(T2972,(N2972:P2972,Q2972:AE2972)),0)</f>
        <v>0</v>
      </c>
      <c r="AZ2972" s="5">
        <f>IF(S2972&gt;0,RANK(S2972,(N2972:P2972,Q2972:AE2972)),0)</f>
        <v>0</v>
      </c>
      <c r="BA2972" s="2">
        <f t="shared" si="1165"/>
        <v>2.372393961179008E-2</v>
      </c>
      <c r="BB2972" s="2">
        <f t="shared" si="1166"/>
        <v>5.7512580877066861E-3</v>
      </c>
      <c r="BC2972" s="2">
        <f t="shared" si="1167"/>
        <v>0</v>
      </c>
      <c r="BD2972" s="2">
        <f t="shared" si="1168"/>
        <v>0</v>
      </c>
      <c r="BF2972" t="s">
        <v>1985</v>
      </c>
      <c r="BG2972" t="s">
        <v>1595</v>
      </c>
      <c r="BH2972">
        <v>6</v>
      </c>
      <c r="BJ2972" s="114">
        <v>51</v>
      </c>
      <c r="BK2972" s="116">
        <v>91</v>
      </c>
      <c r="BL2972" s="120">
        <f t="shared" si="1147"/>
        <v>51091</v>
      </c>
      <c r="BN2972" s="5" t="s">
        <v>3154</v>
      </c>
    </row>
    <row r="2973" spans="1:66" hidden="1" outlineLevel="1">
      <c r="A2973" t="s">
        <v>723</v>
      </c>
      <c r="B2973" t="s">
        <v>1595</v>
      </c>
      <c r="C2973" s="1">
        <f t="shared" si="1160"/>
        <v>21075</v>
      </c>
      <c r="D2973" s="5">
        <f>IF(N2973&gt;0, RANK(N2973,(N2973:P2973,Q2973:AE2973)),0)</f>
        <v>2</v>
      </c>
      <c r="E2973" s="5">
        <f>IF(O2973&gt;0,RANK(O2973,(N2973:P2973,Q2973:AE2973)),0)</f>
        <v>1</v>
      </c>
      <c r="F2973" s="5">
        <f>IF(P2973&gt;0,RANK(P2973,(N2973:P2973,Q2973:AE2973)),0)</f>
        <v>4</v>
      </c>
      <c r="G2973" s="132">
        <f t="shared" si="1158"/>
        <v>4323</v>
      </c>
      <c r="H2973" s="137">
        <f t="shared" si="1159"/>
        <v>0.20512455516014236</v>
      </c>
      <c r="I2973" s="2"/>
      <c r="J2973" s="2">
        <f t="shared" si="1161"/>
        <v>0.37395017793594304</v>
      </c>
      <c r="K2973" s="2">
        <f t="shared" si="1162"/>
        <v>0.57907473309608537</v>
      </c>
      <c r="L2973" s="2">
        <f t="shared" si="1163"/>
        <v>9.8220640569395019E-3</v>
      </c>
      <c r="M2973" s="2">
        <f t="shared" si="1164"/>
        <v>3.7153024911032034E-2</v>
      </c>
      <c r="N2973" s="63">
        <v>7881</v>
      </c>
      <c r="O2973" s="63">
        <v>12204</v>
      </c>
      <c r="P2973" s="63">
        <v>207</v>
      </c>
      <c r="Q2973" s="63">
        <v>589</v>
      </c>
      <c r="R2973" s="63">
        <v>81</v>
      </c>
      <c r="S2973" s="63"/>
      <c r="T2973" s="63"/>
      <c r="U2973" s="63"/>
      <c r="V2973" s="63"/>
      <c r="W2973" s="63">
        <v>113</v>
      </c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W2973" s="5">
        <f>IF(Q2973&gt;0,RANK(Q2973,(N2973:P2973,Q2973:AE2973)),0)</f>
        <v>3</v>
      </c>
      <c r="AX2973" s="5">
        <f>IF(R2973&gt;0,RANK(R2973,(N2973:P2973,Q2973:AE2973)),0)</f>
        <v>6</v>
      </c>
      <c r="AY2973" s="5">
        <f>IF(T2973&gt;0,RANK(T2973,(N2973:P2973,Q2973:AE2973)),0)</f>
        <v>0</v>
      </c>
      <c r="AZ2973" s="5">
        <f>IF(S2973&gt;0,RANK(S2973,(N2973:P2973,Q2973:AE2973)),0)</f>
        <v>0</v>
      </c>
      <c r="BA2973" s="2">
        <f t="shared" si="1165"/>
        <v>2.7947805456702255E-2</v>
      </c>
      <c r="BB2973" s="2">
        <f t="shared" si="1166"/>
        <v>3.8434163701067618E-3</v>
      </c>
      <c r="BC2973" s="2">
        <f t="shared" si="1167"/>
        <v>0</v>
      </c>
      <c r="BD2973" s="2">
        <f t="shared" si="1168"/>
        <v>0</v>
      </c>
      <c r="BF2973" t="s">
        <v>723</v>
      </c>
      <c r="BG2973" t="s">
        <v>1595</v>
      </c>
      <c r="BH2973">
        <v>3</v>
      </c>
      <c r="BJ2973" s="114">
        <v>51</v>
      </c>
      <c r="BK2973" s="116">
        <v>93</v>
      </c>
      <c r="BL2973" s="120">
        <f t="shared" si="1147"/>
        <v>51093</v>
      </c>
      <c r="BN2973" s="5" t="s">
        <v>3154</v>
      </c>
    </row>
    <row r="2974" spans="1:66" hidden="1" outlineLevel="1">
      <c r="A2974" t="s">
        <v>724</v>
      </c>
      <c r="B2974" t="s">
        <v>1595</v>
      </c>
      <c r="C2974" s="1">
        <f t="shared" si="1160"/>
        <v>43169</v>
      </c>
      <c r="D2974" s="5">
        <f>IF(N2974&gt;0, RANK(N2974,(N2974:P2974,Q2974:AE2974)),0)</f>
        <v>2</v>
      </c>
      <c r="E2974" s="5">
        <f>IF(O2974&gt;0,RANK(O2974,(N2974:P2974,Q2974:AE2974)),0)</f>
        <v>1</v>
      </c>
      <c r="F2974" s="5">
        <f>IF(P2974&gt;0,RANK(P2974,(N2974:P2974,Q2974:AE2974)),0)</f>
        <v>4</v>
      </c>
      <c r="G2974" s="132">
        <f t="shared" si="1158"/>
        <v>2201</v>
      </c>
      <c r="H2974" s="137">
        <f t="shared" si="1159"/>
        <v>5.098566100674095E-2</v>
      </c>
      <c r="I2974" s="2"/>
      <c r="J2974" s="2">
        <f t="shared" si="1161"/>
        <v>0.44256295026523662</v>
      </c>
      <c r="K2974" s="2">
        <f t="shared" si="1162"/>
        <v>0.49354861127197758</v>
      </c>
      <c r="L2974" s="2">
        <f t="shared" si="1163"/>
        <v>1.5891032917139614E-2</v>
      </c>
      <c r="M2974" s="2">
        <f t="shared" si="1164"/>
        <v>4.7997405545646188E-2</v>
      </c>
      <c r="N2974" s="63">
        <v>19105</v>
      </c>
      <c r="O2974" s="63">
        <v>21306</v>
      </c>
      <c r="P2974" s="63">
        <v>686</v>
      </c>
      <c r="Q2974" s="63">
        <v>1395</v>
      </c>
      <c r="R2974" s="63">
        <v>281</v>
      </c>
      <c r="S2974" s="63"/>
      <c r="T2974" s="63"/>
      <c r="U2974" s="63"/>
      <c r="V2974" s="63"/>
      <c r="W2974" s="63">
        <v>396</v>
      </c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W2974" s="5">
        <f>IF(Q2974&gt;0,RANK(Q2974,(N2974:P2974,Q2974:AE2974)),0)</f>
        <v>3</v>
      </c>
      <c r="AX2974" s="5">
        <f>IF(R2974&gt;0,RANK(R2974,(N2974:P2974,Q2974:AE2974)),0)</f>
        <v>6</v>
      </c>
      <c r="AY2974" s="5">
        <f>IF(T2974&gt;0,RANK(T2974,(N2974:P2974,Q2974:AE2974)),0)</f>
        <v>0</v>
      </c>
      <c r="AZ2974" s="5">
        <f>IF(S2974&gt;0,RANK(S2974,(N2974:P2974,Q2974:AE2974)),0)</f>
        <v>0</v>
      </c>
      <c r="BA2974" s="2">
        <f t="shared" si="1165"/>
        <v>3.2314855567652713E-2</v>
      </c>
      <c r="BB2974" s="2">
        <f t="shared" si="1166"/>
        <v>6.5093006555630196E-3</v>
      </c>
      <c r="BC2974" s="2">
        <f t="shared" si="1167"/>
        <v>0</v>
      </c>
      <c r="BD2974" s="2">
        <f t="shared" si="1168"/>
        <v>0</v>
      </c>
      <c r="BF2974" t="s">
        <v>724</v>
      </c>
      <c r="BG2974" t="s">
        <v>1595</v>
      </c>
      <c r="BJ2974" s="114">
        <v>51</v>
      </c>
      <c r="BK2974" s="116">
        <v>95</v>
      </c>
      <c r="BL2974" s="120">
        <f t="shared" si="1147"/>
        <v>51095</v>
      </c>
      <c r="BN2974" s="5" t="s">
        <v>3154</v>
      </c>
    </row>
    <row r="2975" spans="1:66" hidden="1" outlineLevel="1">
      <c r="A2975" t="s">
        <v>3143</v>
      </c>
      <c r="B2975" t="s">
        <v>1595</v>
      </c>
      <c r="C2975" s="1">
        <f t="shared" si="1160"/>
        <v>12050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4</v>
      </c>
      <c r="G2975" s="132">
        <f t="shared" si="1158"/>
        <v>3334</v>
      </c>
      <c r="H2975" s="137">
        <f t="shared" si="1159"/>
        <v>0.27668049792531119</v>
      </c>
      <c r="I2975" s="2"/>
      <c r="J2975" s="2">
        <f t="shared" si="1161"/>
        <v>0.3325311203319502</v>
      </c>
      <c r="K2975" s="2">
        <f t="shared" si="1162"/>
        <v>0.60921161825726144</v>
      </c>
      <c r="L2975" s="2">
        <f t="shared" si="1163"/>
        <v>1.4688796680497926E-2</v>
      </c>
      <c r="M2975" s="2">
        <f t="shared" si="1164"/>
        <v>4.3568464730290427E-2</v>
      </c>
      <c r="N2975" s="63">
        <v>4007</v>
      </c>
      <c r="O2975" s="63">
        <v>7341</v>
      </c>
      <c r="P2975" s="63">
        <v>177</v>
      </c>
      <c r="Q2975" s="63">
        <v>367</v>
      </c>
      <c r="R2975" s="63">
        <v>83</v>
      </c>
      <c r="S2975" s="63"/>
      <c r="T2975" s="63"/>
      <c r="U2975" s="63"/>
      <c r="V2975" s="63"/>
      <c r="W2975" s="63">
        <v>75</v>
      </c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W2975" s="5">
        <f>IF(Q2975&gt;0,RANK(Q2975,(N2975:P2975,Q2975:AE2975)),0)</f>
        <v>3</v>
      </c>
      <c r="AX2975" s="5">
        <f>IF(R2975&gt;0,RANK(R2975,(N2975:P2975,Q2975:AE2975)),0)</f>
        <v>5</v>
      </c>
      <c r="AY2975" s="5">
        <f>IF(T2975&gt;0,RANK(T2975,(N2975:P2975,Q2975:AE2975)),0)</f>
        <v>0</v>
      </c>
      <c r="AZ2975" s="5">
        <f>IF(S2975&gt;0,RANK(S2975,(N2975:P2975,Q2975:AE2975)),0)</f>
        <v>0</v>
      </c>
      <c r="BA2975" s="2">
        <f t="shared" si="1165"/>
        <v>3.045643153526971E-2</v>
      </c>
      <c r="BB2975" s="2">
        <f t="shared" si="1166"/>
        <v>6.8879668049792531E-3</v>
      </c>
      <c r="BC2975" s="2">
        <f t="shared" si="1167"/>
        <v>0</v>
      </c>
      <c r="BD2975" s="2">
        <f t="shared" si="1168"/>
        <v>0</v>
      </c>
      <c r="BF2975" t="s">
        <v>3143</v>
      </c>
      <c r="BG2975" t="s">
        <v>1595</v>
      </c>
      <c r="BH2975">
        <v>1</v>
      </c>
      <c r="BJ2975" s="114">
        <v>51</v>
      </c>
      <c r="BK2975" s="116">
        <v>99</v>
      </c>
      <c r="BL2975" s="120">
        <f t="shared" si="1147"/>
        <v>51099</v>
      </c>
      <c r="BN2975" s="5" t="s">
        <v>3154</v>
      </c>
    </row>
    <row r="2976" spans="1:66" hidden="1" outlineLevel="1">
      <c r="A2976" t="s">
        <v>186</v>
      </c>
      <c r="B2976" t="s">
        <v>1595</v>
      </c>
      <c r="C2976" s="1">
        <f t="shared" si="1160"/>
        <v>3690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6</v>
      </c>
      <c r="G2976" s="132">
        <f t="shared" si="1158"/>
        <v>631</v>
      </c>
      <c r="H2976" s="137">
        <f t="shared" si="1159"/>
        <v>0.17100271002710027</v>
      </c>
      <c r="I2976" s="2"/>
      <c r="J2976" s="2">
        <f t="shared" si="1161"/>
        <v>0.39783197831978317</v>
      </c>
      <c r="K2976" s="2">
        <f t="shared" si="1162"/>
        <v>0.56883468834688344</v>
      </c>
      <c r="L2976" s="2">
        <f t="shared" si="1163"/>
        <v>3.5230352303523035E-3</v>
      </c>
      <c r="M2976" s="2">
        <f t="shared" si="1164"/>
        <v>2.9810298102981022E-2</v>
      </c>
      <c r="N2976" s="63">
        <v>1468</v>
      </c>
      <c r="O2976" s="63">
        <v>2099</v>
      </c>
      <c r="P2976" s="63">
        <v>13</v>
      </c>
      <c r="Q2976" s="63">
        <v>75</v>
      </c>
      <c r="R2976" s="63">
        <v>18</v>
      </c>
      <c r="S2976" s="63"/>
      <c r="T2976" s="63"/>
      <c r="U2976" s="63"/>
      <c r="V2976" s="63"/>
      <c r="W2976" s="63">
        <v>17</v>
      </c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W2976" s="5">
        <f>IF(Q2976&gt;0,RANK(Q2976,(N2976:P2976,Q2976:AE2976)),0)</f>
        <v>3</v>
      </c>
      <c r="AX2976" s="5">
        <f>IF(R2976&gt;0,RANK(R2976,(N2976:P2976,Q2976:AE2976)),0)</f>
        <v>4</v>
      </c>
      <c r="AY2976" s="5">
        <f>IF(T2976&gt;0,RANK(T2976,(N2976:P2976,Q2976:AE2976)),0)</f>
        <v>0</v>
      </c>
      <c r="AZ2976" s="5">
        <f>IF(S2976&gt;0,RANK(S2976,(N2976:P2976,Q2976:AE2976)),0)</f>
        <v>0</v>
      </c>
      <c r="BA2976" s="2">
        <f t="shared" si="1165"/>
        <v>2.032520325203252E-2</v>
      </c>
      <c r="BB2976" s="2">
        <f t="shared" si="1166"/>
        <v>4.8780487804878049E-3</v>
      </c>
      <c r="BC2976" s="2">
        <f t="shared" si="1167"/>
        <v>0</v>
      </c>
      <c r="BD2976" s="2">
        <f t="shared" si="1168"/>
        <v>0</v>
      </c>
      <c r="BF2976" t="s">
        <v>186</v>
      </c>
      <c r="BG2976" t="s">
        <v>1595</v>
      </c>
      <c r="BH2976">
        <v>1</v>
      </c>
      <c r="BJ2976" s="114">
        <v>51</v>
      </c>
      <c r="BK2976" s="116">
        <v>97</v>
      </c>
      <c r="BL2976" s="120">
        <f t="shared" si="1147"/>
        <v>51097</v>
      </c>
      <c r="BN2976" s="5" t="s">
        <v>3154</v>
      </c>
    </row>
    <row r="2977" spans="1:66" hidden="1" outlineLevel="1">
      <c r="A2977" t="s">
        <v>22</v>
      </c>
      <c r="B2977" t="s">
        <v>1595</v>
      </c>
      <c r="C2977" s="1">
        <f t="shared" si="1160"/>
        <v>9146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4</v>
      </c>
      <c r="G2977" s="132">
        <f t="shared" si="1158"/>
        <v>3215</v>
      </c>
      <c r="H2977" s="137">
        <f t="shared" si="1159"/>
        <v>0.35151979007216272</v>
      </c>
      <c r="I2977" s="2"/>
      <c r="J2977" s="2">
        <f t="shared" si="1161"/>
        <v>0.30177126612726873</v>
      </c>
      <c r="K2977" s="2">
        <f t="shared" si="1162"/>
        <v>0.6532910561994314</v>
      </c>
      <c r="L2977" s="2">
        <f t="shared" si="1163"/>
        <v>7.7629564837087255E-3</v>
      </c>
      <c r="M2977" s="2">
        <f t="shared" si="1164"/>
        <v>3.7174721189591198E-2</v>
      </c>
      <c r="N2977" s="63">
        <v>2760</v>
      </c>
      <c r="O2977" s="63">
        <v>5975</v>
      </c>
      <c r="P2977" s="63">
        <v>71</v>
      </c>
      <c r="Q2977" s="63">
        <v>261</v>
      </c>
      <c r="R2977" s="63">
        <v>44</v>
      </c>
      <c r="S2977" s="63"/>
      <c r="T2977" s="63"/>
      <c r="U2977" s="63"/>
      <c r="V2977" s="63"/>
      <c r="W2977" s="63">
        <v>35</v>
      </c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W2977" s="5">
        <f>IF(Q2977&gt;0,RANK(Q2977,(N2977:P2977,Q2977:AE2977)),0)</f>
        <v>3</v>
      </c>
      <c r="AX2977" s="5">
        <f>IF(R2977&gt;0,RANK(R2977,(N2977:P2977,Q2977:AE2977)),0)</f>
        <v>5</v>
      </c>
      <c r="AY2977" s="5">
        <f>IF(T2977&gt;0,RANK(T2977,(N2977:P2977,Q2977:AE2977)),0)</f>
        <v>0</v>
      </c>
      <c r="AZ2977" s="5">
        <f>IF(S2977&gt;0,RANK(S2977,(N2977:P2977,Q2977:AE2977)),0)</f>
        <v>0</v>
      </c>
      <c r="BA2977" s="2">
        <f t="shared" si="1165"/>
        <v>2.8537065383774329E-2</v>
      </c>
      <c r="BB2977" s="2">
        <f t="shared" si="1166"/>
        <v>4.8108462715941392E-3</v>
      </c>
      <c r="BC2977" s="2">
        <f t="shared" si="1167"/>
        <v>0</v>
      </c>
      <c r="BD2977" s="2">
        <f t="shared" si="1168"/>
        <v>0</v>
      </c>
      <c r="BF2977" t="s">
        <v>22</v>
      </c>
      <c r="BG2977" t="s">
        <v>1595</v>
      </c>
      <c r="BH2977">
        <v>1</v>
      </c>
      <c r="BJ2977" s="114">
        <v>51</v>
      </c>
      <c r="BK2977" s="116">
        <v>101</v>
      </c>
      <c r="BL2977" s="120">
        <f t="shared" si="1147"/>
        <v>51101</v>
      </c>
      <c r="BN2977" s="5" t="s">
        <v>3154</v>
      </c>
    </row>
    <row r="2978" spans="1:66" hidden="1" outlineLevel="1">
      <c r="A2978" t="s">
        <v>1061</v>
      </c>
      <c r="B2978" t="s">
        <v>1595</v>
      </c>
      <c r="C2978" s="1">
        <f t="shared" si="1160"/>
        <v>6645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4</v>
      </c>
      <c r="G2978" s="132">
        <f t="shared" si="1158"/>
        <v>654</v>
      </c>
      <c r="H2978" s="137">
        <f t="shared" si="1159"/>
        <v>9.8419864559819409E-2</v>
      </c>
      <c r="I2978" s="2"/>
      <c r="J2978" s="2">
        <f t="shared" si="1161"/>
        <v>0.43175319789315275</v>
      </c>
      <c r="K2978" s="2">
        <f t="shared" si="1162"/>
        <v>0.53017306245297213</v>
      </c>
      <c r="L2978" s="2">
        <f t="shared" si="1163"/>
        <v>6.1700526711813393E-3</v>
      </c>
      <c r="M2978" s="2">
        <f t="shared" si="1164"/>
        <v>3.1903686982693719E-2</v>
      </c>
      <c r="N2978" s="63">
        <v>2869</v>
      </c>
      <c r="O2978" s="63">
        <v>3523</v>
      </c>
      <c r="P2978" s="63">
        <v>41</v>
      </c>
      <c r="Q2978" s="63">
        <v>141</v>
      </c>
      <c r="R2978" s="63">
        <v>35</v>
      </c>
      <c r="S2978" s="63"/>
      <c r="T2978" s="63"/>
      <c r="U2978" s="63"/>
      <c r="V2978" s="63"/>
      <c r="W2978" s="63">
        <v>36</v>
      </c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W2978" s="5">
        <f>IF(Q2978&gt;0,RANK(Q2978,(N2978:P2978,Q2978:AE2978)),0)</f>
        <v>3</v>
      </c>
      <c r="AX2978" s="5">
        <f>IF(R2978&gt;0,RANK(R2978,(N2978:P2978,Q2978:AE2978)),0)</f>
        <v>6</v>
      </c>
      <c r="AY2978" s="5">
        <f>IF(T2978&gt;0,RANK(T2978,(N2978:P2978,Q2978:AE2978)),0)</f>
        <v>0</v>
      </c>
      <c r="AZ2978" s="5">
        <f>IF(S2978&gt;0,RANK(S2978,(N2978:P2978,Q2978:AE2978)),0)</f>
        <v>0</v>
      </c>
      <c r="BA2978" s="2">
        <f t="shared" si="1165"/>
        <v>2.1218961625282168E-2</v>
      </c>
      <c r="BB2978" s="2">
        <f t="shared" si="1166"/>
        <v>5.2671181339352894E-3</v>
      </c>
      <c r="BC2978" s="2">
        <f t="shared" si="1167"/>
        <v>0</v>
      </c>
      <c r="BD2978" s="2">
        <f t="shared" si="1168"/>
        <v>0</v>
      </c>
      <c r="BF2978" t="s">
        <v>1061</v>
      </c>
      <c r="BG2978" t="s">
        <v>1595</v>
      </c>
      <c r="BH2978">
        <v>1</v>
      </c>
      <c r="BJ2978" s="114">
        <v>51</v>
      </c>
      <c r="BK2978" s="116">
        <v>103</v>
      </c>
      <c r="BL2978" s="120">
        <f t="shared" si="1147"/>
        <v>51103</v>
      </c>
      <c r="BN2978" s="5" t="s">
        <v>3154</v>
      </c>
    </row>
    <row r="2979" spans="1:66" hidden="1" outlineLevel="1">
      <c r="A2979" t="s">
        <v>97</v>
      </c>
      <c r="B2979" t="s">
        <v>1595</v>
      </c>
      <c r="C2979" s="1">
        <f t="shared" si="1160"/>
        <v>9399</v>
      </c>
      <c r="D2979" s="5">
        <f>IF(N2979&gt;0, RANK(N2979,(N2979:P2979,Q2979:AE2979)),0)</f>
        <v>2</v>
      </c>
      <c r="E2979" s="5">
        <f>IF(O2979&gt;0,RANK(O2979,(N2979:P2979,Q2979:AE2979)),0)</f>
        <v>1</v>
      </c>
      <c r="F2979" s="5">
        <f>IF(P2979&gt;0,RANK(P2979,(N2979:P2979,Q2979:AE2979)),0)</f>
        <v>4</v>
      </c>
      <c r="G2979" s="132">
        <f t="shared" si="1158"/>
        <v>5916</v>
      </c>
      <c r="H2979" s="137">
        <f t="shared" si="1159"/>
        <v>0.62942866262368335</v>
      </c>
      <c r="I2979" s="2"/>
      <c r="J2979" s="2">
        <f t="shared" si="1161"/>
        <v>0.17310352165123949</v>
      </c>
      <c r="K2979" s="2">
        <f t="shared" si="1162"/>
        <v>0.8025321842749229</v>
      </c>
      <c r="L2979" s="2">
        <f t="shared" si="1163"/>
        <v>4.7877433769549956E-3</v>
      </c>
      <c r="M2979" s="2">
        <f t="shared" si="1164"/>
        <v>1.957655069688256E-2</v>
      </c>
      <c r="N2979" s="63">
        <v>1627</v>
      </c>
      <c r="O2979" s="63">
        <v>7543</v>
      </c>
      <c r="P2979" s="63">
        <v>45</v>
      </c>
      <c r="Q2979" s="63">
        <v>106</v>
      </c>
      <c r="R2979" s="63">
        <v>33</v>
      </c>
      <c r="S2979" s="63"/>
      <c r="T2979" s="63"/>
      <c r="U2979" s="63"/>
      <c r="V2979" s="63"/>
      <c r="W2979" s="63">
        <v>45</v>
      </c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W2979" s="5">
        <f>IF(Q2979&gt;0,RANK(Q2979,(N2979:P2979,Q2979:AE2979)),0)</f>
        <v>3</v>
      </c>
      <c r="AX2979" s="5">
        <f>IF(R2979&gt;0,RANK(R2979,(N2979:P2979,Q2979:AE2979)),0)</f>
        <v>6</v>
      </c>
      <c r="AY2979" s="5">
        <f>IF(T2979&gt;0,RANK(T2979,(N2979:P2979,Q2979:AE2979)),0)</f>
        <v>0</v>
      </c>
      <c r="AZ2979" s="5">
        <f>IF(S2979&gt;0,RANK(S2979,(N2979:P2979,Q2979:AE2979)),0)</f>
        <v>0</v>
      </c>
      <c r="BA2979" s="2">
        <f t="shared" si="1165"/>
        <v>1.1277795510160655E-2</v>
      </c>
      <c r="BB2979" s="2">
        <f t="shared" si="1166"/>
        <v>3.5110118097669966E-3</v>
      </c>
      <c r="BC2979" s="2">
        <f t="shared" si="1167"/>
        <v>0</v>
      </c>
      <c r="BD2979" s="2">
        <f t="shared" si="1168"/>
        <v>0</v>
      </c>
      <c r="BF2979" t="s">
        <v>97</v>
      </c>
      <c r="BG2979" t="s">
        <v>1595</v>
      </c>
      <c r="BH2979">
        <v>9</v>
      </c>
      <c r="BJ2979" s="114">
        <v>51</v>
      </c>
      <c r="BK2979" s="116">
        <v>105</v>
      </c>
      <c r="BL2979" s="120">
        <f t="shared" si="1147"/>
        <v>51105</v>
      </c>
      <c r="BN2979" s="5" t="s">
        <v>3154</v>
      </c>
    </row>
    <row r="2980" spans="1:66" hidden="1" outlineLevel="1">
      <c r="A2980" t="s">
        <v>839</v>
      </c>
      <c r="B2980" t="s">
        <v>1595</v>
      </c>
      <c r="C2980" s="1">
        <f t="shared" si="1160"/>
        <v>183050</v>
      </c>
      <c r="D2980" s="5">
        <f>IF(N2980&gt;0, RANK(N2980,(N2980:P2980,Q2980:AE2980)),0)</f>
        <v>1</v>
      </c>
      <c r="E2980" s="5">
        <f>IF(O2980&gt;0,RANK(O2980,(N2980:P2980,Q2980:AE2980)),0)</f>
        <v>2</v>
      </c>
      <c r="F2980" s="5">
        <f>IF(P2980&gt;0,RANK(P2980,(N2980:P2980,Q2980:AE2980)),0)</f>
        <v>4</v>
      </c>
      <c r="G2980" s="132">
        <f t="shared" si="1158"/>
        <v>30846</v>
      </c>
      <c r="H2980" s="137">
        <f t="shared" si="1159"/>
        <v>0.16851133570062823</v>
      </c>
      <c r="I2980" s="2"/>
      <c r="J2980" s="2">
        <f t="shared" si="1161"/>
        <v>0.55064190111991262</v>
      </c>
      <c r="K2980" s="2">
        <f t="shared" si="1162"/>
        <v>0.38213056541928436</v>
      </c>
      <c r="L2980" s="2">
        <f t="shared" si="1163"/>
        <v>1.8645178912865337E-2</v>
      </c>
      <c r="M2980" s="2">
        <f t="shared" si="1164"/>
        <v>4.8582354547937676E-2</v>
      </c>
      <c r="N2980" s="63">
        <v>100795</v>
      </c>
      <c r="O2980" s="63">
        <v>69949</v>
      </c>
      <c r="P2980" s="63">
        <v>3413</v>
      </c>
      <c r="Q2980" s="63">
        <v>5674</v>
      </c>
      <c r="R2980" s="63">
        <v>1316</v>
      </c>
      <c r="S2980" s="63"/>
      <c r="T2980" s="63"/>
      <c r="U2980" s="63"/>
      <c r="V2980" s="63"/>
      <c r="W2980" s="63">
        <v>1903</v>
      </c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W2980" s="5">
        <f>IF(Q2980&gt;0,RANK(Q2980,(N2980:P2980,Q2980:AE2980)),0)</f>
        <v>3</v>
      </c>
      <c r="AX2980" s="5">
        <f>IF(R2980&gt;0,RANK(R2980,(N2980:P2980,Q2980:AE2980)),0)</f>
        <v>6</v>
      </c>
      <c r="AY2980" s="5">
        <f>IF(T2980&gt;0,RANK(T2980,(N2980:P2980,Q2980:AE2980)),0)</f>
        <v>0</v>
      </c>
      <c r="AZ2980" s="5">
        <f>IF(S2980&gt;0,RANK(S2980,(N2980:P2980,Q2980:AE2980)),0)</f>
        <v>0</v>
      </c>
      <c r="BA2980" s="2">
        <f t="shared" si="1165"/>
        <v>3.0996995356459982E-2</v>
      </c>
      <c r="BB2980" s="2">
        <f t="shared" si="1166"/>
        <v>7.1892925430210326E-3</v>
      </c>
      <c r="BC2980" s="2">
        <f t="shared" si="1167"/>
        <v>0</v>
      </c>
      <c r="BD2980" s="2">
        <f t="shared" si="1168"/>
        <v>0</v>
      </c>
      <c r="BF2980" t="s">
        <v>839</v>
      </c>
      <c r="BG2980" t="s">
        <v>1595</v>
      </c>
      <c r="BH2980">
        <v>10</v>
      </c>
      <c r="BJ2980" s="114">
        <v>51</v>
      </c>
      <c r="BK2980" s="116">
        <v>107</v>
      </c>
      <c r="BL2980" s="120">
        <f t="shared" si="1147"/>
        <v>51107</v>
      </c>
      <c r="BN2980" s="5" t="s">
        <v>3154</v>
      </c>
    </row>
    <row r="2981" spans="1:66" hidden="1" outlineLevel="1">
      <c r="A2981" t="s">
        <v>3204</v>
      </c>
      <c r="B2981" t="s">
        <v>1595</v>
      </c>
      <c r="C2981" s="1">
        <f t="shared" si="1160"/>
        <v>17612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4</v>
      </c>
      <c r="G2981" s="132">
        <f t="shared" si="1158"/>
        <v>4316</v>
      </c>
      <c r="H2981" s="137">
        <f t="shared" si="1159"/>
        <v>0.24506018623665682</v>
      </c>
      <c r="I2981" s="2"/>
      <c r="J2981" s="2">
        <f t="shared" si="1161"/>
        <v>0.35271405859641153</v>
      </c>
      <c r="K2981" s="2">
        <f t="shared" si="1162"/>
        <v>0.5977742448330684</v>
      </c>
      <c r="L2981" s="2">
        <f t="shared" si="1163"/>
        <v>9.2550533727004322E-3</v>
      </c>
      <c r="M2981" s="2">
        <f t="shared" si="1164"/>
        <v>4.0256643197819693E-2</v>
      </c>
      <c r="N2981" s="63">
        <v>6212</v>
      </c>
      <c r="O2981" s="63">
        <v>10528</v>
      </c>
      <c r="P2981" s="63">
        <v>163</v>
      </c>
      <c r="Q2981" s="63">
        <v>505</v>
      </c>
      <c r="R2981" s="63">
        <v>124</v>
      </c>
      <c r="S2981" s="63"/>
      <c r="T2981" s="63"/>
      <c r="U2981" s="63"/>
      <c r="V2981" s="63"/>
      <c r="W2981" s="63">
        <v>80</v>
      </c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W2981" s="5">
        <f>IF(Q2981&gt;0,RANK(Q2981,(N2981:P2981,Q2981:AE2981)),0)</f>
        <v>3</v>
      </c>
      <c r="AX2981" s="5">
        <f>IF(R2981&gt;0,RANK(R2981,(N2981:P2981,Q2981:AE2981)),0)</f>
        <v>5</v>
      </c>
      <c r="AY2981" s="5">
        <f>IF(T2981&gt;0,RANK(T2981,(N2981:P2981,Q2981:AE2981)),0)</f>
        <v>0</v>
      </c>
      <c r="AZ2981" s="5">
        <f>IF(S2981&gt;0,RANK(S2981,(N2981:P2981,Q2981:AE2981)),0)</f>
        <v>0</v>
      </c>
      <c r="BA2981" s="2">
        <f t="shared" si="1165"/>
        <v>2.8673631614808084E-2</v>
      </c>
      <c r="BB2981" s="2">
        <f t="shared" si="1166"/>
        <v>7.0406540994776287E-3</v>
      </c>
      <c r="BC2981" s="2">
        <f t="shared" si="1167"/>
        <v>0</v>
      </c>
      <c r="BD2981" s="2">
        <f t="shared" si="1168"/>
        <v>0</v>
      </c>
      <c r="BF2981" t="s">
        <v>3204</v>
      </c>
      <c r="BG2981" t="s">
        <v>1595</v>
      </c>
      <c r="BH2981">
        <v>7</v>
      </c>
      <c r="BJ2981" s="114">
        <v>51</v>
      </c>
      <c r="BK2981" s="116">
        <v>109</v>
      </c>
      <c r="BL2981" s="120">
        <f t="shared" si="1147"/>
        <v>51109</v>
      </c>
      <c r="BN2981" s="5" t="s">
        <v>3154</v>
      </c>
    </row>
    <row r="2982" spans="1:66" hidden="1" outlineLevel="1">
      <c r="A2982" t="s">
        <v>1608</v>
      </c>
      <c r="B2982" t="s">
        <v>1595</v>
      </c>
      <c r="C2982" s="1">
        <f t="shared" si="1160"/>
        <v>5586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4</v>
      </c>
      <c r="G2982" s="132">
        <f t="shared" si="1158"/>
        <v>977</v>
      </c>
      <c r="H2982" s="137">
        <f t="shared" si="1159"/>
        <v>0.17490153956319371</v>
      </c>
      <c r="I2982" s="2"/>
      <c r="J2982" s="2">
        <f t="shared" si="1161"/>
        <v>0.39867525957751521</v>
      </c>
      <c r="K2982" s="2">
        <f t="shared" si="1162"/>
        <v>0.57357679914070892</v>
      </c>
      <c r="L2982" s="2">
        <f t="shared" si="1163"/>
        <v>5.7286072323666313E-3</v>
      </c>
      <c r="M2982" s="2">
        <f t="shared" si="1164"/>
        <v>2.2019334049409305E-2</v>
      </c>
      <c r="N2982" s="63">
        <v>2227</v>
      </c>
      <c r="O2982" s="63">
        <v>3204</v>
      </c>
      <c r="P2982" s="63">
        <v>32</v>
      </c>
      <c r="Q2982" s="63">
        <v>88</v>
      </c>
      <c r="R2982" s="63">
        <v>25</v>
      </c>
      <c r="S2982" s="63"/>
      <c r="T2982" s="63"/>
      <c r="U2982" s="63"/>
      <c r="V2982" s="63"/>
      <c r="W2982" s="63">
        <v>10</v>
      </c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W2982" s="5">
        <f>IF(Q2982&gt;0,RANK(Q2982,(N2982:P2982,Q2982:AE2982)),0)</f>
        <v>3</v>
      </c>
      <c r="AX2982" s="5">
        <f>IF(R2982&gt;0,RANK(R2982,(N2982:P2982,Q2982:AE2982)),0)</f>
        <v>5</v>
      </c>
      <c r="AY2982" s="5">
        <f>IF(T2982&gt;0,RANK(T2982,(N2982:P2982,Q2982:AE2982)),0)</f>
        <v>0</v>
      </c>
      <c r="AZ2982" s="5">
        <f>IF(S2982&gt;0,RANK(S2982,(N2982:P2982,Q2982:AE2982)),0)</f>
        <v>0</v>
      </c>
      <c r="BA2982" s="2">
        <f t="shared" si="1165"/>
        <v>1.5753669889008236E-2</v>
      </c>
      <c r="BB2982" s="2">
        <f t="shared" si="1166"/>
        <v>4.47547440028643E-3</v>
      </c>
      <c r="BC2982" s="2">
        <f t="shared" si="1167"/>
        <v>0</v>
      </c>
      <c r="BD2982" s="2">
        <f t="shared" si="1168"/>
        <v>0</v>
      </c>
      <c r="BF2982" t="s">
        <v>1608</v>
      </c>
      <c r="BG2982" t="s">
        <v>1595</v>
      </c>
      <c r="BH2982">
        <v>5</v>
      </c>
      <c r="BJ2982" s="114">
        <v>51</v>
      </c>
      <c r="BK2982" s="116">
        <v>111</v>
      </c>
      <c r="BL2982" s="120">
        <f t="shared" si="1147"/>
        <v>51111</v>
      </c>
      <c r="BN2982" s="5" t="s">
        <v>3154</v>
      </c>
    </row>
    <row r="2983" spans="1:66" hidden="1" outlineLevel="1">
      <c r="A2983" t="s">
        <v>1650</v>
      </c>
      <c r="B2983" t="s">
        <v>1595</v>
      </c>
      <c r="C2983" s="1">
        <f t="shared" si="1160"/>
        <v>6979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4</v>
      </c>
      <c r="G2983" s="132">
        <f t="shared" si="1158"/>
        <v>2216</v>
      </c>
      <c r="H2983" s="137">
        <f t="shared" si="1159"/>
        <v>0.317524000573148</v>
      </c>
      <c r="I2983" s="2"/>
      <c r="J2983" s="2">
        <f t="shared" si="1161"/>
        <v>0.31566126952285428</v>
      </c>
      <c r="K2983" s="2">
        <f t="shared" si="1162"/>
        <v>0.63318527009600234</v>
      </c>
      <c r="L2983" s="2">
        <f t="shared" si="1163"/>
        <v>1.2465969336581171E-2</v>
      </c>
      <c r="M2983" s="2">
        <f t="shared" si="1164"/>
        <v>3.8687491044562261E-2</v>
      </c>
      <c r="N2983" s="63">
        <v>2203</v>
      </c>
      <c r="O2983" s="63">
        <v>4419</v>
      </c>
      <c r="P2983" s="63">
        <v>87</v>
      </c>
      <c r="Q2983" s="63">
        <v>184</v>
      </c>
      <c r="R2983" s="63">
        <v>43</v>
      </c>
      <c r="S2983" s="63"/>
      <c r="T2983" s="63"/>
      <c r="U2983" s="63"/>
      <c r="V2983" s="63"/>
      <c r="W2983" s="63">
        <v>43</v>
      </c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W2983" s="5">
        <f>IF(Q2983&gt;0,RANK(Q2983,(N2983:P2983,Q2983:AE2983)),0)</f>
        <v>3</v>
      </c>
      <c r="AX2983" s="5">
        <f>IF(R2983&gt;0,RANK(R2983,(N2983:P2983,Q2983:AE2983)),0)</f>
        <v>5</v>
      </c>
      <c r="AY2983" s="5">
        <f>IF(T2983&gt;0,RANK(T2983,(N2983:P2983,Q2983:AE2983)),0)</f>
        <v>0</v>
      </c>
      <c r="AZ2983" s="5">
        <f>IF(S2983&gt;0,RANK(S2983,(N2983:P2983,Q2983:AE2983)),0)</f>
        <v>0</v>
      </c>
      <c r="BA2983" s="2">
        <f t="shared" si="1165"/>
        <v>2.6364808711849836E-2</v>
      </c>
      <c r="BB2983" s="2">
        <f t="shared" si="1166"/>
        <v>6.1613411663562117E-3</v>
      </c>
      <c r="BC2983" s="2">
        <f t="shared" si="1167"/>
        <v>0</v>
      </c>
      <c r="BD2983" s="2">
        <f t="shared" si="1168"/>
        <v>0</v>
      </c>
      <c r="BF2983" t="s">
        <v>1650</v>
      </c>
      <c r="BG2983" t="s">
        <v>1595</v>
      </c>
      <c r="BH2983">
        <v>5</v>
      </c>
      <c r="BJ2983" s="114">
        <v>51</v>
      </c>
      <c r="BK2983" s="116">
        <v>113</v>
      </c>
      <c r="BL2983" s="120">
        <f t="shared" si="1147"/>
        <v>51113</v>
      </c>
      <c r="BN2983" s="5" t="s">
        <v>3154</v>
      </c>
    </row>
    <row r="2984" spans="1:66" hidden="1" outlineLevel="1">
      <c r="A2984" t="s">
        <v>3150</v>
      </c>
      <c r="B2984" t="s">
        <v>1595</v>
      </c>
      <c r="C2984" s="1">
        <f t="shared" si="1160"/>
        <v>5311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4</v>
      </c>
      <c r="G2984" s="132">
        <f t="shared" si="1158"/>
        <v>1954</v>
      </c>
      <c r="H2984" s="137">
        <f t="shared" si="1159"/>
        <v>0.36791564677085292</v>
      </c>
      <c r="I2984" s="2"/>
      <c r="J2984" s="2">
        <f t="shared" si="1161"/>
        <v>0.29429485972509883</v>
      </c>
      <c r="K2984" s="2">
        <f t="shared" si="1162"/>
        <v>0.66221050649595181</v>
      </c>
      <c r="L2984" s="2">
        <f t="shared" si="1163"/>
        <v>6.7783844850310675E-3</v>
      </c>
      <c r="M2984" s="2">
        <f t="shared" si="1164"/>
        <v>3.6716249293918285E-2</v>
      </c>
      <c r="N2984" s="63">
        <v>1563</v>
      </c>
      <c r="O2984" s="63">
        <v>3517</v>
      </c>
      <c r="P2984" s="63">
        <v>36</v>
      </c>
      <c r="Q2984" s="63">
        <v>147</v>
      </c>
      <c r="R2984" s="63">
        <v>31</v>
      </c>
      <c r="S2984" s="63"/>
      <c r="T2984" s="63"/>
      <c r="U2984" s="63"/>
      <c r="V2984" s="63"/>
      <c r="W2984" s="63">
        <v>17</v>
      </c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W2984" s="5">
        <f>IF(Q2984&gt;0,RANK(Q2984,(N2984:P2984,Q2984:AE2984)),0)</f>
        <v>3</v>
      </c>
      <c r="AX2984" s="5">
        <f>IF(R2984&gt;0,RANK(R2984,(N2984:P2984,Q2984:AE2984)),0)</f>
        <v>5</v>
      </c>
      <c r="AY2984" s="5">
        <f>IF(T2984&gt;0,RANK(T2984,(N2984:P2984,Q2984:AE2984)),0)</f>
        <v>0</v>
      </c>
      <c r="AZ2984" s="5">
        <f>IF(S2984&gt;0,RANK(S2984,(N2984:P2984,Q2984:AE2984)),0)</f>
        <v>0</v>
      </c>
      <c r="BA2984" s="2">
        <f t="shared" si="1165"/>
        <v>2.7678403313876859E-2</v>
      </c>
      <c r="BB2984" s="2">
        <f t="shared" si="1166"/>
        <v>5.8369421954434196E-3</v>
      </c>
      <c r="BC2984" s="2">
        <f t="shared" si="1167"/>
        <v>0</v>
      </c>
      <c r="BD2984" s="2">
        <f t="shared" si="1168"/>
        <v>0</v>
      </c>
      <c r="BF2984" t="s">
        <v>3150</v>
      </c>
      <c r="BG2984" t="s">
        <v>1595</v>
      </c>
      <c r="BH2984">
        <v>1</v>
      </c>
      <c r="BJ2984" s="114">
        <v>51</v>
      </c>
      <c r="BK2984" s="116">
        <v>115</v>
      </c>
      <c r="BL2984" s="120">
        <f t="shared" si="1147"/>
        <v>51115</v>
      </c>
      <c r="BN2984" s="5" t="s">
        <v>3154</v>
      </c>
    </row>
    <row r="2985" spans="1:66" hidden="1" outlineLevel="1">
      <c r="A2985" t="s">
        <v>1475</v>
      </c>
      <c r="B2985" t="s">
        <v>1595</v>
      </c>
      <c r="C2985" s="1">
        <f t="shared" si="1160"/>
        <v>14945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4</v>
      </c>
      <c r="G2985" s="132">
        <f t="shared" si="1158"/>
        <v>2003</v>
      </c>
      <c r="H2985" s="137">
        <f t="shared" si="1159"/>
        <v>0.1340247574439612</v>
      </c>
      <c r="I2985" s="2"/>
      <c r="J2985" s="2">
        <f t="shared" si="1161"/>
        <v>0.42054198728671799</v>
      </c>
      <c r="K2985" s="2">
        <f t="shared" si="1162"/>
        <v>0.55456674473067913</v>
      </c>
      <c r="L2985" s="2">
        <f t="shared" si="1163"/>
        <v>3.6132485781197724E-3</v>
      </c>
      <c r="M2985" s="2">
        <f t="shared" si="1164"/>
        <v>2.1278019404483109E-2</v>
      </c>
      <c r="N2985" s="63">
        <v>6285</v>
      </c>
      <c r="O2985" s="63">
        <v>8288</v>
      </c>
      <c r="P2985" s="63">
        <v>54</v>
      </c>
      <c r="Q2985" s="63">
        <v>239</v>
      </c>
      <c r="R2985" s="63">
        <v>30</v>
      </c>
      <c r="S2985" s="63"/>
      <c r="T2985" s="63"/>
      <c r="U2985" s="63"/>
      <c r="V2985" s="63"/>
      <c r="W2985" s="63">
        <v>49</v>
      </c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W2985" s="5">
        <f>IF(Q2985&gt;0,RANK(Q2985,(N2985:P2985,Q2985:AE2985)),0)</f>
        <v>3</v>
      </c>
      <c r="AX2985" s="5">
        <f>IF(R2985&gt;0,RANK(R2985,(N2985:P2985,Q2985:AE2985)),0)</f>
        <v>6</v>
      </c>
      <c r="AY2985" s="5">
        <f>IF(T2985&gt;0,RANK(T2985,(N2985:P2985,Q2985:AE2985)),0)</f>
        <v>0</v>
      </c>
      <c r="AZ2985" s="5">
        <f>IF(S2985&gt;0,RANK(S2985,(N2985:P2985,Q2985:AE2985)),0)</f>
        <v>0</v>
      </c>
      <c r="BA2985" s="2">
        <f t="shared" si="1165"/>
        <v>1.599197055871529E-2</v>
      </c>
      <c r="BB2985" s="2">
        <f t="shared" si="1166"/>
        <v>2.0073603211776514E-3</v>
      </c>
      <c r="BC2985" s="2">
        <f t="shared" si="1167"/>
        <v>0</v>
      </c>
      <c r="BD2985" s="2">
        <f t="shared" si="1168"/>
        <v>0</v>
      </c>
      <c r="BF2985" t="s">
        <v>1475</v>
      </c>
      <c r="BG2985" t="s">
        <v>1595</v>
      </c>
      <c r="BH2985">
        <v>5</v>
      </c>
      <c r="BJ2985" s="114">
        <v>51</v>
      </c>
      <c r="BK2985" s="116">
        <v>117</v>
      </c>
      <c r="BL2985" s="120">
        <f t="shared" si="1147"/>
        <v>51117</v>
      </c>
      <c r="BN2985" s="5" t="s">
        <v>3154</v>
      </c>
    </row>
    <row r="2986" spans="1:66" hidden="1" outlineLevel="1">
      <c r="A2986" t="s">
        <v>503</v>
      </c>
      <c r="B2986" t="s">
        <v>1595</v>
      </c>
      <c r="C2986" s="1">
        <f t="shared" si="1160"/>
        <v>6017</v>
      </c>
      <c r="D2986" s="5">
        <f>IF(N2986&gt;0, RANK(N2986,(N2986:P2986,Q2986:AE2986)),0)</f>
        <v>2</v>
      </c>
      <c r="E2986" s="5">
        <f>IF(O2986&gt;0,RANK(O2986,(N2986:P2986,Q2986:AE2986)),0)</f>
        <v>1</v>
      </c>
      <c r="F2986" s="5">
        <f>IF(P2986&gt;0,RANK(P2986,(N2986:P2986,Q2986:AE2986)),0)</f>
        <v>4</v>
      </c>
      <c r="G2986" s="132">
        <f t="shared" si="1158"/>
        <v>1562</v>
      </c>
      <c r="H2986" s="137">
        <f t="shared" si="1159"/>
        <v>0.25959780621572209</v>
      </c>
      <c r="I2986" s="2"/>
      <c r="J2986" s="2">
        <f t="shared" si="1161"/>
        <v>0.35034070134618583</v>
      </c>
      <c r="K2986" s="2">
        <f t="shared" si="1162"/>
        <v>0.60993850756190793</v>
      </c>
      <c r="L2986" s="2">
        <f t="shared" si="1163"/>
        <v>8.309788931361143E-3</v>
      </c>
      <c r="M2986" s="2">
        <f t="shared" si="1164"/>
        <v>3.1411002160545043E-2</v>
      </c>
      <c r="N2986" s="63">
        <v>2108</v>
      </c>
      <c r="O2986" s="63">
        <v>3670</v>
      </c>
      <c r="P2986" s="63">
        <v>50</v>
      </c>
      <c r="Q2986" s="63">
        <v>140</v>
      </c>
      <c r="R2986" s="63">
        <v>33</v>
      </c>
      <c r="S2986" s="63"/>
      <c r="T2986" s="63"/>
      <c r="U2986" s="63"/>
      <c r="V2986" s="63"/>
      <c r="W2986" s="63">
        <v>16</v>
      </c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W2986" s="5">
        <f>IF(Q2986&gt;0,RANK(Q2986,(N2986:P2986,Q2986:AE2986)),0)</f>
        <v>3</v>
      </c>
      <c r="AX2986" s="5">
        <f>IF(R2986&gt;0,RANK(R2986,(N2986:P2986,Q2986:AE2986)),0)</f>
        <v>5</v>
      </c>
      <c r="AY2986" s="5">
        <f>IF(T2986&gt;0,RANK(T2986,(N2986:P2986,Q2986:AE2986)),0)</f>
        <v>0</v>
      </c>
      <c r="AZ2986" s="5">
        <f>IF(S2986&gt;0,RANK(S2986,(N2986:P2986,Q2986:AE2986)),0)</f>
        <v>0</v>
      </c>
      <c r="BA2986" s="2">
        <f t="shared" si="1165"/>
        <v>2.3267409007811202E-2</v>
      </c>
      <c r="BB2986" s="2">
        <f t="shared" si="1166"/>
        <v>5.4844606946983544E-3</v>
      </c>
      <c r="BC2986" s="2">
        <f t="shared" si="1167"/>
        <v>0</v>
      </c>
      <c r="BD2986" s="2">
        <f t="shared" si="1168"/>
        <v>0</v>
      </c>
      <c r="BF2986" t="s">
        <v>503</v>
      </c>
      <c r="BG2986" t="s">
        <v>1595</v>
      </c>
      <c r="BH2986">
        <v>1</v>
      </c>
      <c r="BJ2986" s="114">
        <v>51</v>
      </c>
      <c r="BK2986" s="116">
        <v>119</v>
      </c>
      <c r="BL2986" s="120">
        <f t="shared" ref="BL2986:BL3048" si="1169">1000*BJ2986+BK2986</f>
        <v>51119</v>
      </c>
      <c r="BN2986" s="5" t="s">
        <v>3154</v>
      </c>
    </row>
    <row r="2987" spans="1:66" hidden="1" outlineLevel="1">
      <c r="A2987" t="s">
        <v>1406</v>
      </c>
      <c r="B2987" t="s">
        <v>1595</v>
      </c>
      <c r="C2987" s="1">
        <f t="shared" si="1160"/>
        <v>43031</v>
      </c>
      <c r="D2987" s="5">
        <f>IF(N2987&gt;0, RANK(N2987,(N2987:P2987,Q2987:AE2987)),0)</f>
        <v>1</v>
      </c>
      <c r="E2987" s="5">
        <f>IF(O2987&gt;0,RANK(O2987,(N2987:P2987,Q2987:AE2987)),0)</f>
        <v>2</v>
      </c>
      <c r="F2987" s="5">
        <f>IF(P2987&gt;0,RANK(P2987,(N2987:P2987,Q2987:AE2987)),0)</f>
        <v>4</v>
      </c>
      <c r="G2987" s="132">
        <f t="shared" si="1158"/>
        <v>562</v>
      </c>
      <c r="H2987" s="137">
        <f t="shared" si="1159"/>
        <v>1.3060351839371615E-2</v>
      </c>
      <c r="I2987" s="2"/>
      <c r="J2987" s="2">
        <f t="shared" si="1161"/>
        <v>0.4652692245125607</v>
      </c>
      <c r="K2987" s="2">
        <f t="shared" si="1162"/>
        <v>0.4522088726731891</v>
      </c>
      <c r="L2987" s="2">
        <f t="shared" si="1163"/>
        <v>1.8544770049499198E-2</v>
      </c>
      <c r="M2987" s="2">
        <f t="shared" si="1164"/>
        <v>6.3977132764751005E-2</v>
      </c>
      <c r="N2987" s="63">
        <v>20021</v>
      </c>
      <c r="O2987" s="63">
        <v>19459</v>
      </c>
      <c r="P2987" s="63">
        <v>798</v>
      </c>
      <c r="Q2987" s="63">
        <v>2026</v>
      </c>
      <c r="R2987" s="63">
        <v>401</v>
      </c>
      <c r="S2987" s="63"/>
      <c r="T2987" s="63"/>
      <c r="U2987" s="63"/>
      <c r="V2987" s="63"/>
      <c r="W2987" s="63">
        <v>326</v>
      </c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W2987" s="5">
        <f>IF(Q2987&gt;0,RANK(Q2987,(N2987:P2987,Q2987:AE2987)),0)</f>
        <v>3</v>
      </c>
      <c r="AX2987" s="5">
        <f>IF(R2987&gt;0,RANK(R2987,(N2987:P2987,Q2987:AE2987)),0)</f>
        <v>5</v>
      </c>
      <c r="AY2987" s="5">
        <f>IF(T2987&gt;0,RANK(T2987,(N2987:P2987,Q2987:AE2987)),0)</f>
        <v>0</v>
      </c>
      <c r="AZ2987" s="5">
        <f>IF(S2987&gt;0,RANK(S2987,(N2987:P2987,Q2987:AE2987)),0)</f>
        <v>0</v>
      </c>
      <c r="BA2987" s="2">
        <f t="shared" si="1165"/>
        <v>4.7082335990332548E-2</v>
      </c>
      <c r="BB2987" s="2">
        <f t="shared" si="1166"/>
        <v>9.3188631451744091E-3</v>
      </c>
      <c r="BC2987" s="2">
        <f t="shared" si="1167"/>
        <v>0</v>
      </c>
      <c r="BD2987" s="2">
        <f t="shared" si="1168"/>
        <v>0</v>
      </c>
      <c r="BF2987" t="s">
        <v>1406</v>
      </c>
      <c r="BG2987" t="s">
        <v>1595</v>
      </c>
      <c r="BH2987">
        <v>9</v>
      </c>
      <c r="BJ2987" s="114">
        <v>51</v>
      </c>
      <c r="BK2987" s="116">
        <v>121</v>
      </c>
      <c r="BL2987" s="120">
        <f t="shared" si="1169"/>
        <v>51121</v>
      </c>
      <c r="BN2987" s="5" t="s">
        <v>3154</v>
      </c>
    </row>
    <row r="2988" spans="1:66" hidden="1" outlineLevel="1">
      <c r="A2988" t="s">
        <v>424</v>
      </c>
      <c r="B2988" t="s">
        <v>1595</v>
      </c>
      <c r="C2988" s="1">
        <f t="shared" si="1160"/>
        <v>8311</v>
      </c>
      <c r="D2988" s="5">
        <f>IF(N2988&gt;0, RANK(N2988,(N2988:P2988,Q2988:AE2988)),0)</f>
        <v>2</v>
      </c>
      <c r="E2988" s="5">
        <f>IF(O2988&gt;0,RANK(O2988,(N2988:P2988,Q2988:AE2988)),0)</f>
        <v>1</v>
      </c>
      <c r="F2988" s="5">
        <f>IF(P2988&gt;0,RANK(P2988,(N2988:P2988,Q2988:AE2988)),0)</f>
        <v>4</v>
      </c>
      <c r="G2988" s="132">
        <f t="shared" si="1158"/>
        <v>465</v>
      </c>
      <c r="H2988" s="137">
        <f t="shared" si="1159"/>
        <v>5.594994585489111E-2</v>
      </c>
      <c r="I2988" s="2"/>
      <c r="J2988" s="2">
        <f t="shared" si="1161"/>
        <v>0.44386957044880276</v>
      </c>
      <c r="K2988" s="2">
        <f t="shared" si="1162"/>
        <v>0.49981951630369392</v>
      </c>
      <c r="L2988" s="2">
        <f t="shared" si="1163"/>
        <v>1.1430634099386355E-2</v>
      </c>
      <c r="M2988" s="2">
        <f t="shared" si="1164"/>
        <v>4.4880279148117014E-2</v>
      </c>
      <c r="N2988" s="63">
        <v>3689</v>
      </c>
      <c r="O2988" s="63">
        <v>4154</v>
      </c>
      <c r="P2988" s="63">
        <v>95</v>
      </c>
      <c r="Q2988" s="63">
        <v>244</v>
      </c>
      <c r="R2988" s="63">
        <v>81</v>
      </c>
      <c r="S2988" s="63"/>
      <c r="T2988" s="63"/>
      <c r="U2988" s="63"/>
      <c r="V2988" s="63"/>
      <c r="W2988" s="63">
        <v>48</v>
      </c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W2988" s="5">
        <f>IF(Q2988&gt;0,RANK(Q2988,(N2988:P2988,Q2988:AE2988)),0)</f>
        <v>3</v>
      </c>
      <c r="AX2988" s="5">
        <f>IF(R2988&gt;0,RANK(R2988,(N2988:P2988,Q2988:AE2988)),0)</f>
        <v>5</v>
      </c>
      <c r="AY2988" s="5">
        <f>IF(T2988&gt;0,RANK(T2988,(N2988:P2988,Q2988:AE2988)),0)</f>
        <v>0</v>
      </c>
      <c r="AZ2988" s="5">
        <f>IF(S2988&gt;0,RANK(S2988,(N2988:P2988,Q2988:AE2988)),0)</f>
        <v>0</v>
      </c>
      <c r="BA2988" s="2">
        <f t="shared" si="1165"/>
        <v>2.9358681265792323E-2</v>
      </c>
      <c r="BB2988" s="2">
        <f t="shared" si="1166"/>
        <v>9.7461196005294189E-3</v>
      </c>
      <c r="BC2988" s="2">
        <f t="shared" si="1167"/>
        <v>0</v>
      </c>
      <c r="BD2988" s="2">
        <f t="shared" si="1168"/>
        <v>0</v>
      </c>
      <c r="BF2988" t="s">
        <v>424</v>
      </c>
      <c r="BG2988" t="s">
        <v>1595</v>
      </c>
      <c r="BH2988">
        <v>5</v>
      </c>
      <c r="BJ2988" s="114">
        <v>51</v>
      </c>
      <c r="BK2988" s="116">
        <v>125</v>
      </c>
      <c r="BL2988" s="120">
        <f t="shared" si="1169"/>
        <v>51125</v>
      </c>
      <c r="BN2988" s="5" t="s">
        <v>3154</v>
      </c>
    </row>
    <row r="2989" spans="1:66" hidden="1" outlineLevel="1">
      <c r="A2989" t="s">
        <v>2555</v>
      </c>
      <c r="B2989" t="s">
        <v>1595</v>
      </c>
      <c r="C2989" s="1">
        <f t="shared" si="1160"/>
        <v>12233</v>
      </c>
      <c r="D2989" s="5">
        <f>IF(N2989&gt;0, RANK(N2989,(N2989:P2989,Q2989:AE2989)),0)</f>
        <v>2</v>
      </c>
      <c r="E2989" s="5">
        <f>IF(O2989&gt;0,RANK(O2989,(N2989:P2989,Q2989:AE2989)),0)</f>
        <v>1</v>
      </c>
      <c r="F2989" s="5">
        <f>IF(P2989&gt;0,RANK(P2989,(N2989:P2989,Q2989:AE2989)),0)</f>
        <v>4</v>
      </c>
      <c r="G2989" s="132">
        <f t="shared" si="1158"/>
        <v>4572</v>
      </c>
      <c r="H2989" s="137">
        <f t="shared" si="1159"/>
        <v>0.37374315376440775</v>
      </c>
      <c r="I2989" s="2"/>
      <c r="J2989" s="2">
        <f t="shared" si="1161"/>
        <v>0.2898716586283005</v>
      </c>
      <c r="K2989" s="2">
        <f t="shared" si="1162"/>
        <v>0.66361481239270825</v>
      </c>
      <c r="L2989" s="2">
        <f t="shared" si="1163"/>
        <v>8.3381018556363939E-3</v>
      </c>
      <c r="M2989" s="2">
        <f t="shared" si="1164"/>
        <v>3.8175427123354796E-2</v>
      </c>
      <c r="N2989" s="63">
        <v>3546</v>
      </c>
      <c r="O2989" s="63">
        <v>8118</v>
      </c>
      <c r="P2989" s="63">
        <v>102</v>
      </c>
      <c r="Q2989" s="63">
        <v>348</v>
      </c>
      <c r="R2989" s="63">
        <v>52</v>
      </c>
      <c r="S2989" s="63"/>
      <c r="T2989" s="63"/>
      <c r="U2989" s="63"/>
      <c r="V2989" s="63"/>
      <c r="W2989" s="63">
        <v>67</v>
      </c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W2989" s="5">
        <f>IF(Q2989&gt;0,RANK(Q2989,(N2989:P2989,Q2989:AE2989)),0)</f>
        <v>3</v>
      </c>
      <c r="AX2989" s="5">
        <f>IF(R2989&gt;0,RANK(R2989,(N2989:P2989,Q2989:AE2989)),0)</f>
        <v>6</v>
      </c>
      <c r="AY2989" s="5">
        <f>IF(T2989&gt;0,RANK(T2989,(N2989:P2989,Q2989:AE2989)),0)</f>
        <v>0</v>
      </c>
      <c r="AZ2989" s="5">
        <f>IF(S2989&gt;0,RANK(S2989,(N2989:P2989,Q2989:AE2989)),0)</f>
        <v>0</v>
      </c>
      <c r="BA2989" s="2">
        <f t="shared" si="1165"/>
        <v>2.8447641625112402E-2</v>
      </c>
      <c r="BB2989" s="2">
        <f t="shared" si="1166"/>
        <v>4.2507970244420826E-3</v>
      </c>
      <c r="BC2989" s="2">
        <f t="shared" si="1167"/>
        <v>0</v>
      </c>
      <c r="BD2989" s="2">
        <f t="shared" si="1168"/>
        <v>0</v>
      </c>
      <c r="BF2989" t="s">
        <v>2555</v>
      </c>
      <c r="BG2989" t="s">
        <v>1595</v>
      </c>
      <c r="BH2989">
        <v>1</v>
      </c>
      <c r="BJ2989" s="114">
        <v>51</v>
      </c>
      <c r="BK2989" s="116">
        <v>127</v>
      </c>
      <c r="BL2989" s="120">
        <f t="shared" si="1169"/>
        <v>51127</v>
      </c>
      <c r="BN2989" s="5" t="s">
        <v>3154</v>
      </c>
    </row>
    <row r="2990" spans="1:66" hidden="1" outlineLevel="1">
      <c r="A2990" t="s">
        <v>2751</v>
      </c>
      <c r="B2990" t="s">
        <v>1595</v>
      </c>
      <c r="C2990" s="1">
        <f t="shared" si="1160"/>
        <v>6168</v>
      </c>
      <c r="D2990" s="5">
        <f>IF(N2990&gt;0, RANK(N2990,(N2990:P2990,Q2990:AE2990)),0)</f>
        <v>1</v>
      </c>
      <c r="E2990" s="5">
        <f>IF(O2990&gt;0,RANK(O2990,(N2990:P2990,Q2990:AE2990)),0)</f>
        <v>2</v>
      </c>
      <c r="F2990" s="5">
        <f>IF(P2990&gt;0,RANK(P2990,(N2990:P2990,Q2990:AE2990)),0)</f>
        <v>5</v>
      </c>
      <c r="G2990" s="132">
        <f t="shared" si="1158"/>
        <v>569</v>
      </c>
      <c r="H2990" s="137">
        <f t="shared" si="1159"/>
        <v>9.225032425421531E-2</v>
      </c>
      <c r="I2990" s="2"/>
      <c r="J2990" s="2">
        <f t="shared" si="1161"/>
        <v>0.52772373540856032</v>
      </c>
      <c r="K2990" s="2">
        <f t="shared" si="1162"/>
        <v>0.43547341115434501</v>
      </c>
      <c r="L2990" s="2">
        <f t="shared" si="1163"/>
        <v>5.9987029831387812E-3</v>
      </c>
      <c r="M2990" s="2">
        <f t="shared" si="1164"/>
        <v>3.0804150453955882E-2</v>
      </c>
      <c r="N2990" s="63">
        <v>3255</v>
      </c>
      <c r="O2990" s="63">
        <v>2686</v>
      </c>
      <c r="P2990" s="63">
        <v>37</v>
      </c>
      <c r="Q2990" s="63">
        <v>116</v>
      </c>
      <c r="R2990" s="63">
        <v>40</v>
      </c>
      <c r="S2990" s="63"/>
      <c r="T2990" s="63"/>
      <c r="U2990" s="63"/>
      <c r="V2990" s="63"/>
      <c r="W2990" s="63">
        <v>34</v>
      </c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W2990" s="5">
        <f>IF(Q2990&gt;0,RANK(Q2990,(N2990:P2990,Q2990:AE2990)),0)</f>
        <v>3</v>
      </c>
      <c r="AX2990" s="5">
        <f>IF(R2990&gt;0,RANK(R2990,(N2990:P2990,Q2990:AE2990)),0)</f>
        <v>4</v>
      </c>
      <c r="AY2990" s="5">
        <f>IF(T2990&gt;0,RANK(T2990,(N2990:P2990,Q2990:AE2990)),0)</f>
        <v>0</v>
      </c>
      <c r="AZ2990" s="5">
        <f>IF(S2990&gt;0,RANK(S2990,(N2990:P2990,Q2990:AE2990)),0)</f>
        <v>0</v>
      </c>
      <c r="BA2990" s="2">
        <f t="shared" si="1165"/>
        <v>1.8806744487678339E-2</v>
      </c>
      <c r="BB2990" s="2">
        <f t="shared" si="1166"/>
        <v>6.4850843060959796E-3</v>
      </c>
      <c r="BC2990" s="2">
        <f t="shared" si="1167"/>
        <v>0</v>
      </c>
      <c r="BD2990" s="2">
        <f t="shared" si="1168"/>
        <v>0</v>
      </c>
      <c r="BF2990" t="s">
        <v>2751</v>
      </c>
      <c r="BG2990" t="s">
        <v>1595</v>
      </c>
      <c r="BH2990">
        <v>2</v>
      </c>
      <c r="BJ2990" s="114">
        <v>51</v>
      </c>
      <c r="BK2990" s="116">
        <v>131</v>
      </c>
      <c r="BL2990" s="120">
        <f t="shared" si="1169"/>
        <v>51131</v>
      </c>
      <c r="BN2990" s="5" t="s">
        <v>3154</v>
      </c>
    </row>
    <row r="2991" spans="1:66" hidden="1" outlineLevel="1">
      <c r="A2991" t="s">
        <v>2939</v>
      </c>
      <c r="B2991" t="s">
        <v>1595</v>
      </c>
      <c r="C2991" s="1">
        <f t="shared" si="1160"/>
        <v>7397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4</v>
      </c>
      <c r="G2991" s="132">
        <f t="shared" si="1158"/>
        <v>1450</v>
      </c>
      <c r="H2991" s="137">
        <f t="shared" si="1159"/>
        <v>0.19602541570907125</v>
      </c>
      <c r="I2991" s="2"/>
      <c r="J2991" s="2">
        <f t="shared" si="1161"/>
        <v>0.38556171420846291</v>
      </c>
      <c r="K2991" s="2">
        <f t="shared" si="1162"/>
        <v>0.58158712991753414</v>
      </c>
      <c r="L2991" s="2">
        <f t="shared" si="1163"/>
        <v>6.8946870352845748E-3</v>
      </c>
      <c r="M2991" s="2">
        <f t="shared" si="1164"/>
        <v>2.5956468838718428E-2</v>
      </c>
      <c r="N2991" s="63">
        <v>2852</v>
      </c>
      <c r="O2991" s="63">
        <v>4302</v>
      </c>
      <c r="P2991" s="63">
        <v>51</v>
      </c>
      <c r="Q2991" s="63">
        <v>136</v>
      </c>
      <c r="R2991" s="63">
        <v>21</v>
      </c>
      <c r="S2991" s="63"/>
      <c r="T2991" s="63"/>
      <c r="U2991" s="63"/>
      <c r="V2991" s="63"/>
      <c r="W2991" s="63">
        <v>35</v>
      </c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W2991" s="5">
        <f>IF(Q2991&gt;0,RANK(Q2991,(N2991:P2991,Q2991:AE2991)),0)</f>
        <v>3</v>
      </c>
      <c r="AX2991" s="5">
        <f>IF(R2991&gt;0,RANK(R2991,(N2991:P2991,Q2991:AE2991)),0)</f>
        <v>6</v>
      </c>
      <c r="AY2991" s="5">
        <f>IF(T2991&gt;0,RANK(T2991,(N2991:P2991,Q2991:AE2991)),0)</f>
        <v>0</v>
      </c>
      <c r="AZ2991" s="5">
        <f>IF(S2991&gt;0,RANK(S2991,(N2991:P2991,Q2991:AE2991)),0)</f>
        <v>0</v>
      </c>
      <c r="BA2991" s="2">
        <f t="shared" si="1165"/>
        <v>1.8385832094092201E-2</v>
      </c>
      <c r="BB2991" s="2">
        <f t="shared" si="1166"/>
        <v>2.8389887792348249E-3</v>
      </c>
      <c r="BC2991" s="2">
        <f t="shared" si="1167"/>
        <v>0</v>
      </c>
      <c r="BD2991" s="2">
        <f t="shared" si="1168"/>
        <v>0</v>
      </c>
      <c r="BF2991" t="s">
        <v>2939</v>
      </c>
      <c r="BG2991" t="s">
        <v>1595</v>
      </c>
      <c r="BH2991">
        <v>1</v>
      </c>
      <c r="BJ2991" s="114">
        <v>51</v>
      </c>
      <c r="BK2991" s="116">
        <v>133</v>
      </c>
      <c r="BL2991" s="120">
        <f t="shared" si="1169"/>
        <v>51133</v>
      </c>
      <c r="BN2991" s="5" t="s">
        <v>3154</v>
      </c>
    </row>
    <row r="2992" spans="1:66" hidden="1" outlineLevel="1">
      <c r="A2992" t="s">
        <v>3003</v>
      </c>
      <c r="B2992" t="s">
        <v>1595</v>
      </c>
      <c r="C2992" s="1">
        <f t="shared" ref="C2992:C3023" si="1170">SUM(N2992:AU2992)</f>
        <v>6744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4</v>
      </c>
      <c r="G2992" s="132">
        <f t="shared" si="1158"/>
        <v>883</v>
      </c>
      <c r="H2992" s="137">
        <f t="shared" si="1159"/>
        <v>0.13093119810201662</v>
      </c>
      <c r="I2992" s="2"/>
      <c r="J2992" s="2">
        <f t="shared" ref="J2992:J3023" si="1171">IF($C2992=0,"-",N2992/$C2992)</f>
        <v>0.41948398576512458</v>
      </c>
      <c r="K2992" s="2">
        <f t="shared" ref="K2992:K3023" si="1172">IF($C2992=0,"-",O2992/$C2992)</f>
        <v>0.55041518386714117</v>
      </c>
      <c r="L2992" s="2">
        <f t="shared" ref="L2992:L3023" si="1173">IF($C2992=0,"-",P2992/$C2992)</f>
        <v>5.1897983392645312E-3</v>
      </c>
      <c r="M2992" s="2">
        <f t="shared" ref="M2992:M3023" si="1174">IF(C2992=0,"-",(1-J2992-K2992-L2992))</f>
        <v>2.4911032028469723E-2</v>
      </c>
      <c r="N2992" s="63">
        <v>2829</v>
      </c>
      <c r="O2992" s="63">
        <v>3712</v>
      </c>
      <c r="P2992" s="63">
        <v>35</v>
      </c>
      <c r="Q2992" s="63">
        <v>116</v>
      </c>
      <c r="R2992" s="63">
        <v>25</v>
      </c>
      <c r="S2992" s="63"/>
      <c r="T2992" s="63"/>
      <c r="U2992" s="63"/>
      <c r="V2992" s="63"/>
      <c r="W2992" s="63">
        <v>27</v>
      </c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W2992" s="5">
        <f>IF(Q2992&gt;0,RANK(Q2992,(N2992:P2992,Q2992:AE2992)),0)</f>
        <v>3</v>
      </c>
      <c r="AX2992" s="5">
        <f>IF(R2992&gt;0,RANK(R2992,(N2992:P2992,Q2992:AE2992)),0)</f>
        <v>6</v>
      </c>
      <c r="AY2992" s="5">
        <f>IF(T2992&gt;0,RANK(T2992,(N2992:P2992,Q2992:AE2992)),0)</f>
        <v>0</v>
      </c>
      <c r="AZ2992" s="5">
        <f>IF(S2992&gt;0,RANK(S2992,(N2992:P2992,Q2992:AE2992)),0)</f>
        <v>0</v>
      </c>
      <c r="BA2992" s="2">
        <f t="shared" ref="BA2992:BA3023" si="1175">IF($C2992=0,"-",Q2992/$C2992)</f>
        <v>1.7200474495848161E-2</v>
      </c>
      <c r="BB2992" s="2">
        <f t="shared" ref="BB2992:BB3023" si="1176">IF($C2992=0,"-",R2992/$C2992)</f>
        <v>3.7069988137603798E-3</v>
      </c>
      <c r="BC2992" s="2">
        <f t="shared" ref="BC2992:BC3023" si="1177">IF($C2992=0,"-",T2992/$C2992)</f>
        <v>0</v>
      </c>
      <c r="BD2992" s="2">
        <f t="shared" ref="BD2992:BD3023" si="1178">IF($C2992=0,"-",S2992/$C2992)</f>
        <v>0</v>
      </c>
      <c r="BF2992" t="s">
        <v>3003</v>
      </c>
      <c r="BG2992" t="s">
        <v>1595</v>
      </c>
      <c r="BH2992">
        <v>7</v>
      </c>
      <c r="BJ2992" s="114">
        <v>51</v>
      </c>
      <c r="BK2992" s="116">
        <v>135</v>
      </c>
      <c r="BL2992" s="120">
        <f t="shared" si="1169"/>
        <v>51135</v>
      </c>
      <c r="BN2992" s="5" t="s">
        <v>3154</v>
      </c>
    </row>
    <row r="2993" spans="1:66" hidden="1" outlineLevel="1">
      <c r="A2993" t="s">
        <v>2013</v>
      </c>
      <c r="B2993" t="s">
        <v>1595</v>
      </c>
      <c r="C2993" s="1">
        <f t="shared" si="1170"/>
        <v>17267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4</v>
      </c>
      <c r="G2993" s="132">
        <f t="shared" si="1158"/>
        <v>4564</v>
      </c>
      <c r="H2993" s="137">
        <f t="shared" si="1159"/>
        <v>0.26431922163664795</v>
      </c>
      <c r="I2993" s="2"/>
      <c r="J2993" s="2">
        <f t="shared" si="1171"/>
        <v>0.34499333989691316</v>
      </c>
      <c r="K2993" s="2">
        <f t="shared" si="1172"/>
        <v>0.60931256153356117</v>
      </c>
      <c r="L2993" s="2">
        <f t="shared" si="1173"/>
        <v>1.030868129958881E-2</v>
      </c>
      <c r="M2993" s="2">
        <f t="shared" si="1174"/>
        <v>3.5385417269936853E-2</v>
      </c>
      <c r="N2993" s="63">
        <v>5957</v>
      </c>
      <c r="O2993" s="63">
        <v>10521</v>
      </c>
      <c r="P2993" s="63">
        <v>178</v>
      </c>
      <c r="Q2993" s="63">
        <v>399</v>
      </c>
      <c r="R2993" s="63">
        <v>116</v>
      </c>
      <c r="S2993" s="63"/>
      <c r="T2993" s="63"/>
      <c r="U2993" s="63"/>
      <c r="V2993" s="63"/>
      <c r="W2993" s="63">
        <v>96</v>
      </c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W2993" s="5">
        <f>IF(Q2993&gt;0,RANK(Q2993,(N2993:P2993,Q2993:AE2993)),0)</f>
        <v>3</v>
      </c>
      <c r="AX2993" s="5">
        <f>IF(R2993&gt;0,RANK(R2993,(N2993:P2993,Q2993:AE2993)),0)</f>
        <v>5</v>
      </c>
      <c r="AY2993" s="5">
        <f>IF(T2993&gt;0,RANK(T2993,(N2993:P2993,Q2993:AE2993)),0)</f>
        <v>0</v>
      </c>
      <c r="AZ2993" s="5">
        <f>IF(S2993&gt;0,RANK(S2993,(N2993:P2993,Q2993:AE2993)),0)</f>
        <v>0</v>
      </c>
      <c r="BA2993" s="2">
        <f t="shared" si="1175"/>
        <v>2.310766201424683E-2</v>
      </c>
      <c r="BB2993" s="2">
        <f t="shared" si="1176"/>
        <v>6.7180170266983264E-3</v>
      </c>
      <c r="BC2993" s="2">
        <f t="shared" si="1177"/>
        <v>0</v>
      </c>
      <c r="BD2993" s="2">
        <f t="shared" si="1178"/>
        <v>0</v>
      </c>
      <c r="BF2993" t="s">
        <v>2013</v>
      </c>
      <c r="BG2993" t="s">
        <v>1595</v>
      </c>
      <c r="BH2993">
        <v>7</v>
      </c>
      <c r="BJ2993" s="114">
        <v>51</v>
      </c>
      <c r="BK2993" s="116">
        <v>137</v>
      </c>
      <c r="BL2993" s="120">
        <f t="shared" si="1169"/>
        <v>51137</v>
      </c>
      <c r="BN2993" s="5" t="s">
        <v>3154</v>
      </c>
    </row>
    <row r="2994" spans="1:66" hidden="1" outlineLevel="1">
      <c r="A2994" t="s">
        <v>3004</v>
      </c>
      <c r="B2994" t="s">
        <v>1595</v>
      </c>
      <c r="C2994" s="1">
        <f t="shared" si="1170"/>
        <v>10740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4</v>
      </c>
      <c r="G2994" s="132">
        <f t="shared" si="1158"/>
        <v>5317</v>
      </c>
      <c r="H2994" s="137">
        <f t="shared" si="1159"/>
        <v>0.49506517690875235</v>
      </c>
      <c r="I2994" s="2"/>
      <c r="J2994" s="2">
        <f t="shared" si="1171"/>
        <v>0.2340782122905028</v>
      </c>
      <c r="K2994" s="2">
        <f t="shared" si="1172"/>
        <v>0.72914338919925514</v>
      </c>
      <c r="L2994" s="2">
        <f t="shared" si="1173"/>
        <v>8.286778398510242E-3</v>
      </c>
      <c r="M2994" s="2">
        <f t="shared" si="1174"/>
        <v>2.8491620111731876E-2</v>
      </c>
      <c r="N2994" s="63">
        <v>2514</v>
      </c>
      <c r="O2994" s="63">
        <v>7831</v>
      </c>
      <c r="P2994" s="63">
        <v>89</v>
      </c>
      <c r="Q2994" s="63">
        <v>198</v>
      </c>
      <c r="R2994" s="63">
        <v>38</v>
      </c>
      <c r="S2994" s="63"/>
      <c r="T2994" s="63"/>
      <c r="U2994" s="63"/>
      <c r="V2994" s="63"/>
      <c r="W2994" s="63">
        <v>70</v>
      </c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W2994" s="5">
        <f>IF(Q2994&gt;0,RANK(Q2994,(N2994:P2994,Q2994:AE2994)),0)</f>
        <v>3</v>
      </c>
      <c r="AX2994" s="5">
        <f>IF(R2994&gt;0,RANK(R2994,(N2994:P2994,Q2994:AE2994)),0)</f>
        <v>6</v>
      </c>
      <c r="AY2994" s="5">
        <f>IF(T2994&gt;0,RANK(T2994,(N2994:P2994,Q2994:AE2994)),0)</f>
        <v>0</v>
      </c>
      <c r="AZ2994" s="5">
        <f>IF(S2994&gt;0,RANK(S2994,(N2994:P2994,Q2994:AE2994)),0)</f>
        <v>0</v>
      </c>
      <c r="BA2994" s="2">
        <f t="shared" si="1175"/>
        <v>1.8435754189944135E-2</v>
      </c>
      <c r="BB2994" s="2">
        <f t="shared" si="1176"/>
        <v>3.538175046554935E-3</v>
      </c>
      <c r="BC2994" s="2">
        <f t="shared" si="1177"/>
        <v>0</v>
      </c>
      <c r="BD2994" s="2">
        <f t="shared" si="1178"/>
        <v>0</v>
      </c>
      <c r="BF2994" t="s">
        <v>3004</v>
      </c>
      <c r="BG2994" t="s">
        <v>1595</v>
      </c>
      <c r="BH2994">
        <v>6</v>
      </c>
      <c r="BJ2994" s="114">
        <v>51</v>
      </c>
      <c r="BK2994" s="116">
        <v>139</v>
      </c>
      <c r="BL2994" s="120">
        <f t="shared" si="1169"/>
        <v>51139</v>
      </c>
      <c r="BN2994" s="5" t="s">
        <v>3154</v>
      </c>
    </row>
    <row r="2995" spans="1:66" hidden="1" outlineLevel="1">
      <c r="A2995" t="s">
        <v>595</v>
      </c>
      <c r="B2995" t="s">
        <v>1595</v>
      </c>
      <c r="C2995" s="1">
        <f t="shared" si="1170"/>
        <v>8525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4</v>
      </c>
      <c r="G2995" s="132">
        <f t="shared" si="1158"/>
        <v>4686</v>
      </c>
      <c r="H2995" s="137">
        <f t="shared" si="1159"/>
        <v>0.54967741935483871</v>
      </c>
      <c r="I2995" s="2"/>
      <c r="J2995" s="2">
        <f t="shared" si="1171"/>
        <v>0.2073900293255132</v>
      </c>
      <c r="K2995" s="2">
        <f t="shared" si="1172"/>
        <v>0.75706744868035192</v>
      </c>
      <c r="L2995" s="2">
        <f t="shared" si="1173"/>
        <v>8.3284457478005874E-3</v>
      </c>
      <c r="M2995" s="2">
        <f t="shared" si="1174"/>
        <v>2.721407624633429E-2</v>
      </c>
      <c r="N2995" s="63">
        <v>1768</v>
      </c>
      <c r="O2995" s="63">
        <v>6454</v>
      </c>
      <c r="P2995" s="63">
        <v>71</v>
      </c>
      <c r="Q2995" s="63">
        <v>147</v>
      </c>
      <c r="R2995" s="63">
        <v>49</v>
      </c>
      <c r="S2995" s="63"/>
      <c r="T2995" s="63"/>
      <c r="U2995" s="63"/>
      <c r="V2995" s="63"/>
      <c r="W2995" s="63">
        <v>36</v>
      </c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W2995" s="5">
        <f>IF(Q2995&gt;0,RANK(Q2995,(N2995:P2995,Q2995:AE2995)),0)</f>
        <v>3</v>
      </c>
      <c r="AX2995" s="5">
        <f>IF(R2995&gt;0,RANK(R2995,(N2995:P2995,Q2995:AE2995)),0)</f>
        <v>5</v>
      </c>
      <c r="AY2995" s="5">
        <f>IF(T2995&gt;0,RANK(T2995,(N2995:P2995,Q2995:AE2995)),0)</f>
        <v>0</v>
      </c>
      <c r="AZ2995" s="5">
        <f>IF(S2995&gt;0,RANK(S2995,(N2995:P2995,Q2995:AE2995)),0)</f>
        <v>0</v>
      </c>
      <c r="BA2995" s="2">
        <f t="shared" si="1175"/>
        <v>1.7243401759530791E-2</v>
      </c>
      <c r="BB2995" s="2">
        <f t="shared" si="1176"/>
        <v>5.7478005865102639E-3</v>
      </c>
      <c r="BC2995" s="2">
        <f t="shared" si="1177"/>
        <v>0</v>
      </c>
      <c r="BD2995" s="2">
        <f t="shared" si="1178"/>
        <v>0</v>
      </c>
      <c r="BF2995" t="s">
        <v>595</v>
      </c>
      <c r="BG2995" t="s">
        <v>1595</v>
      </c>
      <c r="BH2995">
        <v>9</v>
      </c>
      <c r="BJ2995" s="114">
        <v>51</v>
      </c>
      <c r="BK2995" s="116">
        <v>141</v>
      </c>
      <c r="BL2995" s="120">
        <f t="shared" si="1169"/>
        <v>51141</v>
      </c>
      <c r="BN2995" s="5" t="s">
        <v>3154</v>
      </c>
    </row>
    <row r="2996" spans="1:66" hidden="1" outlineLevel="1">
      <c r="A2996" t="s">
        <v>2330</v>
      </c>
      <c r="B2996" t="s">
        <v>1595</v>
      </c>
      <c r="C2996" s="1">
        <f t="shared" si="1170"/>
        <v>31598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4</v>
      </c>
      <c r="G2996" s="132">
        <f t="shared" si="1158"/>
        <v>12355</v>
      </c>
      <c r="H2996" s="137">
        <f t="shared" si="1159"/>
        <v>0.39100575985821889</v>
      </c>
      <c r="I2996" s="2"/>
      <c r="J2996" s="2">
        <f t="shared" si="1171"/>
        <v>0.29112602063421733</v>
      </c>
      <c r="K2996" s="2">
        <f t="shared" si="1172"/>
        <v>0.68213178049243628</v>
      </c>
      <c r="L2996" s="2">
        <f t="shared" si="1173"/>
        <v>6.3928096714981958E-3</v>
      </c>
      <c r="M2996" s="2">
        <f t="shared" si="1174"/>
        <v>2.0349389201848193E-2</v>
      </c>
      <c r="N2996" s="63">
        <v>9199</v>
      </c>
      <c r="O2996" s="63">
        <v>21554</v>
      </c>
      <c r="P2996" s="63">
        <v>202</v>
      </c>
      <c r="Q2996" s="63">
        <v>442</v>
      </c>
      <c r="R2996" s="63">
        <v>106</v>
      </c>
      <c r="S2996" s="63"/>
      <c r="T2996" s="63"/>
      <c r="U2996" s="63"/>
      <c r="V2996" s="63"/>
      <c r="W2996" s="63">
        <v>95</v>
      </c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W2996" s="5">
        <f>IF(Q2996&gt;0,RANK(Q2996,(N2996:P2996,Q2996:AE2996)),0)</f>
        <v>3</v>
      </c>
      <c r="AX2996" s="5">
        <f>IF(R2996&gt;0,RANK(R2996,(N2996:P2996,Q2996:AE2996)),0)</f>
        <v>5</v>
      </c>
      <c r="AY2996" s="5">
        <f>IF(T2996&gt;0,RANK(T2996,(N2996:P2996,Q2996:AE2996)),0)</f>
        <v>0</v>
      </c>
      <c r="AZ2996" s="5">
        <f>IF(S2996&gt;0,RANK(S2996,(N2996:P2996,Q2996:AE2996)),0)</f>
        <v>0</v>
      </c>
      <c r="BA2996" s="2">
        <f t="shared" si="1175"/>
        <v>1.3988227102981201E-2</v>
      </c>
      <c r="BB2996" s="2">
        <f t="shared" si="1176"/>
        <v>3.3546426989049939E-3</v>
      </c>
      <c r="BC2996" s="2">
        <f t="shared" si="1177"/>
        <v>0</v>
      </c>
      <c r="BD2996" s="2">
        <f t="shared" si="1178"/>
        <v>0</v>
      </c>
      <c r="BF2996" t="s">
        <v>2330</v>
      </c>
      <c r="BG2996" t="s">
        <v>1595</v>
      </c>
      <c r="BH2996">
        <v>5</v>
      </c>
      <c r="BJ2996" s="114">
        <v>51</v>
      </c>
      <c r="BK2996" s="116">
        <v>143</v>
      </c>
      <c r="BL2996" s="120">
        <f t="shared" si="1169"/>
        <v>51143</v>
      </c>
      <c r="BN2996" s="5" t="s">
        <v>3154</v>
      </c>
    </row>
    <row r="2997" spans="1:66" hidden="1" outlineLevel="1">
      <c r="A2997" t="s">
        <v>2885</v>
      </c>
      <c r="B2997" t="s">
        <v>1595</v>
      </c>
      <c r="C2997" s="1">
        <f t="shared" si="1170"/>
        <v>16888</v>
      </c>
      <c r="D2997" s="5">
        <f>IF(N2997&gt;0, RANK(N2997,(N2997:P2997,Q2997:AE2997)),0)</f>
        <v>2</v>
      </c>
      <c r="E2997" s="5">
        <f>IF(O2997&gt;0,RANK(O2997,(N2997:P2997,Q2997:AE2997)),0)</f>
        <v>1</v>
      </c>
      <c r="F2997" s="5">
        <f>IF(P2997&gt;0,RANK(P2997,(N2997:P2997,Q2997:AE2997)),0)</f>
        <v>4</v>
      </c>
      <c r="G2997" s="132">
        <f t="shared" si="1158"/>
        <v>7825</v>
      </c>
      <c r="H2997" s="137">
        <f t="shared" si="1159"/>
        <v>0.46334675509237327</v>
      </c>
      <c r="I2997" s="2"/>
      <c r="J2997" s="2">
        <f t="shared" si="1171"/>
        <v>0.24040738986262436</v>
      </c>
      <c r="K2997" s="2">
        <f t="shared" si="1172"/>
        <v>0.70375414495499766</v>
      </c>
      <c r="L2997" s="2">
        <f t="shared" si="1173"/>
        <v>8.9412600663192794E-3</v>
      </c>
      <c r="M2997" s="2">
        <f t="shared" si="1174"/>
        <v>4.6897205116058729E-2</v>
      </c>
      <c r="N2997" s="63">
        <v>4060</v>
      </c>
      <c r="O2997" s="63">
        <v>11885</v>
      </c>
      <c r="P2997" s="63">
        <v>151</v>
      </c>
      <c r="Q2997" s="63">
        <v>639</v>
      </c>
      <c r="R2997" s="63">
        <v>73</v>
      </c>
      <c r="S2997" s="63"/>
      <c r="T2997" s="63"/>
      <c r="U2997" s="63"/>
      <c r="V2997" s="63"/>
      <c r="W2997" s="63">
        <v>80</v>
      </c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W2997" s="5">
        <f>IF(Q2997&gt;0,RANK(Q2997,(N2997:P2997,Q2997:AE2997)),0)</f>
        <v>3</v>
      </c>
      <c r="AX2997" s="5">
        <f>IF(R2997&gt;0,RANK(R2997,(N2997:P2997,Q2997:AE2997)),0)</f>
        <v>6</v>
      </c>
      <c r="AY2997" s="5">
        <f>IF(T2997&gt;0,RANK(T2997,(N2997:P2997,Q2997:AE2997)),0)</f>
        <v>0</v>
      </c>
      <c r="AZ2997" s="5">
        <f>IF(S2997&gt;0,RANK(S2997,(N2997:P2997,Q2997:AE2997)),0)</f>
        <v>0</v>
      </c>
      <c r="BA2997" s="2">
        <f t="shared" si="1175"/>
        <v>3.7837517764092846E-2</v>
      </c>
      <c r="BB2997" s="2">
        <f t="shared" si="1176"/>
        <v>4.3225959261013738E-3</v>
      </c>
      <c r="BC2997" s="2">
        <f t="shared" si="1177"/>
        <v>0</v>
      </c>
      <c r="BD2997" s="2">
        <f t="shared" si="1178"/>
        <v>0</v>
      </c>
      <c r="BF2997" t="s">
        <v>2885</v>
      </c>
      <c r="BG2997" t="s">
        <v>1595</v>
      </c>
      <c r="BH2997">
        <v>7</v>
      </c>
      <c r="BJ2997" s="114">
        <v>51</v>
      </c>
      <c r="BK2997" s="116">
        <v>145</v>
      </c>
      <c r="BL2997" s="120">
        <f t="shared" si="1169"/>
        <v>51145</v>
      </c>
      <c r="BN2997" s="5" t="s">
        <v>3154</v>
      </c>
    </row>
    <row r="2998" spans="1:66" hidden="1" outlineLevel="1">
      <c r="A2998" t="s">
        <v>2582</v>
      </c>
      <c r="B2998" t="s">
        <v>1595</v>
      </c>
      <c r="C2998" s="1">
        <f t="shared" si="1170"/>
        <v>9143</v>
      </c>
      <c r="D2998" s="5">
        <f>IF(N2998&gt;0, RANK(N2998,(N2998:P2998,Q2998:AE2998)),0)</f>
        <v>1</v>
      </c>
      <c r="E2998" s="5">
        <f>IF(O2998&gt;0,RANK(O2998,(N2998:P2998,Q2998:AE2998)),0)</f>
        <v>2</v>
      </c>
      <c r="F2998" s="5">
        <f>IF(P2998&gt;0,RANK(P2998,(N2998:P2998,Q2998:AE2998)),0)</f>
        <v>4</v>
      </c>
      <c r="G2998" s="132">
        <f t="shared" si="1158"/>
        <v>490</v>
      </c>
      <c r="H2998" s="137">
        <f t="shared" si="1159"/>
        <v>5.3592912610740458E-2</v>
      </c>
      <c r="I2998" s="2"/>
      <c r="J2998" s="2">
        <f t="shared" si="1171"/>
        <v>0.50213277917532539</v>
      </c>
      <c r="K2998" s="2">
        <f t="shared" si="1172"/>
        <v>0.44853986656458494</v>
      </c>
      <c r="L2998" s="2">
        <f t="shared" si="1173"/>
        <v>9.296729738597834E-3</v>
      </c>
      <c r="M2998" s="2">
        <f t="shared" si="1174"/>
        <v>4.003062452149183E-2</v>
      </c>
      <c r="N2998" s="63">
        <v>4591</v>
      </c>
      <c r="O2998" s="63">
        <v>4101</v>
      </c>
      <c r="P2998" s="63">
        <v>85</v>
      </c>
      <c r="Q2998" s="63">
        <v>286</v>
      </c>
      <c r="R2998" s="63">
        <v>53</v>
      </c>
      <c r="S2998" s="63"/>
      <c r="T2998" s="63"/>
      <c r="U2998" s="63"/>
      <c r="V2998" s="63"/>
      <c r="W2998" s="63">
        <v>27</v>
      </c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W2998" s="5">
        <f>IF(Q2998&gt;0,RANK(Q2998,(N2998:P2998,Q2998:AE2998)),0)</f>
        <v>3</v>
      </c>
      <c r="AX2998" s="5">
        <f>IF(R2998&gt;0,RANK(R2998,(N2998:P2998,Q2998:AE2998)),0)</f>
        <v>5</v>
      </c>
      <c r="AY2998" s="5">
        <f>IF(T2998&gt;0,RANK(T2998,(N2998:P2998,Q2998:AE2998)),0)</f>
        <v>0</v>
      </c>
      <c r="AZ2998" s="5">
        <f>IF(S2998&gt;0,RANK(S2998,(N2998:P2998,Q2998:AE2998)),0)</f>
        <v>0</v>
      </c>
      <c r="BA2998" s="2">
        <f t="shared" si="1175"/>
        <v>3.1280761238105657E-2</v>
      </c>
      <c r="BB2998" s="2">
        <f t="shared" si="1176"/>
        <v>5.7967844252433554E-3</v>
      </c>
      <c r="BC2998" s="2">
        <f t="shared" si="1177"/>
        <v>0</v>
      </c>
      <c r="BD2998" s="2">
        <f t="shared" si="1178"/>
        <v>0</v>
      </c>
      <c r="BF2998" t="s">
        <v>2582</v>
      </c>
      <c r="BG2998" t="s">
        <v>1595</v>
      </c>
      <c r="BH2998">
        <v>5</v>
      </c>
      <c r="BJ2998" s="114">
        <v>51</v>
      </c>
      <c r="BK2998" s="116">
        <v>147</v>
      </c>
      <c r="BL2998" s="120">
        <f t="shared" si="1169"/>
        <v>51147</v>
      </c>
      <c r="BN2998" s="5" t="s">
        <v>3154</v>
      </c>
    </row>
    <row r="2999" spans="1:66" hidden="1" outlineLevel="1">
      <c r="A2999" t="s">
        <v>1012</v>
      </c>
      <c r="B2999" t="s">
        <v>1595</v>
      </c>
      <c r="C2999" s="1">
        <f t="shared" si="1170"/>
        <v>16184</v>
      </c>
      <c r="D2999" s="5">
        <f>IF(N2999&gt;0, RANK(N2999,(N2999:P2999,Q2999:AE2999)),0)</f>
        <v>2</v>
      </c>
      <c r="E2999" s="5">
        <f>IF(O2999&gt;0,RANK(O2999,(N2999:P2999,Q2999:AE2999)),0)</f>
        <v>1</v>
      </c>
      <c r="F2999" s="5">
        <f>IF(P2999&gt;0,RANK(P2999,(N2999:P2999,Q2999:AE2999)),0)</f>
        <v>4</v>
      </c>
      <c r="G2999" s="132">
        <f t="shared" si="1158"/>
        <v>2738</v>
      </c>
      <c r="H2999" s="137">
        <f t="shared" si="1159"/>
        <v>0.16917943648047454</v>
      </c>
      <c r="I2999" s="2"/>
      <c r="J2999" s="2">
        <f t="shared" si="1171"/>
        <v>0.39662629757785467</v>
      </c>
      <c r="K2999" s="2">
        <f t="shared" si="1172"/>
        <v>0.56580573405832923</v>
      </c>
      <c r="L2999" s="2">
        <f t="shared" si="1173"/>
        <v>7.4147305981216013E-3</v>
      </c>
      <c r="M2999" s="2">
        <f t="shared" si="1174"/>
        <v>3.0153237765694438E-2</v>
      </c>
      <c r="N2999" s="63">
        <v>6419</v>
      </c>
      <c r="O2999" s="63">
        <v>9157</v>
      </c>
      <c r="P2999" s="63">
        <v>120</v>
      </c>
      <c r="Q2999" s="63">
        <v>374</v>
      </c>
      <c r="R2999" s="63">
        <v>70</v>
      </c>
      <c r="S2999" s="63"/>
      <c r="T2999" s="63"/>
      <c r="U2999" s="63"/>
      <c r="V2999" s="63"/>
      <c r="W2999" s="63">
        <v>44</v>
      </c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W2999" s="5">
        <f>IF(Q2999&gt;0,RANK(Q2999,(N2999:P2999,Q2999:AE2999)),0)</f>
        <v>3</v>
      </c>
      <c r="AX2999" s="5">
        <f>IF(R2999&gt;0,RANK(R2999,(N2999:P2999,Q2999:AE2999)),0)</f>
        <v>5</v>
      </c>
      <c r="AY2999" s="5">
        <f>IF(T2999&gt;0,RANK(T2999,(N2999:P2999,Q2999:AE2999)),0)</f>
        <v>0</v>
      </c>
      <c r="AZ2999" s="5">
        <f>IF(S2999&gt;0,RANK(S2999,(N2999:P2999,Q2999:AE2999)),0)</f>
        <v>0</v>
      </c>
      <c r="BA2999" s="2">
        <f t="shared" si="1175"/>
        <v>2.3109243697478993E-2</v>
      </c>
      <c r="BB2999" s="2">
        <f t="shared" si="1176"/>
        <v>4.3252595155709346E-3</v>
      </c>
      <c r="BC2999" s="2">
        <f t="shared" si="1177"/>
        <v>0</v>
      </c>
      <c r="BD2999" s="2">
        <f t="shared" si="1178"/>
        <v>0</v>
      </c>
      <c r="BF2999" t="s">
        <v>1012</v>
      </c>
      <c r="BG2999" t="s">
        <v>1595</v>
      </c>
      <c r="BH2999">
        <v>4</v>
      </c>
      <c r="BJ2999" s="114">
        <v>51</v>
      </c>
      <c r="BK2999" s="116">
        <v>149</v>
      </c>
      <c r="BL2999" s="120">
        <f t="shared" si="1169"/>
        <v>51149</v>
      </c>
      <c r="BN2999" s="5" t="s">
        <v>3154</v>
      </c>
    </row>
    <row r="3000" spans="1:66" hidden="1" outlineLevel="1">
      <c r="A3000" t="s">
        <v>1419</v>
      </c>
      <c r="B3000" t="s">
        <v>1595</v>
      </c>
      <c r="C3000" s="1">
        <f t="shared" si="1170"/>
        <v>196442</v>
      </c>
      <c r="D3000" s="5">
        <f>IF(N3000&gt;0, RANK(N3000,(N3000:P3000,Q3000:AE3000)),0)</f>
        <v>1</v>
      </c>
      <c r="E3000" s="5">
        <f>IF(O3000&gt;0,RANK(O3000,(N3000:P3000,Q3000:AE3000)),0)</f>
        <v>2</v>
      </c>
      <c r="F3000" s="5">
        <f>IF(P3000&gt;0,RANK(P3000,(N3000:P3000,Q3000:AE3000)),0)</f>
        <v>4</v>
      </c>
      <c r="G3000" s="132">
        <f t="shared" si="1158"/>
        <v>41423</v>
      </c>
      <c r="H3000" s="137">
        <f t="shared" si="1159"/>
        <v>0.21086631168487391</v>
      </c>
      <c r="I3000" s="2"/>
      <c r="J3000" s="2">
        <f t="shared" si="1171"/>
        <v>0.57596644302134981</v>
      </c>
      <c r="K3000" s="2">
        <f t="shared" si="1172"/>
        <v>0.3651001313364759</v>
      </c>
      <c r="L3000" s="2">
        <f t="shared" si="1173"/>
        <v>1.5246230439519044E-2</v>
      </c>
      <c r="M3000" s="2">
        <f t="shared" si="1174"/>
        <v>4.3687195202655252E-2</v>
      </c>
      <c r="N3000" s="63">
        <v>113144</v>
      </c>
      <c r="O3000" s="63">
        <v>71721</v>
      </c>
      <c r="P3000" s="63">
        <v>2995</v>
      </c>
      <c r="Q3000" s="63">
        <v>5374</v>
      </c>
      <c r="R3000" s="63">
        <v>1497</v>
      </c>
      <c r="S3000" s="63"/>
      <c r="T3000" s="63"/>
      <c r="U3000" s="63"/>
      <c r="V3000" s="63"/>
      <c r="W3000" s="63">
        <v>1711</v>
      </c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W3000" s="5">
        <f>IF(Q3000&gt;0,RANK(Q3000,(N3000:P3000,Q3000:AE3000)),0)</f>
        <v>3</v>
      </c>
      <c r="AX3000" s="5">
        <f>IF(R3000&gt;0,RANK(R3000,(N3000:P3000,Q3000:AE3000)),0)</f>
        <v>6</v>
      </c>
      <c r="AY3000" s="5">
        <f>IF(T3000&gt;0,RANK(T3000,(N3000:P3000,Q3000:AE3000)),0)</f>
        <v>0</v>
      </c>
      <c r="AZ3000" s="5">
        <f>IF(S3000&gt;0,RANK(S3000,(N3000:P3000,Q3000:AE3000)),0)</f>
        <v>0</v>
      </c>
      <c r="BA3000" s="2">
        <f t="shared" si="1175"/>
        <v>2.7356675252746359E-2</v>
      </c>
      <c r="BB3000" s="2">
        <f t="shared" si="1176"/>
        <v>7.6205699392187009E-3</v>
      </c>
      <c r="BC3000" s="2">
        <f t="shared" si="1177"/>
        <v>0</v>
      </c>
      <c r="BD3000" s="2">
        <f t="shared" si="1178"/>
        <v>0</v>
      </c>
      <c r="BF3000" t="s">
        <v>1419</v>
      </c>
      <c r="BG3000" t="s">
        <v>1595</v>
      </c>
      <c r="BJ3000" s="114">
        <v>51</v>
      </c>
      <c r="BK3000" s="116">
        <v>153</v>
      </c>
      <c r="BL3000" s="120">
        <f t="shared" si="1169"/>
        <v>51153</v>
      </c>
      <c r="BN3000" s="5" t="s">
        <v>3154</v>
      </c>
    </row>
    <row r="3001" spans="1:66" hidden="1" outlineLevel="1">
      <c r="A3001" t="s">
        <v>2087</v>
      </c>
      <c r="B3001" t="s">
        <v>1595</v>
      </c>
      <c r="C3001" s="1">
        <f t="shared" si="1170"/>
        <v>15165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4</v>
      </c>
      <c r="G3001" s="132">
        <f t="shared" si="1158"/>
        <v>6150</v>
      </c>
      <c r="H3001" s="137">
        <f t="shared" si="1159"/>
        <v>0.40553907022749752</v>
      </c>
      <c r="I3001" s="2"/>
      <c r="J3001" s="2">
        <f t="shared" si="1171"/>
        <v>0.27510715463237717</v>
      </c>
      <c r="K3001" s="2">
        <f t="shared" si="1172"/>
        <v>0.68064622485987469</v>
      </c>
      <c r="L3001" s="2">
        <f t="shared" si="1173"/>
        <v>1.1275964391691394E-2</v>
      </c>
      <c r="M3001" s="2">
        <f t="shared" si="1174"/>
        <v>3.2970656116056797E-2</v>
      </c>
      <c r="N3001" s="63">
        <v>4172</v>
      </c>
      <c r="O3001" s="63">
        <v>10322</v>
      </c>
      <c r="P3001" s="63">
        <v>171</v>
      </c>
      <c r="Q3001" s="63">
        <v>351</v>
      </c>
      <c r="R3001" s="63">
        <v>107</v>
      </c>
      <c r="S3001" s="63"/>
      <c r="T3001" s="63"/>
      <c r="U3001" s="63"/>
      <c r="V3001" s="63"/>
      <c r="W3001" s="63">
        <v>42</v>
      </c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W3001" s="5">
        <f>IF(Q3001&gt;0,RANK(Q3001,(N3001:P3001,Q3001:AE3001)),0)</f>
        <v>3</v>
      </c>
      <c r="AX3001" s="5">
        <f>IF(R3001&gt;0,RANK(R3001,(N3001:P3001,Q3001:AE3001)),0)</f>
        <v>5</v>
      </c>
      <c r="AY3001" s="5">
        <f>IF(T3001&gt;0,RANK(T3001,(N3001:P3001,Q3001:AE3001)),0)</f>
        <v>0</v>
      </c>
      <c r="AZ3001" s="5">
        <f>IF(S3001&gt;0,RANK(S3001,(N3001:P3001,Q3001:AE3001)),0)</f>
        <v>0</v>
      </c>
      <c r="BA3001" s="2">
        <f t="shared" si="1175"/>
        <v>2.314540059347181E-2</v>
      </c>
      <c r="BB3001" s="2">
        <f t="shared" si="1176"/>
        <v>7.0557204088361357E-3</v>
      </c>
      <c r="BC3001" s="2">
        <f t="shared" si="1177"/>
        <v>0</v>
      </c>
      <c r="BD3001" s="2">
        <f t="shared" si="1178"/>
        <v>0</v>
      </c>
      <c r="BF3001" t="s">
        <v>2087</v>
      </c>
      <c r="BG3001" t="s">
        <v>1595</v>
      </c>
      <c r="BH3001">
        <v>9</v>
      </c>
      <c r="BJ3001" s="114">
        <v>51</v>
      </c>
      <c r="BK3001" s="116">
        <v>155</v>
      </c>
      <c r="BL3001" s="120">
        <f t="shared" si="1169"/>
        <v>51155</v>
      </c>
      <c r="BN3001" s="5" t="s">
        <v>3154</v>
      </c>
    </row>
    <row r="3002" spans="1:66" hidden="1" outlineLevel="1">
      <c r="A3002" t="s">
        <v>628</v>
      </c>
      <c r="B3002" t="s">
        <v>1595</v>
      </c>
      <c r="C3002" s="1">
        <f t="shared" si="1170"/>
        <v>4483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4</v>
      </c>
      <c r="G3002" s="132">
        <f t="shared" si="1158"/>
        <v>792</v>
      </c>
      <c r="H3002" s="137">
        <f t="shared" si="1159"/>
        <v>0.17666741021637297</v>
      </c>
      <c r="I3002" s="2"/>
      <c r="J3002" s="2">
        <f t="shared" si="1171"/>
        <v>0.38969440107071157</v>
      </c>
      <c r="K3002" s="2">
        <f t="shared" si="1172"/>
        <v>0.56636181128708452</v>
      </c>
      <c r="L3002" s="2">
        <f t="shared" si="1173"/>
        <v>9.3687262993531126E-3</v>
      </c>
      <c r="M3002" s="2">
        <f t="shared" si="1174"/>
        <v>3.4575061342850856E-2</v>
      </c>
      <c r="N3002" s="63">
        <v>1747</v>
      </c>
      <c r="O3002" s="63">
        <v>2539</v>
      </c>
      <c r="P3002" s="63">
        <v>42</v>
      </c>
      <c r="Q3002" s="63">
        <v>93</v>
      </c>
      <c r="R3002" s="63">
        <v>36</v>
      </c>
      <c r="S3002" s="63"/>
      <c r="T3002" s="63"/>
      <c r="U3002" s="63"/>
      <c r="V3002" s="63"/>
      <c r="W3002" s="63">
        <v>26</v>
      </c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W3002" s="5">
        <f>IF(Q3002&gt;0,RANK(Q3002,(N3002:P3002,Q3002:AE3002)),0)</f>
        <v>3</v>
      </c>
      <c r="AX3002" s="5">
        <f>IF(R3002&gt;0,RANK(R3002,(N3002:P3002,Q3002:AE3002)),0)</f>
        <v>5</v>
      </c>
      <c r="AY3002" s="5">
        <f>IF(T3002&gt;0,RANK(T3002,(N3002:P3002,Q3002:AE3002)),0)</f>
        <v>0</v>
      </c>
      <c r="AZ3002" s="5">
        <f>IF(S3002&gt;0,RANK(S3002,(N3002:P3002,Q3002:AE3002)),0)</f>
        <v>0</v>
      </c>
      <c r="BA3002" s="2">
        <f t="shared" si="1175"/>
        <v>2.0745036805710462E-2</v>
      </c>
      <c r="BB3002" s="2">
        <f t="shared" si="1176"/>
        <v>8.0303368280169526E-3</v>
      </c>
      <c r="BC3002" s="2">
        <f t="shared" si="1177"/>
        <v>0</v>
      </c>
      <c r="BD3002" s="2">
        <f t="shared" si="1178"/>
        <v>0</v>
      </c>
      <c r="BF3002" t="s">
        <v>628</v>
      </c>
      <c r="BG3002" t="s">
        <v>1595</v>
      </c>
      <c r="BH3002">
        <v>5</v>
      </c>
      <c r="BJ3002" s="114">
        <v>51</v>
      </c>
      <c r="BK3002" s="116">
        <v>157</v>
      </c>
      <c r="BL3002" s="120">
        <f t="shared" si="1169"/>
        <v>51157</v>
      </c>
      <c r="BN3002" s="5" t="s">
        <v>3154</v>
      </c>
    </row>
    <row r="3003" spans="1:66" hidden="1" outlineLevel="1">
      <c r="A3003" t="s">
        <v>1881</v>
      </c>
      <c r="B3003" t="s">
        <v>1595</v>
      </c>
      <c r="C3003" s="1">
        <f t="shared" si="1170"/>
        <v>3661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4</v>
      </c>
      <c r="G3003" s="132">
        <f t="shared" si="1158"/>
        <v>866</v>
      </c>
      <c r="H3003" s="137">
        <f t="shared" si="1159"/>
        <v>0.23654739142310843</v>
      </c>
      <c r="I3003" s="2"/>
      <c r="J3003" s="2">
        <f t="shared" si="1171"/>
        <v>0.36793225894564324</v>
      </c>
      <c r="K3003" s="2">
        <f t="shared" si="1172"/>
        <v>0.60447965036875173</v>
      </c>
      <c r="L3003" s="2">
        <f t="shared" si="1173"/>
        <v>5.7361376673040155E-3</v>
      </c>
      <c r="M3003" s="2">
        <f t="shared" si="1174"/>
        <v>2.1851953018300955E-2</v>
      </c>
      <c r="N3003" s="63">
        <v>1347</v>
      </c>
      <c r="O3003" s="63">
        <v>2213</v>
      </c>
      <c r="P3003" s="63">
        <v>21</v>
      </c>
      <c r="Q3003" s="63">
        <v>57</v>
      </c>
      <c r="R3003" s="63">
        <v>13</v>
      </c>
      <c r="S3003" s="63"/>
      <c r="T3003" s="63"/>
      <c r="U3003" s="63"/>
      <c r="V3003" s="63"/>
      <c r="W3003" s="63">
        <v>10</v>
      </c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W3003" s="5">
        <f>IF(Q3003&gt;0,RANK(Q3003,(N3003:P3003,Q3003:AE3003)),0)</f>
        <v>3</v>
      </c>
      <c r="AX3003" s="5">
        <f>IF(R3003&gt;0,RANK(R3003,(N3003:P3003,Q3003:AE3003)),0)</f>
        <v>5</v>
      </c>
      <c r="AY3003" s="5">
        <f>IF(T3003&gt;0,RANK(T3003,(N3003:P3003,Q3003:AE3003)),0)</f>
        <v>0</v>
      </c>
      <c r="AZ3003" s="5">
        <f>IF(S3003&gt;0,RANK(S3003,(N3003:P3003,Q3003:AE3003)),0)</f>
        <v>0</v>
      </c>
      <c r="BA3003" s="2">
        <f t="shared" si="1175"/>
        <v>1.556951652553947E-2</v>
      </c>
      <c r="BB3003" s="2">
        <f t="shared" si="1176"/>
        <v>3.5509423654739142E-3</v>
      </c>
      <c r="BC3003" s="2">
        <f t="shared" si="1177"/>
        <v>0</v>
      </c>
      <c r="BD3003" s="2">
        <f t="shared" si="1178"/>
        <v>0</v>
      </c>
      <c r="BF3003" t="s">
        <v>1881</v>
      </c>
      <c r="BG3003" t="s">
        <v>1595</v>
      </c>
      <c r="BH3003">
        <v>1</v>
      </c>
      <c r="BJ3003" s="114">
        <v>51</v>
      </c>
      <c r="BK3003" s="116">
        <v>159</v>
      </c>
      <c r="BL3003" s="120">
        <f t="shared" si="1169"/>
        <v>51159</v>
      </c>
      <c r="BN3003" s="5" t="s">
        <v>3154</v>
      </c>
    </row>
    <row r="3004" spans="1:66" hidden="1" outlineLevel="1">
      <c r="A3004" t="s">
        <v>108</v>
      </c>
      <c r="B3004" t="s">
        <v>1595</v>
      </c>
      <c r="C3004" s="1">
        <f t="shared" si="1170"/>
        <v>51489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4</v>
      </c>
      <c r="G3004" s="132">
        <f t="shared" si="1158"/>
        <v>14208</v>
      </c>
      <c r="H3004" s="137">
        <f t="shared" si="1159"/>
        <v>0.27594243430635668</v>
      </c>
      <c r="I3004" s="2"/>
      <c r="J3004" s="2">
        <f t="shared" si="1171"/>
        <v>0.33405193342267281</v>
      </c>
      <c r="K3004" s="2">
        <f t="shared" si="1172"/>
        <v>0.60999436772902949</v>
      </c>
      <c r="L3004" s="2">
        <f t="shared" si="1173"/>
        <v>1.3167861096544893E-2</v>
      </c>
      <c r="M3004" s="2">
        <f t="shared" si="1174"/>
        <v>4.2785837751752813E-2</v>
      </c>
      <c r="N3004" s="63">
        <v>17200</v>
      </c>
      <c r="O3004" s="63">
        <v>31408</v>
      </c>
      <c r="P3004" s="63">
        <v>678</v>
      </c>
      <c r="Q3004" s="63">
        <v>1620</v>
      </c>
      <c r="R3004" s="63">
        <v>286</v>
      </c>
      <c r="S3004" s="63"/>
      <c r="T3004" s="63"/>
      <c r="U3004" s="63"/>
      <c r="V3004" s="63"/>
      <c r="W3004" s="63">
        <v>297</v>
      </c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W3004" s="5">
        <f>IF(Q3004&gt;0,RANK(Q3004,(N3004:P3004,Q3004:AE3004)),0)</f>
        <v>3</v>
      </c>
      <c r="AX3004" s="5">
        <f>IF(R3004&gt;0,RANK(R3004,(N3004:P3004,Q3004:AE3004)),0)</f>
        <v>6</v>
      </c>
      <c r="AY3004" s="5">
        <f>IF(T3004&gt;0,RANK(T3004,(N3004:P3004,Q3004:AE3004)),0)</f>
        <v>0</v>
      </c>
      <c r="AZ3004" s="5">
        <f>IF(S3004&gt;0,RANK(S3004,(N3004:P3004,Q3004:AE3004)),0)</f>
        <v>0</v>
      </c>
      <c r="BA3004" s="2">
        <f t="shared" si="1175"/>
        <v>3.1463030938647087E-2</v>
      </c>
      <c r="BB3004" s="2">
        <f t="shared" si="1176"/>
        <v>5.5545844743537451E-3</v>
      </c>
      <c r="BC3004" s="2">
        <f t="shared" si="1177"/>
        <v>0</v>
      </c>
      <c r="BD3004" s="2">
        <f t="shared" si="1178"/>
        <v>0</v>
      </c>
      <c r="BF3004" t="s">
        <v>108</v>
      </c>
      <c r="BG3004" t="s">
        <v>1595</v>
      </c>
      <c r="BJ3004" s="114">
        <v>51</v>
      </c>
      <c r="BK3004" s="116">
        <v>161</v>
      </c>
      <c r="BL3004" s="120">
        <f t="shared" si="1169"/>
        <v>51161</v>
      </c>
      <c r="BN3004" s="5" t="s">
        <v>3154</v>
      </c>
    </row>
    <row r="3005" spans="1:66" hidden="1" outlineLevel="1">
      <c r="A3005" t="s">
        <v>2641</v>
      </c>
      <c r="B3005" t="s">
        <v>1595</v>
      </c>
      <c r="C3005" s="1">
        <f t="shared" si="1170"/>
        <v>10795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4</v>
      </c>
      <c r="G3005" s="132">
        <f t="shared" si="1158"/>
        <v>3172</v>
      </c>
      <c r="H3005" s="137">
        <f t="shared" si="1159"/>
        <v>0.29383974062065771</v>
      </c>
      <c r="I3005" s="2"/>
      <c r="J3005" s="2">
        <f t="shared" si="1171"/>
        <v>0.32496526169522927</v>
      </c>
      <c r="K3005" s="2">
        <f t="shared" si="1172"/>
        <v>0.61880500231588698</v>
      </c>
      <c r="L3005" s="2">
        <f t="shared" si="1173"/>
        <v>1.5840666975451598E-2</v>
      </c>
      <c r="M3005" s="2">
        <f t="shared" si="1174"/>
        <v>4.0389069013432213E-2</v>
      </c>
      <c r="N3005" s="63">
        <v>3508</v>
      </c>
      <c r="O3005" s="63">
        <v>6680</v>
      </c>
      <c r="P3005" s="63">
        <v>171</v>
      </c>
      <c r="Q3005" s="63">
        <v>271</v>
      </c>
      <c r="R3005" s="63">
        <v>66</v>
      </c>
      <c r="S3005" s="63"/>
      <c r="T3005" s="63"/>
      <c r="U3005" s="63"/>
      <c r="V3005" s="63"/>
      <c r="W3005" s="63">
        <v>99</v>
      </c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W3005" s="5">
        <f>IF(Q3005&gt;0,RANK(Q3005,(N3005:P3005,Q3005:AE3005)),0)</f>
        <v>3</v>
      </c>
      <c r="AX3005" s="5">
        <f>IF(R3005&gt;0,RANK(R3005,(N3005:P3005,Q3005:AE3005)),0)</f>
        <v>6</v>
      </c>
      <c r="AY3005" s="5">
        <f>IF(T3005&gt;0,RANK(T3005,(N3005:P3005,Q3005:AE3005)),0)</f>
        <v>0</v>
      </c>
      <c r="AZ3005" s="5">
        <f>IF(S3005&gt;0,RANK(S3005,(N3005:P3005,Q3005:AE3005)),0)</f>
        <v>0</v>
      </c>
      <c r="BA3005" s="2">
        <f t="shared" si="1175"/>
        <v>2.5104214914312181E-2</v>
      </c>
      <c r="BB3005" s="2">
        <f t="shared" si="1176"/>
        <v>6.1139416396479851E-3</v>
      </c>
      <c r="BC3005" s="2">
        <f t="shared" si="1177"/>
        <v>0</v>
      </c>
      <c r="BD3005" s="2">
        <f t="shared" si="1178"/>
        <v>0</v>
      </c>
      <c r="BF3005" t="s">
        <v>2641</v>
      </c>
      <c r="BG3005" t="s">
        <v>1595</v>
      </c>
      <c r="BH3005">
        <v>6</v>
      </c>
      <c r="BJ3005" s="114">
        <v>51</v>
      </c>
      <c r="BK3005" s="116">
        <v>163</v>
      </c>
      <c r="BL3005" s="120">
        <f t="shared" si="1169"/>
        <v>51163</v>
      </c>
      <c r="BN3005" s="5" t="s">
        <v>3154</v>
      </c>
    </row>
    <row r="3006" spans="1:66" hidden="1" outlineLevel="1">
      <c r="A3006" t="s">
        <v>2971</v>
      </c>
      <c r="B3006" t="s">
        <v>1595</v>
      </c>
      <c r="C3006" s="1">
        <f t="shared" si="1170"/>
        <v>37487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4</v>
      </c>
      <c r="G3006" s="132">
        <f t="shared" si="1158"/>
        <v>16624</v>
      </c>
      <c r="H3006" s="137">
        <f t="shared" si="1159"/>
        <v>0.44346039960519645</v>
      </c>
      <c r="I3006" s="2"/>
      <c r="J3006" s="2">
        <f t="shared" si="1171"/>
        <v>0.24984661349267745</v>
      </c>
      <c r="K3006" s="2">
        <f t="shared" si="1172"/>
        <v>0.6933070130978739</v>
      </c>
      <c r="L3006" s="2">
        <f t="shared" si="1173"/>
        <v>1.627230773334756E-2</v>
      </c>
      <c r="M3006" s="2">
        <f t="shared" si="1174"/>
        <v>4.0574065676101084E-2</v>
      </c>
      <c r="N3006" s="63">
        <v>9366</v>
      </c>
      <c r="O3006" s="63">
        <v>25990</v>
      </c>
      <c r="P3006" s="63">
        <v>610</v>
      </c>
      <c r="Q3006" s="63">
        <v>1088</v>
      </c>
      <c r="R3006" s="63">
        <v>208</v>
      </c>
      <c r="S3006" s="63"/>
      <c r="T3006" s="63"/>
      <c r="U3006" s="63"/>
      <c r="V3006" s="63"/>
      <c r="W3006" s="63">
        <v>225</v>
      </c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W3006" s="5">
        <f>IF(Q3006&gt;0,RANK(Q3006,(N3006:P3006,Q3006:AE3006)),0)</f>
        <v>3</v>
      </c>
      <c r="AX3006" s="5">
        <f>IF(R3006&gt;0,RANK(R3006,(N3006:P3006,Q3006:AE3006)),0)</f>
        <v>6</v>
      </c>
      <c r="AY3006" s="5">
        <f>IF(T3006&gt;0,RANK(T3006,(N3006:P3006,Q3006:AE3006)),0)</f>
        <v>0</v>
      </c>
      <c r="AZ3006" s="5">
        <f>IF(S3006&gt;0,RANK(S3006,(N3006:P3006,Q3006:AE3006)),0)</f>
        <v>0</v>
      </c>
      <c r="BA3006" s="2">
        <f t="shared" si="1175"/>
        <v>2.9023394776855976E-2</v>
      </c>
      <c r="BB3006" s="2">
        <f t="shared" si="1176"/>
        <v>5.5485901779283482E-3</v>
      </c>
      <c r="BC3006" s="2">
        <f t="shared" si="1177"/>
        <v>0</v>
      </c>
      <c r="BD3006" s="2">
        <f t="shared" si="1178"/>
        <v>0</v>
      </c>
      <c r="BF3006" t="s">
        <v>2971</v>
      </c>
      <c r="BG3006" t="s">
        <v>1595</v>
      </c>
      <c r="BH3006">
        <v>6</v>
      </c>
      <c r="BJ3006" s="114">
        <v>51</v>
      </c>
      <c r="BK3006" s="116">
        <v>165</v>
      </c>
      <c r="BL3006" s="120">
        <f t="shared" si="1169"/>
        <v>51165</v>
      </c>
      <c r="BN3006" s="5" t="s">
        <v>3154</v>
      </c>
    </row>
    <row r="3007" spans="1:66" hidden="1" outlineLevel="1">
      <c r="A3007" t="s">
        <v>1820</v>
      </c>
      <c r="B3007" t="s">
        <v>1595</v>
      </c>
      <c r="C3007" s="1">
        <f t="shared" si="1170"/>
        <v>12246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4</v>
      </c>
      <c r="G3007" s="132">
        <f t="shared" si="1158"/>
        <v>7191</v>
      </c>
      <c r="H3007" s="137">
        <f t="shared" si="1159"/>
        <v>0.58721215090641843</v>
      </c>
      <c r="I3007" s="2"/>
      <c r="J3007" s="2">
        <f t="shared" si="1171"/>
        <v>0.19026620937448963</v>
      </c>
      <c r="K3007" s="2">
        <f t="shared" si="1172"/>
        <v>0.777478360280908</v>
      </c>
      <c r="L3007" s="2">
        <f t="shared" si="1173"/>
        <v>8.4925690021231421E-3</v>
      </c>
      <c r="M3007" s="2">
        <f t="shared" si="1174"/>
        <v>2.3762861342479291E-2</v>
      </c>
      <c r="N3007" s="63">
        <v>2330</v>
      </c>
      <c r="O3007" s="63">
        <v>9521</v>
      </c>
      <c r="P3007" s="63">
        <v>104</v>
      </c>
      <c r="Q3007" s="63">
        <v>190</v>
      </c>
      <c r="R3007" s="63">
        <v>58</v>
      </c>
      <c r="S3007" s="63"/>
      <c r="T3007" s="63"/>
      <c r="U3007" s="63"/>
      <c r="V3007" s="63"/>
      <c r="W3007" s="63">
        <v>43</v>
      </c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W3007" s="5">
        <f>IF(Q3007&gt;0,RANK(Q3007,(N3007:P3007,Q3007:AE3007)),0)</f>
        <v>3</v>
      </c>
      <c r="AX3007" s="5">
        <f>IF(R3007&gt;0,RANK(R3007,(N3007:P3007,Q3007:AE3007)),0)</f>
        <v>5</v>
      </c>
      <c r="AY3007" s="5">
        <f>IF(T3007&gt;0,RANK(T3007,(N3007:P3007,Q3007:AE3007)),0)</f>
        <v>0</v>
      </c>
      <c r="AZ3007" s="5">
        <f>IF(S3007&gt;0,RANK(S3007,(N3007:P3007,Q3007:AE3007)),0)</f>
        <v>0</v>
      </c>
      <c r="BA3007" s="2">
        <f t="shared" si="1175"/>
        <v>1.5515270292340356E-2</v>
      </c>
      <c r="BB3007" s="2">
        <f t="shared" si="1176"/>
        <v>4.7362404050302143E-3</v>
      </c>
      <c r="BC3007" s="2">
        <f t="shared" si="1177"/>
        <v>0</v>
      </c>
      <c r="BD3007" s="2">
        <f t="shared" si="1178"/>
        <v>0</v>
      </c>
      <c r="BF3007" t="s">
        <v>1820</v>
      </c>
      <c r="BG3007" t="s">
        <v>1595</v>
      </c>
      <c r="BH3007">
        <v>9</v>
      </c>
      <c r="BJ3007" s="114">
        <v>51</v>
      </c>
      <c r="BK3007" s="116">
        <v>167</v>
      </c>
      <c r="BL3007" s="120">
        <f t="shared" si="1169"/>
        <v>51167</v>
      </c>
      <c r="BN3007" s="5" t="s">
        <v>3154</v>
      </c>
    </row>
    <row r="3008" spans="1:66" hidden="1" outlineLevel="1">
      <c r="A3008" t="s">
        <v>830</v>
      </c>
      <c r="B3008" t="s">
        <v>1595</v>
      </c>
      <c r="C3008" s="1">
        <f t="shared" si="1170"/>
        <v>10100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4</v>
      </c>
      <c r="G3008" s="132">
        <f t="shared" si="1158"/>
        <v>6666</v>
      </c>
      <c r="H3008" s="137">
        <f t="shared" si="1159"/>
        <v>0.66</v>
      </c>
      <c r="I3008" s="2"/>
      <c r="J3008" s="2">
        <f t="shared" si="1171"/>
        <v>0.15653465346534653</v>
      </c>
      <c r="K3008" s="2">
        <f t="shared" si="1172"/>
        <v>0.81653465346534648</v>
      </c>
      <c r="L3008" s="2">
        <f t="shared" si="1173"/>
        <v>5.2475247524752478E-3</v>
      </c>
      <c r="M3008" s="2">
        <f t="shared" si="1174"/>
        <v>2.1683168316831706E-2</v>
      </c>
      <c r="N3008" s="63">
        <v>1581</v>
      </c>
      <c r="O3008" s="63">
        <v>8247</v>
      </c>
      <c r="P3008" s="63">
        <v>53</v>
      </c>
      <c r="Q3008" s="63">
        <v>142</v>
      </c>
      <c r="R3008" s="63">
        <v>39</v>
      </c>
      <c r="S3008" s="63"/>
      <c r="T3008" s="63"/>
      <c r="U3008" s="63"/>
      <c r="V3008" s="63"/>
      <c r="W3008" s="63">
        <v>38</v>
      </c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W3008" s="5">
        <f>IF(Q3008&gt;0,RANK(Q3008,(N3008:P3008,Q3008:AE3008)),0)</f>
        <v>3</v>
      </c>
      <c r="AX3008" s="5">
        <f>IF(R3008&gt;0,RANK(R3008,(N3008:P3008,Q3008:AE3008)),0)</f>
        <v>5</v>
      </c>
      <c r="AY3008" s="5">
        <f>IF(T3008&gt;0,RANK(T3008,(N3008:P3008,Q3008:AE3008)),0)</f>
        <v>0</v>
      </c>
      <c r="AZ3008" s="5">
        <f>IF(S3008&gt;0,RANK(S3008,(N3008:P3008,Q3008:AE3008)),0)</f>
        <v>0</v>
      </c>
      <c r="BA3008" s="2">
        <f t="shared" si="1175"/>
        <v>1.405940594059406E-2</v>
      </c>
      <c r="BB3008" s="2">
        <f t="shared" si="1176"/>
        <v>3.8613861386138613E-3</v>
      </c>
      <c r="BC3008" s="2">
        <f t="shared" si="1177"/>
        <v>0</v>
      </c>
      <c r="BD3008" s="2">
        <f t="shared" si="1178"/>
        <v>0</v>
      </c>
      <c r="BF3008" t="s">
        <v>830</v>
      </c>
      <c r="BG3008" t="s">
        <v>1595</v>
      </c>
      <c r="BH3008">
        <v>9</v>
      </c>
      <c r="BJ3008" s="114">
        <v>51</v>
      </c>
      <c r="BK3008" s="116">
        <v>169</v>
      </c>
      <c r="BL3008" s="120">
        <f t="shared" si="1169"/>
        <v>51169</v>
      </c>
      <c r="BN3008" s="5" t="s">
        <v>3154</v>
      </c>
    </row>
    <row r="3009" spans="1:66" hidden="1" outlineLevel="1">
      <c r="A3009" t="s">
        <v>1497</v>
      </c>
      <c r="B3009" t="s">
        <v>1595</v>
      </c>
      <c r="C3009" s="1">
        <f t="shared" si="1170"/>
        <v>20508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4</v>
      </c>
      <c r="G3009" s="132">
        <f t="shared" si="1158"/>
        <v>8821</v>
      </c>
      <c r="H3009" s="137">
        <f t="shared" si="1159"/>
        <v>0.43012482933489371</v>
      </c>
      <c r="I3009" s="2"/>
      <c r="J3009" s="2">
        <f t="shared" si="1171"/>
        <v>0.25711917300565634</v>
      </c>
      <c r="K3009" s="2">
        <f t="shared" si="1172"/>
        <v>0.68724400234055005</v>
      </c>
      <c r="L3009" s="2">
        <f t="shared" si="1173"/>
        <v>1.3945777257655549E-2</v>
      </c>
      <c r="M3009" s="2">
        <f t="shared" si="1174"/>
        <v>4.1691047396138055E-2</v>
      </c>
      <c r="N3009" s="63">
        <v>5273</v>
      </c>
      <c r="O3009" s="63">
        <v>14094</v>
      </c>
      <c r="P3009" s="63">
        <v>286</v>
      </c>
      <c r="Q3009" s="63">
        <v>556</v>
      </c>
      <c r="R3009" s="63">
        <v>149</v>
      </c>
      <c r="S3009" s="63"/>
      <c r="T3009" s="63"/>
      <c r="U3009" s="63"/>
      <c r="V3009" s="63"/>
      <c r="W3009" s="63">
        <v>150</v>
      </c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W3009" s="5">
        <f>IF(Q3009&gt;0,RANK(Q3009,(N3009:P3009,Q3009:AE3009)),0)</f>
        <v>3</v>
      </c>
      <c r="AX3009" s="5">
        <f>IF(R3009&gt;0,RANK(R3009,(N3009:P3009,Q3009:AE3009)),0)</f>
        <v>6</v>
      </c>
      <c r="AY3009" s="5">
        <f>IF(T3009&gt;0,RANK(T3009,(N3009:P3009,Q3009:AE3009)),0)</f>
        <v>0</v>
      </c>
      <c r="AZ3009" s="5">
        <f>IF(S3009&gt;0,RANK(S3009,(N3009:P3009,Q3009:AE3009)),0)</f>
        <v>0</v>
      </c>
      <c r="BA3009" s="2">
        <f t="shared" si="1175"/>
        <v>2.7111371172225472E-2</v>
      </c>
      <c r="BB3009" s="2">
        <f t="shared" si="1176"/>
        <v>7.2654573824848844E-3</v>
      </c>
      <c r="BC3009" s="2">
        <f t="shared" si="1177"/>
        <v>0</v>
      </c>
      <c r="BD3009" s="2">
        <f t="shared" si="1178"/>
        <v>0</v>
      </c>
      <c r="BF3009" t="s">
        <v>1497</v>
      </c>
      <c r="BG3009" t="s">
        <v>1595</v>
      </c>
      <c r="BH3009">
        <v>6</v>
      </c>
      <c r="BJ3009" s="114">
        <v>51</v>
      </c>
      <c r="BK3009" s="116">
        <v>171</v>
      </c>
      <c r="BL3009" s="120">
        <f t="shared" si="1169"/>
        <v>51171</v>
      </c>
      <c r="BN3009" s="5" t="s">
        <v>3154</v>
      </c>
    </row>
    <row r="3010" spans="1:66" hidden="1" outlineLevel="1">
      <c r="A3010" t="s">
        <v>2399</v>
      </c>
      <c r="B3010" t="s">
        <v>1595</v>
      </c>
      <c r="C3010" s="1">
        <f t="shared" si="1170"/>
        <v>12890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4</v>
      </c>
      <c r="G3010" s="132">
        <f t="shared" si="1158"/>
        <v>7085</v>
      </c>
      <c r="H3010" s="137">
        <f t="shared" si="1159"/>
        <v>0.54965089216446861</v>
      </c>
      <c r="I3010" s="2"/>
      <c r="J3010" s="2">
        <f t="shared" si="1171"/>
        <v>0.20674941815360745</v>
      </c>
      <c r="K3010" s="2">
        <f t="shared" si="1172"/>
        <v>0.75640031031807597</v>
      </c>
      <c r="L3010" s="2">
        <f t="shared" si="1173"/>
        <v>8.7664856477889831E-3</v>
      </c>
      <c r="M3010" s="2">
        <f t="shared" si="1174"/>
        <v>2.8083785880527564E-2</v>
      </c>
      <c r="N3010" s="63">
        <v>2665</v>
      </c>
      <c r="O3010" s="63">
        <v>9750</v>
      </c>
      <c r="P3010" s="63">
        <v>113</v>
      </c>
      <c r="Q3010" s="63">
        <v>258</v>
      </c>
      <c r="R3010" s="63">
        <v>53</v>
      </c>
      <c r="S3010" s="63"/>
      <c r="T3010" s="63"/>
      <c r="U3010" s="63"/>
      <c r="V3010" s="63"/>
      <c r="W3010" s="63">
        <v>51</v>
      </c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W3010" s="5">
        <f>IF(Q3010&gt;0,RANK(Q3010,(N3010:P3010,Q3010:AE3010)),0)</f>
        <v>3</v>
      </c>
      <c r="AX3010" s="5">
        <f>IF(R3010&gt;0,RANK(R3010,(N3010:P3010,Q3010:AE3010)),0)</f>
        <v>5</v>
      </c>
      <c r="AY3010" s="5">
        <f>IF(T3010&gt;0,RANK(T3010,(N3010:P3010,Q3010:AE3010)),0)</f>
        <v>0</v>
      </c>
      <c r="AZ3010" s="5">
        <f>IF(S3010&gt;0,RANK(S3010,(N3010:P3010,Q3010:AE3010)),0)</f>
        <v>0</v>
      </c>
      <c r="BA3010" s="2">
        <f t="shared" si="1175"/>
        <v>2.0015515903801396E-2</v>
      </c>
      <c r="BB3010" s="2">
        <f t="shared" si="1176"/>
        <v>4.1117145073700546E-3</v>
      </c>
      <c r="BC3010" s="2">
        <f t="shared" si="1177"/>
        <v>0</v>
      </c>
      <c r="BD3010" s="2">
        <f t="shared" si="1178"/>
        <v>0</v>
      </c>
      <c r="BF3010" t="s">
        <v>2399</v>
      </c>
      <c r="BG3010" t="s">
        <v>1595</v>
      </c>
      <c r="BH3010">
        <v>9</v>
      </c>
      <c r="BJ3010" s="114">
        <v>51</v>
      </c>
      <c r="BK3010" s="116">
        <v>173</v>
      </c>
      <c r="BL3010" s="120">
        <f t="shared" si="1169"/>
        <v>51173</v>
      </c>
      <c r="BN3010" s="5" t="s">
        <v>3154</v>
      </c>
    </row>
    <row r="3011" spans="1:66" hidden="1" outlineLevel="1">
      <c r="A3011" t="s">
        <v>212</v>
      </c>
      <c r="B3011" t="s">
        <v>1595</v>
      </c>
      <c r="C3011" s="1">
        <f t="shared" si="1170"/>
        <v>8872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4</v>
      </c>
      <c r="G3011" s="132">
        <f t="shared" si="1158"/>
        <v>1440</v>
      </c>
      <c r="H3011" s="137">
        <f t="shared" si="1159"/>
        <v>0.16230838593327321</v>
      </c>
      <c r="I3011" s="2"/>
      <c r="J3011" s="2">
        <f t="shared" si="1171"/>
        <v>0.40520739404869249</v>
      </c>
      <c r="K3011" s="2">
        <f t="shared" si="1172"/>
        <v>0.56751577998196578</v>
      </c>
      <c r="L3011" s="2">
        <f t="shared" si="1173"/>
        <v>6.9882777276825967E-3</v>
      </c>
      <c r="M3011" s="2">
        <f t="shared" si="1174"/>
        <v>2.0288548241659182E-2</v>
      </c>
      <c r="N3011" s="63">
        <v>3595</v>
      </c>
      <c r="O3011" s="63">
        <v>5035</v>
      </c>
      <c r="P3011" s="63">
        <v>62</v>
      </c>
      <c r="Q3011" s="63">
        <v>156</v>
      </c>
      <c r="R3011" s="63">
        <v>24</v>
      </c>
      <c r="S3011" s="63"/>
      <c r="T3011" s="63"/>
      <c r="U3011" s="63"/>
      <c r="V3011" s="63"/>
      <c r="W3011" s="63">
        <v>0</v>
      </c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W3011" s="5">
        <f>IF(Q3011&gt;0,RANK(Q3011,(N3011:P3011,Q3011:AE3011)),0)</f>
        <v>3</v>
      </c>
      <c r="AX3011" s="5">
        <f>IF(R3011&gt;0,RANK(R3011,(N3011:P3011,Q3011:AE3011)),0)</f>
        <v>5</v>
      </c>
      <c r="AY3011" s="5">
        <f>IF(T3011&gt;0,RANK(T3011,(N3011:P3011,Q3011:AE3011)),0)</f>
        <v>0</v>
      </c>
      <c r="AZ3011" s="5">
        <f>IF(S3011&gt;0,RANK(S3011,(N3011:P3011,Q3011:AE3011)),0)</f>
        <v>0</v>
      </c>
      <c r="BA3011" s="2">
        <f t="shared" si="1175"/>
        <v>1.7583408476104598E-2</v>
      </c>
      <c r="BB3011" s="2">
        <f t="shared" si="1176"/>
        <v>2.7051397655545538E-3</v>
      </c>
      <c r="BC3011" s="2">
        <f t="shared" si="1177"/>
        <v>0</v>
      </c>
      <c r="BD3011" s="2">
        <f t="shared" si="1178"/>
        <v>0</v>
      </c>
      <c r="BF3011" t="s">
        <v>212</v>
      </c>
      <c r="BG3011" t="s">
        <v>1595</v>
      </c>
      <c r="BH3011">
        <v>4</v>
      </c>
      <c r="BJ3011" s="114">
        <v>51</v>
      </c>
      <c r="BK3011" s="116">
        <v>175</v>
      </c>
      <c r="BL3011" s="120">
        <f t="shared" si="1169"/>
        <v>51175</v>
      </c>
      <c r="BN3011" s="5" t="s">
        <v>3154</v>
      </c>
    </row>
    <row r="3012" spans="1:66" hidden="1" outlineLevel="1">
      <c r="A3012" t="s">
        <v>1658</v>
      </c>
      <c r="B3012" t="s">
        <v>1595</v>
      </c>
      <c r="C3012" s="1">
        <f t="shared" si="1170"/>
        <v>62549</v>
      </c>
      <c r="D3012" s="5">
        <f>IF(N3012&gt;0, RANK(N3012,(N3012:P3012,Q3012:AE3012)),0)</f>
        <v>2</v>
      </c>
      <c r="E3012" s="5">
        <f>IF(O3012&gt;0,RANK(O3012,(N3012:P3012,Q3012:AE3012)),0)</f>
        <v>1</v>
      </c>
      <c r="F3012" s="5">
        <f>IF(P3012&gt;0,RANK(P3012,(N3012:P3012,Q3012:AE3012)),0)</f>
        <v>4</v>
      </c>
      <c r="G3012" s="132">
        <f t="shared" si="1158"/>
        <v>10416</v>
      </c>
      <c r="H3012" s="137">
        <f t="shared" si="1159"/>
        <v>0.16652544405186334</v>
      </c>
      <c r="I3012" s="2"/>
      <c r="J3012" s="2">
        <f t="shared" si="1171"/>
        <v>0.387008585269149</v>
      </c>
      <c r="K3012" s="2">
        <f t="shared" si="1172"/>
        <v>0.55353402932101237</v>
      </c>
      <c r="L3012" s="2">
        <f t="shared" si="1173"/>
        <v>1.4388719244112615E-2</v>
      </c>
      <c r="M3012" s="2">
        <f t="shared" si="1174"/>
        <v>4.5068666165726079E-2</v>
      </c>
      <c r="N3012" s="63">
        <v>24207</v>
      </c>
      <c r="O3012" s="63">
        <v>34623</v>
      </c>
      <c r="P3012" s="63">
        <v>900</v>
      </c>
      <c r="Q3012" s="63">
        <v>1910</v>
      </c>
      <c r="R3012" s="63">
        <v>450</v>
      </c>
      <c r="S3012" s="63"/>
      <c r="T3012" s="63"/>
      <c r="U3012" s="63"/>
      <c r="V3012" s="63"/>
      <c r="W3012" s="63">
        <v>459</v>
      </c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W3012" s="5">
        <f>IF(Q3012&gt;0,RANK(Q3012,(N3012:P3012,Q3012:AE3012)),0)</f>
        <v>3</v>
      </c>
      <c r="AX3012" s="5">
        <f>IF(R3012&gt;0,RANK(R3012,(N3012:P3012,Q3012:AE3012)),0)</f>
        <v>6</v>
      </c>
      <c r="AY3012" s="5">
        <f>IF(T3012&gt;0,RANK(T3012,(N3012:P3012,Q3012:AE3012)),0)</f>
        <v>0</v>
      </c>
      <c r="AZ3012" s="5">
        <f>IF(S3012&gt;0,RANK(S3012,(N3012:P3012,Q3012:AE3012)),0)</f>
        <v>0</v>
      </c>
      <c r="BA3012" s="2">
        <f t="shared" si="1175"/>
        <v>3.0536059729172327E-2</v>
      </c>
      <c r="BB3012" s="2">
        <f t="shared" si="1176"/>
        <v>7.1943596220563075E-3</v>
      </c>
      <c r="BC3012" s="2">
        <f t="shared" si="1177"/>
        <v>0</v>
      </c>
      <c r="BD3012" s="2">
        <f t="shared" si="1178"/>
        <v>0</v>
      </c>
      <c r="BF3012" t="s">
        <v>1658</v>
      </c>
      <c r="BG3012" t="s">
        <v>1595</v>
      </c>
      <c r="BJ3012" s="114">
        <v>51</v>
      </c>
      <c r="BK3012" s="116">
        <v>177</v>
      </c>
      <c r="BL3012" s="120">
        <f t="shared" si="1169"/>
        <v>51177</v>
      </c>
      <c r="BN3012" s="5" t="s">
        <v>3154</v>
      </c>
    </row>
    <row r="3013" spans="1:66" hidden="1" outlineLevel="1">
      <c r="A3013" t="s">
        <v>2683</v>
      </c>
      <c r="B3013" t="s">
        <v>1595</v>
      </c>
      <c r="C3013" s="1">
        <f t="shared" si="1170"/>
        <v>65934</v>
      </c>
      <c r="D3013" s="5">
        <f>IF(N3013&gt;0, RANK(N3013,(N3013:P3013,Q3013:AE3013)),0)</f>
        <v>2</v>
      </c>
      <c r="E3013" s="5">
        <f>IF(O3013&gt;0,RANK(O3013,(N3013:P3013,Q3013:AE3013)),0)</f>
        <v>1</v>
      </c>
      <c r="F3013" s="5">
        <f>IF(P3013&gt;0,RANK(P3013,(N3013:P3013,Q3013:AE3013)),0)</f>
        <v>4</v>
      </c>
      <c r="G3013" s="132">
        <f t="shared" si="1158"/>
        <v>5960</v>
      </c>
      <c r="H3013" s="137">
        <f t="shared" si="1159"/>
        <v>9.0393423726757058E-2</v>
      </c>
      <c r="I3013" s="2"/>
      <c r="J3013" s="2">
        <f t="shared" si="1171"/>
        <v>0.42327175660508992</v>
      </c>
      <c r="K3013" s="2">
        <f t="shared" si="1172"/>
        <v>0.51366518033184705</v>
      </c>
      <c r="L3013" s="2">
        <f t="shared" si="1173"/>
        <v>1.5257681924348591E-2</v>
      </c>
      <c r="M3013" s="2">
        <f t="shared" si="1174"/>
        <v>4.7805381138714492E-2</v>
      </c>
      <c r="N3013" s="63">
        <v>27908</v>
      </c>
      <c r="O3013" s="63">
        <v>33868</v>
      </c>
      <c r="P3013" s="63">
        <v>1006</v>
      </c>
      <c r="Q3013" s="63">
        <v>2140</v>
      </c>
      <c r="R3013" s="63">
        <v>488</v>
      </c>
      <c r="S3013" s="63"/>
      <c r="T3013" s="63"/>
      <c r="U3013" s="63"/>
      <c r="V3013" s="63"/>
      <c r="W3013" s="63">
        <v>524</v>
      </c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W3013" s="5">
        <f>IF(Q3013&gt;0,RANK(Q3013,(N3013:P3013,Q3013:AE3013)),0)</f>
        <v>3</v>
      </c>
      <c r="AX3013" s="5">
        <f>IF(R3013&gt;0,RANK(R3013,(N3013:P3013,Q3013:AE3013)),0)</f>
        <v>6</v>
      </c>
      <c r="AY3013" s="5">
        <f>IF(T3013&gt;0,RANK(T3013,(N3013:P3013,Q3013:AE3013)),0)</f>
        <v>0</v>
      </c>
      <c r="AZ3013" s="5">
        <f>IF(S3013&gt;0,RANK(S3013,(N3013:P3013,Q3013:AE3013)),0)</f>
        <v>0</v>
      </c>
      <c r="BA3013" s="2">
        <f t="shared" si="1175"/>
        <v>3.2456699123365788E-2</v>
      </c>
      <c r="BB3013" s="2">
        <f t="shared" si="1176"/>
        <v>7.4013407346740683E-3</v>
      </c>
      <c r="BC3013" s="2">
        <f t="shared" si="1177"/>
        <v>0</v>
      </c>
      <c r="BD3013" s="2">
        <f t="shared" si="1178"/>
        <v>0</v>
      </c>
      <c r="BF3013" t="s">
        <v>2683</v>
      </c>
      <c r="BG3013" t="s">
        <v>1595</v>
      </c>
      <c r="BH3013">
        <v>1</v>
      </c>
      <c r="BJ3013" s="114">
        <v>51</v>
      </c>
      <c r="BK3013" s="116">
        <v>179</v>
      </c>
      <c r="BL3013" s="120">
        <f t="shared" si="1169"/>
        <v>51179</v>
      </c>
      <c r="BN3013" s="5" t="s">
        <v>3154</v>
      </c>
    </row>
    <row r="3014" spans="1:66" hidden="1" outlineLevel="1">
      <c r="A3014" t="s">
        <v>1469</v>
      </c>
      <c r="B3014" t="s">
        <v>1595</v>
      </c>
      <c r="C3014" s="1">
        <f t="shared" si="1170"/>
        <v>4228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4</v>
      </c>
      <c r="G3014" s="132">
        <f t="shared" si="1158"/>
        <v>453</v>
      </c>
      <c r="H3014" s="137">
        <f t="shared" si="1159"/>
        <v>0.10714285714285714</v>
      </c>
      <c r="I3014" s="2"/>
      <c r="J3014" s="2">
        <f t="shared" si="1171"/>
        <v>0.53736991485335861</v>
      </c>
      <c r="K3014" s="2">
        <f t="shared" si="1172"/>
        <v>0.4302270577105014</v>
      </c>
      <c r="L3014" s="2">
        <f t="shared" si="1173"/>
        <v>6.8590350047303692E-3</v>
      </c>
      <c r="M3014" s="2">
        <f t="shared" si="1174"/>
        <v>2.5543992431409618E-2</v>
      </c>
      <c r="N3014" s="63">
        <v>2272</v>
      </c>
      <c r="O3014" s="63">
        <v>1819</v>
      </c>
      <c r="P3014" s="63">
        <v>29</v>
      </c>
      <c r="Q3014" s="63">
        <v>81</v>
      </c>
      <c r="R3014" s="63">
        <v>17</v>
      </c>
      <c r="S3014" s="63"/>
      <c r="T3014" s="63"/>
      <c r="U3014" s="63"/>
      <c r="V3014" s="63"/>
      <c r="W3014" s="63">
        <v>10</v>
      </c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W3014" s="5">
        <f>IF(Q3014&gt;0,RANK(Q3014,(N3014:P3014,Q3014:AE3014)),0)</f>
        <v>3</v>
      </c>
      <c r="AX3014" s="5">
        <f>IF(R3014&gt;0,RANK(R3014,(N3014:P3014,Q3014:AE3014)),0)</f>
        <v>5</v>
      </c>
      <c r="AY3014" s="5">
        <f>IF(T3014&gt;0,RANK(T3014,(N3014:P3014,Q3014:AE3014)),0)</f>
        <v>0</v>
      </c>
      <c r="AZ3014" s="5">
        <f>IF(S3014&gt;0,RANK(S3014,(N3014:P3014,Q3014:AE3014)),0)</f>
        <v>0</v>
      </c>
      <c r="BA3014" s="2">
        <f t="shared" si="1175"/>
        <v>1.9157994323557238E-2</v>
      </c>
      <c r="BB3014" s="2">
        <f t="shared" si="1176"/>
        <v>4.0208136234626303E-3</v>
      </c>
      <c r="BC3014" s="2">
        <f t="shared" si="1177"/>
        <v>0</v>
      </c>
      <c r="BD3014" s="2">
        <f t="shared" si="1178"/>
        <v>0</v>
      </c>
      <c r="BF3014" t="s">
        <v>1469</v>
      </c>
      <c r="BG3014" t="s">
        <v>1595</v>
      </c>
      <c r="BH3014">
        <v>4</v>
      </c>
      <c r="BJ3014" s="114">
        <v>51</v>
      </c>
      <c r="BK3014" s="116">
        <v>181</v>
      </c>
      <c r="BL3014" s="120">
        <f t="shared" si="1169"/>
        <v>51181</v>
      </c>
      <c r="BN3014" s="5" t="s">
        <v>3154</v>
      </c>
    </row>
    <row r="3015" spans="1:66" hidden="1" outlineLevel="1">
      <c r="A3015" t="s">
        <v>56</v>
      </c>
      <c r="B3015" t="s">
        <v>1595</v>
      </c>
      <c r="C3015" s="1">
        <f t="shared" si="1170"/>
        <v>5044</v>
      </c>
      <c r="D3015" s="5">
        <f>IF(N3015&gt;0, RANK(N3015,(N3015:P3015,Q3015:AE3015)),0)</f>
        <v>1</v>
      </c>
      <c r="E3015" s="5">
        <f>IF(O3015&gt;0,RANK(O3015,(N3015:P3015,Q3015:AE3015)),0)</f>
        <v>2</v>
      </c>
      <c r="F3015" s="5">
        <f>IF(P3015&gt;0,RANK(P3015,(N3015:P3015,Q3015:AE3015)),0)</f>
        <v>4</v>
      </c>
      <c r="G3015" s="132">
        <f t="shared" si="1158"/>
        <v>824</v>
      </c>
      <c r="H3015" s="137">
        <f t="shared" si="1159"/>
        <v>0.1633624107850912</v>
      </c>
      <c r="I3015" s="2"/>
      <c r="J3015" s="2">
        <f t="shared" si="1171"/>
        <v>0.57077716098334652</v>
      </c>
      <c r="K3015" s="2">
        <f t="shared" si="1172"/>
        <v>0.40741475019825535</v>
      </c>
      <c r="L3015" s="2">
        <f t="shared" si="1173"/>
        <v>4.3616177636796195E-3</v>
      </c>
      <c r="M3015" s="2">
        <f t="shared" si="1174"/>
        <v>1.7446471054718513E-2</v>
      </c>
      <c r="N3015" s="63">
        <v>2879</v>
      </c>
      <c r="O3015" s="63">
        <v>2055</v>
      </c>
      <c r="P3015" s="63">
        <v>22</v>
      </c>
      <c r="Q3015" s="63">
        <v>63</v>
      </c>
      <c r="R3015" s="63">
        <v>22</v>
      </c>
      <c r="S3015" s="63"/>
      <c r="T3015" s="63"/>
      <c r="U3015" s="63"/>
      <c r="V3015" s="63"/>
      <c r="W3015" s="63">
        <v>3</v>
      </c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W3015" s="5">
        <f>IF(Q3015&gt;0,RANK(Q3015,(N3015:P3015,Q3015:AE3015)),0)</f>
        <v>3</v>
      </c>
      <c r="AX3015" s="5">
        <f>IF(R3015&gt;0,RANK(R3015,(N3015:P3015,Q3015:AE3015)),0)</f>
        <v>4</v>
      </c>
      <c r="AY3015" s="5">
        <f>IF(T3015&gt;0,RANK(T3015,(N3015:P3015,Q3015:AE3015)),0)</f>
        <v>0</v>
      </c>
      <c r="AZ3015" s="5">
        <f>IF(S3015&gt;0,RANK(S3015,(N3015:P3015,Q3015:AE3015)),0)</f>
        <v>0</v>
      </c>
      <c r="BA3015" s="2">
        <f t="shared" si="1175"/>
        <v>1.2490087232355274E-2</v>
      </c>
      <c r="BB3015" s="2">
        <f t="shared" si="1176"/>
        <v>4.3616177636796195E-3</v>
      </c>
      <c r="BC3015" s="2">
        <f t="shared" si="1177"/>
        <v>0</v>
      </c>
      <c r="BD3015" s="2">
        <f t="shared" si="1178"/>
        <v>0</v>
      </c>
      <c r="BF3015" t="s">
        <v>56</v>
      </c>
      <c r="BG3015" t="s">
        <v>1595</v>
      </c>
      <c r="BH3015">
        <v>4</v>
      </c>
      <c r="BJ3015" s="114">
        <v>51</v>
      </c>
      <c r="BK3015" s="116">
        <v>183</v>
      </c>
      <c r="BL3015" s="120">
        <f t="shared" si="1169"/>
        <v>51183</v>
      </c>
      <c r="BN3015" s="5" t="s">
        <v>3154</v>
      </c>
    </row>
    <row r="3016" spans="1:66" hidden="1" outlineLevel="1">
      <c r="A3016" t="s">
        <v>698</v>
      </c>
      <c r="B3016" t="s">
        <v>1595</v>
      </c>
      <c r="C3016" s="1">
        <f t="shared" si="1170"/>
        <v>18566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4</v>
      </c>
      <c r="G3016" s="132">
        <f t="shared" si="1158"/>
        <v>12273</v>
      </c>
      <c r="H3016" s="137">
        <f t="shared" si="1159"/>
        <v>0.66104707529893358</v>
      </c>
      <c r="I3016" s="2"/>
      <c r="J3016" s="2">
        <f t="shared" si="1171"/>
        <v>0.1559301949800711</v>
      </c>
      <c r="K3016" s="2">
        <f t="shared" si="1172"/>
        <v>0.81697727027900469</v>
      </c>
      <c r="L3016" s="2">
        <f t="shared" si="1173"/>
        <v>6.8404610578476788E-3</v>
      </c>
      <c r="M3016" s="2">
        <f t="shared" si="1174"/>
        <v>2.0252073683076535E-2</v>
      </c>
      <c r="N3016" s="63">
        <v>2895</v>
      </c>
      <c r="O3016" s="63">
        <v>15168</v>
      </c>
      <c r="P3016" s="63">
        <v>127</v>
      </c>
      <c r="Q3016" s="63">
        <v>260</v>
      </c>
      <c r="R3016" s="63">
        <v>53</v>
      </c>
      <c r="S3016" s="63"/>
      <c r="T3016" s="63"/>
      <c r="U3016" s="63"/>
      <c r="V3016" s="63"/>
      <c r="W3016" s="63">
        <v>63</v>
      </c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W3016" s="5">
        <f>IF(Q3016&gt;0,RANK(Q3016,(N3016:P3016,Q3016:AE3016)),0)</f>
        <v>3</v>
      </c>
      <c r="AX3016" s="5">
        <f>IF(R3016&gt;0,RANK(R3016,(N3016:P3016,Q3016:AE3016)),0)</f>
        <v>6</v>
      </c>
      <c r="AY3016" s="5">
        <f>IF(T3016&gt;0,RANK(T3016,(N3016:P3016,Q3016:AE3016)),0)</f>
        <v>0</v>
      </c>
      <c r="AZ3016" s="5">
        <f>IF(S3016&gt;0,RANK(S3016,(N3016:P3016,Q3016:AE3016)),0)</f>
        <v>0</v>
      </c>
      <c r="BA3016" s="2">
        <f t="shared" si="1175"/>
        <v>1.400409350425509E-2</v>
      </c>
      <c r="BB3016" s="2">
        <f t="shared" si="1176"/>
        <v>2.854680598944307E-3</v>
      </c>
      <c r="BC3016" s="2">
        <f t="shared" si="1177"/>
        <v>0</v>
      </c>
      <c r="BD3016" s="2">
        <f t="shared" si="1178"/>
        <v>0</v>
      </c>
      <c r="BF3016" t="s">
        <v>698</v>
      </c>
      <c r="BG3016" t="s">
        <v>1595</v>
      </c>
      <c r="BH3016">
        <v>9</v>
      </c>
      <c r="BJ3016" s="114">
        <v>51</v>
      </c>
      <c r="BK3016" s="116">
        <v>185</v>
      </c>
      <c r="BL3016" s="120">
        <f t="shared" si="1169"/>
        <v>51185</v>
      </c>
      <c r="BN3016" s="5" t="s">
        <v>3154</v>
      </c>
    </row>
    <row r="3017" spans="1:66" hidden="1" outlineLevel="1">
      <c r="A3017" t="s">
        <v>422</v>
      </c>
      <c r="B3017" t="s">
        <v>1595</v>
      </c>
      <c r="C3017" s="1">
        <f t="shared" si="1170"/>
        <v>17951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4</v>
      </c>
      <c r="G3017" s="132">
        <f t="shared" ref="G3017:G3079" si="1179">IF(C3017&gt;0,MAX(N3017:P3017)-LARGE(N3017:P3017,2),0)</f>
        <v>6604</v>
      </c>
      <c r="H3017" s="137">
        <f t="shared" ref="H3017:H3079" si="1180">IF(C3017&gt;0,G3017/C3017,0)</f>
        <v>0.36789036822461146</v>
      </c>
      <c r="I3017" s="2"/>
      <c r="J3017" s="2">
        <f t="shared" si="1171"/>
        <v>0.28795053200378806</v>
      </c>
      <c r="K3017" s="2">
        <f t="shared" si="1172"/>
        <v>0.65584090022839958</v>
      </c>
      <c r="L3017" s="2">
        <f t="shared" si="1173"/>
        <v>1.2366999052977549E-2</v>
      </c>
      <c r="M3017" s="2">
        <f t="shared" si="1174"/>
        <v>4.3841568714834807E-2</v>
      </c>
      <c r="N3017" s="63">
        <v>5169</v>
      </c>
      <c r="O3017" s="63">
        <v>11773</v>
      </c>
      <c r="P3017" s="63">
        <v>222</v>
      </c>
      <c r="Q3017" s="63">
        <v>495</v>
      </c>
      <c r="R3017" s="63">
        <v>149</v>
      </c>
      <c r="S3017" s="63"/>
      <c r="T3017" s="63"/>
      <c r="U3017" s="63"/>
      <c r="V3017" s="63"/>
      <c r="W3017" s="63">
        <v>143</v>
      </c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W3017" s="5">
        <f>IF(Q3017&gt;0,RANK(Q3017,(N3017:P3017,Q3017:AE3017)),0)</f>
        <v>3</v>
      </c>
      <c r="AX3017" s="5">
        <f>IF(R3017&gt;0,RANK(R3017,(N3017:P3017,Q3017:AE3017)),0)</f>
        <v>5</v>
      </c>
      <c r="AY3017" s="5">
        <f>IF(T3017&gt;0,RANK(T3017,(N3017:P3017,Q3017:AE3017)),0)</f>
        <v>0</v>
      </c>
      <c r="AZ3017" s="5">
        <f>IF(S3017&gt;0,RANK(S3017,(N3017:P3017,Q3017:AE3017)),0)</f>
        <v>0</v>
      </c>
      <c r="BA3017" s="2">
        <f t="shared" si="1175"/>
        <v>2.7575065455963457E-2</v>
      </c>
      <c r="BB3017" s="2">
        <f t="shared" si="1176"/>
        <v>8.3003732382597069E-3</v>
      </c>
      <c r="BC3017" s="2">
        <f t="shared" si="1177"/>
        <v>0</v>
      </c>
      <c r="BD3017" s="2">
        <f t="shared" si="1178"/>
        <v>0</v>
      </c>
      <c r="BF3017" t="s">
        <v>422</v>
      </c>
      <c r="BG3017" t="s">
        <v>1595</v>
      </c>
      <c r="BH3017">
        <v>6</v>
      </c>
      <c r="BJ3017" s="114">
        <v>51</v>
      </c>
      <c r="BK3017" s="116">
        <v>187</v>
      </c>
      <c r="BL3017" s="120">
        <f t="shared" si="1169"/>
        <v>51187</v>
      </c>
      <c r="BN3017" s="5" t="s">
        <v>3154</v>
      </c>
    </row>
    <row r="3018" spans="1:66" hidden="1" outlineLevel="1">
      <c r="A3018" t="s">
        <v>692</v>
      </c>
      <c r="B3018" t="s">
        <v>1595</v>
      </c>
      <c r="C3018" s="1">
        <f t="shared" si="1170"/>
        <v>25846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4</v>
      </c>
      <c r="G3018" s="132">
        <f t="shared" si="1179"/>
        <v>13767</v>
      </c>
      <c r="H3018" s="137">
        <f t="shared" si="1180"/>
        <v>0.53265495627950166</v>
      </c>
      <c r="I3018" s="2"/>
      <c r="J3018" s="2">
        <f t="shared" si="1171"/>
        <v>0.21484949315174495</v>
      </c>
      <c r="K3018" s="2">
        <f t="shared" si="1172"/>
        <v>0.74750444943124661</v>
      </c>
      <c r="L3018" s="2">
        <f t="shared" si="1173"/>
        <v>8.860171786736825E-3</v>
      </c>
      <c r="M3018" s="2">
        <f t="shared" si="1174"/>
        <v>2.8785885630271613E-2</v>
      </c>
      <c r="N3018" s="63">
        <v>5553</v>
      </c>
      <c r="O3018" s="63">
        <v>19320</v>
      </c>
      <c r="P3018" s="63">
        <v>229</v>
      </c>
      <c r="Q3018" s="63">
        <v>537</v>
      </c>
      <c r="R3018" s="63">
        <v>93</v>
      </c>
      <c r="S3018" s="63"/>
      <c r="T3018" s="63"/>
      <c r="U3018" s="63"/>
      <c r="V3018" s="63"/>
      <c r="W3018" s="63">
        <v>114</v>
      </c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W3018" s="5">
        <f>IF(Q3018&gt;0,RANK(Q3018,(N3018:P3018,Q3018:AE3018)),0)</f>
        <v>3</v>
      </c>
      <c r="AX3018" s="5">
        <f>IF(R3018&gt;0,RANK(R3018,(N3018:P3018,Q3018:AE3018)),0)</f>
        <v>6</v>
      </c>
      <c r="AY3018" s="5">
        <f>IF(T3018&gt;0,RANK(T3018,(N3018:P3018,Q3018:AE3018)),0)</f>
        <v>0</v>
      </c>
      <c r="AZ3018" s="5">
        <f>IF(S3018&gt;0,RANK(S3018,(N3018:P3018,Q3018:AE3018)),0)</f>
        <v>0</v>
      </c>
      <c r="BA3018" s="2">
        <f t="shared" si="1175"/>
        <v>2.0776909386365394E-2</v>
      </c>
      <c r="BB3018" s="2">
        <f t="shared" si="1176"/>
        <v>3.5982357037839512E-3</v>
      </c>
      <c r="BC3018" s="2">
        <f t="shared" si="1177"/>
        <v>0</v>
      </c>
      <c r="BD3018" s="2">
        <f t="shared" si="1178"/>
        <v>0</v>
      </c>
      <c r="BF3018" t="s">
        <v>692</v>
      </c>
      <c r="BG3018" t="s">
        <v>1595</v>
      </c>
      <c r="BH3018">
        <v>9</v>
      </c>
      <c r="BJ3018" s="114">
        <v>51</v>
      </c>
      <c r="BK3018" s="116">
        <v>191</v>
      </c>
      <c r="BL3018" s="120">
        <f t="shared" si="1169"/>
        <v>51191</v>
      </c>
      <c r="BN3018" s="5" t="s">
        <v>3154</v>
      </c>
    </row>
    <row r="3019" spans="1:66" hidden="1" outlineLevel="1">
      <c r="A3019" t="s">
        <v>2755</v>
      </c>
      <c r="B3019" t="s">
        <v>1595</v>
      </c>
      <c r="C3019" s="1">
        <f t="shared" si="1170"/>
        <v>8574</v>
      </c>
      <c r="D3019" s="5">
        <f>IF(N3019&gt;0, RANK(N3019,(N3019:P3019,Q3019:AE3019)),0)</f>
        <v>2</v>
      </c>
      <c r="E3019" s="5">
        <f>IF(O3019&gt;0,RANK(O3019,(N3019:P3019,Q3019:AE3019)),0)</f>
        <v>1</v>
      </c>
      <c r="F3019" s="5">
        <f>IF(P3019&gt;0,RANK(P3019,(N3019:P3019,Q3019:AE3019)),0)</f>
        <v>4</v>
      </c>
      <c r="G3019" s="132">
        <f t="shared" si="1179"/>
        <v>612</v>
      </c>
      <c r="H3019" s="137">
        <f t="shared" si="1180"/>
        <v>7.1378586424072785E-2</v>
      </c>
      <c r="I3019" s="2"/>
      <c r="J3019" s="2">
        <f t="shared" si="1171"/>
        <v>0.44739911359925355</v>
      </c>
      <c r="K3019" s="2">
        <f t="shared" si="1172"/>
        <v>0.51877770002332635</v>
      </c>
      <c r="L3019" s="2">
        <f t="shared" si="1173"/>
        <v>5.8315838581758806E-3</v>
      </c>
      <c r="M3019" s="2">
        <f t="shared" si="1174"/>
        <v>2.7991602519244221E-2</v>
      </c>
      <c r="N3019" s="63">
        <v>3836</v>
      </c>
      <c r="O3019" s="63">
        <v>4448</v>
      </c>
      <c r="P3019" s="63">
        <v>50</v>
      </c>
      <c r="Q3019" s="63">
        <v>157</v>
      </c>
      <c r="R3019" s="63">
        <v>40</v>
      </c>
      <c r="S3019" s="63"/>
      <c r="T3019" s="63"/>
      <c r="U3019" s="63"/>
      <c r="V3019" s="63"/>
      <c r="W3019" s="63">
        <v>43</v>
      </c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W3019" s="5">
        <f>IF(Q3019&gt;0,RANK(Q3019,(N3019:P3019,Q3019:AE3019)),0)</f>
        <v>3</v>
      </c>
      <c r="AX3019" s="5">
        <f>IF(R3019&gt;0,RANK(R3019,(N3019:P3019,Q3019:AE3019)),0)</f>
        <v>6</v>
      </c>
      <c r="AY3019" s="5">
        <f>IF(T3019&gt;0,RANK(T3019,(N3019:P3019,Q3019:AE3019)),0)</f>
        <v>0</v>
      </c>
      <c r="AZ3019" s="5">
        <f>IF(S3019&gt;0,RANK(S3019,(N3019:P3019,Q3019:AE3019)),0)</f>
        <v>0</v>
      </c>
      <c r="BA3019" s="2">
        <f t="shared" si="1175"/>
        <v>1.8311173314672264E-2</v>
      </c>
      <c r="BB3019" s="2">
        <f t="shared" si="1176"/>
        <v>4.6652670865407041E-3</v>
      </c>
      <c r="BC3019" s="2">
        <f t="shared" si="1177"/>
        <v>0</v>
      </c>
      <c r="BD3019" s="2">
        <f t="shared" si="1178"/>
        <v>0</v>
      </c>
      <c r="BF3019" t="s">
        <v>2755</v>
      </c>
      <c r="BG3019" t="s">
        <v>1595</v>
      </c>
      <c r="BH3019">
        <v>1</v>
      </c>
      <c r="BJ3019" s="114">
        <v>51</v>
      </c>
      <c r="BK3019" s="116">
        <v>193</v>
      </c>
      <c r="BL3019" s="120">
        <f t="shared" si="1169"/>
        <v>51193</v>
      </c>
      <c r="BN3019" s="5" t="s">
        <v>3154</v>
      </c>
    </row>
    <row r="3020" spans="1:66" hidden="1" outlineLevel="1">
      <c r="A3020" t="s">
        <v>2886</v>
      </c>
      <c r="B3020" t="s">
        <v>1595</v>
      </c>
      <c r="C3020" s="1">
        <f t="shared" si="1170"/>
        <v>15163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5</v>
      </c>
      <c r="G3020" s="132">
        <f t="shared" si="1179"/>
        <v>9385</v>
      </c>
      <c r="H3020" s="137">
        <f t="shared" si="1180"/>
        <v>0.61894084284112638</v>
      </c>
      <c r="I3020" s="2"/>
      <c r="J3020" s="2">
        <f t="shared" si="1171"/>
        <v>0.17813097671964651</v>
      </c>
      <c r="K3020" s="2">
        <f t="shared" si="1172"/>
        <v>0.79707181956077289</v>
      </c>
      <c r="L3020" s="2">
        <f t="shared" si="1173"/>
        <v>4.2867506430125961E-3</v>
      </c>
      <c r="M3020" s="2">
        <f t="shared" si="1174"/>
        <v>2.051045307656801E-2</v>
      </c>
      <c r="N3020" s="63">
        <v>2701</v>
      </c>
      <c r="O3020" s="63">
        <v>12086</v>
      </c>
      <c r="P3020" s="63">
        <v>65</v>
      </c>
      <c r="Q3020" s="63">
        <v>182</v>
      </c>
      <c r="R3020" s="63">
        <v>77</v>
      </c>
      <c r="S3020" s="63"/>
      <c r="T3020" s="63"/>
      <c r="U3020" s="63"/>
      <c r="V3020" s="63"/>
      <c r="W3020" s="63">
        <v>52</v>
      </c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W3020" s="5">
        <f>IF(Q3020&gt;0,RANK(Q3020,(N3020:P3020,Q3020:AE3020)),0)</f>
        <v>3</v>
      </c>
      <c r="AX3020" s="5">
        <f>IF(R3020&gt;0,RANK(R3020,(N3020:P3020,Q3020:AE3020)),0)</f>
        <v>4</v>
      </c>
      <c r="AY3020" s="5">
        <f>IF(T3020&gt;0,RANK(T3020,(N3020:P3020,Q3020:AE3020)),0)</f>
        <v>0</v>
      </c>
      <c r="AZ3020" s="5">
        <f>IF(S3020&gt;0,RANK(S3020,(N3020:P3020,Q3020:AE3020)),0)</f>
        <v>0</v>
      </c>
      <c r="BA3020" s="2">
        <f t="shared" si="1175"/>
        <v>1.200290180043527E-2</v>
      </c>
      <c r="BB3020" s="2">
        <f t="shared" si="1176"/>
        <v>5.0781507617226138E-3</v>
      </c>
      <c r="BC3020" s="2">
        <f t="shared" si="1177"/>
        <v>0</v>
      </c>
      <c r="BD3020" s="2">
        <f t="shared" si="1178"/>
        <v>0</v>
      </c>
      <c r="BF3020" t="s">
        <v>2886</v>
      </c>
      <c r="BG3020" t="s">
        <v>1595</v>
      </c>
      <c r="BH3020">
        <v>9</v>
      </c>
      <c r="BJ3020" s="114">
        <v>51</v>
      </c>
      <c r="BK3020" s="116">
        <v>195</v>
      </c>
      <c r="BL3020" s="120">
        <f t="shared" si="1169"/>
        <v>51195</v>
      </c>
      <c r="BN3020" s="5" t="s">
        <v>3154</v>
      </c>
    </row>
    <row r="3021" spans="1:66" hidden="1" outlineLevel="1">
      <c r="A3021" t="s">
        <v>1204</v>
      </c>
      <c r="B3021" t="s">
        <v>1595</v>
      </c>
      <c r="C3021" s="1">
        <f t="shared" si="1170"/>
        <v>13328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4</v>
      </c>
      <c r="G3021" s="132">
        <f t="shared" si="1179"/>
        <v>7276</v>
      </c>
      <c r="H3021" s="137">
        <f t="shared" si="1180"/>
        <v>0.54591836734693877</v>
      </c>
      <c r="I3021" s="2"/>
      <c r="J3021" s="2">
        <f t="shared" si="1171"/>
        <v>0.20783313325330133</v>
      </c>
      <c r="K3021" s="2">
        <f t="shared" si="1172"/>
        <v>0.7537515006002401</v>
      </c>
      <c r="L3021" s="2">
        <f t="shared" si="1173"/>
        <v>8.0282112845138053E-3</v>
      </c>
      <c r="M3021" s="2">
        <f t="shared" si="1174"/>
        <v>3.0387154861944769E-2</v>
      </c>
      <c r="N3021" s="63">
        <v>2770</v>
      </c>
      <c r="O3021" s="63">
        <v>10046</v>
      </c>
      <c r="P3021" s="63">
        <v>107</v>
      </c>
      <c r="Q3021" s="63">
        <v>285</v>
      </c>
      <c r="R3021" s="63">
        <v>49</v>
      </c>
      <c r="S3021" s="63"/>
      <c r="T3021" s="63"/>
      <c r="U3021" s="63"/>
      <c r="V3021" s="63"/>
      <c r="W3021" s="63">
        <v>71</v>
      </c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W3021" s="5">
        <f>IF(Q3021&gt;0,RANK(Q3021,(N3021:P3021,Q3021:AE3021)),0)</f>
        <v>3</v>
      </c>
      <c r="AX3021" s="5">
        <f>IF(R3021&gt;0,RANK(R3021,(N3021:P3021,Q3021:AE3021)),0)</f>
        <v>6</v>
      </c>
      <c r="AY3021" s="5">
        <f>IF(T3021&gt;0,RANK(T3021,(N3021:P3021,Q3021:AE3021)),0)</f>
        <v>0</v>
      </c>
      <c r="AZ3021" s="5">
        <f>IF(S3021&gt;0,RANK(S3021,(N3021:P3021,Q3021:AE3021)),0)</f>
        <v>0</v>
      </c>
      <c r="BA3021" s="2">
        <f t="shared" si="1175"/>
        <v>2.1383553421368547E-2</v>
      </c>
      <c r="BB3021" s="2">
        <f t="shared" si="1176"/>
        <v>3.6764705882352941E-3</v>
      </c>
      <c r="BC3021" s="2">
        <f t="shared" si="1177"/>
        <v>0</v>
      </c>
      <c r="BD3021" s="2">
        <f t="shared" si="1178"/>
        <v>0</v>
      </c>
      <c r="BF3021" t="s">
        <v>1204</v>
      </c>
      <c r="BG3021" t="s">
        <v>1595</v>
      </c>
      <c r="BH3021">
        <v>9</v>
      </c>
      <c r="BJ3021" s="114">
        <v>51</v>
      </c>
      <c r="BK3021" s="116">
        <v>197</v>
      </c>
      <c r="BL3021" s="120">
        <f t="shared" si="1169"/>
        <v>51197</v>
      </c>
      <c r="BN3021" s="5" t="s">
        <v>3154</v>
      </c>
    </row>
    <row r="3022" spans="1:66" hidden="1" outlineLevel="1">
      <c r="A3022" t="s">
        <v>925</v>
      </c>
      <c r="B3022" t="s">
        <v>1595</v>
      </c>
      <c r="C3022" s="1">
        <f t="shared" si="1170"/>
        <v>34113</v>
      </c>
      <c r="D3022" s="5">
        <f>IF(N3022&gt;0, RANK(N3022,(N3022:P3022,Q3022:AE3022)),0)</f>
        <v>2</v>
      </c>
      <c r="E3022" s="5">
        <f>IF(O3022&gt;0,RANK(O3022,(N3022:P3022,Q3022:AE3022)),0)</f>
        <v>1</v>
      </c>
      <c r="F3022" s="5">
        <f>IF(P3022&gt;0,RANK(P3022,(N3022:P3022,Q3022:AE3022)),0)</f>
        <v>4</v>
      </c>
      <c r="G3022" s="132">
        <f t="shared" si="1179"/>
        <v>5838</v>
      </c>
      <c r="H3022" s="137">
        <f t="shared" si="1180"/>
        <v>0.17113710315715416</v>
      </c>
      <c r="I3022" s="2"/>
      <c r="J3022" s="2">
        <f t="shared" si="1171"/>
        <v>0.38105707501539005</v>
      </c>
      <c r="K3022" s="2">
        <f t="shared" si="1172"/>
        <v>0.55219417817254424</v>
      </c>
      <c r="L3022" s="2">
        <f t="shared" si="1173"/>
        <v>1.609357136575499E-2</v>
      </c>
      <c r="M3022" s="2">
        <f t="shared" si="1174"/>
        <v>5.0655175446310673E-2</v>
      </c>
      <c r="N3022" s="63">
        <v>12999</v>
      </c>
      <c r="O3022" s="63">
        <v>18837</v>
      </c>
      <c r="P3022" s="63">
        <v>549</v>
      </c>
      <c r="Q3022" s="63">
        <v>1186</v>
      </c>
      <c r="R3022" s="63">
        <v>252</v>
      </c>
      <c r="S3022" s="63"/>
      <c r="T3022" s="63"/>
      <c r="U3022" s="63"/>
      <c r="V3022" s="63"/>
      <c r="W3022" s="63">
        <v>290</v>
      </c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W3022" s="5">
        <f>IF(Q3022&gt;0,RANK(Q3022,(N3022:P3022,Q3022:AE3022)),0)</f>
        <v>3</v>
      </c>
      <c r="AX3022" s="5">
        <f>IF(R3022&gt;0,RANK(R3022,(N3022:P3022,Q3022:AE3022)),0)</f>
        <v>6</v>
      </c>
      <c r="AY3022" s="5">
        <f>IF(T3022&gt;0,RANK(T3022,(N3022:P3022,Q3022:AE3022)),0)</f>
        <v>0</v>
      </c>
      <c r="AZ3022" s="5">
        <f>IF(S3022&gt;0,RANK(S3022,(N3022:P3022,Q3022:AE3022)),0)</f>
        <v>0</v>
      </c>
      <c r="BA3022" s="2">
        <f t="shared" si="1175"/>
        <v>3.4766804444053584E-2</v>
      </c>
      <c r="BB3022" s="2">
        <f t="shared" si="1176"/>
        <v>7.3872130859203239E-3</v>
      </c>
      <c r="BC3022" s="2">
        <f t="shared" si="1177"/>
        <v>0</v>
      </c>
      <c r="BD3022" s="2">
        <f t="shared" si="1178"/>
        <v>0</v>
      </c>
      <c r="BF3022" t="s">
        <v>925</v>
      </c>
      <c r="BG3022" t="s">
        <v>1595</v>
      </c>
      <c r="BH3022">
        <v>2</v>
      </c>
      <c r="BJ3022" s="114">
        <v>51</v>
      </c>
      <c r="BK3022" s="116">
        <v>199</v>
      </c>
      <c r="BL3022" s="120">
        <f t="shared" si="1169"/>
        <v>51199</v>
      </c>
      <c r="BN3022" s="5" t="s">
        <v>3154</v>
      </c>
    </row>
    <row r="3023" spans="1:66" hidden="1" outlineLevel="1">
      <c r="A3023" t="s">
        <v>1530</v>
      </c>
      <c r="B3023" t="s">
        <v>1595</v>
      </c>
      <c r="C3023" s="1">
        <f t="shared" si="1170"/>
        <v>75762</v>
      </c>
      <c r="D3023" s="5">
        <f>IF(N3023&gt;0, RANK(N3023,(N3023:P3023,Q3023:AE3023)),0)</f>
        <v>1</v>
      </c>
      <c r="E3023" s="5">
        <f>IF(O3023&gt;0,RANK(O3023,(N3023:P3023,Q3023:AE3023)),0)</f>
        <v>2</v>
      </c>
      <c r="F3023" s="5">
        <f>IF(P3023&gt;0,RANK(P3023,(N3023:P3023,Q3023:AE3023)),0)</f>
        <v>4</v>
      </c>
      <c r="G3023" s="132">
        <f t="shared" si="1179"/>
        <v>43957</v>
      </c>
      <c r="H3023" s="137">
        <f t="shared" si="1180"/>
        <v>0.58019851640664188</v>
      </c>
      <c r="I3023" s="2"/>
      <c r="J3023" s="2">
        <f t="shared" si="1171"/>
        <v>0.75555027586388956</v>
      </c>
      <c r="K3023" s="2">
        <f t="shared" si="1172"/>
        <v>0.17535175945724771</v>
      </c>
      <c r="L3023" s="2">
        <f t="shared" si="1173"/>
        <v>1.8452522372693434E-2</v>
      </c>
      <c r="M3023" s="2">
        <f t="shared" si="1174"/>
        <v>5.0645442306169297E-2</v>
      </c>
      <c r="N3023" s="63">
        <v>57242</v>
      </c>
      <c r="O3023" s="63">
        <v>13285</v>
      </c>
      <c r="P3023" s="63">
        <v>1398</v>
      </c>
      <c r="Q3023" s="63">
        <v>2020</v>
      </c>
      <c r="R3023" s="63">
        <v>592</v>
      </c>
      <c r="S3023" s="63"/>
      <c r="T3023" s="63"/>
      <c r="U3023" s="63"/>
      <c r="V3023" s="63"/>
      <c r="W3023" s="63">
        <v>1225</v>
      </c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W3023" s="5">
        <f>IF(Q3023&gt;0,RANK(Q3023,(N3023:P3023,Q3023:AE3023)),0)</f>
        <v>3</v>
      </c>
      <c r="AX3023" s="5">
        <f>IF(R3023&gt;0,RANK(R3023,(N3023:P3023,Q3023:AE3023)),0)</f>
        <v>6</v>
      </c>
      <c r="AY3023" s="5">
        <f>IF(T3023&gt;0,RANK(T3023,(N3023:P3023,Q3023:AE3023)),0)</f>
        <v>0</v>
      </c>
      <c r="AZ3023" s="5">
        <f>IF(S3023&gt;0,RANK(S3023,(N3023:P3023,Q3023:AE3023)),0)</f>
        <v>0</v>
      </c>
      <c r="BA3023" s="2">
        <f t="shared" si="1175"/>
        <v>2.6662442913333861E-2</v>
      </c>
      <c r="BB3023" s="2">
        <f t="shared" si="1176"/>
        <v>7.8139436656899236E-3</v>
      </c>
      <c r="BC3023" s="2">
        <f t="shared" si="1177"/>
        <v>0</v>
      </c>
      <c r="BD3023" s="2">
        <f t="shared" si="1178"/>
        <v>0</v>
      </c>
      <c r="BF3023" t="s">
        <v>1530</v>
      </c>
      <c r="BG3023" t="s">
        <v>1595</v>
      </c>
      <c r="BH3023">
        <v>8</v>
      </c>
      <c r="BJ3023" s="114">
        <v>51</v>
      </c>
      <c r="BK3023" s="116">
        <v>510</v>
      </c>
      <c r="BL3023" s="120">
        <f t="shared" si="1169"/>
        <v>51510</v>
      </c>
      <c r="BN3023" s="5" t="s">
        <v>1249</v>
      </c>
    </row>
    <row r="3024" spans="1:66" hidden="1" outlineLevel="1">
      <c r="A3024" t="s">
        <v>2215</v>
      </c>
      <c r="B3024" t="s">
        <v>1595</v>
      </c>
      <c r="C3024" s="1">
        <f t="shared" ref="C3024:C3054" si="1181">SUM(N3024:AU3024)</f>
        <v>7027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4</v>
      </c>
      <c r="G3024" s="132">
        <f t="shared" si="1179"/>
        <v>3057</v>
      </c>
      <c r="H3024" s="137">
        <f t="shared" si="1180"/>
        <v>0.43503628860110999</v>
      </c>
      <c r="I3024" s="2"/>
      <c r="J3024" s="2">
        <f t="shared" ref="J3024:J3053" si="1182">IF($C3024=0,"-",N3024/$C3024)</f>
        <v>0.26113561975238364</v>
      </c>
      <c r="K3024" s="2">
        <f t="shared" ref="K3024:K3053" si="1183">IF($C3024=0,"-",O3024/$C3024)</f>
        <v>0.69617190835349363</v>
      </c>
      <c r="L3024" s="2">
        <f t="shared" ref="L3024:L3054" si="1184">IF($C3024=0,"-",P3024/$C3024)</f>
        <v>9.1077273374128367E-3</v>
      </c>
      <c r="M3024" s="2">
        <f t="shared" ref="M3024:M3053" si="1185">IF(C3024=0,"-",(1-J3024-K3024-L3024))</f>
        <v>3.3584744556709893E-2</v>
      </c>
      <c r="N3024" s="63">
        <v>1835</v>
      </c>
      <c r="O3024" s="63">
        <v>4892</v>
      </c>
      <c r="P3024" s="63">
        <v>64</v>
      </c>
      <c r="Q3024" s="63">
        <v>136</v>
      </c>
      <c r="R3024" s="63">
        <v>50</v>
      </c>
      <c r="S3024" s="63"/>
      <c r="T3024" s="63"/>
      <c r="U3024" s="63"/>
      <c r="V3024" s="63"/>
      <c r="W3024" s="63">
        <v>50</v>
      </c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W3024" s="5">
        <f>IF(Q3024&gt;0,RANK(Q3024,(N3024:P3024,Q3024:AE3024)),0)</f>
        <v>3</v>
      </c>
      <c r="AX3024" s="5">
        <f>IF(R3024&gt;0,RANK(R3024,(N3024:P3024,Q3024:AE3024)),0)</f>
        <v>5</v>
      </c>
      <c r="AY3024" s="5">
        <f>IF(T3024&gt;0,RANK(T3024,(N3024:P3024,Q3024:AE3024)),0)</f>
        <v>0</v>
      </c>
      <c r="AZ3024" s="5">
        <f>IF(S3024&gt;0,RANK(S3024,(N3024:P3024,Q3024:AE3024)),0)</f>
        <v>0</v>
      </c>
      <c r="BA3024" s="2">
        <f t="shared" ref="BA3024:BA3054" si="1186">IF($C3024=0,"-",Q3024/$C3024)</f>
        <v>1.9353920592002277E-2</v>
      </c>
      <c r="BB3024" s="2">
        <f t="shared" ref="BB3024:BB3054" si="1187">IF($C3024=0,"-",R3024/$C3024)</f>
        <v>7.1154119823537785E-3</v>
      </c>
      <c r="BC3024" s="2">
        <f t="shared" ref="BC3024:BC3054" si="1188">IF($C3024=0,"-",T3024/$C3024)</f>
        <v>0</v>
      </c>
      <c r="BD3024" s="2">
        <f t="shared" ref="BD3024:BD3054" si="1189">IF($C3024=0,"-",S3024/$C3024)</f>
        <v>0</v>
      </c>
      <c r="BF3024" t="s">
        <v>2215</v>
      </c>
      <c r="BG3024" t="s">
        <v>1595</v>
      </c>
      <c r="BH3024">
        <v>9</v>
      </c>
      <c r="BJ3024" s="114">
        <v>51</v>
      </c>
      <c r="BK3024" s="116">
        <v>520</v>
      </c>
      <c r="BL3024" s="120">
        <f t="shared" si="1169"/>
        <v>51520</v>
      </c>
      <c r="BN3024" s="5" t="s">
        <v>1249</v>
      </c>
    </row>
    <row r="3025" spans="1:66" hidden="1" outlineLevel="1">
      <c r="A3025" t="s">
        <v>1982</v>
      </c>
      <c r="B3025" t="s">
        <v>1595</v>
      </c>
      <c r="C3025" s="1">
        <f t="shared" si="1181"/>
        <v>2407</v>
      </c>
      <c r="D3025" s="5">
        <f>IF(N3025&gt;0, RANK(N3025,(N3025:P3025,Q3025:AE3025)),0)</f>
        <v>2</v>
      </c>
      <c r="E3025" s="5">
        <f>IF(O3025&gt;0,RANK(O3025,(N3025:P3025,Q3025:AE3025)),0)</f>
        <v>1</v>
      </c>
      <c r="F3025" s="5">
        <f>IF(P3025&gt;0,RANK(P3025,(N3025:P3025,Q3025:AE3025)),0)</f>
        <v>3</v>
      </c>
      <c r="G3025" s="132">
        <f t="shared" si="1179"/>
        <v>737</v>
      </c>
      <c r="H3025" s="137">
        <f t="shared" si="1180"/>
        <v>0.30619027835479851</v>
      </c>
      <c r="I3025" s="2"/>
      <c r="J3025" s="2">
        <f t="shared" si="1182"/>
        <v>0.28791026173660156</v>
      </c>
      <c r="K3025" s="2">
        <f t="shared" si="1183"/>
        <v>0.59410054009140012</v>
      </c>
      <c r="L3025" s="2">
        <f t="shared" si="1184"/>
        <v>7.2289156626506021E-2</v>
      </c>
      <c r="M3025" s="2">
        <f t="shared" si="1185"/>
        <v>4.5700041545492245E-2</v>
      </c>
      <c r="N3025" s="63">
        <v>693</v>
      </c>
      <c r="O3025" s="63">
        <v>1430</v>
      </c>
      <c r="P3025" s="63">
        <v>174</v>
      </c>
      <c r="Q3025" s="63">
        <v>83</v>
      </c>
      <c r="R3025" s="63">
        <v>13</v>
      </c>
      <c r="S3025" s="63"/>
      <c r="T3025" s="63"/>
      <c r="U3025" s="63"/>
      <c r="V3025" s="63"/>
      <c r="W3025" s="63">
        <v>14</v>
      </c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W3025" s="5">
        <f>IF(Q3025&gt;0,RANK(Q3025,(N3025:P3025,Q3025:AE3025)),0)</f>
        <v>4</v>
      </c>
      <c r="AX3025" s="5">
        <f>IF(R3025&gt;0,RANK(R3025,(N3025:P3025,Q3025:AE3025)),0)</f>
        <v>6</v>
      </c>
      <c r="AY3025" s="5">
        <f>IF(T3025&gt;0,RANK(T3025,(N3025:P3025,Q3025:AE3025)),0)</f>
        <v>0</v>
      </c>
      <c r="AZ3025" s="5">
        <f>IF(S3025&gt;0,RANK(S3025,(N3025:P3025,Q3025:AE3025)),0)</f>
        <v>0</v>
      </c>
      <c r="BA3025" s="2">
        <f t="shared" si="1186"/>
        <v>3.4482758620689655E-2</v>
      </c>
      <c r="BB3025" s="2">
        <f t="shared" si="1187"/>
        <v>5.4009140008309097E-3</v>
      </c>
      <c r="BC3025" s="2">
        <f t="shared" si="1188"/>
        <v>0</v>
      </c>
      <c r="BD3025" s="2">
        <f t="shared" si="1189"/>
        <v>0</v>
      </c>
      <c r="BF3025" t="s">
        <v>1982</v>
      </c>
      <c r="BG3025" t="s">
        <v>1595</v>
      </c>
      <c r="BH3025">
        <v>6</v>
      </c>
      <c r="BJ3025" s="114">
        <v>51</v>
      </c>
      <c r="BK3025" s="116">
        <v>530</v>
      </c>
      <c r="BL3025" s="120">
        <f t="shared" si="1169"/>
        <v>51530</v>
      </c>
      <c r="BN3025" s="5" t="s">
        <v>1249</v>
      </c>
    </row>
    <row r="3026" spans="1:66" hidden="1" outlineLevel="1">
      <c r="A3026" t="s">
        <v>1869</v>
      </c>
      <c r="B3026" t="s">
        <v>1595</v>
      </c>
      <c r="C3026" s="1">
        <f t="shared" si="1181"/>
        <v>22467</v>
      </c>
      <c r="D3026" s="5">
        <f>IF(N3026&gt;0, RANK(N3026,(N3026:P3026,Q3026:AE3026)),0)</f>
        <v>1</v>
      </c>
      <c r="E3026" s="5">
        <f>IF(O3026&gt;0,RANK(O3026,(N3026:P3026,Q3026:AE3026)),0)</f>
        <v>2</v>
      </c>
      <c r="F3026" s="5">
        <f>IF(P3026&gt;0,RANK(P3026,(N3026:P3026,Q3026:AE3026)),0)</f>
        <v>4</v>
      </c>
      <c r="G3026" s="132">
        <f t="shared" si="1179"/>
        <v>14941</v>
      </c>
      <c r="H3026" s="137">
        <f t="shared" si="1180"/>
        <v>0.66501980682779183</v>
      </c>
      <c r="I3026" s="2"/>
      <c r="J3026" s="2">
        <f t="shared" si="1182"/>
        <v>0.79676859393777544</v>
      </c>
      <c r="K3026" s="2">
        <f t="shared" si="1183"/>
        <v>0.13174878710998353</v>
      </c>
      <c r="L3026" s="2">
        <f t="shared" si="1184"/>
        <v>1.7047224818622871E-2</v>
      </c>
      <c r="M3026" s="2">
        <f t="shared" si="1185"/>
        <v>5.4435394133618163E-2</v>
      </c>
      <c r="N3026" s="63">
        <v>17901</v>
      </c>
      <c r="O3026" s="63">
        <v>2960</v>
      </c>
      <c r="P3026" s="63">
        <v>383</v>
      </c>
      <c r="Q3026" s="63">
        <v>785</v>
      </c>
      <c r="R3026" s="63">
        <v>230</v>
      </c>
      <c r="S3026" s="63"/>
      <c r="T3026" s="63"/>
      <c r="U3026" s="63"/>
      <c r="V3026" s="63"/>
      <c r="W3026" s="63">
        <v>208</v>
      </c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W3026" s="5">
        <f>IF(Q3026&gt;0,RANK(Q3026,(N3026:P3026,Q3026:AE3026)),0)</f>
        <v>3</v>
      </c>
      <c r="AX3026" s="5">
        <f>IF(R3026&gt;0,RANK(R3026,(N3026:P3026,Q3026:AE3026)),0)</f>
        <v>5</v>
      </c>
      <c r="AY3026" s="5">
        <f>IF(T3026&gt;0,RANK(T3026,(N3026:P3026,Q3026:AE3026)),0)</f>
        <v>0</v>
      </c>
      <c r="AZ3026" s="5">
        <f>IF(S3026&gt;0,RANK(S3026,(N3026:P3026,Q3026:AE3026)),0)</f>
        <v>0</v>
      </c>
      <c r="BA3026" s="2">
        <f t="shared" si="1186"/>
        <v>3.4940134419370633E-2</v>
      </c>
      <c r="BB3026" s="2">
        <f t="shared" si="1187"/>
        <v>1.023723683624872E-2</v>
      </c>
      <c r="BC3026" s="2">
        <f t="shared" si="1188"/>
        <v>0</v>
      </c>
      <c r="BD3026" s="2">
        <f t="shared" si="1189"/>
        <v>0</v>
      </c>
      <c r="BF3026" t="s">
        <v>1869</v>
      </c>
      <c r="BG3026" t="s">
        <v>1595</v>
      </c>
      <c r="BH3026">
        <v>5</v>
      </c>
      <c r="BJ3026" s="114">
        <v>51</v>
      </c>
      <c r="BK3026" s="116">
        <v>540</v>
      </c>
      <c r="BL3026" s="120">
        <f t="shared" si="1169"/>
        <v>51540</v>
      </c>
      <c r="BN3026" s="5" t="s">
        <v>1249</v>
      </c>
    </row>
    <row r="3027" spans="1:66" hidden="1" outlineLevel="1">
      <c r="A3027" t="s">
        <v>2377</v>
      </c>
      <c r="B3027" t="s">
        <v>1595</v>
      </c>
      <c r="C3027" s="1">
        <f t="shared" si="1181"/>
        <v>112662</v>
      </c>
      <c r="D3027" s="5">
        <f>IF(N3027&gt;0, RANK(N3027,(N3027:P3027,Q3027:AE3027)),0)</f>
        <v>2</v>
      </c>
      <c r="E3027" s="5">
        <f>IF(O3027&gt;0,RANK(O3027,(N3027:P3027,Q3027:AE3027)),0)</f>
        <v>1</v>
      </c>
      <c r="F3027" s="5">
        <f>IF(P3027&gt;0,RANK(P3027,(N3027:P3027,Q3027:AE3027)),0)</f>
        <v>4</v>
      </c>
      <c r="G3027" s="132">
        <f t="shared" si="1179"/>
        <v>1420</v>
      </c>
      <c r="H3027" s="137">
        <f t="shared" si="1180"/>
        <v>1.2604072358026663E-2</v>
      </c>
      <c r="I3027" s="2"/>
      <c r="J3027" s="2">
        <f t="shared" si="1182"/>
        <v>0.46712289858159806</v>
      </c>
      <c r="K3027" s="2">
        <f t="shared" si="1183"/>
        <v>0.47972697093962474</v>
      </c>
      <c r="L3027" s="2">
        <f t="shared" si="1184"/>
        <v>1.0172018959365181E-2</v>
      </c>
      <c r="M3027" s="2">
        <f t="shared" si="1185"/>
        <v>4.297811151941202E-2</v>
      </c>
      <c r="N3027" s="63">
        <v>52627</v>
      </c>
      <c r="O3027" s="63">
        <v>54047</v>
      </c>
      <c r="P3027" s="63">
        <v>1146</v>
      </c>
      <c r="Q3027" s="63">
        <v>3458</v>
      </c>
      <c r="R3027" s="63">
        <v>698</v>
      </c>
      <c r="S3027" s="63"/>
      <c r="T3027" s="63"/>
      <c r="U3027" s="63"/>
      <c r="V3027" s="63"/>
      <c r="W3027" s="63">
        <v>686</v>
      </c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W3027" s="5">
        <f>IF(Q3027&gt;0,RANK(Q3027,(N3027:P3027,Q3027:AE3027)),0)</f>
        <v>3</v>
      </c>
      <c r="AX3027" s="5">
        <f>IF(R3027&gt;0,RANK(R3027,(N3027:P3027,Q3027:AE3027)),0)</f>
        <v>5</v>
      </c>
      <c r="AY3027" s="5">
        <f>IF(T3027&gt;0,RANK(T3027,(N3027:P3027,Q3027:AE3027)),0)</f>
        <v>0</v>
      </c>
      <c r="AZ3027" s="5">
        <f>IF(S3027&gt;0,RANK(S3027,(N3027:P3027,Q3027:AE3027)),0)</f>
        <v>0</v>
      </c>
      <c r="BA3027" s="2">
        <f t="shared" si="1186"/>
        <v>3.0693579023983241E-2</v>
      </c>
      <c r="BB3027" s="2">
        <f t="shared" si="1187"/>
        <v>6.1955228914807123E-3</v>
      </c>
      <c r="BC3027" s="2">
        <f t="shared" si="1188"/>
        <v>0</v>
      </c>
      <c r="BD3027" s="2">
        <f t="shared" si="1189"/>
        <v>0</v>
      </c>
      <c r="BF3027" t="s">
        <v>2377</v>
      </c>
      <c r="BG3027" t="s">
        <v>1595</v>
      </c>
      <c r="BJ3027" s="114">
        <v>51</v>
      </c>
      <c r="BK3027" s="116">
        <v>550</v>
      </c>
      <c r="BL3027" s="120">
        <f t="shared" si="1169"/>
        <v>51550</v>
      </c>
      <c r="BN3027" s="5" t="s">
        <v>1249</v>
      </c>
    </row>
    <row r="3028" spans="1:66" hidden="1" outlineLevel="1">
      <c r="A3028" t="s">
        <v>2386</v>
      </c>
      <c r="B3028" t="s">
        <v>1595</v>
      </c>
      <c r="C3028" s="1">
        <f t="shared" si="1181"/>
        <v>8457</v>
      </c>
      <c r="D3028" s="5">
        <f>IF(N3028&gt;0, RANK(N3028,(N3028:P3028,Q3028:AE3028)),0)</f>
        <v>2</v>
      </c>
      <c r="E3028" s="5">
        <f>IF(O3028&gt;0,RANK(O3028,(N3028:P3028,Q3028:AE3028)),0)</f>
        <v>1</v>
      </c>
      <c r="F3028" s="5">
        <f>IF(P3028&gt;0,RANK(P3028,(N3028:P3028,Q3028:AE3028)),0)</f>
        <v>4</v>
      </c>
      <c r="G3028" s="132">
        <f t="shared" si="1179"/>
        <v>3314</v>
      </c>
      <c r="H3028" s="137">
        <f t="shared" si="1180"/>
        <v>0.39186472744472034</v>
      </c>
      <c r="I3028" s="2"/>
      <c r="J3028" s="2">
        <f t="shared" si="1182"/>
        <v>0.27988648456899612</v>
      </c>
      <c r="K3028" s="2">
        <f t="shared" si="1183"/>
        <v>0.67175121201371646</v>
      </c>
      <c r="L3028" s="2">
        <f t="shared" si="1184"/>
        <v>1.0405581175357692E-2</v>
      </c>
      <c r="M3028" s="2">
        <f t="shared" si="1185"/>
        <v>3.7956722241929731E-2</v>
      </c>
      <c r="N3028" s="63">
        <v>2367</v>
      </c>
      <c r="O3028" s="63">
        <v>5681</v>
      </c>
      <c r="P3028" s="63">
        <v>88</v>
      </c>
      <c r="Q3028" s="63">
        <v>247</v>
      </c>
      <c r="R3028" s="63">
        <v>44</v>
      </c>
      <c r="S3028" s="63"/>
      <c r="T3028" s="63"/>
      <c r="U3028" s="63"/>
      <c r="V3028" s="63"/>
      <c r="W3028" s="63">
        <v>30</v>
      </c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W3028" s="5">
        <f>IF(Q3028&gt;0,RANK(Q3028,(N3028:P3028,Q3028:AE3028)),0)</f>
        <v>3</v>
      </c>
      <c r="AX3028" s="5">
        <f>IF(R3028&gt;0,RANK(R3028,(N3028:P3028,Q3028:AE3028)),0)</f>
        <v>5</v>
      </c>
      <c r="AY3028" s="5">
        <f>IF(T3028&gt;0,RANK(T3028,(N3028:P3028,Q3028:AE3028)),0)</f>
        <v>0</v>
      </c>
      <c r="AZ3028" s="5">
        <f>IF(S3028&gt;0,RANK(S3028,(N3028:P3028,Q3028:AE3028)),0)</f>
        <v>0</v>
      </c>
      <c r="BA3028" s="2">
        <f t="shared" si="1186"/>
        <v>2.9206574435378975E-2</v>
      </c>
      <c r="BB3028" s="2">
        <f t="shared" si="1187"/>
        <v>5.2027905876788462E-3</v>
      </c>
      <c r="BC3028" s="2">
        <f t="shared" si="1188"/>
        <v>0</v>
      </c>
      <c r="BD3028" s="2">
        <f t="shared" si="1189"/>
        <v>0</v>
      </c>
      <c r="BF3028" t="s">
        <v>2386</v>
      </c>
      <c r="BG3028" t="s">
        <v>1595</v>
      </c>
      <c r="BH3028">
        <v>4</v>
      </c>
      <c r="BJ3028" s="114">
        <v>51</v>
      </c>
      <c r="BK3028" s="116">
        <v>570</v>
      </c>
      <c r="BL3028" s="120">
        <f t="shared" si="1169"/>
        <v>51570</v>
      </c>
      <c r="BN3028" s="5" t="s">
        <v>1249</v>
      </c>
    </row>
    <row r="3029" spans="1:66" hidden="1" outlineLevel="1">
      <c r="A3029" t="s">
        <v>1516</v>
      </c>
      <c r="B3029" t="s">
        <v>1595</v>
      </c>
      <c r="C3029" s="1">
        <f t="shared" si="1181"/>
        <v>2382</v>
      </c>
      <c r="D3029" s="5">
        <f>IF(N3029&gt;0, RANK(N3029,(N3029:P3029,Q3029:AE3029)),0)</f>
        <v>2</v>
      </c>
      <c r="E3029" s="5">
        <f>IF(O3029&gt;0,RANK(O3029,(N3029:P3029,Q3029:AE3029)),0)</f>
        <v>1</v>
      </c>
      <c r="F3029" s="5">
        <f>IF(P3029&gt;0,RANK(P3029,(N3029:P3029,Q3029:AE3029)),0)</f>
        <v>4</v>
      </c>
      <c r="G3029" s="132">
        <f t="shared" si="1179"/>
        <v>435</v>
      </c>
      <c r="H3029" s="137">
        <f t="shared" si="1180"/>
        <v>0.18261964735516373</v>
      </c>
      <c r="I3029" s="2"/>
      <c r="J3029" s="2">
        <f t="shared" si="1182"/>
        <v>0.38371116708648195</v>
      </c>
      <c r="K3029" s="2">
        <f t="shared" si="1183"/>
        <v>0.56633081444164568</v>
      </c>
      <c r="L3029" s="2">
        <f t="shared" si="1184"/>
        <v>1.0495382031905962E-2</v>
      </c>
      <c r="M3029" s="2">
        <f t="shared" si="1185"/>
        <v>3.9462636439966461E-2</v>
      </c>
      <c r="N3029" s="63">
        <v>914</v>
      </c>
      <c r="O3029" s="63">
        <v>1349</v>
      </c>
      <c r="P3029" s="63">
        <v>25</v>
      </c>
      <c r="Q3029" s="63">
        <v>73</v>
      </c>
      <c r="R3029" s="63">
        <v>8</v>
      </c>
      <c r="S3029" s="63"/>
      <c r="T3029" s="63"/>
      <c r="U3029" s="63"/>
      <c r="V3029" s="63"/>
      <c r="W3029" s="63">
        <v>13</v>
      </c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W3029" s="5">
        <f>IF(Q3029&gt;0,RANK(Q3029,(N3029:P3029,Q3029:AE3029)),0)</f>
        <v>3</v>
      </c>
      <c r="AX3029" s="5">
        <f>IF(R3029&gt;0,RANK(R3029,(N3029:P3029,Q3029:AE3029)),0)</f>
        <v>6</v>
      </c>
      <c r="AY3029" s="5">
        <f>IF(T3029&gt;0,RANK(T3029,(N3029:P3029,Q3029:AE3029)),0)</f>
        <v>0</v>
      </c>
      <c r="AZ3029" s="5">
        <f>IF(S3029&gt;0,RANK(S3029,(N3029:P3029,Q3029:AE3029)),0)</f>
        <v>0</v>
      </c>
      <c r="BA3029" s="2">
        <f t="shared" si="1186"/>
        <v>3.0646515533165407E-2</v>
      </c>
      <c r="BB3029" s="2">
        <f t="shared" si="1187"/>
        <v>3.3585222502099076E-3</v>
      </c>
      <c r="BC3029" s="2">
        <f t="shared" si="1188"/>
        <v>0</v>
      </c>
      <c r="BD3029" s="2">
        <f t="shared" si="1189"/>
        <v>0</v>
      </c>
      <c r="BF3029" t="s">
        <v>1516</v>
      </c>
      <c r="BG3029" t="s">
        <v>1595</v>
      </c>
      <c r="BH3029">
        <v>9</v>
      </c>
      <c r="BJ3029" s="114">
        <v>51</v>
      </c>
      <c r="BK3029" s="116">
        <v>580</v>
      </c>
      <c r="BL3029" s="120">
        <f t="shared" si="1169"/>
        <v>51580</v>
      </c>
      <c r="BN3029" s="5" t="s">
        <v>1249</v>
      </c>
    </row>
    <row r="3030" spans="1:66" hidden="1" outlineLevel="1">
      <c r="A3030" t="s">
        <v>861</v>
      </c>
      <c r="B3030" t="s">
        <v>1595</v>
      </c>
      <c r="C3030" s="1">
        <f t="shared" si="1181"/>
        <v>18940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4</v>
      </c>
      <c r="G3030" s="132">
        <f t="shared" si="1179"/>
        <v>3756</v>
      </c>
      <c r="H3030" s="137">
        <f t="shared" si="1180"/>
        <v>0.1983104540654699</v>
      </c>
      <c r="I3030" s="2"/>
      <c r="J3030" s="2">
        <f t="shared" si="1182"/>
        <v>0.58389651531150999</v>
      </c>
      <c r="K3030" s="2">
        <f t="shared" si="1183"/>
        <v>0.38558606124604011</v>
      </c>
      <c r="L3030" s="2">
        <f t="shared" si="1184"/>
        <v>6.1774023231256601E-3</v>
      </c>
      <c r="M3030" s="2">
        <f t="shared" si="1185"/>
        <v>2.4340021119324238E-2</v>
      </c>
      <c r="N3030" s="63">
        <v>11059</v>
      </c>
      <c r="O3030" s="63">
        <v>7303</v>
      </c>
      <c r="P3030" s="63">
        <v>117</v>
      </c>
      <c r="Q3030" s="63">
        <v>315</v>
      </c>
      <c r="R3030" s="63">
        <v>73</v>
      </c>
      <c r="S3030" s="63"/>
      <c r="T3030" s="63"/>
      <c r="U3030" s="63"/>
      <c r="V3030" s="63"/>
      <c r="W3030" s="63">
        <v>73</v>
      </c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W3030" s="5">
        <f>IF(Q3030&gt;0,RANK(Q3030,(N3030:P3030,Q3030:AE3030)),0)</f>
        <v>3</v>
      </c>
      <c r="AX3030" s="5">
        <f>IF(R3030&gt;0,RANK(R3030,(N3030:P3030,Q3030:AE3030)),0)</f>
        <v>5</v>
      </c>
      <c r="AY3030" s="5">
        <f>IF(T3030&gt;0,RANK(T3030,(N3030:P3030,Q3030:AE3030)),0)</f>
        <v>0</v>
      </c>
      <c r="AZ3030" s="5">
        <f>IF(S3030&gt;0,RANK(S3030,(N3030:P3030,Q3030:AE3030)),0)</f>
        <v>0</v>
      </c>
      <c r="BA3030" s="2">
        <f t="shared" si="1186"/>
        <v>1.6631467793030624E-2</v>
      </c>
      <c r="BB3030" s="2">
        <f t="shared" si="1187"/>
        <v>3.8542766631467795E-3</v>
      </c>
      <c r="BC3030" s="2">
        <f t="shared" si="1188"/>
        <v>0</v>
      </c>
      <c r="BD3030" s="2">
        <f t="shared" si="1189"/>
        <v>0</v>
      </c>
      <c r="BF3030" t="s">
        <v>861</v>
      </c>
      <c r="BG3030" t="s">
        <v>1595</v>
      </c>
      <c r="BH3030">
        <v>5</v>
      </c>
      <c r="BJ3030" s="114">
        <v>51</v>
      </c>
      <c r="BK3030" s="116">
        <v>590</v>
      </c>
      <c r="BL3030" s="120">
        <f t="shared" si="1169"/>
        <v>51590</v>
      </c>
      <c r="BN3030" s="5" t="s">
        <v>1249</v>
      </c>
    </row>
    <row r="3031" spans="1:66" hidden="1" outlineLevel="1">
      <c r="A3031" t="s">
        <v>981</v>
      </c>
      <c r="B3031" t="s">
        <v>1595</v>
      </c>
      <c r="C3031" s="1">
        <f t="shared" si="1181"/>
        <v>2366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5</v>
      </c>
      <c r="G3031" s="132">
        <f t="shared" si="1179"/>
        <v>741</v>
      </c>
      <c r="H3031" s="137">
        <f t="shared" si="1180"/>
        <v>0.31318681318681318</v>
      </c>
      <c r="I3031" s="2"/>
      <c r="J3031" s="2">
        <f t="shared" si="1182"/>
        <v>0.64666103127641594</v>
      </c>
      <c r="K3031" s="2">
        <f t="shared" si="1183"/>
        <v>0.3334742180896027</v>
      </c>
      <c r="L3031" s="2">
        <f t="shared" si="1184"/>
        <v>3.3812341504649195E-3</v>
      </c>
      <c r="M3031" s="2">
        <f t="shared" si="1185"/>
        <v>1.6483516483516435E-2</v>
      </c>
      <c r="N3031" s="63">
        <v>1530</v>
      </c>
      <c r="O3031" s="63">
        <v>789</v>
      </c>
      <c r="P3031" s="63">
        <v>8</v>
      </c>
      <c r="Q3031" s="63">
        <v>26</v>
      </c>
      <c r="R3031" s="63">
        <v>10</v>
      </c>
      <c r="S3031" s="63"/>
      <c r="T3031" s="63"/>
      <c r="U3031" s="63"/>
      <c r="V3031" s="63"/>
      <c r="W3031" s="63">
        <v>3</v>
      </c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W3031" s="5">
        <f>IF(Q3031&gt;0,RANK(Q3031,(N3031:P3031,Q3031:AE3031)),0)</f>
        <v>3</v>
      </c>
      <c r="AX3031" s="5">
        <f>IF(R3031&gt;0,RANK(R3031,(N3031:P3031,Q3031:AE3031)),0)</f>
        <v>4</v>
      </c>
      <c r="AY3031" s="5">
        <f>IF(T3031&gt;0,RANK(T3031,(N3031:P3031,Q3031:AE3031)),0)</f>
        <v>0</v>
      </c>
      <c r="AZ3031" s="5">
        <f>IF(S3031&gt;0,RANK(S3031,(N3031:P3031,Q3031:AE3031)),0)</f>
        <v>0</v>
      </c>
      <c r="BA3031" s="2">
        <f t="shared" si="1186"/>
        <v>1.098901098901099E-2</v>
      </c>
      <c r="BB3031" s="2">
        <f t="shared" si="1187"/>
        <v>4.22654268808115E-3</v>
      </c>
      <c r="BC3031" s="2">
        <f t="shared" si="1188"/>
        <v>0</v>
      </c>
      <c r="BD3031" s="2">
        <f t="shared" si="1189"/>
        <v>0</v>
      </c>
      <c r="BF3031" t="s">
        <v>981</v>
      </c>
      <c r="BG3031" t="s">
        <v>1595</v>
      </c>
      <c r="BH3031">
        <v>4</v>
      </c>
      <c r="BJ3031" s="114">
        <v>51</v>
      </c>
      <c r="BK3031" s="116">
        <v>595</v>
      </c>
      <c r="BL3031" s="120">
        <f t="shared" si="1169"/>
        <v>51595</v>
      </c>
      <c r="BN3031" s="5" t="s">
        <v>1249</v>
      </c>
    </row>
    <row r="3032" spans="1:66" hidden="1" outlineLevel="1">
      <c r="A3032" t="s">
        <v>1394</v>
      </c>
      <c r="B3032" t="s">
        <v>1595</v>
      </c>
      <c r="C3032" s="1">
        <f t="shared" si="1181"/>
        <v>12028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4</v>
      </c>
      <c r="G3032" s="132">
        <f t="shared" si="1179"/>
        <v>3665</v>
      </c>
      <c r="H3032" s="137">
        <f t="shared" si="1180"/>
        <v>0.3047056867309611</v>
      </c>
      <c r="I3032" s="2"/>
      <c r="J3032" s="2">
        <f t="shared" si="1182"/>
        <v>0.61248752909876958</v>
      </c>
      <c r="K3032" s="2">
        <f t="shared" si="1183"/>
        <v>0.30778184236780842</v>
      </c>
      <c r="L3032" s="2">
        <f t="shared" si="1184"/>
        <v>2.1865646824077153E-2</v>
      </c>
      <c r="M3032" s="2">
        <f t="shared" si="1185"/>
        <v>5.7864981709344843E-2</v>
      </c>
      <c r="N3032" s="63">
        <v>7367</v>
      </c>
      <c r="O3032" s="63">
        <v>3702</v>
      </c>
      <c r="P3032" s="63">
        <v>263</v>
      </c>
      <c r="Q3032" s="63">
        <v>427</v>
      </c>
      <c r="R3032" s="63">
        <v>107</v>
      </c>
      <c r="S3032" s="63"/>
      <c r="T3032" s="63"/>
      <c r="U3032" s="63"/>
      <c r="V3032" s="63"/>
      <c r="W3032" s="63">
        <v>162</v>
      </c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W3032" s="5">
        <f>IF(Q3032&gt;0,RANK(Q3032,(N3032:P3032,Q3032:AE3032)),0)</f>
        <v>3</v>
      </c>
      <c r="AX3032" s="5">
        <f>IF(R3032&gt;0,RANK(R3032,(N3032:P3032,Q3032:AE3032)),0)</f>
        <v>6</v>
      </c>
      <c r="AY3032" s="5">
        <f>IF(T3032&gt;0,RANK(T3032,(N3032:P3032,Q3032:AE3032)),0)</f>
        <v>0</v>
      </c>
      <c r="AZ3032" s="5">
        <f>IF(S3032&gt;0,RANK(S3032,(N3032:P3032,Q3032:AE3032)),0)</f>
        <v>0</v>
      </c>
      <c r="BA3032" s="2">
        <f t="shared" si="1186"/>
        <v>3.5500498836049221E-2</v>
      </c>
      <c r="BB3032" s="2">
        <f t="shared" si="1187"/>
        <v>8.8959095443964086E-3</v>
      </c>
      <c r="BC3032" s="2">
        <f t="shared" si="1188"/>
        <v>0</v>
      </c>
      <c r="BD3032" s="2">
        <f t="shared" si="1189"/>
        <v>0</v>
      </c>
      <c r="BF3032" t="s">
        <v>1394</v>
      </c>
      <c r="BG3032" t="s">
        <v>1595</v>
      </c>
      <c r="BH3032">
        <v>11</v>
      </c>
      <c r="BJ3032" s="114">
        <v>51</v>
      </c>
      <c r="BK3032" s="116">
        <v>600</v>
      </c>
      <c r="BL3032" s="120">
        <f t="shared" si="1169"/>
        <v>51600</v>
      </c>
      <c r="BN3032" s="5" t="s">
        <v>1249</v>
      </c>
    </row>
    <row r="3033" spans="1:66" hidden="1" outlineLevel="1">
      <c r="A3033" t="s">
        <v>2615</v>
      </c>
      <c r="B3033" t="s">
        <v>1595</v>
      </c>
      <c r="C3033" s="1">
        <f t="shared" si="1181"/>
        <v>7757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4</v>
      </c>
      <c r="G3033" s="132">
        <f t="shared" si="1179"/>
        <v>4495</v>
      </c>
      <c r="H3033" s="137">
        <f t="shared" si="1180"/>
        <v>0.57947660177903826</v>
      </c>
      <c r="I3033" s="2"/>
      <c r="J3033" s="2">
        <f t="shared" si="1182"/>
        <v>0.75016114477246354</v>
      </c>
      <c r="K3033" s="2">
        <f t="shared" si="1183"/>
        <v>0.17068454299342528</v>
      </c>
      <c r="L3033" s="2">
        <f t="shared" si="1184"/>
        <v>2.9392806497357225E-2</v>
      </c>
      <c r="M3033" s="2">
        <f t="shared" si="1185"/>
        <v>4.9761505736753954E-2</v>
      </c>
      <c r="N3033" s="63">
        <v>5819</v>
      </c>
      <c r="O3033" s="63">
        <v>1324</v>
      </c>
      <c r="P3033" s="63">
        <v>228</v>
      </c>
      <c r="Q3033" s="63">
        <v>237</v>
      </c>
      <c r="R3033" s="63">
        <v>70</v>
      </c>
      <c r="S3033" s="63"/>
      <c r="T3033" s="63"/>
      <c r="U3033" s="63"/>
      <c r="V3033" s="63"/>
      <c r="W3033" s="63">
        <v>79</v>
      </c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W3033" s="5">
        <f>IF(Q3033&gt;0,RANK(Q3033,(N3033:P3033,Q3033:AE3033)),0)</f>
        <v>3</v>
      </c>
      <c r="AX3033" s="5">
        <f>IF(R3033&gt;0,RANK(R3033,(N3033:P3033,Q3033:AE3033)),0)</f>
        <v>6</v>
      </c>
      <c r="AY3033" s="5">
        <f>IF(T3033&gt;0,RANK(T3033,(N3033:P3033,Q3033:AE3033)),0)</f>
        <v>0</v>
      </c>
      <c r="AZ3033" s="5">
        <f>IF(S3033&gt;0,RANK(S3033,(N3033:P3033,Q3033:AE3033)),0)</f>
        <v>0</v>
      </c>
      <c r="BA3033" s="2">
        <f t="shared" si="1186"/>
        <v>3.055304885909501E-2</v>
      </c>
      <c r="BB3033" s="2">
        <f t="shared" si="1187"/>
        <v>9.0241072579605522E-3</v>
      </c>
      <c r="BC3033" s="2">
        <f t="shared" si="1188"/>
        <v>0</v>
      </c>
      <c r="BD3033" s="2">
        <f t="shared" si="1189"/>
        <v>0</v>
      </c>
      <c r="BF3033" t="s">
        <v>2615</v>
      </c>
      <c r="BG3033" t="s">
        <v>1595</v>
      </c>
      <c r="BH3033">
        <v>8</v>
      </c>
      <c r="BJ3033" s="114">
        <v>51</v>
      </c>
      <c r="BK3033" s="116">
        <v>610</v>
      </c>
      <c r="BL3033" s="120">
        <f t="shared" si="1169"/>
        <v>51610</v>
      </c>
      <c r="BN3033" s="5" t="s">
        <v>1249</v>
      </c>
    </row>
    <row r="3034" spans="1:66" hidden="1" outlineLevel="1">
      <c r="A3034" t="s">
        <v>1138</v>
      </c>
      <c r="B3034" t="s">
        <v>1595</v>
      </c>
      <c r="C3034" s="1">
        <f t="shared" si="1181"/>
        <v>4061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6</v>
      </c>
      <c r="G3034" s="132">
        <f t="shared" si="1179"/>
        <v>1098</v>
      </c>
      <c r="H3034" s="137">
        <f t="shared" si="1180"/>
        <v>0.27037675449396703</v>
      </c>
      <c r="I3034" s="2"/>
      <c r="J3034" s="2">
        <f t="shared" si="1182"/>
        <v>0.62029056882541245</v>
      </c>
      <c r="K3034" s="2">
        <f t="shared" si="1183"/>
        <v>0.34991381433144547</v>
      </c>
      <c r="L3034" s="2">
        <f t="shared" si="1184"/>
        <v>3.6936715094804235E-3</v>
      </c>
      <c r="M3034" s="2">
        <f t="shared" si="1185"/>
        <v>2.6101945333661659E-2</v>
      </c>
      <c r="N3034" s="63">
        <v>2519</v>
      </c>
      <c r="O3034" s="63">
        <v>1421</v>
      </c>
      <c r="P3034" s="63">
        <v>15</v>
      </c>
      <c r="Q3034" s="63">
        <v>72</v>
      </c>
      <c r="R3034" s="63">
        <v>16</v>
      </c>
      <c r="S3034" s="63"/>
      <c r="T3034" s="63"/>
      <c r="U3034" s="63"/>
      <c r="V3034" s="63"/>
      <c r="W3034" s="63">
        <v>18</v>
      </c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W3034" s="5">
        <f>IF(Q3034&gt;0,RANK(Q3034,(N3034:P3034,Q3034:AE3034)),0)</f>
        <v>3</v>
      </c>
      <c r="AX3034" s="5">
        <f>IF(R3034&gt;0,RANK(R3034,(N3034:P3034,Q3034:AE3034)),0)</f>
        <v>5</v>
      </c>
      <c r="AY3034" s="5">
        <f>IF(T3034&gt;0,RANK(T3034,(N3034:P3034,Q3034:AE3034)),0)</f>
        <v>0</v>
      </c>
      <c r="AZ3034" s="5">
        <f>IF(S3034&gt;0,RANK(S3034,(N3034:P3034,Q3034:AE3034)),0)</f>
        <v>0</v>
      </c>
      <c r="BA3034" s="2">
        <f t="shared" si="1186"/>
        <v>1.7729623245506032E-2</v>
      </c>
      <c r="BB3034" s="2">
        <f t="shared" si="1187"/>
        <v>3.9399162767791186E-3</v>
      </c>
      <c r="BC3034" s="2">
        <f t="shared" si="1188"/>
        <v>0</v>
      </c>
      <c r="BD3034" s="2">
        <f t="shared" si="1189"/>
        <v>0</v>
      </c>
      <c r="BF3034" t="s">
        <v>1138</v>
      </c>
      <c r="BG3034" t="s">
        <v>1595</v>
      </c>
      <c r="BH3034">
        <v>3</v>
      </c>
      <c r="BJ3034" s="114">
        <v>51</v>
      </c>
      <c r="BK3034" s="116">
        <v>620</v>
      </c>
      <c r="BL3034" s="120">
        <f t="shared" si="1169"/>
        <v>51620</v>
      </c>
      <c r="BN3034" s="5" t="s">
        <v>1249</v>
      </c>
    </row>
    <row r="3035" spans="1:66" hidden="1" outlineLevel="1">
      <c r="A3035" t="s">
        <v>1119</v>
      </c>
      <c r="B3035" t="s">
        <v>1595</v>
      </c>
      <c r="C3035" s="1">
        <f t="shared" si="1181"/>
        <v>11257</v>
      </c>
      <c r="D3035" s="5">
        <f>IF(N3035&gt;0, RANK(N3035,(N3035:P3035,Q3035:AE3035)),0)</f>
        <v>1</v>
      </c>
      <c r="E3035" s="5">
        <f>IF(O3035&gt;0,RANK(O3035,(N3035:P3035,Q3035:AE3035)),0)</f>
        <v>2</v>
      </c>
      <c r="F3035" s="5">
        <f>IF(P3035&gt;0,RANK(P3035,(N3035:P3035,Q3035:AE3035)),0)</f>
        <v>4</v>
      </c>
      <c r="G3035" s="132">
        <f t="shared" si="1179"/>
        <v>2963</v>
      </c>
      <c r="H3035" s="137">
        <f t="shared" si="1180"/>
        <v>0.26321400017766722</v>
      </c>
      <c r="I3035" s="2"/>
      <c r="J3035" s="2">
        <f t="shared" si="1182"/>
        <v>0.59580705338900242</v>
      </c>
      <c r="K3035" s="2">
        <f t="shared" si="1183"/>
        <v>0.33259305321133514</v>
      </c>
      <c r="L3035" s="2">
        <f t="shared" si="1184"/>
        <v>1.6789553166918363E-2</v>
      </c>
      <c r="M3035" s="2">
        <f t="shared" si="1185"/>
        <v>5.4810340232744073E-2</v>
      </c>
      <c r="N3035" s="63">
        <v>6707</v>
      </c>
      <c r="O3035" s="63">
        <v>3744</v>
      </c>
      <c r="P3035" s="63">
        <v>189</v>
      </c>
      <c r="Q3035" s="63">
        <v>389</v>
      </c>
      <c r="R3035" s="63">
        <v>137</v>
      </c>
      <c r="S3035" s="63"/>
      <c r="T3035" s="63"/>
      <c r="U3035" s="63"/>
      <c r="V3035" s="63"/>
      <c r="W3035" s="63">
        <v>91</v>
      </c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W3035" s="5">
        <f>IF(Q3035&gt;0,RANK(Q3035,(N3035:P3035,Q3035:AE3035)),0)</f>
        <v>3</v>
      </c>
      <c r="AX3035" s="5">
        <f>IF(R3035&gt;0,RANK(R3035,(N3035:P3035,Q3035:AE3035)),0)</f>
        <v>5</v>
      </c>
      <c r="AY3035" s="5">
        <f>IF(T3035&gt;0,RANK(T3035,(N3035:P3035,Q3035:AE3035)),0)</f>
        <v>0</v>
      </c>
      <c r="AZ3035" s="5">
        <f>IF(S3035&gt;0,RANK(S3035,(N3035:P3035,Q3035:AE3035)),0)</f>
        <v>0</v>
      </c>
      <c r="BA3035" s="2">
        <f t="shared" si="1186"/>
        <v>3.45562760948743E-2</v>
      </c>
      <c r="BB3035" s="2">
        <f t="shared" si="1187"/>
        <v>1.2170205205649818E-2</v>
      </c>
      <c r="BC3035" s="2">
        <f t="shared" si="1188"/>
        <v>0</v>
      </c>
      <c r="BD3035" s="2">
        <f t="shared" si="1189"/>
        <v>0</v>
      </c>
      <c r="BF3035" t="s">
        <v>1119</v>
      </c>
      <c r="BG3035" t="s">
        <v>1595</v>
      </c>
      <c r="BH3035">
        <v>1</v>
      </c>
      <c r="BJ3035" s="114">
        <v>51</v>
      </c>
      <c r="BK3035" s="116">
        <v>630</v>
      </c>
      <c r="BL3035" s="120">
        <f t="shared" si="1169"/>
        <v>51630</v>
      </c>
      <c r="BN3035" s="5" t="s">
        <v>1249</v>
      </c>
    </row>
    <row r="3036" spans="1:66" hidden="1" outlineLevel="1">
      <c r="A3036" t="s">
        <v>2484</v>
      </c>
      <c r="B3036" t="s">
        <v>1595</v>
      </c>
      <c r="C3036" s="1">
        <f t="shared" si="1181"/>
        <v>2376</v>
      </c>
      <c r="D3036" s="5">
        <f>IF(N3036&gt;0, RANK(N3036,(N3036:P3036,Q3036:AE3036)),0)</f>
        <v>2</v>
      </c>
      <c r="E3036" s="5">
        <f>IF(O3036&gt;0,RANK(O3036,(N3036:P3036,Q3036:AE3036)),0)</f>
        <v>1</v>
      </c>
      <c r="F3036" s="5">
        <f>IF(P3036&gt;0,RANK(P3036,(N3036:P3036,Q3036:AE3036)),0)</f>
        <v>4</v>
      </c>
      <c r="G3036" s="132">
        <f t="shared" si="1179"/>
        <v>922</v>
      </c>
      <c r="H3036" s="137">
        <f t="shared" si="1180"/>
        <v>0.38804713804713803</v>
      </c>
      <c r="I3036" s="2"/>
      <c r="J3036" s="2">
        <f t="shared" si="1182"/>
        <v>0.2866161616161616</v>
      </c>
      <c r="K3036" s="2">
        <f t="shared" si="1183"/>
        <v>0.67466329966329963</v>
      </c>
      <c r="L3036" s="2">
        <f t="shared" si="1184"/>
        <v>1.1784511784511785E-2</v>
      </c>
      <c r="M3036" s="2">
        <f t="shared" si="1185"/>
        <v>2.6936026936027035E-2</v>
      </c>
      <c r="N3036" s="63">
        <v>681</v>
      </c>
      <c r="O3036" s="63">
        <v>1603</v>
      </c>
      <c r="P3036" s="63">
        <v>28</v>
      </c>
      <c r="Q3036" s="63">
        <v>45</v>
      </c>
      <c r="R3036" s="63">
        <v>7</v>
      </c>
      <c r="S3036" s="63"/>
      <c r="T3036" s="63"/>
      <c r="U3036" s="63"/>
      <c r="V3036" s="63"/>
      <c r="W3036" s="63">
        <v>12</v>
      </c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W3036" s="5">
        <f>IF(Q3036&gt;0,RANK(Q3036,(N3036:P3036,Q3036:AE3036)),0)</f>
        <v>3</v>
      </c>
      <c r="AX3036" s="5">
        <f>IF(R3036&gt;0,RANK(R3036,(N3036:P3036,Q3036:AE3036)),0)</f>
        <v>6</v>
      </c>
      <c r="AY3036" s="5">
        <f>IF(T3036&gt;0,RANK(T3036,(N3036:P3036,Q3036:AE3036)),0)</f>
        <v>0</v>
      </c>
      <c r="AZ3036" s="5">
        <f>IF(S3036&gt;0,RANK(S3036,(N3036:P3036,Q3036:AE3036)),0)</f>
        <v>0</v>
      </c>
      <c r="BA3036" s="2">
        <f t="shared" si="1186"/>
        <v>1.893939393939394E-2</v>
      </c>
      <c r="BB3036" s="2">
        <f t="shared" si="1187"/>
        <v>2.9461279461279462E-3</v>
      </c>
      <c r="BC3036" s="2">
        <f t="shared" si="1188"/>
        <v>0</v>
      </c>
      <c r="BD3036" s="2">
        <f t="shared" si="1189"/>
        <v>0</v>
      </c>
      <c r="BF3036" t="s">
        <v>2484</v>
      </c>
      <c r="BG3036" t="s">
        <v>1595</v>
      </c>
      <c r="BH3036">
        <v>9</v>
      </c>
      <c r="BJ3036" s="114">
        <v>51</v>
      </c>
      <c r="BK3036" s="116">
        <v>640</v>
      </c>
      <c r="BL3036" s="120">
        <f t="shared" si="1169"/>
        <v>51640</v>
      </c>
      <c r="BN3036" s="5" t="s">
        <v>1249</v>
      </c>
    </row>
    <row r="3037" spans="1:66" hidden="1" outlineLevel="1">
      <c r="A3037" t="s">
        <v>719</v>
      </c>
      <c r="B3037" t="s">
        <v>1595</v>
      </c>
      <c r="C3037" s="1">
        <f t="shared" si="1181"/>
        <v>62277</v>
      </c>
      <c r="D3037" s="5">
        <f>IF(N3037&gt;0, RANK(N3037,(N3037:P3037,Q3037:AE3037)),0)</f>
        <v>1</v>
      </c>
      <c r="E3037" s="5">
        <f>IF(O3037&gt;0,RANK(O3037,(N3037:P3037,Q3037:AE3037)),0)</f>
        <v>2</v>
      </c>
      <c r="F3037" s="5">
        <f>IF(P3037&gt;0,RANK(P3037,(N3037:P3037,Q3037:AE3037)),0)</f>
        <v>4</v>
      </c>
      <c r="G3037" s="132">
        <f t="shared" si="1179"/>
        <v>23410</v>
      </c>
      <c r="H3037" s="137">
        <f t="shared" si="1180"/>
        <v>0.37590121553703615</v>
      </c>
      <c r="I3037" s="2"/>
      <c r="J3037" s="2">
        <f t="shared" si="1182"/>
        <v>0.66335886442828007</v>
      </c>
      <c r="K3037" s="2">
        <f t="shared" si="1183"/>
        <v>0.28745764889124398</v>
      </c>
      <c r="L3037" s="2">
        <f t="shared" si="1184"/>
        <v>8.8475681230630893E-3</v>
      </c>
      <c r="M3037" s="2">
        <f t="shared" si="1185"/>
        <v>4.0335918557412864E-2</v>
      </c>
      <c r="N3037" s="63">
        <v>41312</v>
      </c>
      <c r="O3037" s="63">
        <v>17902</v>
      </c>
      <c r="P3037" s="63">
        <v>551</v>
      </c>
      <c r="Q3037" s="63">
        <v>1658</v>
      </c>
      <c r="R3037" s="63">
        <v>474</v>
      </c>
      <c r="S3037" s="63"/>
      <c r="T3037" s="63"/>
      <c r="U3037" s="63"/>
      <c r="V3037" s="63"/>
      <c r="W3037" s="63">
        <v>380</v>
      </c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W3037" s="5">
        <f>IF(Q3037&gt;0,RANK(Q3037,(N3037:P3037,Q3037:AE3037)),0)</f>
        <v>3</v>
      </c>
      <c r="AX3037" s="5">
        <f>IF(R3037&gt;0,RANK(R3037,(N3037:P3037,Q3037:AE3037)),0)</f>
        <v>5</v>
      </c>
      <c r="AY3037" s="5">
        <f>IF(T3037&gt;0,RANK(T3037,(N3037:P3037,Q3037:AE3037)),0)</f>
        <v>0</v>
      </c>
      <c r="AZ3037" s="5">
        <f>IF(S3037&gt;0,RANK(S3037,(N3037:P3037,Q3037:AE3037)),0)</f>
        <v>0</v>
      </c>
      <c r="BA3037" s="2">
        <f t="shared" si="1186"/>
        <v>2.6622990831286029E-2</v>
      </c>
      <c r="BB3037" s="2">
        <f t="shared" si="1187"/>
        <v>7.6111566067729661E-3</v>
      </c>
      <c r="BC3037" s="2">
        <f t="shared" si="1188"/>
        <v>0</v>
      </c>
      <c r="BD3037" s="2">
        <f t="shared" si="1189"/>
        <v>0</v>
      </c>
      <c r="BF3037" t="s">
        <v>719</v>
      </c>
      <c r="BG3037" t="s">
        <v>1595</v>
      </c>
      <c r="BJ3037" s="114">
        <v>51</v>
      </c>
      <c r="BK3037" s="116">
        <v>650</v>
      </c>
      <c r="BL3037" s="120">
        <f t="shared" si="1169"/>
        <v>51650</v>
      </c>
      <c r="BN3037" s="5" t="s">
        <v>1249</v>
      </c>
    </row>
    <row r="3038" spans="1:66" hidden="1" outlineLevel="1">
      <c r="A3038" t="s">
        <v>3079</v>
      </c>
      <c r="B3038" t="s">
        <v>1595</v>
      </c>
      <c r="C3038" s="1">
        <f t="shared" si="1181"/>
        <v>17987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4</v>
      </c>
      <c r="G3038" s="132">
        <f t="shared" si="1179"/>
        <v>3950</v>
      </c>
      <c r="H3038" s="137">
        <f t="shared" si="1180"/>
        <v>0.21960304664479902</v>
      </c>
      <c r="I3038" s="2"/>
      <c r="J3038" s="2">
        <f t="shared" si="1182"/>
        <v>0.56774337021181964</v>
      </c>
      <c r="K3038" s="2">
        <f t="shared" si="1183"/>
        <v>0.34814032356702063</v>
      </c>
      <c r="L3038" s="2">
        <f t="shared" si="1184"/>
        <v>1.7234669483515874E-2</v>
      </c>
      <c r="M3038" s="2">
        <f t="shared" si="1185"/>
        <v>6.6881636737643857E-2</v>
      </c>
      <c r="N3038" s="63">
        <v>10212</v>
      </c>
      <c r="O3038" s="63">
        <v>6262</v>
      </c>
      <c r="P3038" s="63">
        <v>310</v>
      </c>
      <c r="Q3038" s="63">
        <v>810</v>
      </c>
      <c r="R3038" s="63">
        <v>255</v>
      </c>
      <c r="S3038" s="63"/>
      <c r="T3038" s="63"/>
      <c r="U3038" s="63"/>
      <c r="V3038" s="63"/>
      <c r="W3038" s="63">
        <v>138</v>
      </c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W3038" s="5">
        <f>IF(Q3038&gt;0,RANK(Q3038,(N3038:P3038,Q3038:AE3038)),0)</f>
        <v>3</v>
      </c>
      <c r="AX3038" s="5">
        <f>IF(R3038&gt;0,RANK(R3038,(N3038:P3038,Q3038:AE3038)),0)</f>
        <v>5</v>
      </c>
      <c r="AY3038" s="5">
        <f>IF(T3038&gt;0,RANK(T3038,(N3038:P3038,Q3038:AE3038)),0)</f>
        <v>0</v>
      </c>
      <c r="AZ3038" s="5">
        <f>IF(S3038&gt;0,RANK(S3038,(N3038:P3038,Q3038:AE3038)),0)</f>
        <v>0</v>
      </c>
      <c r="BA3038" s="2">
        <f t="shared" si="1186"/>
        <v>4.5032523489186634E-2</v>
      </c>
      <c r="BB3038" s="2">
        <f t="shared" si="1187"/>
        <v>1.4176905542892089E-2</v>
      </c>
      <c r="BC3038" s="2">
        <f t="shared" si="1188"/>
        <v>0</v>
      </c>
      <c r="BD3038" s="2">
        <f t="shared" si="1189"/>
        <v>0</v>
      </c>
      <c r="BF3038" t="s">
        <v>3079</v>
      </c>
      <c r="BG3038" t="s">
        <v>1595</v>
      </c>
      <c r="BH3038">
        <v>6</v>
      </c>
      <c r="BJ3038" s="114">
        <v>51</v>
      </c>
      <c r="BK3038" s="116">
        <v>660</v>
      </c>
      <c r="BL3038" s="120">
        <f t="shared" si="1169"/>
        <v>51660</v>
      </c>
      <c r="BN3038" s="5" t="s">
        <v>1249</v>
      </c>
    </row>
    <row r="3039" spans="1:66" hidden="1" outlineLevel="1">
      <c r="A3039" t="s">
        <v>2491</v>
      </c>
      <c r="B3039" t="s">
        <v>1595</v>
      </c>
      <c r="C3039" s="1">
        <f t="shared" si="1181"/>
        <v>9008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4</v>
      </c>
      <c r="G3039" s="132">
        <f t="shared" si="1179"/>
        <v>839</v>
      </c>
      <c r="H3039" s="137">
        <f t="shared" si="1180"/>
        <v>9.3139431616341029E-2</v>
      </c>
      <c r="I3039" s="2"/>
      <c r="J3039" s="2">
        <f t="shared" si="1182"/>
        <v>0.52442273534635875</v>
      </c>
      <c r="K3039" s="2">
        <f t="shared" si="1183"/>
        <v>0.43128330373001778</v>
      </c>
      <c r="L3039" s="2">
        <f t="shared" si="1184"/>
        <v>1.0102131438721136E-2</v>
      </c>
      <c r="M3039" s="2">
        <f t="shared" si="1185"/>
        <v>3.419182948490234E-2</v>
      </c>
      <c r="N3039" s="63">
        <v>4724</v>
      </c>
      <c r="O3039" s="63">
        <v>3885</v>
      </c>
      <c r="P3039" s="63">
        <v>91</v>
      </c>
      <c r="Q3039" s="63">
        <v>212</v>
      </c>
      <c r="R3039" s="63">
        <v>58</v>
      </c>
      <c r="S3039" s="63"/>
      <c r="T3039" s="63"/>
      <c r="U3039" s="63"/>
      <c r="V3039" s="63"/>
      <c r="W3039" s="63">
        <v>38</v>
      </c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W3039" s="5">
        <f>IF(Q3039&gt;0,RANK(Q3039,(N3039:P3039,Q3039:AE3039)),0)</f>
        <v>3</v>
      </c>
      <c r="AX3039" s="5">
        <f>IF(R3039&gt;0,RANK(R3039,(N3039:P3039,Q3039:AE3039)),0)</f>
        <v>5</v>
      </c>
      <c r="AY3039" s="5">
        <f>IF(T3039&gt;0,RANK(T3039,(N3039:P3039,Q3039:AE3039)),0)</f>
        <v>0</v>
      </c>
      <c r="AZ3039" s="5">
        <f>IF(S3039&gt;0,RANK(S3039,(N3039:P3039,Q3039:AE3039)),0)</f>
        <v>0</v>
      </c>
      <c r="BA3039" s="2">
        <f t="shared" si="1186"/>
        <v>2.3534635879218474E-2</v>
      </c>
      <c r="BB3039" s="2">
        <f t="shared" si="1187"/>
        <v>6.4387211367673176E-3</v>
      </c>
      <c r="BC3039" s="2">
        <f t="shared" si="1188"/>
        <v>0</v>
      </c>
      <c r="BD3039" s="2">
        <f t="shared" si="1189"/>
        <v>0</v>
      </c>
      <c r="BF3039" t="s">
        <v>2491</v>
      </c>
      <c r="BG3039" t="s">
        <v>1595</v>
      </c>
      <c r="BH3039">
        <v>4</v>
      </c>
      <c r="BJ3039" s="114">
        <v>51</v>
      </c>
      <c r="BK3039" s="116">
        <v>670</v>
      </c>
      <c r="BL3039" s="120">
        <f t="shared" si="1169"/>
        <v>51670</v>
      </c>
      <c r="BN3039" s="5" t="s">
        <v>1249</v>
      </c>
    </row>
    <row r="3040" spans="1:66" hidden="1" outlineLevel="1">
      <c r="A3040" t="s">
        <v>1659</v>
      </c>
      <c r="B3040" t="s">
        <v>1595</v>
      </c>
      <c r="C3040" s="1">
        <f t="shared" si="1181"/>
        <v>2465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4</v>
      </c>
      <c r="G3040" s="132">
        <f t="shared" si="1179"/>
        <v>748</v>
      </c>
      <c r="H3040" s="137">
        <f t="shared" si="1180"/>
        <v>0.30344827586206896</v>
      </c>
      <c r="I3040" s="2"/>
      <c r="J3040" s="2">
        <f t="shared" si="1182"/>
        <v>0.61419878296146047</v>
      </c>
      <c r="K3040" s="2">
        <f t="shared" si="1183"/>
        <v>0.3107505070993915</v>
      </c>
      <c r="L3040" s="2">
        <f t="shared" si="1184"/>
        <v>2.2718052738336714E-2</v>
      </c>
      <c r="M3040" s="2">
        <f t="shared" si="1185"/>
        <v>5.2332657200811317E-2</v>
      </c>
      <c r="N3040" s="63">
        <v>1514</v>
      </c>
      <c r="O3040" s="63">
        <v>766</v>
      </c>
      <c r="P3040" s="63">
        <v>56</v>
      </c>
      <c r="Q3040" s="63">
        <v>92</v>
      </c>
      <c r="R3040" s="63">
        <v>20</v>
      </c>
      <c r="S3040" s="63"/>
      <c r="T3040" s="63"/>
      <c r="U3040" s="63"/>
      <c r="V3040" s="63"/>
      <c r="W3040" s="63">
        <v>17</v>
      </c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W3040" s="5">
        <f>IF(Q3040&gt;0,RANK(Q3040,(N3040:P3040,Q3040:AE3040)),0)</f>
        <v>3</v>
      </c>
      <c r="AX3040" s="5">
        <f>IF(R3040&gt;0,RANK(R3040,(N3040:P3040,Q3040:AE3040)),0)</f>
        <v>5</v>
      </c>
      <c r="AY3040" s="5">
        <f>IF(T3040&gt;0,RANK(T3040,(N3040:P3040,Q3040:AE3040)),0)</f>
        <v>0</v>
      </c>
      <c r="AZ3040" s="5">
        <f>IF(S3040&gt;0,RANK(S3040,(N3040:P3040,Q3040:AE3040)),0)</f>
        <v>0</v>
      </c>
      <c r="BA3040" s="2">
        <f t="shared" si="1186"/>
        <v>3.7322515212981744E-2</v>
      </c>
      <c r="BB3040" s="2">
        <f t="shared" si="1187"/>
        <v>8.1135902636916835E-3</v>
      </c>
      <c r="BC3040" s="2">
        <f t="shared" si="1188"/>
        <v>0</v>
      </c>
      <c r="BD3040" s="2">
        <f t="shared" si="1189"/>
        <v>0</v>
      </c>
      <c r="BF3040" t="s">
        <v>1659</v>
      </c>
      <c r="BG3040" t="s">
        <v>1595</v>
      </c>
      <c r="BH3040">
        <v>6</v>
      </c>
      <c r="BJ3040" s="114">
        <v>51</v>
      </c>
      <c r="BK3040" s="116">
        <v>678</v>
      </c>
      <c r="BL3040" s="120">
        <f t="shared" si="1169"/>
        <v>51678</v>
      </c>
      <c r="BN3040" s="5" t="s">
        <v>1249</v>
      </c>
    </row>
    <row r="3041" spans="1:66" hidden="1" outlineLevel="1">
      <c r="A3041" t="s">
        <v>1839</v>
      </c>
      <c r="B3041" t="s">
        <v>1595</v>
      </c>
      <c r="C3041" s="1">
        <f t="shared" si="1181"/>
        <v>35657</v>
      </c>
      <c r="D3041" s="5">
        <f>IF(N3041&gt;0, RANK(N3041,(N3041:P3041,Q3041:AE3041)),0)</f>
        <v>2</v>
      </c>
      <c r="E3041" s="5">
        <f>IF(O3041&gt;0,RANK(O3041,(N3041:P3041,Q3041:AE3041)),0)</f>
        <v>1</v>
      </c>
      <c r="F3041" s="5">
        <f>IF(P3041&gt;0,RANK(P3041,(N3041:P3041,Q3041:AE3041)),0)</f>
        <v>4</v>
      </c>
      <c r="G3041" s="132">
        <f t="shared" si="1179"/>
        <v>3190</v>
      </c>
      <c r="H3041" s="137">
        <f t="shared" si="1180"/>
        <v>8.9463499453122805E-2</v>
      </c>
      <c r="I3041" s="2"/>
      <c r="J3041" s="2">
        <f t="shared" si="1182"/>
        <v>0.41484140561460581</v>
      </c>
      <c r="K3041" s="2">
        <f t="shared" si="1183"/>
        <v>0.50430490506772863</v>
      </c>
      <c r="L3041" s="2">
        <f t="shared" si="1184"/>
        <v>2.7988894186274784E-2</v>
      </c>
      <c r="M3041" s="2">
        <f t="shared" si="1185"/>
        <v>5.2864795131390779E-2</v>
      </c>
      <c r="N3041" s="63">
        <v>14792</v>
      </c>
      <c r="O3041" s="63">
        <v>17982</v>
      </c>
      <c r="P3041" s="63">
        <v>998</v>
      </c>
      <c r="Q3041" s="63">
        <v>1379</v>
      </c>
      <c r="R3041" s="63">
        <v>208</v>
      </c>
      <c r="S3041" s="63"/>
      <c r="T3041" s="63"/>
      <c r="U3041" s="63"/>
      <c r="V3041" s="63"/>
      <c r="W3041" s="63">
        <v>298</v>
      </c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W3041" s="5">
        <f>IF(Q3041&gt;0,RANK(Q3041,(N3041:P3041,Q3041:AE3041)),0)</f>
        <v>3</v>
      </c>
      <c r="AX3041" s="5">
        <f>IF(R3041&gt;0,RANK(R3041,(N3041:P3041,Q3041:AE3041)),0)</f>
        <v>6</v>
      </c>
      <c r="AY3041" s="5">
        <f>IF(T3041&gt;0,RANK(T3041,(N3041:P3041,Q3041:AE3041)),0)</f>
        <v>0</v>
      </c>
      <c r="AZ3041" s="5">
        <f>IF(S3041&gt;0,RANK(S3041,(N3041:P3041,Q3041:AE3041)),0)</f>
        <v>0</v>
      </c>
      <c r="BA3041" s="2">
        <f t="shared" si="1186"/>
        <v>3.8674033149171269E-2</v>
      </c>
      <c r="BB3041" s="2">
        <f t="shared" si="1187"/>
        <v>5.8333567041534626E-3</v>
      </c>
      <c r="BC3041" s="2">
        <f t="shared" si="1188"/>
        <v>0</v>
      </c>
      <c r="BD3041" s="2">
        <f t="shared" si="1189"/>
        <v>0</v>
      </c>
      <c r="BF3041" t="s">
        <v>1839</v>
      </c>
      <c r="BG3041" t="s">
        <v>1595</v>
      </c>
      <c r="BH3041">
        <v>6</v>
      </c>
      <c r="BJ3041" s="114">
        <v>51</v>
      </c>
      <c r="BK3041" s="116">
        <v>680</v>
      </c>
      <c r="BL3041" s="120">
        <f t="shared" si="1169"/>
        <v>51680</v>
      </c>
      <c r="BN3041" s="5" t="s">
        <v>1249</v>
      </c>
    </row>
    <row r="3042" spans="1:66" hidden="1" outlineLevel="1">
      <c r="A3042" t="s">
        <v>878</v>
      </c>
      <c r="B3042" t="s">
        <v>1595</v>
      </c>
      <c r="C3042" s="1">
        <f t="shared" si="1181"/>
        <v>15411</v>
      </c>
      <c r="D3042" s="5">
        <f>IF(N3042&gt;0, RANK(N3042,(N3042:P3042,Q3042:AE3042)),0)</f>
        <v>1</v>
      </c>
      <c r="E3042" s="5">
        <f>IF(O3042&gt;0,RANK(O3042,(N3042:P3042,Q3042:AE3042)),0)</f>
        <v>2</v>
      </c>
      <c r="F3042" s="5">
        <f>IF(P3042&gt;0,RANK(P3042,(N3042:P3042,Q3042:AE3042)),0)</f>
        <v>4</v>
      </c>
      <c r="G3042" s="132">
        <f t="shared" si="1179"/>
        <v>2470</v>
      </c>
      <c r="H3042" s="137">
        <f t="shared" si="1180"/>
        <v>0.1602751281552138</v>
      </c>
      <c r="I3042" s="2"/>
      <c r="J3042" s="2">
        <f t="shared" si="1182"/>
        <v>0.54655765362403474</v>
      </c>
      <c r="K3042" s="2">
        <f t="shared" si="1183"/>
        <v>0.38628252546882097</v>
      </c>
      <c r="L3042" s="2">
        <f t="shared" si="1184"/>
        <v>1.5962624099669066E-2</v>
      </c>
      <c r="M3042" s="2">
        <f t="shared" si="1185"/>
        <v>5.1197196807475219E-2</v>
      </c>
      <c r="N3042" s="63">
        <v>8423</v>
      </c>
      <c r="O3042" s="63">
        <v>5953</v>
      </c>
      <c r="P3042" s="63">
        <v>246</v>
      </c>
      <c r="Q3042" s="63">
        <v>488</v>
      </c>
      <c r="R3042" s="63">
        <v>147</v>
      </c>
      <c r="S3042" s="63"/>
      <c r="T3042" s="63"/>
      <c r="U3042" s="63"/>
      <c r="V3042" s="63"/>
      <c r="W3042" s="63">
        <v>154</v>
      </c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W3042" s="5">
        <f>IF(Q3042&gt;0,RANK(Q3042,(N3042:P3042,Q3042:AE3042)),0)</f>
        <v>3</v>
      </c>
      <c r="AX3042" s="5">
        <f>IF(R3042&gt;0,RANK(R3042,(N3042:P3042,Q3042:AE3042)),0)</f>
        <v>6</v>
      </c>
      <c r="AY3042" s="5">
        <f>IF(T3042&gt;0,RANK(T3042,(N3042:P3042,Q3042:AE3042)),0)</f>
        <v>0</v>
      </c>
      <c r="AZ3042" s="5">
        <f>IF(S3042&gt;0,RANK(S3042,(N3042:P3042,Q3042:AE3042)),0)</f>
        <v>0</v>
      </c>
      <c r="BA3042" s="2">
        <f t="shared" si="1186"/>
        <v>3.1665693335928884E-2</v>
      </c>
      <c r="BB3042" s="2">
        <f t="shared" si="1187"/>
        <v>9.5386412302900531E-3</v>
      </c>
      <c r="BC3042" s="2">
        <f t="shared" si="1188"/>
        <v>0</v>
      </c>
      <c r="BD3042" s="2">
        <f t="shared" si="1189"/>
        <v>0</v>
      </c>
      <c r="BF3042" t="s">
        <v>878</v>
      </c>
      <c r="BG3042" t="s">
        <v>1595</v>
      </c>
      <c r="BH3042">
        <v>10</v>
      </c>
      <c r="BJ3042" s="114">
        <v>51</v>
      </c>
      <c r="BK3042" s="116">
        <v>683</v>
      </c>
      <c r="BL3042" s="120">
        <f t="shared" si="1169"/>
        <v>51683</v>
      </c>
      <c r="BN3042" s="5" t="s">
        <v>1249</v>
      </c>
    </row>
    <row r="3043" spans="1:66" hidden="1" outlineLevel="1">
      <c r="A3043" t="s">
        <v>380</v>
      </c>
      <c r="B3043" t="s">
        <v>1595</v>
      </c>
      <c r="C3043" s="1">
        <f t="shared" si="1181"/>
        <v>5232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4</v>
      </c>
      <c r="G3043" s="132">
        <f t="shared" si="1179"/>
        <v>1471</v>
      </c>
      <c r="H3043" s="137">
        <f t="shared" si="1180"/>
        <v>0.28115443425076453</v>
      </c>
      <c r="I3043" s="2"/>
      <c r="J3043" s="2">
        <f t="shared" si="1182"/>
        <v>0.61238532110091748</v>
      </c>
      <c r="K3043" s="2">
        <f t="shared" si="1183"/>
        <v>0.33123088685015289</v>
      </c>
      <c r="L3043" s="2">
        <f t="shared" si="1184"/>
        <v>1.0894495412844037E-2</v>
      </c>
      <c r="M3043" s="2">
        <f t="shared" si="1185"/>
        <v>4.5489296636085585E-2</v>
      </c>
      <c r="N3043" s="63">
        <v>3204</v>
      </c>
      <c r="O3043" s="63">
        <v>1733</v>
      </c>
      <c r="P3043" s="63">
        <v>57</v>
      </c>
      <c r="Q3043" s="63">
        <v>162</v>
      </c>
      <c r="R3043" s="63">
        <v>45</v>
      </c>
      <c r="S3043" s="63"/>
      <c r="T3043" s="63"/>
      <c r="U3043" s="63"/>
      <c r="V3043" s="63"/>
      <c r="W3043" s="63">
        <v>31</v>
      </c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W3043" s="5">
        <f>IF(Q3043&gt;0,RANK(Q3043,(N3043:P3043,Q3043:AE3043)),0)</f>
        <v>3</v>
      </c>
      <c r="AX3043" s="5">
        <f>IF(R3043&gt;0,RANK(R3043,(N3043:P3043,Q3043:AE3043)),0)</f>
        <v>5</v>
      </c>
      <c r="AY3043" s="5">
        <f>IF(T3043&gt;0,RANK(T3043,(N3043:P3043,Q3043:AE3043)),0)</f>
        <v>0</v>
      </c>
      <c r="AZ3043" s="5">
        <f>IF(S3043&gt;0,RANK(S3043,(N3043:P3043,Q3043:AE3043)),0)</f>
        <v>0</v>
      </c>
      <c r="BA3043" s="2">
        <f t="shared" si="1186"/>
        <v>3.096330275229358E-2</v>
      </c>
      <c r="BB3043" s="2">
        <f t="shared" si="1187"/>
        <v>8.600917431192661E-3</v>
      </c>
      <c r="BC3043" s="2">
        <f t="shared" si="1188"/>
        <v>0</v>
      </c>
      <c r="BD3043" s="2">
        <f t="shared" si="1189"/>
        <v>0</v>
      </c>
      <c r="BF3043" t="s">
        <v>380</v>
      </c>
      <c r="BG3043" t="s">
        <v>1595</v>
      </c>
      <c r="BH3043">
        <v>10</v>
      </c>
      <c r="BJ3043" s="114">
        <v>51</v>
      </c>
      <c r="BK3043" s="116">
        <v>685</v>
      </c>
      <c r="BL3043" s="120">
        <f t="shared" si="1169"/>
        <v>51685</v>
      </c>
      <c r="BN3043" s="5" t="s">
        <v>1249</v>
      </c>
    </row>
    <row r="3044" spans="1:66" hidden="1" outlineLevel="1">
      <c r="A3044" t="s">
        <v>211</v>
      </c>
      <c r="B3044" t="s">
        <v>1595</v>
      </c>
      <c r="C3044" s="1">
        <f t="shared" si="1181"/>
        <v>5907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4</v>
      </c>
      <c r="G3044" s="132">
        <f t="shared" si="1179"/>
        <v>1384</v>
      </c>
      <c r="H3044" s="137">
        <f t="shared" si="1180"/>
        <v>0.23429829016421194</v>
      </c>
      <c r="I3044" s="2"/>
      <c r="J3044" s="2">
        <f t="shared" si="1182"/>
        <v>0.59810394447265958</v>
      </c>
      <c r="K3044" s="2">
        <f t="shared" si="1183"/>
        <v>0.36380565430844758</v>
      </c>
      <c r="L3044" s="2">
        <f t="shared" si="1184"/>
        <v>8.6338242762823772E-3</v>
      </c>
      <c r="M3044" s="2">
        <f t="shared" si="1185"/>
        <v>2.9456576942610467E-2</v>
      </c>
      <c r="N3044" s="63">
        <v>3533</v>
      </c>
      <c r="O3044" s="63">
        <v>2149</v>
      </c>
      <c r="P3044" s="63">
        <v>51</v>
      </c>
      <c r="Q3044" s="63">
        <v>114</v>
      </c>
      <c r="R3044" s="63">
        <v>29</v>
      </c>
      <c r="S3044" s="63"/>
      <c r="T3044" s="63"/>
      <c r="U3044" s="63"/>
      <c r="V3044" s="63"/>
      <c r="W3044" s="63">
        <v>31</v>
      </c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W3044" s="5">
        <f>IF(Q3044&gt;0,RANK(Q3044,(N3044:P3044,Q3044:AE3044)),0)</f>
        <v>3</v>
      </c>
      <c r="AX3044" s="5">
        <f>IF(R3044&gt;0,RANK(R3044,(N3044:P3044,Q3044:AE3044)),0)</f>
        <v>6</v>
      </c>
      <c r="AY3044" s="5">
        <f>IF(T3044&gt;0,RANK(T3044,(N3044:P3044,Q3044:AE3044)),0)</f>
        <v>0</v>
      </c>
      <c r="AZ3044" s="5">
        <f>IF(S3044&gt;0,RANK(S3044,(N3044:P3044,Q3044:AE3044)),0)</f>
        <v>0</v>
      </c>
      <c r="BA3044" s="2">
        <f t="shared" si="1186"/>
        <v>1.9299136617572373E-2</v>
      </c>
      <c r="BB3044" s="2">
        <f t="shared" si="1187"/>
        <v>4.909429490435077E-3</v>
      </c>
      <c r="BC3044" s="2">
        <f t="shared" si="1188"/>
        <v>0</v>
      </c>
      <c r="BD3044" s="2">
        <f t="shared" si="1189"/>
        <v>0</v>
      </c>
      <c r="BF3044" t="s">
        <v>211</v>
      </c>
      <c r="BG3044" t="s">
        <v>1595</v>
      </c>
      <c r="BH3044">
        <v>9</v>
      </c>
      <c r="BJ3044" s="114">
        <v>51</v>
      </c>
      <c r="BK3044" s="116">
        <v>690</v>
      </c>
      <c r="BL3044" s="120">
        <f t="shared" si="1169"/>
        <v>51690</v>
      </c>
      <c r="BN3044" s="5" t="s">
        <v>1249</v>
      </c>
    </row>
    <row r="3045" spans="1:66" hidden="1" outlineLevel="1">
      <c r="A3045" t="s">
        <v>1134</v>
      </c>
      <c r="B3045" t="s">
        <v>1595</v>
      </c>
      <c r="C3045" s="1">
        <f t="shared" si="1181"/>
        <v>75637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4</v>
      </c>
      <c r="G3045" s="132">
        <f t="shared" si="1179"/>
        <v>20150</v>
      </c>
      <c r="H3045" s="137">
        <f t="shared" si="1180"/>
        <v>0.26640400862011976</v>
      </c>
      <c r="I3045" s="2"/>
      <c r="J3045" s="2">
        <f t="shared" si="1182"/>
        <v>0.6031175218477729</v>
      </c>
      <c r="K3045" s="2">
        <f t="shared" si="1183"/>
        <v>0.33671351322765314</v>
      </c>
      <c r="L3045" s="2">
        <f t="shared" si="1184"/>
        <v>1.2308790671232334E-2</v>
      </c>
      <c r="M3045" s="2">
        <f t="shared" si="1185"/>
        <v>4.7860174253341631E-2</v>
      </c>
      <c r="N3045" s="63">
        <v>45618</v>
      </c>
      <c r="O3045" s="63">
        <v>25468</v>
      </c>
      <c r="P3045" s="63">
        <v>931</v>
      </c>
      <c r="Q3045" s="63">
        <v>2531</v>
      </c>
      <c r="R3045" s="63">
        <v>591</v>
      </c>
      <c r="S3045" s="63"/>
      <c r="T3045" s="63"/>
      <c r="U3045" s="63"/>
      <c r="V3045" s="63"/>
      <c r="W3045" s="63">
        <v>498</v>
      </c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W3045" s="5">
        <f>IF(Q3045&gt;0,RANK(Q3045,(N3045:P3045,Q3045:AE3045)),0)</f>
        <v>3</v>
      </c>
      <c r="AX3045" s="5">
        <f>IF(R3045&gt;0,RANK(R3045,(N3045:P3045,Q3045:AE3045)),0)</f>
        <v>5</v>
      </c>
      <c r="AY3045" s="5">
        <f>IF(T3045&gt;0,RANK(T3045,(N3045:P3045,Q3045:AE3045)),0)</f>
        <v>0</v>
      </c>
      <c r="AZ3045" s="5">
        <f>IF(S3045&gt;0,RANK(S3045,(N3045:P3045,Q3045:AE3045)),0)</f>
        <v>0</v>
      </c>
      <c r="BA3045" s="2">
        <f t="shared" si="1186"/>
        <v>3.346245884950487E-2</v>
      </c>
      <c r="BB3045" s="2">
        <f t="shared" si="1187"/>
        <v>7.8136361833494195E-3</v>
      </c>
      <c r="BC3045" s="2">
        <f t="shared" si="1188"/>
        <v>0</v>
      </c>
      <c r="BD3045" s="2">
        <f t="shared" si="1189"/>
        <v>0</v>
      </c>
      <c r="BF3045" t="s">
        <v>1134</v>
      </c>
      <c r="BG3045" t="s">
        <v>1595</v>
      </c>
      <c r="BH3045">
        <v>3</v>
      </c>
      <c r="BJ3045" s="114">
        <v>51</v>
      </c>
      <c r="BK3045" s="116">
        <v>700</v>
      </c>
      <c r="BL3045" s="120">
        <f t="shared" si="1169"/>
        <v>51700</v>
      </c>
      <c r="BN3045" s="5" t="s">
        <v>1249</v>
      </c>
    </row>
    <row r="3046" spans="1:66" hidden="1" outlineLevel="1">
      <c r="A3046" t="s">
        <v>753</v>
      </c>
      <c r="B3046" t="s">
        <v>1595</v>
      </c>
      <c r="C3046" s="1">
        <f t="shared" si="1181"/>
        <v>83385</v>
      </c>
      <c r="D3046" s="5">
        <f>IF(N3046&gt;0, RANK(N3046,(N3046:P3046,Q3046:AE3046)),0)</f>
        <v>1</v>
      </c>
      <c r="E3046" s="5">
        <f>IF(O3046&gt;0,RANK(O3046,(N3046:P3046,Q3046:AE3046)),0)</f>
        <v>2</v>
      </c>
      <c r="F3046" s="5">
        <f>IF(P3046&gt;0,RANK(P3046,(N3046:P3046,Q3046:AE3046)),0)</f>
        <v>5</v>
      </c>
      <c r="G3046" s="132">
        <f t="shared" si="1179"/>
        <v>35471</v>
      </c>
      <c r="H3046" s="137">
        <f t="shared" si="1180"/>
        <v>0.42538825927924689</v>
      </c>
      <c r="I3046" s="2"/>
      <c r="J3046" s="2">
        <f t="shared" si="1182"/>
        <v>0.68385201175271326</v>
      </c>
      <c r="K3046" s="2">
        <f t="shared" si="1183"/>
        <v>0.25846375247346642</v>
      </c>
      <c r="L3046" s="2">
        <f t="shared" si="1184"/>
        <v>9.1263416681657376E-3</v>
      </c>
      <c r="M3046" s="2">
        <f t="shared" si="1185"/>
        <v>4.8557894105654573E-2</v>
      </c>
      <c r="N3046" s="63">
        <v>57023</v>
      </c>
      <c r="O3046" s="63">
        <v>21552</v>
      </c>
      <c r="P3046" s="63">
        <v>761</v>
      </c>
      <c r="Q3046" s="63">
        <v>2717</v>
      </c>
      <c r="R3046" s="63">
        <v>797</v>
      </c>
      <c r="S3046" s="63"/>
      <c r="T3046" s="63"/>
      <c r="U3046" s="63"/>
      <c r="V3046" s="63"/>
      <c r="W3046" s="63">
        <v>535</v>
      </c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W3046" s="5">
        <f>IF(Q3046&gt;0,RANK(Q3046,(N3046:P3046,Q3046:AE3046)),0)</f>
        <v>3</v>
      </c>
      <c r="AX3046" s="5">
        <f>IF(R3046&gt;0,RANK(R3046,(N3046:P3046,Q3046:AE3046)),0)</f>
        <v>4</v>
      </c>
      <c r="AY3046" s="5">
        <f>IF(T3046&gt;0,RANK(T3046,(N3046:P3046,Q3046:AE3046)),0)</f>
        <v>0</v>
      </c>
      <c r="AZ3046" s="5">
        <f>IF(S3046&gt;0,RANK(S3046,(N3046:P3046,Q3046:AE3046)),0)</f>
        <v>0</v>
      </c>
      <c r="BA3046" s="2">
        <f t="shared" si="1186"/>
        <v>3.258379804521197E-2</v>
      </c>
      <c r="BB3046" s="2">
        <f t="shared" si="1187"/>
        <v>9.558073994123643E-3</v>
      </c>
      <c r="BC3046" s="2">
        <f t="shared" si="1188"/>
        <v>0</v>
      </c>
      <c r="BD3046" s="2">
        <f t="shared" si="1189"/>
        <v>0</v>
      </c>
      <c r="BF3046" t="s">
        <v>753</v>
      </c>
      <c r="BG3046" t="s">
        <v>1595</v>
      </c>
      <c r="BJ3046" s="114">
        <v>51</v>
      </c>
      <c r="BK3046" s="116">
        <v>710</v>
      </c>
      <c r="BL3046" s="120">
        <f t="shared" si="1169"/>
        <v>51710</v>
      </c>
      <c r="BN3046" s="5" t="s">
        <v>1249</v>
      </c>
    </row>
    <row r="3047" spans="1:66" hidden="1" outlineLevel="1">
      <c r="A3047" t="s">
        <v>2475</v>
      </c>
      <c r="B3047" t="s">
        <v>1595</v>
      </c>
      <c r="C3047" s="1">
        <f t="shared" si="1181"/>
        <v>1460</v>
      </c>
      <c r="D3047" s="5">
        <f>IF(N3047&gt;0, RANK(N3047,(N3047:P3047,Q3047:AE3047)),0)</f>
        <v>2</v>
      </c>
      <c r="E3047" s="5">
        <f>IF(O3047&gt;0,RANK(O3047,(N3047:P3047,Q3047:AE3047)),0)</f>
        <v>1</v>
      </c>
      <c r="F3047" s="5">
        <f>IF(P3047&gt;0,RANK(P3047,(N3047:P3047,Q3047:AE3047)),0)</f>
        <v>4</v>
      </c>
      <c r="G3047" s="132">
        <f t="shared" si="1179"/>
        <v>638</v>
      </c>
      <c r="H3047" s="137">
        <f t="shared" si="1180"/>
        <v>0.43698630136986299</v>
      </c>
      <c r="I3047" s="2"/>
      <c r="J3047" s="2">
        <f t="shared" si="1182"/>
        <v>0.26232876712328768</v>
      </c>
      <c r="K3047" s="2">
        <f t="shared" si="1183"/>
        <v>0.69931506849315073</v>
      </c>
      <c r="L3047" s="2">
        <f t="shared" si="1184"/>
        <v>1.5068493150684932E-2</v>
      </c>
      <c r="M3047" s="2">
        <f t="shared" si="1185"/>
        <v>2.3287671232876665E-2</v>
      </c>
      <c r="N3047" s="63">
        <v>383</v>
      </c>
      <c r="O3047" s="63">
        <v>1021</v>
      </c>
      <c r="P3047" s="63">
        <v>22</v>
      </c>
      <c r="Q3047" s="63">
        <v>24</v>
      </c>
      <c r="R3047" s="63">
        <v>6</v>
      </c>
      <c r="S3047" s="63"/>
      <c r="T3047" s="63"/>
      <c r="U3047" s="63"/>
      <c r="V3047" s="63"/>
      <c r="W3047" s="63">
        <v>4</v>
      </c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W3047" s="5">
        <f>IF(Q3047&gt;0,RANK(Q3047,(N3047:P3047,Q3047:AE3047)),0)</f>
        <v>3</v>
      </c>
      <c r="AX3047" s="5">
        <f>IF(R3047&gt;0,RANK(R3047,(N3047:P3047,Q3047:AE3047)),0)</f>
        <v>5</v>
      </c>
      <c r="AY3047" s="5">
        <f>IF(T3047&gt;0,RANK(T3047,(N3047:P3047,Q3047:AE3047)),0)</f>
        <v>0</v>
      </c>
      <c r="AZ3047" s="5">
        <f>IF(S3047&gt;0,RANK(S3047,(N3047:P3047,Q3047:AE3047)),0)</f>
        <v>0</v>
      </c>
      <c r="BA3047" s="2">
        <f t="shared" si="1186"/>
        <v>1.643835616438356E-2</v>
      </c>
      <c r="BB3047" s="2">
        <f t="shared" si="1187"/>
        <v>4.10958904109589E-3</v>
      </c>
      <c r="BC3047" s="2">
        <f t="shared" si="1188"/>
        <v>0</v>
      </c>
      <c r="BD3047" s="2">
        <f t="shared" si="1189"/>
        <v>0</v>
      </c>
      <c r="BF3047" t="s">
        <v>2475</v>
      </c>
      <c r="BG3047" t="s">
        <v>1595</v>
      </c>
      <c r="BH3047">
        <v>9</v>
      </c>
      <c r="BJ3047" s="114">
        <v>51</v>
      </c>
      <c r="BK3047" s="116">
        <v>720</v>
      </c>
      <c r="BL3047" s="120">
        <f t="shared" si="1169"/>
        <v>51720</v>
      </c>
      <c r="BN3047" s="5" t="s">
        <v>1249</v>
      </c>
    </row>
    <row r="3048" spans="1:66" hidden="1" outlineLevel="1">
      <c r="A3048" t="s">
        <v>1502</v>
      </c>
      <c r="B3048" t="s">
        <v>1595</v>
      </c>
      <c r="C3048" s="1">
        <f t="shared" si="1181"/>
        <v>13786</v>
      </c>
      <c r="D3048" s="5">
        <f>IF(N3048&gt;0, RANK(N3048,(N3048:P3048,Q3048:AE3048)),0)</f>
        <v>1</v>
      </c>
      <c r="E3048" s="5">
        <f>IF(O3048&gt;0,RANK(O3048,(N3048:P3048,Q3048:AE3048)),0)</f>
        <v>2</v>
      </c>
      <c r="F3048" s="5">
        <f>IF(P3048&gt;0,RANK(P3048,(N3048:P3048,Q3048:AE3048)),0)</f>
        <v>5</v>
      </c>
      <c r="G3048" s="132">
        <f t="shared" si="1179"/>
        <v>10570</v>
      </c>
      <c r="H3048" s="137">
        <f t="shared" si="1180"/>
        <v>0.76671986072827503</v>
      </c>
      <c r="I3048" s="2"/>
      <c r="J3048" s="2">
        <f t="shared" si="1182"/>
        <v>0.87197156535615838</v>
      </c>
      <c r="K3048" s="2">
        <f t="shared" si="1183"/>
        <v>0.10525170462788336</v>
      </c>
      <c r="L3048" s="2">
        <f t="shared" si="1184"/>
        <v>4.207166690845786E-3</v>
      </c>
      <c r="M3048" s="2">
        <f t="shared" si="1185"/>
        <v>1.8569563325112472E-2</v>
      </c>
      <c r="N3048" s="63">
        <v>12021</v>
      </c>
      <c r="O3048" s="63">
        <v>1451</v>
      </c>
      <c r="P3048" s="63">
        <v>58</v>
      </c>
      <c r="Q3048" s="63">
        <v>139</v>
      </c>
      <c r="R3048" s="63">
        <v>67</v>
      </c>
      <c r="S3048" s="63"/>
      <c r="T3048" s="63"/>
      <c r="U3048" s="63"/>
      <c r="V3048" s="63"/>
      <c r="W3048" s="63">
        <v>50</v>
      </c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W3048" s="5">
        <f>IF(Q3048&gt;0,RANK(Q3048,(N3048:P3048,Q3048:AE3048)),0)</f>
        <v>3</v>
      </c>
      <c r="AX3048" s="5">
        <f>IF(R3048&gt;0,RANK(R3048,(N3048:P3048,Q3048:AE3048)),0)</f>
        <v>4</v>
      </c>
      <c r="AY3048" s="5">
        <f>IF(T3048&gt;0,RANK(T3048,(N3048:P3048,Q3048:AE3048)),0)</f>
        <v>0</v>
      </c>
      <c r="AZ3048" s="5">
        <f>IF(S3048&gt;0,RANK(S3048,(N3048:P3048,Q3048:AE3048)),0)</f>
        <v>0</v>
      </c>
      <c r="BA3048" s="2">
        <f t="shared" si="1186"/>
        <v>1.0082692586682141E-2</v>
      </c>
      <c r="BB3048" s="2">
        <f t="shared" si="1187"/>
        <v>4.8600029014942694E-3</v>
      </c>
      <c r="BC3048" s="2">
        <f t="shared" si="1188"/>
        <v>0</v>
      </c>
      <c r="BD3048" s="2">
        <f t="shared" si="1189"/>
        <v>0</v>
      </c>
      <c r="BF3048" t="s">
        <v>1502</v>
      </c>
      <c r="BG3048" t="s">
        <v>1595</v>
      </c>
      <c r="BH3048">
        <v>4</v>
      </c>
      <c r="BJ3048" s="114">
        <v>51</v>
      </c>
      <c r="BK3048" s="116">
        <v>730</v>
      </c>
      <c r="BL3048" s="120">
        <f t="shared" si="1169"/>
        <v>51730</v>
      </c>
      <c r="BN3048" s="5" t="s">
        <v>1249</v>
      </c>
    </row>
    <row r="3049" spans="1:66" hidden="1" outlineLevel="1">
      <c r="A3049" t="s">
        <v>1422</v>
      </c>
      <c r="B3049" t="s">
        <v>1595</v>
      </c>
      <c r="C3049" s="1">
        <f t="shared" si="1181"/>
        <v>7177</v>
      </c>
      <c r="D3049" s="5">
        <f>IF(N3049&gt;0, RANK(N3049,(N3049:P3049,Q3049:AE3049)),0)</f>
        <v>2</v>
      </c>
      <c r="E3049" s="5">
        <f>IF(O3049&gt;0,RANK(O3049,(N3049:P3049,Q3049:AE3049)),0)</f>
        <v>1</v>
      </c>
      <c r="F3049" s="5">
        <f>IF(P3049&gt;0,RANK(P3049,(N3049:P3049,Q3049:AE3049)),0)</f>
        <v>4</v>
      </c>
      <c r="G3049" s="132">
        <f t="shared" si="1179"/>
        <v>3491</v>
      </c>
      <c r="H3049" s="137">
        <f t="shared" si="1180"/>
        <v>0.48641493660303747</v>
      </c>
      <c r="I3049" s="2"/>
      <c r="J3049" s="2">
        <f t="shared" si="1182"/>
        <v>0.2230737076773025</v>
      </c>
      <c r="K3049" s="2">
        <f t="shared" si="1183"/>
        <v>0.70948864428033998</v>
      </c>
      <c r="L3049" s="2">
        <f t="shared" si="1184"/>
        <v>1.0589382750452835E-2</v>
      </c>
      <c r="M3049" s="2">
        <f t="shared" si="1185"/>
        <v>5.684826529190469E-2</v>
      </c>
      <c r="N3049" s="63">
        <v>1601</v>
      </c>
      <c r="O3049" s="63">
        <v>5092</v>
      </c>
      <c r="P3049" s="63">
        <v>76</v>
      </c>
      <c r="Q3049" s="63">
        <v>307</v>
      </c>
      <c r="R3049" s="63">
        <v>43</v>
      </c>
      <c r="S3049" s="63"/>
      <c r="T3049" s="63"/>
      <c r="U3049" s="63"/>
      <c r="V3049" s="63"/>
      <c r="W3049" s="63">
        <v>58</v>
      </c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W3049" s="5">
        <f>IF(Q3049&gt;0,RANK(Q3049,(N3049:P3049,Q3049:AE3049)),0)</f>
        <v>3</v>
      </c>
      <c r="AX3049" s="5">
        <f>IF(R3049&gt;0,RANK(R3049,(N3049:P3049,Q3049:AE3049)),0)</f>
        <v>6</v>
      </c>
      <c r="AY3049" s="5">
        <f>IF(T3049&gt;0,RANK(T3049,(N3049:P3049,Q3049:AE3049)),0)</f>
        <v>0</v>
      </c>
      <c r="AZ3049" s="5">
        <f>IF(S3049&gt;0,RANK(S3049,(N3049:P3049,Q3049:AE3049)),0)</f>
        <v>0</v>
      </c>
      <c r="BA3049" s="2">
        <f t="shared" si="1186"/>
        <v>4.2775532952487115E-2</v>
      </c>
      <c r="BB3049" s="2">
        <f t="shared" si="1187"/>
        <v>5.9913612930193672E-3</v>
      </c>
      <c r="BC3049" s="2">
        <f t="shared" si="1188"/>
        <v>0</v>
      </c>
      <c r="BD3049" s="2">
        <f t="shared" si="1189"/>
        <v>0</v>
      </c>
      <c r="BF3049" t="s">
        <v>1422</v>
      </c>
      <c r="BG3049" t="s">
        <v>1595</v>
      </c>
      <c r="BH3049">
        <v>2</v>
      </c>
      <c r="BJ3049" s="114">
        <v>51</v>
      </c>
      <c r="BK3049" s="116">
        <v>735</v>
      </c>
      <c r="BL3049" s="120">
        <f t="shared" ref="BL3049:BL3112" si="1190">1000*BJ3049+BK3049</f>
        <v>51735</v>
      </c>
      <c r="BN3049" s="5" t="s">
        <v>1249</v>
      </c>
    </row>
    <row r="3050" spans="1:66" hidden="1" outlineLevel="1">
      <c r="A3050" t="s">
        <v>1290</v>
      </c>
      <c r="B3050" t="s">
        <v>1595</v>
      </c>
      <c r="C3050" s="1">
        <f t="shared" si="1181"/>
        <v>43261</v>
      </c>
      <c r="D3050" s="5">
        <f>IF(N3050&gt;0, RANK(N3050,(N3050:P3050,Q3050:AE3050)),0)</f>
        <v>1</v>
      </c>
      <c r="E3050" s="5">
        <f>IF(O3050&gt;0,RANK(O3050,(N3050:P3050,Q3050:AE3050)),0)</f>
        <v>2</v>
      </c>
      <c r="F3050" s="5">
        <f>IF(P3050&gt;0,RANK(P3050,(N3050:P3050,Q3050:AE3050)),0)</f>
        <v>4</v>
      </c>
      <c r="G3050" s="132">
        <f t="shared" si="1179"/>
        <v>15702</v>
      </c>
      <c r="H3050" s="137">
        <f t="shared" si="1180"/>
        <v>0.36295970966921709</v>
      </c>
      <c r="I3050" s="2"/>
      <c r="J3050" s="2">
        <f t="shared" si="1182"/>
        <v>0.65872263701717482</v>
      </c>
      <c r="K3050" s="2">
        <f t="shared" si="1183"/>
        <v>0.29576292734795773</v>
      </c>
      <c r="L3050" s="2">
        <f t="shared" si="1184"/>
        <v>7.6512332123621742E-3</v>
      </c>
      <c r="M3050" s="2">
        <f t="shared" si="1185"/>
        <v>3.7863202422505279E-2</v>
      </c>
      <c r="N3050" s="63">
        <v>28497</v>
      </c>
      <c r="O3050" s="63">
        <v>12795</v>
      </c>
      <c r="P3050" s="63">
        <v>331</v>
      </c>
      <c r="Q3050" s="63">
        <v>1096</v>
      </c>
      <c r="R3050" s="63">
        <v>323</v>
      </c>
      <c r="S3050" s="63"/>
      <c r="T3050" s="63"/>
      <c r="U3050" s="63"/>
      <c r="V3050" s="63"/>
      <c r="W3050" s="63">
        <v>219</v>
      </c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W3050" s="5">
        <f>IF(Q3050&gt;0,RANK(Q3050,(N3050:P3050,Q3050:AE3050)),0)</f>
        <v>3</v>
      </c>
      <c r="AX3050" s="5">
        <f>IF(R3050&gt;0,RANK(R3050,(N3050:P3050,Q3050:AE3050)),0)</f>
        <v>5</v>
      </c>
      <c r="AY3050" s="5">
        <f>IF(T3050&gt;0,RANK(T3050,(N3050:P3050,Q3050:AE3050)),0)</f>
        <v>0</v>
      </c>
      <c r="AZ3050" s="5">
        <f>IF(S3050&gt;0,RANK(S3050,(N3050:P3050,Q3050:AE3050)),0)</f>
        <v>0</v>
      </c>
      <c r="BA3050" s="2">
        <f t="shared" si="1186"/>
        <v>2.5334596981114631E-2</v>
      </c>
      <c r="BB3050" s="2">
        <f t="shared" si="1187"/>
        <v>7.4663091468065929E-3</v>
      </c>
      <c r="BC3050" s="2">
        <f t="shared" si="1188"/>
        <v>0</v>
      </c>
      <c r="BD3050" s="2">
        <f t="shared" si="1189"/>
        <v>0</v>
      </c>
      <c r="BF3050" t="s">
        <v>1290</v>
      </c>
      <c r="BG3050" t="s">
        <v>1595</v>
      </c>
      <c r="BH3050">
        <v>3</v>
      </c>
      <c r="BJ3050" s="114">
        <v>51</v>
      </c>
      <c r="BK3050" s="116">
        <v>740</v>
      </c>
      <c r="BL3050" s="120">
        <f t="shared" si="1190"/>
        <v>51740</v>
      </c>
      <c r="BN3050" s="5" t="s">
        <v>1249</v>
      </c>
    </row>
    <row r="3051" spans="1:66" hidden="1" outlineLevel="1">
      <c r="A3051" t="s">
        <v>1124</v>
      </c>
      <c r="B3051" t="s">
        <v>1595</v>
      </c>
      <c r="C3051" s="1">
        <f t="shared" si="1181"/>
        <v>6082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4</v>
      </c>
      <c r="G3051" s="132">
        <f t="shared" si="1179"/>
        <v>287</v>
      </c>
      <c r="H3051" s="137">
        <f t="shared" si="1180"/>
        <v>4.7188424860243341E-2</v>
      </c>
      <c r="I3051" s="2"/>
      <c r="J3051" s="2">
        <f t="shared" si="1182"/>
        <v>0.48092732653732323</v>
      </c>
      <c r="K3051" s="2">
        <f t="shared" si="1183"/>
        <v>0.4337389016770799</v>
      </c>
      <c r="L3051" s="2">
        <f t="shared" si="1184"/>
        <v>1.8579414666228214E-2</v>
      </c>
      <c r="M3051" s="2">
        <f t="shared" si="1185"/>
        <v>6.6754357119368599E-2</v>
      </c>
      <c r="N3051" s="63">
        <v>2925</v>
      </c>
      <c r="O3051" s="63">
        <v>2638</v>
      </c>
      <c r="P3051" s="63">
        <v>113</v>
      </c>
      <c r="Q3051" s="63">
        <v>301</v>
      </c>
      <c r="R3051" s="63">
        <v>58</v>
      </c>
      <c r="S3051" s="63"/>
      <c r="T3051" s="63"/>
      <c r="U3051" s="63"/>
      <c r="V3051" s="63"/>
      <c r="W3051" s="63">
        <v>47</v>
      </c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W3051" s="5">
        <f>IF(Q3051&gt;0,RANK(Q3051,(N3051:P3051,Q3051:AE3051)),0)</f>
        <v>3</v>
      </c>
      <c r="AX3051" s="5">
        <f>IF(R3051&gt;0,RANK(R3051,(N3051:P3051,Q3051:AE3051)),0)</f>
        <v>5</v>
      </c>
      <c r="AY3051" s="5">
        <f>IF(T3051&gt;0,RANK(T3051,(N3051:P3051,Q3051:AE3051)),0)</f>
        <v>0</v>
      </c>
      <c r="AZ3051" s="5">
        <f>IF(S3051&gt;0,RANK(S3051,(N3051:P3051,Q3051:AE3051)),0)</f>
        <v>0</v>
      </c>
      <c r="BA3051" s="2">
        <f t="shared" si="1186"/>
        <v>4.9490299243669843E-2</v>
      </c>
      <c r="BB3051" s="2">
        <f t="shared" si="1187"/>
        <v>9.5363367313383747E-3</v>
      </c>
      <c r="BC3051" s="2">
        <f t="shared" si="1188"/>
        <v>0</v>
      </c>
      <c r="BD3051" s="2">
        <f t="shared" si="1189"/>
        <v>0</v>
      </c>
      <c r="BF3051" t="s">
        <v>1124</v>
      </c>
      <c r="BG3051" t="s">
        <v>1595</v>
      </c>
      <c r="BH3051">
        <v>9</v>
      </c>
      <c r="BJ3051" s="114">
        <v>51</v>
      </c>
      <c r="BK3051" s="116">
        <v>750</v>
      </c>
      <c r="BL3051" s="120">
        <f t="shared" si="1190"/>
        <v>51750</v>
      </c>
      <c r="BN3051" s="5" t="s">
        <v>1249</v>
      </c>
    </row>
    <row r="3052" spans="1:66" hidden="1" outlineLevel="1">
      <c r="A3052" t="s">
        <v>1881</v>
      </c>
      <c r="B3052" t="s">
        <v>1595</v>
      </c>
      <c r="C3052" s="1">
        <f t="shared" si="1181"/>
        <v>103406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5</v>
      </c>
      <c r="G3052" s="132">
        <f t="shared" si="1179"/>
        <v>65678</v>
      </c>
      <c r="H3052" s="137">
        <f t="shared" si="1180"/>
        <v>0.63514689669845081</v>
      </c>
      <c r="I3052" s="2"/>
      <c r="J3052" s="2">
        <f t="shared" si="1182"/>
        <v>0.78582480707115643</v>
      </c>
      <c r="K3052" s="2">
        <f t="shared" si="1183"/>
        <v>0.15067791037270564</v>
      </c>
      <c r="L3052" s="2">
        <f t="shared" si="1184"/>
        <v>1.0869775448233178E-2</v>
      </c>
      <c r="M3052" s="2">
        <f t="shared" si="1185"/>
        <v>5.2627507107904752E-2</v>
      </c>
      <c r="N3052" s="63">
        <v>81259</v>
      </c>
      <c r="O3052" s="63">
        <v>15581</v>
      </c>
      <c r="P3052" s="63">
        <v>1124</v>
      </c>
      <c r="Q3052" s="63">
        <v>3617</v>
      </c>
      <c r="R3052" s="63">
        <v>1134</v>
      </c>
      <c r="S3052" s="63"/>
      <c r="T3052" s="63"/>
      <c r="U3052" s="63"/>
      <c r="V3052" s="63"/>
      <c r="W3052" s="63">
        <v>691</v>
      </c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W3052" s="5">
        <f>IF(Q3052&gt;0,RANK(Q3052,(N3052:P3052,Q3052:AE3052)),0)</f>
        <v>3</v>
      </c>
      <c r="AX3052" s="5">
        <f>IF(R3052&gt;0,RANK(R3052,(N3052:P3052,Q3052:AE3052)),0)</f>
        <v>4</v>
      </c>
      <c r="AY3052" s="5">
        <f>IF(T3052&gt;0,RANK(T3052,(N3052:P3052,Q3052:AE3052)),0)</f>
        <v>0</v>
      </c>
      <c r="AZ3052" s="5">
        <f>IF(S3052&gt;0,RANK(S3052,(N3052:P3052,Q3052:AE3052)),0)</f>
        <v>0</v>
      </c>
      <c r="BA3052" s="2">
        <f t="shared" si="1186"/>
        <v>3.4978627932615129E-2</v>
      </c>
      <c r="BB3052" s="2">
        <f t="shared" si="1187"/>
        <v>1.0966481635495039E-2</v>
      </c>
      <c r="BC3052" s="2">
        <f t="shared" si="1188"/>
        <v>0</v>
      </c>
      <c r="BD3052" s="2">
        <f t="shared" si="1189"/>
        <v>0</v>
      </c>
      <c r="BF3052" t="s">
        <v>1881</v>
      </c>
      <c r="BG3052" t="s">
        <v>1595</v>
      </c>
      <c r="BH3052">
        <v>4</v>
      </c>
      <c r="BJ3052" s="114">
        <v>51</v>
      </c>
      <c r="BK3052" s="116">
        <v>760</v>
      </c>
      <c r="BL3052" s="120">
        <f t="shared" si="1190"/>
        <v>51760</v>
      </c>
      <c r="BN3052" s="5" t="s">
        <v>1249</v>
      </c>
    </row>
    <row r="3053" spans="1:66" hidden="1" outlineLevel="1">
      <c r="A3053" t="s">
        <v>108</v>
      </c>
      <c r="B3053" t="s">
        <v>1595</v>
      </c>
      <c r="C3053" s="1">
        <f t="shared" si="1181"/>
        <v>39466</v>
      </c>
      <c r="D3053" s="5">
        <f>IF(N3053&gt;0, RANK(N3053,(N3053:P3053,Q3053:AE3053)),0)</f>
        <v>1</v>
      </c>
      <c r="E3053" s="5">
        <f>IF(O3053&gt;0,RANK(O3053,(N3053:P3053,Q3053:AE3053)),0)</f>
        <v>2</v>
      </c>
      <c r="F3053" s="5">
        <f>IF(P3053&gt;0,RANK(P3053,(N3053:P3053,Q3053:AE3053)),0)</f>
        <v>4</v>
      </c>
      <c r="G3053" s="132">
        <f t="shared" si="1179"/>
        <v>7497</v>
      </c>
      <c r="H3053" s="137">
        <f t="shared" si="1180"/>
        <v>0.1899609790705924</v>
      </c>
      <c r="I3053" s="2"/>
      <c r="J3053" s="2">
        <f t="shared" si="1182"/>
        <v>0.56468859271271477</v>
      </c>
      <c r="K3053" s="2">
        <f t="shared" si="1183"/>
        <v>0.37472761364212231</v>
      </c>
      <c r="L3053" s="2">
        <f t="shared" si="1184"/>
        <v>1.0464703795672225E-2</v>
      </c>
      <c r="M3053" s="2">
        <f t="shared" si="1185"/>
        <v>5.0119089849490692E-2</v>
      </c>
      <c r="N3053" s="63">
        <v>22286</v>
      </c>
      <c r="O3053" s="63">
        <v>14789</v>
      </c>
      <c r="P3053" s="63">
        <v>413</v>
      </c>
      <c r="Q3053" s="63">
        <v>1316</v>
      </c>
      <c r="R3053" s="63">
        <v>411</v>
      </c>
      <c r="S3053" s="63"/>
      <c r="T3053" s="63"/>
      <c r="U3053" s="63"/>
      <c r="V3053" s="63"/>
      <c r="W3053" s="63">
        <v>251</v>
      </c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W3053" s="5">
        <f>IF(Q3053&gt;0,RANK(Q3053,(N3053:P3053,Q3053:AE3053)),0)</f>
        <v>3</v>
      </c>
      <c r="AX3053" s="5">
        <f>IF(R3053&gt;0,RANK(R3053,(N3053:P3053,Q3053:AE3053)),0)</f>
        <v>5</v>
      </c>
      <c r="AY3053" s="5">
        <f>IF(T3053&gt;0,RANK(T3053,(N3053:P3053,Q3053:AE3053)),0)</f>
        <v>0</v>
      </c>
      <c r="AZ3053" s="5">
        <f>IF(S3053&gt;0,RANK(S3053,(N3053:P3053,Q3053:AE3053)),0)</f>
        <v>0</v>
      </c>
      <c r="BA3053" s="2">
        <f t="shared" si="1186"/>
        <v>3.3345157857396238E-2</v>
      </c>
      <c r="BB3053" s="2">
        <f t="shared" si="1187"/>
        <v>1.0414027263974054E-2</v>
      </c>
      <c r="BC3053" s="2">
        <f t="shared" si="1188"/>
        <v>0</v>
      </c>
      <c r="BD3053" s="2">
        <f t="shared" si="1189"/>
        <v>0</v>
      </c>
      <c r="BF3053" t="s">
        <v>108</v>
      </c>
      <c r="BG3053" t="s">
        <v>1595</v>
      </c>
      <c r="BH3053">
        <v>6</v>
      </c>
      <c r="BJ3053" s="114">
        <v>51</v>
      </c>
      <c r="BK3053" s="116">
        <v>770</v>
      </c>
      <c r="BL3053" s="120">
        <f t="shared" si="1190"/>
        <v>51770</v>
      </c>
      <c r="BN3053" s="5" t="s">
        <v>1249</v>
      </c>
    </row>
    <row r="3054" spans="1:66" hidden="1" outlineLevel="1">
      <c r="A3054" t="s">
        <v>2880</v>
      </c>
      <c r="B3054" t="s">
        <v>1595</v>
      </c>
      <c r="C3054" s="1">
        <f t="shared" si="1181"/>
        <v>12225</v>
      </c>
      <c r="D3054" s="5">
        <f>IF(N3054&gt;0, RANK(N3054,(N3054:P3054,Q3054:AE3054)),0)</f>
        <v>2</v>
      </c>
      <c r="E3054" s="5">
        <f>IF(O3054&gt;0,RANK(O3054,(N3054:P3054,Q3054:AE3054)),0)</f>
        <v>1</v>
      </c>
      <c r="F3054" s="5">
        <f>IF(P3054&gt;0,RANK(P3054,(N3054:P3054,Q3054:AE3054)),0)</f>
        <v>4</v>
      </c>
      <c r="G3054" s="132">
        <f t="shared" si="1179"/>
        <v>3024</v>
      </c>
      <c r="H3054" s="137">
        <f t="shared" si="1180"/>
        <v>0.24736196319018405</v>
      </c>
      <c r="I3054" s="2"/>
      <c r="J3054" s="2">
        <f t="shared" ref="J3054:J3061" si="1191">IF($C3054=0,"-",N3054/$C3054)</f>
        <v>0.34372188139059306</v>
      </c>
      <c r="K3054" s="2">
        <f t="shared" ref="K3054:K3061" si="1192">IF($C3054=0,"-",O3054/$C3054)</f>
        <v>0.59108384458077712</v>
      </c>
      <c r="L3054" s="2">
        <f t="shared" si="1184"/>
        <v>1.2924335378323108E-2</v>
      </c>
      <c r="M3054" s="2">
        <f t="shared" ref="M3054:M3061" si="1193">IF(C3054=0,"-",(1-J3054-K3054-L3054))</f>
        <v>5.2269938650306658E-2</v>
      </c>
      <c r="N3054" s="63">
        <v>4202</v>
      </c>
      <c r="O3054" s="63">
        <v>7226</v>
      </c>
      <c r="P3054" s="63">
        <v>158</v>
      </c>
      <c r="Q3054" s="63">
        <v>442</v>
      </c>
      <c r="R3054" s="63">
        <v>92</v>
      </c>
      <c r="S3054" s="63"/>
      <c r="T3054" s="63"/>
      <c r="U3054" s="63"/>
      <c r="V3054" s="63"/>
      <c r="W3054" s="63">
        <v>105</v>
      </c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W3054" s="5">
        <f>IF(Q3054&gt;0,RANK(Q3054,(N3054:P3054,Q3054:AE3054)),0)</f>
        <v>3</v>
      </c>
      <c r="AX3054" s="5">
        <f>IF(R3054&gt;0,RANK(R3054,(N3054:P3054,Q3054:AE3054)),0)</f>
        <v>6</v>
      </c>
      <c r="AY3054" s="5">
        <f>IF(T3054&gt;0,RANK(T3054,(N3054:P3054,Q3054:AE3054)),0)</f>
        <v>0</v>
      </c>
      <c r="AZ3054" s="5">
        <f>IF(S3054&gt;0,RANK(S3054,(N3054:P3054,Q3054:AE3054)),0)</f>
        <v>0</v>
      </c>
      <c r="BA3054" s="2">
        <f t="shared" si="1186"/>
        <v>3.6155419222903884E-2</v>
      </c>
      <c r="BB3054" s="2">
        <f t="shared" si="1187"/>
        <v>7.5255623721881392E-3</v>
      </c>
      <c r="BC3054" s="2">
        <f t="shared" si="1188"/>
        <v>0</v>
      </c>
      <c r="BD3054" s="2">
        <f t="shared" si="1189"/>
        <v>0</v>
      </c>
      <c r="BF3054" t="s">
        <v>2880</v>
      </c>
      <c r="BG3054" t="s">
        <v>1595</v>
      </c>
      <c r="BH3054">
        <v>9</v>
      </c>
      <c r="BJ3054" s="114">
        <v>51</v>
      </c>
      <c r="BK3054" s="116">
        <v>775</v>
      </c>
      <c r="BL3054" s="120">
        <f t="shared" si="1190"/>
        <v>51775</v>
      </c>
      <c r="BN3054" s="5" t="s">
        <v>1249</v>
      </c>
    </row>
    <row r="3055" spans="1:66" hidden="1" outlineLevel="1">
      <c r="A3055" t="s">
        <v>1041</v>
      </c>
      <c r="B3055" t="s">
        <v>1595</v>
      </c>
      <c r="C3055" s="1">
        <f t="shared" ref="C3055:C3061" si="1194">SUM(N3055:AU3055)</f>
        <v>11255</v>
      </c>
      <c r="D3055" s="5">
        <f>IF(N3055&gt;0, RANK(N3055,(N3055:P3055,Q3055:AE3055)),0)</f>
        <v>1</v>
      </c>
      <c r="E3055" s="5">
        <f>IF(O3055&gt;0,RANK(O3055,(N3055:P3055,Q3055:AE3055)),0)</f>
        <v>2</v>
      </c>
      <c r="F3055" s="5">
        <f>IF(P3055&gt;0,RANK(P3055,(N3055:P3055,Q3055:AE3055)),0)</f>
        <v>4</v>
      </c>
      <c r="G3055" s="132">
        <f t="shared" si="1179"/>
        <v>200</v>
      </c>
      <c r="H3055" s="137">
        <f t="shared" si="1180"/>
        <v>1.776988005330964E-2</v>
      </c>
      <c r="I3055" s="2"/>
      <c r="J3055" s="2">
        <f t="shared" si="1191"/>
        <v>0.47383385162150155</v>
      </c>
      <c r="K3055" s="2">
        <f t="shared" si="1192"/>
        <v>0.45606397156819189</v>
      </c>
      <c r="L3055" s="2">
        <f t="shared" ref="L3055:L3061" si="1195">IF($C3055=0,"-",P3055/$C3055)</f>
        <v>1.4127054642381164E-2</v>
      </c>
      <c r="M3055" s="2">
        <f t="shared" si="1193"/>
        <v>5.5975122167925453E-2</v>
      </c>
      <c r="N3055" s="63">
        <v>5333</v>
      </c>
      <c r="O3055" s="63">
        <v>5133</v>
      </c>
      <c r="P3055" s="63">
        <v>159</v>
      </c>
      <c r="Q3055" s="63">
        <v>419</v>
      </c>
      <c r="R3055" s="63">
        <v>109</v>
      </c>
      <c r="S3055" s="63"/>
      <c r="T3055" s="63"/>
      <c r="U3055" s="63"/>
      <c r="V3055" s="63"/>
      <c r="W3055" s="63">
        <v>102</v>
      </c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W3055" s="5">
        <f>IF(Q3055&gt;0,RANK(Q3055,(N3055:P3055,Q3055:AE3055)),0)</f>
        <v>3</v>
      </c>
      <c r="AX3055" s="5">
        <f>IF(R3055&gt;0,RANK(R3055,(N3055:P3055,Q3055:AE3055)),0)</f>
        <v>5</v>
      </c>
      <c r="AY3055" s="5">
        <f>IF(T3055&gt;0,RANK(T3055,(N3055:P3055,Q3055:AE3055)),0)</f>
        <v>0</v>
      </c>
      <c r="AZ3055" s="5">
        <f>IF(S3055&gt;0,RANK(S3055,(N3055:P3055,Q3055:AE3055)),0)</f>
        <v>0</v>
      </c>
      <c r="BA3055" s="2">
        <f t="shared" ref="BA3055:BA3061" si="1196">IF($C3055=0,"-",Q3055/$C3055)</f>
        <v>3.7227898711683693E-2</v>
      </c>
      <c r="BB3055" s="2">
        <f t="shared" ref="BB3055:BB3061" si="1197">IF($C3055=0,"-",R3055/$C3055)</f>
        <v>9.6845846290537531E-3</v>
      </c>
      <c r="BC3055" s="2">
        <f t="shared" ref="BC3055:BC3061" si="1198">IF($C3055=0,"-",T3055/$C3055)</f>
        <v>0</v>
      </c>
      <c r="BD3055" s="2">
        <f t="shared" ref="BD3055:BD3061" si="1199">IF($C3055=0,"-",S3055/$C3055)</f>
        <v>0</v>
      </c>
      <c r="BF3055" t="s">
        <v>1041</v>
      </c>
      <c r="BG3055" t="s">
        <v>1595</v>
      </c>
      <c r="BH3055">
        <v>6</v>
      </c>
      <c r="BJ3055" s="114">
        <v>51</v>
      </c>
      <c r="BK3055" s="116">
        <v>790</v>
      </c>
      <c r="BL3055" s="120">
        <f t="shared" si="1190"/>
        <v>51790</v>
      </c>
      <c r="BN3055" s="5" t="s">
        <v>1249</v>
      </c>
    </row>
    <row r="3056" spans="1:66" hidden="1" outlineLevel="1">
      <c r="A3056" t="s">
        <v>1468</v>
      </c>
      <c r="B3056" t="s">
        <v>1595</v>
      </c>
      <c r="C3056" s="1">
        <f t="shared" si="1194"/>
        <v>43240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4</v>
      </c>
      <c r="G3056" s="132">
        <f t="shared" si="1179"/>
        <v>5274</v>
      </c>
      <c r="H3056" s="137">
        <f t="shared" si="1180"/>
        <v>0.12197039777983348</v>
      </c>
      <c r="I3056" s="2"/>
      <c r="J3056" s="2">
        <f t="shared" si="1191"/>
        <v>0.53839037927844591</v>
      </c>
      <c r="K3056" s="2">
        <f t="shared" si="1192"/>
        <v>0.41641998149861237</v>
      </c>
      <c r="L3056" s="2">
        <f t="shared" si="1195"/>
        <v>1.0083256244218316E-2</v>
      </c>
      <c r="M3056" s="2">
        <f t="shared" si="1193"/>
        <v>3.5106382978723406E-2</v>
      </c>
      <c r="N3056" s="63">
        <v>23280</v>
      </c>
      <c r="O3056" s="63">
        <v>18006</v>
      </c>
      <c r="P3056" s="63">
        <v>436</v>
      </c>
      <c r="Q3056" s="63">
        <v>1098</v>
      </c>
      <c r="R3056" s="63">
        <v>223</v>
      </c>
      <c r="S3056" s="63"/>
      <c r="T3056" s="63"/>
      <c r="U3056" s="63"/>
      <c r="V3056" s="63"/>
      <c r="W3056" s="63">
        <v>197</v>
      </c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W3056" s="5">
        <f>IF(Q3056&gt;0,RANK(Q3056,(N3056:P3056,Q3056:AE3056)),0)</f>
        <v>3</v>
      </c>
      <c r="AX3056" s="5">
        <f>IF(R3056&gt;0,RANK(R3056,(N3056:P3056,Q3056:AE3056)),0)</f>
        <v>5</v>
      </c>
      <c r="AY3056" s="5">
        <f>IF(T3056&gt;0,RANK(T3056,(N3056:P3056,Q3056:AE3056)),0)</f>
        <v>0</v>
      </c>
      <c r="AZ3056" s="5">
        <f>IF(S3056&gt;0,RANK(S3056,(N3056:P3056,Q3056:AE3056)),0)</f>
        <v>0</v>
      </c>
      <c r="BA3056" s="2">
        <f t="shared" si="1196"/>
        <v>2.5393154486586494E-2</v>
      </c>
      <c r="BB3056" s="2">
        <f t="shared" si="1197"/>
        <v>5.1572617946345975E-3</v>
      </c>
      <c r="BC3056" s="2">
        <f t="shared" si="1198"/>
        <v>0</v>
      </c>
      <c r="BD3056" s="2">
        <f t="shared" si="1199"/>
        <v>0</v>
      </c>
      <c r="BF3056" t="s">
        <v>1468</v>
      </c>
      <c r="BG3056" t="s">
        <v>1595</v>
      </c>
      <c r="BJ3056" s="114">
        <v>51</v>
      </c>
      <c r="BK3056" s="116">
        <v>800</v>
      </c>
      <c r="BL3056" s="120">
        <f t="shared" si="1190"/>
        <v>51800</v>
      </c>
      <c r="BN3056" s="5" t="s">
        <v>1249</v>
      </c>
    </row>
    <row r="3057" spans="1:82" hidden="1" outlineLevel="1">
      <c r="A3057" t="s">
        <v>1843</v>
      </c>
      <c r="B3057" t="s">
        <v>1595</v>
      </c>
      <c r="C3057" s="1">
        <f t="shared" si="1194"/>
        <v>203019</v>
      </c>
      <c r="D3057" s="5">
        <f>IF(N3057&gt;0, RANK(N3057,(N3057:P3057,Q3057:AE3057)),0)</f>
        <v>2</v>
      </c>
      <c r="E3057" s="5">
        <f>IF(O3057&gt;0,RANK(O3057,(N3057:P3057,Q3057:AE3057)),0)</f>
        <v>1</v>
      </c>
      <c r="F3057" s="5">
        <f>IF(P3057&gt;0,RANK(P3057,(N3057:P3057,Q3057:AE3057)),0)</f>
        <v>4</v>
      </c>
      <c r="G3057" s="132">
        <f t="shared" si="1179"/>
        <v>7192</v>
      </c>
      <c r="H3057" s="137">
        <f t="shared" si="1180"/>
        <v>3.5425255764238814E-2</v>
      </c>
      <c r="I3057" s="2"/>
      <c r="J3057" s="2">
        <f t="shared" si="1191"/>
        <v>0.44839152985681141</v>
      </c>
      <c r="K3057" s="2">
        <f t="shared" si="1192"/>
        <v>0.48381678562105024</v>
      </c>
      <c r="L3057" s="2">
        <f t="shared" si="1195"/>
        <v>1.1018673129115994E-2</v>
      </c>
      <c r="M3057" s="2">
        <f t="shared" si="1193"/>
        <v>5.6773011393022356E-2</v>
      </c>
      <c r="N3057" s="63">
        <v>91032</v>
      </c>
      <c r="O3057" s="63">
        <v>98224</v>
      </c>
      <c r="P3057" s="63">
        <v>2237</v>
      </c>
      <c r="Q3057" s="63">
        <v>8255</v>
      </c>
      <c r="R3057" s="63">
        <v>1737</v>
      </c>
      <c r="S3057" s="63"/>
      <c r="T3057" s="63"/>
      <c r="U3057" s="63"/>
      <c r="V3057" s="63"/>
      <c r="W3057" s="63">
        <v>1534</v>
      </c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W3057" s="5">
        <f>IF(Q3057&gt;0,RANK(Q3057,(N3057:P3057,Q3057:AE3057)),0)</f>
        <v>3</v>
      </c>
      <c r="AX3057" s="5">
        <f>IF(R3057&gt;0,RANK(R3057,(N3057:P3057,Q3057:AE3057)),0)</f>
        <v>5</v>
      </c>
      <c r="AY3057" s="5">
        <f>IF(T3057&gt;0,RANK(T3057,(N3057:P3057,Q3057:AE3057)),0)</f>
        <v>0</v>
      </c>
      <c r="AZ3057" s="5">
        <f>IF(S3057&gt;0,RANK(S3057,(N3057:P3057,Q3057:AE3057)),0)</f>
        <v>0</v>
      </c>
      <c r="BA3057" s="2">
        <f t="shared" si="1196"/>
        <v>4.0661218900694025E-2</v>
      </c>
      <c r="BB3057" s="2">
        <f t="shared" si="1197"/>
        <v>8.5558494525142959E-3</v>
      </c>
      <c r="BC3057" s="2">
        <f t="shared" si="1198"/>
        <v>0</v>
      </c>
      <c r="BD3057" s="2">
        <f t="shared" si="1199"/>
        <v>0</v>
      </c>
      <c r="BF3057" t="s">
        <v>1843</v>
      </c>
      <c r="BG3057" t="s">
        <v>1595</v>
      </c>
      <c r="BH3057">
        <v>2</v>
      </c>
      <c r="BJ3057" s="114">
        <v>51</v>
      </c>
      <c r="BK3057" s="116">
        <v>810</v>
      </c>
      <c r="BL3057" s="120">
        <f t="shared" si="1190"/>
        <v>51810</v>
      </c>
      <c r="BN3057" s="5" t="s">
        <v>1249</v>
      </c>
    </row>
    <row r="3058" spans="1:82" hidden="1" outlineLevel="1">
      <c r="A3058" t="s">
        <v>1586</v>
      </c>
      <c r="B3058" t="s">
        <v>1595</v>
      </c>
      <c r="C3058" s="1">
        <f t="shared" si="1194"/>
        <v>9204</v>
      </c>
      <c r="D3058" s="5">
        <f>IF(N3058&gt;0, RANK(N3058,(N3058:P3058,Q3058:AE3058)),0)</f>
        <v>2</v>
      </c>
      <c r="E3058" s="5">
        <f>IF(O3058&gt;0,RANK(O3058,(N3058:P3058,Q3058:AE3058)),0)</f>
        <v>1</v>
      </c>
      <c r="F3058" s="5">
        <f>IF(P3058&gt;0,RANK(P3058,(N3058:P3058,Q3058:AE3058)),0)</f>
        <v>4</v>
      </c>
      <c r="G3058" s="132">
        <f t="shared" si="1179"/>
        <v>1037</v>
      </c>
      <c r="H3058" s="137">
        <f t="shared" si="1180"/>
        <v>0.1126684050412864</v>
      </c>
      <c r="I3058" s="2"/>
      <c r="J3058" s="2">
        <f t="shared" si="1191"/>
        <v>0.40895262929161236</v>
      </c>
      <c r="K3058" s="2">
        <f t="shared" si="1192"/>
        <v>0.52162103433289875</v>
      </c>
      <c r="L3058" s="2">
        <f t="shared" si="1195"/>
        <v>1.5754019991308127E-2</v>
      </c>
      <c r="M3058" s="2">
        <f t="shared" si="1193"/>
        <v>5.3672316384180768E-2</v>
      </c>
      <c r="N3058" s="63">
        <v>3764</v>
      </c>
      <c r="O3058" s="63">
        <v>4801</v>
      </c>
      <c r="P3058" s="63">
        <v>145</v>
      </c>
      <c r="Q3058" s="63">
        <v>336</v>
      </c>
      <c r="R3058" s="63">
        <v>74</v>
      </c>
      <c r="S3058" s="63"/>
      <c r="T3058" s="63"/>
      <c r="U3058" s="63"/>
      <c r="V3058" s="63"/>
      <c r="W3058" s="63">
        <v>84</v>
      </c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W3058" s="5">
        <f>IF(Q3058&gt;0,RANK(Q3058,(N3058:P3058,Q3058:AE3058)),0)</f>
        <v>3</v>
      </c>
      <c r="AX3058" s="5">
        <f>IF(R3058&gt;0,RANK(R3058,(N3058:P3058,Q3058:AE3058)),0)</f>
        <v>6</v>
      </c>
      <c r="AY3058" s="5">
        <f>IF(T3058&gt;0,RANK(T3058,(N3058:P3058,Q3058:AE3058)),0)</f>
        <v>0</v>
      </c>
      <c r="AZ3058" s="5">
        <f>IF(S3058&gt;0,RANK(S3058,(N3058:P3058,Q3058:AE3058)),0)</f>
        <v>0</v>
      </c>
      <c r="BA3058" s="2">
        <f t="shared" si="1196"/>
        <v>3.6505867014341588E-2</v>
      </c>
      <c r="BB3058" s="2">
        <f t="shared" si="1197"/>
        <v>8.0399826162538025E-3</v>
      </c>
      <c r="BC3058" s="2">
        <f t="shared" si="1198"/>
        <v>0</v>
      </c>
      <c r="BD3058" s="2">
        <f t="shared" si="1199"/>
        <v>0</v>
      </c>
      <c r="BF3058" t="s">
        <v>1586</v>
      </c>
      <c r="BG3058" t="s">
        <v>1595</v>
      </c>
      <c r="BH3058">
        <v>6</v>
      </c>
      <c r="BJ3058" s="114">
        <v>51</v>
      </c>
      <c r="BK3058" s="116">
        <v>820</v>
      </c>
      <c r="BL3058" s="120">
        <f t="shared" si="1190"/>
        <v>51820</v>
      </c>
      <c r="BN3058" s="5" t="s">
        <v>1249</v>
      </c>
    </row>
    <row r="3059" spans="1:82" hidden="1" outlineLevel="1">
      <c r="A3059" t="s">
        <v>63</v>
      </c>
      <c r="B3059" t="s">
        <v>1595</v>
      </c>
      <c r="C3059" s="1">
        <f t="shared" si="1194"/>
        <v>7626</v>
      </c>
      <c r="D3059" s="5">
        <f>IF(N3059&gt;0, RANK(N3059,(N3059:P3059,Q3059:AE3059)),0)</f>
        <v>1</v>
      </c>
      <c r="E3059" s="5">
        <f>IF(O3059&gt;0,RANK(O3059,(N3059:P3059,Q3059:AE3059)),0)</f>
        <v>2</v>
      </c>
      <c r="F3059" s="5">
        <f>IF(P3059&gt;0,RANK(P3059,(N3059:P3059,Q3059:AE3059)),0)</f>
        <v>4</v>
      </c>
      <c r="G3059" s="132">
        <f t="shared" si="1179"/>
        <v>3281</v>
      </c>
      <c r="H3059" s="137">
        <f t="shared" si="1180"/>
        <v>0.43023865722528193</v>
      </c>
      <c r="I3059" s="2"/>
      <c r="J3059" s="2">
        <f t="shared" si="1191"/>
        <v>0.68266456858116964</v>
      </c>
      <c r="K3059" s="2">
        <f t="shared" si="1192"/>
        <v>0.25242591135588777</v>
      </c>
      <c r="L3059" s="2">
        <f t="shared" si="1195"/>
        <v>1.3113034356150013E-2</v>
      </c>
      <c r="M3059" s="2">
        <f t="shared" si="1193"/>
        <v>5.1796485706792579E-2</v>
      </c>
      <c r="N3059" s="63">
        <v>5206</v>
      </c>
      <c r="O3059" s="63">
        <v>1925</v>
      </c>
      <c r="P3059" s="63">
        <v>100</v>
      </c>
      <c r="Q3059" s="63">
        <v>231</v>
      </c>
      <c r="R3059" s="63">
        <v>84</v>
      </c>
      <c r="S3059" s="63"/>
      <c r="T3059" s="63"/>
      <c r="U3059" s="63"/>
      <c r="V3059" s="63"/>
      <c r="W3059" s="63">
        <v>80</v>
      </c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W3059" s="5">
        <f>IF(Q3059&gt;0,RANK(Q3059,(N3059:P3059,Q3059:AE3059)),0)</f>
        <v>3</v>
      </c>
      <c r="AX3059" s="5">
        <f>IF(R3059&gt;0,RANK(R3059,(N3059:P3059,Q3059:AE3059)),0)</f>
        <v>5</v>
      </c>
      <c r="AY3059" s="5">
        <f>IF(T3059&gt;0,RANK(T3059,(N3059:P3059,Q3059:AE3059)),0)</f>
        <v>0</v>
      </c>
      <c r="AZ3059" s="5">
        <f>IF(S3059&gt;0,RANK(S3059,(N3059:P3059,Q3059:AE3059)),0)</f>
        <v>0</v>
      </c>
      <c r="BA3059" s="2">
        <f t="shared" si="1196"/>
        <v>3.0291109362706532E-2</v>
      </c>
      <c r="BB3059" s="2">
        <f t="shared" si="1197"/>
        <v>1.1014948859166011E-2</v>
      </c>
      <c r="BC3059" s="2">
        <f t="shared" si="1198"/>
        <v>0</v>
      </c>
      <c r="BD3059" s="2">
        <f t="shared" si="1199"/>
        <v>0</v>
      </c>
      <c r="BF3059" t="s">
        <v>63</v>
      </c>
      <c r="BG3059" t="s">
        <v>1595</v>
      </c>
      <c r="BH3059">
        <v>2</v>
      </c>
      <c r="BJ3059" s="114">
        <v>51</v>
      </c>
      <c r="BK3059" s="116">
        <v>830</v>
      </c>
      <c r="BL3059" s="120">
        <f t="shared" si="1190"/>
        <v>51830</v>
      </c>
      <c r="BN3059" s="5" t="s">
        <v>1249</v>
      </c>
    </row>
    <row r="3060" spans="1:82" hidden="1" outlineLevel="1">
      <c r="A3060" t="s">
        <v>893</v>
      </c>
      <c r="B3060" t="s">
        <v>1595</v>
      </c>
      <c r="C3060" s="1">
        <f t="shared" si="1194"/>
        <v>10665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4</v>
      </c>
      <c r="G3060" s="132">
        <f t="shared" si="1179"/>
        <v>374</v>
      </c>
      <c r="H3060" s="137">
        <f t="shared" si="1180"/>
        <v>3.5067979371776838E-2</v>
      </c>
      <c r="I3060" s="2"/>
      <c r="J3060" s="2">
        <f t="shared" si="1191"/>
        <v>0.4842006563525551</v>
      </c>
      <c r="K3060" s="2">
        <f t="shared" si="1192"/>
        <v>0.44913267698077824</v>
      </c>
      <c r="L3060" s="2">
        <f t="shared" si="1195"/>
        <v>1.2001875293014533E-2</v>
      </c>
      <c r="M3060" s="2">
        <f t="shared" si="1193"/>
        <v>5.4664791373652065E-2</v>
      </c>
      <c r="N3060" s="63">
        <v>5164</v>
      </c>
      <c r="O3060" s="63">
        <v>4790</v>
      </c>
      <c r="P3060" s="63">
        <v>128</v>
      </c>
      <c r="Q3060" s="63">
        <v>400</v>
      </c>
      <c r="R3060" s="63">
        <v>99</v>
      </c>
      <c r="S3060" s="63"/>
      <c r="T3060" s="63"/>
      <c r="U3060" s="63"/>
      <c r="V3060" s="63"/>
      <c r="W3060" s="63">
        <v>84</v>
      </c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W3060" s="5">
        <f>IF(Q3060&gt;0,RANK(Q3060,(N3060:P3060,Q3060:AE3060)),0)</f>
        <v>3</v>
      </c>
      <c r="AX3060" s="5">
        <f>IF(R3060&gt;0,RANK(R3060,(N3060:P3060,Q3060:AE3060)),0)</f>
        <v>5</v>
      </c>
      <c r="AY3060" s="5">
        <f>IF(T3060&gt;0,RANK(T3060,(N3060:P3060,Q3060:AE3060)),0)</f>
        <v>0</v>
      </c>
      <c r="AZ3060" s="5">
        <f>IF(S3060&gt;0,RANK(S3060,(N3060:P3060,Q3060:AE3060)),0)</f>
        <v>0</v>
      </c>
      <c r="BA3060" s="2">
        <f t="shared" si="1196"/>
        <v>3.750586029067042E-2</v>
      </c>
      <c r="BB3060" s="2">
        <f t="shared" si="1197"/>
        <v>9.282700421940928E-3</v>
      </c>
      <c r="BC3060" s="2">
        <f t="shared" si="1198"/>
        <v>0</v>
      </c>
      <c r="BD3060" s="2">
        <f t="shared" si="1199"/>
        <v>0</v>
      </c>
      <c r="BF3060" t="s">
        <v>893</v>
      </c>
      <c r="BG3060" t="s">
        <v>1595</v>
      </c>
      <c r="BH3060">
        <v>10</v>
      </c>
      <c r="BJ3060" s="114">
        <v>51</v>
      </c>
      <c r="BK3060" s="116">
        <v>840</v>
      </c>
      <c r="BL3060" s="120">
        <f t="shared" si="1190"/>
        <v>51840</v>
      </c>
      <c r="BN3060" s="5" t="s">
        <v>1249</v>
      </c>
    </row>
    <row r="3061" spans="1:82" collapsed="1">
      <c r="A3061" t="s">
        <v>1008</v>
      </c>
      <c r="B3061" t="s">
        <v>544</v>
      </c>
      <c r="C3061" s="1">
        <f t="shared" si="1194"/>
        <v>3982752</v>
      </c>
      <c r="D3061" s="5">
        <f>IF(N3061&gt;0, RANK(N3061,(N3061:P3061,Q3061:AE3061)),0)</f>
        <v>1</v>
      </c>
      <c r="E3061" s="5">
        <f>IF(O3061&gt;0,RANK(O3061,(N3061:P3061,Q3061:AE3061)),0)</f>
        <v>2</v>
      </c>
      <c r="F3061" s="5">
        <f>IF(P3061&gt;0,RANK(P3061,(N3061:P3061,Q3061:AE3061)),0)</f>
        <v>4</v>
      </c>
      <c r="G3061" s="132">
        <f t="shared" si="1179"/>
        <v>212030</v>
      </c>
      <c r="H3061" s="137">
        <f t="shared" si="1180"/>
        <v>5.3237058194936564E-2</v>
      </c>
      <c r="I3061" s="2"/>
      <c r="J3061" s="2">
        <f t="shared" si="1191"/>
        <v>0.49751352833417695</v>
      </c>
      <c r="K3061" s="2">
        <f t="shared" si="1192"/>
        <v>0.44427647013924043</v>
      </c>
      <c r="L3061" s="2">
        <f t="shared" si="1195"/>
        <v>1.3572022561284258E-2</v>
      </c>
      <c r="M3061" s="2">
        <f t="shared" si="1193"/>
        <v>4.4637978965298364E-2</v>
      </c>
      <c r="N3061" s="63">
        <f>SUM(N2928:N3060)</f>
        <v>1981473</v>
      </c>
      <c r="O3061" s="63">
        <f>SUM(O2928:O3060)</f>
        <v>1769443</v>
      </c>
      <c r="P3061" s="63">
        <f>SUM(P2928:P3060)</f>
        <v>54054</v>
      </c>
      <c r="Q3061" s="63">
        <f>SUM(Q2928:Q3060)</f>
        <v>118274</v>
      </c>
      <c r="R3061" s="63">
        <f>SUM(R2928:R3060)</f>
        <v>27638</v>
      </c>
      <c r="S3061" s="63"/>
      <c r="T3061" s="63"/>
      <c r="U3061" s="63"/>
      <c r="V3061" s="63"/>
      <c r="W3061" s="63">
        <f>SUM(W2928:W3060)-X3061-AJ3061-AL3061</f>
        <v>31870</v>
      </c>
      <c r="X3061" s="13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133"/>
      <c r="AK3061" s="63"/>
      <c r="AL3061" s="133"/>
      <c r="AM3061" s="63"/>
      <c r="AN3061" s="63"/>
      <c r="AO3061" s="63"/>
      <c r="AP3061" s="63"/>
      <c r="AQ3061" s="63"/>
      <c r="AR3061" s="63"/>
      <c r="AS3061" s="63"/>
      <c r="AT3061" s="63"/>
      <c r="AU3061" s="63"/>
      <c r="AW3061" s="5">
        <f>IF(Q3061&gt;0,RANK(Q3061,(N3061:P3061,Q3061:AE3061)),0)</f>
        <v>3</v>
      </c>
      <c r="AX3061" s="5">
        <f>IF(R3061&gt;0,RANK(R3061,(N3061:P3061,Q3061:AE3061)),0)</f>
        <v>6</v>
      </c>
      <c r="AY3061" s="5">
        <f>IF(T3061&gt;0,RANK(T3061,(N3061:P3061,Q3061:AE3061)),0)</f>
        <v>0</v>
      </c>
      <c r="AZ3061" s="5">
        <f>IF(S3061&gt;0,RANK(S3061,(N3061:P3061,Q3061:AE3061)),0)</f>
        <v>0</v>
      </c>
      <c r="BA3061" s="2">
        <f t="shared" si="1196"/>
        <v>2.9696551530198213E-2</v>
      </c>
      <c r="BB3061" s="2">
        <f t="shared" si="1197"/>
        <v>6.9394227910751158E-3</v>
      </c>
      <c r="BC3061" s="2">
        <f t="shared" si="1198"/>
        <v>0</v>
      </c>
      <c r="BD3061" s="2">
        <f t="shared" si="1199"/>
        <v>0</v>
      </c>
      <c r="BF3061" t="s">
        <v>1008</v>
      </c>
      <c r="BG3061" t="s">
        <v>544</v>
      </c>
      <c r="BJ3061" s="114">
        <v>51</v>
      </c>
      <c r="BK3061" s="116"/>
      <c r="BL3061" s="114">
        <v>51</v>
      </c>
      <c r="BN3061" s="5" t="s">
        <v>711</v>
      </c>
      <c r="CA3061" s="63">
        <f>SUM(CA2928:CA3060)</f>
        <v>0</v>
      </c>
    </row>
    <row r="3062" spans="1:82">
      <c r="C3062" s="1"/>
      <c r="E3062" s="5"/>
      <c r="F3062" s="5"/>
      <c r="G3062" s="132"/>
      <c r="H3062" s="137"/>
      <c r="I3062" s="2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W3062" s="5"/>
      <c r="AX3062" s="5"/>
      <c r="AY3062" s="5"/>
      <c r="AZ3062" s="5"/>
      <c r="BJ3062" s="114"/>
      <c r="BK3062" s="116"/>
      <c r="BL3062" s="120"/>
      <c r="CA3062" s="132"/>
      <c r="CC3062" s="132"/>
      <c r="CD3062" s="132" t="s">
        <v>3272</v>
      </c>
    </row>
    <row r="3063" spans="1:82" hidden="1" outlineLevel="1">
      <c r="A3063" t="s">
        <v>1026</v>
      </c>
      <c r="B3063" t="s">
        <v>817</v>
      </c>
      <c r="C3063" s="1">
        <f t="shared" ref="C3063:C3102" si="1200">SUM(N3063:AU3063)</f>
        <v>4782</v>
      </c>
      <c r="D3063" s="5">
        <f>IF(N3063&gt;0, RANK(N3063,(N3063:P3063,Q3063:AE3063)),0)</f>
        <v>2</v>
      </c>
      <c r="E3063" s="5">
        <f>IF(O3063&gt;0,RANK(O3063,(N3063:P3063,Q3063:AE3063)),0)</f>
        <v>1</v>
      </c>
      <c r="F3063" s="5" t="e">
        <f>IF(P3063&gt;0,RANK(P3063,(N3063:P3063,Q3063:AE3063)),0)</f>
        <v>#VALUE!</v>
      </c>
      <c r="G3063" s="132">
        <f t="shared" si="1179"/>
        <v>1784</v>
      </c>
      <c r="H3063" s="137">
        <f t="shared" si="1180"/>
        <v>0.37306566290255122</v>
      </c>
      <c r="I3063" s="2"/>
      <c r="J3063" s="2">
        <f t="shared" ref="J3063:J3102" si="1201">IF($C3063=0,"-",N3063/$C3063)</f>
        <v>0.27164366373902132</v>
      </c>
      <c r="K3063" s="2">
        <f t="shared" ref="K3063:K3102" si="1202">IF($C3063=0,"-",O3063/$C3063)</f>
        <v>0.64470932664157254</v>
      </c>
      <c r="L3063" s="2">
        <f t="shared" ref="L3063:L3101" si="1203">IF($C3063=0,"-",IF(P3063="",0,P3063/$C3063))</f>
        <v>0</v>
      </c>
      <c r="M3063" s="2">
        <f t="shared" ref="M3063:M3102" si="1204">IF(C3063=0,"-",(1-J3063-K3063-L3063))</f>
        <v>8.3647009619406076E-2</v>
      </c>
      <c r="N3063" s="63">
        <v>1299</v>
      </c>
      <c r="O3063" s="63">
        <v>3083</v>
      </c>
      <c r="P3063" s="63" t="str">
        <f>IF(Copyright!B$11=1,IF(CD3063&gt;0,CD3063,""),"")</f>
        <v/>
      </c>
      <c r="Q3063" s="63">
        <v>183</v>
      </c>
      <c r="R3063" s="63">
        <v>22</v>
      </c>
      <c r="S3063" s="63">
        <v>38</v>
      </c>
      <c r="T3063" s="63"/>
      <c r="U3063" s="63"/>
      <c r="V3063" s="63">
        <v>10</v>
      </c>
      <c r="W3063" s="63">
        <f>IF(Copyright!B$11=1,IF(CA3063&gt;0,CA3063-SUM(T3063:U3063)-CD3063-SUM(Y3063:AQ3063),0),0)</f>
        <v>138</v>
      </c>
      <c r="X3063" s="63">
        <v>9</v>
      </c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W3063" s="5">
        <f>IF(Q3063&gt;0,RANK(Q3063,(N3063:P3063,Q3063:AE3063)),0)</f>
        <v>3</v>
      </c>
      <c r="AX3063" s="5">
        <f>IF(R3063&gt;0,RANK(R3063,(N3063:P3063,Q3063:AE3063)),0)</f>
        <v>6</v>
      </c>
      <c r="AY3063" s="5">
        <f>IF(T3063&gt;0,RANK(T3063,(N3063:P3063,Q3063:AE3063)),0)</f>
        <v>0</v>
      </c>
      <c r="AZ3063" s="5">
        <f>IF(S3063&gt;0,RANK(S3063,(N3063:P3063,Q3063:AE3063)),0)</f>
        <v>5</v>
      </c>
      <c r="BA3063" s="2">
        <f t="shared" ref="BA3063:BA3102" si="1205">IF($C3063=0,"-",Q3063/$C3063)</f>
        <v>3.8268506900878296E-2</v>
      </c>
      <c r="BB3063" s="2">
        <f t="shared" ref="BB3063:BB3102" si="1206">IF($C3063=0,"-",R3063/$C3063)</f>
        <v>4.6005855290673359E-3</v>
      </c>
      <c r="BC3063" s="2">
        <f t="shared" ref="BC3063:BC3102" si="1207">IF($C3063=0,"-",T3063/$C3063)</f>
        <v>0</v>
      </c>
      <c r="BD3063" s="2">
        <f t="shared" ref="BD3063:BD3102" si="1208">IF($C3063=0,"-",S3063/$C3063)</f>
        <v>7.9464659138435804E-3</v>
      </c>
      <c r="BF3063" t="s">
        <v>1026</v>
      </c>
      <c r="BG3063" t="s">
        <v>817</v>
      </c>
      <c r="BH3063">
        <v>4</v>
      </c>
      <c r="BJ3063" s="114">
        <v>53</v>
      </c>
      <c r="BK3063" s="116">
        <v>1</v>
      </c>
      <c r="BL3063" s="120">
        <f t="shared" si="1190"/>
        <v>53001</v>
      </c>
      <c r="BN3063" s="5" t="s">
        <v>3154</v>
      </c>
      <c r="BO3063" s="63">
        <v>61</v>
      </c>
      <c r="BP3063" s="63">
        <v>16</v>
      </c>
      <c r="BR3063" s="63"/>
      <c r="BX3063" s="132"/>
      <c r="BY3063" s="63">
        <f t="shared" ref="BY3063:BY3102" si="1209">C3063-BZ3063</f>
        <v>0</v>
      </c>
      <c r="BZ3063" s="63">
        <v>4782</v>
      </c>
      <c r="CA3063" s="132">
        <v>138</v>
      </c>
    </row>
    <row r="3064" spans="1:82" hidden="1" outlineLevel="1">
      <c r="A3064" t="s">
        <v>1746</v>
      </c>
      <c r="B3064" t="s">
        <v>817</v>
      </c>
      <c r="C3064" s="1">
        <f t="shared" si="1200"/>
        <v>9974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 t="e">
        <f>IF(P3064&gt;0,RANK(P3064,(N3064:P3064,Q3064:AE3064)),0)</f>
        <v>#VALUE!</v>
      </c>
      <c r="G3064" s="132">
        <f t="shared" si="1179"/>
        <v>2607</v>
      </c>
      <c r="H3064" s="137">
        <f t="shared" si="1180"/>
        <v>0.2613795869260076</v>
      </c>
      <c r="I3064" s="2"/>
      <c r="J3064" s="2">
        <f t="shared" si="1201"/>
        <v>0.31421696410667738</v>
      </c>
      <c r="K3064" s="2">
        <f t="shared" si="1202"/>
        <v>0.57559655103268503</v>
      </c>
      <c r="L3064" s="2">
        <f t="shared" si="1203"/>
        <v>0</v>
      </c>
      <c r="M3064" s="2">
        <f t="shared" si="1204"/>
        <v>0.11018648486063753</v>
      </c>
      <c r="N3064" s="63">
        <v>3134</v>
      </c>
      <c r="O3064" s="63">
        <v>5741</v>
      </c>
      <c r="P3064" s="63" t="str">
        <f>IF(Copyright!B$11=1,IF(CD3064&gt;0,CD3064,""),"")</f>
        <v/>
      </c>
      <c r="Q3064" s="63">
        <v>624</v>
      </c>
      <c r="R3064" s="63">
        <v>117</v>
      </c>
      <c r="S3064" s="63">
        <v>98</v>
      </c>
      <c r="T3064" s="63"/>
      <c r="U3064" s="63"/>
      <c r="V3064" s="63">
        <v>6</v>
      </c>
      <c r="W3064" s="63">
        <f>IF(Copyright!B$11=1,IF(CA3064&gt;0,CA3064-SUM(T3064:U3064)-CD3064-SUM(Y3064:AQ3064),0),0)</f>
        <v>238</v>
      </c>
      <c r="X3064" s="63">
        <v>16</v>
      </c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W3064" s="5">
        <f>IF(Q3064&gt;0,RANK(Q3064,(N3064:P3064,Q3064:AE3064)),0)</f>
        <v>3</v>
      </c>
      <c r="AX3064" s="5">
        <f>IF(R3064&gt;0,RANK(R3064,(N3064:P3064,Q3064:AE3064)),0)</f>
        <v>5</v>
      </c>
      <c r="AY3064" s="5">
        <f>IF(T3064&gt;0,RANK(T3064,(N3064:P3064,Q3064:AE3064)),0)</f>
        <v>0</v>
      </c>
      <c r="AZ3064" s="5">
        <f>IF(S3064&gt;0,RANK(S3064,(N3064:P3064,Q3064:AE3064)),0)</f>
        <v>6</v>
      </c>
      <c r="BA3064" s="2">
        <f t="shared" si="1205"/>
        <v>6.2562662923601367E-2</v>
      </c>
      <c r="BB3064" s="2">
        <f t="shared" si="1206"/>
        <v>1.1730499298175255E-2</v>
      </c>
      <c r="BC3064" s="2">
        <f t="shared" si="1207"/>
        <v>0</v>
      </c>
      <c r="BD3064" s="2">
        <f t="shared" si="1208"/>
        <v>9.8255464206938037E-3</v>
      </c>
      <c r="BF3064" t="s">
        <v>1746</v>
      </c>
      <c r="BG3064" t="s">
        <v>817</v>
      </c>
      <c r="BH3064">
        <v>5</v>
      </c>
      <c r="BJ3064" s="114">
        <v>53</v>
      </c>
      <c r="BK3064" s="116">
        <v>3</v>
      </c>
      <c r="BL3064" s="120">
        <f t="shared" si="1190"/>
        <v>53003</v>
      </c>
      <c r="BN3064" s="5" t="s">
        <v>3154</v>
      </c>
      <c r="BO3064" s="63">
        <v>169</v>
      </c>
      <c r="BP3064" s="63">
        <v>17</v>
      </c>
      <c r="BR3064" s="63"/>
      <c r="BY3064" s="63">
        <f t="shared" si="1209"/>
        <v>0</v>
      </c>
      <c r="BZ3064" s="63">
        <v>9974</v>
      </c>
      <c r="CA3064" s="132">
        <v>238</v>
      </c>
    </row>
    <row r="3065" spans="1:82" hidden="1" outlineLevel="1">
      <c r="A3065" t="s">
        <v>1098</v>
      </c>
      <c r="B3065" t="s">
        <v>817</v>
      </c>
      <c r="C3065" s="1">
        <f t="shared" si="1200"/>
        <v>83592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 t="e">
        <f>IF(P3065&gt;0,RANK(P3065,(N3065:P3065,Q3065:AE3065)),0)</f>
        <v>#VALUE!</v>
      </c>
      <c r="G3065" s="132">
        <f t="shared" si="1179"/>
        <v>20834</v>
      </c>
      <c r="H3065" s="137">
        <f t="shared" si="1180"/>
        <v>0.2492343764953584</v>
      </c>
      <c r="I3065" s="2"/>
      <c r="J3065" s="2">
        <f t="shared" si="1201"/>
        <v>0.3153411809742559</v>
      </c>
      <c r="K3065" s="2">
        <f t="shared" si="1202"/>
        <v>0.5645755574696143</v>
      </c>
      <c r="L3065" s="2">
        <f t="shared" si="1203"/>
        <v>0</v>
      </c>
      <c r="M3065" s="2">
        <f t="shared" si="1204"/>
        <v>0.12008326155612981</v>
      </c>
      <c r="N3065" s="63">
        <v>26360</v>
      </c>
      <c r="O3065" s="63">
        <v>47194</v>
      </c>
      <c r="P3065" s="63" t="str">
        <f>IF(Copyright!B$11=1,IF(CD3065&gt;0,CD3065,""),"")</f>
        <v/>
      </c>
      <c r="Q3065" s="63">
        <v>4819</v>
      </c>
      <c r="R3065" s="63">
        <v>874</v>
      </c>
      <c r="S3065" s="63">
        <v>601</v>
      </c>
      <c r="T3065" s="63"/>
      <c r="U3065" s="63"/>
      <c r="V3065" s="63">
        <v>70</v>
      </c>
      <c r="W3065" s="63">
        <f>IF(Copyright!B$11=1,IF(CA3065&gt;0,CA3065-SUM(T3065:U3065)-CD3065-SUM(Y3065:AQ3065),0),0)</f>
        <v>3565</v>
      </c>
      <c r="X3065" s="63">
        <v>109</v>
      </c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W3065" s="5">
        <f>IF(Q3065&gt;0,RANK(Q3065,(N3065:P3065,Q3065:AE3065)),0)</f>
        <v>3</v>
      </c>
      <c r="AX3065" s="5">
        <f>IF(R3065&gt;0,RANK(R3065,(N3065:P3065,Q3065:AE3065)),0)</f>
        <v>5</v>
      </c>
      <c r="AY3065" s="5">
        <f>IF(T3065&gt;0,RANK(T3065,(N3065:P3065,Q3065:AE3065)),0)</f>
        <v>0</v>
      </c>
      <c r="AZ3065" s="5">
        <f>IF(S3065&gt;0,RANK(S3065,(N3065:P3065,Q3065:AE3065)),0)</f>
        <v>6</v>
      </c>
      <c r="BA3065" s="2">
        <f t="shared" si="1205"/>
        <v>5.7649057326059912E-2</v>
      </c>
      <c r="BB3065" s="2">
        <f t="shared" si="1206"/>
        <v>1.0455545985261747E-2</v>
      </c>
      <c r="BC3065" s="2">
        <f t="shared" si="1207"/>
        <v>0</v>
      </c>
      <c r="BD3065" s="2">
        <f t="shared" si="1208"/>
        <v>7.1896832232749546E-3</v>
      </c>
      <c r="BF3065" t="s">
        <v>1098</v>
      </c>
      <c r="BG3065" t="s">
        <v>817</v>
      </c>
      <c r="BH3065">
        <v>4</v>
      </c>
      <c r="BJ3065" s="114">
        <v>53</v>
      </c>
      <c r="BK3065" s="116">
        <v>5</v>
      </c>
      <c r="BL3065" s="120">
        <f t="shared" si="1190"/>
        <v>53005</v>
      </c>
      <c r="BN3065" s="5" t="s">
        <v>3154</v>
      </c>
      <c r="BO3065" s="63">
        <v>961</v>
      </c>
      <c r="BP3065" s="63">
        <v>110</v>
      </c>
      <c r="BR3065" s="63"/>
      <c r="BY3065" s="63">
        <f t="shared" si="1209"/>
        <v>0</v>
      </c>
      <c r="BZ3065" s="63">
        <f>3565+4819+601+874+70+109+47194+26360</f>
        <v>83592</v>
      </c>
      <c r="CA3065" s="63">
        <v>3565</v>
      </c>
    </row>
    <row r="3066" spans="1:82" hidden="1" outlineLevel="1">
      <c r="A3066" t="s">
        <v>184</v>
      </c>
      <c r="B3066" t="s">
        <v>817</v>
      </c>
      <c r="C3066" s="1">
        <f t="shared" si="1200"/>
        <v>34433</v>
      </c>
      <c r="D3066" s="5">
        <f>IF(N3066&gt;0, RANK(N3066,(N3066:P3066,Q3066:AE3066)),0)</f>
        <v>2</v>
      </c>
      <c r="E3066" s="5">
        <f>IF(O3066&gt;0,RANK(O3066,(N3066:P3066,Q3066:AE3066)),0)</f>
        <v>1</v>
      </c>
      <c r="F3066" s="5" t="e">
        <f>IF(P3066&gt;0,RANK(P3066,(N3066:P3066,Q3066:AE3066)),0)</f>
        <v>#VALUE!</v>
      </c>
      <c r="G3066" s="132">
        <f t="shared" si="1179"/>
        <v>5082</v>
      </c>
      <c r="H3066" s="137">
        <f t="shared" si="1180"/>
        <v>0.14759097377515756</v>
      </c>
      <c r="I3066" s="2"/>
      <c r="J3066" s="2">
        <f t="shared" si="1201"/>
        <v>0.37847413818139575</v>
      </c>
      <c r="K3066" s="2">
        <f t="shared" si="1202"/>
        <v>0.52606511195655326</v>
      </c>
      <c r="L3066" s="2">
        <f t="shared" si="1203"/>
        <v>0</v>
      </c>
      <c r="M3066" s="2">
        <f t="shared" si="1204"/>
        <v>9.5460749862050998E-2</v>
      </c>
      <c r="N3066" s="63">
        <v>13032</v>
      </c>
      <c r="O3066" s="63">
        <v>18114</v>
      </c>
      <c r="P3066" s="63" t="str">
        <f>IF(Copyright!B$11=1,IF(CD3066&gt;0,CD3066,""),"")</f>
        <v/>
      </c>
      <c r="Q3066" s="63">
        <v>1504</v>
      </c>
      <c r="R3066" s="63">
        <v>480</v>
      </c>
      <c r="S3066" s="63">
        <v>178</v>
      </c>
      <c r="T3066" s="63"/>
      <c r="U3066" s="63"/>
      <c r="V3066" s="63">
        <v>29</v>
      </c>
      <c r="W3066" s="63">
        <f>IF(Copyright!B$11=1,IF(CA3066&gt;0,CA3066-SUM(T3066:U3066)-CD3066-SUM(Y3066:AQ3066),0),0)</f>
        <v>1053</v>
      </c>
      <c r="X3066" s="63">
        <v>43</v>
      </c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W3066" s="5">
        <f>IF(Q3066&gt;0,RANK(Q3066,(N3066:P3066,Q3066:AE3066)),0)</f>
        <v>3</v>
      </c>
      <c r="AX3066" s="5">
        <f>IF(R3066&gt;0,RANK(R3066,(N3066:P3066,Q3066:AE3066)),0)</f>
        <v>5</v>
      </c>
      <c r="AY3066" s="5">
        <f>IF(T3066&gt;0,RANK(T3066,(N3066:P3066,Q3066:AE3066)),0)</f>
        <v>0</v>
      </c>
      <c r="AZ3066" s="5">
        <f>IF(S3066&gt;0,RANK(S3066,(N3066:P3066,Q3066:AE3066)),0)</f>
        <v>6</v>
      </c>
      <c r="BA3066" s="2">
        <f t="shared" si="1205"/>
        <v>4.3679028838614117E-2</v>
      </c>
      <c r="BB3066" s="2">
        <f t="shared" si="1206"/>
        <v>1.394011558679174E-2</v>
      </c>
      <c r="BC3066" s="2">
        <f t="shared" si="1207"/>
        <v>0</v>
      </c>
      <c r="BD3066" s="2">
        <f t="shared" si="1208"/>
        <v>5.1694595301019367E-3</v>
      </c>
      <c r="BF3066" t="s">
        <v>184</v>
      </c>
      <c r="BG3066" t="s">
        <v>817</v>
      </c>
      <c r="BH3066">
        <v>8</v>
      </c>
      <c r="BJ3066" s="114">
        <v>53</v>
      </c>
      <c r="BK3066" s="116">
        <v>7</v>
      </c>
      <c r="BL3066" s="120">
        <f t="shared" si="1190"/>
        <v>53007</v>
      </c>
      <c r="BN3066" s="5" t="s">
        <v>3154</v>
      </c>
      <c r="BO3066" s="63">
        <v>437</v>
      </c>
      <c r="BP3066" s="63">
        <v>105</v>
      </c>
      <c r="BR3066" s="63"/>
      <c r="BX3066" s="132"/>
      <c r="BY3066" s="63">
        <f t="shared" si="1209"/>
        <v>0</v>
      </c>
      <c r="BZ3066" s="63">
        <f>33380+1053</f>
        <v>34433</v>
      </c>
      <c r="CA3066" s="132">
        <v>1053</v>
      </c>
    </row>
    <row r="3067" spans="1:82" hidden="1" outlineLevel="1">
      <c r="A3067" t="s">
        <v>338</v>
      </c>
      <c r="B3067" t="s">
        <v>817</v>
      </c>
      <c r="C3067" s="1">
        <f t="shared" si="1200"/>
        <v>40533</v>
      </c>
      <c r="D3067" s="5">
        <f>IF(N3067&gt;0, RANK(N3067,(N3067:P3067,Q3067:AE3067)),0)</f>
        <v>2</v>
      </c>
      <c r="E3067" s="5">
        <f>IF(O3067&gt;0,RANK(O3067,(N3067:P3067,Q3067:AE3067)),0)</f>
        <v>1</v>
      </c>
      <c r="F3067" s="5" t="e">
        <f>IF(P3067&gt;0,RANK(P3067,(N3067:P3067,Q3067:AE3067)),0)</f>
        <v>#VALUE!</v>
      </c>
      <c r="G3067" s="132">
        <f t="shared" si="1179"/>
        <v>1117</v>
      </c>
      <c r="H3067" s="137">
        <f t="shared" si="1180"/>
        <v>2.7557792416056052E-2</v>
      </c>
      <c r="I3067" s="2"/>
      <c r="J3067" s="2">
        <f t="shared" si="1201"/>
        <v>0.43611378383045912</v>
      </c>
      <c r="K3067" s="2">
        <f t="shared" si="1202"/>
        <v>0.46367157624651517</v>
      </c>
      <c r="L3067" s="2">
        <f t="shared" si="1203"/>
        <v>0</v>
      </c>
      <c r="M3067" s="2">
        <f t="shared" si="1204"/>
        <v>0.10021463992302565</v>
      </c>
      <c r="N3067" s="63">
        <v>17677</v>
      </c>
      <c r="O3067" s="63">
        <v>18794</v>
      </c>
      <c r="P3067" s="63" t="str">
        <f>IF(Copyright!B$11=1,IF(CD3067&gt;0,CD3067,""),"")</f>
        <v/>
      </c>
      <c r="Q3067" s="63">
        <v>1838</v>
      </c>
      <c r="R3067" s="63">
        <v>810</v>
      </c>
      <c r="S3067" s="63">
        <v>256</v>
      </c>
      <c r="T3067" s="63"/>
      <c r="U3067" s="63"/>
      <c r="V3067" s="63">
        <v>32</v>
      </c>
      <c r="W3067" s="63">
        <f>IF(Copyright!B$11=1,IF(CA3067&gt;0,CA3067-SUM(T3067:U3067)-CD3067-SUM(Y3067:AQ3067),0),0)</f>
        <v>1076</v>
      </c>
      <c r="X3067" s="63">
        <v>50</v>
      </c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W3067" s="5">
        <f>IF(Q3067&gt;0,RANK(Q3067,(N3067:P3067,Q3067:AE3067)),0)</f>
        <v>3</v>
      </c>
      <c r="AX3067" s="5">
        <f>IF(R3067&gt;0,RANK(R3067,(N3067:P3067,Q3067:AE3067)),0)</f>
        <v>5</v>
      </c>
      <c r="AY3067" s="5">
        <f>IF(T3067&gt;0,RANK(T3067,(N3067:P3067,Q3067:AE3067)),0)</f>
        <v>0</v>
      </c>
      <c r="AZ3067" s="5">
        <f>IF(S3067&gt;0,RANK(S3067,(N3067:P3067,Q3067:AE3067)),0)</f>
        <v>6</v>
      </c>
      <c r="BA3067" s="2">
        <f t="shared" si="1205"/>
        <v>4.534576764611551E-2</v>
      </c>
      <c r="BB3067" s="2">
        <f t="shared" si="1206"/>
        <v>1.9983716971356671E-2</v>
      </c>
      <c r="BC3067" s="2">
        <f t="shared" si="1207"/>
        <v>0</v>
      </c>
      <c r="BD3067" s="2">
        <f t="shared" si="1208"/>
        <v>6.315841413169516E-3</v>
      </c>
      <c r="BF3067" t="s">
        <v>338</v>
      </c>
      <c r="BG3067" t="s">
        <v>817</v>
      </c>
      <c r="BH3067">
        <v>6</v>
      </c>
      <c r="BJ3067" s="114">
        <v>53</v>
      </c>
      <c r="BK3067" s="116">
        <v>9</v>
      </c>
      <c r="BL3067" s="120">
        <f t="shared" si="1190"/>
        <v>53009</v>
      </c>
      <c r="BN3067" s="5" t="s">
        <v>3154</v>
      </c>
      <c r="BO3067" s="63">
        <v>444</v>
      </c>
      <c r="BP3067" s="63">
        <v>65</v>
      </c>
      <c r="BR3067" s="63"/>
      <c r="BY3067" s="63">
        <f t="shared" si="1209"/>
        <v>0</v>
      </c>
      <c r="BZ3067" s="63">
        <v>40533</v>
      </c>
      <c r="CA3067" s="63">
        <v>1076</v>
      </c>
    </row>
    <row r="3068" spans="1:82" hidden="1" outlineLevel="1">
      <c r="A3068" t="s">
        <v>392</v>
      </c>
      <c r="B3068" t="s">
        <v>817</v>
      </c>
      <c r="C3068" s="1">
        <f t="shared" si="1200"/>
        <v>208485</v>
      </c>
      <c r="D3068" s="5">
        <f>IF(N3068&gt;0, RANK(N3068,(N3068:P3068,Q3068:AE3068)),0)</f>
        <v>1</v>
      </c>
      <c r="E3068" s="5">
        <f>IF(O3068&gt;0,RANK(O3068,(N3068:P3068,Q3068:AE3068)),0)</f>
        <v>2</v>
      </c>
      <c r="F3068" s="5" t="e">
        <f>IF(P3068&gt;0,RANK(P3068,(N3068:P3068,Q3068:AE3068)),0)</f>
        <v>#VALUE!</v>
      </c>
      <c r="G3068" s="132">
        <f t="shared" si="1179"/>
        <v>316</v>
      </c>
      <c r="H3068" s="137">
        <f t="shared" si="1180"/>
        <v>1.5156965728949324E-3</v>
      </c>
      <c r="I3068" s="2"/>
      <c r="J3068" s="2">
        <f t="shared" si="1201"/>
        <v>0.4449097057342255</v>
      </c>
      <c r="K3068" s="2">
        <f t="shared" si="1202"/>
        <v>0.44339400916133054</v>
      </c>
      <c r="L3068" s="2">
        <f t="shared" si="1203"/>
        <v>0</v>
      </c>
      <c r="M3068" s="2">
        <f t="shared" si="1204"/>
        <v>0.11169628510444396</v>
      </c>
      <c r="N3068" s="63">
        <v>92757</v>
      </c>
      <c r="O3068" s="63">
        <v>92441</v>
      </c>
      <c r="P3068" s="63" t="str">
        <f>IF(Copyright!B$11=1,IF(CD3068&gt;0,CD3068,""),"")</f>
        <v/>
      </c>
      <c r="Q3068" s="63">
        <v>10076</v>
      </c>
      <c r="R3068" s="63">
        <v>3344</v>
      </c>
      <c r="S3068" s="63">
        <v>1145</v>
      </c>
      <c r="T3068" s="63"/>
      <c r="U3068" s="63"/>
      <c r="V3068" s="63">
        <v>158</v>
      </c>
      <c r="W3068" s="63">
        <f>IF(Copyright!B$11=1,IF(CA3068&gt;0,CA3068-SUM(T3068:U3068)-CD3068-SUM(Y3068:AQ3068),0),0)</f>
        <v>8325</v>
      </c>
      <c r="X3068" s="63">
        <v>239</v>
      </c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W3068" s="5">
        <f>IF(Q3068&gt;0,RANK(Q3068,(N3068:P3068,Q3068:AE3068)),0)</f>
        <v>3</v>
      </c>
      <c r="AX3068" s="5">
        <f>IF(R3068&gt;0,RANK(R3068,(N3068:P3068,Q3068:AE3068)),0)</f>
        <v>5</v>
      </c>
      <c r="AY3068" s="5">
        <f>IF(T3068&gt;0,RANK(T3068,(N3068:P3068,Q3068:AE3068)),0)</f>
        <v>0</v>
      </c>
      <c r="AZ3068" s="5">
        <f>IF(S3068&gt;0,RANK(S3068,(N3068:P3068,Q3068:AE3068)),0)</f>
        <v>6</v>
      </c>
      <c r="BA3068" s="2">
        <f t="shared" si="1205"/>
        <v>4.8329616039523224E-2</v>
      </c>
      <c r="BB3068" s="2">
        <f t="shared" si="1206"/>
        <v>1.603952322709068E-2</v>
      </c>
      <c r="BC3068" s="2">
        <f t="shared" si="1207"/>
        <v>0</v>
      </c>
      <c r="BD3068" s="2">
        <f t="shared" si="1208"/>
        <v>5.4920018226730944E-3</v>
      </c>
      <c r="BF3068" t="s">
        <v>392</v>
      </c>
      <c r="BG3068" t="s">
        <v>817</v>
      </c>
      <c r="BH3068">
        <v>3</v>
      </c>
      <c r="BJ3068" s="114">
        <v>53</v>
      </c>
      <c r="BK3068" s="116">
        <v>11</v>
      </c>
      <c r="BL3068" s="120">
        <f t="shared" si="1190"/>
        <v>53011</v>
      </c>
      <c r="BN3068" s="5" t="s">
        <v>3154</v>
      </c>
      <c r="BO3068" s="63">
        <v>2076</v>
      </c>
      <c r="BP3068" s="63">
        <v>199</v>
      </c>
      <c r="BR3068" s="63"/>
      <c r="BY3068" s="63">
        <f t="shared" si="1209"/>
        <v>0</v>
      </c>
      <c r="BZ3068" s="63">
        <v>208485</v>
      </c>
      <c r="CA3068" s="63">
        <v>8325</v>
      </c>
    </row>
    <row r="3069" spans="1:82" hidden="1" outlineLevel="1">
      <c r="A3069" t="s">
        <v>1496</v>
      </c>
      <c r="B3069" t="s">
        <v>817</v>
      </c>
      <c r="C3069" s="1">
        <f t="shared" si="1200"/>
        <v>2229</v>
      </c>
      <c r="D3069" s="5">
        <f>IF(N3069&gt;0, RANK(N3069,(N3069:P3069,Q3069:AE3069)),0)</f>
        <v>2</v>
      </c>
      <c r="E3069" s="5">
        <f>IF(O3069&gt;0,RANK(O3069,(N3069:P3069,Q3069:AE3069)),0)</f>
        <v>1</v>
      </c>
      <c r="F3069" s="5" t="e">
        <f>IF(P3069&gt;0,RANK(P3069,(N3069:P3069,Q3069:AE3069)),0)</f>
        <v>#VALUE!</v>
      </c>
      <c r="G3069" s="132">
        <f t="shared" si="1179"/>
        <v>971</v>
      </c>
      <c r="H3069" s="137">
        <f t="shared" si="1180"/>
        <v>0.43562135486765363</v>
      </c>
      <c r="I3069" s="2"/>
      <c r="J3069" s="2">
        <f t="shared" si="1201"/>
        <v>0.23598026020637056</v>
      </c>
      <c r="K3069" s="2">
        <f t="shared" si="1202"/>
        <v>0.67160161507402427</v>
      </c>
      <c r="L3069" s="2">
        <f t="shared" si="1203"/>
        <v>0</v>
      </c>
      <c r="M3069" s="2">
        <f t="shared" si="1204"/>
        <v>9.2418124719605199E-2</v>
      </c>
      <c r="N3069" s="63">
        <v>526</v>
      </c>
      <c r="O3069" s="63">
        <v>1497</v>
      </c>
      <c r="P3069" s="63" t="str">
        <f>IF(Copyright!B$11=1,IF(CD3069&gt;0,CD3069,""),"")</f>
        <v/>
      </c>
      <c r="Q3069" s="63">
        <v>109</v>
      </c>
      <c r="R3069" s="63">
        <v>26</v>
      </c>
      <c r="S3069" s="63">
        <v>15</v>
      </c>
      <c r="T3069" s="63"/>
      <c r="U3069" s="63"/>
      <c r="V3069" s="63">
        <v>2</v>
      </c>
      <c r="W3069" s="63">
        <f>IF(Copyright!B$11=1,IF(CA3069&gt;0,CA3069-SUM(T3069:U3069)-CD3069-SUM(Y3069:AQ3069),0),0)</f>
        <v>47</v>
      </c>
      <c r="X3069" s="63">
        <v>7</v>
      </c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W3069" s="5">
        <f>IF(Q3069&gt;0,RANK(Q3069,(N3069:P3069,Q3069:AE3069)),0)</f>
        <v>3</v>
      </c>
      <c r="AX3069" s="5">
        <f>IF(R3069&gt;0,RANK(R3069,(N3069:P3069,Q3069:AE3069)),0)</f>
        <v>5</v>
      </c>
      <c r="AY3069" s="5">
        <f>IF(T3069&gt;0,RANK(T3069,(N3069:P3069,Q3069:AE3069)),0)</f>
        <v>0</v>
      </c>
      <c r="AZ3069" s="5">
        <f>IF(S3069&gt;0,RANK(S3069,(N3069:P3069,Q3069:AE3069)),0)</f>
        <v>6</v>
      </c>
      <c r="BA3069" s="2">
        <f t="shared" si="1205"/>
        <v>4.8900852400179454E-2</v>
      </c>
      <c r="BB3069" s="2">
        <f t="shared" si="1206"/>
        <v>1.1664423508299685E-2</v>
      </c>
      <c r="BC3069" s="2">
        <f t="shared" si="1207"/>
        <v>0</v>
      </c>
      <c r="BD3069" s="2">
        <f t="shared" si="1208"/>
        <v>6.7294751009421266E-3</v>
      </c>
      <c r="BF3069" t="s">
        <v>1496</v>
      </c>
      <c r="BG3069" t="s">
        <v>817</v>
      </c>
      <c r="BH3069">
        <v>5</v>
      </c>
      <c r="BJ3069" s="114">
        <v>53</v>
      </c>
      <c r="BK3069" s="116">
        <v>13</v>
      </c>
      <c r="BL3069" s="120">
        <f t="shared" si="1190"/>
        <v>53013</v>
      </c>
      <c r="BN3069" s="5" t="s">
        <v>3154</v>
      </c>
      <c r="BO3069" s="63">
        <v>42</v>
      </c>
      <c r="BP3069" s="63">
        <v>6</v>
      </c>
      <c r="BR3069" s="63"/>
      <c r="BX3069" s="132"/>
      <c r="BY3069" s="63">
        <f t="shared" si="1209"/>
        <v>0</v>
      </c>
      <c r="BZ3069" s="63">
        <v>2229</v>
      </c>
      <c r="CA3069" s="132">
        <v>47</v>
      </c>
      <c r="CB3069" s="132"/>
    </row>
    <row r="3070" spans="1:82" hidden="1" outlineLevel="1">
      <c r="A3070" t="s">
        <v>1236</v>
      </c>
      <c r="B3070" t="s">
        <v>817</v>
      </c>
      <c r="C3070" s="1">
        <f t="shared" si="1200"/>
        <v>47142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 t="e">
        <f>IF(P3070&gt;0,RANK(P3070,(N3070:P3070,Q3070:AE3070)),0)</f>
        <v>#VALUE!</v>
      </c>
      <c r="G3070" s="132">
        <f t="shared" si="1179"/>
        <v>6277</v>
      </c>
      <c r="H3070" s="137">
        <f t="shared" si="1180"/>
        <v>0.13315090577404437</v>
      </c>
      <c r="I3070" s="2"/>
      <c r="J3070" s="2">
        <f t="shared" si="1201"/>
        <v>0.37987357345891137</v>
      </c>
      <c r="K3070" s="2">
        <f t="shared" si="1202"/>
        <v>0.5130244792329558</v>
      </c>
      <c r="L3070" s="2">
        <f t="shared" si="1203"/>
        <v>0</v>
      </c>
      <c r="M3070" s="2">
        <f t="shared" si="1204"/>
        <v>0.10710194730813283</v>
      </c>
      <c r="N3070" s="63">
        <v>17908</v>
      </c>
      <c r="O3070" s="63">
        <v>24185</v>
      </c>
      <c r="P3070" s="63" t="str">
        <f>IF(Copyright!B$11=1,IF(CD3070&gt;0,CD3070,""),"")</f>
        <v/>
      </c>
      <c r="Q3070" s="63">
        <v>2343</v>
      </c>
      <c r="R3070" s="63">
        <v>787</v>
      </c>
      <c r="S3070" s="63">
        <v>327</v>
      </c>
      <c r="T3070" s="63"/>
      <c r="U3070" s="63"/>
      <c r="V3070" s="63">
        <v>58</v>
      </c>
      <c r="W3070" s="63">
        <f>IF(Copyright!B$11=1,IF(CA3070&gt;0,CA3070-SUM(T3070:U3070)-CD3070-SUM(Y3070:AQ3070),0),0)</f>
        <v>1450</v>
      </c>
      <c r="X3070" s="63">
        <v>84</v>
      </c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W3070" s="5">
        <f>IF(Q3070&gt;0,RANK(Q3070,(N3070:P3070,Q3070:AE3070)),0)</f>
        <v>3</v>
      </c>
      <c r="AX3070" s="5">
        <f>IF(R3070&gt;0,RANK(R3070,(N3070:P3070,Q3070:AE3070)),0)</f>
        <v>5</v>
      </c>
      <c r="AY3070" s="5">
        <f>IF(T3070&gt;0,RANK(T3070,(N3070:P3070,Q3070:AE3070)),0)</f>
        <v>0</v>
      </c>
      <c r="AZ3070" s="5">
        <f>IF(S3070&gt;0,RANK(S3070,(N3070:P3070,Q3070:AE3070)),0)</f>
        <v>6</v>
      </c>
      <c r="BA3070" s="2">
        <f t="shared" si="1205"/>
        <v>4.9700903652793685E-2</v>
      </c>
      <c r="BB3070" s="2">
        <f t="shared" si="1206"/>
        <v>1.669424292562895E-2</v>
      </c>
      <c r="BC3070" s="2">
        <f t="shared" si="1207"/>
        <v>0</v>
      </c>
      <c r="BD3070" s="2">
        <f t="shared" si="1208"/>
        <v>6.9364897543591703E-3</v>
      </c>
      <c r="BF3070" t="s">
        <v>1236</v>
      </c>
      <c r="BG3070" t="s">
        <v>817</v>
      </c>
      <c r="BH3070">
        <v>3</v>
      </c>
      <c r="BJ3070" s="114">
        <v>53</v>
      </c>
      <c r="BK3070" s="116">
        <v>15</v>
      </c>
      <c r="BL3070" s="120">
        <f t="shared" si="1190"/>
        <v>53015</v>
      </c>
      <c r="BN3070" s="5" t="s">
        <v>3154</v>
      </c>
      <c r="BO3070" s="63">
        <v>569</v>
      </c>
      <c r="BP3070" s="63">
        <v>158</v>
      </c>
      <c r="BR3070" s="63"/>
      <c r="BY3070" s="63">
        <f t="shared" si="1209"/>
        <v>0</v>
      </c>
      <c r="BZ3070" s="63">
        <v>47142</v>
      </c>
      <c r="CA3070" s="63">
        <v>1450</v>
      </c>
    </row>
    <row r="3071" spans="1:82" hidden="1" outlineLevel="1">
      <c r="A3071" t="s">
        <v>1148</v>
      </c>
      <c r="B3071" t="s">
        <v>817</v>
      </c>
      <c r="C3071" s="1">
        <f t="shared" si="1200"/>
        <v>15901</v>
      </c>
      <c r="D3071" s="5">
        <f>IF(N3071&gt;0, RANK(N3071,(N3071:P3071,Q3071:AE3071)),0)</f>
        <v>2</v>
      </c>
      <c r="E3071" s="5">
        <f>IF(O3071&gt;0,RANK(O3071,(N3071:P3071,Q3071:AE3071)),0)</f>
        <v>1</v>
      </c>
      <c r="F3071" s="5">
        <f>IF(P3071&gt;0,RANK(P3071,(N3071:P3071,Q3071:AE3071)),0)</f>
        <v>6</v>
      </c>
      <c r="G3071" s="132">
        <f t="shared" si="1179"/>
        <v>4685</v>
      </c>
      <c r="H3071" s="137">
        <f t="shared" si="1180"/>
        <v>0.29463555751210618</v>
      </c>
      <c r="I3071" s="2"/>
      <c r="J3071" s="2">
        <f t="shared" si="1201"/>
        <v>0.30928872397962393</v>
      </c>
      <c r="K3071" s="2">
        <f t="shared" si="1202"/>
        <v>0.60392428149173005</v>
      </c>
      <c r="L3071" s="2">
        <f t="shared" si="1203"/>
        <v>4.9053518646625998E-3</v>
      </c>
      <c r="M3071" s="2">
        <f t="shared" si="1204"/>
        <v>8.1881642663983428E-2</v>
      </c>
      <c r="N3071" s="63">
        <v>4918</v>
      </c>
      <c r="O3071" s="63">
        <v>9603</v>
      </c>
      <c r="P3071" s="63">
        <f>IF(Copyright!B$11=1,IF(CD3071&gt;0,CD3071,""),"")</f>
        <v>78</v>
      </c>
      <c r="Q3071" s="63">
        <v>714</v>
      </c>
      <c r="R3071" s="63">
        <v>185</v>
      </c>
      <c r="S3071" s="63">
        <v>77</v>
      </c>
      <c r="T3071" s="63"/>
      <c r="U3071" s="63"/>
      <c r="V3071" s="63">
        <v>18</v>
      </c>
      <c r="W3071" s="63">
        <f>IF(Copyright!B$11=1,IF(CA3071&gt;0,CA3071-SUM(T3071:U3071)-CD3071-SUM(Y3071:AQ3071),0),0)</f>
        <v>280</v>
      </c>
      <c r="X3071" s="63">
        <v>28</v>
      </c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W3071" s="5">
        <f>IF(Q3071&gt;0,RANK(Q3071,(N3071:P3071,Q3071:AE3071)),0)</f>
        <v>3</v>
      </c>
      <c r="AX3071" s="5">
        <f>IF(R3071&gt;0,RANK(R3071,(N3071:P3071,Q3071:AE3071)),0)</f>
        <v>5</v>
      </c>
      <c r="AY3071" s="5">
        <f>IF(T3071&gt;0,RANK(T3071,(N3071:P3071,Q3071:AE3071)),0)</f>
        <v>0</v>
      </c>
      <c r="AZ3071" s="5">
        <f>IF(S3071&gt;0,RANK(S3071,(N3071:P3071,Q3071:AE3071)),0)</f>
        <v>7</v>
      </c>
      <c r="BA3071" s="2">
        <f t="shared" si="1205"/>
        <v>4.4902836299603802E-2</v>
      </c>
      <c r="BB3071" s="2">
        <f t="shared" si="1206"/>
        <v>1.1634488396956166E-2</v>
      </c>
      <c r="BC3071" s="2">
        <f t="shared" si="1207"/>
        <v>0</v>
      </c>
      <c r="BD3071" s="2">
        <f t="shared" si="1208"/>
        <v>4.8424627381925666E-3</v>
      </c>
      <c r="BF3071" t="s">
        <v>1148</v>
      </c>
      <c r="BG3071" t="s">
        <v>817</v>
      </c>
      <c r="BJ3071" s="114">
        <v>53</v>
      </c>
      <c r="BK3071" s="116">
        <v>17</v>
      </c>
      <c r="BL3071" s="120">
        <f t="shared" si="1190"/>
        <v>53017</v>
      </c>
      <c r="BN3071" s="5" t="s">
        <v>3154</v>
      </c>
      <c r="BO3071" s="63">
        <v>257</v>
      </c>
      <c r="BP3071" s="63">
        <v>43</v>
      </c>
      <c r="BR3071" s="63"/>
      <c r="BX3071" s="132"/>
      <c r="BY3071" s="63">
        <f t="shared" si="1209"/>
        <v>0</v>
      </c>
      <c r="BZ3071" s="63">
        <v>15901</v>
      </c>
      <c r="CA3071" s="132">
        <v>358</v>
      </c>
      <c r="CC3071" s="63">
        <f>84</f>
        <v>84</v>
      </c>
      <c r="CD3071" s="63">
        <f>62+16</f>
        <v>78</v>
      </c>
    </row>
    <row r="3072" spans="1:82" hidden="1" outlineLevel="1">
      <c r="A3072" t="s">
        <v>1831</v>
      </c>
      <c r="B3072" t="s">
        <v>817</v>
      </c>
      <c r="C3072" s="1">
        <f t="shared" si="1200"/>
        <v>3644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7</v>
      </c>
      <c r="G3072" s="132">
        <f t="shared" si="1179"/>
        <v>1104</v>
      </c>
      <c r="H3072" s="137">
        <f t="shared" si="1180"/>
        <v>0.30296377607025249</v>
      </c>
      <c r="I3072" s="2"/>
      <c r="J3072" s="2">
        <f t="shared" si="1201"/>
        <v>0.30131723380900111</v>
      </c>
      <c r="K3072" s="2">
        <f t="shared" si="1202"/>
        <v>0.60428100987925359</v>
      </c>
      <c r="L3072" s="2">
        <f t="shared" si="1203"/>
        <v>2.7442371020856204E-3</v>
      </c>
      <c r="M3072" s="2">
        <f t="shared" si="1204"/>
        <v>9.1657519209659685E-2</v>
      </c>
      <c r="N3072" s="63">
        <v>1098</v>
      </c>
      <c r="O3072" s="63">
        <v>2202</v>
      </c>
      <c r="P3072" s="63">
        <f>IF(Copyright!B$11=1,IF(CD3072&gt;0,CD3072,""),"")</f>
        <v>10</v>
      </c>
      <c r="Q3072" s="63">
        <v>191</v>
      </c>
      <c r="R3072" s="63">
        <v>58</v>
      </c>
      <c r="S3072" s="63">
        <v>47</v>
      </c>
      <c r="T3072" s="63"/>
      <c r="U3072" s="63"/>
      <c r="V3072" s="63">
        <v>0</v>
      </c>
      <c r="W3072" s="63">
        <f>IF(Copyright!B$11=1,IF(CA3072&gt;0,CA3072-SUM(T3072:U3072)-CD3072-SUM(Y3072:AQ3072),0),0)</f>
        <v>33</v>
      </c>
      <c r="X3072" s="63">
        <v>5</v>
      </c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W3072" s="5">
        <f>IF(Q3072&gt;0,RANK(Q3072,(N3072:P3072,Q3072:AE3072)),0)</f>
        <v>3</v>
      </c>
      <c r="AX3072" s="5">
        <f>IF(R3072&gt;0,RANK(R3072,(N3072:P3072,Q3072:AE3072)),0)</f>
        <v>4</v>
      </c>
      <c r="AY3072" s="5">
        <f>IF(T3072&gt;0,RANK(T3072,(N3072:P3072,Q3072:AE3072)),0)</f>
        <v>0</v>
      </c>
      <c r="AZ3072" s="5">
        <f>IF(S3072&gt;0,RANK(S3072,(N3072:P3072,Q3072:AE3072)),0)</f>
        <v>5</v>
      </c>
      <c r="BA3072" s="2">
        <f t="shared" si="1205"/>
        <v>5.2414928649835345E-2</v>
      </c>
      <c r="BB3072" s="2">
        <f t="shared" si="1206"/>
        <v>1.5916575192096598E-2</v>
      </c>
      <c r="BC3072" s="2">
        <f t="shared" si="1207"/>
        <v>0</v>
      </c>
      <c r="BD3072" s="2">
        <f t="shared" si="1208"/>
        <v>1.2897914379802415E-2</v>
      </c>
      <c r="BF3072" t="s">
        <v>1831</v>
      </c>
      <c r="BG3072" t="s">
        <v>817</v>
      </c>
      <c r="BH3072">
        <v>5</v>
      </c>
      <c r="BJ3072" s="114">
        <v>53</v>
      </c>
      <c r="BK3072" s="116">
        <v>19</v>
      </c>
      <c r="BL3072" s="120">
        <f t="shared" si="1190"/>
        <v>53019</v>
      </c>
      <c r="BN3072" s="5" t="s">
        <v>3154</v>
      </c>
      <c r="BO3072" s="63">
        <v>109</v>
      </c>
      <c r="BP3072" s="63">
        <v>5</v>
      </c>
      <c r="BR3072" s="63"/>
      <c r="BX3072" s="132"/>
      <c r="BY3072" s="63">
        <f t="shared" si="1209"/>
        <v>0</v>
      </c>
      <c r="BZ3072" s="63">
        <v>3644</v>
      </c>
      <c r="CA3072" s="132">
        <f>35+8</f>
        <v>43</v>
      </c>
      <c r="CB3072" s="132"/>
      <c r="CC3072" s="63">
        <v>25</v>
      </c>
      <c r="CD3072" s="63">
        <v>10</v>
      </c>
    </row>
    <row r="3073" spans="1:82" hidden="1" outlineLevel="1">
      <c r="A3073" t="s">
        <v>1138</v>
      </c>
      <c r="B3073" t="s">
        <v>817</v>
      </c>
      <c r="C3073" s="1">
        <f t="shared" si="1200"/>
        <v>24614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 t="e">
        <f>IF(P3073&gt;0,RANK(P3073,(N3073:P3073,Q3073:AE3073)),0)</f>
        <v>#VALUE!</v>
      </c>
      <c r="G3073" s="132">
        <f t="shared" si="1179"/>
        <v>4320</v>
      </c>
      <c r="H3073" s="137">
        <f t="shared" si="1180"/>
        <v>0.1755098724303242</v>
      </c>
      <c r="I3073" s="2"/>
      <c r="J3073" s="2">
        <f t="shared" si="1201"/>
        <v>0.36101405704070855</v>
      </c>
      <c r="K3073" s="2">
        <f t="shared" si="1202"/>
        <v>0.53652392947103278</v>
      </c>
      <c r="L3073" s="2">
        <f t="shared" si="1203"/>
        <v>0</v>
      </c>
      <c r="M3073" s="2">
        <f t="shared" si="1204"/>
        <v>0.10246201348825867</v>
      </c>
      <c r="N3073" s="63">
        <v>8886</v>
      </c>
      <c r="O3073" s="63">
        <v>13206</v>
      </c>
      <c r="P3073" s="63" t="str">
        <f>IF(Copyright!B$11=1,IF(CD3073&gt;0,CD3073,""),"")</f>
        <v/>
      </c>
      <c r="Q3073" s="63">
        <v>1148</v>
      </c>
      <c r="R3073" s="63">
        <v>225</v>
      </c>
      <c r="S3073" s="63">
        <v>175</v>
      </c>
      <c r="T3073" s="63"/>
      <c r="U3073" s="63"/>
      <c r="V3073" s="63">
        <v>34</v>
      </c>
      <c r="W3073" s="63">
        <f>IF(Copyright!B$11=1,IF(CA3073&gt;0,CA3073-SUM(T3073:U3073)-CD3073-SUM(Y3073:AQ3073),0),0)</f>
        <v>894</v>
      </c>
      <c r="X3073" s="63">
        <v>46</v>
      </c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W3073" s="5">
        <f>IF(Q3073&gt;0,RANK(Q3073,(N3073:P3073,Q3073:AE3073)),0)</f>
        <v>3</v>
      </c>
      <c r="AX3073" s="5">
        <f>IF(R3073&gt;0,RANK(R3073,(N3073:P3073,Q3073:AE3073)),0)</f>
        <v>5</v>
      </c>
      <c r="AY3073" s="5">
        <f>IF(T3073&gt;0,RANK(T3073,(N3073:P3073,Q3073:AE3073)),0)</f>
        <v>0</v>
      </c>
      <c r="AZ3073" s="5">
        <f>IF(S3073&gt;0,RANK(S3073,(N3073:P3073,Q3073:AE3073)),0)</f>
        <v>6</v>
      </c>
      <c r="BA3073" s="2">
        <f t="shared" si="1205"/>
        <v>4.6640123506947267E-2</v>
      </c>
      <c r="BB3073" s="2">
        <f t="shared" si="1206"/>
        <v>9.1411391890793853E-3</v>
      </c>
      <c r="BC3073" s="2">
        <f t="shared" si="1207"/>
        <v>0</v>
      </c>
      <c r="BD3073" s="2">
        <f t="shared" si="1208"/>
        <v>7.1097749248395219E-3</v>
      </c>
      <c r="BF3073" t="s">
        <v>1138</v>
      </c>
      <c r="BG3073" t="s">
        <v>817</v>
      </c>
      <c r="BH3073">
        <v>4</v>
      </c>
      <c r="BJ3073" s="114">
        <v>53</v>
      </c>
      <c r="BK3073" s="116">
        <v>21</v>
      </c>
      <c r="BL3073" s="120">
        <f t="shared" si="1190"/>
        <v>53021</v>
      </c>
      <c r="BN3073" s="5" t="s">
        <v>3154</v>
      </c>
      <c r="BO3073" s="63">
        <v>299</v>
      </c>
      <c r="BP3073" s="63">
        <v>162</v>
      </c>
      <c r="BR3073" s="63"/>
      <c r="BX3073" s="132"/>
      <c r="BY3073" s="63">
        <f t="shared" si="1209"/>
        <v>0</v>
      </c>
      <c r="BZ3073" s="63">
        <v>24614</v>
      </c>
      <c r="CA3073" s="132">
        <v>894</v>
      </c>
      <c r="CB3073" s="132"/>
    </row>
    <row r="3074" spans="1:82" hidden="1" outlineLevel="1">
      <c r="A3074" t="s">
        <v>2946</v>
      </c>
      <c r="B3074" t="s">
        <v>817</v>
      </c>
      <c r="C3074" s="1">
        <f t="shared" si="1200"/>
        <v>1266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 t="e">
        <f>IF(P3074&gt;0,RANK(P3074,(N3074:P3074,Q3074:AE3074)),0)</f>
        <v>#VALUE!</v>
      </c>
      <c r="G3074" s="132">
        <f t="shared" si="1179"/>
        <v>572</v>
      </c>
      <c r="H3074" s="137">
        <f t="shared" si="1180"/>
        <v>0.4518167456556082</v>
      </c>
      <c r="I3074" s="2"/>
      <c r="J3074" s="2">
        <f t="shared" si="1201"/>
        <v>0.22037914691943128</v>
      </c>
      <c r="K3074" s="2">
        <f t="shared" si="1202"/>
        <v>0.67219589257503953</v>
      </c>
      <c r="L3074" s="2">
        <f t="shared" si="1203"/>
        <v>0</v>
      </c>
      <c r="M3074" s="2">
        <f t="shared" si="1204"/>
        <v>0.10742496050552919</v>
      </c>
      <c r="N3074" s="63">
        <v>279</v>
      </c>
      <c r="O3074" s="63">
        <v>851</v>
      </c>
      <c r="P3074" s="63" t="str">
        <f>IF(Copyright!B$11=1,IF(CD3074&gt;0,CD3074,""),"")</f>
        <v/>
      </c>
      <c r="Q3074" s="63">
        <v>88</v>
      </c>
      <c r="R3074" s="63">
        <v>14</v>
      </c>
      <c r="S3074" s="63">
        <v>9</v>
      </c>
      <c r="T3074" s="63"/>
      <c r="U3074" s="63"/>
      <c r="V3074" s="63">
        <v>2</v>
      </c>
      <c r="W3074" s="63">
        <f>IF(Copyright!B$11=1,IF(CA3074&gt;0,CA3074-SUM(T3074:U3074)-CD3074-SUM(Y3074:AQ3074),0),0)</f>
        <v>20</v>
      </c>
      <c r="X3074" s="63">
        <v>3</v>
      </c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W3074" s="5">
        <f>IF(Q3074&gt;0,RANK(Q3074,(N3074:P3074,Q3074:AE3074)),0)</f>
        <v>3</v>
      </c>
      <c r="AX3074" s="5">
        <f>IF(R3074&gt;0,RANK(R3074,(N3074:P3074,Q3074:AE3074)),0)</f>
        <v>5</v>
      </c>
      <c r="AY3074" s="5">
        <f>IF(T3074&gt;0,RANK(T3074,(N3074:P3074,Q3074:AE3074)),0)</f>
        <v>0</v>
      </c>
      <c r="AZ3074" s="5">
        <f>IF(S3074&gt;0,RANK(S3074,(N3074:P3074,Q3074:AE3074)),0)</f>
        <v>6</v>
      </c>
      <c r="BA3074" s="2">
        <f t="shared" si="1205"/>
        <v>6.9510268562401265E-2</v>
      </c>
      <c r="BB3074" s="2">
        <f t="shared" si="1206"/>
        <v>1.1058451816745656E-2</v>
      </c>
      <c r="BC3074" s="2">
        <f t="shared" si="1207"/>
        <v>0</v>
      </c>
      <c r="BD3074" s="2">
        <f t="shared" si="1208"/>
        <v>7.1090047393364926E-3</v>
      </c>
      <c r="BF3074" t="s">
        <v>2946</v>
      </c>
      <c r="BG3074" t="s">
        <v>817</v>
      </c>
      <c r="BH3074">
        <v>5</v>
      </c>
      <c r="BJ3074" s="114">
        <v>53</v>
      </c>
      <c r="BK3074" s="116">
        <v>23</v>
      </c>
      <c r="BL3074" s="120">
        <f t="shared" si="1190"/>
        <v>53023</v>
      </c>
      <c r="BN3074" s="5" t="s">
        <v>3154</v>
      </c>
      <c r="BO3074" s="63">
        <v>31</v>
      </c>
      <c r="BP3074" s="63">
        <v>2</v>
      </c>
      <c r="BR3074" s="63"/>
      <c r="BX3074" s="132"/>
      <c r="BY3074" s="63">
        <f t="shared" si="1209"/>
        <v>0</v>
      </c>
      <c r="BZ3074" s="63">
        <v>1266</v>
      </c>
      <c r="CA3074" s="132">
        <v>20</v>
      </c>
      <c r="CB3074" s="132"/>
    </row>
    <row r="3075" spans="1:82" hidden="1" outlineLevel="1">
      <c r="A3075" t="s">
        <v>1417</v>
      </c>
      <c r="B3075" t="s">
        <v>817</v>
      </c>
      <c r="C3075" s="1">
        <f t="shared" si="1200"/>
        <v>29258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 t="e">
        <f>IF(P3075&gt;0,RANK(P3075,(N3075:P3075,Q3075:AE3075)),0)</f>
        <v>#VALUE!</v>
      </c>
      <c r="G3075" s="132">
        <f t="shared" si="1179"/>
        <v>10708</v>
      </c>
      <c r="H3075" s="137">
        <f t="shared" si="1180"/>
        <v>0.36598537152231869</v>
      </c>
      <c r="I3075" s="2"/>
      <c r="J3075" s="2">
        <f t="shared" si="1201"/>
        <v>0.26693553899788092</v>
      </c>
      <c r="K3075" s="2">
        <f t="shared" si="1202"/>
        <v>0.63292091052019961</v>
      </c>
      <c r="L3075" s="2">
        <f t="shared" si="1203"/>
        <v>0</v>
      </c>
      <c r="M3075" s="2">
        <f t="shared" si="1204"/>
        <v>0.10014355048191947</v>
      </c>
      <c r="N3075" s="63">
        <v>7810</v>
      </c>
      <c r="O3075" s="63">
        <v>18518</v>
      </c>
      <c r="P3075" s="63" t="str">
        <f>IF(Copyright!B$11=1,IF(CD3075&gt;0,CD3075,""),"")</f>
        <v/>
      </c>
      <c r="Q3075" s="63">
        <v>1387</v>
      </c>
      <c r="R3075" s="63">
        <v>291</v>
      </c>
      <c r="S3075" s="63">
        <v>248</v>
      </c>
      <c r="T3075" s="63"/>
      <c r="U3075" s="63"/>
      <c r="V3075" s="63">
        <v>45</v>
      </c>
      <c r="W3075" s="63">
        <f>IF(Copyright!B$11=1,IF(CA3075&gt;0,CA3075-SUM(T3075:U3075)-CD3075-SUM(Y3075:AQ3075),0),0)</f>
        <v>912</v>
      </c>
      <c r="X3075" s="63">
        <v>47</v>
      </c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W3075" s="5">
        <f>IF(Q3075&gt;0,RANK(Q3075,(N3075:P3075,Q3075:AE3075)),0)</f>
        <v>3</v>
      </c>
      <c r="AX3075" s="5">
        <f>IF(R3075&gt;0,RANK(R3075,(N3075:P3075,Q3075:AE3075)),0)</f>
        <v>5</v>
      </c>
      <c r="AY3075" s="5">
        <f>IF(T3075&gt;0,RANK(T3075,(N3075:P3075,Q3075:AE3075)),0)</f>
        <v>0</v>
      </c>
      <c r="AZ3075" s="5">
        <f>IF(S3075&gt;0,RANK(S3075,(N3075:P3075,Q3075:AE3075)),0)</f>
        <v>6</v>
      </c>
      <c r="BA3075" s="2">
        <f t="shared" si="1205"/>
        <v>4.7405837719598061E-2</v>
      </c>
      <c r="BB3075" s="2">
        <f t="shared" si="1206"/>
        <v>9.9459976758493399E-3</v>
      </c>
      <c r="BC3075" s="2">
        <f t="shared" si="1207"/>
        <v>0</v>
      </c>
      <c r="BD3075" s="2">
        <f t="shared" si="1208"/>
        <v>8.4763141704832859E-3</v>
      </c>
      <c r="BF3075" t="s">
        <v>1417</v>
      </c>
      <c r="BG3075" t="s">
        <v>817</v>
      </c>
      <c r="BH3075">
        <v>4</v>
      </c>
      <c r="BJ3075" s="114">
        <v>53</v>
      </c>
      <c r="BK3075" s="116">
        <v>25</v>
      </c>
      <c r="BL3075" s="120">
        <f t="shared" si="1190"/>
        <v>53025</v>
      </c>
      <c r="BN3075" s="5" t="s">
        <v>3154</v>
      </c>
      <c r="BO3075" s="63">
        <v>359</v>
      </c>
      <c r="BP3075" s="63">
        <v>165</v>
      </c>
      <c r="BR3075" s="63"/>
      <c r="BY3075" s="63">
        <f t="shared" si="1209"/>
        <v>0</v>
      </c>
      <c r="BZ3075" s="63">
        <v>29258</v>
      </c>
      <c r="CA3075" s="63">
        <v>912</v>
      </c>
    </row>
    <row r="3076" spans="1:82" hidden="1" outlineLevel="1">
      <c r="A3076" t="s">
        <v>153</v>
      </c>
      <c r="B3076" t="s">
        <v>817</v>
      </c>
      <c r="C3076" s="1">
        <f t="shared" si="1200"/>
        <v>29301</v>
      </c>
      <c r="D3076" s="5">
        <f>IF(N3076&gt;0, RANK(N3076,(N3076:P3076,Q3076:AE3076)),0)</f>
        <v>2</v>
      </c>
      <c r="E3076" s="5">
        <f>IF(O3076&gt;0,RANK(O3076,(N3076:P3076,Q3076:AE3076)),0)</f>
        <v>1</v>
      </c>
      <c r="F3076" s="5">
        <f>IF(P3076&gt;0,RANK(P3076,(N3076:P3076,Q3076:AE3076)),0)</f>
        <v>7</v>
      </c>
      <c r="G3076" s="132">
        <f t="shared" si="1179"/>
        <v>2047</v>
      </c>
      <c r="H3076" s="137">
        <f t="shared" si="1180"/>
        <v>6.9861096890891095E-2</v>
      </c>
      <c r="I3076" s="2"/>
      <c r="J3076" s="2">
        <f t="shared" si="1201"/>
        <v>0.41022490699976111</v>
      </c>
      <c r="K3076" s="2">
        <f t="shared" si="1202"/>
        <v>0.4800860038906522</v>
      </c>
      <c r="L3076" s="2">
        <f t="shared" si="1203"/>
        <v>4.5732227569024947E-3</v>
      </c>
      <c r="M3076" s="2">
        <f t="shared" si="1204"/>
        <v>0.10511586635268419</v>
      </c>
      <c r="N3076" s="63">
        <v>12020</v>
      </c>
      <c r="O3076" s="63">
        <v>14067</v>
      </c>
      <c r="P3076" s="63">
        <f>IF(Copyright!B$11=1,IF(CD3076&gt;0,CD3076,""),"")</f>
        <v>134</v>
      </c>
      <c r="Q3076" s="63">
        <v>1443</v>
      </c>
      <c r="R3076" s="63">
        <v>568</v>
      </c>
      <c r="S3076" s="63">
        <v>186</v>
      </c>
      <c r="T3076" s="63"/>
      <c r="U3076" s="63"/>
      <c r="V3076" s="63">
        <v>30</v>
      </c>
      <c r="W3076" s="63">
        <f>IF(Copyright!B$11=1,IF(CA3076&gt;0,CA3076-SUM(T3076:U3076)-CD3076-SUM(Y3076:AQ3076),0),0)</f>
        <v>800</v>
      </c>
      <c r="X3076" s="63">
        <v>53</v>
      </c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W3076" s="5">
        <f>IF(Q3076&gt;0,RANK(Q3076,(N3076:P3076,Q3076:AE3076)),0)</f>
        <v>3</v>
      </c>
      <c r="AX3076" s="5">
        <f>IF(R3076&gt;0,RANK(R3076,(N3076:P3076,Q3076:AE3076)),0)</f>
        <v>5</v>
      </c>
      <c r="AY3076" s="5">
        <f>IF(T3076&gt;0,RANK(T3076,(N3076:P3076,Q3076:AE3076)),0)</f>
        <v>0</v>
      </c>
      <c r="AZ3076" s="5">
        <f>IF(S3076&gt;0,RANK(S3076,(N3076:P3076,Q3076:AE3076)),0)</f>
        <v>6</v>
      </c>
      <c r="BA3076" s="2">
        <f t="shared" si="1205"/>
        <v>4.9247465956793281E-2</v>
      </c>
      <c r="BB3076" s="2">
        <f t="shared" si="1206"/>
        <v>1.9385003924780726E-2</v>
      </c>
      <c r="BC3076" s="2">
        <f t="shared" si="1207"/>
        <v>0</v>
      </c>
      <c r="BD3076" s="2">
        <f t="shared" si="1208"/>
        <v>6.3479062148049555E-3</v>
      </c>
      <c r="BF3076" t="s">
        <v>153</v>
      </c>
      <c r="BG3076" t="s">
        <v>817</v>
      </c>
      <c r="BH3076">
        <v>6</v>
      </c>
      <c r="BJ3076" s="114">
        <v>53</v>
      </c>
      <c r="BK3076" s="116">
        <v>27</v>
      </c>
      <c r="BL3076" s="120">
        <f t="shared" si="1190"/>
        <v>53027</v>
      </c>
      <c r="BN3076" s="5" t="s">
        <v>3154</v>
      </c>
      <c r="BO3076" s="63">
        <v>445</v>
      </c>
      <c r="BP3076" s="63">
        <v>66</v>
      </c>
      <c r="BR3076" s="63"/>
      <c r="BX3076" s="132"/>
      <c r="BY3076" s="63">
        <f t="shared" si="1209"/>
        <v>0</v>
      </c>
      <c r="BZ3076" s="63">
        <v>29301</v>
      </c>
      <c r="CA3076" s="132">
        <v>934</v>
      </c>
      <c r="CC3076" s="63">
        <v>392</v>
      </c>
      <c r="CD3076" s="63">
        <v>134</v>
      </c>
    </row>
    <row r="3077" spans="1:82" hidden="1" outlineLevel="1">
      <c r="A3077" t="s">
        <v>172</v>
      </c>
      <c r="B3077" t="s">
        <v>817</v>
      </c>
      <c r="C3077" s="1">
        <f t="shared" si="1200"/>
        <v>44273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 t="e">
        <f>IF(P3077&gt;0,RANK(P3077,(N3077:P3077,Q3077:AE3077)),0)</f>
        <v>#VALUE!</v>
      </c>
      <c r="G3077" s="132">
        <f t="shared" si="1179"/>
        <v>2495</v>
      </c>
      <c r="H3077" s="137">
        <f t="shared" si="1180"/>
        <v>5.6354888984256772E-2</v>
      </c>
      <c r="I3077" s="2"/>
      <c r="J3077" s="2">
        <f t="shared" si="1201"/>
        <v>0.47342624172746367</v>
      </c>
      <c r="K3077" s="2">
        <f t="shared" si="1202"/>
        <v>0.41707135274320695</v>
      </c>
      <c r="L3077" s="2">
        <f t="shared" si="1203"/>
        <v>0</v>
      </c>
      <c r="M3077" s="2">
        <f t="shared" si="1204"/>
        <v>0.10950240552932933</v>
      </c>
      <c r="N3077" s="63">
        <v>20960</v>
      </c>
      <c r="O3077" s="63">
        <v>18465</v>
      </c>
      <c r="P3077" s="63" t="str">
        <f>IF(Copyright!B$11=1,IF(CD3077&gt;0,CD3077,""),"")</f>
        <v/>
      </c>
      <c r="Q3077" s="63">
        <v>2319</v>
      </c>
      <c r="R3077" s="63">
        <v>807</v>
      </c>
      <c r="S3077" s="63">
        <v>238</v>
      </c>
      <c r="T3077" s="63"/>
      <c r="U3077" s="63"/>
      <c r="V3077" s="63">
        <v>39</v>
      </c>
      <c r="W3077" s="63">
        <f>IF(Copyright!B$11=1,IF(CA3077&gt;0,CA3077-SUM(T3077:U3077)-CD3077-SUM(Y3077:AQ3077),0),0)</f>
        <v>1397</v>
      </c>
      <c r="X3077" s="63">
        <v>48</v>
      </c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W3077" s="5">
        <f>IF(Q3077&gt;0,RANK(Q3077,(N3077:P3077,Q3077:AE3077)),0)</f>
        <v>3</v>
      </c>
      <c r="AX3077" s="5">
        <f>IF(R3077&gt;0,RANK(R3077,(N3077:P3077,Q3077:AE3077)),0)</f>
        <v>5</v>
      </c>
      <c r="AY3077" s="5">
        <f>IF(T3077&gt;0,RANK(T3077,(N3077:P3077,Q3077:AE3077)),0)</f>
        <v>0</v>
      </c>
      <c r="AZ3077" s="5">
        <f>IF(S3077&gt;0,RANK(S3077,(N3077:P3077,Q3077:AE3077)),0)</f>
        <v>6</v>
      </c>
      <c r="BA3077" s="2">
        <f t="shared" si="1205"/>
        <v>5.2379554130056696E-2</v>
      </c>
      <c r="BB3077" s="2">
        <f t="shared" si="1206"/>
        <v>1.8227813791701488E-2</v>
      </c>
      <c r="BC3077" s="2">
        <f t="shared" si="1207"/>
        <v>0</v>
      </c>
      <c r="BD3077" s="2">
        <f t="shared" si="1208"/>
        <v>5.3757369051114674E-3</v>
      </c>
      <c r="BF3077" t="s">
        <v>172</v>
      </c>
      <c r="BG3077" t="s">
        <v>817</v>
      </c>
      <c r="BH3077">
        <v>2</v>
      </c>
      <c r="BJ3077" s="114">
        <v>53</v>
      </c>
      <c r="BK3077" s="116">
        <v>29</v>
      </c>
      <c r="BL3077" s="120">
        <f t="shared" si="1190"/>
        <v>53029</v>
      </c>
      <c r="BN3077" s="5" t="s">
        <v>3154</v>
      </c>
      <c r="BO3077" s="63">
        <v>612</v>
      </c>
      <c r="BP3077" s="63">
        <v>10</v>
      </c>
      <c r="BR3077" s="63"/>
      <c r="BY3077" s="63">
        <f t="shared" si="1209"/>
        <v>0</v>
      </c>
      <c r="BZ3077" s="63">
        <f>42876+1397</f>
        <v>44273</v>
      </c>
      <c r="CA3077" s="63">
        <v>1397</v>
      </c>
    </row>
    <row r="3078" spans="1:82" hidden="1" outlineLevel="1">
      <c r="A3078" t="s">
        <v>1092</v>
      </c>
      <c r="B3078" t="s">
        <v>817</v>
      </c>
      <c r="C3078" s="1">
        <f t="shared" si="1200"/>
        <v>20879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 t="e">
        <f>IF(P3078&gt;0,RANK(P3078,(N3078:P3078,Q3078:AE3078)),0)</f>
        <v>#VALUE!</v>
      </c>
      <c r="G3078" s="132">
        <f t="shared" si="1179"/>
        <v>6619</v>
      </c>
      <c r="H3078" s="137">
        <f t="shared" si="1180"/>
        <v>0.31701709852004406</v>
      </c>
      <c r="I3078" s="2"/>
      <c r="J3078" s="2">
        <f t="shared" si="1201"/>
        <v>0.60615929881699315</v>
      </c>
      <c r="K3078" s="2">
        <f t="shared" si="1202"/>
        <v>0.28914220029694909</v>
      </c>
      <c r="L3078" s="2">
        <f t="shared" si="1203"/>
        <v>0</v>
      </c>
      <c r="M3078" s="2">
        <f t="shared" si="1204"/>
        <v>0.10469850088605775</v>
      </c>
      <c r="N3078" s="63">
        <v>12656</v>
      </c>
      <c r="O3078" s="63">
        <v>6037</v>
      </c>
      <c r="P3078" s="63" t="str">
        <f>IF(Copyright!B$11=1,IF(CD3078&gt;0,CD3078,""),"")</f>
        <v/>
      </c>
      <c r="Q3078" s="63">
        <v>746</v>
      </c>
      <c r="R3078" s="63">
        <v>706</v>
      </c>
      <c r="S3078" s="63">
        <v>75</v>
      </c>
      <c r="T3078" s="63"/>
      <c r="U3078" s="63"/>
      <c r="V3078" s="63">
        <v>22</v>
      </c>
      <c r="W3078" s="63">
        <f>IF(Copyright!B$11=1,IF(CA3078&gt;0,CA3078-SUM(T3078:U3078)-CD3078-SUM(Y3078:AQ3078),0),0)</f>
        <v>603</v>
      </c>
      <c r="X3078" s="63">
        <v>34</v>
      </c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W3078" s="5">
        <f>IF(Q3078&gt;0,RANK(Q3078,(N3078:P3078,Q3078:AE3078)),0)</f>
        <v>3</v>
      </c>
      <c r="AX3078" s="5">
        <f>IF(R3078&gt;0,RANK(R3078,(N3078:P3078,Q3078:AE3078)),0)</f>
        <v>4</v>
      </c>
      <c r="AY3078" s="5">
        <f>IF(T3078&gt;0,RANK(T3078,(N3078:P3078,Q3078:AE3078)),0)</f>
        <v>0</v>
      </c>
      <c r="AZ3078" s="5">
        <f>IF(S3078&gt;0,RANK(S3078,(N3078:P3078,Q3078:AE3078)),0)</f>
        <v>6</v>
      </c>
      <c r="BA3078" s="2">
        <f t="shared" si="1205"/>
        <v>3.5729680540255757E-2</v>
      </c>
      <c r="BB3078" s="2">
        <f t="shared" si="1206"/>
        <v>3.3813879975094593E-2</v>
      </c>
      <c r="BC3078" s="2">
        <f t="shared" si="1207"/>
        <v>0</v>
      </c>
      <c r="BD3078" s="2">
        <f t="shared" si="1208"/>
        <v>3.5921260596771874E-3</v>
      </c>
      <c r="BF3078" t="s">
        <v>1092</v>
      </c>
      <c r="BG3078" t="s">
        <v>817</v>
      </c>
      <c r="BH3078">
        <v>6</v>
      </c>
      <c r="BJ3078" s="114">
        <v>53</v>
      </c>
      <c r="BK3078" s="116">
        <v>31</v>
      </c>
      <c r="BL3078" s="120">
        <f t="shared" si="1190"/>
        <v>53031</v>
      </c>
      <c r="BN3078" s="5" t="s">
        <v>3154</v>
      </c>
      <c r="BO3078" s="63">
        <v>285</v>
      </c>
      <c r="BP3078" s="63">
        <v>7</v>
      </c>
      <c r="BR3078" s="63"/>
      <c r="BX3078" s="132"/>
      <c r="BY3078" s="63">
        <f t="shared" si="1209"/>
        <v>0</v>
      </c>
      <c r="BZ3078" s="63">
        <f>12656+6037+34+22+706+75+746+603</f>
        <v>20879</v>
      </c>
      <c r="CA3078" s="132">
        <v>603</v>
      </c>
    </row>
    <row r="3079" spans="1:82" hidden="1" outlineLevel="1">
      <c r="A3079" t="s">
        <v>407</v>
      </c>
      <c r="B3079" t="s">
        <v>817</v>
      </c>
      <c r="C3079" s="1">
        <f t="shared" si="1200"/>
        <v>1028450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 t="e">
        <f>IF(P3079&gt;0,RANK(P3079,(N3079:P3079,Q3079:AE3079)),0)</f>
        <v>#VALUE!</v>
      </c>
      <c r="G3079" s="132">
        <f t="shared" si="1179"/>
        <v>501983</v>
      </c>
      <c r="H3079" s="137">
        <f t="shared" si="1180"/>
        <v>0.48809665029899363</v>
      </c>
      <c r="I3079" s="2"/>
      <c r="J3079" s="2">
        <f t="shared" si="1201"/>
        <v>0.69845106713987071</v>
      </c>
      <c r="K3079" s="2">
        <f t="shared" si="1202"/>
        <v>0.21035441684087705</v>
      </c>
      <c r="L3079" s="2">
        <f t="shared" si="1203"/>
        <v>0</v>
      </c>
      <c r="M3079" s="2">
        <f t="shared" si="1204"/>
        <v>9.1194516019252242E-2</v>
      </c>
      <c r="N3079" s="63">
        <v>718322</v>
      </c>
      <c r="O3079" s="63">
        <v>216339</v>
      </c>
      <c r="P3079" s="63" t="str">
        <f>IF(Copyright!B$11=1,IF(CD3079&gt;0,CD3079,""),"")</f>
        <v/>
      </c>
      <c r="Q3079" s="63">
        <v>40861</v>
      </c>
      <c r="R3079" s="63">
        <v>17704</v>
      </c>
      <c r="S3079" s="63">
        <v>3092</v>
      </c>
      <c r="T3079" s="63"/>
      <c r="U3079" s="63"/>
      <c r="V3079" s="63">
        <v>1072</v>
      </c>
      <c r="W3079" s="63">
        <f>IF(Copyright!B$11=1,IF(CA3079&gt;0,CA3079-SUM(T3079:U3079)-CD3079-SUM(Y3079:AQ3079),0),0)</f>
        <v>29951</v>
      </c>
      <c r="X3079" s="63">
        <v>1109</v>
      </c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W3079" s="5">
        <f>IF(Q3079&gt;0,RANK(Q3079,(N3079:P3079,Q3079:AE3079)),0)</f>
        <v>3</v>
      </c>
      <c r="AX3079" s="5">
        <f>IF(R3079&gt;0,RANK(R3079,(N3079:P3079,Q3079:AE3079)),0)</f>
        <v>5</v>
      </c>
      <c r="AY3079" s="5">
        <f>IF(T3079&gt;0,RANK(T3079,(N3079:P3079,Q3079:AE3079)),0)</f>
        <v>0</v>
      </c>
      <c r="AZ3079" s="5">
        <f>IF(S3079&gt;0,RANK(S3079,(N3079:P3079,Q3079:AE3079)),0)</f>
        <v>6</v>
      </c>
      <c r="BA3079" s="2">
        <f t="shared" si="1205"/>
        <v>3.9730662647673685E-2</v>
      </c>
      <c r="BB3079" s="2">
        <f t="shared" si="1206"/>
        <v>1.7214254460596042E-2</v>
      </c>
      <c r="BC3079" s="2">
        <f t="shared" si="1207"/>
        <v>0</v>
      </c>
      <c r="BD3079" s="2">
        <f t="shared" si="1208"/>
        <v>3.0064660411298558E-3</v>
      </c>
      <c r="BF3079" t="s">
        <v>407</v>
      </c>
      <c r="BG3079" t="s">
        <v>817</v>
      </c>
      <c r="BJ3079" s="114">
        <v>53</v>
      </c>
      <c r="BK3079" s="116">
        <v>33</v>
      </c>
      <c r="BL3079" s="120">
        <f t="shared" si="1190"/>
        <v>53033</v>
      </c>
      <c r="BN3079" s="5" t="s">
        <v>3154</v>
      </c>
      <c r="BO3079" s="63">
        <v>12186</v>
      </c>
      <c r="BP3079" s="63">
        <v>977</v>
      </c>
      <c r="BR3079" s="63"/>
      <c r="BY3079" s="63">
        <f t="shared" si="1209"/>
        <v>0</v>
      </c>
      <c r="BZ3079" s="63">
        <f>718322+216339+1109+1072+17704+3092+40861+29951</f>
        <v>1028450</v>
      </c>
      <c r="CA3079" s="63">
        <v>29951</v>
      </c>
    </row>
    <row r="3080" spans="1:82" hidden="1" outlineLevel="1">
      <c r="A3080" t="s">
        <v>2139</v>
      </c>
      <c r="B3080" t="s">
        <v>817</v>
      </c>
      <c r="C3080" s="1">
        <f t="shared" si="1200"/>
        <v>128770</v>
      </c>
      <c r="D3080" s="5">
        <f>IF(N3080&gt;0, RANK(N3080,(N3080:P3080,Q3080:AE3080)),0)</f>
        <v>1</v>
      </c>
      <c r="E3080" s="5">
        <f>IF(O3080&gt;0,RANK(O3080,(N3080:P3080,Q3080:AE3080)),0)</f>
        <v>2</v>
      </c>
      <c r="F3080" s="5">
        <f>IF(P3080&gt;0,RANK(P3080,(N3080:P3080,Q3080:AE3080)),0)</f>
        <v>6</v>
      </c>
      <c r="G3080" s="132">
        <f t="shared" ref="G3080:G3143" si="1210">IF(C3080&gt;0,MAX(N3080:P3080)-LARGE(N3080:P3080,2),0)</f>
        <v>14138</v>
      </c>
      <c r="H3080" s="137">
        <f t="shared" ref="H3080:H3143" si="1211">IF(C3080&gt;0,G3080/C3080,0)</f>
        <v>0.10979265356837772</v>
      </c>
      <c r="I3080" s="2"/>
      <c r="J3080" s="2">
        <f t="shared" si="1201"/>
        <v>0.49045585151821075</v>
      </c>
      <c r="K3080" s="2">
        <f t="shared" si="1202"/>
        <v>0.38066319794983305</v>
      </c>
      <c r="L3080" s="2">
        <f t="shared" si="1203"/>
        <v>8.5345965675234919E-3</v>
      </c>
      <c r="M3080" s="2">
        <f t="shared" si="1204"/>
        <v>0.12034635396443276</v>
      </c>
      <c r="N3080" s="63">
        <v>63156</v>
      </c>
      <c r="O3080" s="63">
        <v>49018</v>
      </c>
      <c r="P3080" s="63">
        <f>IF(Copyright!B$11=1,IF(CD3080&gt;0,CD3080,""),"")</f>
        <v>1099</v>
      </c>
      <c r="Q3080" s="63">
        <v>8596</v>
      </c>
      <c r="R3080" s="63">
        <v>2397</v>
      </c>
      <c r="S3080" s="63">
        <v>857</v>
      </c>
      <c r="T3080" s="63"/>
      <c r="U3080" s="63"/>
      <c r="V3080" s="63">
        <v>128</v>
      </c>
      <c r="W3080" s="63">
        <f>IF(Copyright!B$11=1,IF(CA3080&gt;0,CA3080-SUM(T3080:U3080)-CD3080-SUM(Y3080:AQ3080),0),0)</f>
        <v>3354</v>
      </c>
      <c r="X3080" s="63">
        <v>165</v>
      </c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W3080" s="5">
        <f>IF(Q3080&gt;0,RANK(Q3080,(N3080:P3080,Q3080:AE3080)),0)</f>
        <v>3</v>
      </c>
      <c r="AX3080" s="5">
        <f>IF(R3080&gt;0,RANK(R3080,(N3080:P3080,Q3080:AE3080)),0)</f>
        <v>5</v>
      </c>
      <c r="AY3080" s="5">
        <f>IF(T3080&gt;0,RANK(T3080,(N3080:P3080,Q3080:AE3080)),0)</f>
        <v>0</v>
      </c>
      <c r="AZ3080" s="5">
        <f>IF(S3080&gt;0,RANK(S3080,(N3080:P3080,Q3080:AE3080)),0)</f>
        <v>7</v>
      </c>
      <c r="BA3080" s="2">
        <f t="shared" si="1205"/>
        <v>6.6754678884833427E-2</v>
      </c>
      <c r="BB3080" s="2">
        <f t="shared" si="1206"/>
        <v>1.8614584142269162E-2</v>
      </c>
      <c r="BC3080" s="2">
        <f t="shared" si="1207"/>
        <v>0</v>
      </c>
      <c r="BD3080" s="2">
        <f t="shared" si="1208"/>
        <v>6.6552768501980273E-3</v>
      </c>
      <c r="BF3080" t="s">
        <v>2139</v>
      </c>
      <c r="BG3080" t="s">
        <v>817</v>
      </c>
      <c r="BH3080">
        <v>6</v>
      </c>
      <c r="BJ3080" s="114">
        <v>53</v>
      </c>
      <c r="BK3080" s="116">
        <v>35</v>
      </c>
      <c r="BL3080" s="120">
        <f t="shared" si="1190"/>
        <v>53035</v>
      </c>
      <c r="BN3080" s="5" t="s">
        <v>3154</v>
      </c>
      <c r="BO3080" s="63">
        <v>1542</v>
      </c>
      <c r="BP3080" s="63">
        <v>191</v>
      </c>
      <c r="BR3080" s="63"/>
      <c r="BY3080" s="63">
        <f t="shared" si="1209"/>
        <v>0</v>
      </c>
      <c r="BZ3080" s="63">
        <f>63156+49018+165+128+2397+857+8596+4453</f>
        <v>128770</v>
      </c>
      <c r="CA3080" s="63">
        <v>4453</v>
      </c>
      <c r="CC3080" s="63">
        <v>1335</v>
      </c>
      <c r="CD3080" s="63">
        <v>1099</v>
      </c>
    </row>
    <row r="3081" spans="1:82" hidden="1" outlineLevel="1">
      <c r="A3081" t="s">
        <v>1742</v>
      </c>
      <c r="B3081" t="s">
        <v>817</v>
      </c>
      <c r="C3081" s="1">
        <f t="shared" si="1200"/>
        <v>19615</v>
      </c>
      <c r="D3081" s="5">
        <f>IF(N3081&gt;0, RANK(N3081,(N3081:P3081,Q3081:AE3081)),0)</f>
        <v>2</v>
      </c>
      <c r="E3081" s="5">
        <f>IF(O3081&gt;0,RANK(O3081,(N3081:P3081,Q3081:AE3081)),0)</f>
        <v>1</v>
      </c>
      <c r="F3081" s="5" t="e">
        <f>IF(P3081&gt;0,RANK(P3081,(N3081:P3081,Q3081:AE3081)),0)</f>
        <v>#VALUE!</v>
      </c>
      <c r="G3081" s="132">
        <f t="shared" si="1210"/>
        <v>2611</v>
      </c>
      <c r="H3081" s="137">
        <f t="shared" si="1211"/>
        <v>0.13311241396890136</v>
      </c>
      <c r="I3081" s="2"/>
      <c r="J3081" s="2">
        <f t="shared" si="1201"/>
        <v>0.38179964313025744</v>
      </c>
      <c r="K3081" s="2">
        <f t="shared" si="1202"/>
        <v>0.51491205709915877</v>
      </c>
      <c r="L3081" s="2">
        <f t="shared" si="1203"/>
        <v>0</v>
      </c>
      <c r="M3081" s="2">
        <f t="shared" si="1204"/>
        <v>0.10328829977058374</v>
      </c>
      <c r="N3081" s="63">
        <v>7489</v>
      </c>
      <c r="O3081" s="63">
        <v>10100</v>
      </c>
      <c r="P3081" s="63" t="str">
        <f>IF(Copyright!B$11=1,IF(CD3081&gt;0,CD3081,""),"")</f>
        <v/>
      </c>
      <c r="Q3081" s="63">
        <v>908</v>
      </c>
      <c r="R3081" s="63">
        <v>315</v>
      </c>
      <c r="S3081" s="63">
        <v>95</v>
      </c>
      <c r="T3081" s="63"/>
      <c r="U3081" s="63"/>
      <c r="V3081" s="63">
        <v>19</v>
      </c>
      <c r="W3081" s="63">
        <f>IF(Copyright!B$11=1,IF(CA3081&gt;0,CA3081-SUM(T3081:U3081)-CD3081-SUM(Y3081:AQ3081),0),0)</f>
        <v>660</v>
      </c>
      <c r="X3081" s="63">
        <v>29</v>
      </c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W3081" s="5">
        <f>IF(Q3081&gt;0,RANK(Q3081,(N3081:P3081,Q3081:AE3081)),0)</f>
        <v>3</v>
      </c>
      <c r="AX3081" s="5">
        <f>IF(R3081&gt;0,RANK(R3081,(N3081:P3081,Q3081:AE3081)),0)</f>
        <v>5</v>
      </c>
      <c r="AY3081" s="5">
        <f>IF(T3081&gt;0,RANK(T3081,(N3081:P3081,Q3081:AE3081)),0)</f>
        <v>0</v>
      </c>
      <c r="AZ3081" s="5">
        <f>IF(S3081&gt;0,RANK(S3081,(N3081:P3081,Q3081:AE3081)),0)</f>
        <v>6</v>
      </c>
      <c r="BA3081" s="2">
        <f t="shared" si="1205"/>
        <v>4.6291103747132294E-2</v>
      </c>
      <c r="BB3081" s="2">
        <f t="shared" si="1206"/>
        <v>1.6059138414478716E-2</v>
      </c>
      <c r="BC3081" s="2">
        <f t="shared" si="1207"/>
        <v>0</v>
      </c>
      <c r="BD3081" s="2">
        <f t="shared" si="1208"/>
        <v>4.8432322202396124E-3</v>
      </c>
      <c r="BF3081" t="s">
        <v>1742</v>
      </c>
      <c r="BG3081" t="s">
        <v>817</v>
      </c>
      <c r="BH3081">
        <v>8</v>
      </c>
      <c r="BJ3081" s="114">
        <v>53</v>
      </c>
      <c r="BK3081" s="116">
        <v>37</v>
      </c>
      <c r="BL3081" s="120">
        <f t="shared" si="1190"/>
        <v>53037</v>
      </c>
      <c r="BN3081" s="5" t="s">
        <v>3154</v>
      </c>
      <c r="BO3081" s="63">
        <v>294</v>
      </c>
      <c r="BP3081" s="63">
        <v>25</v>
      </c>
      <c r="BR3081" s="63"/>
      <c r="BX3081" s="132"/>
      <c r="BY3081" s="63">
        <f t="shared" si="1209"/>
        <v>0</v>
      </c>
      <c r="BZ3081" s="63">
        <v>19615</v>
      </c>
      <c r="CA3081" s="132">
        <v>660</v>
      </c>
    </row>
    <row r="3082" spans="1:82" hidden="1" outlineLevel="1">
      <c r="A3082" t="s">
        <v>1038</v>
      </c>
      <c r="B3082" t="s">
        <v>817</v>
      </c>
      <c r="C3082" s="1">
        <f t="shared" si="1200"/>
        <v>11074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7</v>
      </c>
      <c r="G3082" s="132">
        <f t="shared" si="1210"/>
        <v>1595</v>
      </c>
      <c r="H3082" s="137">
        <f t="shared" si="1211"/>
        <v>0.14403106375293481</v>
      </c>
      <c r="I3082" s="2"/>
      <c r="J3082" s="2">
        <f t="shared" si="1201"/>
        <v>0.37872494130395523</v>
      </c>
      <c r="K3082" s="2">
        <f t="shared" si="1202"/>
        <v>0.52275600505689002</v>
      </c>
      <c r="L3082" s="2">
        <f t="shared" si="1203"/>
        <v>5.9599060863283369E-3</v>
      </c>
      <c r="M3082" s="2">
        <f t="shared" si="1204"/>
        <v>9.2559147552826362E-2</v>
      </c>
      <c r="N3082" s="63">
        <v>4194</v>
      </c>
      <c r="O3082" s="63">
        <v>5789</v>
      </c>
      <c r="P3082" s="63">
        <f>IF(Copyright!B$11=1,IF(CD3082&gt;0,CD3082,""),"")</f>
        <v>66</v>
      </c>
      <c r="Q3082" s="63">
        <v>463</v>
      </c>
      <c r="R3082" s="63">
        <v>217</v>
      </c>
      <c r="S3082" s="63">
        <v>75</v>
      </c>
      <c r="T3082" s="63"/>
      <c r="U3082" s="63"/>
      <c r="V3082" s="63">
        <v>12</v>
      </c>
      <c r="W3082" s="63">
        <f>IF(Copyright!B$11=1,IF(CA3082&gt;0,CA3082-SUM(T3082:U3082)-CD3082-SUM(Y3082:AQ3082),0),0)</f>
        <v>239</v>
      </c>
      <c r="X3082" s="63">
        <v>19</v>
      </c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W3082" s="5">
        <f>IF(Q3082&gt;0,RANK(Q3082,(N3082:P3082,Q3082:AE3082)),0)</f>
        <v>3</v>
      </c>
      <c r="AX3082" s="5">
        <f>IF(R3082&gt;0,RANK(R3082,(N3082:P3082,Q3082:AE3082)),0)</f>
        <v>5</v>
      </c>
      <c r="AY3082" s="5">
        <f>IF(T3082&gt;0,RANK(T3082,(N3082:P3082,Q3082:AE3082)),0)</f>
        <v>0</v>
      </c>
      <c r="AZ3082" s="5">
        <f>IF(S3082&gt;0,RANK(S3082,(N3082:P3082,Q3082:AE3082)),0)</f>
        <v>6</v>
      </c>
      <c r="BA3082" s="2">
        <f t="shared" si="1205"/>
        <v>4.1809644211666969E-2</v>
      </c>
      <c r="BB3082" s="2">
        <f t="shared" si="1206"/>
        <v>1.9595448798988623E-2</v>
      </c>
      <c r="BC3082" s="2">
        <f t="shared" si="1207"/>
        <v>0</v>
      </c>
      <c r="BD3082" s="2">
        <f t="shared" si="1208"/>
        <v>6.7726205526458371E-3</v>
      </c>
      <c r="BF3082" t="s">
        <v>1038</v>
      </c>
      <c r="BG3082" t="s">
        <v>817</v>
      </c>
      <c r="BH3082">
        <v>3</v>
      </c>
      <c r="BJ3082" s="114">
        <v>53</v>
      </c>
      <c r="BK3082" s="116">
        <v>39</v>
      </c>
      <c r="BL3082" s="120">
        <f t="shared" si="1190"/>
        <v>53039</v>
      </c>
      <c r="BN3082" s="5" t="s">
        <v>3154</v>
      </c>
      <c r="BO3082" s="63">
        <v>164</v>
      </c>
      <c r="BP3082" s="63">
        <v>25</v>
      </c>
      <c r="BR3082" s="63"/>
      <c r="BX3082" s="132"/>
      <c r="BY3082" s="63">
        <f t="shared" si="1209"/>
        <v>0</v>
      </c>
      <c r="BZ3082" s="63">
        <v>11074</v>
      </c>
      <c r="CA3082" s="132">
        <v>305</v>
      </c>
      <c r="CC3082" s="63">
        <f>83+1+1+1</f>
        <v>86</v>
      </c>
      <c r="CD3082" s="63">
        <f>3+37+13+9+4</f>
        <v>66</v>
      </c>
    </row>
    <row r="3083" spans="1:82" hidden="1" outlineLevel="1">
      <c r="A3083" t="s">
        <v>2787</v>
      </c>
      <c r="B3083" t="s">
        <v>817</v>
      </c>
      <c r="C3083" s="1">
        <f t="shared" si="1200"/>
        <v>35199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 t="e">
        <f>IF(P3083&gt;0,RANK(P3083,(N3083:P3083,Q3083:AE3083)),0)</f>
        <v>#VALUE!</v>
      </c>
      <c r="G3083" s="132">
        <f t="shared" si="1210"/>
        <v>12338</v>
      </c>
      <c r="H3083" s="137">
        <f t="shared" si="1211"/>
        <v>0.35052132162845534</v>
      </c>
      <c r="I3083" s="2"/>
      <c r="J3083" s="2">
        <f t="shared" si="1201"/>
        <v>0.2742691553737322</v>
      </c>
      <c r="K3083" s="2">
        <f t="shared" si="1202"/>
        <v>0.62479047700218759</v>
      </c>
      <c r="L3083" s="2">
        <f t="shared" si="1203"/>
        <v>0</v>
      </c>
      <c r="M3083" s="2">
        <f t="shared" si="1204"/>
        <v>0.10094036762408021</v>
      </c>
      <c r="N3083" s="63">
        <v>9654</v>
      </c>
      <c r="O3083" s="63">
        <v>21992</v>
      </c>
      <c r="P3083" s="63" t="str">
        <f>IF(Copyright!B$11=1,IF(CD3083&gt;0,CD3083,""),"")</f>
        <v/>
      </c>
      <c r="Q3083" s="63">
        <v>1664</v>
      </c>
      <c r="R3083" s="63">
        <v>514</v>
      </c>
      <c r="S3083" s="63">
        <v>229</v>
      </c>
      <c r="T3083" s="63"/>
      <c r="U3083" s="63"/>
      <c r="V3083" s="63">
        <v>33</v>
      </c>
      <c r="W3083" s="63">
        <f>IF(Copyright!B$11=1,IF(CA3083&gt;0,CA3083-SUM(T3083:U3083)-CD3083-SUM(Y3083:AQ3083),0),0)</f>
        <v>1050</v>
      </c>
      <c r="X3083" s="63">
        <v>63</v>
      </c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W3083" s="5">
        <f>IF(Q3083&gt;0,RANK(Q3083,(N3083:P3083,Q3083:AE3083)),0)</f>
        <v>3</v>
      </c>
      <c r="AX3083" s="5">
        <f>IF(R3083&gt;0,RANK(R3083,(N3083:P3083,Q3083:AE3083)),0)</f>
        <v>5</v>
      </c>
      <c r="AY3083" s="5">
        <f>IF(T3083&gt;0,RANK(T3083,(N3083:P3083,Q3083:AE3083)),0)</f>
        <v>0</v>
      </c>
      <c r="AZ3083" s="5">
        <f>IF(S3083&gt;0,RANK(S3083,(N3083:P3083,Q3083:AE3083)),0)</f>
        <v>6</v>
      </c>
      <c r="BA3083" s="2">
        <f t="shared" si="1205"/>
        <v>4.7274070286087676E-2</v>
      </c>
      <c r="BB3083" s="2">
        <f t="shared" si="1206"/>
        <v>1.4602687576351601E-2</v>
      </c>
      <c r="BC3083" s="2">
        <f t="shared" si="1207"/>
        <v>0</v>
      </c>
      <c r="BD3083" s="2">
        <f t="shared" si="1208"/>
        <v>6.5058666439387486E-3</v>
      </c>
      <c r="BF3083" t="s">
        <v>2787</v>
      </c>
      <c r="BG3083" t="s">
        <v>817</v>
      </c>
      <c r="BH3083">
        <v>3</v>
      </c>
      <c r="BJ3083" s="114">
        <v>53</v>
      </c>
      <c r="BK3083" s="116">
        <v>41</v>
      </c>
      <c r="BL3083" s="120">
        <f t="shared" si="1190"/>
        <v>53041</v>
      </c>
      <c r="BN3083" s="5" t="s">
        <v>3154</v>
      </c>
      <c r="BO3083" s="63">
        <v>506</v>
      </c>
      <c r="BP3083" s="63">
        <v>81</v>
      </c>
      <c r="BR3083" s="63"/>
      <c r="BX3083" s="132"/>
      <c r="BY3083" s="63">
        <f t="shared" si="1209"/>
        <v>0</v>
      </c>
      <c r="BZ3083" s="63">
        <v>35199</v>
      </c>
      <c r="CA3083" s="63">
        <v>1050</v>
      </c>
    </row>
    <row r="3084" spans="1:82" hidden="1" outlineLevel="1">
      <c r="A3084" t="s">
        <v>1597</v>
      </c>
      <c r="B3084" t="s">
        <v>817</v>
      </c>
      <c r="C3084" s="1">
        <f t="shared" si="1200"/>
        <v>5861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9</v>
      </c>
      <c r="G3084" s="132">
        <f t="shared" si="1210"/>
        <v>2864</v>
      </c>
      <c r="H3084" s="137">
        <f t="shared" si="1211"/>
        <v>0.48865381334243302</v>
      </c>
      <c r="I3084" s="2"/>
      <c r="J3084" s="2">
        <f t="shared" si="1201"/>
        <v>0.21225046920320764</v>
      </c>
      <c r="K3084" s="2">
        <f t="shared" si="1202"/>
        <v>0.70090428254564063</v>
      </c>
      <c r="L3084" s="2">
        <f t="shared" si="1203"/>
        <v>6.8247739293635903E-4</v>
      </c>
      <c r="M3084" s="2">
        <f t="shared" si="1204"/>
        <v>8.6162770858215332E-2</v>
      </c>
      <c r="N3084" s="63">
        <v>1244</v>
      </c>
      <c r="O3084" s="63">
        <v>4108</v>
      </c>
      <c r="P3084" s="63">
        <f>IF(Copyright!B$11=1,IF(CD3084&gt;0,CD3084,""),"")</f>
        <v>4</v>
      </c>
      <c r="Q3084" s="63">
        <v>252</v>
      </c>
      <c r="R3084" s="63">
        <v>50</v>
      </c>
      <c r="S3084" s="63">
        <v>43</v>
      </c>
      <c r="T3084" s="63"/>
      <c r="U3084" s="63"/>
      <c r="V3084" s="63">
        <v>5</v>
      </c>
      <c r="W3084" s="63">
        <f>IF(Copyright!B$11=1,IF(CA3084&gt;0,CA3084-SUM(T3084:U3084)-CD3084-SUM(Y3084:AQ3084),0),0)</f>
        <v>144</v>
      </c>
      <c r="X3084" s="63">
        <v>11</v>
      </c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W3084" s="5">
        <f>IF(Q3084&gt;0,RANK(Q3084,(N3084:P3084,Q3084:AE3084)),0)</f>
        <v>3</v>
      </c>
      <c r="AX3084" s="5">
        <f>IF(R3084&gt;0,RANK(R3084,(N3084:P3084,Q3084:AE3084)),0)</f>
        <v>5</v>
      </c>
      <c r="AY3084" s="5">
        <f>IF(T3084&gt;0,RANK(T3084,(N3084:P3084,Q3084:AE3084)),0)</f>
        <v>0</v>
      </c>
      <c r="AZ3084" s="5">
        <f>IF(S3084&gt;0,RANK(S3084,(N3084:P3084,Q3084:AE3084)),0)</f>
        <v>6</v>
      </c>
      <c r="BA3084" s="2">
        <f t="shared" si="1205"/>
        <v>4.2996075754990613E-2</v>
      </c>
      <c r="BB3084" s="2">
        <f t="shared" si="1206"/>
        <v>8.5309674117044869E-3</v>
      </c>
      <c r="BC3084" s="2">
        <f t="shared" si="1207"/>
        <v>0</v>
      </c>
      <c r="BD3084" s="2">
        <f t="shared" si="1208"/>
        <v>7.3366319740658589E-3</v>
      </c>
      <c r="BF3084" t="s">
        <v>1597</v>
      </c>
      <c r="BG3084" t="s">
        <v>817</v>
      </c>
      <c r="BH3084">
        <v>5</v>
      </c>
      <c r="BJ3084" s="114">
        <v>53</v>
      </c>
      <c r="BK3084" s="116">
        <v>43</v>
      </c>
      <c r="BL3084" s="120">
        <f t="shared" si="1190"/>
        <v>53043</v>
      </c>
      <c r="BN3084" s="5" t="s">
        <v>3154</v>
      </c>
      <c r="BO3084" s="63">
        <v>84</v>
      </c>
      <c r="BP3084" s="63">
        <v>7</v>
      </c>
      <c r="BR3084" s="63"/>
      <c r="BX3084" s="132"/>
      <c r="BY3084" s="63">
        <f t="shared" si="1209"/>
        <v>0</v>
      </c>
      <c r="BZ3084" s="63">
        <v>5861</v>
      </c>
      <c r="CA3084" s="132">
        <f>38+3+107</f>
        <v>148</v>
      </c>
      <c r="CC3084" s="63">
        <v>16</v>
      </c>
      <c r="CD3084" s="63">
        <v>4</v>
      </c>
    </row>
    <row r="3085" spans="1:82" hidden="1" outlineLevel="1">
      <c r="A3085" t="s">
        <v>1942</v>
      </c>
      <c r="B3085" t="s">
        <v>817</v>
      </c>
      <c r="C3085" s="1">
        <f t="shared" si="1200"/>
        <v>29003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 t="e">
        <f>IF(P3085&gt;0,RANK(P3085,(N3085:P3085,Q3085:AE3085)),0)</f>
        <v>#VALUE!</v>
      </c>
      <c r="G3085" s="132">
        <f t="shared" si="1210"/>
        <v>1684</v>
      </c>
      <c r="H3085" s="137">
        <f t="shared" si="1211"/>
        <v>5.8062959004240938E-2</v>
      </c>
      <c r="I3085" s="2"/>
      <c r="J3085" s="2">
        <f t="shared" si="1201"/>
        <v>0.4135089473502741</v>
      </c>
      <c r="K3085" s="2">
        <f t="shared" si="1202"/>
        <v>0.47157190635451507</v>
      </c>
      <c r="L3085" s="2">
        <f t="shared" si="1203"/>
        <v>0</v>
      </c>
      <c r="M3085" s="2">
        <f t="shared" si="1204"/>
        <v>0.11491914629521083</v>
      </c>
      <c r="N3085" s="63">
        <v>11993</v>
      </c>
      <c r="O3085" s="63">
        <v>13677</v>
      </c>
      <c r="P3085" s="63" t="str">
        <f>IF(Copyright!B$11=1,IF(CD3085&gt;0,CD3085,""),"")</f>
        <v/>
      </c>
      <c r="Q3085" s="63">
        <v>1560</v>
      </c>
      <c r="R3085" s="63">
        <v>556</v>
      </c>
      <c r="S3085" s="63">
        <v>211</v>
      </c>
      <c r="T3085" s="63"/>
      <c r="U3085" s="63"/>
      <c r="V3085" s="63">
        <v>36</v>
      </c>
      <c r="W3085" s="63">
        <f>IF(Copyright!B$11=1,IF(CA3085&gt;0,CA3085-SUM(T3085:U3085)-CD3085-SUM(Y3085:AQ3085),0),0)</f>
        <v>930</v>
      </c>
      <c r="X3085" s="63">
        <v>40</v>
      </c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W3085" s="5">
        <f>IF(Q3085&gt;0,RANK(Q3085,(N3085:P3085,Q3085:AE3085)),0)</f>
        <v>3</v>
      </c>
      <c r="AX3085" s="5">
        <f>IF(R3085&gt;0,RANK(R3085,(N3085:P3085,Q3085:AE3085)),0)</f>
        <v>5</v>
      </c>
      <c r="AY3085" s="5">
        <f>IF(T3085&gt;0,RANK(T3085,(N3085:P3085,Q3085:AE3085)),0)</f>
        <v>0</v>
      </c>
      <c r="AZ3085" s="5">
        <f>IF(S3085&gt;0,RANK(S3085,(N3085:P3085,Q3085:AE3085)),0)</f>
        <v>6</v>
      </c>
      <c r="BA3085" s="2">
        <f t="shared" si="1205"/>
        <v>5.3787539220080678E-2</v>
      </c>
      <c r="BB3085" s="2">
        <f t="shared" si="1206"/>
        <v>1.9170430645105679E-2</v>
      </c>
      <c r="BC3085" s="2">
        <f t="shared" si="1207"/>
        <v>0</v>
      </c>
      <c r="BD3085" s="2">
        <f t="shared" si="1208"/>
        <v>7.2751094714339892E-3</v>
      </c>
      <c r="BF3085" t="s">
        <v>1942</v>
      </c>
      <c r="BG3085" t="s">
        <v>817</v>
      </c>
      <c r="BJ3085" s="114">
        <v>53</v>
      </c>
      <c r="BK3085" s="116">
        <v>45</v>
      </c>
      <c r="BL3085" s="120">
        <f t="shared" si="1190"/>
        <v>53045</v>
      </c>
      <c r="BN3085" s="5" t="s">
        <v>3154</v>
      </c>
      <c r="BO3085" s="63">
        <v>350</v>
      </c>
      <c r="BP3085" s="63">
        <v>36</v>
      </c>
      <c r="BR3085" s="63"/>
      <c r="BX3085" s="132"/>
      <c r="BY3085" s="63">
        <f t="shared" si="1209"/>
        <v>0</v>
      </c>
      <c r="BZ3085" s="63">
        <v>29003</v>
      </c>
      <c r="CA3085" s="132">
        <v>930</v>
      </c>
    </row>
    <row r="3086" spans="1:82" hidden="1" outlineLevel="1">
      <c r="A3086" t="s">
        <v>1550</v>
      </c>
      <c r="B3086" t="s">
        <v>817</v>
      </c>
      <c r="C3086" s="1">
        <f t="shared" si="1200"/>
        <v>17556</v>
      </c>
      <c r="D3086" s="5">
        <f>IF(N3086&gt;0, RANK(N3086,(N3086:P3086,Q3086:AE3086)),0)</f>
        <v>2</v>
      </c>
      <c r="E3086" s="5">
        <f>IF(O3086&gt;0,RANK(O3086,(N3086:P3086,Q3086:AE3086)),0)</f>
        <v>1</v>
      </c>
      <c r="F3086" s="5">
        <f>IF(P3086&gt;0,RANK(P3086,(N3086:P3086,Q3086:AE3086)),0)</f>
        <v>7</v>
      </c>
      <c r="G3086" s="132">
        <f t="shared" si="1210"/>
        <v>3312</v>
      </c>
      <c r="H3086" s="137">
        <f t="shared" si="1211"/>
        <v>0.18865345181134655</v>
      </c>
      <c r="I3086" s="2"/>
      <c r="J3086" s="2">
        <f t="shared" si="1201"/>
        <v>0.35873775347459558</v>
      </c>
      <c r="K3086" s="2">
        <f t="shared" si="1202"/>
        <v>0.5473912052859421</v>
      </c>
      <c r="L3086" s="2">
        <f t="shared" si="1203"/>
        <v>4.2720437457279565E-3</v>
      </c>
      <c r="M3086" s="2">
        <f t="shared" si="1204"/>
        <v>8.9598997493734372E-2</v>
      </c>
      <c r="N3086" s="63">
        <v>6298</v>
      </c>
      <c r="O3086" s="63">
        <v>9610</v>
      </c>
      <c r="P3086" s="63">
        <f>IF(Copyright!B$11=1,IF(CD3086&gt;0,CD3086,""),"")</f>
        <v>75</v>
      </c>
      <c r="Q3086" s="63">
        <v>713</v>
      </c>
      <c r="R3086" s="63">
        <v>291</v>
      </c>
      <c r="S3086" s="63">
        <v>139</v>
      </c>
      <c r="T3086" s="63"/>
      <c r="U3086" s="63"/>
      <c r="V3086" s="63">
        <v>19</v>
      </c>
      <c r="W3086" s="63">
        <f>IF(Copyright!B$11=1,IF(CA3086&gt;0,CA3086-SUM(T3086:U3086)-CD3086-SUM(Y3086:AQ3086),0),0)</f>
        <v>390</v>
      </c>
      <c r="X3086" s="63">
        <v>21</v>
      </c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W3086" s="5">
        <f>IF(Q3086&gt;0,RANK(Q3086,(N3086:P3086,Q3086:AE3086)),0)</f>
        <v>3</v>
      </c>
      <c r="AX3086" s="5">
        <f>IF(R3086&gt;0,RANK(R3086,(N3086:P3086,Q3086:AE3086)),0)</f>
        <v>5</v>
      </c>
      <c r="AY3086" s="5">
        <f>IF(T3086&gt;0,RANK(T3086,(N3086:P3086,Q3086:AE3086)),0)</f>
        <v>0</v>
      </c>
      <c r="AZ3086" s="5">
        <f>IF(S3086&gt;0,RANK(S3086,(N3086:P3086,Q3086:AE3086)),0)</f>
        <v>6</v>
      </c>
      <c r="BA3086" s="2">
        <f t="shared" si="1205"/>
        <v>4.0612895876053774E-2</v>
      </c>
      <c r="BB3086" s="2">
        <f t="shared" si="1206"/>
        <v>1.6575529733424469E-2</v>
      </c>
      <c r="BC3086" s="2">
        <f t="shared" si="1207"/>
        <v>0</v>
      </c>
      <c r="BD3086" s="2">
        <f t="shared" si="1208"/>
        <v>7.9175210754158128E-3</v>
      </c>
      <c r="BF3086" t="s">
        <v>1550</v>
      </c>
      <c r="BG3086" t="s">
        <v>817</v>
      </c>
      <c r="BH3086">
        <v>4</v>
      </c>
      <c r="BJ3086" s="114">
        <v>53</v>
      </c>
      <c r="BK3086" s="116">
        <v>47</v>
      </c>
      <c r="BL3086" s="120">
        <f t="shared" si="1190"/>
        <v>53047</v>
      </c>
      <c r="BN3086" s="5" t="s">
        <v>3154</v>
      </c>
      <c r="BO3086" s="63">
        <v>241</v>
      </c>
      <c r="BP3086" s="63">
        <v>65</v>
      </c>
      <c r="BR3086" s="63"/>
      <c r="BX3086" s="132"/>
      <c r="BY3086" s="63">
        <f t="shared" si="1209"/>
        <v>0</v>
      </c>
      <c r="BZ3086" s="63">
        <v>17556</v>
      </c>
      <c r="CA3086" s="132">
        <f>56+164+2+15+9+16+4+14+48+14+3+2+5+11+2+3+3+2+3+89</f>
        <v>465</v>
      </c>
      <c r="CC3086" s="63">
        <v>176</v>
      </c>
      <c r="CD3086" s="63">
        <f>48+16+11</f>
        <v>75</v>
      </c>
    </row>
    <row r="3087" spans="1:82" hidden="1" outlineLevel="1">
      <c r="A3087" t="s">
        <v>2406</v>
      </c>
      <c r="B3087" t="s">
        <v>817</v>
      </c>
      <c r="C3087" s="1">
        <f t="shared" si="1200"/>
        <v>10972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7</v>
      </c>
      <c r="G3087" s="132">
        <f t="shared" si="1210"/>
        <v>740</v>
      </c>
      <c r="H3087" s="137">
        <f t="shared" si="1211"/>
        <v>6.7444403937294936E-2</v>
      </c>
      <c r="I3087" s="2"/>
      <c r="J3087" s="2">
        <f t="shared" si="1201"/>
        <v>0.42107181917608461</v>
      </c>
      <c r="K3087" s="2">
        <f t="shared" si="1202"/>
        <v>0.4885162231133795</v>
      </c>
      <c r="L3087" s="2">
        <f t="shared" si="1203"/>
        <v>3.1899380240612467E-3</v>
      </c>
      <c r="M3087" s="2">
        <f t="shared" si="1204"/>
        <v>8.7222019686474653E-2</v>
      </c>
      <c r="N3087" s="63">
        <v>4620</v>
      </c>
      <c r="O3087" s="63">
        <v>5360</v>
      </c>
      <c r="P3087" s="63">
        <f>IF(Copyright!B$11=1,IF(CD3087&gt;0,CD3087,""),"")</f>
        <v>35</v>
      </c>
      <c r="Q3087" s="63">
        <v>436</v>
      </c>
      <c r="R3087" s="63">
        <v>200</v>
      </c>
      <c r="S3087" s="63">
        <v>61</v>
      </c>
      <c r="T3087" s="63"/>
      <c r="U3087" s="63"/>
      <c r="V3087" s="63">
        <v>17</v>
      </c>
      <c r="W3087" s="63">
        <f>IF(Copyright!B$11=1,IF(CA3087&gt;0,CA3087-SUM(T3087:U3087)-CD3087-SUM(Y3087:AQ3087),0),0)</f>
        <v>221</v>
      </c>
      <c r="X3087" s="63">
        <v>22</v>
      </c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W3087" s="5">
        <f>IF(Q3087&gt;0,RANK(Q3087,(N3087:P3087,Q3087:AE3087)),0)</f>
        <v>3</v>
      </c>
      <c r="AX3087" s="5">
        <f>IF(R3087&gt;0,RANK(R3087,(N3087:P3087,Q3087:AE3087)),0)</f>
        <v>5</v>
      </c>
      <c r="AY3087" s="5">
        <f>IF(T3087&gt;0,RANK(T3087,(N3087:P3087,Q3087:AE3087)),0)</f>
        <v>0</v>
      </c>
      <c r="AZ3087" s="5">
        <f>IF(S3087&gt;0,RANK(S3087,(N3087:P3087,Q3087:AE3087)),0)</f>
        <v>6</v>
      </c>
      <c r="BA3087" s="2">
        <f t="shared" si="1205"/>
        <v>3.9737513671162961E-2</v>
      </c>
      <c r="BB3087" s="2">
        <f t="shared" si="1206"/>
        <v>1.8228217280349981E-2</v>
      </c>
      <c r="BC3087" s="2">
        <f t="shared" si="1207"/>
        <v>0</v>
      </c>
      <c r="BD3087" s="2">
        <f t="shared" si="1208"/>
        <v>5.5596062705067445E-3</v>
      </c>
      <c r="BF3087" t="s">
        <v>2406</v>
      </c>
      <c r="BG3087" t="s">
        <v>817</v>
      </c>
      <c r="BH3087">
        <v>3</v>
      </c>
      <c r="BJ3087" s="114">
        <v>53</v>
      </c>
      <c r="BK3087" s="116">
        <v>49</v>
      </c>
      <c r="BL3087" s="120">
        <f t="shared" si="1190"/>
        <v>53049</v>
      </c>
      <c r="BN3087" s="5" t="s">
        <v>3154</v>
      </c>
      <c r="BO3087" s="63">
        <v>174</v>
      </c>
      <c r="BP3087" s="63">
        <v>25</v>
      </c>
      <c r="BR3087" s="63"/>
      <c r="BY3087" s="63">
        <f t="shared" si="1209"/>
        <v>0</v>
      </c>
      <c r="BZ3087" s="63">
        <v>10972</v>
      </c>
      <c r="CA3087" s="132">
        <v>256</v>
      </c>
      <c r="CC3087" s="63">
        <v>97</v>
      </c>
      <c r="CD3087" s="63">
        <v>35</v>
      </c>
    </row>
    <row r="3088" spans="1:82" hidden="1" outlineLevel="1">
      <c r="A3088" t="s">
        <v>1632</v>
      </c>
      <c r="B3088" t="s">
        <v>817</v>
      </c>
      <c r="C3088" s="1">
        <f t="shared" si="1200"/>
        <v>7016</v>
      </c>
      <c r="D3088" s="5">
        <f>IF(N3088&gt;0, RANK(N3088,(N3088:P3088,Q3088:AE3088)),0)</f>
        <v>2</v>
      </c>
      <c r="E3088" s="5">
        <f>IF(O3088&gt;0,RANK(O3088,(N3088:P3088,Q3088:AE3088)),0)</f>
        <v>1</v>
      </c>
      <c r="F3088" s="5" t="e">
        <f>IF(P3088&gt;0,RANK(P3088,(N3088:P3088,Q3088:AE3088)),0)</f>
        <v>#VALUE!</v>
      </c>
      <c r="G3088" s="132">
        <f t="shared" si="1210"/>
        <v>2439</v>
      </c>
      <c r="H3088" s="137">
        <f t="shared" si="1211"/>
        <v>0.34763397947548463</v>
      </c>
      <c r="I3088" s="2"/>
      <c r="J3088" s="2">
        <f t="shared" si="1201"/>
        <v>0.27565564424173317</v>
      </c>
      <c r="K3088" s="2">
        <f t="shared" si="1202"/>
        <v>0.62328962371721774</v>
      </c>
      <c r="L3088" s="2">
        <f t="shared" si="1203"/>
        <v>0</v>
      </c>
      <c r="M3088" s="2">
        <f t="shared" si="1204"/>
        <v>0.10105473204104909</v>
      </c>
      <c r="N3088" s="63">
        <v>1934</v>
      </c>
      <c r="O3088" s="63">
        <v>4373</v>
      </c>
      <c r="P3088" s="63" t="str">
        <f>IF(Copyright!B$11=1,IF(CD3088&gt;0,CD3088,""),"")</f>
        <v/>
      </c>
      <c r="Q3088" s="63">
        <v>323</v>
      </c>
      <c r="R3088" s="63">
        <v>99</v>
      </c>
      <c r="S3088" s="63">
        <v>54</v>
      </c>
      <c r="T3088" s="63"/>
      <c r="U3088" s="63"/>
      <c r="V3088" s="63">
        <v>9</v>
      </c>
      <c r="W3088" s="63">
        <f>IF(Copyright!B$11=1,IF(CA3088&gt;0,CA3088-SUM(T3088:U3088)-CD3088-SUM(Y3088:AQ3088),0),0)</f>
        <v>214</v>
      </c>
      <c r="X3088" s="63">
        <v>10</v>
      </c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W3088" s="5">
        <f>IF(Q3088&gt;0,RANK(Q3088,(N3088:P3088,Q3088:AE3088)),0)</f>
        <v>3</v>
      </c>
      <c r="AX3088" s="5">
        <f>IF(R3088&gt;0,RANK(R3088,(N3088:P3088,Q3088:AE3088)),0)</f>
        <v>5</v>
      </c>
      <c r="AY3088" s="5">
        <f>IF(T3088&gt;0,RANK(T3088,(N3088:P3088,Q3088:AE3088)),0)</f>
        <v>0</v>
      </c>
      <c r="AZ3088" s="5">
        <f>IF(S3088&gt;0,RANK(S3088,(N3088:P3088,Q3088:AE3088)),0)</f>
        <v>6</v>
      </c>
      <c r="BA3088" s="2">
        <f t="shared" si="1205"/>
        <v>4.6037628278221207E-2</v>
      </c>
      <c r="BB3088" s="2">
        <f t="shared" si="1206"/>
        <v>1.4110604332953249E-2</v>
      </c>
      <c r="BC3088" s="2">
        <f t="shared" si="1207"/>
        <v>0</v>
      </c>
      <c r="BD3088" s="2">
        <f t="shared" si="1208"/>
        <v>7.6966932725199546E-3</v>
      </c>
      <c r="BF3088" t="s">
        <v>1632</v>
      </c>
      <c r="BG3088" t="s">
        <v>817</v>
      </c>
      <c r="BH3088">
        <v>5</v>
      </c>
      <c r="BJ3088" s="114">
        <v>53</v>
      </c>
      <c r="BK3088" s="116">
        <v>51</v>
      </c>
      <c r="BL3088" s="120">
        <f t="shared" si="1190"/>
        <v>53051</v>
      </c>
      <c r="BN3088" s="5" t="s">
        <v>3154</v>
      </c>
      <c r="BO3088" s="63">
        <v>106</v>
      </c>
      <c r="BP3088" s="63">
        <v>6</v>
      </c>
      <c r="BR3088" s="63"/>
      <c r="BX3088" s="132"/>
      <c r="BY3088" s="63">
        <f t="shared" si="1209"/>
        <v>0</v>
      </c>
      <c r="BZ3088" s="63">
        <f>1934+4373+19+99+54+323+214</f>
        <v>7016</v>
      </c>
      <c r="CA3088" s="132">
        <v>214</v>
      </c>
    </row>
    <row r="3089" spans="1:94" hidden="1" outlineLevel="1">
      <c r="A3089" t="s">
        <v>1762</v>
      </c>
      <c r="B3089" t="s">
        <v>817</v>
      </c>
      <c r="C3089" s="1">
        <f t="shared" si="1200"/>
        <v>360017</v>
      </c>
      <c r="D3089" s="5">
        <f>IF(N3089&gt;0, RANK(N3089,(N3089:P3089,Q3089:AE3089)),0)</f>
        <v>1</v>
      </c>
      <c r="E3089" s="5">
        <f>IF(O3089&gt;0,RANK(O3089,(N3089:P3089,Q3089:AE3089)),0)</f>
        <v>2</v>
      </c>
      <c r="F3089" s="5" t="e">
        <f>IF(P3089&gt;0,RANK(P3089,(N3089:P3089,Q3089:AE3089)),0)</f>
        <v>#VALUE!</v>
      </c>
      <c r="G3089" s="132">
        <f t="shared" si="1210"/>
        <v>25714</v>
      </c>
      <c r="H3089" s="137">
        <f t="shared" si="1211"/>
        <v>7.1424404958654736E-2</v>
      </c>
      <c r="I3089" s="2"/>
      <c r="J3089" s="2">
        <f t="shared" si="1201"/>
        <v>0.47924959099153652</v>
      </c>
      <c r="K3089" s="2">
        <f t="shared" si="1202"/>
        <v>0.40782518603288176</v>
      </c>
      <c r="L3089" s="2">
        <f t="shared" si="1203"/>
        <v>0</v>
      </c>
      <c r="M3089" s="2">
        <f t="shared" si="1204"/>
        <v>0.11292522297558172</v>
      </c>
      <c r="N3089" s="63">
        <v>172538</v>
      </c>
      <c r="O3089" s="63">
        <v>146824</v>
      </c>
      <c r="P3089" s="63" t="str">
        <f>IF(Copyright!B$11=1,IF(CD3089&gt;0,CD3089,""),"")</f>
        <v/>
      </c>
      <c r="Q3089" s="63">
        <v>19909</v>
      </c>
      <c r="R3089" s="63">
        <v>6144</v>
      </c>
      <c r="S3089" s="63">
        <v>2121</v>
      </c>
      <c r="T3089" s="63"/>
      <c r="U3089" s="63"/>
      <c r="V3089" s="63">
        <v>410</v>
      </c>
      <c r="W3089" s="63">
        <f>IF(Copyright!B$11=1,IF(CA3089&gt;0,CA3089-SUM(T3089:U3089)-CD3089-SUM(Y3089:AQ3089),0),0)</f>
        <v>11532</v>
      </c>
      <c r="X3089" s="63">
        <v>539</v>
      </c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W3089" s="5">
        <f>IF(Q3089&gt;0,RANK(Q3089,(N3089:P3089,Q3089:AE3089)),0)</f>
        <v>3</v>
      </c>
      <c r="AX3089" s="5">
        <f>IF(R3089&gt;0,RANK(R3089,(N3089:P3089,Q3089:AE3089)),0)</f>
        <v>5</v>
      </c>
      <c r="AY3089" s="5">
        <f>IF(T3089&gt;0,RANK(T3089,(N3089:P3089,Q3089:AE3089)),0)</f>
        <v>0</v>
      </c>
      <c r="AZ3089" s="5">
        <f>IF(S3089&gt;0,RANK(S3089,(N3089:P3089,Q3089:AE3089)),0)</f>
        <v>6</v>
      </c>
      <c r="BA3089" s="2">
        <f t="shared" si="1205"/>
        <v>5.5300166381032009E-2</v>
      </c>
      <c r="BB3089" s="2">
        <f t="shared" si="1206"/>
        <v>1.7065860778796557E-2</v>
      </c>
      <c r="BC3089" s="2">
        <f t="shared" si="1207"/>
        <v>0</v>
      </c>
      <c r="BD3089" s="2">
        <f t="shared" si="1208"/>
        <v>5.8913884622115069E-3</v>
      </c>
      <c r="BF3089" t="s">
        <v>1762</v>
      </c>
      <c r="BG3089" t="s">
        <v>817</v>
      </c>
      <c r="BJ3089" s="114">
        <v>53</v>
      </c>
      <c r="BK3089" s="116">
        <v>53</v>
      </c>
      <c r="BL3089" s="120">
        <f t="shared" si="1190"/>
        <v>53053</v>
      </c>
      <c r="BN3089" s="5" t="s">
        <v>3154</v>
      </c>
      <c r="BO3089" s="63">
        <v>4661</v>
      </c>
      <c r="BP3089" s="63">
        <v>640</v>
      </c>
      <c r="BR3089" s="63"/>
      <c r="BY3089" s="63">
        <f t="shared" si="1209"/>
        <v>0</v>
      </c>
      <c r="BZ3089" s="63">
        <f>172538+146824+539+410+6144+2121+19909+11532</f>
        <v>360017</v>
      </c>
      <c r="CA3089" s="63">
        <v>11532</v>
      </c>
    </row>
    <row r="3090" spans="1:94" hidden="1" outlineLevel="1">
      <c r="A3090" t="s">
        <v>2518</v>
      </c>
      <c r="B3090" t="s">
        <v>817</v>
      </c>
      <c r="C3090" s="1">
        <f t="shared" si="1200"/>
        <v>11134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 t="e">
        <f>IF(P3090&gt;0,RANK(P3090,(N3090:P3090,Q3090:AE3090)),0)</f>
        <v>#VALUE!</v>
      </c>
      <c r="G3090" s="132">
        <f t="shared" si="1210"/>
        <v>4484</v>
      </c>
      <c r="H3090" s="137">
        <f t="shared" si="1211"/>
        <v>0.40273037542662116</v>
      </c>
      <c r="I3090" s="2"/>
      <c r="J3090" s="2">
        <f t="shared" si="1201"/>
        <v>0.64415304472786061</v>
      </c>
      <c r="K3090" s="2">
        <f t="shared" si="1202"/>
        <v>0.24142266930123946</v>
      </c>
      <c r="L3090" s="2">
        <f t="shared" si="1203"/>
        <v>0</v>
      </c>
      <c r="M3090" s="2">
        <f t="shared" si="1204"/>
        <v>0.11442428597089993</v>
      </c>
      <c r="N3090" s="63">
        <v>7172</v>
      </c>
      <c r="O3090" s="63">
        <v>2688</v>
      </c>
      <c r="P3090" s="63" t="str">
        <f>IF(Copyright!B$11=1,IF(CD3090&gt;0,CD3090,""),"")</f>
        <v/>
      </c>
      <c r="Q3090" s="63">
        <v>402</v>
      </c>
      <c r="R3090" s="63">
        <v>467</v>
      </c>
      <c r="S3090" s="63">
        <v>23</v>
      </c>
      <c r="T3090" s="63"/>
      <c r="U3090" s="63"/>
      <c r="V3090" s="63">
        <v>11</v>
      </c>
      <c r="W3090" s="63">
        <f>IF(Copyright!B$11=1,IF(CA3090&gt;0,CA3090-SUM(T3090:U3090)-CD3090-SUM(Y3090:AQ3090),0),0)</f>
        <v>360</v>
      </c>
      <c r="X3090" s="63">
        <v>11</v>
      </c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W3090" s="5">
        <f>IF(Q3090&gt;0,RANK(Q3090,(N3090:P3090,Q3090:AE3090)),0)</f>
        <v>4</v>
      </c>
      <c r="AX3090" s="5">
        <f>IF(R3090&gt;0,RANK(R3090,(N3090:P3090,Q3090:AE3090)),0)</f>
        <v>3</v>
      </c>
      <c r="AY3090" s="5">
        <f>IF(T3090&gt;0,RANK(T3090,(N3090:P3090,Q3090:AE3090)),0)</f>
        <v>0</v>
      </c>
      <c r="AZ3090" s="5">
        <f>IF(S3090&gt;0,RANK(S3090,(N3090:P3090,Q3090:AE3090)),0)</f>
        <v>6</v>
      </c>
      <c r="BA3090" s="2">
        <f t="shared" si="1205"/>
        <v>3.610562241781929E-2</v>
      </c>
      <c r="BB3090" s="2">
        <f t="shared" si="1206"/>
        <v>4.1943596191844797E-2</v>
      </c>
      <c r="BC3090" s="2">
        <f t="shared" si="1207"/>
        <v>0</v>
      </c>
      <c r="BD3090" s="2">
        <f t="shared" si="1208"/>
        <v>2.065744566193641E-3</v>
      </c>
      <c r="BF3090" t="s">
        <v>2518</v>
      </c>
      <c r="BG3090" t="s">
        <v>817</v>
      </c>
      <c r="BH3090">
        <v>2</v>
      </c>
      <c r="BJ3090" s="114">
        <v>53</v>
      </c>
      <c r="BK3090" s="116">
        <v>55</v>
      </c>
      <c r="BL3090" s="120">
        <f t="shared" si="1190"/>
        <v>53055</v>
      </c>
      <c r="BN3090" s="5" t="s">
        <v>3154</v>
      </c>
      <c r="BO3090" s="63">
        <v>152</v>
      </c>
      <c r="BP3090" s="63">
        <v>8</v>
      </c>
      <c r="BR3090" s="63"/>
      <c r="BY3090" s="63">
        <f t="shared" si="1209"/>
        <v>0</v>
      </c>
      <c r="BZ3090" s="63">
        <v>11134</v>
      </c>
      <c r="CA3090" s="63">
        <v>360</v>
      </c>
    </row>
    <row r="3091" spans="1:94" hidden="1" outlineLevel="1">
      <c r="A3091" t="s">
        <v>1139</v>
      </c>
      <c r="B3091" t="s">
        <v>817</v>
      </c>
      <c r="C3091" s="1">
        <f t="shared" si="1200"/>
        <v>58059</v>
      </c>
      <c r="D3091" s="5">
        <f>IF(N3091&gt;0, RANK(N3091,(N3091:P3091,Q3091:AE3091)),0)</f>
        <v>1</v>
      </c>
      <c r="E3091" s="5">
        <f>IF(O3091&gt;0,RANK(O3091,(N3091:P3091,Q3091:AE3091)),0)</f>
        <v>2</v>
      </c>
      <c r="F3091" s="5" t="e">
        <f>IF(P3091&gt;0,RANK(P3091,(N3091:P3091,Q3091:AE3091)),0)</f>
        <v>#VALUE!</v>
      </c>
      <c r="G3091" s="132">
        <f t="shared" si="1210"/>
        <v>1954</v>
      </c>
      <c r="H3091" s="137">
        <f t="shared" si="1211"/>
        <v>3.3655419487073492E-2</v>
      </c>
      <c r="I3091" s="2"/>
      <c r="J3091" s="2">
        <f t="shared" si="1201"/>
        <v>0.45970478306550233</v>
      </c>
      <c r="K3091" s="2">
        <f t="shared" si="1202"/>
        <v>0.42604936357842882</v>
      </c>
      <c r="L3091" s="2">
        <f t="shared" si="1203"/>
        <v>0</v>
      </c>
      <c r="M3091" s="2">
        <f t="shared" si="1204"/>
        <v>0.11424585335606885</v>
      </c>
      <c r="N3091" s="63">
        <v>26690</v>
      </c>
      <c r="O3091" s="63">
        <v>24736</v>
      </c>
      <c r="P3091" s="63" t="str">
        <f>IF(Copyright!B$11=1,IF(CD3091&gt;0,CD3091,""),"")</f>
        <v/>
      </c>
      <c r="Q3091" s="63">
        <v>3090</v>
      </c>
      <c r="R3091" s="63">
        <v>1006</v>
      </c>
      <c r="S3091" s="63">
        <v>305</v>
      </c>
      <c r="T3091" s="63"/>
      <c r="U3091" s="63"/>
      <c r="V3091" s="63">
        <v>68</v>
      </c>
      <c r="W3091" s="63">
        <f>IF(Copyright!B$11=1,IF(CA3091&gt;0,CA3091-SUM(T3091:U3091)-CD3091-SUM(Y3091:AQ3091),0),0)</f>
        <v>2091</v>
      </c>
      <c r="X3091" s="63">
        <v>73</v>
      </c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W3091" s="5">
        <f>IF(Q3091&gt;0,RANK(Q3091,(N3091:P3091,Q3091:AE3091)),0)</f>
        <v>3</v>
      </c>
      <c r="AX3091" s="5">
        <f>IF(R3091&gt;0,RANK(R3091,(N3091:P3091,Q3091:AE3091)),0)</f>
        <v>5</v>
      </c>
      <c r="AY3091" s="5">
        <f>IF(T3091&gt;0,RANK(T3091,(N3091:P3091,Q3091:AE3091)),0)</f>
        <v>0</v>
      </c>
      <c r="AZ3091" s="5">
        <f>IF(S3091&gt;0,RANK(S3091,(N3091:P3091,Q3091:AE3091)),0)</f>
        <v>6</v>
      </c>
      <c r="BA3091" s="2">
        <f t="shared" si="1205"/>
        <v>5.3221722730326049E-2</v>
      </c>
      <c r="BB3091" s="2">
        <f t="shared" si="1206"/>
        <v>1.7327201639711329E-2</v>
      </c>
      <c r="BC3091" s="2">
        <f t="shared" si="1207"/>
        <v>0</v>
      </c>
      <c r="BD3091" s="2">
        <f t="shared" si="1208"/>
        <v>5.2532768390774901E-3</v>
      </c>
      <c r="BF3091" t="s">
        <v>1139</v>
      </c>
      <c r="BG3091" t="s">
        <v>817</v>
      </c>
      <c r="BJ3091" s="114">
        <v>53</v>
      </c>
      <c r="BK3091" s="116">
        <v>57</v>
      </c>
      <c r="BL3091" s="120">
        <f t="shared" si="1190"/>
        <v>53057</v>
      </c>
      <c r="BN3091" s="5" t="s">
        <v>3154</v>
      </c>
      <c r="BO3091" s="63">
        <v>842</v>
      </c>
      <c r="BP3091" s="63">
        <v>122</v>
      </c>
      <c r="BR3091" s="63"/>
      <c r="BX3091" s="132"/>
      <c r="BY3091" s="63">
        <f t="shared" si="1209"/>
        <v>0</v>
      </c>
      <c r="BZ3091" s="63">
        <f>55968+2091</f>
        <v>58059</v>
      </c>
      <c r="CA3091" s="132">
        <v>2091</v>
      </c>
    </row>
    <row r="3092" spans="1:94" hidden="1" outlineLevel="1">
      <c r="A3092" t="s">
        <v>2056</v>
      </c>
      <c r="B3092" t="s">
        <v>817</v>
      </c>
      <c r="C3092" s="1">
        <f t="shared" si="1200"/>
        <v>5829</v>
      </c>
      <c r="D3092" s="5">
        <f>IF(N3092&gt;0, RANK(N3092,(N3092:P3092,Q3092:AE3092)),0)</f>
        <v>2</v>
      </c>
      <c r="E3092" s="5">
        <f>IF(O3092&gt;0,RANK(O3092,(N3092:P3092,Q3092:AE3092)),0)</f>
        <v>1</v>
      </c>
      <c r="F3092" s="5" t="e">
        <f>IF(P3092&gt;0,RANK(P3092,(N3092:P3092,Q3092:AE3092)),0)</f>
        <v>#VALUE!</v>
      </c>
      <c r="G3092" s="132">
        <f t="shared" si="1210"/>
        <v>696</v>
      </c>
      <c r="H3092" s="137">
        <f t="shared" si="1211"/>
        <v>0.11940298507462686</v>
      </c>
      <c r="I3092" s="2"/>
      <c r="J3092" s="2">
        <f t="shared" si="1201"/>
        <v>0.38291302110138958</v>
      </c>
      <c r="K3092" s="2">
        <f t="shared" si="1202"/>
        <v>0.50231600617601646</v>
      </c>
      <c r="L3092" s="2">
        <f t="shared" si="1203"/>
        <v>0</v>
      </c>
      <c r="M3092" s="2">
        <f t="shared" si="1204"/>
        <v>0.11477097272259396</v>
      </c>
      <c r="N3092" s="63">
        <v>2232</v>
      </c>
      <c r="O3092" s="63">
        <v>2928</v>
      </c>
      <c r="P3092" s="63" t="str">
        <f>IF(Copyright!B$11=1,IF(CD3092&gt;0,CD3092,""),"")</f>
        <v/>
      </c>
      <c r="Q3092" s="63">
        <v>285</v>
      </c>
      <c r="R3092" s="63">
        <v>139</v>
      </c>
      <c r="S3092" s="63">
        <v>38</v>
      </c>
      <c r="T3092" s="63"/>
      <c r="U3092" s="63"/>
      <c r="V3092" s="63">
        <v>4</v>
      </c>
      <c r="W3092" s="63">
        <f>IF(Copyright!B$11=1,IF(CA3092&gt;0,CA3092-SUM(T3092:U3092)-CD3092-SUM(Y3092:AQ3092),0),0)</f>
        <v>190</v>
      </c>
      <c r="X3092" s="63">
        <v>13</v>
      </c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W3092" s="5">
        <f>IF(Q3092&gt;0,RANK(Q3092,(N3092:P3092,Q3092:AE3092)),0)</f>
        <v>3</v>
      </c>
      <c r="AX3092" s="5">
        <f>IF(R3092&gt;0,RANK(R3092,(N3092:P3092,Q3092:AE3092)),0)</f>
        <v>5</v>
      </c>
      <c r="AY3092" s="5">
        <f>IF(T3092&gt;0,RANK(T3092,(N3092:P3092,Q3092:AE3092)),0)</f>
        <v>0</v>
      </c>
      <c r="AZ3092" s="5">
        <f>IF(S3092&gt;0,RANK(S3092,(N3092:P3092,Q3092:AE3092)),0)</f>
        <v>6</v>
      </c>
      <c r="BA3092" s="2">
        <f t="shared" si="1205"/>
        <v>4.8893463715903245E-2</v>
      </c>
      <c r="BB3092" s="2">
        <f t="shared" si="1206"/>
        <v>2.3846285812317722E-2</v>
      </c>
      <c r="BC3092" s="2">
        <f t="shared" si="1207"/>
        <v>0</v>
      </c>
      <c r="BD3092" s="2">
        <f t="shared" si="1208"/>
        <v>6.5191284954537656E-3</v>
      </c>
      <c r="BF3092" t="s">
        <v>2056</v>
      </c>
      <c r="BG3092" t="s">
        <v>817</v>
      </c>
      <c r="BH3092">
        <v>3</v>
      </c>
      <c r="BJ3092" s="114">
        <v>53</v>
      </c>
      <c r="BK3092" s="116">
        <v>59</v>
      </c>
      <c r="BL3092" s="120">
        <f t="shared" si="1190"/>
        <v>53059</v>
      </c>
      <c r="BN3092" s="5" t="s">
        <v>3154</v>
      </c>
      <c r="BO3092" s="63">
        <v>61</v>
      </c>
      <c r="BP3092" s="63">
        <v>8</v>
      </c>
      <c r="BR3092" s="63"/>
      <c r="BX3092" s="132"/>
      <c r="BY3092" s="63">
        <f t="shared" si="1209"/>
        <v>0</v>
      </c>
      <c r="BZ3092" s="63">
        <v>5829</v>
      </c>
      <c r="CA3092" s="132">
        <v>190</v>
      </c>
      <c r="CB3092" s="132"/>
    </row>
    <row r="3093" spans="1:94" hidden="1" outlineLevel="1">
      <c r="A3093" t="s">
        <v>2057</v>
      </c>
      <c r="B3093" t="s">
        <v>817</v>
      </c>
      <c r="C3093" s="1">
        <f t="shared" si="1200"/>
        <v>354734</v>
      </c>
      <c r="D3093" s="5">
        <f>IF(N3093&gt;0, RANK(N3093,(N3093:P3093,Q3093:AE3093)),0)</f>
        <v>1</v>
      </c>
      <c r="E3093" s="5">
        <f>IF(O3093&gt;0,RANK(O3093,(N3093:P3093,Q3093:AE3093)),0)</f>
        <v>2</v>
      </c>
      <c r="F3093" s="5" t="e">
        <f>IF(P3093&gt;0,RANK(P3093,(N3093:P3093,Q3093:AE3093)),0)</f>
        <v>#VALUE!</v>
      </c>
      <c r="G3093" s="132">
        <f t="shared" si="1210"/>
        <v>56972</v>
      </c>
      <c r="H3093" s="137">
        <f t="shared" si="1211"/>
        <v>0.16060484757593013</v>
      </c>
      <c r="I3093" s="2"/>
      <c r="J3093" s="2">
        <f t="shared" si="1201"/>
        <v>0.52215744755225046</v>
      </c>
      <c r="K3093" s="2">
        <f t="shared" si="1202"/>
        <v>0.36155259997632028</v>
      </c>
      <c r="L3093" s="2">
        <f t="shared" si="1203"/>
        <v>0</v>
      </c>
      <c r="M3093" s="2">
        <f t="shared" si="1204"/>
        <v>0.11628995247142926</v>
      </c>
      <c r="N3093" s="63">
        <v>185227</v>
      </c>
      <c r="O3093" s="63">
        <v>128255</v>
      </c>
      <c r="P3093" s="63" t="str">
        <f>IF(Copyright!B$11=1,IF(CD3093&gt;0,CD3093,""),"")</f>
        <v/>
      </c>
      <c r="Q3093" s="63">
        <v>19347</v>
      </c>
      <c r="R3093" s="63">
        <v>6396</v>
      </c>
      <c r="S3093" s="63">
        <v>2116</v>
      </c>
      <c r="T3093" s="63"/>
      <c r="U3093" s="63"/>
      <c r="V3093" s="63">
        <v>358</v>
      </c>
      <c r="W3093" s="63">
        <f>IF(Copyright!B$11=1,IF(CA3093&gt;0,CA3093-SUM(T3093:U3093)-CD3093-SUM(Y3093:AQ3093),0),0)</f>
        <v>12561</v>
      </c>
      <c r="X3093" s="63">
        <v>474</v>
      </c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W3093" s="5">
        <f>IF(Q3093&gt;0,RANK(Q3093,(N3093:P3093,Q3093:AE3093)),0)</f>
        <v>3</v>
      </c>
      <c r="AX3093" s="5">
        <f>IF(R3093&gt;0,RANK(R3093,(N3093:P3093,Q3093:AE3093)),0)</f>
        <v>5</v>
      </c>
      <c r="AY3093" s="5">
        <f>IF(T3093&gt;0,RANK(T3093,(N3093:P3093,Q3093:AE3093)),0)</f>
        <v>0</v>
      </c>
      <c r="AZ3093" s="5">
        <f>IF(S3093&gt;0,RANK(S3093,(N3093:P3093,Q3093:AE3093)),0)</f>
        <v>6</v>
      </c>
      <c r="BA3093" s="2">
        <f t="shared" si="1205"/>
        <v>5.4539457734527841E-2</v>
      </c>
      <c r="BB3093" s="2">
        <f t="shared" si="1206"/>
        <v>1.8030411519617515E-2</v>
      </c>
      <c r="BC3093" s="2">
        <f t="shared" si="1207"/>
        <v>0</v>
      </c>
      <c r="BD3093" s="2">
        <f t="shared" si="1208"/>
        <v>5.9650329542699602E-3</v>
      </c>
      <c r="BF3093" t="s">
        <v>2057</v>
      </c>
      <c r="BG3093" t="s">
        <v>817</v>
      </c>
      <c r="BJ3093" s="114">
        <v>53</v>
      </c>
      <c r="BK3093" s="116">
        <v>61</v>
      </c>
      <c r="BL3093" s="120">
        <f t="shared" si="1190"/>
        <v>53061</v>
      </c>
      <c r="BN3093" s="5" t="s">
        <v>3154</v>
      </c>
      <c r="BO3093" s="63">
        <v>5360</v>
      </c>
      <c r="BP3093" s="63">
        <v>393</v>
      </c>
      <c r="BR3093" s="63"/>
      <c r="BY3093" s="63">
        <f t="shared" si="1209"/>
        <v>0</v>
      </c>
      <c r="BZ3093" s="63">
        <v>354734</v>
      </c>
      <c r="CA3093" s="63">
        <v>12561</v>
      </c>
    </row>
    <row r="3094" spans="1:94" hidden="1" outlineLevel="1">
      <c r="A3094" t="s">
        <v>138</v>
      </c>
      <c r="B3094" t="s">
        <v>817</v>
      </c>
      <c r="C3094" s="1">
        <f t="shared" si="1200"/>
        <v>236050</v>
      </c>
      <c r="D3094" s="5">
        <f>IF(N3094&gt;0, RANK(N3094,(N3094:P3094,Q3094:AE3094)),0)</f>
        <v>2</v>
      </c>
      <c r="E3094" s="5">
        <f>IF(O3094&gt;0,RANK(O3094,(N3094:P3094,Q3094:AE3094)),0)</f>
        <v>1</v>
      </c>
      <c r="F3094" s="5" t="e">
        <f>IF(P3094&gt;0,RANK(P3094,(N3094:P3094,Q3094:AE3094)),0)</f>
        <v>#VALUE!</v>
      </c>
      <c r="G3094" s="132">
        <f t="shared" si="1210"/>
        <v>19668</v>
      </c>
      <c r="H3094" s="137">
        <f t="shared" si="1211"/>
        <v>8.3321330226646895E-2</v>
      </c>
      <c r="I3094" s="2"/>
      <c r="J3094" s="2">
        <f t="shared" si="1201"/>
        <v>0.39723363694132596</v>
      </c>
      <c r="K3094" s="2">
        <f t="shared" si="1202"/>
        <v>0.48055496716797291</v>
      </c>
      <c r="L3094" s="2">
        <f t="shared" si="1203"/>
        <v>0</v>
      </c>
      <c r="M3094" s="2">
        <f t="shared" si="1204"/>
        <v>0.12221139589070112</v>
      </c>
      <c r="N3094" s="63">
        <v>93767</v>
      </c>
      <c r="O3094" s="63">
        <v>113435</v>
      </c>
      <c r="P3094" s="63" t="str">
        <f>IF(Copyright!B$11=1,IF(CD3094&gt;0,CD3094,""),"")</f>
        <v/>
      </c>
      <c r="Q3094" s="63">
        <v>13227</v>
      </c>
      <c r="R3094" s="63">
        <v>4185</v>
      </c>
      <c r="S3094" s="63">
        <v>2043</v>
      </c>
      <c r="T3094" s="63"/>
      <c r="U3094" s="63"/>
      <c r="V3094" s="63">
        <v>243</v>
      </c>
      <c r="W3094" s="63">
        <f>IF(Copyright!B$11=1,IF(CA3094&gt;0,CA3094-SUM(T3094:U3094)-CD3094-SUM(Y3094:AQ3094),0),0)</f>
        <v>8804</v>
      </c>
      <c r="X3094" s="63">
        <v>346</v>
      </c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W3094" s="5">
        <f>IF(Q3094&gt;0,RANK(Q3094,(N3094:P3094,Q3094:AE3094)),0)</f>
        <v>3</v>
      </c>
      <c r="AX3094" s="5">
        <f>IF(R3094&gt;0,RANK(R3094,(N3094:P3094,Q3094:AE3094)),0)</f>
        <v>5</v>
      </c>
      <c r="AY3094" s="5">
        <f>IF(T3094&gt;0,RANK(T3094,(N3094:P3094,Q3094:AE3094)),0)</f>
        <v>0</v>
      </c>
      <c r="AZ3094" s="5">
        <f>IF(S3094&gt;0,RANK(S3094,(N3094:P3094,Q3094:AE3094)),0)</f>
        <v>6</v>
      </c>
      <c r="BA3094" s="2">
        <f t="shared" si="1205"/>
        <v>5.6034738402880743E-2</v>
      </c>
      <c r="BB3094" s="2">
        <f t="shared" si="1206"/>
        <v>1.7729294640965898E-2</v>
      </c>
      <c r="BC3094" s="2">
        <f t="shared" si="1207"/>
        <v>0</v>
      </c>
      <c r="BD3094" s="2">
        <f t="shared" si="1208"/>
        <v>8.6549459860199105E-3</v>
      </c>
      <c r="BF3094" t="s">
        <v>138</v>
      </c>
      <c r="BG3094" t="s">
        <v>817</v>
      </c>
      <c r="BH3094">
        <v>5</v>
      </c>
      <c r="BJ3094" s="114">
        <v>53</v>
      </c>
      <c r="BK3094" s="116">
        <v>63</v>
      </c>
      <c r="BL3094" s="120">
        <f t="shared" si="1190"/>
        <v>53063</v>
      </c>
      <c r="BN3094" s="5" t="s">
        <v>3154</v>
      </c>
      <c r="BO3094" s="63">
        <v>2803</v>
      </c>
      <c r="BP3094" s="63">
        <v>376</v>
      </c>
      <c r="BR3094" s="63"/>
      <c r="BY3094" s="63">
        <f t="shared" si="1209"/>
        <v>0</v>
      </c>
      <c r="BZ3094" s="63">
        <f>93767+113435+346+243+4185+2043+13227+8804</f>
        <v>236050</v>
      </c>
      <c r="CA3094" s="63">
        <v>8804</v>
      </c>
    </row>
    <row r="3095" spans="1:94" hidden="1" outlineLevel="1">
      <c r="A3095" t="s">
        <v>2778</v>
      </c>
      <c r="B3095" t="s">
        <v>817</v>
      </c>
      <c r="C3095" s="1">
        <f t="shared" si="1200"/>
        <v>23395</v>
      </c>
      <c r="D3095" s="5">
        <f>IF(N3095&gt;0, RANK(N3095,(N3095:P3095,Q3095:AE3095)),0)</f>
        <v>2</v>
      </c>
      <c r="E3095" s="5">
        <f>IF(O3095&gt;0,RANK(O3095,(N3095:P3095,Q3095:AE3095)),0)</f>
        <v>1</v>
      </c>
      <c r="F3095" s="5">
        <f>IF(P3095&gt;0,RANK(P3095,(N3095:P3095,Q3095:AE3095)),0)</f>
        <v>7</v>
      </c>
      <c r="G3095" s="132">
        <f t="shared" si="1210"/>
        <v>9394</v>
      </c>
      <c r="H3095" s="137">
        <f t="shared" si="1211"/>
        <v>0.40153879033981621</v>
      </c>
      <c r="I3095" s="2"/>
      <c r="J3095" s="2">
        <f t="shared" si="1201"/>
        <v>0.24650566360333404</v>
      </c>
      <c r="K3095" s="2">
        <f t="shared" si="1202"/>
        <v>0.64804445394315024</v>
      </c>
      <c r="L3095" s="2">
        <f t="shared" si="1203"/>
        <v>6.3261380636888227E-3</v>
      </c>
      <c r="M3095" s="2">
        <f t="shared" si="1204"/>
        <v>9.9123744389826893E-2</v>
      </c>
      <c r="N3095" s="63">
        <v>5767</v>
      </c>
      <c r="O3095" s="63">
        <v>15161</v>
      </c>
      <c r="P3095" s="63">
        <f>IF(Copyright!B$11=1,IF(CD3095&gt;0,CD3095,""),"")</f>
        <v>148</v>
      </c>
      <c r="Q3095" s="63">
        <v>1134</v>
      </c>
      <c r="R3095" s="63">
        <v>307</v>
      </c>
      <c r="S3095" s="63">
        <v>254</v>
      </c>
      <c r="T3095" s="63"/>
      <c r="U3095" s="63"/>
      <c r="V3095" s="63">
        <v>23</v>
      </c>
      <c r="W3095" s="63">
        <f>IF(Copyright!B$11=1,IF(CA3095&gt;0,CA3095-SUM(T3095:U3095)-CD3095-SUM(Y3095:AQ3095),0),0)</f>
        <v>570</v>
      </c>
      <c r="X3095" s="63">
        <v>31</v>
      </c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W3095" s="5">
        <f>IF(Q3095&gt;0,RANK(Q3095,(N3095:P3095,Q3095:AE3095)),0)</f>
        <v>3</v>
      </c>
      <c r="AX3095" s="5">
        <f>IF(R3095&gt;0,RANK(R3095,(N3095:P3095,Q3095:AE3095)),0)</f>
        <v>5</v>
      </c>
      <c r="AY3095" s="5">
        <f>IF(T3095&gt;0,RANK(T3095,(N3095:P3095,Q3095:AE3095)),0)</f>
        <v>0</v>
      </c>
      <c r="AZ3095" s="5">
        <f>IF(S3095&gt;0,RANK(S3095,(N3095:P3095,Q3095:AE3095)),0)</f>
        <v>6</v>
      </c>
      <c r="BA3095" s="2">
        <f t="shared" si="1205"/>
        <v>4.8471895704210302E-2</v>
      </c>
      <c r="BB3095" s="2">
        <f t="shared" si="1206"/>
        <v>1.3122462064543705E-2</v>
      </c>
      <c r="BC3095" s="2">
        <f t="shared" si="1207"/>
        <v>0</v>
      </c>
      <c r="BD3095" s="2">
        <f t="shared" si="1208"/>
        <v>1.0857020730925411E-2</v>
      </c>
      <c r="BF3095" t="s">
        <v>2778</v>
      </c>
      <c r="BG3095" t="s">
        <v>817</v>
      </c>
      <c r="BH3095">
        <v>5</v>
      </c>
      <c r="BJ3095" s="114">
        <v>53</v>
      </c>
      <c r="BK3095" s="116">
        <v>65</v>
      </c>
      <c r="BL3095" s="120">
        <f t="shared" si="1190"/>
        <v>53065</v>
      </c>
      <c r="BN3095" s="5" t="s">
        <v>3154</v>
      </c>
      <c r="BO3095" s="63">
        <v>312</v>
      </c>
      <c r="BP3095" s="63">
        <v>28</v>
      </c>
      <c r="BR3095" s="63"/>
      <c r="BY3095" s="63">
        <f t="shared" si="1209"/>
        <v>0</v>
      </c>
      <c r="BZ3095" s="63">
        <v>23395</v>
      </c>
      <c r="CA3095" s="63">
        <v>718</v>
      </c>
      <c r="CC3095" s="63">
        <v>205</v>
      </c>
      <c r="CD3095" s="63">
        <v>148</v>
      </c>
    </row>
    <row r="3096" spans="1:94" hidden="1" outlineLevel="1">
      <c r="A3096" t="s">
        <v>1616</v>
      </c>
      <c r="B3096" t="s">
        <v>817</v>
      </c>
      <c r="C3096" s="1">
        <f t="shared" si="1200"/>
        <v>134191</v>
      </c>
      <c r="D3096" s="5">
        <f>IF(N3096&gt;0, RANK(N3096,(N3096:P3096,Q3096:AE3096)),0)</f>
        <v>1</v>
      </c>
      <c r="E3096" s="5">
        <f>IF(O3096&gt;0,RANK(O3096,(N3096:P3096,Q3096:AE3096)),0)</f>
        <v>2</v>
      </c>
      <c r="F3096" s="5" t="e">
        <f>IF(P3096&gt;0,RANK(P3096,(N3096:P3096,Q3096:AE3096)),0)</f>
        <v>#VALUE!</v>
      </c>
      <c r="G3096" s="132">
        <f t="shared" si="1210"/>
        <v>20174</v>
      </c>
      <c r="H3096" s="137">
        <f t="shared" si="1211"/>
        <v>0.15033795112936038</v>
      </c>
      <c r="I3096" s="2"/>
      <c r="J3096" s="2">
        <f t="shared" si="1201"/>
        <v>0.51268713997212922</v>
      </c>
      <c r="K3096" s="2">
        <f t="shared" si="1202"/>
        <v>0.3623491888427689</v>
      </c>
      <c r="L3096" s="2">
        <f t="shared" si="1203"/>
        <v>0</v>
      </c>
      <c r="M3096" s="2">
        <f t="shared" si="1204"/>
        <v>0.12496367118510188</v>
      </c>
      <c r="N3096" s="63">
        <v>68798</v>
      </c>
      <c r="O3096" s="63">
        <v>48624</v>
      </c>
      <c r="P3096" s="63" t="str">
        <f>IF(Copyright!B$11=1,IF(CD3096&gt;0,CD3096,""),"")</f>
        <v/>
      </c>
      <c r="Q3096" s="63">
        <v>7306</v>
      </c>
      <c r="R3096" s="63">
        <v>3584</v>
      </c>
      <c r="S3096" s="63">
        <v>708</v>
      </c>
      <c r="T3096" s="63"/>
      <c r="U3096" s="63"/>
      <c r="V3096" s="63">
        <v>187</v>
      </c>
      <c r="W3096" s="63">
        <f>IF(Copyright!B$11=1,IF(CA3096&gt;0,CA3096-SUM(T3096:U3096)-CD3096-SUM(Y3096:AQ3096),0),0)</f>
        <v>4781</v>
      </c>
      <c r="X3096" s="63">
        <v>203</v>
      </c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W3096" s="5">
        <f>IF(Q3096&gt;0,RANK(Q3096,(N3096:P3096,Q3096:AE3096)),0)</f>
        <v>3</v>
      </c>
      <c r="AX3096" s="5">
        <f>IF(R3096&gt;0,RANK(R3096,(N3096:P3096,Q3096:AE3096)),0)</f>
        <v>5</v>
      </c>
      <c r="AY3096" s="5">
        <f>IF(T3096&gt;0,RANK(T3096,(N3096:P3096,Q3096:AE3096)),0)</f>
        <v>0</v>
      </c>
      <c r="AZ3096" s="5">
        <f>IF(S3096&gt;0,RANK(S3096,(N3096:P3096,Q3096:AE3096)),0)</f>
        <v>6</v>
      </c>
      <c r="BA3096" s="2">
        <f t="shared" si="1205"/>
        <v>5.444478392738708E-2</v>
      </c>
      <c r="BB3096" s="2">
        <f t="shared" si="1206"/>
        <v>2.6708199506673323E-2</v>
      </c>
      <c r="BC3096" s="2">
        <f t="shared" si="1207"/>
        <v>0</v>
      </c>
      <c r="BD3096" s="2">
        <f t="shared" si="1208"/>
        <v>5.2760617329031005E-3</v>
      </c>
      <c r="BF3096" t="s">
        <v>1616</v>
      </c>
      <c r="BG3096" t="s">
        <v>817</v>
      </c>
      <c r="BJ3096" s="114">
        <v>53</v>
      </c>
      <c r="BK3096" s="116">
        <v>67</v>
      </c>
      <c r="BL3096" s="120">
        <f t="shared" si="1190"/>
        <v>53067</v>
      </c>
      <c r="BN3096" s="5" t="s">
        <v>3154</v>
      </c>
      <c r="BO3096" s="63">
        <v>1657</v>
      </c>
      <c r="BP3096" s="63">
        <v>118</v>
      </c>
      <c r="BR3096" s="63"/>
      <c r="BY3096" s="63">
        <f t="shared" si="1209"/>
        <v>0</v>
      </c>
      <c r="BZ3096" s="63">
        <v>134191</v>
      </c>
      <c r="CA3096" s="63">
        <v>4781</v>
      </c>
      <c r="CB3096" s="132"/>
    </row>
    <row r="3097" spans="1:94" hidden="1" outlineLevel="1">
      <c r="A3097" t="s">
        <v>1764</v>
      </c>
      <c r="B3097" t="s">
        <v>817</v>
      </c>
      <c r="C3097" s="1">
        <f t="shared" si="1200"/>
        <v>2429</v>
      </c>
      <c r="D3097" s="5">
        <f>IF(N3097&gt;0, RANK(N3097,(N3097:P3097,Q3097:AE3097)),0)</f>
        <v>2</v>
      </c>
      <c r="E3097" s="5">
        <f>IF(O3097&gt;0,RANK(O3097,(N3097:P3097,Q3097:AE3097)),0)</f>
        <v>1</v>
      </c>
      <c r="F3097" s="5" t="e">
        <f>IF(P3097&gt;0,RANK(P3097,(N3097:P3097,Q3097:AE3097)),0)</f>
        <v>#VALUE!</v>
      </c>
      <c r="G3097" s="132">
        <f t="shared" si="1210"/>
        <v>512</v>
      </c>
      <c r="H3097" s="137">
        <f t="shared" si="1211"/>
        <v>0.2107863318237958</v>
      </c>
      <c r="I3097" s="2"/>
      <c r="J3097" s="2">
        <f t="shared" si="1201"/>
        <v>0.34252778921366817</v>
      </c>
      <c r="K3097" s="2">
        <f t="shared" si="1202"/>
        <v>0.55331412103746402</v>
      </c>
      <c r="L3097" s="2">
        <f t="shared" si="1203"/>
        <v>0</v>
      </c>
      <c r="M3097" s="2">
        <f t="shared" si="1204"/>
        <v>0.10415808974886775</v>
      </c>
      <c r="N3097" s="63">
        <v>832</v>
      </c>
      <c r="O3097" s="63">
        <v>1344</v>
      </c>
      <c r="P3097" s="63" t="str">
        <f>IF(Copyright!B$11=1,IF(CD3097&gt;0,CD3097,""),"")</f>
        <v/>
      </c>
      <c r="Q3097" s="63">
        <v>111</v>
      </c>
      <c r="R3097" s="63">
        <v>50</v>
      </c>
      <c r="S3097" s="63">
        <v>18</v>
      </c>
      <c r="T3097" s="63"/>
      <c r="U3097" s="63"/>
      <c r="V3097" s="63">
        <v>1</v>
      </c>
      <c r="W3097" s="63">
        <f>IF(Copyright!B$11=1,IF(CA3097&gt;0,CA3097-SUM(T3097:U3097)-CD3097-SUM(Y3097:AQ3097),0),0)</f>
        <v>71</v>
      </c>
      <c r="X3097" s="63">
        <v>2</v>
      </c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W3097" s="5">
        <f>IF(Q3097&gt;0,RANK(Q3097,(N3097:P3097,Q3097:AE3097)),0)</f>
        <v>3</v>
      </c>
      <c r="AX3097" s="5">
        <f>IF(R3097&gt;0,RANK(R3097,(N3097:P3097,Q3097:AE3097)),0)</f>
        <v>5</v>
      </c>
      <c r="AY3097" s="5">
        <f>IF(T3097&gt;0,RANK(T3097,(N3097:P3097,Q3097:AE3097)),0)</f>
        <v>0</v>
      </c>
      <c r="AZ3097" s="5">
        <f>IF(S3097&gt;0,RANK(S3097,(N3097:P3097,Q3097:AE3097)),0)</f>
        <v>6</v>
      </c>
      <c r="BA3097" s="2">
        <f t="shared" si="1205"/>
        <v>4.5697818032111981E-2</v>
      </c>
      <c r="BB3097" s="2">
        <f t="shared" si="1206"/>
        <v>2.0584602717167558E-2</v>
      </c>
      <c r="BC3097" s="2">
        <f t="shared" si="1207"/>
        <v>0</v>
      </c>
      <c r="BD3097" s="2">
        <f t="shared" si="1208"/>
        <v>7.4104569781803208E-3</v>
      </c>
      <c r="BF3097" t="s">
        <v>1764</v>
      </c>
      <c r="BG3097" t="s">
        <v>817</v>
      </c>
      <c r="BH3097">
        <v>3</v>
      </c>
      <c r="BJ3097" s="114">
        <v>53</v>
      </c>
      <c r="BK3097" s="116">
        <v>69</v>
      </c>
      <c r="BL3097" s="120">
        <f t="shared" si="1190"/>
        <v>53069</v>
      </c>
      <c r="BN3097" s="5" t="s">
        <v>3154</v>
      </c>
      <c r="BO3097" s="63">
        <v>40</v>
      </c>
      <c r="BP3097" s="63">
        <v>2</v>
      </c>
      <c r="BR3097" s="63"/>
      <c r="BX3097" s="132"/>
      <c r="BY3097" s="63">
        <f t="shared" si="1209"/>
        <v>0</v>
      </c>
      <c r="BZ3097" s="63">
        <v>2429</v>
      </c>
      <c r="CA3097" s="132">
        <v>71</v>
      </c>
      <c r="CB3097" s="132"/>
    </row>
    <row r="3098" spans="1:94" hidden="1" outlineLevel="1">
      <c r="A3098" t="s">
        <v>688</v>
      </c>
      <c r="B3098" t="s">
        <v>817</v>
      </c>
      <c r="C3098" s="1">
        <f t="shared" si="1200"/>
        <v>26228</v>
      </c>
      <c r="D3098" s="5">
        <f>IF(N3098&gt;0, RANK(N3098,(N3098:P3098,Q3098:AE3098)),0)</f>
        <v>2</v>
      </c>
      <c r="E3098" s="5">
        <f>IF(O3098&gt;0,RANK(O3098,(N3098:P3098,Q3098:AE3098)),0)</f>
        <v>1</v>
      </c>
      <c r="F3098" s="5" t="e">
        <f>IF(P3098&gt;0,RANK(P3098,(N3098:P3098,Q3098:AE3098)),0)</f>
        <v>#VALUE!</v>
      </c>
      <c r="G3098" s="132">
        <f t="shared" si="1210"/>
        <v>3957</v>
      </c>
      <c r="H3098" s="137">
        <f t="shared" si="1211"/>
        <v>0.15086929998474913</v>
      </c>
      <c r="I3098" s="2"/>
      <c r="J3098" s="2">
        <f t="shared" si="1201"/>
        <v>0.36960500228763155</v>
      </c>
      <c r="K3098" s="2">
        <f t="shared" si="1202"/>
        <v>0.52047430227238067</v>
      </c>
      <c r="L3098" s="2">
        <f t="shared" si="1203"/>
        <v>0</v>
      </c>
      <c r="M3098" s="2">
        <f t="shared" si="1204"/>
        <v>0.10992069543998773</v>
      </c>
      <c r="N3098" s="63">
        <v>9694</v>
      </c>
      <c r="O3098" s="63">
        <v>13651</v>
      </c>
      <c r="P3098" s="63" t="str">
        <f>IF(Copyright!B$11=1,IF(CD3098&gt;0,CD3098,""),"")</f>
        <v/>
      </c>
      <c r="Q3098" s="63">
        <v>1435</v>
      </c>
      <c r="R3098" s="63">
        <v>386</v>
      </c>
      <c r="S3098" s="63">
        <v>184</v>
      </c>
      <c r="T3098" s="63"/>
      <c r="U3098" s="63"/>
      <c r="V3098" s="63">
        <v>28</v>
      </c>
      <c r="W3098" s="63">
        <f>IF(Copyright!B$11=1,IF(CA3098&gt;0,CA3098-SUM(T3098:U3098)-CD3098-SUM(Y3098:AQ3098),0),0)</f>
        <v>809</v>
      </c>
      <c r="X3098" s="63">
        <v>41</v>
      </c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W3098" s="5">
        <f>IF(Q3098&gt;0,RANK(Q3098,(N3098:P3098,Q3098:AE3098)),0)</f>
        <v>3</v>
      </c>
      <c r="AX3098" s="5">
        <f>IF(R3098&gt;0,RANK(R3098,(N3098:P3098,Q3098:AE3098)),0)</f>
        <v>5</v>
      </c>
      <c r="AY3098" s="5">
        <f>IF(T3098&gt;0,RANK(T3098,(N3098:P3098,Q3098:AE3098)),0)</f>
        <v>0</v>
      </c>
      <c r="AZ3098" s="5">
        <f>IF(S3098&gt;0,RANK(S3098,(N3098:P3098,Q3098:AE3098)),0)</f>
        <v>6</v>
      </c>
      <c r="BA3098" s="2">
        <f t="shared" si="1205"/>
        <v>5.4712520969955769E-2</v>
      </c>
      <c r="BB3098" s="2">
        <f t="shared" si="1206"/>
        <v>1.4717096233033399E-2</v>
      </c>
      <c r="BC3098" s="2">
        <f t="shared" si="1207"/>
        <v>0</v>
      </c>
      <c r="BD3098" s="2">
        <f t="shared" si="1208"/>
        <v>7.0154033856946775E-3</v>
      </c>
      <c r="BF3098" t="s">
        <v>688</v>
      </c>
      <c r="BG3098" t="s">
        <v>817</v>
      </c>
      <c r="BJ3098" s="114">
        <v>53</v>
      </c>
      <c r="BK3098" s="116">
        <v>71</v>
      </c>
      <c r="BL3098" s="120">
        <f t="shared" si="1190"/>
        <v>53071</v>
      </c>
      <c r="BN3098" s="5" t="s">
        <v>3154</v>
      </c>
      <c r="BO3098" s="63">
        <v>388</v>
      </c>
      <c r="BP3098" s="63">
        <v>44</v>
      </c>
      <c r="BR3098" s="63"/>
      <c r="BX3098" s="132"/>
      <c r="BY3098" s="63">
        <f t="shared" si="1209"/>
        <v>0</v>
      </c>
      <c r="BZ3098" s="63">
        <f>9694+13651+41+28+386+184+1435+809</f>
        <v>26228</v>
      </c>
      <c r="CA3098" s="132">
        <v>809</v>
      </c>
    </row>
    <row r="3099" spans="1:94" hidden="1" outlineLevel="1">
      <c r="A3099" t="s">
        <v>689</v>
      </c>
      <c r="B3099" t="s">
        <v>817</v>
      </c>
      <c r="C3099" s="1">
        <f t="shared" si="1200"/>
        <v>113339</v>
      </c>
      <c r="D3099" s="5">
        <f>IF(N3099&gt;0, RANK(N3099,(N3099:P3099,Q3099:AE3099)),0)</f>
        <v>1</v>
      </c>
      <c r="E3099" s="5">
        <f>IF(O3099&gt;0,RANK(O3099,(N3099:P3099,Q3099:AE3099)),0)</f>
        <v>2</v>
      </c>
      <c r="F3099" s="5" t="e">
        <f>IF(P3099&gt;0,RANK(P3099,(N3099:P3099,Q3099:AE3099)),0)</f>
        <v>#VALUE!</v>
      </c>
      <c r="G3099" s="132">
        <f t="shared" si="1210"/>
        <v>19741</v>
      </c>
      <c r="H3099" s="137">
        <f t="shared" si="1211"/>
        <v>0.17417658528838265</v>
      </c>
      <c r="I3099" s="2"/>
      <c r="J3099" s="2">
        <f t="shared" si="1201"/>
        <v>0.53238514544860993</v>
      </c>
      <c r="K3099" s="2">
        <f t="shared" si="1202"/>
        <v>0.35820856016022729</v>
      </c>
      <c r="L3099" s="2">
        <f t="shared" si="1203"/>
        <v>0</v>
      </c>
      <c r="M3099" s="2">
        <f t="shared" si="1204"/>
        <v>0.10940629439116278</v>
      </c>
      <c r="N3099" s="63">
        <v>60340</v>
      </c>
      <c r="O3099" s="63">
        <v>40599</v>
      </c>
      <c r="P3099" s="63" t="str">
        <f>IF(Copyright!B$11=1,IF(CD3099&gt;0,CD3099,""),"")</f>
        <v/>
      </c>
      <c r="Q3099" s="63">
        <v>4837</v>
      </c>
      <c r="R3099" s="63">
        <v>3005</v>
      </c>
      <c r="S3099" s="63">
        <v>621</v>
      </c>
      <c r="T3099" s="63"/>
      <c r="U3099" s="63"/>
      <c r="V3099" s="63">
        <v>151</v>
      </c>
      <c r="W3099" s="63">
        <f>IF(Copyright!B$11=1,IF(CA3099&gt;0,CA3099-SUM(T3099:U3099)-CD3099-SUM(Y3099:AQ3099),0),0)</f>
        <v>3666</v>
      </c>
      <c r="X3099" s="63">
        <v>120</v>
      </c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W3099" s="5">
        <f>IF(Q3099&gt;0,RANK(Q3099,(N3099:P3099,Q3099:AE3099)),0)</f>
        <v>3</v>
      </c>
      <c r="AX3099" s="5">
        <f>IF(R3099&gt;0,RANK(R3099,(N3099:P3099,Q3099:AE3099)),0)</f>
        <v>5</v>
      </c>
      <c r="AY3099" s="5">
        <f>IF(T3099&gt;0,RANK(T3099,(N3099:P3099,Q3099:AE3099)),0)</f>
        <v>0</v>
      </c>
      <c r="AZ3099" s="5">
        <f>IF(S3099&gt;0,RANK(S3099,(N3099:P3099,Q3099:AE3099)),0)</f>
        <v>6</v>
      </c>
      <c r="BA3099" s="2">
        <f t="shared" si="1205"/>
        <v>4.2677277900810842E-2</v>
      </c>
      <c r="BB3099" s="2">
        <f t="shared" si="1206"/>
        <v>2.6513380213342274E-2</v>
      </c>
      <c r="BC3099" s="2">
        <f t="shared" si="1207"/>
        <v>0</v>
      </c>
      <c r="BD3099" s="2">
        <f t="shared" si="1208"/>
        <v>5.4791378078154918E-3</v>
      </c>
      <c r="BF3099" t="s">
        <v>689</v>
      </c>
      <c r="BG3099" t="s">
        <v>817</v>
      </c>
      <c r="BJ3099" s="114">
        <v>53</v>
      </c>
      <c r="BK3099" s="116">
        <v>73</v>
      </c>
      <c r="BL3099" s="120">
        <f t="shared" si="1190"/>
        <v>53073</v>
      </c>
      <c r="BN3099" s="5" t="s">
        <v>3154</v>
      </c>
      <c r="BO3099" s="63">
        <v>1408</v>
      </c>
      <c r="BP3099" s="63">
        <v>173</v>
      </c>
      <c r="BR3099" s="63"/>
      <c r="BY3099" s="63">
        <f t="shared" si="1209"/>
        <v>0</v>
      </c>
      <c r="BZ3099" s="63">
        <v>113339</v>
      </c>
      <c r="CA3099" s="63">
        <v>3666</v>
      </c>
    </row>
    <row r="3100" spans="1:94" hidden="1" outlineLevel="1">
      <c r="A3100" t="s">
        <v>2443</v>
      </c>
      <c r="B3100" t="s">
        <v>817</v>
      </c>
      <c r="C3100" s="1">
        <f t="shared" si="1200"/>
        <v>18028</v>
      </c>
      <c r="D3100" s="5">
        <f>IF(N3100&gt;0, RANK(N3100,(N3100:P3100,Q3100:AE3100)),0)</f>
        <v>1</v>
      </c>
      <c r="E3100" s="5">
        <f>IF(O3100&gt;0,RANK(O3100,(N3100:P3100,Q3100:AE3100)),0)</f>
        <v>2</v>
      </c>
      <c r="F3100" s="5" t="e">
        <f>IF(P3100&gt;0,RANK(P3100,(N3100:P3100,Q3100:AE3100)),0)</f>
        <v>#VALUE!</v>
      </c>
      <c r="G3100" s="132">
        <f t="shared" si="1210"/>
        <v>743</v>
      </c>
      <c r="H3100" s="137">
        <f t="shared" si="1211"/>
        <v>4.1213667628134013E-2</v>
      </c>
      <c r="I3100" s="2"/>
      <c r="J3100" s="2">
        <f t="shared" si="1201"/>
        <v>0.4518526736188152</v>
      </c>
      <c r="K3100" s="2">
        <f t="shared" si="1202"/>
        <v>0.41063900599068115</v>
      </c>
      <c r="L3100" s="2">
        <f t="shared" si="1203"/>
        <v>0</v>
      </c>
      <c r="M3100" s="2">
        <f t="shared" si="1204"/>
        <v>0.13750832039050365</v>
      </c>
      <c r="N3100" s="63">
        <v>8146</v>
      </c>
      <c r="O3100" s="63">
        <v>7403</v>
      </c>
      <c r="P3100" s="63" t="str">
        <f>IF(Copyright!B$11=1,IF(CD3100&gt;0,CD3100,""),"")</f>
        <v/>
      </c>
      <c r="Q3100" s="63">
        <v>1227</v>
      </c>
      <c r="R3100" s="63">
        <v>317</v>
      </c>
      <c r="S3100" s="63">
        <v>165</v>
      </c>
      <c r="T3100" s="63"/>
      <c r="U3100" s="63"/>
      <c r="V3100" s="63">
        <v>23</v>
      </c>
      <c r="W3100" s="63">
        <f>IF(Copyright!B$11=1,IF(CA3100&gt;0,CA3100-SUM(T3100:U3100)-CD3100-SUM(Y3100:AQ3100),0),0)</f>
        <v>723</v>
      </c>
      <c r="X3100" s="63">
        <v>24</v>
      </c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W3100" s="5">
        <f>IF(Q3100&gt;0,RANK(Q3100,(N3100:P3100,Q3100:AE3100)),0)</f>
        <v>3</v>
      </c>
      <c r="AX3100" s="5">
        <f>IF(R3100&gt;0,RANK(R3100,(N3100:P3100,Q3100:AE3100)),0)</f>
        <v>5</v>
      </c>
      <c r="AY3100" s="5">
        <f>IF(T3100&gt;0,RANK(T3100,(N3100:P3100,Q3100:AE3100)),0)</f>
        <v>0</v>
      </c>
      <c r="AZ3100" s="5">
        <f>IF(S3100&gt;0,RANK(S3100,(N3100:P3100,Q3100:AE3100)),0)</f>
        <v>6</v>
      </c>
      <c r="BA3100" s="2">
        <f t="shared" si="1205"/>
        <v>6.8060794319946744E-2</v>
      </c>
      <c r="BB3100" s="2">
        <f t="shared" si="1206"/>
        <v>1.7583758597736854E-2</v>
      </c>
      <c r="BC3100" s="2">
        <f t="shared" si="1207"/>
        <v>0</v>
      </c>
      <c r="BD3100" s="2">
        <f t="shared" si="1208"/>
        <v>9.1524295540270691E-3</v>
      </c>
      <c r="BF3100" t="s">
        <v>2443</v>
      </c>
      <c r="BG3100" t="s">
        <v>817</v>
      </c>
      <c r="BH3100">
        <v>5</v>
      </c>
      <c r="BJ3100" s="114">
        <v>53</v>
      </c>
      <c r="BK3100" s="116">
        <v>75</v>
      </c>
      <c r="BL3100" s="120">
        <f t="shared" si="1190"/>
        <v>53075</v>
      </c>
      <c r="BN3100" s="5" t="s">
        <v>3154</v>
      </c>
      <c r="BO3100" s="63">
        <v>289</v>
      </c>
      <c r="BP3100" s="63">
        <v>11</v>
      </c>
      <c r="BR3100" s="63"/>
      <c r="BX3100" s="132"/>
      <c r="BY3100" s="63">
        <f t="shared" si="1209"/>
        <v>0</v>
      </c>
      <c r="BZ3100" s="63">
        <f>8146+7403+24+23+317+165+1227+723</f>
        <v>18028</v>
      </c>
      <c r="CA3100" s="132">
        <v>723</v>
      </c>
      <c r="CB3100" s="132"/>
    </row>
    <row r="3101" spans="1:94" hidden="1" outlineLevel="1">
      <c r="A3101" t="s">
        <v>680</v>
      </c>
      <c r="B3101" t="s">
        <v>817</v>
      </c>
      <c r="C3101" s="1">
        <f t="shared" si="1200"/>
        <v>79741</v>
      </c>
      <c r="D3101" s="5">
        <f>IF(N3101&gt;0, RANK(N3101,(N3101:P3101,Q3101:AE3101)),0)</f>
        <v>2</v>
      </c>
      <c r="E3101" s="5">
        <f>IF(O3101&gt;0,RANK(O3101,(N3101:P3101,Q3101:AE3101)),0)</f>
        <v>1</v>
      </c>
      <c r="F3101" s="5">
        <f>IF(P3101&gt;0,RANK(P3101,(N3101:P3101,Q3101:AE3101)),0)</f>
        <v>7</v>
      </c>
      <c r="G3101" s="132">
        <f t="shared" si="1210"/>
        <v>10444</v>
      </c>
      <c r="H3101" s="137">
        <f t="shared" si="1211"/>
        <v>0.13097402841700004</v>
      </c>
      <c r="I3101" s="2"/>
      <c r="J3101" s="2">
        <f t="shared" si="1201"/>
        <v>0.392407920643082</v>
      </c>
      <c r="K3101" s="2">
        <f t="shared" si="1202"/>
        <v>0.52338194906008206</v>
      </c>
      <c r="L3101" s="2">
        <f t="shared" si="1203"/>
        <v>5.7059730878719853E-3</v>
      </c>
      <c r="M3101" s="2">
        <f t="shared" si="1204"/>
        <v>7.8504157208964004E-2</v>
      </c>
      <c r="N3101" s="63">
        <v>31291</v>
      </c>
      <c r="O3101" s="63">
        <v>41735</v>
      </c>
      <c r="P3101" s="63">
        <f>IF(Copyright!B$11=1,IF(CD3101&gt;0,CD3101,""),"")</f>
        <v>455</v>
      </c>
      <c r="Q3101" s="63">
        <v>3261</v>
      </c>
      <c r="R3101" s="63">
        <v>774</v>
      </c>
      <c r="S3101" s="63">
        <v>458</v>
      </c>
      <c r="T3101" s="63"/>
      <c r="U3101" s="63"/>
      <c r="V3101" s="63">
        <v>111</v>
      </c>
      <c r="W3101" s="63">
        <f>IF(Copyright!B$11=1,IF(CA3101&gt;0,CA3101-SUM(T3101:U3101)-CD3101-SUM(Y3101:AQ3101),0),0)</f>
        <v>1536</v>
      </c>
      <c r="X3101" s="63">
        <v>120</v>
      </c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W3101" s="5">
        <f>IF(Q3101&gt;0,RANK(Q3101,(N3101:P3101,Q3101:AE3101)),0)</f>
        <v>3</v>
      </c>
      <c r="AX3101" s="5">
        <f>IF(R3101&gt;0,RANK(R3101,(N3101:P3101,Q3101:AE3101)),0)</f>
        <v>5</v>
      </c>
      <c r="AY3101" s="5">
        <f>IF(T3101&gt;0,RANK(T3101,(N3101:P3101,Q3101:AE3101)),0)</f>
        <v>0</v>
      </c>
      <c r="AZ3101" s="5">
        <f>IF(S3101&gt;0,RANK(S3101,(N3101:P3101,Q3101:AE3101)),0)</f>
        <v>6</v>
      </c>
      <c r="BA3101" s="2">
        <f t="shared" si="1205"/>
        <v>4.0894897229781416E-2</v>
      </c>
      <c r="BB3101" s="2">
        <f t="shared" si="1206"/>
        <v>9.706424549478938E-3</v>
      </c>
      <c r="BC3101" s="2">
        <f t="shared" si="1207"/>
        <v>0</v>
      </c>
      <c r="BD3101" s="2">
        <f t="shared" si="1208"/>
        <v>5.7435948884513614E-3</v>
      </c>
      <c r="BF3101" t="s">
        <v>680</v>
      </c>
      <c r="BG3101" t="s">
        <v>817</v>
      </c>
      <c r="BH3101">
        <v>4</v>
      </c>
      <c r="BJ3101" s="114">
        <v>53</v>
      </c>
      <c r="BK3101" s="116">
        <v>77</v>
      </c>
      <c r="BL3101" s="120">
        <f t="shared" si="1190"/>
        <v>53077</v>
      </c>
      <c r="BN3101" s="5" t="s">
        <v>3154</v>
      </c>
      <c r="BO3101" s="63">
        <v>929</v>
      </c>
      <c r="BP3101" s="63">
        <v>242</v>
      </c>
      <c r="BR3101" s="63"/>
      <c r="BY3101" s="63">
        <f t="shared" si="1209"/>
        <v>0</v>
      </c>
      <c r="BZ3101" s="63">
        <v>79741</v>
      </c>
      <c r="CA3101" s="63">
        <v>1991</v>
      </c>
      <c r="CC3101" s="63">
        <v>621</v>
      </c>
      <c r="CD3101" s="63">
        <v>455</v>
      </c>
    </row>
    <row r="3102" spans="1:94" collapsed="1">
      <c r="A3102" t="s">
        <v>692</v>
      </c>
      <c r="B3102" t="s">
        <v>544</v>
      </c>
      <c r="C3102" s="1">
        <f t="shared" si="1200"/>
        <v>3316996</v>
      </c>
      <c r="D3102" s="5">
        <f>IF(N3102&gt;0, RANK(N3102,(N3102:P3102,Q3102:AE3102)),0)</f>
        <v>1</v>
      </c>
      <c r="E3102" s="5">
        <f>IF(O3102&gt;0,RANK(O3102,(N3102:P3102,Q3102:AE3102)),0)</f>
        <v>2</v>
      </c>
      <c r="F3102" s="5">
        <f>IF(P3102&gt;0,RANK(P3102,(N3102:P3102,Q3102:AE3102)),0)</f>
        <v>9</v>
      </c>
      <c r="G3102" s="132">
        <f t="shared" si="1210"/>
        <v>520971</v>
      </c>
      <c r="H3102" s="137">
        <f t="shared" si="1211"/>
        <v>0.15706108780354272</v>
      </c>
      <c r="I3102" s="2"/>
      <c r="J3102" s="2">
        <f t="shared" si="1201"/>
        <v>0.52539044364238008</v>
      </c>
      <c r="K3102" s="2">
        <f t="shared" si="1202"/>
        <v>0.3683293558388373</v>
      </c>
      <c r="L3102" s="2">
        <f t="shared" ref="L3102" si="1212">IF($C3102=0,"-",P3102/$C3102)</f>
        <v>6.3430887465646627E-4</v>
      </c>
      <c r="M3102" s="2">
        <f t="shared" si="1204"/>
        <v>0.10564589164412615</v>
      </c>
      <c r="N3102" s="63">
        <f t="shared" ref="N3102:S3102" si="1213">SUM(N3063:N3101)</f>
        <v>1742718</v>
      </c>
      <c r="O3102" s="63">
        <f t="shared" si="1213"/>
        <v>1221747</v>
      </c>
      <c r="P3102" s="63">
        <f>SUM(P3063:P3101)</f>
        <v>2104</v>
      </c>
      <c r="Q3102" s="63">
        <f t="shared" si="1213"/>
        <v>160879</v>
      </c>
      <c r="R3102" s="63">
        <f t="shared" si="1213"/>
        <v>58417</v>
      </c>
      <c r="S3102" s="63">
        <f t="shared" si="1213"/>
        <v>17623</v>
      </c>
      <c r="T3102" s="63"/>
      <c r="U3102" s="63"/>
      <c r="V3102" s="63">
        <f>SUM(V3063:V3101)</f>
        <v>3523</v>
      </c>
      <c r="W3102" s="63">
        <f>SUM(W3063:W3101)</f>
        <v>105678</v>
      </c>
      <c r="X3102" s="63">
        <f>SUM(X3063:X3101)</f>
        <v>4307</v>
      </c>
      <c r="Y3102" s="63">
        <f>SUM(Y3063:Y3101)</f>
        <v>0</v>
      </c>
      <c r="Z3102" s="63">
        <f>SUM(Z3063:Z3101)</f>
        <v>0</v>
      </c>
      <c r="AA3102" s="63"/>
      <c r="AB3102" s="63"/>
      <c r="AC3102" s="63">
        <f>SUM(AC3063:AC3101)</f>
        <v>0</v>
      </c>
      <c r="AD3102" s="63">
        <f>SUM(AD3063:AD3101)</f>
        <v>0</v>
      </c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W3102" s="5">
        <f>IF(Q3102&gt;0,RANK(Q3102,(N3102:P3102,Q3102:AE3102)),0)</f>
        <v>3</v>
      </c>
      <c r="AX3102" s="5">
        <f>IF(R3102&gt;0,RANK(R3102,(N3102:P3102,Q3102:AE3102)),0)</f>
        <v>5</v>
      </c>
      <c r="AY3102" s="5">
        <f>IF(T3102&gt;0,RANK(T3102,(N3102:P3102,Q3102:AE3102)),0)</f>
        <v>0</v>
      </c>
      <c r="AZ3102" s="5">
        <f>IF(S3102&gt;0,RANK(S3102,(N3102:P3102,Q3102:AE3102)),0)</f>
        <v>6</v>
      </c>
      <c r="BA3102" s="2">
        <f t="shared" si="1205"/>
        <v>4.8501415135863896E-2</v>
      </c>
      <c r="BB3102" s="2">
        <f t="shared" si="1206"/>
        <v>1.7611417077379652E-2</v>
      </c>
      <c r="BC3102" s="2">
        <f t="shared" si="1207"/>
        <v>0</v>
      </c>
      <c r="BD3102" s="2">
        <f t="shared" si="1208"/>
        <v>5.3129397804519514E-3</v>
      </c>
      <c r="BF3102" t="s">
        <v>692</v>
      </c>
      <c r="BG3102" t="s">
        <v>544</v>
      </c>
      <c r="BJ3102" s="114">
        <v>53</v>
      </c>
      <c r="BK3102" s="116"/>
      <c r="BL3102" s="114">
        <v>53</v>
      </c>
      <c r="BN3102" s="5" t="s">
        <v>711</v>
      </c>
      <c r="BO3102" s="63">
        <f>SUM(BO3063:BO3101)</f>
        <v>41705</v>
      </c>
      <c r="BP3102" s="63">
        <f>SUM(BP3063:BP3101)</f>
        <v>4739</v>
      </c>
      <c r="BR3102" s="63"/>
      <c r="BY3102" s="63">
        <f t="shared" si="1209"/>
        <v>0</v>
      </c>
      <c r="BZ3102" s="63">
        <f>SUM(BZ3063:BZ3101)</f>
        <v>3316996</v>
      </c>
      <c r="CA3102" s="63">
        <f>SUM(CA3063:CA3101)</f>
        <v>107782</v>
      </c>
      <c r="CC3102" s="63">
        <f>SUM(CC3063:CC3101)</f>
        <v>3037</v>
      </c>
      <c r="CD3102" s="63">
        <f t="shared" ref="CD3102" si="1214">SUM(CD3063:CD3101)</f>
        <v>2104</v>
      </c>
    </row>
    <row r="3103" spans="1:94">
      <c r="C3103" s="1"/>
      <c r="E3103" s="5"/>
      <c r="F3103" s="5"/>
      <c r="G3103" s="132"/>
      <c r="H3103" s="137"/>
      <c r="I3103" s="2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W3103" s="5"/>
      <c r="AX3103" s="5"/>
      <c r="AY3103" s="5"/>
      <c r="AZ3103" s="5"/>
      <c r="BJ3103" s="114"/>
      <c r="BK3103" s="116"/>
      <c r="BL3103" s="120"/>
      <c r="CD3103" s="63" t="s">
        <v>305</v>
      </c>
      <c r="CE3103" s="63" t="s">
        <v>601</v>
      </c>
      <c r="CF3103" s="63" t="s">
        <v>1984</v>
      </c>
      <c r="CG3103" s="63" t="s">
        <v>864</v>
      </c>
      <c r="CH3103" s="8" t="s">
        <v>3350</v>
      </c>
      <c r="CI3103" s="8" t="s">
        <v>3645</v>
      </c>
      <c r="CJ3103" s="8" t="s">
        <v>4419</v>
      </c>
      <c r="CK3103" s="8" t="s">
        <v>2118</v>
      </c>
      <c r="CL3103" s="8" t="s">
        <v>4420</v>
      </c>
      <c r="CP3103" s="8"/>
    </row>
    <row r="3104" spans="1:94" hidden="1" outlineLevel="1">
      <c r="A3104" t="s">
        <v>2953</v>
      </c>
      <c r="B3104" t="s">
        <v>2358</v>
      </c>
      <c r="C3104" s="1">
        <f t="shared" ref="C3104:C3135" si="1215">SUM(N3104:AU3104)</f>
        <v>6116</v>
      </c>
      <c r="D3104" s="5">
        <f>IF(N3104&gt;0, RANK(N3104,(N3104:P3104,Q3104:AE3104)),0)</f>
        <v>2</v>
      </c>
      <c r="E3104" s="5">
        <f>IF(O3104&gt;0,RANK(O3104,(N3104:P3104,Q3104:AE3104)),0)</f>
        <v>1</v>
      </c>
      <c r="F3104" s="5">
        <f>IF(P3104&gt;0,RANK(P3104,(N3104:P3104,Q3104:AE3104)),0)</f>
        <v>7</v>
      </c>
      <c r="G3104" s="132">
        <f t="shared" si="1210"/>
        <v>3305</v>
      </c>
      <c r="H3104" s="137">
        <f t="shared" si="1211"/>
        <v>0.54038587311968611</v>
      </c>
      <c r="I3104" s="2"/>
      <c r="J3104" s="2">
        <f t="shared" ref="J3104:J3135" si="1216">IF($C3104=0,"-",N3104/$C3104)</f>
        <v>0.19980379332897319</v>
      </c>
      <c r="K3104" s="2">
        <f t="shared" ref="K3104:K3135" si="1217">IF($C3104=0,"-",O3104/$C3104)</f>
        <v>0.74018966644865924</v>
      </c>
      <c r="L3104" s="2">
        <f t="shared" ref="L3104:L3135" si="1218">IF($C3104=0,"-",P3104/$C3104)</f>
        <v>1.9620667102681491E-3</v>
      </c>
      <c r="M3104" s="2">
        <f t="shared" ref="M3104:M3135" si="1219">IF(C3104=0,"-",(1-J3104-K3104-L3104))</f>
        <v>5.8044473512099473E-2</v>
      </c>
      <c r="N3104" s="63">
        <v>1222</v>
      </c>
      <c r="O3104" s="63">
        <v>4527</v>
      </c>
      <c r="P3104" s="63">
        <v>12</v>
      </c>
      <c r="Q3104" s="63">
        <v>214</v>
      </c>
      <c r="R3104" s="63">
        <v>64</v>
      </c>
      <c r="S3104" s="63">
        <v>27</v>
      </c>
      <c r="T3104" s="63">
        <v>0</v>
      </c>
      <c r="U3104" s="63"/>
      <c r="V3104" s="63">
        <v>0</v>
      </c>
      <c r="W3104" s="63">
        <f>IF(Copyright!B$11=1,IF(CA3104&gt;0,CA3104-SUM(T3104:V3104)-P3104-SUM(AJ3104:AQ3104)-SUM(X3104:AH3104),SUM(CD3104:CQ3104)),SUM(CD3104:CQ3104))</f>
        <v>50</v>
      </c>
      <c r="X3104" s="63"/>
      <c r="Y3104" s="63">
        <v>0</v>
      </c>
      <c r="Z3104" s="63">
        <v>0</v>
      </c>
      <c r="AA3104">
        <v>0</v>
      </c>
      <c r="AB3104" s="63"/>
      <c r="AC3104" s="63"/>
      <c r="AD3104">
        <v>0</v>
      </c>
      <c r="AE3104" s="63">
        <v>0</v>
      </c>
      <c r="AF3104" s="63">
        <v>0</v>
      </c>
      <c r="AG3104" s="63"/>
      <c r="AH3104" s="63"/>
      <c r="AI3104" s="1"/>
      <c r="AJ3104" s="63"/>
      <c r="AK3104" s="63"/>
      <c r="AL3104">
        <v>0</v>
      </c>
      <c r="AM3104" s="63">
        <v>0</v>
      </c>
      <c r="AN3104" s="63"/>
      <c r="AO3104" s="63"/>
      <c r="AP3104" s="63"/>
      <c r="AQ3104" s="63">
        <v>0</v>
      </c>
      <c r="AR3104" s="63"/>
      <c r="AS3104" s="63"/>
      <c r="AT3104" s="63"/>
      <c r="AU3104" s="63"/>
      <c r="AW3104" s="5">
        <f>IF(Q3104&gt;0,RANK(Q3104,(N3104:P3104,Q3104:AE3104)),0)</f>
        <v>3</v>
      </c>
      <c r="AX3104" s="5">
        <f>IF(R3104&gt;0,RANK(R3104,(N3104:P3104,Q3104:AE3104)),0)</f>
        <v>4</v>
      </c>
      <c r="AY3104" s="5">
        <f>IF(T3104&gt;0,RANK(T3104,(N3104:P3104,Q3104:AE3104)),0)</f>
        <v>0</v>
      </c>
      <c r="AZ3104" s="5">
        <f>IF(S3104&gt;0,RANK(S3104,(N3104:P3104,Q3104:AE3104)),0)</f>
        <v>6</v>
      </c>
      <c r="BA3104" s="2">
        <f t="shared" ref="BA3104:BA3135" si="1220">IF($C3104=0,"-",Q3104/$C3104)</f>
        <v>3.4990189666448658E-2</v>
      </c>
      <c r="BB3104" s="2">
        <f t="shared" ref="BB3104:BB3135" si="1221">IF($C3104=0,"-",R3104/$C3104)</f>
        <v>1.0464355788096796E-2</v>
      </c>
      <c r="BC3104" s="2">
        <f t="shared" ref="BC3104:BC3135" si="1222">IF($C3104=0,"-",T3104/$C3104)</f>
        <v>0</v>
      </c>
      <c r="BD3104" s="2">
        <f t="shared" ref="BD3104:BD3135" si="1223">IF($C3104=0,"-",S3104/$C3104)</f>
        <v>4.4146500981033353E-3</v>
      </c>
      <c r="BF3104" t="s">
        <v>2953</v>
      </c>
      <c r="BG3104" t="s">
        <v>2358</v>
      </c>
      <c r="BH3104">
        <v>1</v>
      </c>
      <c r="BJ3104" s="114">
        <v>54</v>
      </c>
      <c r="BK3104" s="116">
        <v>1</v>
      </c>
      <c r="BL3104" s="120">
        <f t="shared" si="1190"/>
        <v>54001</v>
      </c>
      <c r="BN3104" s="5" t="s">
        <v>3154</v>
      </c>
      <c r="BZ3104" s="63">
        <f>C3104</f>
        <v>6116</v>
      </c>
      <c r="CA3104" s="63">
        <v>62</v>
      </c>
      <c r="CD3104" s="63">
        <v>0</v>
      </c>
      <c r="CE3104" s="63">
        <v>0</v>
      </c>
      <c r="CF3104" s="63">
        <v>0</v>
      </c>
      <c r="CG3104" s="63">
        <v>0</v>
      </c>
      <c r="CH3104" s="8">
        <v>0</v>
      </c>
      <c r="CI3104" s="8">
        <v>0</v>
      </c>
      <c r="CJ3104" s="8">
        <v>0</v>
      </c>
      <c r="CK3104" s="8">
        <v>0</v>
      </c>
      <c r="CL3104" s="8">
        <v>0</v>
      </c>
      <c r="CP3104" s="8"/>
    </row>
    <row r="3105" spans="1:94" hidden="1" outlineLevel="1">
      <c r="A3105" t="s">
        <v>1562</v>
      </c>
      <c r="B3105" t="s">
        <v>2358</v>
      </c>
      <c r="C3105" s="1">
        <f t="shared" si="1215"/>
        <v>43364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7</v>
      </c>
      <c r="G3105" s="132">
        <f t="shared" si="1210"/>
        <v>15923</v>
      </c>
      <c r="H3105" s="137">
        <f t="shared" si="1211"/>
        <v>0.36719398579466839</v>
      </c>
      <c r="I3105" s="2"/>
      <c r="J3105" s="2">
        <f t="shared" si="1216"/>
        <v>0.28412969283276451</v>
      </c>
      <c r="K3105" s="2">
        <f t="shared" si="1217"/>
        <v>0.6513236786274329</v>
      </c>
      <c r="L3105" s="2">
        <f t="shared" si="1218"/>
        <v>3.4129692832764505E-3</v>
      </c>
      <c r="M3105" s="2">
        <f t="shared" si="1219"/>
        <v>6.1133659256526078E-2</v>
      </c>
      <c r="N3105" s="63">
        <v>12321</v>
      </c>
      <c r="O3105" s="63">
        <v>28244</v>
      </c>
      <c r="P3105" s="63">
        <v>148</v>
      </c>
      <c r="Q3105" s="63">
        <v>1623</v>
      </c>
      <c r="R3105" s="63">
        <v>473</v>
      </c>
      <c r="S3105" s="63">
        <v>189</v>
      </c>
      <c r="T3105" s="63">
        <v>0</v>
      </c>
      <c r="U3105" s="63"/>
      <c r="V3105" s="63">
        <v>0</v>
      </c>
      <c r="W3105" s="63">
        <f>IF(Copyright!B$11=1,IF(CA3105&gt;0,CA3105-SUM(T3105:V3105)-P3105-SUM(AJ3105:AQ3105)-SUM(X3105:AH3105),SUM(CD3105:CQ3105)),SUM(CD3105:CQ3105))</f>
        <v>364</v>
      </c>
      <c r="X3105" s="63"/>
      <c r="Y3105" s="63">
        <v>0</v>
      </c>
      <c r="Z3105" s="63">
        <v>0</v>
      </c>
      <c r="AA3105">
        <v>0</v>
      </c>
      <c r="AB3105" s="63"/>
      <c r="AC3105" s="63"/>
      <c r="AD3105">
        <v>0</v>
      </c>
      <c r="AE3105" s="63">
        <v>0</v>
      </c>
      <c r="AF3105" s="63">
        <v>1</v>
      </c>
      <c r="AG3105" s="63"/>
      <c r="AH3105" s="63"/>
      <c r="AI3105" s="1"/>
      <c r="AJ3105" s="63"/>
      <c r="AK3105" s="63"/>
      <c r="AL3105">
        <v>0</v>
      </c>
      <c r="AM3105" s="63">
        <v>0</v>
      </c>
      <c r="AN3105" s="63"/>
      <c r="AO3105" s="63"/>
      <c r="AP3105" s="63"/>
      <c r="AQ3105" s="63">
        <v>1</v>
      </c>
      <c r="AR3105" s="63"/>
      <c r="AS3105" s="63"/>
      <c r="AT3105" s="63"/>
      <c r="AU3105" s="63"/>
      <c r="AW3105" s="5">
        <f>IF(Q3105&gt;0,RANK(Q3105,(N3105:P3105,Q3105:AE3105)),0)</f>
        <v>3</v>
      </c>
      <c r="AX3105" s="5">
        <f>IF(R3105&gt;0,RANK(R3105,(N3105:P3105,Q3105:AE3105)),0)</f>
        <v>4</v>
      </c>
      <c r="AY3105" s="5">
        <f>IF(T3105&gt;0,RANK(T3105,(N3105:P3105,Q3105:AE3105)),0)</f>
        <v>0</v>
      </c>
      <c r="AZ3105" s="5">
        <f>IF(S3105&gt;0,RANK(S3105,(N3105:P3105,Q3105:AE3105)),0)</f>
        <v>6</v>
      </c>
      <c r="BA3105" s="2">
        <f t="shared" si="1220"/>
        <v>3.742735909971405E-2</v>
      </c>
      <c r="BB3105" s="2">
        <f t="shared" si="1221"/>
        <v>1.0907665344525412E-2</v>
      </c>
      <c r="BC3105" s="2">
        <f t="shared" si="1222"/>
        <v>0</v>
      </c>
      <c r="BD3105" s="2">
        <f t="shared" si="1223"/>
        <v>4.3584540171570886E-3</v>
      </c>
      <c r="BF3105" t="s">
        <v>1562</v>
      </c>
      <c r="BG3105" t="s">
        <v>2358</v>
      </c>
      <c r="BH3105">
        <v>2</v>
      </c>
      <c r="BJ3105" s="114">
        <v>54</v>
      </c>
      <c r="BK3105" s="116">
        <v>3</v>
      </c>
      <c r="BL3105" s="120">
        <f t="shared" si="1190"/>
        <v>54003</v>
      </c>
      <c r="BN3105" s="5" t="s">
        <v>3154</v>
      </c>
      <c r="CA3105" s="63">
        <v>514</v>
      </c>
      <c r="CD3105" s="63">
        <v>0</v>
      </c>
      <c r="CE3105" s="63">
        <v>0</v>
      </c>
      <c r="CF3105" s="63">
        <v>1</v>
      </c>
      <c r="CG3105" s="63">
        <v>1</v>
      </c>
      <c r="CH3105" s="8">
        <v>0</v>
      </c>
      <c r="CI3105" s="8">
        <v>1</v>
      </c>
      <c r="CJ3105" s="8">
        <v>0</v>
      </c>
      <c r="CK3105" s="8">
        <v>0</v>
      </c>
      <c r="CL3105" s="8">
        <v>0</v>
      </c>
      <c r="CP3105" s="8"/>
    </row>
    <row r="3106" spans="1:94" hidden="1" outlineLevel="1">
      <c r="A3106" t="s">
        <v>1043</v>
      </c>
      <c r="B3106" t="s">
        <v>2358</v>
      </c>
      <c r="C3106" s="1">
        <f t="shared" si="1215"/>
        <v>8779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7</v>
      </c>
      <c r="G3106" s="132">
        <f t="shared" si="1210"/>
        <v>4714</v>
      </c>
      <c r="H3106" s="137">
        <f t="shared" si="1211"/>
        <v>0.53696320765463035</v>
      </c>
      <c r="I3106" s="2"/>
      <c r="J3106" s="2">
        <f t="shared" si="1216"/>
        <v>0.20389566009796103</v>
      </c>
      <c r="K3106" s="2">
        <f t="shared" si="1217"/>
        <v>0.74085886775259147</v>
      </c>
      <c r="L3106" s="2">
        <f t="shared" si="1218"/>
        <v>7.9735732999202638E-4</v>
      </c>
      <c r="M3106" s="2">
        <f t="shared" si="1219"/>
        <v>5.4448114819455502E-2</v>
      </c>
      <c r="N3106" s="63">
        <v>1790</v>
      </c>
      <c r="O3106" s="63">
        <v>6504</v>
      </c>
      <c r="P3106" s="63">
        <v>7</v>
      </c>
      <c r="Q3106" s="63">
        <v>246</v>
      </c>
      <c r="R3106" s="63">
        <v>70</v>
      </c>
      <c r="S3106" s="63">
        <v>73</v>
      </c>
      <c r="T3106" s="63">
        <v>0</v>
      </c>
      <c r="U3106" s="63"/>
      <c r="V3106" s="63">
        <v>0</v>
      </c>
      <c r="W3106" s="63">
        <f>IF(Copyright!B$11=1,IF(CA3106&gt;0,CA3106-SUM(T3106:V3106)-P3106-SUM(AJ3106:AQ3106)-SUM(X3106:AH3106),SUM(CD3106:CQ3106)),SUM(CD3106:CQ3106))</f>
        <v>89</v>
      </c>
      <c r="X3106" s="63"/>
      <c r="Y3106" s="63">
        <v>0</v>
      </c>
      <c r="Z3106" s="63">
        <v>0</v>
      </c>
      <c r="AA3106">
        <v>0</v>
      </c>
      <c r="AB3106" s="63"/>
      <c r="AC3106" s="63"/>
      <c r="AD3106">
        <v>0</v>
      </c>
      <c r="AE3106" s="63">
        <v>0</v>
      </c>
      <c r="AF3106" s="63">
        <v>0</v>
      </c>
      <c r="AG3106" s="63"/>
      <c r="AH3106" s="63"/>
      <c r="AI3106" s="1"/>
      <c r="AJ3106" s="63"/>
      <c r="AK3106" s="63"/>
      <c r="AL3106">
        <v>0</v>
      </c>
      <c r="AM3106" s="63">
        <v>0</v>
      </c>
      <c r="AN3106" s="63"/>
      <c r="AO3106" s="63"/>
      <c r="AP3106" s="63"/>
      <c r="AQ3106" s="63">
        <v>0</v>
      </c>
      <c r="AR3106" s="63"/>
      <c r="AS3106" s="63"/>
      <c r="AT3106" s="63"/>
      <c r="AU3106" s="63"/>
      <c r="AW3106" s="5">
        <f>IF(Q3106&gt;0,RANK(Q3106,(N3106:P3106,Q3106:AE3106)),0)</f>
        <v>3</v>
      </c>
      <c r="AX3106" s="5">
        <f>IF(R3106&gt;0,RANK(R3106,(N3106:P3106,Q3106:AE3106)),0)</f>
        <v>6</v>
      </c>
      <c r="AY3106" s="5">
        <f>IF(T3106&gt;0,RANK(T3106,(N3106:P3106,Q3106:AE3106)),0)</f>
        <v>0</v>
      </c>
      <c r="AZ3106" s="5">
        <f>IF(S3106&gt;0,RANK(S3106,(N3106:P3106,Q3106:AE3106)),0)</f>
        <v>5</v>
      </c>
      <c r="BA3106" s="2">
        <f t="shared" si="1220"/>
        <v>2.8021414739719787E-2</v>
      </c>
      <c r="BB3106" s="2">
        <f t="shared" si="1221"/>
        <v>7.9735732999202651E-3</v>
      </c>
      <c r="BC3106" s="2">
        <f t="shared" si="1222"/>
        <v>0</v>
      </c>
      <c r="BD3106" s="2">
        <f t="shared" si="1223"/>
        <v>8.3152978699168462E-3</v>
      </c>
      <c r="BF3106" t="s">
        <v>1043</v>
      </c>
      <c r="BG3106" t="s">
        <v>2358</v>
      </c>
      <c r="BH3106">
        <v>3</v>
      </c>
      <c r="BJ3106" s="114">
        <v>54</v>
      </c>
      <c r="BK3106" s="116">
        <v>5</v>
      </c>
      <c r="BL3106" s="120">
        <f t="shared" si="1190"/>
        <v>54005</v>
      </c>
      <c r="BN3106" s="5" t="s">
        <v>3154</v>
      </c>
      <c r="BZ3106" s="63">
        <f t="shared" ref="BZ3106:BZ3158" si="1224">C3106</f>
        <v>8779</v>
      </c>
      <c r="CA3106" s="63">
        <v>96</v>
      </c>
      <c r="CD3106" s="63">
        <v>0</v>
      </c>
      <c r="CE3106" s="63">
        <v>0</v>
      </c>
      <c r="CF3106" s="63">
        <v>0</v>
      </c>
      <c r="CG3106" s="63">
        <v>0</v>
      </c>
      <c r="CH3106" s="8">
        <v>0</v>
      </c>
      <c r="CI3106" s="8">
        <v>0</v>
      </c>
      <c r="CJ3106" s="8">
        <v>0</v>
      </c>
      <c r="CK3106" s="8">
        <v>0</v>
      </c>
      <c r="CL3106" s="8">
        <v>0</v>
      </c>
      <c r="CP3106" s="8"/>
    </row>
    <row r="3107" spans="1:94" hidden="1" outlineLevel="1">
      <c r="A3107" t="s">
        <v>2404</v>
      </c>
      <c r="B3107" t="s">
        <v>2358</v>
      </c>
      <c r="C3107" s="1">
        <f t="shared" si="1215"/>
        <v>5100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7</v>
      </c>
      <c r="G3107" s="132">
        <f t="shared" si="1210"/>
        <v>2216</v>
      </c>
      <c r="H3107" s="137">
        <f t="shared" si="1211"/>
        <v>0.43450980392156863</v>
      </c>
      <c r="I3107" s="2"/>
      <c r="J3107" s="2">
        <f t="shared" si="1216"/>
        <v>0.25901960784313727</v>
      </c>
      <c r="K3107" s="2">
        <f t="shared" si="1217"/>
        <v>0.69352941176470584</v>
      </c>
      <c r="L3107" s="2">
        <f t="shared" si="1218"/>
        <v>7.8431372549019605E-4</v>
      </c>
      <c r="M3107" s="2">
        <f t="shared" si="1219"/>
        <v>4.6666666666666697E-2</v>
      </c>
      <c r="N3107" s="63">
        <v>1321</v>
      </c>
      <c r="O3107" s="63">
        <v>3537</v>
      </c>
      <c r="P3107" s="63">
        <v>4</v>
      </c>
      <c r="Q3107" s="63">
        <v>157</v>
      </c>
      <c r="R3107" s="63">
        <v>47</v>
      </c>
      <c r="S3107" s="63">
        <v>28</v>
      </c>
      <c r="T3107" s="63">
        <v>0</v>
      </c>
      <c r="U3107" s="63"/>
      <c r="V3107" s="63">
        <v>0</v>
      </c>
      <c r="W3107" s="63">
        <f>IF(Copyright!B$11=1,IF(CA3107&gt;0,CA3107-SUM(T3107:V3107)-P3107-SUM(AJ3107:AQ3107)-SUM(X3107:AH3107),SUM(CD3107:CQ3107)),SUM(CD3107:CQ3107))</f>
        <v>6</v>
      </c>
      <c r="X3107" s="63"/>
      <c r="Y3107" s="63">
        <v>0</v>
      </c>
      <c r="Z3107" s="63">
        <v>0</v>
      </c>
      <c r="AA3107">
        <v>0</v>
      </c>
      <c r="AB3107" s="63"/>
      <c r="AC3107" s="63"/>
      <c r="AD3107">
        <v>0</v>
      </c>
      <c r="AE3107" s="63">
        <v>0</v>
      </c>
      <c r="AF3107" s="63">
        <v>0</v>
      </c>
      <c r="AG3107" s="63"/>
      <c r="AH3107" s="63"/>
      <c r="AI3107"/>
      <c r="AJ3107" s="63"/>
      <c r="AK3107" s="63"/>
      <c r="AL3107">
        <v>0</v>
      </c>
      <c r="AM3107" s="63">
        <v>0</v>
      </c>
      <c r="AN3107" s="63"/>
      <c r="AO3107" s="63"/>
      <c r="AP3107" s="63"/>
      <c r="AQ3107" s="63">
        <v>0</v>
      </c>
      <c r="AR3107" s="63"/>
      <c r="AS3107" s="63"/>
      <c r="AT3107" s="63"/>
      <c r="AU3107" s="63"/>
      <c r="AW3107" s="5">
        <f>IF(Q3107&gt;0,RANK(Q3107,(N3107:P3107,Q3107:AE3107)),0)</f>
        <v>3</v>
      </c>
      <c r="AX3107" s="5">
        <f>IF(R3107&gt;0,RANK(R3107,(N3107:P3107,Q3107:AE3107)),0)</f>
        <v>4</v>
      </c>
      <c r="AY3107" s="5">
        <f>IF(T3107&gt;0,RANK(T3107,(N3107:P3107,Q3107:AE3107)),0)</f>
        <v>0</v>
      </c>
      <c r="AZ3107" s="5">
        <f>IF(S3107&gt;0,RANK(S3107,(N3107:P3107,Q3107:AE3107)),0)</f>
        <v>5</v>
      </c>
      <c r="BA3107" s="2">
        <f t="shared" si="1220"/>
        <v>3.0784313725490196E-2</v>
      </c>
      <c r="BB3107" s="2">
        <f t="shared" si="1221"/>
        <v>9.2156862745098045E-3</v>
      </c>
      <c r="BC3107" s="2">
        <f t="shared" si="1222"/>
        <v>0</v>
      </c>
      <c r="BD3107" s="2">
        <f t="shared" si="1223"/>
        <v>5.4901960784313726E-3</v>
      </c>
      <c r="BF3107" t="s">
        <v>2404</v>
      </c>
      <c r="BG3107" t="s">
        <v>2358</v>
      </c>
      <c r="BH3107">
        <v>2</v>
      </c>
      <c r="BJ3107" s="114">
        <v>54</v>
      </c>
      <c r="BK3107" s="116">
        <v>7</v>
      </c>
      <c r="BL3107" s="120">
        <f t="shared" si="1190"/>
        <v>54007</v>
      </c>
      <c r="BN3107" s="5" t="s">
        <v>3154</v>
      </c>
      <c r="BR3107" s="63"/>
      <c r="CA3107" s="63">
        <v>10</v>
      </c>
      <c r="CD3107" s="63">
        <v>0</v>
      </c>
      <c r="CE3107" s="63">
        <v>0</v>
      </c>
      <c r="CF3107" s="63">
        <v>1</v>
      </c>
      <c r="CG3107" s="63">
        <v>0</v>
      </c>
      <c r="CH3107" s="8">
        <v>0</v>
      </c>
      <c r="CI3107" s="8">
        <v>0</v>
      </c>
      <c r="CJ3107" s="8">
        <v>0</v>
      </c>
      <c r="CK3107" s="8">
        <v>0</v>
      </c>
      <c r="CL3107" s="8">
        <v>0</v>
      </c>
      <c r="CP3107" s="8"/>
    </row>
    <row r="3108" spans="1:94" hidden="1" outlineLevel="1">
      <c r="A3108" t="s">
        <v>1429</v>
      </c>
      <c r="B3108" t="s">
        <v>2358</v>
      </c>
      <c r="C3108" s="1">
        <f t="shared" si="1215"/>
        <v>9696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7</v>
      </c>
      <c r="G3108" s="132">
        <f t="shared" si="1210"/>
        <v>4057</v>
      </c>
      <c r="H3108" s="137">
        <f t="shared" si="1211"/>
        <v>0.41841996699669964</v>
      </c>
      <c r="I3108" s="2"/>
      <c r="J3108" s="2">
        <f t="shared" si="1216"/>
        <v>0.26485148514851486</v>
      </c>
      <c r="K3108" s="2">
        <f t="shared" si="1217"/>
        <v>0.68327145214521456</v>
      </c>
      <c r="L3108" s="2">
        <f t="shared" si="1218"/>
        <v>8.2508250825082509E-4</v>
      </c>
      <c r="M3108" s="2">
        <f t="shared" si="1219"/>
        <v>5.1051980198019743E-2</v>
      </c>
      <c r="N3108" s="63">
        <v>2568</v>
      </c>
      <c r="O3108" s="63">
        <v>6625</v>
      </c>
      <c r="P3108" s="63">
        <v>8</v>
      </c>
      <c r="Q3108" s="63">
        <v>297</v>
      </c>
      <c r="R3108" s="63">
        <v>99</v>
      </c>
      <c r="S3108" s="63">
        <v>24</v>
      </c>
      <c r="T3108" s="63">
        <v>0</v>
      </c>
      <c r="U3108" s="63"/>
      <c r="V3108" s="63">
        <v>0</v>
      </c>
      <c r="W3108" s="63">
        <f>IF(Copyright!B$11=1,IF(CA3108&gt;0,CA3108-SUM(T3108:V3108)-P3108-SUM(AJ3108:AQ3108)-SUM(X3108:AH3108),SUM(CD3108:CQ3108)),SUM(CD3108:CQ3108))</f>
        <v>75</v>
      </c>
      <c r="X3108" s="63"/>
      <c r="Y3108" s="63">
        <v>0</v>
      </c>
      <c r="Z3108" s="63">
        <v>0</v>
      </c>
      <c r="AA3108">
        <v>0</v>
      </c>
      <c r="AB3108" s="63"/>
      <c r="AC3108" s="63"/>
      <c r="AD3108">
        <v>0</v>
      </c>
      <c r="AE3108" s="63">
        <v>0</v>
      </c>
      <c r="AF3108" s="63">
        <v>0</v>
      </c>
      <c r="AG3108" s="63"/>
      <c r="AH3108" s="63"/>
      <c r="AI3108" s="1"/>
      <c r="AJ3108" s="63"/>
      <c r="AK3108" s="63"/>
      <c r="AL3108">
        <v>0</v>
      </c>
      <c r="AM3108" s="63">
        <v>0</v>
      </c>
      <c r="AN3108" s="63"/>
      <c r="AO3108" s="63"/>
      <c r="AP3108" s="63"/>
      <c r="AQ3108" s="63">
        <v>0</v>
      </c>
      <c r="AR3108" s="63"/>
      <c r="AS3108" s="63"/>
      <c r="AT3108" s="63"/>
      <c r="AU3108" s="63"/>
      <c r="AW3108" s="5">
        <f>IF(Q3108&gt;0,RANK(Q3108,(N3108:P3108,Q3108:AE3108)),0)</f>
        <v>3</v>
      </c>
      <c r="AX3108" s="5">
        <f>IF(R3108&gt;0,RANK(R3108,(N3108:P3108,Q3108:AE3108)),0)</f>
        <v>4</v>
      </c>
      <c r="AY3108" s="5">
        <f>IF(T3108&gt;0,RANK(T3108,(N3108:P3108,Q3108:AE3108)),0)</f>
        <v>0</v>
      </c>
      <c r="AZ3108" s="5">
        <f>IF(S3108&gt;0,RANK(S3108,(N3108:P3108,Q3108:AE3108)),0)</f>
        <v>6</v>
      </c>
      <c r="BA3108" s="2">
        <f t="shared" si="1220"/>
        <v>3.0631188118811881E-2</v>
      </c>
      <c r="BB3108" s="2">
        <f t="shared" si="1221"/>
        <v>1.0210396039603961E-2</v>
      </c>
      <c r="BC3108" s="2">
        <f t="shared" si="1222"/>
        <v>0</v>
      </c>
      <c r="BD3108" s="2">
        <f t="shared" si="1223"/>
        <v>2.4752475247524753E-3</v>
      </c>
      <c r="BF3108" t="s">
        <v>1429</v>
      </c>
      <c r="BG3108" t="s">
        <v>2358</v>
      </c>
      <c r="BH3108">
        <v>1</v>
      </c>
      <c r="BJ3108" s="114">
        <v>54</v>
      </c>
      <c r="BK3108" s="116">
        <v>9</v>
      </c>
      <c r="BL3108" s="120">
        <f t="shared" si="1190"/>
        <v>54009</v>
      </c>
      <c r="BN3108" s="5" t="s">
        <v>3154</v>
      </c>
      <c r="BR3108" s="63"/>
      <c r="BZ3108" s="63">
        <f t="shared" si="1224"/>
        <v>9696</v>
      </c>
      <c r="CA3108" s="63">
        <v>83</v>
      </c>
      <c r="CD3108" s="63">
        <v>0</v>
      </c>
      <c r="CE3108" s="63">
        <v>0</v>
      </c>
      <c r="CF3108" s="63">
        <v>0</v>
      </c>
      <c r="CG3108" s="63">
        <v>0</v>
      </c>
      <c r="CH3108" s="8">
        <v>0</v>
      </c>
      <c r="CI3108" s="8">
        <v>0</v>
      </c>
      <c r="CJ3108" s="8">
        <v>0</v>
      </c>
      <c r="CK3108" s="8">
        <v>0</v>
      </c>
      <c r="CL3108" s="8">
        <v>0</v>
      </c>
      <c r="CP3108" s="8"/>
    </row>
    <row r="3109" spans="1:94" hidden="1" outlineLevel="1">
      <c r="A3109" t="s">
        <v>983</v>
      </c>
      <c r="B3109" t="s">
        <v>2358</v>
      </c>
      <c r="C3109" s="1">
        <f t="shared" si="1215"/>
        <v>33585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7</v>
      </c>
      <c r="G3109" s="132">
        <f t="shared" si="1210"/>
        <v>8403</v>
      </c>
      <c r="H3109" s="137">
        <f t="shared" si="1211"/>
        <v>0.25020098258150958</v>
      </c>
      <c r="I3109" s="2"/>
      <c r="J3109" s="2">
        <f t="shared" si="1216"/>
        <v>0.34083668304302517</v>
      </c>
      <c r="K3109" s="2">
        <f t="shared" si="1217"/>
        <v>0.59103766562453475</v>
      </c>
      <c r="L3109" s="2">
        <f t="shared" si="1218"/>
        <v>1.6971862438588657E-3</v>
      </c>
      <c r="M3109" s="2">
        <f t="shared" si="1219"/>
        <v>6.6428465088581218E-2</v>
      </c>
      <c r="N3109" s="63">
        <v>11447</v>
      </c>
      <c r="O3109" s="63">
        <v>19850</v>
      </c>
      <c r="P3109" s="63">
        <v>57</v>
      </c>
      <c r="Q3109" s="63">
        <v>1209</v>
      </c>
      <c r="R3109" s="63">
        <v>397</v>
      </c>
      <c r="S3109" s="63">
        <v>182</v>
      </c>
      <c r="T3109" s="63">
        <v>0</v>
      </c>
      <c r="U3109" s="63"/>
      <c r="V3109" s="63">
        <v>0</v>
      </c>
      <c r="W3109" s="63">
        <f>IF(Copyright!B$11=1,IF(CA3109&gt;0,CA3109-SUM(T3109:V3109)-P3109-SUM(AJ3109:AQ3109)-SUM(X3109:AH3109),SUM(CD3109:CQ3109)),SUM(CD3109:CQ3109))</f>
        <v>442</v>
      </c>
      <c r="X3109" s="63"/>
      <c r="Y3109" s="63">
        <v>0</v>
      </c>
      <c r="Z3109" s="63">
        <v>0</v>
      </c>
      <c r="AA3109">
        <v>0</v>
      </c>
      <c r="AB3109" s="63"/>
      <c r="AC3109" s="63"/>
      <c r="AD3109">
        <v>0</v>
      </c>
      <c r="AE3109" s="63">
        <v>0</v>
      </c>
      <c r="AF3109" s="63">
        <v>1</v>
      </c>
      <c r="AG3109" s="63"/>
      <c r="AH3109" s="63"/>
      <c r="AI3109" s="1"/>
      <c r="AJ3109" s="63"/>
      <c r="AK3109" s="63"/>
      <c r="AL3109">
        <v>0</v>
      </c>
      <c r="AM3109" s="63">
        <v>0</v>
      </c>
      <c r="AN3109" s="63"/>
      <c r="AO3109" s="63"/>
      <c r="AP3109" s="63"/>
      <c r="AQ3109" s="63">
        <v>0</v>
      </c>
      <c r="AR3109" s="63"/>
      <c r="AS3109" s="63"/>
      <c r="AT3109" s="63"/>
      <c r="AU3109" s="63"/>
      <c r="AW3109" s="5">
        <f>IF(Q3109&gt;0,RANK(Q3109,(N3109:P3109,Q3109:AE3109)),0)</f>
        <v>3</v>
      </c>
      <c r="AX3109" s="5">
        <f>IF(R3109&gt;0,RANK(R3109,(N3109:P3109,Q3109:AE3109)),0)</f>
        <v>5</v>
      </c>
      <c r="AY3109" s="5">
        <f>IF(T3109&gt;0,RANK(T3109,(N3109:P3109,Q3109:AE3109)),0)</f>
        <v>0</v>
      </c>
      <c r="AZ3109" s="5">
        <f>IF(S3109&gt;0,RANK(S3109,(N3109:P3109,Q3109:AE3109)),0)</f>
        <v>6</v>
      </c>
      <c r="BA3109" s="2">
        <f t="shared" si="1220"/>
        <v>3.5998213488164357E-2</v>
      </c>
      <c r="BB3109" s="2">
        <f t="shared" si="1221"/>
        <v>1.1820753312490695E-2</v>
      </c>
      <c r="BC3109" s="2">
        <f t="shared" si="1222"/>
        <v>0</v>
      </c>
      <c r="BD3109" s="2">
        <f t="shared" si="1223"/>
        <v>5.419085901444097E-3</v>
      </c>
      <c r="BF3109" t="s">
        <v>983</v>
      </c>
      <c r="BG3109" t="s">
        <v>2358</v>
      </c>
      <c r="BH3109">
        <v>3</v>
      </c>
      <c r="BJ3109" s="114">
        <v>54</v>
      </c>
      <c r="BK3109" s="116">
        <v>11</v>
      </c>
      <c r="BL3109" s="120">
        <f t="shared" si="1190"/>
        <v>54011</v>
      </c>
      <c r="BN3109" s="5" t="s">
        <v>3154</v>
      </c>
      <c r="BZ3109" s="63">
        <f t="shared" si="1224"/>
        <v>33585</v>
      </c>
      <c r="CA3109" s="63">
        <v>500</v>
      </c>
      <c r="CD3109" s="63">
        <v>0</v>
      </c>
      <c r="CE3109" s="63">
        <v>0</v>
      </c>
      <c r="CF3109" s="63">
        <v>0</v>
      </c>
      <c r="CG3109" s="63">
        <v>0</v>
      </c>
      <c r="CH3109" s="8">
        <v>0</v>
      </c>
      <c r="CI3109" s="8">
        <v>0</v>
      </c>
      <c r="CJ3109" s="8">
        <v>0</v>
      </c>
      <c r="CK3109" s="8">
        <v>0</v>
      </c>
      <c r="CL3109" s="8">
        <v>0</v>
      </c>
      <c r="CP3109" s="8"/>
    </row>
    <row r="3110" spans="1:94" hidden="1" outlineLevel="1">
      <c r="A3110" t="s">
        <v>1197</v>
      </c>
      <c r="B3110" t="s">
        <v>2358</v>
      </c>
      <c r="C3110" s="1">
        <f t="shared" si="1215"/>
        <v>2638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7</v>
      </c>
      <c r="G3110" s="132">
        <f t="shared" si="1210"/>
        <v>1579</v>
      </c>
      <c r="H3110" s="137">
        <f t="shared" si="1211"/>
        <v>0.59855951478392722</v>
      </c>
      <c r="I3110" s="2"/>
      <c r="J3110" s="2">
        <f t="shared" si="1216"/>
        <v>0.1728582259287339</v>
      </c>
      <c r="K3110" s="2">
        <f t="shared" si="1217"/>
        <v>0.77141774071266112</v>
      </c>
      <c r="L3110" s="2">
        <f t="shared" si="1218"/>
        <v>1.1372251705837756E-3</v>
      </c>
      <c r="M3110" s="2">
        <f t="shared" si="1219"/>
        <v>5.458680818802121E-2</v>
      </c>
      <c r="N3110" s="63">
        <v>456</v>
      </c>
      <c r="O3110" s="63">
        <v>2035</v>
      </c>
      <c r="P3110" s="63">
        <v>3</v>
      </c>
      <c r="Q3110" s="63">
        <v>63</v>
      </c>
      <c r="R3110" s="63">
        <v>45</v>
      </c>
      <c r="S3110" s="63">
        <v>18</v>
      </c>
      <c r="T3110" s="63">
        <v>0</v>
      </c>
      <c r="U3110" s="63"/>
      <c r="V3110" s="63">
        <v>0</v>
      </c>
      <c r="W3110" s="63">
        <f>IF(Copyright!B$11=1,IF(CA3110&gt;0,CA3110-SUM(T3110:V3110)-P3110-SUM(AJ3110:AQ3110)-SUM(X3110:AH3110),SUM(CD3110:CQ3110)),SUM(CD3110:CQ3110))</f>
        <v>18</v>
      </c>
      <c r="X3110" s="63"/>
      <c r="Y3110" s="63">
        <v>0</v>
      </c>
      <c r="Z3110" s="63">
        <v>0</v>
      </c>
      <c r="AA3110">
        <v>0</v>
      </c>
      <c r="AB3110" s="63"/>
      <c r="AC3110" s="63"/>
      <c r="AD3110">
        <v>0</v>
      </c>
      <c r="AE3110" s="63">
        <v>0</v>
      </c>
      <c r="AF3110" s="63">
        <v>0</v>
      </c>
      <c r="AG3110" s="63"/>
      <c r="AH3110" s="63"/>
      <c r="AI3110" s="1"/>
      <c r="AJ3110" s="63"/>
      <c r="AK3110" s="63"/>
      <c r="AL3110">
        <v>0</v>
      </c>
      <c r="AM3110" s="63">
        <v>0</v>
      </c>
      <c r="AN3110" s="63"/>
      <c r="AO3110" s="63"/>
      <c r="AP3110" s="63"/>
      <c r="AQ3110" s="63">
        <v>0</v>
      </c>
      <c r="AR3110" s="63"/>
      <c r="AS3110" s="63"/>
      <c r="AT3110" s="63"/>
      <c r="AU3110" s="63"/>
      <c r="AW3110" s="5">
        <f>IF(Q3110&gt;0,RANK(Q3110,(N3110:P3110,Q3110:AE3110)),0)</f>
        <v>3</v>
      </c>
      <c r="AX3110" s="5">
        <f>IF(R3110&gt;0,RANK(R3110,(N3110:P3110,Q3110:AE3110)),0)</f>
        <v>4</v>
      </c>
      <c r="AY3110" s="5">
        <f>IF(T3110&gt;0,RANK(T3110,(N3110:P3110,Q3110:AE3110)),0)</f>
        <v>0</v>
      </c>
      <c r="AZ3110" s="5">
        <f>IF(S3110&gt;0,RANK(S3110,(N3110:P3110,Q3110:AE3110)),0)</f>
        <v>5</v>
      </c>
      <c r="BA3110" s="2">
        <f t="shared" si="1220"/>
        <v>2.3881728582259287E-2</v>
      </c>
      <c r="BB3110" s="2">
        <f t="shared" si="1221"/>
        <v>1.7058377558756634E-2</v>
      </c>
      <c r="BC3110" s="2">
        <f t="shared" si="1222"/>
        <v>0</v>
      </c>
      <c r="BD3110" s="2">
        <f t="shared" si="1223"/>
        <v>6.8233510235026539E-3</v>
      </c>
      <c r="BF3110" t="s">
        <v>1197</v>
      </c>
      <c r="BG3110" t="s">
        <v>2358</v>
      </c>
      <c r="BH3110">
        <v>2</v>
      </c>
      <c r="BJ3110" s="114">
        <v>54</v>
      </c>
      <c r="BK3110" s="116">
        <v>13</v>
      </c>
      <c r="BL3110" s="120">
        <f t="shared" si="1190"/>
        <v>54013</v>
      </c>
      <c r="BN3110" s="5" t="s">
        <v>3154</v>
      </c>
      <c r="BZ3110" s="63">
        <f t="shared" si="1224"/>
        <v>2638</v>
      </c>
      <c r="CA3110" s="63">
        <v>21</v>
      </c>
      <c r="CD3110" s="63">
        <v>0</v>
      </c>
      <c r="CE3110" s="63">
        <v>0</v>
      </c>
      <c r="CF3110" s="63">
        <v>0</v>
      </c>
      <c r="CG3110" s="63">
        <v>0</v>
      </c>
      <c r="CH3110" s="8">
        <v>0</v>
      </c>
      <c r="CI3110" s="8">
        <v>0</v>
      </c>
      <c r="CJ3110" s="8">
        <v>0</v>
      </c>
      <c r="CK3110" s="8">
        <v>0</v>
      </c>
      <c r="CL3110" s="8">
        <v>0</v>
      </c>
      <c r="CP3110" s="8"/>
    </row>
    <row r="3111" spans="1:94" hidden="1" outlineLevel="1">
      <c r="A3111" t="s">
        <v>3093</v>
      </c>
      <c r="B3111" t="s">
        <v>2358</v>
      </c>
      <c r="C3111" s="1">
        <f t="shared" si="1215"/>
        <v>2995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32">
        <f t="shared" si="1210"/>
        <v>1732</v>
      </c>
      <c r="H3111" s="137">
        <f t="shared" si="1211"/>
        <v>0.57829716193656089</v>
      </c>
      <c r="I3111" s="2"/>
      <c r="J3111" s="2">
        <f t="shared" si="1216"/>
        <v>0.18964941569282137</v>
      </c>
      <c r="K3111" s="2">
        <f t="shared" si="1217"/>
        <v>0.76794657762938234</v>
      </c>
      <c r="L3111" s="2">
        <f t="shared" si="1218"/>
        <v>0</v>
      </c>
      <c r="M3111" s="2">
        <f t="shared" si="1219"/>
        <v>4.2404006677796313E-2</v>
      </c>
      <c r="N3111" s="63">
        <v>568</v>
      </c>
      <c r="O3111" s="63">
        <v>2300</v>
      </c>
      <c r="P3111" s="63">
        <v>0</v>
      </c>
      <c r="Q3111" s="63">
        <v>60</v>
      </c>
      <c r="R3111" s="63">
        <v>25</v>
      </c>
      <c r="S3111" s="63">
        <v>19</v>
      </c>
      <c r="T3111" s="63">
        <v>0</v>
      </c>
      <c r="U3111" s="63"/>
      <c r="V3111" s="63">
        <v>0</v>
      </c>
      <c r="W3111" s="63">
        <f>IF(Copyright!B$11=1,IF(CA3111&gt;0,CA3111-SUM(T3111:V3111)-P3111-SUM(AJ3111:AQ3111)-SUM(X3111:AH3111),SUM(CD3111:CQ3111)),SUM(CD3111:CQ3111))</f>
        <v>23</v>
      </c>
      <c r="X3111" s="63"/>
      <c r="Y3111" s="63">
        <v>0</v>
      </c>
      <c r="Z3111" s="63">
        <v>0</v>
      </c>
      <c r="AA3111">
        <v>0</v>
      </c>
      <c r="AB3111" s="63"/>
      <c r="AC3111" s="63"/>
      <c r="AD3111">
        <v>0</v>
      </c>
      <c r="AE3111" s="63">
        <v>0</v>
      </c>
      <c r="AF3111" s="63">
        <v>0</v>
      </c>
      <c r="AG3111" s="63"/>
      <c r="AH3111" s="63"/>
      <c r="AI3111" s="1"/>
      <c r="AJ3111" s="63"/>
      <c r="AK3111" s="63"/>
      <c r="AL3111">
        <v>0</v>
      </c>
      <c r="AM3111" s="63">
        <v>0</v>
      </c>
      <c r="AN3111" s="63"/>
      <c r="AO3111" s="63"/>
      <c r="AP3111" s="63"/>
      <c r="AQ3111" s="63">
        <v>0</v>
      </c>
      <c r="AR3111" s="63"/>
      <c r="AS3111" s="63"/>
      <c r="AT3111" s="63"/>
      <c r="AU3111" s="63"/>
      <c r="AW3111" s="5">
        <f>IF(Q3111&gt;0,RANK(Q3111,(N3111:P3111,Q3111:AE3111)),0)</f>
        <v>3</v>
      </c>
      <c r="AX3111" s="5">
        <f>IF(R3111&gt;0,RANK(R3111,(N3111:P3111,Q3111:AE3111)),0)</f>
        <v>4</v>
      </c>
      <c r="AY3111" s="5">
        <f>IF(T3111&gt;0,RANK(T3111,(N3111:P3111,Q3111:AE3111)),0)</f>
        <v>0</v>
      </c>
      <c r="AZ3111" s="5">
        <f>IF(S3111&gt;0,RANK(S3111,(N3111:P3111,Q3111:AE3111)),0)</f>
        <v>6</v>
      </c>
      <c r="BA3111" s="2">
        <f t="shared" si="1220"/>
        <v>2.003338898163606E-2</v>
      </c>
      <c r="BB3111" s="2">
        <f t="shared" si="1221"/>
        <v>8.3472454090150246E-3</v>
      </c>
      <c r="BC3111" s="2">
        <f t="shared" si="1222"/>
        <v>0</v>
      </c>
      <c r="BD3111" s="2">
        <f t="shared" si="1223"/>
        <v>6.3439065108514192E-3</v>
      </c>
      <c r="BF3111" t="s">
        <v>3093</v>
      </c>
      <c r="BG3111" t="s">
        <v>2358</v>
      </c>
      <c r="BH3111">
        <v>2</v>
      </c>
      <c r="BJ3111" s="114">
        <v>54</v>
      </c>
      <c r="BK3111" s="116">
        <v>15</v>
      </c>
      <c r="BL3111" s="120">
        <f t="shared" si="1190"/>
        <v>54015</v>
      </c>
      <c r="BN3111" s="5" t="s">
        <v>3154</v>
      </c>
      <c r="BZ3111" s="63">
        <f t="shared" si="1224"/>
        <v>2995</v>
      </c>
      <c r="CA3111" s="63">
        <v>23</v>
      </c>
      <c r="CD3111" s="63">
        <v>1</v>
      </c>
      <c r="CE3111" s="63">
        <v>0</v>
      </c>
      <c r="CF3111" s="63">
        <v>0</v>
      </c>
      <c r="CG3111" s="63">
        <v>0</v>
      </c>
      <c r="CH3111" s="8">
        <v>0</v>
      </c>
      <c r="CI3111" s="8">
        <v>0</v>
      </c>
      <c r="CJ3111" s="8">
        <v>0</v>
      </c>
      <c r="CK3111" s="8">
        <v>0</v>
      </c>
      <c r="CL3111" s="8">
        <v>0</v>
      </c>
      <c r="CP3111" s="8"/>
    </row>
    <row r="3112" spans="1:94" hidden="1" outlineLevel="1">
      <c r="A3112" t="s">
        <v>1256</v>
      </c>
      <c r="B3112" t="s">
        <v>2358</v>
      </c>
      <c r="C3112" s="1">
        <f t="shared" si="1215"/>
        <v>2863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7</v>
      </c>
      <c r="G3112" s="132">
        <f t="shared" si="1210"/>
        <v>1996</v>
      </c>
      <c r="H3112" s="137">
        <f t="shared" si="1211"/>
        <v>0.69717079986028641</v>
      </c>
      <c r="I3112" s="2"/>
      <c r="J3112" s="2">
        <f t="shared" si="1216"/>
        <v>0.12644079636744673</v>
      </c>
      <c r="K3112" s="2">
        <f t="shared" si="1217"/>
        <v>0.82361159622773317</v>
      </c>
      <c r="L3112" s="2">
        <f t="shared" si="1218"/>
        <v>6.9856793573174988E-4</v>
      </c>
      <c r="M3112" s="2">
        <f t="shared" si="1219"/>
        <v>4.9249039469088318E-2</v>
      </c>
      <c r="N3112" s="63">
        <v>362</v>
      </c>
      <c r="O3112" s="63">
        <v>2358</v>
      </c>
      <c r="P3112" s="63">
        <v>2</v>
      </c>
      <c r="Q3112" s="63">
        <v>65</v>
      </c>
      <c r="R3112" s="63">
        <v>37</v>
      </c>
      <c r="S3112" s="63">
        <v>18</v>
      </c>
      <c r="T3112" s="63">
        <v>0</v>
      </c>
      <c r="U3112" s="63"/>
      <c r="V3112" s="63">
        <v>0</v>
      </c>
      <c r="W3112" s="63">
        <f>IF(Copyright!B$11=1,IF(CA3112&gt;0,CA3112-SUM(T3112:V3112)-P3112-SUM(AJ3112:AQ3112)-SUM(X3112:AH3112),SUM(CD3112:CQ3112)),SUM(CD3112:CQ3112))</f>
        <v>21</v>
      </c>
      <c r="X3112" s="63"/>
      <c r="Y3112" s="63">
        <v>0</v>
      </c>
      <c r="Z3112" s="63">
        <v>0</v>
      </c>
      <c r="AA3112">
        <v>0</v>
      </c>
      <c r="AB3112" s="63"/>
      <c r="AC3112" s="63"/>
      <c r="AD3112">
        <v>0</v>
      </c>
      <c r="AE3112" s="63">
        <v>0</v>
      </c>
      <c r="AF3112" s="63">
        <v>0</v>
      </c>
      <c r="AG3112" s="63"/>
      <c r="AH3112" s="63"/>
      <c r="AI3112" s="1"/>
      <c r="AJ3112" s="63"/>
      <c r="AK3112" s="63"/>
      <c r="AL3112">
        <v>0</v>
      </c>
      <c r="AM3112" s="63">
        <v>0</v>
      </c>
      <c r="AN3112" s="63"/>
      <c r="AO3112" s="63"/>
      <c r="AP3112" s="63"/>
      <c r="AQ3112" s="63">
        <v>0</v>
      </c>
      <c r="AR3112" s="63"/>
      <c r="AS3112" s="63"/>
      <c r="AT3112" s="63"/>
      <c r="AU3112" s="63"/>
      <c r="AW3112" s="5">
        <f>IF(Q3112&gt;0,RANK(Q3112,(N3112:P3112,Q3112:AE3112)),0)</f>
        <v>3</v>
      </c>
      <c r="AX3112" s="5">
        <f>IF(R3112&gt;0,RANK(R3112,(N3112:P3112,Q3112:AE3112)),0)</f>
        <v>4</v>
      </c>
      <c r="AY3112" s="5">
        <f>IF(T3112&gt;0,RANK(T3112,(N3112:P3112,Q3112:AE3112)),0)</f>
        <v>0</v>
      </c>
      <c r="AZ3112" s="5">
        <f>IF(S3112&gt;0,RANK(S3112,(N3112:P3112,Q3112:AE3112)),0)</f>
        <v>6</v>
      </c>
      <c r="BA3112" s="2">
        <f t="shared" si="1220"/>
        <v>2.2703457911281873E-2</v>
      </c>
      <c r="BB3112" s="2">
        <f t="shared" si="1221"/>
        <v>1.2923506811037374E-2</v>
      </c>
      <c r="BC3112" s="2">
        <f t="shared" si="1222"/>
        <v>0</v>
      </c>
      <c r="BD3112" s="2">
        <f t="shared" si="1223"/>
        <v>6.2871114215857496E-3</v>
      </c>
      <c r="BF3112" t="s">
        <v>1256</v>
      </c>
      <c r="BG3112" t="s">
        <v>2358</v>
      </c>
      <c r="BH3112">
        <v>1</v>
      </c>
      <c r="BJ3112" s="114">
        <v>54</v>
      </c>
      <c r="BK3112" s="116">
        <v>17</v>
      </c>
      <c r="BL3112" s="120">
        <f t="shared" si="1190"/>
        <v>54017</v>
      </c>
      <c r="BN3112" s="5" t="s">
        <v>3154</v>
      </c>
      <c r="BZ3112" s="63">
        <f t="shared" si="1224"/>
        <v>2863</v>
      </c>
      <c r="CA3112" s="63">
        <v>23</v>
      </c>
      <c r="CD3112" s="63">
        <v>0</v>
      </c>
      <c r="CE3112" s="63">
        <v>0</v>
      </c>
      <c r="CF3112" s="63">
        <v>0</v>
      </c>
      <c r="CG3112" s="63">
        <v>0</v>
      </c>
      <c r="CH3112" s="8">
        <v>0</v>
      </c>
      <c r="CI3112" s="8">
        <v>0</v>
      </c>
      <c r="CJ3112" s="8">
        <v>0</v>
      </c>
      <c r="CK3112" s="8">
        <v>0</v>
      </c>
      <c r="CL3112" s="8">
        <v>0</v>
      </c>
      <c r="CP3112" s="8"/>
    </row>
    <row r="3113" spans="1:94" hidden="1" outlineLevel="1">
      <c r="A3113" t="s">
        <v>1416</v>
      </c>
      <c r="B3113" t="s">
        <v>2358</v>
      </c>
      <c r="C3113" s="1">
        <f t="shared" si="1215"/>
        <v>15478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7</v>
      </c>
      <c r="G3113" s="132">
        <f t="shared" si="1210"/>
        <v>6067</v>
      </c>
      <c r="H3113" s="137">
        <f t="shared" si="1211"/>
        <v>0.39197570745574362</v>
      </c>
      <c r="I3113" s="2"/>
      <c r="J3113" s="2">
        <f t="shared" si="1216"/>
        <v>0.27716759271223673</v>
      </c>
      <c r="K3113" s="2">
        <f t="shared" si="1217"/>
        <v>0.6691433001679804</v>
      </c>
      <c r="L3113" s="2">
        <f t="shared" si="1218"/>
        <v>8.3990179609768701E-4</v>
      </c>
      <c r="M3113" s="2">
        <f t="shared" si="1219"/>
        <v>5.2849205323685124E-2</v>
      </c>
      <c r="N3113" s="63">
        <v>4290</v>
      </c>
      <c r="O3113" s="63">
        <v>10357</v>
      </c>
      <c r="P3113" s="63">
        <v>13</v>
      </c>
      <c r="Q3113" s="63">
        <v>443</v>
      </c>
      <c r="R3113" s="63">
        <v>180</v>
      </c>
      <c r="S3113" s="63">
        <v>67</v>
      </c>
      <c r="T3113" s="63">
        <v>0</v>
      </c>
      <c r="U3113" s="63"/>
      <c r="V3113" s="63">
        <v>0</v>
      </c>
      <c r="W3113" s="63">
        <f>IF(Copyright!B$11=1,IF(CA3113&gt;0,CA3113-SUM(T3113:V3113)-P3113-SUM(AJ3113:AQ3113)-SUM(X3113:AH3113),SUM(CD3113:CQ3113)),SUM(CD3113:CQ3113))</f>
        <v>128</v>
      </c>
      <c r="X3113" s="63"/>
      <c r="Y3113" s="63">
        <v>0</v>
      </c>
      <c r="Z3113" s="63">
        <v>0</v>
      </c>
      <c r="AA3113">
        <v>0</v>
      </c>
      <c r="AB3113" s="63"/>
      <c r="AC3113" s="63"/>
      <c r="AD3113">
        <v>0</v>
      </c>
      <c r="AE3113" s="63">
        <v>0</v>
      </c>
      <c r="AF3113" s="63">
        <v>0</v>
      </c>
      <c r="AG3113" s="63"/>
      <c r="AH3113" s="63"/>
      <c r="AI3113" s="1"/>
      <c r="AJ3113" s="63"/>
      <c r="AK3113" s="63"/>
      <c r="AL3113">
        <v>0</v>
      </c>
      <c r="AM3113" s="63">
        <v>0</v>
      </c>
      <c r="AN3113" s="63"/>
      <c r="AO3113" s="63"/>
      <c r="AP3113" s="63"/>
      <c r="AQ3113" s="63">
        <v>0</v>
      </c>
      <c r="AR3113" s="63"/>
      <c r="AS3113" s="63"/>
      <c r="AT3113" s="63"/>
      <c r="AU3113" s="63"/>
      <c r="AW3113" s="5">
        <f>IF(Q3113&gt;0,RANK(Q3113,(N3113:P3113,Q3113:AE3113)),0)</f>
        <v>3</v>
      </c>
      <c r="AX3113" s="5">
        <f>IF(R3113&gt;0,RANK(R3113,(N3113:P3113,Q3113:AE3113)),0)</f>
        <v>4</v>
      </c>
      <c r="AY3113" s="5">
        <f>IF(T3113&gt;0,RANK(T3113,(N3113:P3113,Q3113:AE3113)),0)</f>
        <v>0</v>
      </c>
      <c r="AZ3113" s="5">
        <f>IF(S3113&gt;0,RANK(S3113,(N3113:P3113,Q3113:AE3113)),0)</f>
        <v>6</v>
      </c>
      <c r="BA3113" s="2">
        <f t="shared" si="1220"/>
        <v>2.8621268897790413E-2</v>
      </c>
      <c r="BB3113" s="2">
        <f t="shared" si="1221"/>
        <v>1.1629409484429512E-2</v>
      </c>
      <c r="BC3113" s="2">
        <f t="shared" si="1222"/>
        <v>0</v>
      </c>
      <c r="BD3113" s="2">
        <f t="shared" si="1223"/>
        <v>4.3287246414265412E-3</v>
      </c>
      <c r="BF3113" t="s">
        <v>1416</v>
      </c>
      <c r="BG3113" t="s">
        <v>2358</v>
      </c>
      <c r="BH3113">
        <v>3</v>
      </c>
      <c r="BJ3113" s="114">
        <v>54</v>
      </c>
      <c r="BK3113" s="116">
        <v>19</v>
      </c>
      <c r="BL3113" s="120">
        <f t="shared" ref="BL3113:BL3176" si="1225">1000*BJ3113+BK3113</f>
        <v>54019</v>
      </c>
      <c r="BN3113" s="5" t="s">
        <v>3154</v>
      </c>
      <c r="BZ3113" s="63">
        <f t="shared" si="1224"/>
        <v>15478</v>
      </c>
      <c r="CA3113" s="63">
        <v>141</v>
      </c>
      <c r="CD3113" s="63">
        <v>0</v>
      </c>
      <c r="CE3113" s="63">
        <v>0</v>
      </c>
      <c r="CF3113" s="63">
        <v>0</v>
      </c>
      <c r="CG3113" s="63">
        <v>0</v>
      </c>
      <c r="CH3113" s="8">
        <v>0</v>
      </c>
      <c r="CI3113" s="8">
        <v>0</v>
      </c>
      <c r="CJ3113" s="8">
        <v>0</v>
      </c>
      <c r="CK3113" s="8">
        <v>0</v>
      </c>
      <c r="CL3113" s="8">
        <v>0</v>
      </c>
      <c r="CP3113" s="8"/>
    </row>
    <row r="3114" spans="1:94" hidden="1" outlineLevel="1">
      <c r="A3114" t="s">
        <v>2743</v>
      </c>
      <c r="B3114" t="s">
        <v>2358</v>
      </c>
      <c r="C3114" s="1">
        <f t="shared" si="1215"/>
        <v>2579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32">
        <f t="shared" si="1210"/>
        <v>1351</v>
      </c>
      <c r="H3114" s="137">
        <f t="shared" si="1211"/>
        <v>0.52384645211322223</v>
      </c>
      <c r="I3114" s="2"/>
      <c r="J3114" s="2">
        <f t="shared" si="1216"/>
        <v>0.21132221791392011</v>
      </c>
      <c r="K3114" s="2">
        <f t="shared" si="1217"/>
        <v>0.73516867002714226</v>
      </c>
      <c r="L3114" s="2">
        <f t="shared" si="1218"/>
        <v>0</v>
      </c>
      <c r="M3114" s="2">
        <f t="shared" si="1219"/>
        <v>5.3509112058937602E-2</v>
      </c>
      <c r="N3114" s="63">
        <v>545</v>
      </c>
      <c r="O3114" s="63">
        <v>1896</v>
      </c>
      <c r="P3114" s="63">
        <v>0</v>
      </c>
      <c r="Q3114" s="63">
        <v>68</v>
      </c>
      <c r="R3114" s="63">
        <v>24</v>
      </c>
      <c r="S3114" s="63">
        <v>10</v>
      </c>
      <c r="T3114" s="63">
        <v>0</v>
      </c>
      <c r="U3114" s="63"/>
      <c r="V3114" s="63">
        <v>0</v>
      </c>
      <c r="W3114" s="63">
        <f>IF(Copyright!B$11=1,IF(CA3114&gt;0,CA3114-SUM(T3114:V3114)-P3114-SUM(AJ3114:AQ3114)-SUM(X3114:AH3114),SUM(CD3114:CQ3114)),SUM(CD3114:CQ3114))</f>
        <v>36</v>
      </c>
      <c r="X3114" s="63"/>
      <c r="Y3114" s="63">
        <v>0</v>
      </c>
      <c r="Z3114" s="63">
        <v>0</v>
      </c>
      <c r="AA3114">
        <v>0</v>
      </c>
      <c r="AB3114" s="63"/>
      <c r="AC3114" s="63"/>
      <c r="AD3114">
        <v>0</v>
      </c>
      <c r="AE3114" s="63">
        <v>0</v>
      </c>
      <c r="AF3114" s="63">
        <v>0</v>
      </c>
      <c r="AG3114" s="63"/>
      <c r="AH3114" s="63"/>
      <c r="AI3114" s="1"/>
      <c r="AJ3114" s="63"/>
      <c r="AK3114" s="63"/>
      <c r="AL3114">
        <v>0</v>
      </c>
      <c r="AM3114" s="63">
        <v>0</v>
      </c>
      <c r="AN3114" s="63"/>
      <c r="AO3114" s="63"/>
      <c r="AP3114" s="63"/>
      <c r="AQ3114" s="63">
        <v>0</v>
      </c>
      <c r="AR3114" s="63"/>
      <c r="AS3114" s="63"/>
      <c r="AT3114" s="63"/>
      <c r="AU3114" s="63"/>
      <c r="AW3114" s="5">
        <f>IF(Q3114&gt;0,RANK(Q3114,(N3114:P3114,Q3114:AE3114)),0)</f>
        <v>3</v>
      </c>
      <c r="AX3114" s="5">
        <f>IF(R3114&gt;0,RANK(R3114,(N3114:P3114,Q3114:AE3114)),0)</f>
        <v>5</v>
      </c>
      <c r="AY3114" s="5">
        <f>IF(T3114&gt;0,RANK(T3114,(N3114:P3114,Q3114:AE3114)),0)</f>
        <v>0</v>
      </c>
      <c r="AZ3114" s="5">
        <f>IF(S3114&gt;0,RANK(S3114,(N3114:P3114,Q3114:AE3114)),0)</f>
        <v>6</v>
      </c>
      <c r="BA3114" s="2">
        <f t="shared" si="1220"/>
        <v>2.6366808840635907E-2</v>
      </c>
      <c r="BB3114" s="2">
        <f t="shared" si="1221"/>
        <v>9.3059325319891431E-3</v>
      </c>
      <c r="BC3114" s="2">
        <f t="shared" si="1222"/>
        <v>0</v>
      </c>
      <c r="BD3114" s="2">
        <f t="shared" si="1223"/>
        <v>3.8774718883288098E-3</v>
      </c>
      <c r="BF3114" t="s">
        <v>2743</v>
      </c>
      <c r="BG3114" t="s">
        <v>2358</v>
      </c>
      <c r="BH3114">
        <v>1</v>
      </c>
      <c r="BJ3114" s="114">
        <v>54</v>
      </c>
      <c r="BK3114" s="116">
        <v>21</v>
      </c>
      <c r="BL3114" s="120">
        <f t="shared" si="1225"/>
        <v>54021</v>
      </c>
      <c r="BN3114" s="5" t="s">
        <v>3154</v>
      </c>
      <c r="BZ3114" s="63">
        <f t="shared" si="1224"/>
        <v>2579</v>
      </c>
      <c r="CA3114" s="63">
        <v>36</v>
      </c>
      <c r="CD3114" s="63">
        <v>0</v>
      </c>
      <c r="CE3114" s="63">
        <v>0</v>
      </c>
      <c r="CF3114" s="63">
        <v>0</v>
      </c>
      <c r="CG3114" s="63">
        <v>0</v>
      </c>
      <c r="CH3114" s="8">
        <v>0</v>
      </c>
      <c r="CI3114" s="8">
        <v>0</v>
      </c>
      <c r="CJ3114" s="8">
        <v>0</v>
      </c>
      <c r="CK3114" s="8">
        <v>0</v>
      </c>
      <c r="CL3114" s="8">
        <v>0</v>
      </c>
      <c r="CP3114" s="8"/>
    </row>
    <row r="3115" spans="1:94" hidden="1" outlineLevel="1">
      <c r="A3115" t="s">
        <v>1417</v>
      </c>
      <c r="B3115" t="s">
        <v>2358</v>
      </c>
      <c r="C3115" s="1">
        <f t="shared" si="1215"/>
        <v>4965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6</v>
      </c>
      <c r="G3115" s="132">
        <f t="shared" si="1210"/>
        <v>3834</v>
      </c>
      <c r="H3115" s="137">
        <f t="shared" si="1211"/>
        <v>0.77220543806646524</v>
      </c>
      <c r="I3115" s="2"/>
      <c r="J3115" s="2">
        <f t="shared" si="1216"/>
        <v>0.10312185297079557</v>
      </c>
      <c r="K3115" s="2">
        <f t="shared" si="1217"/>
        <v>0.87532729103726081</v>
      </c>
      <c r="L3115" s="2">
        <f t="shared" si="1218"/>
        <v>1.4098690835850957E-3</v>
      </c>
      <c r="M3115" s="2">
        <f t="shared" si="1219"/>
        <v>2.0140986908358523E-2</v>
      </c>
      <c r="N3115" s="63">
        <v>512</v>
      </c>
      <c r="O3115" s="63">
        <v>4346</v>
      </c>
      <c r="P3115" s="63">
        <v>7</v>
      </c>
      <c r="Q3115" s="63">
        <v>65</v>
      </c>
      <c r="R3115" s="63">
        <v>21</v>
      </c>
      <c r="S3115" s="63">
        <v>12</v>
      </c>
      <c r="T3115" s="63">
        <v>0</v>
      </c>
      <c r="U3115" s="63"/>
      <c r="V3115" s="63">
        <v>0</v>
      </c>
      <c r="W3115" s="63">
        <f>IF(Copyright!B$11=1,IF(CA3115&gt;0,CA3115-SUM(T3115:V3115)-P3115-SUM(AJ3115:AQ3115)-SUM(X3115:AH3115),SUM(CD3115:CQ3115)),SUM(CD3115:CQ3115))</f>
        <v>2</v>
      </c>
      <c r="X3115" s="63"/>
      <c r="Y3115" s="63">
        <v>0</v>
      </c>
      <c r="Z3115" s="63">
        <v>0</v>
      </c>
      <c r="AA3115">
        <v>0</v>
      </c>
      <c r="AB3115" s="63"/>
      <c r="AC3115" s="63"/>
      <c r="AD3115">
        <v>0</v>
      </c>
      <c r="AE3115" s="63">
        <v>0</v>
      </c>
      <c r="AF3115" s="63">
        <v>0</v>
      </c>
      <c r="AG3115" s="63"/>
      <c r="AH3115" s="63"/>
      <c r="AI3115" s="1"/>
      <c r="AJ3115" s="63"/>
      <c r="AK3115" s="63"/>
      <c r="AL3115">
        <v>0</v>
      </c>
      <c r="AM3115" s="63">
        <v>0</v>
      </c>
      <c r="AN3115" s="63"/>
      <c r="AO3115" s="63"/>
      <c r="AP3115" s="63"/>
      <c r="AQ3115" s="63">
        <v>0</v>
      </c>
      <c r="AR3115" s="63"/>
      <c r="AS3115" s="63"/>
      <c r="AT3115" s="63"/>
      <c r="AU3115" s="63"/>
      <c r="AW3115" s="5">
        <f>IF(Q3115&gt;0,RANK(Q3115,(N3115:P3115,Q3115:AE3115)),0)</f>
        <v>3</v>
      </c>
      <c r="AX3115" s="5">
        <f>IF(R3115&gt;0,RANK(R3115,(N3115:P3115,Q3115:AE3115)),0)</f>
        <v>4</v>
      </c>
      <c r="AY3115" s="5">
        <f>IF(T3115&gt;0,RANK(T3115,(N3115:P3115,Q3115:AE3115)),0)</f>
        <v>0</v>
      </c>
      <c r="AZ3115" s="5">
        <f>IF(S3115&gt;0,RANK(S3115,(N3115:P3115,Q3115:AE3115)),0)</f>
        <v>5</v>
      </c>
      <c r="BA3115" s="2">
        <f t="shared" si="1220"/>
        <v>1.3091641490433032E-2</v>
      </c>
      <c r="BB3115" s="2">
        <f t="shared" si="1221"/>
        <v>4.229607250755287E-3</v>
      </c>
      <c r="BC3115" s="2">
        <f t="shared" si="1222"/>
        <v>0</v>
      </c>
      <c r="BD3115" s="2">
        <f t="shared" si="1223"/>
        <v>2.4169184290030211E-3</v>
      </c>
      <c r="BF3115" t="s">
        <v>1417</v>
      </c>
      <c r="BG3115" t="s">
        <v>2358</v>
      </c>
      <c r="BH3115">
        <v>1</v>
      </c>
      <c r="BJ3115" s="114">
        <v>54</v>
      </c>
      <c r="BK3115" s="116">
        <v>23</v>
      </c>
      <c r="BL3115" s="120">
        <f t="shared" si="1225"/>
        <v>54023</v>
      </c>
      <c r="BN3115" s="5" t="s">
        <v>3154</v>
      </c>
      <c r="BZ3115" s="63">
        <f t="shared" si="1224"/>
        <v>4965</v>
      </c>
      <c r="CA3115" s="63">
        <v>9</v>
      </c>
      <c r="CD3115" s="63">
        <v>0</v>
      </c>
      <c r="CE3115" s="63">
        <v>0</v>
      </c>
      <c r="CF3115" s="63">
        <v>0</v>
      </c>
      <c r="CG3115" s="63">
        <v>1</v>
      </c>
      <c r="CH3115" s="8">
        <v>0</v>
      </c>
      <c r="CI3115" s="8">
        <v>0</v>
      </c>
      <c r="CJ3115" s="8">
        <v>0</v>
      </c>
      <c r="CK3115" s="8">
        <v>0</v>
      </c>
      <c r="CL3115" s="8">
        <v>0</v>
      </c>
      <c r="CP3115" s="8"/>
    </row>
    <row r="3116" spans="1:94" hidden="1" outlineLevel="1">
      <c r="A3116" t="s">
        <v>126</v>
      </c>
      <c r="B3116" t="s">
        <v>2358</v>
      </c>
      <c r="C3116" s="1">
        <f t="shared" si="1215"/>
        <v>14224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32">
        <f t="shared" si="1210"/>
        <v>5791</v>
      </c>
      <c r="H3116" s="137">
        <f t="shared" si="1211"/>
        <v>0.40712879640044997</v>
      </c>
      <c r="I3116" s="2"/>
      <c r="J3116" s="2">
        <f t="shared" si="1216"/>
        <v>0.26469347581552305</v>
      </c>
      <c r="K3116" s="2">
        <f t="shared" si="1217"/>
        <v>0.67182227221597302</v>
      </c>
      <c r="L3116" s="2">
        <f t="shared" si="1218"/>
        <v>0</v>
      </c>
      <c r="M3116" s="2">
        <f t="shared" si="1219"/>
        <v>6.3484251968503935E-2</v>
      </c>
      <c r="N3116" s="63">
        <v>3765</v>
      </c>
      <c r="O3116" s="63">
        <v>9556</v>
      </c>
      <c r="P3116" s="63">
        <v>0</v>
      </c>
      <c r="Q3116" s="63">
        <v>475</v>
      </c>
      <c r="R3116" s="63">
        <v>200</v>
      </c>
      <c r="S3116" s="63">
        <v>70</v>
      </c>
      <c r="T3116" s="63">
        <v>0</v>
      </c>
      <c r="U3116" s="63"/>
      <c r="V3116" s="63">
        <v>0</v>
      </c>
      <c r="W3116" s="63">
        <f>IF(Copyright!B$11=1,IF(CA3116&gt;0,CA3116-SUM(T3116:V3116)-P3116-SUM(AJ3116:AQ3116)-SUM(X3116:AH3116),SUM(CD3116:CQ3116)),SUM(CD3116:CQ3116))</f>
        <v>158</v>
      </c>
      <c r="X3116" s="63"/>
      <c r="Y3116" s="63">
        <v>0</v>
      </c>
      <c r="Z3116" s="63">
        <v>0</v>
      </c>
      <c r="AA3116">
        <v>0</v>
      </c>
      <c r="AB3116" s="63"/>
      <c r="AC3116" s="63"/>
      <c r="AD3116">
        <v>0</v>
      </c>
      <c r="AE3116" s="63">
        <v>0</v>
      </c>
      <c r="AF3116" s="63">
        <v>0</v>
      </c>
      <c r="AG3116" s="63"/>
      <c r="AH3116" s="63"/>
      <c r="AI3116" s="1"/>
      <c r="AJ3116" s="63"/>
      <c r="AK3116" s="63"/>
      <c r="AL3116">
        <v>0</v>
      </c>
      <c r="AM3116" s="63">
        <v>0</v>
      </c>
      <c r="AN3116" s="63"/>
      <c r="AO3116" s="63"/>
      <c r="AP3116" s="63"/>
      <c r="AQ3116" s="63">
        <v>0</v>
      </c>
      <c r="AR3116" s="63"/>
      <c r="AS3116" s="63"/>
      <c r="AT3116" s="63"/>
      <c r="AU3116" s="63"/>
      <c r="AW3116" s="5">
        <f>IF(Q3116&gt;0,RANK(Q3116,(N3116:P3116,Q3116:AE3116)),0)</f>
        <v>3</v>
      </c>
      <c r="AX3116" s="5">
        <f>IF(R3116&gt;0,RANK(R3116,(N3116:P3116,Q3116:AE3116)),0)</f>
        <v>4</v>
      </c>
      <c r="AY3116" s="5">
        <f>IF(T3116&gt;0,RANK(T3116,(N3116:P3116,Q3116:AE3116)),0)</f>
        <v>0</v>
      </c>
      <c r="AZ3116" s="5">
        <f>IF(S3116&gt;0,RANK(S3116,(N3116:P3116,Q3116:AE3116)),0)</f>
        <v>6</v>
      </c>
      <c r="BA3116" s="2">
        <f t="shared" si="1220"/>
        <v>3.3394263217097861E-2</v>
      </c>
      <c r="BB3116" s="2">
        <f t="shared" si="1221"/>
        <v>1.40607424071991E-2</v>
      </c>
      <c r="BC3116" s="2">
        <f t="shared" si="1222"/>
        <v>0</v>
      </c>
      <c r="BD3116" s="2">
        <f t="shared" si="1223"/>
        <v>4.921259842519685E-3</v>
      </c>
      <c r="BF3116" t="s">
        <v>126</v>
      </c>
      <c r="BG3116" t="s">
        <v>2358</v>
      </c>
      <c r="BH3116">
        <v>3</v>
      </c>
      <c r="BJ3116" s="114">
        <v>54</v>
      </c>
      <c r="BK3116" s="116">
        <v>25</v>
      </c>
      <c r="BL3116" s="120">
        <f t="shared" si="1225"/>
        <v>54025</v>
      </c>
      <c r="BN3116" s="5" t="s">
        <v>3154</v>
      </c>
      <c r="BZ3116" s="63">
        <f t="shared" si="1224"/>
        <v>14224</v>
      </c>
      <c r="CA3116" s="63">
        <v>158</v>
      </c>
      <c r="CD3116" s="63">
        <v>0</v>
      </c>
      <c r="CE3116" s="63">
        <v>0</v>
      </c>
      <c r="CF3116" s="63">
        <v>0</v>
      </c>
      <c r="CG3116" s="63">
        <v>0</v>
      </c>
      <c r="CH3116" s="8">
        <v>0</v>
      </c>
      <c r="CI3116" s="8">
        <v>0</v>
      </c>
      <c r="CJ3116" s="8">
        <v>0</v>
      </c>
      <c r="CK3116" s="8">
        <v>0</v>
      </c>
      <c r="CL3116" s="8">
        <v>0</v>
      </c>
      <c r="CP3116" s="8"/>
    </row>
    <row r="3117" spans="1:94" hidden="1" outlineLevel="1">
      <c r="A3117" t="s">
        <v>2176</v>
      </c>
      <c r="B3117" t="s">
        <v>2358</v>
      </c>
      <c r="C3117" s="1">
        <f t="shared" si="1215"/>
        <v>8679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7</v>
      </c>
      <c r="G3117" s="132">
        <f t="shared" si="1210"/>
        <v>5112</v>
      </c>
      <c r="H3117" s="137">
        <f t="shared" si="1211"/>
        <v>0.58900795022468022</v>
      </c>
      <c r="I3117" s="2"/>
      <c r="J3117" s="2">
        <f t="shared" si="1216"/>
        <v>0.18204862311326189</v>
      </c>
      <c r="K3117" s="2">
        <f t="shared" si="1217"/>
        <v>0.7710565733379422</v>
      </c>
      <c r="L3117" s="2">
        <f t="shared" si="1218"/>
        <v>1.1522064754003918E-3</v>
      </c>
      <c r="M3117" s="2">
        <f t="shared" si="1219"/>
        <v>4.5742597073395549E-2</v>
      </c>
      <c r="N3117" s="63">
        <v>1580</v>
      </c>
      <c r="O3117" s="63">
        <v>6692</v>
      </c>
      <c r="P3117" s="63">
        <v>10</v>
      </c>
      <c r="Q3117" s="63">
        <v>196</v>
      </c>
      <c r="R3117" s="63">
        <v>103</v>
      </c>
      <c r="S3117" s="63">
        <v>37</v>
      </c>
      <c r="T3117" s="63">
        <v>0</v>
      </c>
      <c r="U3117" s="63"/>
      <c r="V3117" s="63">
        <v>0</v>
      </c>
      <c r="W3117" s="63">
        <f>IF(Copyright!B$11=1,IF(CA3117&gt;0,CA3117-SUM(T3117:V3117)-P3117-SUM(AJ3117:AQ3117)-SUM(X3117:AH3117),SUM(CD3117:CQ3117)),SUM(CD3117:CQ3117))</f>
        <v>61</v>
      </c>
      <c r="X3117" s="63"/>
      <c r="Y3117" s="63">
        <v>0</v>
      </c>
      <c r="Z3117" s="63">
        <v>0</v>
      </c>
      <c r="AA3117">
        <v>0</v>
      </c>
      <c r="AB3117" s="63"/>
      <c r="AC3117" s="63"/>
      <c r="AD3117">
        <v>0</v>
      </c>
      <c r="AE3117" s="63">
        <v>0</v>
      </c>
      <c r="AF3117" s="63">
        <v>0</v>
      </c>
      <c r="AG3117" s="63"/>
      <c r="AH3117" s="63"/>
      <c r="AI3117" s="1"/>
      <c r="AJ3117" s="63"/>
      <c r="AK3117" s="63"/>
      <c r="AL3117">
        <v>0</v>
      </c>
      <c r="AM3117" s="63">
        <v>0</v>
      </c>
      <c r="AN3117" s="63"/>
      <c r="AO3117" s="63"/>
      <c r="AP3117" s="63"/>
      <c r="AQ3117" s="63">
        <v>0</v>
      </c>
      <c r="AR3117" s="63"/>
      <c r="AS3117" s="63"/>
      <c r="AT3117" s="63"/>
      <c r="AU3117" s="63"/>
      <c r="AW3117" s="5">
        <f>IF(Q3117&gt;0,RANK(Q3117,(N3117:P3117,Q3117:AE3117)),0)</f>
        <v>3</v>
      </c>
      <c r="AX3117" s="5">
        <f>IF(R3117&gt;0,RANK(R3117,(N3117:P3117,Q3117:AE3117)),0)</f>
        <v>4</v>
      </c>
      <c r="AY3117" s="5">
        <f>IF(T3117&gt;0,RANK(T3117,(N3117:P3117,Q3117:AE3117)),0)</f>
        <v>0</v>
      </c>
      <c r="AZ3117" s="5">
        <f>IF(S3117&gt;0,RANK(S3117,(N3117:P3117,Q3117:AE3117)),0)</f>
        <v>6</v>
      </c>
      <c r="BA3117" s="2">
        <f t="shared" si="1220"/>
        <v>2.2583246917847678E-2</v>
      </c>
      <c r="BB3117" s="2">
        <f t="shared" si="1221"/>
        <v>1.1867726696624035E-2</v>
      </c>
      <c r="BC3117" s="2">
        <f t="shared" si="1222"/>
        <v>0</v>
      </c>
      <c r="BD3117" s="2">
        <f t="shared" si="1223"/>
        <v>4.2631639589814493E-3</v>
      </c>
      <c r="BF3117" t="s">
        <v>2176</v>
      </c>
      <c r="BG3117" t="s">
        <v>2358</v>
      </c>
      <c r="BH3117">
        <v>2</v>
      </c>
      <c r="BJ3117" s="114">
        <v>54</v>
      </c>
      <c r="BK3117" s="116">
        <v>27</v>
      </c>
      <c r="BL3117" s="120">
        <f t="shared" si="1225"/>
        <v>54027</v>
      </c>
      <c r="BN3117" s="5" t="s">
        <v>3154</v>
      </c>
      <c r="BZ3117" s="63">
        <f t="shared" si="1224"/>
        <v>8679</v>
      </c>
      <c r="CA3117" s="63">
        <v>71</v>
      </c>
      <c r="CD3117" s="63">
        <v>0</v>
      </c>
      <c r="CE3117" s="63">
        <v>0</v>
      </c>
      <c r="CF3117" s="63">
        <v>1</v>
      </c>
      <c r="CG3117" s="63">
        <v>0</v>
      </c>
      <c r="CH3117" s="8">
        <v>0</v>
      </c>
      <c r="CI3117" s="8">
        <v>0</v>
      </c>
      <c r="CJ3117" s="8">
        <v>1</v>
      </c>
      <c r="CK3117" s="8">
        <v>1</v>
      </c>
      <c r="CL3117" s="8">
        <v>0</v>
      </c>
      <c r="CP3117" s="8"/>
    </row>
    <row r="3118" spans="1:94" hidden="1" outlineLevel="1">
      <c r="A3118" t="s">
        <v>597</v>
      </c>
      <c r="B3118" t="s">
        <v>2358</v>
      </c>
      <c r="C3118" s="1">
        <f t="shared" si="1215"/>
        <v>12802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7</v>
      </c>
      <c r="G3118" s="132">
        <f t="shared" si="1210"/>
        <v>5647</v>
      </c>
      <c r="H3118" s="137">
        <f t="shared" si="1211"/>
        <v>0.4411029526636463</v>
      </c>
      <c r="I3118" s="2"/>
      <c r="J3118" s="2">
        <f t="shared" si="1216"/>
        <v>0.25480393688486175</v>
      </c>
      <c r="K3118" s="2">
        <f t="shared" si="1217"/>
        <v>0.6959068895485081</v>
      </c>
      <c r="L3118" s="2">
        <f t="shared" si="1218"/>
        <v>1.0154663333854085E-3</v>
      </c>
      <c r="M3118" s="2">
        <f t="shared" si="1219"/>
        <v>4.8273707233244686E-2</v>
      </c>
      <c r="N3118" s="63">
        <v>3262</v>
      </c>
      <c r="O3118" s="63">
        <v>8909</v>
      </c>
      <c r="P3118" s="63">
        <v>13</v>
      </c>
      <c r="Q3118" s="63">
        <v>370</v>
      </c>
      <c r="R3118" s="63">
        <v>125</v>
      </c>
      <c r="S3118" s="63">
        <v>36</v>
      </c>
      <c r="T3118" s="63">
        <v>0</v>
      </c>
      <c r="U3118" s="63"/>
      <c r="V3118" s="63">
        <v>0</v>
      </c>
      <c r="W3118" s="63">
        <f>IF(Copyright!B$11=1,IF(CA3118&gt;0,CA3118-SUM(T3118:V3118)-P3118-SUM(AJ3118:AQ3118)-SUM(X3118:AH3118),SUM(CD3118:CQ3118)),SUM(CD3118:CQ3118))</f>
        <v>87</v>
      </c>
      <c r="X3118" s="63"/>
      <c r="Y3118" s="63">
        <v>0</v>
      </c>
      <c r="Z3118" s="63">
        <v>0</v>
      </c>
      <c r="AA3118">
        <v>0</v>
      </c>
      <c r="AB3118" s="63"/>
      <c r="AC3118" s="63"/>
      <c r="AD3118">
        <v>0</v>
      </c>
      <c r="AE3118" s="63">
        <v>0</v>
      </c>
      <c r="AF3118" s="63">
        <v>0</v>
      </c>
      <c r="AG3118" s="63"/>
      <c r="AH3118" s="63"/>
      <c r="AI3118" s="1"/>
      <c r="AJ3118" s="63"/>
      <c r="AK3118" s="63"/>
      <c r="AL3118">
        <v>0</v>
      </c>
      <c r="AM3118" s="63">
        <v>0</v>
      </c>
      <c r="AN3118" s="63"/>
      <c r="AO3118" s="63"/>
      <c r="AP3118" s="63"/>
      <c r="AQ3118" s="63">
        <v>0</v>
      </c>
      <c r="AR3118" s="63"/>
      <c r="AS3118" s="63"/>
      <c r="AT3118" s="63"/>
      <c r="AU3118" s="63"/>
      <c r="AW3118" s="5">
        <f>IF(Q3118&gt;0,RANK(Q3118,(N3118:P3118,Q3118:AE3118)),0)</f>
        <v>3</v>
      </c>
      <c r="AX3118" s="5">
        <f>IF(R3118&gt;0,RANK(R3118,(N3118:P3118,Q3118:AE3118)),0)</f>
        <v>4</v>
      </c>
      <c r="AY3118" s="5">
        <f>IF(T3118&gt;0,RANK(T3118,(N3118:P3118,Q3118:AE3118)),0)</f>
        <v>0</v>
      </c>
      <c r="AZ3118" s="5">
        <f>IF(S3118&gt;0,RANK(S3118,(N3118:P3118,Q3118:AE3118)),0)</f>
        <v>6</v>
      </c>
      <c r="BA3118" s="2">
        <f t="shared" si="1220"/>
        <v>2.8901734104046242E-2</v>
      </c>
      <c r="BB3118" s="2">
        <f t="shared" si="1221"/>
        <v>9.7640993594750817E-3</v>
      </c>
      <c r="BC3118" s="2">
        <f t="shared" si="1222"/>
        <v>0</v>
      </c>
      <c r="BD3118" s="2">
        <f t="shared" si="1223"/>
        <v>2.8120606155288236E-3</v>
      </c>
      <c r="BF3118" t="s">
        <v>597</v>
      </c>
      <c r="BG3118" t="s">
        <v>2358</v>
      </c>
      <c r="BH3118">
        <v>1</v>
      </c>
      <c r="BJ3118" s="114">
        <v>54</v>
      </c>
      <c r="BK3118" s="116">
        <v>29</v>
      </c>
      <c r="BL3118" s="120">
        <f t="shared" si="1225"/>
        <v>54029</v>
      </c>
      <c r="BN3118" s="5" t="s">
        <v>3154</v>
      </c>
      <c r="BZ3118" s="63">
        <f t="shared" si="1224"/>
        <v>12802</v>
      </c>
      <c r="CA3118" s="63">
        <v>100</v>
      </c>
      <c r="CD3118" s="63">
        <v>0</v>
      </c>
      <c r="CE3118" s="63">
        <v>0</v>
      </c>
      <c r="CF3118" s="63">
        <v>0</v>
      </c>
      <c r="CG3118" s="63">
        <v>0</v>
      </c>
      <c r="CH3118" s="8">
        <v>0</v>
      </c>
      <c r="CI3118" s="8">
        <v>0</v>
      </c>
      <c r="CJ3118" s="8">
        <v>0</v>
      </c>
      <c r="CK3118" s="8">
        <v>0</v>
      </c>
      <c r="CL3118" s="8">
        <v>0</v>
      </c>
      <c r="CP3118" s="8"/>
    </row>
    <row r="3119" spans="1:94" hidden="1" outlineLevel="1">
      <c r="A3119" t="s">
        <v>924</v>
      </c>
      <c r="B3119" t="s">
        <v>2358</v>
      </c>
      <c r="C3119" s="1">
        <f t="shared" si="1215"/>
        <v>5674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7</v>
      </c>
      <c r="G3119" s="132">
        <f t="shared" si="1210"/>
        <v>3119</v>
      </c>
      <c r="H3119" s="137">
        <f t="shared" si="1211"/>
        <v>0.54970038773352137</v>
      </c>
      <c r="I3119" s="2"/>
      <c r="J3119" s="2">
        <f t="shared" si="1216"/>
        <v>0.20356009869580544</v>
      </c>
      <c r="K3119" s="2">
        <f t="shared" si="1217"/>
        <v>0.75326048642932675</v>
      </c>
      <c r="L3119" s="2">
        <f t="shared" si="1218"/>
        <v>1.2336975678533663E-3</v>
      </c>
      <c r="M3119" s="2">
        <f t="shared" si="1219"/>
        <v>4.1945717307014393E-2</v>
      </c>
      <c r="N3119" s="63">
        <v>1155</v>
      </c>
      <c r="O3119" s="63">
        <v>4274</v>
      </c>
      <c r="P3119" s="63">
        <v>7</v>
      </c>
      <c r="Q3119" s="63">
        <v>140</v>
      </c>
      <c r="R3119" s="63">
        <v>42</v>
      </c>
      <c r="S3119" s="63">
        <v>32</v>
      </c>
      <c r="T3119" s="63">
        <v>0</v>
      </c>
      <c r="U3119" s="63"/>
      <c r="V3119" s="63">
        <v>0</v>
      </c>
      <c r="W3119" s="63">
        <f>IF(Copyright!B$11=1,IF(CA3119&gt;0,CA3119-SUM(T3119:V3119)-P3119-SUM(AJ3119:AQ3119)-SUM(X3119:AH3119),SUM(CD3119:CQ3119)),SUM(CD3119:CQ3119))</f>
        <v>23</v>
      </c>
      <c r="X3119" s="63"/>
      <c r="Y3119" s="63">
        <v>1</v>
      </c>
      <c r="Z3119" s="63">
        <v>0</v>
      </c>
      <c r="AA3119">
        <v>0</v>
      </c>
      <c r="AB3119" s="63"/>
      <c r="AC3119" s="63"/>
      <c r="AD3119">
        <v>0</v>
      </c>
      <c r="AE3119" s="63">
        <v>0</v>
      </c>
      <c r="AF3119" s="63">
        <v>0</v>
      </c>
      <c r="AG3119" s="63"/>
      <c r="AH3119" s="63"/>
      <c r="AI3119" s="1"/>
      <c r="AJ3119" s="63"/>
      <c r="AK3119" s="63"/>
      <c r="AL3119">
        <v>0</v>
      </c>
      <c r="AM3119" s="63">
        <v>0</v>
      </c>
      <c r="AN3119" s="63"/>
      <c r="AO3119" s="63"/>
      <c r="AP3119" s="63"/>
      <c r="AQ3119" s="63">
        <v>0</v>
      </c>
      <c r="AR3119" s="63"/>
      <c r="AS3119" s="63"/>
      <c r="AT3119" s="63"/>
      <c r="AU3119" s="63"/>
      <c r="AW3119" s="5">
        <f>IF(Q3119&gt;0,RANK(Q3119,(N3119:P3119,Q3119:AE3119)),0)</f>
        <v>3</v>
      </c>
      <c r="AX3119" s="5">
        <f>IF(R3119&gt;0,RANK(R3119,(N3119:P3119,Q3119:AE3119)),0)</f>
        <v>4</v>
      </c>
      <c r="AY3119" s="5">
        <f>IF(T3119&gt;0,RANK(T3119,(N3119:P3119,Q3119:AE3119)),0)</f>
        <v>0</v>
      </c>
      <c r="AZ3119" s="5">
        <f>IF(S3119&gt;0,RANK(S3119,(N3119:P3119,Q3119:AE3119)),0)</f>
        <v>5</v>
      </c>
      <c r="BA3119" s="2">
        <f t="shared" si="1220"/>
        <v>2.4673951357067323E-2</v>
      </c>
      <c r="BB3119" s="2">
        <f t="shared" si="1221"/>
        <v>7.4021854071201973E-3</v>
      </c>
      <c r="BC3119" s="2">
        <f t="shared" si="1222"/>
        <v>0</v>
      </c>
      <c r="BD3119" s="2">
        <f t="shared" si="1223"/>
        <v>5.6397603101868169E-3</v>
      </c>
      <c r="BF3119" t="s">
        <v>924</v>
      </c>
      <c r="BG3119" t="s">
        <v>2358</v>
      </c>
      <c r="BH3119">
        <v>2</v>
      </c>
      <c r="BJ3119" s="114">
        <v>54</v>
      </c>
      <c r="BK3119" s="116">
        <v>31</v>
      </c>
      <c r="BL3119" s="120">
        <f t="shared" si="1225"/>
        <v>54031</v>
      </c>
      <c r="BN3119" s="5" t="s">
        <v>3154</v>
      </c>
      <c r="BZ3119" s="63">
        <f t="shared" si="1224"/>
        <v>5674</v>
      </c>
      <c r="CA3119" s="63">
        <v>31</v>
      </c>
      <c r="CD3119" s="63">
        <v>0</v>
      </c>
      <c r="CE3119" s="63">
        <v>0</v>
      </c>
      <c r="CF3119" s="63">
        <v>2</v>
      </c>
      <c r="CG3119" s="63">
        <v>0</v>
      </c>
      <c r="CH3119" s="8">
        <v>0</v>
      </c>
      <c r="CI3119" s="8">
        <v>0</v>
      </c>
      <c r="CJ3119" s="8">
        <v>0</v>
      </c>
      <c r="CK3119" s="8">
        <v>0</v>
      </c>
      <c r="CL3119" s="8">
        <v>0</v>
      </c>
      <c r="CP3119" s="8"/>
    </row>
    <row r="3120" spans="1:94" hidden="1" outlineLevel="1">
      <c r="A3120" t="s">
        <v>875</v>
      </c>
      <c r="B3120" t="s">
        <v>2358</v>
      </c>
      <c r="C3120" s="1">
        <f t="shared" si="1215"/>
        <v>28351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7</v>
      </c>
      <c r="G3120" s="132">
        <f t="shared" si="1210"/>
        <v>11056</v>
      </c>
      <c r="H3120" s="137">
        <f t="shared" si="1211"/>
        <v>0.38996860780924836</v>
      </c>
      <c r="I3120" s="2"/>
      <c r="J3120" s="2">
        <f t="shared" si="1216"/>
        <v>0.27138372544178335</v>
      </c>
      <c r="K3120" s="2">
        <f t="shared" si="1217"/>
        <v>0.66135233325103171</v>
      </c>
      <c r="L3120" s="2">
        <f t="shared" si="1218"/>
        <v>2.7864978307643468E-3</v>
      </c>
      <c r="M3120" s="2">
        <f t="shared" si="1219"/>
        <v>6.4477443476420593E-2</v>
      </c>
      <c r="N3120" s="63">
        <v>7694</v>
      </c>
      <c r="O3120" s="63">
        <v>18750</v>
      </c>
      <c r="P3120" s="63">
        <v>79</v>
      </c>
      <c r="Q3120" s="63">
        <v>1041</v>
      </c>
      <c r="R3120" s="63">
        <v>327</v>
      </c>
      <c r="S3120" s="63">
        <v>148</v>
      </c>
      <c r="T3120" s="63">
        <v>0</v>
      </c>
      <c r="U3120" s="63"/>
      <c r="V3120" s="63">
        <v>0</v>
      </c>
      <c r="W3120" s="63">
        <f>IF(Copyright!B$11=1,IF(CA3120&gt;0,CA3120-SUM(T3120:V3120)-P3120-SUM(AJ3120:AQ3120)-SUM(X3120:AH3120),SUM(CD3120:CQ3120)),SUM(CD3120:CQ3120))</f>
        <v>312</v>
      </c>
      <c r="X3120" s="63"/>
      <c r="Y3120" s="63">
        <v>0</v>
      </c>
      <c r="Z3120" s="63">
        <v>0</v>
      </c>
      <c r="AA3120">
        <v>0</v>
      </c>
      <c r="AB3120" s="63"/>
      <c r="AC3120" s="63"/>
      <c r="AD3120">
        <v>0</v>
      </c>
      <c r="AE3120" s="63">
        <v>0</v>
      </c>
      <c r="AF3120" s="63">
        <v>0</v>
      </c>
      <c r="AG3120" s="63"/>
      <c r="AH3120" s="63"/>
      <c r="AI3120" s="1"/>
      <c r="AJ3120" s="63"/>
      <c r="AK3120" s="63"/>
      <c r="AL3120">
        <v>0</v>
      </c>
      <c r="AM3120" s="63">
        <v>0</v>
      </c>
      <c r="AN3120" s="63"/>
      <c r="AO3120" s="63"/>
      <c r="AP3120" s="63"/>
      <c r="AQ3120" s="63">
        <v>0</v>
      </c>
      <c r="AR3120" s="63"/>
      <c r="AS3120" s="63"/>
      <c r="AT3120" s="63"/>
      <c r="AU3120" s="63"/>
      <c r="AW3120" s="5">
        <f>IF(Q3120&gt;0,RANK(Q3120,(N3120:P3120,Q3120:AE3120)),0)</f>
        <v>3</v>
      </c>
      <c r="AX3120" s="5">
        <f>IF(R3120&gt;0,RANK(R3120,(N3120:P3120,Q3120:AE3120)),0)</f>
        <v>4</v>
      </c>
      <c r="AY3120" s="5">
        <f>IF(T3120&gt;0,RANK(T3120,(N3120:P3120,Q3120:AE3120)),0)</f>
        <v>0</v>
      </c>
      <c r="AZ3120" s="5">
        <f>IF(S3120&gt;0,RANK(S3120,(N3120:P3120,Q3120:AE3120)),0)</f>
        <v>6</v>
      </c>
      <c r="BA3120" s="2">
        <f t="shared" si="1220"/>
        <v>3.6718281542097282E-2</v>
      </c>
      <c r="BB3120" s="2">
        <f t="shared" si="1221"/>
        <v>1.1533984691897993E-2</v>
      </c>
      <c r="BC3120" s="2">
        <f t="shared" si="1222"/>
        <v>0</v>
      </c>
      <c r="BD3120" s="2">
        <f t="shared" si="1223"/>
        <v>5.2202744171281432E-3</v>
      </c>
      <c r="BF3120" t="s">
        <v>875</v>
      </c>
      <c r="BG3120" t="s">
        <v>2358</v>
      </c>
      <c r="BH3120">
        <v>1</v>
      </c>
      <c r="BJ3120" s="114">
        <v>54</v>
      </c>
      <c r="BK3120" s="116">
        <v>33</v>
      </c>
      <c r="BL3120" s="120">
        <f t="shared" si="1225"/>
        <v>54033</v>
      </c>
      <c r="BN3120" s="5" t="s">
        <v>3154</v>
      </c>
      <c r="CA3120" s="63">
        <v>391</v>
      </c>
      <c r="CD3120" s="63">
        <v>0</v>
      </c>
      <c r="CE3120" s="63">
        <v>0</v>
      </c>
      <c r="CF3120" s="63">
        <v>1</v>
      </c>
      <c r="CG3120" s="63">
        <v>0</v>
      </c>
      <c r="CH3120" s="8">
        <v>0</v>
      </c>
      <c r="CI3120" s="8">
        <v>0</v>
      </c>
      <c r="CJ3120" s="8">
        <v>0</v>
      </c>
      <c r="CK3120" s="8">
        <v>0</v>
      </c>
      <c r="CL3120" s="8">
        <v>0</v>
      </c>
      <c r="CP3120" s="8"/>
    </row>
    <row r="3121" spans="1:94" hidden="1" outlineLevel="1">
      <c r="A3121" t="s">
        <v>2921</v>
      </c>
      <c r="B3121" t="s">
        <v>2358</v>
      </c>
      <c r="C3121" s="1">
        <f t="shared" si="1215"/>
        <v>12304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7</v>
      </c>
      <c r="G3121" s="132">
        <f t="shared" si="1210"/>
        <v>6357</v>
      </c>
      <c r="H3121" s="137">
        <f t="shared" si="1211"/>
        <v>0.51666124837451233</v>
      </c>
      <c r="I3121" s="2"/>
      <c r="J3121" s="2">
        <f t="shared" si="1216"/>
        <v>0.21643368010403122</v>
      </c>
      <c r="K3121" s="2">
        <f t="shared" si="1217"/>
        <v>0.73309492847854352</v>
      </c>
      <c r="L3121" s="2">
        <f t="shared" si="1218"/>
        <v>9.7529258777633292E-4</v>
      </c>
      <c r="M3121" s="2">
        <f t="shared" si="1219"/>
        <v>4.9496098829648963E-2</v>
      </c>
      <c r="N3121" s="63">
        <v>2663</v>
      </c>
      <c r="O3121" s="63">
        <v>9020</v>
      </c>
      <c r="P3121" s="63">
        <v>12</v>
      </c>
      <c r="Q3121" s="63">
        <v>305</v>
      </c>
      <c r="R3121" s="63">
        <v>106</v>
      </c>
      <c r="S3121" s="63">
        <v>93</v>
      </c>
      <c r="T3121" s="63">
        <v>0</v>
      </c>
      <c r="U3121" s="63"/>
      <c r="V3121" s="63">
        <v>0</v>
      </c>
      <c r="W3121" s="63">
        <f>IF(Copyright!B$11=1,IF(CA3121&gt;0,CA3121-SUM(T3121:V3121)-P3121-SUM(AJ3121:AQ3121)-SUM(X3121:AH3121),SUM(CD3121:CQ3121)),SUM(CD3121:CQ3121))</f>
        <v>105</v>
      </c>
      <c r="X3121" s="63"/>
      <c r="Y3121" s="63">
        <v>0</v>
      </c>
      <c r="Z3121" s="63">
        <v>0</v>
      </c>
      <c r="AA3121">
        <v>0</v>
      </c>
      <c r="AB3121" s="63"/>
      <c r="AC3121" s="63"/>
      <c r="AD3121">
        <v>0</v>
      </c>
      <c r="AE3121" s="63">
        <v>0</v>
      </c>
      <c r="AF3121" s="63">
        <v>0</v>
      </c>
      <c r="AG3121" s="63"/>
      <c r="AH3121" s="63"/>
      <c r="AI3121" s="1"/>
      <c r="AJ3121" s="63"/>
      <c r="AK3121" s="63"/>
      <c r="AL3121">
        <v>0</v>
      </c>
      <c r="AM3121" s="63">
        <v>0</v>
      </c>
      <c r="AN3121" s="63"/>
      <c r="AO3121" s="63"/>
      <c r="AP3121" s="63"/>
      <c r="AQ3121" s="63">
        <v>0</v>
      </c>
      <c r="AR3121" s="63"/>
      <c r="AS3121" s="63"/>
      <c r="AT3121" s="63"/>
      <c r="AU3121" s="63"/>
      <c r="AW3121" s="5">
        <f>IF(Q3121&gt;0,RANK(Q3121,(N3121:P3121,Q3121:AE3121)),0)</f>
        <v>3</v>
      </c>
      <c r="AX3121" s="5">
        <f>IF(R3121&gt;0,RANK(R3121,(N3121:P3121,Q3121:AE3121)),0)</f>
        <v>4</v>
      </c>
      <c r="AY3121" s="5">
        <f>IF(T3121&gt;0,RANK(T3121,(N3121:P3121,Q3121:AE3121)),0)</f>
        <v>0</v>
      </c>
      <c r="AZ3121" s="5">
        <f>IF(S3121&gt;0,RANK(S3121,(N3121:P3121,Q3121:AE3121)),0)</f>
        <v>6</v>
      </c>
      <c r="BA3121" s="2">
        <f t="shared" si="1220"/>
        <v>2.4788686605981793E-2</v>
      </c>
      <c r="BB3121" s="2">
        <f t="shared" si="1221"/>
        <v>8.6150845253576067E-3</v>
      </c>
      <c r="BC3121" s="2">
        <f t="shared" si="1222"/>
        <v>0</v>
      </c>
      <c r="BD3121" s="2">
        <f t="shared" si="1223"/>
        <v>7.55851755526658E-3</v>
      </c>
      <c r="BF3121" t="s">
        <v>2921</v>
      </c>
      <c r="BG3121" t="s">
        <v>2358</v>
      </c>
      <c r="BH3121">
        <v>2</v>
      </c>
      <c r="BJ3121" s="114">
        <v>54</v>
      </c>
      <c r="BK3121" s="116">
        <v>35</v>
      </c>
      <c r="BL3121" s="120">
        <f t="shared" si="1225"/>
        <v>54035</v>
      </c>
      <c r="BN3121" s="5" t="s">
        <v>3154</v>
      </c>
      <c r="BZ3121" s="63">
        <f t="shared" si="1224"/>
        <v>12304</v>
      </c>
      <c r="CA3121" s="63">
        <v>117</v>
      </c>
      <c r="CD3121" s="63">
        <v>0</v>
      </c>
      <c r="CE3121" s="63">
        <v>0</v>
      </c>
      <c r="CF3121" s="63">
        <v>0</v>
      </c>
      <c r="CG3121" s="63">
        <v>0</v>
      </c>
      <c r="CH3121" s="8">
        <v>0</v>
      </c>
      <c r="CI3121" s="8">
        <v>0</v>
      </c>
      <c r="CJ3121" s="8">
        <v>0</v>
      </c>
      <c r="CK3121" s="8">
        <v>0</v>
      </c>
      <c r="CL3121" s="8">
        <v>0</v>
      </c>
      <c r="CP3121" s="8"/>
    </row>
    <row r="3122" spans="1:94" hidden="1" outlineLevel="1">
      <c r="A3122" t="s">
        <v>1092</v>
      </c>
      <c r="B3122" t="s">
        <v>2358</v>
      </c>
      <c r="C3122" s="1">
        <f t="shared" si="1215"/>
        <v>24508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7</v>
      </c>
      <c r="G3122" s="132">
        <f t="shared" si="1210"/>
        <v>3686</v>
      </c>
      <c r="H3122" s="137">
        <f t="shared" si="1211"/>
        <v>0.15039986943039008</v>
      </c>
      <c r="I3122" s="2"/>
      <c r="J3122" s="2">
        <f t="shared" si="1216"/>
        <v>0.38836298351558673</v>
      </c>
      <c r="K3122" s="2">
        <f t="shared" si="1217"/>
        <v>0.53876285294597681</v>
      </c>
      <c r="L3122" s="2">
        <f t="shared" si="1218"/>
        <v>2.4889831891627225E-3</v>
      </c>
      <c r="M3122" s="2">
        <f t="shared" si="1219"/>
        <v>7.0385180349273727E-2</v>
      </c>
      <c r="N3122" s="63">
        <v>9518</v>
      </c>
      <c r="O3122" s="63">
        <v>13204</v>
      </c>
      <c r="P3122" s="63">
        <v>61</v>
      </c>
      <c r="Q3122" s="63">
        <v>1005</v>
      </c>
      <c r="R3122" s="63">
        <v>333</v>
      </c>
      <c r="S3122" s="63">
        <v>87</v>
      </c>
      <c r="T3122" s="63">
        <v>2</v>
      </c>
      <c r="U3122" s="63"/>
      <c r="V3122" s="63">
        <v>0</v>
      </c>
      <c r="W3122" s="63">
        <f>IF(Copyright!B$11=1,IF(CA3122&gt;0,CA3122-SUM(T3122:V3122)-P3122-SUM(AJ3122:AQ3122)-SUM(X3122:AH3122),SUM(CD3122:CQ3122)),SUM(CD3122:CQ3122))</f>
        <v>296</v>
      </c>
      <c r="X3122" s="63"/>
      <c r="Y3122" s="63">
        <v>0</v>
      </c>
      <c r="Z3122" s="63">
        <v>0</v>
      </c>
      <c r="AA3122">
        <v>0</v>
      </c>
      <c r="AB3122" s="63"/>
      <c r="AC3122" s="63"/>
      <c r="AD3122">
        <v>0</v>
      </c>
      <c r="AE3122" s="63">
        <v>2</v>
      </c>
      <c r="AF3122" s="63">
        <v>0</v>
      </c>
      <c r="AG3122" s="63"/>
      <c r="AH3122" s="63"/>
      <c r="AI3122" s="1"/>
      <c r="AJ3122" s="63"/>
      <c r="AK3122" s="63"/>
      <c r="AL3122">
        <v>0</v>
      </c>
      <c r="AM3122" s="63">
        <v>0</v>
      </c>
      <c r="AN3122" s="63"/>
      <c r="AO3122" s="63"/>
      <c r="AP3122" s="63"/>
      <c r="AQ3122" s="63">
        <v>0</v>
      </c>
      <c r="AR3122" s="63"/>
      <c r="AS3122" s="63"/>
      <c r="AT3122" s="63"/>
      <c r="AU3122" s="63"/>
      <c r="AW3122" s="5">
        <f>IF(Q3122&gt;0,RANK(Q3122,(N3122:P3122,Q3122:AE3122)),0)</f>
        <v>3</v>
      </c>
      <c r="AX3122" s="5">
        <f>IF(R3122&gt;0,RANK(R3122,(N3122:P3122,Q3122:AE3122)),0)</f>
        <v>4</v>
      </c>
      <c r="AY3122" s="5">
        <f>IF(T3122&gt;0,RANK(T3122,(N3122:P3122,Q3122:AE3122)),0)</f>
        <v>8</v>
      </c>
      <c r="AZ3122" s="5">
        <f>IF(S3122&gt;0,RANK(S3122,(N3122:P3122,Q3122:AE3122)),0)</f>
        <v>6</v>
      </c>
      <c r="BA3122" s="2">
        <f t="shared" si="1220"/>
        <v>4.1007018116533379E-2</v>
      </c>
      <c r="BB3122" s="2">
        <f t="shared" si="1221"/>
        <v>1.3587400032642402E-2</v>
      </c>
      <c r="BC3122" s="2">
        <f t="shared" si="1222"/>
        <v>8.1606006202056478E-5</v>
      </c>
      <c r="BD3122" s="2">
        <f t="shared" si="1223"/>
        <v>3.5498612697894565E-3</v>
      </c>
      <c r="BF3122" t="s">
        <v>1092</v>
      </c>
      <c r="BG3122" t="s">
        <v>2358</v>
      </c>
      <c r="BH3122">
        <v>2</v>
      </c>
      <c r="BJ3122" s="114">
        <v>54</v>
      </c>
      <c r="BK3122" s="116">
        <v>37</v>
      </c>
      <c r="BL3122" s="120">
        <f t="shared" si="1225"/>
        <v>54037</v>
      </c>
      <c r="BN3122" s="5" t="s">
        <v>3154</v>
      </c>
      <c r="CA3122" s="63">
        <v>361</v>
      </c>
      <c r="CD3122" s="63">
        <v>0</v>
      </c>
      <c r="CE3122" s="63">
        <v>0</v>
      </c>
      <c r="CF3122" s="63">
        <v>2</v>
      </c>
      <c r="CG3122" s="63">
        <v>0</v>
      </c>
      <c r="CH3122" s="8">
        <v>0</v>
      </c>
      <c r="CI3122" s="8">
        <v>0</v>
      </c>
      <c r="CJ3122" s="8">
        <v>0</v>
      </c>
      <c r="CK3122" s="8">
        <v>0</v>
      </c>
      <c r="CL3122" s="8">
        <v>0</v>
      </c>
      <c r="CP3122" s="8"/>
    </row>
    <row r="3123" spans="1:94" hidden="1" outlineLevel="1">
      <c r="A3123" t="s">
        <v>764</v>
      </c>
      <c r="B3123" t="s">
        <v>2358</v>
      </c>
      <c r="C3123" s="1">
        <f t="shared" si="1215"/>
        <v>76888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32">
        <f t="shared" si="1210"/>
        <v>15587</v>
      </c>
      <c r="H3123" s="137">
        <f t="shared" si="1211"/>
        <v>0.20272344188950162</v>
      </c>
      <c r="I3123" s="2"/>
      <c r="J3123" s="2">
        <f t="shared" si="1216"/>
        <v>0.36758661949849131</v>
      </c>
      <c r="K3123" s="2">
        <f t="shared" si="1217"/>
        <v>0.57031006138799289</v>
      </c>
      <c r="L3123" s="2">
        <f t="shared" si="1218"/>
        <v>0</v>
      </c>
      <c r="M3123" s="2">
        <f t="shared" si="1219"/>
        <v>6.2103319113515743E-2</v>
      </c>
      <c r="N3123" s="63">
        <v>28263</v>
      </c>
      <c r="O3123" s="63">
        <v>43850</v>
      </c>
      <c r="P3123" s="63">
        <v>0</v>
      </c>
      <c r="Q3123" s="63">
        <v>2494</v>
      </c>
      <c r="R3123" s="63">
        <v>814</v>
      </c>
      <c r="S3123" s="63">
        <v>269</v>
      </c>
      <c r="T3123" s="63">
        <v>1</v>
      </c>
      <c r="U3123" s="63"/>
      <c r="V3123" s="63">
        <v>0</v>
      </c>
      <c r="W3123" s="63">
        <f>IF(Copyright!B$11=1,IF(CA3123&gt;0,CA3123-SUM(T3123:V3123)-P3123-SUM(AJ3123:AQ3123)-SUM(X3123:AH3123),SUM(CD3123:CQ3123)),SUM(CD3123:CQ3123))</f>
        <v>1195</v>
      </c>
      <c r="X3123" s="63"/>
      <c r="Y3123" s="63">
        <v>0</v>
      </c>
      <c r="Z3123" s="63">
        <v>0</v>
      </c>
      <c r="AA3123">
        <v>0</v>
      </c>
      <c r="AB3123" s="63"/>
      <c r="AC3123" s="63"/>
      <c r="AD3123">
        <v>0</v>
      </c>
      <c r="AE3123" s="63">
        <v>1</v>
      </c>
      <c r="AF3123" s="63">
        <v>0</v>
      </c>
      <c r="AG3123" s="63"/>
      <c r="AH3123" s="63"/>
      <c r="AI3123" s="1"/>
      <c r="AJ3123" s="63"/>
      <c r="AK3123" s="63"/>
      <c r="AL3123">
        <v>0</v>
      </c>
      <c r="AM3123" s="63">
        <v>0</v>
      </c>
      <c r="AN3123" s="63"/>
      <c r="AO3123" s="63"/>
      <c r="AP3123" s="63"/>
      <c r="AQ3123" s="63">
        <v>1</v>
      </c>
      <c r="AR3123" s="63"/>
      <c r="AS3123" s="63"/>
      <c r="AT3123" s="63"/>
      <c r="AU3123" s="63"/>
      <c r="AW3123" s="5">
        <f>IF(Q3123&gt;0,RANK(Q3123,(N3123:P3123,Q3123:AE3123)),0)</f>
        <v>3</v>
      </c>
      <c r="AX3123" s="5">
        <f>IF(R3123&gt;0,RANK(R3123,(N3123:P3123,Q3123:AE3123)),0)</f>
        <v>5</v>
      </c>
      <c r="AY3123" s="5">
        <f>IF(T3123&gt;0,RANK(T3123,(N3123:P3123,Q3123:AE3123)),0)</f>
        <v>7</v>
      </c>
      <c r="AZ3123" s="5">
        <f>IF(S3123&gt;0,RANK(S3123,(N3123:P3123,Q3123:AE3123)),0)</f>
        <v>6</v>
      </c>
      <c r="BA3123" s="2">
        <f t="shared" si="1220"/>
        <v>3.2436791176776607E-2</v>
      </c>
      <c r="BB3123" s="2">
        <f t="shared" si="1221"/>
        <v>1.0586827593382583E-2</v>
      </c>
      <c r="BC3123" s="2">
        <f t="shared" si="1222"/>
        <v>1.3005930704401207E-5</v>
      </c>
      <c r="BD3123" s="2">
        <f t="shared" si="1223"/>
        <v>3.4985953594839246E-3</v>
      </c>
      <c r="BF3123" t="s">
        <v>764</v>
      </c>
      <c r="BG3123" t="s">
        <v>2358</v>
      </c>
      <c r="BH3123">
        <v>2</v>
      </c>
      <c r="BJ3123" s="114">
        <v>54</v>
      </c>
      <c r="BK3123" s="116">
        <v>39</v>
      </c>
      <c r="BL3123" s="120">
        <f t="shared" si="1225"/>
        <v>54039</v>
      </c>
      <c r="BN3123" s="5" t="s">
        <v>3154</v>
      </c>
      <c r="CA3123" s="63">
        <v>1198</v>
      </c>
      <c r="CD3123" s="63">
        <v>0</v>
      </c>
      <c r="CE3123" s="63">
        <v>0</v>
      </c>
      <c r="CF3123" s="63">
        <v>0</v>
      </c>
      <c r="CG3123" s="63">
        <v>0</v>
      </c>
      <c r="CH3123" s="8">
        <v>0</v>
      </c>
      <c r="CI3123" s="8">
        <v>0</v>
      </c>
      <c r="CJ3123" s="8">
        <v>0</v>
      </c>
      <c r="CK3123" s="8">
        <v>0</v>
      </c>
      <c r="CL3123" s="8">
        <v>216</v>
      </c>
      <c r="CP3123" s="8"/>
    </row>
    <row r="3124" spans="1:94" hidden="1" outlineLevel="1">
      <c r="A3124" t="s">
        <v>2787</v>
      </c>
      <c r="B3124" t="s">
        <v>2358</v>
      </c>
      <c r="C3124" s="1">
        <f t="shared" si="1215"/>
        <v>6936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6</v>
      </c>
      <c r="G3124" s="132">
        <f t="shared" si="1210"/>
        <v>3927</v>
      </c>
      <c r="H3124" s="137">
        <f t="shared" si="1211"/>
        <v>0.56617647058823528</v>
      </c>
      <c r="I3124" s="2"/>
      <c r="J3124" s="2">
        <f t="shared" si="1216"/>
        <v>0.19420415224913495</v>
      </c>
      <c r="K3124" s="2">
        <f t="shared" si="1217"/>
        <v>0.76038062283737029</v>
      </c>
      <c r="L3124" s="2">
        <f t="shared" si="1218"/>
        <v>8.6505190311418688E-4</v>
      </c>
      <c r="M3124" s="2">
        <f t="shared" si="1219"/>
        <v>4.4550173010380625E-2</v>
      </c>
      <c r="N3124" s="63">
        <v>1347</v>
      </c>
      <c r="O3124" s="63">
        <v>5274</v>
      </c>
      <c r="P3124" s="63">
        <v>6</v>
      </c>
      <c r="Q3124" s="63">
        <v>209</v>
      </c>
      <c r="R3124" s="63">
        <v>69</v>
      </c>
      <c r="S3124" s="63">
        <v>29</v>
      </c>
      <c r="T3124" s="63">
        <v>0</v>
      </c>
      <c r="U3124" s="63"/>
      <c r="V3124" s="63">
        <v>0</v>
      </c>
      <c r="W3124" s="63">
        <f>IF(Copyright!B$11=1,IF(CA3124&gt;0,CA3124-SUM(T3124:V3124)-P3124-SUM(AJ3124:AQ3124)-SUM(X3124:AH3124),SUM(CD3124:CQ3124)),SUM(CD3124:CQ3124))</f>
        <v>1</v>
      </c>
      <c r="X3124" s="63"/>
      <c r="Y3124" s="63">
        <v>0</v>
      </c>
      <c r="Z3124" s="63">
        <v>1</v>
      </c>
      <c r="AA3124">
        <v>0</v>
      </c>
      <c r="AB3124" s="63"/>
      <c r="AC3124" s="63"/>
      <c r="AD3124">
        <v>0</v>
      </c>
      <c r="AE3124" s="63">
        <v>0</v>
      </c>
      <c r="AF3124" s="63">
        <v>0</v>
      </c>
      <c r="AG3124" s="63"/>
      <c r="AH3124" s="63"/>
      <c r="AI3124" s="1"/>
      <c r="AJ3124" s="63"/>
      <c r="AK3124" s="63"/>
      <c r="AL3124">
        <v>0</v>
      </c>
      <c r="AM3124" s="63">
        <v>0</v>
      </c>
      <c r="AN3124" s="63"/>
      <c r="AO3124" s="63"/>
      <c r="AP3124" s="63"/>
      <c r="AQ3124" s="63">
        <v>0</v>
      </c>
      <c r="AR3124" s="63"/>
      <c r="AS3124" s="63"/>
      <c r="AT3124" s="63"/>
      <c r="AU3124" s="63"/>
      <c r="AW3124" s="5">
        <f>IF(Q3124&gt;0,RANK(Q3124,(N3124:P3124,Q3124:AE3124)),0)</f>
        <v>3</v>
      </c>
      <c r="AX3124" s="5">
        <f>IF(R3124&gt;0,RANK(R3124,(N3124:P3124,Q3124:AE3124)),0)</f>
        <v>4</v>
      </c>
      <c r="AY3124" s="5">
        <f>IF(T3124&gt;0,RANK(T3124,(N3124:P3124,Q3124:AE3124)),0)</f>
        <v>0</v>
      </c>
      <c r="AZ3124" s="5">
        <f>IF(S3124&gt;0,RANK(S3124,(N3124:P3124,Q3124:AE3124)),0)</f>
        <v>5</v>
      </c>
      <c r="BA3124" s="2">
        <f t="shared" si="1220"/>
        <v>3.0132641291810841E-2</v>
      </c>
      <c r="BB3124" s="2">
        <f t="shared" si="1221"/>
        <v>9.9480968858131485E-3</v>
      </c>
      <c r="BC3124" s="2">
        <f t="shared" si="1222"/>
        <v>0</v>
      </c>
      <c r="BD3124" s="2">
        <f t="shared" si="1223"/>
        <v>4.181084198385236E-3</v>
      </c>
      <c r="BF3124" t="s">
        <v>2787</v>
      </c>
      <c r="BG3124" t="s">
        <v>2358</v>
      </c>
      <c r="BH3124">
        <v>2</v>
      </c>
      <c r="BJ3124" s="114">
        <v>54</v>
      </c>
      <c r="BK3124" s="116">
        <v>41</v>
      </c>
      <c r="BL3124" s="120">
        <f t="shared" si="1225"/>
        <v>54041</v>
      </c>
      <c r="BN3124" s="5" t="s">
        <v>3154</v>
      </c>
      <c r="BR3124" s="63"/>
      <c r="CA3124" s="63">
        <v>8</v>
      </c>
      <c r="CD3124" s="63">
        <v>0</v>
      </c>
      <c r="CE3124" s="63">
        <v>1</v>
      </c>
      <c r="CF3124" s="63">
        <v>0</v>
      </c>
      <c r="CG3124" s="63">
        <v>0</v>
      </c>
      <c r="CH3124" s="8">
        <v>1</v>
      </c>
      <c r="CI3124" s="8">
        <v>0</v>
      </c>
      <c r="CJ3124" s="8">
        <v>0</v>
      </c>
      <c r="CK3124" s="8">
        <v>0</v>
      </c>
      <c r="CL3124" s="8">
        <v>0</v>
      </c>
      <c r="CP3124" s="8"/>
    </row>
    <row r="3125" spans="1:94" hidden="1" outlineLevel="1">
      <c r="A3125" t="s">
        <v>1597</v>
      </c>
      <c r="B3125" t="s">
        <v>2358</v>
      </c>
      <c r="C3125" s="1">
        <f t="shared" si="1215"/>
        <v>7137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7</v>
      </c>
      <c r="G3125" s="132">
        <f t="shared" si="1210"/>
        <v>3848</v>
      </c>
      <c r="H3125" s="137">
        <f t="shared" si="1211"/>
        <v>0.53916211293260474</v>
      </c>
      <c r="I3125" s="2"/>
      <c r="J3125" s="2">
        <f t="shared" si="1216"/>
        <v>0.20442763065713884</v>
      </c>
      <c r="K3125" s="2">
        <f t="shared" si="1217"/>
        <v>0.74358974358974361</v>
      </c>
      <c r="L3125" s="2">
        <f t="shared" si="1218"/>
        <v>1.5412638363458036E-3</v>
      </c>
      <c r="M3125" s="2">
        <f t="shared" si="1219"/>
        <v>5.0441361916771711E-2</v>
      </c>
      <c r="N3125" s="63">
        <v>1459</v>
      </c>
      <c r="O3125" s="63">
        <v>5307</v>
      </c>
      <c r="P3125" s="63">
        <v>11</v>
      </c>
      <c r="Q3125" s="63">
        <v>191</v>
      </c>
      <c r="R3125" s="63">
        <v>62</v>
      </c>
      <c r="S3125" s="63">
        <v>47</v>
      </c>
      <c r="T3125" s="63">
        <v>0</v>
      </c>
      <c r="U3125" s="63"/>
      <c r="V3125" s="63">
        <v>0</v>
      </c>
      <c r="W3125" s="63">
        <f>IF(Copyright!B$11=1,IF(CA3125&gt;0,CA3125-SUM(T3125:V3125)-P3125-SUM(AJ3125:AQ3125)-SUM(X3125:AH3125),SUM(CD3125:CQ3125)),SUM(CD3125:CQ3125))</f>
        <v>59</v>
      </c>
      <c r="X3125" s="63"/>
      <c r="Y3125" s="63">
        <v>0</v>
      </c>
      <c r="Z3125" s="63">
        <v>0</v>
      </c>
      <c r="AA3125">
        <v>0</v>
      </c>
      <c r="AB3125" s="63"/>
      <c r="AC3125" s="63"/>
      <c r="AD3125">
        <v>0</v>
      </c>
      <c r="AE3125" s="63">
        <v>0</v>
      </c>
      <c r="AF3125" s="63">
        <v>0</v>
      </c>
      <c r="AG3125" s="63"/>
      <c r="AH3125" s="63"/>
      <c r="AI3125" s="1"/>
      <c r="AJ3125" s="63"/>
      <c r="AK3125" s="63"/>
      <c r="AL3125">
        <v>0</v>
      </c>
      <c r="AM3125" s="63">
        <v>1</v>
      </c>
      <c r="AN3125" s="63"/>
      <c r="AO3125" s="63"/>
      <c r="AP3125" s="63"/>
      <c r="AQ3125" s="63">
        <v>0</v>
      </c>
      <c r="AR3125" s="63"/>
      <c r="AS3125" s="63"/>
      <c r="AT3125" s="63"/>
      <c r="AU3125" s="63"/>
      <c r="AW3125" s="5">
        <f>IF(Q3125&gt;0,RANK(Q3125,(N3125:P3125,Q3125:AE3125)),0)</f>
        <v>3</v>
      </c>
      <c r="AX3125" s="5">
        <f>IF(R3125&gt;0,RANK(R3125,(N3125:P3125,Q3125:AE3125)),0)</f>
        <v>4</v>
      </c>
      <c r="AY3125" s="5">
        <f>IF(T3125&gt;0,RANK(T3125,(N3125:P3125,Q3125:AE3125)),0)</f>
        <v>0</v>
      </c>
      <c r="AZ3125" s="5">
        <f>IF(S3125&gt;0,RANK(S3125,(N3125:P3125,Q3125:AE3125)),0)</f>
        <v>6</v>
      </c>
      <c r="BA3125" s="2">
        <f t="shared" si="1220"/>
        <v>2.6761944794731679E-2</v>
      </c>
      <c r="BB3125" s="2">
        <f t="shared" si="1221"/>
        <v>8.6871234412218019E-3</v>
      </c>
      <c r="BC3125" s="2">
        <f t="shared" si="1222"/>
        <v>0</v>
      </c>
      <c r="BD3125" s="2">
        <f t="shared" si="1223"/>
        <v>6.5854000280229788E-3</v>
      </c>
      <c r="BF3125" t="s">
        <v>1597</v>
      </c>
      <c r="BG3125" t="s">
        <v>2358</v>
      </c>
      <c r="BH3125">
        <v>3</v>
      </c>
      <c r="BJ3125" s="114">
        <v>54</v>
      </c>
      <c r="BK3125" s="116">
        <v>43</v>
      </c>
      <c r="BL3125" s="120">
        <f t="shared" si="1225"/>
        <v>54043</v>
      </c>
      <c r="BN3125" s="5" t="s">
        <v>3154</v>
      </c>
      <c r="BZ3125" s="63">
        <f t="shared" si="1224"/>
        <v>7137</v>
      </c>
      <c r="CA3125" s="63">
        <v>71</v>
      </c>
      <c r="CD3125" s="63">
        <v>0</v>
      </c>
      <c r="CE3125" s="63">
        <v>0</v>
      </c>
      <c r="CF3125" s="63">
        <v>0</v>
      </c>
      <c r="CG3125" s="63">
        <v>0</v>
      </c>
      <c r="CH3125" s="8">
        <v>0</v>
      </c>
      <c r="CI3125" s="8">
        <v>0</v>
      </c>
      <c r="CJ3125" s="8">
        <v>0</v>
      </c>
      <c r="CK3125" s="8">
        <v>0</v>
      </c>
      <c r="CL3125" s="8">
        <v>0</v>
      </c>
      <c r="CP3125" s="8"/>
    </row>
    <row r="3126" spans="1:94" hidden="1" outlineLevel="1">
      <c r="A3126" t="s">
        <v>844</v>
      </c>
      <c r="B3126" t="s">
        <v>2358</v>
      </c>
      <c r="C3126" s="1">
        <f t="shared" si="1215"/>
        <v>12440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7</v>
      </c>
      <c r="G3126" s="132">
        <f t="shared" si="1210"/>
        <v>7805</v>
      </c>
      <c r="H3126" s="137">
        <f t="shared" si="1211"/>
        <v>0.627411575562701</v>
      </c>
      <c r="I3126" s="2"/>
      <c r="J3126" s="2">
        <f t="shared" si="1216"/>
        <v>0.16816720257234727</v>
      </c>
      <c r="K3126" s="2">
        <f t="shared" si="1217"/>
        <v>0.79557877813504818</v>
      </c>
      <c r="L3126" s="2">
        <f t="shared" si="1218"/>
        <v>1.2057877813504824E-3</v>
      </c>
      <c r="M3126" s="2">
        <f t="shared" si="1219"/>
        <v>3.5048231511254038E-2</v>
      </c>
      <c r="N3126" s="63">
        <v>2092</v>
      </c>
      <c r="O3126" s="63">
        <v>9897</v>
      </c>
      <c r="P3126" s="63">
        <v>15</v>
      </c>
      <c r="Q3126" s="63">
        <v>237</v>
      </c>
      <c r="R3126" s="63">
        <v>85</v>
      </c>
      <c r="S3126" s="63">
        <v>48</v>
      </c>
      <c r="T3126" s="63">
        <v>0</v>
      </c>
      <c r="U3126" s="63"/>
      <c r="V3126" s="63">
        <v>0</v>
      </c>
      <c r="W3126" s="63">
        <f>IF(Copyright!B$11=1,IF(CA3126&gt;0,CA3126-SUM(T3126:V3126)-P3126-SUM(AJ3126:AQ3126)-SUM(X3126:AH3126),SUM(CD3126:CQ3126)),SUM(CD3126:CQ3126))</f>
        <v>66</v>
      </c>
      <c r="X3126" s="63"/>
      <c r="Y3126" s="63">
        <v>0</v>
      </c>
      <c r="Z3126" s="63">
        <v>0</v>
      </c>
      <c r="AA3126">
        <v>0</v>
      </c>
      <c r="AB3126" s="63"/>
      <c r="AC3126" s="63"/>
      <c r="AD3126">
        <v>0</v>
      </c>
      <c r="AE3126" s="63">
        <v>0</v>
      </c>
      <c r="AF3126" s="63">
        <v>0</v>
      </c>
      <c r="AG3126" s="63"/>
      <c r="AH3126" s="63"/>
      <c r="AI3126" s="1"/>
      <c r="AJ3126" s="63"/>
      <c r="AK3126" s="63"/>
      <c r="AL3126">
        <v>0</v>
      </c>
      <c r="AM3126" s="63">
        <v>0</v>
      </c>
      <c r="AN3126" s="63"/>
      <c r="AO3126" s="63"/>
      <c r="AP3126" s="63"/>
      <c r="AQ3126" s="63">
        <v>0</v>
      </c>
      <c r="AR3126" s="63"/>
      <c r="AS3126" s="63"/>
      <c r="AT3126" s="63"/>
      <c r="AU3126" s="63"/>
      <c r="AW3126" s="5">
        <f>IF(Q3126&gt;0,RANK(Q3126,(N3126:P3126,Q3126:AE3126)),0)</f>
        <v>3</v>
      </c>
      <c r="AX3126" s="5">
        <f>IF(R3126&gt;0,RANK(R3126,(N3126:P3126,Q3126:AE3126)),0)</f>
        <v>4</v>
      </c>
      <c r="AY3126" s="5">
        <f>IF(T3126&gt;0,RANK(T3126,(N3126:P3126,Q3126:AE3126)),0)</f>
        <v>0</v>
      </c>
      <c r="AZ3126" s="5">
        <f>IF(S3126&gt;0,RANK(S3126,(N3126:P3126,Q3126:AE3126)),0)</f>
        <v>6</v>
      </c>
      <c r="BA3126" s="2">
        <f t="shared" si="1220"/>
        <v>1.905144694533762E-2</v>
      </c>
      <c r="BB3126" s="2">
        <f t="shared" si="1221"/>
        <v>6.8327974276527334E-3</v>
      </c>
      <c r="BC3126" s="2">
        <f t="shared" si="1222"/>
        <v>0</v>
      </c>
      <c r="BD3126" s="2">
        <f t="shared" si="1223"/>
        <v>3.8585209003215433E-3</v>
      </c>
      <c r="BF3126" t="s">
        <v>844</v>
      </c>
      <c r="BG3126" t="s">
        <v>2358</v>
      </c>
      <c r="BH3126">
        <v>3</v>
      </c>
      <c r="BJ3126" s="114">
        <v>54</v>
      </c>
      <c r="BK3126" s="116">
        <v>45</v>
      </c>
      <c r="BL3126" s="120">
        <f t="shared" si="1225"/>
        <v>54045</v>
      </c>
      <c r="BN3126" s="5" t="s">
        <v>3154</v>
      </c>
      <c r="CA3126" s="63">
        <v>81</v>
      </c>
      <c r="CD3126" s="63">
        <v>0</v>
      </c>
      <c r="CE3126" s="63">
        <v>0</v>
      </c>
      <c r="CF3126" s="63">
        <v>0</v>
      </c>
      <c r="CG3126" s="63">
        <v>0</v>
      </c>
      <c r="CH3126" s="8">
        <v>0</v>
      </c>
      <c r="CI3126" s="8">
        <v>0</v>
      </c>
      <c r="CJ3126" s="8">
        <v>0</v>
      </c>
      <c r="CK3126" s="8">
        <v>0</v>
      </c>
      <c r="CL3126" s="8">
        <v>0</v>
      </c>
      <c r="CP3126" s="8"/>
    </row>
    <row r="3127" spans="1:94" hidden="1" outlineLevel="1">
      <c r="A3127" t="s">
        <v>1719</v>
      </c>
      <c r="B3127" t="s">
        <v>2358</v>
      </c>
      <c r="C3127" s="1">
        <f t="shared" si="1215"/>
        <v>6246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32">
        <f t="shared" si="1210"/>
        <v>3191</v>
      </c>
      <c r="H3127" s="137">
        <f t="shared" si="1211"/>
        <v>0.51088696765930197</v>
      </c>
      <c r="I3127" s="2"/>
      <c r="J3127" s="2">
        <f t="shared" si="1216"/>
        <v>0.23022734550112073</v>
      </c>
      <c r="K3127" s="2">
        <f t="shared" si="1217"/>
        <v>0.74111431316042264</v>
      </c>
      <c r="L3127" s="2">
        <f t="shared" si="1218"/>
        <v>0</v>
      </c>
      <c r="M3127" s="2">
        <f t="shared" si="1219"/>
        <v>2.8658341338456572E-2</v>
      </c>
      <c r="N3127" s="63">
        <v>1438</v>
      </c>
      <c r="O3127" s="63">
        <v>4629</v>
      </c>
      <c r="P3127" s="63">
        <v>0</v>
      </c>
      <c r="Q3127" s="63">
        <v>90</v>
      </c>
      <c r="R3127" s="63">
        <v>27</v>
      </c>
      <c r="S3127" s="63">
        <v>19</v>
      </c>
      <c r="T3127" s="63">
        <v>0</v>
      </c>
      <c r="U3127" s="63"/>
      <c r="V3127" s="63">
        <v>0</v>
      </c>
      <c r="W3127" s="63">
        <f>IF(Copyright!B$11=1,IF(CA3127&gt;0,CA3127-SUM(T3127:V3127)-P3127-SUM(AJ3127:AQ3127)-SUM(X3127:AH3127),SUM(CD3127:CQ3127)),SUM(CD3127:CQ3127))</f>
        <v>43</v>
      </c>
      <c r="X3127" s="63"/>
      <c r="Y3127" s="63">
        <v>0</v>
      </c>
      <c r="Z3127" s="63">
        <v>0</v>
      </c>
      <c r="AA3127">
        <v>0</v>
      </c>
      <c r="AB3127" s="63"/>
      <c r="AC3127" s="63"/>
      <c r="AD3127">
        <v>0</v>
      </c>
      <c r="AE3127" s="63">
        <v>0</v>
      </c>
      <c r="AF3127" s="63">
        <v>0</v>
      </c>
      <c r="AG3127" s="63"/>
      <c r="AH3127" s="63"/>
      <c r="AI3127" s="1"/>
      <c r="AJ3127" s="63"/>
      <c r="AK3127" s="63"/>
      <c r="AL3127">
        <v>0</v>
      </c>
      <c r="AM3127" s="63">
        <v>0</v>
      </c>
      <c r="AN3127" s="63"/>
      <c r="AO3127" s="63"/>
      <c r="AP3127" s="63"/>
      <c r="AQ3127" s="63">
        <v>0</v>
      </c>
      <c r="AR3127" s="63"/>
      <c r="AS3127" s="63"/>
      <c r="AT3127" s="63"/>
      <c r="AU3127" s="63"/>
      <c r="AW3127" s="5">
        <f>IF(Q3127&gt;0,RANK(Q3127,(N3127:P3127,Q3127:AE3127)),0)</f>
        <v>3</v>
      </c>
      <c r="AX3127" s="5">
        <f>IF(R3127&gt;0,RANK(R3127,(N3127:P3127,Q3127:AE3127)),0)</f>
        <v>5</v>
      </c>
      <c r="AY3127" s="5">
        <f>IF(T3127&gt;0,RANK(T3127,(N3127:P3127,Q3127:AE3127)),0)</f>
        <v>0</v>
      </c>
      <c r="AZ3127" s="5">
        <f>IF(S3127&gt;0,RANK(S3127,(N3127:P3127,Q3127:AE3127)),0)</f>
        <v>6</v>
      </c>
      <c r="BA3127" s="2">
        <f t="shared" si="1220"/>
        <v>1.4409221902017291E-2</v>
      </c>
      <c r="BB3127" s="2">
        <f t="shared" si="1221"/>
        <v>4.3227665706051877E-3</v>
      </c>
      <c r="BC3127" s="2">
        <f t="shared" si="1222"/>
        <v>0</v>
      </c>
      <c r="BD3127" s="2">
        <f t="shared" si="1223"/>
        <v>3.0419468459814279E-3</v>
      </c>
      <c r="BF3127" t="s">
        <v>1719</v>
      </c>
      <c r="BG3127" t="s">
        <v>2358</v>
      </c>
      <c r="BH3127">
        <v>3</v>
      </c>
      <c r="BJ3127" s="114">
        <v>54</v>
      </c>
      <c r="BK3127" s="116">
        <v>47</v>
      </c>
      <c r="BL3127" s="120">
        <f t="shared" si="1225"/>
        <v>54047</v>
      </c>
      <c r="BN3127" s="5" t="s">
        <v>3154</v>
      </c>
      <c r="BZ3127" s="63">
        <f t="shared" si="1224"/>
        <v>6246</v>
      </c>
      <c r="CA3127" s="63">
        <v>43</v>
      </c>
      <c r="CD3127" s="63">
        <v>0</v>
      </c>
      <c r="CE3127" s="63">
        <v>0</v>
      </c>
      <c r="CF3127" s="63">
        <v>0</v>
      </c>
      <c r="CG3127" s="63">
        <v>0</v>
      </c>
      <c r="CH3127" s="8">
        <v>0</v>
      </c>
      <c r="CI3127" s="8">
        <v>0</v>
      </c>
      <c r="CJ3127" s="8">
        <v>0</v>
      </c>
      <c r="CK3127" s="8">
        <v>0</v>
      </c>
      <c r="CL3127" s="8">
        <v>0</v>
      </c>
      <c r="CP3127" s="8"/>
    </row>
    <row r="3128" spans="1:94" hidden="1" outlineLevel="1">
      <c r="A3128" t="s">
        <v>1826</v>
      </c>
      <c r="B3128" t="s">
        <v>2358</v>
      </c>
      <c r="C3128" s="1">
        <f t="shared" si="1215"/>
        <v>23364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7</v>
      </c>
      <c r="G3128" s="132">
        <f t="shared" si="1210"/>
        <v>7704</v>
      </c>
      <c r="H3128" s="137">
        <f t="shared" si="1211"/>
        <v>0.32973805855161786</v>
      </c>
      <c r="I3128" s="2"/>
      <c r="J3128" s="2">
        <f t="shared" si="1216"/>
        <v>0.29806539976031504</v>
      </c>
      <c r="K3128" s="2">
        <f t="shared" si="1217"/>
        <v>0.62780345831193285</v>
      </c>
      <c r="L3128" s="2">
        <f t="shared" si="1218"/>
        <v>1.8404382811162473E-3</v>
      </c>
      <c r="M3128" s="2">
        <f t="shared" si="1219"/>
        <v>7.2290703646635812E-2</v>
      </c>
      <c r="N3128" s="63">
        <v>6964</v>
      </c>
      <c r="O3128" s="63">
        <v>14668</v>
      </c>
      <c r="P3128" s="63">
        <v>43</v>
      </c>
      <c r="Q3128" s="63">
        <v>899</v>
      </c>
      <c r="R3128" s="63">
        <v>367</v>
      </c>
      <c r="S3128" s="63">
        <v>131</v>
      </c>
      <c r="T3128" s="63">
        <v>0</v>
      </c>
      <c r="U3128" s="63"/>
      <c r="V3128" s="63">
        <v>0</v>
      </c>
      <c r="W3128" s="63">
        <f>IF(Copyright!B$11=1,IF(CA3128&gt;0,CA3128-SUM(T3128:V3128)-P3128-SUM(AJ3128:AQ3128)-SUM(X3128:AH3128),SUM(CD3128:CQ3128)),SUM(CD3128:CQ3128))</f>
        <v>292</v>
      </c>
      <c r="X3128" s="63"/>
      <c r="Y3128" s="63">
        <v>0</v>
      </c>
      <c r="Z3128" s="63">
        <v>0</v>
      </c>
      <c r="AA3128">
        <v>0</v>
      </c>
      <c r="AB3128" s="63"/>
      <c r="AC3128" s="63"/>
      <c r="AD3128">
        <v>0</v>
      </c>
      <c r="AE3128" s="63">
        <v>0</v>
      </c>
      <c r="AF3128" s="63">
        <v>0</v>
      </c>
      <c r="AG3128" s="63"/>
      <c r="AH3128" s="63"/>
      <c r="AI3128" s="1"/>
      <c r="AJ3128" s="63"/>
      <c r="AK3128" s="63"/>
      <c r="AL3128">
        <v>0</v>
      </c>
      <c r="AM3128" s="63">
        <v>0</v>
      </c>
      <c r="AN3128" s="63"/>
      <c r="AO3128" s="63"/>
      <c r="AP3128" s="63"/>
      <c r="AQ3128" s="63">
        <v>0</v>
      </c>
      <c r="AR3128" s="63"/>
      <c r="AS3128" s="63"/>
      <c r="AT3128" s="63"/>
      <c r="AU3128" s="63"/>
      <c r="AW3128" s="5">
        <f>IF(Q3128&gt;0,RANK(Q3128,(N3128:P3128,Q3128:AE3128)),0)</f>
        <v>3</v>
      </c>
      <c r="AX3128" s="5">
        <f>IF(R3128&gt;0,RANK(R3128,(N3128:P3128,Q3128:AE3128)),0)</f>
        <v>4</v>
      </c>
      <c r="AY3128" s="5">
        <f>IF(T3128&gt;0,RANK(T3128,(N3128:P3128,Q3128:AE3128)),0)</f>
        <v>0</v>
      </c>
      <c r="AZ3128" s="5">
        <f>IF(S3128&gt;0,RANK(S3128,(N3128:P3128,Q3128:AE3128)),0)</f>
        <v>6</v>
      </c>
      <c r="BA3128" s="2">
        <f t="shared" si="1220"/>
        <v>3.8478000342407122E-2</v>
      </c>
      <c r="BB3128" s="2">
        <f t="shared" si="1221"/>
        <v>1.5707926724875879E-2</v>
      </c>
      <c r="BC3128" s="2">
        <f t="shared" si="1222"/>
        <v>0</v>
      </c>
      <c r="BD3128" s="2">
        <f t="shared" si="1223"/>
        <v>5.6069166238657767E-3</v>
      </c>
      <c r="BF3128" t="s">
        <v>1826</v>
      </c>
      <c r="BG3128" t="s">
        <v>2358</v>
      </c>
      <c r="BH3128">
        <v>1</v>
      </c>
      <c r="BJ3128" s="114">
        <v>54</v>
      </c>
      <c r="BK3128" s="116">
        <v>49</v>
      </c>
      <c r="BL3128" s="120">
        <f t="shared" si="1225"/>
        <v>54049</v>
      </c>
      <c r="BN3128" s="5" t="s">
        <v>3154</v>
      </c>
      <c r="BZ3128" s="63">
        <f t="shared" si="1224"/>
        <v>23364</v>
      </c>
      <c r="CA3128" s="63">
        <v>335</v>
      </c>
      <c r="CD3128" s="63">
        <v>0</v>
      </c>
      <c r="CE3128" s="63">
        <v>0</v>
      </c>
      <c r="CF3128" s="63">
        <v>0</v>
      </c>
      <c r="CG3128" s="63">
        <v>0</v>
      </c>
      <c r="CH3128" s="8">
        <v>0</v>
      </c>
      <c r="CI3128" s="8">
        <v>0</v>
      </c>
      <c r="CJ3128" s="8">
        <v>0</v>
      </c>
      <c r="CK3128" s="8">
        <v>0</v>
      </c>
      <c r="CL3128" s="8">
        <v>0</v>
      </c>
      <c r="CP3128" s="8"/>
    </row>
    <row r="3129" spans="1:94" hidden="1" outlineLevel="1">
      <c r="A3129" t="s">
        <v>1847</v>
      </c>
      <c r="B3129" t="s">
        <v>2358</v>
      </c>
      <c r="C3129" s="1">
        <f t="shared" si="1215"/>
        <v>13351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7</v>
      </c>
      <c r="G3129" s="132">
        <f t="shared" si="1210"/>
        <v>6748</v>
      </c>
      <c r="H3129" s="137">
        <f t="shared" si="1211"/>
        <v>0.50543030484607898</v>
      </c>
      <c r="I3129" s="2"/>
      <c r="J3129" s="2">
        <f t="shared" si="1216"/>
        <v>0.21856040746011535</v>
      </c>
      <c r="K3129" s="2">
        <f t="shared" si="1217"/>
        <v>0.72399071230619427</v>
      </c>
      <c r="L3129" s="2">
        <f t="shared" si="1218"/>
        <v>1.1984121039622501E-3</v>
      </c>
      <c r="M3129" s="2">
        <f t="shared" si="1219"/>
        <v>5.6250468129728184E-2</v>
      </c>
      <c r="N3129" s="63">
        <v>2918</v>
      </c>
      <c r="O3129" s="63">
        <v>9666</v>
      </c>
      <c r="P3129" s="63">
        <v>16</v>
      </c>
      <c r="Q3129" s="63">
        <v>418</v>
      </c>
      <c r="R3129" s="63">
        <v>153</v>
      </c>
      <c r="S3129" s="63">
        <v>61</v>
      </c>
      <c r="T3129" s="63">
        <v>0</v>
      </c>
      <c r="U3129" s="63"/>
      <c r="V3129" s="63">
        <v>0</v>
      </c>
      <c r="W3129" s="63">
        <f>IF(Copyright!B$11=1,IF(CA3129&gt;0,CA3129-SUM(T3129:V3129)-P3129-SUM(AJ3129:AQ3129)-SUM(X3129:AH3129),SUM(CD3129:CQ3129)),SUM(CD3129:CQ3129))</f>
        <v>119</v>
      </c>
      <c r="X3129" s="63"/>
      <c r="Y3129" s="63">
        <v>0</v>
      </c>
      <c r="Z3129" s="63">
        <v>0</v>
      </c>
      <c r="AA3129">
        <v>0</v>
      </c>
      <c r="AB3129" s="63"/>
      <c r="AC3129" s="63"/>
      <c r="AD3129">
        <v>0</v>
      </c>
      <c r="AE3129" s="63">
        <v>0</v>
      </c>
      <c r="AF3129" s="63">
        <v>0</v>
      </c>
      <c r="AG3129" s="63"/>
      <c r="AH3129" s="63"/>
      <c r="AI3129" s="1"/>
      <c r="AJ3129" s="63"/>
      <c r="AK3129" s="63"/>
      <c r="AL3129">
        <v>0</v>
      </c>
      <c r="AM3129" s="63">
        <v>0</v>
      </c>
      <c r="AN3129" s="63"/>
      <c r="AO3129" s="63"/>
      <c r="AP3129" s="63"/>
      <c r="AQ3129" s="63">
        <v>0</v>
      </c>
      <c r="AR3129" s="63"/>
      <c r="AS3129" s="63"/>
      <c r="AT3129" s="63"/>
      <c r="AU3129" s="63"/>
      <c r="AW3129" s="5">
        <f>IF(Q3129&gt;0,RANK(Q3129,(N3129:P3129,Q3129:AE3129)),0)</f>
        <v>3</v>
      </c>
      <c r="AX3129" s="5">
        <f>IF(R3129&gt;0,RANK(R3129,(N3129:P3129,Q3129:AE3129)),0)</f>
        <v>4</v>
      </c>
      <c r="AY3129" s="5">
        <f>IF(T3129&gt;0,RANK(T3129,(N3129:P3129,Q3129:AE3129)),0)</f>
        <v>0</v>
      </c>
      <c r="AZ3129" s="5">
        <f>IF(S3129&gt;0,RANK(S3129,(N3129:P3129,Q3129:AE3129)),0)</f>
        <v>6</v>
      </c>
      <c r="BA3129" s="2">
        <f t="shared" si="1220"/>
        <v>3.1308516216013785E-2</v>
      </c>
      <c r="BB3129" s="2">
        <f t="shared" si="1221"/>
        <v>1.1459815744139016E-2</v>
      </c>
      <c r="BC3129" s="2">
        <f t="shared" si="1222"/>
        <v>0</v>
      </c>
      <c r="BD3129" s="2">
        <f t="shared" si="1223"/>
        <v>4.5689461463560782E-3</v>
      </c>
      <c r="BF3129" t="s">
        <v>1847</v>
      </c>
      <c r="BG3129" t="s">
        <v>2358</v>
      </c>
      <c r="BH3129">
        <v>1</v>
      </c>
      <c r="BJ3129" s="114">
        <v>54</v>
      </c>
      <c r="BK3129" s="116">
        <v>51</v>
      </c>
      <c r="BL3129" s="120">
        <f t="shared" si="1225"/>
        <v>54051</v>
      </c>
      <c r="BN3129" s="5" t="s">
        <v>3154</v>
      </c>
      <c r="BZ3129" s="63">
        <f t="shared" si="1224"/>
        <v>13351</v>
      </c>
      <c r="CA3129" s="63">
        <v>135</v>
      </c>
      <c r="CD3129" s="63">
        <v>0</v>
      </c>
      <c r="CE3129" s="63">
        <v>0</v>
      </c>
      <c r="CF3129" s="63">
        <v>0</v>
      </c>
      <c r="CG3129" s="63">
        <v>0</v>
      </c>
      <c r="CH3129" s="8">
        <v>0</v>
      </c>
      <c r="CI3129" s="8">
        <v>0</v>
      </c>
      <c r="CJ3129" s="8">
        <v>1</v>
      </c>
      <c r="CK3129" s="8">
        <v>0</v>
      </c>
      <c r="CL3129" s="8">
        <v>0</v>
      </c>
      <c r="CP3129" s="8"/>
    </row>
    <row r="3130" spans="1:94" hidden="1" outlineLevel="1">
      <c r="A3130" t="s">
        <v>1942</v>
      </c>
      <c r="B3130" t="s">
        <v>2358</v>
      </c>
      <c r="C3130" s="1">
        <f t="shared" si="1215"/>
        <v>10269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7</v>
      </c>
      <c r="G3130" s="132">
        <f t="shared" si="1210"/>
        <v>5573</v>
      </c>
      <c r="H3130" s="137">
        <f t="shared" si="1211"/>
        <v>0.54270133411237709</v>
      </c>
      <c r="I3130" s="2"/>
      <c r="J3130" s="2">
        <f t="shared" si="1216"/>
        <v>0.20264874866101859</v>
      </c>
      <c r="K3130" s="2">
        <f t="shared" si="1217"/>
        <v>0.74535008277339565</v>
      </c>
      <c r="L3130" s="2">
        <f t="shared" si="1218"/>
        <v>5.842827928717499E-4</v>
      </c>
      <c r="M3130" s="2">
        <f t="shared" si="1219"/>
        <v>5.1416885772714034E-2</v>
      </c>
      <c r="N3130" s="63">
        <v>2081</v>
      </c>
      <c r="O3130" s="63">
        <v>7654</v>
      </c>
      <c r="P3130" s="63">
        <v>6</v>
      </c>
      <c r="Q3130" s="63">
        <v>276</v>
      </c>
      <c r="R3130" s="63">
        <v>86</v>
      </c>
      <c r="S3130" s="63">
        <v>89</v>
      </c>
      <c r="T3130" s="63">
        <v>0</v>
      </c>
      <c r="U3130" s="63"/>
      <c r="V3130" s="63">
        <v>0</v>
      </c>
      <c r="W3130" s="63">
        <f>IF(Copyright!B$11=1,IF(CA3130&gt;0,CA3130-SUM(T3130:V3130)-P3130-SUM(AJ3130:AQ3130)-SUM(X3130:AH3130),SUM(CD3130:CQ3130)),SUM(CD3130:CQ3130))</f>
        <v>77</v>
      </c>
      <c r="X3130" s="63"/>
      <c r="Y3130" s="63">
        <v>0</v>
      </c>
      <c r="Z3130" s="63">
        <v>0</v>
      </c>
      <c r="AA3130">
        <v>0</v>
      </c>
      <c r="AB3130" s="63"/>
      <c r="AC3130" s="63"/>
      <c r="AD3130">
        <v>0</v>
      </c>
      <c r="AE3130" s="63">
        <v>0</v>
      </c>
      <c r="AF3130" s="63">
        <v>0</v>
      </c>
      <c r="AG3130" s="63"/>
      <c r="AH3130" s="63"/>
      <c r="AI3130" s="1"/>
      <c r="AJ3130" s="63"/>
      <c r="AK3130" s="63"/>
      <c r="AL3130">
        <v>0</v>
      </c>
      <c r="AM3130" s="63">
        <v>0</v>
      </c>
      <c r="AN3130" s="63"/>
      <c r="AO3130" s="63"/>
      <c r="AP3130" s="63"/>
      <c r="AQ3130" s="63">
        <v>0</v>
      </c>
      <c r="AR3130" s="63"/>
      <c r="AS3130" s="63"/>
      <c r="AT3130" s="63"/>
      <c r="AU3130" s="63"/>
      <c r="AW3130" s="5">
        <f>IF(Q3130&gt;0,RANK(Q3130,(N3130:P3130,Q3130:AE3130)),0)</f>
        <v>3</v>
      </c>
      <c r="AX3130" s="5">
        <f>IF(R3130&gt;0,RANK(R3130,(N3130:P3130,Q3130:AE3130)),0)</f>
        <v>5</v>
      </c>
      <c r="AY3130" s="5">
        <f>IF(T3130&gt;0,RANK(T3130,(N3130:P3130,Q3130:AE3130)),0)</f>
        <v>0</v>
      </c>
      <c r="AZ3130" s="5">
        <f>IF(S3130&gt;0,RANK(S3130,(N3130:P3130,Q3130:AE3130)),0)</f>
        <v>4</v>
      </c>
      <c r="BA3130" s="2">
        <f t="shared" si="1220"/>
        <v>2.6877008472100495E-2</v>
      </c>
      <c r="BB3130" s="2">
        <f t="shared" si="1221"/>
        <v>8.374720031161749E-3</v>
      </c>
      <c r="BC3130" s="2">
        <f t="shared" si="1222"/>
        <v>0</v>
      </c>
      <c r="BD3130" s="2">
        <f t="shared" si="1223"/>
        <v>8.6668614275976236E-3</v>
      </c>
      <c r="BF3130" t="s">
        <v>1942</v>
      </c>
      <c r="BG3130" t="s">
        <v>2358</v>
      </c>
      <c r="BH3130">
        <v>3</v>
      </c>
      <c r="BJ3130" s="114">
        <v>54</v>
      </c>
      <c r="BK3130" s="116">
        <v>53</v>
      </c>
      <c r="BL3130" s="120">
        <f t="shared" si="1225"/>
        <v>54053</v>
      </c>
      <c r="BN3130" s="5" t="s">
        <v>3154</v>
      </c>
      <c r="BZ3130" s="63">
        <f t="shared" si="1224"/>
        <v>10269</v>
      </c>
      <c r="CA3130" s="63">
        <v>83</v>
      </c>
      <c r="CD3130" s="63">
        <v>0</v>
      </c>
      <c r="CE3130" s="63">
        <v>0</v>
      </c>
      <c r="CF3130" s="63">
        <v>0</v>
      </c>
      <c r="CG3130" s="63">
        <v>0</v>
      </c>
      <c r="CH3130" s="8">
        <v>0</v>
      </c>
      <c r="CI3130" s="8">
        <v>0</v>
      </c>
      <c r="CJ3130" s="8">
        <v>0</v>
      </c>
      <c r="CK3130" s="8">
        <v>0</v>
      </c>
      <c r="CL3130" s="8">
        <v>0</v>
      </c>
      <c r="CP3130" s="8"/>
    </row>
    <row r="3131" spans="1:94" hidden="1" outlineLevel="1">
      <c r="A3131" t="s">
        <v>449</v>
      </c>
      <c r="B3131" t="s">
        <v>2358</v>
      </c>
      <c r="C3131" s="1">
        <f t="shared" si="1215"/>
        <v>23197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7</v>
      </c>
      <c r="G3131" s="132">
        <f t="shared" si="1210"/>
        <v>12700</v>
      </c>
      <c r="H3131" s="137">
        <f t="shared" si="1211"/>
        <v>0.5474845885243782</v>
      </c>
      <c r="I3131" s="2"/>
      <c r="J3131" s="2">
        <f t="shared" si="1216"/>
        <v>0.2027848428676122</v>
      </c>
      <c r="K3131" s="2">
        <f t="shared" si="1217"/>
        <v>0.75026943139199032</v>
      </c>
      <c r="L3131" s="2">
        <f t="shared" si="1218"/>
        <v>7.7596240893218948E-4</v>
      </c>
      <c r="M3131" s="2">
        <f t="shared" si="1219"/>
        <v>4.6169763331465268E-2</v>
      </c>
      <c r="N3131" s="63">
        <v>4704</v>
      </c>
      <c r="O3131" s="63">
        <v>17404</v>
      </c>
      <c r="P3131" s="63">
        <v>18</v>
      </c>
      <c r="Q3131" s="63">
        <v>552</v>
      </c>
      <c r="R3131" s="63">
        <v>209</v>
      </c>
      <c r="S3131" s="63">
        <v>113</v>
      </c>
      <c r="T3131" s="63">
        <v>0</v>
      </c>
      <c r="U3131" s="63"/>
      <c r="V3131" s="63">
        <v>0</v>
      </c>
      <c r="W3131" s="63">
        <f>IF(Copyright!B$11=1,IF(CA3131&gt;0,CA3131-SUM(T3131:V3131)-P3131-SUM(AJ3131:AQ3131)-SUM(X3131:AH3131),SUM(CD3131:CQ3131)),SUM(CD3131:CQ3131))</f>
        <v>197</v>
      </c>
      <c r="X3131" s="63"/>
      <c r="Y3131" s="63">
        <v>0</v>
      </c>
      <c r="Z3131" s="63">
        <v>0</v>
      </c>
      <c r="AA3131">
        <v>0</v>
      </c>
      <c r="AB3131" s="63"/>
      <c r="AC3131" s="63"/>
      <c r="AD3131">
        <v>0</v>
      </c>
      <c r="AE3131" s="63">
        <v>0</v>
      </c>
      <c r="AF3131" s="63">
        <v>0</v>
      </c>
      <c r="AG3131" s="63"/>
      <c r="AH3131" s="63"/>
      <c r="AI3131" s="1"/>
      <c r="AJ3131" s="63"/>
      <c r="AK3131" s="63"/>
      <c r="AL3131">
        <v>0</v>
      </c>
      <c r="AM3131" s="63">
        <v>0</v>
      </c>
      <c r="AN3131" s="63"/>
      <c r="AO3131" s="63"/>
      <c r="AP3131" s="63"/>
      <c r="AQ3131" s="63">
        <v>0</v>
      </c>
      <c r="AR3131" s="63"/>
      <c r="AS3131" s="63"/>
      <c r="AT3131" s="63"/>
      <c r="AU3131" s="63"/>
      <c r="AW3131" s="5">
        <f>IF(Q3131&gt;0,RANK(Q3131,(N3131:P3131,Q3131:AE3131)),0)</f>
        <v>3</v>
      </c>
      <c r="AX3131" s="5">
        <f>IF(R3131&gt;0,RANK(R3131,(N3131:P3131,Q3131:AE3131)),0)</f>
        <v>4</v>
      </c>
      <c r="AY3131" s="5">
        <f>IF(T3131&gt;0,RANK(T3131,(N3131:P3131,Q3131:AE3131)),0)</f>
        <v>0</v>
      </c>
      <c r="AZ3131" s="5">
        <f>IF(S3131&gt;0,RANK(S3131,(N3131:P3131,Q3131:AE3131)),0)</f>
        <v>6</v>
      </c>
      <c r="BA3131" s="2">
        <f t="shared" si="1220"/>
        <v>2.3796180540587145E-2</v>
      </c>
      <c r="BB3131" s="2">
        <f t="shared" si="1221"/>
        <v>9.0097857481570894E-3</v>
      </c>
      <c r="BC3131" s="2">
        <f t="shared" si="1222"/>
        <v>0</v>
      </c>
      <c r="BD3131" s="2">
        <f t="shared" si="1223"/>
        <v>4.8713195671854122E-3</v>
      </c>
      <c r="BF3131" t="s">
        <v>449</v>
      </c>
      <c r="BG3131" t="s">
        <v>2358</v>
      </c>
      <c r="BH3131">
        <v>3</v>
      </c>
      <c r="BJ3131" s="114">
        <v>54</v>
      </c>
      <c r="BK3131" s="116">
        <v>55</v>
      </c>
      <c r="BL3131" s="120">
        <f t="shared" si="1225"/>
        <v>54055</v>
      </c>
      <c r="BN3131" s="5" t="s">
        <v>3154</v>
      </c>
      <c r="CA3131" s="63">
        <v>215</v>
      </c>
      <c r="CD3131" s="63">
        <v>0</v>
      </c>
      <c r="CE3131" s="63">
        <v>0</v>
      </c>
      <c r="CF3131" s="63">
        <v>0</v>
      </c>
      <c r="CG3131" s="63">
        <v>0</v>
      </c>
      <c r="CH3131" s="8">
        <v>0</v>
      </c>
      <c r="CI3131" s="8">
        <v>0</v>
      </c>
      <c r="CJ3131" s="8">
        <v>0</v>
      </c>
      <c r="CK3131" s="8">
        <v>0</v>
      </c>
      <c r="CL3131" s="8">
        <v>0</v>
      </c>
      <c r="CP3131" s="8"/>
    </row>
    <row r="3132" spans="1:94" hidden="1" outlineLevel="1">
      <c r="A3132" t="s">
        <v>1873</v>
      </c>
      <c r="B3132" t="s">
        <v>2358</v>
      </c>
      <c r="C3132" s="1">
        <f t="shared" si="1215"/>
        <v>11671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7</v>
      </c>
      <c r="G3132" s="132">
        <f t="shared" si="1210"/>
        <v>7020</v>
      </c>
      <c r="H3132" s="137">
        <f t="shared" si="1211"/>
        <v>0.60149087481792474</v>
      </c>
      <c r="I3132" s="2"/>
      <c r="J3132" s="2">
        <f t="shared" si="1216"/>
        <v>0.17564904464056208</v>
      </c>
      <c r="K3132" s="2">
        <f t="shared" si="1217"/>
        <v>0.77713991945848682</v>
      </c>
      <c r="L3132" s="2">
        <f t="shared" si="1218"/>
        <v>1.9706965984063064E-3</v>
      </c>
      <c r="M3132" s="2">
        <f t="shared" si="1219"/>
        <v>4.5240339302544799E-2</v>
      </c>
      <c r="N3132" s="63">
        <v>2050</v>
      </c>
      <c r="O3132" s="63">
        <v>9070</v>
      </c>
      <c r="P3132" s="63">
        <v>23</v>
      </c>
      <c r="Q3132" s="63">
        <v>282</v>
      </c>
      <c r="R3132" s="63">
        <v>123</v>
      </c>
      <c r="S3132" s="63">
        <v>39</v>
      </c>
      <c r="T3132" s="63">
        <v>0</v>
      </c>
      <c r="U3132" s="63"/>
      <c r="V3132" s="63">
        <v>0</v>
      </c>
      <c r="W3132" s="63">
        <f>IF(Copyright!B$11=1,IF(CA3132&gt;0,CA3132-SUM(T3132:V3132)-P3132-SUM(AJ3132:AQ3132)-SUM(X3132:AH3132),SUM(CD3132:CQ3132)),SUM(CD3132:CQ3132))</f>
        <v>84</v>
      </c>
      <c r="X3132" s="63"/>
      <c r="Y3132" s="63">
        <v>0</v>
      </c>
      <c r="Z3132" s="63">
        <v>0</v>
      </c>
      <c r="AA3132">
        <v>0</v>
      </c>
      <c r="AB3132" s="63"/>
      <c r="AC3132" s="63"/>
      <c r="AD3132">
        <v>0</v>
      </c>
      <c r="AE3132" s="63">
        <v>0</v>
      </c>
      <c r="AF3132" s="63">
        <v>0</v>
      </c>
      <c r="AG3132" s="63"/>
      <c r="AH3132" s="63"/>
      <c r="AI3132" s="1"/>
      <c r="AJ3132" s="63"/>
      <c r="AK3132" s="63"/>
      <c r="AL3132">
        <v>0</v>
      </c>
      <c r="AM3132" s="63">
        <v>0</v>
      </c>
      <c r="AN3132" s="63"/>
      <c r="AO3132" s="63"/>
      <c r="AP3132" s="63"/>
      <c r="AQ3132" s="63">
        <v>0</v>
      </c>
      <c r="AR3132" s="63"/>
      <c r="AS3132" s="63"/>
      <c r="AT3132" s="63"/>
      <c r="AU3132" s="63"/>
      <c r="AW3132" s="5">
        <f>IF(Q3132&gt;0,RANK(Q3132,(N3132:P3132,Q3132:AE3132)),0)</f>
        <v>3</v>
      </c>
      <c r="AX3132" s="5">
        <f>IF(R3132&gt;0,RANK(R3132,(N3132:P3132,Q3132:AE3132)),0)</f>
        <v>4</v>
      </c>
      <c r="AY3132" s="5">
        <f>IF(T3132&gt;0,RANK(T3132,(N3132:P3132,Q3132:AE3132)),0)</f>
        <v>0</v>
      </c>
      <c r="AZ3132" s="5">
        <f>IF(S3132&gt;0,RANK(S3132,(N3132:P3132,Q3132:AE3132)),0)</f>
        <v>6</v>
      </c>
      <c r="BA3132" s="2">
        <f t="shared" si="1220"/>
        <v>2.4162453945677322E-2</v>
      </c>
      <c r="BB3132" s="2">
        <f t="shared" si="1221"/>
        <v>1.0538942678433725E-2</v>
      </c>
      <c r="BC3132" s="2">
        <f t="shared" si="1222"/>
        <v>0</v>
      </c>
      <c r="BD3132" s="2">
        <f t="shared" si="1223"/>
        <v>3.3416159712106931E-3</v>
      </c>
      <c r="BF3132" t="s">
        <v>1873</v>
      </c>
      <c r="BG3132" t="s">
        <v>2358</v>
      </c>
      <c r="BH3132">
        <v>1</v>
      </c>
      <c r="BJ3132" s="114">
        <v>54</v>
      </c>
      <c r="BK3132" s="116">
        <v>57</v>
      </c>
      <c r="BL3132" s="120">
        <f t="shared" si="1225"/>
        <v>54057</v>
      </c>
      <c r="BN3132" s="5" t="s">
        <v>3154</v>
      </c>
      <c r="BZ3132" s="63">
        <f t="shared" si="1224"/>
        <v>11671</v>
      </c>
      <c r="CA3132" s="63">
        <v>107</v>
      </c>
      <c r="CD3132" s="63">
        <v>0</v>
      </c>
      <c r="CE3132" s="63">
        <v>0</v>
      </c>
      <c r="CF3132" s="63">
        <v>0</v>
      </c>
      <c r="CG3132" s="63">
        <v>0</v>
      </c>
      <c r="CH3132" s="8">
        <v>0</v>
      </c>
      <c r="CI3132" s="8">
        <v>0</v>
      </c>
      <c r="CJ3132" s="8">
        <v>0</v>
      </c>
      <c r="CK3132" s="8">
        <v>0</v>
      </c>
      <c r="CL3132" s="8">
        <v>0</v>
      </c>
      <c r="CP3132" s="8"/>
    </row>
    <row r="3133" spans="1:94" hidden="1" outlineLevel="1">
      <c r="A3133" t="s">
        <v>742</v>
      </c>
      <c r="B3133" t="s">
        <v>2358</v>
      </c>
      <c r="C3133" s="1">
        <f t="shared" si="1215"/>
        <v>9512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6</v>
      </c>
      <c r="G3133" s="132">
        <f t="shared" si="1210"/>
        <v>6541</v>
      </c>
      <c r="H3133" s="137">
        <f t="shared" si="1211"/>
        <v>0.68765769554247269</v>
      </c>
      <c r="I3133" s="2"/>
      <c r="J3133" s="2">
        <f t="shared" si="1216"/>
        <v>0.14402859545836838</v>
      </c>
      <c r="K3133" s="2">
        <f t="shared" si="1217"/>
        <v>0.83168629100084102</v>
      </c>
      <c r="L3133" s="2">
        <f t="shared" si="1218"/>
        <v>1.0513036164844407E-4</v>
      </c>
      <c r="M3133" s="2">
        <f t="shared" si="1219"/>
        <v>2.4179983179142103E-2</v>
      </c>
      <c r="N3133" s="63">
        <v>1370</v>
      </c>
      <c r="O3133" s="63">
        <v>7911</v>
      </c>
      <c r="P3133" s="63">
        <v>1</v>
      </c>
      <c r="Q3133" s="63">
        <v>145</v>
      </c>
      <c r="R3133" s="63">
        <v>32</v>
      </c>
      <c r="S3133" s="63">
        <v>52</v>
      </c>
      <c r="T3133" s="63">
        <v>0</v>
      </c>
      <c r="U3133" s="63"/>
      <c r="V3133" s="63">
        <v>0</v>
      </c>
      <c r="W3133" s="63">
        <f>IF(Copyright!B$11=1,IF(CA3133&gt;0,CA3133-SUM(T3133:V3133)-P3133-SUM(AJ3133:AQ3133)-SUM(X3133:AH3133),SUM(CD3133:CQ3133)),SUM(CD3133:CQ3133))</f>
        <v>1</v>
      </c>
      <c r="X3133" s="63"/>
      <c r="Y3133" s="63">
        <v>0</v>
      </c>
      <c r="Z3133" s="63">
        <v>0</v>
      </c>
      <c r="AA3133">
        <v>0</v>
      </c>
      <c r="AB3133" s="63"/>
      <c r="AC3133" s="63"/>
      <c r="AD3133">
        <v>0</v>
      </c>
      <c r="AE3133" s="63">
        <v>0</v>
      </c>
      <c r="AF3133" s="63">
        <v>0</v>
      </c>
      <c r="AG3133" s="63"/>
      <c r="AH3133" s="63"/>
      <c r="AI3133" s="1"/>
      <c r="AJ3133" s="63"/>
      <c r="AK3133" s="63"/>
      <c r="AL3133">
        <v>0</v>
      </c>
      <c r="AM3133" s="63">
        <v>0</v>
      </c>
      <c r="AN3133" s="63"/>
      <c r="AO3133" s="63"/>
      <c r="AP3133" s="63"/>
      <c r="AQ3133" s="63">
        <v>0</v>
      </c>
      <c r="AR3133" s="63"/>
      <c r="AS3133" s="63"/>
      <c r="AT3133" s="63"/>
      <c r="AU3133" s="63"/>
      <c r="AW3133" s="5">
        <f>IF(Q3133&gt;0,RANK(Q3133,(N3133:P3133,Q3133:AE3133)),0)</f>
        <v>3</v>
      </c>
      <c r="AX3133" s="5">
        <f>IF(R3133&gt;0,RANK(R3133,(N3133:P3133,Q3133:AE3133)),0)</f>
        <v>5</v>
      </c>
      <c r="AY3133" s="5">
        <f>IF(T3133&gt;0,RANK(T3133,(N3133:P3133,Q3133:AE3133)),0)</f>
        <v>0</v>
      </c>
      <c r="AZ3133" s="5">
        <f>IF(S3133&gt;0,RANK(S3133,(N3133:P3133,Q3133:AE3133)),0)</f>
        <v>4</v>
      </c>
      <c r="BA3133" s="2">
        <f t="shared" si="1220"/>
        <v>1.524390243902439E-2</v>
      </c>
      <c r="BB3133" s="2">
        <f t="shared" si="1221"/>
        <v>3.3641715727502101E-3</v>
      </c>
      <c r="BC3133" s="2">
        <f t="shared" si="1222"/>
        <v>0</v>
      </c>
      <c r="BD3133" s="2">
        <f t="shared" si="1223"/>
        <v>5.4667788057190915E-3</v>
      </c>
      <c r="BF3133" t="s">
        <v>742</v>
      </c>
      <c r="BG3133" t="s">
        <v>2358</v>
      </c>
      <c r="BH3133">
        <v>3</v>
      </c>
      <c r="BJ3133" s="114">
        <v>54</v>
      </c>
      <c r="BK3133" s="116">
        <v>59</v>
      </c>
      <c r="BL3133" s="120">
        <f t="shared" si="1225"/>
        <v>54059</v>
      </c>
      <c r="BN3133" s="5" t="s">
        <v>3154</v>
      </c>
      <c r="BZ3133" s="63">
        <f t="shared" si="1224"/>
        <v>9512</v>
      </c>
      <c r="CA3133" s="63">
        <v>0</v>
      </c>
      <c r="CD3133" s="63">
        <v>0</v>
      </c>
      <c r="CE3133" s="63">
        <v>0</v>
      </c>
      <c r="CF3133" s="63">
        <v>0</v>
      </c>
      <c r="CG3133" s="63">
        <v>1</v>
      </c>
      <c r="CH3133" s="8">
        <v>0</v>
      </c>
      <c r="CI3133" s="8">
        <v>0</v>
      </c>
      <c r="CJ3133" s="8">
        <v>0</v>
      </c>
      <c r="CK3133" s="8">
        <v>0</v>
      </c>
      <c r="CL3133" s="8">
        <v>0</v>
      </c>
      <c r="CP3133" s="8"/>
    </row>
    <row r="3134" spans="1:94" hidden="1" outlineLevel="1">
      <c r="A3134" t="s">
        <v>265</v>
      </c>
      <c r="B3134" t="s">
        <v>2358</v>
      </c>
      <c r="C3134" s="1">
        <f t="shared" si="1215"/>
        <v>36764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7</v>
      </c>
      <c r="G3134" s="132">
        <f t="shared" si="1210"/>
        <v>3733</v>
      </c>
      <c r="H3134" s="137">
        <f t="shared" si="1211"/>
        <v>0.10153954955935154</v>
      </c>
      <c r="I3134" s="2"/>
      <c r="J3134" s="2">
        <f t="shared" si="1216"/>
        <v>0.39982047655314984</v>
      </c>
      <c r="K3134" s="2">
        <f t="shared" si="1217"/>
        <v>0.50136002611250141</v>
      </c>
      <c r="L3134" s="2">
        <f t="shared" si="1218"/>
        <v>4.6512893047546515E-3</v>
      </c>
      <c r="M3134" s="2">
        <f t="shared" si="1219"/>
        <v>9.4168208029594039E-2</v>
      </c>
      <c r="N3134" s="63">
        <v>14699</v>
      </c>
      <c r="O3134" s="63">
        <v>18432</v>
      </c>
      <c r="P3134" s="63">
        <v>171</v>
      </c>
      <c r="Q3134" s="63">
        <v>1827</v>
      </c>
      <c r="R3134" s="63">
        <v>815</v>
      </c>
      <c r="S3134" s="63">
        <v>275</v>
      </c>
      <c r="T3134" s="63">
        <v>0</v>
      </c>
      <c r="U3134" s="63"/>
      <c r="V3134" s="63">
        <v>0</v>
      </c>
      <c r="W3134" s="63">
        <f>IF(Copyright!B$11=1,IF(CA3134&gt;0,CA3134-SUM(T3134:V3134)-P3134-SUM(AJ3134:AQ3134)-SUM(X3134:AH3134),SUM(CD3134:CQ3134)),SUM(CD3134:CQ3134))</f>
        <v>544</v>
      </c>
      <c r="X3134" s="63"/>
      <c r="Y3134" s="63">
        <v>0</v>
      </c>
      <c r="Z3134" s="63">
        <v>0</v>
      </c>
      <c r="AA3134">
        <v>0</v>
      </c>
      <c r="AB3134" s="63"/>
      <c r="AC3134" s="63"/>
      <c r="AD3134">
        <v>0</v>
      </c>
      <c r="AE3134" s="63">
        <v>1</v>
      </c>
      <c r="AF3134" s="63">
        <v>0</v>
      </c>
      <c r="AG3134" s="63"/>
      <c r="AH3134" s="63"/>
      <c r="AI3134" s="1"/>
      <c r="AJ3134" s="63"/>
      <c r="AK3134" s="63"/>
      <c r="AL3134">
        <v>0</v>
      </c>
      <c r="AM3134" s="63">
        <v>0</v>
      </c>
      <c r="AN3134" s="63"/>
      <c r="AO3134" s="63"/>
      <c r="AP3134" s="63"/>
      <c r="AQ3134" s="63">
        <v>0</v>
      </c>
      <c r="AR3134" s="63"/>
      <c r="AS3134" s="63"/>
      <c r="AT3134" s="63"/>
      <c r="AU3134" s="63"/>
      <c r="AW3134" s="5">
        <f>IF(Q3134&gt;0,RANK(Q3134,(N3134:P3134,Q3134:AE3134)),0)</f>
        <v>3</v>
      </c>
      <c r="AX3134" s="5">
        <f>IF(R3134&gt;0,RANK(R3134,(N3134:P3134,Q3134:AE3134)),0)</f>
        <v>4</v>
      </c>
      <c r="AY3134" s="5">
        <f>IF(T3134&gt;0,RANK(T3134,(N3134:P3134,Q3134:AE3134)),0)</f>
        <v>0</v>
      </c>
      <c r="AZ3134" s="5">
        <f>IF(S3134&gt;0,RANK(S3134,(N3134:P3134,Q3134:AE3134)),0)</f>
        <v>6</v>
      </c>
      <c r="BA3134" s="2">
        <f t="shared" si="1220"/>
        <v>4.9695354150799696E-2</v>
      </c>
      <c r="BB3134" s="2">
        <f t="shared" si="1221"/>
        <v>2.2168425633772169E-2</v>
      </c>
      <c r="BC3134" s="2">
        <f t="shared" si="1222"/>
        <v>0</v>
      </c>
      <c r="BD3134" s="2">
        <f t="shared" si="1223"/>
        <v>7.48014361875748E-3</v>
      </c>
      <c r="BF3134" t="s">
        <v>265</v>
      </c>
      <c r="BG3134" t="s">
        <v>2358</v>
      </c>
      <c r="BH3134">
        <v>1</v>
      </c>
      <c r="BJ3134" s="114">
        <v>54</v>
      </c>
      <c r="BK3134" s="116">
        <v>61</v>
      </c>
      <c r="BL3134" s="120">
        <f t="shared" si="1225"/>
        <v>54061</v>
      </c>
      <c r="BN3134" s="5" t="s">
        <v>3154</v>
      </c>
      <c r="CA3134" s="63">
        <v>716</v>
      </c>
      <c r="CD3134" s="63">
        <v>0</v>
      </c>
      <c r="CE3134" s="63">
        <v>0</v>
      </c>
      <c r="CF3134" s="63">
        <v>0</v>
      </c>
      <c r="CG3134" s="63">
        <v>0</v>
      </c>
      <c r="CH3134" s="8">
        <v>0</v>
      </c>
      <c r="CI3134" s="8">
        <v>0</v>
      </c>
      <c r="CJ3134" s="8">
        <v>0</v>
      </c>
      <c r="CK3134" s="8">
        <v>0</v>
      </c>
      <c r="CL3134" s="8">
        <v>0</v>
      </c>
      <c r="CP3134" s="8"/>
    </row>
    <row r="3135" spans="1:94" hidden="1" outlineLevel="1">
      <c r="A3135" t="s">
        <v>644</v>
      </c>
      <c r="B3135" t="s">
        <v>2358</v>
      </c>
      <c r="C3135" s="1">
        <f t="shared" si="1215"/>
        <v>5852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32">
        <f t="shared" si="1210"/>
        <v>3332</v>
      </c>
      <c r="H3135" s="137">
        <f t="shared" si="1211"/>
        <v>0.56937799043062198</v>
      </c>
      <c r="I3135" s="2"/>
      <c r="J3135" s="2">
        <f t="shared" si="1216"/>
        <v>0.18984962406015038</v>
      </c>
      <c r="K3135" s="2">
        <f t="shared" si="1217"/>
        <v>0.75922761449077236</v>
      </c>
      <c r="L3135" s="2">
        <f t="shared" si="1218"/>
        <v>0</v>
      </c>
      <c r="M3135" s="2">
        <f t="shared" si="1219"/>
        <v>5.0922761449077258E-2</v>
      </c>
      <c r="N3135" s="63">
        <v>1111</v>
      </c>
      <c r="O3135" s="63">
        <v>4443</v>
      </c>
      <c r="P3135" s="63">
        <v>0</v>
      </c>
      <c r="Q3135" s="63">
        <v>149</v>
      </c>
      <c r="R3135" s="63">
        <v>57</v>
      </c>
      <c r="S3135" s="63">
        <v>45</v>
      </c>
      <c r="T3135" s="63">
        <v>0</v>
      </c>
      <c r="U3135" s="63"/>
      <c r="V3135" s="63">
        <v>0</v>
      </c>
      <c r="W3135" s="63">
        <f>IF(Copyright!B$11=1,IF(CA3135&gt;0,CA3135-SUM(T3135:V3135)-P3135-SUM(AJ3135:AQ3135)-SUM(X3135:AH3135),SUM(CD3135:CQ3135)),SUM(CD3135:CQ3135))</f>
        <v>47</v>
      </c>
      <c r="X3135" s="63"/>
      <c r="Y3135" s="63">
        <v>0</v>
      </c>
      <c r="Z3135" s="63">
        <v>0</v>
      </c>
      <c r="AA3135">
        <v>0</v>
      </c>
      <c r="AB3135" s="63"/>
      <c r="AC3135" s="63"/>
      <c r="AD3135">
        <v>0</v>
      </c>
      <c r="AE3135" s="63">
        <v>0</v>
      </c>
      <c r="AF3135" s="63">
        <v>0</v>
      </c>
      <c r="AG3135" s="63"/>
      <c r="AH3135" s="63"/>
      <c r="AI3135" s="1"/>
      <c r="AJ3135" s="63"/>
      <c r="AK3135" s="63"/>
      <c r="AL3135">
        <v>0</v>
      </c>
      <c r="AM3135" s="63">
        <v>0</v>
      </c>
      <c r="AN3135" s="63"/>
      <c r="AO3135" s="63"/>
      <c r="AP3135" s="63"/>
      <c r="AQ3135" s="63">
        <v>0</v>
      </c>
      <c r="AR3135" s="63"/>
      <c r="AS3135" s="63"/>
      <c r="AT3135" s="63"/>
      <c r="AU3135" s="63"/>
      <c r="AW3135" s="5">
        <f>IF(Q3135&gt;0,RANK(Q3135,(N3135:P3135,Q3135:AE3135)),0)</f>
        <v>3</v>
      </c>
      <c r="AX3135" s="5">
        <f>IF(R3135&gt;0,RANK(R3135,(N3135:P3135,Q3135:AE3135)),0)</f>
        <v>4</v>
      </c>
      <c r="AY3135" s="5">
        <f>IF(T3135&gt;0,RANK(T3135,(N3135:P3135,Q3135:AE3135)),0)</f>
        <v>0</v>
      </c>
      <c r="AZ3135" s="5">
        <f>IF(S3135&gt;0,RANK(S3135,(N3135:P3135,Q3135:AE3135)),0)</f>
        <v>6</v>
      </c>
      <c r="BA3135" s="2">
        <f t="shared" si="1220"/>
        <v>2.5461380724538619E-2</v>
      </c>
      <c r="BB3135" s="2">
        <f t="shared" si="1221"/>
        <v>9.74025974025974E-3</v>
      </c>
      <c r="BC3135" s="2">
        <f t="shared" si="1222"/>
        <v>0</v>
      </c>
      <c r="BD3135" s="2">
        <f t="shared" si="1223"/>
        <v>7.689678742310321E-3</v>
      </c>
      <c r="BF3135" t="s">
        <v>644</v>
      </c>
      <c r="BG3135" t="s">
        <v>2358</v>
      </c>
      <c r="BH3135">
        <v>3</v>
      </c>
      <c r="BJ3135" s="114">
        <v>54</v>
      </c>
      <c r="BK3135" s="116">
        <v>63</v>
      </c>
      <c r="BL3135" s="120">
        <f t="shared" si="1225"/>
        <v>54063</v>
      </c>
      <c r="BN3135" s="5" t="s">
        <v>3154</v>
      </c>
      <c r="BZ3135" s="63">
        <f t="shared" si="1224"/>
        <v>5852</v>
      </c>
      <c r="CA3135" s="63">
        <v>47</v>
      </c>
      <c r="CD3135" s="63">
        <v>0</v>
      </c>
      <c r="CE3135" s="63">
        <v>0</v>
      </c>
      <c r="CF3135" s="63">
        <v>0</v>
      </c>
      <c r="CG3135" s="63">
        <v>0</v>
      </c>
      <c r="CH3135" s="8">
        <v>0</v>
      </c>
      <c r="CI3135" s="8">
        <v>0</v>
      </c>
      <c r="CJ3135" s="8">
        <v>0</v>
      </c>
      <c r="CK3135" s="8">
        <v>0</v>
      </c>
      <c r="CL3135" s="8">
        <v>0</v>
      </c>
      <c r="CP3135" s="8"/>
    </row>
    <row r="3136" spans="1:94" hidden="1" outlineLevel="1">
      <c r="A3136" t="s">
        <v>1145</v>
      </c>
      <c r="B3136" t="s">
        <v>2358</v>
      </c>
      <c r="C3136" s="1">
        <f t="shared" ref="C3136:C3159" si="1226">SUM(N3136:AU3136)</f>
        <v>7737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7</v>
      </c>
      <c r="G3136" s="132">
        <f t="shared" si="1210"/>
        <v>4159</v>
      </c>
      <c r="H3136" s="137">
        <f t="shared" si="1211"/>
        <v>0.53754685278531733</v>
      </c>
      <c r="I3136" s="2"/>
      <c r="J3136" s="2">
        <f t="shared" ref="J3136:J3159" si="1227">IF($C3136=0,"-",N3136/$C3136)</f>
        <v>0.20330877601137393</v>
      </c>
      <c r="K3136" s="2">
        <f t="shared" ref="K3136:K3159" si="1228">IF($C3136=0,"-",O3136/$C3136)</f>
        <v>0.7408556287966912</v>
      </c>
      <c r="L3136" s="2">
        <f t="shared" ref="L3136:L3159" si="1229">IF($C3136=0,"-",P3136/$C3136)</f>
        <v>2.0679850071086987E-3</v>
      </c>
      <c r="M3136" s="2">
        <f t="shared" ref="M3136:M3159" si="1230">IF(C3136=0,"-",(1-J3136-K3136-L3136))</f>
        <v>5.3767610184826231E-2</v>
      </c>
      <c r="N3136" s="63">
        <v>1573</v>
      </c>
      <c r="O3136" s="63">
        <v>5732</v>
      </c>
      <c r="P3136" s="63">
        <v>16</v>
      </c>
      <c r="Q3136" s="63">
        <v>208</v>
      </c>
      <c r="R3136" s="63">
        <v>103</v>
      </c>
      <c r="S3136" s="63">
        <v>38</v>
      </c>
      <c r="T3136" s="63">
        <v>0</v>
      </c>
      <c r="U3136" s="63"/>
      <c r="V3136" s="63">
        <v>0</v>
      </c>
      <c r="W3136" s="63">
        <f>IF(Copyright!B$11=1,IF(CA3136&gt;0,CA3136-SUM(T3136:V3136)-P3136-SUM(AJ3136:AQ3136)-SUM(X3136:AH3136),SUM(CD3136:CQ3136)),SUM(CD3136:CQ3136))</f>
        <v>66</v>
      </c>
      <c r="X3136" s="63"/>
      <c r="Y3136" s="63">
        <v>1</v>
      </c>
      <c r="Z3136" s="63">
        <v>0</v>
      </c>
      <c r="AA3136">
        <v>0</v>
      </c>
      <c r="AB3136" s="63"/>
      <c r="AC3136" s="63"/>
      <c r="AD3136">
        <v>0</v>
      </c>
      <c r="AE3136" s="63">
        <v>0</v>
      </c>
      <c r="AF3136" s="63">
        <v>0</v>
      </c>
      <c r="AG3136" s="63"/>
      <c r="AH3136" s="63"/>
      <c r="AI3136" s="1"/>
      <c r="AJ3136" s="63"/>
      <c r="AK3136" s="63"/>
      <c r="AL3136">
        <v>0</v>
      </c>
      <c r="AM3136" s="63">
        <v>0</v>
      </c>
      <c r="AN3136" s="63"/>
      <c r="AO3136" s="63"/>
      <c r="AP3136" s="63"/>
      <c r="AQ3136" s="63">
        <v>0</v>
      </c>
      <c r="AR3136" s="63"/>
      <c r="AS3136" s="63"/>
      <c r="AT3136" s="63"/>
      <c r="AU3136" s="63"/>
      <c r="AW3136" s="5">
        <f>IF(Q3136&gt;0,RANK(Q3136,(N3136:P3136,Q3136:AE3136)),0)</f>
        <v>3</v>
      </c>
      <c r="AX3136" s="5">
        <f>IF(R3136&gt;0,RANK(R3136,(N3136:P3136,Q3136:AE3136)),0)</f>
        <v>4</v>
      </c>
      <c r="AY3136" s="5">
        <f>IF(T3136&gt;0,RANK(T3136,(N3136:P3136,Q3136:AE3136)),0)</f>
        <v>0</v>
      </c>
      <c r="AZ3136" s="5">
        <f>IF(S3136&gt;0,RANK(S3136,(N3136:P3136,Q3136:AE3136)),0)</f>
        <v>6</v>
      </c>
      <c r="BA3136" s="2">
        <f t="shared" ref="BA3136:BA3159" si="1231">IF($C3136=0,"-",Q3136/$C3136)</f>
        <v>2.6883805092413081E-2</v>
      </c>
      <c r="BB3136" s="2">
        <f t="shared" ref="BB3136:BB3159" si="1232">IF($C3136=0,"-",R3136/$C3136)</f>
        <v>1.3312653483262247E-2</v>
      </c>
      <c r="BC3136" s="2">
        <f t="shared" ref="BC3136:BC3159" si="1233">IF($C3136=0,"-",T3136/$C3136)</f>
        <v>0</v>
      </c>
      <c r="BD3136" s="2">
        <f t="shared" ref="BD3136:BD3159" si="1234">IF($C3136=0,"-",S3136/$C3136)</f>
        <v>4.9114643918831587E-3</v>
      </c>
      <c r="BF3136" t="s">
        <v>1145</v>
      </c>
      <c r="BG3136" t="s">
        <v>2358</v>
      </c>
      <c r="BH3136">
        <v>2</v>
      </c>
      <c r="BJ3136" s="114">
        <v>54</v>
      </c>
      <c r="BK3136" s="116">
        <v>65</v>
      </c>
      <c r="BL3136" s="120">
        <f t="shared" si="1225"/>
        <v>54065</v>
      </c>
      <c r="BN3136" s="5" t="s">
        <v>3154</v>
      </c>
      <c r="BZ3136" s="63">
        <f t="shared" si="1224"/>
        <v>7737</v>
      </c>
      <c r="CA3136" s="63">
        <v>83</v>
      </c>
      <c r="CD3136" s="63">
        <v>0</v>
      </c>
      <c r="CE3136" s="63">
        <v>0</v>
      </c>
      <c r="CF3136" s="63">
        <v>0</v>
      </c>
      <c r="CG3136" s="63">
        <v>0</v>
      </c>
      <c r="CH3136" s="8">
        <v>0</v>
      </c>
      <c r="CI3136" s="8">
        <v>0</v>
      </c>
      <c r="CJ3136" s="8">
        <v>0</v>
      </c>
      <c r="CK3136" s="8">
        <v>0</v>
      </c>
      <c r="CL3136" s="8">
        <v>0</v>
      </c>
      <c r="CP3136" s="8"/>
    </row>
    <row r="3137" spans="1:94" hidden="1" outlineLevel="1">
      <c r="A3137" t="s">
        <v>2119</v>
      </c>
      <c r="B3137" t="s">
        <v>2358</v>
      </c>
      <c r="C3137" s="1">
        <f t="shared" si="1226"/>
        <v>9579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7</v>
      </c>
      <c r="G3137" s="132">
        <f t="shared" si="1210"/>
        <v>5411</v>
      </c>
      <c r="H3137" s="137">
        <f t="shared" si="1211"/>
        <v>0.56488151164004596</v>
      </c>
      <c r="I3137" s="2"/>
      <c r="J3137" s="2">
        <f t="shared" si="1227"/>
        <v>0.19208685666562272</v>
      </c>
      <c r="K3137" s="2">
        <f t="shared" si="1228"/>
        <v>0.7569683683056686</v>
      </c>
      <c r="L3137" s="2">
        <f t="shared" si="1229"/>
        <v>1.3571354003549432E-3</v>
      </c>
      <c r="M3137" s="2">
        <f t="shared" si="1230"/>
        <v>4.9587639628353698E-2</v>
      </c>
      <c r="N3137" s="63">
        <v>1840</v>
      </c>
      <c r="O3137" s="63">
        <v>7251</v>
      </c>
      <c r="P3137" s="63">
        <v>13</v>
      </c>
      <c r="Q3137" s="63">
        <v>283</v>
      </c>
      <c r="R3137" s="63">
        <v>83</v>
      </c>
      <c r="S3137" s="63">
        <v>34</v>
      </c>
      <c r="T3137" s="63">
        <v>0</v>
      </c>
      <c r="U3137" s="63"/>
      <c r="V3137" s="63">
        <v>0</v>
      </c>
      <c r="W3137" s="63">
        <f>IF(Copyright!B$11=1,IF(CA3137&gt;0,CA3137-SUM(T3137:V3137)-P3137-SUM(AJ3137:AQ3137)-SUM(X3137:AH3137),SUM(CD3137:CQ3137)),SUM(CD3137:CQ3137))</f>
        <v>73</v>
      </c>
      <c r="X3137" s="63"/>
      <c r="Y3137" s="63">
        <v>2</v>
      </c>
      <c r="Z3137" s="63">
        <v>0</v>
      </c>
      <c r="AA3137">
        <v>0</v>
      </c>
      <c r="AB3137" s="63"/>
      <c r="AC3137" s="63"/>
      <c r="AD3137">
        <v>0</v>
      </c>
      <c r="AE3137" s="63">
        <v>0</v>
      </c>
      <c r="AF3137" s="63">
        <v>0</v>
      </c>
      <c r="AG3137" s="63"/>
      <c r="AH3137" s="63"/>
      <c r="AI3137" s="1"/>
      <c r="AJ3137" s="63"/>
      <c r="AK3137" s="63"/>
      <c r="AL3137">
        <v>0</v>
      </c>
      <c r="AM3137" s="63">
        <v>0</v>
      </c>
      <c r="AN3137" s="63"/>
      <c r="AO3137" s="63"/>
      <c r="AP3137" s="63"/>
      <c r="AQ3137" s="63">
        <v>0</v>
      </c>
      <c r="AR3137" s="63"/>
      <c r="AS3137" s="63"/>
      <c r="AT3137" s="63"/>
      <c r="AU3137" s="63"/>
      <c r="AW3137" s="5">
        <f>IF(Q3137&gt;0,RANK(Q3137,(N3137:P3137,Q3137:AE3137)),0)</f>
        <v>3</v>
      </c>
      <c r="AX3137" s="5">
        <f>IF(R3137&gt;0,RANK(R3137,(N3137:P3137,Q3137:AE3137)),0)</f>
        <v>4</v>
      </c>
      <c r="AY3137" s="5">
        <f>IF(T3137&gt;0,RANK(T3137,(N3137:P3137,Q3137:AE3137)),0)</f>
        <v>0</v>
      </c>
      <c r="AZ3137" s="5">
        <f>IF(S3137&gt;0,RANK(S3137,(N3137:P3137,Q3137:AE3137)),0)</f>
        <v>6</v>
      </c>
      <c r="BA3137" s="2">
        <f t="shared" si="1231"/>
        <v>2.9543793715419146E-2</v>
      </c>
      <c r="BB3137" s="2">
        <f t="shared" si="1232"/>
        <v>8.6647875561123282E-3</v>
      </c>
      <c r="BC3137" s="2">
        <f t="shared" si="1233"/>
        <v>0</v>
      </c>
      <c r="BD3137" s="2">
        <f t="shared" si="1234"/>
        <v>3.5494310470821589E-3</v>
      </c>
      <c r="BF3137" t="s">
        <v>2119</v>
      </c>
      <c r="BG3137" t="s">
        <v>2358</v>
      </c>
      <c r="BH3137">
        <v>3</v>
      </c>
      <c r="BJ3137" s="114">
        <v>54</v>
      </c>
      <c r="BK3137" s="116">
        <v>67</v>
      </c>
      <c r="BL3137" s="120">
        <f t="shared" si="1225"/>
        <v>54067</v>
      </c>
      <c r="BN3137" s="5" t="s">
        <v>3154</v>
      </c>
      <c r="BZ3137" s="63">
        <f t="shared" si="1224"/>
        <v>9579</v>
      </c>
      <c r="CA3137" s="63">
        <v>88</v>
      </c>
      <c r="CD3137" s="63">
        <v>0</v>
      </c>
      <c r="CE3137" s="63">
        <v>0</v>
      </c>
      <c r="CF3137" s="63">
        <v>0</v>
      </c>
      <c r="CG3137" s="63">
        <v>0</v>
      </c>
      <c r="CH3137" s="8">
        <v>0</v>
      </c>
      <c r="CI3137" s="8">
        <v>0</v>
      </c>
      <c r="CJ3137" s="8">
        <v>0</v>
      </c>
      <c r="CK3137" s="8">
        <v>0</v>
      </c>
      <c r="CL3137" s="8">
        <v>0</v>
      </c>
      <c r="CP3137" s="8"/>
    </row>
    <row r="3138" spans="1:94" hidden="1" outlineLevel="1">
      <c r="A3138" t="s">
        <v>736</v>
      </c>
      <c r="B3138" t="s">
        <v>2358</v>
      </c>
      <c r="C3138" s="1">
        <f t="shared" si="1226"/>
        <v>18214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7</v>
      </c>
      <c r="G3138" s="132">
        <f t="shared" si="1210"/>
        <v>5646</v>
      </c>
      <c r="H3138" s="137">
        <f t="shared" si="1211"/>
        <v>0.30998133304051828</v>
      </c>
      <c r="I3138" s="2"/>
      <c r="J3138" s="2">
        <f t="shared" si="1227"/>
        <v>0.30158120127374549</v>
      </c>
      <c r="K3138" s="2">
        <f t="shared" si="1228"/>
        <v>0.61156253431426377</v>
      </c>
      <c r="L3138" s="2">
        <f t="shared" si="1229"/>
        <v>2.690238278247502E-3</v>
      </c>
      <c r="M3138" s="2">
        <f t="shared" si="1230"/>
        <v>8.4166026133743174E-2</v>
      </c>
      <c r="N3138" s="63">
        <v>5493</v>
      </c>
      <c r="O3138" s="63">
        <v>11139</v>
      </c>
      <c r="P3138" s="63">
        <v>49</v>
      </c>
      <c r="Q3138" s="63">
        <v>748</v>
      </c>
      <c r="R3138" s="63">
        <v>384</v>
      </c>
      <c r="S3138" s="63">
        <v>174</v>
      </c>
      <c r="T3138" s="63">
        <v>0</v>
      </c>
      <c r="U3138" s="63"/>
      <c r="V3138" s="63">
        <v>1</v>
      </c>
      <c r="W3138" s="63">
        <f>IF(Copyright!B$11=1,IF(CA3138&gt;0,CA3138-SUM(T3138:V3138)-P3138-SUM(AJ3138:AQ3138)-SUM(X3138:AH3138),SUM(CD3138:CQ3138)),SUM(CD3138:CQ3138))</f>
        <v>226</v>
      </c>
      <c r="X3138" s="63"/>
      <c r="Y3138" s="63">
        <v>0</v>
      </c>
      <c r="Z3138" s="63">
        <v>0</v>
      </c>
      <c r="AA3138">
        <v>0</v>
      </c>
      <c r="AB3138" s="63"/>
      <c r="AC3138" s="63"/>
      <c r="AD3138">
        <v>0</v>
      </c>
      <c r="AE3138" s="63">
        <v>0</v>
      </c>
      <c r="AF3138" s="63">
        <v>0</v>
      </c>
      <c r="AG3138" s="63"/>
      <c r="AH3138" s="63"/>
      <c r="AI3138" s="1"/>
      <c r="AJ3138" s="63"/>
      <c r="AK3138" s="63"/>
      <c r="AL3138">
        <v>0</v>
      </c>
      <c r="AM3138" s="63">
        <v>0</v>
      </c>
      <c r="AN3138" s="63"/>
      <c r="AO3138" s="63"/>
      <c r="AP3138" s="63"/>
      <c r="AQ3138" s="63">
        <v>0</v>
      </c>
      <c r="AR3138" s="63"/>
      <c r="AS3138" s="63"/>
      <c r="AT3138" s="63"/>
      <c r="AU3138" s="63"/>
      <c r="AW3138" s="5">
        <f>IF(Q3138&gt;0,RANK(Q3138,(N3138:P3138,Q3138:AE3138)),0)</f>
        <v>3</v>
      </c>
      <c r="AX3138" s="5">
        <f>IF(R3138&gt;0,RANK(R3138,(N3138:P3138,Q3138:AE3138)),0)</f>
        <v>4</v>
      </c>
      <c r="AY3138" s="5">
        <f>IF(T3138&gt;0,RANK(T3138,(N3138:P3138,Q3138:AE3138)),0)</f>
        <v>0</v>
      </c>
      <c r="AZ3138" s="5">
        <f>IF(S3138&gt;0,RANK(S3138,(N3138:P3138,Q3138:AE3138)),0)</f>
        <v>6</v>
      </c>
      <c r="BA3138" s="2">
        <f t="shared" si="1231"/>
        <v>4.1067310859778196E-2</v>
      </c>
      <c r="BB3138" s="2">
        <f t="shared" si="1232"/>
        <v>2.1082683649939607E-2</v>
      </c>
      <c r="BC3138" s="2">
        <f t="shared" si="1233"/>
        <v>0</v>
      </c>
      <c r="BD3138" s="2">
        <f t="shared" si="1234"/>
        <v>9.5530910288788851E-3</v>
      </c>
      <c r="BF3138" t="s">
        <v>736</v>
      </c>
      <c r="BG3138" t="s">
        <v>2358</v>
      </c>
      <c r="BH3138">
        <v>1</v>
      </c>
      <c r="BJ3138" s="114">
        <v>54</v>
      </c>
      <c r="BK3138" s="116">
        <v>69</v>
      </c>
      <c r="BL3138" s="120">
        <f t="shared" si="1225"/>
        <v>54069</v>
      </c>
      <c r="BN3138" s="5" t="s">
        <v>3154</v>
      </c>
      <c r="BZ3138" s="63">
        <f t="shared" si="1224"/>
        <v>18214</v>
      </c>
      <c r="CA3138" s="63">
        <v>276</v>
      </c>
      <c r="CD3138" s="63">
        <v>0</v>
      </c>
      <c r="CE3138" s="63">
        <v>0</v>
      </c>
      <c r="CF3138" s="63">
        <v>1</v>
      </c>
      <c r="CG3138" s="63">
        <v>0</v>
      </c>
      <c r="CH3138" s="8">
        <v>0</v>
      </c>
      <c r="CI3138" s="8">
        <v>0</v>
      </c>
      <c r="CJ3138" s="8">
        <v>0</v>
      </c>
      <c r="CK3138" s="8">
        <v>0</v>
      </c>
      <c r="CL3138" s="8">
        <v>0</v>
      </c>
      <c r="CP3138" s="8"/>
    </row>
    <row r="3139" spans="1:94" hidden="1" outlineLevel="1">
      <c r="A3139" t="s">
        <v>333</v>
      </c>
      <c r="B3139" t="s">
        <v>2358</v>
      </c>
      <c r="C3139" s="1">
        <f t="shared" si="1226"/>
        <v>3254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6</v>
      </c>
      <c r="G3139" s="132">
        <f t="shared" si="1210"/>
        <v>1669</v>
      </c>
      <c r="H3139" s="137">
        <f t="shared" si="1211"/>
        <v>0.51290719114935468</v>
      </c>
      <c r="I3139" s="2"/>
      <c r="J3139" s="2">
        <f t="shared" si="1227"/>
        <v>0.22403196066379841</v>
      </c>
      <c r="K3139" s="2">
        <f t="shared" si="1228"/>
        <v>0.73693915181315306</v>
      </c>
      <c r="L3139" s="2">
        <f t="shared" si="1229"/>
        <v>2.1511985248924403E-3</v>
      </c>
      <c r="M3139" s="2">
        <f t="shared" si="1230"/>
        <v>3.6877688998156119E-2</v>
      </c>
      <c r="N3139" s="63">
        <v>729</v>
      </c>
      <c r="O3139" s="63">
        <v>2398</v>
      </c>
      <c r="P3139" s="63">
        <v>7</v>
      </c>
      <c r="Q3139" s="63">
        <v>73</v>
      </c>
      <c r="R3139" s="63">
        <v>18</v>
      </c>
      <c r="S3139" s="63">
        <v>7</v>
      </c>
      <c r="T3139" s="63">
        <v>0</v>
      </c>
      <c r="U3139" s="63"/>
      <c r="V3139" s="63">
        <v>0</v>
      </c>
      <c r="W3139" s="63">
        <f>IF(Copyright!B$11=1,IF(CA3139&gt;0,CA3139-SUM(T3139:V3139)-P3139-SUM(AJ3139:AQ3139)-SUM(X3139:AH3139),SUM(CD3139:CQ3139)),SUM(CD3139:CQ3139))</f>
        <v>22</v>
      </c>
      <c r="X3139" s="63"/>
      <c r="Y3139" s="63">
        <v>0</v>
      </c>
      <c r="Z3139" s="63">
        <v>0</v>
      </c>
      <c r="AA3139">
        <v>0</v>
      </c>
      <c r="AB3139" s="63"/>
      <c r="AC3139" s="63"/>
      <c r="AD3139">
        <v>0</v>
      </c>
      <c r="AE3139" s="63">
        <v>0</v>
      </c>
      <c r="AF3139" s="63">
        <v>0</v>
      </c>
      <c r="AG3139" s="63"/>
      <c r="AH3139" s="63"/>
      <c r="AI3139" s="1"/>
      <c r="AJ3139" s="63"/>
      <c r="AK3139" s="63"/>
      <c r="AL3139">
        <v>0</v>
      </c>
      <c r="AM3139" s="63">
        <v>0</v>
      </c>
      <c r="AN3139" s="63"/>
      <c r="AO3139" s="63"/>
      <c r="AP3139" s="63"/>
      <c r="AQ3139" s="63">
        <v>0</v>
      </c>
      <c r="AR3139" s="63"/>
      <c r="AS3139" s="63"/>
      <c r="AT3139" s="63"/>
      <c r="AU3139" s="63"/>
      <c r="AW3139" s="5">
        <f>IF(Q3139&gt;0,RANK(Q3139,(N3139:P3139,Q3139:AE3139)),0)</f>
        <v>3</v>
      </c>
      <c r="AX3139" s="5">
        <f>IF(R3139&gt;0,RANK(R3139,(N3139:P3139,Q3139:AE3139)),0)</f>
        <v>5</v>
      </c>
      <c r="AY3139" s="5">
        <f>IF(T3139&gt;0,RANK(T3139,(N3139:P3139,Q3139:AE3139)),0)</f>
        <v>0</v>
      </c>
      <c r="AZ3139" s="5">
        <f>IF(S3139&gt;0,RANK(S3139,(N3139:P3139,Q3139:AE3139)),0)</f>
        <v>6</v>
      </c>
      <c r="BA3139" s="2">
        <f t="shared" si="1231"/>
        <v>2.2433927473878304E-2</v>
      </c>
      <c r="BB3139" s="2">
        <f t="shared" si="1232"/>
        <v>5.531653349723417E-3</v>
      </c>
      <c r="BC3139" s="2">
        <f t="shared" si="1233"/>
        <v>0</v>
      </c>
      <c r="BD3139" s="2">
        <f t="shared" si="1234"/>
        <v>2.1511985248924403E-3</v>
      </c>
      <c r="BF3139" t="s">
        <v>333</v>
      </c>
      <c r="BG3139" t="s">
        <v>2358</v>
      </c>
      <c r="BH3139">
        <v>2</v>
      </c>
      <c r="BJ3139" s="114">
        <v>54</v>
      </c>
      <c r="BK3139" s="116">
        <v>71</v>
      </c>
      <c r="BL3139" s="120">
        <f t="shared" si="1225"/>
        <v>54071</v>
      </c>
      <c r="BN3139" s="5" t="s">
        <v>3154</v>
      </c>
      <c r="BZ3139" s="63">
        <f t="shared" si="1224"/>
        <v>3254</v>
      </c>
      <c r="CA3139" s="63">
        <v>29</v>
      </c>
      <c r="CD3139" s="63">
        <v>0</v>
      </c>
      <c r="CE3139" s="63">
        <v>0</v>
      </c>
      <c r="CF3139" s="63">
        <v>0</v>
      </c>
      <c r="CG3139" s="63">
        <v>0</v>
      </c>
      <c r="CH3139" s="8">
        <v>0</v>
      </c>
      <c r="CI3139" s="8">
        <v>0</v>
      </c>
      <c r="CJ3139" s="8">
        <v>0</v>
      </c>
      <c r="CK3139" s="8">
        <v>0</v>
      </c>
      <c r="CL3139" s="8">
        <v>0</v>
      </c>
      <c r="CP3139" s="8"/>
    </row>
    <row r="3140" spans="1:94" hidden="1" outlineLevel="1">
      <c r="A3140" t="s">
        <v>942</v>
      </c>
      <c r="B3140" t="s">
        <v>2358</v>
      </c>
      <c r="C3140" s="1">
        <f t="shared" si="1226"/>
        <v>3179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7</v>
      </c>
      <c r="G3140" s="132">
        <f t="shared" si="1210"/>
        <v>1737</v>
      </c>
      <c r="H3140" s="137">
        <f t="shared" si="1211"/>
        <v>0.54639823843976099</v>
      </c>
      <c r="I3140" s="2"/>
      <c r="J3140" s="2">
        <f t="shared" si="1227"/>
        <v>0.19534444793960365</v>
      </c>
      <c r="K3140" s="2">
        <f t="shared" si="1228"/>
        <v>0.74174268637936458</v>
      </c>
      <c r="L3140" s="2">
        <f t="shared" si="1229"/>
        <v>1.5728216420257944E-3</v>
      </c>
      <c r="M3140" s="2">
        <f t="shared" si="1230"/>
        <v>6.1340044039006031E-2</v>
      </c>
      <c r="N3140" s="63">
        <v>621</v>
      </c>
      <c r="O3140" s="63">
        <v>2358</v>
      </c>
      <c r="P3140" s="63">
        <v>5</v>
      </c>
      <c r="Q3140" s="63">
        <v>123</v>
      </c>
      <c r="R3140" s="63">
        <v>20</v>
      </c>
      <c r="S3140" s="63">
        <v>28</v>
      </c>
      <c r="T3140" s="63">
        <v>0</v>
      </c>
      <c r="U3140" s="63"/>
      <c r="V3140" s="63">
        <v>0</v>
      </c>
      <c r="W3140" s="63">
        <f>IF(Copyright!B$11=1,IF(CA3140&gt;0,CA3140-SUM(T3140:V3140)-P3140-SUM(AJ3140:AQ3140)-SUM(X3140:AH3140),SUM(CD3140:CQ3140)),SUM(CD3140:CQ3140))</f>
        <v>24</v>
      </c>
      <c r="X3140" s="63"/>
      <c r="Y3140" s="63">
        <v>0</v>
      </c>
      <c r="Z3140" s="63">
        <v>0</v>
      </c>
      <c r="AA3140">
        <v>0</v>
      </c>
      <c r="AB3140" s="63"/>
      <c r="AC3140" s="63"/>
      <c r="AD3140">
        <v>0</v>
      </c>
      <c r="AE3140" s="63">
        <v>0</v>
      </c>
      <c r="AF3140" s="63">
        <v>0</v>
      </c>
      <c r="AG3140" s="63"/>
      <c r="AH3140" s="63"/>
      <c r="AI3140" s="1"/>
      <c r="AJ3140" s="63"/>
      <c r="AK3140" s="63"/>
      <c r="AL3140">
        <v>0</v>
      </c>
      <c r="AM3140" s="63">
        <v>0</v>
      </c>
      <c r="AN3140" s="63"/>
      <c r="AO3140" s="63"/>
      <c r="AP3140" s="63"/>
      <c r="AQ3140" s="63">
        <v>0</v>
      </c>
      <c r="AR3140" s="63"/>
      <c r="AS3140" s="63"/>
      <c r="AT3140" s="63"/>
      <c r="AU3140" s="63"/>
      <c r="AW3140" s="5">
        <f>IF(Q3140&gt;0,RANK(Q3140,(N3140:P3140,Q3140:AE3140)),0)</f>
        <v>3</v>
      </c>
      <c r="AX3140" s="5">
        <f>IF(R3140&gt;0,RANK(R3140,(N3140:P3140,Q3140:AE3140)),0)</f>
        <v>6</v>
      </c>
      <c r="AY3140" s="5">
        <f>IF(T3140&gt;0,RANK(T3140,(N3140:P3140,Q3140:AE3140)),0)</f>
        <v>0</v>
      </c>
      <c r="AZ3140" s="5">
        <f>IF(S3140&gt;0,RANK(S3140,(N3140:P3140,Q3140:AE3140)),0)</f>
        <v>4</v>
      </c>
      <c r="BA3140" s="2">
        <f t="shared" si="1231"/>
        <v>3.8691412393834536E-2</v>
      </c>
      <c r="BB3140" s="2">
        <f t="shared" si="1232"/>
        <v>6.2912865681031774E-3</v>
      </c>
      <c r="BC3140" s="2">
        <f t="shared" si="1233"/>
        <v>0</v>
      </c>
      <c r="BD3140" s="2">
        <f t="shared" si="1234"/>
        <v>8.8078011953444477E-3</v>
      </c>
      <c r="BF3140" t="s">
        <v>942</v>
      </c>
      <c r="BG3140" t="s">
        <v>2358</v>
      </c>
      <c r="BH3140">
        <v>1</v>
      </c>
      <c r="BJ3140" s="114">
        <v>54</v>
      </c>
      <c r="BK3140" s="116">
        <v>73</v>
      </c>
      <c r="BL3140" s="120">
        <f t="shared" si="1225"/>
        <v>54073</v>
      </c>
      <c r="BN3140" s="5" t="s">
        <v>3154</v>
      </c>
      <c r="BZ3140" s="63">
        <f t="shared" si="1224"/>
        <v>3179</v>
      </c>
      <c r="CA3140" s="63">
        <v>29</v>
      </c>
      <c r="CD3140" s="63">
        <v>0</v>
      </c>
      <c r="CE3140" s="63">
        <v>0</v>
      </c>
      <c r="CF3140" s="63">
        <v>0</v>
      </c>
      <c r="CG3140" s="63">
        <v>0</v>
      </c>
      <c r="CH3140" s="8">
        <v>0</v>
      </c>
      <c r="CI3140" s="8">
        <v>0</v>
      </c>
      <c r="CJ3140" s="8">
        <v>0</v>
      </c>
      <c r="CK3140" s="8">
        <v>0</v>
      </c>
      <c r="CL3140" s="8">
        <v>0</v>
      </c>
      <c r="CP3140" s="8"/>
    </row>
    <row r="3141" spans="1:94" hidden="1" outlineLevel="1">
      <c r="A3141" t="s">
        <v>2627</v>
      </c>
      <c r="B3141" t="s">
        <v>2358</v>
      </c>
      <c r="C3141" s="1">
        <f t="shared" si="1226"/>
        <v>3675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7</v>
      </c>
      <c r="G3141" s="132">
        <f t="shared" si="1210"/>
        <v>1568</v>
      </c>
      <c r="H3141" s="137">
        <f t="shared" si="1211"/>
        <v>0.42666666666666669</v>
      </c>
      <c r="I3141" s="2"/>
      <c r="J3141" s="2">
        <f t="shared" si="1227"/>
        <v>0.2525170068027211</v>
      </c>
      <c r="K3141" s="2">
        <f t="shared" si="1228"/>
        <v>0.67918367346938779</v>
      </c>
      <c r="L3141" s="2">
        <f t="shared" si="1229"/>
        <v>1.0884353741496598E-3</v>
      </c>
      <c r="M3141" s="2">
        <f t="shared" si="1230"/>
        <v>6.7210884353741396E-2</v>
      </c>
      <c r="N3141" s="63">
        <v>928</v>
      </c>
      <c r="O3141" s="63">
        <v>2496</v>
      </c>
      <c r="P3141" s="63">
        <v>4</v>
      </c>
      <c r="Q3141" s="63">
        <v>150</v>
      </c>
      <c r="R3141" s="63">
        <v>57</v>
      </c>
      <c r="S3141" s="63">
        <v>15</v>
      </c>
      <c r="T3141" s="63">
        <v>0</v>
      </c>
      <c r="U3141" s="63"/>
      <c r="V3141" s="63">
        <v>0</v>
      </c>
      <c r="W3141" s="63">
        <f>IF(Copyright!B$11=1,IF(CA3141&gt;0,CA3141-SUM(T3141:V3141)-P3141-SUM(AJ3141:AQ3141)-SUM(X3141:AH3141),SUM(CD3141:CQ3141)),SUM(CD3141:CQ3141))</f>
        <v>25</v>
      </c>
      <c r="X3141" s="63"/>
      <c r="Y3141" s="63">
        <v>0</v>
      </c>
      <c r="Z3141" s="63">
        <v>0</v>
      </c>
      <c r="AA3141">
        <v>0</v>
      </c>
      <c r="AB3141" s="63"/>
      <c r="AC3141" s="63"/>
      <c r="AD3141">
        <v>0</v>
      </c>
      <c r="AE3141" s="63">
        <v>0</v>
      </c>
      <c r="AF3141" s="63">
        <v>0</v>
      </c>
      <c r="AG3141" s="63"/>
      <c r="AH3141" s="63"/>
      <c r="AI3141" s="1"/>
      <c r="AJ3141" s="63"/>
      <c r="AK3141" s="63"/>
      <c r="AL3141">
        <v>0</v>
      </c>
      <c r="AM3141" s="63">
        <v>0</v>
      </c>
      <c r="AN3141" s="63"/>
      <c r="AO3141" s="63"/>
      <c r="AP3141" s="63"/>
      <c r="AQ3141" s="63">
        <v>0</v>
      </c>
      <c r="AR3141" s="63"/>
      <c r="AS3141" s="63"/>
      <c r="AT3141" s="63"/>
      <c r="AU3141" s="63"/>
      <c r="AW3141" s="5">
        <f>IF(Q3141&gt;0,RANK(Q3141,(N3141:P3141,Q3141:AE3141)),0)</f>
        <v>3</v>
      </c>
      <c r="AX3141" s="5">
        <f>IF(R3141&gt;0,RANK(R3141,(N3141:P3141,Q3141:AE3141)),0)</f>
        <v>4</v>
      </c>
      <c r="AY3141" s="5">
        <f>IF(T3141&gt;0,RANK(T3141,(N3141:P3141,Q3141:AE3141)),0)</f>
        <v>0</v>
      </c>
      <c r="AZ3141" s="5">
        <f>IF(S3141&gt;0,RANK(S3141,(N3141:P3141,Q3141:AE3141)),0)</f>
        <v>6</v>
      </c>
      <c r="BA3141" s="2">
        <f t="shared" si="1231"/>
        <v>4.0816326530612242E-2</v>
      </c>
      <c r="BB3141" s="2">
        <f t="shared" si="1232"/>
        <v>1.5510204081632653E-2</v>
      </c>
      <c r="BC3141" s="2">
        <f t="shared" si="1233"/>
        <v>0</v>
      </c>
      <c r="BD3141" s="2">
        <f t="shared" si="1234"/>
        <v>4.0816326530612249E-3</v>
      </c>
      <c r="BF3141" t="s">
        <v>2627</v>
      </c>
      <c r="BG3141" t="s">
        <v>2358</v>
      </c>
      <c r="BH3141">
        <v>3</v>
      </c>
      <c r="BJ3141" s="114">
        <v>54</v>
      </c>
      <c r="BK3141" s="116">
        <v>75</v>
      </c>
      <c r="BL3141" s="120">
        <f t="shared" si="1225"/>
        <v>54075</v>
      </c>
      <c r="BN3141" s="5" t="s">
        <v>3154</v>
      </c>
      <c r="BZ3141" s="63">
        <f t="shared" si="1224"/>
        <v>3675</v>
      </c>
      <c r="CA3141" s="63">
        <v>29</v>
      </c>
      <c r="CD3141" s="63">
        <v>0</v>
      </c>
      <c r="CE3141" s="63">
        <v>0</v>
      </c>
      <c r="CF3141" s="63">
        <v>0</v>
      </c>
      <c r="CG3141" s="63">
        <v>0</v>
      </c>
      <c r="CH3141" s="8">
        <v>0</v>
      </c>
      <c r="CI3141" s="8">
        <v>0</v>
      </c>
      <c r="CJ3141" s="8">
        <v>1</v>
      </c>
      <c r="CK3141" s="8">
        <v>0</v>
      </c>
      <c r="CL3141" s="8">
        <v>0</v>
      </c>
      <c r="CP3141" s="8"/>
    </row>
    <row r="3142" spans="1:94" hidden="1" outlineLevel="1">
      <c r="A3142" t="s">
        <v>2593</v>
      </c>
      <c r="B3142" t="s">
        <v>2358</v>
      </c>
      <c r="C3142" s="1">
        <f t="shared" si="1226"/>
        <v>12764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7</v>
      </c>
      <c r="G3142" s="132">
        <f t="shared" si="1210"/>
        <v>7068</v>
      </c>
      <c r="H3142" s="137">
        <f t="shared" si="1211"/>
        <v>0.55374490755249139</v>
      </c>
      <c r="I3142" s="2"/>
      <c r="J3142" s="2">
        <f t="shared" si="1227"/>
        <v>0.19351300532748356</v>
      </c>
      <c r="K3142" s="2">
        <f t="shared" si="1228"/>
        <v>0.74725791287997489</v>
      </c>
      <c r="L3142" s="2">
        <f t="shared" si="1229"/>
        <v>1.4885615794421811E-3</v>
      </c>
      <c r="M3142" s="2">
        <f t="shared" si="1230"/>
        <v>5.7740520213099313E-2</v>
      </c>
      <c r="N3142" s="63">
        <v>2470</v>
      </c>
      <c r="O3142" s="63">
        <v>9538</v>
      </c>
      <c r="P3142" s="63">
        <v>19</v>
      </c>
      <c r="Q3142" s="63">
        <v>429</v>
      </c>
      <c r="R3142" s="63">
        <v>131</v>
      </c>
      <c r="S3142" s="63">
        <v>91</v>
      </c>
      <c r="T3142" s="63">
        <v>0</v>
      </c>
      <c r="U3142" s="63"/>
      <c r="V3142" s="63">
        <v>1</v>
      </c>
      <c r="W3142" s="63">
        <f>IF(Copyright!B$11=1,IF(CA3142&gt;0,CA3142-SUM(T3142:V3142)-P3142-SUM(AJ3142:AQ3142)-SUM(X3142:AH3142),SUM(CD3142:CQ3142)),SUM(CD3142:CQ3142))</f>
        <v>85</v>
      </c>
      <c r="X3142" s="63"/>
      <c r="Y3142" s="63">
        <v>0</v>
      </c>
      <c r="Z3142" s="63">
        <v>0</v>
      </c>
      <c r="AA3142">
        <v>0</v>
      </c>
      <c r="AB3142" s="63"/>
      <c r="AC3142" s="63"/>
      <c r="AD3142">
        <v>0</v>
      </c>
      <c r="AE3142" s="63">
        <v>0</v>
      </c>
      <c r="AF3142" s="63">
        <v>0</v>
      </c>
      <c r="AG3142" s="63"/>
      <c r="AH3142" s="63"/>
      <c r="AI3142" s="1"/>
      <c r="AJ3142" s="63"/>
      <c r="AK3142" s="63"/>
      <c r="AL3142">
        <v>0</v>
      </c>
      <c r="AM3142" s="63">
        <v>0</v>
      </c>
      <c r="AN3142" s="63"/>
      <c r="AO3142" s="63"/>
      <c r="AP3142" s="63"/>
      <c r="AQ3142" s="63">
        <v>0</v>
      </c>
      <c r="AR3142" s="63"/>
      <c r="AS3142" s="63"/>
      <c r="AT3142" s="63"/>
      <c r="AU3142" s="63"/>
      <c r="AW3142" s="5">
        <f>IF(Q3142&gt;0,RANK(Q3142,(N3142:P3142,Q3142:AE3142)),0)</f>
        <v>3</v>
      </c>
      <c r="AX3142" s="5">
        <f>IF(R3142&gt;0,RANK(R3142,(N3142:P3142,Q3142:AE3142)),0)</f>
        <v>4</v>
      </c>
      <c r="AY3142" s="5">
        <f>IF(T3142&gt;0,RANK(T3142,(N3142:P3142,Q3142:AE3142)),0)</f>
        <v>0</v>
      </c>
      <c r="AZ3142" s="5">
        <f>IF(S3142&gt;0,RANK(S3142,(N3142:P3142,Q3142:AE3142)),0)</f>
        <v>5</v>
      </c>
      <c r="BA3142" s="2">
        <f t="shared" si="1231"/>
        <v>3.361015355687872E-2</v>
      </c>
      <c r="BB3142" s="2">
        <f t="shared" si="1232"/>
        <v>1.0263240363522406E-2</v>
      </c>
      <c r="BC3142" s="2">
        <f t="shared" si="1233"/>
        <v>0</v>
      </c>
      <c r="BD3142" s="2">
        <f t="shared" si="1234"/>
        <v>7.1294265120651831E-3</v>
      </c>
      <c r="BF3142" t="s">
        <v>2593</v>
      </c>
      <c r="BG3142" t="s">
        <v>2358</v>
      </c>
      <c r="BH3142">
        <v>1</v>
      </c>
      <c r="BJ3142" s="114">
        <v>54</v>
      </c>
      <c r="BK3142" s="116">
        <v>77</v>
      </c>
      <c r="BL3142" s="120">
        <f t="shared" si="1225"/>
        <v>54077</v>
      </c>
      <c r="BN3142" s="5" t="s">
        <v>3154</v>
      </c>
      <c r="BZ3142" s="63">
        <f t="shared" si="1224"/>
        <v>12764</v>
      </c>
      <c r="CA3142" s="63">
        <v>105</v>
      </c>
      <c r="CD3142" s="63">
        <v>0</v>
      </c>
      <c r="CE3142" s="63">
        <v>0</v>
      </c>
      <c r="CF3142" s="63">
        <v>0</v>
      </c>
      <c r="CG3142" s="63">
        <v>0</v>
      </c>
      <c r="CH3142" s="8">
        <v>2</v>
      </c>
      <c r="CI3142" s="8">
        <v>0</v>
      </c>
      <c r="CJ3142" s="8">
        <v>0</v>
      </c>
      <c r="CK3142" s="8">
        <v>0</v>
      </c>
      <c r="CL3142" s="8">
        <v>0</v>
      </c>
      <c r="CP3142" s="8"/>
    </row>
    <row r="3143" spans="1:94" hidden="1" outlineLevel="1">
      <c r="A3143" t="s">
        <v>955</v>
      </c>
      <c r="B3143" t="s">
        <v>2358</v>
      </c>
      <c r="C3143" s="1">
        <f t="shared" si="1226"/>
        <v>25211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7</v>
      </c>
      <c r="G3143" s="132">
        <f t="shared" si="1210"/>
        <v>11904</v>
      </c>
      <c r="H3143" s="137">
        <f t="shared" si="1211"/>
        <v>0.47217484431398993</v>
      </c>
      <c r="I3143" s="2"/>
      <c r="J3143" s="2">
        <f t="shared" si="1227"/>
        <v>0.23339018682321208</v>
      </c>
      <c r="K3143" s="2">
        <f t="shared" si="1228"/>
        <v>0.70556503113720204</v>
      </c>
      <c r="L3143" s="2">
        <f t="shared" si="1229"/>
        <v>3.0542223632541352E-3</v>
      </c>
      <c r="M3143" s="2">
        <f t="shared" si="1230"/>
        <v>5.7990559676331717E-2</v>
      </c>
      <c r="N3143" s="63">
        <v>5884</v>
      </c>
      <c r="O3143" s="63">
        <v>17788</v>
      </c>
      <c r="P3143" s="63">
        <v>77</v>
      </c>
      <c r="Q3143" s="63">
        <v>823</v>
      </c>
      <c r="R3143" s="63">
        <v>265</v>
      </c>
      <c r="S3143" s="63">
        <v>133</v>
      </c>
      <c r="T3143" s="63">
        <v>0</v>
      </c>
      <c r="U3143" s="63"/>
      <c r="V3143" s="63">
        <v>0</v>
      </c>
      <c r="W3143" s="63">
        <f>IF(Copyright!B$11=1,IF(CA3143&gt;0,CA3143-SUM(T3143:V3143)-P3143-SUM(AJ3143:AQ3143)-SUM(X3143:AH3143),SUM(CD3143:CQ3143)),SUM(CD3143:CQ3143))</f>
        <v>240</v>
      </c>
      <c r="X3143" s="63"/>
      <c r="Y3143" s="63">
        <v>1</v>
      </c>
      <c r="Z3143" s="63">
        <v>0</v>
      </c>
      <c r="AA3143">
        <v>0</v>
      </c>
      <c r="AB3143" s="63"/>
      <c r="AC3143" s="63"/>
      <c r="AD3143">
        <v>0</v>
      </c>
      <c r="AE3143" s="63">
        <v>0</v>
      </c>
      <c r="AF3143" s="63">
        <v>0</v>
      </c>
      <c r="AG3143" s="63"/>
      <c r="AH3143" s="63"/>
      <c r="AI3143" s="1"/>
      <c r="AJ3143" s="63"/>
      <c r="AK3143" s="63"/>
      <c r="AL3143">
        <v>0</v>
      </c>
      <c r="AM3143" s="63">
        <v>0</v>
      </c>
      <c r="AN3143" s="63"/>
      <c r="AO3143" s="63"/>
      <c r="AP3143" s="63"/>
      <c r="AQ3143" s="63">
        <v>0</v>
      </c>
      <c r="AR3143" s="63"/>
      <c r="AS3143" s="63"/>
      <c r="AT3143" s="63"/>
      <c r="AU3143" s="63"/>
      <c r="AW3143" s="5">
        <f>IF(Q3143&gt;0,RANK(Q3143,(N3143:P3143,Q3143:AE3143)),0)</f>
        <v>3</v>
      </c>
      <c r="AX3143" s="5">
        <f>IF(R3143&gt;0,RANK(R3143,(N3143:P3143,Q3143:AE3143)),0)</f>
        <v>4</v>
      </c>
      <c r="AY3143" s="5">
        <f>IF(T3143&gt;0,RANK(T3143,(N3143:P3143,Q3143:AE3143)),0)</f>
        <v>0</v>
      </c>
      <c r="AZ3143" s="5">
        <f>IF(S3143&gt;0,RANK(S3143,(N3143:P3143,Q3143:AE3143)),0)</f>
        <v>6</v>
      </c>
      <c r="BA3143" s="2">
        <f t="shared" si="1231"/>
        <v>3.2644480583872121E-2</v>
      </c>
      <c r="BB3143" s="2">
        <f t="shared" si="1232"/>
        <v>1.0511284756653841E-2</v>
      </c>
      <c r="BC3143" s="2">
        <f t="shared" si="1233"/>
        <v>0</v>
      </c>
      <c r="BD3143" s="2">
        <f t="shared" si="1234"/>
        <v>5.2754749910753239E-3</v>
      </c>
      <c r="BF3143" t="s">
        <v>955</v>
      </c>
      <c r="BG3143" t="s">
        <v>2358</v>
      </c>
      <c r="BH3143">
        <v>2</v>
      </c>
      <c r="BJ3143" s="114">
        <v>54</v>
      </c>
      <c r="BK3143" s="116">
        <v>79</v>
      </c>
      <c r="BL3143" s="120">
        <f t="shared" si="1225"/>
        <v>54079</v>
      </c>
      <c r="BN3143" s="5" t="s">
        <v>3154</v>
      </c>
      <c r="CA3143" s="63">
        <v>318</v>
      </c>
      <c r="CD3143" s="63">
        <v>0</v>
      </c>
      <c r="CE3143" s="63">
        <v>0</v>
      </c>
      <c r="CF3143" s="63">
        <v>1</v>
      </c>
      <c r="CG3143" s="63">
        <v>0</v>
      </c>
      <c r="CH3143" s="8">
        <v>0</v>
      </c>
      <c r="CI3143" s="8">
        <v>0</v>
      </c>
      <c r="CJ3143" s="8">
        <v>1</v>
      </c>
      <c r="CK3143" s="8">
        <v>1</v>
      </c>
      <c r="CL3143" s="8">
        <v>0</v>
      </c>
      <c r="CP3143" s="8"/>
    </row>
    <row r="3144" spans="1:94" hidden="1" outlineLevel="1">
      <c r="A3144" t="s">
        <v>175</v>
      </c>
      <c r="B3144" t="s">
        <v>2358</v>
      </c>
      <c r="C3144" s="1">
        <f t="shared" si="1226"/>
        <v>29892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7</v>
      </c>
      <c r="G3144" s="132">
        <f t="shared" ref="G3144:G3207" si="1235">IF(C3144&gt;0,MAX(N3144:P3144)-LARGE(N3144:P3144,2),0)</f>
        <v>15605</v>
      </c>
      <c r="H3144" s="137">
        <f t="shared" ref="H3144:H3207" si="1236">IF(C3144&gt;0,G3144/C3144,0)</f>
        <v>0.52204603238324632</v>
      </c>
      <c r="I3144" s="2"/>
      <c r="J3144" s="2">
        <f t="shared" si="1227"/>
        <v>0.21554262009902314</v>
      </c>
      <c r="K3144" s="2">
        <f t="shared" si="1228"/>
        <v>0.73758865248226946</v>
      </c>
      <c r="L3144" s="2">
        <f t="shared" si="1229"/>
        <v>1.070520540612873E-3</v>
      </c>
      <c r="M3144" s="2">
        <f t="shared" si="1230"/>
        <v>4.5798206878094529E-2</v>
      </c>
      <c r="N3144" s="63">
        <v>6443</v>
      </c>
      <c r="O3144" s="63">
        <v>22048</v>
      </c>
      <c r="P3144" s="63">
        <v>32</v>
      </c>
      <c r="Q3144" s="63">
        <v>687</v>
      </c>
      <c r="R3144" s="63">
        <v>252</v>
      </c>
      <c r="S3144" s="63">
        <v>188</v>
      </c>
      <c r="T3144" s="63">
        <v>0</v>
      </c>
      <c r="U3144" s="63"/>
      <c r="V3144" s="63">
        <v>0</v>
      </c>
      <c r="W3144" s="63">
        <f>IF(Copyright!B$11=1,IF(CA3144&gt;0,CA3144-SUM(T3144:V3144)-P3144-SUM(AJ3144:AQ3144)-SUM(X3144:AH3144),SUM(CD3144:CQ3144)),SUM(CD3144:CQ3144))</f>
        <v>239</v>
      </c>
      <c r="X3144" s="63"/>
      <c r="Y3144" s="63">
        <v>3</v>
      </c>
      <c r="Z3144" s="63">
        <v>0</v>
      </c>
      <c r="AA3144">
        <v>0</v>
      </c>
      <c r="AB3144" s="63"/>
      <c r="AC3144" s="63"/>
      <c r="AD3144">
        <v>0</v>
      </c>
      <c r="AE3144" s="63">
        <v>0</v>
      </c>
      <c r="AF3144" s="63">
        <v>0</v>
      </c>
      <c r="AG3144" s="63"/>
      <c r="AH3144" s="63"/>
      <c r="AI3144" s="1"/>
      <c r="AJ3144" s="63"/>
      <c r="AK3144" s="63"/>
      <c r="AL3144">
        <v>0</v>
      </c>
      <c r="AM3144" s="63">
        <v>0</v>
      </c>
      <c r="AN3144" s="63"/>
      <c r="AO3144" s="63"/>
      <c r="AP3144" s="63"/>
      <c r="AQ3144" s="63">
        <v>0</v>
      </c>
      <c r="AR3144" s="63"/>
      <c r="AS3144" s="63"/>
      <c r="AT3144" s="63"/>
      <c r="AU3144" s="63"/>
      <c r="AW3144" s="5">
        <f>IF(Q3144&gt;0,RANK(Q3144,(N3144:P3144,Q3144:AE3144)),0)</f>
        <v>3</v>
      </c>
      <c r="AX3144" s="5">
        <f>IF(R3144&gt;0,RANK(R3144,(N3144:P3144,Q3144:AE3144)),0)</f>
        <v>4</v>
      </c>
      <c r="AY3144" s="5">
        <f>IF(T3144&gt;0,RANK(T3144,(N3144:P3144,Q3144:AE3144)),0)</f>
        <v>0</v>
      </c>
      <c r="AZ3144" s="5">
        <f>IF(S3144&gt;0,RANK(S3144,(N3144:P3144,Q3144:AE3144)),0)</f>
        <v>6</v>
      </c>
      <c r="BA3144" s="2">
        <f t="shared" si="1231"/>
        <v>2.2982737856282617E-2</v>
      </c>
      <c r="BB3144" s="2">
        <f t="shared" si="1232"/>
        <v>8.4303492573263757E-3</v>
      </c>
      <c r="BC3144" s="2">
        <f t="shared" si="1233"/>
        <v>0</v>
      </c>
      <c r="BD3144" s="2">
        <f t="shared" si="1234"/>
        <v>6.2893081761006293E-3</v>
      </c>
      <c r="BF3144" t="s">
        <v>175</v>
      </c>
      <c r="BG3144" t="s">
        <v>2358</v>
      </c>
      <c r="BH3144">
        <v>3</v>
      </c>
      <c r="BJ3144" s="114">
        <v>54</v>
      </c>
      <c r="BK3144" s="116">
        <v>81</v>
      </c>
      <c r="BL3144" s="120">
        <f t="shared" si="1225"/>
        <v>54081</v>
      </c>
      <c r="BN3144" s="5" t="s">
        <v>3154</v>
      </c>
      <c r="BZ3144" s="63">
        <f t="shared" si="1224"/>
        <v>29892</v>
      </c>
      <c r="CA3144" s="63">
        <v>274</v>
      </c>
      <c r="CD3144" s="63">
        <v>0</v>
      </c>
      <c r="CE3144" s="63">
        <v>0</v>
      </c>
      <c r="CF3144" s="63">
        <v>0</v>
      </c>
      <c r="CG3144" s="63">
        <v>0</v>
      </c>
      <c r="CH3144" s="8">
        <v>0</v>
      </c>
      <c r="CI3144" s="8">
        <v>0</v>
      </c>
      <c r="CJ3144" s="8">
        <v>0</v>
      </c>
      <c r="CK3144" s="8">
        <v>0</v>
      </c>
      <c r="CL3144" s="8">
        <v>0</v>
      </c>
      <c r="CP3144" s="8"/>
    </row>
    <row r="3145" spans="1:94" hidden="1" outlineLevel="1">
      <c r="A3145" t="s">
        <v>1460</v>
      </c>
      <c r="B3145" t="s">
        <v>2358</v>
      </c>
      <c r="C3145" s="1">
        <f t="shared" si="1226"/>
        <v>10969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7</v>
      </c>
      <c r="G3145" s="132">
        <f t="shared" si="1235"/>
        <v>4894</v>
      </c>
      <c r="H3145" s="137">
        <f t="shared" si="1236"/>
        <v>0.4461664691403045</v>
      </c>
      <c r="I3145" s="2"/>
      <c r="J3145" s="2">
        <f t="shared" si="1227"/>
        <v>0.24933904640350077</v>
      </c>
      <c r="K3145" s="2">
        <f t="shared" si="1228"/>
        <v>0.69550551554380524</v>
      </c>
      <c r="L3145" s="2">
        <f t="shared" si="1229"/>
        <v>1.8233202662047588E-3</v>
      </c>
      <c r="M3145" s="2">
        <f t="shared" si="1230"/>
        <v>5.3332117786489205E-2</v>
      </c>
      <c r="N3145" s="63">
        <v>2735</v>
      </c>
      <c r="O3145" s="63">
        <v>7629</v>
      </c>
      <c r="P3145" s="63">
        <v>20</v>
      </c>
      <c r="Q3145" s="63">
        <v>339</v>
      </c>
      <c r="R3145" s="63">
        <v>95</v>
      </c>
      <c r="S3145" s="63">
        <v>78</v>
      </c>
      <c r="T3145" s="63">
        <v>0</v>
      </c>
      <c r="U3145" s="63"/>
      <c r="V3145" s="63">
        <v>0</v>
      </c>
      <c r="W3145" s="63">
        <f>IF(Copyright!B$11=1,IF(CA3145&gt;0,CA3145-SUM(T3145:V3145)-P3145-SUM(AJ3145:AQ3145)-SUM(X3145:AH3145),SUM(CD3145:CQ3145)),SUM(CD3145:CQ3145))</f>
        <v>73</v>
      </c>
      <c r="X3145" s="63"/>
      <c r="Y3145" s="63">
        <v>0</v>
      </c>
      <c r="Z3145" s="63">
        <v>0</v>
      </c>
      <c r="AA3145">
        <v>0</v>
      </c>
      <c r="AB3145" s="63"/>
      <c r="AC3145" s="63"/>
      <c r="AD3145">
        <v>0</v>
      </c>
      <c r="AE3145" s="63">
        <v>0</v>
      </c>
      <c r="AF3145" s="63">
        <v>0</v>
      </c>
      <c r="AG3145" s="63"/>
      <c r="AH3145" s="63"/>
      <c r="AI3145" s="1"/>
      <c r="AJ3145" s="63"/>
      <c r="AK3145" s="63"/>
      <c r="AL3145">
        <v>0</v>
      </c>
      <c r="AM3145" s="63">
        <v>0</v>
      </c>
      <c r="AN3145" s="63"/>
      <c r="AO3145" s="63"/>
      <c r="AP3145" s="63"/>
      <c r="AQ3145" s="63">
        <v>0</v>
      </c>
      <c r="AR3145" s="63"/>
      <c r="AS3145" s="63"/>
      <c r="AT3145" s="63"/>
      <c r="AU3145" s="63"/>
      <c r="AW3145" s="5">
        <f>IF(Q3145&gt;0,RANK(Q3145,(N3145:P3145,Q3145:AE3145)),0)</f>
        <v>3</v>
      </c>
      <c r="AX3145" s="5">
        <f>IF(R3145&gt;0,RANK(R3145,(N3145:P3145,Q3145:AE3145)),0)</f>
        <v>4</v>
      </c>
      <c r="AY3145" s="5">
        <f>IF(T3145&gt;0,RANK(T3145,(N3145:P3145,Q3145:AE3145)),0)</f>
        <v>0</v>
      </c>
      <c r="AZ3145" s="5">
        <f>IF(S3145&gt;0,RANK(S3145,(N3145:P3145,Q3145:AE3145)),0)</f>
        <v>5</v>
      </c>
      <c r="BA3145" s="2">
        <f t="shared" si="1231"/>
        <v>3.0905278512170661E-2</v>
      </c>
      <c r="BB3145" s="2">
        <f t="shared" si="1232"/>
        <v>8.6607712644726047E-3</v>
      </c>
      <c r="BC3145" s="2">
        <f t="shared" si="1233"/>
        <v>0</v>
      </c>
      <c r="BD3145" s="2">
        <f t="shared" si="1234"/>
        <v>7.1109490381985599E-3</v>
      </c>
      <c r="BF3145" t="s">
        <v>1460</v>
      </c>
      <c r="BG3145" t="s">
        <v>2358</v>
      </c>
      <c r="BH3145">
        <v>2</v>
      </c>
      <c r="BJ3145" s="114">
        <v>54</v>
      </c>
      <c r="BK3145" s="116">
        <v>83</v>
      </c>
      <c r="BL3145" s="120">
        <f t="shared" si="1225"/>
        <v>54083</v>
      </c>
      <c r="BN3145" s="5" t="s">
        <v>3154</v>
      </c>
      <c r="BZ3145" s="63">
        <f t="shared" si="1224"/>
        <v>10969</v>
      </c>
      <c r="CA3145" s="63">
        <v>93</v>
      </c>
      <c r="CD3145" s="63">
        <v>0</v>
      </c>
      <c r="CE3145" s="63">
        <v>0</v>
      </c>
      <c r="CF3145" s="63">
        <v>0</v>
      </c>
      <c r="CG3145" s="63">
        <v>0</v>
      </c>
      <c r="CH3145" s="8">
        <v>0</v>
      </c>
      <c r="CI3145" s="8">
        <v>0</v>
      </c>
      <c r="CJ3145" s="8">
        <v>0</v>
      </c>
      <c r="CK3145" s="8">
        <v>0</v>
      </c>
      <c r="CL3145" s="8">
        <v>0</v>
      </c>
      <c r="CP3145" s="8"/>
    </row>
    <row r="3146" spans="1:94" hidden="1" outlineLevel="1">
      <c r="A3146" t="s">
        <v>2393</v>
      </c>
      <c r="B3146" t="s">
        <v>2358</v>
      </c>
      <c r="C3146" s="1">
        <f t="shared" si="1226"/>
        <v>4105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7</v>
      </c>
      <c r="G3146" s="132">
        <f t="shared" si="1235"/>
        <v>2909</v>
      </c>
      <c r="H3146" s="137">
        <f t="shared" si="1236"/>
        <v>0.70864799025578562</v>
      </c>
      <c r="I3146" s="2"/>
      <c r="J3146" s="2">
        <f t="shared" si="1227"/>
        <v>0.12082825822168088</v>
      </c>
      <c r="K3146" s="2">
        <f t="shared" si="1228"/>
        <v>0.82947624847746648</v>
      </c>
      <c r="L3146" s="2">
        <f t="shared" si="1229"/>
        <v>1.2180267965895249E-3</v>
      </c>
      <c r="M3146" s="2">
        <f t="shared" si="1230"/>
        <v>4.8477466504263128E-2</v>
      </c>
      <c r="N3146" s="63">
        <v>496</v>
      </c>
      <c r="O3146" s="63">
        <v>3405</v>
      </c>
      <c r="P3146" s="63">
        <v>5</v>
      </c>
      <c r="Q3146" s="63">
        <v>105</v>
      </c>
      <c r="R3146" s="63">
        <v>40</v>
      </c>
      <c r="S3146" s="63">
        <v>29</v>
      </c>
      <c r="T3146" s="63">
        <v>0</v>
      </c>
      <c r="U3146" s="63"/>
      <c r="V3146" s="63">
        <v>0</v>
      </c>
      <c r="W3146" s="63">
        <f>IF(Copyright!B$11=1,IF(CA3146&gt;0,CA3146-SUM(T3146:V3146)-P3146-SUM(AJ3146:AQ3146)-SUM(X3146:AH3146),SUM(CD3146:CQ3146)),SUM(CD3146:CQ3146))</f>
        <v>23</v>
      </c>
      <c r="X3146" s="63"/>
      <c r="Y3146" s="63">
        <v>2</v>
      </c>
      <c r="Z3146" s="63">
        <v>0</v>
      </c>
      <c r="AA3146">
        <v>0</v>
      </c>
      <c r="AB3146" s="63"/>
      <c r="AC3146" s="63"/>
      <c r="AD3146">
        <v>0</v>
      </c>
      <c r="AE3146" s="63">
        <v>0</v>
      </c>
      <c r="AF3146" s="63">
        <v>0</v>
      </c>
      <c r="AG3146" s="63"/>
      <c r="AH3146" s="63"/>
      <c r="AI3146" s="1"/>
      <c r="AJ3146" s="63"/>
      <c r="AK3146" s="63"/>
      <c r="AL3146">
        <v>0</v>
      </c>
      <c r="AM3146" s="63">
        <v>0</v>
      </c>
      <c r="AN3146" s="63"/>
      <c r="AO3146" s="63"/>
      <c r="AP3146" s="63"/>
      <c r="AQ3146" s="63">
        <v>0</v>
      </c>
      <c r="AR3146" s="63"/>
      <c r="AS3146" s="63"/>
      <c r="AT3146" s="63"/>
      <c r="AU3146" s="63"/>
      <c r="AW3146" s="5">
        <f>IF(Q3146&gt;0,RANK(Q3146,(N3146:P3146,Q3146:AE3146)),0)</f>
        <v>3</v>
      </c>
      <c r="AX3146" s="5">
        <f>IF(R3146&gt;0,RANK(R3146,(N3146:P3146,Q3146:AE3146)),0)</f>
        <v>4</v>
      </c>
      <c r="AY3146" s="5">
        <f>IF(T3146&gt;0,RANK(T3146,(N3146:P3146,Q3146:AE3146)),0)</f>
        <v>0</v>
      </c>
      <c r="AZ3146" s="5">
        <f>IF(S3146&gt;0,RANK(S3146,(N3146:P3146,Q3146:AE3146)),0)</f>
        <v>5</v>
      </c>
      <c r="BA3146" s="2">
        <f t="shared" si="1231"/>
        <v>2.5578562728380026E-2</v>
      </c>
      <c r="BB3146" s="2">
        <f t="shared" si="1232"/>
        <v>9.7442143727161992E-3</v>
      </c>
      <c r="BC3146" s="2">
        <f t="shared" si="1233"/>
        <v>0</v>
      </c>
      <c r="BD3146" s="2">
        <f t="shared" si="1234"/>
        <v>7.064555420219245E-3</v>
      </c>
      <c r="BF3146" t="s">
        <v>2393</v>
      </c>
      <c r="BG3146" t="s">
        <v>2358</v>
      </c>
      <c r="BH3146">
        <v>1</v>
      </c>
      <c r="BJ3146" s="114">
        <v>54</v>
      </c>
      <c r="BK3146" s="116">
        <v>85</v>
      </c>
      <c r="BL3146" s="120">
        <f t="shared" si="1225"/>
        <v>54085</v>
      </c>
      <c r="BN3146" s="5" t="s">
        <v>3154</v>
      </c>
      <c r="BZ3146" s="63">
        <f t="shared" si="1224"/>
        <v>4105</v>
      </c>
      <c r="CA3146" s="63">
        <v>30</v>
      </c>
      <c r="CD3146" s="63">
        <v>0</v>
      </c>
      <c r="CE3146" s="63">
        <v>0</v>
      </c>
      <c r="CF3146" s="63">
        <v>0</v>
      </c>
      <c r="CG3146" s="63">
        <v>0</v>
      </c>
      <c r="CH3146" s="8">
        <v>0</v>
      </c>
      <c r="CI3146" s="8">
        <v>0</v>
      </c>
      <c r="CJ3146" s="8">
        <v>0</v>
      </c>
      <c r="CK3146" s="8">
        <v>0</v>
      </c>
      <c r="CL3146" s="8">
        <v>0</v>
      </c>
      <c r="CP3146" s="8"/>
    </row>
    <row r="3147" spans="1:94" hidden="1" outlineLevel="1">
      <c r="A3147" t="s">
        <v>1022</v>
      </c>
      <c r="B3147" t="s">
        <v>2358</v>
      </c>
      <c r="C3147" s="1">
        <f t="shared" si="1226"/>
        <v>5315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7</v>
      </c>
      <c r="G3147" s="132">
        <f t="shared" si="1235"/>
        <v>2559</v>
      </c>
      <c r="H3147" s="137">
        <f t="shared" si="1236"/>
        <v>0.4814675446848542</v>
      </c>
      <c r="I3147" s="2"/>
      <c r="J3147" s="2">
        <f t="shared" si="1227"/>
        <v>0.22991533396048919</v>
      </c>
      <c r="K3147" s="2">
        <f t="shared" si="1228"/>
        <v>0.71138287864534333</v>
      </c>
      <c r="L3147" s="2">
        <f t="shared" si="1229"/>
        <v>1.8814675446848542E-3</v>
      </c>
      <c r="M3147" s="2">
        <f t="shared" si="1230"/>
        <v>5.682031984948268E-2</v>
      </c>
      <c r="N3147" s="63">
        <v>1222</v>
      </c>
      <c r="O3147" s="63">
        <v>3781</v>
      </c>
      <c r="P3147" s="63">
        <v>10</v>
      </c>
      <c r="Q3147" s="63">
        <v>143</v>
      </c>
      <c r="R3147" s="63">
        <v>65</v>
      </c>
      <c r="S3147" s="63">
        <v>36</v>
      </c>
      <c r="T3147" s="63">
        <v>0</v>
      </c>
      <c r="U3147" s="63"/>
      <c r="V3147" s="63">
        <v>0</v>
      </c>
      <c r="W3147" s="63">
        <f>IF(Copyright!B$11=1,IF(CA3147&gt;0,CA3147-SUM(T3147:V3147)-P3147-SUM(AJ3147:AQ3147)-SUM(X3147:AH3147),SUM(CD3147:CQ3147)),SUM(CD3147:CQ3147))</f>
        <v>58</v>
      </c>
      <c r="X3147" s="63"/>
      <c r="Y3147" s="63">
        <v>0</v>
      </c>
      <c r="Z3147" s="63">
        <v>0</v>
      </c>
      <c r="AA3147">
        <v>0</v>
      </c>
      <c r="AB3147" s="63"/>
      <c r="AC3147" s="63"/>
      <c r="AD3147">
        <v>0</v>
      </c>
      <c r="AE3147" s="63">
        <v>0</v>
      </c>
      <c r="AF3147" s="63">
        <v>0</v>
      </c>
      <c r="AG3147" s="63"/>
      <c r="AH3147" s="63"/>
      <c r="AI3147" s="1"/>
      <c r="AJ3147" s="63"/>
      <c r="AK3147" s="63"/>
      <c r="AL3147">
        <v>0</v>
      </c>
      <c r="AM3147" s="63">
        <v>0</v>
      </c>
      <c r="AN3147" s="63"/>
      <c r="AO3147" s="63"/>
      <c r="AP3147" s="63"/>
      <c r="AQ3147" s="63">
        <v>0</v>
      </c>
      <c r="AR3147" s="63"/>
      <c r="AS3147" s="63"/>
      <c r="AT3147" s="63"/>
      <c r="AU3147" s="63"/>
      <c r="AW3147" s="5">
        <f>IF(Q3147&gt;0,RANK(Q3147,(N3147:P3147,Q3147:AE3147)),0)</f>
        <v>3</v>
      </c>
      <c r="AX3147" s="5">
        <f>IF(R3147&gt;0,RANK(R3147,(N3147:P3147,Q3147:AE3147)),0)</f>
        <v>4</v>
      </c>
      <c r="AY3147" s="5">
        <f>IF(T3147&gt;0,RANK(T3147,(N3147:P3147,Q3147:AE3147)),0)</f>
        <v>0</v>
      </c>
      <c r="AZ3147" s="5">
        <f>IF(S3147&gt;0,RANK(S3147,(N3147:P3147,Q3147:AE3147)),0)</f>
        <v>6</v>
      </c>
      <c r="BA3147" s="2">
        <f t="shared" si="1231"/>
        <v>2.6904985888993416E-2</v>
      </c>
      <c r="BB3147" s="2">
        <f t="shared" si="1232"/>
        <v>1.2229539040451553E-2</v>
      </c>
      <c r="BC3147" s="2">
        <f t="shared" si="1233"/>
        <v>0</v>
      </c>
      <c r="BD3147" s="2">
        <f t="shared" si="1234"/>
        <v>6.7732831608654752E-3</v>
      </c>
      <c r="BF3147" t="s">
        <v>1022</v>
      </c>
      <c r="BG3147" t="s">
        <v>2358</v>
      </c>
      <c r="BH3147">
        <v>2</v>
      </c>
      <c r="BJ3147" s="114">
        <v>54</v>
      </c>
      <c r="BK3147" s="116">
        <v>87</v>
      </c>
      <c r="BL3147" s="120">
        <f t="shared" si="1225"/>
        <v>54087</v>
      </c>
      <c r="BN3147" s="5" t="s">
        <v>3154</v>
      </c>
      <c r="CA3147" s="63">
        <v>68</v>
      </c>
      <c r="CD3147" s="63">
        <v>0</v>
      </c>
      <c r="CE3147" s="63">
        <v>0</v>
      </c>
      <c r="CF3147" s="63">
        <v>0</v>
      </c>
      <c r="CG3147" s="63">
        <v>0</v>
      </c>
      <c r="CH3147" s="8">
        <v>0</v>
      </c>
      <c r="CI3147" s="8">
        <v>0</v>
      </c>
      <c r="CJ3147" s="8">
        <v>0</v>
      </c>
      <c r="CK3147" s="8">
        <v>0</v>
      </c>
      <c r="CL3147" s="8">
        <v>0</v>
      </c>
      <c r="CP3147" s="8"/>
    </row>
    <row r="3148" spans="1:94" hidden="1" outlineLevel="1">
      <c r="A3148" t="s">
        <v>295</v>
      </c>
      <c r="B3148" t="s">
        <v>2358</v>
      </c>
      <c r="C3148" s="1">
        <f t="shared" si="1226"/>
        <v>4893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7</v>
      </c>
      <c r="G3148" s="132">
        <f t="shared" si="1235"/>
        <v>2265</v>
      </c>
      <c r="H3148" s="137">
        <f t="shared" si="1236"/>
        <v>0.46290619251992643</v>
      </c>
      <c r="I3148" s="2"/>
      <c r="J3148" s="2">
        <f t="shared" si="1227"/>
        <v>0.24320457796852646</v>
      </c>
      <c r="K3148" s="2">
        <f t="shared" si="1228"/>
        <v>0.70611077048845294</v>
      </c>
      <c r="L3148" s="2">
        <f t="shared" si="1229"/>
        <v>1.8393623543838135E-3</v>
      </c>
      <c r="M3148" s="2">
        <f t="shared" si="1230"/>
        <v>4.8845289188636787E-2</v>
      </c>
      <c r="N3148" s="63">
        <v>1190</v>
      </c>
      <c r="O3148" s="63">
        <v>3455</v>
      </c>
      <c r="P3148" s="63">
        <v>9</v>
      </c>
      <c r="Q3148" s="63">
        <v>137</v>
      </c>
      <c r="R3148" s="63">
        <v>57</v>
      </c>
      <c r="S3148" s="63">
        <v>23</v>
      </c>
      <c r="T3148" s="63">
        <v>0</v>
      </c>
      <c r="U3148" s="63"/>
      <c r="V3148" s="63">
        <v>0</v>
      </c>
      <c r="W3148" s="63">
        <f>IF(Copyright!B$11=1,IF(CA3148&gt;0,CA3148-SUM(T3148:V3148)-P3148-SUM(AJ3148:AQ3148)-SUM(X3148:AH3148),SUM(CD3148:CQ3148)),SUM(CD3148:CQ3148))</f>
        <v>22</v>
      </c>
      <c r="X3148" s="63"/>
      <c r="Y3148" s="63">
        <v>0</v>
      </c>
      <c r="Z3148" s="63">
        <v>0</v>
      </c>
      <c r="AA3148">
        <v>0</v>
      </c>
      <c r="AB3148" s="63"/>
      <c r="AC3148" s="63"/>
      <c r="AD3148">
        <v>0</v>
      </c>
      <c r="AE3148" s="63">
        <v>0</v>
      </c>
      <c r="AF3148" s="63">
        <v>0</v>
      </c>
      <c r="AG3148" s="63"/>
      <c r="AH3148" s="63"/>
      <c r="AI3148" s="1"/>
      <c r="AJ3148" s="63"/>
      <c r="AK3148" s="63"/>
      <c r="AL3148">
        <v>0</v>
      </c>
      <c r="AM3148" s="63">
        <v>0</v>
      </c>
      <c r="AN3148" s="63"/>
      <c r="AO3148" s="63"/>
      <c r="AP3148" s="63"/>
      <c r="AQ3148" s="63">
        <v>0</v>
      </c>
      <c r="AR3148" s="63"/>
      <c r="AS3148" s="63"/>
      <c r="AT3148" s="63"/>
      <c r="AU3148" s="63"/>
      <c r="AW3148" s="5">
        <f>IF(Q3148&gt;0,RANK(Q3148,(N3148:P3148,Q3148:AE3148)),0)</f>
        <v>3</v>
      </c>
      <c r="AX3148" s="5">
        <f>IF(R3148&gt;0,RANK(R3148,(N3148:P3148,Q3148:AE3148)),0)</f>
        <v>4</v>
      </c>
      <c r="AY3148" s="5">
        <f>IF(T3148&gt;0,RANK(T3148,(N3148:P3148,Q3148:AE3148)),0)</f>
        <v>0</v>
      </c>
      <c r="AZ3148" s="5">
        <f>IF(S3148&gt;0,RANK(S3148,(N3148:P3148,Q3148:AE3148)),0)</f>
        <v>5</v>
      </c>
      <c r="BA3148" s="2">
        <f t="shared" si="1231"/>
        <v>2.7999182505620272E-2</v>
      </c>
      <c r="BB3148" s="2">
        <f t="shared" si="1232"/>
        <v>1.1649294911097487E-2</v>
      </c>
      <c r="BC3148" s="2">
        <f t="shared" si="1233"/>
        <v>0</v>
      </c>
      <c r="BD3148" s="2">
        <f t="shared" si="1234"/>
        <v>4.7005926834253016E-3</v>
      </c>
      <c r="BF3148" t="s">
        <v>295</v>
      </c>
      <c r="BG3148" t="s">
        <v>2358</v>
      </c>
      <c r="BH3148">
        <v>3</v>
      </c>
      <c r="BJ3148" s="114">
        <v>54</v>
      </c>
      <c r="BK3148" s="116">
        <v>89</v>
      </c>
      <c r="BL3148" s="120">
        <f t="shared" si="1225"/>
        <v>54089</v>
      </c>
      <c r="BN3148" s="5" t="s">
        <v>3154</v>
      </c>
      <c r="BZ3148" s="63">
        <f t="shared" si="1224"/>
        <v>4893</v>
      </c>
      <c r="CA3148" s="63">
        <v>31</v>
      </c>
      <c r="CD3148" s="63">
        <v>0</v>
      </c>
      <c r="CE3148" s="63">
        <v>0</v>
      </c>
      <c r="CF3148" s="63">
        <v>0</v>
      </c>
      <c r="CG3148" s="63">
        <v>0</v>
      </c>
      <c r="CH3148" s="8">
        <v>0</v>
      </c>
      <c r="CI3148" s="8">
        <v>0</v>
      </c>
      <c r="CJ3148" s="8">
        <v>0</v>
      </c>
      <c r="CK3148" s="8">
        <v>0</v>
      </c>
      <c r="CL3148" s="8">
        <v>0</v>
      </c>
      <c r="CP3148" s="8"/>
    </row>
    <row r="3149" spans="1:94" hidden="1" outlineLevel="1">
      <c r="A3149" t="s">
        <v>1140</v>
      </c>
      <c r="B3149" t="s">
        <v>2358</v>
      </c>
      <c r="C3149" s="1">
        <f t="shared" si="1226"/>
        <v>6593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7</v>
      </c>
      <c r="G3149" s="132">
        <f t="shared" si="1235"/>
        <v>3242</v>
      </c>
      <c r="H3149" s="137">
        <f t="shared" si="1236"/>
        <v>0.49173365690884269</v>
      </c>
      <c r="I3149" s="2"/>
      <c r="J3149" s="2">
        <f t="shared" si="1227"/>
        <v>0.22614894585166084</v>
      </c>
      <c r="K3149" s="2">
        <f t="shared" si="1228"/>
        <v>0.71788260276050353</v>
      </c>
      <c r="L3149" s="2">
        <f t="shared" si="1229"/>
        <v>1.8201122402548156E-3</v>
      </c>
      <c r="M3149" s="2">
        <f t="shared" si="1230"/>
        <v>5.4148339147580868E-2</v>
      </c>
      <c r="N3149" s="63">
        <v>1491</v>
      </c>
      <c r="O3149" s="63">
        <v>4733</v>
      </c>
      <c r="P3149" s="63">
        <v>12</v>
      </c>
      <c r="Q3149" s="63">
        <v>194</v>
      </c>
      <c r="R3149" s="63">
        <v>77</v>
      </c>
      <c r="S3149" s="63">
        <v>43</v>
      </c>
      <c r="T3149" s="63">
        <v>0</v>
      </c>
      <c r="U3149" s="63"/>
      <c r="V3149" s="63">
        <v>0</v>
      </c>
      <c r="W3149" s="63">
        <f>IF(Copyright!B$11=1,IF(CA3149&gt;0,CA3149-SUM(T3149:V3149)-P3149-SUM(AJ3149:AQ3149)-SUM(X3149:AH3149),SUM(CD3149:CQ3149)),SUM(CD3149:CQ3149))</f>
        <v>43</v>
      </c>
      <c r="X3149" s="63"/>
      <c r="Y3149" s="63">
        <v>0</v>
      </c>
      <c r="Z3149" s="63">
        <v>0</v>
      </c>
      <c r="AA3149">
        <v>0</v>
      </c>
      <c r="AB3149" s="63"/>
      <c r="AC3149" s="63"/>
      <c r="AD3149">
        <v>0</v>
      </c>
      <c r="AE3149" s="63">
        <v>0</v>
      </c>
      <c r="AF3149" s="63">
        <v>0</v>
      </c>
      <c r="AG3149" s="63"/>
      <c r="AH3149" s="63"/>
      <c r="AI3149" s="1"/>
      <c r="AJ3149" s="63"/>
      <c r="AK3149" s="63"/>
      <c r="AL3149">
        <v>0</v>
      </c>
      <c r="AM3149" s="63">
        <v>0</v>
      </c>
      <c r="AN3149" s="63"/>
      <c r="AO3149" s="63"/>
      <c r="AP3149" s="63"/>
      <c r="AQ3149" s="63">
        <v>0</v>
      </c>
      <c r="AR3149" s="63"/>
      <c r="AS3149" s="63"/>
      <c r="AT3149" s="63"/>
      <c r="AU3149" s="63"/>
      <c r="AW3149" s="5">
        <f>IF(Q3149&gt;0,RANK(Q3149,(N3149:P3149,Q3149:AE3149)),0)</f>
        <v>3</v>
      </c>
      <c r="AX3149" s="5">
        <f>IF(R3149&gt;0,RANK(R3149,(N3149:P3149,Q3149:AE3149)),0)</f>
        <v>4</v>
      </c>
      <c r="AY3149" s="5">
        <f>IF(T3149&gt;0,RANK(T3149,(N3149:P3149,Q3149:AE3149)),0)</f>
        <v>0</v>
      </c>
      <c r="AZ3149" s="5">
        <f>IF(S3149&gt;0,RANK(S3149,(N3149:P3149,Q3149:AE3149)),0)</f>
        <v>5</v>
      </c>
      <c r="BA3149" s="2">
        <f t="shared" si="1231"/>
        <v>2.9425147884119519E-2</v>
      </c>
      <c r="BB3149" s="2">
        <f t="shared" si="1232"/>
        <v>1.1679053541635067E-2</v>
      </c>
      <c r="BC3149" s="2">
        <f t="shared" si="1233"/>
        <v>0</v>
      </c>
      <c r="BD3149" s="2">
        <f t="shared" si="1234"/>
        <v>6.5220688609130897E-3</v>
      </c>
      <c r="BF3149" t="s">
        <v>1140</v>
      </c>
      <c r="BG3149" t="s">
        <v>2358</v>
      </c>
      <c r="BH3149">
        <v>1</v>
      </c>
      <c r="BJ3149" s="114">
        <v>54</v>
      </c>
      <c r="BK3149" s="116">
        <v>91</v>
      </c>
      <c r="BL3149" s="120">
        <f t="shared" si="1225"/>
        <v>54091</v>
      </c>
      <c r="BN3149" s="5" t="s">
        <v>3154</v>
      </c>
      <c r="BZ3149" s="63">
        <f t="shared" si="1224"/>
        <v>6593</v>
      </c>
      <c r="CA3149" s="63">
        <v>55</v>
      </c>
      <c r="CD3149" s="63">
        <v>0</v>
      </c>
      <c r="CE3149" s="63">
        <v>0</v>
      </c>
      <c r="CF3149" s="63">
        <v>0</v>
      </c>
      <c r="CG3149" s="63">
        <v>0</v>
      </c>
      <c r="CH3149" s="8">
        <v>0</v>
      </c>
      <c r="CI3149" s="8">
        <v>0</v>
      </c>
      <c r="CJ3149" s="8">
        <v>0</v>
      </c>
      <c r="CK3149" s="8">
        <v>0</v>
      </c>
      <c r="CL3149" s="8">
        <v>0</v>
      </c>
      <c r="CP3149" s="8"/>
    </row>
    <row r="3150" spans="1:94" hidden="1" outlineLevel="1">
      <c r="A3150" t="s">
        <v>837</v>
      </c>
      <c r="B3150" t="s">
        <v>2358</v>
      </c>
      <c r="C3150" s="1">
        <f t="shared" si="1226"/>
        <v>3501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7</v>
      </c>
      <c r="G3150" s="132">
        <f t="shared" si="1235"/>
        <v>1814</v>
      </c>
      <c r="H3150" s="137">
        <f t="shared" si="1236"/>
        <v>0.51813767495001428</v>
      </c>
      <c r="I3150" s="2"/>
      <c r="J3150" s="2">
        <f t="shared" si="1227"/>
        <v>0.21451013996001142</v>
      </c>
      <c r="K3150" s="2">
        <f t="shared" si="1228"/>
        <v>0.73264781491002573</v>
      </c>
      <c r="L3150" s="2">
        <f t="shared" si="1229"/>
        <v>8.5689802913453304E-4</v>
      </c>
      <c r="M3150" s="2">
        <f t="shared" si="1230"/>
        <v>5.1985147100828293E-2</v>
      </c>
      <c r="N3150" s="63">
        <v>751</v>
      </c>
      <c r="O3150" s="63">
        <v>2565</v>
      </c>
      <c r="P3150" s="63">
        <v>3</v>
      </c>
      <c r="Q3150" s="63">
        <v>103</v>
      </c>
      <c r="R3150" s="63">
        <v>46</v>
      </c>
      <c r="S3150" s="63">
        <v>10</v>
      </c>
      <c r="T3150" s="63">
        <v>0</v>
      </c>
      <c r="U3150" s="63"/>
      <c r="V3150" s="63">
        <v>0</v>
      </c>
      <c r="W3150" s="63">
        <f>IF(Copyright!B$11=1,IF(CA3150&gt;0,CA3150-SUM(T3150:V3150)-P3150-SUM(AJ3150:AQ3150)-SUM(X3150:AH3150),SUM(CD3150:CQ3150)),SUM(CD3150:CQ3150))</f>
        <v>23</v>
      </c>
      <c r="X3150" s="63"/>
      <c r="Y3150" s="63">
        <v>0</v>
      </c>
      <c r="Z3150" s="63">
        <v>0</v>
      </c>
      <c r="AA3150">
        <v>0</v>
      </c>
      <c r="AB3150" s="63"/>
      <c r="AC3150" s="63"/>
      <c r="AD3150">
        <v>0</v>
      </c>
      <c r="AE3150" s="63">
        <v>0</v>
      </c>
      <c r="AF3150" s="63">
        <v>0</v>
      </c>
      <c r="AG3150" s="63"/>
      <c r="AH3150" s="63"/>
      <c r="AI3150" s="1"/>
      <c r="AJ3150" s="63"/>
      <c r="AK3150" s="63"/>
      <c r="AL3150">
        <v>0</v>
      </c>
      <c r="AM3150" s="63">
        <v>0</v>
      </c>
      <c r="AN3150" s="63"/>
      <c r="AO3150" s="63"/>
      <c r="AP3150" s="63"/>
      <c r="AQ3150" s="63">
        <v>0</v>
      </c>
      <c r="AR3150" s="63"/>
      <c r="AS3150" s="63"/>
      <c r="AT3150" s="63"/>
      <c r="AU3150" s="63"/>
      <c r="AW3150" s="5">
        <f>IF(Q3150&gt;0,RANK(Q3150,(N3150:P3150,Q3150:AE3150)),0)</f>
        <v>3</v>
      </c>
      <c r="AX3150" s="5">
        <f>IF(R3150&gt;0,RANK(R3150,(N3150:P3150,Q3150:AE3150)),0)</f>
        <v>4</v>
      </c>
      <c r="AY3150" s="5">
        <f>IF(T3150&gt;0,RANK(T3150,(N3150:P3150,Q3150:AE3150)),0)</f>
        <v>0</v>
      </c>
      <c r="AZ3150" s="5">
        <f>IF(S3150&gt;0,RANK(S3150,(N3150:P3150,Q3150:AE3150)),0)</f>
        <v>6</v>
      </c>
      <c r="BA3150" s="2">
        <f t="shared" si="1231"/>
        <v>2.9420165666952301E-2</v>
      </c>
      <c r="BB3150" s="2">
        <f t="shared" si="1232"/>
        <v>1.3139103113396172E-2</v>
      </c>
      <c r="BC3150" s="2">
        <f t="shared" si="1233"/>
        <v>0</v>
      </c>
      <c r="BD3150" s="2">
        <f t="shared" si="1234"/>
        <v>2.8563267637817767E-3</v>
      </c>
      <c r="BF3150" t="s">
        <v>837</v>
      </c>
      <c r="BG3150" t="s">
        <v>2358</v>
      </c>
      <c r="BH3150">
        <v>1</v>
      </c>
      <c r="BJ3150" s="114">
        <v>54</v>
      </c>
      <c r="BK3150" s="116">
        <v>93</v>
      </c>
      <c r="BL3150" s="120">
        <f t="shared" si="1225"/>
        <v>54093</v>
      </c>
      <c r="BN3150" s="5" t="s">
        <v>3154</v>
      </c>
      <c r="BZ3150" s="63">
        <f t="shared" si="1224"/>
        <v>3501</v>
      </c>
      <c r="CA3150" s="63">
        <v>26</v>
      </c>
      <c r="CD3150" s="63">
        <v>0</v>
      </c>
      <c r="CE3150" s="63">
        <v>0</v>
      </c>
      <c r="CF3150" s="63">
        <v>0</v>
      </c>
      <c r="CG3150" s="63">
        <v>0</v>
      </c>
      <c r="CH3150" s="8">
        <v>0</v>
      </c>
      <c r="CI3150" s="8">
        <v>0</v>
      </c>
      <c r="CJ3150" s="8">
        <v>0</v>
      </c>
      <c r="CK3150" s="8">
        <v>0</v>
      </c>
      <c r="CL3150" s="8">
        <v>0</v>
      </c>
      <c r="CP3150" s="8"/>
    </row>
    <row r="3151" spans="1:94" hidden="1" outlineLevel="1">
      <c r="A3151" t="s">
        <v>838</v>
      </c>
      <c r="B3151" t="s">
        <v>2358</v>
      </c>
      <c r="C3151" s="1">
        <f t="shared" si="1226"/>
        <v>3692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7</v>
      </c>
      <c r="G3151" s="132">
        <f t="shared" si="1235"/>
        <v>2489</v>
      </c>
      <c r="H3151" s="137">
        <f t="shared" si="1236"/>
        <v>0.67416034669555791</v>
      </c>
      <c r="I3151" s="2"/>
      <c r="J3151" s="2">
        <f t="shared" si="1227"/>
        <v>0.13732394366197184</v>
      </c>
      <c r="K3151" s="2">
        <f t="shared" si="1228"/>
        <v>0.81148429035752978</v>
      </c>
      <c r="L3151" s="2">
        <f t="shared" si="1229"/>
        <v>1.3542795232936078E-3</v>
      </c>
      <c r="M3151" s="2">
        <f t="shared" si="1230"/>
        <v>4.983748645720474E-2</v>
      </c>
      <c r="N3151" s="63">
        <v>507</v>
      </c>
      <c r="O3151" s="63">
        <v>2996</v>
      </c>
      <c r="P3151" s="63">
        <v>5</v>
      </c>
      <c r="Q3151" s="63">
        <v>103</v>
      </c>
      <c r="R3151" s="63">
        <v>25</v>
      </c>
      <c r="S3151" s="63">
        <v>23</v>
      </c>
      <c r="T3151" s="63">
        <v>0</v>
      </c>
      <c r="U3151" s="63"/>
      <c r="V3151" s="63">
        <v>0</v>
      </c>
      <c r="W3151" s="63">
        <f>IF(Copyright!B$11=1,IF(CA3151&gt;0,CA3151-SUM(T3151:V3151)-P3151-SUM(AJ3151:AQ3151)-SUM(X3151:AH3151),SUM(CD3151:CQ3151)),SUM(CD3151:CQ3151))</f>
        <v>33</v>
      </c>
      <c r="X3151" s="63"/>
      <c r="Y3151" s="63">
        <v>0</v>
      </c>
      <c r="Z3151" s="63">
        <v>0</v>
      </c>
      <c r="AA3151">
        <v>0</v>
      </c>
      <c r="AB3151" s="63"/>
      <c r="AC3151" s="63"/>
      <c r="AD3151">
        <v>0</v>
      </c>
      <c r="AE3151" s="63">
        <v>0</v>
      </c>
      <c r="AF3151" s="63">
        <v>0</v>
      </c>
      <c r="AG3151" s="63"/>
      <c r="AH3151" s="63"/>
      <c r="AI3151" s="1"/>
      <c r="AJ3151" s="63"/>
      <c r="AK3151" s="63"/>
      <c r="AL3151">
        <v>0</v>
      </c>
      <c r="AM3151" s="63">
        <v>0</v>
      </c>
      <c r="AN3151" s="63"/>
      <c r="AO3151" s="63"/>
      <c r="AP3151" s="63"/>
      <c r="AQ3151" s="63">
        <v>0</v>
      </c>
      <c r="AR3151" s="63"/>
      <c r="AS3151" s="63"/>
      <c r="AT3151" s="63"/>
      <c r="AU3151" s="63"/>
      <c r="AW3151" s="5">
        <f>IF(Q3151&gt;0,RANK(Q3151,(N3151:P3151,Q3151:AE3151)),0)</f>
        <v>3</v>
      </c>
      <c r="AX3151" s="5">
        <f>IF(R3151&gt;0,RANK(R3151,(N3151:P3151,Q3151:AE3151)),0)</f>
        <v>5</v>
      </c>
      <c r="AY3151" s="5">
        <f>IF(T3151&gt;0,RANK(T3151,(N3151:P3151,Q3151:AE3151)),0)</f>
        <v>0</v>
      </c>
      <c r="AZ3151" s="5">
        <f>IF(S3151&gt;0,RANK(S3151,(N3151:P3151,Q3151:AE3151)),0)</f>
        <v>6</v>
      </c>
      <c r="BA3151" s="2">
        <f t="shared" si="1231"/>
        <v>2.789815817984832E-2</v>
      </c>
      <c r="BB3151" s="2">
        <f t="shared" si="1232"/>
        <v>6.7713976164680391E-3</v>
      </c>
      <c r="BC3151" s="2">
        <f t="shared" si="1233"/>
        <v>0</v>
      </c>
      <c r="BD3151" s="2">
        <f t="shared" si="1234"/>
        <v>6.2296858071505959E-3</v>
      </c>
      <c r="BF3151" t="s">
        <v>838</v>
      </c>
      <c r="BG3151" t="s">
        <v>2358</v>
      </c>
      <c r="BH3151">
        <v>1</v>
      </c>
      <c r="BJ3151" s="114">
        <v>54</v>
      </c>
      <c r="BK3151" s="116">
        <v>95</v>
      </c>
      <c r="BL3151" s="120">
        <f t="shared" si="1225"/>
        <v>54095</v>
      </c>
      <c r="BN3151" s="5" t="s">
        <v>3154</v>
      </c>
      <c r="BZ3151" s="63">
        <f t="shared" si="1224"/>
        <v>3692</v>
      </c>
      <c r="CA3151" s="63">
        <v>38</v>
      </c>
      <c r="CD3151" s="63">
        <v>0</v>
      </c>
      <c r="CE3151" s="63">
        <v>0</v>
      </c>
      <c r="CF3151" s="63">
        <v>0</v>
      </c>
      <c r="CG3151" s="63">
        <v>0</v>
      </c>
      <c r="CH3151" s="8">
        <v>0</v>
      </c>
      <c r="CI3151" s="8">
        <v>0</v>
      </c>
      <c r="CJ3151" s="8">
        <v>0</v>
      </c>
      <c r="CK3151" s="8">
        <v>0</v>
      </c>
      <c r="CL3151" s="8">
        <v>0</v>
      </c>
      <c r="CP3151" s="8"/>
    </row>
    <row r="3152" spans="1:94" hidden="1" outlineLevel="1">
      <c r="A3152" t="s">
        <v>2841</v>
      </c>
      <c r="B3152" t="s">
        <v>2358</v>
      </c>
      <c r="C3152" s="1">
        <f t="shared" si="1226"/>
        <v>9298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7</v>
      </c>
      <c r="G3152" s="132">
        <f t="shared" si="1235"/>
        <v>5239</v>
      </c>
      <c r="H3152" s="137">
        <f t="shared" si="1236"/>
        <v>0.56345450634545069</v>
      </c>
      <c r="I3152" s="2"/>
      <c r="J3152" s="2">
        <f t="shared" si="1227"/>
        <v>0.18993331899333191</v>
      </c>
      <c r="K3152" s="2">
        <f t="shared" si="1228"/>
        <v>0.75338782533878257</v>
      </c>
      <c r="L3152" s="2">
        <f t="shared" si="1229"/>
        <v>2.1510002151000216E-4</v>
      </c>
      <c r="M3152" s="2">
        <f t="shared" si="1230"/>
        <v>5.6463755646375548E-2</v>
      </c>
      <c r="N3152" s="63">
        <v>1766</v>
      </c>
      <c r="O3152" s="63">
        <v>7005</v>
      </c>
      <c r="P3152" s="63">
        <v>2</v>
      </c>
      <c r="Q3152" s="63">
        <v>310</v>
      </c>
      <c r="R3152" s="63">
        <v>89</v>
      </c>
      <c r="S3152" s="63">
        <v>48</v>
      </c>
      <c r="T3152" s="63">
        <v>0</v>
      </c>
      <c r="U3152" s="63"/>
      <c r="V3152" s="63">
        <v>0</v>
      </c>
      <c r="W3152" s="63">
        <f>IF(Copyright!B$11=1,IF(CA3152&gt;0,CA3152-SUM(T3152:V3152)-P3152-SUM(AJ3152:AQ3152)-SUM(X3152:AH3152),SUM(CD3152:CQ3152)),SUM(CD3152:CQ3152))</f>
        <v>78</v>
      </c>
      <c r="X3152" s="63"/>
      <c r="Y3152" s="63">
        <v>0</v>
      </c>
      <c r="Z3152" s="63">
        <v>0</v>
      </c>
      <c r="AA3152">
        <v>0</v>
      </c>
      <c r="AB3152" s="63"/>
      <c r="AC3152" s="63"/>
      <c r="AD3152">
        <v>0</v>
      </c>
      <c r="AE3152" s="63">
        <v>0</v>
      </c>
      <c r="AF3152" s="63">
        <v>0</v>
      </c>
      <c r="AG3152" s="63"/>
      <c r="AH3152" s="63"/>
      <c r="AI3152" s="1"/>
      <c r="AJ3152" s="63"/>
      <c r="AK3152" s="63"/>
      <c r="AL3152">
        <v>0</v>
      </c>
      <c r="AM3152" s="63">
        <v>0</v>
      </c>
      <c r="AN3152" s="63"/>
      <c r="AO3152" s="63"/>
      <c r="AP3152" s="63"/>
      <c r="AQ3152" s="63">
        <v>0</v>
      </c>
      <c r="AR3152" s="63"/>
      <c r="AS3152" s="63"/>
      <c r="AT3152" s="63"/>
      <c r="AU3152" s="63"/>
      <c r="AW3152" s="5">
        <f>IF(Q3152&gt;0,RANK(Q3152,(N3152:P3152,Q3152:AE3152)),0)</f>
        <v>3</v>
      </c>
      <c r="AX3152" s="5">
        <f>IF(R3152&gt;0,RANK(R3152,(N3152:P3152,Q3152:AE3152)),0)</f>
        <v>4</v>
      </c>
      <c r="AY3152" s="5">
        <f>IF(T3152&gt;0,RANK(T3152,(N3152:P3152,Q3152:AE3152)),0)</f>
        <v>0</v>
      </c>
      <c r="AZ3152" s="5">
        <f>IF(S3152&gt;0,RANK(S3152,(N3152:P3152,Q3152:AE3152)),0)</f>
        <v>6</v>
      </c>
      <c r="BA3152" s="2">
        <f t="shared" si="1231"/>
        <v>3.3340503334050337E-2</v>
      </c>
      <c r="BB3152" s="2">
        <f t="shared" si="1232"/>
        <v>9.571950957195095E-3</v>
      </c>
      <c r="BC3152" s="2">
        <f t="shared" si="1233"/>
        <v>0</v>
      </c>
      <c r="BD3152" s="2">
        <f t="shared" si="1234"/>
        <v>5.1624005162400517E-3</v>
      </c>
      <c r="BF3152" t="s">
        <v>2841</v>
      </c>
      <c r="BG3152" t="s">
        <v>2358</v>
      </c>
      <c r="BH3152">
        <v>2</v>
      </c>
      <c r="BJ3152" s="114">
        <v>54</v>
      </c>
      <c r="BK3152" s="116">
        <v>97</v>
      </c>
      <c r="BL3152" s="120">
        <f t="shared" si="1225"/>
        <v>54097</v>
      </c>
      <c r="BN3152" s="5" t="s">
        <v>3154</v>
      </c>
      <c r="BR3152" s="63"/>
      <c r="CA3152" s="63">
        <v>80</v>
      </c>
      <c r="CD3152" s="63">
        <v>0</v>
      </c>
      <c r="CE3152" s="63">
        <v>0</v>
      </c>
      <c r="CF3152" s="63">
        <v>0</v>
      </c>
      <c r="CG3152" s="63">
        <v>0</v>
      </c>
      <c r="CH3152" s="8">
        <v>0</v>
      </c>
      <c r="CI3152" s="8">
        <v>0</v>
      </c>
      <c r="CJ3152" s="8">
        <v>0</v>
      </c>
      <c r="CK3152" s="8">
        <v>0</v>
      </c>
      <c r="CL3152" s="8">
        <v>0</v>
      </c>
      <c r="CP3152" s="8"/>
    </row>
    <row r="3153" spans="1:124" hidden="1" outlineLevel="1">
      <c r="A3153" t="s">
        <v>423</v>
      </c>
      <c r="B3153" t="s">
        <v>2358</v>
      </c>
      <c r="C3153" s="1">
        <f t="shared" si="1226"/>
        <v>15347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7</v>
      </c>
      <c r="G3153" s="132">
        <f t="shared" si="1235"/>
        <v>7795</v>
      </c>
      <c r="H3153" s="137">
        <f t="shared" si="1236"/>
        <v>0.50791685671466735</v>
      </c>
      <c r="I3153" s="2"/>
      <c r="J3153" s="2">
        <f t="shared" si="1227"/>
        <v>0.21873981885710561</v>
      </c>
      <c r="K3153" s="2">
        <f t="shared" si="1228"/>
        <v>0.72665667557177294</v>
      </c>
      <c r="L3153" s="2">
        <f t="shared" si="1229"/>
        <v>1.2380269759562129E-3</v>
      </c>
      <c r="M3153" s="2">
        <f t="shared" si="1230"/>
        <v>5.3365478595165265E-2</v>
      </c>
      <c r="N3153" s="63">
        <v>3357</v>
      </c>
      <c r="O3153" s="63">
        <v>11152</v>
      </c>
      <c r="P3153" s="63">
        <v>19</v>
      </c>
      <c r="Q3153" s="63">
        <v>421</v>
      </c>
      <c r="R3153" s="63">
        <v>122</v>
      </c>
      <c r="S3153" s="63">
        <v>130</v>
      </c>
      <c r="T3153" s="63">
        <v>0</v>
      </c>
      <c r="U3153" s="63"/>
      <c r="V3153" s="63">
        <v>0</v>
      </c>
      <c r="W3153" s="63">
        <f>IF(Copyright!B$11=1,IF(CA3153&gt;0,CA3153-SUM(T3153:V3153)-P3153-SUM(AJ3153:AQ3153)-SUM(X3153:AH3153),SUM(CD3153:CQ3153)),SUM(CD3153:CQ3153))</f>
        <v>146</v>
      </c>
      <c r="X3153" s="63"/>
      <c r="Y3153" s="63">
        <v>0</v>
      </c>
      <c r="Z3153" s="63">
        <v>0</v>
      </c>
      <c r="AA3153">
        <v>0</v>
      </c>
      <c r="AB3153" s="63"/>
      <c r="AC3153" s="63"/>
      <c r="AD3153">
        <v>0</v>
      </c>
      <c r="AE3153" s="63">
        <v>0</v>
      </c>
      <c r="AF3153" s="63">
        <v>0</v>
      </c>
      <c r="AG3153" s="63"/>
      <c r="AH3153" s="63"/>
      <c r="AI3153" s="1"/>
      <c r="AJ3153" s="63"/>
      <c r="AK3153" s="63"/>
      <c r="AL3153">
        <v>0</v>
      </c>
      <c r="AM3153" s="63">
        <v>0</v>
      </c>
      <c r="AN3153" s="63"/>
      <c r="AO3153" s="63"/>
      <c r="AP3153" s="63"/>
      <c r="AQ3153" s="63">
        <v>0</v>
      </c>
      <c r="AR3153" s="63"/>
      <c r="AS3153" s="63"/>
      <c r="AT3153" s="63"/>
      <c r="AU3153" s="63"/>
      <c r="AW3153" s="5">
        <f>IF(Q3153&gt;0,RANK(Q3153,(N3153:P3153,Q3153:AE3153)),0)</f>
        <v>3</v>
      </c>
      <c r="AX3153" s="5">
        <f>IF(R3153&gt;0,RANK(R3153,(N3153:P3153,Q3153:AE3153)),0)</f>
        <v>6</v>
      </c>
      <c r="AY3153" s="5">
        <f>IF(T3153&gt;0,RANK(T3153,(N3153:P3153,Q3153:AE3153)),0)</f>
        <v>0</v>
      </c>
      <c r="AZ3153" s="5">
        <f>IF(S3153&gt;0,RANK(S3153,(N3153:P3153,Q3153:AE3153)),0)</f>
        <v>5</v>
      </c>
      <c r="BA3153" s="2">
        <f t="shared" si="1231"/>
        <v>2.7432071414608718E-2</v>
      </c>
      <c r="BB3153" s="2">
        <f t="shared" si="1232"/>
        <v>7.9494363719293665E-3</v>
      </c>
      <c r="BC3153" s="2">
        <f t="shared" si="1233"/>
        <v>0</v>
      </c>
      <c r="BD3153" s="2">
        <f t="shared" si="1234"/>
        <v>8.4707108881214577E-3</v>
      </c>
      <c r="BF3153" t="s">
        <v>423</v>
      </c>
      <c r="BG3153" t="s">
        <v>2358</v>
      </c>
      <c r="BH3153">
        <v>3</v>
      </c>
      <c r="BJ3153" s="114">
        <v>54</v>
      </c>
      <c r="BK3153" s="116">
        <v>99</v>
      </c>
      <c r="BL3153" s="120">
        <f t="shared" si="1225"/>
        <v>54099</v>
      </c>
      <c r="BN3153" s="5" t="s">
        <v>3154</v>
      </c>
      <c r="BZ3153" s="63">
        <f t="shared" si="1224"/>
        <v>15347</v>
      </c>
      <c r="CA3153" s="63">
        <v>165</v>
      </c>
      <c r="CD3153" s="63">
        <v>0</v>
      </c>
      <c r="CE3153" s="63">
        <v>0</v>
      </c>
      <c r="CF3153" s="63">
        <v>0</v>
      </c>
      <c r="CG3153" s="63">
        <v>0</v>
      </c>
      <c r="CH3153" s="8">
        <v>0</v>
      </c>
      <c r="CI3153" s="8">
        <v>0</v>
      </c>
      <c r="CJ3153" s="8">
        <v>0</v>
      </c>
      <c r="CK3153" s="8">
        <v>0</v>
      </c>
      <c r="CL3153" s="8">
        <v>0</v>
      </c>
      <c r="CP3153" s="8"/>
    </row>
    <row r="3154" spans="1:124" hidden="1" outlineLevel="1">
      <c r="A3154" t="s">
        <v>697</v>
      </c>
      <c r="B3154" t="s">
        <v>2358</v>
      </c>
      <c r="C3154" s="1">
        <f t="shared" si="1226"/>
        <v>3011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32">
        <f t="shared" si="1235"/>
        <v>1746</v>
      </c>
      <c r="H3154" s="137">
        <f t="shared" si="1236"/>
        <v>0.57987379608103617</v>
      </c>
      <c r="I3154" s="2"/>
      <c r="J3154" s="2">
        <f t="shared" si="1227"/>
        <v>0.18465626037861177</v>
      </c>
      <c r="K3154" s="2">
        <f t="shared" si="1228"/>
        <v>0.764530056459648</v>
      </c>
      <c r="L3154" s="2">
        <f t="shared" si="1229"/>
        <v>0</v>
      </c>
      <c r="M3154" s="2">
        <f t="shared" si="1230"/>
        <v>5.0813683161740286E-2</v>
      </c>
      <c r="N3154" s="63">
        <v>556</v>
      </c>
      <c r="O3154" s="63">
        <v>2302</v>
      </c>
      <c r="P3154" s="63">
        <v>0</v>
      </c>
      <c r="Q3154" s="63">
        <v>82</v>
      </c>
      <c r="R3154" s="63">
        <v>30</v>
      </c>
      <c r="S3154" s="63">
        <v>8</v>
      </c>
      <c r="T3154" s="63">
        <v>0</v>
      </c>
      <c r="U3154" s="63"/>
      <c r="V3154" s="63">
        <v>0</v>
      </c>
      <c r="W3154" s="63">
        <f>IF(Copyright!B$11=1,IF(CA3154&gt;0,CA3154-SUM(T3154:V3154)-P3154-SUM(AJ3154:AQ3154)-SUM(X3154:AH3154),SUM(CD3154:CQ3154)),SUM(CD3154:CQ3154))</f>
        <v>33</v>
      </c>
      <c r="X3154" s="63"/>
      <c r="Y3154" s="63">
        <v>0</v>
      </c>
      <c r="Z3154" s="63">
        <v>0</v>
      </c>
      <c r="AA3154">
        <v>0</v>
      </c>
      <c r="AB3154" s="63"/>
      <c r="AC3154" s="63"/>
      <c r="AD3154">
        <v>0</v>
      </c>
      <c r="AE3154" s="63">
        <v>0</v>
      </c>
      <c r="AF3154" s="63">
        <v>0</v>
      </c>
      <c r="AG3154" s="63"/>
      <c r="AH3154" s="63"/>
      <c r="AI3154" s="1"/>
      <c r="AJ3154" s="63"/>
      <c r="AK3154" s="63"/>
      <c r="AL3154">
        <v>0</v>
      </c>
      <c r="AM3154" s="63">
        <v>0</v>
      </c>
      <c r="AN3154" s="63"/>
      <c r="AO3154" s="63"/>
      <c r="AP3154" s="63"/>
      <c r="AQ3154" s="63">
        <v>0</v>
      </c>
      <c r="AR3154" s="63"/>
      <c r="AS3154" s="63"/>
      <c r="AT3154" s="63"/>
      <c r="AU3154" s="63"/>
      <c r="AW3154" s="5">
        <f>IF(Q3154&gt;0,RANK(Q3154,(N3154:P3154,Q3154:AE3154)),0)</f>
        <v>3</v>
      </c>
      <c r="AX3154" s="5">
        <f>IF(R3154&gt;0,RANK(R3154,(N3154:P3154,Q3154:AE3154)),0)</f>
        <v>5</v>
      </c>
      <c r="AY3154" s="5">
        <f>IF(T3154&gt;0,RANK(T3154,(N3154:P3154,Q3154:AE3154)),0)</f>
        <v>0</v>
      </c>
      <c r="AZ3154" s="5">
        <f>IF(S3154&gt;0,RANK(S3154,(N3154:P3154,Q3154:AE3154)),0)</f>
        <v>6</v>
      </c>
      <c r="BA3154" s="2">
        <f t="shared" si="1231"/>
        <v>2.723347725008303E-2</v>
      </c>
      <c r="BB3154" s="2">
        <f t="shared" si="1232"/>
        <v>9.9634672866157417E-3</v>
      </c>
      <c r="BC3154" s="2">
        <f t="shared" si="1233"/>
        <v>0</v>
      </c>
      <c r="BD3154" s="2">
        <f t="shared" si="1234"/>
        <v>2.6569246097641981E-3</v>
      </c>
      <c r="BF3154" t="s">
        <v>697</v>
      </c>
      <c r="BG3154" t="s">
        <v>2358</v>
      </c>
      <c r="BH3154">
        <v>3</v>
      </c>
      <c r="BJ3154" s="114">
        <v>54</v>
      </c>
      <c r="BK3154" s="116">
        <v>101</v>
      </c>
      <c r="BL3154" s="120">
        <f t="shared" si="1225"/>
        <v>54101</v>
      </c>
      <c r="BN3154" s="5" t="s">
        <v>3154</v>
      </c>
      <c r="BR3154" s="63"/>
      <c r="CA3154" s="63">
        <v>33</v>
      </c>
      <c r="CD3154" s="63">
        <v>0</v>
      </c>
      <c r="CE3154" s="63">
        <v>0</v>
      </c>
      <c r="CF3154" s="63">
        <v>0</v>
      </c>
      <c r="CG3154" s="63">
        <v>0</v>
      </c>
      <c r="CH3154" s="8">
        <v>0</v>
      </c>
      <c r="CI3154" s="8">
        <v>0</v>
      </c>
      <c r="CJ3154" s="8">
        <v>0</v>
      </c>
      <c r="CK3154" s="8">
        <v>0</v>
      </c>
      <c r="CL3154" s="8">
        <v>0</v>
      </c>
      <c r="CP3154" s="8"/>
    </row>
    <row r="3155" spans="1:124" hidden="1" outlineLevel="1">
      <c r="A3155" t="s">
        <v>1877</v>
      </c>
      <c r="B3155" t="s">
        <v>2358</v>
      </c>
      <c r="C3155" s="1">
        <f t="shared" si="1226"/>
        <v>6312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7</v>
      </c>
      <c r="G3155" s="132">
        <f t="shared" si="1235"/>
        <v>3160</v>
      </c>
      <c r="H3155" s="137">
        <f t="shared" si="1236"/>
        <v>0.50063371356147024</v>
      </c>
      <c r="I3155" s="2"/>
      <c r="J3155" s="2">
        <f t="shared" si="1227"/>
        <v>0.2153041825095057</v>
      </c>
      <c r="K3155" s="2">
        <f t="shared" si="1228"/>
        <v>0.71593789607097591</v>
      </c>
      <c r="L3155" s="2">
        <f t="shared" si="1229"/>
        <v>1.4258555133079848E-3</v>
      </c>
      <c r="M3155" s="2">
        <f t="shared" si="1230"/>
        <v>6.7332065906210437E-2</v>
      </c>
      <c r="N3155" s="63">
        <v>1359</v>
      </c>
      <c r="O3155" s="63">
        <v>4519</v>
      </c>
      <c r="P3155" s="63">
        <v>9</v>
      </c>
      <c r="Q3155" s="63">
        <v>245</v>
      </c>
      <c r="R3155" s="63">
        <v>66</v>
      </c>
      <c r="S3155" s="63">
        <v>76</v>
      </c>
      <c r="T3155" s="63">
        <v>0</v>
      </c>
      <c r="U3155" s="63"/>
      <c r="V3155" s="63">
        <v>0</v>
      </c>
      <c r="W3155" s="63">
        <f>IF(Copyright!B$11=1,IF(CA3155&gt;0,CA3155-SUM(T3155:V3155)-P3155-SUM(AJ3155:AQ3155)-SUM(X3155:AH3155),SUM(CD3155:CQ3155)),SUM(CD3155:CQ3155))</f>
        <v>38</v>
      </c>
      <c r="X3155" s="63"/>
      <c r="Y3155" s="63">
        <v>0</v>
      </c>
      <c r="Z3155" s="63">
        <v>0</v>
      </c>
      <c r="AA3155">
        <v>0</v>
      </c>
      <c r="AB3155" s="63"/>
      <c r="AC3155" s="63"/>
      <c r="AD3155">
        <v>0</v>
      </c>
      <c r="AE3155" s="63">
        <v>0</v>
      </c>
      <c r="AF3155" s="63">
        <v>0</v>
      </c>
      <c r="AG3155" s="63"/>
      <c r="AH3155" s="63"/>
      <c r="AI3155" s="1"/>
      <c r="AJ3155" s="63"/>
      <c r="AK3155" s="63"/>
      <c r="AL3155">
        <v>0</v>
      </c>
      <c r="AM3155" s="63">
        <v>0</v>
      </c>
      <c r="AN3155" s="63"/>
      <c r="AO3155" s="63"/>
      <c r="AP3155" s="63"/>
      <c r="AQ3155" s="63">
        <v>0</v>
      </c>
      <c r="AR3155" s="63"/>
      <c r="AS3155" s="63"/>
      <c r="AT3155" s="63"/>
      <c r="AU3155" s="63"/>
      <c r="AW3155" s="5">
        <f>IF(Q3155&gt;0,RANK(Q3155,(N3155:P3155,Q3155:AE3155)),0)</f>
        <v>3</v>
      </c>
      <c r="AX3155" s="5">
        <f>IF(R3155&gt;0,RANK(R3155,(N3155:P3155,Q3155:AE3155)),0)</f>
        <v>5</v>
      </c>
      <c r="AY3155" s="5">
        <f>IF(T3155&gt;0,RANK(T3155,(N3155:P3155,Q3155:AE3155)),0)</f>
        <v>0</v>
      </c>
      <c r="AZ3155" s="5">
        <f>IF(S3155&gt;0,RANK(S3155,(N3155:P3155,Q3155:AE3155)),0)</f>
        <v>4</v>
      </c>
      <c r="BA3155" s="2">
        <f t="shared" si="1231"/>
        <v>3.8814955640050698E-2</v>
      </c>
      <c r="BB3155" s="2">
        <f t="shared" si="1232"/>
        <v>1.0456273764258554E-2</v>
      </c>
      <c r="BC3155" s="2">
        <f t="shared" si="1233"/>
        <v>0</v>
      </c>
      <c r="BD3155" s="2">
        <f t="shared" si="1234"/>
        <v>1.2040557667934094E-2</v>
      </c>
      <c r="BF3155" t="s">
        <v>1877</v>
      </c>
      <c r="BG3155" t="s">
        <v>2358</v>
      </c>
      <c r="BH3155">
        <v>1</v>
      </c>
      <c r="BJ3155" s="114">
        <v>54</v>
      </c>
      <c r="BK3155" s="116">
        <v>103</v>
      </c>
      <c r="BL3155" s="120">
        <f t="shared" si="1225"/>
        <v>54103</v>
      </c>
      <c r="BN3155" s="5" t="s">
        <v>3154</v>
      </c>
      <c r="BZ3155" s="63">
        <f t="shared" si="1224"/>
        <v>6312</v>
      </c>
      <c r="CA3155" s="63">
        <v>47</v>
      </c>
      <c r="CD3155" s="63">
        <v>0</v>
      </c>
      <c r="CE3155" s="63">
        <v>0</v>
      </c>
      <c r="CF3155" s="63">
        <v>0</v>
      </c>
      <c r="CG3155" s="63">
        <v>0</v>
      </c>
      <c r="CH3155" s="8">
        <v>0</v>
      </c>
      <c r="CI3155" s="8">
        <v>0</v>
      </c>
      <c r="CJ3155" s="8">
        <v>0</v>
      </c>
      <c r="CK3155" s="8">
        <v>0</v>
      </c>
      <c r="CL3155" s="8">
        <v>0</v>
      </c>
      <c r="CP3155" s="8"/>
    </row>
    <row r="3156" spans="1:124" hidden="1" outlineLevel="1">
      <c r="A3156" t="s">
        <v>2834</v>
      </c>
      <c r="B3156" t="s">
        <v>2358</v>
      </c>
      <c r="C3156" s="1">
        <f t="shared" si="1226"/>
        <v>2422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32">
        <f t="shared" si="1235"/>
        <v>1525</v>
      </c>
      <c r="H3156" s="137">
        <f t="shared" si="1236"/>
        <v>0.62964492155243601</v>
      </c>
      <c r="I3156" s="2"/>
      <c r="J3156" s="2">
        <f t="shared" si="1227"/>
        <v>0.15937241948802641</v>
      </c>
      <c r="K3156" s="2">
        <f t="shared" si="1228"/>
        <v>0.78901734104046239</v>
      </c>
      <c r="L3156" s="2">
        <f t="shared" si="1229"/>
        <v>0</v>
      </c>
      <c r="M3156" s="2">
        <f t="shared" si="1230"/>
        <v>5.1610239471511221E-2</v>
      </c>
      <c r="N3156" s="63">
        <v>386</v>
      </c>
      <c r="O3156" s="63">
        <v>1911</v>
      </c>
      <c r="P3156" s="63">
        <v>0</v>
      </c>
      <c r="Q3156" s="63">
        <v>84</v>
      </c>
      <c r="R3156" s="63">
        <v>24</v>
      </c>
      <c r="S3156" s="63">
        <v>17</v>
      </c>
      <c r="T3156" s="63">
        <v>0</v>
      </c>
      <c r="U3156" s="63"/>
      <c r="V3156" s="63">
        <v>0</v>
      </c>
      <c r="W3156" s="63">
        <f>IF(Copyright!B$11=1,IF(CA3156&gt;0,CA3156-SUM(T3156:V3156)-P3156-SUM(AJ3156:AQ3156)-SUM(X3156:AH3156),SUM(CD3156:CQ3156)),SUM(CD3156:CQ3156))</f>
        <v>0</v>
      </c>
      <c r="X3156" s="63"/>
      <c r="Y3156" s="63">
        <v>0</v>
      </c>
      <c r="Z3156" s="63">
        <v>0</v>
      </c>
      <c r="AA3156">
        <v>0</v>
      </c>
      <c r="AB3156" s="63"/>
      <c r="AC3156" s="63"/>
      <c r="AD3156">
        <v>0</v>
      </c>
      <c r="AE3156" s="63">
        <v>0</v>
      </c>
      <c r="AF3156" s="63">
        <v>0</v>
      </c>
      <c r="AG3156" s="63"/>
      <c r="AH3156" s="63"/>
      <c r="AI3156" s="1"/>
      <c r="AJ3156" s="63"/>
      <c r="AK3156" s="63"/>
      <c r="AL3156">
        <v>0</v>
      </c>
      <c r="AM3156" s="63">
        <v>0</v>
      </c>
      <c r="AN3156" s="63"/>
      <c r="AO3156" s="63"/>
      <c r="AP3156" s="63"/>
      <c r="AQ3156" s="63">
        <v>0</v>
      </c>
      <c r="AR3156" s="63"/>
      <c r="AS3156" s="63"/>
      <c r="AT3156" s="63"/>
      <c r="AU3156" s="63"/>
      <c r="AW3156" s="5">
        <f>IF(Q3156&gt;0,RANK(Q3156,(N3156:P3156,Q3156:AE3156)),0)</f>
        <v>3</v>
      </c>
      <c r="AX3156" s="5">
        <f>IF(R3156&gt;0,RANK(R3156,(N3156:P3156,Q3156:AE3156)),0)</f>
        <v>4</v>
      </c>
      <c r="AY3156" s="5">
        <f>IF(T3156&gt;0,RANK(T3156,(N3156:P3156,Q3156:AE3156)),0)</f>
        <v>0</v>
      </c>
      <c r="AZ3156" s="5">
        <f>IF(S3156&gt;0,RANK(S3156,(N3156:P3156,Q3156:AE3156)),0)</f>
        <v>5</v>
      </c>
      <c r="BA3156" s="2">
        <f t="shared" si="1231"/>
        <v>3.4682080924855488E-2</v>
      </c>
      <c r="BB3156" s="2">
        <f t="shared" si="1232"/>
        <v>9.9091659785301399E-3</v>
      </c>
      <c r="BC3156" s="2">
        <f t="shared" si="1233"/>
        <v>0</v>
      </c>
      <c r="BD3156" s="2">
        <f t="shared" si="1234"/>
        <v>7.0189925681255162E-3</v>
      </c>
      <c r="BF3156" t="s">
        <v>2834</v>
      </c>
      <c r="BG3156" t="s">
        <v>2358</v>
      </c>
      <c r="BH3156">
        <v>2</v>
      </c>
      <c r="BJ3156" s="114">
        <v>54</v>
      </c>
      <c r="BK3156" s="116">
        <v>105</v>
      </c>
      <c r="BL3156" s="120">
        <f t="shared" si="1225"/>
        <v>54105</v>
      </c>
      <c r="BN3156" s="5" t="s">
        <v>3154</v>
      </c>
      <c r="BZ3156" s="63">
        <f t="shared" si="1224"/>
        <v>2422</v>
      </c>
      <c r="CA3156" s="63">
        <v>0</v>
      </c>
      <c r="CD3156" s="63">
        <v>0</v>
      </c>
      <c r="CE3156" s="63">
        <v>0</v>
      </c>
      <c r="CF3156" s="63">
        <v>0</v>
      </c>
      <c r="CG3156" s="63">
        <v>0</v>
      </c>
      <c r="CH3156" s="8">
        <v>0</v>
      </c>
      <c r="CI3156" s="8">
        <v>0</v>
      </c>
      <c r="CJ3156" s="8">
        <v>0</v>
      </c>
      <c r="CK3156" s="8">
        <v>0</v>
      </c>
      <c r="CL3156" s="8">
        <v>0</v>
      </c>
      <c r="CP3156" s="8"/>
    </row>
    <row r="3157" spans="1:124" hidden="1" outlineLevel="1">
      <c r="A3157" t="s">
        <v>331</v>
      </c>
      <c r="B3157" t="s">
        <v>2358</v>
      </c>
      <c r="C3157" s="1">
        <f t="shared" si="1226"/>
        <v>36063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7</v>
      </c>
      <c r="G3157" s="132">
        <f t="shared" si="1235"/>
        <v>17034</v>
      </c>
      <c r="H3157" s="137">
        <f t="shared" si="1236"/>
        <v>0.47234007154146912</v>
      </c>
      <c r="I3157" s="2"/>
      <c r="J3157" s="2">
        <f t="shared" si="1227"/>
        <v>0.23292571333499709</v>
      </c>
      <c r="K3157" s="2">
        <f t="shared" si="1228"/>
        <v>0.70526578487646618</v>
      </c>
      <c r="L3157" s="2">
        <f t="shared" si="1229"/>
        <v>9.7052380556248785E-4</v>
      </c>
      <c r="M3157" s="2">
        <f t="shared" si="1230"/>
        <v>6.083797798297421E-2</v>
      </c>
      <c r="N3157" s="63">
        <v>8400</v>
      </c>
      <c r="O3157" s="63">
        <v>25434</v>
      </c>
      <c r="P3157" s="63">
        <v>35</v>
      </c>
      <c r="Q3157" s="63">
        <v>1266</v>
      </c>
      <c r="R3157" s="63">
        <v>371</v>
      </c>
      <c r="S3157" s="63">
        <v>144</v>
      </c>
      <c r="T3157" s="63">
        <v>0</v>
      </c>
      <c r="U3157" s="63"/>
      <c r="V3157" s="63">
        <v>0</v>
      </c>
      <c r="W3157" s="63">
        <f>IF(Copyright!B$11=1,IF(CA3157&gt;0,CA3157-SUM(T3157:V3157)-P3157-SUM(AJ3157:AQ3157)-SUM(X3157:AH3157),SUM(CD3157:CQ3157)),SUM(CD3157:CQ3157))</f>
        <v>413</v>
      </c>
      <c r="X3157" s="63"/>
      <c r="Y3157" s="63">
        <v>0</v>
      </c>
      <c r="Z3157" s="63">
        <v>0</v>
      </c>
      <c r="AA3157">
        <v>0</v>
      </c>
      <c r="AB3157" s="63"/>
      <c r="AC3157" s="63"/>
      <c r="AD3157">
        <v>0</v>
      </c>
      <c r="AE3157" s="63">
        <v>0</v>
      </c>
      <c r="AF3157" s="63">
        <v>0</v>
      </c>
      <c r="AG3157" s="63"/>
      <c r="AH3157" s="63"/>
      <c r="AI3157" s="1"/>
      <c r="AJ3157" s="63"/>
      <c r="AK3157" s="63"/>
      <c r="AL3157">
        <v>0</v>
      </c>
      <c r="AM3157" s="63">
        <v>0</v>
      </c>
      <c r="AN3157" s="63"/>
      <c r="AO3157" s="63"/>
      <c r="AP3157" s="63"/>
      <c r="AQ3157" s="63">
        <v>0</v>
      </c>
      <c r="AR3157" s="63"/>
      <c r="AS3157" s="63"/>
      <c r="AT3157" s="63"/>
      <c r="AU3157" s="63"/>
      <c r="AW3157" s="5">
        <f>IF(Q3157&gt;0,RANK(Q3157,(N3157:P3157,Q3157:AE3157)),0)</f>
        <v>3</v>
      </c>
      <c r="AX3157" s="5">
        <f>IF(R3157&gt;0,RANK(R3157,(N3157:P3157,Q3157:AE3157)),0)</f>
        <v>5</v>
      </c>
      <c r="AY3157" s="5">
        <f>IF(T3157&gt;0,RANK(T3157,(N3157:P3157,Q3157:AE3157)),0)</f>
        <v>0</v>
      </c>
      <c r="AZ3157" s="5">
        <f>IF(S3157&gt;0,RANK(S3157,(N3157:P3157,Q3157:AE3157)),0)</f>
        <v>6</v>
      </c>
      <c r="BA3157" s="2">
        <f t="shared" si="1231"/>
        <v>3.5105232509774563E-2</v>
      </c>
      <c r="BB3157" s="2">
        <f t="shared" si="1232"/>
        <v>1.0287552338962372E-2</v>
      </c>
      <c r="BC3157" s="2">
        <f t="shared" si="1233"/>
        <v>0</v>
      </c>
      <c r="BD3157" s="2">
        <f t="shared" si="1234"/>
        <v>3.9930122285999504E-3</v>
      </c>
      <c r="BF3157" t="s">
        <v>331</v>
      </c>
      <c r="BG3157" t="s">
        <v>2358</v>
      </c>
      <c r="BH3157">
        <v>1</v>
      </c>
      <c r="BJ3157" s="114">
        <v>54</v>
      </c>
      <c r="BK3157" s="116">
        <v>107</v>
      </c>
      <c r="BL3157" s="120">
        <f t="shared" si="1225"/>
        <v>54107</v>
      </c>
      <c r="BN3157" s="5" t="s">
        <v>3154</v>
      </c>
      <c r="CA3157" s="63">
        <v>448</v>
      </c>
      <c r="CD3157" s="63">
        <v>0</v>
      </c>
      <c r="CE3157" s="63">
        <v>0</v>
      </c>
      <c r="CF3157" s="63">
        <v>1</v>
      </c>
      <c r="CG3157" s="63">
        <v>0</v>
      </c>
      <c r="CH3157" s="8">
        <v>0</v>
      </c>
      <c r="CI3157" s="8">
        <v>0</v>
      </c>
      <c r="CJ3157" s="8">
        <v>0</v>
      </c>
      <c r="CK3157" s="8">
        <v>0</v>
      </c>
      <c r="CL3157" s="8">
        <v>0</v>
      </c>
      <c r="CP3157" s="8"/>
    </row>
    <row r="3158" spans="1:124" hidden="1" outlineLevel="1">
      <c r="A3158" t="s">
        <v>709</v>
      </c>
      <c r="B3158" t="s">
        <v>2358</v>
      </c>
      <c r="C3158" s="1">
        <f t="shared" si="1226"/>
        <v>7880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32">
        <f t="shared" si="1235"/>
        <v>5485</v>
      </c>
      <c r="H3158" s="137">
        <f t="shared" si="1236"/>
        <v>0.69606598984771573</v>
      </c>
      <c r="I3158" s="2"/>
      <c r="J3158" s="2">
        <f t="shared" si="1227"/>
        <v>0.13477157360406092</v>
      </c>
      <c r="K3158" s="2">
        <f t="shared" si="1228"/>
        <v>0.83083756345177662</v>
      </c>
      <c r="L3158" s="2">
        <f t="shared" si="1229"/>
        <v>0</v>
      </c>
      <c r="M3158" s="2">
        <f t="shared" si="1230"/>
        <v>3.4390862944162492E-2</v>
      </c>
      <c r="N3158" s="63">
        <v>1062</v>
      </c>
      <c r="O3158" s="63">
        <v>6547</v>
      </c>
      <c r="P3158" s="63">
        <v>0</v>
      </c>
      <c r="Q3158" s="63">
        <v>137</v>
      </c>
      <c r="R3158" s="63">
        <v>38</v>
      </c>
      <c r="S3158" s="63">
        <v>47</v>
      </c>
      <c r="T3158" s="63">
        <v>0</v>
      </c>
      <c r="U3158" s="63"/>
      <c r="V3158" s="63">
        <v>0</v>
      </c>
      <c r="W3158" s="63">
        <f>IF(Copyright!B$11=1,IF(CA3158&gt;0,CA3158-SUM(T3158:V3158)-P3158-SUM(AJ3158:AQ3158)-SUM(X3158:AH3158),SUM(CD3158:CQ3158)),SUM(CD3158:CQ3158))</f>
        <v>49</v>
      </c>
      <c r="X3158" s="63"/>
      <c r="Y3158" s="63">
        <v>0</v>
      </c>
      <c r="Z3158" s="63">
        <v>0</v>
      </c>
      <c r="AA3158">
        <v>0</v>
      </c>
      <c r="AB3158" s="63"/>
      <c r="AC3158" s="63"/>
      <c r="AD3158">
        <v>0</v>
      </c>
      <c r="AE3158" s="63">
        <v>0</v>
      </c>
      <c r="AF3158" s="63">
        <v>0</v>
      </c>
      <c r="AG3158" s="63"/>
      <c r="AH3158" s="63"/>
      <c r="AI3158" s="1"/>
      <c r="AJ3158" s="63"/>
      <c r="AK3158" s="63"/>
      <c r="AL3158">
        <v>0</v>
      </c>
      <c r="AM3158" s="63">
        <v>0</v>
      </c>
      <c r="AN3158" s="63"/>
      <c r="AO3158" s="63"/>
      <c r="AP3158" s="63"/>
      <c r="AQ3158" s="63">
        <v>0</v>
      </c>
      <c r="AR3158" s="63"/>
      <c r="AS3158" s="63"/>
      <c r="AT3158" s="63"/>
      <c r="AU3158" s="63"/>
      <c r="AW3158" s="5">
        <f>IF(Q3158&gt;0,RANK(Q3158,(N3158:P3158,Q3158:AE3158)),0)</f>
        <v>3</v>
      </c>
      <c r="AX3158" s="5">
        <f>IF(R3158&gt;0,RANK(R3158,(N3158:P3158,Q3158:AE3158)),0)</f>
        <v>6</v>
      </c>
      <c r="AY3158" s="5">
        <f>IF(T3158&gt;0,RANK(T3158,(N3158:P3158,Q3158:AE3158)),0)</f>
        <v>0</v>
      </c>
      <c r="AZ3158" s="5">
        <f>IF(S3158&gt;0,RANK(S3158,(N3158:P3158,Q3158:AE3158)),0)</f>
        <v>5</v>
      </c>
      <c r="BA3158" s="2">
        <f t="shared" si="1231"/>
        <v>1.7385786802030456E-2</v>
      </c>
      <c r="BB3158" s="2">
        <f t="shared" si="1232"/>
        <v>4.8223350253807111E-3</v>
      </c>
      <c r="BC3158" s="2">
        <f t="shared" si="1233"/>
        <v>0</v>
      </c>
      <c r="BD3158" s="2">
        <f t="shared" si="1234"/>
        <v>5.964467005076142E-3</v>
      </c>
      <c r="BF3158" t="s">
        <v>709</v>
      </c>
      <c r="BG3158" t="s">
        <v>2358</v>
      </c>
      <c r="BH3158">
        <v>3</v>
      </c>
      <c r="BJ3158" s="114">
        <v>54</v>
      </c>
      <c r="BK3158" s="116">
        <v>109</v>
      </c>
      <c r="BL3158" s="120">
        <f t="shared" si="1225"/>
        <v>54109</v>
      </c>
      <c r="BN3158" s="5" t="s">
        <v>3154</v>
      </c>
      <c r="BZ3158" s="63">
        <f t="shared" si="1224"/>
        <v>7880</v>
      </c>
      <c r="CA3158" s="63">
        <v>49</v>
      </c>
      <c r="CD3158" s="63">
        <v>0</v>
      </c>
      <c r="CE3158" s="63">
        <v>0</v>
      </c>
      <c r="CF3158" s="63">
        <v>2</v>
      </c>
      <c r="CG3158" s="63">
        <v>0</v>
      </c>
      <c r="CH3158" s="8">
        <v>0</v>
      </c>
      <c r="CI3158" s="8">
        <v>0</v>
      </c>
      <c r="CJ3158" s="8">
        <v>0</v>
      </c>
      <c r="CK3158" s="8">
        <v>0</v>
      </c>
      <c r="CL3158" s="8">
        <v>0</v>
      </c>
      <c r="CP3158" s="8"/>
    </row>
    <row r="3159" spans="1:124" collapsed="1">
      <c r="A3159" t="s">
        <v>2357</v>
      </c>
      <c r="B3159" t="s">
        <v>544</v>
      </c>
      <c r="C3159" s="1">
        <f t="shared" si="1226"/>
        <v>721233</v>
      </c>
      <c r="D3159" s="5">
        <f>IF(N3159&gt;0, RANK(N3159,(N3159:P3159,Q3159:AE3159)),0)</f>
        <v>2</v>
      </c>
      <c r="E3159" s="5">
        <f>IF(O3159&gt;0,RANK(O3159,(N3159:P3159,Q3159:AE3159)),0)</f>
        <v>1</v>
      </c>
      <c r="F3159" s="5">
        <f>IF(P3159&gt;0,RANK(P3159,(N3159:P3159,Q3159:AE3159)),0)</f>
        <v>7</v>
      </c>
      <c r="G3159" s="132">
        <f t="shared" si="1235"/>
        <v>300577</v>
      </c>
      <c r="H3159" s="137">
        <f t="shared" si="1236"/>
        <v>0.41675436370770613</v>
      </c>
      <c r="I3159" s="2"/>
      <c r="J3159" s="2">
        <f t="shared" si="1227"/>
        <v>0.26176561527273434</v>
      </c>
      <c r="K3159" s="2">
        <f t="shared" si="1228"/>
        <v>0.67851997898044047</v>
      </c>
      <c r="L3159" s="2">
        <f t="shared" si="1229"/>
        <v>1.5307119890520817E-3</v>
      </c>
      <c r="M3159" s="2">
        <f t="shared" si="1230"/>
        <v>5.8183693757773103E-2</v>
      </c>
      <c r="N3159" s="63">
        <f t="shared" ref="N3159:V3159" si="1237">SUM(N3104:N3158)</f>
        <v>188794</v>
      </c>
      <c r="O3159" s="63">
        <f t="shared" si="1237"/>
        <v>489371</v>
      </c>
      <c r="P3159" s="63">
        <f t="shared" si="1237"/>
        <v>1104</v>
      </c>
      <c r="Q3159" s="63">
        <f t="shared" si="1237"/>
        <v>23004</v>
      </c>
      <c r="R3159" s="63">
        <f t="shared" si="1237"/>
        <v>8075</v>
      </c>
      <c r="S3159" s="63">
        <f t="shared" si="1237"/>
        <v>3807</v>
      </c>
      <c r="T3159" s="63">
        <f t="shared" si="1237"/>
        <v>3</v>
      </c>
      <c r="U3159" s="63"/>
      <c r="V3159" s="63">
        <f t="shared" si="1237"/>
        <v>2</v>
      </c>
      <c r="W3159" s="63">
        <f>SUM(W3104:W3158)</f>
        <v>7053</v>
      </c>
      <c r="X3159" s="63"/>
      <c r="Y3159" s="63">
        <f>SUM(Y3104:Y3158)</f>
        <v>10</v>
      </c>
      <c r="Z3159" s="63">
        <f>SUM(Z3104:Z3158)</f>
        <v>1</v>
      </c>
      <c r="AA3159" s="63">
        <f>SUM(AA3104:AA3158)</f>
        <v>0</v>
      </c>
      <c r="AB3159" s="63"/>
      <c r="AC3159" s="63"/>
      <c r="AD3159" s="63">
        <f>SUM(AD3104:AD3158)</f>
        <v>0</v>
      </c>
      <c r="AE3159" s="63">
        <f>SUM(AE3104:AE3158)</f>
        <v>4</v>
      </c>
      <c r="AF3159" s="63">
        <f>SUM(AF3104:AF3158)</f>
        <v>2</v>
      </c>
      <c r="AG3159" s="63"/>
      <c r="AH3159" s="63"/>
      <c r="AI3159" s="63"/>
      <c r="AJ3159" s="63"/>
      <c r="AK3159" s="63"/>
      <c r="AL3159" s="63">
        <f>SUM(AL3104:AL3158)</f>
        <v>0</v>
      </c>
      <c r="AM3159" s="63">
        <f>SUM(AM3104:AM3158)</f>
        <v>1</v>
      </c>
      <c r="AN3159" s="63"/>
      <c r="AO3159" s="63"/>
      <c r="AP3159" s="63"/>
      <c r="AQ3159" s="63">
        <f>SUM(AQ3104:AQ3158)</f>
        <v>2</v>
      </c>
      <c r="AR3159" s="63"/>
      <c r="AS3159" s="63"/>
      <c r="AT3159" s="63"/>
      <c r="AU3159" s="63"/>
      <c r="AW3159" s="5">
        <f>IF(Q3159&gt;0,RANK(Q3159,(N3159:P3159,Q3159:AE3159)),0)</f>
        <v>3</v>
      </c>
      <c r="AX3159" s="5">
        <f>IF(R3159&gt;0,RANK(R3159,(N3159:P3159,Q3159:AE3159)),0)</f>
        <v>4</v>
      </c>
      <c r="AY3159" s="5">
        <f>IF(T3159&gt;0,RANK(T3159,(N3159:P3159,Q3159:AE3159)),0)</f>
        <v>10</v>
      </c>
      <c r="AZ3159" s="5">
        <f>IF(S3159&gt;0,RANK(S3159,(N3159:P3159,Q3159:AE3159)),0)</f>
        <v>6</v>
      </c>
      <c r="BA3159" s="2">
        <f t="shared" si="1231"/>
        <v>3.1895379163183052E-2</v>
      </c>
      <c r="BB3159" s="2">
        <f t="shared" si="1232"/>
        <v>1.1196104448909021E-2</v>
      </c>
      <c r="BC3159" s="2">
        <f t="shared" si="1233"/>
        <v>4.159543448511091E-6</v>
      </c>
      <c r="BD3159" s="2">
        <f t="shared" si="1234"/>
        <v>5.2784606361605752E-3</v>
      </c>
      <c r="BF3159" t="s">
        <v>2357</v>
      </c>
      <c r="BG3159" t="s">
        <v>544</v>
      </c>
      <c r="BJ3159" s="114">
        <v>54</v>
      </c>
      <c r="BK3159" s="116"/>
      <c r="BL3159" s="114">
        <v>54</v>
      </c>
      <c r="BN3159" s="5" t="s">
        <v>711</v>
      </c>
      <c r="CA3159" s="63">
        <f t="shared" ref="CA3159" si="1238">SUM(CA3104:CA3158)</f>
        <v>8180</v>
      </c>
      <c r="CD3159" s="63">
        <f t="shared" ref="CD3159:CL3159" si="1239">SUM(CD3104:CD3158)</f>
        <v>1</v>
      </c>
      <c r="CE3159" s="63">
        <f t="shared" si="1239"/>
        <v>1</v>
      </c>
      <c r="CF3159" s="63">
        <f t="shared" si="1239"/>
        <v>13</v>
      </c>
      <c r="CG3159" s="63">
        <f t="shared" si="1239"/>
        <v>3</v>
      </c>
      <c r="CH3159" s="63">
        <f t="shared" si="1239"/>
        <v>3</v>
      </c>
      <c r="CI3159" s="63">
        <f t="shared" si="1239"/>
        <v>1</v>
      </c>
      <c r="CJ3159" s="63">
        <f t="shared" si="1239"/>
        <v>4</v>
      </c>
      <c r="CK3159" s="63">
        <f t="shared" si="1239"/>
        <v>2</v>
      </c>
      <c r="CL3159" s="63">
        <f t="shared" si="1239"/>
        <v>216</v>
      </c>
      <c r="CP3159" s="8"/>
    </row>
    <row r="3160" spans="1:124">
      <c r="C3160" s="1"/>
      <c r="E3160" s="5"/>
      <c r="F3160" s="5"/>
      <c r="G3160" s="132"/>
      <c r="H3160" s="137"/>
      <c r="I3160" s="2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W3160" s="5"/>
      <c r="AX3160" s="5"/>
      <c r="AY3160" s="5"/>
      <c r="AZ3160" s="5"/>
      <c r="BJ3160" s="114"/>
      <c r="BK3160" s="116"/>
      <c r="BL3160" s="120"/>
      <c r="CB3160" s="132" t="s">
        <v>3266</v>
      </c>
      <c r="CD3160" s="63" t="s">
        <v>3613</v>
      </c>
      <c r="CE3160" s="63" t="s">
        <v>3614</v>
      </c>
      <c r="DQ3160" s="132" t="s">
        <v>3266</v>
      </c>
      <c r="DR3160" s="63"/>
      <c r="DS3160" s="63" t="s">
        <v>3613</v>
      </c>
      <c r="DT3160" s="63" t="s">
        <v>3614</v>
      </c>
    </row>
    <row r="3161" spans="1:124" hidden="1" outlineLevel="1">
      <c r="A3161" t="s">
        <v>1026</v>
      </c>
      <c r="B3161" t="s">
        <v>3002</v>
      </c>
      <c r="C3161" s="1">
        <f t="shared" ref="C3161:C3192" si="1240">SUM(N3161:AU3161)</f>
        <v>10130</v>
      </c>
      <c r="D3161" s="5">
        <f>IF(N3161&gt;0, RANK(N3161,(N3161:P3161,Q3161:AE3161)),0)</f>
        <v>2</v>
      </c>
      <c r="E3161" s="5">
        <f>IF(O3161&gt;0,RANK(O3161,(N3161:P3161,Q3161:AE3161)),0)</f>
        <v>1</v>
      </c>
      <c r="F3161" s="5">
        <f>IF(P3161&gt;0,RANK(P3161,(N3161:P3161,Q3161:AE3161)),0)</f>
        <v>7</v>
      </c>
      <c r="G3161" s="132">
        <f t="shared" si="1235"/>
        <v>2221</v>
      </c>
      <c r="H3161" s="137">
        <f t="shared" si="1236"/>
        <v>0.21924975320829221</v>
      </c>
      <c r="I3161" s="2"/>
      <c r="J3161" s="2">
        <f t="shared" ref="J3161:J3192" si="1241">IF($C3161=0,"-",N3161/$C3161)</f>
        <v>0.36969397828232969</v>
      </c>
      <c r="K3161" s="2">
        <f t="shared" ref="K3161:K3192" si="1242">IF($C3161=0,"-",O3161/$C3161)</f>
        <v>0.58894373149062196</v>
      </c>
      <c r="L3161" s="2">
        <f t="shared" ref="L3161:L3192" si="1243">IF($C3161=0,"-",P3161/$C3161)</f>
        <v>1.4807502467917078E-3</v>
      </c>
      <c r="M3161" s="2">
        <f t="shared" ref="M3161:M3192" si="1244">IF(C3161=0,"-",(1-J3161-K3161-L3161))</f>
        <v>3.9881539980256696E-2</v>
      </c>
      <c r="N3161" s="63">
        <v>3745</v>
      </c>
      <c r="O3161" s="63">
        <v>5966</v>
      </c>
      <c r="P3161" s="63">
        <v>15</v>
      </c>
      <c r="Q3161" s="63">
        <v>216</v>
      </c>
      <c r="R3161" s="63">
        <v>79</v>
      </c>
      <c r="S3161" s="63">
        <v>45</v>
      </c>
      <c r="T3161" s="63">
        <v>4</v>
      </c>
      <c r="U3161" s="63">
        <v>0</v>
      </c>
      <c r="V3161" s="63"/>
      <c r="W3161" s="63">
        <f>SUM(CB3161:CE3161)</f>
        <v>52</v>
      </c>
      <c r="X3161" s="63"/>
      <c r="Y3161" s="63">
        <v>0</v>
      </c>
      <c r="Z3161" s="63"/>
      <c r="AA3161" s="63">
        <v>8</v>
      </c>
      <c r="AB3161" s="63"/>
      <c r="AC3161" s="63"/>
      <c r="AD3161" s="63"/>
      <c r="AE3161" s="63">
        <v>0</v>
      </c>
      <c r="AF3161" s="63"/>
      <c r="AG3161" s="63">
        <v>0</v>
      </c>
      <c r="AH3161" s="63"/>
      <c r="AI3161" s="63"/>
      <c r="AJ3161" s="63"/>
      <c r="AK3161" s="63"/>
      <c r="AL3161" s="63"/>
      <c r="AM3161" s="63">
        <v>0</v>
      </c>
      <c r="AN3161" s="63">
        <v>0</v>
      </c>
      <c r="AO3161" s="63"/>
      <c r="AP3161" s="63"/>
      <c r="AQ3161" s="63"/>
      <c r="AR3161" s="63"/>
      <c r="AS3161" s="63"/>
      <c r="AT3161" s="63"/>
      <c r="AU3161" s="63"/>
      <c r="AW3161" s="5">
        <f>IF(Q3161&gt;0,RANK(Q3161,(N3161:P3161,Q3161:AE3161)),0)</f>
        <v>3</v>
      </c>
      <c r="AX3161" s="5">
        <f>IF(R3161&gt;0,RANK(R3161,(N3161:P3161,Q3161:AE3161)),0)</f>
        <v>4</v>
      </c>
      <c r="AY3161" s="5">
        <f>IF(T3161&gt;0,RANK(T3161,(N3161:P3161,Q3161:AE3161)),0)</f>
        <v>9</v>
      </c>
      <c r="AZ3161" s="5">
        <f>IF(S3161&gt;0,RANK(S3161,(N3161:P3161,Q3161:AE3161)),0)</f>
        <v>6</v>
      </c>
      <c r="BA3161" s="2">
        <f t="shared" ref="BA3161:BA3192" si="1245">IF($C3161=0,"-",Q3161/$C3161)</f>
        <v>2.1322803553800593E-2</v>
      </c>
      <c r="BB3161" s="2">
        <f t="shared" ref="BB3161:BB3192" si="1246">IF($C3161=0,"-",R3161/$C3161)</f>
        <v>7.7986179664363275E-3</v>
      </c>
      <c r="BC3161" s="2">
        <f t="shared" ref="BC3161:BC3192" si="1247">IF($C3161=0,"-",T3161/$C3161)</f>
        <v>3.9486673247778872E-4</v>
      </c>
      <c r="BD3161" s="2">
        <f t="shared" ref="BD3161:BD3192" si="1248">IF($C3161=0,"-",S3161/$C3161)</f>
        <v>4.4422507403751232E-3</v>
      </c>
      <c r="BF3161" t="s">
        <v>1026</v>
      </c>
      <c r="BG3161" t="s">
        <v>3002</v>
      </c>
      <c r="BH3161" s="63">
        <v>3</v>
      </c>
      <c r="BJ3161" s="114">
        <v>55</v>
      </c>
      <c r="BK3161" s="116">
        <v>1</v>
      </c>
      <c r="BL3161" s="120">
        <f t="shared" si="1225"/>
        <v>55001</v>
      </c>
      <c r="BN3161" s="5" t="s">
        <v>3154</v>
      </c>
      <c r="CB3161" s="63">
        <v>52</v>
      </c>
      <c r="CD3161" s="63">
        <v>0</v>
      </c>
      <c r="CE3161" s="63">
        <v>0</v>
      </c>
      <c r="CO3161" s="63">
        <v>3770</v>
      </c>
      <c r="CP3161" s="63">
        <v>5983</v>
      </c>
      <c r="CQ3161" s="63">
        <v>15</v>
      </c>
      <c r="CR3161" s="63">
        <v>207</v>
      </c>
      <c r="CS3161" s="63">
        <v>80</v>
      </c>
      <c r="CT3161" s="63">
        <v>44</v>
      </c>
      <c r="CU3161" s="63">
        <v>4</v>
      </c>
      <c r="CV3161" s="63">
        <v>0</v>
      </c>
      <c r="CW3161" s="63"/>
      <c r="CX3161" s="63">
        <f>SUM(FC3161:FF3161)</f>
        <v>0</v>
      </c>
      <c r="CY3161" s="63"/>
      <c r="CZ3161" s="63">
        <v>0</v>
      </c>
      <c r="DA3161" s="63"/>
      <c r="DB3161" s="63">
        <v>9</v>
      </c>
      <c r="DC3161" s="63"/>
      <c r="DD3161" s="63"/>
      <c r="DE3161" s="63"/>
      <c r="DF3161" s="63">
        <v>0</v>
      </c>
      <c r="DG3161" s="63"/>
      <c r="DH3161" s="63">
        <v>0</v>
      </c>
      <c r="DI3161" s="63"/>
      <c r="DJ3161" s="63"/>
      <c r="DK3161" s="63"/>
      <c r="DL3161" s="63"/>
      <c r="DM3161" s="63"/>
      <c r="DN3161" s="63">
        <v>0</v>
      </c>
      <c r="DO3161" s="63">
        <v>0</v>
      </c>
      <c r="DQ3161" s="63">
        <v>52</v>
      </c>
      <c r="DR3161" s="63"/>
      <c r="DS3161" s="63">
        <v>0</v>
      </c>
      <c r="DT3161" s="63">
        <v>0</v>
      </c>
    </row>
    <row r="3162" spans="1:124" hidden="1" outlineLevel="1">
      <c r="A3162" t="s">
        <v>196</v>
      </c>
      <c r="B3162" t="s">
        <v>3002</v>
      </c>
      <c r="C3162" s="1">
        <f t="shared" si="1240"/>
        <v>8032</v>
      </c>
      <c r="D3162" s="5">
        <f>IF(N3162&gt;0, RANK(N3162,(N3162:P3162,Q3162:AE3162)),0)</f>
        <v>1</v>
      </c>
      <c r="E3162" s="5">
        <f>IF(O3162&gt;0,RANK(O3162,(N3162:P3162,Q3162:AE3162)),0)</f>
        <v>2</v>
      </c>
      <c r="F3162" s="5">
        <f>IF(P3162&gt;0,RANK(P3162,(N3162:P3162,Q3162:AE3162)),0)</f>
        <v>7</v>
      </c>
      <c r="G3162" s="132">
        <f t="shared" si="1235"/>
        <v>923</v>
      </c>
      <c r="H3162" s="137">
        <f t="shared" si="1236"/>
        <v>0.11491533864541832</v>
      </c>
      <c r="I3162" s="2"/>
      <c r="J3162" s="2">
        <f t="shared" si="1241"/>
        <v>0.52614541832669326</v>
      </c>
      <c r="K3162" s="2">
        <f t="shared" si="1242"/>
        <v>0.4112300796812749</v>
      </c>
      <c r="L3162" s="2">
        <f t="shared" si="1243"/>
        <v>1.3695219123505977E-3</v>
      </c>
      <c r="M3162" s="2">
        <f t="shared" si="1244"/>
        <v>6.1254980079681248E-2</v>
      </c>
      <c r="N3162" s="63">
        <v>4226</v>
      </c>
      <c r="O3162" s="63">
        <v>3303</v>
      </c>
      <c r="P3162" s="63">
        <v>11</v>
      </c>
      <c r="Q3162" s="63">
        <v>194</v>
      </c>
      <c r="R3162" s="63">
        <v>167</v>
      </c>
      <c r="S3162" s="63">
        <v>21</v>
      </c>
      <c r="T3162" s="63">
        <v>3</v>
      </c>
      <c r="U3162" s="63">
        <v>1</v>
      </c>
      <c r="V3162" s="63"/>
      <c r="W3162" s="63">
        <f t="shared" ref="W3162:W3225" si="1249">SUM(CB3162:CE3162)</f>
        <v>95</v>
      </c>
      <c r="X3162" s="63"/>
      <c r="Y3162" s="63">
        <v>1</v>
      </c>
      <c r="Z3162" s="63"/>
      <c r="AA3162" s="63">
        <v>10</v>
      </c>
      <c r="AB3162" s="63"/>
      <c r="AC3162" s="63"/>
      <c r="AD3162" s="63"/>
      <c r="AE3162" s="63">
        <v>0</v>
      </c>
      <c r="AF3162" s="63"/>
      <c r="AG3162" s="63">
        <v>0</v>
      </c>
      <c r="AH3162" s="63"/>
      <c r="AI3162" s="63"/>
      <c r="AJ3162" s="63"/>
      <c r="AK3162" s="63"/>
      <c r="AL3162" s="63"/>
      <c r="AM3162" s="63">
        <v>0</v>
      </c>
      <c r="AN3162" s="63">
        <v>0</v>
      </c>
      <c r="AO3162" s="63"/>
      <c r="AP3162" s="63"/>
      <c r="AQ3162" s="63"/>
      <c r="AR3162" s="63"/>
      <c r="AS3162" s="63"/>
      <c r="AT3162" s="63"/>
      <c r="AU3162" s="63"/>
      <c r="AW3162" s="5">
        <f>IF(Q3162&gt;0,RANK(Q3162,(N3162:P3162,Q3162:AE3162)),0)</f>
        <v>3</v>
      </c>
      <c r="AX3162" s="5">
        <f>IF(R3162&gt;0,RANK(R3162,(N3162:P3162,Q3162:AE3162)),0)</f>
        <v>4</v>
      </c>
      <c r="AY3162" s="5">
        <f>IF(T3162&gt;0,RANK(T3162,(N3162:P3162,Q3162:AE3162)),0)</f>
        <v>9</v>
      </c>
      <c r="AZ3162" s="5">
        <f>IF(S3162&gt;0,RANK(S3162,(N3162:P3162,Q3162:AE3162)),0)</f>
        <v>6</v>
      </c>
      <c r="BA3162" s="2">
        <f t="shared" si="1245"/>
        <v>2.4153386454183266E-2</v>
      </c>
      <c r="BB3162" s="2">
        <f t="shared" si="1246"/>
        <v>2.0791832669322708E-2</v>
      </c>
      <c r="BC3162" s="2">
        <f t="shared" si="1247"/>
        <v>3.7350597609561752E-4</v>
      </c>
      <c r="BD3162" s="2">
        <f t="shared" si="1248"/>
        <v>2.6145418326693226E-3</v>
      </c>
      <c r="BF3162" t="s">
        <v>196</v>
      </c>
      <c r="BG3162" t="s">
        <v>3002</v>
      </c>
      <c r="BH3162" s="63">
        <v>7</v>
      </c>
      <c r="BJ3162" s="114">
        <v>55</v>
      </c>
      <c r="BK3162" s="116">
        <v>3</v>
      </c>
      <c r="BL3162" s="120">
        <f t="shared" si="1225"/>
        <v>55003</v>
      </c>
      <c r="BN3162" s="5" t="s">
        <v>3154</v>
      </c>
      <c r="CB3162" s="63">
        <v>95</v>
      </c>
      <c r="CD3162" s="63">
        <v>0</v>
      </c>
      <c r="CE3162" s="63">
        <v>0</v>
      </c>
      <c r="CO3162" s="63">
        <v>4228</v>
      </c>
      <c r="CP3162" s="63">
        <v>3302</v>
      </c>
      <c r="CQ3162" s="63">
        <v>13</v>
      </c>
      <c r="CR3162" s="63">
        <v>192</v>
      </c>
      <c r="CS3162" s="63">
        <v>167</v>
      </c>
      <c r="CT3162" s="63">
        <v>21</v>
      </c>
      <c r="CU3162" s="63">
        <v>8</v>
      </c>
      <c r="CV3162" s="63">
        <v>0</v>
      </c>
      <c r="CW3162" s="63"/>
      <c r="CX3162" s="63">
        <f t="shared" ref="CX3162:CX3225" si="1250">SUM(FC3162:FF3162)</f>
        <v>0</v>
      </c>
      <c r="CY3162" s="63"/>
      <c r="CZ3162" s="63">
        <v>2</v>
      </c>
      <c r="DA3162" s="63"/>
      <c r="DB3162" s="63">
        <v>10</v>
      </c>
      <c r="DC3162" s="63"/>
      <c r="DD3162" s="63"/>
      <c r="DE3162" s="63"/>
      <c r="DF3162" s="63">
        <v>0</v>
      </c>
      <c r="DG3162" s="63"/>
      <c r="DH3162" s="63">
        <v>0</v>
      </c>
      <c r="DI3162" s="63"/>
      <c r="DJ3162" s="63"/>
      <c r="DK3162" s="63"/>
      <c r="DL3162" s="63"/>
      <c r="DM3162" s="63"/>
      <c r="DN3162" s="63">
        <v>0</v>
      </c>
      <c r="DO3162" s="63">
        <v>0</v>
      </c>
      <c r="DQ3162" s="63">
        <v>86</v>
      </c>
      <c r="DR3162" s="63"/>
      <c r="DS3162" s="63">
        <v>0</v>
      </c>
      <c r="DT3162" s="63">
        <v>0</v>
      </c>
    </row>
    <row r="3163" spans="1:124" hidden="1" outlineLevel="1">
      <c r="A3163" t="s">
        <v>1592</v>
      </c>
      <c r="B3163" t="s">
        <v>3002</v>
      </c>
      <c r="C3163" s="1">
        <f t="shared" si="1240"/>
        <v>22671</v>
      </c>
      <c r="D3163" s="5">
        <f>IF(N3163&gt;0, RANK(N3163,(N3163:P3163,Q3163:AE3163)),0)</f>
        <v>2</v>
      </c>
      <c r="E3163" s="5">
        <f>IF(O3163&gt;0,RANK(O3163,(N3163:P3163,Q3163:AE3163)),0)</f>
        <v>1</v>
      </c>
      <c r="F3163" s="5">
        <f>IF(P3163&gt;0,RANK(P3163,(N3163:P3163,Q3163:AE3163)),0)</f>
        <v>7</v>
      </c>
      <c r="G3163" s="132">
        <f t="shared" si="1235"/>
        <v>5725</v>
      </c>
      <c r="H3163" s="137">
        <f t="shared" si="1236"/>
        <v>0.25252525252525254</v>
      </c>
      <c r="I3163" s="2"/>
      <c r="J3163" s="2">
        <f t="shared" si="1241"/>
        <v>0.34797759251907723</v>
      </c>
      <c r="K3163" s="2">
        <f t="shared" si="1242"/>
        <v>0.60050284504432971</v>
      </c>
      <c r="L3163" s="2">
        <f t="shared" si="1243"/>
        <v>2.5142252216488023E-3</v>
      </c>
      <c r="M3163" s="2">
        <f t="shared" si="1244"/>
        <v>4.9005337214944253E-2</v>
      </c>
      <c r="N3163" s="63">
        <v>7889</v>
      </c>
      <c r="O3163" s="63">
        <v>13614</v>
      </c>
      <c r="P3163" s="63">
        <v>57</v>
      </c>
      <c r="Q3163" s="63">
        <v>727</v>
      </c>
      <c r="R3163" s="63">
        <v>170</v>
      </c>
      <c r="S3163" s="63">
        <v>117</v>
      </c>
      <c r="T3163" s="63">
        <v>11</v>
      </c>
      <c r="U3163" s="63">
        <v>0</v>
      </c>
      <c r="V3163" s="63"/>
      <c r="W3163" s="63">
        <f t="shared" si="1249"/>
        <v>65</v>
      </c>
      <c r="X3163" s="63"/>
      <c r="Y3163" s="63">
        <v>0</v>
      </c>
      <c r="Z3163" s="63"/>
      <c r="AA3163" s="63">
        <v>17</v>
      </c>
      <c r="AB3163" s="63"/>
      <c r="AC3163" s="63"/>
      <c r="AD3163" s="63"/>
      <c r="AE3163" s="63">
        <v>1</v>
      </c>
      <c r="AF3163" s="63"/>
      <c r="AG3163" s="63">
        <v>3</v>
      </c>
      <c r="AH3163" s="63"/>
      <c r="AI3163" s="63"/>
      <c r="AJ3163" s="63"/>
      <c r="AK3163" s="63"/>
      <c r="AL3163" s="63"/>
      <c r="AM3163" s="63">
        <v>0</v>
      </c>
      <c r="AN3163" s="63">
        <v>0</v>
      </c>
      <c r="AO3163" s="63"/>
      <c r="AP3163" s="63"/>
      <c r="AQ3163" s="63"/>
      <c r="AR3163" s="63"/>
      <c r="AS3163" s="63"/>
      <c r="AT3163" s="63"/>
      <c r="AU3163" s="63"/>
      <c r="AW3163" s="5">
        <f>IF(Q3163&gt;0,RANK(Q3163,(N3163:P3163,Q3163:AE3163)),0)</f>
        <v>3</v>
      </c>
      <c r="AX3163" s="5">
        <f>IF(R3163&gt;0,RANK(R3163,(N3163:P3163,Q3163:AE3163)),0)</f>
        <v>4</v>
      </c>
      <c r="AY3163" s="5">
        <f>IF(T3163&gt;0,RANK(T3163,(N3163:P3163,Q3163:AE3163)),0)</f>
        <v>9</v>
      </c>
      <c r="AZ3163" s="5">
        <f>IF(S3163&gt;0,RANK(S3163,(N3163:P3163,Q3163:AE3163)),0)</f>
        <v>5</v>
      </c>
      <c r="BA3163" s="2">
        <f t="shared" si="1245"/>
        <v>3.2067398879625952E-2</v>
      </c>
      <c r="BB3163" s="2">
        <f t="shared" si="1246"/>
        <v>7.4985664505315157E-3</v>
      </c>
      <c r="BC3163" s="2">
        <f t="shared" si="1247"/>
        <v>4.8520135856380397E-4</v>
      </c>
      <c r="BD3163" s="2">
        <f t="shared" si="1248"/>
        <v>5.160778086542279E-3</v>
      </c>
      <c r="BF3163" t="s">
        <v>1592</v>
      </c>
      <c r="BG3163" t="s">
        <v>3002</v>
      </c>
      <c r="BH3163" s="63">
        <v>7</v>
      </c>
      <c r="BJ3163" s="114">
        <v>55</v>
      </c>
      <c r="BK3163" s="116">
        <v>5</v>
      </c>
      <c r="BL3163" s="120">
        <f t="shared" si="1225"/>
        <v>55005</v>
      </c>
      <c r="BN3163" s="5" t="s">
        <v>3154</v>
      </c>
      <c r="CB3163" s="63">
        <v>64</v>
      </c>
      <c r="CD3163" s="63">
        <v>1</v>
      </c>
      <c r="CE3163" s="63">
        <v>0</v>
      </c>
      <c r="CO3163" s="63">
        <v>7879</v>
      </c>
      <c r="CP3163" s="63">
        <v>13606</v>
      </c>
      <c r="CQ3163" s="63">
        <v>42</v>
      </c>
      <c r="CR3163" s="63">
        <v>727</v>
      </c>
      <c r="CS3163" s="63">
        <v>169</v>
      </c>
      <c r="CT3163" s="63">
        <v>116</v>
      </c>
      <c r="CU3163" s="63">
        <v>11</v>
      </c>
      <c r="CV3163" s="63">
        <v>0</v>
      </c>
      <c r="CW3163" s="63"/>
      <c r="CX3163" s="63">
        <f t="shared" si="1250"/>
        <v>0</v>
      </c>
      <c r="CY3163" s="63"/>
      <c r="CZ3163" s="63">
        <v>0</v>
      </c>
      <c r="DA3163" s="63"/>
      <c r="DB3163" s="63">
        <v>16</v>
      </c>
      <c r="DC3163" s="63"/>
      <c r="DD3163" s="63"/>
      <c r="DE3163" s="63"/>
      <c r="DF3163" s="63">
        <v>1</v>
      </c>
      <c r="DG3163" s="63"/>
      <c r="DH3163" s="63">
        <v>3</v>
      </c>
      <c r="DI3163" s="63"/>
      <c r="DJ3163" s="63"/>
      <c r="DK3163" s="63"/>
      <c r="DL3163" s="63"/>
      <c r="DM3163" s="63"/>
      <c r="DN3163" s="63">
        <v>0</v>
      </c>
      <c r="DO3163" s="63">
        <v>0</v>
      </c>
      <c r="DQ3163" s="63">
        <v>72</v>
      </c>
      <c r="DR3163" s="63"/>
      <c r="DS3163" s="63">
        <v>1</v>
      </c>
      <c r="DT3163" s="63">
        <v>0</v>
      </c>
    </row>
    <row r="3164" spans="1:124" hidden="1" outlineLevel="1">
      <c r="A3164" t="s">
        <v>2863</v>
      </c>
      <c r="B3164" t="s">
        <v>3002</v>
      </c>
      <c r="C3164" s="1">
        <f t="shared" si="1240"/>
        <v>9612</v>
      </c>
      <c r="D3164" s="5">
        <f>IF(N3164&gt;0, RANK(N3164,(N3164:P3164,Q3164:AE3164)),0)</f>
        <v>1</v>
      </c>
      <c r="E3164" s="5">
        <f>IF(O3164&gt;0,RANK(O3164,(N3164:P3164,Q3164:AE3164)),0)</f>
        <v>2</v>
      </c>
      <c r="F3164" s="5">
        <f>IF(P3164&gt;0,RANK(P3164,(N3164:P3164,Q3164:AE3164)),0)</f>
        <v>6</v>
      </c>
      <c r="G3164" s="132">
        <f t="shared" si="1235"/>
        <v>829</v>
      </c>
      <c r="H3164" s="137">
        <f t="shared" si="1236"/>
        <v>8.6246358718268828E-2</v>
      </c>
      <c r="I3164" s="2"/>
      <c r="J3164" s="2">
        <f t="shared" si="1241"/>
        <v>0.51529338327091134</v>
      </c>
      <c r="K3164" s="2">
        <f t="shared" si="1242"/>
        <v>0.42904702455264254</v>
      </c>
      <c r="L3164" s="2">
        <f t="shared" si="1243"/>
        <v>3.0170620058260506E-3</v>
      </c>
      <c r="M3164" s="2">
        <f t="shared" si="1244"/>
        <v>5.2642530170620067E-2</v>
      </c>
      <c r="N3164" s="63">
        <v>4953</v>
      </c>
      <c r="O3164" s="63">
        <v>4124</v>
      </c>
      <c r="P3164" s="63">
        <v>29</v>
      </c>
      <c r="Q3164" s="63">
        <v>197</v>
      </c>
      <c r="R3164" s="63">
        <v>185</v>
      </c>
      <c r="S3164" s="63">
        <v>24</v>
      </c>
      <c r="T3164" s="63">
        <v>6</v>
      </c>
      <c r="U3164" s="63">
        <v>0</v>
      </c>
      <c r="V3164" s="63"/>
      <c r="W3164" s="63">
        <f t="shared" si="1249"/>
        <v>85</v>
      </c>
      <c r="X3164" s="63"/>
      <c r="Y3164" s="63">
        <v>0</v>
      </c>
      <c r="Z3164" s="63"/>
      <c r="AA3164" s="63">
        <v>4</v>
      </c>
      <c r="AB3164" s="63"/>
      <c r="AC3164" s="63"/>
      <c r="AD3164" s="63"/>
      <c r="AE3164" s="63">
        <v>0</v>
      </c>
      <c r="AF3164" s="63"/>
      <c r="AG3164" s="63">
        <v>1</v>
      </c>
      <c r="AH3164" s="63"/>
      <c r="AI3164" s="63"/>
      <c r="AJ3164" s="63"/>
      <c r="AK3164" s="63"/>
      <c r="AL3164" s="63"/>
      <c r="AM3164" s="63">
        <v>0</v>
      </c>
      <c r="AN3164" s="63">
        <v>4</v>
      </c>
      <c r="AO3164" s="63"/>
      <c r="AP3164" s="63"/>
      <c r="AQ3164" s="63"/>
      <c r="AR3164" s="63"/>
      <c r="AS3164" s="63"/>
      <c r="AT3164" s="63"/>
      <c r="AU3164" s="63"/>
      <c r="AW3164" s="5">
        <f>IF(Q3164&gt;0,RANK(Q3164,(N3164:P3164,Q3164:AE3164)),0)</f>
        <v>3</v>
      </c>
      <c r="AX3164" s="5">
        <f>IF(R3164&gt;0,RANK(R3164,(N3164:P3164,Q3164:AE3164)),0)</f>
        <v>4</v>
      </c>
      <c r="AY3164" s="5">
        <f>IF(T3164&gt;0,RANK(T3164,(N3164:P3164,Q3164:AE3164)),0)</f>
        <v>8</v>
      </c>
      <c r="AZ3164" s="5">
        <f>IF(S3164&gt;0,RANK(S3164,(N3164:P3164,Q3164:AE3164)),0)</f>
        <v>7</v>
      </c>
      <c r="BA3164" s="2">
        <f t="shared" si="1245"/>
        <v>2.0495214315439034E-2</v>
      </c>
      <c r="BB3164" s="2">
        <f t="shared" si="1246"/>
        <v>1.9246774864752392E-2</v>
      </c>
      <c r="BC3164" s="2">
        <f t="shared" si="1247"/>
        <v>6.2421972534332086E-4</v>
      </c>
      <c r="BD3164" s="2">
        <f t="shared" si="1248"/>
        <v>2.4968789013732834E-3</v>
      </c>
      <c r="BF3164" t="s">
        <v>2863</v>
      </c>
      <c r="BG3164" t="s">
        <v>3002</v>
      </c>
      <c r="BH3164" s="63">
        <v>7</v>
      </c>
      <c r="BJ3164" s="114">
        <v>55</v>
      </c>
      <c r="BK3164" s="116">
        <v>7</v>
      </c>
      <c r="BL3164" s="120">
        <f t="shared" si="1225"/>
        <v>55007</v>
      </c>
      <c r="BN3164" s="5" t="s">
        <v>3154</v>
      </c>
      <c r="CB3164" s="63">
        <v>85</v>
      </c>
      <c r="CD3164" s="63">
        <v>0</v>
      </c>
      <c r="CE3164" s="63">
        <v>0</v>
      </c>
      <c r="CO3164" s="63">
        <v>4954</v>
      </c>
      <c r="CP3164" s="63">
        <v>4125</v>
      </c>
      <c r="CQ3164" s="63">
        <v>25</v>
      </c>
      <c r="CR3164" s="63">
        <v>197</v>
      </c>
      <c r="CS3164" s="63">
        <v>185</v>
      </c>
      <c r="CT3164" s="63">
        <v>24</v>
      </c>
      <c r="CU3164" s="63">
        <v>6</v>
      </c>
      <c r="CV3164" s="63">
        <v>0</v>
      </c>
      <c r="CW3164" s="63"/>
      <c r="CX3164" s="63">
        <f t="shared" si="1250"/>
        <v>0</v>
      </c>
      <c r="CY3164" s="63"/>
      <c r="CZ3164" s="63">
        <v>0</v>
      </c>
      <c r="DA3164" s="63"/>
      <c r="DB3164" s="63">
        <v>4</v>
      </c>
      <c r="DC3164" s="63"/>
      <c r="DD3164" s="63"/>
      <c r="DE3164" s="63"/>
      <c r="DF3164" s="63">
        <v>0</v>
      </c>
      <c r="DG3164" s="63"/>
      <c r="DH3164" s="63">
        <v>1</v>
      </c>
      <c r="DI3164" s="63"/>
      <c r="DJ3164" s="63"/>
      <c r="DK3164" s="63"/>
      <c r="DL3164" s="63"/>
      <c r="DM3164" s="63"/>
      <c r="DN3164" s="63">
        <v>0</v>
      </c>
      <c r="DO3164" s="63">
        <v>4</v>
      </c>
      <c r="DQ3164" s="63">
        <v>4</v>
      </c>
      <c r="DR3164" s="63"/>
      <c r="DS3164" s="63">
        <v>0</v>
      </c>
      <c r="DT3164" s="63">
        <v>0</v>
      </c>
    </row>
    <row r="3165" spans="1:124" hidden="1" outlineLevel="1">
      <c r="A3165" t="s">
        <v>578</v>
      </c>
      <c r="B3165" t="s">
        <v>3002</v>
      </c>
      <c r="C3165" s="1">
        <f t="shared" si="1240"/>
        <v>129011</v>
      </c>
      <c r="D3165" s="5">
        <f>IF(N3165&gt;0, RANK(N3165,(N3165:P3165,Q3165:AE3165)),0)</f>
        <v>2</v>
      </c>
      <c r="E3165" s="5">
        <f>IF(O3165&gt;0,RANK(O3165,(N3165:P3165,Q3165:AE3165)),0)</f>
        <v>1</v>
      </c>
      <c r="F3165" s="5">
        <f>IF(P3165&gt;0,RANK(P3165,(N3165:P3165,Q3165:AE3165)),0)</f>
        <v>7</v>
      </c>
      <c r="G3165" s="132">
        <f t="shared" si="1235"/>
        <v>13828</v>
      </c>
      <c r="H3165" s="137">
        <f t="shared" si="1236"/>
        <v>0.10718465867251629</v>
      </c>
      <c r="I3165" s="2"/>
      <c r="J3165" s="2">
        <f t="shared" si="1241"/>
        <v>0.41377867003588842</v>
      </c>
      <c r="K3165" s="2">
        <f t="shared" si="1242"/>
        <v>0.52096332870840467</v>
      </c>
      <c r="L3165" s="2">
        <f t="shared" si="1243"/>
        <v>2.2711241677066296E-3</v>
      </c>
      <c r="M3165" s="2">
        <f t="shared" si="1244"/>
        <v>6.2986877088000284E-2</v>
      </c>
      <c r="N3165" s="63">
        <v>53382</v>
      </c>
      <c r="O3165" s="63">
        <v>67210</v>
      </c>
      <c r="P3165" s="63">
        <v>293</v>
      </c>
      <c r="Q3165" s="63">
        <v>4985</v>
      </c>
      <c r="R3165" s="63">
        <v>1371</v>
      </c>
      <c r="S3165" s="63">
        <v>475</v>
      </c>
      <c r="T3165" s="63">
        <v>65</v>
      </c>
      <c r="U3165" s="63">
        <v>0</v>
      </c>
      <c r="V3165" s="63"/>
      <c r="W3165" s="63">
        <f t="shared" si="1249"/>
        <v>1153</v>
      </c>
      <c r="X3165" s="63"/>
      <c r="Y3165" s="63">
        <v>4</v>
      </c>
      <c r="Z3165" s="63"/>
      <c r="AA3165" s="63">
        <v>54</v>
      </c>
      <c r="AB3165" s="63"/>
      <c r="AC3165" s="63"/>
      <c r="AD3165" s="63"/>
      <c r="AE3165" s="63">
        <v>0</v>
      </c>
      <c r="AF3165" s="63"/>
      <c r="AG3165" s="63">
        <v>1</v>
      </c>
      <c r="AH3165" s="63"/>
      <c r="AI3165" s="63"/>
      <c r="AJ3165" s="63"/>
      <c r="AK3165" s="63"/>
      <c r="AL3165" s="63"/>
      <c r="AM3165" s="63">
        <v>0</v>
      </c>
      <c r="AN3165" s="63">
        <v>18</v>
      </c>
      <c r="AO3165" s="63"/>
      <c r="AP3165" s="63"/>
      <c r="AQ3165" s="63"/>
      <c r="AR3165" s="63"/>
      <c r="AS3165" s="63"/>
      <c r="AT3165" s="63"/>
      <c r="AU3165" s="63"/>
      <c r="AW3165" s="5">
        <f>IF(Q3165&gt;0,RANK(Q3165,(N3165:P3165,Q3165:AE3165)),0)</f>
        <v>3</v>
      </c>
      <c r="AX3165" s="5">
        <f>IF(R3165&gt;0,RANK(R3165,(N3165:P3165,Q3165:AE3165)),0)</f>
        <v>4</v>
      </c>
      <c r="AY3165" s="5">
        <f>IF(T3165&gt;0,RANK(T3165,(N3165:P3165,Q3165:AE3165)),0)</f>
        <v>8</v>
      </c>
      <c r="AZ3165" s="5">
        <f>IF(S3165&gt;0,RANK(S3165,(N3165:P3165,Q3165:AE3165)),0)</f>
        <v>6</v>
      </c>
      <c r="BA3165" s="2">
        <f t="shared" si="1245"/>
        <v>3.8640115959104264E-2</v>
      </c>
      <c r="BB3165" s="2">
        <f t="shared" si="1246"/>
        <v>1.0627000798381534E-2</v>
      </c>
      <c r="BC3165" s="2">
        <f t="shared" si="1247"/>
        <v>5.0383300648781883E-4</v>
      </c>
      <c r="BD3165" s="2">
        <f t="shared" si="1248"/>
        <v>3.6818565858725226E-3</v>
      </c>
      <c r="BF3165" t="s">
        <v>578</v>
      </c>
      <c r="BG3165" t="s">
        <v>3002</v>
      </c>
      <c r="BH3165" s="63">
        <v>8</v>
      </c>
      <c r="BJ3165" s="114">
        <v>55</v>
      </c>
      <c r="BK3165" s="116">
        <v>9</v>
      </c>
      <c r="BL3165" s="120">
        <f t="shared" si="1225"/>
        <v>55009</v>
      </c>
      <c r="BN3165" s="5" t="s">
        <v>3154</v>
      </c>
      <c r="CB3165" s="63">
        <v>1153</v>
      </c>
      <c r="CD3165" s="63">
        <v>0</v>
      </c>
      <c r="CE3165" s="63">
        <v>0</v>
      </c>
      <c r="CO3165" s="63">
        <v>53364</v>
      </c>
      <c r="CP3165" s="63">
        <v>67199</v>
      </c>
      <c r="CQ3165" s="63">
        <v>273</v>
      </c>
      <c r="CR3165" s="63">
        <v>4984</v>
      </c>
      <c r="CS3165" s="63">
        <v>1371</v>
      </c>
      <c r="CT3165" s="63">
        <v>475</v>
      </c>
      <c r="CU3165" s="63">
        <v>65</v>
      </c>
      <c r="CV3165" s="63">
        <v>0</v>
      </c>
      <c r="CW3165" s="63"/>
      <c r="CX3165" s="63">
        <f t="shared" si="1250"/>
        <v>0</v>
      </c>
      <c r="CY3165" s="63"/>
      <c r="CZ3165" s="63">
        <v>2</v>
      </c>
      <c r="DA3165" s="63"/>
      <c r="DB3165" s="63">
        <v>54</v>
      </c>
      <c r="DC3165" s="63"/>
      <c r="DD3165" s="63"/>
      <c r="DE3165" s="63"/>
      <c r="DF3165" s="63">
        <v>0</v>
      </c>
      <c r="DG3165" s="63"/>
      <c r="DH3165" s="63">
        <v>1</v>
      </c>
      <c r="DI3165" s="63"/>
      <c r="DJ3165" s="63"/>
      <c r="DK3165" s="63"/>
      <c r="DL3165" s="63"/>
      <c r="DM3165" s="63"/>
      <c r="DN3165" s="63">
        <v>0</v>
      </c>
      <c r="DO3165" s="63">
        <v>14</v>
      </c>
      <c r="DQ3165" s="63">
        <v>1177</v>
      </c>
      <c r="DR3165" s="63"/>
      <c r="DS3165" s="63">
        <v>0</v>
      </c>
      <c r="DT3165" s="63">
        <v>0</v>
      </c>
    </row>
    <row r="3166" spans="1:124" hidden="1" outlineLevel="1">
      <c r="A3166" t="s">
        <v>2574</v>
      </c>
      <c r="B3166" t="s">
        <v>3002</v>
      </c>
      <c r="C3166" s="1">
        <f t="shared" si="1240"/>
        <v>6981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7</v>
      </c>
      <c r="G3166" s="132">
        <f t="shared" si="1235"/>
        <v>1523</v>
      </c>
      <c r="H3166" s="137">
        <f t="shared" si="1236"/>
        <v>0.21816358687867068</v>
      </c>
      <c r="I3166" s="2"/>
      <c r="J3166" s="2">
        <f t="shared" si="1241"/>
        <v>0.36169603208709356</v>
      </c>
      <c r="K3166" s="2">
        <f t="shared" si="1242"/>
        <v>0.57985961896576421</v>
      </c>
      <c r="L3166" s="2">
        <f t="shared" si="1243"/>
        <v>2.2919352528291076E-3</v>
      </c>
      <c r="M3166" s="2">
        <f t="shared" si="1244"/>
        <v>5.6152413694313126E-2</v>
      </c>
      <c r="N3166" s="63">
        <v>2525</v>
      </c>
      <c r="O3166" s="63">
        <v>4048</v>
      </c>
      <c r="P3166" s="63">
        <v>16</v>
      </c>
      <c r="Q3166" s="63">
        <v>218</v>
      </c>
      <c r="R3166" s="63">
        <v>74</v>
      </c>
      <c r="S3166" s="63">
        <v>37</v>
      </c>
      <c r="T3166" s="63">
        <v>3</v>
      </c>
      <c r="U3166" s="63">
        <v>0</v>
      </c>
      <c r="V3166" s="63"/>
      <c r="W3166" s="63">
        <f t="shared" si="1249"/>
        <v>54</v>
      </c>
      <c r="X3166" s="63"/>
      <c r="Y3166" s="63">
        <v>0</v>
      </c>
      <c r="Z3166" s="63"/>
      <c r="AA3166" s="63">
        <v>6</v>
      </c>
      <c r="AB3166" s="63"/>
      <c r="AC3166" s="63"/>
      <c r="AD3166" s="63"/>
      <c r="AE3166" s="63">
        <v>0</v>
      </c>
      <c r="AF3166" s="63"/>
      <c r="AG3166" s="63">
        <v>0</v>
      </c>
      <c r="AH3166" s="63"/>
      <c r="AI3166" s="63"/>
      <c r="AJ3166" s="63"/>
      <c r="AK3166" s="63"/>
      <c r="AL3166" s="63"/>
      <c r="AM3166" s="63">
        <v>0</v>
      </c>
      <c r="AN3166" s="63">
        <v>0</v>
      </c>
      <c r="AO3166" s="63"/>
      <c r="AP3166" s="63"/>
      <c r="AQ3166" s="63"/>
      <c r="AR3166" s="63"/>
      <c r="AS3166" s="63"/>
      <c r="AT3166" s="63"/>
      <c r="AU3166" s="63"/>
      <c r="AW3166" s="5">
        <f>IF(Q3166&gt;0,RANK(Q3166,(N3166:P3166,Q3166:AE3166)),0)</f>
        <v>3</v>
      </c>
      <c r="AX3166" s="5">
        <f>IF(R3166&gt;0,RANK(R3166,(N3166:P3166,Q3166:AE3166)),0)</f>
        <v>4</v>
      </c>
      <c r="AY3166" s="5">
        <f>IF(T3166&gt;0,RANK(T3166,(N3166:P3166,Q3166:AE3166)),0)</f>
        <v>9</v>
      </c>
      <c r="AZ3166" s="5">
        <f>IF(S3166&gt;0,RANK(S3166,(N3166:P3166,Q3166:AE3166)),0)</f>
        <v>6</v>
      </c>
      <c r="BA3166" s="2">
        <f t="shared" si="1245"/>
        <v>3.1227617819796591E-2</v>
      </c>
      <c r="BB3166" s="2">
        <f t="shared" si="1246"/>
        <v>1.0600200544334623E-2</v>
      </c>
      <c r="BC3166" s="2">
        <f t="shared" si="1247"/>
        <v>4.2973785990545768E-4</v>
      </c>
      <c r="BD3166" s="2">
        <f t="shared" si="1248"/>
        <v>5.3001002721673116E-3</v>
      </c>
      <c r="BF3166" t="s">
        <v>2574</v>
      </c>
      <c r="BG3166" t="s">
        <v>3002</v>
      </c>
      <c r="BH3166" s="63">
        <v>3</v>
      </c>
      <c r="BJ3166" s="114">
        <v>55</v>
      </c>
      <c r="BK3166" s="116">
        <v>11</v>
      </c>
      <c r="BL3166" s="120">
        <f t="shared" si="1225"/>
        <v>55011</v>
      </c>
      <c r="BN3166" s="5" t="s">
        <v>3154</v>
      </c>
      <c r="CB3166" s="63">
        <v>54</v>
      </c>
      <c r="CD3166" s="63">
        <v>0</v>
      </c>
      <c r="CE3166" s="63">
        <v>0</v>
      </c>
      <c r="CO3166" s="63">
        <v>2531</v>
      </c>
      <c r="CP3166" s="63">
        <v>4049</v>
      </c>
      <c r="CQ3166" s="63">
        <v>12</v>
      </c>
      <c r="CR3166" s="63">
        <v>218</v>
      </c>
      <c r="CS3166" s="63">
        <v>74</v>
      </c>
      <c r="CT3166" s="63">
        <v>37</v>
      </c>
      <c r="CU3166" s="63">
        <v>3</v>
      </c>
      <c r="CV3166" s="63">
        <v>0</v>
      </c>
      <c r="CW3166" s="63"/>
      <c r="CX3166" s="63">
        <f t="shared" si="1250"/>
        <v>0</v>
      </c>
      <c r="CY3166" s="63"/>
      <c r="CZ3166" s="63">
        <v>0</v>
      </c>
      <c r="DA3166" s="63"/>
      <c r="DB3166" s="63">
        <v>6</v>
      </c>
      <c r="DC3166" s="63"/>
      <c r="DD3166" s="63"/>
      <c r="DE3166" s="63"/>
      <c r="DF3166" s="63">
        <v>0</v>
      </c>
      <c r="DG3166" s="63"/>
      <c r="DH3166" s="63">
        <v>0</v>
      </c>
      <c r="DI3166" s="63"/>
      <c r="DJ3166" s="63"/>
      <c r="DK3166" s="63"/>
      <c r="DL3166" s="63"/>
      <c r="DM3166" s="63"/>
      <c r="DN3166" s="63">
        <v>0</v>
      </c>
      <c r="DO3166" s="63">
        <v>0</v>
      </c>
      <c r="DQ3166" s="63">
        <v>58</v>
      </c>
      <c r="DR3166" s="63"/>
      <c r="DS3166" s="63">
        <v>0</v>
      </c>
      <c r="DT3166" s="63">
        <v>0</v>
      </c>
    </row>
    <row r="3167" spans="1:124" hidden="1" outlineLevel="1">
      <c r="A3167" t="s">
        <v>1973</v>
      </c>
      <c r="B3167" t="s">
        <v>3002</v>
      </c>
      <c r="C3167" s="1">
        <f t="shared" si="1240"/>
        <v>8738</v>
      </c>
      <c r="D3167" s="5">
        <f>IF(N3167&gt;0, RANK(N3167,(N3167:P3167,Q3167:AE3167)),0)</f>
        <v>2</v>
      </c>
      <c r="E3167" s="5">
        <f>IF(O3167&gt;0,RANK(O3167,(N3167:P3167,Q3167:AE3167)),0)</f>
        <v>1</v>
      </c>
      <c r="F3167" s="5">
        <f>IF(P3167&gt;0,RANK(P3167,(N3167:P3167,Q3167:AE3167)),0)</f>
        <v>6</v>
      </c>
      <c r="G3167" s="132">
        <f t="shared" si="1235"/>
        <v>2461</v>
      </c>
      <c r="H3167" s="137">
        <f t="shared" si="1236"/>
        <v>0.2816433966582742</v>
      </c>
      <c r="I3167" s="2"/>
      <c r="J3167" s="2">
        <f t="shared" si="1241"/>
        <v>0.33749141680018313</v>
      </c>
      <c r="K3167" s="2">
        <f t="shared" si="1242"/>
        <v>0.61913481345845733</v>
      </c>
      <c r="L3167" s="2">
        <f t="shared" si="1243"/>
        <v>2.059967956054017E-3</v>
      </c>
      <c r="M3167" s="2">
        <f t="shared" si="1244"/>
        <v>4.1313801785305519E-2</v>
      </c>
      <c r="N3167" s="63">
        <v>2949</v>
      </c>
      <c r="O3167" s="63">
        <v>5410</v>
      </c>
      <c r="P3167" s="63">
        <v>18</v>
      </c>
      <c r="Q3167" s="63">
        <v>236</v>
      </c>
      <c r="R3167" s="63">
        <v>67</v>
      </c>
      <c r="S3167" s="63">
        <v>48</v>
      </c>
      <c r="T3167" s="63">
        <v>1</v>
      </c>
      <c r="U3167" s="63">
        <v>0</v>
      </c>
      <c r="V3167" s="63"/>
      <c r="W3167" s="63">
        <f t="shared" si="1249"/>
        <v>0</v>
      </c>
      <c r="X3167" s="63"/>
      <c r="Y3167" s="63">
        <v>0</v>
      </c>
      <c r="Z3167" s="63"/>
      <c r="AA3167" s="63">
        <v>7</v>
      </c>
      <c r="AB3167" s="63"/>
      <c r="AC3167" s="63"/>
      <c r="AD3167" s="63"/>
      <c r="AE3167" s="63">
        <v>0</v>
      </c>
      <c r="AF3167" s="63"/>
      <c r="AG3167" s="63">
        <v>2</v>
      </c>
      <c r="AH3167" s="63"/>
      <c r="AI3167" s="63"/>
      <c r="AJ3167" s="63"/>
      <c r="AK3167" s="63"/>
      <c r="AL3167" s="63"/>
      <c r="AM3167" s="63">
        <v>0</v>
      </c>
      <c r="AN3167" s="63">
        <v>0</v>
      </c>
      <c r="AO3167" s="63"/>
      <c r="AP3167" s="63"/>
      <c r="AQ3167" s="63"/>
      <c r="AR3167" s="63"/>
      <c r="AS3167" s="63"/>
      <c r="AT3167" s="63"/>
      <c r="AU3167" s="63"/>
      <c r="AW3167" s="5">
        <f>IF(Q3167&gt;0,RANK(Q3167,(N3167:P3167,Q3167:AE3167)),0)</f>
        <v>3</v>
      </c>
      <c r="AX3167" s="5">
        <f>IF(R3167&gt;0,RANK(R3167,(N3167:P3167,Q3167:AE3167)),0)</f>
        <v>4</v>
      </c>
      <c r="AY3167" s="5">
        <f>IF(T3167&gt;0,RANK(T3167,(N3167:P3167,Q3167:AE3167)),0)</f>
        <v>8</v>
      </c>
      <c r="AZ3167" s="5">
        <f>IF(S3167&gt;0,RANK(S3167,(N3167:P3167,Q3167:AE3167)),0)</f>
        <v>5</v>
      </c>
      <c r="BA3167" s="2">
        <f t="shared" si="1245"/>
        <v>2.7008468757152668E-2</v>
      </c>
      <c r="BB3167" s="2">
        <f t="shared" si="1246"/>
        <v>7.6676585030899516E-3</v>
      </c>
      <c r="BC3167" s="2">
        <f t="shared" si="1247"/>
        <v>1.1444266422522316E-4</v>
      </c>
      <c r="BD3167" s="2">
        <f t="shared" si="1248"/>
        <v>5.4932478828107123E-3</v>
      </c>
      <c r="BF3167" t="s">
        <v>1973</v>
      </c>
      <c r="BG3167" t="s">
        <v>3002</v>
      </c>
      <c r="BH3167" s="63">
        <v>7</v>
      </c>
      <c r="BJ3167" s="114">
        <v>55</v>
      </c>
      <c r="BK3167" s="116">
        <v>13</v>
      </c>
      <c r="BL3167" s="120">
        <f t="shared" si="1225"/>
        <v>55013</v>
      </c>
      <c r="BN3167" s="5" t="s">
        <v>3154</v>
      </c>
      <c r="CB3167" s="63">
        <v>0</v>
      </c>
      <c r="CD3167" s="63">
        <v>0</v>
      </c>
      <c r="CE3167" s="63">
        <v>0</v>
      </c>
      <c r="CO3167" s="63">
        <v>2948</v>
      </c>
      <c r="CP3167" s="63">
        <v>5412</v>
      </c>
      <c r="CQ3167" s="63">
        <v>21</v>
      </c>
      <c r="CR3167" s="63">
        <v>236</v>
      </c>
      <c r="CS3167" s="63">
        <v>67</v>
      </c>
      <c r="CT3167" s="63">
        <v>48</v>
      </c>
      <c r="CU3167" s="63">
        <v>2</v>
      </c>
      <c r="CV3167" s="63">
        <v>0</v>
      </c>
      <c r="CW3167" s="63"/>
      <c r="CX3167" s="63">
        <f t="shared" si="1250"/>
        <v>0</v>
      </c>
      <c r="CY3167" s="63"/>
      <c r="CZ3167" s="63">
        <v>0</v>
      </c>
      <c r="DA3167" s="63"/>
      <c r="DB3167" s="63">
        <v>7</v>
      </c>
      <c r="DC3167" s="63"/>
      <c r="DD3167" s="63"/>
      <c r="DE3167" s="63"/>
      <c r="DF3167" s="63">
        <v>0</v>
      </c>
      <c r="DG3167" s="63"/>
      <c r="DH3167" s="63">
        <v>2</v>
      </c>
      <c r="DI3167" s="63"/>
      <c r="DJ3167" s="63"/>
      <c r="DK3167" s="63"/>
      <c r="DL3167" s="63"/>
      <c r="DM3167" s="63"/>
      <c r="DN3167" s="63">
        <v>0</v>
      </c>
      <c r="DO3167" s="63">
        <v>0</v>
      </c>
      <c r="DQ3167" s="63">
        <v>0</v>
      </c>
      <c r="DR3167" s="63"/>
      <c r="DS3167" s="63">
        <v>0</v>
      </c>
      <c r="DT3167" s="63">
        <v>0</v>
      </c>
    </row>
    <row r="3168" spans="1:124" hidden="1" outlineLevel="1">
      <c r="A3168" t="s">
        <v>1904</v>
      </c>
      <c r="B3168" t="s">
        <v>3002</v>
      </c>
      <c r="C3168" s="1">
        <f t="shared" si="1240"/>
        <v>26595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6</v>
      </c>
      <c r="G3168" s="132">
        <f t="shared" si="1235"/>
        <v>5725</v>
      </c>
      <c r="H3168" s="137">
        <f t="shared" si="1236"/>
        <v>0.21526602744876858</v>
      </c>
      <c r="I3168" s="2"/>
      <c r="J3168" s="2">
        <f t="shared" si="1241"/>
        <v>0.36254935138183869</v>
      </c>
      <c r="K3168" s="2">
        <f t="shared" si="1242"/>
        <v>0.5778153788306073</v>
      </c>
      <c r="L3168" s="2">
        <f t="shared" si="1243"/>
        <v>4.85053581500282E-3</v>
      </c>
      <c r="M3168" s="2">
        <f t="shared" si="1244"/>
        <v>5.4784733972551139E-2</v>
      </c>
      <c r="N3168" s="63">
        <v>9642</v>
      </c>
      <c r="O3168" s="63">
        <v>15367</v>
      </c>
      <c r="P3168" s="63">
        <v>129</v>
      </c>
      <c r="Q3168" s="63">
        <v>1054</v>
      </c>
      <c r="R3168" s="63">
        <v>204</v>
      </c>
      <c r="S3168" s="63">
        <v>171</v>
      </c>
      <c r="T3168" s="63">
        <v>10</v>
      </c>
      <c r="U3168" s="63">
        <v>0</v>
      </c>
      <c r="V3168" s="63"/>
      <c r="W3168" s="63">
        <f t="shared" si="1249"/>
        <v>0</v>
      </c>
      <c r="X3168" s="63"/>
      <c r="Y3168" s="63">
        <v>0</v>
      </c>
      <c r="Z3168" s="63"/>
      <c r="AA3168" s="63">
        <v>13</v>
      </c>
      <c r="AB3168" s="63"/>
      <c r="AC3168" s="63"/>
      <c r="AD3168" s="63"/>
      <c r="AE3168" s="63">
        <v>0</v>
      </c>
      <c r="AF3168" s="63"/>
      <c r="AG3168" s="63">
        <v>0</v>
      </c>
      <c r="AH3168" s="63"/>
      <c r="AI3168" s="63"/>
      <c r="AJ3168" s="63"/>
      <c r="AK3168" s="63"/>
      <c r="AL3168" s="63"/>
      <c r="AM3168" s="63">
        <v>0</v>
      </c>
      <c r="AN3168" s="63">
        <v>5</v>
      </c>
      <c r="AO3168" s="63"/>
      <c r="AP3168" s="63"/>
      <c r="AQ3168" s="63"/>
      <c r="AR3168" s="63"/>
      <c r="AS3168" s="63"/>
      <c r="AT3168" s="63"/>
      <c r="AU3168" s="63"/>
      <c r="AW3168" s="5">
        <f>IF(Q3168&gt;0,RANK(Q3168,(N3168:P3168,Q3168:AE3168)),0)</f>
        <v>3</v>
      </c>
      <c r="AX3168" s="5">
        <f>IF(R3168&gt;0,RANK(R3168,(N3168:P3168,Q3168:AE3168)),0)</f>
        <v>4</v>
      </c>
      <c r="AY3168" s="5">
        <f>IF(T3168&gt;0,RANK(T3168,(N3168:P3168,Q3168:AE3168)),0)</f>
        <v>8</v>
      </c>
      <c r="AZ3168" s="5">
        <f>IF(S3168&gt;0,RANK(S3168,(N3168:P3168,Q3168:AE3168)),0)</f>
        <v>5</v>
      </c>
      <c r="BA3168" s="2">
        <f t="shared" si="1245"/>
        <v>3.9631509682271103E-2</v>
      </c>
      <c r="BB3168" s="2">
        <f t="shared" si="1246"/>
        <v>7.6706147772137622E-3</v>
      </c>
      <c r="BC3168" s="2">
        <f t="shared" si="1247"/>
        <v>3.7601052829479227E-4</v>
      </c>
      <c r="BD3168" s="2">
        <f t="shared" si="1248"/>
        <v>6.4297800338409478E-3</v>
      </c>
      <c r="BF3168" t="s">
        <v>1904</v>
      </c>
      <c r="BG3168" t="s">
        <v>3002</v>
      </c>
      <c r="BH3168" s="63">
        <v>8</v>
      </c>
      <c r="BJ3168" s="114">
        <v>55</v>
      </c>
      <c r="BK3168" s="116">
        <v>15</v>
      </c>
      <c r="BL3168" s="120">
        <f t="shared" si="1225"/>
        <v>55015</v>
      </c>
      <c r="BN3168" s="5" t="s">
        <v>3154</v>
      </c>
      <c r="CB3168" s="63">
        <v>0</v>
      </c>
      <c r="CD3168" s="63">
        <v>0</v>
      </c>
      <c r="CE3168" s="63">
        <v>0</v>
      </c>
      <c r="CO3168" s="63">
        <v>9646</v>
      </c>
      <c r="CP3168" s="63">
        <v>15348</v>
      </c>
      <c r="CQ3168" s="63">
        <v>98</v>
      </c>
      <c r="CR3168" s="63">
        <v>1053</v>
      </c>
      <c r="CS3168" s="63">
        <v>204</v>
      </c>
      <c r="CT3168" s="63">
        <v>171</v>
      </c>
      <c r="CU3168" s="63">
        <v>10</v>
      </c>
      <c r="CV3168" s="63">
        <v>0</v>
      </c>
      <c r="CW3168" s="63"/>
      <c r="CX3168" s="63">
        <f t="shared" si="1250"/>
        <v>0</v>
      </c>
      <c r="CY3168" s="63"/>
      <c r="CZ3168" s="63">
        <v>0</v>
      </c>
      <c r="DA3168" s="63"/>
      <c r="DB3168" s="63">
        <v>13</v>
      </c>
      <c r="DC3168" s="63"/>
      <c r="DD3168" s="63"/>
      <c r="DE3168" s="63"/>
      <c r="DF3168" s="63">
        <v>0</v>
      </c>
      <c r="DG3168" s="63"/>
      <c r="DH3168" s="63">
        <v>0</v>
      </c>
      <c r="DI3168" s="63"/>
      <c r="DJ3168" s="63"/>
      <c r="DK3168" s="63"/>
      <c r="DL3168" s="63"/>
      <c r="DM3168" s="63"/>
      <c r="DN3168" s="63">
        <v>0</v>
      </c>
      <c r="DO3168" s="63">
        <v>3</v>
      </c>
      <c r="DQ3168" s="63">
        <v>98</v>
      </c>
      <c r="DR3168" s="63"/>
      <c r="DS3168" s="63">
        <v>6</v>
      </c>
      <c r="DT3168" s="63">
        <v>0</v>
      </c>
    </row>
    <row r="3169" spans="1:124" hidden="1" outlineLevel="1">
      <c r="A3169" t="s">
        <v>1625</v>
      </c>
      <c r="B3169" t="s">
        <v>3002</v>
      </c>
      <c r="C3169" s="1">
        <f t="shared" si="1240"/>
        <v>31568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6</v>
      </c>
      <c r="G3169" s="132">
        <f t="shared" si="1235"/>
        <v>6029</v>
      </c>
      <c r="H3169" s="137">
        <f t="shared" si="1236"/>
        <v>0.19098454130765333</v>
      </c>
      <c r="I3169" s="2"/>
      <c r="J3169" s="2">
        <f t="shared" si="1241"/>
        <v>0.37655220476431828</v>
      </c>
      <c r="K3169" s="2">
        <f t="shared" si="1242"/>
        <v>0.56753674607197158</v>
      </c>
      <c r="L3169" s="2">
        <f t="shared" si="1243"/>
        <v>2.2174353775975672E-3</v>
      </c>
      <c r="M3169" s="2">
        <f t="shared" si="1244"/>
        <v>5.3693613786112579E-2</v>
      </c>
      <c r="N3169" s="63">
        <v>11887</v>
      </c>
      <c r="O3169" s="63">
        <v>17916</v>
      </c>
      <c r="P3169" s="63">
        <v>70</v>
      </c>
      <c r="Q3169" s="63">
        <v>1219</v>
      </c>
      <c r="R3169" s="63">
        <v>264</v>
      </c>
      <c r="S3169" s="63">
        <v>175</v>
      </c>
      <c r="T3169" s="63">
        <v>10</v>
      </c>
      <c r="U3169" s="63">
        <v>0</v>
      </c>
      <c r="V3169" s="63"/>
      <c r="W3169" s="63">
        <f t="shared" si="1249"/>
        <v>4</v>
      </c>
      <c r="X3169" s="63"/>
      <c r="Y3169" s="63">
        <v>2</v>
      </c>
      <c r="Z3169" s="63"/>
      <c r="AA3169" s="63">
        <v>16</v>
      </c>
      <c r="AB3169" s="63"/>
      <c r="AC3169" s="63"/>
      <c r="AD3169" s="63"/>
      <c r="AE3169" s="63">
        <v>0</v>
      </c>
      <c r="AF3169" s="63"/>
      <c r="AG3169" s="63">
        <v>1</v>
      </c>
      <c r="AH3169" s="63"/>
      <c r="AI3169" s="63"/>
      <c r="AJ3169" s="63"/>
      <c r="AK3169" s="63"/>
      <c r="AL3169" s="63"/>
      <c r="AM3169" s="63">
        <v>0</v>
      </c>
      <c r="AN3169" s="63">
        <v>4</v>
      </c>
      <c r="AO3169" s="63"/>
      <c r="AP3169" s="63"/>
      <c r="AQ3169" s="63"/>
      <c r="AR3169" s="63"/>
      <c r="AS3169" s="63"/>
      <c r="AT3169" s="63"/>
      <c r="AU3169" s="63"/>
      <c r="AW3169" s="5">
        <f>IF(Q3169&gt;0,RANK(Q3169,(N3169:P3169,Q3169:AE3169)),0)</f>
        <v>3</v>
      </c>
      <c r="AX3169" s="5">
        <f>IF(R3169&gt;0,RANK(R3169,(N3169:P3169,Q3169:AE3169)),0)</f>
        <v>4</v>
      </c>
      <c r="AY3169" s="5">
        <f>IF(T3169&gt;0,RANK(T3169,(N3169:P3169,Q3169:AE3169)),0)</f>
        <v>8</v>
      </c>
      <c r="AZ3169" s="5">
        <f>IF(S3169&gt;0,RANK(S3169,(N3169:P3169,Q3169:AE3169)),0)</f>
        <v>5</v>
      </c>
      <c r="BA3169" s="2">
        <f t="shared" si="1245"/>
        <v>3.8615053218449061E-2</v>
      </c>
      <c r="BB3169" s="2">
        <f t="shared" si="1246"/>
        <v>8.3628991383679682E-3</v>
      </c>
      <c r="BC3169" s="2">
        <f t="shared" si="1247"/>
        <v>3.1677648251393815E-4</v>
      </c>
      <c r="BD3169" s="2">
        <f t="shared" si="1248"/>
        <v>5.5435884439939175E-3</v>
      </c>
      <c r="BF3169" t="s">
        <v>1625</v>
      </c>
      <c r="BG3169" t="s">
        <v>3002</v>
      </c>
      <c r="BH3169" s="63"/>
      <c r="BJ3169" s="114">
        <v>55</v>
      </c>
      <c r="BK3169" s="116">
        <v>17</v>
      </c>
      <c r="BL3169" s="120">
        <f t="shared" si="1225"/>
        <v>55017</v>
      </c>
      <c r="BN3169" s="5" t="s">
        <v>3154</v>
      </c>
      <c r="CB3169" s="63">
        <v>0</v>
      </c>
      <c r="CD3169" s="63">
        <v>4</v>
      </c>
      <c r="CE3169" s="63">
        <v>0</v>
      </c>
      <c r="CO3169" s="63">
        <v>11886</v>
      </c>
      <c r="CP3169" s="63">
        <v>17909</v>
      </c>
      <c r="CQ3169" s="63">
        <v>70</v>
      </c>
      <c r="CR3169" s="63">
        <v>1220</v>
      </c>
      <c r="CS3169" s="63">
        <v>264</v>
      </c>
      <c r="CT3169" s="63">
        <v>175</v>
      </c>
      <c r="CU3169" s="63">
        <v>10</v>
      </c>
      <c r="CV3169" s="63">
        <v>0</v>
      </c>
      <c r="CW3169" s="63"/>
      <c r="CX3169" s="63">
        <f t="shared" si="1250"/>
        <v>0</v>
      </c>
      <c r="CY3169" s="63"/>
      <c r="CZ3169" s="63">
        <v>2</v>
      </c>
      <c r="DA3169" s="63"/>
      <c r="DB3169" s="63">
        <v>16</v>
      </c>
      <c r="DC3169" s="63"/>
      <c r="DD3169" s="63"/>
      <c r="DE3169" s="63"/>
      <c r="DF3169" s="63">
        <v>0</v>
      </c>
      <c r="DG3169" s="63"/>
      <c r="DH3169" s="63">
        <v>1</v>
      </c>
      <c r="DI3169" s="63"/>
      <c r="DJ3169" s="63"/>
      <c r="DK3169" s="63"/>
      <c r="DL3169" s="63"/>
      <c r="DM3169" s="63"/>
      <c r="DN3169" s="63">
        <v>0</v>
      </c>
      <c r="DO3169" s="63">
        <v>4</v>
      </c>
      <c r="DQ3169" s="63">
        <v>0</v>
      </c>
      <c r="DR3169" s="63"/>
      <c r="DS3169" s="63">
        <v>4</v>
      </c>
      <c r="DT3169" s="63">
        <v>0</v>
      </c>
    </row>
    <row r="3170" spans="1:124" hidden="1" outlineLevel="1">
      <c r="A3170" t="s">
        <v>392</v>
      </c>
      <c r="B3170" t="s">
        <v>3002</v>
      </c>
      <c r="C3170" s="1">
        <f t="shared" si="1240"/>
        <v>13673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7</v>
      </c>
      <c r="G3170" s="132">
        <f t="shared" si="1235"/>
        <v>4431</v>
      </c>
      <c r="H3170" s="137">
        <f t="shared" si="1236"/>
        <v>0.32406933372339647</v>
      </c>
      <c r="I3170" s="2"/>
      <c r="J3170" s="2">
        <f t="shared" si="1241"/>
        <v>0.30871059752797486</v>
      </c>
      <c r="K3170" s="2">
        <f t="shared" si="1242"/>
        <v>0.63277993125137133</v>
      </c>
      <c r="L3170" s="2">
        <f t="shared" si="1243"/>
        <v>3.3642945951875961E-3</v>
      </c>
      <c r="M3170" s="2">
        <f t="shared" si="1244"/>
        <v>5.5145176625466155E-2</v>
      </c>
      <c r="N3170" s="63">
        <v>4221</v>
      </c>
      <c r="O3170" s="63">
        <v>8652</v>
      </c>
      <c r="P3170" s="63">
        <v>46</v>
      </c>
      <c r="Q3170" s="63">
        <v>455</v>
      </c>
      <c r="R3170" s="63">
        <v>109</v>
      </c>
      <c r="S3170" s="63">
        <v>97</v>
      </c>
      <c r="T3170" s="63">
        <v>9</v>
      </c>
      <c r="U3170" s="63">
        <v>0</v>
      </c>
      <c r="V3170" s="63"/>
      <c r="W3170" s="63">
        <f t="shared" si="1249"/>
        <v>66</v>
      </c>
      <c r="X3170" s="63"/>
      <c r="Y3170" s="63">
        <v>0</v>
      </c>
      <c r="Z3170" s="63"/>
      <c r="AA3170" s="63">
        <v>18</v>
      </c>
      <c r="AB3170" s="63"/>
      <c r="AC3170" s="63"/>
      <c r="AD3170" s="63"/>
      <c r="AE3170" s="63">
        <v>0</v>
      </c>
      <c r="AF3170" s="63"/>
      <c r="AG3170" s="63">
        <v>0</v>
      </c>
      <c r="AH3170" s="63"/>
      <c r="AI3170" s="63"/>
      <c r="AJ3170" s="63"/>
      <c r="AK3170" s="63"/>
      <c r="AL3170" s="63"/>
      <c r="AM3170" s="63">
        <v>0</v>
      </c>
      <c r="AN3170" s="63">
        <v>0</v>
      </c>
      <c r="AO3170" s="63"/>
      <c r="AP3170" s="63"/>
      <c r="AQ3170" s="63"/>
      <c r="AR3170" s="63"/>
      <c r="AS3170" s="63"/>
      <c r="AT3170" s="63"/>
      <c r="AU3170" s="63"/>
      <c r="AW3170" s="5">
        <f>IF(Q3170&gt;0,RANK(Q3170,(N3170:P3170,Q3170:AE3170)),0)</f>
        <v>3</v>
      </c>
      <c r="AX3170" s="5">
        <f>IF(R3170&gt;0,RANK(R3170,(N3170:P3170,Q3170:AE3170)),0)</f>
        <v>4</v>
      </c>
      <c r="AY3170" s="5">
        <f>IF(T3170&gt;0,RANK(T3170,(N3170:P3170,Q3170:AE3170)),0)</f>
        <v>9</v>
      </c>
      <c r="AZ3170" s="5">
        <f>IF(S3170&gt;0,RANK(S3170,(N3170:P3170,Q3170:AE3170)),0)</f>
        <v>5</v>
      </c>
      <c r="BA3170" s="2">
        <f t="shared" si="1245"/>
        <v>3.3277261756746876E-2</v>
      </c>
      <c r="BB3170" s="2">
        <f t="shared" si="1246"/>
        <v>7.9719154538140866E-3</v>
      </c>
      <c r="BC3170" s="2">
        <f t="shared" si="1247"/>
        <v>6.5823155123235578E-4</v>
      </c>
      <c r="BD3170" s="2">
        <f t="shared" si="1248"/>
        <v>7.0942733855042786E-3</v>
      </c>
      <c r="BF3170" t="s">
        <v>392</v>
      </c>
      <c r="BG3170" t="s">
        <v>3002</v>
      </c>
      <c r="BH3170" s="63">
        <v>7</v>
      </c>
      <c r="BJ3170" s="114">
        <v>55</v>
      </c>
      <c r="BK3170" s="116">
        <v>19</v>
      </c>
      <c r="BL3170" s="120">
        <f t="shared" si="1225"/>
        <v>55019</v>
      </c>
      <c r="BN3170" s="5" t="s">
        <v>3154</v>
      </c>
      <c r="CB3170" s="63">
        <v>66</v>
      </c>
      <c r="CD3170" s="63">
        <v>0</v>
      </c>
      <c r="CE3170" s="63">
        <v>0</v>
      </c>
      <c r="CO3170" s="63">
        <v>4227</v>
      </c>
      <c r="CP3170" s="63">
        <v>8646</v>
      </c>
      <c r="CQ3170" s="63">
        <v>34</v>
      </c>
      <c r="CR3170" s="63">
        <v>455</v>
      </c>
      <c r="CS3170" s="63">
        <v>109</v>
      </c>
      <c r="CT3170" s="63">
        <v>98</v>
      </c>
      <c r="CU3170" s="63">
        <v>9</v>
      </c>
      <c r="CV3170" s="63">
        <v>0</v>
      </c>
      <c r="CW3170" s="63"/>
      <c r="CX3170" s="63">
        <f t="shared" si="1250"/>
        <v>0</v>
      </c>
      <c r="CY3170" s="63"/>
      <c r="CZ3170" s="63">
        <v>0</v>
      </c>
      <c r="DA3170" s="63"/>
      <c r="DB3170" s="63">
        <v>18</v>
      </c>
      <c r="DC3170" s="63"/>
      <c r="DD3170" s="63"/>
      <c r="DE3170" s="63"/>
      <c r="DF3170" s="63">
        <v>0</v>
      </c>
      <c r="DG3170" s="63"/>
      <c r="DH3170" s="63">
        <v>0</v>
      </c>
      <c r="DI3170" s="63"/>
      <c r="DJ3170" s="63"/>
      <c r="DK3170" s="63"/>
      <c r="DL3170" s="63"/>
      <c r="DM3170" s="63"/>
      <c r="DN3170" s="63">
        <v>0</v>
      </c>
      <c r="DO3170" s="63">
        <v>0</v>
      </c>
      <c r="DQ3170" s="63">
        <v>0</v>
      </c>
      <c r="DR3170" s="63"/>
      <c r="DS3170" s="63">
        <v>0</v>
      </c>
      <c r="DT3170" s="63">
        <v>0</v>
      </c>
    </row>
    <row r="3171" spans="1:124" hidden="1" outlineLevel="1">
      <c r="A3171" t="s">
        <v>1496</v>
      </c>
      <c r="B3171" t="s">
        <v>3002</v>
      </c>
      <c r="C3171" s="1">
        <f t="shared" si="1240"/>
        <v>29698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7</v>
      </c>
      <c r="G3171" s="132">
        <f t="shared" si="1235"/>
        <v>635</v>
      </c>
      <c r="H3171" s="137">
        <f t="shared" si="1236"/>
        <v>2.138191123981413E-2</v>
      </c>
      <c r="I3171" s="2"/>
      <c r="J3171" s="2">
        <f t="shared" si="1241"/>
        <v>0.45551889016095359</v>
      </c>
      <c r="K3171" s="2">
        <f t="shared" si="1242"/>
        <v>0.47690080140076774</v>
      </c>
      <c r="L3171" s="2">
        <f t="shared" si="1243"/>
        <v>3.6366085258266552E-3</v>
      </c>
      <c r="M3171" s="2">
        <f t="shared" si="1244"/>
        <v>6.3943699912452009E-2</v>
      </c>
      <c r="N3171" s="63">
        <v>13528</v>
      </c>
      <c r="O3171" s="63">
        <v>14163</v>
      </c>
      <c r="P3171" s="63">
        <v>108</v>
      </c>
      <c r="Q3171" s="63">
        <v>1092</v>
      </c>
      <c r="R3171" s="63">
        <v>346</v>
      </c>
      <c r="S3171" s="63">
        <v>138</v>
      </c>
      <c r="T3171" s="63">
        <v>10</v>
      </c>
      <c r="U3171" s="63">
        <v>0</v>
      </c>
      <c r="V3171" s="63"/>
      <c r="W3171" s="63">
        <f t="shared" si="1249"/>
        <v>291</v>
      </c>
      <c r="X3171" s="63"/>
      <c r="Y3171" s="63">
        <v>3</v>
      </c>
      <c r="Z3171" s="63"/>
      <c r="AA3171" s="63">
        <v>15</v>
      </c>
      <c r="AB3171" s="63"/>
      <c r="AC3171" s="63"/>
      <c r="AD3171" s="63"/>
      <c r="AE3171" s="63">
        <v>0</v>
      </c>
      <c r="AF3171" s="63"/>
      <c r="AG3171" s="63">
        <v>2</v>
      </c>
      <c r="AH3171" s="63"/>
      <c r="AI3171" s="63"/>
      <c r="AJ3171" s="63"/>
      <c r="AK3171" s="63"/>
      <c r="AL3171" s="63"/>
      <c r="AM3171" s="63">
        <v>0</v>
      </c>
      <c r="AN3171" s="63">
        <v>2</v>
      </c>
      <c r="AO3171" s="63"/>
      <c r="AP3171" s="63"/>
      <c r="AQ3171" s="63"/>
      <c r="AR3171" s="63"/>
      <c r="AS3171" s="63"/>
      <c r="AT3171" s="63"/>
      <c r="AU3171" s="63"/>
      <c r="AW3171" s="5">
        <f>IF(Q3171&gt;0,RANK(Q3171,(N3171:P3171,Q3171:AE3171)),0)</f>
        <v>3</v>
      </c>
      <c r="AX3171" s="5">
        <f>IF(R3171&gt;0,RANK(R3171,(N3171:P3171,Q3171:AE3171)),0)</f>
        <v>4</v>
      </c>
      <c r="AY3171" s="5">
        <f>IF(T3171&gt;0,RANK(T3171,(N3171:P3171,Q3171:AE3171)),0)</f>
        <v>9</v>
      </c>
      <c r="AZ3171" s="5">
        <f>IF(S3171&gt;0,RANK(S3171,(N3171:P3171,Q3171:AE3171)),0)</f>
        <v>6</v>
      </c>
      <c r="BA3171" s="2">
        <f t="shared" si="1245"/>
        <v>3.6770152872247289E-2</v>
      </c>
      <c r="BB3171" s="2">
        <f t="shared" si="1246"/>
        <v>1.165061620311132E-2</v>
      </c>
      <c r="BC3171" s="2">
        <f t="shared" si="1247"/>
        <v>3.3672301165061622E-4</v>
      </c>
      <c r="BD3171" s="2">
        <f t="shared" si="1248"/>
        <v>4.6467775607785039E-3</v>
      </c>
      <c r="BF3171" t="s">
        <v>1496</v>
      </c>
      <c r="BG3171" t="s">
        <v>3002</v>
      </c>
      <c r="BH3171" s="63">
        <v>6</v>
      </c>
      <c r="BJ3171" s="114">
        <v>55</v>
      </c>
      <c r="BK3171" s="116">
        <v>21</v>
      </c>
      <c r="BL3171" s="120">
        <f t="shared" si="1225"/>
        <v>55021</v>
      </c>
      <c r="BN3171" s="5" t="s">
        <v>3154</v>
      </c>
      <c r="CB3171" s="63">
        <v>291</v>
      </c>
      <c r="CD3171" s="63">
        <v>0</v>
      </c>
      <c r="CE3171" s="63">
        <v>0</v>
      </c>
      <c r="CO3171" s="63">
        <v>13526</v>
      </c>
      <c r="CP3171" s="63">
        <v>14160</v>
      </c>
      <c r="CQ3171" s="63">
        <v>96</v>
      </c>
      <c r="CR3171" s="63">
        <v>1092</v>
      </c>
      <c r="CS3171" s="63">
        <v>347</v>
      </c>
      <c r="CT3171" s="63">
        <v>138</v>
      </c>
      <c r="CU3171" s="63">
        <v>10</v>
      </c>
      <c r="CV3171" s="63">
        <v>0</v>
      </c>
      <c r="CW3171" s="63"/>
      <c r="CX3171" s="63">
        <f t="shared" si="1250"/>
        <v>0</v>
      </c>
      <c r="CY3171" s="63"/>
      <c r="CZ3171" s="63">
        <v>2</v>
      </c>
      <c r="DA3171" s="63"/>
      <c r="DB3171" s="63">
        <v>15</v>
      </c>
      <c r="DC3171" s="63"/>
      <c r="DD3171" s="63"/>
      <c r="DE3171" s="63"/>
      <c r="DF3171" s="63">
        <v>0</v>
      </c>
      <c r="DG3171" s="63"/>
      <c r="DH3171" s="63">
        <v>2</v>
      </c>
      <c r="DI3171" s="63"/>
      <c r="DJ3171" s="63"/>
      <c r="DK3171" s="63"/>
      <c r="DL3171" s="63"/>
      <c r="DM3171" s="63"/>
      <c r="DN3171" s="63">
        <v>0</v>
      </c>
      <c r="DO3171" s="63">
        <v>1</v>
      </c>
      <c r="DQ3171" s="63">
        <v>382</v>
      </c>
      <c r="DR3171" s="63"/>
      <c r="DS3171" s="63">
        <v>0</v>
      </c>
      <c r="DT3171" s="63">
        <v>0</v>
      </c>
    </row>
    <row r="3172" spans="1:124" hidden="1" outlineLevel="1">
      <c r="A3172" t="s">
        <v>1875</v>
      </c>
      <c r="B3172" t="s">
        <v>3002</v>
      </c>
      <c r="C3172" s="1">
        <f t="shared" si="1240"/>
        <v>7728</v>
      </c>
      <c r="D3172" s="5">
        <f>IF(N3172&gt;0, RANK(N3172,(N3172:P3172,Q3172:AE3172)),0)</f>
        <v>2</v>
      </c>
      <c r="E3172" s="5">
        <f>IF(O3172&gt;0,RANK(O3172,(N3172:P3172,Q3172:AE3172)),0)</f>
        <v>1</v>
      </c>
      <c r="F3172" s="5">
        <f>IF(P3172&gt;0,RANK(P3172,(N3172:P3172,Q3172:AE3172)),0)</f>
        <v>7</v>
      </c>
      <c r="G3172" s="132">
        <f t="shared" si="1235"/>
        <v>417</v>
      </c>
      <c r="H3172" s="137">
        <f t="shared" si="1236"/>
        <v>5.3959627329192544E-2</v>
      </c>
      <c r="I3172" s="2"/>
      <c r="J3172" s="2">
        <f t="shared" si="1241"/>
        <v>0.44241718426501037</v>
      </c>
      <c r="K3172" s="2">
        <f t="shared" si="1242"/>
        <v>0.49637681159420288</v>
      </c>
      <c r="L3172" s="2">
        <f t="shared" si="1243"/>
        <v>2.717391304347826E-3</v>
      </c>
      <c r="M3172" s="2">
        <f t="shared" si="1244"/>
        <v>5.8488612836438872E-2</v>
      </c>
      <c r="N3172" s="63">
        <v>3419</v>
      </c>
      <c r="O3172" s="63">
        <v>3836</v>
      </c>
      <c r="P3172" s="63">
        <v>21</v>
      </c>
      <c r="Q3172" s="63">
        <v>277</v>
      </c>
      <c r="R3172" s="63">
        <v>73</v>
      </c>
      <c r="S3172" s="63">
        <v>45</v>
      </c>
      <c r="T3172" s="63">
        <v>4</v>
      </c>
      <c r="U3172" s="63">
        <v>0</v>
      </c>
      <c r="V3172" s="63"/>
      <c r="W3172" s="63">
        <f t="shared" si="1249"/>
        <v>43</v>
      </c>
      <c r="X3172" s="63"/>
      <c r="Y3172" s="63">
        <v>0</v>
      </c>
      <c r="Z3172" s="63"/>
      <c r="AA3172" s="63">
        <v>8</v>
      </c>
      <c r="AB3172" s="63"/>
      <c r="AC3172" s="63"/>
      <c r="AD3172" s="63"/>
      <c r="AE3172" s="63">
        <v>0</v>
      </c>
      <c r="AF3172" s="63"/>
      <c r="AG3172" s="63">
        <v>0</v>
      </c>
      <c r="AH3172" s="63"/>
      <c r="AI3172" s="63"/>
      <c r="AJ3172" s="63"/>
      <c r="AK3172" s="63"/>
      <c r="AL3172" s="63"/>
      <c r="AM3172" s="63">
        <v>0</v>
      </c>
      <c r="AN3172" s="63">
        <v>2</v>
      </c>
      <c r="AO3172" s="63"/>
      <c r="AP3172" s="63"/>
      <c r="AQ3172" s="63"/>
      <c r="AR3172" s="63"/>
      <c r="AS3172" s="63"/>
      <c r="AT3172" s="63"/>
      <c r="AU3172" s="63"/>
      <c r="AW3172" s="5">
        <f>IF(Q3172&gt;0,RANK(Q3172,(N3172:P3172,Q3172:AE3172)),0)</f>
        <v>3</v>
      </c>
      <c r="AX3172" s="5">
        <f>IF(R3172&gt;0,RANK(R3172,(N3172:P3172,Q3172:AE3172)),0)</f>
        <v>4</v>
      </c>
      <c r="AY3172" s="5">
        <f>IF(T3172&gt;0,RANK(T3172,(N3172:P3172,Q3172:AE3172)),0)</f>
        <v>9</v>
      </c>
      <c r="AZ3172" s="5">
        <f>IF(S3172&gt;0,RANK(S3172,(N3172:P3172,Q3172:AE3172)),0)</f>
        <v>5</v>
      </c>
      <c r="BA3172" s="2">
        <f t="shared" si="1245"/>
        <v>3.584368530020704E-2</v>
      </c>
      <c r="BB3172" s="2">
        <f t="shared" si="1246"/>
        <v>9.4461697722567281E-3</v>
      </c>
      <c r="BC3172" s="2">
        <f t="shared" si="1247"/>
        <v>5.1759834368530024E-4</v>
      </c>
      <c r="BD3172" s="2">
        <f t="shared" si="1248"/>
        <v>5.822981366459627E-3</v>
      </c>
      <c r="BF3172" t="s">
        <v>1875</v>
      </c>
      <c r="BG3172" t="s">
        <v>3002</v>
      </c>
      <c r="BH3172" s="63">
        <v>3</v>
      </c>
      <c r="BJ3172" s="114">
        <v>55</v>
      </c>
      <c r="BK3172" s="116">
        <v>23</v>
      </c>
      <c r="BL3172" s="120">
        <f t="shared" si="1225"/>
        <v>55023</v>
      </c>
      <c r="BN3172" s="5" t="s">
        <v>3154</v>
      </c>
      <c r="CB3172" s="63">
        <v>43</v>
      </c>
      <c r="CD3172" s="63">
        <v>0</v>
      </c>
      <c r="CE3172" s="63">
        <v>0</v>
      </c>
      <c r="CO3172" s="63">
        <v>3425</v>
      </c>
      <c r="CP3172" s="63">
        <v>3844</v>
      </c>
      <c r="CQ3172" s="63">
        <v>21</v>
      </c>
      <c r="CR3172" s="63">
        <v>277</v>
      </c>
      <c r="CS3172" s="63">
        <v>73</v>
      </c>
      <c r="CT3172" s="63">
        <v>45</v>
      </c>
      <c r="CU3172" s="63">
        <v>6</v>
      </c>
      <c r="CV3172" s="63">
        <v>0</v>
      </c>
      <c r="CW3172" s="63"/>
      <c r="CX3172" s="63">
        <f t="shared" si="1250"/>
        <v>0</v>
      </c>
      <c r="CY3172" s="63"/>
      <c r="CZ3172" s="63">
        <v>0</v>
      </c>
      <c r="DA3172" s="63"/>
      <c r="DB3172" s="63">
        <v>8</v>
      </c>
      <c r="DC3172" s="63"/>
      <c r="DD3172" s="63"/>
      <c r="DE3172" s="63"/>
      <c r="DF3172" s="63">
        <v>0</v>
      </c>
      <c r="DG3172" s="63"/>
      <c r="DH3172" s="63">
        <v>0</v>
      </c>
      <c r="DI3172" s="63"/>
      <c r="DJ3172" s="63"/>
      <c r="DK3172" s="63"/>
      <c r="DL3172" s="63"/>
      <c r="DM3172" s="63"/>
      <c r="DN3172" s="63">
        <v>0</v>
      </c>
      <c r="DO3172" s="63">
        <v>2</v>
      </c>
      <c r="DQ3172" s="63">
        <v>43</v>
      </c>
      <c r="DR3172" s="63"/>
      <c r="DS3172" s="63">
        <v>0</v>
      </c>
      <c r="DT3172" s="63">
        <v>0</v>
      </c>
    </row>
    <row r="3173" spans="1:124" hidden="1" outlineLevel="1">
      <c r="A3173" t="s">
        <v>2074</v>
      </c>
      <c r="B3173" t="s">
        <v>3002</v>
      </c>
      <c r="C3173" s="1">
        <f t="shared" si="1240"/>
        <v>309354</v>
      </c>
      <c r="D3173" s="5">
        <f>IF(N3173&gt;0, RANK(N3173,(N3173:P3173,Q3173:AE3173)),0)</f>
        <v>1</v>
      </c>
      <c r="E3173" s="5">
        <f>IF(O3173&gt;0,RANK(O3173,(N3173:P3173,Q3173:AE3173)),0)</f>
        <v>2</v>
      </c>
      <c r="F3173" s="5">
        <f>IF(P3173&gt;0,RANK(P3173,(N3173:P3173,Q3173:AE3173)),0)</f>
        <v>6</v>
      </c>
      <c r="G3173" s="132">
        <f t="shared" si="1235"/>
        <v>146422</v>
      </c>
      <c r="H3173" s="137">
        <f t="shared" si="1236"/>
        <v>0.47331536039618044</v>
      </c>
      <c r="I3173" s="2"/>
      <c r="J3173" s="2">
        <f t="shared" si="1241"/>
        <v>0.70371483801728762</v>
      </c>
      <c r="K3173" s="2">
        <f t="shared" si="1242"/>
        <v>0.23039947762110721</v>
      </c>
      <c r="L3173" s="2">
        <f t="shared" si="1243"/>
        <v>3.0482877221564937E-3</v>
      </c>
      <c r="M3173" s="2">
        <f t="shared" si="1244"/>
        <v>6.2837396639448664E-2</v>
      </c>
      <c r="N3173" s="63">
        <v>217697</v>
      </c>
      <c r="O3173" s="63">
        <v>71275</v>
      </c>
      <c r="P3173" s="63">
        <v>943</v>
      </c>
      <c r="Q3173" s="63">
        <v>10541</v>
      </c>
      <c r="R3173" s="63">
        <v>4316</v>
      </c>
      <c r="S3173" s="63">
        <v>781</v>
      </c>
      <c r="T3173" s="63">
        <v>139</v>
      </c>
      <c r="U3173" s="63">
        <v>12</v>
      </c>
      <c r="V3173" s="63"/>
      <c r="W3173" s="63">
        <f t="shared" si="1249"/>
        <v>3423</v>
      </c>
      <c r="X3173" s="63"/>
      <c r="Y3173" s="63">
        <v>1</v>
      </c>
      <c r="Z3173" s="63"/>
      <c r="AA3173" s="63">
        <v>175</v>
      </c>
      <c r="AB3173" s="63"/>
      <c r="AC3173" s="63"/>
      <c r="AD3173" s="63"/>
      <c r="AE3173" s="63">
        <v>1</v>
      </c>
      <c r="AF3173" s="63"/>
      <c r="AG3173" s="63">
        <v>7</v>
      </c>
      <c r="AH3173" s="63"/>
      <c r="AI3173" s="63"/>
      <c r="AJ3173" s="63"/>
      <c r="AK3173" s="63"/>
      <c r="AL3173" s="63"/>
      <c r="AM3173" s="63">
        <v>0</v>
      </c>
      <c r="AN3173" s="63">
        <v>43</v>
      </c>
      <c r="AO3173" s="63"/>
      <c r="AP3173" s="63"/>
      <c r="AQ3173" s="63"/>
      <c r="AR3173" s="63"/>
      <c r="AS3173" s="63"/>
      <c r="AT3173" s="63"/>
      <c r="AU3173" s="63"/>
      <c r="AW3173" s="5">
        <f>IF(Q3173&gt;0,RANK(Q3173,(N3173:P3173,Q3173:AE3173)),0)</f>
        <v>3</v>
      </c>
      <c r="AX3173" s="5">
        <f>IF(R3173&gt;0,RANK(R3173,(N3173:P3173,Q3173:AE3173)),0)</f>
        <v>4</v>
      </c>
      <c r="AY3173" s="5">
        <f>IF(T3173&gt;0,RANK(T3173,(N3173:P3173,Q3173:AE3173)),0)</f>
        <v>9</v>
      </c>
      <c r="AZ3173" s="5">
        <f>IF(S3173&gt;0,RANK(S3173,(N3173:P3173,Q3173:AE3173)),0)</f>
        <v>7</v>
      </c>
      <c r="BA3173" s="2">
        <f t="shared" si="1245"/>
        <v>3.4074232109492682E-2</v>
      </c>
      <c r="BB3173" s="2">
        <f t="shared" si="1246"/>
        <v>1.3951654092075745E-2</v>
      </c>
      <c r="BC3173" s="2">
        <f t="shared" si="1247"/>
        <v>4.4932342882264331E-4</v>
      </c>
      <c r="BD3173" s="2">
        <f t="shared" si="1248"/>
        <v>2.5246158123056433E-3</v>
      </c>
      <c r="BF3173" t="s">
        <v>2074</v>
      </c>
      <c r="BG3173" t="s">
        <v>3002</v>
      </c>
      <c r="BH3173" s="63">
        <v>2</v>
      </c>
      <c r="BJ3173" s="114">
        <v>55</v>
      </c>
      <c r="BK3173" s="116">
        <v>25</v>
      </c>
      <c r="BL3173" s="120">
        <f t="shared" si="1225"/>
        <v>55025</v>
      </c>
      <c r="BN3173" s="5" t="s">
        <v>3154</v>
      </c>
      <c r="CB3173" s="63">
        <v>3402</v>
      </c>
      <c r="CD3173" s="63">
        <v>21</v>
      </c>
      <c r="CE3173" s="63">
        <v>0</v>
      </c>
      <c r="CO3173" s="63">
        <v>217526</v>
      </c>
      <c r="CP3173" s="63">
        <v>71279</v>
      </c>
      <c r="CQ3173" s="63">
        <v>834</v>
      </c>
      <c r="CR3173" s="63">
        <v>10544</v>
      </c>
      <c r="CS3173" s="63">
        <v>4314</v>
      </c>
      <c r="CT3173" s="63">
        <v>781</v>
      </c>
      <c r="CU3173" s="63">
        <v>139</v>
      </c>
      <c r="CV3173" s="63">
        <v>11</v>
      </c>
      <c r="CW3173" s="63"/>
      <c r="CX3173" s="63">
        <f t="shared" si="1250"/>
        <v>0</v>
      </c>
      <c r="CY3173" s="63"/>
      <c r="CZ3173" s="63">
        <v>2</v>
      </c>
      <c r="DA3173" s="63"/>
      <c r="DB3173" s="63">
        <v>175</v>
      </c>
      <c r="DC3173" s="63"/>
      <c r="DD3173" s="63"/>
      <c r="DE3173" s="63"/>
      <c r="DF3173" s="63">
        <v>1</v>
      </c>
      <c r="DG3173" s="63"/>
      <c r="DH3173" s="63">
        <v>4</v>
      </c>
      <c r="DI3173" s="63"/>
      <c r="DJ3173" s="63"/>
      <c r="DK3173" s="63"/>
      <c r="DL3173" s="63"/>
      <c r="DM3173" s="63"/>
      <c r="DN3173" s="63">
        <v>0</v>
      </c>
      <c r="DO3173" s="63">
        <v>40</v>
      </c>
      <c r="DQ3173" s="63">
        <v>4367</v>
      </c>
      <c r="DR3173" s="63"/>
      <c r="DS3173" s="63">
        <v>0</v>
      </c>
      <c r="DT3173" s="63">
        <v>0</v>
      </c>
    </row>
    <row r="3174" spans="1:124" hidden="1" outlineLevel="1">
      <c r="A3174" t="s">
        <v>3139</v>
      </c>
      <c r="B3174" t="s">
        <v>3002</v>
      </c>
      <c r="C3174" s="1">
        <f t="shared" si="1240"/>
        <v>43078</v>
      </c>
      <c r="D3174" s="5">
        <f>IF(N3174&gt;0, RANK(N3174,(N3174:P3174,Q3174:AE3174)),0)</f>
        <v>2</v>
      </c>
      <c r="E3174" s="5">
        <f>IF(O3174&gt;0,RANK(O3174,(N3174:P3174,Q3174:AE3174)),0)</f>
        <v>1</v>
      </c>
      <c r="F3174" s="5">
        <f>IF(P3174&gt;0,RANK(P3174,(N3174:P3174,Q3174:AE3174)),0)</f>
        <v>5</v>
      </c>
      <c r="G3174" s="132">
        <f t="shared" si="1235"/>
        <v>12667</v>
      </c>
      <c r="H3174" s="137">
        <f t="shared" si="1236"/>
        <v>0.29404800594270858</v>
      </c>
      <c r="I3174" s="2"/>
      <c r="J3174" s="2">
        <f t="shared" si="1241"/>
        <v>0.32424903663122706</v>
      </c>
      <c r="K3174" s="2">
        <f t="shared" si="1242"/>
        <v>0.6182970425739357</v>
      </c>
      <c r="L3174" s="2">
        <f t="shared" si="1243"/>
        <v>6.1052045127443239E-3</v>
      </c>
      <c r="M3174" s="2">
        <f t="shared" si="1244"/>
        <v>5.1348716282092921E-2</v>
      </c>
      <c r="N3174" s="63">
        <v>13968</v>
      </c>
      <c r="O3174" s="63">
        <v>26635</v>
      </c>
      <c r="P3174" s="63">
        <v>263</v>
      </c>
      <c r="Q3174" s="63">
        <v>1538</v>
      </c>
      <c r="R3174" s="63">
        <v>361</v>
      </c>
      <c r="S3174" s="63">
        <v>255</v>
      </c>
      <c r="T3174" s="63">
        <v>22</v>
      </c>
      <c r="U3174" s="63">
        <v>0</v>
      </c>
      <c r="V3174" s="63"/>
      <c r="W3174" s="63">
        <f t="shared" si="1249"/>
        <v>0</v>
      </c>
      <c r="X3174" s="63"/>
      <c r="Y3174" s="63">
        <v>1</v>
      </c>
      <c r="Z3174" s="63"/>
      <c r="AA3174" s="63">
        <v>30</v>
      </c>
      <c r="AB3174" s="63"/>
      <c r="AC3174" s="63"/>
      <c r="AD3174" s="63"/>
      <c r="AE3174" s="63">
        <v>0</v>
      </c>
      <c r="AF3174" s="63"/>
      <c r="AG3174" s="63">
        <v>4</v>
      </c>
      <c r="AH3174" s="63"/>
      <c r="AI3174" s="63"/>
      <c r="AJ3174" s="63"/>
      <c r="AK3174" s="63"/>
      <c r="AL3174" s="63"/>
      <c r="AM3174" s="63">
        <v>0</v>
      </c>
      <c r="AN3174" s="63">
        <v>1</v>
      </c>
      <c r="AO3174" s="63"/>
      <c r="AP3174" s="63"/>
      <c r="AQ3174" s="63"/>
      <c r="AR3174" s="63"/>
      <c r="AS3174" s="63"/>
      <c r="AT3174" s="63"/>
      <c r="AU3174" s="63"/>
      <c r="AW3174" s="5">
        <f>IF(Q3174&gt;0,RANK(Q3174,(N3174:P3174,Q3174:AE3174)),0)</f>
        <v>3</v>
      </c>
      <c r="AX3174" s="5">
        <f>IF(R3174&gt;0,RANK(R3174,(N3174:P3174,Q3174:AE3174)),0)</f>
        <v>4</v>
      </c>
      <c r="AY3174" s="5">
        <f>IF(T3174&gt;0,RANK(T3174,(N3174:P3174,Q3174:AE3174)),0)</f>
        <v>8</v>
      </c>
      <c r="AZ3174" s="5">
        <f>IF(S3174&gt;0,RANK(S3174,(N3174:P3174,Q3174:AE3174)),0)</f>
        <v>6</v>
      </c>
      <c r="BA3174" s="2">
        <f t="shared" si="1245"/>
        <v>3.570267886159989E-2</v>
      </c>
      <c r="BB3174" s="2">
        <f t="shared" si="1246"/>
        <v>8.3801476391661637E-3</v>
      </c>
      <c r="BC3174" s="2">
        <f t="shared" si="1247"/>
        <v>5.1070151817633129E-4</v>
      </c>
      <c r="BD3174" s="2">
        <f t="shared" si="1248"/>
        <v>5.9194948697711127E-3</v>
      </c>
      <c r="BF3174" t="s">
        <v>3139</v>
      </c>
      <c r="BG3174" t="s">
        <v>3002</v>
      </c>
      <c r="BH3174" s="63"/>
      <c r="BJ3174" s="114">
        <v>55</v>
      </c>
      <c r="BK3174" s="116">
        <v>27</v>
      </c>
      <c r="BL3174" s="120">
        <f t="shared" si="1225"/>
        <v>55027</v>
      </c>
      <c r="BN3174" s="5" t="s">
        <v>3154</v>
      </c>
      <c r="CB3174" s="63">
        <v>0</v>
      </c>
      <c r="CD3174" s="63">
        <v>0</v>
      </c>
      <c r="CE3174" s="63">
        <v>0</v>
      </c>
      <c r="CO3174" s="63">
        <v>13968</v>
      </c>
      <c r="CP3174" s="63">
        <v>26643</v>
      </c>
      <c r="CQ3174" s="63">
        <v>242</v>
      </c>
      <c r="CR3174" s="63">
        <v>1539</v>
      </c>
      <c r="CS3174" s="63">
        <v>361</v>
      </c>
      <c r="CT3174" s="63">
        <v>255</v>
      </c>
      <c r="CU3174" s="63">
        <v>22</v>
      </c>
      <c r="CV3174" s="63">
        <v>0</v>
      </c>
      <c r="CW3174" s="63"/>
      <c r="CX3174" s="63">
        <f t="shared" si="1250"/>
        <v>0</v>
      </c>
      <c r="CY3174" s="63"/>
      <c r="CZ3174" s="63">
        <v>1</v>
      </c>
      <c r="DA3174" s="63"/>
      <c r="DB3174" s="63">
        <v>30</v>
      </c>
      <c r="DC3174" s="63"/>
      <c r="DD3174" s="63"/>
      <c r="DE3174" s="63"/>
      <c r="DF3174" s="63">
        <v>0</v>
      </c>
      <c r="DG3174" s="63"/>
      <c r="DH3174" s="63">
        <v>3</v>
      </c>
      <c r="DI3174" s="63"/>
      <c r="DJ3174" s="63"/>
      <c r="DK3174" s="63"/>
      <c r="DL3174" s="63"/>
      <c r="DM3174" s="63"/>
      <c r="DN3174" s="63">
        <v>0</v>
      </c>
      <c r="DO3174" s="63">
        <v>1</v>
      </c>
      <c r="DQ3174" s="63">
        <v>0</v>
      </c>
      <c r="DR3174" s="63"/>
      <c r="DS3174" s="63">
        <v>0</v>
      </c>
      <c r="DT3174" s="63">
        <v>0</v>
      </c>
    </row>
    <row r="3175" spans="1:124" hidden="1" outlineLevel="1">
      <c r="A3175" t="s">
        <v>1454</v>
      </c>
      <c r="B3175" t="s">
        <v>3002</v>
      </c>
      <c r="C3175" s="1">
        <f t="shared" si="1240"/>
        <v>17592</v>
      </c>
      <c r="D3175" s="5">
        <f>IF(N3175&gt;0, RANK(N3175,(N3175:P3175,Q3175:AE3175)),0)</f>
        <v>2</v>
      </c>
      <c r="E3175" s="5">
        <f>IF(O3175&gt;0,RANK(O3175,(N3175:P3175,Q3175:AE3175)),0)</f>
        <v>1</v>
      </c>
      <c r="F3175" s="5">
        <f>IF(P3175&gt;0,RANK(P3175,(N3175:P3175,Q3175:AE3175)),0)</f>
        <v>7</v>
      </c>
      <c r="G3175" s="132">
        <f t="shared" si="1235"/>
        <v>566</v>
      </c>
      <c r="H3175" s="137">
        <f t="shared" si="1236"/>
        <v>3.2173715325147796E-2</v>
      </c>
      <c r="I3175" s="2"/>
      <c r="J3175" s="2">
        <f t="shared" si="1241"/>
        <v>0.45554797635288768</v>
      </c>
      <c r="K3175" s="2">
        <f t="shared" si="1242"/>
        <v>0.48772169167803547</v>
      </c>
      <c r="L3175" s="2">
        <f t="shared" si="1243"/>
        <v>3.2401091405184173E-3</v>
      </c>
      <c r="M3175" s="2">
        <f t="shared" si="1244"/>
        <v>5.3490222828558427E-2</v>
      </c>
      <c r="N3175" s="63">
        <v>8014</v>
      </c>
      <c r="O3175" s="63">
        <v>8580</v>
      </c>
      <c r="P3175" s="63">
        <v>57</v>
      </c>
      <c r="Q3175" s="63">
        <v>558</v>
      </c>
      <c r="R3175" s="63">
        <v>145</v>
      </c>
      <c r="S3175" s="63">
        <v>62</v>
      </c>
      <c r="T3175" s="63">
        <v>9</v>
      </c>
      <c r="U3175" s="63">
        <v>0</v>
      </c>
      <c r="V3175" s="63"/>
      <c r="W3175" s="63">
        <f t="shared" si="1249"/>
        <v>149</v>
      </c>
      <c r="X3175" s="63"/>
      <c r="Y3175" s="63">
        <v>0</v>
      </c>
      <c r="Z3175" s="63"/>
      <c r="AA3175" s="63">
        <v>14</v>
      </c>
      <c r="AB3175" s="63"/>
      <c r="AC3175" s="63"/>
      <c r="AD3175" s="63"/>
      <c r="AE3175" s="63">
        <v>0</v>
      </c>
      <c r="AF3175" s="63"/>
      <c r="AG3175" s="63">
        <v>0</v>
      </c>
      <c r="AH3175" s="63"/>
      <c r="AI3175" s="63"/>
      <c r="AJ3175" s="63"/>
      <c r="AK3175" s="63"/>
      <c r="AL3175" s="63"/>
      <c r="AM3175" s="63">
        <v>0</v>
      </c>
      <c r="AN3175" s="63">
        <v>4</v>
      </c>
      <c r="AO3175" s="63"/>
      <c r="AP3175" s="63"/>
      <c r="AQ3175" s="63"/>
      <c r="AR3175" s="63"/>
      <c r="AS3175" s="63"/>
      <c r="AT3175" s="63"/>
      <c r="AU3175" s="63"/>
      <c r="AW3175" s="5">
        <f>IF(Q3175&gt;0,RANK(Q3175,(N3175:P3175,Q3175:AE3175)),0)</f>
        <v>3</v>
      </c>
      <c r="AX3175" s="5">
        <f>IF(R3175&gt;0,RANK(R3175,(N3175:P3175,Q3175:AE3175)),0)</f>
        <v>5</v>
      </c>
      <c r="AY3175" s="5">
        <f>IF(T3175&gt;0,RANK(T3175,(N3175:P3175,Q3175:AE3175)),0)</f>
        <v>9</v>
      </c>
      <c r="AZ3175" s="5">
        <f>IF(S3175&gt;0,RANK(S3175,(N3175:P3175,Q3175:AE3175)),0)</f>
        <v>6</v>
      </c>
      <c r="BA3175" s="2">
        <f t="shared" si="1245"/>
        <v>3.1718963165075033E-2</v>
      </c>
      <c r="BB3175" s="2">
        <f t="shared" si="1246"/>
        <v>8.2423829013187812E-3</v>
      </c>
      <c r="BC3175" s="2">
        <f t="shared" si="1247"/>
        <v>5.1159618008185536E-4</v>
      </c>
      <c r="BD3175" s="2">
        <f t="shared" si="1248"/>
        <v>3.5243292405638927E-3</v>
      </c>
      <c r="BF3175" t="s">
        <v>1454</v>
      </c>
      <c r="BG3175" t="s">
        <v>3002</v>
      </c>
      <c r="BH3175" s="63">
        <v>8</v>
      </c>
      <c r="BJ3175" s="114">
        <v>55</v>
      </c>
      <c r="BK3175" s="116">
        <v>29</v>
      </c>
      <c r="BL3175" s="120">
        <f t="shared" si="1225"/>
        <v>55029</v>
      </c>
      <c r="BN3175" s="5" t="s">
        <v>3154</v>
      </c>
      <c r="CB3175" s="63">
        <v>149</v>
      </c>
      <c r="CD3175" s="63">
        <v>0</v>
      </c>
      <c r="CE3175" s="63">
        <v>0</v>
      </c>
      <c r="CO3175" s="63">
        <v>8026</v>
      </c>
      <c r="CP3175" s="63">
        <v>8584</v>
      </c>
      <c r="CQ3175" s="63">
        <v>54</v>
      </c>
      <c r="CR3175" s="63">
        <v>558</v>
      </c>
      <c r="CS3175" s="63">
        <v>145</v>
      </c>
      <c r="CT3175" s="63">
        <v>62</v>
      </c>
      <c r="CU3175" s="63">
        <v>9</v>
      </c>
      <c r="CV3175" s="63">
        <v>0</v>
      </c>
      <c r="CW3175" s="63"/>
      <c r="CX3175" s="63">
        <f t="shared" si="1250"/>
        <v>0</v>
      </c>
      <c r="CY3175" s="63"/>
      <c r="CZ3175" s="63">
        <v>0</v>
      </c>
      <c r="DA3175" s="63"/>
      <c r="DB3175" s="63">
        <v>14</v>
      </c>
      <c r="DC3175" s="63"/>
      <c r="DD3175" s="63"/>
      <c r="DE3175" s="63"/>
      <c r="DF3175" s="63">
        <v>0</v>
      </c>
      <c r="DG3175" s="63"/>
      <c r="DH3175" s="63">
        <v>0</v>
      </c>
      <c r="DI3175" s="63"/>
      <c r="DJ3175" s="63"/>
      <c r="DK3175" s="63"/>
      <c r="DL3175" s="63"/>
      <c r="DM3175" s="63"/>
      <c r="DN3175" s="63">
        <v>0</v>
      </c>
      <c r="DO3175" s="63">
        <v>4</v>
      </c>
      <c r="DQ3175" s="63">
        <v>152</v>
      </c>
      <c r="DR3175" s="63"/>
      <c r="DS3175" s="63">
        <v>0</v>
      </c>
      <c r="DT3175" s="63">
        <v>0</v>
      </c>
    </row>
    <row r="3176" spans="1:124" hidden="1" outlineLevel="1">
      <c r="A3176" t="s">
        <v>1148</v>
      </c>
      <c r="B3176" t="s">
        <v>3002</v>
      </c>
      <c r="C3176" s="1">
        <f t="shared" si="1240"/>
        <v>22536</v>
      </c>
      <c r="D3176" s="5">
        <f>IF(N3176&gt;0, RANK(N3176,(N3176:P3176,Q3176:AE3176)),0)</f>
        <v>1</v>
      </c>
      <c r="E3176" s="5">
        <f>IF(O3176&gt;0,RANK(O3176,(N3176:P3176,Q3176:AE3176)),0)</f>
        <v>2</v>
      </c>
      <c r="F3176" s="5">
        <f>IF(P3176&gt;0,RANK(P3176,(N3176:P3176,Q3176:AE3176)),0)</f>
        <v>7</v>
      </c>
      <c r="G3176" s="132">
        <f t="shared" si="1235"/>
        <v>1696</v>
      </c>
      <c r="H3176" s="137">
        <f t="shared" si="1236"/>
        <v>7.5257365992190267E-2</v>
      </c>
      <c r="I3176" s="2"/>
      <c r="J3176" s="2">
        <f t="shared" si="1241"/>
        <v>0.50394923677671277</v>
      </c>
      <c r="K3176" s="2">
        <f t="shared" si="1242"/>
        <v>0.42869187078452253</v>
      </c>
      <c r="L3176" s="2">
        <f t="shared" si="1243"/>
        <v>2.2186723464678736E-3</v>
      </c>
      <c r="M3176" s="2">
        <f t="shared" si="1244"/>
        <v>6.5140220092296822E-2</v>
      </c>
      <c r="N3176" s="63">
        <v>11357</v>
      </c>
      <c r="O3176" s="63">
        <v>9661</v>
      </c>
      <c r="P3176" s="63">
        <v>50</v>
      </c>
      <c r="Q3176" s="63">
        <v>724</v>
      </c>
      <c r="R3176" s="63">
        <v>339</v>
      </c>
      <c r="S3176" s="63">
        <v>93</v>
      </c>
      <c r="T3176" s="63">
        <v>12</v>
      </c>
      <c r="U3176" s="63">
        <v>0</v>
      </c>
      <c r="V3176" s="63"/>
      <c r="W3176" s="63">
        <f t="shared" si="1249"/>
        <v>275</v>
      </c>
      <c r="X3176" s="63"/>
      <c r="Y3176" s="63">
        <v>0</v>
      </c>
      <c r="Z3176" s="63"/>
      <c r="AA3176" s="63">
        <v>21</v>
      </c>
      <c r="AB3176" s="63"/>
      <c r="AC3176" s="63"/>
      <c r="AD3176" s="63"/>
      <c r="AE3176" s="63">
        <v>0</v>
      </c>
      <c r="AF3176" s="63"/>
      <c r="AG3176" s="63">
        <v>2</v>
      </c>
      <c r="AH3176" s="63"/>
      <c r="AI3176" s="63"/>
      <c r="AJ3176" s="63"/>
      <c r="AK3176" s="63"/>
      <c r="AL3176" s="63"/>
      <c r="AM3176" s="63">
        <v>0</v>
      </c>
      <c r="AN3176" s="63">
        <v>2</v>
      </c>
      <c r="AO3176" s="63"/>
      <c r="AP3176" s="63"/>
      <c r="AQ3176" s="63"/>
      <c r="AR3176" s="63"/>
      <c r="AS3176" s="63"/>
      <c r="AT3176" s="63"/>
      <c r="AU3176" s="63"/>
      <c r="AW3176" s="5">
        <f>IF(Q3176&gt;0,RANK(Q3176,(N3176:P3176,Q3176:AE3176)),0)</f>
        <v>3</v>
      </c>
      <c r="AX3176" s="5">
        <f>IF(R3176&gt;0,RANK(R3176,(N3176:P3176,Q3176:AE3176)),0)</f>
        <v>4</v>
      </c>
      <c r="AY3176" s="5">
        <f>IF(T3176&gt;0,RANK(T3176,(N3176:P3176,Q3176:AE3176)),0)</f>
        <v>9</v>
      </c>
      <c r="AZ3176" s="5">
        <f>IF(S3176&gt;0,RANK(S3176,(N3176:P3176,Q3176:AE3176)),0)</f>
        <v>6</v>
      </c>
      <c r="BA3176" s="2">
        <f t="shared" si="1245"/>
        <v>3.2126375576854813E-2</v>
      </c>
      <c r="BB3176" s="2">
        <f t="shared" si="1246"/>
        <v>1.5042598509052183E-2</v>
      </c>
      <c r="BC3176" s="2">
        <f t="shared" si="1247"/>
        <v>5.3248136315228972E-4</v>
      </c>
      <c r="BD3176" s="2">
        <f t="shared" si="1248"/>
        <v>4.1267305644302451E-3</v>
      </c>
      <c r="BF3176" t="s">
        <v>1148</v>
      </c>
      <c r="BG3176" t="s">
        <v>3002</v>
      </c>
      <c r="BH3176" s="63">
        <v>7</v>
      </c>
      <c r="BJ3176" s="114">
        <v>55</v>
      </c>
      <c r="BK3176" s="116">
        <v>31</v>
      </c>
      <c r="BL3176" s="120">
        <f t="shared" si="1225"/>
        <v>55031</v>
      </c>
      <c r="BN3176" s="5" t="s">
        <v>3154</v>
      </c>
      <c r="CB3176" s="63">
        <v>275</v>
      </c>
      <c r="CD3176" s="63">
        <v>0</v>
      </c>
      <c r="CE3176" s="63">
        <v>0</v>
      </c>
      <c r="CO3176" s="63">
        <v>11345</v>
      </c>
      <c r="CP3176" s="63">
        <v>9659</v>
      </c>
      <c r="CQ3176" s="63">
        <v>33</v>
      </c>
      <c r="CR3176" s="63">
        <v>723</v>
      </c>
      <c r="CS3176" s="63">
        <v>337</v>
      </c>
      <c r="CT3176" s="63">
        <v>93</v>
      </c>
      <c r="CU3176" s="63">
        <v>11</v>
      </c>
      <c r="CV3176" s="63">
        <v>0</v>
      </c>
      <c r="CW3176" s="63"/>
      <c r="CX3176" s="63">
        <f t="shared" si="1250"/>
        <v>0</v>
      </c>
      <c r="CY3176" s="63"/>
      <c r="CZ3176" s="63">
        <v>3</v>
      </c>
      <c r="DA3176" s="63"/>
      <c r="DB3176" s="63">
        <v>22</v>
      </c>
      <c r="DC3176" s="63"/>
      <c r="DD3176" s="63"/>
      <c r="DE3176" s="63"/>
      <c r="DF3176" s="63">
        <v>0</v>
      </c>
      <c r="DG3176" s="63"/>
      <c r="DH3176" s="63">
        <v>0</v>
      </c>
      <c r="DI3176" s="63"/>
      <c r="DJ3176" s="63"/>
      <c r="DK3176" s="63"/>
      <c r="DL3176" s="63"/>
      <c r="DM3176" s="63"/>
      <c r="DN3176" s="63">
        <v>0</v>
      </c>
      <c r="DO3176" s="63">
        <v>3</v>
      </c>
      <c r="DQ3176" s="63">
        <v>282</v>
      </c>
      <c r="DR3176" s="63"/>
      <c r="DS3176" s="63">
        <v>0</v>
      </c>
      <c r="DT3176" s="63">
        <v>0</v>
      </c>
    </row>
    <row r="3177" spans="1:124" hidden="1" outlineLevel="1">
      <c r="A3177" t="s">
        <v>537</v>
      </c>
      <c r="B3177" t="s">
        <v>3002</v>
      </c>
      <c r="C3177" s="1">
        <f t="shared" si="1240"/>
        <v>22106</v>
      </c>
      <c r="D3177" s="5">
        <f>IF(N3177&gt;0, RANK(N3177,(N3177:P3177,Q3177:AE3177)),0)</f>
        <v>2</v>
      </c>
      <c r="E3177" s="5">
        <f>IF(O3177&gt;0,RANK(O3177,(N3177:P3177,Q3177:AE3177)),0)</f>
        <v>1</v>
      </c>
      <c r="F3177" s="5">
        <f>IF(P3177&gt;0,RANK(P3177,(N3177:P3177,Q3177:AE3177)),0)</f>
        <v>6</v>
      </c>
      <c r="G3177" s="132">
        <f t="shared" si="1235"/>
        <v>2452</v>
      </c>
      <c r="H3177" s="137">
        <f t="shared" si="1236"/>
        <v>0.11092011218673663</v>
      </c>
      <c r="I3177" s="2"/>
      <c r="J3177" s="2">
        <f t="shared" si="1241"/>
        <v>0.40866733013661449</v>
      </c>
      <c r="K3177" s="2">
        <f t="shared" si="1242"/>
        <v>0.51958744232335108</v>
      </c>
      <c r="L3177" s="2">
        <f t="shared" si="1243"/>
        <v>3.121324527277662E-3</v>
      </c>
      <c r="M3177" s="2">
        <f t="shared" si="1244"/>
        <v>6.8623903012756768E-2</v>
      </c>
      <c r="N3177" s="63">
        <v>9034</v>
      </c>
      <c r="O3177" s="63">
        <v>11486</v>
      </c>
      <c r="P3177" s="63">
        <v>69</v>
      </c>
      <c r="Q3177" s="63">
        <v>1093</v>
      </c>
      <c r="R3177" s="63">
        <v>294</v>
      </c>
      <c r="S3177" s="63">
        <v>100</v>
      </c>
      <c r="T3177" s="63">
        <v>11</v>
      </c>
      <c r="U3177" s="63">
        <v>0</v>
      </c>
      <c r="V3177" s="63"/>
      <c r="W3177" s="63">
        <f t="shared" si="1249"/>
        <v>0</v>
      </c>
      <c r="X3177" s="63"/>
      <c r="Y3177" s="63">
        <v>0</v>
      </c>
      <c r="Z3177" s="63"/>
      <c r="AA3177" s="63">
        <v>16</v>
      </c>
      <c r="AB3177" s="63"/>
      <c r="AC3177" s="63"/>
      <c r="AD3177" s="63"/>
      <c r="AE3177" s="63">
        <v>0</v>
      </c>
      <c r="AF3177" s="63"/>
      <c r="AG3177" s="63">
        <v>0</v>
      </c>
      <c r="AH3177" s="63"/>
      <c r="AI3177" s="63"/>
      <c r="AJ3177" s="63"/>
      <c r="AK3177" s="63"/>
      <c r="AL3177" s="63"/>
      <c r="AM3177" s="63">
        <v>0</v>
      </c>
      <c r="AN3177" s="63">
        <v>3</v>
      </c>
      <c r="AO3177" s="63"/>
      <c r="AP3177" s="63"/>
      <c r="AQ3177" s="63"/>
      <c r="AR3177" s="63"/>
      <c r="AS3177" s="63"/>
      <c r="AT3177" s="63"/>
      <c r="AU3177" s="63"/>
      <c r="AW3177" s="5">
        <f>IF(Q3177&gt;0,RANK(Q3177,(N3177:P3177,Q3177:AE3177)),0)</f>
        <v>3</v>
      </c>
      <c r="AX3177" s="5">
        <f>IF(R3177&gt;0,RANK(R3177,(N3177:P3177,Q3177:AE3177)),0)</f>
        <v>4</v>
      </c>
      <c r="AY3177" s="5">
        <f>IF(T3177&gt;0,RANK(T3177,(N3177:P3177,Q3177:AE3177)),0)</f>
        <v>8</v>
      </c>
      <c r="AZ3177" s="5">
        <f>IF(S3177&gt;0,RANK(S3177,(N3177:P3177,Q3177:AE3177)),0)</f>
        <v>5</v>
      </c>
      <c r="BA3177" s="2">
        <f t="shared" si="1245"/>
        <v>4.9443589975572244E-2</v>
      </c>
      <c r="BB3177" s="2">
        <f t="shared" si="1246"/>
        <v>1.3299556681443952E-2</v>
      </c>
      <c r="BC3177" s="2">
        <f t="shared" si="1247"/>
        <v>4.9760246087035196E-4</v>
      </c>
      <c r="BD3177" s="2">
        <f t="shared" si="1248"/>
        <v>4.5236587351850177E-3</v>
      </c>
      <c r="BF3177" t="s">
        <v>537</v>
      </c>
      <c r="BG3177" t="s">
        <v>3002</v>
      </c>
      <c r="BH3177" s="63">
        <v>3</v>
      </c>
      <c r="BJ3177" s="114">
        <v>55</v>
      </c>
      <c r="BK3177" s="116">
        <v>33</v>
      </c>
      <c r="BL3177" s="120">
        <f t="shared" ref="BL3177:BL3240" si="1251">1000*BJ3177+BK3177</f>
        <v>55033</v>
      </c>
      <c r="BN3177" s="5" t="s">
        <v>3154</v>
      </c>
      <c r="CB3177" s="63">
        <v>0</v>
      </c>
      <c r="CD3177" s="63">
        <v>0</v>
      </c>
      <c r="CE3177" s="63">
        <v>0</v>
      </c>
      <c r="CO3177" s="63">
        <v>9026</v>
      </c>
      <c r="CP3177" s="63">
        <v>11488</v>
      </c>
      <c r="CQ3177" s="63">
        <v>58</v>
      </c>
      <c r="CR3177" s="63">
        <v>1094</v>
      </c>
      <c r="CS3177" s="63">
        <v>294</v>
      </c>
      <c r="CT3177" s="63">
        <v>99</v>
      </c>
      <c r="CU3177" s="63">
        <v>11</v>
      </c>
      <c r="CV3177" s="63">
        <v>0</v>
      </c>
      <c r="CW3177" s="63"/>
      <c r="CX3177" s="63">
        <f t="shared" si="1250"/>
        <v>0</v>
      </c>
      <c r="CY3177" s="63"/>
      <c r="CZ3177" s="63">
        <v>0</v>
      </c>
      <c r="DA3177" s="63"/>
      <c r="DB3177" s="63">
        <v>16</v>
      </c>
      <c r="DC3177" s="63"/>
      <c r="DD3177" s="63"/>
      <c r="DE3177" s="63"/>
      <c r="DF3177" s="63">
        <v>0</v>
      </c>
      <c r="DG3177" s="63"/>
      <c r="DH3177" s="63">
        <v>0</v>
      </c>
      <c r="DI3177" s="63"/>
      <c r="DJ3177" s="63"/>
      <c r="DK3177" s="63"/>
      <c r="DL3177" s="63"/>
      <c r="DM3177" s="63"/>
      <c r="DN3177" s="63">
        <v>0</v>
      </c>
      <c r="DO3177" s="63">
        <v>5</v>
      </c>
      <c r="DQ3177" s="63">
        <v>0</v>
      </c>
      <c r="DR3177" s="63"/>
      <c r="DS3177" s="63">
        <v>0</v>
      </c>
      <c r="DT3177" s="63">
        <v>0</v>
      </c>
    </row>
    <row r="3178" spans="1:124" hidden="1" outlineLevel="1">
      <c r="A3178" t="s">
        <v>732</v>
      </c>
      <c r="B3178" t="s">
        <v>3002</v>
      </c>
      <c r="C3178" s="1">
        <f t="shared" si="1240"/>
        <v>55025</v>
      </c>
      <c r="D3178" s="5">
        <f>IF(N3178&gt;0, RANK(N3178,(N3178:P3178,Q3178:AE3178)),0)</f>
        <v>1</v>
      </c>
      <c r="E3178" s="5">
        <f>IF(O3178&gt;0,RANK(O3178,(N3178:P3178,Q3178:AE3178)),0)</f>
        <v>2</v>
      </c>
      <c r="F3178" s="5">
        <f>IF(P3178&gt;0,RANK(P3178,(N3178:P3178,Q3178:AE3178)),0)</f>
        <v>6</v>
      </c>
      <c r="G3178" s="132">
        <f t="shared" si="1235"/>
        <v>4009</v>
      </c>
      <c r="H3178" s="137">
        <f t="shared" si="1236"/>
        <v>7.2857791912766923E-2</v>
      </c>
      <c r="I3178" s="2"/>
      <c r="J3178" s="2">
        <f t="shared" si="1241"/>
        <v>0.49686506133575647</v>
      </c>
      <c r="K3178" s="2">
        <f t="shared" si="1242"/>
        <v>0.42400726942298955</v>
      </c>
      <c r="L3178" s="2">
        <f t="shared" si="1243"/>
        <v>4.7251249432076325E-3</v>
      </c>
      <c r="M3178" s="2">
        <f t="shared" si="1244"/>
        <v>7.4402544298046339E-2</v>
      </c>
      <c r="N3178" s="63">
        <v>27340</v>
      </c>
      <c r="O3178" s="63">
        <v>23331</v>
      </c>
      <c r="P3178" s="63">
        <v>260</v>
      </c>
      <c r="Q3178" s="63">
        <v>2504</v>
      </c>
      <c r="R3178" s="63">
        <v>698</v>
      </c>
      <c r="S3178" s="63">
        <v>248</v>
      </c>
      <c r="T3178" s="63">
        <v>36</v>
      </c>
      <c r="U3178" s="63">
        <v>1</v>
      </c>
      <c r="V3178" s="63"/>
      <c r="W3178" s="63">
        <f t="shared" si="1249"/>
        <v>576</v>
      </c>
      <c r="X3178" s="63"/>
      <c r="Y3178" s="63">
        <v>1</v>
      </c>
      <c r="Z3178" s="63"/>
      <c r="AA3178" s="63">
        <v>26</v>
      </c>
      <c r="AB3178" s="63"/>
      <c r="AC3178" s="63"/>
      <c r="AD3178" s="63"/>
      <c r="AE3178" s="63">
        <v>0</v>
      </c>
      <c r="AF3178" s="63"/>
      <c r="AG3178" s="63">
        <v>1</v>
      </c>
      <c r="AH3178" s="63"/>
      <c r="AI3178" s="63"/>
      <c r="AJ3178" s="63"/>
      <c r="AK3178" s="63"/>
      <c r="AL3178" s="63"/>
      <c r="AM3178" s="63">
        <v>0</v>
      </c>
      <c r="AN3178" s="63">
        <v>3</v>
      </c>
      <c r="AO3178" s="63"/>
      <c r="AP3178" s="63"/>
      <c r="AQ3178" s="63"/>
      <c r="AR3178" s="63"/>
      <c r="AS3178" s="63"/>
      <c r="AT3178" s="63"/>
      <c r="AU3178" s="63"/>
      <c r="AW3178" s="5">
        <f>IF(Q3178&gt;0,RANK(Q3178,(N3178:P3178,Q3178:AE3178)),0)</f>
        <v>3</v>
      </c>
      <c r="AX3178" s="5">
        <f>IF(R3178&gt;0,RANK(R3178,(N3178:P3178,Q3178:AE3178)),0)</f>
        <v>4</v>
      </c>
      <c r="AY3178" s="5">
        <f>IF(T3178&gt;0,RANK(T3178,(N3178:P3178,Q3178:AE3178)),0)</f>
        <v>8</v>
      </c>
      <c r="AZ3178" s="5">
        <f>IF(S3178&gt;0,RANK(S3178,(N3178:P3178,Q3178:AE3178)),0)</f>
        <v>7</v>
      </c>
      <c r="BA3178" s="2">
        <f t="shared" si="1245"/>
        <v>4.5506587914584277E-2</v>
      </c>
      <c r="BB3178" s="2">
        <f t="shared" si="1246"/>
        <v>1.2685143116765107E-2</v>
      </c>
      <c r="BC3178" s="2">
        <f t="shared" si="1247"/>
        <v>6.5424806905951837E-4</v>
      </c>
      <c r="BD3178" s="2">
        <f t="shared" si="1248"/>
        <v>4.507042253521127E-3</v>
      </c>
      <c r="BF3178" t="s">
        <v>732</v>
      </c>
      <c r="BG3178" t="s">
        <v>3002</v>
      </c>
      <c r="BH3178" s="63">
        <v>3</v>
      </c>
      <c r="BJ3178" s="114">
        <v>55</v>
      </c>
      <c r="BK3178" s="116">
        <v>35</v>
      </c>
      <c r="BL3178" s="120">
        <f t="shared" si="1251"/>
        <v>55035</v>
      </c>
      <c r="BN3178" s="5" t="s">
        <v>3154</v>
      </c>
      <c r="CB3178" s="63">
        <v>576</v>
      </c>
      <c r="CD3178" s="63">
        <v>0</v>
      </c>
      <c r="CE3178" s="63">
        <v>0</v>
      </c>
      <c r="CO3178" s="63">
        <v>27294</v>
      </c>
      <c r="CP3178" s="63">
        <v>23311</v>
      </c>
      <c r="CQ3178" s="63">
        <v>240</v>
      </c>
      <c r="CR3178" s="63">
        <v>2496</v>
      </c>
      <c r="CS3178" s="63">
        <v>699</v>
      </c>
      <c r="CT3178" s="63">
        <v>247</v>
      </c>
      <c r="CU3178" s="63">
        <v>36</v>
      </c>
      <c r="CV3178" s="63">
        <v>0</v>
      </c>
      <c r="CW3178" s="63"/>
      <c r="CX3178" s="63">
        <f t="shared" si="1250"/>
        <v>0</v>
      </c>
      <c r="CY3178" s="63"/>
      <c r="CZ3178" s="63">
        <v>1</v>
      </c>
      <c r="DA3178" s="63"/>
      <c r="DB3178" s="63">
        <v>26</v>
      </c>
      <c r="DC3178" s="63"/>
      <c r="DD3178" s="63"/>
      <c r="DE3178" s="63"/>
      <c r="DF3178" s="63">
        <v>1</v>
      </c>
      <c r="DG3178" s="63"/>
      <c r="DH3178" s="63">
        <v>0</v>
      </c>
      <c r="DI3178" s="63"/>
      <c r="DJ3178" s="63"/>
      <c r="DK3178" s="63"/>
      <c r="DL3178" s="63"/>
      <c r="DM3178" s="63"/>
      <c r="DN3178" s="63">
        <v>0</v>
      </c>
      <c r="DO3178" s="63">
        <v>3</v>
      </c>
      <c r="DQ3178" s="63">
        <v>531</v>
      </c>
      <c r="DR3178" s="63"/>
      <c r="DS3178" s="63">
        <v>0</v>
      </c>
      <c r="DT3178" s="63">
        <v>0</v>
      </c>
    </row>
    <row r="3179" spans="1:124" hidden="1" outlineLevel="1">
      <c r="A3179" t="s">
        <v>2596</v>
      </c>
      <c r="B3179" t="s">
        <v>3002</v>
      </c>
      <c r="C3179" s="1">
        <f t="shared" si="1240"/>
        <v>2656</v>
      </c>
      <c r="D3179" s="5">
        <f>IF(N3179&gt;0, RANK(N3179,(N3179:P3179,Q3179:AE3179)),0)</f>
        <v>2</v>
      </c>
      <c r="E3179" s="5">
        <f>IF(O3179&gt;0,RANK(O3179,(N3179:P3179,Q3179:AE3179)),0)</f>
        <v>1</v>
      </c>
      <c r="F3179" s="5">
        <f>IF(P3179&gt;0,RANK(P3179,(N3179:P3179,Q3179:AE3179)),0)</f>
        <v>6</v>
      </c>
      <c r="G3179" s="132">
        <f t="shared" si="1235"/>
        <v>1233</v>
      </c>
      <c r="H3179" s="137">
        <f t="shared" si="1236"/>
        <v>0.46423192771084337</v>
      </c>
      <c r="I3179" s="2"/>
      <c r="J3179" s="2">
        <f t="shared" si="1241"/>
        <v>0.25037650602409639</v>
      </c>
      <c r="K3179" s="2">
        <f t="shared" si="1242"/>
        <v>0.71460843373493976</v>
      </c>
      <c r="L3179" s="2">
        <f t="shared" si="1243"/>
        <v>1.8825301204819277E-3</v>
      </c>
      <c r="M3179" s="2">
        <f t="shared" si="1244"/>
        <v>3.3132530120481972E-2</v>
      </c>
      <c r="N3179" s="63">
        <v>665</v>
      </c>
      <c r="O3179" s="63">
        <v>1898</v>
      </c>
      <c r="P3179" s="63">
        <v>5</v>
      </c>
      <c r="Q3179" s="63">
        <v>64</v>
      </c>
      <c r="R3179" s="63">
        <v>17</v>
      </c>
      <c r="S3179" s="63">
        <v>6</v>
      </c>
      <c r="T3179" s="63">
        <v>0</v>
      </c>
      <c r="U3179" s="63">
        <v>0</v>
      </c>
      <c r="V3179" s="63"/>
      <c r="W3179" s="63">
        <f t="shared" si="1249"/>
        <v>0</v>
      </c>
      <c r="X3179" s="63"/>
      <c r="Y3179" s="63">
        <v>0</v>
      </c>
      <c r="Z3179" s="63"/>
      <c r="AA3179" s="63">
        <v>1</v>
      </c>
      <c r="AB3179" s="63"/>
      <c r="AC3179" s="63"/>
      <c r="AD3179" s="63"/>
      <c r="AE3179" s="63">
        <v>0</v>
      </c>
      <c r="AF3179" s="63"/>
      <c r="AG3179" s="63">
        <v>0</v>
      </c>
      <c r="AH3179" s="63"/>
      <c r="AI3179" s="63"/>
      <c r="AJ3179" s="63"/>
      <c r="AK3179" s="63"/>
      <c r="AL3179" s="63"/>
      <c r="AM3179" s="63">
        <v>0</v>
      </c>
      <c r="AN3179" s="63">
        <v>0</v>
      </c>
      <c r="AO3179" s="63"/>
      <c r="AP3179" s="63"/>
      <c r="AQ3179" s="63"/>
      <c r="AR3179" s="63"/>
      <c r="AS3179" s="63"/>
      <c r="AT3179" s="63"/>
      <c r="AU3179" s="63"/>
      <c r="AW3179" s="5">
        <f>IF(Q3179&gt;0,RANK(Q3179,(N3179:P3179,Q3179:AE3179)),0)</f>
        <v>3</v>
      </c>
      <c r="AX3179" s="5">
        <f>IF(R3179&gt;0,RANK(R3179,(N3179:P3179,Q3179:AE3179)),0)</f>
        <v>4</v>
      </c>
      <c r="AY3179" s="5">
        <f>IF(T3179&gt;0,RANK(T3179,(N3179:P3179,Q3179:AE3179)),0)</f>
        <v>0</v>
      </c>
      <c r="AZ3179" s="5">
        <f>IF(S3179&gt;0,RANK(S3179,(N3179:P3179,Q3179:AE3179)),0)</f>
        <v>5</v>
      </c>
      <c r="BA3179" s="2">
        <f t="shared" si="1245"/>
        <v>2.4096385542168676E-2</v>
      </c>
      <c r="BB3179" s="2">
        <f t="shared" si="1246"/>
        <v>6.400602409638554E-3</v>
      </c>
      <c r="BC3179" s="2">
        <f t="shared" si="1247"/>
        <v>0</v>
      </c>
      <c r="BD3179" s="2">
        <f t="shared" si="1248"/>
        <v>2.2590361445783132E-3</v>
      </c>
      <c r="BF3179" t="s">
        <v>2596</v>
      </c>
      <c r="BG3179" t="s">
        <v>3002</v>
      </c>
      <c r="BH3179" s="63">
        <v>7</v>
      </c>
      <c r="BJ3179" s="114">
        <v>55</v>
      </c>
      <c r="BK3179" s="116">
        <v>37</v>
      </c>
      <c r="BL3179" s="120">
        <f t="shared" si="1251"/>
        <v>55037</v>
      </c>
      <c r="BN3179" s="5" t="s">
        <v>3154</v>
      </c>
      <c r="CB3179" s="63">
        <v>0</v>
      </c>
      <c r="CD3179" s="63">
        <v>0</v>
      </c>
      <c r="CE3179" s="63">
        <v>0</v>
      </c>
      <c r="CO3179" s="63">
        <v>666</v>
      </c>
      <c r="CP3179" s="63">
        <v>1897</v>
      </c>
      <c r="CQ3179" s="63">
        <v>6</v>
      </c>
      <c r="CR3179" s="63">
        <v>64</v>
      </c>
      <c r="CS3179" s="63">
        <v>17</v>
      </c>
      <c r="CT3179" s="63">
        <v>6</v>
      </c>
      <c r="CU3179" s="63">
        <v>0</v>
      </c>
      <c r="CV3179" s="63">
        <v>0</v>
      </c>
      <c r="CW3179" s="63"/>
      <c r="CX3179" s="63">
        <f t="shared" si="1250"/>
        <v>0</v>
      </c>
      <c r="CY3179" s="63"/>
      <c r="CZ3179" s="63">
        <v>0</v>
      </c>
      <c r="DA3179" s="63"/>
      <c r="DB3179" s="63">
        <v>1</v>
      </c>
      <c r="DC3179" s="63"/>
      <c r="DD3179" s="63"/>
      <c r="DE3179" s="63"/>
      <c r="DF3179" s="63">
        <v>0</v>
      </c>
      <c r="DG3179" s="63"/>
      <c r="DH3179" s="63">
        <v>0</v>
      </c>
      <c r="DI3179" s="63"/>
      <c r="DJ3179" s="63"/>
      <c r="DK3179" s="63"/>
      <c r="DL3179" s="63"/>
      <c r="DM3179" s="63"/>
      <c r="DN3179" s="63">
        <v>0</v>
      </c>
      <c r="DO3179" s="63">
        <v>0</v>
      </c>
      <c r="DQ3179" s="63">
        <v>0</v>
      </c>
      <c r="DR3179" s="63"/>
      <c r="DS3179" s="63">
        <v>0</v>
      </c>
      <c r="DT3179" s="63">
        <v>0</v>
      </c>
    </row>
    <row r="3180" spans="1:124" hidden="1" outlineLevel="1">
      <c r="A3180" t="s">
        <v>2081</v>
      </c>
      <c r="B3180" t="s">
        <v>3002</v>
      </c>
      <c r="C3180" s="1">
        <f t="shared" si="1240"/>
        <v>51796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6</v>
      </c>
      <c r="G3180" s="132">
        <f t="shared" si="1235"/>
        <v>13635</v>
      </c>
      <c r="H3180" s="137">
        <f t="shared" si="1236"/>
        <v>0.26324426596648393</v>
      </c>
      <c r="I3180" s="2"/>
      <c r="J3180" s="2">
        <f t="shared" si="1241"/>
        <v>0.33568229206888561</v>
      </c>
      <c r="K3180" s="2">
        <f t="shared" si="1242"/>
        <v>0.59892655803536954</v>
      </c>
      <c r="L3180" s="2">
        <f t="shared" si="1243"/>
        <v>5.0196926403583289E-3</v>
      </c>
      <c r="M3180" s="2">
        <f t="shared" si="1244"/>
        <v>6.0371457255386576E-2</v>
      </c>
      <c r="N3180" s="63">
        <v>17387</v>
      </c>
      <c r="O3180" s="63">
        <v>31022</v>
      </c>
      <c r="P3180" s="63">
        <v>260</v>
      </c>
      <c r="Q3180" s="63">
        <v>1909</v>
      </c>
      <c r="R3180" s="63">
        <v>448</v>
      </c>
      <c r="S3180" s="63">
        <v>242</v>
      </c>
      <c r="T3180" s="63">
        <v>23</v>
      </c>
      <c r="U3180" s="63">
        <v>0</v>
      </c>
      <c r="V3180" s="63"/>
      <c r="W3180" s="63">
        <f t="shared" si="1249"/>
        <v>463</v>
      </c>
      <c r="X3180" s="63"/>
      <c r="Y3180" s="63">
        <v>3</v>
      </c>
      <c r="Z3180" s="63"/>
      <c r="AA3180" s="63">
        <v>35</v>
      </c>
      <c r="AB3180" s="63"/>
      <c r="AC3180" s="63"/>
      <c r="AD3180" s="63"/>
      <c r="AE3180" s="63">
        <v>2</v>
      </c>
      <c r="AF3180" s="63"/>
      <c r="AG3180" s="63">
        <v>0</v>
      </c>
      <c r="AH3180" s="63"/>
      <c r="AI3180" s="63"/>
      <c r="AJ3180" s="63"/>
      <c r="AK3180" s="63"/>
      <c r="AL3180" s="63"/>
      <c r="AM3180" s="63">
        <v>0</v>
      </c>
      <c r="AN3180" s="63">
        <v>2</v>
      </c>
      <c r="AO3180" s="63"/>
      <c r="AP3180" s="63"/>
      <c r="AQ3180" s="63"/>
      <c r="AR3180" s="63"/>
      <c r="AS3180" s="63"/>
      <c r="AT3180" s="63"/>
      <c r="AU3180" s="63"/>
      <c r="AW3180" s="5">
        <f>IF(Q3180&gt;0,RANK(Q3180,(N3180:P3180,Q3180:AE3180)),0)</f>
        <v>3</v>
      </c>
      <c r="AX3180" s="5">
        <f>IF(R3180&gt;0,RANK(R3180,(N3180:P3180,Q3180:AE3180)),0)</f>
        <v>5</v>
      </c>
      <c r="AY3180" s="5">
        <f>IF(T3180&gt;0,RANK(T3180,(N3180:P3180,Q3180:AE3180)),0)</f>
        <v>9</v>
      </c>
      <c r="AZ3180" s="5">
        <f>IF(S3180&gt;0,RANK(S3180,(N3180:P3180,Q3180:AE3180)),0)</f>
        <v>7</v>
      </c>
      <c r="BA3180" s="2">
        <f t="shared" si="1245"/>
        <v>3.6856127886323267E-2</v>
      </c>
      <c r="BB3180" s="2">
        <f t="shared" si="1246"/>
        <v>8.6493165495405058E-3</v>
      </c>
      <c r="BC3180" s="2">
        <f t="shared" si="1247"/>
        <v>4.4404973357015987E-4</v>
      </c>
      <c r="BD3180" s="2">
        <f t="shared" si="1248"/>
        <v>4.6721754575642909E-3</v>
      </c>
      <c r="BF3180" t="s">
        <v>2081</v>
      </c>
      <c r="BG3180" t="s">
        <v>3002</v>
      </c>
      <c r="BH3180" s="63">
        <v>6</v>
      </c>
      <c r="BJ3180" s="114">
        <v>55</v>
      </c>
      <c r="BK3180" s="116">
        <v>39</v>
      </c>
      <c r="BL3180" s="120">
        <f t="shared" si="1251"/>
        <v>55039</v>
      </c>
      <c r="BN3180" s="5" t="s">
        <v>3154</v>
      </c>
      <c r="CB3180" s="63">
        <v>463</v>
      </c>
      <c r="CD3180" s="63">
        <v>0</v>
      </c>
      <c r="CE3180" s="63">
        <v>0</v>
      </c>
      <c r="CO3180" s="63">
        <v>17391</v>
      </c>
      <c r="CP3180" s="63">
        <v>31044</v>
      </c>
      <c r="CQ3180" s="63">
        <v>225</v>
      </c>
      <c r="CR3180" s="63">
        <v>1910</v>
      </c>
      <c r="CS3180" s="63">
        <v>449</v>
      </c>
      <c r="CT3180" s="63">
        <v>242</v>
      </c>
      <c r="CU3180" s="63">
        <v>23</v>
      </c>
      <c r="CV3180" s="63">
        <v>0</v>
      </c>
      <c r="CW3180" s="63"/>
      <c r="CX3180" s="63">
        <f t="shared" si="1250"/>
        <v>0</v>
      </c>
      <c r="CY3180" s="63"/>
      <c r="CZ3180" s="63">
        <v>3</v>
      </c>
      <c r="DA3180" s="63"/>
      <c r="DB3180" s="63">
        <v>35</v>
      </c>
      <c r="DC3180" s="63"/>
      <c r="DD3180" s="63"/>
      <c r="DE3180" s="63"/>
      <c r="DF3180" s="63">
        <v>3</v>
      </c>
      <c r="DG3180" s="63"/>
      <c r="DH3180" s="63">
        <v>0</v>
      </c>
      <c r="DI3180" s="63"/>
      <c r="DJ3180" s="63"/>
      <c r="DK3180" s="63"/>
      <c r="DL3180" s="63"/>
      <c r="DM3180" s="63"/>
      <c r="DN3180" s="63">
        <v>0</v>
      </c>
      <c r="DO3180" s="63">
        <v>2</v>
      </c>
      <c r="DQ3180" s="63">
        <v>0</v>
      </c>
      <c r="DR3180" s="63"/>
      <c r="DS3180" s="63">
        <v>0</v>
      </c>
      <c r="DT3180" s="63">
        <v>0</v>
      </c>
    </row>
    <row r="3181" spans="1:124" hidden="1" outlineLevel="1">
      <c r="A3181" t="s">
        <v>3089</v>
      </c>
      <c r="B3181" t="s">
        <v>3002</v>
      </c>
      <c r="C3181" s="1">
        <f t="shared" si="1240"/>
        <v>4545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7</v>
      </c>
      <c r="G3181" s="132">
        <f t="shared" si="1235"/>
        <v>1208</v>
      </c>
      <c r="H3181" s="137">
        <f t="shared" si="1236"/>
        <v>0.26578657865786581</v>
      </c>
      <c r="I3181" s="2"/>
      <c r="J3181" s="2">
        <f t="shared" si="1241"/>
        <v>0.34741474147414741</v>
      </c>
      <c r="K3181" s="2">
        <f t="shared" si="1242"/>
        <v>0.61320132013201323</v>
      </c>
      <c r="L3181" s="2">
        <f t="shared" si="1243"/>
        <v>1.1001100110011001E-3</v>
      </c>
      <c r="M3181" s="2">
        <f t="shared" si="1244"/>
        <v>3.828382838283826E-2</v>
      </c>
      <c r="N3181" s="63">
        <v>1579</v>
      </c>
      <c r="O3181" s="63">
        <v>2787</v>
      </c>
      <c r="P3181" s="63">
        <v>5</v>
      </c>
      <c r="Q3181" s="63">
        <v>84</v>
      </c>
      <c r="R3181" s="63">
        <v>43</v>
      </c>
      <c r="S3181" s="63">
        <v>17</v>
      </c>
      <c r="T3181" s="63">
        <v>3</v>
      </c>
      <c r="U3181" s="63">
        <v>0</v>
      </c>
      <c r="V3181" s="63"/>
      <c r="W3181" s="63">
        <f t="shared" si="1249"/>
        <v>26</v>
      </c>
      <c r="X3181" s="63"/>
      <c r="Y3181" s="63">
        <v>0</v>
      </c>
      <c r="Z3181" s="63"/>
      <c r="AA3181" s="63">
        <v>1</v>
      </c>
      <c r="AB3181" s="63"/>
      <c r="AC3181" s="63"/>
      <c r="AD3181" s="63"/>
      <c r="AE3181" s="63">
        <v>0</v>
      </c>
      <c r="AF3181" s="63"/>
      <c r="AG3181" s="63">
        <v>0</v>
      </c>
      <c r="AH3181" s="63"/>
      <c r="AI3181" s="63"/>
      <c r="AJ3181" s="63"/>
      <c r="AK3181" s="63"/>
      <c r="AL3181" s="63"/>
      <c r="AM3181" s="63">
        <v>0</v>
      </c>
      <c r="AN3181" s="63">
        <v>0</v>
      </c>
      <c r="AO3181" s="63"/>
      <c r="AP3181" s="63"/>
      <c r="AQ3181" s="63"/>
      <c r="AR3181" s="63"/>
      <c r="AS3181" s="63"/>
      <c r="AT3181" s="63"/>
      <c r="AU3181" s="63"/>
      <c r="AW3181" s="5">
        <f>IF(Q3181&gt;0,RANK(Q3181,(N3181:P3181,Q3181:AE3181)),0)</f>
        <v>3</v>
      </c>
      <c r="AX3181" s="5">
        <f>IF(R3181&gt;0,RANK(R3181,(N3181:P3181,Q3181:AE3181)),0)</f>
        <v>4</v>
      </c>
      <c r="AY3181" s="5">
        <f>IF(T3181&gt;0,RANK(T3181,(N3181:P3181,Q3181:AE3181)),0)</f>
        <v>8</v>
      </c>
      <c r="AZ3181" s="5">
        <f>IF(S3181&gt;0,RANK(S3181,(N3181:P3181,Q3181:AE3181)),0)</f>
        <v>6</v>
      </c>
      <c r="BA3181" s="2">
        <f t="shared" si="1245"/>
        <v>1.8481848184818482E-2</v>
      </c>
      <c r="BB3181" s="2">
        <f t="shared" si="1246"/>
        <v>9.4609460946094605E-3</v>
      </c>
      <c r="BC3181" s="2">
        <f t="shared" si="1247"/>
        <v>6.6006600660066007E-4</v>
      </c>
      <c r="BD3181" s="2">
        <f t="shared" si="1248"/>
        <v>3.7403740374037406E-3</v>
      </c>
      <c r="BF3181" t="s">
        <v>3089</v>
      </c>
      <c r="BG3181" t="s">
        <v>3002</v>
      </c>
      <c r="BH3181" s="63">
        <v>7</v>
      </c>
      <c r="BJ3181" s="114">
        <v>55</v>
      </c>
      <c r="BK3181" s="116">
        <v>41</v>
      </c>
      <c r="BL3181" s="120">
        <f t="shared" si="1251"/>
        <v>55041</v>
      </c>
      <c r="BN3181" s="5" t="s">
        <v>3154</v>
      </c>
      <c r="CB3181" s="63">
        <v>26</v>
      </c>
      <c r="CD3181" s="63">
        <v>0</v>
      </c>
      <c r="CE3181" s="63">
        <v>0</v>
      </c>
      <c r="CO3181" s="63">
        <v>1584</v>
      </c>
      <c r="CP3181" s="63">
        <v>2788</v>
      </c>
      <c r="CQ3181" s="63">
        <v>3</v>
      </c>
      <c r="CR3181" s="63">
        <v>80</v>
      </c>
      <c r="CS3181" s="63">
        <v>37</v>
      </c>
      <c r="CT3181" s="63">
        <v>17</v>
      </c>
      <c r="CU3181" s="63">
        <v>3</v>
      </c>
      <c r="CV3181" s="63">
        <v>0</v>
      </c>
      <c r="CW3181" s="63"/>
      <c r="CX3181" s="63">
        <f t="shared" si="1250"/>
        <v>0</v>
      </c>
      <c r="CY3181" s="63"/>
      <c r="CZ3181" s="63">
        <v>0</v>
      </c>
      <c r="DA3181" s="63"/>
      <c r="DB3181" s="63">
        <v>1</v>
      </c>
      <c r="DC3181" s="63"/>
      <c r="DD3181" s="63"/>
      <c r="DE3181" s="63"/>
      <c r="DF3181" s="63">
        <v>0</v>
      </c>
      <c r="DG3181" s="63"/>
      <c r="DH3181" s="63">
        <v>0</v>
      </c>
      <c r="DI3181" s="63"/>
      <c r="DJ3181" s="63"/>
      <c r="DK3181" s="63"/>
      <c r="DL3181" s="63"/>
      <c r="DM3181" s="63"/>
      <c r="DN3181" s="63">
        <v>0</v>
      </c>
      <c r="DO3181" s="63">
        <v>0</v>
      </c>
      <c r="DQ3181" s="63">
        <v>27</v>
      </c>
      <c r="DR3181" s="63"/>
      <c r="DS3181" s="63">
        <v>0</v>
      </c>
      <c r="DT3181" s="63">
        <v>0</v>
      </c>
    </row>
    <row r="3182" spans="1:124" hidden="1" outlineLevel="1">
      <c r="A3182" t="s">
        <v>1417</v>
      </c>
      <c r="B3182" t="s">
        <v>3002</v>
      </c>
      <c r="C3182" s="1">
        <f t="shared" si="1240"/>
        <v>24368</v>
      </c>
      <c r="D3182" s="5">
        <f>IF(N3182&gt;0, RANK(N3182,(N3182:P3182,Q3182:AE3182)),0)</f>
        <v>2</v>
      </c>
      <c r="E3182" s="5">
        <f>IF(O3182&gt;0,RANK(O3182,(N3182:P3182,Q3182:AE3182)),0)</f>
        <v>1</v>
      </c>
      <c r="F3182" s="5">
        <f>IF(P3182&gt;0,RANK(P3182,(N3182:P3182,Q3182:AE3182)),0)</f>
        <v>7</v>
      </c>
      <c r="G3182" s="132">
        <f t="shared" si="1235"/>
        <v>2299</v>
      </c>
      <c r="H3182" s="137">
        <f t="shared" si="1236"/>
        <v>9.4345042678923172E-2</v>
      </c>
      <c r="I3182" s="2"/>
      <c r="J3182" s="2">
        <f t="shared" si="1241"/>
        <v>0.41246717005909389</v>
      </c>
      <c r="K3182" s="2">
        <f t="shared" si="1242"/>
        <v>0.50681221273801702</v>
      </c>
      <c r="L3182" s="2">
        <f t="shared" si="1243"/>
        <v>1.4773473407747866E-3</v>
      </c>
      <c r="M3182" s="2">
        <f t="shared" si="1244"/>
        <v>7.9243269862114357E-2</v>
      </c>
      <c r="N3182" s="63">
        <v>10051</v>
      </c>
      <c r="O3182" s="63">
        <v>12350</v>
      </c>
      <c r="P3182" s="63">
        <v>36</v>
      </c>
      <c r="Q3182" s="63">
        <v>1164</v>
      </c>
      <c r="R3182" s="63">
        <v>319</v>
      </c>
      <c r="S3182" s="63">
        <v>133</v>
      </c>
      <c r="T3182" s="63">
        <v>20</v>
      </c>
      <c r="U3182" s="63">
        <v>0</v>
      </c>
      <c r="V3182" s="63"/>
      <c r="W3182" s="63">
        <f t="shared" si="1249"/>
        <v>265</v>
      </c>
      <c r="X3182" s="63"/>
      <c r="Y3182" s="63">
        <v>2</v>
      </c>
      <c r="Z3182" s="63"/>
      <c r="AA3182" s="63">
        <v>26</v>
      </c>
      <c r="AB3182" s="63"/>
      <c r="AC3182" s="63"/>
      <c r="AD3182" s="63"/>
      <c r="AE3182" s="63">
        <v>0</v>
      </c>
      <c r="AF3182" s="63"/>
      <c r="AG3182" s="63">
        <v>0</v>
      </c>
      <c r="AH3182" s="63"/>
      <c r="AI3182" s="63"/>
      <c r="AJ3182" s="63"/>
      <c r="AK3182" s="63"/>
      <c r="AL3182" s="63"/>
      <c r="AM3182" s="63">
        <v>0</v>
      </c>
      <c r="AN3182" s="63">
        <v>2</v>
      </c>
      <c r="AO3182" s="63"/>
      <c r="AP3182" s="63"/>
      <c r="AQ3182" s="63"/>
      <c r="AR3182" s="63"/>
      <c r="AS3182" s="63"/>
      <c r="AT3182" s="63"/>
      <c r="AU3182" s="63"/>
      <c r="AW3182" s="5">
        <f>IF(Q3182&gt;0,RANK(Q3182,(N3182:P3182,Q3182:AE3182)),0)</f>
        <v>3</v>
      </c>
      <c r="AX3182" s="5">
        <f>IF(R3182&gt;0,RANK(R3182,(N3182:P3182,Q3182:AE3182)),0)</f>
        <v>4</v>
      </c>
      <c r="AY3182" s="5">
        <f>IF(T3182&gt;0,RANK(T3182,(N3182:P3182,Q3182:AE3182)),0)</f>
        <v>9</v>
      </c>
      <c r="AZ3182" s="5">
        <f>IF(S3182&gt;0,RANK(S3182,(N3182:P3182,Q3182:AE3182)),0)</f>
        <v>6</v>
      </c>
      <c r="BA3182" s="2">
        <f t="shared" si="1245"/>
        <v>4.7767564018384764E-2</v>
      </c>
      <c r="BB3182" s="2">
        <f t="shared" si="1246"/>
        <v>1.3090938936309915E-2</v>
      </c>
      <c r="BC3182" s="2">
        <f t="shared" si="1247"/>
        <v>8.2074852265265927E-4</v>
      </c>
      <c r="BD3182" s="2">
        <f t="shared" si="1248"/>
        <v>5.4579776756401837E-3</v>
      </c>
      <c r="BF3182" t="s">
        <v>1417</v>
      </c>
      <c r="BG3182" t="s">
        <v>3002</v>
      </c>
      <c r="BH3182" s="63">
        <v>3</v>
      </c>
      <c r="BJ3182" s="114">
        <v>55</v>
      </c>
      <c r="BK3182" s="116">
        <v>43</v>
      </c>
      <c r="BL3182" s="120">
        <f t="shared" si="1251"/>
        <v>55043</v>
      </c>
      <c r="BN3182" s="5" t="s">
        <v>3154</v>
      </c>
      <c r="CB3182" s="63">
        <v>265</v>
      </c>
      <c r="CD3182" s="63">
        <v>0</v>
      </c>
      <c r="CE3182" s="63">
        <v>0</v>
      </c>
      <c r="CO3182" s="63">
        <v>10046</v>
      </c>
      <c r="CP3182" s="63">
        <v>12349</v>
      </c>
      <c r="CQ3182" s="63">
        <v>40</v>
      </c>
      <c r="CR3182" s="63">
        <v>1159</v>
      </c>
      <c r="CS3182" s="63">
        <v>308</v>
      </c>
      <c r="CT3182" s="63">
        <v>142</v>
      </c>
      <c r="CU3182" s="63">
        <v>26</v>
      </c>
      <c r="CV3182" s="63">
        <v>0</v>
      </c>
      <c r="CW3182" s="63"/>
      <c r="CX3182" s="63">
        <f t="shared" si="1250"/>
        <v>0</v>
      </c>
      <c r="CY3182" s="63"/>
      <c r="CZ3182" s="63">
        <v>2</v>
      </c>
      <c r="DA3182" s="63"/>
      <c r="DB3182" s="63">
        <v>25</v>
      </c>
      <c r="DC3182" s="63"/>
      <c r="DD3182" s="63"/>
      <c r="DE3182" s="63"/>
      <c r="DF3182" s="63">
        <v>0</v>
      </c>
      <c r="DG3182" s="63"/>
      <c r="DH3182" s="63">
        <v>0</v>
      </c>
      <c r="DI3182" s="63"/>
      <c r="DJ3182" s="63"/>
      <c r="DK3182" s="63"/>
      <c r="DL3182" s="63"/>
      <c r="DM3182" s="63"/>
      <c r="DN3182" s="63">
        <v>0</v>
      </c>
      <c r="DO3182" s="63">
        <v>2</v>
      </c>
      <c r="DQ3182" s="63">
        <v>222</v>
      </c>
      <c r="DR3182" s="63"/>
      <c r="DS3182" s="63">
        <v>0</v>
      </c>
      <c r="DT3182" s="63">
        <v>0</v>
      </c>
    </row>
    <row r="3183" spans="1:124" hidden="1" outlineLevel="1">
      <c r="A3183" t="s">
        <v>2392</v>
      </c>
      <c r="B3183" t="s">
        <v>3002</v>
      </c>
      <c r="C3183" s="1">
        <f t="shared" si="1240"/>
        <v>18985</v>
      </c>
      <c r="D3183" s="5">
        <f>IF(N3183&gt;0, RANK(N3183,(N3183:P3183,Q3183:AE3183)),0)</f>
        <v>1</v>
      </c>
      <c r="E3183" s="5">
        <f>IF(O3183&gt;0,RANK(O3183,(N3183:P3183,Q3183:AE3183)),0)</f>
        <v>2</v>
      </c>
      <c r="F3183" s="5">
        <f>IF(P3183&gt;0,RANK(P3183,(N3183:P3183,Q3183:AE3183)),0)</f>
        <v>7</v>
      </c>
      <c r="G3183" s="132">
        <f t="shared" si="1235"/>
        <v>429</v>
      </c>
      <c r="H3183" s="137">
        <f t="shared" si="1236"/>
        <v>2.2596786937055569E-2</v>
      </c>
      <c r="I3183" s="2"/>
      <c r="J3183" s="2">
        <f t="shared" si="1241"/>
        <v>0.48048459309981567</v>
      </c>
      <c r="K3183" s="2">
        <f t="shared" si="1242"/>
        <v>0.45788780616276009</v>
      </c>
      <c r="L3183" s="2">
        <f t="shared" si="1243"/>
        <v>2.5283118251250986E-3</v>
      </c>
      <c r="M3183" s="2">
        <f t="shared" si="1244"/>
        <v>5.9099288912299194E-2</v>
      </c>
      <c r="N3183" s="63">
        <v>9122</v>
      </c>
      <c r="O3183" s="63">
        <v>8693</v>
      </c>
      <c r="P3183" s="63">
        <v>48</v>
      </c>
      <c r="Q3183" s="63">
        <v>687</v>
      </c>
      <c r="R3183" s="63">
        <v>196</v>
      </c>
      <c r="S3183" s="63">
        <v>79</v>
      </c>
      <c r="T3183" s="63">
        <v>4</v>
      </c>
      <c r="U3183" s="63">
        <v>0</v>
      </c>
      <c r="V3183" s="63"/>
      <c r="W3183" s="63">
        <f t="shared" si="1249"/>
        <v>144</v>
      </c>
      <c r="X3183" s="63"/>
      <c r="Y3183" s="63">
        <v>0</v>
      </c>
      <c r="Z3183" s="63"/>
      <c r="AA3183" s="63">
        <v>11</v>
      </c>
      <c r="AB3183" s="63"/>
      <c r="AC3183" s="63"/>
      <c r="AD3183" s="63"/>
      <c r="AE3183" s="63">
        <v>0</v>
      </c>
      <c r="AF3183" s="63"/>
      <c r="AG3183" s="63">
        <v>0</v>
      </c>
      <c r="AH3183" s="63"/>
      <c r="AI3183" s="63"/>
      <c r="AJ3183" s="63"/>
      <c r="AK3183" s="63"/>
      <c r="AL3183" s="63"/>
      <c r="AM3183" s="63">
        <v>1</v>
      </c>
      <c r="AN3183" s="63">
        <v>0</v>
      </c>
      <c r="AO3183" s="63"/>
      <c r="AP3183" s="63"/>
      <c r="AQ3183" s="63"/>
      <c r="AR3183" s="63"/>
      <c r="AS3183" s="63"/>
      <c r="AT3183" s="63"/>
      <c r="AU3183" s="63"/>
      <c r="AW3183" s="5">
        <f>IF(Q3183&gt;0,RANK(Q3183,(N3183:P3183,Q3183:AE3183)),0)</f>
        <v>3</v>
      </c>
      <c r="AX3183" s="5">
        <f>IF(R3183&gt;0,RANK(R3183,(N3183:P3183,Q3183:AE3183)),0)</f>
        <v>4</v>
      </c>
      <c r="AY3183" s="5">
        <f>IF(T3183&gt;0,RANK(T3183,(N3183:P3183,Q3183:AE3183)),0)</f>
        <v>9</v>
      </c>
      <c r="AZ3183" s="5">
        <f>IF(S3183&gt;0,RANK(S3183,(N3183:P3183,Q3183:AE3183)),0)</f>
        <v>6</v>
      </c>
      <c r="BA3183" s="2">
        <f t="shared" si="1245"/>
        <v>3.6186462997102979E-2</v>
      </c>
      <c r="BB3183" s="2">
        <f t="shared" si="1246"/>
        <v>1.0323939952594154E-2</v>
      </c>
      <c r="BC3183" s="2">
        <f t="shared" si="1247"/>
        <v>2.1069265209375823E-4</v>
      </c>
      <c r="BD3183" s="2">
        <f t="shared" si="1248"/>
        <v>4.161179878851725E-3</v>
      </c>
      <c r="BF3183" t="s">
        <v>2392</v>
      </c>
      <c r="BG3183" t="s">
        <v>3002</v>
      </c>
      <c r="BH3183" s="63">
        <v>2</v>
      </c>
      <c r="BJ3183" s="114">
        <v>55</v>
      </c>
      <c r="BK3183" s="116">
        <v>45</v>
      </c>
      <c r="BL3183" s="120">
        <f t="shared" si="1251"/>
        <v>55045</v>
      </c>
      <c r="BN3183" s="5" t="s">
        <v>3154</v>
      </c>
      <c r="CB3183" s="63">
        <v>144</v>
      </c>
      <c r="CD3183" s="63">
        <v>0</v>
      </c>
      <c r="CE3183" s="63">
        <v>0</v>
      </c>
      <c r="CO3183" s="63">
        <v>9122</v>
      </c>
      <c r="CP3183" s="63">
        <v>8693</v>
      </c>
      <c r="CQ3183" s="63">
        <v>36</v>
      </c>
      <c r="CR3183" s="63">
        <v>687</v>
      </c>
      <c r="CS3183" s="63">
        <v>196</v>
      </c>
      <c r="CT3183" s="63">
        <v>79</v>
      </c>
      <c r="CU3183" s="63">
        <v>4</v>
      </c>
      <c r="CV3183" s="63">
        <v>0</v>
      </c>
      <c r="CW3183" s="63"/>
      <c r="CX3183" s="63">
        <f t="shared" si="1250"/>
        <v>0</v>
      </c>
      <c r="CY3183" s="63"/>
      <c r="CZ3183" s="63">
        <v>0</v>
      </c>
      <c r="DA3183" s="63"/>
      <c r="DB3183" s="63">
        <v>11</v>
      </c>
      <c r="DC3183" s="63"/>
      <c r="DD3183" s="63"/>
      <c r="DE3183" s="63"/>
      <c r="DF3183" s="63">
        <v>0</v>
      </c>
      <c r="DG3183" s="63"/>
      <c r="DH3183" s="63">
        <v>0</v>
      </c>
      <c r="DI3183" s="63"/>
      <c r="DJ3183" s="63"/>
      <c r="DK3183" s="63"/>
      <c r="DL3183" s="63"/>
      <c r="DM3183" s="63"/>
      <c r="DN3183" s="63">
        <v>1</v>
      </c>
      <c r="DO3183" s="63">
        <v>0</v>
      </c>
      <c r="DQ3183" s="63">
        <v>156</v>
      </c>
      <c r="DR3183" s="63"/>
      <c r="DS3183" s="63">
        <v>0</v>
      </c>
      <c r="DT3183" s="63">
        <v>0</v>
      </c>
    </row>
    <row r="3184" spans="1:124" hidden="1" outlineLevel="1">
      <c r="A3184" t="s">
        <v>1619</v>
      </c>
      <c r="B3184" t="s">
        <v>3002</v>
      </c>
      <c r="C3184" s="1">
        <f t="shared" si="1240"/>
        <v>9416</v>
      </c>
      <c r="D3184" s="5">
        <f>IF(N3184&gt;0, RANK(N3184,(N3184:P3184,Q3184:AE3184)),0)</f>
        <v>2</v>
      </c>
      <c r="E3184" s="5">
        <f>IF(O3184&gt;0,RANK(O3184,(N3184:P3184,Q3184:AE3184)),0)</f>
        <v>1</v>
      </c>
      <c r="F3184" s="5">
        <f>IF(P3184&gt;0,RANK(P3184,(N3184:P3184,Q3184:AE3184)),0)</f>
        <v>7</v>
      </c>
      <c r="G3184" s="132">
        <f t="shared" si="1235"/>
        <v>3523</v>
      </c>
      <c r="H3184" s="137">
        <f t="shared" si="1236"/>
        <v>0.37415038232795245</v>
      </c>
      <c r="I3184" s="2"/>
      <c r="J3184" s="2">
        <f t="shared" si="1241"/>
        <v>0.28600254885301613</v>
      </c>
      <c r="K3184" s="2">
        <f t="shared" si="1242"/>
        <v>0.66015293118096852</v>
      </c>
      <c r="L3184" s="2">
        <f t="shared" si="1243"/>
        <v>4.3542905692438407E-3</v>
      </c>
      <c r="M3184" s="2">
        <f t="shared" si="1244"/>
        <v>4.9490229396771515E-2</v>
      </c>
      <c r="N3184" s="63">
        <v>2693</v>
      </c>
      <c r="O3184" s="63">
        <v>6216</v>
      </c>
      <c r="P3184" s="63">
        <v>41</v>
      </c>
      <c r="Q3184" s="63">
        <v>276</v>
      </c>
      <c r="R3184" s="63">
        <v>75</v>
      </c>
      <c r="S3184" s="63">
        <v>48</v>
      </c>
      <c r="T3184" s="63">
        <v>1</v>
      </c>
      <c r="U3184" s="63">
        <v>0</v>
      </c>
      <c r="V3184" s="63"/>
      <c r="W3184" s="63">
        <f t="shared" si="1249"/>
        <v>58</v>
      </c>
      <c r="X3184" s="63"/>
      <c r="Y3184" s="63">
        <v>0</v>
      </c>
      <c r="Z3184" s="63"/>
      <c r="AA3184" s="63">
        <v>8</v>
      </c>
      <c r="AB3184" s="63"/>
      <c r="AC3184" s="63"/>
      <c r="AD3184" s="63"/>
      <c r="AE3184" s="63">
        <v>0</v>
      </c>
      <c r="AF3184" s="63"/>
      <c r="AG3184" s="63">
        <v>0</v>
      </c>
      <c r="AH3184" s="63"/>
      <c r="AI3184" s="63"/>
      <c r="AJ3184" s="63"/>
      <c r="AK3184" s="63"/>
      <c r="AL3184" s="63"/>
      <c r="AM3184" s="63">
        <v>0</v>
      </c>
      <c r="AN3184" s="63">
        <v>0</v>
      </c>
      <c r="AO3184" s="63"/>
      <c r="AP3184" s="63"/>
      <c r="AQ3184" s="63"/>
      <c r="AR3184" s="63"/>
      <c r="AS3184" s="63"/>
      <c r="AT3184" s="63"/>
      <c r="AU3184" s="63"/>
      <c r="AW3184" s="5">
        <f>IF(Q3184&gt;0,RANK(Q3184,(N3184:P3184,Q3184:AE3184)),0)</f>
        <v>3</v>
      </c>
      <c r="AX3184" s="5">
        <f>IF(R3184&gt;0,RANK(R3184,(N3184:P3184,Q3184:AE3184)),0)</f>
        <v>4</v>
      </c>
      <c r="AY3184" s="5">
        <f>IF(T3184&gt;0,RANK(T3184,(N3184:P3184,Q3184:AE3184)),0)</f>
        <v>9</v>
      </c>
      <c r="AZ3184" s="5">
        <f>IF(S3184&gt;0,RANK(S3184,(N3184:P3184,Q3184:AE3184)),0)</f>
        <v>6</v>
      </c>
      <c r="BA3184" s="2">
        <f t="shared" si="1245"/>
        <v>2.9311809685641461E-2</v>
      </c>
      <c r="BB3184" s="2">
        <f t="shared" si="1246"/>
        <v>7.9651656754460495E-3</v>
      </c>
      <c r="BC3184" s="2">
        <f t="shared" si="1247"/>
        <v>1.0620220900594733E-4</v>
      </c>
      <c r="BD3184" s="2">
        <f t="shared" si="1248"/>
        <v>5.0977060322854716E-3</v>
      </c>
      <c r="BF3184" t="s">
        <v>1619</v>
      </c>
      <c r="BG3184" t="s">
        <v>3002</v>
      </c>
      <c r="BH3184" s="63">
        <v>6</v>
      </c>
      <c r="BJ3184" s="114">
        <v>55</v>
      </c>
      <c r="BK3184" s="116">
        <v>47</v>
      </c>
      <c r="BL3184" s="120">
        <f t="shared" si="1251"/>
        <v>55047</v>
      </c>
      <c r="BN3184" s="5" t="s">
        <v>3154</v>
      </c>
      <c r="CB3184" s="63">
        <v>58</v>
      </c>
      <c r="CD3184" s="63">
        <v>0</v>
      </c>
      <c r="CE3184" s="63">
        <v>0</v>
      </c>
      <c r="CO3184" s="63">
        <v>2701</v>
      </c>
      <c r="CP3184" s="63">
        <v>6213</v>
      </c>
      <c r="CQ3184" s="63">
        <v>34</v>
      </c>
      <c r="CR3184" s="63">
        <v>274</v>
      </c>
      <c r="CS3184" s="63">
        <v>75</v>
      </c>
      <c r="CT3184" s="63">
        <v>48</v>
      </c>
      <c r="CU3184" s="63">
        <v>1</v>
      </c>
      <c r="CV3184" s="63">
        <v>0</v>
      </c>
      <c r="CW3184" s="63"/>
      <c r="CX3184" s="63">
        <f t="shared" si="1250"/>
        <v>0</v>
      </c>
      <c r="CY3184" s="63"/>
      <c r="CZ3184" s="63">
        <v>0</v>
      </c>
      <c r="DA3184" s="63"/>
      <c r="DB3184" s="63">
        <v>8</v>
      </c>
      <c r="DC3184" s="63"/>
      <c r="DD3184" s="63"/>
      <c r="DE3184" s="63"/>
      <c r="DF3184" s="63">
        <v>0</v>
      </c>
      <c r="DG3184" s="63"/>
      <c r="DH3184" s="63">
        <v>0</v>
      </c>
      <c r="DI3184" s="63"/>
      <c r="DJ3184" s="63"/>
      <c r="DK3184" s="63"/>
      <c r="DL3184" s="63"/>
      <c r="DM3184" s="63"/>
      <c r="DN3184" s="63">
        <v>0</v>
      </c>
      <c r="DO3184" s="63">
        <v>0</v>
      </c>
      <c r="DQ3184" s="63">
        <v>34</v>
      </c>
      <c r="DR3184" s="63"/>
      <c r="DS3184" s="63">
        <v>0</v>
      </c>
      <c r="DT3184" s="63">
        <v>0</v>
      </c>
    </row>
    <row r="3185" spans="1:124" hidden="1" outlineLevel="1">
      <c r="A3185" t="s">
        <v>1621</v>
      </c>
      <c r="B3185" t="s">
        <v>3002</v>
      </c>
      <c r="C3185" s="1">
        <f t="shared" si="1240"/>
        <v>12275</v>
      </c>
      <c r="D3185" s="5">
        <f>IF(N3185&gt;0, RANK(N3185,(N3185:P3185,Q3185:AE3185)),0)</f>
        <v>1</v>
      </c>
      <c r="E3185" s="5">
        <f>IF(O3185&gt;0,RANK(O3185,(N3185:P3185,Q3185:AE3185)),0)</f>
        <v>2</v>
      </c>
      <c r="F3185" s="5">
        <f>IF(P3185&gt;0,RANK(P3185,(N3185:P3185,Q3185:AE3185)),0)</f>
        <v>7</v>
      </c>
      <c r="G3185" s="132">
        <f t="shared" si="1235"/>
        <v>1860</v>
      </c>
      <c r="H3185" s="137">
        <f t="shared" si="1236"/>
        <v>0.1515274949083503</v>
      </c>
      <c r="I3185" s="2"/>
      <c r="J3185" s="2">
        <f t="shared" si="1241"/>
        <v>0.54329938900203667</v>
      </c>
      <c r="K3185" s="2">
        <f t="shared" si="1242"/>
        <v>0.39177189409368635</v>
      </c>
      <c r="L3185" s="2">
        <f t="shared" si="1243"/>
        <v>1.5478615071283096E-3</v>
      </c>
      <c r="M3185" s="2">
        <f t="shared" si="1244"/>
        <v>6.3380855397148675E-2</v>
      </c>
      <c r="N3185" s="63">
        <v>6669</v>
      </c>
      <c r="O3185" s="63">
        <v>4809</v>
      </c>
      <c r="P3185" s="63">
        <v>19</v>
      </c>
      <c r="Q3185" s="63">
        <v>456</v>
      </c>
      <c r="R3185" s="63">
        <v>116</v>
      </c>
      <c r="S3185" s="63">
        <v>60</v>
      </c>
      <c r="T3185" s="63">
        <v>5</v>
      </c>
      <c r="U3185" s="63">
        <v>0</v>
      </c>
      <c r="V3185" s="63"/>
      <c r="W3185" s="63">
        <f t="shared" si="1249"/>
        <v>129</v>
      </c>
      <c r="X3185" s="63"/>
      <c r="Y3185" s="63">
        <v>0</v>
      </c>
      <c r="Z3185" s="63"/>
      <c r="AA3185" s="63">
        <v>12</v>
      </c>
      <c r="AB3185" s="63"/>
      <c r="AC3185" s="63"/>
      <c r="AD3185" s="63"/>
      <c r="AE3185" s="63">
        <v>0</v>
      </c>
      <c r="AF3185" s="63"/>
      <c r="AG3185" s="63">
        <v>0</v>
      </c>
      <c r="AH3185" s="63"/>
      <c r="AI3185" s="63"/>
      <c r="AJ3185" s="63"/>
      <c r="AK3185" s="63"/>
      <c r="AL3185" s="63"/>
      <c r="AM3185" s="63">
        <v>0</v>
      </c>
      <c r="AN3185" s="63">
        <v>0</v>
      </c>
      <c r="AO3185" s="63"/>
      <c r="AP3185" s="63"/>
      <c r="AQ3185" s="63"/>
      <c r="AR3185" s="63"/>
      <c r="AS3185" s="63"/>
      <c r="AT3185" s="63"/>
      <c r="AU3185" s="63"/>
      <c r="AW3185" s="5">
        <f>IF(Q3185&gt;0,RANK(Q3185,(N3185:P3185,Q3185:AE3185)),0)</f>
        <v>3</v>
      </c>
      <c r="AX3185" s="5">
        <f>IF(R3185&gt;0,RANK(R3185,(N3185:P3185,Q3185:AE3185)),0)</f>
        <v>5</v>
      </c>
      <c r="AY3185" s="5">
        <f>IF(T3185&gt;0,RANK(T3185,(N3185:P3185,Q3185:AE3185)),0)</f>
        <v>9</v>
      </c>
      <c r="AZ3185" s="5">
        <f>IF(S3185&gt;0,RANK(S3185,(N3185:P3185,Q3185:AE3185)),0)</f>
        <v>6</v>
      </c>
      <c r="BA3185" s="2">
        <f t="shared" si="1245"/>
        <v>3.7148676171079427E-2</v>
      </c>
      <c r="BB3185" s="2">
        <f t="shared" si="1246"/>
        <v>9.4501018329938898E-3</v>
      </c>
      <c r="BC3185" s="2">
        <f t="shared" si="1247"/>
        <v>4.0733197556008148E-4</v>
      </c>
      <c r="BD3185" s="2">
        <f t="shared" si="1248"/>
        <v>4.887983706720978E-3</v>
      </c>
      <c r="BF3185" t="s">
        <v>1621</v>
      </c>
      <c r="BG3185" t="s">
        <v>3002</v>
      </c>
      <c r="BH3185" s="63">
        <v>2</v>
      </c>
      <c r="BJ3185" s="114">
        <v>55</v>
      </c>
      <c r="BK3185" s="116">
        <v>49</v>
      </c>
      <c r="BL3185" s="120">
        <f t="shared" si="1251"/>
        <v>55049</v>
      </c>
      <c r="BN3185" s="5" t="s">
        <v>3154</v>
      </c>
      <c r="CB3185" s="63">
        <v>129</v>
      </c>
      <c r="CD3185" s="63">
        <v>0</v>
      </c>
      <c r="CE3185" s="63">
        <v>0</v>
      </c>
      <c r="CO3185" s="63">
        <v>6669</v>
      </c>
      <c r="CP3185" s="63">
        <v>4809</v>
      </c>
      <c r="CQ3185" s="63">
        <v>5</v>
      </c>
      <c r="CR3185" s="63">
        <v>456</v>
      </c>
      <c r="CS3185" s="63">
        <v>115</v>
      </c>
      <c r="CT3185" s="63">
        <v>60</v>
      </c>
      <c r="CU3185" s="63">
        <v>5</v>
      </c>
      <c r="CV3185" s="63">
        <v>0</v>
      </c>
      <c r="CW3185" s="63"/>
      <c r="CX3185" s="63">
        <f t="shared" si="1250"/>
        <v>0</v>
      </c>
      <c r="CY3185" s="63"/>
      <c r="CZ3185" s="63">
        <v>0</v>
      </c>
      <c r="DA3185" s="63"/>
      <c r="DB3185" s="63">
        <v>12</v>
      </c>
      <c r="DC3185" s="63"/>
      <c r="DD3185" s="63"/>
      <c r="DE3185" s="63"/>
      <c r="DF3185" s="63">
        <v>0</v>
      </c>
      <c r="DG3185" s="63"/>
      <c r="DH3185" s="63">
        <v>0</v>
      </c>
      <c r="DI3185" s="63"/>
      <c r="DJ3185" s="63"/>
      <c r="DK3185" s="63"/>
      <c r="DL3185" s="63"/>
      <c r="DM3185" s="63"/>
      <c r="DN3185" s="63">
        <v>0</v>
      </c>
      <c r="DO3185" s="63">
        <v>0</v>
      </c>
      <c r="DQ3185" s="63">
        <v>129</v>
      </c>
      <c r="DR3185" s="63"/>
      <c r="DS3185" s="63">
        <v>0</v>
      </c>
      <c r="DT3185" s="63">
        <v>0</v>
      </c>
    </row>
    <row r="3186" spans="1:124" hidden="1" outlineLevel="1">
      <c r="A3186" t="s">
        <v>2833</v>
      </c>
      <c r="B3186" t="s">
        <v>3002</v>
      </c>
      <c r="C3186" s="1">
        <f t="shared" si="1240"/>
        <v>3513</v>
      </c>
      <c r="D3186" s="5">
        <f>IF(N3186&gt;0, RANK(N3186,(N3186:P3186,Q3186:AE3186)),0)</f>
        <v>2</v>
      </c>
      <c r="E3186" s="5">
        <f>IF(O3186&gt;0,RANK(O3186,(N3186:P3186,Q3186:AE3186)),0)</f>
        <v>1</v>
      </c>
      <c r="F3186" s="5">
        <f>IF(P3186&gt;0,RANK(P3186,(N3186:P3186,Q3186:AE3186)),0)</f>
        <v>7</v>
      </c>
      <c r="G3186" s="132">
        <f t="shared" si="1235"/>
        <v>806</v>
      </c>
      <c r="H3186" s="137">
        <f t="shared" si="1236"/>
        <v>0.22943353259322516</v>
      </c>
      <c r="I3186" s="2"/>
      <c r="J3186" s="2">
        <f t="shared" si="1241"/>
        <v>0.36293766011955592</v>
      </c>
      <c r="K3186" s="2">
        <f t="shared" si="1242"/>
        <v>0.59237119271278105</v>
      </c>
      <c r="L3186" s="2">
        <f t="shared" si="1243"/>
        <v>1.7079419299743809E-3</v>
      </c>
      <c r="M3186" s="2">
        <f t="shared" si="1244"/>
        <v>4.2983205237688601E-2</v>
      </c>
      <c r="N3186" s="63">
        <v>1275</v>
      </c>
      <c r="O3186" s="63">
        <v>2081</v>
      </c>
      <c r="P3186" s="63">
        <v>6</v>
      </c>
      <c r="Q3186" s="63">
        <v>70</v>
      </c>
      <c r="R3186" s="63">
        <v>40</v>
      </c>
      <c r="S3186" s="63">
        <v>8</v>
      </c>
      <c r="T3186" s="63">
        <v>0</v>
      </c>
      <c r="U3186" s="63">
        <v>0</v>
      </c>
      <c r="V3186" s="63"/>
      <c r="W3186" s="63">
        <f t="shared" si="1249"/>
        <v>33</v>
      </c>
      <c r="X3186" s="63"/>
      <c r="Y3186" s="63">
        <v>0</v>
      </c>
      <c r="Z3186" s="63"/>
      <c r="AA3186" s="63">
        <v>0</v>
      </c>
      <c r="AB3186" s="63"/>
      <c r="AC3186" s="63"/>
      <c r="AD3186" s="63"/>
      <c r="AE3186" s="63">
        <v>0</v>
      </c>
      <c r="AF3186" s="63"/>
      <c r="AG3186" s="63">
        <v>0</v>
      </c>
      <c r="AH3186" s="63"/>
      <c r="AI3186" s="63"/>
      <c r="AJ3186" s="63"/>
      <c r="AK3186" s="63"/>
      <c r="AL3186" s="63"/>
      <c r="AM3186" s="63">
        <v>0</v>
      </c>
      <c r="AN3186" s="63">
        <v>0</v>
      </c>
      <c r="AO3186" s="63"/>
      <c r="AP3186" s="63"/>
      <c r="AQ3186" s="63"/>
      <c r="AR3186" s="63"/>
      <c r="AS3186" s="63"/>
      <c r="AT3186" s="63"/>
      <c r="AU3186" s="63"/>
      <c r="AW3186" s="5">
        <f>IF(Q3186&gt;0,RANK(Q3186,(N3186:P3186,Q3186:AE3186)),0)</f>
        <v>3</v>
      </c>
      <c r="AX3186" s="5">
        <f>IF(R3186&gt;0,RANK(R3186,(N3186:P3186,Q3186:AE3186)),0)</f>
        <v>4</v>
      </c>
      <c r="AY3186" s="5">
        <f>IF(T3186&gt;0,RANK(T3186,(N3186:P3186,Q3186:AE3186)),0)</f>
        <v>0</v>
      </c>
      <c r="AZ3186" s="5">
        <f>IF(S3186&gt;0,RANK(S3186,(N3186:P3186,Q3186:AE3186)),0)</f>
        <v>6</v>
      </c>
      <c r="BA3186" s="2">
        <f t="shared" si="1245"/>
        <v>1.9925989183034443E-2</v>
      </c>
      <c r="BB3186" s="2">
        <f t="shared" si="1246"/>
        <v>1.1386279533162539E-2</v>
      </c>
      <c r="BC3186" s="2">
        <f t="shared" si="1247"/>
        <v>0</v>
      </c>
      <c r="BD3186" s="2">
        <f t="shared" si="1248"/>
        <v>2.2772559066325079E-3</v>
      </c>
      <c r="BF3186" t="s">
        <v>2833</v>
      </c>
      <c r="BG3186" t="s">
        <v>3002</v>
      </c>
      <c r="BH3186" s="63">
        <v>7</v>
      </c>
      <c r="BJ3186" s="114">
        <v>55</v>
      </c>
      <c r="BK3186" s="116">
        <v>51</v>
      </c>
      <c r="BL3186" s="120">
        <f t="shared" si="1251"/>
        <v>55051</v>
      </c>
      <c r="BN3186" s="5" t="s">
        <v>3154</v>
      </c>
      <c r="CB3186" s="63">
        <v>33</v>
      </c>
      <c r="CD3186" s="63">
        <v>0</v>
      </c>
      <c r="CE3186" s="63">
        <v>0</v>
      </c>
      <c r="CO3186" s="63">
        <v>1273</v>
      </c>
      <c r="CP3186" s="63">
        <v>2090</v>
      </c>
      <c r="CQ3186" s="63">
        <v>2</v>
      </c>
      <c r="CR3186" s="63">
        <v>72</v>
      </c>
      <c r="CS3186" s="63">
        <v>34</v>
      </c>
      <c r="CT3186" s="63">
        <v>9</v>
      </c>
      <c r="CU3186" s="63">
        <v>0</v>
      </c>
      <c r="CV3186" s="63">
        <v>0</v>
      </c>
      <c r="CW3186" s="63"/>
      <c r="CX3186" s="63">
        <f t="shared" si="1250"/>
        <v>0</v>
      </c>
      <c r="CY3186" s="63"/>
      <c r="CZ3186" s="63">
        <v>0</v>
      </c>
      <c r="DA3186" s="63"/>
      <c r="DB3186" s="63">
        <v>0</v>
      </c>
      <c r="DC3186" s="63"/>
      <c r="DD3186" s="63"/>
      <c r="DE3186" s="63"/>
      <c r="DF3186" s="63">
        <v>0</v>
      </c>
      <c r="DG3186" s="63"/>
      <c r="DH3186" s="63">
        <v>0</v>
      </c>
      <c r="DI3186" s="63"/>
      <c r="DJ3186" s="63"/>
      <c r="DK3186" s="63"/>
      <c r="DL3186" s="63"/>
      <c r="DM3186" s="63"/>
      <c r="DN3186" s="63">
        <v>0</v>
      </c>
      <c r="DO3186" s="63">
        <v>0</v>
      </c>
      <c r="DQ3186" s="63">
        <v>17</v>
      </c>
      <c r="DR3186" s="63"/>
      <c r="DS3186" s="63">
        <v>0</v>
      </c>
      <c r="DT3186" s="63">
        <v>0</v>
      </c>
    </row>
    <row r="3187" spans="1:124" hidden="1" outlineLevel="1">
      <c r="A3187" t="s">
        <v>2921</v>
      </c>
      <c r="B3187" t="s">
        <v>3002</v>
      </c>
      <c r="C3187" s="1">
        <f t="shared" si="1240"/>
        <v>9267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7</v>
      </c>
      <c r="G3187" s="132">
        <f t="shared" si="1235"/>
        <v>1088</v>
      </c>
      <c r="H3187" s="137">
        <f t="shared" si="1236"/>
        <v>0.11740584871047804</v>
      </c>
      <c r="I3187" s="2"/>
      <c r="J3187" s="2">
        <f t="shared" si="1241"/>
        <v>0.41199956836085033</v>
      </c>
      <c r="K3187" s="2">
        <f t="shared" si="1242"/>
        <v>0.52940541707132838</v>
      </c>
      <c r="L3187" s="2">
        <f t="shared" si="1243"/>
        <v>2.0502859609366569E-3</v>
      </c>
      <c r="M3187" s="2">
        <f t="shared" si="1244"/>
        <v>5.654472860688458E-2</v>
      </c>
      <c r="N3187" s="63">
        <v>3818</v>
      </c>
      <c r="O3187" s="63">
        <v>4906</v>
      </c>
      <c r="P3187" s="63">
        <v>19</v>
      </c>
      <c r="Q3187" s="63">
        <v>300</v>
      </c>
      <c r="R3187" s="63">
        <v>108</v>
      </c>
      <c r="S3187" s="63">
        <v>50</v>
      </c>
      <c r="T3187" s="63">
        <v>13</v>
      </c>
      <c r="U3187" s="63">
        <v>0</v>
      </c>
      <c r="V3187" s="63"/>
      <c r="W3187" s="63">
        <f t="shared" si="1249"/>
        <v>47</v>
      </c>
      <c r="X3187" s="63"/>
      <c r="Y3187" s="63">
        <v>0</v>
      </c>
      <c r="Z3187" s="63"/>
      <c r="AA3187" s="63">
        <v>5</v>
      </c>
      <c r="AB3187" s="63"/>
      <c r="AC3187" s="63"/>
      <c r="AD3187" s="63"/>
      <c r="AE3187" s="63">
        <v>0</v>
      </c>
      <c r="AF3187" s="63"/>
      <c r="AG3187" s="63">
        <v>0</v>
      </c>
      <c r="AH3187" s="63"/>
      <c r="AI3187" s="63"/>
      <c r="AJ3187" s="63"/>
      <c r="AK3187" s="63"/>
      <c r="AL3187" s="63"/>
      <c r="AM3187" s="63">
        <v>0</v>
      </c>
      <c r="AN3187" s="63">
        <v>1</v>
      </c>
      <c r="AO3187" s="63"/>
      <c r="AP3187" s="63"/>
      <c r="AQ3187" s="63"/>
      <c r="AR3187" s="63"/>
      <c r="AS3187" s="63"/>
      <c r="AT3187" s="63"/>
      <c r="AU3187" s="63"/>
      <c r="AW3187" s="5">
        <f>IF(Q3187&gt;0,RANK(Q3187,(N3187:P3187,Q3187:AE3187)),0)</f>
        <v>3</v>
      </c>
      <c r="AX3187" s="5">
        <f>IF(R3187&gt;0,RANK(R3187,(N3187:P3187,Q3187:AE3187)),0)</f>
        <v>4</v>
      </c>
      <c r="AY3187" s="5">
        <f>IF(T3187&gt;0,RANK(T3187,(N3187:P3187,Q3187:AE3187)),0)</f>
        <v>8</v>
      </c>
      <c r="AZ3187" s="5">
        <f>IF(S3187&gt;0,RANK(S3187,(N3187:P3187,Q3187:AE3187)),0)</f>
        <v>5</v>
      </c>
      <c r="BA3187" s="2">
        <f t="shared" si="1245"/>
        <v>3.2372936225315639E-2</v>
      </c>
      <c r="BB3187" s="2">
        <f t="shared" si="1246"/>
        <v>1.1654257041113629E-2</v>
      </c>
      <c r="BC3187" s="2">
        <f t="shared" si="1247"/>
        <v>1.4028272364303442E-3</v>
      </c>
      <c r="BD3187" s="2">
        <f t="shared" si="1248"/>
        <v>5.395489370885939E-3</v>
      </c>
      <c r="BF3187" t="s">
        <v>2921</v>
      </c>
      <c r="BG3187" t="s">
        <v>3002</v>
      </c>
      <c r="BH3187" s="63"/>
      <c r="BJ3187" s="114">
        <v>55</v>
      </c>
      <c r="BK3187" s="116">
        <v>53</v>
      </c>
      <c r="BL3187" s="120">
        <f t="shared" si="1251"/>
        <v>55053</v>
      </c>
      <c r="BN3187" s="5" t="s">
        <v>3154</v>
      </c>
      <c r="CB3187" s="63">
        <v>47</v>
      </c>
      <c r="CD3187" s="63">
        <v>0</v>
      </c>
      <c r="CE3187" s="63">
        <v>0</v>
      </c>
      <c r="CO3187" s="63">
        <v>3821</v>
      </c>
      <c r="CP3187" s="63">
        <v>4907</v>
      </c>
      <c r="CQ3187" s="63">
        <v>19</v>
      </c>
      <c r="CR3187" s="63">
        <v>300</v>
      </c>
      <c r="CS3187" s="63">
        <v>108</v>
      </c>
      <c r="CT3187" s="63">
        <v>51</v>
      </c>
      <c r="CU3187" s="63">
        <v>13</v>
      </c>
      <c r="CV3187" s="63">
        <v>0</v>
      </c>
      <c r="CW3187" s="63"/>
      <c r="CX3187" s="63">
        <f t="shared" si="1250"/>
        <v>0</v>
      </c>
      <c r="CY3187" s="63"/>
      <c r="CZ3187" s="63">
        <v>0</v>
      </c>
      <c r="DA3187" s="63"/>
      <c r="DB3187" s="63">
        <v>5</v>
      </c>
      <c r="DC3187" s="63"/>
      <c r="DD3187" s="63"/>
      <c r="DE3187" s="63"/>
      <c r="DF3187" s="63">
        <v>0</v>
      </c>
      <c r="DG3187" s="63"/>
      <c r="DH3187" s="63">
        <v>0</v>
      </c>
      <c r="DI3187" s="63"/>
      <c r="DJ3187" s="63"/>
      <c r="DK3187" s="63"/>
      <c r="DL3187" s="63"/>
      <c r="DM3187" s="63"/>
      <c r="DN3187" s="63">
        <v>0</v>
      </c>
      <c r="DO3187" s="63">
        <v>1</v>
      </c>
      <c r="DQ3187" s="63">
        <v>47</v>
      </c>
      <c r="DR3187" s="63"/>
      <c r="DS3187" s="63">
        <v>0</v>
      </c>
      <c r="DT3187" s="63">
        <v>0</v>
      </c>
    </row>
    <row r="3188" spans="1:124" hidden="1" outlineLevel="1">
      <c r="A3188" t="s">
        <v>1092</v>
      </c>
      <c r="B3188" t="s">
        <v>3002</v>
      </c>
      <c r="C3188" s="1">
        <f t="shared" si="1240"/>
        <v>43109</v>
      </c>
      <c r="D3188" s="5">
        <f>IF(N3188&gt;0, RANK(N3188,(N3188:P3188,Q3188:AE3188)),0)</f>
        <v>2</v>
      </c>
      <c r="E3188" s="5">
        <f>IF(O3188&gt;0,RANK(O3188,(N3188:P3188,Q3188:AE3188)),0)</f>
        <v>1</v>
      </c>
      <c r="F3188" s="5">
        <f>IF(P3188&gt;0,RANK(P3188,(N3188:P3188,Q3188:AE3188)),0)</f>
        <v>6</v>
      </c>
      <c r="G3188" s="132">
        <f t="shared" si="1235"/>
        <v>6848</v>
      </c>
      <c r="H3188" s="137">
        <f t="shared" si="1236"/>
        <v>0.15885313971560464</v>
      </c>
      <c r="I3188" s="2"/>
      <c r="J3188" s="2">
        <f t="shared" si="1241"/>
        <v>0.38435129555313274</v>
      </c>
      <c r="K3188" s="2">
        <f t="shared" si="1242"/>
        <v>0.54320443526873741</v>
      </c>
      <c r="L3188" s="2">
        <f t="shared" si="1243"/>
        <v>7.4694379363937921E-3</v>
      </c>
      <c r="M3188" s="2">
        <f t="shared" si="1244"/>
        <v>6.4974831241736059E-2</v>
      </c>
      <c r="N3188" s="63">
        <v>16569</v>
      </c>
      <c r="O3188" s="63">
        <v>23417</v>
      </c>
      <c r="P3188" s="63">
        <v>322</v>
      </c>
      <c r="Q3188" s="63">
        <v>1662</v>
      </c>
      <c r="R3188" s="63">
        <v>461</v>
      </c>
      <c r="S3188" s="63">
        <v>178</v>
      </c>
      <c r="T3188" s="63">
        <v>26</v>
      </c>
      <c r="U3188" s="63">
        <v>0</v>
      </c>
      <c r="V3188" s="63"/>
      <c r="W3188" s="63">
        <f t="shared" si="1249"/>
        <v>444</v>
      </c>
      <c r="X3188" s="63"/>
      <c r="Y3188" s="63">
        <v>0</v>
      </c>
      <c r="Z3188" s="63"/>
      <c r="AA3188" s="63">
        <v>29</v>
      </c>
      <c r="AB3188" s="63"/>
      <c r="AC3188" s="63"/>
      <c r="AD3188" s="63"/>
      <c r="AE3188" s="63">
        <v>0</v>
      </c>
      <c r="AF3188" s="63"/>
      <c r="AG3188" s="63">
        <v>1</v>
      </c>
      <c r="AH3188" s="63"/>
      <c r="AI3188" s="63"/>
      <c r="AJ3188" s="63"/>
      <c r="AK3188" s="63"/>
      <c r="AL3188" s="63"/>
      <c r="AM3188" s="63">
        <v>0</v>
      </c>
      <c r="AN3188" s="63">
        <v>0</v>
      </c>
      <c r="AO3188" s="63"/>
      <c r="AP3188" s="63"/>
      <c r="AQ3188" s="63"/>
      <c r="AR3188" s="63"/>
      <c r="AS3188" s="63"/>
      <c r="AT3188" s="63"/>
      <c r="AU3188" s="63"/>
      <c r="AW3188" s="5">
        <f>IF(Q3188&gt;0,RANK(Q3188,(N3188:P3188,Q3188:AE3188)),0)</f>
        <v>3</v>
      </c>
      <c r="AX3188" s="5">
        <f>IF(R3188&gt;0,RANK(R3188,(N3188:P3188,Q3188:AE3188)),0)</f>
        <v>4</v>
      </c>
      <c r="AY3188" s="5">
        <f>IF(T3188&gt;0,RANK(T3188,(N3188:P3188,Q3188:AE3188)),0)</f>
        <v>9</v>
      </c>
      <c r="AZ3188" s="5">
        <f>IF(S3188&gt;0,RANK(S3188,(N3188:P3188,Q3188:AE3188)),0)</f>
        <v>7</v>
      </c>
      <c r="BA3188" s="2">
        <f t="shared" si="1245"/>
        <v>3.8553434317659882E-2</v>
      </c>
      <c r="BB3188" s="2">
        <f t="shared" si="1246"/>
        <v>1.0693822635644529E-2</v>
      </c>
      <c r="BC3188" s="2">
        <f t="shared" si="1247"/>
        <v>6.0312231784546153E-4</v>
      </c>
      <c r="BD3188" s="2">
        <f t="shared" si="1248"/>
        <v>4.1290681760189291E-3</v>
      </c>
      <c r="BF3188" t="s">
        <v>1092</v>
      </c>
      <c r="BG3188" t="s">
        <v>3002</v>
      </c>
      <c r="BH3188" s="63">
        <v>5</v>
      </c>
      <c r="BJ3188" s="114">
        <v>55</v>
      </c>
      <c r="BK3188" s="116">
        <v>55</v>
      </c>
      <c r="BL3188" s="120">
        <f t="shared" si="1251"/>
        <v>55055</v>
      </c>
      <c r="BN3188" s="5" t="s">
        <v>3154</v>
      </c>
      <c r="CB3188" s="63">
        <v>444</v>
      </c>
      <c r="CD3188" s="63">
        <v>0</v>
      </c>
      <c r="CE3188" s="63">
        <v>0</v>
      </c>
      <c r="CO3188" s="63">
        <v>16561</v>
      </c>
      <c r="CP3188" s="63">
        <v>23410</v>
      </c>
      <c r="CQ3188" s="63">
        <v>258</v>
      </c>
      <c r="CR3188" s="63">
        <v>1660</v>
      </c>
      <c r="CS3188" s="63">
        <v>462</v>
      </c>
      <c r="CT3188" s="63">
        <v>179</v>
      </c>
      <c r="CU3188" s="63">
        <v>26</v>
      </c>
      <c r="CV3188" s="63">
        <v>0</v>
      </c>
      <c r="CW3188" s="63"/>
      <c r="CX3188" s="63">
        <f t="shared" si="1250"/>
        <v>0</v>
      </c>
      <c r="CY3188" s="63"/>
      <c r="CZ3188" s="63">
        <v>0</v>
      </c>
      <c r="DA3188" s="63"/>
      <c r="DB3188" s="63">
        <v>29</v>
      </c>
      <c r="DC3188" s="63"/>
      <c r="DD3188" s="63"/>
      <c r="DE3188" s="63"/>
      <c r="DF3188" s="63">
        <v>0</v>
      </c>
      <c r="DG3188" s="63"/>
      <c r="DH3188" s="63">
        <v>1</v>
      </c>
      <c r="DI3188" s="63"/>
      <c r="DJ3188" s="63"/>
      <c r="DK3188" s="63"/>
      <c r="DL3188" s="63"/>
      <c r="DM3188" s="63"/>
      <c r="DN3188" s="63">
        <v>0</v>
      </c>
      <c r="DO3188" s="63">
        <v>0</v>
      </c>
      <c r="DQ3188" s="63">
        <v>560</v>
      </c>
      <c r="DR3188" s="63"/>
      <c r="DS3188" s="63">
        <v>0</v>
      </c>
      <c r="DT3188" s="63">
        <v>0</v>
      </c>
    </row>
    <row r="3189" spans="1:124" hidden="1" outlineLevel="1">
      <c r="A3189" t="s">
        <v>2162</v>
      </c>
      <c r="B3189" t="s">
        <v>3002</v>
      </c>
      <c r="C3189" s="1">
        <f t="shared" si="1240"/>
        <v>11735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7</v>
      </c>
      <c r="G3189" s="132">
        <f t="shared" si="1235"/>
        <v>3057</v>
      </c>
      <c r="H3189" s="137">
        <f t="shared" si="1236"/>
        <v>0.26050276949296974</v>
      </c>
      <c r="I3189" s="2"/>
      <c r="J3189" s="2">
        <f t="shared" si="1241"/>
        <v>0.34708138048572645</v>
      </c>
      <c r="K3189" s="2">
        <f t="shared" si="1242"/>
        <v>0.60758414997869625</v>
      </c>
      <c r="L3189" s="2">
        <f t="shared" si="1243"/>
        <v>1.6190881976991904E-3</v>
      </c>
      <c r="M3189" s="2">
        <f t="shared" si="1244"/>
        <v>4.3715381337878105E-2</v>
      </c>
      <c r="N3189" s="63">
        <v>4073</v>
      </c>
      <c r="O3189" s="63">
        <v>7130</v>
      </c>
      <c r="P3189" s="63">
        <v>19</v>
      </c>
      <c r="Q3189" s="63">
        <v>277</v>
      </c>
      <c r="R3189" s="63">
        <v>105</v>
      </c>
      <c r="S3189" s="63">
        <v>41</v>
      </c>
      <c r="T3189" s="63">
        <v>8</v>
      </c>
      <c r="U3189" s="63">
        <v>0</v>
      </c>
      <c r="V3189" s="63"/>
      <c r="W3189" s="63">
        <f t="shared" si="1249"/>
        <v>72</v>
      </c>
      <c r="X3189" s="63"/>
      <c r="Y3189" s="63">
        <v>1</v>
      </c>
      <c r="Z3189" s="63"/>
      <c r="AA3189" s="63">
        <v>8</v>
      </c>
      <c r="AB3189" s="63"/>
      <c r="AC3189" s="63"/>
      <c r="AD3189" s="63"/>
      <c r="AE3189" s="63">
        <v>0</v>
      </c>
      <c r="AF3189" s="63"/>
      <c r="AG3189" s="63">
        <v>1</v>
      </c>
      <c r="AH3189" s="63"/>
      <c r="AI3189" s="63"/>
      <c r="AJ3189" s="63"/>
      <c r="AK3189" s="63"/>
      <c r="AL3189" s="63"/>
      <c r="AM3189" s="63">
        <v>0</v>
      </c>
      <c r="AN3189" s="63">
        <v>0</v>
      </c>
      <c r="AO3189" s="63"/>
      <c r="AP3189" s="63"/>
      <c r="AQ3189" s="63"/>
      <c r="AR3189" s="63"/>
      <c r="AS3189" s="63"/>
      <c r="AT3189" s="63"/>
      <c r="AU3189" s="63"/>
      <c r="AW3189" s="5">
        <f>IF(Q3189&gt;0,RANK(Q3189,(N3189:P3189,Q3189:AE3189)),0)</f>
        <v>3</v>
      </c>
      <c r="AX3189" s="5">
        <f>IF(R3189&gt;0,RANK(R3189,(N3189:P3189,Q3189:AE3189)),0)</f>
        <v>4</v>
      </c>
      <c r="AY3189" s="5">
        <f>IF(T3189&gt;0,RANK(T3189,(N3189:P3189,Q3189:AE3189)),0)</f>
        <v>8</v>
      </c>
      <c r="AZ3189" s="5">
        <f>IF(S3189&gt;0,RANK(S3189,(N3189:P3189,Q3189:AE3189)),0)</f>
        <v>6</v>
      </c>
      <c r="BA3189" s="2">
        <f t="shared" si="1245"/>
        <v>2.3604601619088197E-2</v>
      </c>
      <c r="BB3189" s="2">
        <f t="shared" si="1246"/>
        <v>8.9475926714955266E-3</v>
      </c>
      <c r="BC3189" s="2">
        <f t="shared" si="1247"/>
        <v>6.8172134639965911E-4</v>
      </c>
      <c r="BD3189" s="2">
        <f t="shared" si="1248"/>
        <v>3.4938219002982533E-3</v>
      </c>
      <c r="BF3189" t="s">
        <v>2162</v>
      </c>
      <c r="BG3189" t="s">
        <v>3002</v>
      </c>
      <c r="BH3189" s="63"/>
      <c r="BJ3189" s="114">
        <v>55</v>
      </c>
      <c r="BK3189" s="116">
        <v>57</v>
      </c>
      <c r="BL3189" s="120">
        <f t="shared" si="1251"/>
        <v>55057</v>
      </c>
      <c r="BN3189" s="5" t="s">
        <v>3154</v>
      </c>
      <c r="CB3189" s="63">
        <v>70</v>
      </c>
      <c r="CD3189" s="63">
        <v>2</v>
      </c>
      <c r="CE3189" s="63">
        <v>0</v>
      </c>
      <c r="CO3189" s="63">
        <v>4073</v>
      </c>
      <c r="CP3189" s="63">
        <v>7123</v>
      </c>
      <c r="CQ3189" s="63">
        <v>21</v>
      </c>
      <c r="CR3189" s="63">
        <v>280</v>
      </c>
      <c r="CS3189" s="63">
        <v>105</v>
      </c>
      <c r="CT3189" s="63">
        <v>40</v>
      </c>
      <c r="CU3189" s="63">
        <v>8</v>
      </c>
      <c r="CV3189" s="63">
        <v>0</v>
      </c>
      <c r="CW3189" s="63"/>
      <c r="CX3189" s="63">
        <f t="shared" si="1250"/>
        <v>0</v>
      </c>
      <c r="CY3189" s="63"/>
      <c r="CZ3189" s="63">
        <v>1</v>
      </c>
      <c r="DA3189" s="63"/>
      <c r="DB3189" s="63">
        <v>8</v>
      </c>
      <c r="DC3189" s="63"/>
      <c r="DD3189" s="63"/>
      <c r="DE3189" s="63"/>
      <c r="DF3189" s="63">
        <v>0</v>
      </c>
      <c r="DG3189" s="63"/>
      <c r="DH3189" s="63">
        <v>0</v>
      </c>
      <c r="DI3189" s="63"/>
      <c r="DJ3189" s="63"/>
      <c r="DK3189" s="63"/>
      <c r="DL3189" s="63"/>
      <c r="DM3189" s="63"/>
      <c r="DN3189" s="63">
        <v>0</v>
      </c>
      <c r="DO3189" s="63">
        <v>0</v>
      </c>
      <c r="DQ3189" s="63">
        <v>70</v>
      </c>
      <c r="DR3189" s="63"/>
      <c r="DS3189" s="63">
        <v>3</v>
      </c>
      <c r="DT3189" s="63">
        <v>0</v>
      </c>
    </row>
    <row r="3190" spans="1:124" hidden="1" outlineLevel="1">
      <c r="A3190" t="s">
        <v>1807</v>
      </c>
      <c r="B3190" t="s">
        <v>3002</v>
      </c>
      <c r="C3190" s="1">
        <f t="shared" si="1240"/>
        <v>76304</v>
      </c>
      <c r="D3190" s="5">
        <f>IF(N3190&gt;0, RANK(N3190,(N3190:P3190,Q3190:AE3190)),0)</f>
        <v>2</v>
      </c>
      <c r="E3190" s="5">
        <f>IF(O3190&gt;0,RANK(O3190,(N3190:P3190,Q3190:AE3190)),0)</f>
        <v>1</v>
      </c>
      <c r="F3190" s="5">
        <f>IF(P3190&gt;0,RANK(P3190,(N3190:P3190,Q3190:AE3190)),0)</f>
        <v>5</v>
      </c>
      <c r="G3190" s="132">
        <f t="shared" si="1235"/>
        <v>238</v>
      </c>
      <c r="H3190" s="137">
        <f t="shared" si="1236"/>
        <v>3.1191025372195431E-3</v>
      </c>
      <c r="I3190" s="2"/>
      <c r="J3190" s="2">
        <f t="shared" si="1241"/>
        <v>0.46916282239463197</v>
      </c>
      <c r="K3190" s="2">
        <f t="shared" si="1242"/>
        <v>0.47228192493185156</v>
      </c>
      <c r="L3190" s="2">
        <f t="shared" si="1243"/>
        <v>5.3863493394841686E-3</v>
      </c>
      <c r="M3190" s="2">
        <f t="shared" si="1244"/>
        <v>5.3168903334032243E-2</v>
      </c>
      <c r="N3190" s="63">
        <v>35799</v>
      </c>
      <c r="O3190" s="63">
        <v>36037</v>
      </c>
      <c r="P3190" s="63">
        <v>411</v>
      </c>
      <c r="Q3190" s="63">
        <v>2733</v>
      </c>
      <c r="R3190" s="63">
        <v>868</v>
      </c>
      <c r="S3190" s="63">
        <v>332</v>
      </c>
      <c r="T3190" s="63">
        <v>53</v>
      </c>
      <c r="U3190" s="63">
        <v>0</v>
      </c>
      <c r="V3190" s="63"/>
      <c r="W3190" s="63">
        <f t="shared" si="1249"/>
        <v>1</v>
      </c>
      <c r="X3190" s="63"/>
      <c r="Y3190" s="63">
        <v>5</v>
      </c>
      <c r="Z3190" s="63"/>
      <c r="AA3190" s="63">
        <v>48</v>
      </c>
      <c r="AB3190" s="63"/>
      <c r="AC3190" s="63"/>
      <c r="AD3190" s="63"/>
      <c r="AE3190" s="63">
        <v>2</v>
      </c>
      <c r="AF3190" s="63"/>
      <c r="AG3190" s="63">
        <v>4</v>
      </c>
      <c r="AH3190" s="63"/>
      <c r="AI3190" s="63"/>
      <c r="AJ3190" s="63"/>
      <c r="AK3190" s="63"/>
      <c r="AL3190" s="63"/>
      <c r="AM3190" s="63">
        <v>0</v>
      </c>
      <c r="AN3190" s="63">
        <v>11</v>
      </c>
      <c r="AO3190" s="63"/>
      <c r="AP3190" s="63"/>
      <c r="AQ3190" s="63"/>
      <c r="AR3190" s="63"/>
      <c r="AS3190" s="63"/>
      <c r="AT3190" s="63"/>
      <c r="AU3190" s="63"/>
      <c r="AW3190" s="5">
        <f>IF(Q3190&gt;0,RANK(Q3190,(N3190:P3190,Q3190:AE3190)),0)</f>
        <v>3</v>
      </c>
      <c r="AX3190" s="5">
        <f>IF(R3190&gt;0,RANK(R3190,(N3190:P3190,Q3190:AE3190)),0)</f>
        <v>4</v>
      </c>
      <c r="AY3190" s="5">
        <f>IF(T3190&gt;0,RANK(T3190,(N3190:P3190,Q3190:AE3190)),0)</f>
        <v>7</v>
      </c>
      <c r="AZ3190" s="5">
        <f>IF(S3190&gt;0,RANK(S3190,(N3190:P3190,Q3190:AE3190)),0)</f>
        <v>6</v>
      </c>
      <c r="BA3190" s="2">
        <f t="shared" si="1245"/>
        <v>3.5817257286642902E-2</v>
      </c>
      <c r="BB3190" s="2">
        <f t="shared" si="1246"/>
        <v>1.1375550429859509E-2</v>
      </c>
      <c r="BC3190" s="2">
        <f t="shared" si="1247"/>
        <v>6.9459006080939401E-4</v>
      </c>
      <c r="BD3190" s="2">
        <f t="shared" si="1248"/>
        <v>4.3510169846928074E-3</v>
      </c>
      <c r="BF3190" t="s">
        <v>1807</v>
      </c>
      <c r="BG3190" t="s">
        <v>3002</v>
      </c>
      <c r="BH3190" s="63">
        <v>1</v>
      </c>
      <c r="BJ3190" s="114">
        <v>55</v>
      </c>
      <c r="BK3190" s="116">
        <v>59</v>
      </c>
      <c r="BL3190" s="120">
        <f t="shared" si="1251"/>
        <v>55059</v>
      </c>
      <c r="BN3190" s="5" t="s">
        <v>3154</v>
      </c>
      <c r="CB3190" s="63">
        <v>0</v>
      </c>
      <c r="CD3190" s="63">
        <v>0</v>
      </c>
      <c r="CE3190" s="63">
        <v>1</v>
      </c>
      <c r="CO3190" s="63">
        <v>35771</v>
      </c>
      <c r="CP3190" s="63">
        <v>36025</v>
      </c>
      <c r="CQ3190" s="63">
        <v>204</v>
      </c>
      <c r="CR3190" s="63">
        <v>2719</v>
      </c>
      <c r="CS3190" s="63">
        <v>861</v>
      </c>
      <c r="CT3190" s="63">
        <v>327</v>
      </c>
      <c r="CU3190" s="63">
        <v>49</v>
      </c>
      <c r="CV3190" s="63">
        <v>0</v>
      </c>
      <c r="CW3190" s="63"/>
      <c r="CX3190" s="63">
        <f t="shared" si="1250"/>
        <v>0</v>
      </c>
      <c r="CY3190" s="63"/>
      <c r="CZ3190" s="63">
        <v>5</v>
      </c>
      <c r="DA3190" s="63"/>
      <c r="DB3190" s="63">
        <v>48</v>
      </c>
      <c r="DC3190" s="63"/>
      <c r="DD3190" s="63"/>
      <c r="DE3190" s="63"/>
      <c r="DF3190" s="63">
        <v>1</v>
      </c>
      <c r="DG3190" s="63"/>
      <c r="DH3190" s="63">
        <v>4</v>
      </c>
      <c r="DI3190" s="63"/>
      <c r="DJ3190" s="63"/>
      <c r="DK3190" s="63"/>
      <c r="DL3190" s="63"/>
      <c r="DM3190" s="63"/>
      <c r="DN3190" s="63">
        <v>0</v>
      </c>
      <c r="DO3190" s="63">
        <v>4</v>
      </c>
      <c r="DQ3190" s="63">
        <v>1056</v>
      </c>
      <c r="DR3190" s="63"/>
      <c r="DS3190" s="63">
        <v>0</v>
      </c>
      <c r="DT3190" s="63">
        <v>2</v>
      </c>
    </row>
    <row r="3191" spans="1:124" hidden="1" outlineLevel="1">
      <c r="A3191" t="s">
        <v>2783</v>
      </c>
      <c r="B3191" t="s">
        <v>3002</v>
      </c>
      <c r="C3191" s="1">
        <f t="shared" si="1240"/>
        <v>10767</v>
      </c>
      <c r="D3191" s="5">
        <f>IF(N3191&gt;0, RANK(N3191,(N3191:P3191,Q3191:AE3191)),0)</f>
        <v>2</v>
      </c>
      <c r="E3191" s="5">
        <f>IF(O3191&gt;0,RANK(O3191,(N3191:P3191,Q3191:AE3191)),0)</f>
        <v>1</v>
      </c>
      <c r="F3191" s="5">
        <f>IF(P3191&gt;0,RANK(P3191,(N3191:P3191,Q3191:AE3191)),0)</f>
        <v>6</v>
      </c>
      <c r="G3191" s="132">
        <f t="shared" si="1235"/>
        <v>2991</v>
      </c>
      <c r="H3191" s="137">
        <f t="shared" si="1236"/>
        <v>0.27779325717470049</v>
      </c>
      <c r="I3191" s="2"/>
      <c r="J3191" s="2">
        <f t="shared" si="1241"/>
        <v>0.336862635831708</v>
      </c>
      <c r="K3191" s="2">
        <f t="shared" si="1242"/>
        <v>0.61465589300640844</v>
      </c>
      <c r="L3191" s="2">
        <f t="shared" si="1243"/>
        <v>1.6717748676511562E-3</v>
      </c>
      <c r="M3191" s="2">
        <f t="shared" si="1244"/>
        <v>4.6809696294232463E-2</v>
      </c>
      <c r="N3191" s="63">
        <v>3627</v>
      </c>
      <c r="O3191" s="63">
        <v>6618</v>
      </c>
      <c r="P3191" s="63">
        <v>18</v>
      </c>
      <c r="Q3191" s="63">
        <v>349</v>
      </c>
      <c r="R3191" s="63">
        <v>79</v>
      </c>
      <c r="S3191" s="63">
        <v>64</v>
      </c>
      <c r="T3191" s="63">
        <v>4</v>
      </c>
      <c r="U3191" s="63">
        <v>0</v>
      </c>
      <c r="V3191" s="63"/>
      <c r="W3191" s="63">
        <f t="shared" si="1249"/>
        <v>0</v>
      </c>
      <c r="X3191" s="63"/>
      <c r="Y3191" s="63">
        <v>0</v>
      </c>
      <c r="Z3191" s="63"/>
      <c r="AA3191" s="63">
        <v>8</v>
      </c>
      <c r="AB3191" s="63"/>
      <c r="AC3191" s="63"/>
      <c r="AD3191" s="63"/>
      <c r="AE3191" s="63">
        <v>0</v>
      </c>
      <c r="AF3191" s="63"/>
      <c r="AG3191" s="63">
        <v>0</v>
      </c>
      <c r="AH3191" s="63"/>
      <c r="AI3191" s="63"/>
      <c r="AJ3191" s="63"/>
      <c r="AK3191" s="63"/>
      <c r="AL3191" s="63"/>
      <c r="AM3191" s="63">
        <v>0</v>
      </c>
      <c r="AN3191" s="63">
        <v>0</v>
      </c>
      <c r="AO3191" s="63"/>
      <c r="AP3191" s="63"/>
      <c r="AQ3191" s="63"/>
      <c r="AR3191" s="63"/>
      <c r="AS3191" s="63"/>
      <c r="AT3191" s="63"/>
      <c r="AU3191" s="63"/>
      <c r="AW3191" s="5">
        <f>IF(Q3191&gt;0,RANK(Q3191,(N3191:P3191,Q3191:AE3191)),0)</f>
        <v>3</v>
      </c>
      <c r="AX3191" s="5">
        <f>IF(R3191&gt;0,RANK(R3191,(N3191:P3191,Q3191:AE3191)),0)</f>
        <v>4</v>
      </c>
      <c r="AY3191" s="5">
        <f>IF(T3191&gt;0,RANK(T3191,(N3191:P3191,Q3191:AE3191)),0)</f>
        <v>8</v>
      </c>
      <c r="AZ3191" s="5">
        <f>IF(S3191&gt;0,RANK(S3191,(N3191:P3191,Q3191:AE3191)),0)</f>
        <v>5</v>
      </c>
      <c r="BA3191" s="2">
        <f t="shared" si="1245"/>
        <v>3.24138571561252E-2</v>
      </c>
      <c r="BB3191" s="2">
        <f t="shared" si="1246"/>
        <v>7.3372341413578523E-3</v>
      </c>
      <c r="BC3191" s="2">
        <f t="shared" si="1247"/>
        <v>3.7150552614470138E-4</v>
      </c>
      <c r="BD3191" s="2">
        <f t="shared" si="1248"/>
        <v>5.944088418315222E-3</v>
      </c>
      <c r="BF3191" t="s">
        <v>2783</v>
      </c>
      <c r="BG3191" t="s">
        <v>3002</v>
      </c>
      <c r="BH3191" s="63">
        <v>8</v>
      </c>
      <c r="BJ3191" s="114">
        <v>55</v>
      </c>
      <c r="BK3191" s="116">
        <v>61</v>
      </c>
      <c r="BL3191" s="120">
        <f t="shared" si="1251"/>
        <v>55061</v>
      </c>
      <c r="BN3191" s="5" t="s">
        <v>3154</v>
      </c>
      <c r="CB3191" s="63">
        <v>0</v>
      </c>
      <c r="CD3191" s="63">
        <v>0</v>
      </c>
      <c r="CE3191" s="63">
        <v>0</v>
      </c>
      <c r="CO3191" s="63">
        <v>3623</v>
      </c>
      <c r="CP3191" s="63">
        <v>6616</v>
      </c>
      <c r="CQ3191" s="63">
        <v>16</v>
      </c>
      <c r="CR3191" s="63">
        <v>348</v>
      </c>
      <c r="CS3191" s="63">
        <v>79</v>
      </c>
      <c r="CT3191" s="63">
        <v>64</v>
      </c>
      <c r="CU3191" s="63">
        <v>4</v>
      </c>
      <c r="CV3191" s="63">
        <v>0</v>
      </c>
      <c r="CW3191" s="63"/>
      <c r="CX3191" s="63">
        <f t="shared" si="1250"/>
        <v>0</v>
      </c>
      <c r="CY3191" s="63"/>
      <c r="CZ3191" s="63">
        <v>0</v>
      </c>
      <c r="DA3191" s="63"/>
      <c r="DB3191" s="63">
        <v>8</v>
      </c>
      <c r="DC3191" s="63"/>
      <c r="DD3191" s="63"/>
      <c r="DE3191" s="63"/>
      <c r="DF3191" s="63">
        <v>0</v>
      </c>
      <c r="DG3191" s="63"/>
      <c r="DH3191" s="63">
        <v>0</v>
      </c>
      <c r="DI3191" s="63"/>
      <c r="DJ3191" s="63"/>
      <c r="DK3191" s="63"/>
      <c r="DL3191" s="63"/>
      <c r="DM3191" s="63"/>
      <c r="DN3191" s="63">
        <v>0</v>
      </c>
      <c r="DO3191" s="63">
        <v>0</v>
      </c>
      <c r="DQ3191" s="63">
        <v>0</v>
      </c>
      <c r="DR3191" s="63"/>
      <c r="DS3191" s="63">
        <v>0</v>
      </c>
      <c r="DT3191" s="63">
        <v>0</v>
      </c>
    </row>
    <row r="3192" spans="1:124" hidden="1" outlineLevel="1">
      <c r="A3192" t="s">
        <v>385</v>
      </c>
      <c r="B3192" t="s">
        <v>3002</v>
      </c>
      <c r="C3192" s="1">
        <f t="shared" si="1240"/>
        <v>63674</v>
      </c>
      <c r="D3192" s="5">
        <f>IF(N3192&gt;0, RANK(N3192,(N3192:P3192,Q3192:AE3192)),0)</f>
        <v>1</v>
      </c>
      <c r="E3192" s="5">
        <f>IF(O3192&gt;0,RANK(O3192,(N3192:P3192,Q3192:AE3192)),0)</f>
        <v>2</v>
      </c>
      <c r="F3192" s="5">
        <f>IF(P3192&gt;0,RANK(P3192,(N3192:P3192,Q3192:AE3192)),0)</f>
        <v>7</v>
      </c>
      <c r="G3192" s="132">
        <f t="shared" si="1235"/>
        <v>6028</v>
      </c>
      <c r="H3192" s="137">
        <f t="shared" si="1236"/>
        <v>9.4669723906146933E-2</v>
      </c>
      <c r="I3192" s="2"/>
      <c r="J3192" s="2">
        <f t="shared" si="1241"/>
        <v>0.50893614348085559</v>
      </c>
      <c r="K3192" s="2">
        <f t="shared" si="1242"/>
        <v>0.41426641957470867</v>
      </c>
      <c r="L3192" s="2">
        <f t="shared" si="1243"/>
        <v>3.4079844206426485E-3</v>
      </c>
      <c r="M3192" s="2">
        <f t="shared" si="1244"/>
        <v>7.33894525237931E-2</v>
      </c>
      <c r="N3192" s="63">
        <v>32406</v>
      </c>
      <c r="O3192" s="63">
        <v>26378</v>
      </c>
      <c r="P3192" s="63">
        <v>217</v>
      </c>
      <c r="Q3192" s="63">
        <v>2673</v>
      </c>
      <c r="R3192" s="63">
        <v>919</v>
      </c>
      <c r="S3192" s="63">
        <v>313</v>
      </c>
      <c r="T3192" s="63">
        <v>53</v>
      </c>
      <c r="U3192" s="63">
        <v>0</v>
      </c>
      <c r="V3192" s="63"/>
      <c r="W3192" s="63">
        <f t="shared" si="1249"/>
        <v>671</v>
      </c>
      <c r="X3192" s="63"/>
      <c r="Y3192" s="63">
        <v>0</v>
      </c>
      <c r="Z3192" s="63"/>
      <c r="AA3192" s="63">
        <v>41</v>
      </c>
      <c r="AB3192" s="63"/>
      <c r="AC3192" s="63"/>
      <c r="AD3192" s="63"/>
      <c r="AE3192" s="63">
        <v>0</v>
      </c>
      <c r="AF3192" s="63"/>
      <c r="AG3192" s="63">
        <v>0</v>
      </c>
      <c r="AH3192" s="63"/>
      <c r="AI3192" s="63"/>
      <c r="AJ3192" s="63"/>
      <c r="AK3192" s="63"/>
      <c r="AL3192" s="63"/>
      <c r="AM3192" s="63">
        <v>0</v>
      </c>
      <c r="AN3192" s="63">
        <v>3</v>
      </c>
      <c r="AO3192" s="63"/>
      <c r="AP3192" s="63"/>
      <c r="AQ3192" s="63"/>
      <c r="AR3192" s="63"/>
      <c r="AS3192" s="63"/>
      <c r="AT3192" s="63"/>
      <c r="AU3192" s="63"/>
      <c r="AW3192" s="5">
        <f>IF(Q3192&gt;0,RANK(Q3192,(N3192:P3192,Q3192:AE3192)),0)</f>
        <v>3</v>
      </c>
      <c r="AX3192" s="5">
        <f>IF(R3192&gt;0,RANK(R3192,(N3192:P3192,Q3192:AE3192)),0)</f>
        <v>4</v>
      </c>
      <c r="AY3192" s="5">
        <f>IF(T3192&gt;0,RANK(T3192,(N3192:P3192,Q3192:AE3192)),0)</f>
        <v>8</v>
      </c>
      <c r="AZ3192" s="5">
        <f>IF(S3192&gt;0,RANK(S3192,(N3192:P3192,Q3192:AE3192)),0)</f>
        <v>6</v>
      </c>
      <c r="BA3192" s="2">
        <f t="shared" si="1245"/>
        <v>4.1979457863492164E-2</v>
      </c>
      <c r="BB3192" s="2">
        <f t="shared" si="1246"/>
        <v>1.4432892546408267E-2</v>
      </c>
      <c r="BC3192" s="2">
        <f t="shared" si="1247"/>
        <v>8.3236485849797403E-4</v>
      </c>
      <c r="BD3192" s="2">
        <f t="shared" si="1248"/>
        <v>4.9156641643370918E-3</v>
      </c>
      <c r="BF3192" t="s">
        <v>385</v>
      </c>
      <c r="BG3192" t="s">
        <v>3002</v>
      </c>
      <c r="BH3192" s="63">
        <v>3</v>
      </c>
      <c r="BJ3192" s="114">
        <v>55</v>
      </c>
      <c r="BK3192" s="116">
        <v>63</v>
      </c>
      <c r="BL3192" s="120">
        <f t="shared" si="1251"/>
        <v>55063</v>
      </c>
      <c r="BN3192" s="5" t="s">
        <v>3154</v>
      </c>
      <c r="CA3192" s="63">
        <v>173</v>
      </c>
      <c r="CB3192" s="63">
        <v>671</v>
      </c>
      <c r="CD3192" s="63">
        <v>0</v>
      </c>
      <c r="CE3192" s="63">
        <v>0</v>
      </c>
      <c r="CO3192" s="63">
        <v>32406</v>
      </c>
      <c r="CP3192" s="63">
        <v>26389</v>
      </c>
      <c r="CQ3192" s="63">
        <v>170</v>
      </c>
      <c r="CR3192" s="63">
        <v>2673</v>
      </c>
      <c r="CS3192" s="63">
        <v>920</v>
      </c>
      <c r="CT3192" s="63">
        <v>313</v>
      </c>
      <c r="CU3192" s="63">
        <v>52</v>
      </c>
      <c r="CV3192" s="63">
        <v>0</v>
      </c>
      <c r="CW3192" s="63"/>
      <c r="CX3192" s="63">
        <f t="shared" si="1250"/>
        <v>0</v>
      </c>
      <c r="CY3192" s="63"/>
      <c r="CZ3192" s="63">
        <v>1</v>
      </c>
      <c r="DA3192" s="63"/>
      <c r="DB3192" s="63">
        <v>41</v>
      </c>
      <c r="DC3192" s="63"/>
      <c r="DD3192" s="63"/>
      <c r="DE3192" s="63"/>
      <c r="DF3192" s="63">
        <v>0</v>
      </c>
      <c r="DG3192" s="63"/>
      <c r="DH3192" s="63">
        <v>0</v>
      </c>
      <c r="DI3192" s="63"/>
      <c r="DJ3192" s="63"/>
      <c r="DK3192" s="63"/>
      <c r="DL3192" s="63"/>
      <c r="DM3192" s="63"/>
      <c r="DN3192" s="63">
        <v>0</v>
      </c>
      <c r="DO3192" s="63">
        <v>3</v>
      </c>
      <c r="DQ3192" s="63">
        <v>0</v>
      </c>
      <c r="DR3192" s="63"/>
      <c r="DS3192" s="63">
        <v>0</v>
      </c>
      <c r="DT3192" s="63">
        <v>0</v>
      </c>
    </row>
    <row r="3193" spans="1:124" hidden="1" outlineLevel="1">
      <c r="A3193" t="s">
        <v>496</v>
      </c>
      <c r="B3193" t="s">
        <v>3002</v>
      </c>
      <c r="C3193" s="1">
        <f t="shared" ref="C3193:C3224" si="1252">SUM(N3193:AU3193)</f>
        <v>7662</v>
      </c>
      <c r="D3193" s="5">
        <f>IF(N3193&gt;0, RANK(N3193,(N3193:P3193,Q3193:AE3193)),0)</f>
        <v>2</v>
      </c>
      <c r="E3193" s="5">
        <f>IF(O3193&gt;0,RANK(O3193,(N3193:P3193,Q3193:AE3193)),0)</f>
        <v>1</v>
      </c>
      <c r="F3193" s="5">
        <f>IF(P3193&gt;0,RANK(P3193,(N3193:P3193,Q3193:AE3193)),0)</f>
        <v>7</v>
      </c>
      <c r="G3193" s="132">
        <f t="shared" si="1235"/>
        <v>689</v>
      </c>
      <c r="H3193" s="137">
        <f t="shared" si="1236"/>
        <v>8.9924301748890628E-2</v>
      </c>
      <c r="I3193" s="2"/>
      <c r="J3193" s="2">
        <f t="shared" ref="J3193:J3224" si="1253">IF($C3193=0,"-",N3193/$C3193)</f>
        <v>0.42913077525450272</v>
      </c>
      <c r="K3193" s="2">
        <f t="shared" ref="K3193:K3224" si="1254">IF($C3193=0,"-",O3193/$C3193)</f>
        <v>0.51905507700339337</v>
      </c>
      <c r="L3193" s="2">
        <f t="shared" ref="L3193:L3224" si="1255">IF($C3193=0,"-",P3193/$C3193)</f>
        <v>2.0882276168102325E-3</v>
      </c>
      <c r="M3193" s="2">
        <f t="shared" ref="M3193:M3224" si="1256">IF(C3193=0,"-",(1-J3193-K3193-L3193))</f>
        <v>4.9725920125293678E-2</v>
      </c>
      <c r="N3193" s="63">
        <v>3288</v>
      </c>
      <c r="O3193" s="63">
        <v>3977</v>
      </c>
      <c r="P3193" s="63">
        <v>16</v>
      </c>
      <c r="Q3193" s="63">
        <v>238</v>
      </c>
      <c r="R3193" s="63">
        <v>49</v>
      </c>
      <c r="S3193" s="63">
        <v>46</v>
      </c>
      <c r="T3193" s="63">
        <v>0</v>
      </c>
      <c r="U3193" s="63">
        <v>0</v>
      </c>
      <c r="V3193" s="63"/>
      <c r="W3193" s="63">
        <f t="shared" si="1249"/>
        <v>44</v>
      </c>
      <c r="X3193" s="63"/>
      <c r="Y3193" s="63">
        <v>0</v>
      </c>
      <c r="Z3193" s="63"/>
      <c r="AA3193" s="63">
        <v>4</v>
      </c>
      <c r="AB3193" s="63"/>
      <c r="AC3193" s="63"/>
      <c r="AD3193" s="63"/>
      <c r="AE3193" s="63">
        <v>0</v>
      </c>
      <c r="AF3193" s="63"/>
      <c r="AG3193" s="63">
        <v>0</v>
      </c>
      <c r="AH3193" s="63"/>
      <c r="AI3193" s="63"/>
      <c r="AJ3193" s="63"/>
      <c r="AK3193" s="63"/>
      <c r="AL3193" s="63"/>
      <c r="AM3193" s="63">
        <v>0</v>
      </c>
      <c r="AN3193" s="63">
        <v>0</v>
      </c>
      <c r="AO3193" s="63"/>
      <c r="AP3193" s="63"/>
      <c r="AQ3193" s="63"/>
      <c r="AR3193" s="63"/>
      <c r="AS3193" s="63"/>
      <c r="AT3193" s="63"/>
      <c r="AU3193" s="63"/>
      <c r="AW3193" s="5">
        <f>IF(Q3193&gt;0,RANK(Q3193,(N3193:P3193,Q3193:AE3193)),0)</f>
        <v>3</v>
      </c>
      <c r="AX3193" s="5">
        <f>IF(R3193&gt;0,RANK(R3193,(N3193:P3193,Q3193:AE3193)),0)</f>
        <v>4</v>
      </c>
      <c r="AY3193" s="5">
        <f>IF(T3193&gt;0,RANK(T3193,(N3193:P3193,Q3193:AE3193)),0)</f>
        <v>0</v>
      </c>
      <c r="AZ3193" s="5">
        <f>IF(S3193&gt;0,RANK(S3193,(N3193:P3193,Q3193:AE3193)),0)</f>
        <v>5</v>
      </c>
      <c r="BA3193" s="2">
        <f t="shared" ref="BA3193:BA3224" si="1257">IF($C3193=0,"-",Q3193/$C3193)</f>
        <v>3.1062385800052206E-2</v>
      </c>
      <c r="BB3193" s="2">
        <f t="shared" ref="BB3193:BB3224" si="1258">IF($C3193=0,"-",R3193/$C3193)</f>
        <v>6.3951970764813361E-3</v>
      </c>
      <c r="BC3193" s="2">
        <f t="shared" ref="BC3193:BC3224" si="1259">IF($C3193=0,"-",T3193/$C3193)</f>
        <v>0</v>
      </c>
      <c r="BD3193" s="2">
        <f t="shared" ref="BD3193:BD3224" si="1260">IF($C3193=0,"-",S3193/$C3193)</f>
        <v>6.0036543983294178E-3</v>
      </c>
      <c r="BF3193" t="s">
        <v>496</v>
      </c>
      <c r="BG3193" t="s">
        <v>3002</v>
      </c>
      <c r="BH3193" s="63">
        <v>2</v>
      </c>
      <c r="BJ3193" s="114">
        <v>55</v>
      </c>
      <c r="BK3193" s="116">
        <v>65</v>
      </c>
      <c r="BL3193" s="120">
        <f t="shared" si="1251"/>
        <v>55065</v>
      </c>
      <c r="BN3193" s="5" t="s">
        <v>3154</v>
      </c>
      <c r="CB3193" s="63">
        <v>44</v>
      </c>
      <c r="CD3193" s="63">
        <v>0</v>
      </c>
      <c r="CE3193" s="63">
        <v>0</v>
      </c>
      <c r="CO3193" s="63">
        <v>3288</v>
      </c>
      <c r="CP3193" s="63">
        <v>3977</v>
      </c>
      <c r="CQ3193" s="63">
        <v>16</v>
      </c>
      <c r="CR3193" s="63">
        <v>238</v>
      </c>
      <c r="CS3193" s="63">
        <v>49</v>
      </c>
      <c r="CT3193" s="63">
        <v>46</v>
      </c>
      <c r="CU3193" s="63">
        <v>0</v>
      </c>
      <c r="CV3193" s="63">
        <v>0</v>
      </c>
      <c r="CW3193" s="63"/>
      <c r="CX3193" s="63">
        <f t="shared" si="1250"/>
        <v>0</v>
      </c>
      <c r="CY3193" s="63"/>
      <c r="CZ3193" s="63">
        <v>0</v>
      </c>
      <c r="DA3193" s="63"/>
      <c r="DB3193" s="63">
        <v>4</v>
      </c>
      <c r="DC3193" s="63"/>
      <c r="DD3193" s="63"/>
      <c r="DE3193" s="63"/>
      <c r="DF3193" s="63">
        <v>0</v>
      </c>
      <c r="DG3193" s="63"/>
      <c r="DH3193" s="63">
        <v>0</v>
      </c>
      <c r="DI3193" s="63"/>
      <c r="DJ3193" s="63"/>
      <c r="DK3193" s="63"/>
      <c r="DL3193" s="63"/>
      <c r="DM3193" s="63"/>
      <c r="DN3193" s="63">
        <v>0</v>
      </c>
      <c r="DO3193" s="63">
        <v>0</v>
      </c>
      <c r="DQ3193" s="63">
        <v>44</v>
      </c>
      <c r="DR3193" s="63"/>
      <c r="DS3193" s="63">
        <v>0</v>
      </c>
      <c r="DT3193" s="63">
        <v>0</v>
      </c>
    </row>
    <row r="3194" spans="1:124" hidden="1" outlineLevel="1">
      <c r="A3194" t="s">
        <v>195</v>
      </c>
      <c r="B3194" t="s">
        <v>3002</v>
      </c>
      <c r="C3194" s="1">
        <f t="shared" si="1252"/>
        <v>10186</v>
      </c>
      <c r="D3194" s="5">
        <f>IF(N3194&gt;0, RANK(N3194,(N3194:P3194,Q3194:AE3194)),0)</f>
        <v>2</v>
      </c>
      <c r="E3194" s="5">
        <f>IF(O3194&gt;0,RANK(O3194,(N3194:P3194,Q3194:AE3194)),0)</f>
        <v>1</v>
      </c>
      <c r="F3194" s="5">
        <f>IF(P3194&gt;0,RANK(P3194,(N3194:P3194,Q3194:AE3194)),0)</f>
        <v>7</v>
      </c>
      <c r="G3194" s="132">
        <f t="shared" si="1235"/>
        <v>3228</v>
      </c>
      <c r="H3194" s="137">
        <f t="shared" si="1236"/>
        <v>0.31690555664637737</v>
      </c>
      <c r="I3194" s="2"/>
      <c r="J3194" s="2">
        <f t="shared" si="1253"/>
        <v>0.31906538386020028</v>
      </c>
      <c r="K3194" s="2">
        <f t="shared" si="1254"/>
        <v>0.63597094050657765</v>
      </c>
      <c r="L3194" s="2">
        <f t="shared" si="1255"/>
        <v>1.2762615354408012E-3</v>
      </c>
      <c r="M3194" s="2">
        <f t="shared" si="1256"/>
        <v>4.3687414097781319E-2</v>
      </c>
      <c r="N3194" s="63">
        <v>3250</v>
      </c>
      <c r="O3194" s="63">
        <v>6478</v>
      </c>
      <c r="P3194" s="63">
        <v>13</v>
      </c>
      <c r="Q3194" s="63">
        <v>278</v>
      </c>
      <c r="R3194" s="63">
        <v>68</v>
      </c>
      <c r="S3194" s="63">
        <v>41</v>
      </c>
      <c r="T3194" s="63">
        <v>4</v>
      </c>
      <c r="U3194" s="63">
        <v>0</v>
      </c>
      <c r="V3194" s="63"/>
      <c r="W3194" s="63">
        <f t="shared" si="1249"/>
        <v>43</v>
      </c>
      <c r="X3194" s="63"/>
      <c r="Y3194" s="63">
        <v>6</v>
      </c>
      <c r="Z3194" s="63"/>
      <c r="AA3194" s="63">
        <v>5</v>
      </c>
      <c r="AB3194" s="63"/>
      <c r="AC3194" s="63"/>
      <c r="AD3194" s="63"/>
      <c r="AE3194" s="63">
        <v>0</v>
      </c>
      <c r="AF3194" s="63"/>
      <c r="AG3194" s="63">
        <v>0</v>
      </c>
      <c r="AH3194" s="63"/>
      <c r="AI3194" s="63"/>
      <c r="AJ3194" s="63"/>
      <c r="AK3194" s="63"/>
      <c r="AL3194" s="63"/>
      <c r="AM3194" s="63">
        <v>0</v>
      </c>
      <c r="AN3194" s="63">
        <v>0</v>
      </c>
      <c r="AO3194" s="63"/>
      <c r="AP3194" s="63"/>
      <c r="AQ3194" s="63"/>
      <c r="AR3194" s="63"/>
      <c r="AS3194" s="63"/>
      <c r="AT3194" s="63"/>
      <c r="AU3194" s="63"/>
      <c r="AW3194" s="5">
        <f>IF(Q3194&gt;0,RANK(Q3194,(N3194:P3194,Q3194:AE3194)),0)</f>
        <v>3</v>
      </c>
      <c r="AX3194" s="5">
        <f>IF(R3194&gt;0,RANK(R3194,(N3194:P3194,Q3194:AE3194)),0)</f>
        <v>4</v>
      </c>
      <c r="AY3194" s="5">
        <f>IF(T3194&gt;0,RANK(T3194,(N3194:P3194,Q3194:AE3194)),0)</f>
        <v>10</v>
      </c>
      <c r="AZ3194" s="5">
        <f>IF(S3194&gt;0,RANK(S3194,(N3194:P3194,Q3194:AE3194)),0)</f>
        <v>6</v>
      </c>
      <c r="BA3194" s="2">
        <f t="shared" si="1257"/>
        <v>2.7292362065580208E-2</v>
      </c>
      <c r="BB3194" s="2">
        <f t="shared" si="1258"/>
        <v>6.6758295699980369E-3</v>
      </c>
      <c r="BC3194" s="2">
        <f t="shared" si="1259"/>
        <v>3.9269585705870805E-4</v>
      </c>
      <c r="BD3194" s="2">
        <f t="shared" si="1260"/>
        <v>4.0251325348517573E-3</v>
      </c>
      <c r="BF3194" t="s">
        <v>195</v>
      </c>
      <c r="BG3194" t="s">
        <v>3002</v>
      </c>
      <c r="BH3194" s="63">
        <v>7</v>
      </c>
      <c r="BJ3194" s="114">
        <v>55</v>
      </c>
      <c r="BK3194" s="116">
        <v>67</v>
      </c>
      <c r="BL3194" s="120">
        <f t="shared" si="1251"/>
        <v>55067</v>
      </c>
      <c r="BN3194" s="5" t="s">
        <v>3154</v>
      </c>
      <c r="CB3194" s="63">
        <v>43</v>
      </c>
      <c r="CD3194" s="63">
        <v>0</v>
      </c>
      <c r="CE3194" s="63">
        <v>0</v>
      </c>
      <c r="CO3194" s="63">
        <v>3260</v>
      </c>
      <c r="CP3194" s="63">
        <v>6436</v>
      </c>
      <c r="CQ3194" s="63">
        <v>6</v>
      </c>
      <c r="CR3194" s="63">
        <v>279</v>
      </c>
      <c r="CS3194" s="63">
        <v>67</v>
      </c>
      <c r="CT3194" s="63">
        <v>43</v>
      </c>
      <c r="CU3194" s="63">
        <v>4</v>
      </c>
      <c r="CV3194" s="63">
        <v>0</v>
      </c>
      <c r="CW3194" s="63"/>
      <c r="CX3194" s="63">
        <f t="shared" si="1250"/>
        <v>0</v>
      </c>
      <c r="CY3194" s="63"/>
      <c r="CZ3194" s="63">
        <v>1</v>
      </c>
      <c r="DA3194" s="63"/>
      <c r="DB3194" s="63">
        <v>5</v>
      </c>
      <c r="DC3194" s="63"/>
      <c r="DD3194" s="63"/>
      <c r="DE3194" s="63"/>
      <c r="DF3194" s="63">
        <v>0</v>
      </c>
      <c r="DG3194" s="63"/>
      <c r="DH3194" s="63">
        <v>0</v>
      </c>
      <c r="DI3194" s="63"/>
      <c r="DJ3194" s="63"/>
      <c r="DK3194" s="63"/>
      <c r="DL3194" s="63"/>
      <c r="DM3194" s="63"/>
      <c r="DN3194" s="63">
        <v>0</v>
      </c>
      <c r="DO3194" s="63">
        <v>0</v>
      </c>
      <c r="DQ3194" s="63">
        <v>31</v>
      </c>
      <c r="DR3194" s="63"/>
      <c r="DS3194" s="63">
        <v>0</v>
      </c>
      <c r="DT3194" s="63">
        <v>0</v>
      </c>
    </row>
    <row r="3195" spans="1:124" hidden="1" outlineLevel="1">
      <c r="A3195" t="s">
        <v>1597</v>
      </c>
      <c r="B3195" t="s">
        <v>3002</v>
      </c>
      <c r="C3195" s="1">
        <f t="shared" si="1252"/>
        <v>14712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7</v>
      </c>
      <c r="G3195" s="132">
        <f t="shared" si="1235"/>
        <v>3030</v>
      </c>
      <c r="H3195" s="137">
        <f t="shared" si="1236"/>
        <v>0.20595432300163133</v>
      </c>
      <c r="I3195" s="2"/>
      <c r="J3195" s="2">
        <f t="shared" si="1253"/>
        <v>0.36507612833061448</v>
      </c>
      <c r="K3195" s="2">
        <f t="shared" si="1254"/>
        <v>0.57103045133224584</v>
      </c>
      <c r="L3195" s="2">
        <f t="shared" si="1255"/>
        <v>9.5160413268080481E-4</v>
      </c>
      <c r="M3195" s="2">
        <f t="shared" si="1256"/>
        <v>6.2941816204458823E-2</v>
      </c>
      <c r="N3195" s="63">
        <v>5371</v>
      </c>
      <c r="O3195" s="63">
        <v>8401</v>
      </c>
      <c r="P3195" s="63">
        <v>14</v>
      </c>
      <c r="Q3195" s="63">
        <v>596</v>
      </c>
      <c r="R3195" s="63">
        <v>114</v>
      </c>
      <c r="S3195" s="63">
        <v>64</v>
      </c>
      <c r="T3195" s="63">
        <v>7</v>
      </c>
      <c r="U3195" s="63">
        <v>0</v>
      </c>
      <c r="V3195" s="63"/>
      <c r="W3195" s="63">
        <f t="shared" si="1249"/>
        <v>132</v>
      </c>
      <c r="X3195" s="63"/>
      <c r="Y3195" s="63">
        <v>0</v>
      </c>
      <c r="Z3195" s="63"/>
      <c r="AA3195" s="63">
        <v>13</v>
      </c>
      <c r="AB3195" s="63"/>
      <c r="AC3195" s="63"/>
      <c r="AD3195" s="63"/>
      <c r="AE3195" s="63">
        <v>0</v>
      </c>
      <c r="AF3195" s="63"/>
      <c r="AG3195" s="63">
        <v>0</v>
      </c>
      <c r="AH3195" s="63"/>
      <c r="AI3195" s="63"/>
      <c r="AJ3195" s="63"/>
      <c r="AK3195" s="63"/>
      <c r="AL3195" s="63"/>
      <c r="AM3195" s="63">
        <v>0</v>
      </c>
      <c r="AN3195" s="63">
        <v>0</v>
      </c>
      <c r="AO3195" s="63"/>
      <c r="AP3195" s="63"/>
      <c r="AQ3195" s="63"/>
      <c r="AR3195" s="63"/>
      <c r="AS3195" s="63"/>
      <c r="AT3195" s="63"/>
      <c r="AU3195" s="63"/>
      <c r="AW3195" s="5">
        <f>IF(Q3195&gt;0,RANK(Q3195,(N3195:P3195,Q3195:AE3195)),0)</f>
        <v>3</v>
      </c>
      <c r="AX3195" s="5">
        <f>IF(R3195&gt;0,RANK(R3195,(N3195:P3195,Q3195:AE3195)),0)</f>
        <v>5</v>
      </c>
      <c r="AY3195" s="5">
        <f>IF(T3195&gt;0,RANK(T3195,(N3195:P3195,Q3195:AE3195)),0)</f>
        <v>9</v>
      </c>
      <c r="AZ3195" s="5">
        <f>IF(S3195&gt;0,RANK(S3195,(N3195:P3195,Q3195:AE3195)),0)</f>
        <v>6</v>
      </c>
      <c r="BA3195" s="2">
        <f t="shared" si="1257"/>
        <v>4.051114736269712E-2</v>
      </c>
      <c r="BB3195" s="2">
        <f t="shared" si="1258"/>
        <v>7.7487765089722677E-3</v>
      </c>
      <c r="BC3195" s="2">
        <f t="shared" si="1259"/>
        <v>4.7580206634040241E-4</v>
      </c>
      <c r="BD3195" s="2">
        <f t="shared" si="1260"/>
        <v>4.3501903208265358E-3</v>
      </c>
      <c r="BF3195" t="s">
        <v>1597</v>
      </c>
      <c r="BG3195" t="s">
        <v>3002</v>
      </c>
      <c r="BH3195" s="63">
        <v>7</v>
      </c>
      <c r="BJ3195" s="114">
        <v>55</v>
      </c>
      <c r="BK3195" s="116">
        <v>69</v>
      </c>
      <c r="BL3195" s="120">
        <f t="shared" si="1251"/>
        <v>55069</v>
      </c>
      <c r="BN3195" s="5" t="s">
        <v>3154</v>
      </c>
      <c r="CB3195" s="63">
        <v>132</v>
      </c>
      <c r="CD3195" s="63">
        <v>0</v>
      </c>
      <c r="CE3195" s="63">
        <v>0</v>
      </c>
      <c r="CO3195" s="63">
        <v>5370</v>
      </c>
      <c r="CP3195" s="63">
        <v>8400</v>
      </c>
      <c r="CQ3195" s="63">
        <v>0</v>
      </c>
      <c r="CR3195" s="63">
        <v>596</v>
      </c>
      <c r="CS3195" s="63">
        <v>114</v>
      </c>
      <c r="CT3195" s="63">
        <v>64</v>
      </c>
      <c r="CU3195" s="63">
        <v>7</v>
      </c>
      <c r="CV3195" s="63">
        <v>0</v>
      </c>
      <c r="CW3195" s="63"/>
      <c r="CX3195" s="63">
        <f t="shared" si="1250"/>
        <v>0</v>
      </c>
      <c r="CY3195" s="63"/>
      <c r="CZ3195" s="63">
        <v>0</v>
      </c>
      <c r="DA3195" s="63"/>
      <c r="DB3195" s="63">
        <v>13</v>
      </c>
      <c r="DC3195" s="63"/>
      <c r="DD3195" s="63"/>
      <c r="DE3195" s="63"/>
      <c r="DF3195" s="63">
        <v>0</v>
      </c>
      <c r="DG3195" s="63"/>
      <c r="DH3195" s="63">
        <v>0</v>
      </c>
      <c r="DI3195" s="63"/>
      <c r="DJ3195" s="63"/>
      <c r="DK3195" s="63"/>
      <c r="DL3195" s="63"/>
      <c r="DM3195" s="63"/>
      <c r="DN3195" s="63">
        <v>0</v>
      </c>
      <c r="DO3195" s="63">
        <v>0</v>
      </c>
      <c r="DQ3195" s="63">
        <v>142</v>
      </c>
      <c r="DR3195" s="63"/>
      <c r="DS3195" s="63">
        <v>0</v>
      </c>
      <c r="DT3195" s="63">
        <v>0</v>
      </c>
    </row>
    <row r="3196" spans="1:124" hidden="1" outlineLevel="1">
      <c r="A3196" t="s">
        <v>350</v>
      </c>
      <c r="B3196" t="s">
        <v>3002</v>
      </c>
      <c r="C3196" s="1">
        <f t="shared" si="1252"/>
        <v>40786</v>
      </c>
      <c r="D3196" s="5">
        <f>IF(N3196&gt;0, RANK(N3196,(N3196:P3196,Q3196:AE3196)),0)</f>
        <v>2</v>
      </c>
      <c r="E3196" s="5">
        <f>IF(O3196&gt;0,RANK(O3196,(N3196:P3196,Q3196:AE3196)),0)</f>
        <v>1</v>
      </c>
      <c r="F3196" s="5">
        <f>IF(P3196&gt;0,RANK(P3196,(N3196:P3196,Q3196:AE3196)),0)</f>
        <v>7</v>
      </c>
      <c r="G3196" s="132">
        <f t="shared" si="1235"/>
        <v>8706</v>
      </c>
      <c r="H3196" s="137">
        <f t="shared" si="1236"/>
        <v>0.21345559750894916</v>
      </c>
      <c r="I3196" s="2"/>
      <c r="J3196" s="2">
        <f t="shared" si="1253"/>
        <v>0.3564458392585691</v>
      </c>
      <c r="K3196" s="2">
        <f t="shared" si="1254"/>
        <v>0.56990143676751825</v>
      </c>
      <c r="L3196" s="2">
        <f t="shared" si="1255"/>
        <v>4.7565341048398961E-3</v>
      </c>
      <c r="M3196" s="2">
        <f t="shared" si="1256"/>
        <v>6.8896189869072755E-2</v>
      </c>
      <c r="N3196" s="63">
        <v>14538</v>
      </c>
      <c r="O3196" s="63">
        <v>23244</v>
      </c>
      <c r="P3196" s="63">
        <v>194</v>
      </c>
      <c r="Q3196" s="63">
        <v>1562</v>
      </c>
      <c r="R3196" s="63">
        <v>347</v>
      </c>
      <c r="S3196" s="63">
        <v>232</v>
      </c>
      <c r="T3196" s="63">
        <v>25</v>
      </c>
      <c r="U3196" s="63">
        <v>0</v>
      </c>
      <c r="V3196" s="63"/>
      <c r="W3196" s="63">
        <f t="shared" si="1249"/>
        <v>598</v>
      </c>
      <c r="X3196" s="63"/>
      <c r="Y3196" s="63">
        <v>0</v>
      </c>
      <c r="Z3196" s="63"/>
      <c r="AA3196" s="63">
        <v>31</v>
      </c>
      <c r="AB3196" s="63"/>
      <c r="AC3196" s="63"/>
      <c r="AD3196" s="63"/>
      <c r="AE3196" s="63">
        <v>0</v>
      </c>
      <c r="AF3196" s="63"/>
      <c r="AG3196" s="63">
        <v>1</v>
      </c>
      <c r="AH3196" s="63"/>
      <c r="AI3196" s="63"/>
      <c r="AJ3196" s="63"/>
      <c r="AK3196" s="63"/>
      <c r="AL3196" s="63"/>
      <c r="AM3196" s="63">
        <v>0</v>
      </c>
      <c r="AN3196" s="63">
        <v>14</v>
      </c>
      <c r="AO3196" s="63"/>
      <c r="AP3196" s="63"/>
      <c r="AQ3196" s="63"/>
      <c r="AR3196" s="63"/>
      <c r="AS3196" s="63"/>
      <c r="AT3196" s="63"/>
      <c r="AU3196" s="63"/>
      <c r="AW3196" s="5">
        <f>IF(Q3196&gt;0,RANK(Q3196,(N3196:P3196,Q3196:AE3196)),0)</f>
        <v>3</v>
      </c>
      <c r="AX3196" s="5">
        <f>IF(R3196&gt;0,RANK(R3196,(N3196:P3196,Q3196:AE3196)),0)</f>
        <v>5</v>
      </c>
      <c r="AY3196" s="5">
        <f>IF(T3196&gt;0,RANK(T3196,(N3196:P3196,Q3196:AE3196)),0)</f>
        <v>9</v>
      </c>
      <c r="AZ3196" s="5">
        <f>IF(S3196&gt;0,RANK(S3196,(N3196:P3196,Q3196:AE3196)),0)</f>
        <v>6</v>
      </c>
      <c r="BA3196" s="2">
        <f t="shared" si="1257"/>
        <v>3.8297455009071737E-2</v>
      </c>
      <c r="BB3196" s="2">
        <f t="shared" si="1258"/>
        <v>8.5078213112342472E-3</v>
      </c>
      <c r="BC3196" s="2">
        <f t="shared" si="1259"/>
        <v>6.1295542588142994E-4</v>
      </c>
      <c r="BD3196" s="2">
        <f t="shared" si="1260"/>
        <v>5.6882263521796693E-3</v>
      </c>
      <c r="BF3196" t="s">
        <v>350</v>
      </c>
      <c r="BG3196" t="s">
        <v>3002</v>
      </c>
      <c r="BH3196" s="63">
        <v>6</v>
      </c>
      <c r="BJ3196" s="114">
        <v>55</v>
      </c>
      <c r="BK3196" s="116">
        <v>71</v>
      </c>
      <c r="BL3196" s="120">
        <f t="shared" si="1251"/>
        <v>55071</v>
      </c>
      <c r="BN3196" s="5" t="s">
        <v>3154</v>
      </c>
      <c r="CB3196" s="63">
        <v>598</v>
      </c>
      <c r="CD3196" s="63">
        <v>0</v>
      </c>
      <c r="CE3196" s="63">
        <v>0</v>
      </c>
      <c r="CO3196" s="63">
        <v>14506</v>
      </c>
      <c r="CP3196" s="63">
        <v>23193</v>
      </c>
      <c r="CQ3196" s="63">
        <v>123</v>
      </c>
      <c r="CR3196" s="63">
        <v>1558</v>
      </c>
      <c r="CS3196" s="63">
        <v>346</v>
      </c>
      <c r="CT3196" s="63">
        <v>229</v>
      </c>
      <c r="CU3196" s="63">
        <v>26</v>
      </c>
      <c r="CV3196" s="63">
        <v>0</v>
      </c>
      <c r="CW3196" s="63"/>
      <c r="CX3196" s="63">
        <f t="shared" si="1250"/>
        <v>0</v>
      </c>
      <c r="CY3196" s="63"/>
      <c r="CZ3196" s="63">
        <v>0</v>
      </c>
      <c r="DA3196" s="63"/>
      <c r="DB3196" s="63">
        <v>31</v>
      </c>
      <c r="DC3196" s="63"/>
      <c r="DD3196" s="63"/>
      <c r="DE3196" s="63"/>
      <c r="DF3196" s="63">
        <v>0</v>
      </c>
      <c r="DG3196" s="63"/>
      <c r="DH3196" s="63">
        <v>1</v>
      </c>
      <c r="DI3196" s="63"/>
      <c r="DJ3196" s="63"/>
      <c r="DK3196" s="63"/>
      <c r="DL3196" s="63"/>
      <c r="DM3196" s="63"/>
      <c r="DN3196" s="63">
        <v>0</v>
      </c>
      <c r="DO3196" s="63">
        <v>10</v>
      </c>
      <c r="DQ3196" s="63">
        <v>323</v>
      </c>
      <c r="DR3196" s="63"/>
      <c r="DS3196" s="63">
        <v>0</v>
      </c>
      <c r="DT3196" s="63">
        <v>0</v>
      </c>
    </row>
    <row r="3197" spans="1:124" hidden="1" outlineLevel="1">
      <c r="A3197" t="s">
        <v>351</v>
      </c>
      <c r="B3197" t="s">
        <v>3002</v>
      </c>
      <c r="C3197" s="1">
        <f t="shared" si="1252"/>
        <v>69518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7</v>
      </c>
      <c r="G3197" s="132">
        <f t="shared" si="1235"/>
        <v>12533</v>
      </c>
      <c r="H3197" s="137">
        <f t="shared" si="1236"/>
        <v>0.18028424292988865</v>
      </c>
      <c r="I3197" s="2"/>
      <c r="J3197" s="2">
        <f t="shared" si="1253"/>
        <v>0.38092292643631864</v>
      </c>
      <c r="K3197" s="2">
        <f t="shared" si="1254"/>
        <v>0.56120716936620729</v>
      </c>
      <c r="L3197" s="2">
        <f t="shared" si="1255"/>
        <v>2.5461031675249575E-3</v>
      </c>
      <c r="M3197" s="2">
        <f t="shared" si="1256"/>
        <v>5.5323801029949105E-2</v>
      </c>
      <c r="N3197" s="63">
        <v>26481</v>
      </c>
      <c r="O3197" s="63">
        <v>39014</v>
      </c>
      <c r="P3197" s="63">
        <v>177</v>
      </c>
      <c r="Q3197" s="63">
        <v>2329</v>
      </c>
      <c r="R3197" s="63">
        <v>641</v>
      </c>
      <c r="S3197" s="63">
        <v>330</v>
      </c>
      <c r="T3197" s="63">
        <v>32</v>
      </c>
      <c r="U3197" s="63">
        <v>0</v>
      </c>
      <c r="V3197" s="63"/>
      <c r="W3197" s="63">
        <f t="shared" si="1249"/>
        <v>480</v>
      </c>
      <c r="X3197" s="63"/>
      <c r="Y3197" s="63">
        <v>0</v>
      </c>
      <c r="Z3197" s="63"/>
      <c r="AA3197" s="63">
        <v>29</v>
      </c>
      <c r="AB3197" s="63"/>
      <c r="AC3197" s="63"/>
      <c r="AD3197" s="63"/>
      <c r="AE3197" s="63">
        <v>0</v>
      </c>
      <c r="AF3197" s="63"/>
      <c r="AG3197" s="63">
        <v>0</v>
      </c>
      <c r="AH3197" s="63"/>
      <c r="AI3197" s="63"/>
      <c r="AJ3197" s="63"/>
      <c r="AK3197" s="63"/>
      <c r="AL3197" s="63"/>
      <c r="AM3197" s="63">
        <v>0</v>
      </c>
      <c r="AN3197" s="63">
        <v>5</v>
      </c>
      <c r="AO3197" s="63"/>
      <c r="AP3197" s="63"/>
      <c r="AQ3197" s="63"/>
      <c r="AR3197" s="63"/>
      <c r="AS3197" s="63"/>
      <c r="AT3197" s="63"/>
      <c r="AU3197" s="63"/>
      <c r="AW3197" s="5">
        <f>IF(Q3197&gt;0,RANK(Q3197,(N3197:P3197,Q3197:AE3197)),0)</f>
        <v>3</v>
      </c>
      <c r="AX3197" s="5">
        <f>IF(R3197&gt;0,RANK(R3197,(N3197:P3197,Q3197:AE3197)),0)</f>
        <v>4</v>
      </c>
      <c r="AY3197" s="5">
        <f>IF(T3197&gt;0,RANK(T3197,(N3197:P3197,Q3197:AE3197)),0)</f>
        <v>8</v>
      </c>
      <c r="AZ3197" s="5">
        <f>IF(S3197&gt;0,RANK(S3197,(N3197:P3197,Q3197:AE3197)),0)</f>
        <v>6</v>
      </c>
      <c r="BA3197" s="2">
        <f t="shared" si="1257"/>
        <v>3.3502114560257777E-2</v>
      </c>
      <c r="BB3197" s="2">
        <f t="shared" si="1258"/>
        <v>9.2206335049915128E-3</v>
      </c>
      <c r="BC3197" s="2">
        <f t="shared" si="1259"/>
        <v>4.6031243706665901E-4</v>
      </c>
      <c r="BD3197" s="2">
        <f t="shared" si="1260"/>
        <v>4.7469720072499206E-3</v>
      </c>
      <c r="BF3197" t="s">
        <v>351</v>
      </c>
      <c r="BG3197" t="s">
        <v>3002</v>
      </c>
      <c r="BH3197" s="63">
        <v>7</v>
      </c>
      <c r="BJ3197" s="114">
        <v>55</v>
      </c>
      <c r="BK3197" s="116">
        <v>73</v>
      </c>
      <c r="BL3197" s="120">
        <f t="shared" si="1251"/>
        <v>55073</v>
      </c>
      <c r="BN3197" s="5" t="s">
        <v>3154</v>
      </c>
      <c r="CB3197" s="63">
        <v>479</v>
      </c>
      <c r="CD3197" s="63">
        <v>1</v>
      </c>
      <c r="CE3197" s="63">
        <v>0</v>
      </c>
      <c r="CO3197" s="63">
        <v>26477</v>
      </c>
      <c r="CP3197" s="63">
        <v>39013</v>
      </c>
      <c r="CQ3197" s="63">
        <v>123</v>
      </c>
      <c r="CR3197" s="63">
        <v>2330</v>
      </c>
      <c r="CS3197" s="63">
        <v>641</v>
      </c>
      <c r="CT3197" s="63">
        <v>331</v>
      </c>
      <c r="CU3197" s="63">
        <v>32</v>
      </c>
      <c r="CV3197" s="63">
        <v>0</v>
      </c>
      <c r="CW3197" s="63"/>
      <c r="CX3197" s="63">
        <f t="shared" si="1250"/>
        <v>0</v>
      </c>
      <c r="CY3197" s="63"/>
      <c r="CZ3197" s="63">
        <v>0</v>
      </c>
      <c r="DA3197" s="63"/>
      <c r="DB3197" s="63">
        <v>29</v>
      </c>
      <c r="DC3197" s="63"/>
      <c r="DD3197" s="63"/>
      <c r="DE3197" s="63"/>
      <c r="DF3197" s="63">
        <v>1</v>
      </c>
      <c r="DG3197" s="63"/>
      <c r="DH3197" s="63">
        <v>1</v>
      </c>
      <c r="DI3197" s="63"/>
      <c r="DJ3197" s="63"/>
      <c r="DK3197" s="63"/>
      <c r="DL3197" s="63"/>
      <c r="DM3197" s="63"/>
      <c r="DN3197" s="63">
        <v>0</v>
      </c>
      <c r="DO3197" s="63">
        <v>4</v>
      </c>
      <c r="DQ3197" s="63">
        <v>531</v>
      </c>
      <c r="DR3197" s="63"/>
      <c r="DS3197" s="63">
        <v>2</v>
      </c>
      <c r="DT3197" s="63">
        <v>0</v>
      </c>
    </row>
    <row r="3198" spans="1:124" hidden="1" outlineLevel="1">
      <c r="A3198" t="s">
        <v>332</v>
      </c>
      <c r="B3198" t="s">
        <v>3002</v>
      </c>
      <c r="C3198" s="1">
        <f t="shared" si="1252"/>
        <v>20343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6</v>
      </c>
      <c r="G3198" s="132">
        <f t="shared" si="1235"/>
        <v>6713</v>
      </c>
      <c r="H3198" s="137">
        <f t="shared" si="1236"/>
        <v>0.3299906601779482</v>
      </c>
      <c r="I3198" s="2"/>
      <c r="J3198" s="2">
        <f t="shared" si="1253"/>
        <v>0.31504694489504992</v>
      </c>
      <c r="K3198" s="2">
        <f t="shared" si="1254"/>
        <v>0.64503760507299812</v>
      </c>
      <c r="L3198" s="2">
        <f t="shared" si="1255"/>
        <v>2.949417490045716E-3</v>
      </c>
      <c r="M3198" s="2">
        <f t="shared" si="1256"/>
        <v>3.6966032541906245E-2</v>
      </c>
      <c r="N3198" s="63">
        <v>6409</v>
      </c>
      <c r="O3198" s="63">
        <v>13122</v>
      </c>
      <c r="P3198" s="63">
        <v>60</v>
      </c>
      <c r="Q3198" s="63">
        <v>524</v>
      </c>
      <c r="R3198" s="63">
        <v>129</v>
      </c>
      <c r="S3198" s="63">
        <v>79</v>
      </c>
      <c r="T3198" s="63">
        <v>7</v>
      </c>
      <c r="U3198" s="63">
        <v>0</v>
      </c>
      <c r="V3198" s="63"/>
      <c r="W3198" s="63">
        <f t="shared" si="1249"/>
        <v>0</v>
      </c>
      <c r="X3198" s="63"/>
      <c r="Y3198" s="63">
        <v>0</v>
      </c>
      <c r="Z3198" s="63"/>
      <c r="AA3198" s="63">
        <v>12</v>
      </c>
      <c r="AB3198" s="63"/>
      <c r="AC3198" s="63"/>
      <c r="AD3198" s="63"/>
      <c r="AE3198" s="63">
        <v>0</v>
      </c>
      <c r="AF3198" s="63"/>
      <c r="AG3198" s="63">
        <v>0</v>
      </c>
      <c r="AH3198" s="63"/>
      <c r="AI3198" s="63"/>
      <c r="AJ3198" s="63"/>
      <c r="AK3198" s="63"/>
      <c r="AL3198" s="63"/>
      <c r="AM3198" s="63">
        <v>0</v>
      </c>
      <c r="AN3198" s="63">
        <v>1</v>
      </c>
      <c r="AO3198" s="63"/>
      <c r="AP3198" s="63"/>
      <c r="AQ3198" s="63"/>
      <c r="AR3198" s="63"/>
      <c r="AS3198" s="63"/>
      <c r="AT3198" s="63"/>
      <c r="AU3198" s="63"/>
      <c r="AW3198" s="5">
        <f>IF(Q3198&gt;0,RANK(Q3198,(N3198:P3198,Q3198:AE3198)),0)</f>
        <v>3</v>
      </c>
      <c r="AX3198" s="5">
        <f>IF(R3198&gt;0,RANK(R3198,(N3198:P3198,Q3198:AE3198)),0)</f>
        <v>4</v>
      </c>
      <c r="AY3198" s="5">
        <f>IF(T3198&gt;0,RANK(T3198,(N3198:P3198,Q3198:AE3198)),0)</f>
        <v>8</v>
      </c>
      <c r="AZ3198" s="5">
        <f>IF(S3198&gt;0,RANK(S3198,(N3198:P3198,Q3198:AE3198)),0)</f>
        <v>5</v>
      </c>
      <c r="BA3198" s="2">
        <f t="shared" si="1257"/>
        <v>2.5758246079732587E-2</v>
      </c>
      <c r="BB3198" s="2">
        <f t="shared" si="1258"/>
        <v>6.3412476035982889E-3</v>
      </c>
      <c r="BC3198" s="2">
        <f t="shared" si="1259"/>
        <v>3.440987071720002E-4</v>
      </c>
      <c r="BD3198" s="2">
        <f t="shared" si="1260"/>
        <v>3.8833996952268592E-3</v>
      </c>
      <c r="BF3198" t="s">
        <v>332</v>
      </c>
      <c r="BG3198" t="s">
        <v>3002</v>
      </c>
      <c r="BH3198" s="63">
        <v>8</v>
      </c>
      <c r="BJ3198" s="114">
        <v>55</v>
      </c>
      <c r="BK3198" s="116">
        <v>75</v>
      </c>
      <c r="BL3198" s="120">
        <f t="shared" si="1251"/>
        <v>55075</v>
      </c>
      <c r="BN3198" s="5" t="s">
        <v>3154</v>
      </c>
      <c r="CB3198" s="63">
        <v>0</v>
      </c>
      <c r="CD3198" s="63">
        <v>0</v>
      </c>
      <c r="CE3198" s="63">
        <v>0</v>
      </c>
      <c r="CO3198" s="63">
        <v>6243</v>
      </c>
      <c r="CP3198" s="63">
        <v>12995</v>
      </c>
      <c r="CQ3198" s="63">
        <v>58</v>
      </c>
      <c r="CR3198" s="63">
        <v>520</v>
      </c>
      <c r="CS3198" s="63">
        <v>131</v>
      </c>
      <c r="CT3198" s="63">
        <v>80</v>
      </c>
      <c r="CU3198" s="63">
        <v>7</v>
      </c>
      <c r="CV3198" s="63">
        <v>0</v>
      </c>
      <c r="CW3198" s="63"/>
      <c r="CX3198" s="63">
        <f t="shared" si="1250"/>
        <v>0</v>
      </c>
      <c r="CY3198" s="63"/>
      <c r="CZ3198" s="63">
        <v>0</v>
      </c>
      <c r="DA3198" s="63"/>
      <c r="DB3198" s="63">
        <v>10</v>
      </c>
      <c r="DC3198" s="63"/>
      <c r="DD3198" s="63"/>
      <c r="DE3198" s="63"/>
      <c r="DF3198" s="63">
        <v>0</v>
      </c>
      <c r="DG3198" s="63"/>
      <c r="DH3198" s="63">
        <v>2</v>
      </c>
      <c r="DI3198" s="63"/>
      <c r="DJ3198" s="63"/>
      <c r="DK3198" s="63"/>
      <c r="DL3198" s="63"/>
      <c r="DM3198" s="63"/>
      <c r="DN3198" s="63">
        <v>0</v>
      </c>
      <c r="DO3198" s="63">
        <v>0</v>
      </c>
      <c r="DQ3198" s="63">
        <v>0</v>
      </c>
      <c r="DR3198" s="63"/>
      <c r="DS3198" s="63">
        <v>0</v>
      </c>
      <c r="DT3198" s="63">
        <v>0</v>
      </c>
    </row>
    <row r="3199" spans="1:124" hidden="1" outlineLevel="1">
      <c r="A3199" t="s">
        <v>514</v>
      </c>
      <c r="B3199" t="s">
        <v>3002</v>
      </c>
      <c r="C3199" s="1">
        <f t="shared" si="1252"/>
        <v>7891</v>
      </c>
      <c r="D3199" s="5">
        <f>IF(N3199&gt;0, RANK(N3199,(N3199:P3199,Q3199:AE3199)),0)</f>
        <v>2</v>
      </c>
      <c r="E3199" s="5">
        <f>IF(O3199&gt;0,RANK(O3199,(N3199:P3199,Q3199:AE3199)),0)</f>
        <v>1</v>
      </c>
      <c r="F3199" s="5">
        <f>IF(P3199&gt;0,RANK(P3199,(N3199:P3199,Q3199:AE3199)),0)</f>
        <v>7</v>
      </c>
      <c r="G3199" s="132">
        <f t="shared" si="1235"/>
        <v>1901</v>
      </c>
      <c r="H3199" s="137">
        <f t="shared" si="1236"/>
        <v>0.24090736281840072</v>
      </c>
      <c r="I3199" s="2"/>
      <c r="J3199" s="2">
        <f t="shared" si="1253"/>
        <v>0.35584843492586493</v>
      </c>
      <c r="K3199" s="2">
        <f t="shared" si="1254"/>
        <v>0.59675579774426557</v>
      </c>
      <c r="L3199" s="2">
        <f t="shared" si="1255"/>
        <v>4.1819794702826008E-3</v>
      </c>
      <c r="M3199" s="2">
        <f t="shared" si="1256"/>
        <v>4.3213787859586898E-2</v>
      </c>
      <c r="N3199" s="63">
        <v>2808</v>
      </c>
      <c r="O3199" s="63">
        <v>4709</v>
      </c>
      <c r="P3199" s="63">
        <v>33</v>
      </c>
      <c r="Q3199" s="63">
        <v>188</v>
      </c>
      <c r="R3199" s="63">
        <v>50</v>
      </c>
      <c r="S3199" s="63">
        <v>43</v>
      </c>
      <c r="T3199" s="63">
        <v>5</v>
      </c>
      <c r="U3199" s="63">
        <v>0</v>
      </c>
      <c r="V3199" s="63"/>
      <c r="W3199" s="63">
        <f t="shared" si="1249"/>
        <v>46</v>
      </c>
      <c r="X3199" s="63"/>
      <c r="Y3199" s="63">
        <v>1</v>
      </c>
      <c r="Z3199" s="63"/>
      <c r="AA3199" s="63">
        <v>8</v>
      </c>
      <c r="AB3199" s="63"/>
      <c r="AC3199" s="63"/>
      <c r="AD3199" s="63"/>
      <c r="AE3199" s="63">
        <v>0</v>
      </c>
      <c r="AF3199" s="63"/>
      <c r="AG3199" s="63">
        <v>0</v>
      </c>
      <c r="AH3199" s="63"/>
      <c r="AI3199" s="63"/>
      <c r="AJ3199" s="63"/>
      <c r="AK3199" s="63"/>
      <c r="AL3199" s="63"/>
      <c r="AM3199" s="63">
        <v>0</v>
      </c>
      <c r="AN3199" s="63">
        <v>0</v>
      </c>
      <c r="AO3199" s="63"/>
      <c r="AP3199" s="63"/>
      <c r="AQ3199" s="63"/>
      <c r="AR3199" s="63"/>
      <c r="AS3199" s="63"/>
      <c r="AT3199" s="63"/>
      <c r="AU3199" s="63"/>
      <c r="AW3199" s="5">
        <f>IF(Q3199&gt;0,RANK(Q3199,(N3199:P3199,Q3199:AE3199)),0)</f>
        <v>3</v>
      </c>
      <c r="AX3199" s="5">
        <f>IF(R3199&gt;0,RANK(R3199,(N3199:P3199,Q3199:AE3199)),0)</f>
        <v>4</v>
      </c>
      <c r="AY3199" s="5">
        <f>IF(T3199&gt;0,RANK(T3199,(N3199:P3199,Q3199:AE3199)),0)</f>
        <v>9</v>
      </c>
      <c r="AZ3199" s="5">
        <f>IF(S3199&gt;0,RANK(S3199,(N3199:P3199,Q3199:AE3199)),0)</f>
        <v>6</v>
      </c>
      <c r="BA3199" s="2">
        <f t="shared" si="1257"/>
        <v>2.382461031554936E-2</v>
      </c>
      <c r="BB3199" s="2">
        <f t="shared" si="1258"/>
        <v>6.3363325307312125E-3</v>
      </c>
      <c r="BC3199" s="2">
        <f t="shared" si="1259"/>
        <v>6.3363325307312125E-4</v>
      </c>
      <c r="BD3199" s="2">
        <f t="shared" si="1260"/>
        <v>5.4492459764288433E-3</v>
      </c>
      <c r="BF3199" t="s">
        <v>514</v>
      </c>
      <c r="BG3199" t="s">
        <v>3002</v>
      </c>
      <c r="BH3199" s="63">
        <v>6</v>
      </c>
      <c r="BJ3199" s="114">
        <v>55</v>
      </c>
      <c r="BK3199" s="116">
        <v>77</v>
      </c>
      <c r="BL3199" s="120">
        <f t="shared" si="1251"/>
        <v>55077</v>
      </c>
      <c r="BN3199" s="5" t="s">
        <v>3154</v>
      </c>
      <c r="CB3199" s="63">
        <v>46</v>
      </c>
      <c r="CD3199" s="63">
        <v>0</v>
      </c>
      <c r="CE3199" s="63">
        <v>0</v>
      </c>
      <c r="CO3199" s="63">
        <v>2809</v>
      </c>
      <c r="CP3199" s="63">
        <v>4714</v>
      </c>
      <c r="CQ3199" s="63">
        <v>31</v>
      </c>
      <c r="CR3199" s="63">
        <v>187</v>
      </c>
      <c r="CS3199" s="63">
        <v>50</v>
      </c>
      <c r="CT3199" s="63">
        <v>43</v>
      </c>
      <c r="CU3199" s="63">
        <v>5</v>
      </c>
      <c r="CV3199" s="63">
        <v>0</v>
      </c>
      <c r="CW3199" s="63"/>
      <c r="CX3199" s="63">
        <f t="shared" si="1250"/>
        <v>0</v>
      </c>
      <c r="CY3199" s="63"/>
      <c r="CZ3199" s="63">
        <v>1</v>
      </c>
      <c r="DA3199" s="63"/>
      <c r="DB3199" s="63">
        <v>8</v>
      </c>
      <c r="DC3199" s="63"/>
      <c r="DD3199" s="63"/>
      <c r="DE3199" s="63"/>
      <c r="DF3199" s="63">
        <v>0</v>
      </c>
      <c r="DG3199" s="63"/>
      <c r="DH3199" s="63">
        <v>0</v>
      </c>
      <c r="DI3199" s="63"/>
      <c r="DJ3199" s="63"/>
      <c r="DK3199" s="63"/>
      <c r="DL3199" s="63"/>
      <c r="DM3199" s="63"/>
      <c r="DN3199" s="63">
        <v>0</v>
      </c>
      <c r="DO3199" s="63">
        <v>0</v>
      </c>
      <c r="DQ3199" s="63">
        <v>45</v>
      </c>
      <c r="DR3199" s="63"/>
      <c r="DS3199" s="63">
        <v>0</v>
      </c>
      <c r="DT3199" s="63">
        <v>0</v>
      </c>
    </row>
    <row r="3200" spans="1:124" hidden="1" outlineLevel="1">
      <c r="A3200" t="s">
        <v>2384</v>
      </c>
      <c r="B3200" t="s">
        <v>3002</v>
      </c>
      <c r="C3200" s="1">
        <f t="shared" si="1252"/>
        <v>1308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32">
        <f t="shared" si="1235"/>
        <v>735</v>
      </c>
      <c r="H3200" s="137">
        <f t="shared" si="1236"/>
        <v>0.56192660550458717</v>
      </c>
      <c r="I3200" s="2"/>
      <c r="J3200" s="2">
        <f t="shared" si="1253"/>
        <v>0.76605504587155959</v>
      </c>
      <c r="K3200" s="2">
        <f t="shared" si="1254"/>
        <v>0.20412844036697247</v>
      </c>
      <c r="L3200" s="2">
        <f t="shared" si="1255"/>
        <v>0</v>
      </c>
      <c r="M3200" s="2">
        <f t="shared" si="1256"/>
        <v>2.9816513761467933E-2</v>
      </c>
      <c r="N3200" s="63">
        <v>1002</v>
      </c>
      <c r="O3200" s="63">
        <v>267</v>
      </c>
      <c r="P3200" s="63">
        <v>0</v>
      </c>
      <c r="Q3200" s="63">
        <v>12</v>
      </c>
      <c r="R3200" s="63">
        <v>24</v>
      </c>
      <c r="S3200" s="63">
        <v>3</v>
      </c>
      <c r="T3200" s="63">
        <v>0</v>
      </c>
      <c r="U3200" s="63">
        <v>0</v>
      </c>
      <c r="V3200" s="63"/>
      <c r="W3200" s="63">
        <f t="shared" si="1249"/>
        <v>0</v>
      </c>
      <c r="X3200" s="63"/>
      <c r="Y3200" s="63">
        <v>0</v>
      </c>
      <c r="Z3200" s="63"/>
      <c r="AA3200" s="63">
        <v>0</v>
      </c>
      <c r="AB3200" s="63"/>
      <c r="AC3200" s="63"/>
      <c r="AD3200" s="63"/>
      <c r="AE3200" s="63">
        <v>0</v>
      </c>
      <c r="AF3200" s="63"/>
      <c r="AG3200" s="63">
        <v>0</v>
      </c>
      <c r="AH3200" s="63"/>
      <c r="AI3200" s="63"/>
      <c r="AJ3200" s="63"/>
      <c r="AK3200" s="63"/>
      <c r="AL3200" s="63"/>
      <c r="AM3200" s="63">
        <v>0</v>
      </c>
      <c r="AN3200" s="63">
        <v>0</v>
      </c>
      <c r="AO3200" s="63"/>
      <c r="AP3200" s="63"/>
      <c r="AQ3200" s="63"/>
      <c r="AR3200" s="63"/>
      <c r="AS3200" s="63"/>
      <c r="AT3200" s="63"/>
      <c r="AU3200" s="63"/>
      <c r="AW3200" s="5">
        <f>IF(Q3200&gt;0,RANK(Q3200,(N3200:P3200,Q3200:AE3200)),0)</f>
        <v>4</v>
      </c>
      <c r="AX3200" s="5">
        <f>IF(R3200&gt;0,RANK(R3200,(N3200:P3200,Q3200:AE3200)),0)</f>
        <v>3</v>
      </c>
      <c r="AY3200" s="5">
        <f>IF(T3200&gt;0,RANK(T3200,(N3200:P3200,Q3200:AE3200)),0)</f>
        <v>0</v>
      </c>
      <c r="AZ3200" s="5">
        <f>IF(S3200&gt;0,RANK(S3200,(N3200:P3200,Q3200:AE3200)),0)</f>
        <v>5</v>
      </c>
      <c r="BA3200" s="2">
        <f t="shared" si="1257"/>
        <v>9.1743119266055051E-3</v>
      </c>
      <c r="BB3200" s="2">
        <f t="shared" si="1258"/>
        <v>1.834862385321101E-2</v>
      </c>
      <c r="BC3200" s="2">
        <f t="shared" si="1259"/>
        <v>0</v>
      </c>
      <c r="BD3200" s="2">
        <f t="shared" si="1260"/>
        <v>2.2935779816513763E-3</v>
      </c>
      <c r="BF3200" t="s">
        <v>2384</v>
      </c>
      <c r="BG3200" t="s">
        <v>3002</v>
      </c>
      <c r="BH3200" s="63">
        <v>8</v>
      </c>
      <c r="BJ3200" s="114">
        <v>55</v>
      </c>
      <c r="BK3200" s="116">
        <v>78</v>
      </c>
      <c r="BL3200" s="120">
        <f t="shared" si="1251"/>
        <v>55078</v>
      </c>
      <c r="BN3200" s="5" t="s">
        <v>3154</v>
      </c>
      <c r="CB3200" s="63">
        <v>0</v>
      </c>
      <c r="CD3200" s="63">
        <v>0</v>
      </c>
      <c r="CE3200" s="63">
        <v>0</v>
      </c>
      <c r="CO3200" s="63">
        <v>1003</v>
      </c>
      <c r="CP3200" s="63">
        <v>269</v>
      </c>
      <c r="CQ3200" s="63">
        <v>0</v>
      </c>
      <c r="CR3200" s="63">
        <v>0</v>
      </c>
      <c r="CS3200" s="63">
        <v>7</v>
      </c>
      <c r="CT3200" s="63">
        <v>0</v>
      </c>
      <c r="CU3200" s="63">
        <v>0</v>
      </c>
      <c r="CV3200" s="63">
        <v>0</v>
      </c>
      <c r="CW3200" s="63"/>
      <c r="CX3200" s="63">
        <f t="shared" si="1250"/>
        <v>0</v>
      </c>
      <c r="CY3200" s="63"/>
      <c r="CZ3200" s="63">
        <v>0</v>
      </c>
      <c r="DA3200" s="63"/>
      <c r="DB3200" s="63">
        <v>0</v>
      </c>
      <c r="DC3200" s="63"/>
      <c r="DD3200" s="63"/>
      <c r="DE3200" s="63"/>
      <c r="DF3200" s="63">
        <v>0</v>
      </c>
      <c r="DG3200" s="63"/>
      <c r="DH3200" s="63">
        <v>0</v>
      </c>
      <c r="DI3200" s="63"/>
      <c r="DJ3200" s="63"/>
      <c r="DK3200" s="63"/>
      <c r="DL3200" s="63"/>
      <c r="DM3200" s="63"/>
      <c r="DN3200" s="63">
        <v>0</v>
      </c>
      <c r="DO3200" s="63">
        <v>0</v>
      </c>
      <c r="DQ3200" s="63">
        <v>0</v>
      </c>
      <c r="DR3200" s="63"/>
      <c r="DS3200" s="63">
        <v>0</v>
      </c>
      <c r="DT3200" s="63">
        <v>0</v>
      </c>
    </row>
    <row r="3201" spans="1:124" hidden="1" outlineLevel="1">
      <c r="A3201" t="s">
        <v>2138</v>
      </c>
      <c r="B3201" t="s">
        <v>3002</v>
      </c>
      <c r="C3201" s="1">
        <f t="shared" si="1252"/>
        <v>441053</v>
      </c>
      <c r="D3201" s="5">
        <f>IF(N3201&gt;0, RANK(N3201,(N3201:P3201,Q3201:AE3201)),0)</f>
        <v>1</v>
      </c>
      <c r="E3201" s="5">
        <f>IF(O3201&gt;0,RANK(O3201,(N3201:P3201,Q3201:AE3201)),0)</f>
        <v>2</v>
      </c>
      <c r="F3201" s="5">
        <f>IF(P3201&gt;0,RANK(P3201,(N3201:P3201,Q3201:AE3201)),0)</f>
        <v>6</v>
      </c>
      <c r="G3201" s="132">
        <f t="shared" si="1235"/>
        <v>162753</v>
      </c>
      <c r="H3201" s="137">
        <f t="shared" si="1236"/>
        <v>0.36901007361927024</v>
      </c>
      <c r="I3201" s="2"/>
      <c r="J3201" s="2">
        <f t="shared" si="1253"/>
        <v>0.65484646969865301</v>
      </c>
      <c r="K3201" s="2">
        <f t="shared" si="1254"/>
        <v>0.28583639607938277</v>
      </c>
      <c r="L3201" s="2">
        <f t="shared" si="1255"/>
        <v>3.5732667049084804E-3</v>
      </c>
      <c r="M3201" s="2">
        <f t="shared" si="1256"/>
        <v>5.5743867517055741E-2</v>
      </c>
      <c r="N3201" s="63">
        <v>288822</v>
      </c>
      <c r="O3201" s="63">
        <v>126069</v>
      </c>
      <c r="P3201" s="63">
        <v>1576</v>
      </c>
      <c r="Q3201" s="63">
        <v>13590</v>
      </c>
      <c r="R3201" s="63">
        <v>4528</v>
      </c>
      <c r="S3201" s="63">
        <v>1262</v>
      </c>
      <c r="T3201" s="63">
        <v>199</v>
      </c>
      <c r="U3201" s="63">
        <v>12</v>
      </c>
      <c r="V3201" s="63"/>
      <c r="W3201" s="63">
        <f t="shared" si="1249"/>
        <v>4615</v>
      </c>
      <c r="X3201" s="63"/>
      <c r="Y3201" s="63">
        <v>3</v>
      </c>
      <c r="Z3201" s="63"/>
      <c r="AA3201" s="63">
        <v>313</v>
      </c>
      <c r="AB3201" s="63"/>
      <c r="AC3201" s="63"/>
      <c r="AD3201" s="63"/>
      <c r="AE3201" s="63">
        <v>1</v>
      </c>
      <c r="AF3201" s="63"/>
      <c r="AG3201" s="63">
        <v>9</v>
      </c>
      <c r="AH3201" s="63"/>
      <c r="AI3201" s="63"/>
      <c r="AJ3201" s="63"/>
      <c r="AK3201" s="63"/>
      <c r="AL3201" s="63"/>
      <c r="AM3201" s="63">
        <v>1</v>
      </c>
      <c r="AN3201" s="63">
        <v>53</v>
      </c>
      <c r="AO3201" s="63"/>
      <c r="AP3201" s="63"/>
      <c r="AQ3201" s="63"/>
      <c r="AR3201" s="63"/>
      <c r="AS3201" s="63"/>
      <c r="AT3201" s="63"/>
      <c r="AU3201" s="63"/>
      <c r="AW3201" s="5">
        <f>IF(Q3201&gt;0,RANK(Q3201,(N3201:P3201,Q3201:AE3201)),0)</f>
        <v>3</v>
      </c>
      <c r="AX3201" s="5">
        <f>IF(R3201&gt;0,RANK(R3201,(N3201:P3201,Q3201:AE3201)),0)</f>
        <v>5</v>
      </c>
      <c r="AY3201" s="5">
        <f>IF(T3201&gt;0,RANK(T3201,(N3201:P3201,Q3201:AE3201)),0)</f>
        <v>9</v>
      </c>
      <c r="AZ3201" s="5">
        <f>IF(S3201&gt;0,RANK(S3201,(N3201:P3201,Q3201:AE3201)),0)</f>
        <v>7</v>
      </c>
      <c r="BA3201" s="2">
        <f t="shared" si="1257"/>
        <v>3.0812623426209548E-2</v>
      </c>
      <c r="BB3201" s="2">
        <f t="shared" si="1258"/>
        <v>1.0266339872985787E-2</v>
      </c>
      <c r="BC3201" s="2">
        <f t="shared" si="1259"/>
        <v>4.5119294053095661E-4</v>
      </c>
      <c r="BD3201" s="2">
        <f t="shared" si="1260"/>
        <v>2.8613341253772222E-3</v>
      </c>
      <c r="BF3201" t="s">
        <v>2138</v>
      </c>
      <c r="BG3201" t="s">
        <v>3002</v>
      </c>
      <c r="BH3201" s="63"/>
      <c r="BJ3201" s="114">
        <v>55</v>
      </c>
      <c r="BK3201" s="116">
        <v>79</v>
      </c>
      <c r="BL3201" s="120">
        <f t="shared" si="1251"/>
        <v>55079</v>
      </c>
      <c r="BN3201" s="5" t="s">
        <v>3154</v>
      </c>
      <c r="CB3201" s="63">
        <v>4607</v>
      </c>
      <c r="CD3201" s="63">
        <v>8</v>
      </c>
      <c r="CE3201" s="63">
        <v>0</v>
      </c>
      <c r="CO3201" s="63">
        <v>288797</v>
      </c>
      <c r="CP3201" s="63">
        <v>125846</v>
      </c>
      <c r="CQ3201" s="63">
        <v>1290</v>
      </c>
      <c r="CR3201" s="63">
        <v>13590</v>
      </c>
      <c r="CS3201" s="63">
        <v>4529</v>
      </c>
      <c r="CT3201" s="63">
        <v>1261</v>
      </c>
      <c r="CU3201" s="63">
        <v>197</v>
      </c>
      <c r="CV3201" s="63">
        <v>9</v>
      </c>
      <c r="CW3201" s="63"/>
      <c r="CX3201" s="63">
        <f t="shared" si="1250"/>
        <v>0</v>
      </c>
      <c r="CY3201" s="63"/>
      <c r="CZ3201" s="63">
        <v>3</v>
      </c>
      <c r="DA3201" s="63"/>
      <c r="DB3201" s="63">
        <v>311</v>
      </c>
      <c r="DC3201" s="63"/>
      <c r="DD3201" s="63"/>
      <c r="DE3201" s="63"/>
      <c r="DF3201" s="63">
        <v>1</v>
      </c>
      <c r="DG3201" s="63"/>
      <c r="DH3201" s="63">
        <v>8</v>
      </c>
      <c r="DI3201" s="63"/>
      <c r="DJ3201" s="63"/>
      <c r="DK3201" s="63"/>
      <c r="DL3201" s="63"/>
      <c r="DM3201" s="63"/>
      <c r="DN3201" s="63">
        <v>0</v>
      </c>
      <c r="DO3201" s="63">
        <v>48</v>
      </c>
      <c r="DQ3201" s="63">
        <v>4349</v>
      </c>
      <c r="DR3201" s="63"/>
      <c r="DS3201" s="63">
        <v>8</v>
      </c>
      <c r="DT3201" s="63">
        <v>0</v>
      </c>
    </row>
    <row r="3202" spans="1:124" hidden="1" outlineLevel="1">
      <c r="A3202" t="s">
        <v>644</v>
      </c>
      <c r="B3202" t="s">
        <v>3002</v>
      </c>
      <c r="C3202" s="1">
        <f t="shared" si="1252"/>
        <v>19699</v>
      </c>
      <c r="D3202" s="5">
        <f>IF(N3202&gt;0, RANK(N3202,(N3202:P3202,Q3202:AE3202)),0)</f>
        <v>2</v>
      </c>
      <c r="E3202" s="5">
        <f>IF(O3202&gt;0,RANK(O3202,(N3202:P3202,Q3202:AE3202)),0)</f>
        <v>1</v>
      </c>
      <c r="F3202" s="5">
        <f>IF(P3202&gt;0,RANK(P3202,(N3202:P3202,Q3202:AE3202)),0)</f>
        <v>7</v>
      </c>
      <c r="G3202" s="132">
        <f t="shared" si="1235"/>
        <v>4304</v>
      </c>
      <c r="H3202" s="137">
        <f t="shared" si="1236"/>
        <v>0.21848824813442308</v>
      </c>
      <c r="I3202" s="2"/>
      <c r="J3202" s="2">
        <f t="shared" si="1253"/>
        <v>0.35798771511244226</v>
      </c>
      <c r="K3202" s="2">
        <f t="shared" si="1254"/>
        <v>0.57647596324686534</v>
      </c>
      <c r="L3202" s="2">
        <f t="shared" si="1255"/>
        <v>2.4874359104523074E-3</v>
      </c>
      <c r="M3202" s="2">
        <f t="shared" si="1256"/>
        <v>6.3048885730240145E-2</v>
      </c>
      <c r="N3202" s="63">
        <v>7052</v>
      </c>
      <c r="O3202" s="63">
        <v>11356</v>
      </c>
      <c r="P3202" s="63">
        <v>49</v>
      </c>
      <c r="Q3202" s="63">
        <v>707</v>
      </c>
      <c r="R3202" s="63">
        <v>232</v>
      </c>
      <c r="S3202" s="63">
        <v>113</v>
      </c>
      <c r="T3202" s="63">
        <v>10</v>
      </c>
      <c r="U3202" s="63">
        <v>0</v>
      </c>
      <c r="V3202" s="63"/>
      <c r="W3202" s="63">
        <f t="shared" si="1249"/>
        <v>169</v>
      </c>
      <c r="X3202" s="63"/>
      <c r="Y3202" s="63">
        <v>0</v>
      </c>
      <c r="Z3202" s="63"/>
      <c r="AA3202" s="63">
        <v>10</v>
      </c>
      <c r="AB3202" s="63"/>
      <c r="AC3202" s="63"/>
      <c r="AD3202" s="63"/>
      <c r="AE3202" s="63">
        <v>0</v>
      </c>
      <c r="AF3202" s="63"/>
      <c r="AG3202" s="63">
        <v>1</v>
      </c>
      <c r="AH3202" s="63"/>
      <c r="AI3202" s="63"/>
      <c r="AJ3202" s="63"/>
      <c r="AK3202" s="63"/>
      <c r="AL3202" s="63"/>
      <c r="AM3202" s="63">
        <v>0</v>
      </c>
      <c r="AN3202" s="63">
        <v>0</v>
      </c>
      <c r="AO3202" s="63"/>
      <c r="AP3202" s="63"/>
      <c r="AQ3202" s="63"/>
      <c r="AR3202" s="63"/>
      <c r="AS3202" s="63"/>
      <c r="AT3202" s="63"/>
      <c r="AU3202" s="63"/>
      <c r="AW3202" s="5">
        <f>IF(Q3202&gt;0,RANK(Q3202,(N3202:P3202,Q3202:AE3202)),0)</f>
        <v>3</v>
      </c>
      <c r="AX3202" s="5">
        <f>IF(R3202&gt;0,RANK(R3202,(N3202:P3202,Q3202:AE3202)),0)</f>
        <v>4</v>
      </c>
      <c r="AY3202" s="5">
        <f>IF(T3202&gt;0,RANK(T3202,(N3202:P3202,Q3202:AE3202)),0)</f>
        <v>8</v>
      </c>
      <c r="AZ3202" s="5">
        <f>IF(S3202&gt;0,RANK(S3202,(N3202:P3202,Q3202:AE3202)),0)</f>
        <v>6</v>
      </c>
      <c r="BA3202" s="2">
        <f t="shared" si="1257"/>
        <v>3.589014670795472E-2</v>
      </c>
      <c r="BB3202" s="2">
        <f t="shared" si="1258"/>
        <v>1.1777247576019088E-2</v>
      </c>
      <c r="BC3202" s="2">
        <f t="shared" si="1259"/>
        <v>5.0763998172496071E-4</v>
      </c>
      <c r="BD3202" s="2">
        <f t="shared" si="1260"/>
        <v>5.7363317934920558E-3</v>
      </c>
      <c r="BF3202" t="s">
        <v>644</v>
      </c>
      <c r="BG3202" t="s">
        <v>3002</v>
      </c>
      <c r="BH3202" s="63"/>
      <c r="BJ3202" s="114">
        <v>55</v>
      </c>
      <c r="BK3202" s="116">
        <v>81</v>
      </c>
      <c r="BL3202" s="120">
        <f t="shared" si="1251"/>
        <v>55081</v>
      </c>
      <c r="BN3202" s="5" t="s">
        <v>3154</v>
      </c>
      <c r="CB3202" s="63">
        <v>169</v>
      </c>
      <c r="CD3202" s="63">
        <v>0</v>
      </c>
      <c r="CE3202" s="63">
        <v>0</v>
      </c>
      <c r="CO3202" s="63">
        <v>7048</v>
      </c>
      <c r="CP3202" s="63">
        <v>11352</v>
      </c>
      <c r="CQ3202" s="63">
        <v>56</v>
      </c>
      <c r="CR3202" s="63">
        <v>701</v>
      </c>
      <c r="CS3202" s="63">
        <v>230</v>
      </c>
      <c r="CT3202" s="63">
        <v>113</v>
      </c>
      <c r="CU3202" s="63">
        <v>11</v>
      </c>
      <c r="CV3202" s="63">
        <v>0</v>
      </c>
      <c r="CW3202" s="63"/>
      <c r="CX3202" s="63">
        <f t="shared" si="1250"/>
        <v>0</v>
      </c>
      <c r="CY3202" s="63"/>
      <c r="CZ3202" s="63">
        <v>0</v>
      </c>
      <c r="DA3202" s="63"/>
      <c r="DB3202" s="63">
        <v>11</v>
      </c>
      <c r="DC3202" s="63"/>
      <c r="DD3202" s="63"/>
      <c r="DE3202" s="63"/>
      <c r="DF3202" s="63">
        <v>0</v>
      </c>
      <c r="DG3202" s="63"/>
      <c r="DH3202" s="63">
        <v>0</v>
      </c>
      <c r="DI3202" s="63"/>
      <c r="DJ3202" s="63"/>
      <c r="DK3202" s="63"/>
      <c r="DL3202" s="63"/>
      <c r="DM3202" s="63"/>
      <c r="DN3202" s="63">
        <v>0</v>
      </c>
      <c r="DO3202" s="63">
        <v>0</v>
      </c>
      <c r="DQ3202" s="63">
        <v>148</v>
      </c>
      <c r="DR3202" s="63"/>
      <c r="DS3202" s="63">
        <v>0</v>
      </c>
      <c r="DT3202" s="63">
        <v>0</v>
      </c>
    </row>
    <row r="3203" spans="1:124" hidden="1" outlineLevel="1">
      <c r="A3203" t="s">
        <v>750</v>
      </c>
      <c r="B3203" t="s">
        <v>3002</v>
      </c>
      <c r="C3203" s="1">
        <f t="shared" si="1252"/>
        <v>20206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7</v>
      </c>
      <c r="G3203" s="132">
        <f t="shared" si="1235"/>
        <v>7405</v>
      </c>
      <c r="H3203" s="137">
        <f t="shared" si="1236"/>
        <v>0.36647530436504011</v>
      </c>
      <c r="I3203" s="2"/>
      <c r="J3203" s="2">
        <f t="shared" si="1253"/>
        <v>0.29397208749876275</v>
      </c>
      <c r="K3203" s="2">
        <f t="shared" si="1254"/>
        <v>0.66044739186380286</v>
      </c>
      <c r="L3203" s="2">
        <f t="shared" si="1255"/>
        <v>1.9796100168266851E-3</v>
      </c>
      <c r="M3203" s="2">
        <f t="shared" si="1256"/>
        <v>4.3600910620607655E-2</v>
      </c>
      <c r="N3203" s="63">
        <v>5940</v>
      </c>
      <c r="O3203" s="63">
        <v>13345</v>
      </c>
      <c r="P3203" s="63">
        <v>40</v>
      </c>
      <c r="Q3203" s="63">
        <v>590</v>
      </c>
      <c r="R3203" s="63">
        <v>118</v>
      </c>
      <c r="S3203" s="63">
        <v>89</v>
      </c>
      <c r="T3203" s="63">
        <v>5</v>
      </c>
      <c r="U3203" s="63">
        <v>0</v>
      </c>
      <c r="V3203" s="63"/>
      <c r="W3203" s="63">
        <f t="shared" si="1249"/>
        <v>69</v>
      </c>
      <c r="X3203" s="63"/>
      <c r="Y3203" s="63">
        <v>0</v>
      </c>
      <c r="Z3203" s="63"/>
      <c r="AA3203" s="63">
        <v>9</v>
      </c>
      <c r="AB3203" s="63"/>
      <c r="AC3203" s="63"/>
      <c r="AD3203" s="63"/>
      <c r="AE3203" s="63">
        <v>0</v>
      </c>
      <c r="AF3203" s="63"/>
      <c r="AG3203" s="63">
        <v>0</v>
      </c>
      <c r="AH3203" s="63"/>
      <c r="AI3203" s="63"/>
      <c r="AJ3203" s="63"/>
      <c r="AK3203" s="63"/>
      <c r="AL3203" s="63"/>
      <c r="AM3203" s="63">
        <v>0</v>
      </c>
      <c r="AN3203" s="63">
        <v>1</v>
      </c>
      <c r="AO3203" s="63"/>
      <c r="AP3203" s="63"/>
      <c r="AQ3203" s="63"/>
      <c r="AR3203" s="63"/>
      <c r="AS3203" s="63"/>
      <c r="AT3203" s="63"/>
      <c r="AU3203" s="63"/>
      <c r="AW3203" s="5">
        <f>IF(Q3203&gt;0,RANK(Q3203,(N3203:P3203,Q3203:AE3203)),0)</f>
        <v>3</v>
      </c>
      <c r="AX3203" s="5">
        <f>IF(R3203&gt;0,RANK(R3203,(N3203:P3203,Q3203:AE3203)),0)</f>
        <v>4</v>
      </c>
      <c r="AY3203" s="5">
        <f>IF(T3203&gt;0,RANK(T3203,(N3203:P3203,Q3203:AE3203)),0)</f>
        <v>9</v>
      </c>
      <c r="AZ3203" s="5">
        <f>IF(S3203&gt;0,RANK(S3203,(N3203:P3203,Q3203:AE3203)),0)</f>
        <v>5</v>
      </c>
      <c r="BA3203" s="2">
        <f t="shared" si="1257"/>
        <v>2.9199247748193605E-2</v>
      </c>
      <c r="BB3203" s="2">
        <f t="shared" si="1258"/>
        <v>5.8398495496387211E-3</v>
      </c>
      <c r="BC3203" s="2">
        <f t="shared" si="1259"/>
        <v>2.4745125210333564E-4</v>
      </c>
      <c r="BD3203" s="2">
        <f t="shared" si="1260"/>
        <v>4.4046322874393747E-3</v>
      </c>
      <c r="BF3203" t="s">
        <v>750</v>
      </c>
      <c r="BG3203" t="s">
        <v>3002</v>
      </c>
      <c r="BH3203" s="63">
        <v>8</v>
      </c>
      <c r="BJ3203" s="114">
        <v>55</v>
      </c>
      <c r="BK3203" s="116">
        <v>83</v>
      </c>
      <c r="BL3203" s="120">
        <f t="shared" si="1251"/>
        <v>55083</v>
      </c>
      <c r="BN3203" s="5" t="s">
        <v>3154</v>
      </c>
      <c r="CB3203" s="63">
        <v>69</v>
      </c>
      <c r="CD3203" s="63">
        <v>0</v>
      </c>
      <c r="CE3203" s="63">
        <v>0</v>
      </c>
      <c r="CO3203" s="63">
        <v>5884</v>
      </c>
      <c r="CP3203" s="63">
        <v>13253</v>
      </c>
      <c r="CQ3203" s="63">
        <v>38</v>
      </c>
      <c r="CR3203" s="63">
        <v>581</v>
      </c>
      <c r="CS3203" s="63">
        <v>118</v>
      </c>
      <c r="CT3203" s="63">
        <v>89</v>
      </c>
      <c r="CU3203" s="63">
        <v>5</v>
      </c>
      <c r="CV3203" s="63">
        <v>0</v>
      </c>
      <c r="CW3203" s="63"/>
      <c r="CX3203" s="63">
        <f t="shared" si="1250"/>
        <v>0</v>
      </c>
      <c r="CY3203" s="63"/>
      <c r="CZ3203" s="63">
        <v>0</v>
      </c>
      <c r="DA3203" s="63"/>
      <c r="DB3203" s="63">
        <v>9</v>
      </c>
      <c r="DC3203" s="63"/>
      <c r="DD3203" s="63"/>
      <c r="DE3203" s="63"/>
      <c r="DF3203" s="63">
        <v>0</v>
      </c>
      <c r="DG3203" s="63"/>
      <c r="DH3203" s="63">
        <v>0</v>
      </c>
      <c r="DI3203" s="63"/>
      <c r="DJ3203" s="63"/>
      <c r="DK3203" s="63"/>
      <c r="DL3203" s="63"/>
      <c r="DM3203" s="63"/>
      <c r="DN3203" s="63">
        <v>0</v>
      </c>
      <c r="DO3203" s="63">
        <v>1</v>
      </c>
      <c r="DQ3203" s="63">
        <v>0</v>
      </c>
      <c r="DR3203" s="63"/>
      <c r="DS3203" s="63">
        <v>0</v>
      </c>
      <c r="DT3203" s="63">
        <v>0</v>
      </c>
    </row>
    <row r="3204" spans="1:124" hidden="1" outlineLevel="1">
      <c r="A3204" t="s">
        <v>3090</v>
      </c>
      <c r="B3204" t="s">
        <v>3002</v>
      </c>
      <c r="C3204" s="1">
        <f t="shared" si="1252"/>
        <v>21531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7</v>
      </c>
      <c r="G3204" s="132">
        <f t="shared" si="1235"/>
        <v>4023</v>
      </c>
      <c r="H3204" s="137">
        <f t="shared" si="1236"/>
        <v>0.18684687195206912</v>
      </c>
      <c r="I3204" s="2"/>
      <c r="J3204" s="2">
        <f t="shared" si="1253"/>
        <v>0.37661975755886862</v>
      </c>
      <c r="K3204" s="2">
        <f t="shared" si="1254"/>
        <v>0.56346662951093773</v>
      </c>
      <c r="L3204" s="2">
        <f t="shared" si="1255"/>
        <v>2.9260136547303887E-3</v>
      </c>
      <c r="M3204" s="2">
        <f t="shared" si="1256"/>
        <v>5.6987599275463319E-2</v>
      </c>
      <c r="N3204" s="63">
        <v>8109</v>
      </c>
      <c r="O3204" s="63">
        <v>12132</v>
      </c>
      <c r="P3204" s="63">
        <v>63</v>
      </c>
      <c r="Q3204" s="63">
        <v>751</v>
      </c>
      <c r="R3204" s="63">
        <v>199</v>
      </c>
      <c r="S3204" s="63">
        <v>95</v>
      </c>
      <c r="T3204" s="63">
        <v>9</v>
      </c>
      <c r="U3204" s="63">
        <v>0</v>
      </c>
      <c r="V3204" s="63"/>
      <c r="W3204" s="63">
        <f t="shared" si="1249"/>
        <v>160</v>
      </c>
      <c r="X3204" s="63"/>
      <c r="Y3204" s="63">
        <v>0</v>
      </c>
      <c r="Z3204" s="63"/>
      <c r="AA3204" s="63">
        <v>12</v>
      </c>
      <c r="AB3204" s="63"/>
      <c r="AC3204" s="63"/>
      <c r="AD3204" s="63"/>
      <c r="AE3204" s="63">
        <v>0</v>
      </c>
      <c r="AF3204" s="63"/>
      <c r="AG3204" s="63">
        <v>1</v>
      </c>
      <c r="AH3204" s="63"/>
      <c r="AI3204" s="63"/>
      <c r="AJ3204" s="63"/>
      <c r="AK3204" s="63"/>
      <c r="AL3204" s="63"/>
      <c r="AM3204" s="63">
        <v>0</v>
      </c>
      <c r="AN3204" s="63">
        <v>0</v>
      </c>
      <c r="AO3204" s="63"/>
      <c r="AP3204" s="63"/>
      <c r="AQ3204" s="63"/>
      <c r="AR3204" s="63"/>
      <c r="AS3204" s="63"/>
      <c r="AT3204" s="63"/>
      <c r="AU3204" s="63"/>
      <c r="AW3204" s="5">
        <f>IF(Q3204&gt;0,RANK(Q3204,(N3204:P3204,Q3204:AE3204)),0)</f>
        <v>3</v>
      </c>
      <c r="AX3204" s="5">
        <f>IF(R3204&gt;0,RANK(R3204,(N3204:P3204,Q3204:AE3204)),0)</f>
        <v>4</v>
      </c>
      <c r="AY3204" s="5">
        <f>IF(T3204&gt;0,RANK(T3204,(N3204:P3204,Q3204:AE3204)),0)</f>
        <v>9</v>
      </c>
      <c r="AZ3204" s="5">
        <f>IF(S3204&gt;0,RANK(S3204,(N3204:P3204,Q3204:AE3204)),0)</f>
        <v>6</v>
      </c>
      <c r="BA3204" s="2">
        <f t="shared" si="1257"/>
        <v>3.4879940550833682E-2</v>
      </c>
      <c r="BB3204" s="2">
        <f t="shared" si="1258"/>
        <v>9.2424875760531329E-3</v>
      </c>
      <c r="BC3204" s="2">
        <f t="shared" si="1259"/>
        <v>4.1800195067576981E-4</v>
      </c>
      <c r="BD3204" s="2">
        <f t="shared" si="1260"/>
        <v>4.4122428126886814E-3</v>
      </c>
      <c r="BF3204" t="s">
        <v>3090</v>
      </c>
      <c r="BG3204" t="s">
        <v>3002</v>
      </c>
      <c r="BH3204" s="63">
        <v>7</v>
      </c>
      <c r="BJ3204" s="114">
        <v>55</v>
      </c>
      <c r="BK3204" s="116">
        <v>85</v>
      </c>
      <c r="BL3204" s="120">
        <f t="shared" si="1251"/>
        <v>55085</v>
      </c>
      <c r="BN3204" s="5" t="s">
        <v>3154</v>
      </c>
      <c r="CB3204" s="63">
        <v>157</v>
      </c>
      <c r="CD3204" s="63">
        <v>3</v>
      </c>
      <c r="CE3204" s="63">
        <v>0</v>
      </c>
      <c r="CO3204" s="63">
        <v>8104</v>
      </c>
      <c r="CP3204" s="63">
        <v>11677</v>
      </c>
      <c r="CQ3204" s="63">
        <v>46</v>
      </c>
      <c r="CR3204" s="63">
        <v>751</v>
      </c>
      <c r="CS3204" s="63">
        <v>191</v>
      </c>
      <c r="CT3204" s="63">
        <v>95</v>
      </c>
      <c r="CU3204" s="63">
        <v>8</v>
      </c>
      <c r="CV3204" s="63">
        <v>0</v>
      </c>
      <c r="CW3204" s="63"/>
      <c r="CX3204" s="63">
        <f t="shared" si="1250"/>
        <v>0</v>
      </c>
      <c r="CY3204" s="63"/>
      <c r="CZ3204" s="63">
        <v>0</v>
      </c>
      <c r="DA3204" s="63"/>
      <c r="DB3204" s="63">
        <v>12</v>
      </c>
      <c r="DC3204" s="63"/>
      <c r="DD3204" s="63"/>
      <c r="DE3204" s="63"/>
      <c r="DF3204" s="63">
        <v>0</v>
      </c>
      <c r="DG3204" s="63"/>
      <c r="DH3204" s="63">
        <v>1</v>
      </c>
      <c r="DI3204" s="63"/>
      <c r="DJ3204" s="63"/>
      <c r="DK3204" s="63"/>
      <c r="DL3204" s="63"/>
      <c r="DM3204" s="63"/>
      <c r="DN3204" s="63">
        <v>0</v>
      </c>
      <c r="DO3204" s="63">
        <v>0</v>
      </c>
      <c r="DQ3204" s="63">
        <v>140</v>
      </c>
      <c r="DR3204" s="63"/>
      <c r="DS3204" s="63">
        <v>8</v>
      </c>
      <c r="DT3204" s="63">
        <v>0</v>
      </c>
    </row>
    <row r="3205" spans="1:124" hidden="1" outlineLevel="1">
      <c r="A3205" t="s">
        <v>1227</v>
      </c>
      <c r="B3205" t="s">
        <v>3002</v>
      </c>
      <c r="C3205" s="1">
        <f t="shared" si="1252"/>
        <v>93933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6</v>
      </c>
      <c r="G3205" s="132">
        <f t="shared" si="1235"/>
        <v>11811</v>
      </c>
      <c r="H3205" s="137">
        <f t="shared" si="1236"/>
        <v>0.12573855833413178</v>
      </c>
      <c r="I3205" s="2"/>
      <c r="J3205" s="2">
        <f t="shared" si="1253"/>
        <v>0.40526758434203103</v>
      </c>
      <c r="K3205" s="2">
        <f t="shared" si="1254"/>
        <v>0.53100614267616275</v>
      </c>
      <c r="L3205" s="2">
        <f t="shared" si="1255"/>
        <v>4.8651698551094927E-3</v>
      </c>
      <c r="M3205" s="2">
        <f t="shared" si="1256"/>
        <v>5.8861103126696727E-2</v>
      </c>
      <c r="N3205" s="63">
        <v>38068</v>
      </c>
      <c r="O3205" s="63">
        <v>49879</v>
      </c>
      <c r="P3205" s="63">
        <v>457</v>
      </c>
      <c r="Q3205" s="63">
        <v>3933</v>
      </c>
      <c r="R3205" s="63">
        <v>986</v>
      </c>
      <c r="S3205" s="63">
        <v>480</v>
      </c>
      <c r="T3205" s="63">
        <v>47</v>
      </c>
      <c r="U3205" s="63">
        <v>1</v>
      </c>
      <c r="V3205" s="63"/>
      <c r="W3205" s="63">
        <f t="shared" si="1249"/>
        <v>2</v>
      </c>
      <c r="X3205" s="63"/>
      <c r="Y3205" s="63">
        <v>1</v>
      </c>
      <c r="Z3205" s="63"/>
      <c r="AA3205" s="63">
        <v>59</v>
      </c>
      <c r="AB3205" s="63"/>
      <c r="AC3205" s="63"/>
      <c r="AD3205" s="63"/>
      <c r="AE3205" s="63">
        <v>0</v>
      </c>
      <c r="AF3205" s="63"/>
      <c r="AG3205" s="63">
        <v>4</v>
      </c>
      <c r="AH3205" s="63"/>
      <c r="AI3205" s="63"/>
      <c r="AJ3205" s="63"/>
      <c r="AK3205" s="63"/>
      <c r="AL3205" s="63"/>
      <c r="AM3205" s="63">
        <v>0</v>
      </c>
      <c r="AN3205" s="63">
        <v>16</v>
      </c>
      <c r="AO3205" s="63"/>
      <c r="AP3205" s="63"/>
      <c r="AQ3205" s="63"/>
      <c r="AR3205" s="63"/>
      <c r="AS3205" s="63"/>
      <c r="AT3205" s="63"/>
      <c r="AU3205" s="63"/>
      <c r="AW3205" s="5">
        <f>IF(Q3205&gt;0,RANK(Q3205,(N3205:P3205,Q3205:AE3205)),0)</f>
        <v>3</v>
      </c>
      <c r="AX3205" s="5">
        <f>IF(R3205&gt;0,RANK(R3205,(N3205:P3205,Q3205:AE3205)),0)</f>
        <v>4</v>
      </c>
      <c r="AY3205" s="5">
        <f>IF(T3205&gt;0,RANK(T3205,(N3205:P3205,Q3205:AE3205)),0)</f>
        <v>8</v>
      </c>
      <c r="AZ3205" s="5">
        <f>IF(S3205&gt;0,RANK(S3205,(N3205:P3205,Q3205:AE3205)),0)</f>
        <v>5</v>
      </c>
      <c r="BA3205" s="2">
        <f t="shared" si="1257"/>
        <v>4.1870269234454346E-2</v>
      </c>
      <c r="BB3205" s="2">
        <f t="shared" si="1258"/>
        <v>1.0496843494831423E-2</v>
      </c>
      <c r="BC3205" s="2">
        <f t="shared" si="1259"/>
        <v>5.0035663717756275E-4</v>
      </c>
      <c r="BD3205" s="2">
        <f t="shared" si="1260"/>
        <v>5.1100252307495772E-3</v>
      </c>
      <c r="BF3205" t="s">
        <v>1227</v>
      </c>
      <c r="BG3205" t="s">
        <v>3002</v>
      </c>
      <c r="BH3205" s="63">
        <v>8</v>
      </c>
      <c r="BJ3205" s="114">
        <v>55</v>
      </c>
      <c r="BK3205" s="116">
        <v>87</v>
      </c>
      <c r="BL3205" s="120">
        <f t="shared" si="1251"/>
        <v>55087</v>
      </c>
      <c r="BN3205" s="5" t="s">
        <v>3154</v>
      </c>
      <c r="CB3205" s="63">
        <v>0</v>
      </c>
      <c r="CD3205" s="63">
        <v>2</v>
      </c>
      <c r="CE3205" s="63">
        <v>0</v>
      </c>
      <c r="CO3205" s="63">
        <v>38087</v>
      </c>
      <c r="CP3205" s="63">
        <v>49884</v>
      </c>
      <c r="CQ3205" s="63">
        <v>378</v>
      </c>
      <c r="CR3205" s="63">
        <v>3931</v>
      </c>
      <c r="CS3205" s="63">
        <v>985</v>
      </c>
      <c r="CT3205" s="63">
        <v>480</v>
      </c>
      <c r="CU3205" s="63">
        <v>48</v>
      </c>
      <c r="CV3205" s="63">
        <v>1</v>
      </c>
      <c r="CW3205" s="63"/>
      <c r="CX3205" s="63">
        <f t="shared" si="1250"/>
        <v>0</v>
      </c>
      <c r="CY3205" s="63"/>
      <c r="CZ3205" s="63">
        <v>0</v>
      </c>
      <c r="DA3205" s="63"/>
      <c r="DB3205" s="63">
        <v>59</v>
      </c>
      <c r="DC3205" s="63"/>
      <c r="DD3205" s="63"/>
      <c r="DE3205" s="63"/>
      <c r="DF3205" s="63">
        <v>0</v>
      </c>
      <c r="DG3205" s="63"/>
      <c r="DH3205" s="63">
        <v>2</v>
      </c>
      <c r="DI3205" s="63"/>
      <c r="DJ3205" s="63"/>
      <c r="DK3205" s="63"/>
      <c r="DL3205" s="63"/>
      <c r="DM3205" s="63"/>
      <c r="DN3205" s="63">
        <v>0</v>
      </c>
      <c r="DO3205" s="63">
        <v>12</v>
      </c>
      <c r="DQ3205" s="63">
        <v>0</v>
      </c>
      <c r="DR3205" s="63"/>
      <c r="DS3205" s="63">
        <v>1</v>
      </c>
      <c r="DT3205" s="63">
        <v>0</v>
      </c>
    </row>
    <row r="3206" spans="1:124" hidden="1" outlineLevel="1">
      <c r="A3206" t="s">
        <v>4</v>
      </c>
      <c r="B3206" t="s">
        <v>3002</v>
      </c>
      <c r="C3206" s="1">
        <f t="shared" si="1252"/>
        <v>54560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5</v>
      </c>
      <c r="G3206" s="132">
        <f t="shared" si="1235"/>
        <v>10294</v>
      </c>
      <c r="H3206" s="137">
        <f t="shared" si="1236"/>
        <v>0.18867302052785923</v>
      </c>
      <c r="I3206" s="2"/>
      <c r="J3206" s="2">
        <f t="shared" si="1253"/>
        <v>0.36968475073313783</v>
      </c>
      <c r="K3206" s="2">
        <f t="shared" si="1254"/>
        <v>0.55835777126099706</v>
      </c>
      <c r="L3206" s="2">
        <f t="shared" si="1255"/>
        <v>9.0359237536656884E-3</v>
      </c>
      <c r="M3206" s="2">
        <f t="shared" si="1256"/>
        <v>6.2921554252199474E-2</v>
      </c>
      <c r="N3206" s="63">
        <v>20170</v>
      </c>
      <c r="O3206" s="63">
        <v>30464</v>
      </c>
      <c r="P3206" s="63">
        <v>493</v>
      </c>
      <c r="Q3206" s="63">
        <v>2111</v>
      </c>
      <c r="R3206" s="63">
        <v>387</v>
      </c>
      <c r="S3206" s="63">
        <v>205</v>
      </c>
      <c r="T3206" s="63">
        <v>20</v>
      </c>
      <c r="U3206" s="63">
        <v>0</v>
      </c>
      <c r="V3206" s="63"/>
      <c r="W3206" s="63">
        <f t="shared" si="1249"/>
        <v>681</v>
      </c>
      <c r="X3206" s="63"/>
      <c r="Y3206" s="63">
        <v>3</v>
      </c>
      <c r="Z3206" s="63"/>
      <c r="AA3206" s="63">
        <v>20</v>
      </c>
      <c r="AB3206" s="63"/>
      <c r="AC3206" s="63"/>
      <c r="AD3206" s="63"/>
      <c r="AE3206" s="63">
        <v>0</v>
      </c>
      <c r="AF3206" s="63"/>
      <c r="AG3206" s="63">
        <v>0</v>
      </c>
      <c r="AH3206" s="63"/>
      <c r="AI3206" s="63"/>
      <c r="AJ3206" s="63"/>
      <c r="AK3206" s="63"/>
      <c r="AL3206" s="63"/>
      <c r="AM3206" s="63">
        <v>0</v>
      </c>
      <c r="AN3206" s="63">
        <v>6</v>
      </c>
      <c r="AO3206" s="63"/>
      <c r="AP3206" s="63"/>
      <c r="AQ3206" s="63"/>
      <c r="AR3206" s="63"/>
      <c r="AS3206" s="63"/>
      <c r="AT3206" s="63"/>
      <c r="AU3206" s="63"/>
      <c r="AW3206" s="5">
        <f>IF(Q3206&gt;0,RANK(Q3206,(N3206:P3206,Q3206:AE3206)),0)</f>
        <v>3</v>
      </c>
      <c r="AX3206" s="5">
        <f>IF(R3206&gt;0,RANK(R3206,(N3206:P3206,Q3206:AE3206)),0)</f>
        <v>6</v>
      </c>
      <c r="AY3206" s="5">
        <f>IF(T3206&gt;0,RANK(T3206,(N3206:P3206,Q3206:AE3206)),0)</f>
        <v>8</v>
      </c>
      <c r="AZ3206" s="5">
        <f>IF(S3206&gt;0,RANK(S3206,(N3206:P3206,Q3206:AE3206)),0)</f>
        <v>7</v>
      </c>
      <c r="BA3206" s="2">
        <f t="shared" si="1257"/>
        <v>3.8691348973607036E-2</v>
      </c>
      <c r="BB3206" s="2">
        <f t="shared" si="1258"/>
        <v>7.0931085043988273E-3</v>
      </c>
      <c r="BC3206" s="2">
        <f t="shared" si="1259"/>
        <v>3.6656891495601173E-4</v>
      </c>
      <c r="BD3206" s="2">
        <f t="shared" si="1260"/>
        <v>3.7573313782991204E-3</v>
      </c>
      <c r="BF3206" t="s">
        <v>4</v>
      </c>
      <c r="BG3206" t="s">
        <v>3002</v>
      </c>
      <c r="BH3206" s="63">
        <v>6</v>
      </c>
      <c r="BJ3206" s="114">
        <v>55</v>
      </c>
      <c r="BK3206" s="116">
        <v>89</v>
      </c>
      <c r="BL3206" s="120">
        <f t="shared" si="1251"/>
        <v>55089</v>
      </c>
      <c r="BN3206" s="5" t="s">
        <v>3154</v>
      </c>
      <c r="CB3206" s="63">
        <v>680</v>
      </c>
      <c r="CD3206" s="63">
        <v>1</v>
      </c>
      <c r="CE3206" s="63">
        <v>0</v>
      </c>
      <c r="CO3206" s="63">
        <v>20168</v>
      </c>
      <c r="CP3206" s="63">
        <v>30430</v>
      </c>
      <c r="CQ3206" s="63">
        <v>477</v>
      </c>
      <c r="CR3206" s="63">
        <v>2110</v>
      </c>
      <c r="CS3206" s="63">
        <v>387</v>
      </c>
      <c r="CT3206" s="63">
        <v>205</v>
      </c>
      <c r="CU3206" s="63">
        <v>20</v>
      </c>
      <c r="CV3206" s="63">
        <v>0</v>
      </c>
      <c r="CW3206" s="63"/>
      <c r="CX3206" s="63">
        <f t="shared" si="1250"/>
        <v>0</v>
      </c>
      <c r="CY3206" s="63"/>
      <c r="CZ3206" s="63">
        <v>3</v>
      </c>
      <c r="DA3206" s="63"/>
      <c r="DB3206" s="63">
        <v>20</v>
      </c>
      <c r="DC3206" s="63"/>
      <c r="DD3206" s="63"/>
      <c r="DE3206" s="63"/>
      <c r="DF3206" s="63">
        <v>0</v>
      </c>
      <c r="DG3206" s="63"/>
      <c r="DH3206" s="63">
        <v>0</v>
      </c>
      <c r="DI3206" s="63"/>
      <c r="DJ3206" s="63"/>
      <c r="DK3206" s="63"/>
      <c r="DL3206" s="63"/>
      <c r="DM3206" s="63"/>
      <c r="DN3206" s="63">
        <v>0</v>
      </c>
      <c r="DO3206" s="63">
        <v>5</v>
      </c>
      <c r="DQ3206" s="63">
        <v>697</v>
      </c>
      <c r="DR3206" s="63"/>
      <c r="DS3206" s="63">
        <v>1</v>
      </c>
      <c r="DT3206" s="63">
        <v>0</v>
      </c>
    </row>
    <row r="3207" spans="1:124" hidden="1" outlineLevel="1">
      <c r="A3207" t="s">
        <v>1016</v>
      </c>
      <c r="B3207" t="s">
        <v>3002</v>
      </c>
      <c r="C3207" s="1">
        <f t="shared" si="1252"/>
        <v>3735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6</v>
      </c>
      <c r="G3207" s="132">
        <f t="shared" si="1235"/>
        <v>862</v>
      </c>
      <c r="H3207" s="137">
        <f t="shared" si="1236"/>
        <v>0.23078982597054887</v>
      </c>
      <c r="I3207" s="2"/>
      <c r="J3207" s="2">
        <f t="shared" si="1253"/>
        <v>0.3598393574297189</v>
      </c>
      <c r="K3207" s="2">
        <f t="shared" si="1254"/>
        <v>0.59062918340026771</v>
      </c>
      <c r="L3207" s="2">
        <f t="shared" si="1255"/>
        <v>3.4805890227576973E-3</v>
      </c>
      <c r="M3207" s="2">
        <f t="shared" si="1256"/>
        <v>4.6050870147255639E-2</v>
      </c>
      <c r="N3207" s="63">
        <v>1344</v>
      </c>
      <c r="O3207" s="63">
        <v>2206</v>
      </c>
      <c r="P3207" s="63">
        <v>13</v>
      </c>
      <c r="Q3207" s="63">
        <v>116</v>
      </c>
      <c r="R3207" s="63">
        <v>33</v>
      </c>
      <c r="S3207" s="63">
        <v>20</v>
      </c>
      <c r="T3207" s="63">
        <v>2</v>
      </c>
      <c r="U3207" s="63">
        <v>0</v>
      </c>
      <c r="V3207" s="63"/>
      <c r="W3207" s="63">
        <f t="shared" si="1249"/>
        <v>0</v>
      </c>
      <c r="X3207" s="63"/>
      <c r="Y3207" s="63">
        <v>0</v>
      </c>
      <c r="Z3207" s="63"/>
      <c r="AA3207" s="63">
        <v>1</v>
      </c>
      <c r="AB3207" s="63"/>
      <c r="AC3207" s="63"/>
      <c r="AD3207" s="63"/>
      <c r="AE3207" s="63">
        <v>0</v>
      </c>
      <c r="AF3207" s="63"/>
      <c r="AG3207" s="63">
        <v>0</v>
      </c>
      <c r="AH3207" s="63"/>
      <c r="AI3207" s="63"/>
      <c r="AJ3207" s="63"/>
      <c r="AK3207" s="63"/>
      <c r="AL3207" s="63"/>
      <c r="AM3207" s="63">
        <v>0</v>
      </c>
      <c r="AN3207" s="63">
        <v>0</v>
      </c>
      <c r="AO3207" s="63"/>
      <c r="AP3207" s="63"/>
      <c r="AQ3207" s="63"/>
      <c r="AR3207" s="63"/>
      <c r="AS3207" s="63"/>
      <c r="AT3207" s="63"/>
      <c r="AU3207" s="63"/>
      <c r="AW3207" s="5">
        <f>IF(Q3207&gt;0,RANK(Q3207,(N3207:P3207,Q3207:AE3207)),0)</f>
        <v>3</v>
      </c>
      <c r="AX3207" s="5">
        <f>IF(R3207&gt;0,RANK(R3207,(N3207:P3207,Q3207:AE3207)),0)</f>
        <v>4</v>
      </c>
      <c r="AY3207" s="5">
        <f>IF(T3207&gt;0,RANK(T3207,(N3207:P3207,Q3207:AE3207)),0)</f>
        <v>7</v>
      </c>
      <c r="AZ3207" s="5">
        <f>IF(S3207&gt;0,RANK(S3207,(N3207:P3207,Q3207:AE3207)),0)</f>
        <v>5</v>
      </c>
      <c r="BA3207" s="2">
        <f t="shared" si="1257"/>
        <v>3.1057563587684068E-2</v>
      </c>
      <c r="BB3207" s="2">
        <f t="shared" si="1258"/>
        <v>8.8353413654618466E-3</v>
      </c>
      <c r="BC3207" s="2">
        <f t="shared" si="1259"/>
        <v>5.3547523427041502E-4</v>
      </c>
      <c r="BD3207" s="2">
        <f t="shared" si="1260"/>
        <v>5.3547523427041497E-3</v>
      </c>
      <c r="BF3207" t="s">
        <v>1016</v>
      </c>
      <c r="BG3207" t="s">
        <v>3002</v>
      </c>
      <c r="BH3207" s="63">
        <v>3</v>
      </c>
      <c r="BJ3207" s="114">
        <v>55</v>
      </c>
      <c r="BK3207" s="116">
        <v>91</v>
      </c>
      <c r="BL3207" s="120">
        <f t="shared" si="1251"/>
        <v>55091</v>
      </c>
      <c r="BN3207" s="5" t="s">
        <v>3154</v>
      </c>
      <c r="CB3207" s="63">
        <v>0</v>
      </c>
      <c r="CD3207" s="63">
        <v>0</v>
      </c>
      <c r="CE3207" s="63">
        <v>0</v>
      </c>
      <c r="CO3207" s="63">
        <v>1345</v>
      </c>
      <c r="CP3207" s="63">
        <v>2206</v>
      </c>
      <c r="CQ3207" s="63">
        <v>13</v>
      </c>
      <c r="CR3207" s="63">
        <v>115</v>
      </c>
      <c r="CS3207" s="63">
        <v>33</v>
      </c>
      <c r="CT3207" s="63">
        <v>21</v>
      </c>
      <c r="CU3207" s="63">
        <v>3</v>
      </c>
      <c r="CV3207" s="63">
        <v>0</v>
      </c>
      <c r="CW3207" s="63"/>
      <c r="CX3207" s="63">
        <f t="shared" si="1250"/>
        <v>0</v>
      </c>
      <c r="CY3207" s="63"/>
      <c r="CZ3207" s="63">
        <v>0</v>
      </c>
      <c r="DA3207" s="63"/>
      <c r="DB3207" s="63">
        <v>1</v>
      </c>
      <c r="DC3207" s="63"/>
      <c r="DD3207" s="63"/>
      <c r="DE3207" s="63"/>
      <c r="DF3207" s="63">
        <v>0</v>
      </c>
      <c r="DG3207" s="63"/>
      <c r="DH3207" s="63">
        <v>1</v>
      </c>
      <c r="DI3207" s="63"/>
      <c r="DJ3207" s="63"/>
      <c r="DK3207" s="63"/>
      <c r="DL3207" s="63"/>
      <c r="DM3207" s="63"/>
      <c r="DN3207" s="63">
        <v>0</v>
      </c>
      <c r="DO3207" s="63">
        <v>0</v>
      </c>
      <c r="DQ3207" s="63">
        <v>0</v>
      </c>
      <c r="DR3207" s="63"/>
      <c r="DS3207" s="63">
        <v>1</v>
      </c>
      <c r="DT3207" s="63">
        <v>0</v>
      </c>
    </row>
    <row r="3208" spans="1:124" hidden="1" outlineLevel="1">
      <c r="A3208" t="s">
        <v>1762</v>
      </c>
      <c r="B3208" t="s">
        <v>3002</v>
      </c>
      <c r="C3208" s="1">
        <f t="shared" si="1252"/>
        <v>21376</v>
      </c>
      <c r="D3208" s="5">
        <f>IF(N3208&gt;0, RANK(N3208,(N3208:P3208,Q3208:AE3208)),0)</f>
        <v>2</v>
      </c>
      <c r="E3208" s="5">
        <f>IF(O3208&gt;0,RANK(O3208,(N3208:P3208,Q3208:AE3208)),0)</f>
        <v>1</v>
      </c>
      <c r="F3208" s="5">
        <f>IF(P3208&gt;0,RANK(P3208,(N3208:P3208,Q3208:AE3208)),0)</f>
        <v>7</v>
      </c>
      <c r="G3208" s="132">
        <f t="shared" ref="G3208:G3258" si="1261">IF(C3208&gt;0,MAX(N3208:P3208)-LARGE(N3208:P3208,2),0)</f>
        <v>2873</v>
      </c>
      <c r="H3208" s="137">
        <f t="shared" ref="H3208:H3258" si="1262">IF(C3208&gt;0,G3208/C3208,0)</f>
        <v>0.13440306886227546</v>
      </c>
      <c r="I3208" s="2"/>
      <c r="J3208" s="2">
        <f t="shared" si="1253"/>
        <v>0.39291729041916168</v>
      </c>
      <c r="K3208" s="2">
        <f t="shared" si="1254"/>
        <v>0.52732035928143717</v>
      </c>
      <c r="L3208" s="2">
        <f t="shared" si="1255"/>
        <v>3.5553892215568861E-3</v>
      </c>
      <c r="M3208" s="2">
        <f t="shared" si="1256"/>
        <v>7.6206961077844262E-2</v>
      </c>
      <c r="N3208" s="63">
        <v>8399</v>
      </c>
      <c r="O3208" s="63">
        <v>11272</v>
      </c>
      <c r="P3208" s="63">
        <v>76</v>
      </c>
      <c r="Q3208" s="63">
        <v>1052</v>
      </c>
      <c r="R3208" s="63">
        <v>279</v>
      </c>
      <c r="S3208" s="63">
        <v>106</v>
      </c>
      <c r="T3208" s="63">
        <v>10</v>
      </c>
      <c r="U3208" s="63">
        <v>0</v>
      </c>
      <c r="V3208" s="63"/>
      <c r="W3208" s="63">
        <f t="shared" si="1249"/>
        <v>171</v>
      </c>
      <c r="X3208" s="63"/>
      <c r="Y3208" s="63">
        <v>0</v>
      </c>
      <c r="Z3208" s="63"/>
      <c r="AA3208" s="63">
        <v>6</v>
      </c>
      <c r="AB3208" s="63"/>
      <c r="AC3208" s="63"/>
      <c r="AD3208" s="63"/>
      <c r="AE3208" s="63">
        <v>0</v>
      </c>
      <c r="AF3208" s="63"/>
      <c r="AG3208" s="63">
        <v>1</v>
      </c>
      <c r="AH3208" s="63"/>
      <c r="AI3208" s="63"/>
      <c r="AJ3208" s="63"/>
      <c r="AK3208" s="63"/>
      <c r="AL3208" s="63"/>
      <c r="AM3208" s="63">
        <v>1</v>
      </c>
      <c r="AN3208" s="63">
        <v>3</v>
      </c>
      <c r="AO3208" s="63"/>
      <c r="AP3208" s="63"/>
      <c r="AQ3208" s="63"/>
      <c r="AR3208" s="63"/>
      <c r="AS3208" s="63"/>
      <c r="AT3208" s="63"/>
      <c r="AU3208" s="63"/>
      <c r="AW3208" s="5">
        <f>IF(Q3208&gt;0,RANK(Q3208,(N3208:P3208,Q3208:AE3208)),0)</f>
        <v>3</v>
      </c>
      <c r="AX3208" s="5">
        <f>IF(R3208&gt;0,RANK(R3208,(N3208:P3208,Q3208:AE3208)),0)</f>
        <v>4</v>
      </c>
      <c r="AY3208" s="5">
        <f>IF(T3208&gt;0,RANK(T3208,(N3208:P3208,Q3208:AE3208)),0)</f>
        <v>8</v>
      </c>
      <c r="AZ3208" s="5">
        <f>IF(S3208&gt;0,RANK(S3208,(N3208:P3208,Q3208:AE3208)),0)</f>
        <v>6</v>
      </c>
      <c r="BA3208" s="2">
        <f t="shared" si="1257"/>
        <v>4.9214071856287428E-2</v>
      </c>
      <c r="BB3208" s="2">
        <f t="shared" si="1258"/>
        <v>1.3052020958083832E-2</v>
      </c>
      <c r="BC3208" s="2">
        <f t="shared" si="1259"/>
        <v>4.6781437125748503E-4</v>
      </c>
      <c r="BD3208" s="2">
        <f t="shared" si="1260"/>
        <v>4.9588323353293414E-3</v>
      </c>
      <c r="BF3208" t="s">
        <v>1762</v>
      </c>
      <c r="BG3208" t="s">
        <v>3002</v>
      </c>
      <c r="BH3208" s="63">
        <v>3</v>
      </c>
      <c r="BJ3208" s="114">
        <v>55</v>
      </c>
      <c r="BK3208" s="116">
        <v>93</v>
      </c>
      <c r="BL3208" s="120">
        <f t="shared" si="1251"/>
        <v>55093</v>
      </c>
      <c r="BN3208" s="5" t="s">
        <v>3154</v>
      </c>
      <c r="CB3208" s="63">
        <v>171</v>
      </c>
      <c r="CD3208" s="63">
        <v>0</v>
      </c>
      <c r="CE3208" s="63">
        <v>0</v>
      </c>
      <c r="CO3208" s="63">
        <v>8382</v>
      </c>
      <c r="CP3208" s="63">
        <v>11258</v>
      </c>
      <c r="CQ3208" s="63">
        <v>59</v>
      </c>
      <c r="CR3208" s="63">
        <v>1044</v>
      </c>
      <c r="CS3208" s="63">
        <v>281</v>
      </c>
      <c r="CT3208" s="63">
        <v>105</v>
      </c>
      <c r="CU3208" s="63">
        <v>10</v>
      </c>
      <c r="CV3208" s="63">
        <v>0</v>
      </c>
      <c r="CW3208" s="63"/>
      <c r="CX3208" s="63">
        <f t="shared" si="1250"/>
        <v>0</v>
      </c>
      <c r="CY3208" s="63"/>
      <c r="CZ3208" s="63">
        <v>0</v>
      </c>
      <c r="DA3208" s="63"/>
      <c r="DB3208" s="63">
        <v>6</v>
      </c>
      <c r="DC3208" s="63"/>
      <c r="DD3208" s="63"/>
      <c r="DE3208" s="63"/>
      <c r="DF3208" s="63">
        <v>0</v>
      </c>
      <c r="DG3208" s="63"/>
      <c r="DH3208" s="63">
        <v>1</v>
      </c>
      <c r="DI3208" s="63"/>
      <c r="DJ3208" s="63"/>
      <c r="DK3208" s="63"/>
      <c r="DL3208" s="63"/>
      <c r="DM3208" s="63"/>
      <c r="DN3208" s="63">
        <v>1</v>
      </c>
      <c r="DO3208" s="63">
        <v>3</v>
      </c>
      <c r="DQ3208" s="63">
        <v>35</v>
      </c>
      <c r="DR3208" s="63"/>
      <c r="DS3208" s="63">
        <v>4</v>
      </c>
      <c r="DT3208" s="63">
        <v>0</v>
      </c>
    </row>
    <row r="3209" spans="1:124" hidden="1" outlineLevel="1">
      <c r="A3209" t="s">
        <v>879</v>
      </c>
      <c r="B3209" t="s">
        <v>3002</v>
      </c>
      <c r="C3209" s="1">
        <f t="shared" si="1252"/>
        <v>22745</v>
      </c>
      <c r="D3209" s="5">
        <f>IF(N3209&gt;0, RANK(N3209,(N3209:P3209,Q3209:AE3209)),0)</f>
        <v>2</v>
      </c>
      <c r="E3209" s="5">
        <f>IF(O3209&gt;0,RANK(O3209,(N3209:P3209,Q3209:AE3209)),0)</f>
        <v>1</v>
      </c>
      <c r="F3209" s="5">
        <f>IF(P3209&gt;0,RANK(P3209,(N3209:P3209,Q3209:AE3209)),0)</f>
        <v>7</v>
      </c>
      <c r="G3209" s="132">
        <f t="shared" si="1261"/>
        <v>6245</v>
      </c>
      <c r="H3209" s="137">
        <f t="shared" si="1262"/>
        <v>0.27456583864585621</v>
      </c>
      <c r="I3209" s="2"/>
      <c r="J3209" s="2">
        <f t="shared" si="1253"/>
        <v>0.33260057155418771</v>
      </c>
      <c r="K3209" s="2">
        <f t="shared" si="1254"/>
        <v>0.60716641020004392</v>
      </c>
      <c r="L3209" s="2">
        <f t="shared" si="1255"/>
        <v>1.3189712024620796E-3</v>
      </c>
      <c r="M3209" s="2">
        <f t="shared" si="1256"/>
        <v>5.8914047043306245E-2</v>
      </c>
      <c r="N3209" s="63">
        <v>7565</v>
      </c>
      <c r="O3209" s="63">
        <v>13810</v>
      </c>
      <c r="P3209" s="63">
        <v>30</v>
      </c>
      <c r="Q3209" s="63">
        <v>885</v>
      </c>
      <c r="R3209" s="63">
        <v>232</v>
      </c>
      <c r="S3209" s="63">
        <v>107</v>
      </c>
      <c r="T3209" s="63">
        <v>17</v>
      </c>
      <c r="U3209" s="63">
        <v>0</v>
      </c>
      <c r="V3209" s="63"/>
      <c r="W3209" s="63">
        <f t="shared" si="1249"/>
        <v>78</v>
      </c>
      <c r="X3209" s="63"/>
      <c r="Y3209" s="63">
        <v>0</v>
      </c>
      <c r="Z3209" s="63"/>
      <c r="AA3209" s="63">
        <v>18</v>
      </c>
      <c r="AB3209" s="63"/>
      <c r="AC3209" s="63"/>
      <c r="AD3209" s="63"/>
      <c r="AE3209" s="63">
        <v>0</v>
      </c>
      <c r="AF3209" s="63"/>
      <c r="AG3209" s="63">
        <v>3</v>
      </c>
      <c r="AH3209" s="63"/>
      <c r="AI3209" s="63"/>
      <c r="AJ3209" s="63"/>
      <c r="AK3209" s="63"/>
      <c r="AL3209" s="63"/>
      <c r="AM3209" s="63">
        <v>0</v>
      </c>
      <c r="AN3209" s="63">
        <v>0</v>
      </c>
      <c r="AO3209" s="63"/>
      <c r="AP3209" s="63"/>
      <c r="AQ3209" s="63"/>
      <c r="AR3209" s="63"/>
      <c r="AS3209" s="63"/>
      <c r="AT3209" s="63"/>
      <c r="AU3209" s="63"/>
      <c r="AW3209" s="5">
        <f>IF(Q3209&gt;0,RANK(Q3209,(N3209:P3209,Q3209:AE3209)),0)</f>
        <v>3</v>
      </c>
      <c r="AX3209" s="5">
        <f>IF(R3209&gt;0,RANK(R3209,(N3209:P3209,Q3209:AE3209)),0)</f>
        <v>4</v>
      </c>
      <c r="AY3209" s="5">
        <f>IF(T3209&gt;0,RANK(T3209,(N3209:P3209,Q3209:AE3209)),0)</f>
        <v>9</v>
      </c>
      <c r="AZ3209" s="5">
        <f>IF(S3209&gt;0,RANK(S3209,(N3209:P3209,Q3209:AE3209)),0)</f>
        <v>5</v>
      </c>
      <c r="BA3209" s="2">
        <f t="shared" si="1257"/>
        <v>3.8909650472631348E-2</v>
      </c>
      <c r="BB3209" s="2">
        <f t="shared" si="1258"/>
        <v>1.020004396570675E-2</v>
      </c>
      <c r="BC3209" s="2">
        <f t="shared" si="1259"/>
        <v>7.4741701472851171E-4</v>
      </c>
      <c r="BD3209" s="2">
        <f t="shared" si="1260"/>
        <v>4.7043306221147508E-3</v>
      </c>
      <c r="BF3209" t="s">
        <v>879</v>
      </c>
      <c r="BG3209" t="s">
        <v>3002</v>
      </c>
      <c r="BH3209" s="63">
        <v>7</v>
      </c>
      <c r="BJ3209" s="114">
        <v>55</v>
      </c>
      <c r="BK3209" s="116">
        <v>95</v>
      </c>
      <c r="BL3209" s="120">
        <f t="shared" si="1251"/>
        <v>55095</v>
      </c>
      <c r="BN3209" s="5" t="s">
        <v>3154</v>
      </c>
      <c r="CB3209" s="63">
        <v>78</v>
      </c>
      <c r="CD3209" s="63">
        <v>0</v>
      </c>
      <c r="CE3209" s="63">
        <v>0</v>
      </c>
      <c r="CO3209" s="63">
        <v>7570</v>
      </c>
      <c r="CP3209" s="63">
        <v>13815</v>
      </c>
      <c r="CQ3209" s="63">
        <v>23</v>
      </c>
      <c r="CR3209" s="63">
        <v>886</v>
      </c>
      <c r="CS3209" s="63">
        <v>232</v>
      </c>
      <c r="CT3209" s="63">
        <v>107</v>
      </c>
      <c r="CU3209" s="63">
        <v>17</v>
      </c>
      <c r="CV3209" s="63">
        <v>0</v>
      </c>
      <c r="CW3209" s="63"/>
      <c r="CX3209" s="63">
        <f t="shared" si="1250"/>
        <v>0</v>
      </c>
      <c r="CY3209" s="63"/>
      <c r="CZ3209" s="63">
        <v>0</v>
      </c>
      <c r="DA3209" s="63"/>
      <c r="DB3209" s="63">
        <v>18</v>
      </c>
      <c r="DC3209" s="63"/>
      <c r="DD3209" s="63"/>
      <c r="DE3209" s="63"/>
      <c r="DF3209" s="63">
        <v>0</v>
      </c>
      <c r="DG3209" s="63"/>
      <c r="DH3209" s="63">
        <v>3</v>
      </c>
      <c r="DI3209" s="63"/>
      <c r="DJ3209" s="63"/>
      <c r="DK3209" s="63"/>
      <c r="DL3209" s="63"/>
      <c r="DM3209" s="63"/>
      <c r="DN3209" s="63">
        <v>0</v>
      </c>
      <c r="DO3209" s="63">
        <v>0</v>
      </c>
      <c r="DQ3209" s="63">
        <v>78</v>
      </c>
      <c r="DR3209" s="63"/>
      <c r="DS3209" s="63">
        <v>0</v>
      </c>
      <c r="DT3209" s="63">
        <v>0</v>
      </c>
    </row>
    <row r="3210" spans="1:124" hidden="1" outlineLevel="1">
      <c r="A3210" t="s">
        <v>2094</v>
      </c>
      <c r="B3210" t="s">
        <v>3002</v>
      </c>
      <c r="C3210" s="1">
        <f t="shared" si="1252"/>
        <v>38589</v>
      </c>
      <c r="D3210" s="5">
        <f>IF(N3210&gt;0, RANK(N3210,(N3210:P3210,Q3210:AE3210)),0)</f>
        <v>1</v>
      </c>
      <c r="E3210" s="5">
        <f>IF(O3210&gt;0,RANK(O3210,(N3210:P3210,Q3210:AE3210)),0)</f>
        <v>2</v>
      </c>
      <c r="F3210" s="5">
        <f>IF(P3210&gt;0,RANK(P3210,(N3210:P3210,Q3210:AE3210)),0)</f>
        <v>7</v>
      </c>
      <c r="G3210" s="132">
        <f t="shared" si="1261"/>
        <v>1224</v>
      </c>
      <c r="H3210" s="137">
        <f t="shared" si="1262"/>
        <v>3.1718883619684363E-2</v>
      </c>
      <c r="I3210" s="2"/>
      <c r="J3210" s="2">
        <f t="shared" si="1253"/>
        <v>0.48016274067739512</v>
      </c>
      <c r="K3210" s="2">
        <f t="shared" si="1254"/>
        <v>0.44844385705771073</v>
      </c>
      <c r="L3210" s="2">
        <f t="shared" si="1255"/>
        <v>3.4724921609785172E-3</v>
      </c>
      <c r="M3210" s="2">
        <f t="shared" si="1256"/>
        <v>6.7920910103915585E-2</v>
      </c>
      <c r="N3210" s="63">
        <v>18529</v>
      </c>
      <c r="O3210" s="63">
        <v>17305</v>
      </c>
      <c r="P3210" s="63">
        <v>134</v>
      </c>
      <c r="Q3210" s="63">
        <v>1493</v>
      </c>
      <c r="R3210" s="63">
        <v>583</v>
      </c>
      <c r="S3210" s="63">
        <v>157</v>
      </c>
      <c r="T3210" s="63">
        <v>24</v>
      </c>
      <c r="U3210" s="63">
        <v>0</v>
      </c>
      <c r="V3210" s="63"/>
      <c r="W3210" s="63">
        <f t="shared" si="1249"/>
        <v>337</v>
      </c>
      <c r="X3210" s="63"/>
      <c r="Y3210" s="63">
        <v>4</v>
      </c>
      <c r="Z3210" s="63"/>
      <c r="AA3210" s="63">
        <v>18</v>
      </c>
      <c r="AB3210" s="63"/>
      <c r="AC3210" s="63"/>
      <c r="AD3210" s="63"/>
      <c r="AE3210" s="63">
        <v>0</v>
      </c>
      <c r="AF3210" s="63"/>
      <c r="AG3210" s="63">
        <v>1</v>
      </c>
      <c r="AH3210" s="63"/>
      <c r="AI3210" s="63"/>
      <c r="AJ3210" s="63"/>
      <c r="AK3210" s="63"/>
      <c r="AL3210" s="63"/>
      <c r="AM3210" s="63">
        <v>0</v>
      </c>
      <c r="AN3210" s="63">
        <v>4</v>
      </c>
      <c r="AO3210" s="63"/>
      <c r="AP3210" s="63"/>
      <c r="AQ3210" s="63"/>
      <c r="AR3210" s="63"/>
      <c r="AS3210" s="63"/>
      <c r="AT3210" s="63"/>
      <c r="AU3210" s="63"/>
      <c r="AW3210" s="5">
        <f>IF(Q3210&gt;0,RANK(Q3210,(N3210:P3210,Q3210:AE3210)),0)</f>
        <v>3</v>
      </c>
      <c r="AX3210" s="5">
        <f>IF(R3210&gt;0,RANK(R3210,(N3210:P3210,Q3210:AE3210)),0)</f>
        <v>4</v>
      </c>
      <c r="AY3210" s="5">
        <f>IF(T3210&gt;0,RANK(T3210,(N3210:P3210,Q3210:AE3210)),0)</f>
        <v>8</v>
      </c>
      <c r="AZ3210" s="5">
        <f>IF(S3210&gt;0,RANK(S3210,(N3210:P3210,Q3210:AE3210)),0)</f>
        <v>6</v>
      </c>
      <c r="BA3210" s="2">
        <f t="shared" si="1257"/>
        <v>3.8689782062245714E-2</v>
      </c>
      <c r="BB3210" s="2">
        <f t="shared" si="1258"/>
        <v>1.5107932312316982E-2</v>
      </c>
      <c r="BC3210" s="2">
        <f t="shared" si="1259"/>
        <v>6.21938894503615E-4</v>
      </c>
      <c r="BD3210" s="2">
        <f t="shared" si="1260"/>
        <v>4.0685169348778152E-3</v>
      </c>
      <c r="BF3210" t="s">
        <v>2094</v>
      </c>
      <c r="BG3210" t="s">
        <v>3002</v>
      </c>
      <c r="BH3210" s="63">
        <v>3</v>
      </c>
      <c r="BJ3210" s="114">
        <v>55</v>
      </c>
      <c r="BK3210" s="116">
        <v>97</v>
      </c>
      <c r="BL3210" s="120">
        <f t="shared" si="1251"/>
        <v>55097</v>
      </c>
      <c r="BN3210" s="5" t="s">
        <v>3154</v>
      </c>
      <c r="CB3210" s="63">
        <v>337</v>
      </c>
      <c r="CD3210" s="63">
        <v>0</v>
      </c>
      <c r="CE3210" s="63">
        <v>0</v>
      </c>
      <c r="CO3210" s="63">
        <v>18521</v>
      </c>
      <c r="CP3210" s="63">
        <v>17306</v>
      </c>
      <c r="CQ3210" s="63">
        <v>97</v>
      </c>
      <c r="CR3210" s="63">
        <v>1490</v>
      </c>
      <c r="CS3210" s="63">
        <v>583</v>
      </c>
      <c r="CT3210" s="63">
        <v>157</v>
      </c>
      <c r="CU3210" s="63">
        <v>24</v>
      </c>
      <c r="CV3210" s="63">
        <v>1</v>
      </c>
      <c r="CW3210" s="63"/>
      <c r="CX3210" s="63">
        <f t="shared" si="1250"/>
        <v>0</v>
      </c>
      <c r="CY3210" s="63"/>
      <c r="CZ3210" s="63">
        <v>3</v>
      </c>
      <c r="DA3210" s="63"/>
      <c r="DB3210" s="63">
        <v>18</v>
      </c>
      <c r="DC3210" s="63"/>
      <c r="DD3210" s="63"/>
      <c r="DE3210" s="63"/>
      <c r="DF3210" s="63">
        <v>0</v>
      </c>
      <c r="DG3210" s="63"/>
      <c r="DH3210" s="63">
        <v>0</v>
      </c>
      <c r="DI3210" s="63"/>
      <c r="DJ3210" s="63"/>
      <c r="DK3210" s="63"/>
      <c r="DL3210" s="63"/>
      <c r="DM3210" s="63"/>
      <c r="DN3210" s="63">
        <v>0</v>
      </c>
      <c r="DO3210" s="63">
        <v>4</v>
      </c>
      <c r="DQ3210" s="63">
        <v>292</v>
      </c>
      <c r="DR3210" s="63"/>
      <c r="DS3210" s="63">
        <v>0</v>
      </c>
      <c r="DT3210" s="63">
        <v>0</v>
      </c>
    </row>
    <row r="3211" spans="1:124" hidden="1" outlineLevel="1">
      <c r="A3211" t="s">
        <v>816</v>
      </c>
      <c r="B3211" t="s">
        <v>3002</v>
      </c>
      <c r="C3211" s="1">
        <f t="shared" si="1252"/>
        <v>7568</v>
      </c>
      <c r="D3211" s="5">
        <f>IF(N3211&gt;0, RANK(N3211,(N3211:P3211,Q3211:AE3211)),0)</f>
        <v>2</v>
      </c>
      <c r="E3211" s="5">
        <f>IF(O3211&gt;0,RANK(O3211,(N3211:P3211,Q3211:AE3211)),0)</f>
        <v>1</v>
      </c>
      <c r="F3211" s="5">
        <f>IF(P3211&gt;0,RANK(P3211,(N3211:P3211,Q3211:AE3211)),0)</f>
        <v>6</v>
      </c>
      <c r="G3211" s="132">
        <f t="shared" si="1261"/>
        <v>1892</v>
      </c>
      <c r="H3211" s="137">
        <f t="shared" si="1262"/>
        <v>0.25</v>
      </c>
      <c r="I3211" s="2"/>
      <c r="J3211" s="2">
        <f t="shared" si="1253"/>
        <v>0.35240486257928116</v>
      </c>
      <c r="K3211" s="2">
        <f t="shared" si="1254"/>
        <v>0.60240486257928116</v>
      </c>
      <c r="L3211" s="2">
        <f t="shared" si="1255"/>
        <v>2.2463002114164903E-3</v>
      </c>
      <c r="M3211" s="2">
        <f t="shared" si="1256"/>
        <v>4.2943974630021184E-2</v>
      </c>
      <c r="N3211" s="63">
        <v>2667</v>
      </c>
      <c r="O3211" s="63">
        <v>4559</v>
      </c>
      <c r="P3211" s="63">
        <v>17</v>
      </c>
      <c r="Q3211" s="63">
        <v>198</v>
      </c>
      <c r="R3211" s="63">
        <v>82</v>
      </c>
      <c r="S3211" s="63">
        <v>39</v>
      </c>
      <c r="T3211" s="63">
        <v>2</v>
      </c>
      <c r="U3211" s="63">
        <v>0</v>
      </c>
      <c r="V3211" s="63"/>
      <c r="W3211" s="63">
        <f t="shared" si="1249"/>
        <v>0</v>
      </c>
      <c r="X3211" s="63"/>
      <c r="Y3211" s="63">
        <v>1</v>
      </c>
      <c r="Z3211" s="63"/>
      <c r="AA3211" s="63">
        <v>3</v>
      </c>
      <c r="AB3211" s="63"/>
      <c r="AC3211" s="63"/>
      <c r="AD3211" s="63"/>
      <c r="AE3211" s="63">
        <v>0</v>
      </c>
      <c r="AF3211" s="63"/>
      <c r="AG3211" s="63">
        <v>0</v>
      </c>
      <c r="AH3211" s="63"/>
      <c r="AI3211" s="63"/>
      <c r="AJ3211" s="63"/>
      <c r="AK3211" s="63"/>
      <c r="AL3211" s="63"/>
      <c r="AM3211" s="63">
        <v>0</v>
      </c>
      <c r="AN3211" s="63">
        <v>0</v>
      </c>
      <c r="AO3211" s="63"/>
      <c r="AP3211" s="63"/>
      <c r="AQ3211" s="63"/>
      <c r="AR3211" s="63"/>
      <c r="AS3211" s="63"/>
      <c r="AT3211" s="63"/>
      <c r="AU3211" s="63"/>
      <c r="AW3211" s="5">
        <f>IF(Q3211&gt;0,RANK(Q3211,(N3211:P3211,Q3211:AE3211)),0)</f>
        <v>3</v>
      </c>
      <c r="AX3211" s="5">
        <f>IF(R3211&gt;0,RANK(R3211,(N3211:P3211,Q3211:AE3211)),0)</f>
        <v>4</v>
      </c>
      <c r="AY3211" s="5">
        <f>IF(T3211&gt;0,RANK(T3211,(N3211:P3211,Q3211:AE3211)),0)</f>
        <v>8</v>
      </c>
      <c r="AZ3211" s="5">
        <f>IF(S3211&gt;0,RANK(S3211,(N3211:P3211,Q3211:AE3211)),0)</f>
        <v>5</v>
      </c>
      <c r="BA3211" s="2">
        <f t="shared" si="1257"/>
        <v>2.616279069767442E-2</v>
      </c>
      <c r="BB3211" s="2">
        <f t="shared" si="1258"/>
        <v>1.0835095137420718E-2</v>
      </c>
      <c r="BC3211" s="2">
        <f t="shared" si="1259"/>
        <v>2.6427061310782242E-4</v>
      </c>
      <c r="BD3211" s="2">
        <f t="shared" si="1260"/>
        <v>5.1532769556025372E-3</v>
      </c>
      <c r="BF3211" t="s">
        <v>816</v>
      </c>
      <c r="BG3211" t="s">
        <v>3002</v>
      </c>
      <c r="BH3211" s="63">
        <v>7</v>
      </c>
      <c r="BJ3211" s="114">
        <v>55</v>
      </c>
      <c r="BK3211" s="116">
        <v>99</v>
      </c>
      <c r="BL3211" s="120">
        <f t="shared" si="1251"/>
        <v>55099</v>
      </c>
      <c r="BN3211" s="5" t="s">
        <v>3154</v>
      </c>
      <c r="CB3211" s="63">
        <v>0</v>
      </c>
      <c r="CD3211" s="63">
        <v>0</v>
      </c>
      <c r="CE3211" s="63">
        <v>0</v>
      </c>
      <c r="CO3211" s="63">
        <v>2669</v>
      </c>
      <c r="CP3211" s="63">
        <v>4562</v>
      </c>
      <c r="CQ3211" s="63">
        <v>18</v>
      </c>
      <c r="CR3211" s="63">
        <v>200</v>
      </c>
      <c r="CS3211" s="63">
        <v>84</v>
      </c>
      <c r="CT3211" s="63">
        <v>38</v>
      </c>
      <c r="CU3211" s="63">
        <v>2</v>
      </c>
      <c r="CV3211" s="63">
        <v>0</v>
      </c>
      <c r="CW3211" s="63"/>
      <c r="CX3211" s="63">
        <f t="shared" si="1250"/>
        <v>0</v>
      </c>
      <c r="CY3211" s="63"/>
      <c r="CZ3211" s="63">
        <v>1</v>
      </c>
      <c r="DA3211" s="63"/>
      <c r="DB3211" s="63">
        <v>3</v>
      </c>
      <c r="DC3211" s="63"/>
      <c r="DD3211" s="63"/>
      <c r="DE3211" s="63"/>
      <c r="DF3211" s="63">
        <v>0</v>
      </c>
      <c r="DG3211" s="63"/>
      <c r="DH3211" s="63">
        <v>0</v>
      </c>
      <c r="DI3211" s="63"/>
      <c r="DJ3211" s="63"/>
      <c r="DK3211" s="63"/>
      <c r="DL3211" s="63"/>
      <c r="DM3211" s="63"/>
      <c r="DN3211" s="63">
        <v>0</v>
      </c>
      <c r="DO3211" s="63">
        <v>0</v>
      </c>
      <c r="DQ3211" s="63">
        <v>0</v>
      </c>
      <c r="DR3211" s="63"/>
      <c r="DS3211" s="63">
        <v>0</v>
      </c>
      <c r="DT3211" s="63">
        <v>0</v>
      </c>
    </row>
    <row r="3212" spans="1:124" hidden="1" outlineLevel="1">
      <c r="A3212" t="s">
        <v>1683</v>
      </c>
      <c r="B3212" t="s">
        <v>3002</v>
      </c>
      <c r="C3212" s="1">
        <f t="shared" si="1252"/>
        <v>94302</v>
      </c>
      <c r="D3212" s="5">
        <f>IF(N3212&gt;0, RANK(N3212,(N3212:P3212,Q3212:AE3212)),0)</f>
        <v>2</v>
      </c>
      <c r="E3212" s="5">
        <f>IF(O3212&gt;0,RANK(O3212,(N3212:P3212,Q3212:AE3212)),0)</f>
        <v>1</v>
      </c>
      <c r="F3212" s="5">
        <f>IF(P3212&gt;0,RANK(P3212,(N3212:P3212,Q3212:AE3212)),0)</f>
        <v>5</v>
      </c>
      <c r="G3212" s="132">
        <f t="shared" si="1261"/>
        <v>4040</v>
      </c>
      <c r="H3212" s="137">
        <f t="shared" si="1262"/>
        <v>4.2841085024707855E-2</v>
      </c>
      <c r="I3212" s="2"/>
      <c r="J3212" s="2">
        <f t="shared" si="1253"/>
        <v>0.4521749273610316</v>
      </c>
      <c r="K3212" s="2">
        <f t="shared" si="1254"/>
        <v>0.49501601238573945</v>
      </c>
      <c r="L3212" s="2">
        <f t="shared" si="1255"/>
        <v>4.3901507921359035E-3</v>
      </c>
      <c r="M3212" s="2">
        <f t="shared" si="1256"/>
        <v>4.8418909461093056E-2</v>
      </c>
      <c r="N3212" s="63">
        <v>42641</v>
      </c>
      <c r="O3212" s="63">
        <v>46681</v>
      </c>
      <c r="P3212" s="63">
        <v>414</v>
      </c>
      <c r="Q3212" s="63">
        <v>3253</v>
      </c>
      <c r="R3212" s="63">
        <v>833</v>
      </c>
      <c r="S3212" s="63">
        <v>368</v>
      </c>
      <c r="T3212" s="63">
        <v>44</v>
      </c>
      <c r="U3212" s="63">
        <v>0</v>
      </c>
      <c r="V3212" s="63"/>
      <c r="W3212" s="63">
        <f t="shared" si="1249"/>
        <v>0</v>
      </c>
      <c r="X3212" s="63"/>
      <c r="Y3212" s="63">
        <v>4</v>
      </c>
      <c r="Z3212" s="63"/>
      <c r="AA3212" s="63">
        <v>58</v>
      </c>
      <c r="AB3212" s="63"/>
      <c r="AC3212" s="63"/>
      <c r="AD3212" s="63"/>
      <c r="AE3212" s="63">
        <v>0</v>
      </c>
      <c r="AF3212" s="63"/>
      <c r="AG3212" s="63">
        <v>1</v>
      </c>
      <c r="AH3212" s="63"/>
      <c r="AI3212" s="63"/>
      <c r="AJ3212" s="63"/>
      <c r="AK3212" s="63"/>
      <c r="AL3212" s="63"/>
      <c r="AM3212" s="63">
        <v>0</v>
      </c>
      <c r="AN3212" s="63">
        <v>5</v>
      </c>
      <c r="AO3212" s="63"/>
      <c r="AP3212" s="63"/>
      <c r="AQ3212" s="63"/>
      <c r="AR3212" s="63"/>
      <c r="AS3212" s="63"/>
      <c r="AT3212" s="63"/>
      <c r="AU3212" s="63"/>
      <c r="AW3212" s="5">
        <f>IF(Q3212&gt;0,RANK(Q3212,(N3212:P3212,Q3212:AE3212)),0)</f>
        <v>3</v>
      </c>
      <c r="AX3212" s="5">
        <f>IF(R3212&gt;0,RANK(R3212,(N3212:P3212,Q3212:AE3212)),0)</f>
        <v>4</v>
      </c>
      <c r="AY3212" s="5">
        <f>IF(T3212&gt;0,RANK(T3212,(N3212:P3212,Q3212:AE3212)),0)</f>
        <v>8</v>
      </c>
      <c r="AZ3212" s="5">
        <f>IF(S3212&gt;0,RANK(S3212,(N3212:P3212,Q3212:AE3212)),0)</f>
        <v>6</v>
      </c>
      <c r="BA3212" s="2">
        <f t="shared" si="1257"/>
        <v>3.4495556828063031E-2</v>
      </c>
      <c r="BB3212" s="2">
        <f t="shared" si="1258"/>
        <v>8.8333227291043665E-3</v>
      </c>
      <c r="BC3212" s="2">
        <f t="shared" si="1259"/>
        <v>4.6658607452652119E-4</v>
      </c>
      <c r="BD3212" s="2">
        <f t="shared" si="1260"/>
        <v>3.902356259676359E-3</v>
      </c>
      <c r="BF3212" t="s">
        <v>1683</v>
      </c>
      <c r="BG3212" t="s">
        <v>3002</v>
      </c>
      <c r="BH3212" s="63">
        <v>1</v>
      </c>
      <c r="BJ3212" s="114">
        <v>55</v>
      </c>
      <c r="BK3212" s="116">
        <v>101</v>
      </c>
      <c r="BL3212" s="120">
        <f t="shared" si="1251"/>
        <v>55101</v>
      </c>
      <c r="BN3212" s="5" t="s">
        <v>3154</v>
      </c>
      <c r="CB3212" s="63">
        <v>0</v>
      </c>
      <c r="CD3212" s="63">
        <v>0</v>
      </c>
      <c r="CE3212" s="63">
        <v>0</v>
      </c>
      <c r="CO3212" s="63">
        <v>42512</v>
      </c>
      <c r="CP3212" s="63">
        <v>46611</v>
      </c>
      <c r="CQ3212" s="63">
        <v>445</v>
      </c>
      <c r="CR3212" s="63">
        <v>3248</v>
      </c>
      <c r="CS3212" s="63">
        <v>834</v>
      </c>
      <c r="CT3212" s="63">
        <v>374</v>
      </c>
      <c r="CU3212" s="63">
        <v>42</v>
      </c>
      <c r="CV3212" s="63">
        <v>1</v>
      </c>
      <c r="CW3212" s="63"/>
      <c r="CX3212" s="63">
        <f t="shared" si="1250"/>
        <v>0</v>
      </c>
      <c r="CY3212" s="63"/>
      <c r="CZ3212" s="63">
        <v>2</v>
      </c>
      <c r="DA3212" s="63"/>
      <c r="DB3212" s="63">
        <v>58</v>
      </c>
      <c r="DC3212" s="63"/>
      <c r="DD3212" s="63"/>
      <c r="DE3212" s="63"/>
      <c r="DF3212" s="63">
        <v>0</v>
      </c>
      <c r="DG3212" s="63"/>
      <c r="DH3212" s="63">
        <v>2</v>
      </c>
      <c r="DI3212" s="63"/>
      <c r="DJ3212" s="63"/>
      <c r="DK3212" s="63"/>
      <c r="DL3212" s="63"/>
      <c r="DM3212" s="63"/>
      <c r="DN3212" s="63">
        <v>0</v>
      </c>
      <c r="DO3212" s="63">
        <v>2</v>
      </c>
      <c r="DQ3212" s="63">
        <v>0</v>
      </c>
      <c r="DR3212" s="63"/>
      <c r="DS3212" s="63">
        <v>1</v>
      </c>
      <c r="DT3212" s="63">
        <v>1</v>
      </c>
    </row>
    <row r="3213" spans="1:124" hidden="1" outlineLevel="1">
      <c r="A3213" t="s">
        <v>50</v>
      </c>
      <c r="B3213" t="s">
        <v>3002</v>
      </c>
      <c r="C3213" s="1">
        <f t="shared" si="1252"/>
        <v>8069</v>
      </c>
      <c r="D3213" s="5">
        <f>IF(N3213&gt;0, RANK(N3213,(N3213:P3213,Q3213:AE3213)),0)</f>
        <v>2</v>
      </c>
      <c r="E3213" s="5">
        <f>IF(O3213&gt;0,RANK(O3213,(N3213:P3213,Q3213:AE3213)),0)</f>
        <v>1</v>
      </c>
      <c r="F3213" s="5">
        <f>IF(P3213&gt;0,RANK(P3213,(N3213:P3213,Q3213:AE3213)),0)</f>
        <v>7</v>
      </c>
      <c r="G3213" s="132">
        <f t="shared" si="1261"/>
        <v>444</v>
      </c>
      <c r="H3213" s="137">
        <f t="shared" si="1262"/>
        <v>5.5025405874333869E-2</v>
      </c>
      <c r="I3213" s="2"/>
      <c r="J3213" s="2">
        <f t="shared" si="1253"/>
        <v>0.44231007559796753</v>
      </c>
      <c r="K3213" s="2">
        <f t="shared" si="1254"/>
        <v>0.49733548147230139</v>
      </c>
      <c r="L3213" s="2">
        <f t="shared" si="1255"/>
        <v>3.5940017350353202E-3</v>
      </c>
      <c r="M3213" s="2">
        <f t="shared" si="1256"/>
        <v>5.6760441194695754E-2</v>
      </c>
      <c r="N3213" s="63">
        <v>3569</v>
      </c>
      <c r="O3213" s="63">
        <v>4013</v>
      </c>
      <c r="P3213" s="63">
        <v>29</v>
      </c>
      <c r="Q3213" s="63">
        <v>243</v>
      </c>
      <c r="R3213" s="63">
        <v>111</v>
      </c>
      <c r="S3213" s="63">
        <v>33</v>
      </c>
      <c r="T3213" s="63">
        <v>3</v>
      </c>
      <c r="U3213" s="63">
        <v>0</v>
      </c>
      <c r="V3213" s="63"/>
      <c r="W3213" s="63">
        <f t="shared" si="1249"/>
        <v>60</v>
      </c>
      <c r="X3213" s="63"/>
      <c r="Y3213" s="63">
        <v>3</v>
      </c>
      <c r="Z3213" s="63"/>
      <c r="AA3213" s="63">
        <v>4</v>
      </c>
      <c r="AB3213" s="63"/>
      <c r="AC3213" s="63"/>
      <c r="AD3213" s="63"/>
      <c r="AE3213" s="63">
        <v>0</v>
      </c>
      <c r="AF3213" s="63"/>
      <c r="AG3213" s="63">
        <v>0</v>
      </c>
      <c r="AH3213" s="63"/>
      <c r="AI3213" s="63"/>
      <c r="AJ3213" s="63"/>
      <c r="AK3213" s="63"/>
      <c r="AL3213" s="63"/>
      <c r="AM3213" s="63">
        <v>0</v>
      </c>
      <c r="AN3213" s="63">
        <v>1</v>
      </c>
      <c r="AO3213" s="63"/>
      <c r="AP3213" s="63"/>
      <c r="AQ3213" s="63"/>
      <c r="AR3213" s="63"/>
      <c r="AS3213" s="63"/>
      <c r="AT3213" s="63"/>
      <c r="AU3213" s="63"/>
      <c r="AW3213" s="5">
        <f>IF(Q3213&gt;0,RANK(Q3213,(N3213:P3213,Q3213:AE3213)),0)</f>
        <v>3</v>
      </c>
      <c r="AX3213" s="5">
        <f>IF(R3213&gt;0,RANK(R3213,(N3213:P3213,Q3213:AE3213)),0)</f>
        <v>4</v>
      </c>
      <c r="AY3213" s="5">
        <f>IF(T3213&gt;0,RANK(T3213,(N3213:P3213,Q3213:AE3213)),0)</f>
        <v>9</v>
      </c>
      <c r="AZ3213" s="5">
        <f>IF(S3213&gt;0,RANK(S3213,(N3213:P3213,Q3213:AE3213)),0)</f>
        <v>6</v>
      </c>
      <c r="BA3213" s="2">
        <f t="shared" si="1257"/>
        <v>3.0115255917709752E-2</v>
      </c>
      <c r="BB3213" s="2">
        <f t="shared" si="1258"/>
        <v>1.3756351468583467E-2</v>
      </c>
      <c r="BC3213" s="2">
        <f t="shared" si="1259"/>
        <v>3.717932829346883E-4</v>
      </c>
      <c r="BD3213" s="2">
        <f t="shared" si="1260"/>
        <v>4.0897261122815713E-3</v>
      </c>
      <c r="BF3213" t="s">
        <v>50</v>
      </c>
      <c r="BG3213" t="s">
        <v>3002</v>
      </c>
      <c r="BH3213" s="63"/>
      <c r="BJ3213" s="114">
        <v>55</v>
      </c>
      <c r="BK3213" s="116">
        <v>103</v>
      </c>
      <c r="BL3213" s="120">
        <f t="shared" si="1251"/>
        <v>55103</v>
      </c>
      <c r="BN3213" s="5" t="s">
        <v>3154</v>
      </c>
      <c r="CB3213" s="63">
        <v>60</v>
      </c>
      <c r="CD3213" s="63">
        <v>0</v>
      </c>
      <c r="CE3213" s="63">
        <v>0</v>
      </c>
      <c r="CO3213" s="63">
        <v>3577</v>
      </c>
      <c r="CP3213" s="63">
        <v>4023</v>
      </c>
      <c r="CQ3213" s="63">
        <v>28</v>
      </c>
      <c r="CR3213" s="63">
        <v>242</v>
      </c>
      <c r="CS3213" s="63">
        <v>107</v>
      </c>
      <c r="CT3213" s="63">
        <v>31</v>
      </c>
      <c r="CU3213" s="63">
        <v>3</v>
      </c>
      <c r="CV3213" s="63">
        <v>0</v>
      </c>
      <c r="CW3213" s="63"/>
      <c r="CX3213" s="63">
        <f t="shared" si="1250"/>
        <v>0</v>
      </c>
      <c r="CY3213" s="63"/>
      <c r="CZ3213" s="63">
        <v>3</v>
      </c>
      <c r="DA3213" s="63"/>
      <c r="DB3213" s="63">
        <v>4</v>
      </c>
      <c r="DC3213" s="63"/>
      <c r="DD3213" s="63"/>
      <c r="DE3213" s="63"/>
      <c r="DF3213" s="63">
        <v>0</v>
      </c>
      <c r="DG3213" s="63"/>
      <c r="DH3213" s="63">
        <v>0</v>
      </c>
      <c r="DI3213" s="63"/>
      <c r="DJ3213" s="63"/>
      <c r="DK3213" s="63"/>
      <c r="DL3213" s="63"/>
      <c r="DM3213" s="63"/>
      <c r="DN3213" s="63">
        <v>0</v>
      </c>
      <c r="DO3213" s="63">
        <v>1</v>
      </c>
      <c r="DQ3213" s="63">
        <v>36</v>
      </c>
      <c r="DR3213" s="63"/>
      <c r="DS3213" s="63">
        <v>0</v>
      </c>
      <c r="DT3213" s="63">
        <v>0</v>
      </c>
    </row>
    <row r="3214" spans="1:124" hidden="1" outlineLevel="1">
      <c r="A3214" t="s">
        <v>1503</v>
      </c>
      <c r="B3214" t="s">
        <v>3002</v>
      </c>
      <c r="C3214" s="1">
        <f t="shared" si="1252"/>
        <v>76074</v>
      </c>
      <c r="D3214" s="5">
        <f>IF(N3214&gt;0, RANK(N3214,(N3214:P3214,Q3214:AE3214)),0)</f>
        <v>1</v>
      </c>
      <c r="E3214" s="5">
        <f>IF(O3214&gt;0,RANK(O3214,(N3214:P3214,Q3214:AE3214)),0)</f>
        <v>2</v>
      </c>
      <c r="F3214" s="5">
        <f>IF(P3214&gt;0,RANK(P3214,(N3214:P3214,Q3214:AE3214)),0)</f>
        <v>7</v>
      </c>
      <c r="G3214" s="132">
        <f t="shared" si="1261"/>
        <v>7846</v>
      </c>
      <c r="H3214" s="137">
        <f t="shared" si="1262"/>
        <v>0.10313641980177196</v>
      </c>
      <c r="I3214" s="2"/>
      <c r="J3214" s="2">
        <f t="shared" si="1253"/>
        <v>0.5171149144254279</v>
      </c>
      <c r="K3214" s="2">
        <f t="shared" si="1254"/>
        <v>0.41397849462365593</v>
      </c>
      <c r="L3214" s="2">
        <f t="shared" si="1255"/>
        <v>2.208376054893919E-3</v>
      </c>
      <c r="M3214" s="2">
        <f t="shared" si="1256"/>
        <v>6.6698214896022248E-2</v>
      </c>
      <c r="N3214" s="63">
        <v>39339</v>
      </c>
      <c r="O3214" s="63">
        <v>31493</v>
      </c>
      <c r="P3214" s="63">
        <v>168</v>
      </c>
      <c r="Q3214" s="63">
        <v>2859</v>
      </c>
      <c r="R3214" s="63">
        <v>885</v>
      </c>
      <c r="S3214" s="63">
        <v>385</v>
      </c>
      <c r="T3214" s="63">
        <v>37</v>
      </c>
      <c r="U3214" s="63">
        <v>0</v>
      </c>
      <c r="V3214" s="63"/>
      <c r="W3214" s="63">
        <f t="shared" si="1249"/>
        <v>839</v>
      </c>
      <c r="X3214" s="63"/>
      <c r="Y3214" s="63">
        <v>0</v>
      </c>
      <c r="Z3214" s="63"/>
      <c r="AA3214" s="63">
        <v>58</v>
      </c>
      <c r="AB3214" s="63"/>
      <c r="AC3214" s="63"/>
      <c r="AD3214" s="63"/>
      <c r="AE3214" s="63">
        <v>1</v>
      </c>
      <c r="AF3214" s="63"/>
      <c r="AG3214" s="63">
        <v>2</v>
      </c>
      <c r="AH3214" s="63"/>
      <c r="AI3214" s="63"/>
      <c r="AJ3214" s="63"/>
      <c r="AK3214" s="63"/>
      <c r="AL3214" s="63"/>
      <c r="AM3214" s="63">
        <v>0</v>
      </c>
      <c r="AN3214" s="63">
        <v>8</v>
      </c>
      <c r="AO3214" s="63"/>
      <c r="AP3214" s="63"/>
      <c r="AQ3214" s="63"/>
      <c r="AR3214" s="63"/>
      <c r="AS3214" s="63"/>
      <c r="AT3214" s="63"/>
      <c r="AU3214" s="63"/>
      <c r="AW3214" s="5">
        <f>IF(Q3214&gt;0,RANK(Q3214,(N3214:P3214,Q3214:AE3214)),0)</f>
        <v>3</v>
      </c>
      <c r="AX3214" s="5">
        <f>IF(R3214&gt;0,RANK(R3214,(N3214:P3214,Q3214:AE3214)),0)</f>
        <v>4</v>
      </c>
      <c r="AY3214" s="5">
        <f>IF(T3214&gt;0,RANK(T3214,(N3214:P3214,Q3214:AE3214)),0)</f>
        <v>9</v>
      </c>
      <c r="AZ3214" s="5">
        <f>IF(S3214&gt;0,RANK(S3214,(N3214:P3214,Q3214:AE3214)),0)</f>
        <v>6</v>
      </c>
      <c r="BA3214" s="2">
        <f t="shared" si="1257"/>
        <v>3.7581828219891159E-2</v>
      </c>
      <c r="BB3214" s="2">
        <f t="shared" si="1258"/>
        <v>1.1633409574887609E-2</v>
      </c>
      <c r="BC3214" s="2">
        <f t="shared" si="1259"/>
        <v>4.86368535899256E-4</v>
      </c>
      <c r="BD3214" s="2">
        <f t="shared" si="1260"/>
        <v>5.0608617924652313E-3</v>
      </c>
      <c r="BF3214" t="s">
        <v>1503</v>
      </c>
      <c r="BG3214" t="s">
        <v>3002</v>
      </c>
      <c r="BH3214" s="63"/>
      <c r="BJ3214" s="114">
        <v>55</v>
      </c>
      <c r="BK3214" s="116">
        <v>105</v>
      </c>
      <c r="BL3214" s="120">
        <f t="shared" si="1251"/>
        <v>55105</v>
      </c>
      <c r="BN3214" s="5" t="s">
        <v>3154</v>
      </c>
      <c r="CB3214" s="63">
        <v>837</v>
      </c>
      <c r="CD3214" s="63">
        <v>2</v>
      </c>
      <c r="CE3214" s="63">
        <v>0</v>
      </c>
      <c r="CO3214" s="63">
        <v>39343</v>
      </c>
      <c r="CP3214" s="63">
        <v>31488</v>
      </c>
      <c r="CQ3214" s="63">
        <v>99</v>
      </c>
      <c r="CR3214" s="63">
        <v>2859</v>
      </c>
      <c r="CS3214" s="63">
        <v>885</v>
      </c>
      <c r="CT3214" s="63">
        <v>385</v>
      </c>
      <c r="CU3214" s="63">
        <v>37</v>
      </c>
      <c r="CV3214" s="63">
        <v>0</v>
      </c>
      <c r="CW3214" s="63"/>
      <c r="CX3214" s="63">
        <f t="shared" si="1250"/>
        <v>0</v>
      </c>
      <c r="CY3214" s="63"/>
      <c r="CZ3214" s="63">
        <v>0</v>
      </c>
      <c r="DA3214" s="63"/>
      <c r="DB3214" s="63">
        <v>58</v>
      </c>
      <c r="DC3214" s="63"/>
      <c r="DD3214" s="63"/>
      <c r="DE3214" s="63"/>
      <c r="DF3214" s="63">
        <v>1</v>
      </c>
      <c r="DG3214" s="63"/>
      <c r="DH3214" s="63">
        <v>2</v>
      </c>
      <c r="DI3214" s="63"/>
      <c r="DJ3214" s="63"/>
      <c r="DK3214" s="63"/>
      <c r="DL3214" s="63"/>
      <c r="DM3214" s="63"/>
      <c r="DN3214" s="63">
        <v>0</v>
      </c>
      <c r="DO3214" s="63">
        <v>3</v>
      </c>
      <c r="DQ3214" s="63">
        <v>907</v>
      </c>
      <c r="DR3214" s="63"/>
      <c r="DS3214" s="63">
        <v>1</v>
      </c>
      <c r="DT3214" s="63">
        <v>0</v>
      </c>
    </row>
    <row r="3215" spans="1:124" ht="14" hidden="1" customHeight="1" outlineLevel="1">
      <c r="A3215" t="s">
        <v>348</v>
      </c>
      <c r="B3215" t="s">
        <v>3002</v>
      </c>
      <c r="C3215" s="1">
        <f t="shared" si="1252"/>
        <v>7088</v>
      </c>
      <c r="D3215" s="5">
        <f>IF(N3215&gt;0, RANK(N3215,(N3215:P3215,Q3215:AE3215)),0)</f>
        <v>2</v>
      </c>
      <c r="E3215" s="5">
        <f>IF(O3215&gt;0,RANK(O3215,(N3215:P3215,Q3215:AE3215)),0)</f>
        <v>1</v>
      </c>
      <c r="F3215" s="5">
        <f>IF(P3215&gt;0,RANK(P3215,(N3215:P3215,Q3215:AE3215)),0)</f>
        <v>7</v>
      </c>
      <c r="G3215" s="132">
        <f t="shared" si="1261"/>
        <v>2393</v>
      </c>
      <c r="H3215" s="137">
        <f t="shared" si="1262"/>
        <v>0.33761286681715574</v>
      </c>
      <c r="I3215" s="2"/>
      <c r="J3215" s="2">
        <f t="shared" si="1253"/>
        <v>0.30629232505643339</v>
      </c>
      <c r="K3215" s="2">
        <f t="shared" si="1254"/>
        <v>0.64390519187358919</v>
      </c>
      <c r="L3215" s="2">
        <f t="shared" si="1255"/>
        <v>1.9751693002257337E-3</v>
      </c>
      <c r="M3215" s="2">
        <f t="shared" si="1256"/>
        <v>4.7827313769751745E-2</v>
      </c>
      <c r="N3215" s="63">
        <v>2171</v>
      </c>
      <c r="O3215" s="63">
        <v>4564</v>
      </c>
      <c r="P3215" s="63">
        <v>14</v>
      </c>
      <c r="Q3215" s="63">
        <v>197</v>
      </c>
      <c r="R3215" s="63">
        <v>63</v>
      </c>
      <c r="S3215" s="63">
        <v>44</v>
      </c>
      <c r="T3215" s="63">
        <v>3</v>
      </c>
      <c r="U3215" s="63">
        <v>0</v>
      </c>
      <c r="V3215" s="63"/>
      <c r="W3215" s="63">
        <f t="shared" si="1249"/>
        <v>21</v>
      </c>
      <c r="X3215" s="63"/>
      <c r="Y3215" s="63">
        <v>0</v>
      </c>
      <c r="Z3215" s="63"/>
      <c r="AA3215" s="63">
        <v>5</v>
      </c>
      <c r="AB3215" s="63"/>
      <c r="AC3215" s="63"/>
      <c r="AD3215" s="63"/>
      <c r="AE3215" s="63">
        <v>0</v>
      </c>
      <c r="AF3215" s="63"/>
      <c r="AG3215" s="63">
        <v>0</v>
      </c>
      <c r="AH3215" s="63"/>
      <c r="AI3215" s="63"/>
      <c r="AJ3215" s="63"/>
      <c r="AK3215" s="63"/>
      <c r="AL3215" s="63"/>
      <c r="AM3215" s="63">
        <v>0</v>
      </c>
      <c r="AN3215" s="63">
        <v>6</v>
      </c>
      <c r="AO3215" s="63"/>
      <c r="AP3215" s="63"/>
      <c r="AQ3215" s="63"/>
      <c r="AR3215" s="63"/>
      <c r="AS3215" s="63"/>
      <c r="AT3215" s="63"/>
      <c r="AU3215" s="63"/>
      <c r="AW3215" s="5">
        <f>IF(Q3215&gt;0,RANK(Q3215,(N3215:P3215,Q3215:AE3215)),0)</f>
        <v>3</v>
      </c>
      <c r="AX3215" s="5">
        <f>IF(R3215&gt;0,RANK(R3215,(N3215:P3215,Q3215:AE3215)),0)</f>
        <v>4</v>
      </c>
      <c r="AY3215" s="5">
        <f>IF(T3215&gt;0,RANK(T3215,(N3215:P3215,Q3215:AE3215)),0)</f>
        <v>9</v>
      </c>
      <c r="AZ3215" s="5">
        <f>IF(S3215&gt;0,RANK(S3215,(N3215:P3215,Q3215:AE3215)),0)</f>
        <v>5</v>
      </c>
      <c r="BA3215" s="2">
        <f t="shared" si="1257"/>
        <v>2.7793453724604966E-2</v>
      </c>
      <c r="BB3215" s="2">
        <f t="shared" si="1258"/>
        <v>8.888261851015801E-3</v>
      </c>
      <c r="BC3215" s="2">
        <f t="shared" si="1259"/>
        <v>4.2325056433408577E-4</v>
      </c>
      <c r="BD3215" s="2">
        <f t="shared" si="1260"/>
        <v>6.207674943566591E-3</v>
      </c>
      <c r="BF3215" t="s">
        <v>348</v>
      </c>
      <c r="BG3215" t="s">
        <v>3002</v>
      </c>
      <c r="BH3215" s="63">
        <v>7</v>
      </c>
      <c r="BJ3215" s="114">
        <v>55</v>
      </c>
      <c r="BK3215" s="116">
        <v>107</v>
      </c>
      <c r="BL3215" s="120">
        <f t="shared" si="1251"/>
        <v>55107</v>
      </c>
      <c r="BN3215" s="5" t="s">
        <v>3154</v>
      </c>
      <c r="CB3215" s="63">
        <v>21</v>
      </c>
      <c r="CD3215" s="63">
        <v>0</v>
      </c>
      <c r="CE3215" s="63">
        <v>0</v>
      </c>
      <c r="CO3215" s="63">
        <v>2171</v>
      </c>
      <c r="CP3215" s="63">
        <v>4564</v>
      </c>
      <c r="CQ3215" s="63">
        <v>14</v>
      </c>
      <c r="CR3215" s="63">
        <v>197</v>
      </c>
      <c r="CS3215" s="63">
        <v>63</v>
      </c>
      <c r="CT3215" s="63">
        <v>43</v>
      </c>
      <c r="CU3215" s="63">
        <v>3</v>
      </c>
      <c r="CV3215" s="63">
        <v>0</v>
      </c>
      <c r="CW3215" s="63"/>
      <c r="CX3215" s="63">
        <f t="shared" si="1250"/>
        <v>0</v>
      </c>
      <c r="CY3215" s="63"/>
      <c r="CZ3215" s="63">
        <v>0</v>
      </c>
      <c r="DA3215" s="63"/>
      <c r="DB3215" s="63">
        <v>5</v>
      </c>
      <c r="DC3215" s="63"/>
      <c r="DD3215" s="63"/>
      <c r="DE3215" s="63"/>
      <c r="DF3215" s="63">
        <v>0</v>
      </c>
      <c r="DG3215" s="63"/>
      <c r="DH3215" s="63">
        <v>0</v>
      </c>
      <c r="DI3215" s="63"/>
      <c r="DJ3215" s="63"/>
      <c r="DK3215" s="63"/>
      <c r="DL3215" s="63"/>
      <c r="DM3215" s="63"/>
      <c r="DN3215" s="63">
        <v>0</v>
      </c>
      <c r="DO3215" s="63">
        <v>6</v>
      </c>
      <c r="DQ3215" s="63">
        <v>21</v>
      </c>
      <c r="DR3215" s="63"/>
      <c r="DS3215" s="63">
        <v>0</v>
      </c>
      <c r="DT3215" s="63">
        <v>0</v>
      </c>
    </row>
    <row r="3216" spans="1:124" ht="14" hidden="1" customHeight="1" outlineLevel="1">
      <c r="A3216" t="s">
        <v>1834</v>
      </c>
      <c r="B3216" t="s">
        <v>3002</v>
      </c>
      <c r="C3216" s="1">
        <f t="shared" si="1252"/>
        <v>47508</v>
      </c>
      <c r="D3216" s="5">
        <f>IF(N3216&gt;0, RANK(N3216,(N3216:P3216,Q3216:AE3216)),0)</f>
        <v>2</v>
      </c>
      <c r="E3216" s="5">
        <f>IF(O3216&gt;0,RANK(O3216,(N3216:P3216,Q3216:AE3216)),0)</f>
        <v>1</v>
      </c>
      <c r="F3216" s="5">
        <f>IF(P3216&gt;0,RANK(P3216,(N3216:P3216,Q3216:AE3216)),0)</f>
        <v>7</v>
      </c>
      <c r="G3216" s="132">
        <f t="shared" si="1261"/>
        <v>8740</v>
      </c>
      <c r="H3216" s="137">
        <f t="shared" si="1262"/>
        <v>0.18396901574471669</v>
      </c>
      <c r="I3216" s="2"/>
      <c r="J3216" s="2">
        <f t="shared" si="1253"/>
        <v>0.36798012966237265</v>
      </c>
      <c r="K3216" s="2">
        <f t="shared" si="1254"/>
        <v>0.55194914540708928</v>
      </c>
      <c r="L3216" s="2">
        <f t="shared" si="1255"/>
        <v>4.08352277511156E-3</v>
      </c>
      <c r="M3216" s="2">
        <f t="shared" si="1256"/>
        <v>7.5987202155426564E-2</v>
      </c>
      <c r="N3216" s="63">
        <v>17482</v>
      </c>
      <c r="O3216" s="63">
        <v>26222</v>
      </c>
      <c r="P3216" s="63">
        <v>194</v>
      </c>
      <c r="Q3216" s="63">
        <v>2337</v>
      </c>
      <c r="R3216" s="63">
        <v>510</v>
      </c>
      <c r="S3216" s="63">
        <v>267</v>
      </c>
      <c r="T3216" s="63">
        <v>61</v>
      </c>
      <c r="U3216" s="63">
        <v>0</v>
      </c>
      <c r="V3216" s="63"/>
      <c r="W3216" s="63">
        <f t="shared" si="1249"/>
        <v>402</v>
      </c>
      <c r="X3216" s="63"/>
      <c r="Y3216" s="63">
        <v>5</v>
      </c>
      <c r="Z3216" s="63"/>
      <c r="AA3216" s="63">
        <v>20</v>
      </c>
      <c r="AB3216" s="63"/>
      <c r="AC3216" s="63"/>
      <c r="AD3216" s="63"/>
      <c r="AE3216" s="63">
        <v>1</v>
      </c>
      <c r="AF3216" s="63"/>
      <c r="AG3216" s="63">
        <v>2</v>
      </c>
      <c r="AH3216" s="63"/>
      <c r="AI3216" s="63"/>
      <c r="AJ3216" s="63"/>
      <c r="AK3216" s="63"/>
      <c r="AL3216" s="63"/>
      <c r="AM3216" s="63">
        <v>1</v>
      </c>
      <c r="AN3216" s="63">
        <v>4</v>
      </c>
      <c r="AO3216" s="63"/>
      <c r="AP3216" s="63"/>
      <c r="AQ3216" s="63"/>
      <c r="AR3216" s="63"/>
      <c r="AS3216" s="63"/>
      <c r="AT3216" s="63"/>
      <c r="AU3216" s="63"/>
      <c r="AW3216" s="5">
        <f>IF(Q3216&gt;0,RANK(Q3216,(N3216:P3216,Q3216:AE3216)),0)</f>
        <v>3</v>
      </c>
      <c r="AX3216" s="5">
        <f>IF(R3216&gt;0,RANK(R3216,(N3216:P3216,Q3216:AE3216)),0)</f>
        <v>4</v>
      </c>
      <c r="AY3216" s="5">
        <f>IF(T3216&gt;0,RANK(T3216,(N3216:P3216,Q3216:AE3216)),0)</f>
        <v>8</v>
      </c>
      <c r="AZ3216" s="5">
        <f>IF(S3216&gt;0,RANK(S3216,(N3216:P3216,Q3216:AE3216)),0)</f>
        <v>6</v>
      </c>
      <c r="BA3216" s="2">
        <f t="shared" si="1257"/>
        <v>4.9191715079565546E-2</v>
      </c>
      <c r="BB3216" s="2">
        <f t="shared" si="1258"/>
        <v>1.0735034099520081E-2</v>
      </c>
      <c r="BC3216" s="2">
        <f t="shared" si="1259"/>
        <v>1.2839942746484803E-3</v>
      </c>
      <c r="BD3216" s="2">
        <f t="shared" si="1260"/>
        <v>5.6201060873958073E-3</v>
      </c>
      <c r="BF3216" t="s">
        <v>1834</v>
      </c>
      <c r="BG3216" t="s">
        <v>3002</v>
      </c>
      <c r="BH3216" s="63">
        <v>7</v>
      </c>
      <c r="BJ3216" s="114">
        <v>55</v>
      </c>
      <c r="BK3216" s="116">
        <v>109</v>
      </c>
      <c r="BL3216" s="120">
        <f t="shared" si="1251"/>
        <v>55109</v>
      </c>
      <c r="BN3216" s="5" t="s">
        <v>3154</v>
      </c>
      <c r="CB3216" s="63">
        <v>402</v>
      </c>
      <c r="CD3216" s="63">
        <v>0</v>
      </c>
      <c r="CE3216" s="63">
        <v>0</v>
      </c>
      <c r="CO3216" s="63">
        <v>17486</v>
      </c>
      <c r="CP3216" s="63">
        <v>26220</v>
      </c>
      <c r="CQ3216" s="63">
        <v>164</v>
      </c>
      <c r="CR3216" s="63">
        <v>2338</v>
      </c>
      <c r="CS3216" s="63">
        <v>513</v>
      </c>
      <c r="CT3216" s="63">
        <v>266</v>
      </c>
      <c r="CU3216" s="63">
        <v>62</v>
      </c>
      <c r="CV3216" s="63">
        <v>0</v>
      </c>
      <c r="CW3216" s="63"/>
      <c r="CX3216" s="63">
        <f t="shared" si="1250"/>
        <v>0</v>
      </c>
      <c r="CY3216" s="63"/>
      <c r="CZ3216" s="63">
        <v>1</v>
      </c>
      <c r="DA3216" s="63"/>
      <c r="DB3216" s="63">
        <v>21</v>
      </c>
      <c r="DC3216" s="63"/>
      <c r="DD3216" s="63"/>
      <c r="DE3216" s="63"/>
      <c r="DF3216" s="63">
        <v>1</v>
      </c>
      <c r="DG3216" s="63"/>
      <c r="DH3216" s="63">
        <v>1</v>
      </c>
      <c r="DI3216" s="63"/>
      <c r="DJ3216" s="63"/>
      <c r="DK3216" s="63"/>
      <c r="DL3216" s="63"/>
      <c r="DM3216" s="63"/>
      <c r="DN3216" s="63">
        <v>1</v>
      </c>
      <c r="DO3216" s="63">
        <v>1</v>
      </c>
      <c r="DQ3216" s="63">
        <v>433</v>
      </c>
      <c r="DR3216" s="63"/>
      <c r="DS3216" s="63">
        <v>0</v>
      </c>
      <c r="DT3216" s="63">
        <v>0</v>
      </c>
    </row>
    <row r="3217" spans="1:124" hidden="1" outlineLevel="1">
      <c r="A3217" t="s">
        <v>1835</v>
      </c>
      <c r="B3217" t="s">
        <v>3002</v>
      </c>
      <c r="C3217" s="1">
        <f t="shared" si="1252"/>
        <v>31357</v>
      </c>
      <c r="D3217" s="5">
        <f>IF(N3217&gt;0, RANK(N3217,(N3217:P3217,Q3217:AE3217)),0)</f>
        <v>2</v>
      </c>
      <c r="E3217" s="5">
        <f>IF(O3217&gt;0,RANK(O3217,(N3217:P3217,Q3217:AE3217)),0)</f>
        <v>1</v>
      </c>
      <c r="F3217" s="5">
        <f>IF(P3217&gt;0,RANK(P3217,(N3217:P3217,Q3217:AE3217)),0)</f>
        <v>6</v>
      </c>
      <c r="G3217" s="132">
        <f t="shared" si="1261"/>
        <v>109</v>
      </c>
      <c r="H3217" s="137">
        <f t="shared" si="1262"/>
        <v>3.476097840992442E-3</v>
      </c>
      <c r="I3217" s="2"/>
      <c r="J3217" s="2">
        <f t="shared" si="1253"/>
        <v>0.46847593838696305</v>
      </c>
      <c r="K3217" s="2">
        <f t="shared" si="1254"/>
        <v>0.47195203622795551</v>
      </c>
      <c r="L3217" s="2">
        <f t="shared" si="1255"/>
        <v>3.5398794527537712E-3</v>
      </c>
      <c r="M3217" s="2">
        <f t="shared" si="1256"/>
        <v>5.603214593232772E-2</v>
      </c>
      <c r="N3217" s="63">
        <v>14690</v>
      </c>
      <c r="O3217" s="63">
        <v>14799</v>
      </c>
      <c r="P3217" s="63">
        <v>111</v>
      </c>
      <c r="Q3217" s="63">
        <v>1103</v>
      </c>
      <c r="R3217" s="63">
        <v>424</v>
      </c>
      <c r="S3217" s="63">
        <v>146</v>
      </c>
      <c r="T3217" s="63">
        <v>53</v>
      </c>
      <c r="U3217" s="63">
        <v>0</v>
      </c>
      <c r="V3217" s="63"/>
      <c r="W3217" s="63">
        <f t="shared" si="1249"/>
        <v>0</v>
      </c>
      <c r="X3217" s="63"/>
      <c r="Y3217" s="63">
        <v>1</v>
      </c>
      <c r="Z3217" s="63"/>
      <c r="AA3217" s="63">
        <v>25</v>
      </c>
      <c r="AB3217" s="63"/>
      <c r="AC3217" s="63"/>
      <c r="AD3217" s="63"/>
      <c r="AE3217" s="63">
        <v>0</v>
      </c>
      <c r="AF3217" s="63"/>
      <c r="AG3217" s="63">
        <v>2</v>
      </c>
      <c r="AH3217" s="63"/>
      <c r="AI3217" s="63"/>
      <c r="AJ3217" s="63"/>
      <c r="AK3217" s="63"/>
      <c r="AL3217" s="63"/>
      <c r="AM3217" s="63">
        <v>0</v>
      </c>
      <c r="AN3217" s="63">
        <v>3</v>
      </c>
      <c r="AO3217" s="63"/>
      <c r="AP3217" s="63"/>
      <c r="AQ3217" s="63"/>
      <c r="AR3217" s="63"/>
      <c r="AS3217" s="63"/>
      <c r="AT3217" s="63"/>
      <c r="AU3217" s="63"/>
      <c r="AW3217" s="5">
        <f>IF(Q3217&gt;0,RANK(Q3217,(N3217:P3217,Q3217:AE3217)),0)</f>
        <v>3</v>
      </c>
      <c r="AX3217" s="5">
        <f>IF(R3217&gt;0,RANK(R3217,(N3217:P3217,Q3217:AE3217)),0)</f>
        <v>4</v>
      </c>
      <c r="AY3217" s="5">
        <f>IF(T3217&gt;0,RANK(T3217,(N3217:P3217,Q3217:AE3217)),0)</f>
        <v>7</v>
      </c>
      <c r="AZ3217" s="5">
        <f>IF(S3217&gt;0,RANK(S3217,(N3217:P3217,Q3217:AE3217)),0)</f>
        <v>5</v>
      </c>
      <c r="BA3217" s="2">
        <f t="shared" si="1257"/>
        <v>3.5175558886373061E-2</v>
      </c>
      <c r="BB3217" s="2">
        <f t="shared" si="1258"/>
        <v>1.3521701693401791E-2</v>
      </c>
      <c r="BC3217" s="2">
        <f t="shared" si="1259"/>
        <v>1.6902127116752239E-3</v>
      </c>
      <c r="BD3217" s="2">
        <f t="shared" si="1260"/>
        <v>4.6560576585770322E-3</v>
      </c>
      <c r="BF3217" t="s">
        <v>1835</v>
      </c>
      <c r="BG3217" t="s">
        <v>3002</v>
      </c>
      <c r="BH3217" s="63">
        <v>2</v>
      </c>
      <c r="BJ3217" s="114">
        <v>55</v>
      </c>
      <c r="BK3217" s="116">
        <v>111</v>
      </c>
      <c r="BL3217" s="120">
        <f t="shared" si="1251"/>
        <v>55111</v>
      </c>
      <c r="BN3217" s="5" t="s">
        <v>3154</v>
      </c>
      <c r="CB3217" s="63">
        <v>0</v>
      </c>
      <c r="CD3217" s="63">
        <v>0</v>
      </c>
      <c r="CE3217" s="63">
        <v>0</v>
      </c>
      <c r="CO3217" s="63">
        <v>14692</v>
      </c>
      <c r="CP3217" s="63">
        <v>14791</v>
      </c>
      <c r="CQ3217" s="63">
        <v>75</v>
      </c>
      <c r="CR3217" s="63">
        <v>1106</v>
      </c>
      <c r="CS3217" s="63">
        <v>424</v>
      </c>
      <c r="CT3217" s="63">
        <v>147</v>
      </c>
      <c r="CU3217" s="63">
        <v>53</v>
      </c>
      <c r="CV3217" s="63">
        <v>0</v>
      </c>
      <c r="CW3217" s="63"/>
      <c r="CX3217" s="63">
        <f t="shared" si="1250"/>
        <v>0</v>
      </c>
      <c r="CY3217" s="63"/>
      <c r="CZ3217" s="63">
        <v>1</v>
      </c>
      <c r="DA3217" s="63"/>
      <c r="DB3217" s="63">
        <v>25</v>
      </c>
      <c r="DC3217" s="63"/>
      <c r="DD3217" s="63"/>
      <c r="DE3217" s="63"/>
      <c r="DF3217" s="63">
        <v>0</v>
      </c>
      <c r="DG3217" s="63"/>
      <c r="DH3217" s="63">
        <v>1</v>
      </c>
      <c r="DI3217" s="63"/>
      <c r="DJ3217" s="63"/>
      <c r="DK3217" s="63"/>
      <c r="DL3217" s="63"/>
      <c r="DM3217" s="63"/>
      <c r="DN3217" s="63">
        <v>0</v>
      </c>
      <c r="DO3217" s="63">
        <v>3</v>
      </c>
      <c r="DQ3217" s="63">
        <v>0</v>
      </c>
      <c r="DR3217" s="63"/>
      <c r="DS3217" s="63">
        <v>0</v>
      </c>
      <c r="DT3217" s="63">
        <v>0</v>
      </c>
    </row>
    <row r="3218" spans="1:124" hidden="1" outlineLevel="1">
      <c r="A3218" t="s">
        <v>123</v>
      </c>
      <c r="B3218" t="s">
        <v>3002</v>
      </c>
      <c r="C3218" s="1">
        <f t="shared" si="1252"/>
        <v>9137</v>
      </c>
      <c r="D3218" s="5">
        <f>IF(N3218&gt;0, RANK(N3218,(N3218:P3218,Q3218:AE3218)),0)</f>
        <v>2</v>
      </c>
      <c r="E3218" s="5">
        <f>IF(O3218&gt;0,RANK(O3218,(N3218:P3218,Q3218:AE3218)),0)</f>
        <v>1</v>
      </c>
      <c r="F3218" s="5">
        <f>IF(P3218&gt;0,RANK(P3218,(N3218:P3218,Q3218:AE3218)),0)</f>
        <v>7</v>
      </c>
      <c r="G3218" s="132">
        <f t="shared" si="1261"/>
        <v>1682</v>
      </c>
      <c r="H3218" s="137">
        <f t="shared" si="1262"/>
        <v>0.18408668052971436</v>
      </c>
      <c r="I3218" s="2"/>
      <c r="J3218" s="2">
        <f t="shared" si="1253"/>
        <v>0.3833862318047499</v>
      </c>
      <c r="K3218" s="2">
        <f t="shared" si="1254"/>
        <v>0.56747291233446429</v>
      </c>
      <c r="L3218" s="2">
        <f t="shared" si="1255"/>
        <v>8.7556090620553796E-4</v>
      </c>
      <c r="M3218" s="2">
        <f t="shared" si="1256"/>
        <v>4.8265294954580332E-2</v>
      </c>
      <c r="N3218" s="63">
        <v>3503</v>
      </c>
      <c r="O3218" s="63">
        <v>5185</v>
      </c>
      <c r="P3218" s="63">
        <v>8</v>
      </c>
      <c r="Q3218" s="63">
        <v>210</v>
      </c>
      <c r="R3218" s="63">
        <v>99</v>
      </c>
      <c r="S3218" s="63">
        <v>28</v>
      </c>
      <c r="T3218" s="63">
        <v>2</v>
      </c>
      <c r="U3218" s="63">
        <v>0</v>
      </c>
      <c r="V3218" s="63"/>
      <c r="W3218" s="63">
        <f t="shared" si="1249"/>
        <v>99</v>
      </c>
      <c r="X3218" s="63"/>
      <c r="Y3218" s="63">
        <v>0</v>
      </c>
      <c r="Z3218" s="63"/>
      <c r="AA3218" s="63">
        <v>3</v>
      </c>
      <c r="AB3218" s="63"/>
      <c r="AC3218" s="63"/>
      <c r="AD3218" s="63"/>
      <c r="AE3218" s="63">
        <v>0</v>
      </c>
      <c r="AF3218" s="63"/>
      <c r="AG3218" s="63">
        <v>0</v>
      </c>
      <c r="AH3218" s="63"/>
      <c r="AI3218" s="63"/>
      <c r="AJ3218" s="63"/>
      <c r="AK3218" s="63"/>
      <c r="AL3218" s="63"/>
      <c r="AM3218" s="63">
        <v>0</v>
      </c>
      <c r="AN3218" s="63">
        <v>0</v>
      </c>
      <c r="AO3218" s="63"/>
      <c r="AP3218" s="63"/>
      <c r="AQ3218" s="63"/>
      <c r="AR3218" s="63"/>
      <c r="AS3218" s="63"/>
      <c r="AT3218" s="63"/>
      <c r="AU3218" s="63"/>
      <c r="AW3218" s="5">
        <f>IF(Q3218&gt;0,RANK(Q3218,(N3218:P3218,Q3218:AE3218)),0)</f>
        <v>3</v>
      </c>
      <c r="AX3218" s="5">
        <f>IF(R3218&gt;0,RANK(R3218,(N3218:P3218,Q3218:AE3218)),0)</f>
        <v>4</v>
      </c>
      <c r="AY3218" s="5">
        <f>IF(T3218&gt;0,RANK(T3218,(N3218:P3218,Q3218:AE3218)),0)</f>
        <v>9</v>
      </c>
      <c r="AZ3218" s="5">
        <f>IF(S3218&gt;0,RANK(S3218,(N3218:P3218,Q3218:AE3218)),0)</f>
        <v>6</v>
      </c>
      <c r="BA3218" s="2">
        <f t="shared" si="1257"/>
        <v>2.2983473787895371E-2</v>
      </c>
      <c r="BB3218" s="2">
        <f t="shared" si="1258"/>
        <v>1.0835066214293532E-2</v>
      </c>
      <c r="BC3218" s="2">
        <f t="shared" si="1259"/>
        <v>2.1889022655138449E-4</v>
      </c>
      <c r="BD3218" s="2">
        <f t="shared" si="1260"/>
        <v>3.0644631717193825E-3</v>
      </c>
      <c r="BF3218" t="s">
        <v>123</v>
      </c>
      <c r="BG3218" t="s">
        <v>3002</v>
      </c>
      <c r="BH3218" s="63">
        <v>7</v>
      </c>
      <c r="BJ3218" s="114">
        <v>55</v>
      </c>
      <c r="BK3218" s="116">
        <v>113</v>
      </c>
      <c r="BL3218" s="120">
        <f t="shared" si="1251"/>
        <v>55113</v>
      </c>
      <c r="BN3218" s="5" t="s">
        <v>3154</v>
      </c>
      <c r="CB3218" s="63">
        <v>99</v>
      </c>
      <c r="CD3218" s="63">
        <v>0</v>
      </c>
      <c r="CE3218" s="63">
        <v>0</v>
      </c>
      <c r="CO3218" s="63">
        <v>3504</v>
      </c>
      <c r="CP3218" s="63">
        <v>5185</v>
      </c>
      <c r="CQ3218" s="63">
        <v>8</v>
      </c>
      <c r="CR3218" s="63">
        <v>210</v>
      </c>
      <c r="CS3218" s="63">
        <v>99</v>
      </c>
      <c r="CT3218" s="63">
        <v>28</v>
      </c>
      <c r="CU3218" s="63">
        <v>2</v>
      </c>
      <c r="CV3218" s="63">
        <v>0</v>
      </c>
      <c r="CW3218" s="63"/>
      <c r="CX3218" s="63">
        <f t="shared" si="1250"/>
        <v>0</v>
      </c>
      <c r="CY3218" s="63"/>
      <c r="CZ3218" s="63">
        <v>0</v>
      </c>
      <c r="DA3218" s="63"/>
      <c r="DB3218" s="63">
        <v>3</v>
      </c>
      <c r="DC3218" s="63"/>
      <c r="DD3218" s="63"/>
      <c r="DE3218" s="63"/>
      <c r="DF3218" s="63">
        <v>0</v>
      </c>
      <c r="DG3218" s="63"/>
      <c r="DH3218" s="63">
        <v>0</v>
      </c>
      <c r="DI3218" s="63"/>
      <c r="DJ3218" s="63"/>
      <c r="DK3218" s="63"/>
      <c r="DL3218" s="63"/>
      <c r="DM3218" s="63"/>
      <c r="DN3218" s="63">
        <v>0</v>
      </c>
      <c r="DO3218" s="63">
        <v>0</v>
      </c>
      <c r="DQ3218" s="63">
        <v>82</v>
      </c>
      <c r="DR3218" s="63"/>
      <c r="DS3218" s="63">
        <v>0</v>
      </c>
      <c r="DT3218" s="63">
        <v>0</v>
      </c>
    </row>
    <row r="3219" spans="1:124" hidden="1" outlineLevel="1">
      <c r="A3219" t="s">
        <v>124</v>
      </c>
      <c r="B3219" t="s">
        <v>3002</v>
      </c>
      <c r="C3219" s="1">
        <f t="shared" si="1252"/>
        <v>19810</v>
      </c>
      <c r="D3219" s="5">
        <f>IF(N3219&gt;0, RANK(N3219,(N3219:P3219,Q3219:AE3219)),0)</f>
        <v>2</v>
      </c>
      <c r="E3219" s="5">
        <f>IF(O3219&gt;0,RANK(O3219,(N3219:P3219,Q3219:AE3219)),0)</f>
        <v>1</v>
      </c>
      <c r="F3219" s="5">
        <f>IF(P3219&gt;0,RANK(P3219,(N3219:P3219,Q3219:AE3219)),0)</f>
        <v>6</v>
      </c>
      <c r="G3219" s="132">
        <f t="shared" si="1261"/>
        <v>6701</v>
      </c>
      <c r="H3219" s="137">
        <f t="shared" si="1262"/>
        <v>0.33826350328117111</v>
      </c>
      <c r="I3219" s="2"/>
      <c r="J3219" s="2">
        <f t="shared" si="1253"/>
        <v>0.30630994447248866</v>
      </c>
      <c r="K3219" s="2">
        <f t="shared" si="1254"/>
        <v>0.64457344775365977</v>
      </c>
      <c r="L3219" s="2">
        <f t="shared" si="1255"/>
        <v>3.1297324583543663E-3</v>
      </c>
      <c r="M3219" s="2">
        <f t="shared" si="1256"/>
        <v>4.5986875315497264E-2</v>
      </c>
      <c r="N3219" s="63">
        <v>6068</v>
      </c>
      <c r="O3219" s="63">
        <v>12769</v>
      </c>
      <c r="P3219" s="63">
        <v>62</v>
      </c>
      <c r="Q3219" s="63">
        <v>613</v>
      </c>
      <c r="R3219" s="63">
        <v>173</v>
      </c>
      <c r="S3219" s="63">
        <v>108</v>
      </c>
      <c r="T3219" s="63">
        <v>8</v>
      </c>
      <c r="U3219" s="63">
        <v>0</v>
      </c>
      <c r="V3219" s="63"/>
      <c r="W3219" s="63">
        <f t="shared" si="1249"/>
        <v>0</v>
      </c>
      <c r="X3219" s="63"/>
      <c r="Y3219" s="63">
        <v>0</v>
      </c>
      <c r="Z3219" s="63"/>
      <c r="AA3219" s="63">
        <v>9</v>
      </c>
      <c r="AB3219" s="63"/>
      <c r="AC3219" s="63"/>
      <c r="AD3219" s="63"/>
      <c r="AE3219" s="63">
        <v>0</v>
      </c>
      <c r="AF3219" s="63"/>
      <c r="AG3219" s="63">
        <v>0</v>
      </c>
      <c r="AH3219" s="63"/>
      <c r="AI3219" s="63"/>
      <c r="AJ3219" s="63"/>
      <c r="AK3219" s="63"/>
      <c r="AL3219" s="63"/>
      <c r="AM3219" s="63">
        <v>0</v>
      </c>
      <c r="AN3219" s="63">
        <v>0</v>
      </c>
      <c r="AO3219" s="63"/>
      <c r="AP3219" s="63"/>
      <c r="AQ3219" s="63"/>
      <c r="AR3219" s="63"/>
      <c r="AS3219" s="63"/>
      <c r="AT3219" s="63"/>
      <c r="AU3219" s="63"/>
      <c r="AW3219" s="5">
        <f>IF(Q3219&gt;0,RANK(Q3219,(N3219:P3219,Q3219:AE3219)),0)</f>
        <v>3</v>
      </c>
      <c r="AX3219" s="5">
        <f>IF(R3219&gt;0,RANK(R3219,(N3219:P3219,Q3219:AE3219)),0)</f>
        <v>4</v>
      </c>
      <c r="AY3219" s="5">
        <f>IF(T3219&gt;0,RANK(T3219,(N3219:P3219,Q3219:AE3219)),0)</f>
        <v>8</v>
      </c>
      <c r="AZ3219" s="5">
        <f>IF(S3219&gt;0,RANK(S3219,(N3219:P3219,Q3219:AE3219)),0)</f>
        <v>5</v>
      </c>
      <c r="BA3219" s="2">
        <f t="shared" si="1257"/>
        <v>3.0943967693084301E-2</v>
      </c>
      <c r="BB3219" s="2">
        <f t="shared" si="1258"/>
        <v>8.7329631499242812E-3</v>
      </c>
      <c r="BC3219" s="2">
        <f t="shared" si="1259"/>
        <v>4.038364462392731E-4</v>
      </c>
      <c r="BD3219" s="2">
        <f t="shared" si="1260"/>
        <v>5.4517920242301869E-3</v>
      </c>
      <c r="BF3219" t="s">
        <v>124</v>
      </c>
      <c r="BG3219" t="s">
        <v>3002</v>
      </c>
      <c r="BH3219" s="63">
        <v>8</v>
      </c>
      <c r="BJ3219" s="114">
        <v>55</v>
      </c>
      <c r="BK3219" s="116">
        <v>115</v>
      </c>
      <c r="BL3219" s="120">
        <f t="shared" si="1251"/>
        <v>55115</v>
      </c>
      <c r="BN3219" s="5" t="s">
        <v>3154</v>
      </c>
      <c r="CB3219" s="63">
        <v>0</v>
      </c>
      <c r="CD3219" s="63">
        <v>0</v>
      </c>
      <c r="CE3219" s="63">
        <v>0</v>
      </c>
      <c r="CO3219" s="63">
        <v>6056</v>
      </c>
      <c r="CP3219" s="63">
        <v>12742</v>
      </c>
      <c r="CQ3219" s="63">
        <v>48</v>
      </c>
      <c r="CR3219" s="63">
        <v>608</v>
      </c>
      <c r="CS3219" s="63">
        <v>172</v>
      </c>
      <c r="CT3219" s="63">
        <v>108</v>
      </c>
      <c r="CU3219" s="63">
        <v>8</v>
      </c>
      <c r="CV3219" s="63">
        <v>0</v>
      </c>
      <c r="CW3219" s="63"/>
      <c r="CX3219" s="63">
        <f t="shared" si="1250"/>
        <v>0</v>
      </c>
      <c r="CY3219" s="63"/>
      <c r="CZ3219" s="63">
        <v>0</v>
      </c>
      <c r="DA3219" s="63"/>
      <c r="DB3219" s="63">
        <v>9</v>
      </c>
      <c r="DC3219" s="63"/>
      <c r="DD3219" s="63"/>
      <c r="DE3219" s="63"/>
      <c r="DF3219" s="63">
        <v>0</v>
      </c>
      <c r="DG3219" s="63"/>
      <c r="DH3219" s="63">
        <v>0</v>
      </c>
      <c r="DI3219" s="63"/>
      <c r="DJ3219" s="63"/>
      <c r="DK3219" s="63"/>
      <c r="DL3219" s="63"/>
      <c r="DM3219" s="63"/>
      <c r="DN3219" s="63">
        <v>0</v>
      </c>
      <c r="DO3219" s="63">
        <v>0</v>
      </c>
      <c r="DQ3219" s="63">
        <v>0</v>
      </c>
      <c r="DR3219" s="63"/>
      <c r="DS3219" s="63">
        <v>0</v>
      </c>
      <c r="DT3219" s="63">
        <v>0</v>
      </c>
    </row>
    <row r="3220" spans="1:124" hidden="1" outlineLevel="1">
      <c r="A3220" t="s">
        <v>73</v>
      </c>
      <c r="B3220" t="s">
        <v>3002</v>
      </c>
      <c r="C3220" s="1">
        <f t="shared" si="1252"/>
        <v>59766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7</v>
      </c>
      <c r="G3220" s="132">
        <f t="shared" si="1261"/>
        <v>9514</v>
      </c>
      <c r="H3220" s="137">
        <f t="shared" si="1262"/>
        <v>0.15918749790850986</v>
      </c>
      <c r="I3220" s="2"/>
      <c r="J3220" s="2">
        <f t="shared" si="1253"/>
        <v>0.38483418666131247</v>
      </c>
      <c r="K3220" s="2">
        <f t="shared" si="1254"/>
        <v>0.54402168456982236</v>
      </c>
      <c r="L3220" s="2">
        <f t="shared" si="1255"/>
        <v>5.6386574306461872E-3</v>
      </c>
      <c r="M3220" s="2">
        <f t="shared" si="1256"/>
        <v>6.5505471338218921E-2</v>
      </c>
      <c r="N3220" s="63">
        <v>23000</v>
      </c>
      <c r="O3220" s="63">
        <v>32514</v>
      </c>
      <c r="P3220" s="63">
        <v>337</v>
      </c>
      <c r="Q3220" s="63">
        <v>2378</v>
      </c>
      <c r="R3220" s="63">
        <v>547</v>
      </c>
      <c r="S3220" s="63">
        <v>364</v>
      </c>
      <c r="T3220" s="63">
        <v>20</v>
      </c>
      <c r="U3220" s="63">
        <v>0</v>
      </c>
      <c r="V3220" s="63"/>
      <c r="W3220" s="63">
        <f t="shared" si="1249"/>
        <v>546</v>
      </c>
      <c r="X3220" s="63"/>
      <c r="Y3220" s="63">
        <v>8</v>
      </c>
      <c r="Z3220" s="63"/>
      <c r="AA3220" s="63">
        <v>50</v>
      </c>
      <c r="AB3220" s="63"/>
      <c r="AC3220" s="63"/>
      <c r="AD3220" s="63"/>
      <c r="AE3220" s="63">
        <v>0</v>
      </c>
      <c r="AF3220" s="63"/>
      <c r="AG3220" s="63">
        <v>1</v>
      </c>
      <c r="AH3220" s="63"/>
      <c r="AI3220" s="63"/>
      <c r="AJ3220" s="63"/>
      <c r="AK3220" s="63"/>
      <c r="AL3220" s="63"/>
      <c r="AM3220" s="63">
        <v>0</v>
      </c>
      <c r="AN3220" s="63">
        <v>1</v>
      </c>
      <c r="AO3220" s="63"/>
      <c r="AP3220" s="63"/>
      <c r="AQ3220" s="63"/>
      <c r="AR3220" s="63"/>
      <c r="AS3220" s="63"/>
      <c r="AT3220" s="63"/>
      <c r="AU3220" s="63"/>
      <c r="AW3220" s="5">
        <f>IF(Q3220&gt;0,RANK(Q3220,(N3220:P3220,Q3220:AE3220)),0)</f>
        <v>3</v>
      </c>
      <c r="AX3220" s="5">
        <f>IF(R3220&gt;0,RANK(R3220,(N3220:P3220,Q3220:AE3220)),0)</f>
        <v>4</v>
      </c>
      <c r="AY3220" s="5">
        <f>IF(T3220&gt;0,RANK(T3220,(N3220:P3220,Q3220:AE3220)),0)</f>
        <v>9</v>
      </c>
      <c r="AZ3220" s="5">
        <f>IF(S3220&gt;0,RANK(S3220,(N3220:P3220,Q3220:AE3220)),0)</f>
        <v>6</v>
      </c>
      <c r="BA3220" s="2">
        <f t="shared" si="1257"/>
        <v>3.9788508516547867E-2</v>
      </c>
      <c r="BB3220" s="2">
        <f t="shared" si="1258"/>
        <v>9.1523608740755619E-3</v>
      </c>
      <c r="BC3220" s="2">
        <f t="shared" si="1259"/>
        <v>3.3463842318374998E-4</v>
      </c>
      <c r="BD3220" s="2">
        <f t="shared" si="1260"/>
        <v>6.0904193019442488E-3</v>
      </c>
      <c r="BF3220" t="s">
        <v>73</v>
      </c>
      <c r="BG3220" t="s">
        <v>3002</v>
      </c>
      <c r="BH3220" s="63">
        <v>6</v>
      </c>
      <c r="BJ3220" s="114">
        <v>55</v>
      </c>
      <c r="BK3220" s="116">
        <v>117</v>
      </c>
      <c r="BL3220" s="120">
        <f t="shared" si="1251"/>
        <v>55117</v>
      </c>
      <c r="BN3220" s="5" t="s">
        <v>3154</v>
      </c>
      <c r="CB3220" s="63">
        <v>546</v>
      </c>
      <c r="CD3220" s="63">
        <v>0</v>
      </c>
      <c r="CE3220" s="63">
        <v>0</v>
      </c>
      <c r="CO3220" s="63">
        <v>22956</v>
      </c>
      <c r="CP3220" s="63">
        <v>32458</v>
      </c>
      <c r="CQ3220" s="63">
        <v>333</v>
      </c>
      <c r="CR3220" s="63">
        <v>2376</v>
      </c>
      <c r="CS3220" s="63">
        <v>544</v>
      </c>
      <c r="CT3220" s="63">
        <v>362</v>
      </c>
      <c r="CU3220" s="63">
        <v>20</v>
      </c>
      <c r="CV3220" s="63">
        <v>0</v>
      </c>
      <c r="CW3220" s="63"/>
      <c r="CX3220" s="63">
        <f t="shared" si="1250"/>
        <v>0</v>
      </c>
      <c r="CY3220" s="63"/>
      <c r="CZ3220" s="63">
        <v>8</v>
      </c>
      <c r="DA3220" s="63"/>
      <c r="DB3220" s="63">
        <v>50</v>
      </c>
      <c r="DC3220" s="63"/>
      <c r="DD3220" s="63"/>
      <c r="DE3220" s="63"/>
      <c r="DF3220" s="63">
        <v>0</v>
      </c>
      <c r="DG3220" s="63"/>
      <c r="DH3220" s="63">
        <v>1</v>
      </c>
      <c r="DI3220" s="63"/>
      <c r="DJ3220" s="63"/>
      <c r="DK3220" s="63"/>
      <c r="DL3220" s="63"/>
      <c r="DM3220" s="63"/>
      <c r="DN3220" s="63">
        <v>0</v>
      </c>
      <c r="DO3220" s="63">
        <v>1</v>
      </c>
      <c r="DQ3220" s="63">
        <v>546</v>
      </c>
      <c r="DR3220" s="63"/>
      <c r="DS3220" s="63">
        <v>0</v>
      </c>
      <c r="DT3220" s="63">
        <v>0</v>
      </c>
    </row>
    <row r="3221" spans="1:124" hidden="1" outlineLevel="1">
      <c r="A3221" t="s">
        <v>1140</v>
      </c>
      <c r="B3221" t="s">
        <v>3002</v>
      </c>
      <c r="C3221" s="1">
        <f t="shared" si="1252"/>
        <v>9471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7</v>
      </c>
      <c r="G3221" s="132">
        <f t="shared" si="1261"/>
        <v>4186</v>
      </c>
      <c r="H3221" s="137">
        <f t="shared" si="1262"/>
        <v>0.44198078344419806</v>
      </c>
      <c r="I3221" s="2"/>
      <c r="J3221" s="2">
        <f t="shared" si="1253"/>
        <v>0.25266603315383801</v>
      </c>
      <c r="K3221" s="2">
        <f t="shared" si="1254"/>
        <v>0.69464681659803607</v>
      </c>
      <c r="L3221" s="2">
        <f t="shared" si="1255"/>
        <v>2.5340513145391194E-3</v>
      </c>
      <c r="M3221" s="2">
        <f t="shared" si="1256"/>
        <v>5.0153098933586861E-2</v>
      </c>
      <c r="N3221" s="63">
        <v>2393</v>
      </c>
      <c r="O3221" s="63">
        <v>6579</v>
      </c>
      <c r="P3221" s="63">
        <v>24</v>
      </c>
      <c r="Q3221" s="63">
        <v>295</v>
      </c>
      <c r="R3221" s="63">
        <v>67</v>
      </c>
      <c r="S3221" s="63">
        <v>47</v>
      </c>
      <c r="T3221" s="63">
        <v>10</v>
      </c>
      <c r="U3221" s="63">
        <v>0</v>
      </c>
      <c r="V3221" s="63"/>
      <c r="W3221" s="63">
        <f t="shared" si="1249"/>
        <v>45</v>
      </c>
      <c r="X3221" s="63"/>
      <c r="Y3221" s="63">
        <v>1</v>
      </c>
      <c r="Z3221" s="63"/>
      <c r="AA3221" s="63">
        <v>9</v>
      </c>
      <c r="AB3221" s="63"/>
      <c r="AC3221" s="63"/>
      <c r="AD3221" s="63"/>
      <c r="AE3221" s="63">
        <v>0</v>
      </c>
      <c r="AF3221" s="63"/>
      <c r="AG3221" s="63">
        <v>1</v>
      </c>
      <c r="AH3221" s="63"/>
      <c r="AI3221" s="63"/>
      <c r="AJ3221" s="63"/>
      <c r="AK3221" s="63"/>
      <c r="AL3221" s="63"/>
      <c r="AM3221" s="63">
        <v>0</v>
      </c>
      <c r="AN3221" s="63">
        <v>0</v>
      </c>
      <c r="AO3221" s="63"/>
      <c r="AP3221" s="63"/>
      <c r="AQ3221" s="63"/>
      <c r="AR3221" s="63"/>
      <c r="AS3221" s="63"/>
      <c r="AT3221" s="63"/>
      <c r="AU3221" s="63"/>
      <c r="AW3221" s="5">
        <f>IF(Q3221&gt;0,RANK(Q3221,(N3221:P3221,Q3221:AE3221)),0)</f>
        <v>3</v>
      </c>
      <c r="AX3221" s="5">
        <f>IF(R3221&gt;0,RANK(R3221,(N3221:P3221,Q3221:AE3221)),0)</f>
        <v>4</v>
      </c>
      <c r="AY3221" s="5">
        <f>IF(T3221&gt;0,RANK(T3221,(N3221:P3221,Q3221:AE3221)),0)</f>
        <v>8</v>
      </c>
      <c r="AZ3221" s="5">
        <f>IF(S3221&gt;0,RANK(S3221,(N3221:P3221,Q3221:AE3221)),0)</f>
        <v>5</v>
      </c>
      <c r="BA3221" s="2">
        <f t="shared" si="1257"/>
        <v>3.1147714074543344E-2</v>
      </c>
      <c r="BB3221" s="2">
        <f t="shared" si="1258"/>
        <v>7.0742265864217084E-3</v>
      </c>
      <c r="BC3221" s="2">
        <f t="shared" si="1259"/>
        <v>1.0558547143912998E-3</v>
      </c>
      <c r="BD3221" s="2">
        <f t="shared" si="1260"/>
        <v>4.9625171576391089E-3</v>
      </c>
      <c r="BF3221" t="s">
        <v>1140</v>
      </c>
      <c r="BG3221" t="s">
        <v>3002</v>
      </c>
      <c r="BH3221" s="63">
        <v>7</v>
      </c>
      <c r="BJ3221" s="114">
        <v>55</v>
      </c>
      <c r="BK3221" s="116">
        <v>119</v>
      </c>
      <c r="BL3221" s="120">
        <f t="shared" si="1251"/>
        <v>55119</v>
      </c>
      <c r="BN3221" s="5" t="s">
        <v>3154</v>
      </c>
      <c r="CB3221" s="63">
        <v>45</v>
      </c>
      <c r="CD3221" s="63">
        <v>0</v>
      </c>
      <c r="CE3221" s="63">
        <v>0</v>
      </c>
      <c r="CO3221" s="63">
        <v>2398</v>
      </c>
      <c r="CP3221" s="63">
        <v>6589</v>
      </c>
      <c r="CQ3221" s="63">
        <v>22</v>
      </c>
      <c r="CR3221" s="63">
        <v>293</v>
      </c>
      <c r="CS3221" s="63">
        <v>69</v>
      </c>
      <c r="CT3221" s="63">
        <v>47</v>
      </c>
      <c r="CU3221" s="63">
        <v>10</v>
      </c>
      <c r="CV3221" s="63">
        <v>0</v>
      </c>
      <c r="CW3221" s="63"/>
      <c r="CX3221" s="63">
        <f t="shared" si="1250"/>
        <v>0</v>
      </c>
      <c r="CY3221" s="63"/>
      <c r="CZ3221" s="63">
        <v>1</v>
      </c>
      <c r="DA3221" s="63"/>
      <c r="DB3221" s="63">
        <v>9</v>
      </c>
      <c r="DC3221" s="63"/>
      <c r="DD3221" s="63"/>
      <c r="DE3221" s="63"/>
      <c r="DF3221" s="63">
        <v>0</v>
      </c>
      <c r="DG3221" s="63"/>
      <c r="DH3221" s="63">
        <v>1</v>
      </c>
      <c r="DI3221" s="63"/>
      <c r="DJ3221" s="63"/>
      <c r="DK3221" s="63"/>
      <c r="DL3221" s="63"/>
      <c r="DM3221" s="63"/>
      <c r="DN3221" s="63">
        <v>0</v>
      </c>
      <c r="DO3221" s="63">
        <v>0</v>
      </c>
      <c r="DQ3221" s="63">
        <v>45</v>
      </c>
      <c r="DR3221" s="63"/>
      <c r="DS3221" s="63">
        <v>0</v>
      </c>
      <c r="DT3221" s="63">
        <v>0</v>
      </c>
    </row>
    <row r="3222" spans="1:124" hidden="1" outlineLevel="1">
      <c r="A3222" t="s">
        <v>471</v>
      </c>
      <c r="B3222" t="s">
        <v>3002</v>
      </c>
      <c r="C3222" s="1">
        <f t="shared" si="1252"/>
        <v>13687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7</v>
      </c>
      <c r="G3222" s="132">
        <f t="shared" si="1261"/>
        <v>1730</v>
      </c>
      <c r="H3222" s="137">
        <f t="shared" si="1262"/>
        <v>0.12639731131730839</v>
      </c>
      <c r="I3222" s="2"/>
      <c r="J3222" s="2">
        <f t="shared" si="1253"/>
        <v>0.41177759918170526</v>
      </c>
      <c r="K3222" s="2">
        <f t="shared" si="1254"/>
        <v>0.53817491049901367</v>
      </c>
      <c r="L3222" s="2">
        <f t="shared" si="1255"/>
        <v>2.118798860232337E-3</v>
      </c>
      <c r="M3222" s="2">
        <f t="shared" si="1256"/>
        <v>4.7928691459048794E-2</v>
      </c>
      <c r="N3222" s="63">
        <v>5636</v>
      </c>
      <c r="O3222" s="63">
        <v>7366</v>
      </c>
      <c r="P3222" s="63">
        <v>29</v>
      </c>
      <c r="Q3222" s="63">
        <v>388</v>
      </c>
      <c r="R3222" s="63">
        <v>118</v>
      </c>
      <c r="S3222" s="63">
        <v>72</v>
      </c>
      <c r="T3222" s="63">
        <v>4</v>
      </c>
      <c r="U3222" s="63">
        <v>0</v>
      </c>
      <c r="V3222" s="63"/>
      <c r="W3222" s="63">
        <f t="shared" si="1249"/>
        <v>68</v>
      </c>
      <c r="X3222" s="63"/>
      <c r="Y3222" s="63">
        <v>0</v>
      </c>
      <c r="Z3222" s="63"/>
      <c r="AA3222" s="63">
        <v>6</v>
      </c>
      <c r="AB3222" s="63"/>
      <c r="AC3222" s="63"/>
      <c r="AD3222" s="63"/>
      <c r="AE3222" s="63">
        <v>0</v>
      </c>
      <c r="AF3222" s="63"/>
      <c r="AG3222" s="63">
        <v>0</v>
      </c>
      <c r="AH3222" s="63"/>
      <c r="AI3222" s="63"/>
      <c r="AJ3222" s="63"/>
      <c r="AK3222" s="63"/>
      <c r="AL3222" s="63"/>
      <c r="AM3222" s="63">
        <v>0</v>
      </c>
      <c r="AN3222" s="63">
        <v>0</v>
      </c>
      <c r="AO3222" s="63"/>
      <c r="AP3222" s="63"/>
      <c r="AQ3222" s="63"/>
      <c r="AR3222" s="63"/>
      <c r="AS3222" s="63"/>
      <c r="AT3222" s="63"/>
      <c r="AU3222" s="63"/>
      <c r="AW3222" s="5">
        <f>IF(Q3222&gt;0,RANK(Q3222,(N3222:P3222,Q3222:AE3222)),0)</f>
        <v>3</v>
      </c>
      <c r="AX3222" s="5">
        <f>IF(R3222&gt;0,RANK(R3222,(N3222:P3222,Q3222:AE3222)),0)</f>
        <v>4</v>
      </c>
      <c r="AY3222" s="5">
        <f>IF(T3222&gt;0,RANK(T3222,(N3222:P3222,Q3222:AE3222)),0)</f>
        <v>9</v>
      </c>
      <c r="AZ3222" s="5">
        <f>IF(S3222&gt;0,RANK(S3222,(N3222:P3222,Q3222:AE3222)),0)</f>
        <v>5</v>
      </c>
      <c r="BA3222" s="2">
        <f t="shared" si="1257"/>
        <v>2.834806750931541E-2</v>
      </c>
      <c r="BB3222" s="2">
        <f t="shared" si="1258"/>
        <v>8.6213195002557176E-3</v>
      </c>
      <c r="BC3222" s="2">
        <f t="shared" si="1259"/>
        <v>2.9224811865273618E-4</v>
      </c>
      <c r="BD3222" s="2">
        <f t="shared" si="1260"/>
        <v>5.2604661357492513E-3</v>
      </c>
      <c r="BF3222" t="s">
        <v>471</v>
      </c>
      <c r="BG3222" t="s">
        <v>3002</v>
      </c>
      <c r="BH3222" s="63">
        <v>3</v>
      </c>
      <c r="BJ3222" s="114">
        <v>55</v>
      </c>
      <c r="BK3222" s="116">
        <v>121</v>
      </c>
      <c r="BL3222" s="120">
        <f t="shared" si="1251"/>
        <v>55121</v>
      </c>
      <c r="BN3222" s="5" t="s">
        <v>3154</v>
      </c>
      <c r="CB3222" s="63">
        <v>68</v>
      </c>
      <c r="CD3222" s="63">
        <v>0</v>
      </c>
      <c r="CE3222" s="63">
        <v>0</v>
      </c>
      <c r="CO3222" s="63">
        <v>5636</v>
      </c>
      <c r="CP3222" s="63">
        <v>7364</v>
      </c>
      <c r="CQ3222" s="63">
        <v>26</v>
      </c>
      <c r="CR3222" s="63">
        <v>384</v>
      </c>
      <c r="CS3222" s="63">
        <v>117</v>
      </c>
      <c r="CT3222" s="63">
        <v>72</v>
      </c>
      <c r="CU3222" s="63">
        <v>5</v>
      </c>
      <c r="CV3222" s="63">
        <v>0</v>
      </c>
      <c r="CW3222" s="63"/>
      <c r="CX3222" s="63">
        <f t="shared" si="1250"/>
        <v>0</v>
      </c>
      <c r="CY3222" s="63"/>
      <c r="CZ3222" s="63">
        <v>0</v>
      </c>
      <c r="DA3222" s="63"/>
      <c r="DB3222" s="63">
        <v>6</v>
      </c>
      <c r="DC3222" s="63"/>
      <c r="DD3222" s="63"/>
      <c r="DE3222" s="63"/>
      <c r="DF3222" s="63">
        <v>0</v>
      </c>
      <c r="DG3222" s="63"/>
      <c r="DH3222" s="63">
        <v>0</v>
      </c>
      <c r="DI3222" s="63"/>
      <c r="DJ3222" s="63"/>
      <c r="DK3222" s="63"/>
      <c r="DL3222" s="63"/>
      <c r="DM3222" s="63"/>
      <c r="DN3222" s="63">
        <v>0</v>
      </c>
      <c r="DO3222" s="63">
        <v>0</v>
      </c>
      <c r="DQ3222" s="63">
        <v>65</v>
      </c>
      <c r="DR3222" s="63"/>
      <c r="DS3222" s="63">
        <v>0</v>
      </c>
      <c r="DT3222" s="63">
        <v>0</v>
      </c>
    </row>
    <row r="3223" spans="1:124" hidden="1" outlineLevel="1">
      <c r="A3223" t="s">
        <v>1864</v>
      </c>
      <c r="B3223" t="s">
        <v>3002</v>
      </c>
      <c r="C3223" s="1">
        <f t="shared" si="1252"/>
        <v>14275</v>
      </c>
      <c r="D3223" s="5">
        <f>IF(N3223&gt;0, RANK(N3223,(N3223:P3223,Q3223:AE3223)),0)</f>
        <v>2</v>
      </c>
      <c r="E3223" s="5">
        <f>IF(O3223&gt;0,RANK(O3223,(N3223:P3223,Q3223:AE3223)),0)</f>
        <v>1</v>
      </c>
      <c r="F3223" s="5">
        <f>IF(P3223&gt;0,RANK(P3223,(N3223:P3223,Q3223:AE3223)),0)</f>
        <v>7</v>
      </c>
      <c r="G3223" s="132">
        <f t="shared" si="1261"/>
        <v>633</v>
      </c>
      <c r="H3223" s="137">
        <f t="shared" si="1262"/>
        <v>4.4343257443082311E-2</v>
      </c>
      <c r="I3223" s="2"/>
      <c r="J3223" s="2">
        <f t="shared" si="1253"/>
        <v>0.44630472854640979</v>
      </c>
      <c r="K3223" s="2">
        <f t="shared" si="1254"/>
        <v>0.49064798598949211</v>
      </c>
      <c r="L3223" s="2">
        <f t="shared" si="1255"/>
        <v>1.4711033274956216E-3</v>
      </c>
      <c r="M3223" s="2">
        <f t="shared" si="1256"/>
        <v>6.1576182136602479E-2</v>
      </c>
      <c r="N3223" s="63">
        <v>6371</v>
      </c>
      <c r="O3223" s="63">
        <v>7004</v>
      </c>
      <c r="P3223" s="63">
        <v>21</v>
      </c>
      <c r="Q3223" s="63">
        <v>431</v>
      </c>
      <c r="R3223" s="63">
        <v>291</v>
      </c>
      <c r="S3223" s="63">
        <v>84</v>
      </c>
      <c r="T3223" s="63">
        <v>11</v>
      </c>
      <c r="U3223" s="63">
        <v>0</v>
      </c>
      <c r="V3223" s="63"/>
      <c r="W3223" s="63">
        <f t="shared" si="1249"/>
        <v>47</v>
      </c>
      <c r="X3223" s="63"/>
      <c r="Y3223" s="63">
        <v>0</v>
      </c>
      <c r="Z3223" s="63"/>
      <c r="AA3223" s="63">
        <v>11</v>
      </c>
      <c r="AB3223" s="63"/>
      <c r="AC3223" s="63"/>
      <c r="AD3223" s="63"/>
      <c r="AE3223" s="63">
        <v>0</v>
      </c>
      <c r="AF3223" s="63"/>
      <c r="AG3223" s="63">
        <v>0</v>
      </c>
      <c r="AH3223" s="63"/>
      <c r="AI3223" s="63"/>
      <c r="AJ3223" s="63"/>
      <c r="AK3223" s="63"/>
      <c r="AL3223" s="63"/>
      <c r="AM3223" s="63">
        <v>0</v>
      </c>
      <c r="AN3223" s="63">
        <v>4</v>
      </c>
      <c r="AO3223" s="63"/>
      <c r="AP3223" s="63"/>
      <c r="AQ3223" s="63"/>
      <c r="AR3223" s="63"/>
      <c r="AS3223" s="63"/>
      <c r="AT3223" s="63"/>
      <c r="AU3223" s="63"/>
      <c r="AW3223" s="5">
        <f>IF(Q3223&gt;0,RANK(Q3223,(N3223:P3223,Q3223:AE3223)),0)</f>
        <v>3</v>
      </c>
      <c r="AX3223" s="5">
        <f>IF(R3223&gt;0,RANK(R3223,(N3223:P3223,Q3223:AE3223)),0)</f>
        <v>4</v>
      </c>
      <c r="AY3223" s="5">
        <f>IF(T3223&gt;0,RANK(T3223,(N3223:P3223,Q3223:AE3223)),0)</f>
        <v>8</v>
      </c>
      <c r="AZ3223" s="5">
        <f>IF(S3223&gt;0,RANK(S3223,(N3223:P3223,Q3223:AE3223)),0)</f>
        <v>5</v>
      </c>
      <c r="BA3223" s="2">
        <f t="shared" si="1257"/>
        <v>3.0192644483362521E-2</v>
      </c>
      <c r="BB3223" s="2">
        <f t="shared" si="1258"/>
        <v>2.0385288966725045E-2</v>
      </c>
      <c r="BC3223" s="2">
        <f t="shared" si="1259"/>
        <v>7.7057793345008756E-4</v>
      </c>
      <c r="BD3223" s="2">
        <f t="shared" si="1260"/>
        <v>5.8844133099824865E-3</v>
      </c>
      <c r="BF3223" t="s">
        <v>1864</v>
      </c>
      <c r="BG3223" t="s">
        <v>3002</v>
      </c>
      <c r="BH3223" s="63">
        <v>3</v>
      </c>
      <c r="BJ3223" s="114">
        <v>55</v>
      </c>
      <c r="BK3223" s="116">
        <v>123</v>
      </c>
      <c r="BL3223" s="120">
        <f t="shared" si="1251"/>
        <v>55123</v>
      </c>
      <c r="BN3223" s="5" t="s">
        <v>3154</v>
      </c>
      <c r="CB3223" s="63">
        <v>47</v>
      </c>
      <c r="CD3223" s="63">
        <v>0</v>
      </c>
      <c r="CE3223" s="63">
        <v>0</v>
      </c>
      <c r="CO3223" s="63">
        <v>6352</v>
      </c>
      <c r="CP3223" s="63">
        <v>6996</v>
      </c>
      <c r="CQ3223" s="63">
        <v>20</v>
      </c>
      <c r="CR3223" s="63">
        <v>447</v>
      </c>
      <c r="CS3223" s="63">
        <v>290</v>
      </c>
      <c r="CT3223" s="63">
        <v>83</v>
      </c>
      <c r="CU3223" s="63">
        <v>11</v>
      </c>
      <c r="CV3223" s="63">
        <v>0</v>
      </c>
      <c r="CW3223" s="63"/>
      <c r="CX3223" s="63">
        <f t="shared" si="1250"/>
        <v>0</v>
      </c>
      <c r="CY3223" s="63"/>
      <c r="CZ3223" s="63">
        <v>0</v>
      </c>
      <c r="DA3223" s="63"/>
      <c r="DB3223" s="63">
        <v>11</v>
      </c>
      <c r="DC3223" s="63"/>
      <c r="DD3223" s="63"/>
      <c r="DE3223" s="63"/>
      <c r="DF3223" s="63">
        <v>0</v>
      </c>
      <c r="DG3223" s="63"/>
      <c r="DH3223" s="63">
        <v>0</v>
      </c>
      <c r="DI3223" s="63"/>
      <c r="DJ3223" s="63"/>
      <c r="DK3223" s="63"/>
      <c r="DL3223" s="63"/>
      <c r="DM3223" s="63"/>
      <c r="DN3223" s="63">
        <v>0</v>
      </c>
      <c r="DO3223" s="63">
        <v>3</v>
      </c>
      <c r="DQ3223" s="63">
        <v>0</v>
      </c>
      <c r="DR3223" s="63"/>
      <c r="DS3223" s="63">
        <v>0</v>
      </c>
      <c r="DT3223" s="63">
        <v>0</v>
      </c>
    </row>
    <row r="3224" spans="1:124" hidden="1" outlineLevel="1">
      <c r="A3224" t="s">
        <v>1080</v>
      </c>
      <c r="B3224" t="s">
        <v>3002</v>
      </c>
      <c r="C3224" s="1">
        <f t="shared" si="1252"/>
        <v>13611</v>
      </c>
      <c r="D3224" s="5">
        <f>IF(N3224&gt;0, RANK(N3224,(N3224:P3224,Q3224:AE3224)),0)</f>
        <v>2</v>
      </c>
      <c r="E3224" s="5">
        <f>IF(O3224&gt;0,RANK(O3224,(N3224:P3224,Q3224:AE3224)),0)</f>
        <v>1</v>
      </c>
      <c r="F3224" s="5">
        <f>IF(P3224&gt;0,RANK(P3224,(N3224:P3224,Q3224:AE3224)),0)</f>
        <v>7</v>
      </c>
      <c r="G3224" s="132">
        <f t="shared" si="1261"/>
        <v>3396</v>
      </c>
      <c r="H3224" s="137">
        <f t="shared" si="1262"/>
        <v>0.24950407758430682</v>
      </c>
      <c r="I3224" s="2"/>
      <c r="J3224" s="2">
        <f t="shared" si="1253"/>
        <v>0.35045184042318711</v>
      </c>
      <c r="K3224" s="2">
        <f t="shared" si="1254"/>
        <v>0.59995591800749393</v>
      </c>
      <c r="L3224" s="2">
        <f t="shared" si="1255"/>
        <v>2.1306296377929614E-3</v>
      </c>
      <c r="M3224" s="2">
        <f t="shared" si="1256"/>
        <v>4.7461611931526003E-2</v>
      </c>
      <c r="N3224" s="63">
        <v>4770</v>
      </c>
      <c r="O3224" s="63">
        <v>8166</v>
      </c>
      <c r="P3224" s="63">
        <v>29</v>
      </c>
      <c r="Q3224" s="63">
        <v>340</v>
      </c>
      <c r="R3224" s="63">
        <v>117</v>
      </c>
      <c r="S3224" s="63">
        <v>45</v>
      </c>
      <c r="T3224" s="63">
        <v>3</v>
      </c>
      <c r="U3224" s="63">
        <v>0</v>
      </c>
      <c r="V3224" s="63"/>
      <c r="W3224" s="63">
        <f t="shared" si="1249"/>
        <v>129</v>
      </c>
      <c r="X3224" s="63"/>
      <c r="Y3224" s="63">
        <v>0</v>
      </c>
      <c r="Z3224" s="63"/>
      <c r="AA3224" s="63">
        <v>11</v>
      </c>
      <c r="AB3224" s="63"/>
      <c r="AC3224" s="63"/>
      <c r="AD3224" s="63"/>
      <c r="AE3224" s="63">
        <v>0</v>
      </c>
      <c r="AF3224" s="63"/>
      <c r="AG3224" s="63">
        <v>1</v>
      </c>
      <c r="AH3224" s="63"/>
      <c r="AI3224" s="63"/>
      <c r="AJ3224" s="63"/>
      <c r="AK3224" s="63"/>
      <c r="AL3224" s="63"/>
      <c r="AM3224" s="63">
        <v>0</v>
      </c>
      <c r="AN3224" s="63">
        <v>0</v>
      </c>
      <c r="AO3224" s="63"/>
      <c r="AP3224" s="63"/>
      <c r="AQ3224" s="63"/>
      <c r="AR3224" s="63"/>
      <c r="AS3224" s="63"/>
      <c r="AT3224" s="63"/>
      <c r="AU3224" s="63"/>
      <c r="AW3224" s="5">
        <f>IF(Q3224&gt;0,RANK(Q3224,(N3224:P3224,Q3224:AE3224)),0)</f>
        <v>3</v>
      </c>
      <c r="AX3224" s="5">
        <f>IF(R3224&gt;0,RANK(R3224,(N3224:P3224,Q3224:AE3224)),0)</f>
        <v>5</v>
      </c>
      <c r="AY3224" s="5">
        <f>IF(T3224&gt;0,RANK(T3224,(N3224:P3224,Q3224:AE3224)),0)</f>
        <v>9</v>
      </c>
      <c r="AZ3224" s="5">
        <f>IF(S3224&gt;0,RANK(S3224,(N3224:P3224,Q3224:AE3224)),0)</f>
        <v>6</v>
      </c>
      <c r="BA3224" s="2">
        <f t="shared" si="1257"/>
        <v>2.4979795753434723E-2</v>
      </c>
      <c r="BB3224" s="2">
        <f t="shared" si="1258"/>
        <v>8.5959885386819486E-3</v>
      </c>
      <c r="BC3224" s="2">
        <f t="shared" si="1259"/>
        <v>2.2040996253030638E-4</v>
      </c>
      <c r="BD3224" s="2">
        <f t="shared" si="1260"/>
        <v>3.3061494379545957E-3</v>
      </c>
      <c r="BF3224" t="s">
        <v>1080</v>
      </c>
      <c r="BG3224" t="s">
        <v>3002</v>
      </c>
      <c r="BH3224" s="63">
        <v>7</v>
      </c>
      <c r="BJ3224" s="114">
        <v>55</v>
      </c>
      <c r="BK3224" s="116">
        <v>125</v>
      </c>
      <c r="BL3224" s="120">
        <f t="shared" si="1251"/>
        <v>55125</v>
      </c>
      <c r="BN3224" s="5" t="s">
        <v>3154</v>
      </c>
      <c r="CB3224" s="63">
        <v>129</v>
      </c>
      <c r="CD3224" s="63">
        <v>0</v>
      </c>
      <c r="CE3224" s="63">
        <v>0</v>
      </c>
      <c r="CO3224" s="63">
        <v>4770</v>
      </c>
      <c r="CP3224" s="63">
        <v>8169</v>
      </c>
      <c r="CQ3224" s="63">
        <v>14</v>
      </c>
      <c r="CR3224" s="63">
        <v>340</v>
      </c>
      <c r="CS3224" s="63">
        <v>116</v>
      </c>
      <c r="CT3224" s="63">
        <v>45</v>
      </c>
      <c r="CU3224" s="63">
        <v>3</v>
      </c>
      <c r="CV3224" s="63">
        <v>0</v>
      </c>
      <c r="CW3224" s="63"/>
      <c r="CX3224" s="63">
        <f t="shared" si="1250"/>
        <v>0</v>
      </c>
      <c r="CY3224" s="63"/>
      <c r="CZ3224" s="63">
        <v>0</v>
      </c>
      <c r="DA3224" s="63"/>
      <c r="DB3224" s="63">
        <v>11</v>
      </c>
      <c r="DC3224" s="63"/>
      <c r="DD3224" s="63"/>
      <c r="DE3224" s="63"/>
      <c r="DF3224" s="63">
        <v>0</v>
      </c>
      <c r="DG3224" s="63"/>
      <c r="DH3224" s="63">
        <v>1</v>
      </c>
      <c r="DI3224" s="63"/>
      <c r="DJ3224" s="63"/>
      <c r="DK3224" s="63"/>
      <c r="DL3224" s="63"/>
      <c r="DM3224" s="63"/>
      <c r="DN3224" s="63">
        <v>0</v>
      </c>
      <c r="DO3224" s="63">
        <v>0</v>
      </c>
      <c r="DQ3224" s="63">
        <v>143</v>
      </c>
      <c r="DR3224" s="63"/>
      <c r="DS3224" s="63">
        <v>0</v>
      </c>
      <c r="DT3224" s="63">
        <v>0</v>
      </c>
    </row>
    <row r="3225" spans="1:124" hidden="1" outlineLevel="1">
      <c r="A3225" t="s">
        <v>993</v>
      </c>
      <c r="B3225" t="s">
        <v>3002</v>
      </c>
      <c r="C3225" s="1">
        <f t="shared" ref="C3225:C3233" si="1263">SUM(N3225:AU3225)</f>
        <v>51391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6</v>
      </c>
      <c r="G3225" s="132">
        <f t="shared" si="1261"/>
        <v>10153</v>
      </c>
      <c r="H3225" s="137">
        <f t="shared" si="1262"/>
        <v>0.19756377575840128</v>
      </c>
      <c r="I3225" s="2"/>
      <c r="J3225" s="2">
        <f t="shared" ref="J3225:J3233" si="1264">IF($C3225=0,"-",N3225/$C3225)</f>
        <v>0.36407153003444181</v>
      </c>
      <c r="K3225" s="2">
        <f t="shared" ref="K3225:K3233" si="1265">IF($C3225=0,"-",O3225/$C3225)</f>
        <v>0.56163530579284315</v>
      </c>
      <c r="L3225" s="2">
        <f t="shared" ref="L3225:L3233" si="1266">IF($C3225=0,"-",P3225/$C3225)</f>
        <v>5.7208460625401336E-3</v>
      </c>
      <c r="M3225" s="2">
        <f t="shared" ref="M3225:M3233" si="1267">IF(C3225=0,"-",(1-J3225-K3225-L3225))</f>
        <v>6.8572318110174904E-2</v>
      </c>
      <c r="N3225" s="63">
        <v>18710</v>
      </c>
      <c r="O3225" s="63">
        <v>28863</v>
      </c>
      <c r="P3225" s="63">
        <v>294</v>
      </c>
      <c r="Q3225" s="63">
        <v>2116</v>
      </c>
      <c r="R3225" s="63">
        <v>612</v>
      </c>
      <c r="S3225" s="63">
        <v>222</v>
      </c>
      <c r="T3225" s="63">
        <v>32</v>
      </c>
      <c r="U3225" s="63">
        <v>0</v>
      </c>
      <c r="V3225" s="63"/>
      <c r="W3225" s="63">
        <f t="shared" si="1249"/>
        <v>501</v>
      </c>
      <c r="X3225" s="63"/>
      <c r="Y3225" s="63">
        <v>4</v>
      </c>
      <c r="Z3225" s="63"/>
      <c r="AA3225" s="63">
        <v>34</v>
      </c>
      <c r="AB3225" s="63"/>
      <c r="AC3225" s="63"/>
      <c r="AD3225" s="63"/>
      <c r="AE3225" s="63">
        <v>3</v>
      </c>
      <c r="AF3225" s="63"/>
      <c r="AG3225" s="63">
        <v>0</v>
      </c>
      <c r="AH3225" s="63"/>
      <c r="AI3225" s="63"/>
      <c r="AJ3225" s="63"/>
      <c r="AK3225" s="63"/>
      <c r="AL3225" s="63"/>
      <c r="AM3225" s="63">
        <v>0</v>
      </c>
      <c r="AN3225" s="63">
        <v>0</v>
      </c>
      <c r="AO3225" s="63"/>
      <c r="AP3225" s="63"/>
      <c r="AQ3225" s="63"/>
      <c r="AR3225" s="63"/>
      <c r="AS3225" s="63"/>
      <c r="AT3225" s="63"/>
      <c r="AU3225" s="63"/>
      <c r="AW3225" s="5">
        <f>IF(Q3225&gt;0,RANK(Q3225,(N3225:P3225,Q3225:AE3225)),0)</f>
        <v>3</v>
      </c>
      <c r="AX3225" s="5">
        <f>IF(R3225&gt;0,RANK(R3225,(N3225:P3225,Q3225:AE3225)),0)</f>
        <v>4</v>
      </c>
      <c r="AY3225" s="5">
        <f>IF(T3225&gt;0,RANK(T3225,(N3225:P3225,Q3225:AE3225)),0)</f>
        <v>9</v>
      </c>
      <c r="AZ3225" s="5">
        <f>IF(S3225&gt;0,RANK(S3225,(N3225:P3225,Q3225:AE3225)),0)</f>
        <v>7</v>
      </c>
      <c r="BA3225" s="2">
        <f t="shared" ref="BA3225:BA3233" si="1268">IF($C3225=0,"-",Q3225/$C3225)</f>
        <v>4.1174524722227629E-2</v>
      </c>
      <c r="BB3225" s="2">
        <f t="shared" ref="BB3225:BB3233" si="1269">IF($C3225=0,"-",R3225/$C3225)</f>
        <v>1.1908699966920278E-2</v>
      </c>
      <c r="BC3225" s="2">
        <f t="shared" ref="BC3225:BC3233" si="1270">IF($C3225=0,"-",T3225/$C3225)</f>
        <v>6.2267712245334789E-4</v>
      </c>
      <c r="BD3225" s="2">
        <f t="shared" ref="BD3225:BD3233" si="1271">IF($C3225=0,"-",S3225/$C3225)</f>
        <v>4.3198225370201012E-3</v>
      </c>
      <c r="BF3225" t="s">
        <v>993</v>
      </c>
      <c r="BG3225" t="s">
        <v>3002</v>
      </c>
      <c r="BH3225" s="63"/>
      <c r="BJ3225" s="114">
        <v>55</v>
      </c>
      <c r="BK3225" s="116">
        <v>127</v>
      </c>
      <c r="BL3225" s="120">
        <f t="shared" si="1251"/>
        <v>55127</v>
      </c>
      <c r="BN3225" s="5" t="s">
        <v>3154</v>
      </c>
      <c r="CB3225" s="63">
        <v>501</v>
      </c>
      <c r="CD3225" s="63">
        <v>0</v>
      </c>
      <c r="CE3225" s="63">
        <v>0</v>
      </c>
      <c r="CO3225" s="63">
        <v>18706</v>
      </c>
      <c r="CP3225" s="63">
        <v>28851</v>
      </c>
      <c r="CQ3225" s="63">
        <v>267</v>
      </c>
      <c r="CR3225" s="63">
        <v>2118</v>
      </c>
      <c r="CS3225" s="63">
        <v>612</v>
      </c>
      <c r="CT3225" s="63">
        <v>222</v>
      </c>
      <c r="CU3225" s="63">
        <v>32</v>
      </c>
      <c r="CV3225" s="63">
        <v>0</v>
      </c>
      <c r="CW3225" s="63"/>
      <c r="CX3225" s="63">
        <f t="shared" si="1250"/>
        <v>0</v>
      </c>
      <c r="CY3225" s="63"/>
      <c r="CZ3225" s="63">
        <v>4</v>
      </c>
      <c r="DA3225" s="63"/>
      <c r="DB3225" s="63">
        <v>34</v>
      </c>
      <c r="DC3225" s="63"/>
      <c r="DD3225" s="63"/>
      <c r="DE3225" s="63"/>
      <c r="DF3225" s="63">
        <v>3</v>
      </c>
      <c r="DG3225" s="63"/>
      <c r="DH3225" s="63">
        <v>0</v>
      </c>
      <c r="DI3225" s="63"/>
      <c r="DJ3225" s="63"/>
      <c r="DK3225" s="63"/>
      <c r="DL3225" s="63"/>
      <c r="DM3225" s="63"/>
      <c r="DN3225" s="63">
        <v>0</v>
      </c>
      <c r="DO3225" s="63">
        <v>0</v>
      </c>
      <c r="DQ3225" s="63">
        <v>475</v>
      </c>
      <c r="DR3225" s="63"/>
      <c r="DS3225" s="63">
        <v>0</v>
      </c>
      <c r="DT3225" s="63">
        <v>0</v>
      </c>
    </row>
    <row r="3226" spans="1:124" hidden="1" outlineLevel="1">
      <c r="A3226" t="s">
        <v>110</v>
      </c>
      <c r="B3226" t="s">
        <v>3002</v>
      </c>
      <c r="C3226" s="1">
        <f t="shared" si="1263"/>
        <v>9193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6</v>
      </c>
      <c r="G3226" s="132">
        <f t="shared" si="1261"/>
        <v>2154</v>
      </c>
      <c r="H3226" s="137">
        <f t="shared" si="1262"/>
        <v>0.23430871315131077</v>
      </c>
      <c r="I3226" s="2"/>
      <c r="J3226" s="2">
        <f t="shared" si="1264"/>
        <v>0.35701076906341783</v>
      </c>
      <c r="K3226" s="2">
        <f t="shared" si="1265"/>
        <v>0.59131948221472863</v>
      </c>
      <c r="L3226" s="2">
        <f t="shared" si="1266"/>
        <v>3.3721309692157078E-3</v>
      </c>
      <c r="M3226" s="2">
        <f t="shared" si="1267"/>
        <v>4.8297617752637773E-2</v>
      </c>
      <c r="N3226" s="63">
        <v>3282</v>
      </c>
      <c r="O3226" s="63">
        <v>5436</v>
      </c>
      <c r="P3226" s="63">
        <v>31</v>
      </c>
      <c r="Q3226" s="63">
        <v>272</v>
      </c>
      <c r="R3226" s="63">
        <v>75</v>
      </c>
      <c r="S3226" s="63">
        <v>29</v>
      </c>
      <c r="T3226" s="63">
        <v>5</v>
      </c>
      <c r="U3226" s="63">
        <v>0</v>
      </c>
      <c r="V3226" s="63"/>
      <c r="W3226" s="63">
        <f t="shared" ref="W3226:W3232" si="1272">SUM(CB3226:CE3226)</f>
        <v>59</v>
      </c>
      <c r="X3226" s="63"/>
      <c r="Y3226" s="63">
        <v>0</v>
      </c>
      <c r="Z3226" s="63"/>
      <c r="AA3226" s="63">
        <v>3</v>
      </c>
      <c r="AB3226" s="63"/>
      <c r="AC3226" s="63"/>
      <c r="AD3226" s="63"/>
      <c r="AE3226" s="63">
        <v>0</v>
      </c>
      <c r="AF3226" s="63"/>
      <c r="AG3226" s="63">
        <v>0</v>
      </c>
      <c r="AH3226" s="63"/>
      <c r="AI3226" s="63"/>
      <c r="AJ3226" s="63"/>
      <c r="AK3226" s="63"/>
      <c r="AL3226" s="63"/>
      <c r="AM3226" s="63">
        <v>0</v>
      </c>
      <c r="AN3226" s="63">
        <v>1</v>
      </c>
      <c r="AO3226" s="63"/>
      <c r="AP3226" s="63"/>
      <c r="AQ3226" s="63"/>
      <c r="AR3226" s="63"/>
      <c r="AS3226" s="63"/>
      <c r="AT3226" s="63"/>
      <c r="AU3226" s="63"/>
      <c r="AW3226" s="5">
        <f>IF(Q3226&gt;0,RANK(Q3226,(N3226:P3226,Q3226:AE3226)),0)</f>
        <v>3</v>
      </c>
      <c r="AX3226" s="5">
        <f>IF(R3226&gt;0,RANK(R3226,(N3226:P3226,Q3226:AE3226)),0)</f>
        <v>4</v>
      </c>
      <c r="AY3226" s="5">
        <f>IF(T3226&gt;0,RANK(T3226,(N3226:P3226,Q3226:AE3226)),0)</f>
        <v>8</v>
      </c>
      <c r="AZ3226" s="5">
        <f>IF(S3226&gt;0,RANK(S3226,(N3226:P3226,Q3226:AE3226)),0)</f>
        <v>7</v>
      </c>
      <c r="BA3226" s="2">
        <f t="shared" si="1268"/>
        <v>2.9587729794408789E-2</v>
      </c>
      <c r="BB3226" s="2">
        <f t="shared" si="1269"/>
        <v>8.1583813771347758E-3</v>
      </c>
      <c r="BC3226" s="2">
        <f t="shared" si="1270"/>
        <v>5.4389209180898514E-4</v>
      </c>
      <c r="BD3226" s="2">
        <f t="shared" si="1271"/>
        <v>3.1545741324921135E-3</v>
      </c>
      <c r="BF3226" t="s">
        <v>110</v>
      </c>
      <c r="BG3226" t="s">
        <v>3002</v>
      </c>
      <c r="BH3226" s="63">
        <v>7</v>
      </c>
      <c r="BJ3226" s="114">
        <v>55</v>
      </c>
      <c r="BK3226" s="116">
        <v>129</v>
      </c>
      <c r="BL3226" s="120">
        <f t="shared" si="1251"/>
        <v>55129</v>
      </c>
      <c r="BN3226" s="5" t="s">
        <v>3154</v>
      </c>
      <c r="CB3226" s="63">
        <v>59</v>
      </c>
      <c r="CD3226" s="63">
        <v>0</v>
      </c>
      <c r="CE3226" s="63">
        <v>0</v>
      </c>
      <c r="CO3226" s="63">
        <v>3284</v>
      </c>
      <c r="CP3226" s="63">
        <v>5404</v>
      </c>
      <c r="CQ3226" s="63">
        <v>36</v>
      </c>
      <c r="CR3226" s="63">
        <v>271</v>
      </c>
      <c r="CS3226" s="63">
        <v>64</v>
      </c>
      <c r="CT3226" s="63">
        <v>26</v>
      </c>
      <c r="CU3226" s="63">
        <v>2</v>
      </c>
      <c r="CV3226" s="63">
        <v>0</v>
      </c>
      <c r="CW3226" s="63"/>
      <c r="CX3226" s="63">
        <f t="shared" ref="CX3226:CX3232" si="1273">SUM(FC3226:FF3226)</f>
        <v>0</v>
      </c>
      <c r="CY3226" s="63"/>
      <c r="CZ3226" s="63">
        <v>0</v>
      </c>
      <c r="DA3226" s="63"/>
      <c r="DB3226" s="63">
        <v>3</v>
      </c>
      <c r="DC3226" s="63"/>
      <c r="DD3226" s="63"/>
      <c r="DE3226" s="63"/>
      <c r="DF3226" s="63">
        <v>0</v>
      </c>
      <c r="DG3226" s="63"/>
      <c r="DH3226" s="63">
        <v>0</v>
      </c>
      <c r="DI3226" s="63"/>
      <c r="DJ3226" s="63"/>
      <c r="DK3226" s="63"/>
      <c r="DL3226" s="63"/>
      <c r="DM3226" s="63"/>
      <c r="DN3226" s="63">
        <v>0</v>
      </c>
      <c r="DO3226" s="63">
        <v>1</v>
      </c>
      <c r="DQ3226" s="63">
        <v>57</v>
      </c>
      <c r="DR3226" s="63"/>
      <c r="DS3226" s="63">
        <v>0</v>
      </c>
      <c r="DT3226" s="63">
        <v>0</v>
      </c>
    </row>
    <row r="3227" spans="1:124" hidden="1" outlineLevel="1">
      <c r="A3227" t="s">
        <v>692</v>
      </c>
      <c r="B3227" t="s">
        <v>3002</v>
      </c>
      <c r="C3227" s="1">
        <f t="shared" si="1263"/>
        <v>76757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5</v>
      </c>
      <c r="G3227" s="132">
        <f t="shared" si="1261"/>
        <v>30888</v>
      </c>
      <c r="H3227" s="137">
        <f t="shared" si="1262"/>
        <v>0.40241280925518191</v>
      </c>
      <c r="I3227" s="2"/>
      <c r="J3227" s="2">
        <f t="shared" si="1264"/>
        <v>0.27166251937934</v>
      </c>
      <c r="K3227" s="2">
        <f t="shared" si="1265"/>
        <v>0.67407532863452191</v>
      </c>
      <c r="L3227" s="2">
        <f t="shared" si="1266"/>
        <v>6.4098388420600078E-3</v>
      </c>
      <c r="M3227" s="2">
        <f t="shared" si="1267"/>
        <v>4.7852313144078035E-2</v>
      </c>
      <c r="N3227" s="63">
        <v>20852</v>
      </c>
      <c r="O3227" s="63">
        <v>51740</v>
      </c>
      <c r="P3227" s="63">
        <v>492</v>
      </c>
      <c r="Q3227" s="63">
        <v>2747</v>
      </c>
      <c r="R3227" s="63">
        <v>543</v>
      </c>
      <c r="S3227" s="63">
        <v>310</v>
      </c>
      <c r="T3227" s="63">
        <v>26</v>
      </c>
      <c r="U3227" s="63">
        <v>1</v>
      </c>
      <c r="V3227" s="63"/>
      <c r="W3227" s="63">
        <f t="shared" si="1272"/>
        <v>1</v>
      </c>
      <c r="X3227" s="63"/>
      <c r="Y3227" s="63">
        <v>1</v>
      </c>
      <c r="Z3227" s="63"/>
      <c r="AA3227" s="63">
        <v>36</v>
      </c>
      <c r="AB3227" s="63"/>
      <c r="AC3227" s="63"/>
      <c r="AD3227" s="63"/>
      <c r="AE3227" s="63">
        <v>1</v>
      </c>
      <c r="AF3227" s="63"/>
      <c r="AG3227" s="63">
        <v>0</v>
      </c>
      <c r="AH3227" s="63"/>
      <c r="AI3227" s="63"/>
      <c r="AJ3227" s="63"/>
      <c r="AK3227" s="63"/>
      <c r="AL3227" s="63"/>
      <c r="AM3227" s="63">
        <v>0</v>
      </c>
      <c r="AN3227" s="63">
        <v>7</v>
      </c>
      <c r="AO3227" s="63"/>
      <c r="AP3227" s="63"/>
      <c r="AQ3227" s="63"/>
      <c r="AR3227" s="63"/>
      <c r="AS3227" s="63"/>
      <c r="AT3227" s="63"/>
      <c r="AU3227" s="63"/>
      <c r="AW3227" s="5">
        <f>IF(Q3227&gt;0,RANK(Q3227,(N3227:P3227,Q3227:AE3227)),0)</f>
        <v>3</v>
      </c>
      <c r="AX3227" s="5">
        <f>IF(R3227&gt;0,RANK(R3227,(N3227:P3227,Q3227:AE3227)),0)</f>
        <v>4</v>
      </c>
      <c r="AY3227" s="5">
        <f>IF(T3227&gt;0,RANK(T3227,(N3227:P3227,Q3227:AE3227)),0)</f>
        <v>8</v>
      </c>
      <c r="AZ3227" s="5">
        <f>IF(S3227&gt;0,RANK(S3227,(N3227:P3227,Q3227:AE3227)),0)</f>
        <v>6</v>
      </c>
      <c r="BA3227" s="2">
        <f t="shared" si="1268"/>
        <v>3.5788266868168377E-2</v>
      </c>
      <c r="BB3227" s="2">
        <f t="shared" si="1269"/>
        <v>7.0742733561759835E-3</v>
      </c>
      <c r="BC3227" s="2">
        <f t="shared" si="1270"/>
        <v>3.3873132092187034E-4</v>
      </c>
      <c r="BD3227" s="2">
        <f t="shared" si="1271"/>
        <v>4.038719595606915E-3</v>
      </c>
      <c r="BF3227" t="s">
        <v>692</v>
      </c>
      <c r="BG3227" t="s">
        <v>3002</v>
      </c>
      <c r="BH3227" s="63">
        <v>5</v>
      </c>
      <c r="BJ3227" s="114">
        <v>55</v>
      </c>
      <c r="BK3227" s="116">
        <v>131</v>
      </c>
      <c r="BL3227" s="120">
        <f t="shared" si="1251"/>
        <v>55131</v>
      </c>
      <c r="BN3227" s="5" t="s">
        <v>3154</v>
      </c>
      <c r="CB3227" s="63">
        <v>0</v>
      </c>
      <c r="CD3227" s="63">
        <v>1</v>
      </c>
      <c r="CE3227" s="63">
        <v>0</v>
      </c>
      <c r="CO3227" s="63">
        <v>20855</v>
      </c>
      <c r="CP3227" s="63">
        <v>51729</v>
      </c>
      <c r="CQ3227" s="63">
        <v>439</v>
      </c>
      <c r="CR3227" s="63">
        <v>2745</v>
      </c>
      <c r="CS3227" s="63">
        <v>548</v>
      </c>
      <c r="CT3227" s="63">
        <v>309</v>
      </c>
      <c r="CU3227" s="63">
        <v>25</v>
      </c>
      <c r="CV3227" s="63">
        <v>1</v>
      </c>
      <c r="CW3227" s="63"/>
      <c r="CX3227" s="63">
        <f t="shared" si="1273"/>
        <v>0</v>
      </c>
      <c r="CY3227" s="63"/>
      <c r="CZ3227" s="63">
        <v>1</v>
      </c>
      <c r="DA3227" s="63"/>
      <c r="DB3227" s="63">
        <v>36</v>
      </c>
      <c r="DC3227" s="63"/>
      <c r="DD3227" s="63"/>
      <c r="DE3227" s="63"/>
      <c r="DF3227" s="63">
        <v>1</v>
      </c>
      <c r="DG3227" s="63"/>
      <c r="DH3227" s="63">
        <v>2</v>
      </c>
      <c r="DI3227" s="63"/>
      <c r="DJ3227" s="63"/>
      <c r="DK3227" s="63"/>
      <c r="DL3227" s="63"/>
      <c r="DM3227" s="63"/>
      <c r="DN3227" s="63">
        <v>0</v>
      </c>
      <c r="DO3227" s="63">
        <v>7</v>
      </c>
      <c r="DQ3227" s="63">
        <v>1305</v>
      </c>
      <c r="DR3227" s="63"/>
      <c r="DS3227" s="63">
        <v>0</v>
      </c>
      <c r="DT3227" s="63">
        <v>0</v>
      </c>
    </row>
    <row r="3228" spans="1:124" hidden="1" outlineLevel="1">
      <c r="A3228" t="s">
        <v>251</v>
      </c>
      <c r="B3228" t="s">
        <v>3002</v>
      </c>
      <c r="C3228" s="1">
        <f t="shared" si="1263"/>
        <v>237593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5</v>
      </c>
      <c r="G3228" s="132">
        <f t="shared" si="1261"/>
        <v>63319</v>
      </c>
      <c r="H3228" s="137">
        <f t="shared" si="1262"/>
        <v>0.26650195923280567</v>
      </c>
      <c r="I3228" s="2"/>
      <c r="J3228" s="2">
        <f t="shared" si="1264"/>
        <v>0.33344416712613589</v>
      </c>
      <c r="K3228" s="2">
        <f t="shared" si="1265"/>
        <v>0.59994612635894151</v>
      </c>
      <c r="L3228" s="2">
        <f t="shared" si="1266"/>
        <v>7.184555100529056E-3</v>
      </c>
      <c r="M3228" s="2">
        <f t="shared" si="1267"/>
        <v>5.9425151414393543E-2</v>
      </c>
      <c r="N3228" s="63">
        <v>79224</v>
      </c>
      <c r="O3228" s="63">
        <v>142543</v>
      </c>
      <c r="P3228" s="63">
        <v>1707</v>
      </c>
      <c r="Q3228" s="63">
        <v>8897</v>
      </c>
      <c r="R3228" s="63">
        <v>1673</v>
      </c>
      <c r="S3228" s="63">
        <v>839</v>
      </c>
      <c r="T3228" s="63">
        <v>82</v>
      </c>
      <c r="U3228" s="63">
        <v>1</v>
      </c>
      <c r="V3228" s="63"/>
      <c r="W3228" s="63">
        <f t="shared" si="1272"/>
        <v>2535</v>
      </c>
      <c r="X3228" s="63"/>
      <c r="Y3228" s="63">
        <v>4</v>
      </c>
      <c r="Z3228" s="63"/>
      <c r="AA3228" s="63">
        <v>64</v>
      </c>
      <c r="AB3228" s="63"/>
      <c r="AC3228" s="63"/>
      <c r="AD3228" s="63"/>
      <c r="AE3228" s="63">
        <v>2</v>
      </c>
      <c r="AF3228" s="63"/>
      <c r="AG3228" s="63">
        <v>2</v>
      </c>
      <c r="AH3228" s="63"/>
      <c r="AI3228" s="63"/>
      <c r="AJ3228" s="63"/>
      <c r="AK3228" s="63"/>
      <c r="AL3228" s="63"/>
      <c r="AM3228" s="63">
        <v>0</v>
      </c>
      <c r="AN3228" s="63">
        <v>20</v>
      </c>
      <c r="AO3228" s="63"/>
      <c r="AP3228" s="63"/>
      <c r="AQ3228" s="63"/>
      <c r="AR3228" s="63"/>
      <c r="AS3228" s="63"/>
      <c r="AT3228" s="63"/>
      <c r="AU3228" s="63"/>
      <c r="AW3228" s="5">
        <f>IF(Q3228&gt;0,RANK(Q3228,(N3228:P3228,Q3228:AE3228)),0)</f>
        <v>3</v>
      </c>
      <c r="AX3228" s="5">
        <f>IF(R3228&gt;0,RANK(R3228,(N3228:P3228,Q3228:AE3228)),0)</f>
        <v>6</v>
      </c>
      <c r="AY3228" s="5">
        <f>IF(T3228&gt;0,RANK(T3228,(N3228:P3228,Q3228:AE3228)),0)</f>
        <v>8</v>
      </c>
      <c r="AZ3228" s="5">
        <f>IF(S3228&gt;0,RANK(S3228,(N3228:P3228,Q3228:AE3228)),0)</f>
        <v>7</v>
      </c>
      <c r="BA3228" s="2">
        <f t="shared" si="1268"/>
        <v>3.744638941382953E-2</v>
      </c>
      <c r="BB3228" s="2">
        <f t="shared" si="1269"/>
        <v>7.0414532414675513E-3</v>
      </c>
      <c r="BC3228" s="2">
        <f t="shared" si="1270"/>
        <v>3.4512801303068693E-4</v>
      </c>
      <c r="BD3228" s="2">
        <f t="shared" si="1271"/>
        <v>3.5312488162530043E-3</v>
      </c>
      <c r="BF3228" t="s">
        <v>251</v>
      </c>
      <c r="BG3228" t="s">
        <v>3002</v>
      </c>
      <c r="BH3228" s="63"/>
      <c r="BJ3228" s="114">
        <v>55</v>
      </c>
      <c r="BK3228" s="116">
        <v>133</v>
      </c>
      <c r="BL3228" s="120">
        <f t="shared" si="1251"/>
        <v>55133</v>
      </c>
      <c r="BN3228" s="5" t="s">
        <v>3154</v>
      </c>
      <c r="CB3228" s="63">
        <v>2534</v>
      </c>
      <c r="CD3228" s="63">
        <v>1</v>
      </c>
      <c r="CE3228" s="63">
        <v>0</v>
      </c>
      <c r="CO3228" s="63">
        <v>79200</v>
      </c>
      <c r="CP3228" s="63">
        <v>142521</v>
      </c>
      <c r="CQ3228" s="63">
        <v>1421</v>
      </c>
      <c r="CR3228" s="63">
        <v>8891</v>
      </c>
      <c r="CS3228" s="63">
        <v>1674</v>
      </c>
      <c r="CT3228" s="63">
        <v>840</v>
      </c>
      <c r="CU3228" s="63">
        <v>83</v>
      </c>
      <c r="CV3228" s="63">
        <v>1</v>
      </c>
      <c r="CW3228" s="63"/>
      <c r="CX3228" s="63">
        <f t="shared" si="1273"/>
        <v>0</v>
      </c>
      <c r="CY3228" s="63"/>
      <c r="CZ3228" s="63">
        <v>4</v>
      </c>
      <c r="DA3228" s="63"/>
      <c r="DB3228" s="63">
        <v>64</v>
      </c>
      <c r="DC3228" s="63"/>
      <c r="DD3228" s="63"/>
      <c r="DE3228" s="63"/>
      <c r="DF3228" s="63">
        <v>0</v>
      </c>
      <c r="DG3228" s="63"/>
      <c r="DH3228" s="63">
        <v>1</v>
      </c>
      <c r="DI3228" s="63"/>
      <c r="DJ3228" s="63"/>
      <c r="DK3228" s="63"/>
      <c r="DL3228" s="63"/>
      <c r="DM3228" s="63"/>
      <c r="DN3228" s="63">
        <v>0</v>
      </c>
      <c r="DO3228" s="63">
        <v>20</v>
      </c>
      <c r="DQ3228" s="63">
        <v>4319</v>
      </c>
      <c r="DR3228" s="63"/>
      <c r="DS3228" s="63">
        <v>3</v>
      </c>
      <c r="DT3228" s="63">
        <v>0</v>
      </c>
    </row>
    <row r="3229" spans="1:124" hidden="1" outlineLevel="1">
      <c r="A3229" t="s">
        <v>1830</v>
      </c>
      <c r="B3229" t="s">
        <v>3002</v>
      </c>
      <c r="C3229" s="1">
        <f t="shared" si="1263"/>
        <v>26095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7</v>
      </c>
      <c r="G3229" s="132">
        <f t="shared" si="1261"/>
        <v>7758</v>
      </c>
      <c r="H3229" s="137">
        <f t="shared" si="1262"/>
        <v>0.29729833301398734</v>
      </c>
      <c r="I3229" s="2"/>
      <c r="J3229" s="2">
        <f t="shared" si="1264"/>
        <v>0.32385514466372867</v>
      </c>
      <c r="K3229" s="2">
        <f t="shared" si="1265"/>
        <v>0.621153477677716</v>
      </c>
      <c r="L3229" s="2">
        <f t="shared" si="1266"/>
        <v>2.6441847097145046E-3</v>
      </c>
      <c r="M3229" s="2">
        <f t="shared" si="1267"/>
        <v>5.2347192948840826E-2</v>
      </c>
      <c r="N3229" s="63">
        <v>8451</v>
      </c>
      <c r="O3229" s="63">
        <v>16209</v>
      </c>
      <c r="P3229" s="63">
        <v>69</v>
      </c>
      <c r="Q3229" s="63">
        <v>801</v>
      </c>
      <c r="R3229" s="63">
        <v>242</v>
      </c>
      <c r="S3229" s="63">
        <v>113</v>
      </c>
      <c r="T3229" s="63">
        <v>14</v>
      </c>
      <c r="U3229" s="63">
        <v>2</v>
      </c>
      <c r="V3229" s="63"/>
      <c r="W3229" s="63">
        <f t="shared" si="1272"/>
        <v>170</v>
      </c>
      <c r="X3229" s="63"/>
      <c r="Y3229" s="63">
        <v>1</v>
      </c>
      <c r="Z3229" s="63"/>
      <c r="AA3229" s="63">
        <v>18</v>
      </c>
      <c r="AB3229" s="63"/>
      <c r="AC3229" s="63"/>
      <c r="AD3229" s="63"/>
      <c r="AE3229" s="63">
        <v>0</v>
      </c>
      <c r="AF3229" s="63"/>
      <c r="AG3229" s="63">
        <v>2</v>
      </c>
      <c r="AH3229" s="63"/>
      <c r="AI3229" s="63"/>
      <c r="AJ3229" s="63"/>
      <c r="AK3229" s="63"/>
      <c r="AL3229" s="63"/>
      <c r="AM3229" s="63">
        <v>0</v>
      </c>
      <c r="AN3229" s="63">
        <v>3</v>
      </c>
      <c r="AO3229" s="63"/>
      <c r="AP3229" s="63"/>
      <c r="AQ3229" s="63"/>
      <c r="AR3229" s="63"/>
      <c r="AS3229" s="63"/>
      <c r="AT3229" s="63"/>
      <c r="AU3229" s="63"/>
      <c r="AW3229" s="5">
        <f>IF(Q3229&gt;0,RANK(Q3229,(N3229:P3229,Q3229:AE3229)),0)</f>
        <v>3</v>
      </c>
      <c r="AX3229" s="5">
        <f>IF(R3229&gt;0,RANK(R3229,(N3229:P3229,Q3229:AE3229)),0)</f>
        <v>4</v>
      </c>
      <c r="AY3229" s="5">
        <f>IF(T3229&gt;0,RANK(T3229,(N3229:P3229,Q3229:AE3229)),0)</f>
        <v>9</v>
      </c>
      <c r="AZ3229" s="5">
        <f>IF(S3229&gt;0,RANK(S3229,(N3229:P3229,Q3229:AE3229)),0)</f>
        <v>6</v>
      </c>
      <c r="BA3229" s="2">
        <f t="shared" si="1268"/>
        <v>3.069553554320751E-2</v>
      </c>
      <c r="BB3229" s="2">
        <f t="shared" si="1269"/>
        <v>9.2738072427668138E-3</v>
      </c>
      <c r="BC3229" s="2">
        <f t="shared" si="1270"/>
        <v>5.3650124544931982E-4</v>
      </c>
      <c r="BD3229" s="2">
        <f t="shared" si="1271"/>
        <v>4.330331481126653E-3</v>
      </c>
      <c r="BF3229" t="s">
        <v>1830</v>
      </c>
      <c r="BG3229" t="s">
        <v>3002</v>
      </c>
      <c r="BH3229" s="63">
        <v>8</v>
      </c>
      <c r="BJ3229" s="114">
        <v>55</v>
      </c>
      <c r="BK3229" s="116">
        <v>135</v>
      </c>
      <c r="BL3229" s="120">
        <f t="shared" si="1251"/>
        <v>55135</v>
      </c>
      <c r="BN3229" s="5" t="s">
        <v>3154</v>
      </c>
      <c r="CB3229" s="63">
        <v>170</v>
      </c>
      <c r="CD3229" s="63">
        <v>0</v>
      </c>
      <c r="CE3229" s="63">
        <v>0</v>
      </c>
      <c r="CO3229" s="63">
        <v>8440</v>
      </c>
      <c r="CP3229" s="63">
        <v>16189</v>
      </c>
      <c r="CQ3229" s="63">
        <v>52</v>
      </c>
      <c r="CR3229" s="63">
        <v>800</v>
      </c>
      <c r="CS3229" s="63">
        <v>240</v>
      </c>
      <c r="CT3229" s="63">
        <v>109</v>
      </c>
      <c r="CU3229" s="63">
        <v>18</v>
      </c>
      <c r="CV3229" s="63">
        <v>0</v>
      </c>
      <c r="CW3229" s="63"/>
      <c r="CX3229" s="63">
        <f t="shared" si="1273"/>
        <v>0</v>
      </c>
      <c r="CY3229" s="63"/>
      <c r="CZ3229" s="63">
        <v>0</v>
      </c>
      <c r="DA3229" s="63"/>
      <c r="DB3229" s="63">
        <v>18</v>
      </c>
      <c r="DC3229" s="63"/>
      <c r="DD3229" s="63"/>
      <c r="DE3229" s="63"/>
      <c r="DF3229" s="63">
        <v>0</v>
      </c>
      <c r="DG3229" s="63"/>
      <c r="DH3229" s="63">
        <v>1</v>
      </c>
      <c r="DI3229" s="63"/>
      <c r="DJ3229" s="63"/>
      <c r="DK3229" s="63"/>
      <c r="DL3229" s="63"/>
      <c r="DM3229" s="63"/>
      <c r="DN3229" s="63">
        <v>0</v>
      </c>
      <c r="DO3229" s="63">
        <v>0</v>
      </c>
      <c r="DQ3229" s="63">
        <v>157</v>
      </c>
      <c r="DR3229" s="63"/>
      <c r="DS3229" s="63">
        <v>0</v>
      </c>
      <c r="DT3229" s="63">
        <v>0</v>
      </c>
    </row>
    <row r="3230" spans="1:124" hidden="1" outlineLevel="1">
      <c r="A3230" t="s">
        <v>2903</v>
      </c>
      <c r="B3230" t="s">
        <v>3002</v>
      </c>
      <c r="C3230" s="1">
        <f t="shared" si="1263"/>
        <v>12074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7</v>
      </c>
      <c r="G3230" s="132">
        <f t="shared" si="1261"/>
        <v>3876</v>
      </c>
      <c r="H3230" s="137">
        <f t="shared" si="1262"/>
        <v>0.32102037435812492</v>
      </c>
      <c r="I3230" s="2"/>
      <c r="J3230" s="2">
        <f t="shared" si="1264"/>
        <v>0.31398045386781515</v>
      </c>
      <c r="K3230" s="2">
        <f t="shared" si="1265"/>
        <v>0.63500082822594006</v>
      </c>
      <c r="L3230" s="2">
        <f t="shared" si="1266"/>
        <v>3.0644359781348352E-3</v>
      </c>
      <c r="M3230" s="2">
        <f t="shared" si="1267"/>
        <v>4.7954281928109958E-2</v>
      </c>
      <c r="N3230" s="63">
        <v>3791</v>
      </c>
      <c r="O3230" s="63">
        <v>7667</v>
      </c>
      <c r="P3230" s="63">
        <v>37</v>
      </c>
      <c r="Q3230" s="63">
        <v>326</v>
      </c>
      <c r="R3230" s="63">
        <v>96</v>
      </c>
      <c r="S3230" s="63">
        <v>68</v>
      </c>
      <c r="T3230" s="63">
        <v>7</v>
      </c>
      <c r="U3230" s="63">
        <v>0</v>
      </c>
      <c r="V3230" s="63"/>
      <c r="W3230" s="63">
        <f t="shared" si="1272"/>
        <v>73</v>
      </c>
      <c r="X3230" s="63"/>
      <c r="Y3230" s="63">
        <v>0</v>
      </c>
      <c r="Z3230" s="63"/>
      <c r="AA3230" s="63">
        <v>9</v>
      </c>
      <c r="AB3230" s="63"/>
      <c r="AC3230" s="63"/>
      <c r="AD3230" s="63"/>
      <c r="AE3230" s="63">
        <v>0</v>
      </c>
      <c r="AF3230" s="63"/>
      <c r="AG3230" s="63">
        <v>0</v>
      </c>
      <c r="AH3230" s="63"/>
      <c r="AI3230" s="63"/>
      <c r="AJ3230" s="63"/>
      <c r="AK3230" s="63"/>
      <c r="AL3230" s="63"/>
      <c r="AM3230" s="63">
        <v>0</v>
      </c>
      <c r="AN3230" s="63">
        <v>0</v>
      </c>
      <c r="AO3230" s="63"/>
      <c r="AP3230" s="63"/>
      <c r="AQ3230" s="63"/>
      <c r="AR3230" s="63"/>
      <c r="AS3230" s="63"/>
      <c r="AT3230" s="63"/>
      <c r="AU3230" s="63"/>
      <c r="AW3230" s="5">
        <f>IF(Q3230&gt;0,RANK(Q3230,(N3230:P3230,Q3230:AE3230)),0)</f>
        <v>3</v>
      </c>
      <c r="AX3230" s="5">
        <f>IF(R3230&gt;0,RANK(R3230,(N3230:P3230,Q3230:AE3230)),0)</f>
        <v>4</v>
      </c>
      <c r="AY3230" s="5">
        <f>IF(T3230&gt;0,RANK(T3230,(N3230:P3230,Q3230:AE3230)),0)</f>
        <v>9</v>
      </c>
      <c r="AZ3230" s="5">
        <f>IF(S3230&gt;0,RANK(S3230,(N3230:P3230,Q3230:AE3230)),0)</f>
        <v>6</v>
      </c>
      <c r="BA3230" s="2">
        <f t="shared" si="1268"/>
        <v>2.7000165645188007E-2</v>
      </c>
      <c r="BB3230" s="2">
        <f t="shared" si="1269"/>
        <v>7.950969024349842E-3</v>
      </c>
      <c r="BC3230" s="2">
        <f t="shared" si="1270"/>
        <v>5.7975815802550933E-4</v>
      </c>
      <c r="BD3230" s="2">
        <f t="shared" si="1271"/>
        <v>5.6319363922478051E-3</v>
      </c>
      <c r="BF3230" t="s">
        <v>2903</v>
      </c>
      <c r="BG3230" t="s">
        <v>3002</v>
      </c>
      <c r="BH3230" s="63">
        <v>6</v>
      </c>
      <c r="BJ3230" s="114">
        <v>55</v>
      </c>
      <c r="BK3230" s="116">
        <v>137</v>
      </c>
      <c r="BL3230" s="120">
        <f t="shared" si="1251"/>
        <v>55137</v>
      </c>
      <c r="BN3230" s="5" t="s">
        <v>3154</v>
      </c>
      <c r="CB3230" s="63">
        <v>73</v>
      </c>
      <c r="CD3230" s="63">
        <v>0</v>
      </c>
      <c r="CE3230" s="63">
        <v>0</v>
      </c>
      <c r="CO3230" s="63">
        <v>3792</v>
      </c>
      <c r="CP3230" s="63">
        <v>7669</v>
      </c>
      <c r="CQ3230" s="63">
        <v>32</v>
      </c>
      <c r="CR3230" s="63">
        <v>326</v>
      </c>
      <c r="CS3230" s="63">
        <v>96</v>
      </c>
      <c r="CT3230" s="63">
        <v>68</v>
      </c>
      <c r="CU3230" s="63">
        <v>7</v>
      </c>
      <c r="CV3230" s="63">
        <v>0</v>
      </c>
      <c r="CW3230" s="63"/>
      <c r="CX3230" s="63">
        <f t="shared" si="1273"/>
        <v>0</v>
      </c>
      <c r="CY3230" s="63"/>
      <c r="CZ3230" s="63">
        <v>0</v>
      </c>
      <c r="DA3230" s="63"/>
      <c r="DB3230" s="63">
        <v>9</v>
      </c>
      <c r="DC3230" s="63"/>
      <c r="DD3230" s="63"/>
      <c r="DE3230" s="63"/>
      <c r="DF3230" s="63">
        <v>0</v>
      </c>
      <c r="DG3230" s="63"/>
      <c r="DH3230" s="63">
        <v>0</v>
      </c>
      <c r="DI3230" s="63"/>
      <c r="DJ3230" s="63"/>
      <c r="DK3230" s="63"/>
      <c r="DL3230" s="63"/>
      <c r="DM3230" s="63"/>
      <c r="DN3230" s="63">
        <v>0</v>
      </c>
      <c r="DO3230" s="63">
        <v>0</v>
      </c>
      <c r="DQ3230" s="63">
        <v>0</v>
      </c>
      <c r="DR3230" s="63"/>
      <c r="DS3230" s="63">
        <v>0</v>
      </c>
      <c r="DT3230" s="63">
        <v>0</v>
      </c>
    </row>
    <row r="3231" spans="1:124" hidden="1" outlineLevel="1">
      <c r="A3231" t="s">
        <v>1617</v>
      </c>
      <c r="B3231" t="s">
        <v>3002</v>
      </c>
      <c r="C3231" s="1">
        <f t="shared" si="1263"/>
        <v>87135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7</v>
      </c>
      <c r="G3231" s="132">
        <f t="shared" si="1261"/>
        <v>6398</v>
      </c>
      <c r="H3231" s="137">
        <f t="shared" si="1262"/>
        <v>7.3426292534572793E-2</v>
      </c>
      <c r="I3231" s="2"/>
      <c r="J3231" s="2">
        <f t="shared" si="1264"/>
        <v>0.42516784300223792</v>
      </c>
      <c r="K3231" s="2">
        <f t="shared" si="1265"/>
        <v>0.4985941355368107</v>
      </c>
      <c r="L3231" s="2">
        <f t="shared" si="1266"/>
        <v>3.9134676077351238E-3</v>
      </c>
      <c r="M3231" s="2">
        <f t="shared" si="1267"/>
        <v>7.2324553853216303E-2</v>
      </c>
      <c r="N3231" s="63">
        <v>37047</v>
      </c>
      <c r="O3231" s="63">
        <v>43445</v>
      </c>
      <c r="P3231" s="63">
        <v>341</v>
      </c>
      <c r="Q3231" s="63">
        <v>3818</v>
      </c>
      <c r="R3231" s="63">
        <v>1063</v>
      </c>
      <c r="S3231" s="63">
        <v>396</v>
      </c>
      <c r="T3231" s="63">
        <v>60</v>
      </c>
      <c r="U3231" s="63">
        <v>1</v>
      </c>
      <c r="V3231" s="63"/>
      <c r="W3231" s="63">
        <f t="shared" si="1272"/>
        <v>908</v>
      </c>
      <c r="X3231" s="63"/>
      <c r="Y3231" s="63">
        <v>4</v>
      </c>
      <c r="Z3231" s="63"/>
      <c r="AA3231" s="63">
        <v>49</v>
      </c>
      <c r="AB3231" s="63"/>
      <c r="AC3231" s="63"/>
      <c r="AD3231" s="63"/>
      <c r="AE3231" s="63">
        <v>0</v>
      </c>
      <c r="AF3231" s="63"/>
      <c r="AG3231" s="63">
        <v>0</v>
      </c>
      <c r="AH3231" s="63"/>
      <c r="AI3231" s="63"/>
      <c r="AJ3231" s="63"/>
      <c r="AK3231" s="63"/>
      <c r="AL3231" s="63"/>
      <c r="AM3231" s="63">
        <v>0</v>
      </c>
      <c r="AN3231" s="63">
        <v>3</v>
      </c>
      <c r="AO3231" s="63"/>
      <c r="AP3231" s="63"/>
      <c r="AQ3231" s="63"/>
      <c r="AR3231" s="63"/>
      <c r="AS3231" s="63"/>
      <c r="AT3231" s="63"/>
      <c r="AU3231" s="63"/>
      <c r="AW3231" s="5">
        <f>IF(Q3231&gt;0,RANK(Q3231,(N3231:P3231,Q3231:AE3231)),0)</f>
        <v>3</v>
      </c>
      <c r="AX3231" s="5">
        <f>IF(R3231&gt;0,RANK(R3231,(N3231:P3231,Q3231:AE3231)),0)</f>
        <v>4</v>
      </c>
      <c r="AY3231" s="5">
        <f>IF(T3231&gt;0,RANK(T3231,(N3231:P3231,Q3231:AE3231)),0)</f>
        <v>8</v>
      </c>
      <c r="AZ3231" s="5">
        <f>IF(S3231&gt;0,RANK(S3231,(N3231:P3231,Q3231:AE3231)),0)</f>
        <v>6</v>
      </c>
      <c r="BA3231" s="2">
        <f t="shared" si="1268"/>
        <v>4.381706547311643E-2</v>
      </c>
      <c r="BB3231" s="2">
        <f t="shared" si="1269"/>
        <v>1.219946060710392E-2</v>
      </c>
      <c r="BC3231" s="2">
        <f t="shared" si="1270"/>
        <v>6.885866758478223E-4</v>
      </c>
      <c r="BD3231" s="2">
        <f t="shared" si="1271"/>
        <v>4.5446720605956271E-3</v>
      </c>
      <c r="BF3231" t="s">
        <v>1617</v>
      </c>
      <c r="BG3231" t="s">
        <v>3002</v>
      </c>
      <c r="BH3231" s="63"/>
      <c r="BJ3231" s="114">
        <v>55</v>
      </c>
      <c r="BK3231" s="116">
        <v>139</v>
      </c>
      <c r="BL3231" s="120">
        <f t="shared" si="1251"/>
        <v>55139</v>
      </c>
      <c r="BN3231" s="5" t="s">
        <v>3154</v>
      </c>
      <c r="CB3231" s="63">
        <v>908</v>
      </c>
      <c r="CD3231" s="63">
        <v>0</v>
      </c>
      <c r="CE3231" s="63">
        <v>0</v>
      </c>
      <c r="CO3231" s="63">
        <v>37054</v>
      </c>
      <c r="CP3231" s="63">
        <v>43448</v>
      </c>
      <c r="CQ3231" s="63">
        <v>307</v>
      </c>
      <c r="CR3231" s="63">
        <v>3820</v>
      </c>
      <c r="CS3231" s="63">
        <v>1063</v>
      </c>
      <c r="CT3231" s="63">
        <v>397</v>
      </c>
      <c r="CU3231" s="63">
        <v>62</v>
      </c>
      <c r="CV3231" s="63">
        <v>0</v>
      </c>
      <c r="CW3231" s="63"/>
      <c r="CX3231" s="63">
        <f t="shared" si="1273"/>
        <v>0</v>
      </c>
      <c r="CY3231" s="63"/>
      <c r="CZ3231" s="63">
        <v>3</v>
      </c>
      <c r="DA3231" s="63"/>
      <c r="DB3231" s="63">
        <v>49</v>
      </c>
      <c r="DC3231" s="63"/>
      <c r="DD3231" s="63"/>
      <c r="DE3231" s="63"/>
      <c r="DF3231" s="63">
        <v>0</v>
      </c>
      <c r="DG3231" s="63"/>
      <c r="DH3231" s="63">
        <v>1</v>
      </c>
      <c r="DI3231" s="63"/>
      <c r="DJ3231" s="63"/>
      <c r="DK3231" s="63"/>
      <c r="DL3231" s="63"/>
      <c r="DM3231" s="63"/>
      <c r="DN3231" s="63">
        <v>0</v>
      </c>
      <c r="DO3231" s="63">
        <v>6</v>
      </c>
      <c r="DQ3231" s="63">
        <v>934</v>
      </c>
      <c r="DR3231" s="63"/>
      <c r="DS3231" s="63">
        <v>0</v>
      </c>
      <c r="DT3231" s="63">
        <v>0</v>
      </c>
    </row>
    <row r="3232" spans="1:124" hidden="1" outlineLevel="1">
      <c r="A3232" t="s">
        <v>331</v>
      </c>
      <c r="B3232" t="s">
        <v>3002</v>
      </c>
      <c r="C3232" s="1">
        <f t="shared" si="1263"/>
        <v>37818</v>
      </c>
      <c r="D3232" s="5">
        <f>IF(N3232&gt;0, RANK(N3232,(N3232:P3232,Q3232:AE3232)),0)</f>
        <v>2</v>
      </c>
      <c r="E3232" s="5">
        <f>IF(O3232&gt;0,RANK(O3232,(N3232:P3232,Q3232:AE3232)),0)</f>
        <v>1</v>
      </c>
      <c r="F3232" s="5">
        <f>IF(P3232&gt;0,RANK(P3232,(N3232:P3232,Q3232:AE3232)),0)</f>
        <v>6</v>
      </c>
      <c r="G3232" s="132">
        <f t="shared" si="1261"/>
        <v>7273</v>
      </c>
      <c r="H3232" s="137">
        <f t="shared" si="1262"/>
        <v>0.1923158284414829</v>
      </c>
      <c r="I3232" s="2"/>
      <c r="J3232" s="2">
        <f t="shared" si="1264"/>
        <v>0.37614363530593897</v>
      </c>
      <c r="K3232" s="2">
        <f t="shared" si="1265"/>
        <v>0.56845946374742184</v>
      </c>
      <c r="L3232" s="2">
        <f t="shared" si="1266"/>
        <v>2.8557829604950024E-3</v>
      </c>
      <c r="M3232" s="2">
        <f t="shared" si="1267"/>
        <v>5.2541117986144178E-2</v>
      </c>
      <c r="N3232" s="63">
        <v>14225</v>
      </c>
      <c r="O3232" s="63">
        <v>21498</v>
      </c>
      <c r="P3232" s="63">
        <v>108</v>
      </c>
      <c r="Q3232" s="63">
        <v>1365</v>
      </c>
      <c r="R3232" s="63">
        <v>393</v>
      </c>
      <c r="S3232" s="63">
        <v>180</v>
      </c>
      <c r="T3232" s="63">
        <v>14</v>
      </c>
      <c r="U3232" s="63">
        <v>1</v>
      </c>
      <c r="V3232" s="63"/>
      <c r="W3232" s="63">
        <f t="shared" si="1272"/>
        <v>0</v>
      </c>
      <c r="X3232" s="63"/>
      <c r="Y3232" s="63">
        <v>1</v>
      </c>
      <c r="Z3232" s="63"/>
      <c r="AA3232" s="63">
        <v>26</v>
      </c>
      <c r="AB3232" s="63"/>
      <c r="AC3232" s="63"/>
      <c r="AD3232" s="63"/>
      <c r="AE3232" s="63">
        <v>0</v>
      </c>
      <c r="AF3232" s="63"/>
      <c r="AG3232" s="63">
        <v>2</v>
      </c>
      <c r="AH3232" s="63"/>
      <c r="AI3232" s="63"/>
      <c r="AJ3232" s="63"/>
      <c r="AK3232" s="63"/>
      <c r="AL3232" s="63"/>
      <c r="AM3232" s="63">
        <v>0</v>
      </c>
      <c r="AN3232" s="63">
        <v>5</v>
      </c>
      <c r="AO3232" s="63"/>
      <c r="AP3232" s="63"/>
      <c r="AQ3232" s="63"/>
      <c r="AR3232" s="63"/>
      <c r="AS3232" s="63"/>
      <c r="AT3232" s="63"/>
      <c r="AU3232" s="63"/>
      <c r="AW3232" s="5">
        <f>IF(Q3232&gt;0,RANK(Q3232,(N3232:P3232,Q3232:AE3232)),0)</f>
        <v>3</v>
      </c>
      <c r="AX3232" s="5">
        <f>IF(R3232&gt;0,RANK(R3232,(N3232:P3232,Q3232:AE3232)),0)</f>
        <v>4</v>
      </c>
      <c r="AY3232" s="5">
        <f>IF(T3232&gt;0,RANK(T3232,(N3232:P3232,Q3232:AE3232)),0)</f>
        <v>8</v>
      </c>
      <c r="AZ3232" s="5">
        <f>IF(S3232&gt;0,RANK(S3232,(N3232:P3232,Q3232:AE3232)),0)</f>
        <v>5</v>
      </c>
      <c r="BA3232" s="2">
        <f t="shared" si="1268"/>
        <v>3.6093923528478504E-2</v>
      </c>
      <c r="BB3232" s="2">
        <f t="shared" si="1269"/>
        <v>1.0391876884023481E-2</v>
      </c>
      <c r="BC3232" s="2">
        <f t="shared" si="1270"/>
        <v>3.7019408747157438E-4</v>
      </c>
      <c r="BD3232" s="2">
        <f t="shared" si="1271"/>
        <v>4.7596382674916704E-3</v>
      </c>
      <c r="BF3232" t="s">
        <v>331</v>
      </c>
      <c r="BG3232" t="s">
        <v>3002</v>
      </c>
      <c r="BH3232" s="63"/>
      <c r="BJ3232" s="114">
        <v>55</v>
      </c>
      <c r="BK3232" s="116">
        <v>141</v>
      </c>
      <c r="BL3232" s="120">
        <f t="shared" si="1251"/>
        <v>55141</v>
      </c>
      <c r="BN3232" s="5" t="s">
        <v>3154</v>
      </c>
      <c r="CB3232" s="63">
        <v>0</v>
      </c>
      <c r="CD3232" s="63">
        <v>0</v>
      </c>
      <c r="CE3232" s="63">
        <v>0</v>
      </c>
      <c r="CO3232" s="63">
        <v>14232</v>
      </c>
      <c r="CP3232" s="63">
        <v>21503</v>
      </c>
      <c r="CQ3232" s="63">
        <v>76</v>
      </c>
      <c r="CR3232" s="63">
        <v>1365</v>
      </c>
      <c r="CS3232" s="63">
        <v>392</v>
      </c>
      <c r="CT3232" s="63">
        <v>181</v>
      </c>
      <c r="CU3232" s="63">
        <v>14</v>
      </c>
      <c r="CV3232" s="63">
        <v>1</v>
      </c>
      <c r="CW3232" s="63"/>
      <c r="CX3232" s="63">
        <f t="shared" si="1273"/>
        <v>0</v>
      </c>
      <c r="CY3232" s="63"/>
      <c r="CZ3232" s="63">
        <v>1</v>
      </c>
      <c r="DA3232" s="63"/>
      <c r="DB3232" s="63">
        <v>27</v>
      </c>
      <c r="DC3232" s="63"/>
      <c r="DD3232" s="63"/>
      <c r="DE3232" s="63"/>
      <c r="DF3232" s="63">
        <v>0</v>
      </c>
      <c r="DG3232" s="63"/>
      <c r="DH3232" s="63">
        <v>2</v>
      </c>
      <c r="DI3232" s="63"/>
      <c r="DJ3232" s="63"/>
      <c r="DK3232" s="63"/>
      <c r="DL3232" s="63"/>
      <c r="DM3232" s="63"/>
      <c r="DN3232" s="63">
        <v>0</v>
      </c>
      <c r="DO3232" s="63">
        <v>6</v>
      </c>
      <c r="DQ3232" s="63">
        <v>0</v>
      </c>
      <c r="DR3232" s="63"/>
      <c r="DS3232" s="63">
        <v>0</v>
      </c>
      <c r="DT3232" s="63">
        <v>0</v>
      </c>
    </row>
    <row r="3233" spans="1:124" collapsed="1">
      <c r="A3233" t="s">
        <v>1122</v>
      </c>
      <c r="B3233" t="s">
        <v>544</v>
      </c>
      <c r="C3233" s="1">
        <f t="shared" si="1263"/>
        <v>2976150</v>
      </c>
      <c r="D3233" s="5">
        <f>IF(N3233&gt;0, RANK(N3233,(N3233:P3233,Q3233:AE3233)),0)</f>
        <v>2</v>
      </c>
      <c r="E3233" s="5">
        <f>IF(O3233&gt;0,RANK(O3233,(N3233:P3233,Q3233:AE3233)),0)</f>
        <v>1</v>
      </c>
      <c r="F3233" s="5">
        <f>IF(P3233&gt;0,RANK(P3233,(N3233:P3233,Q3233:AE3233)),0)</f>
        <v>7</v>
      </c>
      <c r="G3233" s="132">
        <f t="shared" si="1261"/>
        <v>22748</v>
      </c>
      <c r="H3233" s="137">
        <f t="shared" si="1262"/>
        <v>7.6434319506745296E-3</v>
      </c>
      <c r="I3233" s="2"/>
      <c r="J3233" s="2">
        <f t="shared" si="1264"/>
        <v>0.4645384137224266</v>
      </c>
      <c r="K3233" s="2">
        <f t="shared" si="1265"/>
        <v>0.47218184567310117</v>
      </c>
      <c r="L3233" s="2">
        <f t="shared" si="1266"/>
        <v>3.9833341733447577E-3</v>
      </c>
      <c r="M3233" s="2">
        <f t="shared" si="1267"/>
        <v>5.9296406431127407E-2</v>
      </c>
      <c r="N3233" s="63">
        <f t="shared" ref="N3233:U3233" si="1274">SUM(N3161:N3232)</f>
        <v>1382536</v>
      </c>
      <c r="O3233" s="63">
        <f t="shared" si="1274"/>
        <v>1405284</v>
      </c>
      <c r="P3233" s="63">
        <f t="shared" si="1274"/>
        <v>11855</v>
      </c>
      <c r="Q3233" s="63">
        <f t="shared" si="1274"/>
        <v>106674</v>
      </c>
      <c r="R3233" s="63">
        <f t="shared" si="1274"/>
        <v>31072</v>
      </c>
      <c r="S3233" s="63">
        <f t="shared" si="1274"/>
        <v>12162</v>
      </c>
      <c r="T3233" s="63">
        <f t="shared" si="1274"/>
        <v>1502</v>
      </c>
      <c r="U3233" s="63">
        <f t="shared" si="1274"/>
        <v>33</v>
      </c>
      <c r="V3233" s="63"/>
      <c r="W3233" s="63">
        <f>SUM(W3161:W3232)</f>
        <v>22812</v>
      </c>
      <c r="X3233" s="63"/>
      <c r="Y3233" s="63">
        <f>SUM(Y3161:Y3232)</f>
        <v>80</v>
      </c>
      <c r="Z3233" s="63"/>
      <c r="AA3233" s="63">
        <f>SUM(AA3161:AA3232)</f>
        <v>1770</v>
      </c>
      <c r="AB3233" s="63"/>
      <c r="AC3233" s="63"/>
      <c r="AD3233" s="63"/>
      <c r="AE3233" s="63">
        <f>SUM(AE3161:AE3232)</f>
        <v>15</v>
      </c>
      <c r="AF3233" s="63"/>
      <c r="AG3233" s="63">
        <f>SUM(AG3161:AG3232)</f>
        <v>67</v>
      </c>
      <c r="AH3233" s="63"/>
      <c r="AI3233" s="63"/>
      <c r="AJ3233" s="63"/>
      <c r="AK3233" s="63"/>
      <c r="AL3233" s="63"/>
      <c r="AM3233" s="63">
        <f>SUM(AM3161:AM3232)</f>
        <v>4</v>
      </c>
      <c r="AN3233" s="63">
        <f>SUM(AN3161:AN3232)</f>
        <v>284</v>
      </c>
      <c r="AO3233" s="63"/>
      <c r="AP3233" s="63"/>
      <c r="AQ3233" s="63"/>
      <c r="AR3233" s="63"/>
      <c r="AS3233" s="63"/>
      <c r="AT3233" s="63"/>
      <c r="AU3233" s="63"/>
      <c r="AW3233" s="5">
        <f>IF(Q3233&gt;0,RANK(Q3233,(N3233:P3233,Q3233:AE3233)),0)</f>
        <v>3</v>
      </c>
      <c r="AX3233" s="5">
        <f>IF(R3233&gt;0,RANK(R3233,(N3233:P3233,Q3233:AE3233)),0)</f>
        <v>4</v>
      </c>
      <c r="AY3233" s="5">
        <f>IF(T3233&gt;0,RANK(T3233,(N3233:P3233,Q3233:AE3233)),0)</f>
        <v>9</v>
      </c>
      <c r="AZ3233" s="5">
        <f>IF(S3233&gt;0,RANK(S3233,(N3233:P3233,Q3233:AE3233)),0)</f>
        <v>6</v>
      </c>
      <c r="BA3233" s="2">
        <f t="shared" si="1268"/>
        <v>3.5842951464139912E-2</v>
      </c>
      <c r="BB3233" s="2">
        <f t="shared" si="1269"/>
        <v>1.0440333988542244E-2</v>
      </c>
      <c r="BC3233" s="2">
        <f t="shared" si="1270"/>
        <v>5.0467886363254541E-4</v>
      </c>
      <c r="BD3233" s="2">
        <f t="shared" si="1271"/>
        <v>4.0864875762310366E-3</v>
      </c>
      <c r="BF3233" t="s">
        <v>1122</v>
      </c>
      <c r="BG3233" t="s">
        <v>544</v>
      </c>
      <c r="BJ3233" s="114">
        <v>55</v>
      </c>
      <c r="BK3233" s="116"/>
      <c r="BL3233" s="114">
        <v>55</v>
      </c>
      <c r="BN3233" s="5" t="s">
        <v>711</v>
      </c>
      <c r="CB3233" s="63">
        <f>SUM(CB3161:CB3232)</f>
        <v>22764</v>
      </c>
      <c r="CD3233" s="63">
        <f>SUM(CD3161:CD3232)</f>
        <v>47</v>
      </c>
      <c r="CE3233" s="63">
        <f>SUM(CE3161:CE3232)</f>
        <v>1</v>
      </c>
      <c r="CO3233" s="63">
        <f t="shared" ref="CO3233:CV3233" si="1275">SUM(CO3161:CO3232)</f>
        <v>1381823</v>
      </c>
      <c r="CP3233" s="63">
        <f t="shared" si="1275"/>
        <v>1404000</v>
      </c>
      <c r="CQ3233" s="63">
        <f t="shared" si="1275"/>
        <v>9998</v>
      </c>
      <c r="CR3233" s="63">
        <f t="shared" si="1275"/>
        <v>106585</v>
      </c>
      <c r="CS3233" s="63">
        <f t="shared" si="1275"/>
        <v>31006</v>
      </c>
      <c r="CT3233" s="63">
        <f t="shared" si="1275"/>
        <v>12156</v>
      </c>
      <c r="CU3233" s="63">
        <f t="shared" si="1275"/>
        <v>1514</v>
      </c>
      <c r="CV3233" s="63">
        <f t="shared" si="1275"/>
        <v>26</v>
      </c>
      <c r="CW3233" s="63"/>
      <c r="CX3233" s="63">
        <f>SUM(CX3161:CX3232)</f>
        <v>0</v>
      </c>
      <c r="CY3233" s="63"/>
      <c r="CZ3233" s="63">
        <f>SUM(CZ3161:CZ3232)</f>
        <v>68</v>
      </c>
      <c r="DA3233" s="63"/>
      <c r="DB3233" s="63">
        <f>SUM(DB3161:DB3232)</f>
        <v>1769</v>
      </c>
      <c r="DC3233" s="63"/>
      <c r="DD3233" s="63"/>
      <c r="DE3233" s="63"/>
      <c r="DF3233" s="63">
        <f>SUM(DF3161:DF3232)</f>
        <v>15</v>
      </c>
      <c r="DG3233" s="63"/>
      <c r="DH3233" s="63">
        <f>SUM(DH3161:DH3232)</f>
        <v>58</v>
      </c>
      <c r="DI3233" s="63"/>
      <c r="DJ3233" s="63"/>
      <c r="DK3233" s="63"/>
      <c r="DL3233" s="63"/>
      <c r="DM3233" s="63"/>
      <c r="DN3233" s="63">
        <f>SUM(DN3161:DN3232)</f>
        <v>3</v>
      </c>
      <c r="DO3233" s="63">
        <f>SUM(DO3161:DO3232)</f>
        <v>243</v>
      </c>
      <c r="DQ3233" s="63">
        <f>SUM(DQ3161:DQ3232)</f>
        <v>26002</v>
      </c>
      <c r="DR3233" s="63"/>
      <c r="DS3233" s="63">
        <f>SUM(DS3161:DS3232)</f>
        <v>44</v>
      </c>
      <c r="DT3233" s="63">
        <f>SUM(DT3161:DT3232)</f>
        <v>3</v>
      </c>
    </row>
    <row r="3234" spans="1:124">
      <c r="C3234" s="1"/>
      <c r="E3234" s="5"/>
      <c r="F3234" s="5"/>
      <c r="G3234" s="132"/>
      <c r="H3234" s="137"/>
      <c r="I3234" s="2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W3234" s="5"/>
      <c r="AX3234" s="5"/>
      <c r="AY3234" s="5"/>
      <c r="AZ3234" s="5"/>
      <c r="BJ3234" s="114"/>
      <c r="BK3234" s="116"/>
      <c r="BL3234" s="120"/>
    </row>
    <row r="3235" spans="1:124" hidden="1" outlineLevel="1">
      <c r="A3235" t="s">
        <v>233</v>
      </c>
      <c r="B3235" t="s">
        <v>1094</v>
      </c>
      <c r="C3235" s="1">
        <f t="shared" ref="C3235:C3258" si="1276">SUM(N3235:AU3235)</f>
        <v>17060</v>
      </c>
      <c r="D3235" s="5">
        <f>IF(N3235&gt;0, RANK(N3235,(N3235:P3235,Q3235:AE3235)),0)</f>
        <v>2</v>
      </c>
      <c r="E3235" s="5">
        <f>IF(O3235&gt;0,RANK(O3235,(N3235:P3235,Q3235:AE3235)),0)</f>
        <v>1</v>
      </c>
      <c r="F3235" s="5">
        <f>IF(P3235&gt;0,RANK(P3235,(N3235:P3235,Q3235:AE3235)),0)</f>
        <v>0</v>
      </c>
      <c r="G3235" s="132">
        <f t="shared" si="1261"/>
        <v>712</v>
      </c>
      <c r="H3235" s="137">
        <f t="shared" si="1262"/>
        <v>4.1735052754982412E-2</v>
      </c>
      <c r="I3235" s="2"/>
      <c r="J3235" s="2">
        <f t="shared" ref="J3235:J3258" si="1277">IF($C3235=0,"-",N3235/$C3235)</f>
        <v>0.40386869871043374</v>
      </c>
      <c r="K3235" s="2">
        <f t="shared" ref="K3235:K3258" si="1278">IF($C3235=0,"-",O3235/$C3235)</f>
        <v>0.4456037514654162</v>
      </c>
      <c r="L3235" s="2">
        <f t="shared" ref="L3235:L3258" si="1279">IF($C3235=0,"-",P3235/$C3235)</f>
        <v>0</v>
      </c>
      <c r="M3235" s="2">
        <f t="shared" ref="M3235:M3258" si="1280">IF(C3235=0,"-",(1-J3235-K3235-L3235))</f>
        <v>0.15052754982415006</v>
      </c>
      <c r="N3235" s="63">
        <v>6890</v>
      </c>
      <c r="O3235" s="63">
        <v>7602</v>
      </c>
      <c r="P3235" s="63"/>
      <c r="Q3235" s="63">
        <v>1391</v>
      </c>
      <c r="R3235" s="63">
        <v>344</v>
      </c>
      <c r="S3235" s="63">
        <v>133</v>
      </c>
      <c r="T3235" s="63">
        <v>63</v>
      </c>
      <c r="U3235" s="63"/>
      <c r="V3235" s="63"/>
      <c r="W3235" s="63">
        <v>637</v>
      </c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W3235" s="5">
        <f>IF(Q3235&gt;0,RANK(Q3235,(N3235:P3235,Q3235:AE3235)),0)</f>
        <v>3</v>
      </c>
      <c r="AX3235" s="5">
        <f>IF(R3235&gt;0,RANK(R3235,(N3235:P3235,Q3235:AE3235)),0)</f>
        <v>5</v>
      </c>
      <c r="AY3235" s="5">
        <f>IF(T3235&gt;0,RANK(T3235,(N3235:P3235,Q3235:AE3235)),0)</f>
        <v>7</v>
      </c>
      <c r="AZ3235" s="5">
        <f>IF(S3235&gt;0,RANK(S3235,(N3235:P3235,Q3235:AE3235)),0)</f>
        <v>6</v>
      </c>
      <c r="BA3235" s="2">
        <f t="shared" ref="BA3235:BA3258" si="1281">IF($C3235=0,"-",Q3235/$C3235)</f>
        <v>8.1535756154747951E-2</v>
      </c>
      <c r="BB3235" s="2">
        <f t="shared" ref="BB3235:BB3258" si="1282">IF($C3235=0,"-",R3235/$C3235)</f>
        <v>2.0164126611957794E-2</v>
      </c>
      <c r="BC3235" s="2">
        <f t="shared" ref="BC3235:BC3258" si="1283">IF($C3235=0,"-",T3235/$C3235)</f>
        <v>3.6928487690504105E-3</v>
      </c>
      <c r="BD3235" s="2">
        <f t="shared" ref="BD3235:BD3258" si="1284">IF($C3235=0,"-",S3235/$C3235)</f>
        <v>7.7960140679953103E-3</v>
      </c>
      <c r="BF3235" t="s">
        <v>233</v>
      </c>
      <c r="BG3235" t="s">
        <v>1094</v>
      </c>
      <c r="BH3235" s="63">
        <v>1</v>
      </c>
      <c r="BJ3235" s="114">
        <v>56</v>
      </c>
      <c r="BK3235" s="116">
        <v>1</v>
      </c>
      <c r="BL3235" s="120">
        <f t="shared" si="1251"/>
        <v>56001</v>
      </c>
      <c r="BN3235" s="5" t="s">
        <v>3154</v>
      </c>
      <c r="BO3235" s="63">
        <v>169</v>
      </c>
      <c r="BP3235" s="63">
        <v>16</v>
      </c>
      <c r="BR3235" s="63"/>
    </row>
    <row r="3236" spans="1:124" hidden="1" outlineLevel="1">
      <c r="A3236" t="s">
        <v>1273</v>
      </c>
      <c r="B3236" t="s">
        <v>1094</v>
      </c>
      <c r="C3236" s="1">
        <f t="shared" si="1276"/>
        <v>5317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0</v>
      </c>
      <c r="G3236" s="132">
        <f t="shared" si="1261"/>
        <v>3463</v>
      </c>
      <c r="H3236" s="137">
        <f t="shared" si="1262"/>
        <v>0.65130712807974422</v>
      </c>
      <c r="I3236" s="2"/>
      <c r="J3236" s="2">
        <f t="shared" si="1277"/>
        <v>0.1135978935489938</v>
      </c>
      <c r="K3236" s="2">
        <f t="shared" si="1278"/>
        <v>0.76490502162873797</v>
      </c>
      <c r="L3236" s="2">
        <f t="shared" si="1279"/>
        <v>0</v>
      </c>
      <c r="M3236" s="2">
        <f t="shared" si="1280"/>
        <v>0.12149708482226818</v>
      </c>
      <c r="N3236" s="63">
        <v>604</v>
      </c>
      <c r="O3236" s="63">
        <v>4067</v>
      </c>
      <c r="P3236" s="63"/>
      <c r="Q3236" s="63">
        <v>242</v>
      </c>
      <c r="R3236" s="63">
        <v>35</v>
      </c>
      <c r="S3236" s="63">
        <v>112</v>
      </c>
      <c r="T3236" s="63">
        <v>21</v>
      </c>
      <c r="U3236" s="63"/>
      <c r="V3236" s="63"/>
      <c r="W3236" s="63">
        <v>236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W3236" s="5">
        <f>IF(Q3236&gt;0,RANK(Q3236,(N3236:P3236,Q3236:AE3236)),0)</f>
        <v>3</v>
      </c>
      <c r="AX3236" s="5">
        <f>IF(R3236&gt;0,RANK(R3236,(N3236:P3236,Q3236:AE3236)),0)</f>
        <v>6</v>
      </c>
      <c r="AY3236" s="5">
        <f>IF(T3236&gt;0,RANK(T3236,(N3236:P3236,Q3236:AE3236)),0)</f>
        <v>7</v>
      </c>
      <c r="AZ3236" s="5">
        <f>IF(S3236&gt;0,RANK(S3236,(N3236:P3236,Q3236:AE3236)),0)</f>
        <v>5</v>
      </c>
      <c r="BA3236" s="2">
        <f t="shared" si="1281"/>
        <v>4.5514387812676319E-2</v>
      </c>
      <c r="BB3236" s="2">
        <f t="shared" si="1282"/>
        <v>6.5826593943953361E-3</v>
      </c>
      <c r="BC3236" s="2">
        <f t="shared" si="1283"/>
        <v>3.9495956366372015E-3</v>
      </c>
      <c r="BD3236" s="2">
        <f t="shared" si="1284"/>
        <v>2.1064510062065073E-2</v>
      </c>
      <c r="BF3236" t="s">
        <v>1273</v>
      </c>
      <c r="BG3236" t="s">
        <v>1094</v>
      </c>
      <c r="BH3236" s="63">
        <v>1</v>
      </c>
      <c r="BJ3236" s="114">
        <v>56</v>
      </c>
      <c r="BK3236" s="116">
        <v>3</v>
      </c>
      <c r="BL3236" s="120">
        <f t="shared" si="1251"/>
        <v>56003</v>
      </c>
      <c r="BN3236" s="5" t="s">
        <v>3154</v>
      </c>
      <c r="BO3236" s="63">
        <v>87</v>
      </c>
      <c r="BP3236" s="63">
        <v>2</v>
      </c>
      <c r="BR3236" s="63"/>
    </row>
    <row r="3237" spans="1:124" hidden="1" outlineLevel="1">
      <c r="A3237" t="s">
        <v>206</v>
      </c>
      <c r="B3237" t="s">
        <v>1094</v>
      </c>
      <c r="C3237" s="1">
        <f t="shared" si="1276"/>
        <v>18199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0</v>
      </c>
      <c r="G3237" s="132">
        <f t="shared" si="1261"/>
        <v>14454</v>
      </c>
      <c r="H3237" s="137">
        <f t="shared" si="1262"/>
        <v>0.7942194626078356</v>
      </c>
      <c r="I3237" s="2"/>
      <c r="J3237" s="2">
        <f t="shared" si="1277"/>
        <v>7.2751250068685089E-2</v>
      </c>
      <c r="K3237" s="2">
        <f t="shared" si="1278"/>
        <v>0.86697071267652071</v>
      </c>
      <c r="L3237" s="2">
        <f t="shared" si="1279"/>
        <v>0</v>
      </c>
      <c r="M3237" s="2">
        <f t="shared" si="1280"/>
        <v>6.0278037254794192E-2</v>
      </c>
      <c r="N3237" s="63">
        <v>1324</v>
      </c>
      <c r="O3237" s="63">
        <v>15778</v>
      </c>
      <c r="P3237" s="63"/>
      <c r="Q3237" s="63">
        <v>653</v>
      </c>
      <c r="R3237" s="63">
        <v>66</v>
      </c>
      <c r="S3237" s="63">
        <v>86</v>
      </c>
      <c r="T3237" s="63">
        <v>28</v>
      </c>
      <c r="U3237" s="63"/>
      <c r="V3237" s="63"/>
      <c r="W3237" s="63">
        <v>264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W3237" s="5">
        <f>IF(Q3237&gt;0,RANK(Q3237,(N3237:P3237,Q3237:AE3237)),0)</f>
        <v>3</v>
      </c>
      <c r="AX3237" s="5">
        <f>IF(R3237&gt;0,RANK(R3237,(N3237:P3237,Q3237:AE3237)),0)</f>
        <v>6</v>
      </c>
      <c r="AY3237" s="5">
        <f>IF(T3237&gt;0,RANK(T3237,(N3237:P3237,Q3237:AE3237)),0)</f>
        <v>7</v>
      </c>
      <c r="AZ3237" s="5">
        <f>IF(S3237&gt;0,RANK(S3237,(N3237:P3237,Q3237:AE3237)),0)</f>
        <v>5</v>
      </c>
      <c r="BA3237" s="2">
        <f t="shared" si="1281"/>
        <v>3.588109236771251E-2</v>
      </c>
      <c r="BB3237" s="2">
        <f t="shared" si="1282"/>
        <v>3.626572888620254E-3</v>
      </c>
      <c r="BC3237" s="2">
        <f t="shared" si="1283"/>
        <v>1.5385460739601078E-3</v>
      </c>
      <c r="BD3237" s="2">
        <f t="shared" si="1284"/>
        <v>4.7255343700203312E-3</v>
      </c>
      <c r="BF3237" t="s">
        <v>206</v>
      </c>
      <c r="BG3237" t="s">
        <v>1094</v>
      </c>
      <c r="BH3237" s="63">
        <v>1</v>
      </c>
      <c r="BJ3237" s="114">
        <v>56</v>
      </c>
      <c r="BK3237" s="116">
        <v>5</v>
      </c>
      <c r="BL3237" s="120">
        <f t="shared" si="1251"/>
        <v>56005</v>
      </c>
      <c r="BN3237" s="5" t="s">
        <v>3154</v>
      </c>
      <c r="BO3237" s="63">
        <v>130</v>
      </c>
      <c r="BP3237" s="63">
        <v>22</v>
      </c>
      <c r="BR3237" s="63"/>
    </row>
    <row r="3238" spans="1:124" hidden="1" outlineLevel="1">
      <c r="A3238" t="s">
        <v>159</v>
      </c>
      <c r="B3238" t="s">
        <v>1094</v>
      </c>
      <c r="C3238" s="1">
        <f t="shared" si="1276"/>
        <v>6374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0</v>
      </c>
      <c r="G3238" s="132">
        <f t="shared" si="1261"/>
        <v>3130</v>
      </c>
      <c r="H3238" s="137">
        <f t="shared" si="1262"/>
        <v>0.4910574207718858</v>
      </c>
      <c r="I3238" s="2"/>
      <c r="J3238" s="2">
        <f t="shared" si="1277"/>
        <v>0.20065892689049264</v>
      </c>
      <c r="K3238" s="2">
        <f t="shared" si="1278"/>
        <v>0.69171634766237844</v>
      </c>
      <c r="L3238" s="2">
        <f t="shared" si="1279"/>
        <v>0</v>
      </c>
      <c r="M3238" s="2">
        <f t="shared" si="1280"/>
        <v>0.10762472544712898</v>
      </c>
      <c r="N3238" s="63">
        <v>1279</v>
      </c>
      <c r="O3238" s="63">
        <v>4409</v>
      </c>
      <c r="P3238" s="63"/>
      <c r="Q3238" s="63">
        <v>381</v>
      </c>
      <c r="R3238" s="63">
        <v>49</v>
      </c>
      <c r="S3238" s="63">
        <v>61</v>
      </c>
      <c r="T3238" s="63">
        <v>21</v>
      </c>
      <c r="U3238" s="63"/>
      <c r="V3238" s="63"/>
      <c r="W3238" s="63">
        <v>174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W3238" s="5">
        <f>IF(Q3238&gt;0,RANK(Q3238,(N3238:P3238,Q3238:AE3238)),0)</f>
        <v>3</v>
      </c>
      <c r="AX3238" s="5">
        <f>IF(R3238&gt;0,RANK(R3238,(N3238:P3238,Q3238:AE3238)),0)</f>
        <v>6</v>
      </c>
      <c r="AY3238" s="5">
        <f>IF(T3238&gt;0,RANK(T3238,(N3238:P3238,Q3238:AE3238)),0)</f>
        <v>7</v>
      </c>
      <c r="AZ3238" s="5">
        <f>IF(S3238&gt;0,RANK(S3238,(N3238:P3238,Q3238:AE3238)),0)</f>
        <v>5</v>
      </c>
      <c r="BA3238" s="2">
        <f t="shared" si="1281"/>
        <v>5.9774082208973955E-2</v>
      </c>
      <c r="BB3238" s="2">
        <f t="shared" si="1282"/>
        <v>7.6874803890806401E-3</v>
      </c>
      <c r="BC3238" s="2">
        <f t="shared" si="1283"/>
        <v>3.2946344524631315E-3</v>
      </c>
      <c r="BD3238" s="2">
        <f t="shared" si="1284"/>
        <v>9.5701286476310016E-3</v>
      </c>
      <c r="BF3238" t="s">
        <v>159</v>
      </c>
      <c r="BG3238" t="s">
        <v>1094</v>
      </c>
      <c r="BH3238" s="63">
        <v>1</v>
      </c>
      <c r="BJ3238" s="114">
        <v>56</v>
      </c>
      <c r="BK3238" s="116">
        <v>7</v>
      </c>
      <c r="BL3238" s="120">
        <f t="shared" si="1251"/>
        <v>56007</v>
      </c>
      <c r="BN3238" s="5" t="s">
        <v>3154</v>
      </c>
      <c r="BO3238" s="63">
        <v>79</v>
      </c>
      <c r="BP3238" s="63">
        <v>8</v>
      </c>
      <c r="BR3238" s="63"/>
    </row>
    <row r="3239" spans="1:124" hidden="1" outlineLevel="1">
      <c r="A3239" t="s">
        <v>1822</v>
      </c>
      <c r="B3239" t="s">
        <v>1094</v>
      </c>
      <c r="C3239" s="1">
        <f t="shared" si="1276"/>
        <v>6654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0</v>
      </c>
      <c r="G3239" s="132">
        <f t="shared" si="1261"/>
        <v>4852</v>
      </c>
      <c r="H3239" s="137">
        <f t="shared" si="1262"/>
        <v>0.72918545235948307</v>
      </c>
      <c r="I3239" s="2"/>
      <c r="J3239" s="2">
        <f t="shared" si="1277"/>
        <v>0.1003907424105801</v>
      </c>
      <c r="K3239" s="2">
        <f t="shared" si="1278"/>
        <v>0.82957619477006317</v>
      </c>
      <c r="L3239" s="2">
        <f t="shared" si="1279"/>
        <v>0</v>
      </c>
      <c r="M3239" s="2">
        <f t="shared" si="1280"/>
        <v>7.0033062819356728E-2</v>
      </c>
      <c r="N3239" s="63">
        <v>668</v>
      </c>
      <c r="O3239" s="63">
        <v>5520</v>
      </c>
      <c r="P3239" s="63"/>
      <c r="Q3239" s="63">
        <v>251</v>
      </c>
      <c r="R3239" s="63">
        <v>42</v>
      </c>
      <c r="S3239" s="63">
        <v>51</v>
      </c>
      <c r="T3239" s="63">
        <v>20</v>
      </c>
      <c r="U3239" s="63"/>
      <c r="V3239" s="63"/>
      <c r="W3239" s="63">
        <v>102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W3239" s="5">
        <f>IF(Q3239&gt;0,RANK(Q3239,(N3239:P3239,Q3239:AE3239)),0)</f>
        <v>3</v>
      </c>
      <c r="AX3239" s="5">
        <f>IF(R3239&gt;0,RANK(R3239,(N3239:P3239,Q3239:AE3239)),0)</f>
        <v>6</v>
      </c>
      <c r="AY3239" s="5">
        <f>IF(T3239&gt;0,RANK(T3239,(N3239:P3239,Q3239:AE3239)),0)</f>
        <v>7</v>
      </c>
      <c r="AZ3239" s="5">
        <f>IF(S3239&gt;0,RANK(S3239,(N3239:P3239,Q3239:AE3239)),0)</f>
        <v>5</v>
      </c>
      <c r="BA3239" s="2">
        <f t="shared" si="1281"/>
        <v>3.7721671175232944E-2</v>
      </c>
      <c r="BB3239" s="2">
        <f t="shared" si="1282"/>
        <v>6.3119927862939585E-3</v>
      </c>
      <c r="BC3239" s="2">
        <f t="shared" si="1283"/>
        <v>3.0057108506161708E-3</v>
      </c>
      <c r="BD3239" s="2">
        <f t="shared" si="1284"/>
        <v>7.6645626690712357E-3</v>
      </c>
      <c r="BF3239" t="s">
        <v>1822</v>
      </c>
      <c r="BG3239" t="s">
        <v>1094</v>
      </c>
      <c r="BH3239" s="63">
        <v>1</v>
      </c>
      <c r="BJ3239" s="114">
        <v>56</v>
      </c>
      <c r="BK3239" s="116">
        <v>9</v>
      </c>
      <c r="BL3239" s="120">
        <f t="shared" si="1251"/>
        <v>56009</v>
      </c>
      <c r="BN3239" s="5" t="s">
        <v>3154</v>
      </c>
      <c r="BO3239" s="63">
        <v>47</v>
      </c>
      <c r="BP3239" s="63">
        <v>5</v>
      </c>
      <c r="BR3239" s="63"/>
    </row>
    <row r="3240" spans="1:124" hidden="1" outlineLevel="1">
      <c r="A3240" t="s">
        <v>1931</v>
      </c>
      <c r="B3240" t="s">
        <v>1094</v>
      </c>
      <c r="C3240" s="1">
        <f t="shared" si="1276"/>
        <v>3826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0</v>
      </c>
      <c r="G3240" s="132">
        <f t="shared" si="1261"/>
        <v>3075</v>
      </c>
      <c r="H3240" s="137">
        <f t="shared" si="1262"/>
        <v>0.80371144798745431</v>
      </c>
      <c r="I3240" s="2"/>
      <c r="J3240" s="2">
        <f t="shared" si="1277"/>
        <v>7.1353894406691057E-2</v>
      </c>
      <c r="K3240" s="2">
        <f t="shared" si="1278"/>
        <v>0.87506534239414535</v>
      </c>
      <c r="L3240" s="2">
        <f t="shared" si="1279"/>
        <v>0</v>
      </c>
      <c r="M3240" s="2">
        <f t="shared" si="1280"/>
        <v>5.3580763199163606E-2</v>
      </c>
      <c r="N3240" s="63">
        <v>273</v>
      </c>
      <c r="O3240" s="63">
        <v>3348</v>
      </c>
      <c r="P3240" s="63"/>
      <c r="Q3240" s="63">
        <v>118</v>
      </c>
      <c r="R3240" s="63">
        <v>11</v>
      </c>
      <c r="S3240" s="63">
        <v>18</v>
      </c>
      <c r="T3240" s="63">
        <v>6</v>
      </c>
      <c r="U3240" s="63"/>
      <c r="V3240" s="63"/>
      <c r="W3240" s="63">
        <v>52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W3240" s="5">
        <f>IF(Q3240&gt;0,RANK(Q3240,(N3240:P3240,Q3240:AE3240)),0)</f>
        <v>3</v>
      </c>
      <c r="AX3240" s="5">
        <f>IF(R3240&gt;0,RANK(R3240,(N3240:P3240,Q3240:AE3240)),0)</f>
        <v>6</v>
      </c>
      <c r="AY3240" s="5">
        <f>IF(T3240&gt;0,RANK(T3240,(N3240:P3240,Q3240:AE3240)),0)</f>
        <v>7</v>
      </c>
      <c r="AZ3240" s="5">
        <f>IF(S3240&gt;0,RANK(S3240,(N3240:P3240,Q3240:AE3240)),0)</f>
        <v>5</v>
      </c>
      <c r="BA3240" s="2">
        <f t="shared" si="1281"/>
        <v>3.0841610036591742E-2</v>
      </c>
      <c r="BB3240" s="2">
        <f t="shared" si="1282"/>
        <v>2.8750653423941452E-3</v>
      </c>
      <c r="BC3240" s="2">
        <f t="shared" si="1283"/>
        <v>1.5682174594877157E-3</v>
      </c>
      <c r="BD3240" s="2">
        <f t="shared" si="1284"/>
        <v>4.7046523784631472E-3</v>
      </c>
      <c r="BF3240" t="s">
        <v>1931</v>
      </c>
      <c r="BG3240" t="s">
        <v>1094</v>
      </c>
      <c r="BH3240" s="63">
        <v>1</v>
      </c>
      <c r="BJ3240" s="114">
        <v>56</v>
      </c>
      <c r="BK3240" s="116">
        <v>11</v>
      </c>
      <c r="BL3240" s="120">
        <f t="shared" si="1251"/>
        <v>56011</v>
      </c>
      <c r="BN3240" s="5" t="s">
        <v>3154</v>
      </c>
      <c r="BO3240" s="63">
        <v>37</v>
      </c>
      <c r="BP3240" s="63">
        <v>3</v>
      </c>
      <c r="BR3240" s="63"/>
    </row>
    <row r="3241" spans="1:124" hidden="1" outlineLevel="1">
      <c r="A3241" t="s">
        <v>1757</v>
      </c>
      <c r="B3241" t="s">
        <v>1094</v>
      </c>
      <c r="C3241" s="1">
        <f t="shared" si="1276"/>
        <v>17023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0</v>
      </c>
      <c r="G3241" s="132">
        <f t="shared" si="1261"/>
        <v>6967</v>
      </c>
      <c r="H3241" s="137">
        <f t="shared" si="1262"/>
        <v>0.40926981143159258</v>
      </c>
      <c r="I3241" s="2"/>
      <c r="J3241" s="2">
        <f t="shared" si="1277"/>
        <v>0.24672501909181696</v>
      </c>
      <c r="K3241" s="2">
        <f t="shared" si="1278"/>
        <v>0.65599483052340946</v>
      </c>
      <c r="L3241" s="2">
        <f t="shared" si="1279"/>
        <v>0</v>
      </c>
      <c r="M3241" s="2">
        <f t="shared" si="1280"/>
        <v>9.7280150384773556E-2</v>
      </c>
      <c r="N3241" s="63">
        <v>4200</v>
      </c>
      <c r="O3241" s="63">
        <v>11167</v>
      </c>
      <c r="P3241" s="63"/>
      <c r="Q3241" s="63">
        <v>773</v>
      </c>
      <c r="R3241" s="63">
        <v>233</v>
      </c>
      <c r="S3241" s="63">
        <v>110</v>
      </c>
      <c r="T3241" s="63">
        <v>60</v>
      </c>
      <c r="U3241" s="63"/>
      <c r="V3241" s="63"/>
      <c r="W3241" s="63">
        <v>480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W3241" s="5">
        <f>IF(Q3241&gt;0,RANK(Q3241,(N3241:P3241,Q3241:AE3241)),0)</f>
        <v>3</v>
      </c>
      <c r="AX3241" s="5">
        <f>IF(R3241&gt;0,RANK(R3241,(N3241:P3241,Q3241:AE3241)),0)</f>
        <v>5</v>
      </c>
      <c r="AY3241" s="5">
        <f>IF(T3241&gt;0,RANK(T3241,(N3241:P3241,Q3241:AE3241)),0)</f>
        <v>7</v>
      </c>
      <c r="AZ3241" s="5">
        <f>IF(S3241&gt;0,RANK(S3241,(N3241:P3241,Q3241:AE3241)),0)</f>
        <v>6</v>
      </c>
      <c r="BA3241" s="2">
        <f t="shared" si="1281"/>
        <v>4.5409152323327262E-2</v>
      </c>
      <c r="BB3241" s="2">
        <f t="shared" si="1282"/>
        <v>1.3687364154379369E-2</v>
      </c>
      <c r="BC3241" s="2">
        <f t="shared" si="1283"/>
        <v>3.5246431298830995E-3</v>
      </c>
      <c r="BD3241" s="2">
        <f t="shared" si="1284"/>
        <v>6.4618457381190155E-3</v>
      </c>
      <c r="BF3241" t="s">
        <v>1757</v>
      </c>
      <c r="BG3241" t="s">
        <v>1094</v>
      </c>
      <c r="BH3241" s="63">
        <v>1</v>
      </c>
      <c r="BJ3241" s="114">
        <v>56</v>
      </c>
      <c r="BK3241" s="116">
        <v>13</v>
      </c>
      <c r="BL3241" s="120">
        <f t="shared" ref="BL3241:BL3257" si="1285">1000*BJ3241+BK3241</f>
        <v>56013</v>
      </c>
      <c r="BN3241" s="5" t="s">
        <v>3154</v>
      </c>
      <c r="BO3241" s="63">
        <v>191</v>
      </c>
      <c r="BP3241" s="63">
        <v>27</v>
      </c>
      <c r="BR3241" s="63"/>
    </row>
    <row r="3242" spans="1:124" hidden="1" outlineLevel="1">
      <c r="A3242" t="s">
        <v>592</v>
      </c>
      <c r="B3242" t="s">
        <v>1094</v>
      </c>
      <c r="C3242" s="1">
        <f t="shared" si="1276"/>
        <v>5796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0</v>
      </c>
      <c r="G3242" s="132">
        <f t="shared" si="1261"/>
        <v>3494</v>
      </c>
      <c r="H3242" s="137">
        <f t="shared" si="1262"/>
        <v>0.6028295376121463</v>
      </c>
      <c r="I3242" s="2"/>
      <c r="J3242" s="2">
        <f t="shared" si="1277"/>
        <v>0.15942028985507245</v>
      </c>
      <c r="K3242" s="2">
        <f t="shared" si="1278"/>
        <v>0.76224982746721881</v>
      </c>
      <c r="L3242" s="2">
        <f t="shared" si="1279"/>
        <v>0</v>
      </c>
      <c r="M3242" s="2">
        <f t="shared" si="1280"/>
        <v>7.8329882677708684E-2</v>
      </c>
      <c r="N3242" s="63">
        <v>924</v>
      </c>
      <c r="O3242" s="63">
        <v>4418</v>
      </c>
      <c r="P3242" s="63"/>
      <c r="Q3242" s="63">
        <v>234</v>
      </c>
      <c r="R3242" s="63">
        <v>45</v>
      </c>
      <c r="S3242" s="63">
        <v>68</v>
      </c>
      <c r="T3242" s="63">
        <v>19</v>
      </c>
      <c r="U3242" s="63"/>
      <c r="V3242" s="63"/>
      <c r="W3242" s="63">
        <v>88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W3242" s="5">
        <f>IF(Q3242&gt;0,RANK(Q3242,(N3242:P3242,Q3242:AE3242)),0)</f>
        <v>3</v>
      </c>
      <c r="AX3242" s="5">
        <f>IF(R3242&gt;0,RANK(R3242,(N3242:P3242,Q3242:AE3242)),0)</f>
        <v>6</v>
      </c>
      <c r="AY3242" s="5">
        <f>IF(T3242&gt;0,RANK(T3242,(N3242:P3242,Q3242:AE3242)),0)</f>
        <v>7</v>
      </c>
      <c r="AZ3242" s="5">
        <f>IF(S3242&gt;0,RANK(S3242,(N3242:P3242,Q3242:AE3242)),0)</f>
        <v>5</v>
      </c>
      <c r="BA3242" s="2">
        <f t="shared" si="1281"/>
        <v>4.0372670807453416E-2</v>
      </c>
      <c r="BB3242" s="2">
        <f t="shared" si="1282"/>
        <v>7.763975155279503E-3</v>
      </c>
      <c r="BC3242" s="2">
        <f t="shared" si="1283"/>
        <v>3.2781228433402345E-3</v>
      </c>
      <c r="BD3242" s="2">
        <f t="shared" si="1284"/>
        <v>1.1732229123533472E-2</v>
      </c>
      <c r="BF3242" t="s">
        <v>592</v>
      </c>
      <c r="BG3242" t="s">
        <v>1094</v>
      </c>
      <c r="BH3242" s="63">
        <v>1</v>
      </c>
      <c r="BJ3242" s="114">
        <v>56</v>
      </c>
      <c r="BK3242" s="116">
        <v>15</v>
      </c>
      <c r="BL3242" s="120">
        <f t="shared" si="1285"/>
        <v>56015</v>
      </c>
      <c r="BN3242" s="5" t="s">
        <v>3154</v>
      </c>
      <c r="BO3242" s="63">
        <v>78</v>
      </c>
      <c r="BP3242" s="63">
        <v>6</v>
      </c>
      <c r="BR3242" s="63"/>
    </row>
    <row r="3243" spans="1:124" hidden="1" outlineLevel="1">
      <c r="A3243" t="s">
        <v>2642</v>
      </c>
      <c r="B3243" t="s">
        <v>1094</v>
      </c>
      <c r="C3243" s="1">
        <f t="shared" si="1276"/>
        <v>2586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0</v>
      </c>
      <c r="G3243" s="132">
        <f t="shared" si="1261"/>
        <v>1539</v>
      </c>
      <c r="H3243" s="137">
        <f t="shared" si="1262"/>
        <v>0.59512761020881666</v>
      </c>
      <c r="I3243" s="2"/>
      <c r="J3243" s="2">
        <f t="shared" si="1277"/>
        <v>0.15467904098994587</v>
      </c>
      <c r="K3243" s="2">
        <f t="shared" si="1278"/>
        <v>0.74980665119876255</v>
      </c>
      <c r="L3243" s="2">
        <f t="shared" si="1279"/>
        <v>0</v>
      </c>
      <c r="M3243" s="2">
        <f t="shared" si="1280"/>
        <v>9.5514307811291554E-2</v>
      </c>
      <c r="N3243" s="63">
        <v>400</v>
      </c>
      <c r="O3243" s="63">
        <v>1939</v>
      </c>
      <c r="P3243" s="63"/>
      <c r="Q3243" s="63">
        <v>136</v>
      </c>
      <c r="R3243" s="63">
        <v>35</v>
      </c>
      <c r="S3243" s="63">
        <v>21</v>
      </c>
      <c r="T3243" s="63">
        <v>4</v>
      </c>
      <c r="U3243" s="63"/>
      <c r="V3243" s="63"/>
      <c r="W3243" s="63">
        <v>51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W3243" s="5">
        <f>IF(Q3243&gt;0,RANK(Q3243,(N3243:P3243,Q3243:AE3243)),0)</f>
        <v>3</v>
      </c>
      <c r="AX3243" s="5">
        <f>IF(R3243&gt;0,RANK(R3243,(N3243:P3243,Q3243:AE3243)),0)</f>
        <v>5</v>
      </c>
      <c r="AY3243" s="5">
        <f>IF(T3243&gt;0,RANK(T3243,(N3243:P3243,Q3243:AE3243)),0)</f>
        <v>7</v>
      </c>
      <c r="AZ3243" s="5">
        <f>IF(S3243&gt;0,RANK(S3243,(N3243:P3243,Q3243:AE3243)),0)</f>
        <v>6</v>
      </c>
      <c r="BA3243" s="2">
        <f t="shared" si="1281"/>
        <v>5.2590873936581593E-2</v>
      </c>
      <c r="BB3243" s="2">
        <f t="shared" si="1282"/>
        <v>1.3534416086620264E-2</v>
      </c>
      <c r="BC3243" s="2">
        <f t="shared" si="1283"/>
        <v>1.5467904098994587E-3</v>
      </c>
      <c r="BD3243" s="2">
        <f t="shared" si="1284"/>
        <v>8.1206496519721574E-3</v>
      </c>
      <c r="BF3243" t="s">
        <v>2642</v>
      </c>
      <c r="BG3243" t="s">
        <v>1094</v>
      </c>
      <c r="BH3243" s="63">
        <v>1</v>
      </c>
      <c r="BJ3243" s="114">
        <v>56</v>
      </c>
      <c r="BK3243" s="116">
        <v>17</v>
      </c>
      <c r="BL3243" s="120">
        <f t="shared" si="1285"/>
        <v>56017</v>
      </c>
      <c r="BN3243" s="5" t="s">
        <v>3154</v>
      </c>
      <c r="BO3243" s="63">
        <v>47</v>
      </c>
      <c r="BP3243" s="63">
        <v>11</v>
      </c>
      <c r="BR3243" s="63"/>
    </row>
    <row r="3244" spans="1:124" hidden="1" outlineLevel="1">
      <c r="A3244" t="s">
        <v>1361</v>
      </c>
      <c r="B3244" t="s">
        <v>1094</v>
      </c>
      <c r="C3244" s="1">
        <f t="shared" si="1276"/>
        <v>4417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0</v>
      </c>
      <c r="G3244" s="132">
        <f t="shared" si="1261"/>
        <v>2839</v>
      </c>
      <c r="H3244" s="137">
        <f t="shared" si="1262"/>
        <v>0.64274394385329414</v>
      </c>
      <c r="I3244" s="2"/>
      <c r="J3244" s="2">
        <f t="shared" si="1277"/>
        <v>0.14444192891102559</v>
      </c>
      <c r="K3244" s="2">
        <f t="shared" si="1278"/>
        <v>0.78718587276431973</v>
      </c>
      <c r="L3244" s="2">
        <f t="shared" si="1279"/>
        <v>0</v>
      </c>
      <c r="M3244" s="2">
        <f t="shared" si="1280"/>
        <v>6.8372198324654687E-2</v>
      </c>
      <c r="N3244" s="63">
        <v>638</v>
      </c>
      <c r="O3244" s="63">
        <v>3477</v>
      </c>
      <c r="P3244" s="63"/>
      <c r="Q3244" s="63">
        <v>174</v>
      </c>
      <c r="R3244" s="63">
        <v>33</v>
      </c>
      <c r="S3244" s="63">
        <v>19</v>
      </c>
      <c r="T3244" s="63">
        <v>8</v>
      </c>
      <c r="U3244" s="63"/>
      <c r="V3244" s="63"/>
      <c r="W3244" s="63">
        <v>68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W3244" s="5">
        <f>IF(Q3244&gt;0,RANK(Q3244,(N3244:P3244,Q3244:AE3244)),0)</f>
        <v>3</v>
      </c>
      <c r="AX3244" s="5">
        <f>IF(R3244&gt;0,RANK(R3244,(N3244:P3244,Q3244:AE3244)),0)</f>
        <v>5</v>
      </c>
      <c r="AY3244" s="5">
        <f>IF(T3244&gt;0,RANK(T3244,(N3244:P3244,Q3244:AE3244)),0)</f>
        <v>7</v>
      </c>
      <c r="AZ3244" s="5">
        <f>IF(S3244&gt;0,RANK(S3244,(N3244:P3244,Q3244:AE3244)),0)</f>
        <v>6</v>
      </c>
      <c r="BA3244" s="2">
        <f t="shared" si="1281"/>
        <v>3.9393253339370611E-2</v>
      </c>
      <c r="BB3244" s="2">
        <f t="shared" si="1282"/>
        <v>7.4711342540185648E-3</v>
      </c>
      <c r="BC3244" s="2">
        <f t="shared" si="1283"/>
        <v>1.811184061580258E-3</v>
      </c>
      <c r="BD3244" s="2">
        <f t="shared" si="1284"/>
        <v>4.301562146253113E-3</v>
      </c>
      <c r="BF3244" t="s">
        <v>1361</v>
      </c>
      <c r="BG3244" t="s">
        <v>1094</v>
      </c>
      <c r="BH3244" s="63">
        <v>1</v>
      </c>
      <c r="BJ3244" s="114">
        <v>56</v>
      </c>
      <c r="BK3244" s="116">
        <v>19</v>
      </c>
      <c r="BL3244" s="120">
        <f t="shared" si="1285"/>
        <v>56019</v>
      </c>
      <c r="BN3244" s="5" t="s">
        <v>3154</v>
      </c>
      <c r="BO3244" s="63">
        <v>50</v>
      </c>
      <c r="BP3244" s="63">
        <v>5</v>
      </c>
      <c r="BR3244" s="63"/>
    </row>
    <row r="3245" spans="1:124" hidden="1" outlineLevel="1">
      <c r="A3245" t="s">
        <v>1077</v>
      </c>
      <c r="B3245" t="s">
        <v>1094</v>
      </c>
      <c r="C3245" s="1">
        <f t="shared" si="1276"/>
        <v>40969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0</v>
      </c>
      <c r="G3245" s="132">
        <f t="shared" si="1261"/>
        <v>13274</v>
      </c>
      <c r="H3245" s="137">
        <f t="shared" si="1262"/>
        <v>0.32400107398276745</v>
      </c>
      <c r="I3245" s="2"/>
      <c r="J3245" s="2">
        <f t="shared" si="1277"/>
        <v>0.28248187654079915</v>
      </c>
      <c r="K3245" s="2">
        <f t="shared" si="1278"/>
        <v>0.6064829505235666</v>
      </c>
      <c r="L3245" s="2">
        <f t="shared" si="1279"/>
        <v>0</v>
      </c>
      <c r="M3245" s="2">
        <f t="shared" si="1280"/>
        <v>0.11103517293563425</v>
      </c>
      <c r="N3245" s="63">
        <v>11573</v>
      </c>
      <c r="O3245" s="63">
        <v>24847</v>
      </c>
      <c r="P3245" s="63"/>
      <c r="Q3245" s="63">
        <v>2657</v>
      </c>
      <c r="R3245" s="63">
        <v>434</v>
      </c>
      <c r="S3245" s="63">
        <v>324</v>
      </c>
      <c r="T3245" s="63">
        <v>115</v>
      </c>
      <c r="U3245" s="63"/>
      <c r="V3245" s="63"/>
      <c r="W3245" s="63">
        <v>1019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W3245" s="5">
        <f>IF(Q3245&gt;0,RANK(Q3245,(N3245:P3245,Q3245:AE3245)),0)</f>
        <v>3</v>
      </c>
      <c r="AX3245" s="5">
        <f>IF(R3245&gt;0,RANK(R3245,(N3245:P3245,Q3245:AE3245)),0)</f>
        <v>5</v>
      </c>
      <c r="AY3245" s="5">
        <f>IF(T3245&gt;0,RANK(T3245,(N3245:P3245,Q3245:AE3245)),0)</f>
        <v>7</v>
      </c>
      <c r="AZ3245" s="5">
        <f>IF(S3245&gt;0,RANK(S3245,(N3245:P3245,Q3245:AE3245)),0)</f>
        <v>6</v>
      </c>
      <c r="BA3245" s="2">
        <f t="shared" si="1281"/>
        <v>6.4853913934926413E-2</v>
      </c>
      <c r="BB3245" s="2">
        <f t="shared" si="1282"/>
        <v>1.0593375479020723E-2</v>
      </c>
      <c r="BC3245" s="2">
        <f t="shared" si="1283"/>
        <v>2.8070004149478873E-3</v>
      </c>
      <c r="BD3245" s="2">
        <f t="shared" si="1284"/>
        <v>7.908418560374917E-3</v>
      </c>
      <c r="BF3245" t="s">
        <v>1077</v>
      </c>
      <c r="BG3245" t="s">
        <v>1094</v>
      </c>
      <c r="BH3245" s="63">
        <v>1</v>
      </c>
      <c r="BJ3245" s="114">
        <v>56</v>
      </c>
      <c r="BK3245" s="116">
        <v>21</v>
      </c>
      <c r="BL3245" s="120">
        <f t="shared" si="1285"/>
        <v>56021</v>
      </c>
      <c r="BN3245" s="5" t="s">
        <v>3154</v>
      </c>
      <c r="BO3245" s="63">
        <v>375</v>
      </c>
      <c r="BP3245" s="63">
        <v>9</v>
      </c>
      <c r="BR3245" s="63"/>
    </row>
    <row r="3246" spans="1:124" hidden="1" outlineLevel="1">
      <c r="A3246" t="s">
        <v>1597</v>
      </c>
      <c r="B3246" t="s">
        <v>1094</v>
      </c>
      <c r="C3246" s="1">
        <f t="shared" si="1276"/>
        <v>8875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0</v>
      </c>
      <c r="G3246" s="132">
        <f t="shared" si="1261"/>
        <v>5674</v>
      </c>
      <c r="H3246" s="137">
        <f t="shared" si="1262"/>
        <v>0.63932394366197187</v>
      </c>
      <c r="I3246" s="2"/>
      <c r="J3246" s="2">
        <f t="shared" si="1277"/>
        <v>0.12450704225352113</v>
      </c>
      <c r="K3246" s="2">
        <f t="shared" si="1278"/>
        <v>0.76383098591549292</v>
      </c>
      <c r="L3246" s="2">
        <f t="shared" si="1279"/>
        <v>0</v>
      </c>
      <c r="M3246" s="2">
        <f t="shared" si="1280"/>
        <v>0.11166197183098592</v>
      </c>
      <c r="N3246" s="63">
        <v>1105</v>
      </c>
      <c r="O3246" s="63">
        <v>6779</v>
      </c>
      <c r="P3246" s="63"/>
      <c r="Q3246" s="63">
        <v>331</v>
      </c>
      <c r="R3246" s="63">
        <v>48</v>
      </c>
      <c r="S3246" s="63">
        <v>112</v>
      </c>
      <c r="T3246" s="63">
        <v>23</v>
      </c>
      <c r="U3246" s="63"/>
      <c r="V3246" s="63"/>
      <c r="W3246" s="63">
        <v>477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W3246" s="5">
        <f>IF(Q3246&gt;0,RANK(Q3246,(N3246:P3246,Q3246:AE3246)),0)</f>
        <v>4</v>
      </c>
      <c r="AX3246" s="5">
        <f>IF(R3246&gt;0,RANK(R3246,(N3246:P3246,Q3246:AE3246)),0)</f>
        <v>6</v>
      </c>
      <c r="AY3246" s="5">
        <f>IF(T3246&gt;0,RANK(T3246,(N3246:P3246,Q3246:AE3246)),0)</f>
        <v>7</v>
      </c>
      <c r="AZ3246" s="5">
        <f>IF(S3246&gt;0,RANK(S3246,(N3246:P3246,Q3246:AE3246)),0)</f>
        <v>5</v>
      </c>
      <c r="BA3246" s="2">
        <f t="shared" si="1281"/>
        <v>3.7295774647887324E-2</v>
      </c>
      <c r="BB3246" s="2">
        <f t="shared" si="1282"/>
        <v>5.4084507042253521E-3</v>
      </c>
      <c r="BC3246" s="2">
        <f t="shared" si="1283"/>
        <v>2.5915492957746477E-3</v>
      </c>
      <c r="BD3246" s="2">
        <f t="shared" si="1284"/>
        <v>1.2619718309859154E-2</v>
      </c>
      <c r="BF3246" t="s">
        <v>1597</v>
      </c>
      <c r="BG3246" t="s">
        <v>1094</v>
      </c>
      <c r="BH3246" s="63">
        <v>1</v>
      </c>
      <c r="BJ3246" s="114">
        <v>56</v>
      </c>
      <c r="BK3246" s="116">
        <v>23</v>
      </c>
      <c r="BL3246" s="120">
        <f t="shared" si="1285"/>
        <v>56023</v>
      </c>
      <c r="BN3246" s="5" t="s">
        <v>3154</v>
      </c>
      <c r="BO3246" s="63">
        <v>86</v>
      </c>
      <c r="BP3246" s="63">
        <v>9</v>
      </c>
      <c r="BR3246" s="63"/>
    </row>
    <row r="3247" spans="1:124" hidden="1" outlineLevel="1">
      <c r="A3247" t="s">
        <v>1823</v>
      </c>
      <c r="B3247" t="s">
        <v>1094</v>
      </c>
      <c r="C3247" s="1">
        <f t="shared" si="1276"/>
        <v>33348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0</v>
      </c>
      <c r="G3247" s="132">
        <f t="shared" si="1261"/>
        <v>16975</v>
      </c>
      <c r="H3247" s="137">
        <f t="shared" si="1262"/>
        <v>0.50902602854743917</v>
      </c>
      <c r="I3247" s="2"/>
      <c r="J3247" s="2">
        <f t="shared" si="1277"/>
        <v>0.19722322178241575</v>
      </c>
      <c r="K3247" s="2">
        <f t="shared" si="1278"/>
        <v>0.70624925032985486</v>
      </c>
      <c r="L3247" s="2">
        <f t="shared" si="1279"/>
        <v>0</v>
      </c>
      <c r="M3247" s="2">
        <f t="shared" si="1280"/>
        <v>9.6527527887729447E-2</v>
      </c>
      <c r="N3247" s="63">
        <v>6577</v>
      </c>
      <c r="O3247" s="63">
        <v>23552</v>
      </c>
      <c r="P3247" s="63"/>
      <c r="Q3247" s="63">
        <v>1791</v>
      </c>
      <c r="R3247" s="63">
        <v>310</v>
      </c>
      <c r="S3247" s="63">
        <v>226</v>
      </c>
      <c r="T3247" s="63">
        <v>74</v>
      </c>
      <c r="U3247" s="63"/>
      <c r="V3247" s="63"/>
      <c r="W3247" s="63">
        <v>818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W3247" s="5">
        <f>IF(Q3247&gt;0,RANK(Q3247,(N3247:P3247,Q3247:AE3247)),0)</f>
        <v>3</v>
      </c>
      <c r="AX3247" s="5">
        <f>IF(R3247&gt;0,RANK(R3247,(N3247:P3247,Q3247:AE3247)),0)</f>
        <v>5</v>
      </c>
      <c r="AY3247" s="5">
        <f>IF(T3247&gt;0,RANK(T3247,(N3247:P3247,Q3247:AE3247)),0)</f>
        <v>7</v>
      </c>
      <c r="AZ3247" s="5">
        <f>IF(S3247&gt;0,RANK(S3247,(N3247:P3247,Q3247:AE3247)),0)</f>
        <v>6</v>
      </c>
      <c r="BA3247" s="2">
        <f t="shared" si="1281"/>
        <v>5.3706369197553075E-2</v>
      </c>
      <c r="BB3247" s="2">
        <f t="shared" si="1282"/>
        <v>9.2959097996881367E-3</v>
      </c>
      <c r="BC3247" s="2">
        <f t="shared" si="1283"/>
        <v>2.2190236296029749E-3</v>
      </c>
      <c r="BD3247" s="2">
        <f t="shared" si="1284"/>
        <v>6.7770181120307069E-3</v>
      </c>
      <c r="BF3247" t="s">
        <v>1823</v>
      </c>
      <c r="BG3247" t="s">
        <v>1094</v>
      </c>
      <c r="BH3247" s="63">
        <v>1</v>
      </c>
      <c r="BJ3247" s="114">
        <v>56</v>
      </c>
      <c r="BK3247" s="116">
        <v>25</v>
      </c>
      <c r="BL3247" s="120">
        <f t="shared" si="1285"/>
        <v>56025</v>
      </c>
      <c r="BN3247" s="5" t="s">
        <v>3154</v>
      </c>
      <c r="BO3247" s="63">
        <v>299</v>
      </c>
      <c r="BP3247" s="63">
        <v>70</v>
      </c>
      <c r="BR3247" s="63"/>
    </row>
    <row r="3248" spans="1:124" hidden="1" outlineLevel="1">
      <c r="A3248" t="s">
        <v>3207</v>
      </c>
      <c r="B3248" t="s">
        <v>1094</v>
      </c>
      <c r="C3248" s="1">
        <f t="shared" si="1276"/>
        <v>1314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0</v>
      </c>
      <c r="G3248" s="132">
        <f t="shared" si="1261"/>
        <v>1001</v>
      </c>
      <c r="H3248" s="137">
        <f t="shared" si="1262"/>
        <v>0.76179604261796041</v>
      </c>
      <c r="I3248" s="2"/>
      <c r="J3248" s="2">
        <f t="shared" si="1277"/>
        <v>8.7519025875190254E-2</v>
      </c>
      <c r="K3248" s="2">
        <f t="shared" si="1278"/>
        <v>0.84931506849315064</v>
      </c>
      <c r="L3248" s="2">
        <f t="shared" si="1279"/>
        <v>0</v>
      </c>
      <c r="M3248" s="2">
        <f t="shared" si="1280"/>
        <v>6.3165905631659136E-2</v>
      </c>
      <c r="N3248" s="63">
        <v>115</v>
      </c>
      <c r="O3248" s="63">
        <v>1116</v>
      </c>
      <c r="P3248" s="63"/>
      <c r="Q3248" s="63">
        <v>49</v>
      </c>
      <c r="R3248" s="63">
        <v>7</v>
      </c>
      <c r="S3248" s="63">
        <v>7</v>
      </c>
      <c r="T3248" s="63">
        <v>3</v>
      </c>
      <c r="U3248" s="63"/>
      <c r="V3248" s="63"/>
      <c r="W3248" s="63">
        <v>17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W3248" s="5">
        <f>IF(Q3248&gt;0,RANK(Q3248,(N3248:P3248,Q3248:AE3248)),0)</f>
        <v>3</v>
      </c>
      <c r="AX3248" s="5">
        <f>IF(R3248&gt;0,RANK(R3248,(N3248:P3248,Q3248:AE3248)),0)</f>
        <v>5</v>
      </c>
      <c r="AY3248" s="5">
        <f>IF(T3248&gt;0,RANK(T3248,(N3248:P3248,Q3248:AE3248)),0)</f>
        <v>7</v>
      </c>
      <c r="AZ3248" s="5">
        <f>IF(S3248&gt;0,RANK(S3248,(N3248:P3248,Q3248:AE3248)),0)</f>
        <v>5</v>
      </c>
      <c r="BA3248" s="2">
        <f t="shared" si="1281"/>
        <v>3.7290715372907152E-2</v>
      </c>
      <c r="BB3248" s="2">
        <f t="shared" si="1282"/>
        <v>5.3272450532724502E-3</v>
      </c>
      <c r="BC3248" s="2">
        <f t="shared" si="1283"/>
        <v>2.2831050228310501E-3</v>
      </c>
      <c r="BD3248" s="2">
        <f t="shared" si="1284"/>
        <v>5.3272450532724502E-3</v>
      </c>
      <c r="BF3248" t="s">
        <v>3207</v>
      </c>
      <c r="BG3248" t="s">
        <v>1094</v>
      </c>
      <c r="BH3248" s="63">
        <v>1</v>
      </c>
      <c r="BJ3248" s="114">
        <v>56</v>
      </c>
      <c r="BK3248" s="116">
        <v>27</v>
      </c>
      <c r="BL3248" s="120">
        <f t="shared" si="1285"/>
        <v>56027</v>
      </c>
      <c r="BN3248" s="5" t="s">
        <v>3154</v>
      </c>
      <c r="BO3248" s="63">
        <v>16</v>
      </c>
      <c r="BP3248" s="63">
        <v>1</v>
      </c>
      <c r="BR3248" s="63"/>
    </row>
    <row r="3249" spans="1:70" hidden="1" outlineLevel="1">
      <c r="A3249" t="s">
        <v>2780</v>
      </c>
      <c r="B3249" t="s">
        <v>1094</v>
      </c>
      <c r="C3249" s="1">
        <f t="shared" si="1276"/>
        <v>15095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0</v>
      </c>
      <c r="G3249" s="132">
        <f t="shared" si="1261"/>
        <v>8580</v>
      </c>
      <c r="H3249" s="137">
        <f t="shared" si="1262"/>
        <v>0.5684001324942034</v>
      </c>
      <c r="I3249" s="2"/>
      <c r="J3249" s="2">
        <f t="shared" si="1277"/>
        <v>0.16793640278237826</v>
      </c>
      <c r="K3249" s="2">
        <f t="shared" si="1278"/>
        <v>0.73633653527658161</v>
      </c>
      <c r="L3249" s="2">
        <f t="shared" si="1279"/>
        <v>0</v>
      </c>
      <c r="M3249" s="2">
        <f t="shared" si="1280"/>
        <v>9.5727061941040192E-2</v>
      </c>
      <c r="N3249" s="63">
        <v>2535</v>
      </c>
      <c r="O3249" s="63">
        <v>11115</v>
      </c>
      <c r="P3249" s="63"/>
      <c r="Q3249" s="63">
        <v>625</v>
      </c>
      <c r="R3249" s="63">
        <v>151</v>
      </c>
      <c r="S3249" s="63">
        <v>153</v>
      </c>
      <c r="T3249" s="63">
        <v>55</v>
      </c>
      <c r="U3249" s="63"/>
      <c r="V3249" s="63"/>
      <c r="W3249" s="63">
        <v>461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W3249" s="5">
        <f>IF(Q3249&gt;0,RANK(Q3249,(N3249:P3249,Q3249:AE3249)),0)</f>
        <v>3</v>
      </c>
      <c r="AX3249" s="5">
        <f>IF(R3249&gt;0,RANK(R3249,(N3249:P3249,Q3249:AE3249)),0)</f>
        <v>6</v>
      </c>
      <c r="AY3249" s="5">
        <f>IF(T3249&gt;0,RANK(T3249,(N3249:P3249,Q3249:AE3249)),0)</f>
        <v>7</v>
      </c>
      <c r="AZ3249" s="5">
        <f>IF(S3249&gt;0,RANK(S3249,(N3249:P3249,Q3249:AE3249)),0)</f>
        <v>5</v>
      </c>
      <c r="BA3249" s="2">
        <f t="shared" si="1281"/>
        <v>4.1404438555813182E-2</v>
      </c>
      <c r="BB3249" s="2">
        <f t="shared" si="1282"/>
        <v>1.0003312355084466E-2</v>
      </c>
      <c r="BC3249" s="2">
        <f t="shared" si="1283"/>
        <v>3.6435905929115601E-3</v>
      </c>
      <c r="BD3249" s="2">
        <f t="shared" si="1284"/>
        <v>1.0135806558463066E-2</v>
      </c>
      <c r="BF3249" t="s">
        <v>2780</v>
      </c>
      <c r="BG3249" t="s">
        <v>1094</v>
      </c>
      <c r="BH3249" s="63">
        <v>1</v>
      </c>
      <c r="BJ3249" s="114">
        <v>56</v>
      </c>
      <c r="BK3249" s="116">
        <v>29</v>
      </c>
      <c r="BL3249" s="120">
        <f t="shared" si="1285"/>
        <v>56029</v>
      </c>
      <c r="BN3249" s="5" t="s">
        <v>3154</v>
      </c>
      <c r="BO3249" s="63">
        <v>198</v>
      </c>
      <c r="BP3249" s="63">
        <v>18</v>
      </c>
      <c r="BR3249" s="63"/>
    </row>
    <row r="3250" spans="1:70" hidden="1" outlineLevel="1">
      <c r="A3250" t="s">
        <v>1679</v>
      </c>
      <c r="B3250" t="s">
        <v>1094</v>
      </c>
      <c r="C3250" s="1">
        <f t="shared" si="1276"/>
        <v>4529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0</v>
      </c>
      <c r="G3250" s="132">
        <f t="shared" si="1261"/>
        <v>2718</v>
      </c>
      <c r="H3250" s="137">
        <f t="shared" si="1262"/>
        <v>0.6001324795760653</v>
      </c>
      <c r="I3250" s="2"/>
      <c r="J3250" s="2">
        <f t="shared" si="1277"/>
        <v>0.15875469198498565</v>
      </c>
      <c r="K3250" s="2">
        <f t="shared" si="1278"/>
        <v>0.75888717156105101</v>
      </c>
      <c r="L3250" s="2">
        <f t="shared" si="1279"/>
        <v>0</v>
      </c>
      <c r="M3250" s="2">
        <f t="shared" si="1280"/>
        <v>8.2358136453963393E-2</v>
      </c>
      <c r="N3250" s="63">
        <v>719</v>
      </c>
      <c r="O3250" s="63">
        <v>3437</v>
      </c>
      <c r="P3250" s="63"/>
      <c r="Q3250" s="63">
        <v>180</v>
      </c>
      <c r="R3250" s="63">
        <v>36</v>
      </c>
      <c r="S3250" s="63">
        <v>82</v>
      </c>
      <c r="T3250" s="63">
        <v>6</v>
      </c>
      <c r="U3250" s="63"/>
      <c r="V3250" s="63"/>
      <c r="W3250" s="63">
        <v>69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W3250" s="5">
        <f>IF(Q3250&gt;0,RANK(Q3250,(N3250:P3250,Q3250:AE3250)),0)</f>
        <v>3</v>
      </c>
      <c r="AX3250" s="5">
        <f>IF(R3250&gt;0,RANK(R3250,(N3250:P3250,Q3250:AE3250)),0)</f>
        <v>6</v>
      </c>
      <c r="AY3250" s="5">
        <f>IF(T3250&gt;0,RANK(T3250,(N3250:P3250,Q3250:AE3250)),0)</f>
        <v>7</v>
      </c>
      <c r="AZ3250" s="5">
        <f>IF(S3250&gt;0,RANK(S3250,(N3250:P3250,Q3250:AE3250)),0)</f>
        <v>4</v>
      </c>
      <c r="BA3250" s="2">
        <f t="shared" si="1281"/>
        <v>3.9743872819606979E-2</v>
      </c>
      <c r="BB3250" s="2">
        <f t="shared" si="1282"/>
        <v>7.9487745639213962E-3</v>
      </c>
      <c r="BC3250" s="2">
        <f t="shared" si="1283"/>
        <v>1.3247957606535659E-3</v>
      </c>
      <c r="BD3250" s="2">
        <f t="shared" si="1284"/>
        <v>1.81055420622654E-2</v>
      </c>
      <c r="BF3250" t="s">
        <v>1679</v>
      </c>
      <c r="BG3250" t="s">
        <v>1094</v>
      </c>
      <c r="BH3250" s="63">
        <v>1</v>
      </c>
      <c r="BJ3250" s="114">
        <v>56</v>
      </c>
      <c r="BK3250" s="116">
        <v>31</v>
      </c>
      <c r="BL3250" s="120">
        <f t="shared" si="1285"/>
        <v>56031</v>
      </c>
      <c r="BN3250" s="5" t="s">
        <v>3154</v>
      </c>
      <c r="BO3250" s="63">
        <v>44</v>
      </c>
      <c r="BP3250" s="63">
        <v>7</v>
      </c>
      <c r="BR3250" s="63"/>
    </row>
    <row r="3251" spans="1:70" hidden="1" outlineLevel="1">
      <c r="A3251" t="s">
        <v>303</v>
      </c>
      <c r="B3251" t="s">
        <v>1094</v>
      </c>
      <c r="C3251" s="1">
        <f t="shared" si="1276"/>
        <v>14510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0</v>
      </c>
      <c r="G3251" s="132">
        <f t="shared" si="1261"/>
        <v>7339</v>
      </c>
      <c r="H3251" s="137">
        <f t="shared" si="1262"/>
        <v>0.50578911095795998</v>
      </c>
      <c r="I3251" s="2"/>
      <c r="J3251" s="2">
        <f t="shared" si="1277"/>
        <v>0.20172294968986906</v>
      </c>
      <c r="K3251" s="2">
        <f t="shared" si="1278"/>
        <v>0.70751206064782912</v>
      </c>
      <c r="L3251" s="2">
        <f t="shared" si="1279"/>
        <v>0</v>
      </c>
      <c r="M3251" s="2">
        <f t="shared" si="1280"/>
        <v>9.0764989662301843E-2</v>
      </c>
      <c r="N3251" s="63">
        <v>2927</v>
      </c>
      <c r="O3251" s="63">
        <v>10266</v>
      </c>
      <c r="P3251" s="63"/>
      <c r="Q3251" s="63">
        <v>729</v>
      </c>
      <c r="R3251" s="63">
        <v>158</v>
      </c>
      <c r="S3251" s="63">
        <v>76</v>
      </c>
      <c r="T3251" s="63">
        <v>32</v>
      </c>
      <c r="U3251" s="63"/>
      <c r="V3251" s="63"/>
      <c r="W3251" s="63">
        <v>322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W3251" s="5">
        <f>IF(Q3251&gt;0,RANK(Q3251,(N3251:P3251,Q3251:AE3251)),0)</f>
        <v>3</v>
      </c>
      <c r="AX3251" s="5">
        <f>IF(R3251&gt;0,RANK(R3251,(N3251:P3251,Q3251:AE3251)),0)</f>
        <v>5</v>
      </c>
      <c r="AY3251" s="5">
        <f>IF(T3251&gt;0,RANK(T3251,(N3251:P3251,Q3251:AE3251)),0)</f>
        <v>7</v>
      </c>
      <c r="AZ3251" s="5">
        <f>IF(S3251&gt;0,RANK(S3251,(N3251:P3251,Q3251:AE3251)),0)</f>
        <v>6</v>
      </c>
      <c r="BA3251" s="2">
        <f t="shared" si="1281"/>
        <v>5.0241212956581668E-2</v>
      </c>
      <c r="BB3251" s="2">
        <f t="shared" si="1282"/>
        <v>1.0889042039972433E-2</v>
      </c>
      <c r="BC3251" s="2">
        <f t="shared" si="1283"/>
        <v>2.2053756030323913E-3</v>
      </c>
      <c r="BD3251" s="2">
        <f t="shared" si="1284"/>
        <v>5.2377670572019298E-3</v>
      </c>
      <c r="BF3251" t="s">
        <v>303</v>
      </c>
      <c r="BG3251" t="s">
        <v>1094</v>
      </c>
      <c r="BH3251" s="63">
        <v>1</v>
      </c>
      <c r="BJ3251" s="114">
        <v>56</v>
      </c>
      <c r="BK3251" s="116">
        <v>33</v>
      </c>
      <c r="BL3251" s="120">
        <f t="shared" si="1285"/>
        <v>56033</v>
      </c>
      <c r="BN3251" s="5" t="s">
        <v>3154</v>
      </c>
      <c r="BO3251" s="63">
        <v>176</v>
      </c>
      <c r="BP3251" s="63">
        <v>15</v>
      </c>
      <c r="BR3251" s="63"/>
    </row>
    <row r="3252" spans="1:70" hidden="1" outlineLevel="1">
      <c r="A3252" t="s">
        <v>2602</v>
      </c>
      <c r="B3252" t="s">
        <v>1094</v>
      </c>
      <c r="C3252" s="1">
        <f t="shared" si="1276"/>
        <v>4390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0</v>
      </c>
      <c r="G3252" s="132">
        <f t="shared" si="1261"/>
        <v>2765</v>
      </c>
      <c r="H3252" s="137">
        <f t="shared" si="1262"/>
        <v>0.62984054669703871</v>
      </c>
      <c r="I3252" s="2"/>
      <c r="J3252" s="2">
        <f t="shared" si="1277"/>
        <v>0.14669703872437356</v>
      </c>
      <c r="K3252" s="2">
        <f t="shared" si="1278"/>
        <v>0.77653758542141227</v>
      </c>
      <c r="L3252" s="2">
        <f t="shared" si="1279"/>
        <v>0</v>
      </c>
      <c r="M3252" s="2">
        <f t="shared" si="1280"/>
        <v>7.6765375854214168E-2</v>
      </c>
      <c r="N3252" s="63">
        <v>644</v>
      </c>
      <c r="O3252" s="63">
        <v>3409</v>
      </c>
      <c r="P3252" s="63"/>
      <c r="Q3252" s="63">
        <v>169</v>
      </c>
      <c r="R3252" s="63">
        <v>28</v>
      </c>
      <c r="S3252" s="63">
        <v>34</v>
      </c>
      <c r="T3252" s="63">
        <v>13</v>
      </c>
      <c r="U3252" s="63"/>
      <c r="V3252" s="63"/>
      <c r="W3252" s="63">
        <v>93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W3252" s="5">
        <f>IF(Q3252&gt;0,RANK(Q3252,(N3252:P3252,Q3252:AE3252)),0)</f>
        <v>3</v>
      </c>
      <c r="AX3252" s="5">
        <f>IF(R3252&gt;0,RANK(R3252,(N3252:P3252,Q3252:AE3252)),0)</f>
        <v>6</v>
      </c>
      <c r="AY3252" s="5">
        <f>IF(T3252&gt;0,RANK(T3252,(N3252:P3252,Q3252:AE3252)),0)</f>
        <v>7</v>
      </c>
      <c r="AZ3252" s="5">
        <f>IF(S3252&gt;0,RANK(S3252,(N3252:P3252,Q3252:AE3252)),0)</f>
        <v>5</v>
      </c>
      <c r="BA3252" s="2">
        <f t="shared" si="1281"/>
        <v>3.849658314350797E-2</v>
      </c>
      <c r="BB3252" s="2">
        <f t="shared" si="1282"/>
        <v>6.3781321184510249E-3</v>
      </c>
      <c r="BC3252" s="2">
        <f t="shared" si="1283"/>
        <v>2.96127562642369E-3</v>
      </c>
      <c r="BD3252" s="2">
        <f t="shared" si="1284"/>
        <v>7.7448747152619587E-3</v>
      </c>
      <c r="BF3252" t="s">
        <v>2602</v>
      </c>
      <c r="BG3252" t="s">
        <v>1094</v>
      </c>
      <c r="BH3252" s="63">
        <v>1</v>
      </c>
      <c r="BJ3252" s="114">
        <v>56</v>
      </c>
      <c r="BK3252" s="116">
        <v>35</v>
      </c>
      <c r="BL3252" s="120">
        <f t="shared" si="1285"/>
        <v>56035</v>
      </c>
      <c r="BN3252" s="5" t="s">
        <v>3154</v>
      </c>
      <c r="BO3252" s="63">
        <v>51</v>
      </c>
      <c r="BP3252" s="63">
        <v>1</v>
      </c>
      <c r="BR3252" s="63"/>
    </row>
    <row r="3253" spans="1:70" hidden="1" outlineLevel="1">
      <c r="A3253" t="s">
        <v>1928</v>
      </c>
      <c r="B3253" t="s">
        <v>1094</v>
      </c>
      <c r="C3253" s="1">
        <f t="shared" si="1276"/>
        <v>17130</v>
      </c>
      <c r="D3253" s="5">
        <f>IF(N3253&gt;0, RANK(N3253,(N3253:P3253,Q3253:AE3253)),0)</f>
        <v>2</v>
      </c>
      <c r="E3253" s="5">
        <f>IF(O3253&gt;0,RANK(O3253,(N3253:P3253,Q3253:AE3253)),0)</f>
        <v>1</v>
      </c>
      <c r="F3253" s="5">
        <f>IF(P3253&gt;0,RANK(P3253,(N3253:P3253,Q3253:AE3253)),0)</f>
        <v>0</v>
      </c>
      <c r="G3253" s="132">
        <f t="shared" si="1261"/>
        <v>8923</v>
      </c>
      <c r="H3253" s="137">
        <f t="shared" si="1262"/>
        <v>0.52089900758902508</v>
      </c>
      <c r="I3253" s="2"/>
      <c r="J3253" s="2">
        <f t="shared" si="1277"/>
        <v>0.18861646234676008</v>
      </c>
      <c r="K3253" s="2">
        <f t="shared" si="1278"/>
        <v>0.70951546993578518</v>
      </c>
      <c r="L3253" s="2">
        <f t="shared" si="1279"/>
        <v>0</v>
      </c>
      <c r="M3253" s="2">
        <f t="shared" si="1280"/>
        <v>0.10186806771745471</v>
      </c>
      <c r="N3253" s="63">
        <v>3231</v>
      </c>
      <c r="O3253" s="63">
        <v>12154</v>
      </c>
      <c r="P3253" s="63"/>
      <c r="Q3253" s="63">
        <v>928</v>
      </c>
      <c r="R3253" s="63">
        <v>152</v>
      </c>
      <c r="S3253" s="63">
        <v>130</v>
      </c>
      <c r="T3253" s="63">
        <v>65</v>
      </c>
      <c r="U3253" s="63"/>
      <c r="V3253" s="63"/>
      <c r="W3253" s="63">
        <v>470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W3253" s="5">
        <f>IF(Q3253&gt;0,RANK(Q3253,(N3253:P3253,Q3253:AE3253)),0)</f>
        <v>3</v>
      </c>
      <c r="AX3253" s="5">
        <f>IF(R3253&gt;0,RANK(R3253,(N3253:P3253,Q3253:AE3253)),0)</f>
        <v>5</v>
      </c>
      <c r="AY3253" s="5">
        <f>IF(T3253&gt;0,RANK(T3253,(N3253:P3253,Q3253:AE3253)),0)</f>
        <v>7</v>
      </c>
      <c r="AZ3253" s="5">
        <f>IF(S3253&gt;0,RANK(S3253,(N3253:P3253,Q3253:AE3253)),0)</f>
        <v>6</v>
      </c>
      <c r="BA3253" s="2">
        <f t="shared" si="1281"/>
        <v>5.4173963806187976E-2</v>
      </c>
      <c r="BB3253" s="2">
        <f t="shared" si="1282"/>
        <v>8.8733216579100996E-3</v>
      </c>
      <c r="BC3253" s="2">
        <f t="shared" si="1283"/>
        <v>3.7945125510799767E-3</v>
      </c>
      <c r="BD3253" s="2">
        <f t="shared" si="1284"/>
        <v>7.5890251021599534E-3</v>
      </c>
      <c r="BF3253" t="s">
        <v>1928</v>
      </c>
      <c r="BG3253" t="s">
        <v>1094</v>
      </c>
      <c r="BH3253" s="63">
        <v>1</v>
      </c>
      <c r="BJ3253" s="114">
        <v>56</v>
      </c>
      <c r="BK3253" s="116">
        <v>37</v>
      </c>
      <c r="BL3253" s="120">
        <f t="shared" si="1285"/>
        <v>56037</v>
      </c>
      <c r="BN3253" s="5" t="s">
        <v>3154</v>
      </c>
      <c r="BO3253" s="63">
        <v>165</v>
      </c>
      <c r="BP3253" s="63">
        <v>14</v>
      </c>
      <c r="BR3253" s="63"/>
    </row>
    <row r="3254" spans="1:70" hidden="1" outlineLevel="1">
      <c r="A3254" t="s">
        <v>2559</v>
      </c>
      <c r="B3254" t="s">
        <v>1094</v>
      </c>
      <c r="C3254" s="1">
        <f t="shared" si="1276"/>
        <v>12627</v>
      </c>
      <c r="D3254" s="5">
        <f>IF(N3254&gt;0, RANK(N3254,(N3254:P3254,Q3254:AE3254)),0)</f>
        <v>1</v>
      </c>
      <c r="E3254" s="5">
        <f>IF(O3254&gt;0,RANK(O3254,(N3254:P3254,Q3254:AE3254)),0)</f>
        <v>2</v>
      </c>
      <c r="F3254" s="5">
        <f>IF(P3254&gt;0,RANK(P3254,(N3254:P3254,Q3254:AE3254)),0)</f>
        <v>0</v>
      </c>
      <c r="G3254" s="132">
        <f t="shared" si="1261"/>
        <v>3393</v>
      </c>
      <c r="H3254" s="137">
        <f t="shared" si="1262"/>
        <v>0.26870990734141126</v>
      </c>
      <c r="I3254" s="2"/>
      <c r="J3254" s="2">
        <f t="shared" si="1277"/>
        <v>0.57923497267759561</v>
      </c>
      <c r="K3254" s="2">
        <f t="shared" si="1278"/>
        <v>0.31052506533618435</v>
      </c>
      <c r="L3254" s="2">
        <f t="shared" si="1279"/>
        <v>0</v>
      </c>
      <c r="M3254" s="2">
        <f t="shared" si="1280"/>
        <v>0.11023996198622005</v>
      </c>
      <c r="N3254" s="63">
        <v>7314</v>
      </c>
      <c r="O3254" s="63">
        <v>3921</v>
      </c>
      <c r="P3254" s="63"/>
      <c r="Q3254" s="63">
        <v>701</v>
      </c>
      <c r="R3254" s="63">
        <v>172</v>
      </c>
      <c r="S3254" s="63">
        <v>43</v>
      </c>
      <c r="T3254" s="63">
        <v>27</v>
      </c>
      <c r="U3254" s="63"/>
      <c r="V3254" s="63"/>
      <c r="W3254" s="63">
        <v>449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W3254" s="5">
        <f>IF(Q3254&gt;0,RANK(Q3254,(N3254:P3254,Q3254:AE3254)),0)</f>
        <v>3</v>
      </c>
      <c r="AX3254" s="5">
        <f>IF(R3254&gt;0,RANK(R3254,(N3254:P3254,Q3254:AE3254)),0)</f>
        <v>5</v>
      </c>
      <c r="AY3254" s="5">
        <f>IF(T3254&gt;0,RANK(T3254,(N3254:P3254,Q3254:AE3254)),0)</f>
        <v>7</v>
      </c>
      <c r="AZ3254" s="5">
        <f>IF(S3254&gt;0,RANK(S3254,(N3254:P3254,Q3254:AE3254)),0)</f>
        <v>6</v>
      </c>
      <c r="BA3254" s="2">
        <f t="shared" si="1281"/>
        <v>5.5515957868060503E-2</v>
      </c>
      <c r="BB3254" s="2">
        <f t="shared" si="1282"/>
        <v>1.36216044982973E-2</v>
      </c>
      <c r="BC3254" s="2">
        <f t="shared" si="1283"/>
        <v>2.1382751247327157E-3</v>
      </c>
      <c r="BD3254" s="2">
        <f t="shared" si="1284"/>
        <v>3.405401124574325E-3</v>
      </c>
      <c r="BF3254" t="s">
        <v>2559</v>
      </c>
      <c r="BG3254" t="s">
        <v>1094</v>
      </c>
      <c r="BH3254" s="63">
        <v>1</v>
      </c>
      <c r="BJ3254" s="114">
        <v>56</v>
      </c>
      <c r="BK3254" s="116">
        <v>39</v>
      </c>
      <c r="BL3254" s="120">
        <f t="shared" si="1285"/>
        <v>56039</v>
      </c>
      <c r="BN3254" s="5" t="s">
        <v>3154</v>
      </c>
      <c r="BO3254" s="63">
        <v>162</v>
      </c>
      <c r="BP3254" s="63">
        <v>6</v>
      </c>
      <c r="BR3254" s="63"/>
    </row>
    <row r="3255" spans="1:70" hidden="1" outlineLevel="1">
      <c r="A3255" t="s">
        <v>1244</v>
      </c>
      <c r="B3255" t="s">
        <v>1094</v>
      </c>
      <c r="C3255" s="1">
        <f t="shared" si="1276"/>
        <v>8470</v>
      </c>
      <c r="D3255" s="5">
        <f>IF(N3255&gt;0, RANK(N3255,(N3255:P3255,Q3255:AE3255)),0)</f>
        <v>2</v>
      </c>
      <c r="E3255" s="5">
        <f>IF(O3255&gt;0,RANK(O3255,(N3255:P3255,Q3255:AE3255)),0)</f>
        <v>1</v>
      </c>
      <c r="F3255" s="5">
        <f>IF(P3255&gt;0,RANK(P3255,(N3255:P3255,Q3255:AE3255)),0)</f>
        <v>0</v>
      </c>
      <c r="G3255" s="132">
        <f t="shared" si="1261"/>
        <v>4952</v>
      </c>
      <c r="H3255" s="137">
        <f t="shared" si="1262"/>
        <v>0.58465171192443921</v>
      </c>
      <c r="I3255" s="2"/>
      <c r="J3255" s="2">
        <f t="shared" si="1277"/>
        <v>0.14191263282172373</v>
      </c>
      <c r="K3255" s="2">
        <f t="shared" si="1278"/>
        <v>0.72656434474616294</v>
      </c>
      <c r="L3255" s="2">
        <f t="shared" si="1279"/>
        <v>0</v>
      </c>
      <c r="M3255" s="2">
        <f t="shared" si="1280"/>
        <v>0.13152302243211333</v>
      </c>
      <c r="N3255" s="63">
        <v>1202</v>
      </c>
      <c r="O3255" s="63">
        <v>6154</v>
      </c>
      <c r="P3255" s="63"/>
      <c r="Q3255" s="63">
        <v>472</v>
      </c>
      <c r="R3255" s="63">
        <v>79</v>
      </c>
      <c r="S3255" s="63">
        <v>116</v>
      </c>
      <c r="T3255" s="63">
        <v>30</v>
      </c>
      <c r="U3255" s="63"/>
      <c r="V3255" s="63"/>
      <c r="W3255" s="63">
        <v>417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W3255" s="5">
        <f>IF(Q3255&gt;0,RANK(Q3255,(N3255:P3255,Q3255:AE3255)),0)</f>
        <v>3</v>
      </c>
      <c r="AX3255" s="5">
        <f>IF(R3255&gt;0,RANK(R3255,(N3255:P3255,Q3255:AE3255)),0)</f>
        <v>6</v>
      </c>
      <c r="AY3255" s="5">
        <f>IF(T3255&gt;0,RANK(T3255,(N3255:P3255,Q3255:AE3255)),0)</f>
        <v>7</v>
      </c>
      <c r="AZ3255" s="5">
        <f>IF(S3255&gt;0,RANK(S3255,(N3255:P3255,Q3255:AE3255)),0)</f>
        <v>5</v>
      </c>
      <c r="BA3255" s="2">
        <f t="shared" si="1281"/>
        <v>5.5726092089728452E-2</v>
      </c>
      <c r="BB3255" s="2">
        <f t="shared" si="1282"/>
        <v>9.3270365997638726E-3</v>
      </c>
      <c r="BC3255" s="2">
        <f t="shared" si="1283"/>
        <v>3.5419126328217238E-3</v>
      </c>
      <c r="BD3255" s="2">
        <f t="shared" si="1284"/>
        <v>1.3695395513577333E-2</v>
      </c>
      <c r="BF3255" t="s">
        <v>1244</v>
      </c>
      <c r="BG3255" t="s">
        <v>1094</v>
      </c>
      <c r="BH3255" s="63">
        <v>1</v>
      </c>
      <c r="BJ3255" s="114">
        <v>56</v>
      </c>
      <c r="BK3255" s="116">
        <v>41</v>
      </c>
      <c r="BL3255" s="120">
        <f t="shared" si="1285"/>
        <v>56041</v>
      </c>
      <c r="BN3255" s="5" t="s">
        <v>3154</v>
      </c>
      <c r="BO3255" s="63">
        <v>86</v>
      </c>
      <c r="BP3255" s="63">
        <v>14</v>
      </c>
      <c r="BR3255" s="63"/>
    </row>
    <row r="3256" spans="1:70" hidden="1" outlineLevel="1">
      <c r="A3256" t="s">
        <v>2600</v>
      </c>
      <c r="B3256" t="s">
        <v>1094</v>
      </c>
      <c r="C3256" s="1">
        <f t="shared" si="1276"/>
        <v>3814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0</v>
      </c>
      <c r="G3256" s="132">
        <f t="shared" si="1261"/>
        <v>2379</v>
      </c>
      <c r="H3256" s="137">
        <f t="shared" si="1262"/>
        <v>0.62375458835867859</v>
      </c>
      <c r="I3256" s="2"/>
      <c r="J3256" s="2">
        <f t="shared" si="1277"/>
        <v>0.13948610382800208</v>
      </c>
      <c r="K3256" s="2">
        <f t="shared" si="1278"/>
        <v>0.76324069218668067</v>
      </c>
      <c r="L3256" s="2">
        <f t="shared" si="1279"/>
        <v>0</v>
      </c>
      <c r="M3256" s="2">
        <f t="shared" si="1280"/>
        <v>9.7273203985317247E-2</v>
      </c>
      <c r="N3256" s="63">
        <v>532</v>
      </c>
      <c r="O3256" s="63">
        <v>2911</v>
      </c>
      <c r="P3256" s="63"/>
      <c r="Q3256" s="63">
        <v>194</v>
      </c>
      <c r="R3256" s="63">
        <v>37</v>
      </c>
      <c r="S3256" s="63">
        <v>31</v>
      </c>
      <c r="T3256" s="63">
        <v>10</v>
      </c>
      <c r="U3256" s="63"/>
      <c r="V3256" s="63"/>
      <c r="W3256" s="63">
        <v>99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W3256" s="5">
        <f>IF(Q3256&gt;0,RANK(Q3256,(N3256:P3256,Q3256:AE3256)),0)</f>
        <v>3</v>
      </c>
      <c r="AX3256" s="5">
        <f>IF(R3256&gt;0,RANK(R3256,(N3256:P3256,Q3256:AE3256)),0)</f>
        <v>5</v>
      </c>
      <c r="AY3256" s="5">
        <f>IF(T3256&gt;0,RANK(T3256,(N3256:P3256,Q3256:AE3256)),0)</f>
        <v>7</v>
      </c>
      <c r="AZ3256" s="5">
        <f>IF(S3256&gt;0,RANK(S3256,(N3256:P3256,Q3256:AE3256)),0)</f>
        <v>6</v>
      </c>
      <c r="BA3256" s="2">
        <f t="shared" si="1281"/>
        <v>5.0865233350812798E-2</v>
      </c>
      <c r="BB3256" s="2">
        <f t="shared" si="1282"/>
        <v>9.7011012060828523E-3</v>
      </c>
      <c r="BC3256" s="2">
        <f t="shared" si="1283"/>
        <v>2.6219192448872575E-3</v>
      </c>
      <c r="BD3256" s="2">
        <f t="shared" si="1284"/>
        <v>8.1279496591504987E-3</v>
      </c>
      <c r="BF3256" t="s">
        <v>2600</v>
      </c>
      <c r="BG3256" t="s">
        <v>1094</v>
      </c>
      <c r="BH3256" s="63">
        <v>1</v>
      </c>
      <c r="BJ3256" s="114">
        <v>56</v>
      </c>
      <c r="BK3256" s="116">
        <v>43</v>
      </c>
      <c r="BL3256" s="120">
        <f t="shared" si="1285"/>
        <v>56043</v>
      </c>
      <c r="BN3256" s="5" t="s">
        <v>3154</v>
      </c>
      <c r="BO3256" s="63">
        <v>45</v>
      </c>
      <c r="BP3256" s="63">
        <v>6</v>
      </c>
      <c r="BR3256" s="63"/>
    </row>
    <row r="3257" spans="1:70" hidden="1" outlineLevel="1">
      <c r="A3257" t="s">
        <v>1430</v>
      </c>
      <c r="B3257" t="s">
        <v>1094</v>
      </c>
      <c r="C3257" s="1">
        <f t="shared" si="1276"/>
        <v>3526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0</v>
      </c>
      <c r="G3257" s="132">
        <f t="shared" si="1261"/>
        <v>2734</v>
      </c>
      <c r="H3257" s="137">
        <f t="shared" si="1262"/>
        <v>0.77538287010777085</v>
      </c>
      <c r="I3257" s="2"/>
      <c r="J3257" s="2">
        <f t="shared" si="1277"/>
        <v>8.4798638684061262E-2</v>
      </c>
      <c r="K3257" s="2">
        <f t="shared" si="1278"/>
        <v>0.86018150879183208</v>
      </c>
      <c r="L3257" s="2">
        <f t="shared" si="1279"/>
        <v>0</v>
      </c>
      <c r="M3257" s="2">
        <f t="shared" si="1280"/>
        <v>5.5019852524106683E-2</v>
      </c>
      <c r="N3257" s="63">
        <v>299</v>
      </c>
      <c r="O3257" s="63">
        <v>3033</v>
      </c>
      <c r="P3257" s="63"/>
      <c r="Q3257" s="63">
        <v>108</v>
      </c>
      <c r="R3257" s="63">
        <v>10</v>
      </c>
      <c r="S3257" s="63">
        <v>29</v>
      </c>
      <c r="T3257" s="63">
        <v>6</v>
      </c>
      <c r="U3257" s="63"/>
      <c r="V3257" s="63"/>
      <c r="W3257" s="63">
        <v>41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W3257" s="5">
        <f>IF(Q3257&gt;0,RANK(Q3257,(N3257:P3257,Q3257:AE3257)),0)</f>
        <v>3</v>
      </c>
      <c r="AX3257" s="5">
        <f>IF(R3257&gt;0,RANK(R3257,(N3257:P3257,Q3257:AE3257)),0)</f>
        <v>6</v>
      </c>
      <c r="AY3257" s="5">
        <f>IF(T3257&gt;0,RANK(T3257,(N3257:P3257,Q3257:AE3257)),0)</f>
        <v>7</v>
      </c>
      <c r="AZ3257" s="5">
        <f>IF(S3257&gt;0,RANK(S3257,(N3257:P3257,Q3257:AE3257)),0)</f>
        <v>5</v>
      </c>
      <c r="BA3257" s="2">
        <f t="shared" si="1281"/>
        <v>3.0629608621667612E-2</v>
      </c>
      <c r="BB3257" s="2">
        <f t="shared" si="1282"/>
        <v>2.8360748723766306E-3</v>
      </c>
      <c r="BC3257" s="2">
        <f t="shared" si="1283"/>
        <v>1.7016449234259785E-3</v>
      </c>
      <c r="BD3257" s="2">
        <f t="shared" si="1284"/>
        <v>8.224617129892229E-3</v>
      </c>
      <c r="BF3257" t="s">
        <v>1430</v>
      </c>
      <c r="BG3257" t="s">
        <v>1094</v>
      </c>
      <c r="BH3257" s="63">
        <v>1</v>
      </c>
      <c r="BJ3257" s="114">
        <v>56</v>
      </c>
      <c r="BK3257" s="116">
        <v>45</v>
      </c>
      <c r="BL3257" s="120">
        <f t="shared" si="1285"/>
        <v>56045</v>
      </c>
      <c r="BN3257" s="5" t="s">
        <v>3154</v>
      </c>
      <c r="BO3257" s="63">
        <v>43</v>
      </c>
      <c r="BP3257" s="63">
        <v>3</v>
      </c>
      <c r="BR3257" s="63"/>
    </row>
    <row r="3258" spans="1:70" collapsed="1">
      <c r="A3258" t="s">
        <v>709</v>
      </c>
      <c r="B3258" t="s">
        <v>544</v>
      </c>
      <c r="C3258" s="1">
        <f t="shared" si="1276"/>
        <v>255849</v>
      </c>
      <c r="D3258" s="5">
        <f>IF(N3258&gt;0, RANK(N3258,(N3258:P3258,Q3258:AE3258)),0)</f>
        <v>2</v>
      </c>
      <c r="E3258" s="5">
        <f>IF(O3258&gt;0,RANK(O3258,(N3258:P3258,Q3258:AE3258)),0)</f>
        <v>1</v>
      </c>
      <c r="F3258" s="5">
        <f>IF(P3258&gt;0,RANK(P3258,(N3258:P3258,Q3258:AE3258)),0)</f>
        <v>0</v>
      </c>
      <c r="G3258" s="132">
        <f t="shared" si="1261"/>
        <v>118446</v>
      </c>
      <c r="H3258" s="137">
        <f t="shared" si="1262"/>
        <v>0.462952757290433</v>
      </c>
      <c r="I3258" s="2"/>
      <c r="J3258" s="2">
        <f t="shared" si="1277"/>
        <v>0.21877357347497939</v>
      </c>
      <c r="K3258" s="2">
        <f t="shared" si="1278"/>
        <v>0.68172633076541245</v>
      </c>
      <c r="L3258" s="2">
        <f t="shared" si="1279"/>
        <v>0</v>
      </c>
      <c r="M3258" s="2">
        <f t="shared" si="1280"/>
        <v>9.9500095759608165E-2</v>
      </c>
      <c r="N3258" s="63">
        <f t="shared" ref="N3258:W3258" si="1286">SUM(N3235:N3257)</f>
        <v>55973</v>
      </c>
      <c r="O3258" s="63">
        <f t="shared" si="1286"/>
        <v>174419</v>
      </c>
      <c r="P3258" s="63"/>
      <c r="Q3258" s="63">
        <f t="shared" si="1286"/>
        <v>13287</v>
      </c>
      <c r="R3258" s="63">
        <f t="shared" si="1286"/>
        <v>2515</v>
      </c>
      <c r="S3258" s="63">
        <f t="shared" si="1286"/>
        <v>2042</v>
      </c>
      <c r="T3258" s="63">
        <f t="shared" si="1286"/>
        <v>709</v>
      </c>
      <c r="U3258" s="63"/>
      <c r="V3258" s="63"/>
      <c r="W3258" s="63">
        <f t="shared" si="1286"/>
        <v>6904</v>
      </c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W3258" s="5">
        <f>IF(Q3258&gt;0,RANK(Q3258,(N3258:P3258,Q3258:AE3258)),0)</f>
        <v>3</v>
      </c>
      <c r="AX3258" s="5">
        <f>IF(R3258&gt;0,RANK(R3258,(N3258:P3258,Q3258:AE3258)),0)</f>
        <v>5</v>
      </c>
      <c r="AY3258" s="5">
        <f>IF(T3258&gt;0,RANK(T3258,(N3258:P3258,Q3258:AE3258)),0)</f>
        <v>7</v>
      </c>
      <c r="AZ3258" s="5">
        <f>IF(S3258&gt;0,RANK(S3258,(N3258:P3258,Q3258:AE3258)),0)</f>
        <v>6</v>
      </c>
      <c r="BA3258" s="2">
        <f t="shared" si="1281"/>
        <v>5.1932976091366392E-2</v>
      </c>
      <c r="BB3258" s="2">
        <f t="shared" si="1282"/>
        <v>9.8300169240450423E-3</v>
      </c>
      <c r="BC3258" s="2">
        <f t="shared" si="1283"/>
        <v>2.7711658048301929E-3</v>
      </c>
      <c r="BD3258" s="2">
        <f t="shared" si="1284"/>
        <v>7.9812702023459147E-3</v>
      </c>
      <c r="BF3258" t="s">
        <v>709</v>
      </c>
      <c r="BG3258" t="s">
        <v>544</v>
      </c>
      <c r="BJ3258" s="114">
        <v>56</v>
      </c>
      <c r="BK3258" s="116"/>
      <c r="BL3258" s="114">
        <v>56</v>
      </c>
      <c r="BN3258" s="5" t="s">
        <v>711</v>
      </c>
      <c r="BO3258" s="63">
        <f>SUM(BO3235:BO3257)</f>
        <v>2661</v>
      </c>
      <c r="BP3258" s="63">
        <f>SUM(BP3235:BP3257)</f>
        <v>278</v>
      </c>
      <c r="BR3258" s="63"/>
    </row>
    <row r="3259" spans="1:70">
      <c r="C3259" s="1"/>
      <c r="E3259" s="5"/>
      <c r="F3259" s="5"/>
      <c r="I3259" s="2"/>
      <c r="AW3259" s="5"/>
      <c r="AX3259" s="5"/>
      <c r="AY3259" s="5"/>
      <c r="AZ3259" s="5"/>
      <c r="BJ3259" s="114"/>
      <c r="BK3259" s="116"/>
      <c r="BL3259" s="120"/>
    </row>
    <row r="3260" spans="1:70">
      <c r="A3260" s="62"/>
      <c r="C3260" s="1"/>
      <c r="E3260" s="5"/>
      <c r="F3260" s="5"/>
      <c r="I3260" s="2"/>
      <c r="AW3260" s="5"/>
      <c r="AX3260" s="5"/>
      <c r="AY3260" s="5"/>
      <c r="AZ3260" s="5"/>
      <c r="BJ3260" s="114"/>
      <c r="BK3260" s="116"/>
      <c r="BL3260" s="120"/>
    </row>
    <row r="3261" spans="1:70">
      <c r="A3261" s="62"/>
      <c r="BJ3261" s="114"/>
      <c r="BK3261" s="116"/>
      <c r="BL3261" s="120"/>
    </row>
    <row r="3262" spans="1:70">
      <c r="BJ3262" s="114"/>
      <c r="BK3262" s="116"/>
      <c r="BL3262" s="120"/>
    </row>
    <row r="3263" spans="1:70">
      <c r="BJ3263" s="114"/>
      <c r="BK3263" s="116"/>
      <c r="BL3263" s="120"/>
    </row>
    <row r="3264" spans="1:70" hidden="1" outlineLevel="1">
      <c r="A3264" t="s">
        <v>2298</v>
      </c>
      <c r="B3264" t="s">
        <v>493</v>
      </c>
      <c r="BF3264" t="s">
        <v>2298</v>
      </c>
      <c r="BG3264" t="s">
        <v>493</v>
      </c>
      <c r="BJ3264" s="114">
        <v>72</v>
      </c>
      <c r="BK3264" s="116">
        <v>1</v>
      </c>
      <c r="BL3264" s="120"/>
      <c r="BN3264" s="5" t="s">
        <v>1099</v>
      </c>
    </row>
    <row r="3265" spans="1:66" hidden="1" outlineLevel="1">
      <c r="A3265" t="s">
        <v>1108</v>
      </c>
      <c r="B3265" t="s">
        <v>493</v>
      </c>
      <c r="BF3265" t="s">
        <v>1108</v>
      </c>
      <c r="BG3265" t="s">
        <v>493</v>
      </c>
      <c r="BJ3265" s="114">
        <v>72</v>
      </c>
      <c r="BK3265" s="116">
        <v>3</v>
      </c>
      <c r="BL3265" s="120"/>
      <c r="BN3265" s="5" t="s">
        <v>1099</v>
      </c>
    </row>
    <row r="3266" spans="1:66" hidden="1" outlineLevel="1">
      <c r="A3266" t="s">
        <v>604</v>
      </c>
      <c r="B3266" t="s">
        <v>493</v>
      </c>
      <c r="BF3266" t="s">
        <v>604</v>
      </c>
      <c r="BG3266" t="s">
        <v>493</v>
      </c>
      <c r="BJ3266" s="114">
        <v>72</v>
      </c>
      <c r="BK3266" s="116">
        <v>5</v>
      </c>
      <c r="BL3266" s="120"/>
      <c r="BN3266" s="5" t="s">
        <v>1099</v>
      </c>
    </row>
    <row r="3267" spans="1:66" hidden="1" outlineLevel="1">
      <c r="A3267" t="s">
        <v>1760</v>
      </c>
      <c r="B3267" t="s">
        <v>493</v>
      </c>
      <c r="BF3267" t="s">
        <v>1760</v>
      </c>
      <c r="BG3267" t="s">
        <v>493</v>
      </c>
      <c r="BJ3267" s="114">
        <v>72</v>
      </c>
      <c r="BK3267" s="116">
        <v>7</v>
      </c>
      <c r="BL3267" s="120"/>
      <c r="BN3267" s="5" t="s">
        <v>1099</v>
      </c>
    </row>
    <row r="3268" spans="1:66" hidden="1" outlineLevel="1">
      <c r="A3268" t="s">
        <v>371</v>
      </c>
      <c r="B3268" t="s">
        <v>493</v>
      </c>
      <c r="BF3268" t="s">
        <v>371</v>
      </c>
      <c r="BG3268" t="s">
        <v>493</v>
      </c>
      <c r="BJ3268" s="114">
        <v>72</v>
      </c>
      <c r="BK3268" s="116">
        <v>9</v>
      </c>
      <c r="BL3268" s="120"/>
      <c r="BN3268" s="5" t="s">
        <v>1099</v>
      </c>
    </row>
    <row r="3269" spans="1:66" hidden="1" outlineLevel="1">
      <c r="A3269" t="s">
        <v>999</v>
      </c>
      <c r="B3269" t="s">
        <v>493</v>
      </c>
      <c r="BF3269" t="s">
        <v>999</v>
      </c>
      <c r="BG3269" t="s">
        <v>493</v>
      </c>
      <c r="BJ3269" s="114">
        <v>72</v>
      </c>
      <c r="BK3269" s="116">
        <v>11</v>
      </c>
      <c r="BL3269" s="120"/>
      <c r="BN3269" s="5" t="s">
        <v>1099</v>
      </c>
    </row>
    <row r="3270" spans="1:66" hidden="1" outlineLevel="1">
      <c r="A3270" t="s">
        <v>1015</v>
      </c>
      <c r="B3270" t="s">
        <v>493</v>
      </c>
      <c r="BF3270" t="s">
        <v>1015</v>
      </c>
      <c r="BG3270" t="s">
        <v>493</v>
      </c>
      <c r="BJ3270" s="114">
        <v>72</v>
      </c>
      <c r="BK3270" s="116">
        <v>13</v>
      </c>
      <c r="BL3270" s="120"/>
      <c r="BN3270" s="5" t="s">
        <v>1099</v>
      </c>
    </row>
    <row r="3271" spans="1:66" hidden="1" outlineLevel="1">
      <c r="A3271" t="s">
        <v>344</v>
      </c>
      <c r="B3271" t="s">
        <v>493</v>
      </c>
      <c r="BF3271" t="s">
        <v>344</v>
      </c>
      <c r="BG3271" t="s">
        <v>493</v>
      </c>
      <c r="BJ3271" s="114">
        <v>72</v>
      </c>
      <c r="BK3271" s="116">
        <v>15</v>
      </c>
      <c r="BL3271" s="120"/>
      <c r="BN3271" s="5" t="s">
        <v>1099</v>
      </c>
    </row>
    <row r="3272" spans="1:66" hidden="1" outlineLevel="1">
      <c r="A3272" t="s">
        <v>315</v>
      </c>
      <c r="B3272" t="s">
        <v>493</v>
      </c>
      <c r="BF3272" t="s">
        <v>315</v>
      </c>
      <c r="BG3272" t="s">
        <v>493</v>
      </c>
      <c r="BJ3272" s="114">
        <v>72</v>
      </c>
      <c r="BK3272" s="116">
        <v>17</v>
      </c>
      <c r="BL3272" s="120"/>
      <c r="BN3272" s="5" t="s">
        <v>1099</v>
      </c>
    </row>
    <row r="3273" spans="1:66" hidden="1" outlineLevel="1">
      <c r="A3273" t="s">
        <v>314</v>
      </c>
      <c r="B3273" t="s">
        <v>493</v>
      </c>
      <c r="BF3273" t="s">
        <v>314</v>
      </c>
      <c r="BG3273" t="s">
        <v>493</v>
      </c>
      <c r="BJ3273" s="114">
        <v>72</v>
      </c>
      <c r="BK3273" s="116">
        <v>19</v>
      </c>
      <c r="BL3273" s="120"/>
      <c r="BN3273" s="5" t="s">
        <v>1099</v>
      </c>
    </row>
    <row r="3274" spans="1:66" hidden="1" outlineLevel="1">
      <c r="A3274" t="s">
        <v>812</v>
      </c>
      <c r="B3274" t="s">
        <v>493</v>
      </c>
      <c r="BF3274" t="s">
        <v>812</v>
      </c>
      <c r="BG3274" t="s">
        <v>493</v>
      </c>
      <c r="BJ3274" s="114">
        <v>72</v>
      </c>
      <c r="BK3274" s="116">
        <v>21</v>
      </c>
      <c r="BL3274" s="120"/>
      <c r="BN3274" s="5" t="s">
        <v>1099</v>
      </c>
    </row>
    <row r="3275" spans="1:66" hidden="1" outlineLevel="1">
      <c r="A3275" t="s">
        <v>967</v>
      </c>
      <c r="B3275" t="s">
        <v>493</v>
      </c>
      <c r="BF3275" t="s">
        <v>967</v>
      </c>
      <c r="BG3275" t="s">
        <v>493</v>
      </c>
      <c r="BJ3275" s="114">
        <v>72</v>
      </c>
      <c r="BK3275" s="116">
        <v>23</v>
      </c>
      <c r="BL3275" s="120"/>
      <c r="BN3275" s="5" t="s">
        <v>1099</v>
      </c>
    </row>
    <row r="3276" spans="1:66" hidden="1" outlineLevel="1">
      <c r="A3276" t="s">
        <v>1414</v>
      </c>
      <c r="B3276" t="s">
        <v>493</v>
      </c>
      <c r="BF3276" t="s">
        <v>1414</v>
      </c>
      <c r="BG3276" t="s">
        <v>493</v>
      </c>
      <c r="BJ3276" s="114">
        <v>72</v>
      </c>
      <c r="BK3276" s="116">
        <v>25</v>
      </c>
      <c r="BL3276" s="120"/>
      <c r="BN3276" s="5" t="s">
        <v>1099</v>
      </c>
    </row>
    <row r="3277" spans="1:66" hidden="1" outlineLevel="1">
      <c r="A3277" t="s">
        <v>1677</v>
      </c>
      <c r="B3277" t="s">
        <v>493</v>
      </c>
      <c r="BF3277" t="s">
        <v>1677</v>
      </c>
      <c r="BG3277" t="s">
        <v>493</v>
      </c>
      <c r="BJ3277" s="114">
        <v>72</v>
      </c>
      <c r="BK3277" s="116">
        <v>27</v>
      </c>
      <c r="BL3277" s="120"/>
      <c r="BN3277" s="5" t="s">
        <v>1099</v>
      </c>
    </row>
    <row r="3278" spans="1:66" hidden="1" outlineLevel="1">
      <c r="A3278" t="s">
        <v>494</v>
      </c>
      <c r="B3278" t="s">
        <v>493</v>
      </c>
      <c r="BF3278" t="s">
        <v>494</v>
      </c>
      <c r="BG3278" t="s">
        <v>493</v>
      </c>
      <c r="BJ3278" s="114">
        <v>72</v>
      </c>
      <c r="BK3278" s="116">
        <v>29</v>
      </c>
      <c r="BL3278" s="120"/>
      <c r="BN3278" s="5" t="s">
        <v>1099</v>
      </c>
    </row>
    <row r="3279" spans="1:66" hidden="1" outlineLevel="1">
      <c r="A3279" t="s">
        <v>495</v>
      </c>
      <c r="B3279" t="s">
        <v>493</v>
      </c>
      <c r="BF3279" t="s">
        <v>495</v>
      </c>
      <c r="BG3279" t="s">
        <v>493</v>
      </c>
      <c r="BJ3279" s="114">
        <v>72</v>
      </c>
      <c r="BK3279" s="116">
        <v>31</v>
      </c>
      <c r="BL3279" s="120"/>
      <c r="BN3279" s="5" t="s">
        <v>1099</v>
      </c>
    </row>
    <row r="3280" spans="1:66" hidden="1" outlineLevel="1">
      <c r="A3280" t="s">
        <v>1491</v>
      </c>
      <c r="B3280" t="s">
        <v>493</v>
      </c>
      <c r="BF3280" t="s">
        <v>1491</v>
      </c>
      <c r="BG3280" t="s">
        <v>493</v>
      </c>
      <c r="BJ3280" s="114">
        <v>72</v>
      </c>
      <c r="BK3280" s="116">
        <v>33</v>
      </c>
      <c r="BL3280" s="120"/>
      <c r="BN3280" s="5" t="s">
        <v>1099</v>
      </c>
    </row>
    <row r="3281" spans="1:66" hidden="1" outlineLevel="1">
      <c r="A3281" t="s">
        <v>675</v>
      </c>
      <c r="B3281" t="s">
        <v>493</v>
      </c>
      <c r="BF3281" t="s">
        <v>675</v>
      </c>
      <c r="BG3281" t="s">
        <v>493</v>
      </c>
      <c r="BJ3281" s="114">
        <v>72</v>
      </c>
      <c r="BK3281" s="116">
        <v>35</v>
      </c>
      <c r="BL3281" s="120"/>
      <c r="BN3281" s="5" t="s">
        <v>1099</v>
      </c>
    </row>
    <row r="3282" spans="1:66" hidden="1" outlineLevel="1">
      <c r="A3282" t="s">
        <v>715</v>
      </c>
      <c r="B3282" t="s">
        <v>493</v>
      </c>
      <c r="BF3282" t="s">
        <v>715</v>
      </c>
      <c r="BG3282" t="s">
        <v>493</v>
      </c>
      <c r="BJ3282" s="114">
        <v>72</v>
      </c>
      <c r="BK3282" s="116">
        <v>37</v>
      </c>
      <c r="BL3282" s="120"/>
      <c r="BN3282" s="5" t="s">
        <v>1099</v>
      </c>
    </row>
    <row r="3283" spans="1:66" hidden="1" outlineLevel="1">
      <c r="A3283" t="s">
        <v>1202</v>
      </c>
      <c r="B3283" t="s">
        <v>493</v>
      </c>
      <c r="BF3283" t="s">
        <v>1202</v>
      </c>
      <c r="BG3283" t="s">
        <v>493</v>
      </c>
      <c r="BJ3283" s="114">
        <v>72</v>
      </c>
      <c r="BK3283" s="116">
        <v>39</v>
      </c>
      <c r="BL3283" s="120"/>
      <c r="BN3283" s="5" t="s">
        <v>1099</v>
      </c>
    </row>
    <row r="3284" spans="1:66" hidden="1" outlineLevel="1">
      <c r="A3284" t="s">
        <v>2408</v>
      </c>
      <c r="B3284" t="s">
        <v>493</v>
      </c>
      <c r="BF3284" t="s">
        <v>2408</v>
      </c>
      <c r="BG3284" t="s">
        <v>493</v>
      </c>
      <c r="BJ3284" s="114">
        <v>72</v>
      </c>
      <c r="BK3284" s="116">
        <v>41</v>
      </c>
      <c r="BL3284" s="120"/>
      <c r="BN3284" s="5" t="s">
        <v>1099</v>
      </c>
    </row>
    <row r="3285" spans="1:66" hidden="1" outlineLevel="1">
      <c r="A3285" t="s">
        <v>2409</v>
      </c>
      <c r="B3285" t="s">
        <v>493</v>
      </c>
      <c r="BF3285" t="s">
        <v>2409</v>
      </c>
      <c r="BG3285" t="s">
        <v>493</v>
      </c>
      <c r="BJ3285" s="114">
        <v>72</v>
      </c>
      <c r="BK3285" s="116">
        <v>43</v>
      </c>
      <c r="BL3285" s="120"/>
      <c r="BN3285" s="5" t="s">
        <v>1099</v>
      </c>
    </row>
    <row r="3286" spans="1:66" hidden="1" outlineLevel="1">
      <c r="A3286" t="s">
        <v>1215</v>
      </c>
      <c r="B3286" t="s">
        <v>493</v>
      </c>
      <c r="BF3286" t="s">
        <v>1215</v>
      </c>
      <c r="BG3286" t="s">
        <v>493</v>
      </c>
      <c r="BJ3286" s="114">
        <v>72</v>
      </c>
      <c r="BK3286" s="116">
        <v>45</v>
      </c>
      <c r="BL3286" s="120"/>
      <c r="BN3286" s="5" t="s">
        <v>1099</v>
      </c>
    </row>
    <row r="3287" spans="1:66" hidden="1" outlineLevel="1">
      <c r="A3287" t="s">
        <v>2581</v>
      </c>
      <c r="B3287" t="s">
        <v>493</v>
      </c>
      <c r="BF3287" t="s">
        <v>2581</v>
      </c>
      <c r="BG3287" t="s">
        <v>493</v>
      </c>
      <c r="BJ3287" s="114">
        <v>72</v>
      </c>
      <c r="BK3287" s="116">
        <v>47</v>
      </c>
      <c r="BL3287" s="120"/>
      <c r="BN3287" s="5" t="s">
        <v>1099</v>
      </c>
    </row>
    <row r="3288" spans="1:66" hidden="1" outlineLevel="1">
      <c r="A3288" t="s">
        <v>2915</v>
      </c>
      <c r="B3288" t="s">
        <v>493</v>
      </c>
      <c r="BF3288" t="s">
        <v>2915</v>
      </c>
      <c r="BG3288" t="s">
        <v>493</v>
      </c>
      <c r="BJ3288" s="114">
        <v>72</v>
      </c>
      <c r="BK3288" s="116">
        <v>49</v>
      </c>
      <c r="BL3288" s="120"/>
      <c r="BN3288" s="5" t="s">
        <v>1099</v>
      </c>
    </row>
    <row r="3289" spans="1:66" hidden="1" outlineLevel="1">
      <c r="A3289" t="s">
        <v>3062</v>
      </c>
      <c r="B3289" t="s">
        <v>493</v>
      </c>
      <c r="BF3289" t="s">
        <v>3062</v>
      </c>
      <c r="BG3289" t="s">
        <v>493</v>
      </c>
      <c r="BJ3289" s="114">
        <v>72</v>
      </c>
      <c r="BK3289" s="116">
        <v>51</v>
      </c>
      <c r="BL3289" s="120"/>
      <c r="BN3289" s="5" t="s">
        <v>1099</v>
      </c>
    </row>
    <row r="3290" spans="1:66" hidden="1" outlineLevel="1">
      <c r="A3290" t="s">
        <v>65</v>
      </c>
      <c r="B3290" t="s">
        <v>493</v>
      </c>
      <c r="BF3290" t="s">
        <v>65</v>
      </c>
      <c r="BG3290" t="s">
        <v>493</v>
      </c>
      <c r="BJ3290" s="114">
        <v>72</v>
      </c>
      <c r="BK3290" s="116">
        <v>53</v>
      </c>
      <c r="BL3290" s="120"/>
      <c r="BN3290" s="5" t="s">
        <v>1099</v>
      </c>
    </row>
    <row r="3291" spans="1:66" hidden="1" outlineLevel="1">
      <c r="A3291" t="s">
        <v>1533</v>
      </c>
      <c r="B3291" t="s">
        <v>493</v>
      </c>
      <c r="BF3291" t="s">
        <v>1533</v>
      </c>
      <c r="BG3291" t="s">
        <v>493</v>
      </c>
      <c r="BJ3291" s="114">
        <v>72</v>
      </c>
      <c r="BK3291" s="116">
        <v>54</v>
      </c>
      <c r="BL3291" s="120"/>
      <c r="BN3291" s="5" t="s">
        <v>1099</v>
      </c>
    </row>
    <row r="3292" spans="1:66" hidden="1" outlineLevel="1">
      <c r="A3292" t="s">
        <v>757</v>
      </c>
      <c r="B3292" t="s">
        <v>493</v>
      </c>
      <c r="BF3292" t="s">
        <v>757</v>
      </c>
      <c r="BG3292" t="s">
        <v>493</v>
      </c>
      <c r="BJ3292" s="114">
        <v>72</v>
      </c>
      <c r="BK3292" s="116">
        <v>55</v>
      </c>
      <c r="BL3292" s="120"/>
      <c r="BN3292" s="5" t="s">
        <v>1099</v>
      </c>
    </row>
    <row r="3293" spans="1:66" hidden="1" outlineLevel="1">
      <c r="A3293" t="s">
        <v>210</v>
      </c>
      <c r="B3293" t="s">
        <v>493</v>
      </c>
      <c r="BF3293" t="s">
        <v>210</v>
      </c>
      <c r="BG3293" t="s">
        <v>493</v>
      </c>
      <c r="BJ3293" s="114">
        <v>72</v>
      </c>
      <c r="BK3293" s="116">
        <v>57</v>
      </c>
      <c r="BL3293" s="120"/>
      <c r="BN3293" s="5" t="s">
        <v>1099</v>
      </c>
    </row>
    <row r="3294" spans="1:66" hidden="1" outlineLevel="1">
      <c r="A3294" t="s">
        <v>2243</v>
      </c>
      <c r="B3294" t="s">
        <v>493</v>
      </c>
      <c r="BF3294" t="s">
        <v>2243</v>
      </c>
      <c r="BG3294" t="s">
        <v>493</v>
      </c>
      <c r="BJ3294" s="114">
        <v>72</v>
      </c>
      <c r="BK3294" s="116">
        <v>59</v>
      </c>
      <c r="BL3294" s="120"/>
      <c r="BN3294" s="5" t="s">
        <v>1099</v>
      </c>
    </row>
    <row r="3295" spans="1:66" hidden="1" outlineLevel="1">
      <c r="A3295" t="s">
        <v>1959</v>
      </c>
      <c r="B3295" t="s">
        <v>493</v>
      </c>
      <c r="BF3295" t="s">
        <v>1959</v>
      </c>
      <c r="BG3295" t="s">
        <v>493</v>
      </c>
      <c r="BJ3295" s="114">
        <v>72</v>
      </c>
      <c r="BK3295" s="116">
        <v>61</v>
      </c>
      <c r="BL3295" s="120"/>
      <c r="BN3295" s="5" t="s">
        <v>1099</v>
      </c>
    </row>
    <row r="3296" spans="1:66" hidden="1" outlineLevel="1">
      <c r="A3296" t="s">
        <v>2472</v>
      </c>
      <c r="B3296" t="s">
        <v>493</v>
      </c>
      <c r="BF3296" t="s">
        <v>2472</v>
      </c>
      <c r="BG3296" t="s">
        <v>493</v>
      </c>
      <c r="BJ3296" s="114">
        <v>72</v>
      </c>
      <c r="BK3296" s="116">
        <v>63</v>
      </c>
      <c r="BL3296" s="120"/>
      <c r="BN3296" s="5" t="s">
        <v>1099</v>
      </c>
    </row>
    <row r="3297" spans="1:66" hidden="1" outlineLevel="1">
      <c r="A3297" t="s">
        <v>2234</v>
      </c>
      <c r="B3297" t="s">
        <v>493</v>
      </c>
      <c r="BF3297" t="s">
        <v>2234</v>
      </c>
      <c r="BG3297" t="s">
        <v>493</v>
      </c>
      <c r="BJ3297" s="114">
        <v>72</v>
      </c>
      <c r="BK3297" s="116">
        <v>65</v>
      </c>
      <c r="BL3297" s="120"/>
      <c r="BN3297" s="5" t="s">
        <v>1099</v>
      </c>
    </row>
    <row r="3298" spans="1:66" hidden="1" outlineLevel="1">
      <c r="A3298" t="s">
        <v>1752</v>
      </c>
      <c r="B3298" t="s">
        <v>493</v>
      </c>
      <c r="BF3298" t="s">
        <v>1752</v>
      </c>
      <c r="BG3298" t="s">
        <v>493</v>
      </c>
      <c r="BJ3298" s="114">
        <v>72</v>
      </c>
      <c r="BK3298" s="116">
        <v>67</v>
      </c>
      <c r="BL3298" s="120"/>
      <c r="BN3298" s="5" t="s">
        <v>1099</v>
      </c>
    </row>
    <row r="3299" spans="1:66" hidden="1" outlineLevel="1">
      <c r="A3299" t="s">
        <v>403</v>
      </c>
      <c r="B3299" t="s">
        <v>493</v>
      </c>
      <c r="BF3299" t="s">
        <v>403</v>
      </c>
      <c r="BG3299" t="s">
        <v>493</v>
      </c>
      <c r="BJ3299" s="114">
        <v>72</v>
      </c>
      <c r="BK3299" s="116">
        <v>69</v>
      </c>
      <c r="BL3299" s="120"/>
      <c r="BN3299" s="5" t="s">
        <v>1099</v>
      </c>
    </row>
    <row r="3300" spans="1:66" hidden="1" outlineLevel="1">
      <c r="A3300" t="s">
        <v>2441</v>
      </c>
      <c r="B3300" t="s">
        <v>493</v>
      </c>
      <c r="BF3300" t="s">
        <v>2441</v>
      </c>
      <c r="BG3300" t="s">
        <v>493</v>
      </c>
      <c r="BJ3300" s="114">
        <v>72</v>
      </c>
      <c r="BK3300" s="116">
        <v>71</v>
      </c>
      <c r="BL3300" s="120"/>
      <c r="BN3300" s="5" t="s">
        <v>1099</v>
      </c>
    </row>
    <row r="3301" spans="1:66" hidden="1" outlineLevel="1">
      <c r="A3301" t="s">
        <v>2429</v>
      </c>
      <c r="B3301" t="s">
        <v>493</v>
      </c>
      <c r="BF3301" t="s">
        <v>2429</v>
      </c>
      <c r="BG3301" t="s">
        <v>493</v>
      </c>
      <c r="BJ3301" s="114">
        <v>72</v>
      </c>
      <c r="BK3301" s="116">
        <v>73</v>
      </c>
      <c r="BL3301" s="120"/>
      <c r="BN3301" s="5" t="s">
        <v>1099</v>
      </c>
    </row>
    <row r="3302" spans="1:66" hidden="1" outlineLevel="1">
      <c r="A3302" t="s">
        <v>1403</v>
      </c>
      <c r="B3302" t="s">
        <v>493</v>
      </c>
      <c r="BF3302" t="s">
        <v>1403</v>
      </c>
      <c r="BG3302" t="s">
        <v>493</v>
      </c>
      <c r="BJ3302" s="114">
        <v>72</v>
      </c>
      <c r="BK3302" s="116">
        <v>75</v>
      </c>
      <c r="BL3302" s="120"/>
      <c r="BN3302" s="5" t="s">
        <v>1099</v>
      </c>
    </row>
    <row r="3303" spans="1:66" hidden="1" outlineLevel="1">
      <c r="A3303" t="s">
        <v>1574</v>
      </c>
      <c r="B3303" t="s">
        <v>493</v>
      </c>
      <c r="BF3303" t="s">
        <v>1574</v>
      </c>
      <c r="BG3303" t="s">
        <v>493</v>
      </c>
      <c r="BJ3303" s="114">
        <v>72</v>
      </c>
      <c r="BK3303" s="116">
        <v>77</v>
      </c>
      <c r="BL3303" s="120"/>
      <c r="BN3303" s="5" t="s">
        <v>1099</v>
      </c>
    </row>
    <row r="3304" spans="1:66" hidden="1" outlineLevel="1">
      <c r="A3304" t="s">
        <v>716</v>
      </c>
      <c r="B3304" t="s">
        <v>493</v>
      </c>
      <c r="BF3304" t="s">
        <v>716</v>
      </c>
      <c r="BG3304" t="s">
        <v>493</v>
      </c>
      <c r="BJ3304" s="114">
        <v>72</v>
      </c>
      <c r="BK3304" s="116">
        <v>79</v>
      </c>
      <c r="BL3304" s="120"/>
      <c r="BN3304" s="5" t="s">
        <v>1099</v>
      </c>
    </row>
    <row r="3305" spans="1:66" hidden="1" outlineLevel="1">
      <c r="A3305" t="s">
        <v>729</v>
      </c>
      <c r="B3305" t="s">
        <v>493</v>
      </c>
      <c r="BF3305" t="s">
        <v>729</v>
      </c>
      <c r="BG3305" t="s">
        <v>493</v>
      </c>
      <c r="BJ3305" s="114">
        <v>72</v>
      </c>
      <c r="BK3305" s="116">
        <v>81</v>
      </c>
      <c r="BL3305" s="120"/>
      <c r="BN3305" s="5" t="s">
        <v>1099</v>
      </c>
    </row>
    <row r="3306" spans="1:66" hidden="1" outlineLevel="1">
      <c r="A3306" t="s">
        <v>2082</v>
      </c>
      <c r="B3306" t="s">
        <v>493</v>
      </c>
      <c r="BF3306" t="s">
        <v>2082</v>
      </c>
      <c r="BG3306" t="s">
        <v>493</v>
      </c>
      <c r="BJ3306" s="114">
        <v>72</v>
      </c>
      <c r="BK3306" s="116">
        <v>83</v>
      </c>
      <c r="BL3306" s="120"/>
      <c r="BN3306" s="5" t="s">
        <v>1099</v>
      </c>
    </row>
    <row r="3307" spans="1:66" hidden="1" outlineLevel="1">
      <c r="A3307" t="s">
        <v>2229</v>
      </c>
      <c r="B3307" t="s">
        <v>493</v>
      </c>
      <c r="BF3307" t="s">
        <v>2229</v>
      </c>
      <c r="BG3307" t="s">
        <v>493</v>
      </c>
      <c r="BJ3307" s="114">
        <v>72</v>
      </c>
      <c r="BK3307" s="116">
        <v>85</v>
      </c>
      <c r="BL3307" s="120"/>
      <c r="BN3307" s="5" t="s">
        <v>1099</v>
      </c>
    </row>
    <row r="3308" spans="1:66" hidden="1" outlineLevel="1">
      <c r="A3308" t="s">
        <v>274</v>
      </c>
      <c r="B3308" t="s">
        <v>493</v>
      </c>
      <c r="BF3308" t="s">
        <v>274</v>
      </c>
      <c r="BG3308" t="s">
        <v>493</v>
      </c>
      <c r="BJ3308" s="114">
        <v>72</v>
      </c>
      <c r="BK3308" s="116">
        <v>87</v>
      </c>
      <c r="BL3308" s="120"/>
      <c r="BN3308" s="5" t="s">
        <v>1099</v>
      </c>
    </row>
    <row r="3309" spans="1:66" hidden="1" outlineLevel="1">
      <c r="A3309" t="s">
        <v>1797</v>
      </c>
      <c r="B3309" t="s">
        <v>493</v>
      </c>
      <c r="BF3309" t="s">
        <v>1797</v>
      </c>
      <c r="BG3309" t="s">
        <v>493</v>
      </c>
      <c r="BJ3309" s="114">
        <v>72</v>
      </c>
      <c r="BK3309" s="116">
        <v>89</v>
      </c>
      <c r="BL3309" s="120"/>
      <c r="BN3309" s="5" t="s">
        <v>1099</v>
      </c>
    </row>
    <row r="3310" spans="1:66" hidden="1" outlineLevel="1">
      <c r="A3310" t="s">
        <v>843</v>
      </c>
      <c r="B3310" t="s">
        <v>493</v>
      </c>
      <c r="BF3310" t="s">
        <v>843</v>
      </c>
      <c r="BG3310" t="s">
        <v>493</v>
      </c>
      <c r="BJ3310" s="114">
        <v>72</v>
      </c>
      <c r="BK3310" s="116">
        <v>91</v>
      </c>
      <c r="BL3310" s="120"/>
      <c r="BN3310" s="5" t="s">
        <v>1099</v>
      </c>
    </row>
    <row r="3311" spans="1:66" hidden="1" outlineLevel="1">
      <c r="A3311" t="s">
        <v>1367</v>
      </c>
      <c r="B3311" t="s">
        <v>493</v>
      </c>
      <c r="BF3311" t="s">
        <v>1367</v>
      </c>
      <c r="BG3311" t="s">
        <v>493</v>
      </c>
      <c r="BJ3311" s="114">
        <v>72</v>
      </c>
      <c r="BK3311" s="116">
        <v>93</v>
      </c>
      <c r="BL3311" s="120"/>
      <c r="BN3311" s="5" t="s">
        <v>1099</v>
      </c>
    </row>
    <row r="3312" spans="1:66" hidden="1" outlineLevel="1">
      <c r="A3312" t="s">
        <v>1415</v>
      </c>
      <c r="B3312" t="s">
        <v>493</v>
      </c>
      <c r="BF3312" t="s">
        <v>1415</v>
      </c>
      <c r="BG3312" t="s">
        <v>493</v>
      </c>
      <c r="BJ3312" s="114">
        <v>72</v>
      </c>
      <c r="BK3312" s="116">
        <v>95</v>
      </c>
      <c r="BL3312" s="120"/>
      <c r="BN3312" s="5" t="s">
        <v>1099</v>
      </c>
    </row>
    <row r="3313" spans="1:66" hidden="1" outlineLevel="1">
      <c r="A3313" t="s">
        <v>2394</v>
      </c>
      <c r="B3313" t="s">
        <v>493</v>
      </c>
      <c r="BF3313" t="s">
        <v>2394</v>
      </c>
      <c r="BG3313" t="s">
        <v>493</v>
      </c>
      <c r="BJ3313" s="114">
        <v>72</v>
      </c>
      <c r="BK3313" s="116">
        <v>97</v>
      </c>
      <c r="BL3313" s="120"/>
      <c r="BN3313" s="5" t="s">
        <v>1099</v>
      </c>
    </row>
    <row r="3314" spans="1:66" hidden="1" outlineLevel="1">
      <c r="A3314" t="s">
        <v>2395</v>
      </c>
      <c r="B3314" t="s">
        <v>493</v>
      </c>
      <c r="BF3314" t="s">
        <v>2395</v>
      </c>
      <c r="BG3314" t="s">
        <v>493</v>
      </c>
      <c r="BJ3314" s="114">
        <v>72</v>
      </c>
      <c r="BK3314" s="116">
        <v>99</v>
      </c>
      <c r="BL3314" s="120"/>
      <c r="BN3314" s="5" t="s">
        <v>1099</v>
      </c>
    </row>
    <row r="3315" spans="1:66" hidden="1" outlineLevel="1">
      <c r="A3315" t="s">
        <v>410</v>
      </c>
      <c r="B3315" t="s">
        <v>493</v>
      </c>
      <c r="BF3315" t="s">
        <v>410</v>
      </c>
      <c r="BG3315" t="s">
        <v>493</v>
      </c>
      <c r="BJ3315" s="114">
        <v>72</v>
      </c>
      <c r="BK3315" s="116">
        <v>101</v>
      </c>
      <c r="BL3315" s="120"/>
      <c r="BN3315" s="5" t="s">
        <v>1099</v>
      </c>
    </row>
    <row r="3316" spans="1:66" hidden="1" outlineLevel="1">
      <c r="A3316" t="s">
        <v>1676</v>
      </c>
      <c r="B3316" t="s">
        <v>493</v>
      </c>
      <c r="BF3316" t="s">
        <v>1676</v>
      </c>
      <c r="BG3316" t="s">
        <v>493</v>
      </c>
      <c r="BJ3316" s="114">
        <v>72</v>
      </c>
      <c r="BK3316" s="116">
        <v>103</v>
      </c>
      <c r="BL3316" s="120"/>
      <c r="BN3316" s="5" t="s">
        <v>1099</v>
      </c>
    </row>
    <row r="3317" spans="1:66" hidden="1" outlineLevel="1">
      <c r="A3317" t="s">
        <v>282</v>
      </c>
      <c r="B3317" t="s">
        <v>493</v>
      </c>
      <c r="BF3317" t="s">
        <v>282</v>
      </c>
      <c r="BG3317" t="s">
        <v>493</v>
      </c>
      <c r="BJ3317" s="114">
        <v>72</v>
      </c>
      <c r="BK3317" s="116">
        <v>105</v>
      </c>
      <c r="BL3317" s="120"/>
      <c r="BN3317" s="5" t="s">
        <v>1099</v>
      </c>
    </row>
    <row r="3318" spans="1:66" hidden="1" outlineLevel="1">
      <c r="A3318" t="s">
        <v>762</v>
      </c>
      <c r="B3318" t="s">
        <v>493</v>
      </c>
      <c r="BF3318" t="s">
        <v>762</v>
      </c>
      <c r="BG3318" t="s">
        <v>493</v>
      </c>
      <c r="BJ3318" s="114">
        <v>72</v>
      </c>
      <c r="BK3318" s="116">
        <v>107</v>
      </c>
      <c r="BL3318" s="120"/>
      <c r="BN3318" s="5" t="s">
        <v>1099</v>
      </c>
    </row>
    <row r="3319" spans="1:66" hidden="1" outlineLevel="1">
      <c r="A3319" t="s">
        <v>1669</v>
      </c>
      <c r="B3319" t="s">
        <v>493</v>
      </c>
      <c r="BF3319" t="s">
        <v>1669</v>
      </c>
      <c r="BG3319" t="s">
        <v>493</v>
      </c>
      <c r="BJ3319" s="114">
        <v>72</v>
      </c>
      <c r="BK3319" s="116">
        <v>109</v>
      </c>
      <c r="BL3319" s="120"/>
      <c r="BN3319" s="5" t="s">
        <v>1099</v>
      </c>
    </row>
    <row r="3320" spans="1:66" hidden="1" outlineLevel="1">
      <c r="A3320" t="s">
        <v>986</v>
      </c>
      <c r="B3320" t="s">
        <v>493</v>
      </c>
      <c r="BF3320" t="s">
        <v>986</v>
      </c>
      <c r="BG3320" t="s">
        <v>493</v>
      </c>
      <c r="BJ3320" s="114">
        <v>72</v>
      </c>
      <c r="BK3320" s="116">
        <v>111</v>
      </c>
      <c r="BL3320" s="120"/>
      <c r="BN3320" s="5" t="s">
        <v>1099</v>
      </c>
    </row>
    <row r="3321" spans="1:66" hidden="1" outlineLevel="1">
      <c r="A3321" t="s">
        <v>465</v>
      </c>
      <c r="B3321" t="s">
        <v>493</v>
      </c>
      <c r="BF3321" t="s">
        <v>465</v>
      </c>
      <c r="BG3321" t="s">
        <v>493</v>
      </c>
      <c r="BJ3321" s="114">
        <v>72</v>
      </c>
      <c r="BK3321" s="116">
        <v>113</v>
      </c>
      <c r="BL3321" s="120"/>
      <c r="BN3321" s="5" t="s">
        <v>1099</v>
      </c>
    </row>
    <row r="3322" spans="1:66" hidden="1" outlineLevel="1">
      <c r="A3322" t="s">
        <v>832</v>
      </c>
      <c r="B3322" t="s">
        <v>493</v>
      </c>
      <c r="BF3322" t="s">
        <v>832</v>
      </c>
      <c r="BG3322" t="s">
        <v>493</v>
      </c>
      <c r="BJ3322" s="114">
        <v>72</v>
      </c>
      <c r="BK3322" s="116">
        <v>115</v>
      </c>
      <c r="BL3322" s="120"/>
      <c r="BN3322" s="5" t="s">
        <v>1099</v>
      </c>
    </row>
    <row r="3323" spans="1:66" hidden="1" outlineLevel="1">
      <c r="A3323" t="s">
        <v>833</v>
      </c>
      <c r="B3323" t="s">
        <v>493</v>
      </c>
      <c r="BF3323" t="s">
        <v>833</v>
      </c>
      <c r="BG3323" t="s">
        <v>493</v>
      </c>
      <c r="BJ3323" s="114">
        <v>72</v>
      </c>
      <c r="BK3323" s="116">
        <v>117</v>
      </c>
      <c r="BL3323" s="120"/>
      <c r="BN3323" s="5" t="s">
        <v>1099</v>
      </c>
    </row>
    <row r="3324" spans="1:66" hidden="1" outlineLevel="1">
      <c r="A3324" t="s">
        <v>1915</v>
      </c>
      <c r="B3324" t="s">
        <v>493</v>
      </c>
      <c r="BF3324" t="s">
        <v>1915</v>
      </c>
      <c r="BG3324" t="s">
        <v>493</v>
      </c>
      <c r="BJ3324" s="114">
        <v>72</v>
      </c>
      <c r="BK3324" s="116">
        <v>119</v>
      </c>
      <c r="BL3324" s="120"/>
      <c r="BN3324" s="5" t="s">
        <v>1099</v>
      </c>
    </row>
    <row r="3325" spans="1:66" hidden="1" outlineLevel="1">
      <c r="A3325" t="s">
        <v>563</v>
      </c>
      <c r="B3325" t="s">
        <v>493</v>
      </c>
      <c r="BF3325" t="s">
        <v>563</v>
      </c>
      <c r="BG3325" t="s">
        <v>493</v>
      </c>
      <c r="BJ3325" s="114">
        <v>72</v>
      </c>
      <c r="BK3325" s="116">
        <v>121</v>
      </c>
      <c r="BL3325" s="120"/>
      <c r="BN3325" s="5" t="s">
        <v>1099</v>
      </c>
    </row>
    <row r="3326" spans="1:66" hidden="1" outlineLevel="1">
      <c r="A3326" t="s">
        <v>2011</v>
      </c>
      <c r="B3326" t="s">
        <v>493</v>
      </c>
      <c r="BF3326" t="s">
        <v>2011</v>
      </c>
      <c r="BG3326" t="s">
        <v>493</v>
      </c>
      <c r="BJ3326" s="114">
        <v>72</v>
      </c>
      <c r="BK3326" s="116">
        <v>123</v>
      </c>
      <c r="BL3326" s="120"/>
      <c r="BN3326" s="5" t="s">
        <v>1099</v>
      </c>
    </row>
    <row r="3327" spans="1:66" hidden="1" outlineLevel="1">
      <c r="A3327" t="s">
        <v>713</v>
      </c>
      <c r="B3327" t="s">
        <v>493</v>
      </c>
      <c r="BF3327" t="s">
        <v>713</v>
      </c>
      <c r="BG3327" t="s">
        <v>493</v>
      </c>
      <c r="BJ3327" s="114">
        <v>72</v>
      </c>
      <c r="BK3327" s="116">
        <v>125</v>
      </c>
      <c r="BL3327" s="120"/>
      <c r="BN3327" s="5" t="s">
        <v>1099</v>
      </c>
    </row>
    <row r="3328" spans="1:66" hidden="1" outlineLevel="1">
      <c r="A3328" t="s">
        <v>2518</v>
      </c>
      <c r="B3328" t="s">
        <v>493</v>
      </c>
      <c r="BF3328" t="s">
        <v>2518</v>
      </c>
      <c r="BG3328" t="s">
        <v>493</v>
      </c>
      <c r="BJ3328" s="114">
        <v>72</v>
      </c>
      <c r="BK3328" s="116">
        <v>127</v>
      </c>
      <c r="BL3328" s="120"/>
      <c r="BN3328" s="5" t="s">
        <v>1099</v>
      </c>
    </row>
    <row r="3329" spans="1:66" hidden="1" outlineLevel="1">
      <c r="A3329" t="s">
        <v>1590</v>
      </c>
      <c r="B3329" t="s">
        <v>493</v>
      </c>
      <c r="BF3329" t="s">
        <v>1590</v>
      </c>
      <c r="BG3329" t="s">
        <v>493</v>
      </c>
      <c r="BJ3329" s="114">
        <v>72</v>
      </c>
      <c r="BK3329" s="116">
        <v>129</v>
      </c>
      <c r="BL3329" s="120"/>
      <c r="BN3329" s="5" t="s">
        <v>1099</v>
      </c>
    </row>
    <row r="3330" spans="1:66" hidden="1" outlineLevel="1">
      <c r="A3330" t="s">
        <v>874</v>
      </c>
      <c r="B3330" t="s">
        <v>493</v>
      </c>
      <c r="BF3330" t="s">
        <v>874</v>
      </c>
      <c r="BG3330" t="s">
        <v>493</v>
      </c>
      <c r="BJ3330" s="114">
        <v>72</v>
      </c>
      <c r="BK3330" s="116">
        <v>131</v>
      </c>
      <c r="BL3330" s="120"/>
      <c r="BN3330" s="5" t="s">
        <v>1099</v>
      </c>
    </row>
    <row r="3331" spans="1:66" hidden="1" outlineLevel="1">
      <c r="A3331" t="s">
        <v>883</v>
      </c>
      <c r="B3331" t="s">
        <v>493</v>
      </c>
      <c r="BF3331" t="s">
        <v>883</v>
      </c>
      <c r="BG3331" t="s">
        <v>493</v>
      </c>
      <c r="BJ3331" s="114">
        <v>72</v>
      </c>
      <c r="BK3331" s="116">
        <v>133</v>
      </c>
      <c r="BL3331" s="120"/>
      <c r="BN3331" s="5" t="s">
        <v>1099</v>
      </c>
    </row>
    <row r="3332" spans="1:66" hidden="1" outlineLevel="1">
      <c r="A3332" t="s">
        <v>343</v>
      </c>
      <c r="B3332" t="s">
        <v>493</v>
      </c>
      <c r="BF3332" t="s">
        <v>343</v>
      </c>
      <c r="BG3332" t="s">
        <v>493</v>
      </c>
      <c r="BJ3332" s="114">
        <v>72</v>
      </c>
      <c r="BK3332" s="116">
        <v>135</v>
      </c>
      <c r="BL3332" s="120"/>
      <c r="BN3332" s="5" t="s">
        <v>1099</v>
      </c>
    </row>
    <row r="3333" spans="1:66" hidden="1" outlineLevel="1">
      <c r="A3333" t="s">
        <v>156</v>
      </c>
      <c r="B3333" t="s">
        <v>493</v>
      </c>
      <c r="BF3333" t="s">
        <v>156</v>
      </c>
      <c r="BG3333" t="s">
        <v>493</v>
      </c>
      <c r="BJ3333" s="114">
        <v>72</v>
      </c>
      <c r="BK3333" s="116">
        <v>137</v>
      </c>
      <c r="BL3333" s="120"/>
      <c r="BN3333" s="5" t="s">
        <v>1099</v>
      </c>
    </row>
    <row r="3334" spans="1:66" hidden="1" outlineLevel="1">
      <c r="A3334" t="s">
        <v>27</v>
      </c>
      <c r="B3334" t="s">
        <v>493</v>
      </c>
      <c r="BF3334" t="s">
        <v>27</v>
      </c>
      <c r="BG3334" t="s">
        <v>493</v>
      </c>
      <c r="BJ3334" s="114">
        <v>72</v>
      </c>
      <c r="BK3334" s="116">
        <v>139</v>
      </c>
      <c r="BL3334" s="120"/>
      <c r="BN3334" s="5" t="s">
        <v>1099</v>
      </c>
    </row>
    <row r="3335" spans="1:66" hidden="1" outlineLevel="1">
      <c r="A3335" t="s">
        <v>28</v>
      </c>
      <c r="B3335" t="s">
        <v>493</v>
      </c>
      <c r="BF3335" t="s">
        <v>28</v>
      </c>
      <c r="BG3335" t="s">
        <v>493</v>
      </c>
      <c r="BJ3335" s="114">
        <v>72</v>
      </c>
      <c r="BK3335" s="116">
        <v>141</v>
      </c>
      <c r="BL3335" s="120"/>
      <c r="BN3335" s="5" t="s">
        <v>1099</v>
      </c>
    </row>
    <row r="3336" spans="1:66" hidden="1" outlineLevel="1">
      <c r="A3336" t="s">
        <v>31</v>
      </c>
      <c r="B3336" t="s">
        <v>493</v>
      </c>
      <c r="BF3336" t="s">
        <v>31</v>
      </c>
      <c r="BG3336" t="s">
        <v>493</v>
      </c>
      <c r="BJ3336" s="114">
        <v>72</v>
      </c>
      <c r="BK3336" s="116">
        <v>143</v>
      </c>
      <c r="BL3336" s="120"/>
      <c r="BN3336" s="5" t="s">
        <v>1099</v>
      </c>
    </row>
    <row r="3337" spans="1:66" hidden="1" outlineLevel="1">
      <c r="A3337" t="s">
        <v>72</v>
      </c>
      <c r="B3337" t="s">
        <v>493</v>
      </c>
      <c r="BF3337" t="s">
        <v>72</v>
      </c>
      <c r="BG3337" t="s">
        <v>493</v>
      </c>
      <c r="BJ3337" s="114">
        <v>72</v>
      </c>
      <c r="BK3337" s="116">
        <v>145</v>
      </c>
      <c r="BL3337" s="120"/>
      <c r="BN3337" s="5" t="s">
        <v>1099</v>
      </c>
    </row>
    <row r="3338" spans="1:66" hidden="1" outlineLevel="1">
      <c r="A3338" t="s">
        <v>1573</v>
      </c>
      <c r="B3338" t="s">
        <v>493</v>
      </c>
      <c r="BF3338" t="s">
        <v>1573</v>
      </c>
      <c r="BG3338" t="s">
        <v>493</v>
      </c>
      <c r="BJ3338" s="114">
        <v>72</v>
      </c>
      <c r="BK3338" s="116">
        <v>147</v>
      </c>
      <c r="BL3338" s="120"/>
      <c r="BN3338" s="5" t="s">
        <v>1099</v>
      </c>
    </row>
    <row r="3339" spans="1:66" hidden="1" outlineLevel="1">
      <c r="A3339" t="s">
        <v>428</v>
      </c>
      <c r="B3339" t="s">
        <v>493</v>
      </c>
      <c r="BF3339" t="s">
        <v>428</v>
      </c>
      <c r="BG3339" t="s">
        <v>493</v>
      </c>
      <c r="BJ3339" s="114">
        <v>72</v>
      </c>
      <c r="BK3339" s="116">
        <v>149</v>
      </c>
      <c r="BL3339" s="120"/>
      <c r="BN3339" s="5" t="s">
        <v>1099</v>
      </c>
    </row>
    <row r="3340" spans="1:66" hidden="1" outlineLevel="1">
      <c r="A3340" t="s">
        <v>797</v>
      </c>
      <c r="B3340" t="s">
        <v>493</v>
      </c>
      <c r="BF3340" t="s">
        <v>797</v>
      </c>
      <c r="BG3340" t="s">
        <v>493</v>
      </c>
      <c r="BJ3340" s="114">
        <v>72</v>
      </c>
      <c r="BK3340" s="116">
        <v>151</v>
      </c>
      <c r="BL3340" s="120"/>
      <c r="BN3340" s="5" t="s">
        <v>1099</v>
      </c>
    </row>
    <row r="3341" spans="1:66" hidden="1" outlineLevel="1">
      <c r="A3341" t="s">
        <v>596</v>
      </c>
      <c r="B3341" t="s">
        <v>493</v>
      </c>
      <c r="BF3341" t="s">
        <v>596</v>
      </c>
      <c r="BG3341" t="s">
        <v>493</v>
      </c>
      <c r="BJ3341" s="114">
        <v>72</v>
      </c>
      <c r="BK3341" s="116">
        <v>153</v>
      </c>
      <c r="BL3341" s="120"/>
      <c r="BN3341" s="5" t="s">
        <v>1099</v>
      </c>
    </row>
    <row r="3342" spans="1:66" collapsed="1">
      <c r="A3342" t="s">
        <v>2933</v>
      </c>
      <c r="B3342" t="s">
        <v>544</v>
      </c>
      <c r="BJ3342" s="114"/>
      <c r="BK3342" s="116"/>
      <c r="BL3342" s="120"/>
    </row>
    <row r="3343" spans="1:66">
      <c r="BJ3343" s="114"/>
      <c r="BK3343" s="116"/>
      <c r="BL3343" s="120"/>
    </row>
    <row r="3344" spans="1:66" hidden="1" outlineLevel="1">
      <c r="A3344" t="s">
        <v>922</v>
      </c>
      <c r="B3344" t="s">
        <v>1326</v>
      </c>
      <c r="BF3344" t="s">
        <v>922</v>
      </c>
      <c r="BG3344" t="s">
        <v>1326</v>
      </c>
      <c r="BJ3344" s="114">
        <v>2</v>
      </c>
      <c r="BK3344" s="116">
        <v>13</v>
      </c>
      <c r="BL3344" s="120">
        <f t="shared" ref="BL3344:BL3375" si="1287">(BJ3344&amp;BK3344)*1</f>
        <v>213</v>
      </c>
      <c r="BN3344" s="5" t="s">
        <v>1913</v>
      </c>
    </row>
    <row r="3345" spans="1:66" hidden="1" outlineLevel="1">
      <c r="A3345" t="s">
        <v>922</v>
      </c>
      <c r="B3345" t="s">
        <v>1326</v>
      </c>
      <c r="BF3345" t="s">
        <v>922</v>
      </c>
      <c r="BG3345" t="s">
        <v>1326</v>
      </c>
      <c r="BJ3345" s="114">
        <v>2</v>
      </c>
      <c r="BK3345" s="116">
        <v>13</v>
      </c>
      <c r="BL3345" s="120">
        <f t="shared" si="1287"/>
        <v>213</v>
      </c>
      <c r="BN3345" s="5" t="s">
        <v>1913</v>
      </c>
    </row>
    <row r="3346" spans="1:66" hidden="1" outlineLevel="1">
      <c r="A3346" t="s">
        <v>922</v>
      </c>
      <c r="B3346" t="s">
        <v>1326</v>
      </c>
      <c r="BF3346" t="s">
        <v>922</v>
      </c>
      <c r="BG3346" t="s">
        <v>1326</v>
      </c>
      <c r="BJ3346" s="114">
        <v>2</v>
      </c>
      <c r="BK3346" s="116">
        <v>13</v>
      </c>
      <c r="BL3346" s="120">
        <f t="shared" si="1287"/>
        <v>213</v>
      </c>
      <c r="BN3346" s="5" t="s">
        <v>1913</v>
      </c>
    </row>
    <row r="3347" spans="1:66" hidden="1" outlineLevel="1">
      <c r="A3347" t="s">
        <v>922</v>
      </c>
      <c r="B3347" t="s">
        <v>1326</v>
      </c>
      <c r="BF3347" t="s">
        <v>922</v>
      </c>
      <c r="BG3347" t="s">
        <v>1326</v>
      </c>
      <c r="BJ3347" s="114">
        <v>2</v>
      </c>
      <c r="BK3347" s="116">
        <v>13</v>
      </c>
      <c r="BL3347" s="120">
        <f t="shared" si="1287"/>
        <v>213</v>
      </c>
      <c r="BN3347" s="5" t="s">
        <v>1913</v>
      </c>
    </row>
    <row r="3348" spans="1:66" hidden="1" outlineLevel="1">
      <c r="A3348" t="s">
        <v>922</v>
      </c>
      <c r="B3348" t="s">
        <v>1326</v>
      </c>
      <c r="BF3348" t="s">
        <v>922</v>
      </c>
      <c r="BG3348" t="s">
        <v>1326</v>
      </c>
      <c r="BJ3348" s="114">
        <v>2</v>
      </c>
      <c r="BK3348" s="116">
        <v>13</v>
      </c>
      <c r="BL3348" s="120">
        <f t="shared" si="1287"/>
        <v>213</v>
      </c>
      <c r="BN3348" s="5" t="s">
        <v>1913</v>
      </c>
    </row>
    <row r="3349" spans="1:66" hidden="1" outlineLevel="1">
      <c r="A3349" t="s">
        <v>922</v>
      </c>
      <c r="B3349" t="s">
        <v>1326</v>
      </c>
      <c r="BF3349" t="s">
        <v>922</v>
      </c>
      <c r="BG3349" t="s">
        <v>1326</v>
      </c>
      <c r="BJ3349" s="114">
        <v>2</v>
      </c>
      <c r="BK3349" s="116">
        <v>13</v>
      </c>
      <c r="BL3349" s="120">
        <f t="shared" si="1287"/>
        <v>213</v>
      </c>
      <c r="BN3349" s="5" t="s">
        <v>1913</v>
      </c>
    </row>
    <row r="3350" spans="1:66" hidden="1" outlineLevel="1">
      <c r="A3350" t="s">
        <v>922</v>
      </c>
      <c r="B3350" t="s">
        <v>1326</v>
      </c>
      <c r="BF3350" t="s">
        <v>922</v>
      </c>
      <c r="BG3350" t="s">
        <v>1326</v>
      </c>
      <c r="BJ3350" s="114">
        <v>2</v>
      </c>
      <c r="BK3350" s="116">
        <v>13</v>
      </c>
      <c r="BL3350" s="120">
        <f t="shared" si="1287"/>
        <v>213</v>
      </c>
      <c r="BN3350" s="5" t="s">
        <v>1913</v>
      </c>
    </row>
    <row r="3351" spans="1:66" hidden="1" outlineLevel="1">
      <c r="A3351" t="s">
        <v>922</v>
      </c>
      <c r="B3351" t="s">
        <v>1326</v>
      </c>
      <c r="BF3351" t="s">
        <v>922</v>
      </c>
      <c r="BG3351" t="s">
        <v>1326</v>
      </c>
      <c r="BJ3351" s="114">
        <v>2</v>
      </c>
      <c r="BK3351" s="116">
        <v>13</v>
      </c>
      <c r="BL3351" s="120">
        <f t="shared" si="1287"/>
        <v>213</v>
      </c>
      <c r="BN3351" s="5" t="s">
        <v>1913</v>
      </c>
    </row>
    <row r="3352" spans="1:66" hidden="1" outlineLevel="1">
      <c r="A3352" t="s">
        <v>922</v>
      </c>
      <c r="B3352" t="s">
        <v>1326</v>
      </c>
      <c r="BF3352" t="s">
        <v>922</v>
      </c>
      <c r="BG3352" t="s">
        <v>1326</v>
      </c>
      <c r="BJ3352" s="114">
        <v>2</v>
      </c>
      <c r="BK3352" s="116">
        <v>13</v>
      </c>
      <c r="BL3352" s="120">
        <f t="shared" si="1287"/>
        <v>213</v>
      </c>
      <c r="BN3352" s="5" t="s">
        <v>1913</v>
      </c>
    </row>
    <row r="3353" spans="1:66" hidden="1" outlineLevel="1">
      <c r="A3353" t="s">
        <v>922</v>
      </c>
      <c r="B3353" t="s">
        <v>1326</v>
      </c>
      <c r="BF3353" t="s">
        <v>922</v>
      </c>
      <c r="BG3353" t="s">
        <v>1326</v>
      </c>
      <c r="BJ3353" s="114">
        <v>2</v>
      </c>
      <c r="BK3353" s="116">
        <v>13</v>
      </c>
      <c r="BL3353" s="120">
        <f t="shared" si="1287"/>
        <v>213</v>
      </c>
      <c r="BN3353" s="5" t="s">
        <v>1913</v>
      </c>
    </row>
    <row r="3354" spans="1:66" hidden="1" outlineLevel="1">
      <c r="A3354" t="s">
        <v>922</v>
      </c>
      <c r="B3354" t="s">
        <v>1326</v>
      </c>
      <c r="BF3354" t="s">
        <v>922</v>
      </c>
      <c r="BG3354" t="s">
        <v>1326</v>
      </c>
      <c r="BJ3354" s="114">
        <v>2</v>
      </c>
      <c r="BK3354" s="116">
        <v>13</v>
      </c>
      <c r="BL3354" s="120">
        <f t="shared" si="1287"/>
        <v>213</v>
      </c>
      <c r="BN3354" s="5" t="s">
        <v>1913</v>
      </c>
    </row>
    <row r="3355" spans="1:66" hidden="1" outlineLevel="1">
      <c r="A3355" t="s">
        <v>922</v>
      </c>
      <c r="B3355" t="s">
        <v>1326</v>
      </c>
      <c r="BF3355" t="s">
        <v>922</v>
      </c>
      <c r="BG3355" t="s">
        <v>1326</v>
      </c>
      <c r="BJ3355" s="114">
        <v>2</v>
      </c>
      <c r="BK3355" s="116">
        <v>13</v>
      </c>
      <c r="BL3355" s="120">
        <f t="shared" si="1287"/>
        <v>213</v>
      </c>
      <c r="BN3355" s="5" t="s">
        <v>1913</v>
      </c>
    </row>
    <row r="3356" spans="1:66" hidden="1" outlineLevel="1">
      <c r="A3356" t="s">
        <v>922</v>
      </c>
      <c r="B3356" t="s">
        <v>1326</v>
      </c>
      <c r="BF3356" t="s">
        <v>922</v>
      </c>
      <c r="BG3356" t="s">
        <v>1326</v>
      </c>
      <c r="BJ3356" s="114">
        <v>2</v>
      </c>
      <c r="BK3356" s="116">
        <v>13</v>
      </c>
      <c r="BL3356" s="120">
        <f t="shared" si="1287"/>
        <v>213</v>
      </c>
      <c r="BN3356" s="5" t="s">
        <v>1913</v>
      </c>
    </row>
    <row r="3357" spans="1:66" hidden="1" outlineLevel="1">
      <c r="A3357" t="s">
        <v>922</v>
      </c>
      <c r="B3357" t="s">
        <v>1326</v>
      </c>
      <c r="BF3357" t="s">
        <v>922</v>
      </c>
      <c r="BG3357" t="s">
        <v>1326</v>
      </c>
      <c r="BJ3357" s="114">
        <v>2</v>
      </c>
      <c r="BK3357" s="116">
        <v>13</v>
      </c>
      <c r="BL3357" s="120">
        <f t="shared" si="1287"/>
        <v>213</v>
      </c>
      <c r="BN3357" s="5" t="s">
        <v>1913</v>
      </c>
    </row>
    <row r="3358" spans="1:66" hidden="1" outlineLevel="1">
      <c r="A3358" t="s">
        <v>105</v>
      </c>
      <c r="B3358" t="s">
        <v>1326</v>
      </c>
      <c r="BF3358" t="s">
        <v>105</v>
      </c>
      <c r="BG3358" t="s">
        <v>1326</v>
      </c>
      <c r="BJ3358" s="114">
        <v>2</v>
      </c>
      <c r="BK3358" s="116">
        <v>16</v>
      </c>
      <c r="BL3358" s="120">
        <f t="shared" si="1287"/>
        <v>216</v>
      </c>
      <c r="BN3358" s="5" t="s">
        <v>219</v>
      </c>
    </row>
    <row r="3359" spans="1:66" hidden="1" outlineLevel="1">
      <c r="A3359" t="s">
        <v>105</v>
      </c>
      <c r="B3359" t="s">
        <v>1326</v>
      </c>
      <c r="BF3359" t="s">
        <v>105</v>
      </c>
      <c r="BG3359" t="s">
        <v>1326</v>
      </c>
      <c r="BJ3359" s="114">
        <v>2</v>
      </c>
      <c r="BK3359" s="116">
        <v>16</v>
      </c>
      <c r="BL3359" s="120">
        <f t="shared" si="1287"/>
        <v>216</v>
      </c>
      <c r="BN3359" s="5" t="s">
        <v>219</v>
      </c>
    </row>
    <row r="3360" spans="1:66" hidden="1" outlineLevel="1">
      <c r="A3360" t="s">
        <v>105</v>
      </c>
      <c r="B3360" t="s">
        <v>1326</v>
      </c>
      <c r="BF3360" t="s">
        <v>105</v>
      </c>
      <c r="BG3360" t="s">
        <v>1326</v>
      </c>
      <c r="BJ3360" s="114">
        <v>2</v>
      </c>
      <c r="BK3360" s="116">
        <v>16</v>
      </c>
      <c r="BL3360" s="120">
        <f t="shared" si="1287"/>
        <v>216</v>
      </c>
      <c r="BN3360" s="5" t="s">
        <v>219</v>
      </c>
    </row>
    <row r="3361" spans="1:66" hidden="1" outlineLevel="1">
      <c r="A3361" t="s">
        <v>105</v>
      </c>
      <c r="B3361" t="s">
        <v>1326</v>
      </c>
      <c r="BF3361" t="s">
        <v>105</v>
      </c>
      <c r="BG3361" t="s">
        <v>1326</v>
      </c>
      <c r="BJ3361" s="114">
        <v>2</v>
      </c>
      <c r="BK3361" s="116">
        <v>16</v>
      </c>
      <c r="BL3361" s="120">
        <f t="shared" si="1287"/>
        <v>216</v>
      </c>
      <c r="BN3361" s="5" t="s">
        <v>219</v>
      </c>
    </row>
    <row r="3362" spans="1:66" hidden="1" outlineLevel="1">
      <c r="A3362" t="s">
        <v>105</v>
      </c>
      <c r="B3362" t="s">
        <v>1326</v>
      </c>
      <c r="BF3362" t="s">
        <v>105</v>
      </c>
      <c r="BG3362" t="s">
        <v>1326</v>
      </c>
      <c r="BJ3362" s="114">
        <v>2</v>
      </c>
      <c r="BK3362" s="116">
        <v>16</v>
      </c>
      <c r="BL3362" s="120">
        <f t="shared" si="1287"/>
        <v>216</v>
      </c>
      <c r="BN3362" s="5" t="s">
        <v>219</v>
      </c>
    </row>
    <row r="3363" spans="1:66" hidden="1" outlineLevel="1">
      <c r="A3363" t="s">
        <v>105</v>
      </c>
      <c r="B3363" t="s">
        <v>1326</v>
      </c>
      <c r="BF3363" t="s">
        <v>105</v>
      </c>
      <c r="BG3363" t="s">
        <v>1326</v>
      </c>
      <c r="BJ3363" s="114">
        <v>2</v>
      </c>
      <c r="BK3363" s="116">
        <v>16</v>
      </c>
      <c r="BL3363" s="120">
        <f t="shared" si="1287"/>
        <v>216</v>
      </c>
      <c r="BN3363" s="5" t="s">
        <v>219</v>
      </c>
    </row>
    <row r="3364" spans="1:66" hidden="1" outlineLevel="1">
      <c r="A3364" t="s">
        <v>105</v>
      </c>
      <c r="B3364" t="s">
        <v>1326</v>
      </c>
      <c r="BF3364" t="s">
        <v>105</v>
      </c>
      <c r="BG3364" t="s">
        <v>1326</v>
      </c>
      <c r="BJ3364" s="114">
        <v>2</v>
      </c>
      <c r="BK3364" s="116">
        <v>16</v>
      </c>
      <c r="BL3364" s="120">
        <f t="shared" si="1287"/>
        <v>216</v>
      </c>
      <c r="BN3364" s="5" t="s">
        <v>219</v>
      </c>
    </row>
    <row r="3365" spans="1:66" hidden="1" outlineLevel="1">
      <c r="A3365" t="s">
        <v>105</v>
      </c>
      <c r="B3365" t="s">
        <v>1326</v>
      </c>
      <c r="BF3365" t="s">
        <v>105</v>
      </c>
      <c r="BG3365" t="s">
        <v>1326</v>
      </c>
      <c r="BJ3365" s="114">
        <v>2</v>
      </c>
      <c r="BK3365" s="116">
        <v>16</v>
      </c>
      <c r="BL3365" s="120">
        <f t="shared" si="1287"/>
        <v>216</v>
      </c>
      <c r="BN3365" s="5" t="s">
        <v>219</v>
      </c>
    </row>
    <row r="3366" spans="1:66" hidden="1" outlineLevel="1">
      <c r="A3366" t="s">
        <v>105</v>
      </c>
      <c r="B3366" t="s">
        <v>1326</v>
      </c>
      <c r="BF3366" t="s">
        <v>105</v>
      </c>
      <c r="BG3366" t="s">
        <v>1326</v>
      </c>
      <c r="BJ3366" s="114">
        <v>2</v>
      </c>
      <c r="BK3366" s="116">
        <v>16</v>
      </c>
      <c r="BL3366" s="120">
        <f t="shared" si="1287"/>
        <v>216</v>
      </c>
      <c r="BN3366" s="5" t="s">
        <v>219</v>
      </c>
    </row>
    <row r="3367" spans="1:66" hidden="1" outlineLevel="1">
      <c r="A3367" t="s">
        <v>105</v>
      </c>
      <c r="B3367" t="s">
        <v>1326</v>
      </c>
      <c r="BF3367" t="s">
        <v>105</v>
      </c>
      <c r="BG3367" t="s">
        <v>1326</v>
      </c>
      <c r="BJ3367" s="114">
        <v>2</v>
      </c>
      <c r="BK3367" s="116">
        <v>16</v>
      </c>
      <c r="BL3367" s="120">
        <f t="shared" si="1287"/>
        <v>216</v>
      </c>
      <c r="BN3367" s="5" t="s">
        <v>219</v>
      </c>
    </row>
    <row r="3368" spans="1:66" hidden="1" outlineLevel="1">
      <c r="A3368" t="s">
        <v>105</v>
      </c>
      <c r="B3368" t="s">
        <v>1326</v>
      </c>
      <c r="BF3368" t="s">
        <v>105</v>
      </c>
      <c r="BG3368" t="s">
        <v>1326</v>
      </c>
      <c r="BJ3368" s="114">
        <v>2</v>
      </c>
      <c r="BK3368" s="116">
        <v>16</v>
      </c>
      <c r="BL3368" s="120">
        <f t="shared" si="1287"/>
        <v>216</v>
      </c>
      <c r="BN3368" s="5" t="s">
        <v>219</v>
      </c>
    </row>
    <row r="3369" spans="1:66" hidden="1" outlineLevel="1">
      <c r="A3369" t="s">
        <v>105</v>
      </c>
      <c r="B3369" t="s">
        <v>1326</v>
      </c>
      <c r="BF3369" t="s">
        <v>105</v>
      </c>
      <c r="BG3369" t="s">
        <v>1326</v>
      </c>
      <c r="BJ3369" s="114">
        <v>2</v>
      </c>
      <c r="BK3369" s="116">
        <v>16</v>
      </c>
      <c r="BL3369" s="120">
        <f t="shared" si="1287"/>
        <v>216</v>
      </c>
      <c r="BN3369" s="5" t="s">
        <v>219</v>
      </c>
    </row>
    <row r="3370" spans="1:66" hidden="1" outlineLevel="1">
      <c r="A3370" t="s">
        <v>105</v>
      </c>
      <c r="B3370" t="s">
        <v>1326</v>
      </c>
      <c r="BF3370" t="s">
        <v>105</v>
      </c>
      <c r="BG3370" t="s">
        <v>1326</v>
      </c>
      <c r="BJ3370" s="114">
        <v>2</v>
      </c>
      <c r="BK3370" s="116">
        <v>16</v>
      </c>
      <c r="BL3370" s="120">
        <f t="shared" si="1287"/>
        <v>216</v>
      </c>
      <c r="BN3370" s="5" t="s">
        <v>219</v>
      </c>
    </row>
    <row r="3371" spans="1:66" hidden="1" outlineLevel="1">
      <c r="A3371" t="s">
        <v>105</v>
      </c>
      <c r="B3371" t="s">
        <v>1326</v>
      </c>
      <c r="BF3371" t="s">
        <v>105</v>
      </c>
      <c r="BG3371" t="s">
        <v>1326</v>
      </c>
      <c r="BJ3371" s="114">
        <v>2</v>
      </c>
      <c r="BK3371" s="116">
        <v>16</v>
      </c>
      <c r="BL3371" s="120">
        <f t="shared" si="1287"/>
        <v>216</v>
      </c>
      <c r="BN3371" s="5" t="s">
        <v>219</v>
      </c>
    </row>
    <row r="3372" spans="1:66" hidden="1" outlineLevel="1">
      <c r="A3372" t="s">
        <v>105</v>
      </c>
      <c r="B3372" t="s">
        <v>1326</v>
      </c>
      <c r="BF3372" t="s">
        <v>105</v>
      </c>
      <c r="BG3372" t="s">
        <v>1326</v>
      </c>
      <c r="BJ3372" s="114">
        <v>2</v>
      </c>
      <c r="BK3372" s="116">
        <v>16</v>
      </c>
      <c r="BL3372" s="120">
        <f t="shared" si="1287"/>
        <v>216</v>
      </c>
      <c r="BN3372" s="5" t="s">
        <v>219</v>
      </c>
    </row>
    <row r="3373" spans="1:66" hidden="1" outlineLevel="1">
      <c r="A3373" t="s">
        <v>105</v>
      </c>
      <c r="B3373" t="s">
        <v>1326</v>
      </c>
      <c r="BF3373" t="s">
        <v>105</v>
      </c>
      <c r="BG3373" t="s">
        <v>1326</v>
      </c>
      <c r="BJ3373" s="114">
        <v>2</v>
      </c>
      <c r="BK3373" s="116">
        <v>16</v>
      </c>
      <c r="BL3373" s="120">
        <f t="shared" si="1287"/>
        <v>216</v>
      </c>
      <c r="BN3373" s="5" t="s">
        <v>219</v>
      </c>
    </row>
    <row r="3374" spans="1:66" hidden="1" outlineLevel="1">
      <c r="A3374" t="s">
        <v>105</v>
      </c>
      <c r="B3374" t="s">
        <v>1326</v>
      </c>
      <c r="BF3374" t="s">
        <v>105</v>
      </c>
      <c r="BG3374" t="s">
        <v>1326</v>
      </c>
      <c r="BJ3374" s="114">
        <v>2</v>
      </c>
      <c r="BK3374" s="116">
        <v>16</v>
      </c>
      <c r="BL3374" s="120">
        <f t="shared" si="1287"/>
        <v>216</v>
      </c>
      <c r="BN3374" s="5" t="s">
        <v>219</v>
      </c>
    </row>
    <row r="3375" spans="1:66" hidden="1" outlineLevel="1">
      <c r="A3375" t="s">
        <v>105</v>
      </c>
      <c r="B3375" t="s">
        <v>1326</v>
      </c>
      <c r="BF3375" t="s">
        <v>105</v>
      </c>
      <c r="BG3375" t="s">
        <v>1326</v>
      </c>
      <c r="BJ3375" s="114">
        <v>2</v>
      </c>
      <c r="BK3375" s="116">
        <v>16</v>
      </c>
      <c r="BL3375" s="120">
        <f t="shared" si="1287"/>
        <v>216</v>
      </c>
      <c r="BN3375" s="5" t="s">
        <v>219</v>
      </c>
    </row>
    <row r="3376" spans="1:66" hidden="1" outlineLevel="1">
      <c r="A3376" t="s">
        <v>105</v>
      </c>
      <c r="B3376" t="s">
        <v>1326</v>
      </c>
      <c r="BF3376" t="s">
        <v>105</v>
      </c>
      <c r="BG3376" t="s">
        <v>1326</v>
      </c>
      <c r="BJ3376" s="114">
        <v>2</v>
      </c>
      <c r="BK3376" s="116">
        <v>16</v>
      </c>
      <c r="BL3376" s="120">
        <f t="shared" ref="BL3376:BL3407" si="1288">(BJ3376&amp;BK3376)*1</f>
        <v>216</v>
      </c>
      <c r="BN3376" s="5" t="s">
        <v>219</v>
      </c>
    </row>
    <row r="3377" spans="1:66" hidden="1" outlineLevel="1">
      <c r="A3377" t="s">
        <v>105</v>
      </c>
      <c r="B3377" t="s">
        <v>1326</v>
      </c>
      <c r="BF3377" t="s">
        <v>105</v>
      </c>
      <c r="BG3377" t="s">
        <v>1326</v>
      </c>
      <c r="BJ3377" s="114">
        <v>2</v>
      </c>
      <c r="BK3377" s="116">
        <v>16</v>
      </c>
      <c r="BL3377" s="120">
        <f t="shared" si="1288"/>
        <v>216</v>
      </c>
      <c r="BN3377" s="5" t="s">
        <v>219</v>
      </c>
    </row>
    <row r="3378" spans="1:66" hidden="1" outlineLevel="1">
      <c r="A3378" t="s">
        <v>105</v>
      </c>
      <c r="B3378" t="s">
        <v>1326</v>
      </c>
      <c r="BF3378" t="s">
        <v>105</v>
      </c>
      <c r="BG3378" t="s">
        <v>1326</v>
      </c>
      <c r="BJ3378" s="114">
        <v>2</v>
      </c>
      <c r="BK3378" s="116">
        <v>16</v>
      </c>
      <c r="BL3378" s="120">
        <f t="shared" si="1288"/>
        <v>216</v>
      </c>
      <c r="BN3378" s="5" t="s">
        <v>219</v>
      </c>
    </row>
    <row r="3379" spans="1:66" hidden="1" outlineLevel="1">
      <c r="A3379" t="s">
        <v>105</v>
      </c>
      <c r="B3379" t="s">
        <v>1326</v>
      </c>
      <c r="BF3379" t="s">
        <v>105</v>
      </c>
      <c r="BG3379" t="s">
        <v>1326</v>
      </c>
      <c r="BJ3379" s="114">
        <v>2</v>
      </c>
      <c r="BK3379" s="116">
        <v>16</v>
      </c>
      <c r="BL3379" s="120">
        <f t="shared" si="1288"/>
        <v>216</v>
      </c>
      <c r="BN3379" s="5" t="s">
        <v>219</v>
      </c>
    </row>
    <row r="3380" spans="1:66" hidden="1" outlineLevel="1">
      <c r="A3380" t="s">
        <v>105</v>
      </c>
      <c r="B3380" t="s">
        <v>1326</v>
      </c>
      <c r="BF3380" t="s">
        <v>105</v>
      </c>
      <c r="BG3380" t="s">
        <v>1326</v>
      </c>
      <c r="BJ3380" s="114">
        <v>2</v>
      </c>
      <c r="BK3380" s="116">
        <v>16</v>
      </c>
      <c r="BL3380" s="120">
        <f t="shared" si="1288"/>
        <v>216</v>
      </c>
      <c r="BN3380" s="5" t="s">
        <v>219</v>
      </c>
    </row>
    <row r="3381" spans="1:66" hidden="1" outlineLevel="1">
      <c r="A3381" t="s">
        <v>105</v>
      </c>
      <c r="B3381" t="s">
        <v>1326</v>
      </c>
      <c r="BF3381" t="s">
        <v>105</v>
      </c>
      <c r="BG3381" t="s">
        <v>1326</v>
      </c>
      <c r="BJ3381" s="114">
        <v>2</v>
      </c>
      <c r="BK3381" s="116">
        <v>16</v>
      </c>
      <c r="BL3381" s="120">
        <f t="shared" si="1288"/>
        <v>216</v>
      </c>
      <c r="BN3381" s="5" t="s">
        <v>219</v>
      </c>
    </row>
    <row r="3382" spans="1:66" hidden="1" outlineLevel="1">
      <c r="A3382" t="s">
        <v>105</v>
      </c>
      <c r="B3382" t="s">
        <v>1326</v>
      </c>
      <c r="BF3382" t="s">
        <v>105</v>
      </c>
      <c r="BG3382" t="s">
        <v>1326</v>
      </c>
      <c r="BJ3382" s="114">
        <v>2</v>
      </c>
      <c r="BK3382" s="116">
        <v>16</v>
      </c>
      <c r="BL3382" s="120">
        <f t="shared" si="1288"/>
        <v>216</v>
      </c>
      <c r="BN3382" s="5" t="s">
        <v>219</v>
      </c>
    </row>
    <row r="3383" spans="1:66" hidden="1" outlineLevel="1">
      <c r="A3383" t="s">
        <v>105</v>
      </c>
      <c r="B3383" t="s">
        <v>1326</v>
      </c>
      <c r="BF3383" t="s">
        <v>105</v>
      </c>
      <c r="BG3383" t="s">
        <v>1326</v>
      </c>
      <c r="BJ3383" s="114">
        <v>2</v>
      </c>
      <c r="BK3383" s="116">
        <v>16</v>
      </c>
      <c r="BL3383" s="120">
        <f t="shared" si="1288"/>
        <v>216</v>
      </c>
      <c r="BN3383" s="5" t="s">
        <v>219</v>
      </c>
    </row>
    <row r="3384" spans="1:66" hidden="1" outlineLevel="1">
      <c r="A3384" t="s">
        <v>105</v>
      </c>
      <c r="B3384" t="s">
        <v>1326</v>
      </c>
      <c r="BF3384" t="s">
        <v>105</v>
      </c>
      <c r="BG3384" t="s">
        <v>1326</v>
      </c>
      <c r="BJ3384" s="114">
        <v>2</v>
      </c>
      <c r="BK3384" s="116">
        <v>16</v>
      </c>
      <c r="BL3384" s="120">
        <f t="shared" si="1288"/>
        <v>216</v>
      </c>
      <c r="BN3384" s="5" t="s">
        <v>219</v>
      </c>
    </row>
    <row r="3385" spans="1:66" hidden="1" outlineLevel="1">
      <c r="A3385" t="s">
        <v>105</v>
      </c>
      <c r="B3385" t="s">
        <v>1326</v>
      </c>
      <c r="BF3385" t="s">
        <v>105</v>
      </c>
      <c r="BG3385" t="s">
        <v>1326</v>
      </c>
      <c r="BJ3385" s="114">
        <v>2</v>
      </c>
      <c r="BK3385" s="116">
        <v>16</v>
      </c>
      <c r="BL3385" s="120">
        <f t="shared" si="1288"/>
        <v>216</v>
      </c>
      <c r="BN3385" s="5" t="s">
        <v>219</v>
      </c>
    </row>
    <row r="3386" spans="1:66" hidden="1" outlineLevel="1">
      <c r="A3386" t="s">
        <v>105</v>
      </c>
      <c r="B3386" t="s">
        <v>1326</v>
      </c>
      <c r="BF3386" t="s">
        <v>105</v>
      </c>
      <c r="BG3386" t="s">
        <v>1326</v>
      </c>
      <c r="BJ3386" s="114">
        <v>2</v>
      </c>
      <c r="BK3386" s="116">
        <v>16</v>
      </c>
      <c r="BL3386" s="120">
        <f t="shared" si="1288"/>
        <v>216</v>
      </c>
      <c r="BN3386" s="5" t="s">
        <v>219</v>
      </c>
    </row>
    <row r="3387" spans="1:66" hidden="1" outlineLevel="1">
      <c r="A3387" t="s">
        <v>105</v>
      </c>
      <c r="B3387" t="s">
        <v>1326</v>
      </c>
      <c r="BF3387" t="s">
        <v>105</v>
      </c>
      <c r="BG3387" t="s">
        <v>1326</v>
      </c>
      <c r="BJ3387" s="114">
        <v>2</v>
      </c>
      <c r="BK3387" s="116">
        <v>16</v>
      </c>
      <c r="BL3387" s="120">
        <f t="shared" si="1288"/>
        <v>216</v>
      </c>
      <c r="BN3387" s="5" t="s">
        <v>219</v>
      </c>
    </row>
    <row r="3388" spans="1:66" hidden="1" outlineLevel="1">
      <c r="A3388" t="s">
        <v>105</v>
      </c>
      <c r="B3388" t="s">
        <v>1326</v>
      </c>
      <c r="BF3388" t="s">
        <v>105</v>
      </c>
      <c r="BG3388" t="s">
        <v>1326</v>
      </c>
      <c r="BJ3388" s="114">
        <v>2</v>
      </c>
      <c r="BK3388" s="116">
        <v>16</v>
      </c>
      <c r="BL3388" s="120">
        <f t="shared" si="1288"/>
        <v>216</v>
      </c>
      <c r="BN3388" s="5" t="s">
        <v>219</v>
      </c>
    </row>
    <row r="3389" spans="1:66" hidden="1" outlineLevel="1">
      <c r="A3389" t="s">
        <v>105</v>
      </c>
      <c r="B3389" t="s">
        <v>1326</v>
      </c>
      <c r="BF3389" t="s">
        <v>105</v>
      </c>
      <c r="BG3389" t="s">
        <v>1326</v>
      </c>
      <c r="BJ3389" s="114">
        <v>2</v>
      </c>
      <c r="BK3389" s="116">
        <v>16</v>
      </c>
      <c r="BL3389" s="120">
        <f t="shared" si="1288"/>
        <v>216</v>
      </c>
      <c r="BN3389" s="5" t="s">
        <v>219</v>
      </c>
    </row>
    <row r="3390" spans="1:66" hidden="1" outlineLevel="1">
      <c r="A3390" t="s">
        <v>105</v>
      </c>
      <c r="B3390" t="s">
        <v>1326</v>
      </c>
      <c r="BF3390" t="s">
        <v>105</v>
      </c>
      <c r="BG3390" t="s">
        <v>1326</v>
      </c>
      <c r="BJ3390" s="114">
        <v>2</v>
      </c>
      <c r="BK3390" s="116">
        <v>16</v>
      </c>
      <c r="BL3390" s="120">
        <f t="shared" si="1288"/>
        <v>216</v>
      </c>
      <c r="BN3390" s="5" t="s">
        <v>219</v>
      </c>
    </row>
    <row r="3391" spans="1:66" hidden="1" outlineLevel="1">
      <c r="A3391" t="s">
        <v>105</v>
      </c>
      <c r="B3391" t="s">
        <v>1326</v>
      </c>
      <c r="BF3391" t="s">
        <v>105</v>
      </c>
      <c r="BG3391" t="s">
        <v>1326</v>
      </c>
      <c r="BJ3391" s="114">
        <v>2</v>
      </c>
      <c r="BK3391" s="116">
        <v>16</v>
      </c>
      <c r="BL3391" s="120">
        <f t="shared" si="1288"/>
        <v>216</v>
      </c>
      <c r="BN3391" s="5" t="s">
        <v>219</v>
      </c>
    </row>
    <row r="3392" spans="1:66" hidden="1" outlineLevel="1">
      <c r="A3392" t="s">
        <v>105</v>
      </c>
      <c r="B3392" t="s">
        <v>1326</v>
      </c>
      <c r="BF3392" t="s">
        <v>105</v>
      </c>
      <c r="BG3392" t="s">
        <v>1326</v>
      </c>
      <c r="BJ3392" s="114">
        <v>2</v>
      </c>
      <c r="BK3392" s="116">
        <v>16</v>
      </c>
      <c r="BL3392" s="120">
        <f t="shared" si="1288"/>
        <v>216</v>
      </c>
      <c r="BN3392" s="5" t="s">
        <v>219</v>
      </c>
    </row>
    <row r="3393" spans="1:66" hidden="1" outlineLevel="1">
      <c r="A3393" t="s">
        <v>30</v>
      </c>
      <c r="B3393" t="s">
        <v>1326</v>
      </c>
      <c r="BF3393" t="s">
        <v>30</v>
      </c>
      <c r="BG3393" t="s">
        <v>1326</v>
      </c>
      <c r="BJ3393" s="114">
        <v>2</v>
      </c>
      <c r="BK3393" s="116">
        <v>20</v>
      </c>
      <c r="BL3393" s="120">
        <f t="shared" si="1288"/>
        <v>220</v>
      </c>
      <c r="BN3393" s="5" t="s">
        <v>533</v>
      </c>
    </row>
    <row r="3394" spans="1:66" hidden="1" outlineLevel="1">
      <c r="A3394" t="s">
        <v>365</v>
      </c>
      <c r="B3394" t="s">
        <v>1326</v>
      </c>
      <c r="BF3394" t="s">
        <v>365</v>
      </c>
      <c r="BG3394" t="s">
        <v>1326</v>
      </c>
      <c r="BJ3394" s="114">
        <v>2</v>
      </c>
      <c r="BK3394" s="116">
        <v>50</v>
      </c>
      <c r="BL3394" s="120">
        <f t="shared" si="1288"/>
        <v>250</v>
      </c>
      <c r="BN3394" s="5" t="s">
        <v>219</v>
      </c>
    </row>
    <row r="3395" spans="1:66" hidden="1" outlineLevel="1">
      <c r="A3395" t="s">
        <v>365</v>
      </c>
      <c r="B3395" t="s">
        <v>1326</v>
      </c>
      <c r="BF3395" t="s">
        <v>365</v>
      </c>
      <c r="BG3395" t="s">
        <v>1326</v>
      </c>
      <c r="BJ3395" s="114">
        <v>2</v>
      </c>
      <c r="BK3395" s="116">
        <v>50</v>
      </c>
      <c r="BL3395" s="120">
        <f t="shared" si="1288"/>
        <v>250</v>
      </c>
      <c r="BN3395" s="5" t="s">
        <v>219</v>
      </c>
    </row>
    <row r="3396" spans="1:66" hidden="1" outlineLevel="1">
      <c r="A3396" t="s">
        <v>365</v>
      </c>
      <c r="B3396" t="s">
        <v>1326</v>
      </c>
      <c r="BF3396" t="s">
        <v>365</v>
      </c>
      <c r="BG3396" t="s">
        <v>1326</v>
      </c>
      <c r="BJ3396" s="114">
        <v>2</v>
      </c>
      <c r="BK3396" s="116">
        <v>50</v>
      </c>
      <c r="BL3396" s="120">
        <f t="shared" si="1288"/>
        <v>250</v>
      </c>
      <c r="BN3396" s="5" t="s">
        <v>219</v>
      </c>
    </row>
    <row r="3397" spans="1:66" hidden="1" outlineLevel="1">
      <c r="A3397" t="s">
        <v>635</v>
      </c>
      <c r="B3397" t="s">
        <v>1326</v>
      </c>
      <c r="BF3397" t="s">
        <v>635</v>
      </c>
      <c r="BG3397" t="s">
        <v>1326</v>
      </c>
      <c r="BJ3397" s="114">
        <v>2</v>
      </c>
      <c r="BK3397" s="116">
        <v>60</v>
      </c>
      <c r="BL3397" s="120">
        <f t="shared" si="1288"/>
        <v>260</v>
      </c>
      <c r="BN3397" s="5" t="s">
        <v>1913</v>
      </c>
    </row>
    <row r="3398" spans="1:66" hidden="1" outlineLevel="1">
      <c r="A3398" t="s">
        <v>803</v>
      </c>
      <c r="B3398" t="s">
        <v>1326</v>
      </c>
      <c r="BF3398" t="s">
        <v>803</v>
      </c>
      <c r="BG3398" t="s">
        <v>1326</v>
      </c>
      <c r="BJ3398" s="114">
        <v>2</v>
      </c>
      <c r="BK3398" s="116">
        <v>68</v>
      </c>
      <c r="BL3398" s="120">
        <f t="shared" si="1288"/>
        <v>268</v>
      </c>
      <c r="BN3398" s="5" t="s">
        <v>1913</v>
      </c>
    </row>
    <row r="3399" spans="1:66" hidden="1" outlineLevel="1">
      <c r="A3399" t="s">
        <v>1827</v>
      </c>
      <c r="B3399" t="s">
        <v>1326</v>
      </c>
      <c r="BF3399" t="s">
        <v>1827</v>
      </c>
      <c r="BG3399" t="s">
        <v>1326</v>
      </c>
      <c r="BJ3399" s="114">
        <v>2</v>
      </c>
      <c r="BK3399" s="116">
        <v>70</v>
      </c>
      <c r="BL3399" s="120">
        <f t="shared" si="1288"/>
        <v>270</v>
      </c>
      <c r="BN3399" s="5" t="s">
        <v>219</v>
      </c>
    </row>
    <row r="3400" spans="1:66" hidden="1" outlineLevel="1">
      <c r="A3400" t="s">
        <v>1827</v>
      </c>
      <c r="B3400" t="s">
        <v>1326</v>
      </c>
      <c r="BF3400" t="s">
        <v>1827</v>
      </c>
      <c r="BG3400" t="s">
        <v>1326</v>
      </c>
      <c r="BJ3400" s="114">
        <v>2</v>
      </c>
      <c r="BK3400" s="116">
        <v>70</v>
      </c>
      <c r="BL3400" s="120">
        <f t="shared" si="1288"/>
        <v>270</v>
      </c>
      <c r="BN3400" s="5" t="s">
        <v>219</v>
      </c>
    </row>
    <row r="3401" spans="1:66" hidden="1" outlineLevel="1">
      <c r="A3401" t="s">
        <v>178</v>
      </c>
      <c r="B3401" t="s">
        <v>1326</v>
      </c>
      <c r="BF3401" t="s">
        <v>178</v>
      </c>
      <c r="BG3401" t="s">
        <v>1326</v>
      </c>
      <c r="BJ3401" s="114">
        <v>2</v>
      </c>
      <c r="BK3401" s="116">
        <v>90</v>
      </c>
      <c r="BL3401" s="120">
        <f t="shared" si="1288"/>
        <v>290</v>
      </c>
      <c r="BN3401" s="5" t="s">
        <v>1913</v>
      </c>
    </row>
    <row r="3402" spans="1:66" hidden="1" outlineLevel="1">
      <c r="A3402" t="s">
        <v>431</v>
      </c>
      <c r="B3402" t="s">
        <v>1326</v>
      </c>
      <c r="BF3402" t="s">
        <v>431</v>
      </c>
      <c r="BG3402" t="s">
        <v>1326</v>
      </c>
      <c r="BJ3402" s="114">
        <v>2</v>
      </c>
      <c r="BK3402" s="116">
        <v>100</v>
      </c>
      <c r="BL3402" s="120">
        <f t="shared" si="1288"/>
        <v>2100</v>
      </c>
      <c r="BN3402" s="5" t="s">
        <v>1913</v>
      </c>
    </row>
    <row r="3403" spans="1:66" hidden="1" outlineLevel="1">
      <c r="A3403" t="s">
        <v>2162</v>
      </c>
      <c r="B3403" t="s">
        <v>1326</v>
      </c>
      <c r="BF3403" t="s">
        <v>2162</v>
      </c>
      <c r="BG3403" t="s">
        <v>1326</v>
      </c>
      <c r="BJ3403" s="114">
        <v>2</v>
      </c>
      <c r="BK3403" s="116">
        <v>110</v>
      </c>
      <c r="BL3403" s="120">
        <f t="shared" si="1288"/>
        <v>2110</v>
      </c>
      <c r="BN3403" s="5" t="s">
        <v>1589</v>
      </c>
    </row>
    <row r="3404" spans="1:66" hidden="1" outlineLevel="1">
      <c r="A3404" t="s">
        <v>2162</v>
      </c>
      <c r="B3404" t="s">
        <v>1326</v>
      </c>
      <c r="BF3404" t="s">
        <v>2162</v>
      </c>
      <c r="BG3404" t="s">
        <v>1326</v>
      </c>
      <c r="BJ3404" s="114">
        <v>2</v>
      </c>
      <c r="BK3404" s="116">
        <v>110</v>
      </c>
      <c r="BL3404" s="120">
        <f t="shared" si="1288"/>
        <v>2110</v>
      </c>
      <c r="BN3404" s="5" t="s">
        <v>1589</v>
      </c>
    </row>
    <row r="3405" spans="1:66" hidden="1" outlineLevel="1">
      <c r="A3405" t="s">
        <v>821</v>
      </c>
      <c r="B3405" t="s">
        <v>1326</v>
      </c>
      <c r="BF3405" t="s">
        <v>821</v>
      </c>
      <c r="BG3405" t="s">
        <v>1326</v>
      </c>
      <c r="BJ3405" s="114">
        <v>2</v>
      </c>
      <c r="BK3405" s="116">
        <v>122</v>
      </c>
      <c r="BL3405" s="120">
        <f t="shared" si="1288"/>
        <v>2122</v>
      </c>
      <c r="BN3405" s="5" t="s">
        <v>1913</v>
      </c>
    </row>
    <row r="3406" spans="1:66" hidden="1" outlineLevel="1">
      <c r="A3406" t="s">
        <v>821</v>
      </c>
      <c r="B3406" t="s">
        <v>1326</v>
      </c>
      <c r="BF3406" t="s">
        <v>821</v>
      </c>
      <c r="BG3406" t="s">
        <v>1326</v>
      </c>
      <c r="BJ3406" s="114">
        <v>2</v>
      </c>
      <c r="BK3406" s="116">
        <v>122</v>
      </c>
      <c r="BL3406" s="120">
        <f t="shared" si="1288"/>
        <v>2122</v>
      </c>
      <c r="BN3406" s="5" t="s">
        <v>1913</v>
      </c>
    </row>
    <row r="3407" spans="1:66" hidden="1" outlineLevel="1">
      <c r="A3407" t="s">
        <v>1666</v>
      </c>
      <c r="B3407" t="s">
        <v>1326</v>
      </c>
      <c r="BF3407" t="s">
        <v>1666</v>
      </c>
      <c r="BG3407" t="s">
        <v>1326</v>
      </c>
      <c r="BJ3407" s="114">
        <v>2</v>
      </c>
      <c r="BK3407" s="116">
        <v>130</v>
      </c>
      <c r="BL3407" s="120">
        <f t="shared" si="1288"/>
        <v>2130</v>
      </c>
      <c r="BN3407" s="5" t="s">
        <v>1913</v>
      </c>
    </row>
    <row r="3408" spans="1:66" hidden="1" outlineLevel="1">
      <c r="A3408" t="s">
        <v>1666</v>
      </c>
      <c r="B3408" t="s">
        <v>1326</v>
      </c>
      <c r="BF3408" t="s">
        <v>1666</v>
      </c>
      <c r="BG3408" t="s">
        <v>1326</v>
      </c>
      <c r="BJ3408" s="114">
        <v>2</v>
      </c>
      <c r="BK3408" s="116">
        <v>130</v>
      </c>
      <c r="BL3408" s="120">
        <f t="shared" ref="BL3408:BL3439" si="1289">(BJ3408&amp;BK3408)*1</f>
        <v>2130</v>
      </c>
      <c r="BN3408" s="5" t="s">
        <v>1913</v>
      </c>
    </row>
    <row r="3409" spans="1:66" hidden="1" outlineLevel="1">
      <c r="A3409" t="s">
        <v>2083</v>
      </c>
      <c r="B3409" t="s">
        <v>1326</v>
      </c>
      <c r="BF3409" t="s">
        <v>2083</v>
      </c>
      <c r="BG3409" t="s">
        <v>1326</v>
      </c>
      <c r="BJ3409" s="114">
        <v>2</v>
      </c>
      <c r="BK3409" s="116">
        <v>150</v>
      </c>
      <c r="BL3409" s="120">
        <f t="shared" si="1289"/>
        <v>2150</v>
      </c>
      <c r="BN3409" s="5" t="s">
        <v>1913</v>
      </c>
    </row>
    <row r="3410" spans="1:66" hidden="1" outlineLevel="1">
      <c r="A3410" t="s">
        <v>2083</v>
      </c>
      <c r="B3410" t="s">
        <v>1326</v>
      </c>
      <c r="BF3410" t="s">
        <v>2083</v>
      </c>
      <c r="BG3410" t="s">
        <v>1326</v>
      </c>
      <c r="BJ3410" s="114">
        <v>2</v>
      </c>
      <c r="BK3410" s="116">
        <v>150</v>
      </c>
      <c r="BL3410" s="120">
        <f t="shared" si="1289"/>
        <v>2150</v>
      </c>
      <c r="BN3410" s="5" t="s">
        <v>1913</v>
      </c>
    </row>
    <row r="3411" spans="1:66" hidden="1" outlineLevel="1">
      <c r="A3411" t="s">
        <v>2083</v>
      </c>
      <c r="B3411" t="s">
        <v>1326</v>
      </c>
      <c r="BF3411" t="s">
        <v>2083</v>
      </c>
      <c r="BG3411" t="s">
        <v>1326</v>
      </c>
      <c r="BJ3411" s="114">
        <v>2</v>
      </c>
      <c r="BK3411" s="116">
        <v>150</v>
      </c>
      <c r="BL3411" s="120">
        <f t="shared" si="1289"/>
        <v>2150</v>
      </c>
      <c r="BN3411" s="5" t="s">
        <v>1913</v>
      </c>
    </row>
    <row r="3412" spans="1:66" hidden="1" outlineLevel="1">
      <c r="A3412" t="s">
        <v>2083</v>
      </c>
      <c r="B3412" t="s">
        <v>1326</v>
      </c>
      <c r="BF3412" t="s">
        <v>2083</v>
      </c>
      <c r="BG3412" t="s">
        <v>1326</v>
      </c>
      <c r="BJ3412" s="114">
        <v>2</v>
      </c>
      <c r="BK3412" s="116">
        <v>150</v>
      </c>
      <c r="BL3412" s="120">
        <f t="shared" si="1289"/>
        <v>2150</v>
      </c>
      <c r="BN3412" s="5" t="s">
        <v>1913</v>
      </c>
    </row>
    <row r="3413" spans="1:66" hidden="1" outlineLevel="1">
      <c r="A3413" t="s">
        <v>2083</v>
      </c>
      <c r="B3413" t="s">
        <v>1326</v>
      </c>
      <c r="BF3413" t="s">
        <v>2083</v>
      </c>
      <c r="BG3413" t="s">
        <v>1326</v>
      </c>
      <c r="BJ3413" s="114">
        <v>2</v>
      </c>
      <c r="BK3413" s="116">
        <v>150</v>
      </c>
      <c r="BL3413" s="120">
        <f t="shared" si="1289"/>
        <v>2150</v>
      </c>
      <c r="BN3413" s="5" t="s">
        <v>1913</v>
      </c>
    </row>
    <row r="3414" spans="1:66" hidden="1" outlineLevel="1">
      <c r="A3414" t="s">
        <v>2083</v>
      </c>
      <c r="B3414" t="s">
        <v>1326</v>
      </c>
      <c r="BF3414" t="s">
        <v>2083</v>
      </c>
      <c r="BG3414" t="s">
        <v>1326</v>
      </c>
      <c r="BJ3414" s="114">
        <v>2</v>
      </c>
      <c r="BK3414" s="116">
        <v>150</v>
      </c>
      <c r="BL3414" s="120">
        <f t="shared" si="1289"/>
        <v>2150</v>
      </c>
      <c r="BN3414" s="5" t="s">
        <v>1913</v>
      </c>
    </row>
    <row r="3415" spans="1:66" hidden="1" outlineLevel="1">
      <c r="A3415" t="s">
        <v>52</v>
      </c>
      <c r="B3415" t="s">
        <v>1326</v>
      </c>
      <c r="BF3415" t="s">
        <v>52</v>
      </c>
      <c r="BG3415" t="s">
        <v>1326</v>
      </c>
      <c r="BJ3415" s="114">
        <v>2</v>
      </c>
      <c r="BK3415" s="116">
        <v>164</v>
      </c>
      <c r="BL3415" s="120">
        <f t="shared" si="1289"/>
        <v>2164</v>
      </c>
      <c r="BN3415" s="5" t="s">
        <v>1913</v>
      </c>
    </row>
    <row r="3416" spans="1:66" hidden="1" outlineLevel="1">
      <c r="A3416" t="s">
        <v>52</v>
      </c>
      <c r="B3416" t="s">
        <v>1326</v>
      </c>
      <c r="BF3416" t="s">
        <v>52</v>
      </c>
      <c r="BG3416" t="s">
        <v>1326</v>
      </c>
      <c r="BJ3416" s="114">
        <v>2</v>
      </c>
      <c r="BK3416" s="116">
        <v>164</v>
      </c>
      <c r="BL3416" s="120">
        <f t="shared" si="1289"/>
        <v>2164</v>
      </c>
      <c r="BN3416" s="5" t="s">
        <v>1913</v>
      </c>
    </row>
    <row r="3417" spans="1:66" hidden="1" outlineLevel="1">
      <c r="A3417" t="s">
        <v>1451</v>
      </c>
      <c r="B3417" t="s">
        <v>1326</v>
      </c>
      <c r="BF3417" t="s">
        <v>1451</v>
      </c>
      <c r="BG3417" t="s">
        <v>1326</v>
      </c>
      <c r="BJ3417" s="114">
        <v>2</v>
      </c>
      <c r="BK3417" s="116">
        <v>170</v>
      </c>
      <c r="BL3417" s="120">
        <f t="shared" si="1289"/>
        <v>2170</v>
      </c>
      <c r="BN3417" s="5" t="s">
        <v>1913</v>
      </c>
    </row>
    <row r="3418" spans="1:66" hidden="1" outlineLevel="1">
      <c r="A3418" t="s">
        <v>1264</v>
      </c>
      <c r="B3418" t="s">
        <v>1326</v>
      </c>
      <c r="BF3418" t="s">
        <v>1264</v>
      </c>
      <c r="BG3418" t="s">
        <v>1326</v>
      </c>
      <c r="BJ3418" s="114">
        <v>2</v>
      </c>
      <c r="BK3418" s="116">
        <v>180</v>
      </c>
      <c r="BL3418" s="120">
        <f t="shared" si="1289"/>
        <v>2180</v>
      </c>
      <c r="BN3418" s="5" t="s">
        <v>219</v>
      </c>
    </row>
    <row r="3419" spans="1:66" hidden="1" outlineLevel="1">
      <c r="A3419" t="s">
        <v>1264</v>
      </c>
      <c r="B3419" t="s">
        <v>1326</v>
      </c>
      <c r="BF3419" t="s">
        <v>1264</v>
      </c>
      <c r="BG3419" t="s">
        <v>1326</v>
      </c>
      <c r="BJ3419" s="114">
        <v>2</v>
      </c>
      <c r="BK3419" s="116">
        <v>180</v>
      </c>
      <c r="BL3419" s="120">
        <f t="shared" si="1289"/>
        <v>2180</v>
      </c>
      <c r="BN3419" s="5" t="s">
        <v>219</v>
      </c>
    </row>
    <row r="3420" spans="1:66" hidden="1" outlineLevel="1">
      <c r="A3420" t="s">
        <v>1264</v>
      </c>
      <c r="B3420" t="s">
        <v>1326</v>
      </c>
      <c r="BF3420" t="s">
        <v>1264</v>
      </c>
      <c r="BG3420" t="s">
        <v>1326</v>
      </c>
      <c r="BJ3420" s="114">
        <v>2</v>
      </c>
      <c r="BK3420" s="116">
        <v>180</v>
      </c>
      <c r="BL3420" s="120">
        <f t="shared" si="1289"/>
        <v>2180</v>
      </c>
      <c r="BN3420" s="5" t="s">
        <v>219</v>
      </c>
    </row>
    <row r="3421" spans="1:66" hidden="1" outlineLevel="1">
      <c r="A3421" t="s">
        <v>1264</v>
      </c>
      <c r="B3421" t="s">
        <v>1326</v>
      </c>
      <c r="BF3421" t="s">
        <v>1264</v>
      </c>
      <c r="BG3421" t="s">
        <v>1326</v>
      </c>
      <c r="BJ3421" s="114">
        <v>2</v>
      </c>
      <c r="BK3421" s="116">
        <v>180</v>
      </c>
      <c r="BL3421" s="120">
        <f t="shared" si="1289"/>
        <v>2180</v>
      </c>
      <c r="BN3421" s="5" t="s">
        <v>219</v>
      </c>
    </row>
    <row r="3422" spans="1:66" hidden="1" outlineLevel="1">
      <c r="A3422" t="s">
        <v>1264</v>
      </c>
      <c r="B3422" t="s">
        <v>1326</v>
      </c>
      <c r="BF3422" t="s">
        <v>1264</v>
      </c>
      <c r="BG3422" t="s">
        <v>1326</v>
      </c>
      <c r="BJ3422" s="114">
        <v>2</v>
      </c>
      <c r="BK3422" s="116">
        <v>180</v>
      </c>
      <c r="BL3422" s="120">
        <f t="shared" si="1289"/>
        <v>2180</v>
      </c>
      <c r="BN3422" s="5" t="s">
        <v>219</v>
      </c>
    </row>
    <row r="3423" spans="1:66" hidden="1" outlineLevel="1">
      <c r="A3423" t="s">
        <v>1264</v>
      </c>
      <c r="B3423" t="s">
        <v>1326</v>
      </c>
      <c r="BF3423" t="s">
        <v>1264</v>
      </c>
      <c r="BG3423" t="s">
        <v>1326</v>
      </c>
      <c r="BJ3423" s="114">
        <v>2</v>
      </c>
      <c r="BK3423" s="116">
        <v>180</v>
      </c>
      <c r="BL3423" s="120">
        <f t="shared" si="1289"/>
        <v>2180</v>
      </c>
      <c r="BN3423" s="5" t="s">
        <v>219</v>
      </c>
    </row>
    <row r="3424" spans="1:66" hidden="1" outlineLevel="1">
      <c r="A3424" t="s">
        <v>1854</v>
      </c>
      <c r="B3424" t="s">
        <v>1326</v>
      </c>
      <c r="BF3424" t="s">
        <v>1854</v>
      </c>
      <c r="BG3424" t="s">
        <v>1326</v>
      </c>
      <c r="BJ3424" s="114">
        <v>2</v>
      </c>
      <c r="BK3424" s="116">
        <v>185</v>
      </c>
      <c r="BL3424" s="120">
        <f t="shared" si="1289"/>
        <v>2185</v>
      </c>
      <c r="BN3424" s="5" t="s">
        <v>1913</v>
      </c>
    </row>
    <row r="3425" spans="1:66" hidden="1" outlineLevel="1">
      <c r="A3425" t="s">
        <v>2230</v>
      </c>
      <c r="B3425" t="s">
        <v>1326</v>
      </c>
      <c r="BF3425" t="s">
        <v>2230</v>
      </c>
      <c r="BG3425" t="s">
        <v>1326</v>
      </c>
      <c r="BJ3425" s="114">
        <v>2</v>
      </c>
      <c r="BK3425" s="116">
        <v>188</v>
      </c>
      <c r="BL3425" s="120">
        <f t="shared" si="1289"/>
        <v>2188</v>
      </c>
      <c r="BN3425" s="5" t="s">
        <v>1913</v>
      </c>
    </row>
    <row r="3426" spans="1:66" hidden="1" outlineLevel="1">
      <c r="A3426" t="s">
        <v>672</v>
      </c>
      <c r="B3426" t="s">
        <v>1326</v>
      </c>
      <c r="BF3426" t="s">
        <v>672</v>
      </c>
      <c r="BG3426" t="s">
        <v>1326</v>
      </c>
      <c r="BJ3426" s="114">
        <v>2</v>
      </c>
      <c r="BK3426" s="116">
        <v>201</v>
      </c>
      <c r="BL3426" s="120">
        <f t="shared" si="1289"/>
        <v>2201</v>
      </c>
      <c r="BN3426" s="5" t="s">
        <v>219</v>
      </c>
    </row>
    <row r="3427" spans="1:66" hidden="1" outlineLevel="1">
      <c r="A3427" t="s">
        <v>672</v>
      </c>
      <c r="B3427" t="s">
        <v>1326</v>
      </c>
      <c r="BF3427" t="s">
        <v>672</v>
      </c>
      <c r="BG3427" t="s">
        <v>1326</v>
      </c>
      <c r="BJ3427" s="114">
        <v>2</v>
      </c>
      <c r="BK3427" s="116">
        <v>201</v>
      </c>
      <c r="BL3427" s="120">
        <f t="shared" si="1289"/>
        <v>2201</v>
      </c>
      <c r="BN3427" s="5" t="s">
        <v>219</v>
      </c>
    </row>
    <row r="3428" spans="1:66" hidden="1" outlineLevel="1">
      <c r="A3428" t="s">
        <v>672</v>
      </c>
      <c r="B3428" t="s">
        <v>1326</v>
      </c>
      <c r="BF3428" t="s">
        <v>672</v>
      </c>
      <c r="BG3428" t="s">
        <v>1326</v>
      </c>
      <c r="BJ3428" s="114">
        <v>2</v>
      </c>
      <c r="BK3428" s="116">
        <v>201</v>
      </c>
      <c r="BL3428" s="120">
        <f t="shared" si="1289"/>
        <v>2201</v>
      </c>
      <c r="BN3428" s="5" t="s">
        <v>219</v>
      </c>
    </row>
    <row r="3429" spans="1:66" hidden="1" outlineLevel="1">
      <c r="A3429" t="s">
        <v>672</v>
      </c>
      <c r="B3429" t="s">
        <v>1326</v>
      </c>
      <c r="BF3429" t="s">
        <v>672</v>
      </c>
      <c r="BG3429" t="s">
        <v>1326</v>
      </c>
      <c r="BJ3429" s="114">
        <v>2</v>
      </c>
      <c r="BK3429" s="116">
        <v>201</v>
      </c>
      <c r="BL3429" s="120">
        <f t="shared" si="1289"/>
        <v>2201</v>
      </c>
      <c r="BN3429" s="5" t="s">
        <v>219</v>
      </c>
    </row>
    <row r="3430" spans="1:66" hidden="1" outlineLevel="1">
      <c r="A3430" t="s">
        <v>672</v>
      </c>
      <c r="B3430" t="s">
        <v>1326</v>
      </c>
      <c r="BF3430" t="s">
        <v>672</v>
      </c>
      <c r="BG3430" t="s">
        <v>1326</v>
      </c>
      <c r="BJ3430" s="114">
        <v>2</v>
      </c>
      <c r="BK3430" s="116">
        <v>201</v>
      </c>
      <c r="BL3430" s="120">
        <f t="shared" si="1289"/>
        <v>2201</v>
      </c>
      <c r="BN3430" s="5" t="s">
        <v>219</v>
      </c>
    </row>
    <row r="3431" spans="1:66" hidden="1" outlineLevel="1">
      <c r="A3431" t="s">
        <v>672</v>
      </c>
      <c r="B3431" t="s">
        <v>1326</v>
      </c>
      <c r="BF3431" t="s">
        <v>672</v>
      </c>
      <c r="BG3431" t="s">
        <v>1326</v>
      </c>
      <c r="BJ3431" s="114">
        <v>2</v>
      </c>
      <c r="BK3431" s="116">
        <v>201</v>
      </c>
      <c r="BL3431" s="120">
        <f t="shared" si="1289"/>
        <v>2201</v>
      </c>
      <c r="BN3431" s="5" t="s">
        <v>219</v>
      </c>
    </row>
    <row r="3432" spans="1:66" hidden="1" outlineLevel="1">
      <c r="A3432" t="s">
        <v>179</v>
      </c>
      <c r="B3432" t="s">
        <v>1326</v>
      </c>
      <c r="BF3432" t="s">
        <v>179</v>
      </c>
      <c r="BG3432" t="s">
        <v>1326</v>
      </c>
      <c r="BJ3432" s="114">
        <v>2</v>
      </c>
      <c r="BK3432" s="116">
        <v>220</v>
      </c>
      <c r="BL3432" s="120">
        <f t="shared" si="1289"/>
        <v>2220</v>
      </c>
      <c r="BN3432" s="5" t="s">
        <v>1589</v>
      </c>
    </row>
    <row r="3433" spans="1:66" hidden="1" outlineLevel="1">
      <c r="A3433" t="s">
        <v>179</v>
      </c>
      <c r="B3433" t="s">
        <v>1326</v>
      </c>
      <c r="BF3433" t="s">
        <v>179</v>
      </c>
      <c r="BG3433" t="s">
        <v>1326</v>
      </c>
      <c r="BJ3433" s="114">
        <v>2</v>
      </c>
      <c r="BK3433" s="116">
        <v>220</v>
      </c>
      <c r="BL3433" s="120">
        <f t="shared" si="1289"/>
        <v>2220</v>
      </c>
      <c r="BN3433" s="5" t="s">
        <v>1589</v>
      </c>
    </row>
    <row r="3434" spans="1:66" hidden="1" outlineLevel="1">
      <c r="A3434" t="s">
        <v>179</v>
      </c>
      <c r="B3434" t="s">
        <v>1326</v>
      </c>
      <c r="BF3434" t="s">
        <v>179</v>
      </c>
      <c r="BG3434" t="s">
        <v>1326</v>
      </c>
      <c r="BJ3434" s="114">
        <v>2</v>
      </c>
      <c r="BK3434" s="116">
        <v>220</v>
      </c>
      <c r="BL3434" s="120">
        <f t="shared" si="1289"/>
        <v>2220</v>
      </c>
      <c r="BN3434" s="5" t="s">
        <v>1589</v>
      </c>
    </row>
    <row r="3435" spans="1:66" hidden="1" outlineLevel="1">
      <c r="A3435" t="s">
        <v>2004</v>
      </c>
      <c r="B3435" t="s">
        <v>1326</v>
      </c>
      <c r="BF3435" t="s">
        <v>2004</v>
      </c>
      <c r="BG3435" t="s">
        <v>1326</v>
      </c>
      <c r="BJ3435" s="114">
        <v>2</v>
      </c>
      <c r="BK3435" s="116">
        <v>232</v>
      </c>
      <c r="BL3435" s="120">
        <f t="shared" si="1289"/>
        <v>2232</v>
      </c>
      <c r="BN3435" s="5" t="s">
        <v>219</v>
      </c>
    </row>
    <row r="3436" spans="1:66" hidden="1" outlineLevel="1">
      <c r="A3436" t="s">
        <v>2004</v>
      </c>
      <c r="B3436" t="s">
        <v>1326</v>
      </c>
      <c r="BF3436" t="s">
        <v>2004</v>
      </c>
      <c r="BG3436" t="s">
        <v>1326</v>
      </c>
      <c r="BJ3436" s="114">
        <v>2</v>
      </c>
      <c r="BK3436" s="116">
        <v>232</v>
      </c>
      <c r="BL3436" s="120">
        <f t="shared" si="1289"/>
        <v>2232</v>
      </c>
      <c r="BN3436" s="5" t="s">
        <v>219</v>
      </c>
    </row>
    <row r="3437" spans="1:66" hidden="1" outlineLevel="1">
      <c r="A3437" t="s">
        <v>2004</v>
      </c>
      <c r="B3437" t="s">
        <v>1326</v>
      </c>
      <c r="BF3437" t="s">
        <v>2004</v>
      </c>
      <c r="BG3437" t="s">
        <v>1326</v>
      </c>
      <c r="BJ3437" s="114">
        <v>2</v>
      </c>
      <c r="BK3437" s="116">
        <v>232</v>
      </c>
      <c r="BL3437" s="120">
        <f t="shared" si="1289"/>
        <v>2232</v>
      </c>
      <c r="BN3437" s="5" t="s">
        <v>219</v>
      </c>
    </row>
    <row r="3438" spans="1:66" hidden="1" outlineLevel="1">
      <c r="A3438" t="s">
        <v>2004</v>
      </c>
      <c r="B3438" t="s">
        <v>1326</v>
      </c>
      <c r="BF3438" t="s">
        <v>2004</v>
      </c>
      <c r="BG3438" t="s">
        <v>1326</v>
      </c>
      <c r="BJ3438" s="114">
        <v>2</v>
      </c>
      <c r="BK3438" s="116">
        <v>232</v>
      </c>
      <c r="BL3438" s="120">
        <f t="shared" si="1289"/>
        <v>2232</v>
      </c>
      <c r="BN3438" s="5" t="s">
        <v>219</v>
      </c>
    </row>
    <row r="3439" spans="1:66" hidden="1" outlineLevel="1">
      <c r="A3439" t="s">
        <v>2004</v>
      </c>
      <c r="B3439" t="s">
        <v>1326</v>
      </c>
      <c r="BF3439" t="s">
        <v>2004</v>
      </c>
      <c r="BG3439" t="s">
        <v>1326</v>
      </c>
      <c r="BJ3439" s="114">
        <v>2</v>
      </c>
      <c r="BK3439" s="116">
        <v>232</v>
      </c>
      <c r="BL3439" s="120">
        <f t="shared" si="1289"/>
        <v>2232</v>
      </c>
      <c r="BN3439" s="5" t="s">
        <v>219</v>
      </c>
    </row>
    <row r="3440" spans="1:66" hidden="1" outlineLevel="1">
      <c r="A3440" t="s">
        <v>2004</v>
      </c>
      <c r="B3440" t="s">
        <v>1326</v>
      </c>
      <c r="BF3440" t="s">
        <v>2004</v>
      </c>
      <c r="BG3440" t="s">
        <v>1326</v>
      </c>
      <c r="BJ3440" s="114">
        <v>2</v>
      </c>
      <c r="BK3440" s="116">
        <v>232</v>
      </c>
      <c r="BL3440" s="120">
        <f t="shared" ref="BL3440:BL3456" si="1290">(BJ3440&amp;BK3440)*1</f>
        <v>2232</v>
      </c>
      <c r="BN3440" s="5" t="s">
        <v>219</v>
      </c>
    </row>
    <row r="3441" spans="1:66" hidden="1" outlineLevel="1">
      <c r="A3441" t="s">
        <v>1060</v>
      </c>
      <c r="B3441" t="s">
        <v>1326</v>
      </c>
      <c r="BF3441" t="s">
        <v>1060</v>
      </c>
      <c r="BG3441" t="s">
        <v>1326</v>
      </c>
      <c r="BJ3441" s="114">
        <v>2</v>
      </c>
      <c r="BK3441" s="116">
        <v>240</v>
      </c>
      <c r="BL3441" s="120">
        <f t="shared" si="1290"/>
        <v>2240</v>
      </c>
      <c r="BN3441" s="5" t="s">
        <v>219</v>
      </c>
    </row>
    <row r="3442" spans="1:66" hidden="1" outlineLevel="1">
      <c r="A3442" t="s">
        <v>1932</v>
      </c>
      <c r="B3442" t="s">
        <v>1326</v>
      </c>
      <c r="BF3442" t="s">
        <v>1932</v>
      </c>
      <c r="BG3442" t="s">
        <v>1326</v>
      </c>
      <c r="BJ3442" s="114">
        <v>2</v>
      </c>
      <c r="BK3442" s="116">
        <v>261</v>
      </c>
      <c r="BL3442" s="120">
        <f t="shared" si="1290"/>
        <v>2261</v>
      </c>
      <c r="BN3442" s="5" t="s">
        <v>219</v>
      </c>
    </row>
    <row r="3443" spans="1:66" hidden="1" outlineLevel="1">
      <c r="A3443" t="s">
        <v>1932</v>
      </c>
      <c r="B3443" t="s">
        <v>1326</v>
      </c>
      <c r="BF3443" t="s">
        <v>1932</v>
      </c>
      <c r="BG3443" t="s">
        <v>1326</v>
      </c>
      <c r="BJ3443" s="114">
        <v>2</v>
      </c>
      <c r="BK3443" s="116">
        <v>261</v>
      </c>
      <c r="BL3443" s="120">
        <f t="shared" si="1290"/>
        <v>2261</v>
      </c>
      <c r="BN3443" s="5" t="s">
        <v>219</v>
      </c>
    </row>
    <row r="3444" spans="1:66" hidden="1" outlineLevel="1">
      <c r="A3444" t="s">
        <v>1932</v>
      </c>
      <c r="B3444" t="s">
        <v>1326</v>
      </c>
      <c r="BF3444" t="s">
        <v>1932</v>
      </c>
      <c r="BG3444" t="s">
        <v>1326</v>
      </c>
      <c r="BJ3444" s="114">
        <v>2</v>
      </c>
      <c r="BK3444" s="116">
        <v>261</v>
      </c>
      <c r="BL3444" s="120">
        <f t="shared" si="1290"/>
        <v>2261</v>
      </c>
      <c r="BN3444" s="5" t="s">
        <v>219</v>
      </c>
    </row>
    <row r="3445" spans="1:66" hidden="1" outlineLevel="1">
      <c r="A3445" t="s">
        <v>1932</v>
      </c>
      <c r="B3445" t="s">
        <v>1326</v>
      </c>
      <c r="BF3445" t="s">
        <v>1932</v>
      </c>
      <c r="BG3445" t="s">
        <v>1326</v>
      </c>
      <c r="BJ3445" s="114">
        <v>2</v>
      </c>
      <c r="BK3445" s="116">
        <v>261</v>
      </c>
      <c r="BL3445" s="120">
        <f t="shared" si="1290"/>
        <v>2261</v>
      </c>
      <c r="BN3445" s="5" t="s">
        <v>219</v>
      </c>
    </row>
    <row r="3446" spans="1:66" hidden="1" outlineLevel="1">
      <c r="A3446" t="s">
        <v>1932</v>
      </c>
      <c r="B3446" t="s">
        <v>1326</v>
      </c>
      <c r="BF3446" t="s">
        <v>1932</v>
      </c>
      <c r="BG3446" t="s">
        <v>1326</v>
      </c>
      <c r="BJ3446" s="114">
        <v>2</v>
      </c>
      <c r="BK3446" s="116">
        <v>261</v>
      </c>
      <c r="BL3446" s="120">
        <f t="shared" si="1290"/>
        <v>2261</v>
      </c>
      <c r="BN3446" s="5" t="s">
        <v>219</v>
      </c>
    </row>
    <row r="3447" spans="1:66" hidden="1" outlineLevel="1">
      <c r="A3447" t="s">
        <v>1932</v>
      </c>
      <c r="B3447" t="s">
        <v>1326</v>
      </c>
      <c r="BF3447" t="s">
        <v>1932</v>
      </c>
      <c r="BG3447" t="s">
        <v>1326</v>
      </c>
      <c r="BJ3447" s="114">
        <v>2</v>
      </c>
      <c r="BK3447" s="116">
        <v>261</v>
      </c>
      <c r="BL3447" s="120">
        <f t="shared" si="1290"/>
        <v>2261</v>
      </c>
      <c r="BN3447" s="5" t="s">
        <v>219</v>
      </c>
    </row>
    <row r="3448" spans="1:66" hidden="1" outlineLevel="1">
      <c r="A3448" t="s">
        <v>1237</v>
      </c>
      <c r="B3448" t="s">
        <v>1326</v>
      </c>
      <c r="BF3448" t="s">
        <v>1237</v>
      </c>
      <c r="BG3448" t="s">
        <v>1326</v>
      </c>
      <c r="BJ3448" s="114">
        <v>2</v>
      </c>
      <c r="BK3448" s="116">
        <v>270</v>
      </c>
      <c r="BL3448" s="120">
        <f t="shared" si="1290"/>
        <v>2270</v>
      </c>
      <c r="BN3448" s="5" t="s">
        <v>219</v>
      </c>
    </row>
    <row r="3449" spans="1:66" hidden="1" outlineLevel="1">
      <c r="A3449" t="s">
        <v>311</v>
      </c>
      <c r="B3449" t="s">
        <v>1326</v>
      </c>
      <c r="BF3449" t="s">
        <v>311</v>
      </c>
      <c r="BG3449" t="s">
        <v>1326</v>
      </c>
      <c r="BJ3449" s="114">
        <v>2</v>
      </c>
      <c r="BK3449" s="116">
        <v>280</v>
      </c>
      <c r="BL3449" s="120">
        <f t="shared" si="1290"/>
        <v>2280</v>
      </c>
      <c r="BN3449" s="5" t="s">
        <v>219</v>
      </c>
    </row>
    <row r="3450" spans="1:66" hidden="1" outlineLevel="1">
      <c r="A3450" t="s">
        <v>311</v>
      </c>
      <c r="B3450" t="s">
        <v>1326</v>
      </c>
      <c r="BF3450" t="s">
        <v>311</v>
      </c>
      <c r="BG3450" t="s">
        <v>1326</v>
      </c>
      <c r="BJ3450" s="114">
        <v>2</v>
      </c>
      <c r="BK3450" s="116">
        <v>280</v>
      </c>
      <c r="BL3450" s="120">
        <f t="shared" si="1290"/>
        <v>2280</v>
      </c>
      <c r="BN3450" s="5" t="s">
        <v>219</v>
      </c>
    </row>
    <row r="3451" spans="1:66" hidden="1" outlineLevel="1">
      <c r="A3451" t="s">
        <v>311</v>
      </c>
      <c r="B3451" t="s">
        <v>1326</v>
      </c>
      <c r="BF3451" t="s">
        <v>311</v>
      </c>
      <c r="BG3451" t="s">
        <v>1326</v>
      </c>
      <c r="BJ3451" s="114">
        <v>2</v>
      </c>
      <c r="BK3451" s="116">
        <v>280</v>
      </c>
      <c r="BL3451" s="120">
        <f t="shared" si="1290"/>
        <v>2280</v>
      </c>
      <c r="BN3451" s="5" t="s">
        <v>219</v>
      </c>
    </row>
    <row r="3452" spans="1:66" hidden="1" outlineLevel="1">
      <c r="A3452" t="s">
        <v>311</v>
      </c>
      <c r="B3452" t="s">
        <v>1326</v>
      </c>
      <c r="BF3452" t="s">
        <v>311</v>
      </c>
      <c r="BG3452" t="s">
        <v>1326</v>
      </c>
      <c r="BJ3452" s="114">
        <v>2</v>
      </c>
      <c r="BK3452" s="116">
        <v>280</v>
      </c>
      <c r="BL3452" s="120">
        <f t="shared" si="1290"/>
        <v>2280</v>
      </c>
      <c r="BN3452" s="5" t="s">
        <v>219</v>
      </c>
    </row>
    <row r="3453" spans="1:66" hidden="1" outlineLevel="1">
      <c r="A3453" t="s">
        <v>311</v>
      </c>
      <c r="B3453" t="s">
        <v>1326</v>
      </c>
      <c r="BF3453" t="s">
        <v>311</v>
      </c>
      <c r="BG3453" t="s">
        <v>1326</v>
      </c>
      <c r="BJ3453" s="114">
        <v>2</v>
      </c>
      <c r="BK3453" s="116">
        <v>280</v>
      </c>
      <c r="BL3453" s="120">
        <f t="shared" si="1290"/>
        <v>2280</v>
      </c>
      <c r="BN3453" s="5" t="s">
        <v>219</v>
      </c>
    </row>
    <row r="3454" spans="1:66" hidden="1" outlineLevel="1">
      <c r="A3454" t="s">
        <v>311</v>
      </c>
      <c r="B3454" t="s">
        <v>1326</v>
      </c>
      <c r="BF3454" t="s">
        <v>311</v>
      </c>
      <c r="BG3454" t="s">
        <v>1326</v>
      </c>
      <c r="BJ3454" s="114">
        <v>2</v>
      </c>
      <c r="BK3454" s="116">
        <v>280</v>
      </c>
      <c r="BL3454" s="120">
        <f t="shared" si="1290"/>
        <v>2280</v>
      </c>
      <c r="BN3454" s="5" t="s">
        <v>219</v>
      </c>
    </row>
    <row r="3455" spans="1:66" hidden="1" outlineLevel="1">
      <c r="A3455" t="s">
        <v>369</v>
      </c>
      <c r="B3455" t="s">
        <v>1326</v>
      </c>
      <c r="BF3455" t="s">
        <v>369</v>
      </c>
      <c r="BG3455" t="s">
        <v>1326</v>
      </c>
      <c r="BJ3455" s="114">
        <v>2</v>
      </c>
      <c r="BK3455" s="116">
        <v>282</v>
      </c>
      <c r="BL3455" s="120">
        <f t="shared" si="1290"/>
        <v>2282</v>
      </c>
      <c r="BN3455" s="5" t="s">
        <v>1589</v>
      </c>
    </row>
    <row r="3456" spans="1:66" hidden="1" outlineLevel="1">
      <c r="A3456" t="s">
        <v>1248</v>
      </c>
      <c r="B3456" t="s">
        <v>1326</v>
      </c>
      <c r="BF3456" t="s">
        <v>1248</v>
      </c>
      <c r="BG3456" t="s">
        <v>1326</v>
      </c>
      <c r="BJ3456" s="114">
        <v>2</v>
      </c>
      <c r="BK3456" s="116">
        <v>290</v>
      </c>
      <c r="BL3456" s="120">
        <f t="shared" si="1290"/>
        <v>2290</v>
      </c>
      <c r="BN3456" s="5" t="s">
        <v>219</v>
      </c>
    </row>
    <row r="3457" spans="1:64" collapsed="1">
      <c r="A3457" s="8" t="s">
        <v>1994</v>
      </c>
      <c r="B3457" t="s">
        <v>544</v>
      </c>
      <c r="BJ3457" s="114"/>
      <c r="BK3457" s="116"/>
      <c r="BL3457" s="120"/>
    </row>
  </sheetData>
  <phoneticPr fontId="8"/>
  <conditionalFormatting sqref="D3266:D3293 D3803:D3821 D1245:D2407 D3:D110 D2409:D3264 D112:D1243">
    <cfRule type="cellIs" dxfId="471" priority="43" stopIfTrue="1" operator="equal">
      <formula>1</formula>
    </cfRule>
    <cfRule type="cellIs" dxfId="470" priority="44" stopIfTrue="1" operator="equal">
      <formula>3</formula>
    </cfRule>
  </conditionalFormatting>
  <conditionalFormatting sqref="E3266:E3293 E3803:E3821 E1245:E2407 E3:E110 E2409:E3264 E112:E1243">
    <cfRule type="cellIs" dxfId="469" priority="45" stopIfTrue="1" operator="equal">
      <formula>1</formula>
    </cfRule>
    <cfRule type="cellIs" dxfId="468" priority="46" stopIfTrue="1" operator="equal">
      <formula>3</formula>
    </cfRule>
  </conditionalFormatting>
  <conditionalFormatting sqref="F3803:F3821 AW3803:AZ3821 F3266:F3293 AW3266:AZ3293 F72:F110 AW72:AZ110 AW1245:AZ2407 F1245:F2407 F3:F70 AW3:AZ70 F2409:F3264 AW2409:AZ3264 F112:F113 F115:F1243 AW112:AZ1243">
    <cfRule type="cellIs" dxfId="467" priority="47" stopIfTrue="1" operator="equal">
      <formula>1</formula>
    </cfRule>
    <cfRule type="cellIs" dxfId="466" priority="48" stopIfTrue="1" operator="equal">
      <formula>3</formula>
    </cfRule>
  </conditionalFormatting>
  <conditionalFormatting sqref="H3263:H65538">
    <cfRule type="expression" dxfId="465" priority="51" stopIfTrue="1">
      <formula>IF(#REF!=1,1,0)</formula>
    </cfRule>
    <cfRule type="expression" dxfId="464" priority="52" stopIfTrue="1">
      <formula>IF(#REF!=1,1,0)</formula>
    </cfRule>
  </conditionalFormatting>
  <conditionalFormatting sqref="G3259:G3262">
    <cfRule type="expression" dxfId="463" priority="53" stopIfTrue="1">
      <formula>IF(AND(G3259&gt;0,#REF!=1),1,0)</formula>
    </cfRule>
    <cfRule type="expression" dxfId="462" priority="54" stopIfTrue="1">
      <formula>IF(AND(G3259&gt;0,#REF!=1),1,0)</formula>
    </cfRule>
    <cfRule type="expression" dxfId="461" priority="55" stopIfTrue="1">
      <formula>IF(AND(G3259&gt;0,F3259=1),1,0)</formula>
    </cfRule>
  </conditionalFormatting>
  <conditionalFormatting sqref="H3259:H3262">
    <cfRule type="expression" dxfId="460" priority="56" stopIfTrue="1">
      <formula>IF(AND(G3259&gt;0,#REF!=1),1,0)</formula>
    </cfRule>
    <cfRule type="expression" dxfId="459" priority="57" stopIfTrue="1">
      <formula>IF(AND(G3259&gt;0,#REF!=1),1,0)</formula>
    </cfRule>
    <cfRule type="expression" dxfId="458" priority="58" stopIfTrue="1">
      <formula>IF(AND(G3259&gt;0,#REF!=1),1,0)</formula>
    </cfRule>
  </conditionalFormatting>
  <conditionalFormatting sqref="D2408">
    <cfRule type="cellIs" dxfId="457" priority="31" stopIfTrue="1" operator="equal">
      <formula>1</formula>
    </cfRule>
    <cfRule type="cellIs" dxfId="456" priority="32" stopIfTrue="1" operator="equal">
      <formula>3</formula>
    </cfRule>
  </conditionalFormatting>
  <conditionalFormatting sqref="E2408">
    <cfRule type="cellIs" dxfId="455" priority="33" stopIfTrue="1" operator="equal">
      <formula>1</formula>
    </cfRule>
    <cfRule type="cellIs" dxfId="454" priority="34" stopIfTrue="1" operator="equal">
      <formula>3</formula>
    </cfRule>
  </conditionalFormatting>
  <conditionalFormatting sqref="AW2408:AZ2408 F2408">
    <cfRule type="cellIs" dxfId="453" priority="35" stopIfTrue="1" operator="equal">
      <formula>1</formula>
    </cfRule>
    <cfRule type="cellIs" dxfId="452" priority="36" stopIfTrue="1" operator="equal">
      <formula>3</formula>
    </cfRule>
  </conditionalFormatting>
  <conditionalFormatting sqref="G1:G110 G1245:G3258 G112:G1243">
    <cfRule type="expression" dxfId="451" priority="25" stopIfTrue="1">
      <formula>IF(AND(G1&gt;0,D1=1),1,0)</formula>
    </cfRule>
    <cfRule type="expression" dxfId="450" priority="26" stopIfTrue="1">
      <formula>IF(AND(G1&gt;0,E1=1),1,0)</formula>
    </cfRule>
    <cfRule type="expression" dxfId="449" priority="27" stopIfTrue="1">
      <formula>IF(AND(G1&gt;0,F1=1),1,0)</formula>
    </cfRule>
  </conditionalFormatting>
  <conditionalFormatting sqref="H1:H110 H1245:H3258 H112:H1243">
    <cfRule type="expression" dxfId="448" priority="28" stopIfTrue="1">
      <formula>IF(AND(G1&gt;0,D1=1),1,0)</formula>
    </cfRule>
    <cfRule type="expression" dxfId="447" priority="29" stopIfTrue="1">
      <formula>IF(AND(G1&gt;0,E1=1),1,0)</formula>
    </cfRule>
    <cfRule type="expression" dxfId="446" priority="30" stopIfTrue="1">
      <formula>IF(AND(G1&gt;0,F1=1),1,0)</formula>
    </cfRule>
  </conditionalFormatting>
  <conditionalFormatting sqref="D1244">
    <cfRule type="cellIs" dxfId="445" priority="19" stopIfTrue="1" operator="equal">
      <formula>1</formula>
    </cfRule>
    <cfRule type="cellIs" dxfId="444" priority="20" stopIfTrue="1" operator="equal">
      <formula>3</formula>
    </cfRule>
  </conditionalFormatting>
  <conditionalFormatting sqref="E1244">
    <cfRule type="cellIs" dxfId="443" priority="21" stopIfTrue="1" operator="equal">
      <formula>1</formula>
    </cfRule>
    <cfRule type="cellIs" dxfId="442" priority="22" stopIfTrue="1" operator="equal">
      <formula>3</formula>
    </cfRule>
  </conditionalFormatting>
  <conditionalFormatting sqref="AW1244:AZ1244 F1244">
    <cfRule type="cellIs" dxfId="441" priority="23" stopIfTrue="1" operator="equal">
      <formula>1</formula>
    </cfRule>
    <cfRule type="cellIs" dxfId="440" priority="24" stopIfTrue="1" operator="equal">
      <formula>3</formula>
    </cfRule>
  </conditionalFormatting>
  <conditionalFormatting sqref="G1244">
    <cfRule type="expression" dxfId="439" priority="13" stopIfTrue="1">
      <formula>IF(AND(G1244&gt;0,D1244=1),1,0)</formula>
    </cfRule>
    <cfRule type="expression" dxfId="438" priority="14" stopIfTrue="1">
      <formula>IF(AND(G1244&gt;0,E1244=1),1,0)</formula>
    </cfRule>
    <cfRule type="expression" dxfId="437" priority="15" stopIfTrue="1">
      <formula>IF(AND(G1244&gt;0,F1244=1),1,0)</formula>
    </cfRule>
  </conditionalFormatting>
  <conditionalFormatting sqref="H1244">
    <cfRule type="expression" dxfId="436" priority="16" stopIfTrue="1">
      <formula>IF(AND(G1244&gt;0,D1244=1),1,0)</formula>
    </cfRule>
    <cfRule type="expression" dxfId="435" priority="17" stopIfTrue="1">
      <formula>IF(AND(G1244&gt;0,E1244=1),1,0)</formula>
    </cfRule>
    <cfRule type="expression" dxfId="434" priority="18" stopIfTrue="1">
      <formula>IF(AND(G1244&gt;0,F1244=1),1,0)</formula>
    </cfRule>
  </conditionalFormatting>
  <conditionalFormatting sqref="D111">
    <cfRule type="cellIs" dxfId="433" priority="7" stopIfTrue="1" operator="equal">
      <formula>1</formula>
    </cfRule>
    <cfRule type="cellIs" dxfId="432" priority="8" stopIfTrue="1" operator="equal">
      <formula>3</formula>
    </cfRule>
  </conditionalFormatting>
  <conditionalFormatting sqref="E111">
    <cfRule type="cellIs" dxfId="431" priority="9" stopIfTrue="1" operator="equal">
      <formula>1</formula>
    </cfRule>
    <cfRule type="cellIs" dxfId="430" priority="10" stopIfTrue="1" operator="equal">
      <formula>3</formula>
    </cfRule>
  </conditionalFormatting>
  <conditionalFormatting sqref="AW111:AZ111 F111">
    <cfRule type="cellIs" dxfId="429" priority="11" stopIfTrue="1" operator="equal">
      <formula>1</formula>
    </cfRule>
    <cfRule type="cellIs" dxfId="428" priority="12" stopIfTrue="1" operator="equal">
      <formula>3</formula>
    </cfRule>
  </conditionalFormatting>
  <conditionalFormatting sqref="G111">
    <cfRule type="expression" dxfId="427" priority="1" stopIfTrue="1">
      <formula>IF(AND(G111&gt;0,D111=1),1,0)</formula>
    </cfRule>
    <cfRule type="expression" dxfId="426" priority="2" stopIfTrue="1">
      <formula>IF(AND(G111&gt;0,E111=1),1,0)</formula>
    </cfRule>
    <cfRule type="expression" dxfId="425" priority="3" stopIfTrue="1">
      <formula>IF(AND(G111&gt;0,F111=1),1,0)</formula>
    </cfRule>
  </conditionalFormatting>
  <conditionalFormatting sqref="H111">
    <cfRule type="expression" dxfId="424" priority="4" stopIfTrue="1">
      <formula>IF(AND(G111&gt;0,D111=1),1,0)</formula>
    </cfRule>
    <cfRule type="expression" dxfId="423" priority="5" stopIfTrue="1">
      <formula>IF(AND(G111&gt;0,E111=1),1,0)</formula>
    </cfRule>
    <cfRule type="expression" dxfId="422" priority="6" stopIfTrue="1">
      <formula>IF(AND(G111&gt;0,F111=1),1,0)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CK1823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BR1076" sqref="BR1076"/>
    </sheetView>
  </sheetViews>
  <sheetFormatPr baseColWidth="10" defaultRowHeight="13" outlineLevelRow="1" x14ac:dyDescent="0"/>
  <cols>
    <col min="1" max="1" width="16.28515625" customWidth="1"/>
    <col min="2" max="2" width="2.42578125" style="62" customWidth="1"/>
    <col min="3" max="3" width="10.7109375" style="62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8" customWidth="1"/>
    <col min="18" max="36" width="8.7109375" style="8" customWidth="1"/>
    <col min="37" max="45" width="8.7109375" customWidth="1"/>
    <col min="46" max="46" width="18.140625" customWidth="1"/>
    <col min="47" max="47" width="14.28515625" customWidth="1"/>
    <col min="48" max="48" width="3" bestFit="1" customWidth="1"/>
    <col min="50" max="50" width="3" style="114" bestFit="1" customWidth="1"/>
    <col min="51" max="51" width="4" style="116" bestFit="1" customWidth="1"/>
    <col min="52" max="52" width="4.140625" style="116" bestFit="1" customWidth="1"/>
    <col min="53" max="53" width="7.140625" style="120" customWidth="1"/>
    <col min="54" max="54" width="6" style="120" bestFit="1" customWidth="1"/>
    <col min="57" max="58" width="6.7109375" style="1" customWidth="1"/>
    <col min="59" max="59" width="5.5703125" style="1" bestFit="1" customWidth="1"/>
  </cols>
  <sheetData>
    <row r="1" spans="1:82">
      <c r="A1" s="62" t="s">
        <v>1472</v>
      </c>
      <c r="C1" s="23" t="s">
        <v>3580</v>
      </c>
      <c r="D1" s="20" t="str">
        <f>LEFT(N1)</f>
        <v>C</v>
      </c>
      <c r="E1" s="18" t="str">
        <f>LEFT(O1)</f>
        <v>T</v>
      </c>
      <c r="F1" s="19" t="str">
        <f>LEFT(P1)</f>
        <v>M</v>
      </c>
      <c r="G1" s="27" t="s">
        <v>1876</v>
      </c>
      <c r="H1" s="2" t="s">
        <v>308</v>
      </c>
      <c r="I1" s="14"/>
      <c r="J1" s="13" t="str">
        <f>County!J1</f>
        <v>Clinton</v>
      </c>
      <c r="K1" s="12" t="str">
        <f>County!K1</f>
        <v>Trump</v>
      </c>
      <c r="L1" s="14" t="str">
        <f>County!L1</f>
        <v>McMullin</v>
      </c>
      <c r="M1" t="str">
        <f>County!M1</f>
        <v>Other</v>
      </c>
      <c r="N1" s="13" t="str">
        <f>County!N1</f>
        <v>Clinton</v>
      </c>
      <c r="O1" s="12" t="str">
        <f>County!O1</f>
        <v>Trump</v>
      </c>
      <c r="P1" s="63" t="str">
        <f>County!P1</f>
        <v>McMullin</v>
      </c>
      <c r="Q1" s="63" t="str">
        <f>County!Q1</f>
        <v>Johnson</v>
      </c>
      <c r="R1" s="63" t="str">
        <f>County!R1</f>
        <v>Stein</v>
      </c>
      <c r="S1" s="63" t="str">
        <f>County!S1</f>
        <v>Castle</v>
      </c>
      <c r="T1" s="63" t="str">
        <f>County!T1</f>
        <v>Fuente</v>
      </c>
      <c r="U1" s="63" t="str">
        <f>County!U1</f>
        <v>Soltysik</v>
      </c>
      <c r="V1" s="63" t="str">
        <f>County!V1</f>
        <v>LaRiva</v>
      </c>
      <c r="W1" s="63" t="str">
        <f>County!W1</f>
        <v>Write-ins</v>
      </c>
      <c r="X1" s="63" t="str">
        <f>County!X1</f>
        <v>Kennedy</v>
      </c>
      <c r="Y1" s="63" t="str">
        <f>County!Y1</f>
        <v>Hoefling</v>
      </c>
      <c r="Z1" s="63" t="str">
        <f>County!Z1</f>
        <v>Duncan</v>
      </c>
      <c r="AA1" s="63" t="str">
        <f>County!AA1</f>
        <v>Moorehead</v>
      </c>
      <c r="AB1" s="63" t="str">
        <f>County!AB1</f>
        <v>None</v>
      </c>
      <c r="AC1" s="8" t="str">
        <f>County!AC1</f>
        <v>Vacek</v>
      </c>
      <c r="AD1" s="8" t="str">
        <f>County!AD1</f>
        <v>Hedges</v>
      </c>
      <c r="AE1" s="8" t="str">
        <f>County!AE1</f>
        <v>Kotlikoff</v>
      </c>
      <c r="AF1" s="8" t="str">
        <f>County!AF1</f>
        <v>White</v>
      </c>
      <c r="AG1" s="8" t="str">
        <f>County!AG1</f>
        <v>Keniston</v>
      </c>
      <c r="AH1" s="8" t="str">
        <f>County!AH1</f>
        <v>Kopitke</v>
      </c>
      <c r="AI1" s="8" t="str">
        <f>County!AI1</f>
        <v>Atwood</v>
      </c>
      <c r="AJ1" s="8" t="str">
        <f>County!AJ1</f>
        <v>Jacob-Fambro</v>
      </c>
      <c r="AK1" t="str">
        <f>County!AK1</f>
        <v>Lyttle</v>
      </c>
      <c r="AL1" t="str">
        <f>County!AL1</f>
        <v>Kahn</v>
      </c>
      <c r="AM1" t="str">
        <f>County!AM1</f>
        <v>Maldonado</v>
      </c>
      <c r="AN1" t="str">
        <f>County!AN1</f>
        <v>Maturen</v>
      </c>
      <c r="AO1" t="str">
        <f>County!AO1</f>
        <v>Scott</v>
      </c>
      <c r="AP1" t="str">
        <f>County!AP1</f>
        <v>Silva</v>
      </c>
      <c r="AQ1" t="str">
        <f>County!AQ1</f>
        <v>Smith</v>
      </c>
      <c r="AR1" t="str">
        <f>County!AR1</f>
        <v>Copeland</v>
      </c>
      <c r="AT1" t="s">
        <v>1472</v>
      </c>
      <c r="AU1" t="s">
        <v>3154</v>
      </c>
      <c r="AV1" t="s">
        <v>377</v>
      </c>
      <c r="AX1" s="119" t="s">
        <v>3078</v>
      </c>
      <c r="AY1" s="116" t="s">
        <v>2827</v>
      </c>
      <c r="AZ1" s="116" t="s">
        <v>2818</v>
      </c>
      <c r="BA1" s="120" t="s">
        <v>3008</v>
      </c>
      <c r="BB1" s="120" t="s">
        <v>621</v>
      </c>
      <c r="BC1" s="5" t="s">
        <v>1667</v>
      </c>
      <c r="BD1" s="5" t="s">
        <v>1668</v>
      </c>
      <c r="BE1" s="1" t="s">
        <v>151</v>
      </c>
      <c r="BF1" s="1" t="s">
        <v>520</v>
      </c>
      <c r="BG1" s="1" t="s">
        <v>3041</v>
      </c>
      <c r="BI1" s="5" t="s">
        <v>3024</v>
      </c>
      <c r="BJ1" s="5" t="s">
        <v>3151</v>
      </c>
      <c r="BK1" s="5" t="s">
        <v>2638</v>
      </c>
      <c r="BP1" t="s">
        <v>3258</v>
      </c>
      <c r="BQ1" t="s">
        <v>3231</v>
      </c>
      <c r="BR1" t="s">
        <v>884</v>
      </c>
      <c r="BS1" s="132" t="s">
        <v>3259</v>
      </c>
    </row>
    <row r="2" spans="1:82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BS2" t="s">
        <v>3581</v>
      </c>
      <c r="BT2" t="s">
        <v>3582</v>
      </c>
      <c r="BU2" t="s">
        <v>3583</v>
      </c>
      <c r="BV2" t="s">
        <v>3584</v>
      </c>
      <c r="BW2" t="s">
        <v>3585</v>
      </c>
      <c r="BX2" t="s">
        <v>3586</v>
      </c>
      <c r="BY2" t="s">
        <v>3587</v>
      </c>
      <c r="BZ2" t="s">
        <v>3588</v>
      </c>
      <c r="CA2" t="s">
        <v>3589</v>
      </c>
      <c r="CB2" t="s">
        <v>3590</v>
      </c>
      <c r="CC2" t="s">
        <v>3591</v>
      </c>
      <c r="CD2" t="s">
        <v>3592</v>
      </c>
    </row>
    <row r="3" spans="1:82" hidden="1" outlineLevel="1">
      <c r="A3" t="s">
        <v>772</v>
      </c>
      <c r="B3" s="8" t="s">
        <v>1485</v>
      </c>
      <c r="C3" s="1">
        <f t="shared" ref="C3:C34" si="0">SUM(N3:AR3)</f>
        <v>1908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5</v>
      </c>
      <c r="H3" s="2">
        <f t="shared" ref="H3:H34" si="3">IF(C3&gt;0,G3/C3,0)</f>
        <v>2.6205450733752622E-3</v>
      </c>
      <c r="I3" s="6"/>
      <c r="J3" s="2">
        <f t="shared" ref="J3:J34" si="4">IF(C3=0,"-",N3/C3)</f>
        <v>0.46960167714884699</v>
      </c>
      <c r="K3" s="2">
        <f t="shared" ref="K3:K34" si="5">IF(C3=0,"-",O3/C3)</f>
        <v>0.46698113207547171</v>
      </c>
      <c r="L3" s="2">
        <f t="shared" ref="L3:L34" si="6">IF(C3=0,"-",P3/C3)</f>
        <v>0</v>
      </c>
      <c r="M3" s="2">
        <f t="shared" ref="M3:M34" si="7">IF(C3=0,"-",(1-J3-K3-L3))</f>
        <v>6.3417190775681365E-2</v>
      </c>
      <c r="N3" s="63">
        <v>896</v>
      </c>
      <c r="O3" s="63">
        <v>891</v>
      </c>
      <c r="P3" s="63">
        <v>0</v>
      </c>
      <c r="Q3" s="63">
        <v>79</v>
      </c>
      <c r="R3" s="63">
        <v>42</v>
      </c>
      <c r="S3" s="63">
        <v>0</v>
      </c>
      <c r="T3" s="63">
        <v>0</v>
      </c>
      <c r="U3" s="63"/>
      <c r="V3" s="63">
        <v>0</v>
      </c>
      <c r="W3" s="63">
        <f t="shared" ref="W3:W34" si="8">SUM(BS3:CD3)</f>
        <v>0</v>
      </c>
      <c r="Y3" s="63">
        <v>0</v>
      </c>
      <c r="Z3" s="63"/>
      <c r="AA3" s="63"/>
      <c r="AB3" s="63"/>
      <c r="AE3" s="8">
        <v>0</v>
      </c>
      <c r="AM3">
        <v>0</v>
      </c>
      <c r="AQ3">
        <v>0</v>
      </c>
      <c r="AT3" t="str">
        <f t="shared" ref="AT3:AT34" si="9">A3</f>
        <v>Andover</v>
      </c>
      <c r="AU3" t="s">
        <v>67</v>
      </c>
      <c r="AV3" s="8">
        <v>2</v>
      </c>
      <c r="AX3" s="114">
        <v>9</v>
      </c>
      <c r="AY3" s="116">
        <v>13</v>
      </c>
      <c r="AZ3" s="116">
        <v>5</v>
      </c>
      <c r="BA3" s="120">
        <v>1080</v>
      </c>
      <c r="BB3" s="120">
        <f t="shared" ref="BB3:BB34" si="10">AX3*1000+AY3</f>
        <v>9013</v>
      </c>
      <c r="BC3" t="s">
        <v>1472</v>
      </c>
      <c r="BD3" s="124">
        <f t="shared" ref="BD3:BD34" si="11">AX3*100000+BA3</f>
        <v>901080</v>
      </c>
      <c r="BI3">
        <v>15.7</v>
      </c>
      <c r="BJ3">
        <v>0.24</v>
      </c>
      <c r="BK3">
        <v>15.46</v>
      </c>
      <c r="BL3" s="2"/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hidden="1" outlineLevel="1">
      <c r="A4" t="s">
        <v>2720</v>
      </c>
      <c r="B4" s="8" t="s">
        <v>1485</v>
      </c>
      <c r="C4" s="1">
        <f t="shared" si="0"/>
        <v>7478</v>
      </c>
      <c r="D4" s="5">
        <f>IF(N4&gt;0, RANK(N4,(N4:P4,Q4:AE4)),0)</f>
        <v>2</v>
      </c>
      <c r="E4" s="5">
        <f>IF(O4&gt;0,RANK(O4,(N4:P4,Q4:AE4)),0)</f>
        <v>1</v>
      </c>
      <c r="F4" s="5">
        <f t="shared" si="1"/>
        <v>5</v>
      </c>
      <c r="G4" s="1">
        <f t="shared" si="2"/>
        <v>89</v>
      </c>
      <c r="H4" s="2">
        <f t="shared" si="3"/>
        <v>1.1901577962021931E-2</v>
      </c>
      <c r="I4" s="6"/>
      <c r="J4" s="2">
        <f t="shared" si="4"/>
        <v>0.47231880181866809</v>
      </c>
      <c r="K4" s="2">
        <f t="shared" si="5"/>
        <v>0.48422037978069005</v>
      </c>
      <c r="L4" s="2">
        <f t="shared" si="6"/>
        <v>4.0117678523669429E-4</v>
      </c>
      <c r="M4" s="2">
        <f t="shared" si="7"/>
        <v>4.3059641615405118E-2</v>
      </c>
      <c r="N4" s="63">
        <v>3532</v>
      </c>
      <c r="O4" s="63">
        <v>3621</v>
      </c>
      <c r="P4" s="63">
        <v>3</v>
      </c>
      <c r="Q4" s="63">
        <v>209</v>
      </c>
      <c r="R4" s="63">
        <v>112</v>
      </c>
      <c r="S4" s="63">
        <v>0</v>
      </c>
      <c r="T4" s="63">
        <v>0</v>
      </c>
      <c r="U4" s="63"/>
      <c r="V4" s="63">
        <v>0</v>
      </c>
      <c r="W4" s="63">
        <f t="shared" si="8"/>
        <v>1</v>
      </c>
      <c r="Y4" s="63">
        <v>0</v>
      </c>
      <c r="Z4" s="63"/>
      <c r="AA4" s="63"/>
      <c r="AB4" s="63"/>
      <c r="AE4" s="8">
        <v>0</v>
      </c>
      <c r="AM4">
        <v>0</v>
      </c>
      <c r="AQ4">
        <v>0</v>
      </c>
      <c r="AT4" t="str">
        <f t="shared" si="9"/>
        <v>Ansonia</v>
      </c>
      <c r="AU4" t="s">
        <v>2797</v>
      </c>
      <c r="AV4" s="8">
        <v>3</v>
      </c>
      <c r="AX4" s="114">
        <v>9</v>
      </c>
      <c r="AY4" s="116">
        <v>9</v>
      </c>
      <c r="AZ4" s="116">
        <v>5</v>
      </c>
      <c r="BA4" s="120">
        <v>1220</v>
      </c>
      <c r="BB4" s="120">
        <f t="shared" si="10"/>
        <v>9009</v>
      </c>
      <c r="BC4" t="s">
        <v>1472</v>
      </c>
      <c r="BD4" s="124">
        <f t="shared" si="11"/>
        <v>901220</v>
      </c>
      <c r="BI4">
        <v>6.19</v>
      </c>
      <c r="BJ4">
        <v>0.16</v>
      </c>
      <c r="BK4">
        <v>6.03</v>
      </c>
      <c r="BL4" s="2"/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hidden="1" outlineLevel="1">
      <c r="A5" t="s">
        <v>1192</v>
      </c>
      <c r="B5" s="8" t="s">
        <v>1485</v>
      </c>
      <c r="C5" s="1">
        <f t="shared" si="0"/>
        <v>2332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5</v>
      </c>
      <c r="G5" s="1">
        <f t="shared" si="2"/>
        <v>70</v>
      </c>
      <c r="H5" s="2">
        <f t="shared" si="3"/>
        <v>3.0017152658662092E-2</v>
      </c>
      <c r="I5" s="6"/>
      <c r="J5" s="2">
        <f t="shared" si="4"/>
        <v>0.47684391080617494</v>
      </c>
      <c r="K5" s="2">
        <f t="shared" si="5"/>
        <v>0.44682675814751288</v>
      </c>
      <c r="L5" s="2">
        <f t="shared" si="6"/>
        <v>3.0017152658662091E-3</v>
      </c>
      <c r="M5" s="2">
        <f t="shared" si="7"/>
        <v>7.3327615780445971E-2</v>
      </c>
      <c r="N5" s="63">
        <v>1112</v>
      </c>
      <c r="O5" s="63">
        <v>1042</v>
      </c>
      <c r="P5" s="63">
        <v>7</v>
      </c>
      <c r="Q5" s="63">
        <v>108</v>
      </c>
      <c r="R5" s="63">
        <v>63</v>
      </c>
      <c r="S5" s="63">
        <v>0</v>
      </c>
      <c r="T5" s="63">
        <v>0</v>
      </c>
      <c r="U5" s="63"/>
      <c r="V5" s="63">
        <v>0</v>
      </c>
      <c r="W5" s="63">
        <f t="shared" si="8"/>
        <v>0</v>
      </c>
      <c r="Y5" s="63">
        <v>0</v>
      </c>
      <c r="Z5" s="63"/>
      <c r="AA5" s="63"/>
      <c r="AB5" s="63"/>
      <c r="AE5" s="8">
        <v>0</v>
      </c>
      <c r="AM5">
        <v>0</v>
      </c>
      <c r="AQ5">
        <v>0</v>
      </c>
      <c r="AT5" t="str">
        <f t="shared" si="9"/>
        <v>Ashford</v>
      </c>
      <c r="AU5" t="s">
        <v>2129</v>
      </c>
      <c r="AV5" s="8">
        <v>2</v>
      </c>
      <c r="AX5" s="114">
        <v>9</v>
      </c>
      <c r="AY5" s="116">
        <v>15</v>
      </c>
      <c r="AZ5" s="116">
        <v>5</v>
      </c>
      <c r="BA5" s="120">
        <v>1430</v>
      </c>
      <c r="BB5" s="120">
        <f t="shared" si="10"/>
        <v>9015</v>
      </c>
      <c r="BC5" t="s">
        <v>1472</v>
      </c>
      <c r="BD5" s="124">
        <f t="shared" si="11"/>
        <v>901430</v>
      </c>
      <c r="BI5">
        <v>39.5</v>
      </c>
      <c r="BJ5">
        <v>0.71</v>
      </c>
      <c r="BK5">
        <v>38.79</v>
      </c>
      <c r="BL5" s="2"/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hidden="1" outlineLevel="1">
      <c r="A6" t="s">
        <v>244</v>
      </c>
      <c r="B6" s="8" t="s">
        <v>1485</v>
      </c>
      <c r="C6" s="1">
        <f t="shared" si="0"/>
        <v>10602</v>
      </c>
      <c r="D6" s="5">
        <f>IF(N6&gt;0, RANK(N6,(N6:P6,Q6:AE6)),0)</f>
        <v>1</v>
      </c>
      <c r="E6" s="5">
        <f>IF(O6&gt;0,RANK(O6,(N6:P6,Q6:AE6)),0)</f>
        <v>2</v>
      </c>
      <c r="F6" s="5">
        <f t="shared" si="1"/>
        <v>5</v>
      </c>
      <c r="G6" s="1">
        <f t="shared" si="2"/>
        <v>1285</v>
      </c>
      <c r="H6" s="2">
        <f t="shared" si="3"/>
        <v>0.12120354650066026</v>
      </c>
      <c r="I6" s="6"/>
      <c r="J6" s="2">
        <f t="shared" si="4"/>
        <v>0.53527636295038672</v>
      </c>
      <c r="K6" s="2">
        <f t="shared" si="5"/>
        <v>0.41407281644972649</v>
      </c>
      <c r="L6" s="2">
        <f t="shared" si="6"/>
        <v>3.1126202603282398E-3</v>
      </c>
      <c r="M6" s="2">
        <f t="shared" si="7"/>
        <v>4.7538200339558551E-2</v>
      </c>
      <c r="N6" s="63">
        <v>5675</v>
      </c>
      <c r="O6" s="63">
        <v>4390</v>
      </c>
      <c r="P6" s="63">
        <v>33</v>
      </c>
      <c r="Q6" s="63">
        <v>361</v>
      </c>
      <c r="R6" s="63">
        <v>141</v>
      </c>
      <c r="S6" s="63">
        <v>2</v>
      </c>
      <c r="T6" s="63">
        <v>0</v>
      </c>
      <c r="U6" s="63"/>
      <c r="V6" s="63">
        <v>0</v>
      </c>
      <c r="W6" s="63">
        <f t="shared" si="8"/>
        <v>0</v>
      </c>
      <c r="Y6" s="63">
        <v>0</v>
      </c>
      <c r="Z6" s="63"/>
      <c r="AA6" s="63"/>
      <c r="AB6" s="63"/>
      <c r="AE6" s="8">
        <v>0</v>
      </c>
      <c r="AM6">
        <v>0</v>
      </c>
      <c r="AQ6">
        <v>0</v>
      </c>
      <c r="AT6" t="str">
        <f t="shared" si="9"/>
        <v>Avon</v>
      </c>
      <c r="AU6" t="s">
        <v>1737</v>
      </c>
      <c r="AV6" s="8">
        <v>5</v>
      </c>
      <c r="AX6" s="114">
        <v>9</v>
      </c>
      <c r="AY6" s="116">
        <v>3</v>
      </c>
      <c r="AZ6" s="116">
        <v>5</v>
      </c>
      <c r="BA6" s="120">
        <v>2060</v>
      </c>
      <c r="BB6" s="120">
        <f t="shared" si="10"/>
        <v>9003</v>
      </c>
      <c r="BC6" t="s">
        <v>1472</v>
      </c>
      <c r="BD6" s="124">
        <f t="shared" si="11"/>
        <v>902060</v>
      </c>
      <c r="BI6">
        <v>23.52</v>
      </c>
      <c r="BJ6">
        <v>0.4</v>
      </c>
      <c r="BK6">
        <v>23.12</v>
      </c>
      <c r="BL6" s="2"/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hidden="1" outlineLevel="1">
      <c r="A7" t="s">
        <v>1672</v>
      </c>
      <c r="B7" s="8" t="s">
        <v>1485</v>
      </c>
      <c r="C7" s="1">
        <f t="shared" si="0"/>
        <v>2200</v>
      </c>
      <c r="D7" s="5">
        <f>IF(N7&gt;0, RANK(N7,(N7:P7,Q7:AE7)),0)</f>
        <v>2</v>
      </c>
      <c r="E7" s="5">
        <f>IF(O7&gt;0,RANK(O7,(N7:P7,Q7:AE7)),0)</f>
        <v>1</v>
      </c>
      <c r="F7" s="5">
        <f t="shared" si="1"/>
        <v>5</v>
      </c>
      <c r="G7" s="1">
        <f t="shared" si="2"/>
        <v>252</v>
      </c>
      <c r="H7" s="2">
        <f t="shared" si="3"/>
        <v>0.11454545454545455</v>
      </c>
      <c r="I7" s="6"/>
      <c r="J7" s="2">
        <f t="shared" si="4"/>
        <v>0.41136363636363638</v>
      </c>
      <c r="K7" s="2">
        <f t="shared" si="5"/>
        <v>0.52590909090909088</v>
      </c>
      <c r="L7" s="2">
        <f t="shared" si="6"/>
        <v>2.2727272727272726E-3</v>
      </c>
      <c r="M7" s="2">
        <f t="shared" si="7"/>
        <v>6.0454545454545469E-2</v>
      </c>
      <c r="N7" s="63">
        <v>905</v>
      </c>
      <c r="O7" s="63">
        <v>1157</v>
      </c>
      <c r="P7" s="63">
        <v>5</v>
      </c>
      <c r="Q7" s="63">
        <v>94</v>
      </c>
      <c r="R7" s="63">
        <v>37</v>
      </c>
      <c r="S7" s="63">
        <v>2</v>
      </c>
      <c r="T7" s="63">
        <v>0</v>
      </c>
      <c r="U7" s="63"/>
      <c r="V7" s="63">
        <v>0</v>
      </c>
      <c r="W7" s="63">
        <f t="shared" si="8"/>
        <v>0</v>
      </c>
      <c r="Y7" s="63">
        <v>0</v>
      </c>
      <c r="Z7" s="63"/>
      <c r="AA7" s="63"/>
      <c r="AB7" s="63"/>
      <c r="AE7" s="8">
        <v>0</v>
      </c>
      <c r="AM7">
        <v>0</v>
      </c>
      <c r="AQ7">
        <v>0</v>
      </c>
      <c r="AT7" t="str">
        <f t="shared" si="9"/>
        <v>Barkhamsted</v>
      </c>
      <c r="AU7" t="s">
        <v>1276</v>
      </c>
      <c r="AV7" s="8">
        <v>1</v>
      </c>
      <c r="AX7" s="114">
        <v>9</v>
      </c>
      <c r="AY7" s="116">
        <v>5</v>
      </c>
      <c r="AZ7" s="116">
        <v>5</v>
      </c>
      <c r="BA7" s="120">
        <v>2760</v>
      </c>
      <c r="BB7" s="120">
        <f t="shared" si="10"/>
        <v>9005</v>
      </c>
      <c r="BC7" t="s">
        <v>1472</v>
      </c>
      <c r="BD7" s="124">
        <f t="shared" si="11"/>
        <v>902760</v>
      </c>
      <c r="BI7">
        <v>38.83</v>
      </c>
      <c r="BJ7">
        <v>2.61</v>
      </c>
      <c r="BK7">
        <v>36.22</v>
      </c>
      <c r="BL7" s="2"/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hidden="1" outlineLevel="1">
      <c r="A8" t="s">
        <v>2507</v>
      </c>
      <c r="B8" s="8" t="s">
        <v>1485</v>
      </c>
      <c r="C8" s="1">
        <f t="shared" si="0"/>
        <v>3332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5</v>
      </c>
      <c r="G8" s="1">
        <f t="shared" si="2"/>
        <v>856</v>
      </c>
      <c r="H8" s="2">
        <f t="shared" si="3"/>
        <v>0.25690276110444177</v>
      </c>
      <c r="I8" s="6"/>
      <c r="J8" s="2">
        <f t="shared" si="4"/>
        <v>0.34393757503001199</v>
      </c>
      <c r="K8" s="2">
        <f t="shared" si="5"/>
        <v>0.60084033613445376</v>
      </c>
      <c r="L8" s="2">
        <f t="shared" si="6"/>
        <v>6.0024009603841532E-4</v>
      </c>
      <c r="M8" s="2">
        <f t="shared" si="7"/>
        <v>5.462184873949584E-2</v>
      </c>
      <c r="N8" s="63">
        <v>1146</v>
      </c>
      <c r="O8" s="63">
        <v>2002</v>
      </c>
      <c r="P8" s="63">
        <v>2</v>
      </c>
      <c r="Q8" s="63">
        <v>134</v>
      </c>
      <c r="R8" s="63">
        <v>46</v>
      </c>
      <c r="S8" s="63">
        <v>1</v>
      </c>
      <c r="T8" s="63">
        <v>0</v>
      </c>
      <c r="U8" s="63"/>
      <c r="V8" s="63">
        <v>0</v>
      </c>
      <c r="W8" s="63">
        <f t="shared" si="8"/>
        <v>0</v>
      </c>
      <c r="Y8" s="63">
        <v>0</v>
      </c>
      <c r="Z8" s="63"/>
      <c r="AA8" s="63"/>
      <c r="AB8" s="63"/>
      <c r="AE8" s="8">
        <v>1</v>
      </c>
      <c r="AM8">
        <v>0</v>
      </c>
      <c r="AQ8">
        <v>0</v>
      </c>
      <c r="AT8" t="str">
        <f t="shared" si="9"/>
        <v>Beacon Falls</v>
      </c>
      <c r="AU8" t="s">
        <v>2797</v>
      </c>
      <c r="AV8" s="8">
        <v>3</v>
      </c>
      <c r="AX8" s="114">
        <v>9</v>
      </c>
      <c r="AY8" s="116">
        <v>9</v>
      </c>
      <c r="AZ8" s="116">
        <v>10</v>
      </c>
      <c r="BA8" s="120">
        <v>3250</v>
      </c>
      <c r="BB8" s="120">
        <f t="shared" si="10"/>
        <v>9009</v>
      </c>
      <c r="BC8" t="s">
        <v>1472</v>
      </c>
      <c r="BD8" s="124">
        <f t="shared" si="11"/>
        <v>903250</v>
      </c>
      <c r="BI8">
        <v>9.8699999999999992</v>
      </c>
      <c r="BJ8">
        <v>0.1</v>
      </c>
      <c r="BK8">
        <v>9.7799999999999994</v>
      </c>
      <c r="BL8" s="2"/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hidden="1" outlineLevel="1">
      <c r="A9" t="s">
        <v>364</v>
      </c>
      <c r="B9" s="8" t="s">
        <v>1485</v>
      </c>
      <c r="C9" s="1">
        <f t="shared" si="0"/>
        <v>11601</v>
      </c>
      <c r="D9" s="5">
        <f>IF(N9&gt;0, RANK(N9,(N9:P9,Q9:AE9)),0)</f>
        <v>2</v>
      </c>
      <c r="E9" s="5">
        <f>IF(O9&gt;0,RANK(O9,(N9:P9,Q9:AE9)),0)</f>
        <v>1</v>
      </c>
      <c r="F9" s="5">
        <f t="shared" si="1"/>
        <v>5</v>
      </c>
      <c r="G9" s="1">
        <f t="shared" si="2"/>
        <v>1297</v>
      </c>
      <c r="H9" s="2">
        <f t="shared" si="3"/>
        <v>0.11180070683561762</v>
      </c>
      <c r="I9" s="6"/>
      <c r="J9" s="2">
        <f t="shared" si="4"/>
        <v>0.42349797431255926</v>
      </c>
      <c r="K9" s="2">
        <f t="shared" si="5"/>
        <v>0.53529868114817691</v>
      </c>
      <c r="L9" s="2">
        <f t="shared" si="6"/>
        <v>8.6199465563313506E-4</v>
      </c>
      <c r="M9" s="2">
        <f t="shared" si="7"/>
        <v>4.0341349883630639E-2</v>
      </c>
      <c r="N9" s="63">
        <v>4913</v>
      </c>
      <c r="O9" s="63">
        <v>6210</v>
      </c>
      <c r="P9" s="63">
        <v>10</v>
      </c>
      <c r="Q9" s="63">
        <v>326</v>
      </c>
      <c r="R9" s="63">
        <v>142</v>
      </c>
      <c r="S9" s="63">
        <v>0</v>
      </c>
      <c r="T9" s="63">
        <v>0</v>
      </c>
      <c r="U9" s="63"/>
      <c r="V9" s="63">
        <v>0</v>
      </c>
      <c r="W9" s="63">
        <f t="shared" si="8"/>
        <v>0</v>
      </c>
      <c r="Y9" s="63">
        <v>0</v>
      </c>
      <c r="Z9" s="63"/>
      <c r="AA9" s="63"/>
      <c r="AB9" s="63"/>
      <c r="AE9" s="8">
        <v>0</v>
      </c>
      <c r="AM9">
        <v>0</v>
      </c>
      <c r="AQ9">
        <v>0</v>
      </c>
      <c r="AT9" t="str">
        <f t="shared" si="9"/>
        <v>Berlin</v>
      </c>
      <c r="AU9" t="s">
        <v>1737</v>
      </c>
      <c r="AV9" s="8">
        <v>1</v>
      </c>
      <c r="AX9" s="114">
        <v>9</v>
      </c>
      <c r="AY9" s="116">
        <v>3</v>
      </c>
      <c r="AZ9" s="116">
        <v>10</v>
      </c>
      <c r="BA9" s="120">
        <v>4300</v>
      </c>
      <c r="BB9" s="120">
        <f t="shared" si="10"/>
        <v>9003</v>
      </c>
      <c r="BC9" t="s">
        <v>1472</v>
      </c>
      <c r="BD9" s="124">
        <f t="shared" si="11"/>
        <v>904300</v>
      </c>
      <c r="BI9">
        <v>27.04</v>
      </c>
      <c r="BJ9">
        <v>0.59</v>
      </c>
      <c r="BK9">
        <v>26.45</v>
      </c>
      <c r="BL9" s="2"/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hidden="1" outlineLevel="1">
      <c r="A10" t="s">
        <v>2206</v>
      </c>
      <c r="B10" s="8" t="s">
        <v>1485</v>
      </c>
      <c r="C10" s="1">
        <f t="shared" si="0"/>
        <v>3380</v>
      </c>
      <c r="D10" s="5">
        <f>IF(N10&gt;0, RANK(N10,(N10:P10,Q10:AE10)),0)</f>
        <v>2</v>
      </c>
      <c r="E10" s="5">
        <f>IF(O10&gt;0,RANK(O10,(N10:P10,Q10:AE10)),0)</f>
        <v>1</v>
      </c>
      <c r="F10" s="5">
        <f t="shared" si="1"/>
        <v>5</v>
      </c>
      <c r="G10" s="1">
        <f t="shared" si="2"/>
        <v>66</v>
      </c>
      <c r="H10" s="2">
        <f t="shared" si="3"/>
        <v>1.952662721893491E-2</v>
      </c>
      <c r="I10" s="6"/>
      <c r="J10" s="2">
        <f t="shared" si="4"/>
        <v>0.46745562130177515</v>
      </c>
      <c r="K10" s="2">
        <f t="shared" si="5"/>
        <v>0.48698224852071004</v>
      </c>
      <c r="L10" s="2">
        <f t="shared" si="6"/>
        <v>8.8757396449704138E-4</v>
      </c>
      <c r="M10" s="2">
        <f t="shared" si="7"/>
        <v>4.467455621301783E-2</v>
      </c>
      <c r="N10" s="63">
        <v>1580</v>
      </c>
      <c r="O10" s="63">
        <v>1646</v>
      </c>
      <c r="P10" s="63">
        <v>3</v>
      </c>
      <c r="Q10" s="63">
        <v>112</v>
      </c>
      <c r="R10" s="63">
        <v>39</v>
      </c>
      <c r="S10" s="63">
        <v>0</v>
      </c>
      <c r="T10" s="63">
        <v>0</v>
      </c>
      <c r="U10" s="63"/>
      <c r="V10" s="63">
        <v>0</v>
      </c>
      <c r="W10" s="63">
        <f t="shared" si="8"/>
        <v>0</v>
      </c>
      <c r="Y10" s="63">
        <v>0</v>
      </c>
      <c r="Z10" s="63"/>
      <c r="AA10" s="63"/>
      <c r="AB10" s="63"/>
      <c r="AE10" s="8">
        <v>0</v>
      </c>
      <c r="AM10">
        <v>0</v>
      </c>
      <c r="AQ10">
        <v>0</v>
      </c>
      <c r="AT10" t="str">
        <f t="shared" si="9"/>
        <v>Bethany</v>
      </c>
      <c r="AU10" t="s">
        <v>2797</v>
      </c>
      <c r="AV10" s="8">
        <v>3</v>
      </c>
      <c r="AX10" s="114">
        <v>9</v>
      </c>
      <c r="AY10" s="116">
        <v>9</v>
      </c>
      <c r="AZ10" s="116">
        <v>15</v>
      </c>
      <c r="BA10" s="120">
        <v>4580</v>
      </c>
      <c r="BB10" s="120">
        <f t="shared" si="10"/>
        <v>9009</v>
      </c>
      <c r="BC10" t="s">
        <v>1472</v>
      </c>
      <c r="BD10" s="124">
        <f t="shared" si="11"/>
        <v>904580</v>
      </c>
      <c r="BI10">
        <v>21.36</v>
      </c>
      <c r="BJ10">
        <v>0.39</v>
      </c>
      <c r="BK10">
        <v>20.97</v>
      </c>
      <c r="BL10" s="2"/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hidden="1" outlineLevel="1">
      <c r="A11" t="s">
        <v>365</v>
      </c>
      <c r="B11" s="8" t="s">
        <v>1485</v>
      </c>
      <c r="C11" s="1">
        <f t="shared" si="0"/>
        <v>9846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5</v>
      </c>
      <c r="G11" s="1">
        <f t="shared" si="2"/>
        <v>202</v>
      </c>
      <c r="H11" s="2">
        <f t="shared" si="3"/>
        <v>2.0515945561649401E-2</v>
      </c>
      <c r="I11" s="6"/>
      <c r="J11" s="2">
        <f t="shared" si="4"/>
        <v>0.48517164330692669</v>
      </c>
      <c r="K11" s="2">
        <f t="shared" si="5"/>
        <v>0.46465569774527726</v>
      </c>
      <c r="L11" s="2">
        <f t="shared" si="6"/>
        <v>1.4218972171440179E-3</v>
      </c>
      <c r="M11" s="2">
        <f t="shared" si="7"/>
        <v>4.8750761730652084E-2</v>
      </c>
      <c r="N11" s="63">
        <v>4777</v>
      </c>
      <c r="O11" s="63">
        <v>4575</v>
      </c>
      <c r="P11" s="63">
        <v>14</v>
      </c>
      <c r="Q11" s="63">
        <v>318</v>
      </c>
      <c r="R11" s="63">
        <v>152</v>
      </c>
      <c r="S11" s="63">
        <v>9</v>
      </c>
      <c r="T11" s="63">
        <v>0</v>
      </c>
      <c r="U11" s="63"/>
      <c r="V11" s="63">
        <v>1</v>
      </c>
      <c r="W11" s="63">
        <f t="shared" si="8"/>
        <v>0</v>
      </c>
      <c r="Y11" s="63">
        <v>0</v>
      </c>
      <c r="Z11" s="63"/>
      <c r="AA11" s="63"/>
      <c r="AB11" s="63"/>
      <c r="AE11" s="8">
        <v>0</v>
      </c>
      <c r="AM11">
        <v>0</v>
      </c>
      <c r="AQ11">
        <v>0</v>
      </c>
      <c r="AT11" t="str">
        <f t="shared" si="9"/>
        <v>Bethel</v>
      </c>
      <c r="AU11" t="s">
        <v>280</v>
      </c>
      <c r="AV11" s="8">
        <v>5</v>
      </c>
      <c r="AX11" s="114">
        <v>9</v>
      </c>
      <c r="AY11" s="116">
        <v>1</v>
      </c>
      <c r="AZ11" s="116">
        <v>5</v>
      </c>
      <c r="BA11" s="120">
        <v>4720</v>
      </c>
      <c r="BB11" s="120">
        <f t="shared" si="10"/>
        <v>9001</v>
      </c>
      <c r="BC11" t="s">
        <v>1472</v>
      </c>
      <c r="BD11" s="124">
        <f t="shared" si="11"/>
        <v>904720</v>
      </c>
      <c r="BI11">
        <v>16.89</v>
      </c>
      <c r="BJ11">
        <v>0.09</v>
      </c>
      <c r="BK11">
        <v>16.79</v>
      </c>
      <c r="BL11" s="2"/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hidden="1" outlineLevel="1">
      <c r="A12" t="s">
        <v>2552</v>
      </c>
      <c r="B12" s="8" t="s">
        <v>1485</v>
      </c>
      <c r="C12" s="1">
        <f t="shared" si="0"/>
        <v>2317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5</v>
      </c>
      <c r="G12" s="1">
        <f t="shared" si="2"/>
        <v>604</v>
      </c>
      <c r="H12" s="2">
        <f t="shared" si="3"/>
        <v>0.26068191627104015</v>
      </c>
      <c r="I12" s="6"/>
      <c r="J12" s="2">
        <f t="shared" si="4"/>
        <v>0.34570565386275354</v>
      </c>
      <c r="K12" s="2">
        <f t="shared" si="5"/>
        <v>0.60638757013379374</v>
      </c>
      <c r="L12" s="2">
        <f t="shared" si="6"/>
        <v>1.7263703064307294E-3</v>
      </c>
      <c r="M12" s="2">
        <f t="shared" si="7"/>
        <v>4.6180405697021989E-2</v>
      </c>
      <c r="N12" s="63">
        <v>801</v>
      </c>
      <c r="O12" s="63">
        <v>1405</v>
      </c>
      <c r="P12" s="63">
        <v>4</v>
      </c>
      <c r="Q12" s="63">
        <v>59</v>
      </c>
      <c r="R12" s="63">
        <v>47</v>
      </c>
      <c r="S12" s="63">
        <v>1</v>
      </c>
      <c r="T12" s="63">
        <v>0</v>
      </c>
      <c r="U12" s="63"/>
      <c r="V12" s="63">
        <v>0</v>
      </c>
      <c r="W12" s="63">
        <f t="shared" si="8"/>
        <v>0</v>
      </c>
      <c r="Y12" s="63">
        <v>0</v>
      </c>
      <c r="Z12" s="63"/>
      <c r="AA12" s="63"/>
      <c r="AB12" s="63"/>
      <c r="AE12" s="8">
        <v>0</v>
      </c>
      <c r="AM12">
        <v>0</v>
      </c>
      <c r="AQ12">
        <v>0</v>
      </c>
      <c r="AT12" t="str">
        <f t="shared" si="9"/>
        <v>Bethlehem</v>
      </c>
      <c r="AU12" t="s">
        <v>1276</v>
      </c>
      <c r="AV12" s="8">
        <v>5</v>
      </c>
      <c r="AX12" s="114">
        <v>9</v>
      </c>
      <c r="AY12" s="116">
        <v>5</v>
      </c>
      <c r="AZ12" s="116">
        <v>10</v>
      </c>
      <c r="BA12" s="120">
        <v>4930</v>
      </c>
      <c r="BB12" s="120">
        <f t="shared" si="10"/>
        <v>9005</v>
      </c>
      <c r="BC12" t="s">
        <v>1472</v>
      </c>
      <c r="BD12" s="124">
        <f t="shared" si="11"/>
        <v>904930</v>
      </c>
      <c r="BI12">
        <v>19.66</v>
      </c>
      <c r="BJ12">
        <v>0.3</v>
      </c>
      <c r="BK12">
        <v>19.36</v>
      </c>
      <c r="BL12" s="2"/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hidden="1" outlineLevel="1">
      <c r="A13" t="s">
        <v>54</v>
      </c>
      <c r="B13" s="8" t="s">
        <v>1485</v>
      </c>
      <c r="C13" s="1">
        <f t="shared" si="0"/>
        <v>11639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5</v>
      </c>
      <c r="G13" s="1">
        <f t="shared" si="2"/>
        <v>7954</v>
      </c>
      <c r="H13" s="2">
        <f t="shared" si="3"/>
        <v>0.6833920439900335</v>
      </c>
      <c r="I13" s="6"/>
      <c r="J13" s="2">
        <f t="shared" si="4"/>
        <v>0.82799209554085407</v>
      </c>
      <c r="K13" s="2">
        <f t="shared" si="5"/>
        <v>0.14460005155082051</v>
      </c>
      <c r="L13" s="2">
        <f t="shared" si="6"/>
        <v>7.7326230775839845E-4</v>
      </c>
      <c r="M13" s="2">
        <f t="shared" si="7"/>
        <v>2.6634590600567026E-2</v>
      </c>
      <c r="N13" s="63">
        <v>9637</v>
      </c>
      <c r="O13" s="63">
        <v>1683</v>
      </c>
      <c r="P13" s="63">
        <v>9</v>
      </c>
      <c r="Q13" s="63">
        <v>183</v>
      </c>
      <c r="R13" s="63">
        <v>124</v>
      </c>
      <c r="S13" s="63">
        <v>3</v>
      </c>
      <c r="T13" s="63">
        <v>0</v>
      </c>
      <c r="U13" s="63"/>
      <c r="V13" s="63">
        <v>0</v>
      </c>
      <c r="W13" s="63">
        <f t="shared" si="8"/>
        <v>0</v>
      </c>
      <c r="Y13" s="63">
        <v>0</v>
      </c>
      <c r="Z13" s="63"/>
      <c r="AA13" s="63"/>
      <c r="AB13" s="63"/>
      <c r="AE13" s="8">
        <v>0</v>
      </c>
      <c r="AM13">
        <v>0</v>
      </c>
      <c r="AQ13">
        <v>0</v>
      </c>
      <c r="AT13" t="str">
        <f t="shared" si="9"/>
        <v>Bloomfield</v>
      </c>
      <c r="AU13" t="s">
        <v>1737</v>
      </c>
      <c r="AV13" s="8">
        <v>1</v>
      </c>
      <c r="AX13" s="114">
        <v>9</v>
      </c>
      <c r="AY13" s="116">
        <v>3</v>
      </c>
      <c r="AZ13" s="116">
        <v>15</v>
      </c>
      <c r="BA13" s="120">
        <v>5910</v>
      </c>
      <c r="BB13" s="120">
        <f t="shared" si="10"/>
        <v>9003</v>
      </c>
      <c r="BC13" t="s">
        <v>1472</v>
      </c>
      <c r="BD13" s="124">
        <f t="shared" si="11"/>
        <v>905910</v>
      </c>
      <c r="BI13">
        <v>26.18</v>
      </c>
      <c r="BJ13">
        <v>0.16</v>
      </c>
      <c r="BK13">
        <v>26.01</v>
      </c>
      <c r="BL13" s="2"/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hidden="1" outlineLevel="1">
      <c r="A14" t="s">
        <v>55</v>
      </c>
      <c r="B14" s="8" t="s">
        <v>1485</v>
      </c>
      <c r="C14" s="1">
        <f t="shared" si="0"/>
        <v>3002</v>
      </c>
      <c r="D14" s="5">
        <f>IF(N14&gt;0, RANK(N14,(N14:P14,Q14:AE14)),0)</f>
        <v>2</v>
      </c>
      <c r="E14" s="5">
        <f>IF(O14&gt;0,RANK(O14,(N14:P14,Q14:AE14)),0)</f>
        <v>1</v>
      </c>
      <c r="F14" s="5">
        <f t="shared" si="1"/>
        <v>5</v>
      </c>
      <c r="G14" s="1">
        <f t="shared" si="2"/>
        <v>51</v>
      </c>
      <c r="H14" s="2">
        <f t="shared" si="3"/>
        <v>1.698867421718854E-2</v>
      </c>
      <c r="I14" s="6"/>
      <c r="J14" s="2">
        <f t="shared" si="4"/>
        <v>0.46135909393737506</v>
      </c>
      <c r="K14" s="2">
        <f t="shared" si="5"/>
        <v>0.47834776815456365</v>
      </c>
      <c r="L14" s="2">
        <f t="shared" si="6"/>
        <v>2.6648900732844771E-3</v>
      </c>
      <c r="M14" s="2">
        <f t="shared" si="7"/>
        <v>5.7628247834776811E-2</v>
      </c>
      <c r="N14" s="63">
        <v>1385</v>
      </c>
      <c r="O14" s="63">
        <v>1436</v>
      </c>
      <c r="P14" s="63">
        <v>8</v>
      </c>
      <c r="Q14" s="63">
        <v>120</v>
      </c>
      <c r="R14" s="63">
        <v>49</v>
      </c>
      <c r="S14" s="63">
        <v>1</v>
      </c>
      <c r="T14" s="63">
        <v>0</v>
      </c>
      <c r="U14" s="63"/>
      <c r="V14" s="63">
        <v>1</v>
      </c>
      <c r="W14" s="63">
        <f t="shared" si="8"/>
        <v>2</v>
      </c>
      <c r="Y14" s="63">
        <v>0</v>
      </c>
      <c r="Z14" s="63"/>
      <c r="AA14" s="63"/>
      <c r="AB14" s="63"/>
      <c r="AE14" s="8">
        <v>0</v>
      </c>
      <c r="AM14">
        <v>0</v>
      </c>
      <c r="AQ14">
        <v>0</v>
      </c>
      <c r="AT14" t="str">
        <f t="shared" si="9"/>
        <v>Bolton</v>
      </c>
      <c r="AU14" t="s">
        <v>67</v>
      </c>
      <c r="AV14" s="8">
        <v>2</v>
      </c>
      <c r="AX14" s="114">
        <v>9</v>
      </c>
      <c r="AY14" s="116">
        <v>13</v>
      </c>
      <c r="AZ14" s="116">
        <v>10</v>
      </c>
      <c r="BA14" s="120">
        <v>6260</v>
      </c>
      <c r="BB14" s="120">
        <f t="shared" si="10"/>
        <v>9013</v>
      </c>
      <c r="BC14" t="s">
        <v>1472</v>
      </c>
      <c r="BD14" s="124">
        <f t="shared" si="11"/>
        <v>906260</v>
      </c>
      <c r="BI14">
        <v>14.69</v>
      </c>
      <c r="BJ14">
        <v>0.28000000000000003</v>
      </c>
      <c r="BK14">
        <v>14.41</v>
      </c>
      <c r="BL14" s="2"/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hidden="1" outlineLevel="1">
      <c r="A15" t="s">
        <v>2021</v>
      </c>
      <c r="B15" s="8" t="s">
        <v>1485</v>
      </c>
      <c r="C15" s="1">
        <f t="shared" si="0"/>
        <v>1390</v>
      </c>
      <c r="D15" s="5">
        <f>IF(N15&gt;0, RANK(N15,(N15:P15,Q15:AE15)),0)</f>
        <v>2</v>
      </c>
      <c r="E15" s="5">
        <f>IF(O15&gt;0,RANK(O15,(N15:P15,Q15:AE15)),0)</f>
        <v>1</v>
      </c>
      <c r="F15" s="5">
        <f t="shared" si="1"/>
        <v>0</v>
      </c>
      <c r="G15" s="1">
        <f t="shared" si="2"/>
        <v>228</v>
      </c>
      <c r="H15" s="2">
        <f t="shared" si="3"/>
        <v>0.16402877697841728</v>
      </c>
      <c r="I15" s="6"/>
      <c r="J15" s="2">
        <f t="shared" si="4"/>
        <v>0.38561151079136691</v>
      </c>
      <c r="K15" s="2">
        <f t="shared" si="5"/>
        <v>0.54964028776978413</v>
      </c>
      <c r="L15" s="2">
        <f t="shared" si="6"/>
        <v>0</v>
      </c>
      <c r="M15" s="2">
        <f t="shared" si="7"/>
        <v>6.4748201438848962E-2</v>
      </c>
      <c r="N15" s="63">
        <v>536</v>
      </c>
      <c r="O15" s="63">
        <v>764</v>
      </c>
      <c r="P15" s="63">
        <v>0</v>
      </c>
      <c r="Q15" s="63">
        <v>58</v>
      </c>
      <c r="R15" s="63">
        <v>31</v>
      </c>
      <c r="S15" s="63">
        <v>1</v>
      </c>
      <c r="T15" s="63">
        <v>0</v>
      </c>
      <c r="U15" s="63"/>
      <c r="V15" s="63">
        <v>0</v>
      </c>
      <c r="W15" s="63">
        <f t="shared" si="8"/>
        <v>0</v>
      </c>
      <c r="Y15" s="63">
        <v>0</v>
      </c>
      <c r="Z15" s="63"/>
      <c r="AA15" s="63"/>
      <c r="AB15" s="63"/>
      <c r="AE15" s="8">
        <v>0</v>
      </c>
      <c r="AM15">
        <v>0</v>
      </c>
      <c r="AQ15">
        <v>0</v>
      </c>
      <c r="AT15" t="str">
        <f t="shared" si="9"/>
        <v>Bozrah</v>
      </c>
      <c r="AU15" t="s">
        <v>130</v>
      </c>
      <c r="AV15" s="8">
        <v>2</v>
      </c>
      <c r="AX15" s="114">
        <v>9</v>
      </c>
      <c r="AY15" s="116">
        <v>11</v>
      </c>
      <c r="AZ15" s="116">
        <v>5</v>
      </c>
      <c r="BA15" s="120">
        <v>6820</v>
      </c>
      <c r="BB15" s="120">
        <f t="shared" si="10"/>
        <v>9011</v>
      </c>
      <c r="BC15" t="s">
        <v>1472</v>
      </c>
      <c r="BD15" s="124">
        <f t="shared" si="11"/>
        <v>906820</v>
      </c>
      <c r="BI15">
        <v>20.239999999999998</v>
      </c>
      <c r="BJ15">
        <v>0.27</v>
      </c>
      <c r="BK15">
        <v>19.97</v>
      </c>
      <c r="BL15" s="2"/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hidden="1" outlineLevel="1">
      <c r="A16" t="s">
        <v>1388</v>
      </c>
      <c r="B16" s="8" t="s">
        <v>1485</v>
      </c>
      <c r="C16" s="1">
        <f t="shared" si="0"/>
        <v>15605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5</v>
      </c>
      <c r="G16" s="1">
        <f t="shared" si="2"/>
        <v>1868</v>
      </c>
      <c r="H16" s="2">
        <f t="shared" si="3"/>
        <v>0.11970522268503685</v>
      </c>
      <c r="I16" s="6"/>
      <c r="J16" s="2">
        <f t="shared" si="4"/>
        <v>0.54168535725728928</v>
      </c>
      <c r="K16" s="2">
        <f t="shared" si="5"/>
        <v>0.42198013457225247</v>
      </c>
      <c r="L16" s="2">
        <f t="shared" si="6"/>
        <v>9.6123037487984622E-4</v>
      </c>
      <c r="M16" s="2">
        <f t="shared" si="7"/>
        <v>3.5373277795578403E-2</v>
      </c>
      <c r="N16" s="63">
        <v>8453</v>
      </c>
      <c r="O16" s="63">
        <v>6585</v>
      </c>
      <c r="P16" s="63">
        <v>15</v>
      </c>
      <c r="Q16" s="63">
        <v>344</v>
      </c>
      <c r="R16" s="63">
        <v>201</v>
      </c>
      <c r="S16" s="63">
        <v>2</v>
      </c>
      <c r="T16" s="63">
        <v>0</v>
      </c>
      <c r="U16" s="63"/>
      <c r="V16" s="63">
        <v>0</v>
      </c>
      <c r="W16" s="63">
        <f t="shared" si="8"/>
        <v>5</v>
      </c>
      <c r="Y16" s="63">
        <v>0</v>
      </c>
      <c r="Z16" s="63"/>
      <c r="AA16" s="63"/>
      <c r="AB16" s="63"/>
      <c r="AE16" s="8">
        <v>0</v>
      </c>
      <c r="AM16">
        <v>0</v>
      </c>
      <c r="AQ16">
        <v>0</v>
      </c>
      <c r="AT16" t="str">
        <f t="shared" si="9"/>
        <v>Branford</v>
      </c>
      <c r="AU16" t="s">
        <v>2797</v>
      </c>
      <c r="AV16" s="8">
        <v>3</v>
      </c>
      <c r="AX16" s="114">
        <v>9</v>
      </c>
      <c r="AY16" s="116">
        <v>9</v>
      </c>
      <c r="AZ16" s="116">
        <v>20</v>
      </c>
      <c r="BA16" s="120">
        <v>7310</v>
      </c>
      <c r="BB16" s="120">
        <f t="shared" si="10"/>
        <v>9009</v>
      </c>
      <c r="BC16" t="s">
        <v>1472</v>
      </c>
      <c r="BD16" s="124">
        <f t="shared" si="11"/>
        <v>907310</v>
      </c>
      <c r="BI16">
        <v>28</v>
      </c>
      <c r="BJ16">
        <v>6.02</v>
      </c>
      <c r="BK16">
        <v>21.98</v>
      </c>
      <c r="BL16" s="2"/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</row>
    <row r="17" spans="1:82" hidden="1" outlineLevel="1">
      <c r="A17" t="s">
        <v>3106</v>
      </c>
      <c r="B17" s="8" t="s">
        <v>1485</v>
      </c>
      <c r="C17" s="1">
        <f t="shared" si="0"/>
        <v>39560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5</v>
      </c>
      <c r="G17" s="1">
        <f t="shared" si="2"/>
        <v>25439</v>
      </c>
      <c r="H17" s="2">
        <f t="shared" si="3"/>
        <v>0.64304853387259864</v>
      </c>
      <c r="I17" s="6"/>
      <c r="J17" s="2">
        <f t="shared" si="4"/>
        <v>0.80978260869565222</v>
      </c>
      <c r="K17" s="2">
        <f t="shared" si="5"/>
        <v>0.16673407482305358</v>
      </c>
      <c r="L17" s="2">
        <f t="shared" si="6"/>
        <v>2.5278058645096058E-4</v>
      </c>
      <c r="M17" s="2">
        <f t="shared" si="7"/>
        <v>2.3230535894843241E-2</v>
      </c>
      <c r="N17" s="63">
        <v>32035</v>
      </c>
      <c r="O17" s="63">
        <v>6596</v>
      </c>
      <c r="P17" s="63">
        <v>10</v>
      </c>
      <c r="Q17" s="63">
        <v>428</v>
      </c>
      <c r="R17" s="63">
        <v>490</v>
      </c>
      <c r="S17" s="63">
        <v>0</v>
      </c>
      <c r="T17" s="63">
        <v>0</v>
      </c>
      <c r="U17" s="63"/>
      <c r="V17" s="63">
        <v>0</v>
      </c>
      <c r="W17" s="63">
        <f t="shared" si="8"/>
        <v>1</v>
      </c>
      <c r="Y17" s="63">
        <v>0</v>
      </c>
      <c r="Z17" s="63"/>
      <c r="AA17" s="63"/>
      <c r="AB17" s="63"/>
      <c r="AE17" s="8">
        <v>0</v>
      </c>
      <c r="AM17">
        <v>0</v>
      </c>
      <c r="AQ17">
        <v>0</v>
      </c>
      <c r="AT17" t="str">
        <f t="shared" si="9"/>
        <v>Bridgeport</v>
      </c>
      <c r="AU17" t="s">
        <v>280</v>
      </c>
      <c r="AV17" s="8">
        <v>4</v>
      </c>
      <c r="AX17" s="114">
        <v>9</v>
      </c>
      <c r="AY17" s="116">
        <v>1</v>
      </c>
      <c r="AZ17" s="116">
        <v>10</v>
      </c>
      <c r="BA17" s="120">
        <v>8070</v>
      </c>
      <c r="BB17" s="120">
        <f t="shared" si="10"/>
        <v>9001</v>
      </c>
      <c r="BC17" t="s">
        <v>1472</v>
      </c>
      <c r="BD17" s="124">
        <f t="shared" si="11"/>
        <v>908070</v>
      </c>
      <c r="BI17">
        <v>19.399999999999999</v>
      </c>
      <c r="BJ17">
        <v>3.4</v>
      </c>
      <c r="BK17">
        <v>16</v>
      </c>
      <c r="BL17" s="2"/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hidden="1" outlineLevel="1">
      <c r="A18" t="s">
        <v>804</v>
      </c>
      <c r="B18" s="8" t="s">
        <v>1485</v>
      </c>
      <c r="C18" s="1">
        <f t="shared" si="0"/>
        <v>1141</v>
      </c>
      <c r="D18" s="5">
        <f>IF(N18&gt;0, RANK(N18,(N18:P18,Q18:AE18)),0)</f>
        <v>2</v>
      </c>
      <c r="E18" s="5">
        <f>IF(O18&gt;0,RANK(O18,(N18:P18,Q18:AE18)),0)</f>
        <v>1</v>
      </c>
      <c r="F18" s="5">
        <f t="shared" si="1"/>
        <v>5</v>
      </c>
      <c r="G18" s="1">
        <f t="shared" si="2"/>
        <v>53</v>
      </c>
      <c r="H18" s="2">
        <f t="shared" si="3"/>
        <v>4.6450482033304118E-2</v>
      </c>
      <c r="I18" s="6"/>
      <c r="J18" s="2">
        <f t="shared" si="4"/>
        <v>0.45398773006134968</v>
      </c>
      <c r="K18" s="2">
        <f t="shared" si="5"/>
        <v>0.50043821209465378</v>
      </c>
      <c r="L18" s="2">
        <f t="shared" si="6"/>
        <v>8.7642418930762491E-4</v>
      </c>
      <c r="M18" s="2">
        <f t="shared" si="7"/>
        <v>4.4697633654688859E-2</v>
      </c>
      <c r="N18" s="63">
        <v>518</v>
      </c>
      <c r="O18" s="63">
        <v>571</v>
      </c>
      <c r="P18" s="63">
        <v>1</v>
      </c>
      <c r="Q18" s="63">
        <v>33</v>
      </c>
      <c r="R18" s="63">
        <v>17</v>
      </c>
      <c r="S18" s="63">
        <v>1</v>
      </c>
      <c r="T18" s="63">
        <v>0</v>
      </c>
      <c r="U18" s="63"/>
      <c r="V18" s="63">
        <v>0</v>
      </c>
      <c r="W18" s="63">
        <f t="shared" si="8"/>
        <v>0</v>
      </c>
      <c r="Y18" s="63">
        <v>0</v>
      </c>
      <c r="Z18" s="63"/>
      <c r="AA18" s="63"/>
      <c r="AB18" s="63"/>
      <c r="AE18" s="8">
        <v>0</v>
      </c>
      <c r="AM18">
        <v>0</v>
      </c>
      <c r="AQ18">
        <v>0</v>
      </c>
      <c r="AT18" t="str">
        <f t="shared" si="9"/>
        <v>Bridgewater</v>
      </c>
      <c r="AU18" t="s">
        <v>1276</v>
      </c>
      <c r="AV18" s="8">
        <v>5</v>
      </c>
      <c r="AX18" s="114">
        <v>9</v>
      </c>
      <c r="AY18" s="116">
        <v>5</v>
      </c>
      <c r="AZ18" s="116">
        <v>15</v>
      </c>
      <c r="BA18" s="120">
        <v>8210</v>
      </c>
      <c r="BB18" s="120">
        <f t="shared" si="10"/>
        <v>9005</v>
      </c>
      <c r="BC18" t="s">
        <v>1472</v>
      </c>
      <c r="BD18" s="124">
        <f t="shared" si="11"/>
        <v>908210</v>
      </c>
      <c r="BI18">
        <v>17.260000000000002</v>
      </c>
      <c r="BJ18">
        <v>1.03</v>
      </c>
      <c r="BK18">
        <v>16.23</v>
      </c>
      <c r="BL18" s="2"/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hidden="1" outlineLevel="1">
      <c r="A19" t="s">
        <v>2215</v>
      </c>
      <c r="B19" s="8" t="s">
        <v>1485</v>
      </c>
      <c r="C19" s="1">
        <f t="shared" si="0"/>
        <v>26455</v>
      </c>
      <c r="D19" s="5">
        <f>IF(N19&gt;0, RANK(N19,(N19:P19,Q19:AE19)),0)</f>
        <v>2</v>
      </c>
      <c r="E19" s="5">
        <f>IF(O19&gt;0,RANK(O19,(N19:P19,Q19:AE19)),0)</f>
        <v>1</v>
      </c>
      <c r="F19" s="5">
        <f t="shared" si="1"/>
        <v>5</v>
      </c>
      <c r="G19" s="1">
        <f t="shared" si="2"/>
        <v>253</v>
      </c>
      <c r="H19" s="2">
        <f t="shared" si="3"/>
        <v>9.5634095634095639E-3</v>
      </c>
      <c r="I19" s="6"/>
      <c r="J19" s="2">
        <f t="shared" si="4"/>
        <v>0.47246267246267248</v>
      </c>
      <c r="K19" s="2">
        <f t="shared" si="5"/>
        <v>0.48202608202608205</v>
      </c>
      <c r="L19" s="2">
        <f t="shared" si="6"/>
        <v>1.0962010962010961E-3</v>
      </c>
      <c r="M19" s="2">
        <f t="shared" si="7"/>
        <v>4.4415044415044375E-2</v>
      </c>
      <c r="N19" s="63">
        <v>12499</v>
      </c>
      <c r="O19" s="63">
        <v>12752</v>
      </c>
      <c r="P19" s="63">
        <v>29</v>
      </c>
      <c r="Q19" s="63">
        <v>734</v>
      </c>
      <c r="R19" s="63">
        <v>436</v>
      </c>
      <c r="S19" s="63">
        <v>2</v>
      </c>
      <c r="T19" s="63">
        <v>0</v>
      </c>
      <c r="U19" s="63"/>
      <c r="V19" s="63">
        <v>0</v>
      </c>
      <c r="W19" s="63">
        <f t="shared" si="8"/>
        <v>3</v>
      </c>
      <c r="Y19" s="63">
        <v>0</v>
      </c>
      <c r="Z19" s="63"/>
      <c r="AA19" s="63"/>
      <c r="AB19" s="63"/>
      <c r="AE19" s="8">
        <v>0</v>
      </c>
      <c r="AM19">
        <v>0</v>
      </c>
      <c r="AQ19">
        <v>0</v>
      </c>
      <c r="AT19" t="str">
        <f t="shared" si="9"/>
        <v>Bristol</v>
      </c>
      <c r="AU19" t="s">
        <v>1737</v>
      </c>
      <c r="AV19" s="8">
        <v>1</v>
      </c>
      <c r="AX19" s="114">
        <v>9</v>
      </c>
      <c r="AY19" s="116">
        <v>3</v>
      </c>
      <c r="AZ19" s="116">
        <v>20</v>
      </c>
      <c r="BA19" s="120">
        <v>8490</v>
      </c>
      <c r="BB19" s="120">
        <f t="shared" si="10"/>
        <v>9003</v>
      </c>
      <c r="BC19" t="s">
        <v>1472</v>
      </c>
      <c r="BD19" s="124">
        <f t="shared" si="11"/>
        <v>908490</v>
      </c>
      <c r="BI19">
        <v>26.84</v>
      </c>
      <c r="BJ19">
        <v>0.34</v>
      </c>
      <c r="BK19">
        <v>26.51</v>
      </c>
      <c r="BL19" s="2"/>
      <c r="BS19">
        <v>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hidden="1" outlineLevel="1">
      <c r="A20" t="s">
        <v>914</v>
      </c>
      <c r="B20" s="8" t="s">
        <v>1485</v>
      </c>
      <c r="C20" s="1">
        <f t="shared" si="0"/>
        <v>9580</v>
      </c>
      <c r="D20" s="5">
        <f>IF(N20&gt;0, RANK(N20,(N20:P20,Q20:AE20)),0)</f>
        <v>2</v>
      </c>
      <c r="E20" s="5">
        <f>IF(O20&gt;0,RANK(O20,(N20:P20,Q20:AE20)),0)</f>
        <v>1</v>
      </c>
      <c r="F20" s="5">
        <f t="shared" si="1"/>
        <v>5</v>
      </c>
      <c r="G20" s="1">
        <f t="shared" si="2"/>
        <v>757</v>
      </c>
      <c r="H20" s="2">
        <f t="shared" si="3"/>
        <v>7.9018789144050111E-2</v>
      </c>
      <c r="I20" s="6"/>
      <c r="J20" s="2">
        <f t="shared" si="4"/>
        <v>0.44008350730688933</v>
      </c>
      <c r="K20" s="2">
        <f t="shared" si="5"/>
        <v>0.51910229645093942</v>
      </c>
      <c r="L20" s="2">
        <f t="shared" si="6"/>
        <v>7.3068893528183717E-4</v>
      </c>
      <c r="M20" s="2">
        <f t="shared" si="7"/>
        <v>4.0083507306889359E-2</v>
      </c>
      <c r="N20" s="63">
        <v>4216</v>
      </c>
      <c r="O20" s="63">
        <v>4973</v>
      </c>
      <c r="P20" s="63">
        <v>7</v>
      </c>
      <c r="Q20" s="63">
        <v>279</v>
      </c>
      <c r="R20" s="63">
        <v>103</v>
      </c>
      <c r="S20" s="63">
        <v>2</v>
      </c>
      <c r="T20" s="63">
        <v>0</v>
      </c>
      <c r="U20" s="63"/>
      <c r="V20" s="63">
        <v>0</v>
      </c>
      <c r="W20" s="63">
        <f t="shared" si="8"/>
        <v>0</v>
      </c>
      <c r="Y20" s="63">
        <v>0</v>
      </c>
      <c r="Z20" s="63"/>
      <c r="AA20" s="63"/>
      <c r="AB20" s="63"/>
      <c r="AE20" s="8">
        <v>0</v>
      </c>
      <c r="AM20">
        <v>0</v>
      </c>
      <c r="AQ20">
        <v>0</v>
      </c>
      <c r="AT20" t="str">
        <f t="shared" si="9"/>
        <v>Brookfield</v>
      </c>
      <c r="AU20" t="s">
        <v>280</v>
      </c>
      <c r="AV20" s="8">
        <v>5</v>
      </c>
      <c r="AX20" s="114">
        <v>9</v>
      </c>
      <c r="AY20" s="116">
        <v>1</v>
      </c>
      <c r="AZ20" s="116">
        <v>15</v>
      </c>
      <c r="BA20" s="120">
        <v>8980</v>
      </c>
      <c r="BB20" s="120">
        <f t="shared" si="10"/>
        <v>9001</v>
      </c>
      <c r="BC20" t="s">
        <v>1472</v>
      </c>
      <c r="BD20" s="124">
        <f t="shared" si="11"/>
        <v>908980</v>
      </c>
      <c r="BI20">
        <v>20.399999999999999</v>
      </c>
      <c r="BJ20">
        <v>0.6</v>
      </c>
      <c r="BK20">
        <v>19.8</v>
      </c>
      <c r="BL20" s="2"/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hidden="1" outlineLevel="1">
      <c r="A21" t="s">
        <v>2153</v>
      </c>
      <c r="B21" s="8" t="s">
        <v>1485</v>
      </c>
      <c r="C21" s="1">
        <f t="shared" si="0"/>
        <v>3720</v>
      </c>
      <c r="D21" s="5">
        <f>IF(N21&gt;0, RANK(N21,(N21:P21,Q21:AE21)),0)</f>
        <v>2</v>
      </c>
      <c r="E21" s="5">
        <f>IF(O21&gt;0,RANK(O21,(N21:P21,Q21:AE21)),0)</f>
        <v>1</v>
      </c>
      <c r="F21" s="5">
        <f t="shared" si="1"/>
        <v>5</v>
      </c>
      <c r="G21" s="1">
        <f t="shared" si="2"/>
        <v>590</v>
      </c>
      <c r="H21" s="2">
        <f t="shared" si="3"/>
        <v>0.15860215053763441</v>
      </c>
      <c r="I21" s="6"/>
      <c r="J21" s="2">
        <f t="shared" si="4"/>
        <v>0.39301075268817204</v>
      </c>
      <c r="K21" s="2">
        <f t="shared" si="5"/>
        <v>0.55161290322580647</v>
      </c>
      <c r="L21" s="2">
        <f t="shared" si="6"/>
        <v>1.3440860215053765E-3</v>
      </c>
      <c r="M21" s="2">
        <f t="shared" si="7"/>
        <v>5.4032258064516059E-2</v>
      </c>
      <c r="N21" s="63">
        <v>1462</v>
      </c>
      <c r="O21" s="63">
        <v>2052</v>
      </c>
      <c r="P21" s="63">
        <v>5</v>
      </c>
      <c r="Q21" s="63">
        <v>141</v>
      </c>
      <c r="R21" s="63">
        <v>60</v>
      </c>
      <c r="S21" s="63">
        <v>0</v>
      </c>
      <c r="T21" s="63">
        <v>0</v>
      </c>
      <c r="U21" s="63"/>
      <c r="V21" s="63">
        <v>0</v>
      </c>
      <c r="W21" s="63">
        <f t="shared" si="8"/>
        <v>0</v>
      </c>
      <c r="Y21" s="63">
        <v>0</v>
      </c>
      <c r="Z21" s="63"/>
      <c r="AA21" s="63"/>
      <c r="AB21" s="63"/>
      <c r="AE21" s="8">
        <v>0</v>
      </c>
      <c r="AM21">
        <v>0</v>
      </c>
      <c r="AQ21">
        <v>0</v>
      </c>
      <c r="AT21" t="str">
        <f t="shared" si="9"/>
        <v>Brooklyn</v>
      </c>
      <c r="AU21" t="s">
        <v>2129</v>
      </c>
      <c r="AV21" s="8">
        <v>2</v>
      </c>
      <c r="AX21" s="114">
        <v>9</v>
      </c>
      <c r="AY21" s="116">
        <v>15</v>
      </c>
      <c r="AZ21" s="116">
        <v>10</v>
      </c>
      <c r="BA21" s="120">
        <v>9190</v>
      </c>
      <c r="BB21" s="120">
        <f t="shared" si="10"/>
        <v>9015</v>
      </c>
      <c r="BC21" t="s">
        <v>1472</v>
      </c>
      <c r="BD21" s="124">
        <f t="shared" si="11"/>
        <v>909190</v>
      </c>
      <c r="BI21">
        <v>29.14</v>
      </c>
      <c r="BJ21">
        <v>0.17</v>
      </c>
      <c r="BK21">
        <v>28.97</v>
      </c>
      <c r="BL21" s="2"/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hidden="1" outlineLevel="1">
      <c r="A22" t="s">
        <v>2562</v>
      </c>
      <c r="B22" s="8" t="s">
        <v>1485</v>
      </c>
      <c r="C22" s="1">
        <f t="shared" si="0"/>
        <v>5385</v>
      </c>
      <c r="D22" s="5">
        <f>IF(N22&gt;0, RANK(N22,(N22:P22,Q22:AE22)),0)</f>
        <v>2</v>
      </c>
      <c r="E22" s="5">
        <f>IF(O22&gt;0,RANK(O22,(N22:P22,Q22:AE22)),0)</f>
        <v>1</v>
      </c>
      <c r="F22" s="5">
        <f t="shared" si="1"/>
        <v>5</v>
      </c>
      <c r="G22" s="1">
        <f t="shared" si="2"/>
        <v>421</v>
      </c>
      <c r="H22" s="2">
        <f t="shared" si="3"/>
        <v>7.8180129990714956E-2</v>
      </c>
      <c r="I22" s="6"/>
      <c r="J22" s="2">
        <f t="shared" si="4"/>
        <v>0.43676880222841225</v>
      </c>
      <c r="K22" s="2">
        <f t="shared" si="5"/>
        <v>0.51494893221912719</v>
      </c>
      <c r="L22" s="2">
        <f t="shared" si="6"/>
        <v>5.5710306406685239E-4</v>
      </c>
      <c r="M22" s="2">
        <f t="shared" si="7"/>
        <v>4.7725162488393771E-2</v>
      </c>
      <c r="N22" s="63">
        <v>2352</v>
      </c>
      <c r="O22" s="63">
        <v>2773</v>
      </c>
      <c r="P22" s="63">
        <v>3</v>
      </c>
      <c r="Q22" s="63">
        <v>201</v>
      </c>
      <c r="R22" s="63">
        <v>56</v>
      </c>
      <c r="S22" s="63">
        <v>0</v>
      </c>
      <c r="T22" s="63">
        <v>0</v>
      </c>
      <c r="U22" s="63"/>
      <c r="V22" s="63">
        <v>0</v>
      </c>
      <c r="W22" s="63">
        <f t="shared" si="8"/>
        <v>0</v>
      </c>
      <c r="Y22" s="63">
        <v>0</v>
      </c>
      <c r="Z22" s="63"/>
      <c r="AA22" s="63"/>
      <c r="AB22" s="63"/>
      <c r="AE22" s="8">
        <v>0</v>
      </c>
      <c r="AM22">
        <v>0</v>
      </c>
      <c r="AQ22">
        <v>0</v>
      </c>
      <c r="AT22" t="str">
        <f t="shared" si="9"/>
        <v>Burlington</v>
      </c>
      <c r="AU22" t="s">
        <v>1737</v>
      </c>
      <c r="AV22" s="8">
        <v>5</v>
      </c>
      <c r="AX22" s="114">
        <v>9</v>
      </c>
      <c r="AY22" s="116">
        <v>3</v>
      </c>
      <c r="AZ22" s="116">
        <v>25</v>
      </c>
      <c r="BA22" s="120">
        <v>10100</v>
      </c>
      <c r="BB22" s="120">
        <f t="shared" si="10"/>
        <v>9003</v>
      </c>
      <c r="BC22" t="s">
        <v>1472</v>
      </c>
      <c r="BD22" s="124">
        <f t="shared" si="11"/>
        <v>910100</v>
      </c>
      <c r="BI22">
        <v>30.43</v>
      </c>
      <c r="BJ22">
        <v>0.63</v>
      </c>
      <c r="BK22">
        <v>29.8</v>
      </c>
      <c r="BL22" s="2"/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hidden="1" outlineLevel="1">
      <c r="A23" t="s">
        <v>2564</v>
      </c>
      <c r="B23" s="8" t="s">
        <v>1485</v>
      </c>
      <c r="C23" s="1">
        <f t="shared" si="0"/>
        <v>592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154</v>
      </c>
      <c r="H23" s="2">
        <f t="shared" si="3"/>
        <v>0.26013513513513514</v>
      </c>
      <c r="I23" s="6"/>
      <c r="J23" s="2">
        <f t="shared" si="4"/>
        <v>0.60304054054054057</v>
      </c>
      <c r="K23" s="2">
        <f t="shared" si="5"/>
        <v>0.34290540540540543</v>
      </c>
      <c r="L23" s="2">
        <f t="shared" si="6"/>
        <v>0</v>
      </c>
      <c r="M23" s="2">
        <f t="shared" si="7"/>
        <v>5.4054054054054002E-2</v>
      </c>
      <c r="N23" s="63">
        <v>357</v>
      </c>
      <c r="O23" s="63">
        <v>203</v>
      </c>
      <c r="P23" s="63">
        <v>0</v>
      </c>
      <c r="Q23" s="63">
        <v>23</v>
      </c>
      <c r="R23" s="63">
        <v>9</v>
      </c>
      <c r="S23" s="63">
        <v>0</v>
      </c>
      <c r="T23" s="63">
        <v>0</v>
      </c>
      <c r="U23" s="63"/>
      <c r="V23" s="63">
        <v>0</v>
      </c>
      <c r="W23" s="63">
        <f t="shared" si="8"/>
        <v>0</v>
      </c>
      <c r="Y23" s="63">
        <v>0</v>
      </c>
      <c r="Z23" s="63"/>
      <c r="AA23" s="63"/>
      <c r="AB23" s="63"/>
      <c r="AE23" s="8">
        <v>0</v>
      </c>
      <c r="AM23">
        <v>0</v>
      </c>
      <c r="AQ23">
        <v>0</v>
      </c>
      <c r="AT23" t="str">
        <f t="shared" si="9"/>
        <v>Canaan</v>
      </c>
      <c r="AU23" t="s">
        <v>1276</v>
      </c>
      <c r="AV23" s="8">
        <v>5</v>
      </c>
      <c r="AX23" s="114">
        <v>9</v>
      </c>
      <c r="AY23" s="116">
        <v>5</v>
      </c>
      <c r="AZ23" s="116">
        <v>20</v>
      </c>
      <c r="BA23" s="120">
        <v>10940</v>
      </c>
      <c r="BB23" s="120">
        <f t="shared" si="10"/>
        <v>9005</v>
      </c>
      <c r="BC23" t="s">
        <v>1472</v>
      </c>
      <c r="BD23" s="124">
        <f t="shared" si="11"/>
        <v>910940</v>
      </c>
      <c r="BI23">
        <v>33.28</v>
      </c>
      <c r="BJ23">
        <v>0.33</v>
      </c>
      <c r="BK23">
        <v>32.950000000000003</v>
      </c>
      <c r="BL23" s="2"/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hidden="1" outlineLevel="1">
      <c r="A24" t="s">
        <v>2890</v>
      </c>
      <c r="B24" s="8" t="s">
        <v>1485</v>
      </c>
      <c r="C24" s="1">
        <f t="shared" si="0"/>
        <v>2712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5</v>
      </c>
      <c r="G24" s="1">
        <f t="shared" si="2"/>
        <v>677</v>
      </c>
      <c r="H24" s="2">
        <f t="shared" si="3"/>
        <v>0.24963126843657818</v>
      </c>
      <c r="I24" s="6"/>
      <c r="J24" s="2">
        <f t="shared" si="4"/>
        <v>0.34365781710914456</v>
      </c>
      <c r="K24" s="2">
        <f t="shared" si="5"/>
        <v>0.59328908554572268</v>
      </c>
      <c r="L24" s="2">
        <f t="shared" si="6"/>
        <v>3.687315634218289E-3</v>
      </c>
      <c r="M24" s="2">
        <f t="shared" si="7"/>
        <v>5.9365781710914473E-2</v>
      </c>
      <c r="N24" s="63">
        <v>932</v>
      </c>
      <c r="O24" s="63">
        <v>1609</v>
      </c>
      <c r="P24" s="63">
        <v>10</v>
      </c>
      <c r="Q24" s="63">
        <v>111</v>
      </c>
      <c r="R24" s="63">
        <v>50</v>
      </c>
      <c r="S24" s="63">
        <v>0</v>
      </c>
      <c r="T24" s="63">
        <v>0</v>
      </c>
      <c r="U24" s="63"/>
      <c r="V24" s="63">
        <v>0</v>
      </c>
      <c r="W24" s="63">
        <f t="shared" si="8"/>
        <v>0</v>
      </c>
      <c r="Y24" s="63">
        <v>0</v>
      </c>
      <c r="Z24" s="63"/>
      <c r="AA24" s="63"/>
      <c r="AB24" s="63"/>
      <c r="AE24" s="8">
        <v>0</v>
      </c>
      <c r="AM24">
        <v>0</v>
      </c>
      <c r="AQ24">
        <v>0</v>
      </c>
      <c r="AT24" t="str">
        <f t="shared" si="9"/>
        <v>Canterbury</v>
      </c>
      <c r="AU24" t="s">
        <v>2129</v>
      </c>
      <c r="AV24" s="8">
        <v>2</v>
      </c>
      <c r="AX24" s="114">
        <v>9</v>
      </c>
      <c r="AY24" s="116">
        <v>15</v>
      </c>
      <c r="AZ24" s="116">
        <v>15</v>
      </c>
      <c r="BA24" s="120">
        <v>12130</v>
      </c>
      <c r="BB24" s="120">
        <f t="shared" si="10"/>
        <v>9015</v>
      </c>
      <c r="BC24" t="s">
        <v>1472</v>
      </c>
      <c r="BD24" s="124">
        <f t="shared" si="11"/>
        <v>912130</v>
      </c>
      <c r="BI24">
        <v>40.15</v>
      </c>
      <c r="BJ24">
        <v>0.25</v>
      </c>
      <c r="BK24">
        <v>39.9</v>
      </c>
      <c r="BL24" s="2"/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hidden="1" outlineLevel="1">
      <c r="A25" t="s">
        <v>2913</v>
      </c>
      <c r="B25" s="8" t="s">
        <v>1485</v>
      </c>
      <c r="C25" s="1">
        <f t="shared" si="0"/>
        <v>6002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5</v>
      </c>
      <c r="G25" s="1">
        <f t="shared" si="2"/>
        <v>499</v>
      </c>
      <c r="H25" s="2">
        <f t="shared" si="3"/>
        <v>8.313895368210597E-2</v>
      </c>
      <c r="I25" s="6"/>
      <c r="J25" s="2">
        <f t="shared" si="4"/>
        <v>0.51649450183272239</v>
      </c>
      <c r="K25" s="2">
        <f t="shared" si="5"/>
        <v>0.43335554815061644</v>
      </c>
      <c r="L25" s="2">
        <f t="shared" si="6"/>
        <v>1.6661112962345886E-3</v>
      </c>
      <c r="M25" s="2">
        <f t="shared" si="7"/>
        <v>4.8483838720426581E-2</v>
      </c>
      <c r="N25" s="63">
        <v>3100</v>
      </c>
      <c r="O25" s="63">
        <v>2601</v>
      </c>
      <c r="P25" s="63">
        <v>10</v>
      </c>
      <c r="Q25" s="63">
        <v>187</v>
      </c>
      <c r="R25" s="63">
        <v>100</v>
      </c>
      <c r="S25" s="63">
        <v>2</v>
      </c>
      <c r="T25" s="63">
        <v>0</v>
      </c>
      <c r="U25" s="63"/>
      <c r="V25" s="63">
        <v>1</v>
      </c>
      <c r="W25" s="63">
        <f t="shared" si="8"/>
        <v>1</v>
      </c>
      <c r="Y25" s="63">
        <v>0</v>
      </c>
      <c r="Z25" s="63"/>
      <c r="AA25" s="63"/>
      <c r="AB25" s="63"/>
      <c r="AE25" s="8">
        <v>0</v>
      </c>
      <c r="AM25">
        <v>0</v>
      </c>
      <c r="AQ25">
        <v>0</v>
      </c>
      <c r="AT25" t="str">
        <f t="shared" si="9"/>
        <v>Canton</v>
      </c>
      <c r="AU25" t="s">
        <v>1737</v>
      </c>
      <c r="AV25" s="8">
        <v>5</v>
      </c>
      <c r="AX25" s="114">
        <v>9</v>
      </c>
      <c r="AY25" s="116">
        <v>3</v>
      </c>
      <c r="AZ25" s="116">
        <v>30</v>
      </c>
      <c r="BA25" s="120">
        <v>12270</v>
      </c>
      <c r="BB25" s="120">
        <f t="shared" si="10"/>
        <v>9003</v>
      </c>
      <c r="BC25" t="s">
        <v>1472</v>
      </c>
      <c r="BD25" s="124">
        <f t="shared" si="11"/>
        <v>912270</v>
      </c>
      <c r="BI25">
        <v>25.04</v>
      </c>
      <c r="BJ25">
        <v>0.47</v>
      </c>
      <c r="BK25">
        <v>24.57</v>
      </c>
      <c r="BL25" s="2"/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hidden="1" outlineLevel="1">
      <c r="A26" t="s">
        <v>2154</v>
      </c>
      <c r="B26" s="8" t="s">
        <v>1485</v>
      </c>
      <c r="C26" s="1">
        <f t="shared" si="0"/>
        <v>1151</v>
      </c>
      <c r="D26" s="5">
        <f>IF(N26&gt;0, RANK(N26,(N26:P26,Q26:AE26)),0)</f>
        <v>2</v>
      </c>
      <c r="E26" s="5">
        <f>IF(O26&gt;0,RANK(O26,(N26:P26,Q26:AE26)),0)</f>
        <v>1</v>
      </c>
      <c r="F26" s="5">
        <f t="shared" si="1"/>
        <v>5</v>
      </c>
      <c r="G26" s="1">
        <f t="shared" si="2"/>
        <v>190</v>
      </c>
      <c r="H26" s="2">
        <f t="shared" si="3"/>
        <v>0.16507384882710685</v>
      </c>
      <c r="I26" s="6"/>
      <c r="J26" s="2">
        <f t="shared" si="4"/>
        <v>0.37706342311033886</v>
      </c>
      <c r="K26" s="2">
        <f t="shared" si="5"/>
        <v>0.54213727193744565</v>
      </c>
      <c r="L26" s="2">
        <f t="shared" si="6"/>
        <v>3.4752389226759338E-3</v>
      </c>
      <c r="M26" s="2">
        <f t="shared" si="7"/>
        <v>7.7324066029539507E-2</v>
      </c>
      <c r="N26" s="63">
        <v>434</v>
      </c>
      <c r="O26" s="63">
        <v>624</v>
      </c>
      <c r="P26" s="63">
        <v>4</v>
      </c>
      <c r="Q26" s="63">
        <v>55</v>
      </c>
      <c r="R26" s="63">
        <v>34</v>
      </c>
      <c r="S26" s="63">
        <v>0</v>
      </c>
      <c r="T26" s="63">
        <v>0</v>
      </c>
      <c r="U26" s="63"/>
      <c r="V26" s="63">
        <v>0</v>
      </c>
      <c r="W26" s="63">
        <f t="shared" si="8"/>
        <v>0</v>
      </c>
      <c r="Y26" s="63">
        <v>0</v>
      </c>
      <c r="Z26" s="63"/>
      <c r="AA26" s="63"/>
      <c r="AB26" s="63"/>
      <c r="AE26" s="8">
        <v>0</v>
      </c>
      <c r="AM26">
        <v>0</v>
      </c>
      <c r="AQ26">
        <v>0</v>
      </c>
      <c r="AT26" t="str">
        <f t="shared" si="9"/>
        <v>Chaplin</v>
      </c>
      <c r="AU26" t="s">
        <v>2129</v>
      </c>
      <c r="AV26" s="8">
        <v>2</v>
      </c>
      <c r="AX26" s="114">
        <v>9</v>
      </c>
      <c r="AY26" s="116">
        <v>15</v>
      </c>
      <c r="AZ26" s="116">
        <v>20</v>
      </c>
      <c r="BA26" s="120">
        <v>13810</v>
      </c>
      <c r="BB26" s="120">
        <f t="shared" si="10"/>
        <v>9015</v>
      </c>
      <c r="BC26" t="s">
        <v>1472</v>
      </c>
      <c r="BD26" s="124">
        <f t="shared" si="11"/>
        <v>913810</v>
      </c>
      <c r="BI26">
        <v>19.559999999999999</v>
      </c>
      <c r="BJ26">
        <v>0.13</v>
      </c>
      <c r="BK26">
        <v>19.43</v>
      </c>
      <c r="BL26" s="2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hidden="1" outlineLevel="1">
      <c r="A27" t="s">
        <v>1463</v>
      </c>
      <c r="B27" s="8" t="s">
        <v>1485</v>
      </c>
      <c r="C27" s="1">
        <f t="shared" si="0"/>
        <v>15421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5</v>
      </c>
      <c r="G27" s="1">
        <f t="shared" si="2"/>
        <v>467</v>
      </c>
      <c r="H27" s="2">
        <f t="shared" si="3"/>
        <v>3.0283379806757018E-2</v>
      </c>
      <c r="I27" s="6"/>
      <c r="J27" s="2">
        <f t="shared" si="4"/>
        <v>0.49101874067829582</v>
      </c>
      <c r="K27" s="2">
        <f t="shared" si="5"/>
        <v>0.46073536087153882</v>
      </c>
      <c r="L27" s="2">
        <f t="shared" si="6"/>
        <v>1.1023928409311977E-3</v>
      </c>
      <c r="M27" s="2">
        <f t="shared" si="7"/>
        <v>4.7143505609234214E-2</v>
      </c>
      <c r="N27" s="63">
        <v>7572</v>
      </c>
      <c r="O27" s="63">
        <v>7105</v>
      </c>
      <c r="P27" s="63">
        <v>17</v>
      </c>
      <c r="Q27" s="63">
        <v>538</v>
      </c>
      <c r="R27" s="63">
        <v>189</v>
      </c>
      <c r="S27" s="63">
        <v>0</v>
      </c>
      <c r="T27" s="63">
        <v>0</v>
      </c>
      <c r="U27" s="63"/>
      <c r="V27" s="63">
        <v>0</v>
      </c>
      <c r="W27" s="63">
        <f t="shared" si="8"/>
        <v>0</v>
      </c>
      <c r="Y27" s="63">
        <v>0</v>
      </c>
      <c r="Z27" s="63"/>
      <c r="AA27" s="63"/>
      <c r="AB27" s="63"/>
      <c r="AE27" s="8">
        <v>0</v>
      </c>
      <c r="AM27">
        <v>0</v>
      </c>
      <c r="AQ27">
        <v>0</v>
      </c>
      <c r="AT27" t="str">
        <f t="shared" si="9"/>
        <v>Cheshire</v>
      </c>
      <c r="AU27" t="s">
        <v>2797</v>
      </c>
      <c r="AV27" s="8">
        <v>5</v>
      </c>
      <c r="AX27" s="114">
        <v>9</v>
      </c>
      <c r="AY27" s="116">
        <v>9</v>
      </c>
      <c r="AZ27" s="116">
        <v>25</v>
      </c>
      <c r="BA27" s="120">
        <v>14160</v>
      </c>
      <c r="BB27" s="120">
        <f t="shared" si="10"/>
        <v>9009</v>
      </c>
      <c r="BC27" t="s">
        <v>1472</v>
      </c>
      <c r="BD27" s="124">
        <f t="shared" si="11"/>
        <v>914160</v>
      </c>
      <c r="BI27">
        <v>33.409999999999997</v>
      </c>
      <c r="BJ27">
        <v>0.5</v>
      </c>
      <c r="BK27">
        <v>32.909999999999997</v>
      </c>
      <c r="BL27" s="2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hidden="1" outlineLevel="1">
      <c r="A28" t="s">
        <v>357</v>
      </c>
      <c r="B28" s="8" t="s">
        <v>1485</v>
      </c>
      <c r="C28" s="1">
        <f t="shared" si="0"/>
        <v>2273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5</v>
      </c>
      <c r="G28" s="1">
        <f t="shared" si="2"/>
        <v>584</v>
      </c>
      <c r="H28" s="2">
        <f t="shared" si="3"/>
        <v>0.25692916849978004</v>
      </c>
      <c r="I28" s="6"/>
      <c r="J28" s="2">
        <f t="shared" si="4"/>
        <v>0.60052793664760229</v>
      </c>
      <c r="K28" s="2">
        <f t="shared" si="5"/>
        <v>0.34359876814782225</v>
      </c>
      <c r="L28" s="2">
        <f t="shared" si="6"/>
        <v>1.3198416190057193E-3</v>
      </c>
      <c r="M28" s="2">
        <f t="shared" si="7"/>
        <v>5.455345358556974E-2</v>
      </c>
      <c r="N28" s="63">
        <v>1365</v>
      </c>
      <c r="O28" s="63">
        <v>781</v>
      </c>
      <c r="P28" s="63">
        <v>3</v>
      </c>
      <c r="Q28" s="63">
        <v>82</v>
      </c>
      <c r="R28" s="63">
        <v>41</v>
      </c>
      <c r="S28" s="63">
        <v>0</v>
      </c>
      <c r="T28" s="63">
        <v>1</v>
      </c>
      <c r="U28" s="63"/>
      <c r="V28" s="63">
        <v>0</v>
      </c>
      <c r="W28" s="63">
        <f t="shared" si="8"/>
        <v>0</v>
      </c>
      <c r="Y28" s="63">
        <v>0</v>
      </c>
      <c r="Z28" s="63"/>
      <c r="AA28" s="63"/>
      <c r="AB28" s="63"/>
      <c r="AE28" s="8">
        <v>0</v>
      </c>
      <c r="AM28">
        <v>0</v>
      </c>
      <c r="AQ28">
        <v>0</v>
      </c>
      <c r="AT28" t="str">
        <f t="shared" si="9"/>
        <v>Chester</v>
      </c>
      <c r="AU28" t="s">
        <v>503</v>
      </c>
      <c r="AV28" s="8">
        <v>2</v>
      </c>
      <c r="AX28" s="114">
        <v>9</v>
      </c>
      <c r="AY28" s="116">
        <v>7</v>
      </c>
      <c r="AZ28" s="116">
        <v>5</v>
      </c>
      <c r="BA28" s="120">
        <v>14300</v>
      </c>
      <c r="BB28" s="120">
        <f t="shared" si="10"/>
        <v>9007</v>
      </c>
      <c r="BC28" t="s">
        <v>1472</v>
      </c>
      <c r="BD28" s="124">
        <f t="shared" si="11"/>
        <v>914300</v>
      </c>
      <c r="BI28">
        <v>16.829999999999998</v>
      </c>
      <c r="BJ28">
        <v>0.8</v>
      </c>
      <c r="BK28">
        <v>16.03</v>
      </c>
      <c r="BL28" s="2"/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hidden="1" outlineLevel="1">
      <c r="A29" t="s">
        <v>1285</v>
      </c>
      <c r="B29" s="8" t="s">
        <v>1485</v>
      </c>
      <c r="C29" s="1">
        <f t="shared" si="0"/>
        <v>7191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5</v>
      </c>
      <c r="G29" s="1">
        <f t="shared" si="2"/>
        <v>78</v>
      </c>
      <c r="H29" s="2">
        <f t="shared" si="3"/>
        <v>1.0846891948268669E-2</v>
      </c>
      <c r="I29" s="6"/>
      <c r="J29" s="2">
        <f t="shared" si="4"/>
        <v>0.48574607147823667</v>
      </c>
      <c r="K29" s="2">
        <f t="shared" si="5"/>
        <v>0.47489917952996802</v>
      </c>
      <c r="L29" s="2">
        <f t="shared" si="6"/>
        <v>1.2515644555694619E-3</v>
      </c>
      <c r="M29" s="2">
        <f t="shared" si="7"/>
        <v>3.8103184536225847E-2</v>
      </c>
      <c r="N29" s="63">
        <v>3493</v>
      </c>
      <c r="O29" s="63">
        <v>3415</v>
      </c>
      <c r="P29" s="63">
        <v>9</v>
      </c>
      <c r="Q29" s="63">
        <v>176</v>
      </c>
      <c r="R29" s="63">
        <v>98</v>
      </c>
      <c r="S29" s="63">
        <v>0</v>
      </c>
      <c r="T29" s="63">
        <v>0</v>
      </c>
      <c r="U29" s="63"/>
      <c r="V29" s="63">
        <v>0</v>
      </c>
      <c r="W29" s="63">
        <f t="shared" si="8"/>
        <v>0</v>
      </c>
      <c r="Y29" s="63">
        <v>0</v>
      </c>
      <c r="Z29" s="63"/>
      <c r="AA29" s="63"/>
      <c r="AB29" s="63"/>
      <c r="AE29" s="8">
        <v>0</v>
      </c>
      <c r="AM29">
        <v>0</v>
      </c>
      <c r="AQ29">
        <v>0</v>
      </c>
      <c r="AT29" t="str">
        <f t="shared" si="9"/>
        <v>Clinton</v>
      </c>
      <c r="AU29" t="s">
        <v>503</v>
      </c>
      <c r="AV29" s="8">
        <v>2</v>
      </c>
      <c r="AX29" s="114">
        <v>9</v>
      </c>
      <c r="AY29" s="116">
        <v>7</v>
      </c>
      <c r="AZ29" s="116">
        <v>10</v>
      </c>
      <c r="BA29" s="120">
        <v>15350</v>
      </c>
      <c r="BB29" s="120">
        <f t="shared" si="10"/>
        <v>9007</v>
      </c>
      <c r="BC29" t="s">
        <v>1472</v>
      </c>
      <c r="BD29" s="124">
        <f t="shared" si="11"/>
        <v>915350</v>
      </c>
      <c r="BI29">
        <v>19.04</v>
      </c>
      <c r="BJ29">
        <v>2.76</v>
      </c>
      <c r="BK29">
        <v>16.28</v>
      </c>
      <c r="BL29" s="2"/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hidden="1" outlineLevel="1">
      <c r="A30" t="s">
        <v>2544</v>
      </c>
      <c r="B30" s="8" t="s">
        <v>1485</v>
      </c>
      <c r="C30" s="1">
        <f t="shared" si="0"/>
        <v>8591</v>
      </c>
      <c r="D30" s="5">
        <f>IF(N30&gt;0, RANK(N30,(N30:P30,Q30:AE30)),0)</f>
        <v>2</v>
      </c>
      <c r="E30" s="5">
        <f>IF(O30&gt;0,RANK(O30,(N30:P30,Q30:AE30)),0)</f>
        <v>1</v>
      </c>
      <c r="F30" s="5">
        <f t="shared" si="1"/>
        <v>5</v>
      </c>
      <c r="G30" s="1">
        <f t="shared" si="2"/>
        <v>210</v>
      </c>
      <c r="H30" s="2">
        <f t="shared" si="3"/>
        <v>2.4444185775811898E-2</v>
      </c>
      <c r="I30" s="6"/>
      <c r="J30" s="2">
        <f t="shared" si="4"/>
        <v>0.45373064835292748</v>
      </c>
      <c r="K30" s="2">
        <f t="shared" si="5"/>
        <v>0.4781748341287394</v>
      </c>
      <c r="L30" s="2">
        <f t="shared" si="6"/>
        <v>3.9576300779885923E-3</v>
      </c>
      <c r="M30" s="2">
        <f t="shared" si="7"/>
        <v>6.4136887440344473E-2</v>
      </c>
      <c r="N30" s="63">
        <v>3898</v>
      </c>
      <c r="O30" s="63">
        <v>4108</v>
      </c>
      <c r="P30" s="63">
        <v>34</v>
      </c>
      <c r="Q30" s="63">
        <v>407</v>
      </c>
      <c r="R30" s="63">
        <v>143</v>
      </c>
      <c r="S30" s="63">
        <v>1</v>
      </c>
      <c r="T30" s="63">
        <v>0</v>
      </c>
      <c r="U30" s="63"/>
      <c r="V30" s="63">
        <v>0</v>
      </c>
      <c r="W30" s="63">
        <f t="shared" si="8"/>
        <v>0</v>
      </c>
      <c r="Y30" s="63">
        <v>0</v>
      </c>
      <c r="Z30" s="63"/>
      <c r="AA30" s="63"/>
      <c r="AB30" s="63"/>
      <c r="AE30" s="8">
        <v>0</v>
      </c>
      <c r="AM30">
        <v>0</v>
      </c>
      <c r="AQ30">
        <v>0</v>
      </c>
      <c r="AT30" t="str">
        <f t="shared" si="9"/>
        <v>Colchester</v>
      </c>
      <c r="AU30" t="s">
        <v>130</v>
      </c>
      <c r="AV30" s="8">
        <v>2</v>
      </c>
      <c r="AX30" s="114">
        <v>9</v>
      </c>
      <c r="AY30" s="116">
        <v>11</v>
      </c>
      <c r="AZ30" s="116">
        <v>10</v>
      </c>
      <c r="BA30" s="120">
        <v>15910</v>
      </c>
      <c r="BB30" s="120">
        <f t="shared" si="10"/>
        <v>9011</v>
      </c>
      <c r="BC30" t="s">
        <v>1472</v>
      </c>
      <c r="BD30" s="124">
        <f t="shared" si="11"/>
        <v>915910</v>
      </c>
      <c r="BI30">
        <v>49.8</v>
      </c>
      <c r="BJ30">
        <v>0.74</v>
      </c>
      <c r="BK30">
        <v>49.06</v>
      </c>
      <c r="BL30" s="2"/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hidden="1" outlineLevel="1">
      <c r="A31" t="s">
        <v>396</v>
      </c>
      <c r="B31" s="8" t="s">
        <v>1485</v>
      </c>
      <c r="C31" s="1">
        <f t="shared" si="0"/>
        <v>899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204</v>
      </c>
      <c r="H31" s="2">
        <f t="shared" si="3"/>
        <v>0.22691879866518352</v>
      </c>
      <c r="I31" s="6"/>
      <c r="J31" s="2">
        <f t="shared" si="4"/>
        <v>0.3604004449388209</v>
      </c>
      <c r="K31" s="2">
        <f t="shared" si="5"/>
        <v>0.58731924360400445</v>
      </c>
      <c r="L31" s="2">
        <f t="shared" si="6"/>
        <v>0</v>
      </c>
      <c r="M31" s="2">
        <f t="shared" si="7"/>
        <v>5.22803114571746E-2</v>
      </c>
      <c r="N31" s="63">
        <v>324</v>
      </c>
      <c r="O31" s="63">
        <v>528</v>
      </c>
      <c r="P31" s="63">
        <v>0</v>
      </c>
      <c r="Q31" s="63">
        <v>28</v>
      </c>
      <c r="R31" s="63">
        <v>18</v>
      </c>
      <c r="S31" s="63">
        <v>0</v>
      </c>
      <c r="T31" s="63">
        <v>0</v>
      </c>
      <c r="U31" s="63"/>
      <c r="V31" s="63">
        <v>0</v>
      </c>
      <c r="W31" s="63">
        <f t="shared" si="8"/>
        <v>1</v>
      </c>
      <c r="Y31" s="63">
        <v>0</v>
      </c>
      <c r="Z31" s="63"/>
      <c r="AA31" s="63"/>
      <c r="AB31" s="63"/>
      <c r="AE31" s="8">
        <v>0</v>
      </c>
      <c r="AM31">
        <v>0</v>
      </c>
      <c r="AQ31">
        <v>0</v>
      </c>
      <c r="AT31" t="str">
        <f t="shared" si="9"/>
        <v>Colebrook</v>
      </c>
      <c r="AU31" t="s">
        <v>1276</v>
      </c>
      <c r="AV31" s="8">
        <v>1</v>
      </c>
      <c r="AX31" s="114">
        <v>9</v>
      </c>
      <c r="AY31" s="116">
        <v>5</v>
      </c>
      <c r="AZ31" s="116">
        <v>25</v>
      </c>
      <c r="BA31" s="120">
        <v>16050</v>
      </c>
      <c r="BB31" s="120">
        <f t="shared" si="10"/>
        <v>9005</v>
      </c>
      <c r="BC31" t="s">
        <v>1472</v>
      </c>
      <c r="BD31" s="124">
        <f t="shared" si="11"/>
        <v>916050</v>
      </c>
      <c r="BI31">
        <v>32.92</v>
      </c>
      <c r="BJ31">
        <v>1.45</v>
      </c>
      <c r="BK31">
        <v>31.47</v>
      </c>
      <c r="BL31" s="2"/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</row>
    <row r="32" spans="1:82" hidden="1" outlineLevel="1">
      <c r="A32" t="s">
        <v>1496</v>
      </c>
      <c r="B32" s="8" t="s">
        <v>1485</v>
      </c>
      <c r="C32" s="1">
        <f t="shared" si="0"/>
        <v>3284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5</v>
      </c>
      <c r="G32" s="1">
        <f t="shared" si="2"/>
        <v>58</v>
      </c>
      <c r="H32" s="2">
        <f t="shared" si="3"/>
        <v>1.7661388550548111E-2</v>
      </c>
      <c r="I32" s="6"/>
      <c r="J32" s="2">
        <f t="shared" si="4"/>
        <v>0.47442143727161995</v>
      </c>
      <c r="K32" s="2">
        <f t="shared" si="5"/>
        <v>0.45676004872107184</v>
      </c>
      <c r="L32" s="2">
        <f t="shared" si="6"/>
        <v>1.8270401948842874E-3</v>
      </c>
      <c r="M32" s="2">
        <f t="shared" si="7"/>
        <v>6.699147381242386E-2</v>
      </c>
      <c r="N32" s="63">
        <v>1558</v>
      </c>
      <c r="O32" s="63">
        <v>1500</v>
      </c>
      <c r="P32" s="63">
        <v>6</v>
      </c>
      <c r="Q32" s="63">
        <v>151</v>
      </c>
      <c r="R32" s="63">
        <v>64</v>
      </c>
      <c r="S32" s="63">
        <v>5</v>
      </c>
      <c r="T32" s="63">
        <v>0</v>
      </c>
      <c r="U32" s="63"/>
      <c r="V32" s="63">
        <v>0</v>
      </c>
      <c r="W32" s="63">
        <f t="shared" si="8"/>
        <v>0</v>
      </c>
      <c r="Y32" s="63">
        <v>0</v>
      </c>
      <c r="Z32" s="63"/>
      <c r="AA32" s="63"/>
      <c r="AB32" s="63"/>
      <c r="AE32" s="8">
        <v>0</v>
      </c>
      <c r="AM32">
        <v>0</v>
      </c>
      <c r="AQ32">
        <v>0</v>
      </c>
      <c r="AT32" t="str">
        <f t="shared" si="9"/>
        <v>Columbia</v>
      </c>
      <c r="AU32" t="s">
        <v>67</v>
      </c>
      <c r="AV32" s="8">
        <v>2</v>
      </c>
      <c r="AX32" s="114">
        <v>9</v>
      </c>
      <c r="AY32" s="116">
        <v>13</v>
      </c>
      <c r="AZ32" s="116">
        <v>15</v>
      </c>
      <c r="BA32" s="120">
        <v>16400</v>
      </c>
      <c r="BB32" s="120">
        <f t="shared" si="10"/>
        <v>9013</v>
      </c>
      <c r="BC32" t="s">
        <v>1472</v>
      </c>
      <c r="BD32" s="124">
        <f t="shared" si="11"/>
        <v>916400</v>
      </c>
      <c r="BI32">
        <v>21.97</v>
      </c>
      <c r="BJ32">
        <v>0.61</v>
      </c>
      <c r="BK32">
        <v>21.36</v>
      </c>
      <c r="BL32" s="2"/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hidden="1" outlineLevel="1">
      <c r="A33" t="s">
        <v>3124</v>
      </c>
      <c r="B33" s="8" t="s">
        <v>1485</v>
      </c>
      <c r="C33" s="1">
        <f t="shared" si="0"/>
        <v>923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374</v>
      </c>
      <c r="H33" s="2">
        <f t="shared" si="3"/>
        <v>0.40520043336944744</v>
      </c>
      <c r="I33" s="6"/>
      <c r="J33" s="2">
        <f t="shared" si="4"/>
        <v>0.67388949079089921</v>
      </c>
      <c r="K33" s="2">
        <f t="shared" si="5"/>
        <v>0.26868905742145177</v>
      </c>
      <c r="L33" s="2">
        <f t="shared" si="6"/>
        <v>0</v>
      </c>
      <c r="M33" s="2">
        <f t="shared" si="7"/>
        <v>5.7421451787649014E-2</v>
      </c>
      <c r="N33" s="63">
        <v>622</v>
      </c>
      <c r="O33" s="63">
        <v>248</v>
      </c>
      <c r="P33" s="63">
        <v>0</v>
      </c>
      <c r="Q33" s="63">
        <v>27</v>
      </c>
      <c r="R33" s="63">
        <v>26</v>
      </c>
      <c r="S33" s="63">
        <v>0</v>
      </c>
      <c r="T33" s="63">
        <v>0</v>
      </c>
      <c r="U33" s="63"/>
      <c r="V33" s="63">
        <v>0</v>
      </c>
      <c r="W33" s="63">
        <f t="shared" si="8"/>
        <v>0</v>
      </c>
      <c r="Y33" s="63">
        <v>0</v>
      </c>
      <c r="Z33" s="63"/>
      <c r="AA33" s="63"/>
      <c r="AB33" s="63"/>
      <c r="AE33" s="8">
        <v>0</v>
      </c>
      <c r="AM33">
        <v>0</v>
      </c>
      <c r="AQ33">
        <v>0</v>
      </c>
      <c r="AT33" t="str">
        <f t="shared" si="9"/>
        <v>Cornwall</v>
      </c>
      <c r="AU33" t="s">
        <v>1276</v>
      </c>
      <c r="AV33" s="8">
        <v>5</v>
      </c>
      <c r="AX33" s="114">
        <v>9</v>
      </c>
      <c r="AY33" s="116">
        <v>5</v>
      </c>
      <c r="AZ33" s="116">
        <v>30</v>
      </c>
      <c r="BA33" s="120">
        <v>17240</v>
      </c>
      <c r="BB33" s="120">
        <f t="shared" si="10"/>
        <v>9005</v>
      </c>
      <c r="BC33" t="s">
        <v>1472</v>
      </c>
      <c r="BD33" s="124">
        <f t="shared" si="11"/>
        <v>917240</v>
      </c>
      <c r="BI33">
        <v>46.27</v>
      </c>
      <c r="BJ33">
        <v>0.25</v>
      </c>
      <c r="BK33">
        <v>46.01</v>
      </c>
      <c r="BL33" s="2"/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hidden="1" outlineLevel="1">
      <c r="A34" t="s">
        <v>3192</v>
      </c>
      <c r="B34" s="8" t="s">
        <v>1485</v>
      </c>
      <c r="C34" s="1">
        <f t="shared" si="0"/>
        <v>6783</v>
      </c>
      <c r="D34" s="5">
        <f>IF(N34&gt;0, RANK(N34,(N34:P34,Q34:AE34)),0)</f>
        <v>2</v>
      </c>
      <c r="E34" s="5">
        <f>IF(O34&gt;0,RANK(O34,(N34:P34,Q34:AE34)),0)</f>
        <v>1</v>
      </c>
      <c r="F34" s="5">
        <f t="shared" si="1"/>
        <v>5</v>
      </c>
      <c r="G34" s="1">
        <f t="shared" si="2"/>
        <v>179</v>
      </c>
      <c r="H34" s="2">
        <f t="shared" si="3"/>
        <v>2.6389503169688928E-2</v>
      </c>
      <c r="I34" s="6"/>
      <c r="J34" s="2">
        <f t="shared" si="4"/>
        <v>0.45451864956508919</v>
      </c>
      <c r="K34" s="2">
        <f t="shared" si="5"/>
        <v>0.4809081527347781</v>
      </c>
      <c r="L34" s="2">
        <f t="shared" si="6"/>
        <v>1.7691287041132243E-3</v>
      </c>
      <c r="M34" s="2">
        <f t="shared" si="7"/>
        <v>6.2804068996019424E-2</v>
      </c>
      <c r="N34" s="63">
        <v>3083</v>
      </c>
      <c r="O34" s="63">
        <v>3262</v>
      </c>
      <c r="P34" s="63">
        <v>12</v>
      </c>
      <c r="Q34" s="63">
        <v>314</v>
      </c>
      <c r="R34" s="63">
        <v>112</v>
      </c>
      <c r="S34" s="63">
        <v>0</v>
      </c>
      <c r="T34" s="63">
        <v>0</v>
      </c>
      <c r="U34" s="63"/>
      <c r="V34" s="63">
        <v>0</v>
      </c>
      <c r="W34" s="63">
        <f t="shared" si="8"/>
        <v>0</v>
      </c>
      <c r="Y34" s="63">
        <v>0</v>
      </c>
      <c r="Z34" s="63"/>
      <c r="AA34" s="63"/>
      <c r="AB34" s="63"/>
      <c r="AE34" s="8">
        <v>0</v>
      </c>
      <c r="AM34">
        <v>0</v>
      </c>
      <c r="AQ34">
        <v>0</v>
      </c>
      <c r="AT34" t="str">
        <f t="shared" si="9"/>
        <v>Coventry</v>
      </c>
      <c r="AU34" t="s">
        <v>67</v>
      </c>
      <c r="AV34" s="8">
        <v>2</v>
      </c>
      <c r="AX34" s="114">
        <v>9</v>
      </c>
      <c r="AY34" s="116">
        <v>13</v>
      </c>
      <c r="AZ34" s="116">
        <v>20</v>
      </c>
      <c r="BA34" s="120">
        <v>17800</v>
      </c>
      <c r="BB34" s="120">
        <f t="shared" si="10"/>
        <v>9013</v>
      </c>
      <c r="BC34" t="s">
        <v>1472</v>
      </c>
      <c r="BD34" s="124">
        <f t="shared" si="11"/>
        <v>917800</v>
      </c>
      <c r="BI34">
        <v>38.36</v>
      </c>
      <c r="BJ34">
        <v>0.64</v>
      </c>
      <c r="BK34">
        <v>37.72</v>
      </c>
      <c r="BL34" s="2"/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hidden="1" outlineLevel="1">
      <c r="A35" t="s">
        <v>2897</v>
      </c>
      <c r="B35" s="8" t="s">
        <v>1485</v>
      </c>
      <c r="C35" s="1">
        <f t="shared" ref="C35:C66" si="12">SUM(N35:AR35)</f>
        <v>7714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3">IF(P35&gt;0,RANK(P35,(N35:AE35)),0)</f>
        <v>5</v>
      </c>
      <c r="G35" s="1">
        <f t="shared" ref="G35:G66" si="14">IF(C35&gt;0,MAX(N35:P35)-LARGE(N35:P35,2),0)</f>
        <v>322</v>
      </c>
      <c r="H35" s="2">
        <f t="shared" ref="H35:H66" si="15">IF(C35&gt;0,G35/C35,0)</f>
        <v>4.1742286751361164E-2</v>
      </c>
      <c r="I35" s="6"/>
      <c r="J35" s="2">
        <f t="shared" ref="J35:J66" si="16">IF(C35=0,"-",N35/C35)</f>
        <v>0.49364791288566245</v>
      </c>
      <c r="K35" s="2">
        <f t="shared" ref="K35:K66" si="17">IF(C35=0,"-",O35/C35)</f>
        <v>0.4519056261343013</v>
      </c>
      <c r="L35" s="2">
        <f t="shared" ref="L35:L66" si="18">IF(C35=0,"-",P35/C35)</f>
        <v>2.2037853253824217E-3</v>
      </c>
      <c r="M35" s="2">
        <f t="shared" ref="M35:M66" si="19">IF(C35=0,"-",(1-J35-K35-L35))</f>
        <v>5.2242675654653827E-2</v>
      </c>
      <c r="N35" s="63">
        <v>3808</v>
      </c>
      <c r="O35" s="63">
        <v>3486</v>
      </c>
      <c r="P35" s="63">
        <v>17</v>
      </c>
      <c r="Q35" s="63">
        <v>289</v>
      </c>
      <c r="R35" s="63">
        <v>111</v>
      </c>
      <c r="S35" s="63">
        <v>1</v>
      </c>
      <c r="T35" s="63">
        <v>0</v>
      </c>
      <c r="U35" s="63"/>
      <c r="V35" s="63">
        <v>0</v>
      </c>
      <c r="W35" s="63">
        <f t="shared" ref="W35:W66" si="20">SUM(BS35:CD35)</f>
        <v>0</v>
      </c>
      <c r="Y35" s="63">
        <v>0</v>
      </c>
      <c r="Z35" s="63"/>
      <c r="AA35" s="63"/>
      <c r="AB35" s="63"/>
      <c r="AE35" s="8">
        <v>2</v>
      </c>
      <c r="AM35">
        <v>0</v>
      </c>
      <c r="AQ35">
        <v>0</v>
      </c>
      <c r="AT35" t="str">
        <f t="shared" ref="AT35:AT66" si="21">A35</f>
        <v>Cromwell</v>
      </c>
      <c r="AU35" t="s">
        <v>503</v>
      </c>
      <c r="AV35" s="8">
        <v>1</v>
      </c>
      <c r="AX35" s="114">
        <v>9</v>
      </c>
      <c r="AY35" s="116">
        <v>7</v>
      </c>
      <c r="AZ35" s="116">
        <v>15</v>
      </c>
      <c r="BA35" s="120">
        <v>18080</v>
      </c>
      <c r="BB35" s="120">
        <f t="shared" ref="BB35:BB66" si="22">AX35*1000+AY35</f>
        <v>9007</v>
      </c>
      <c r="BC35" t="s">
        <v>1472</v>
      </c>
      <c r="BD35" s="124">
        <f t="shared" ref="BD35:BD66" si="23">AX35*100000+BA35</f>
        <v>918080</v>
      </c>
      <c r="BI35">
        <v>12.91</v>
      </c>
      <c r="BJ35">
        <v>0.52</v>
      </c>
      <c r="BK35">
        <v>12.39</v>
      </c>
      <c r="BL35" s="2"/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hidden="1" outlineLevel="1">
      <c r="A36" t="s">
        <v>1618</v>
      </c>
      <c r="B36" s="8" t="s">
        <v>1485</v>
      </c>
      <c r="C36" s="1">
        <f t="shared" si="12"/>
        <v>28849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3"/>
        <v>5</v>
      </c>
      <c r="G36" s="1">
        <f t="shared" si="14"/>
        <v>4458</v>
      </c>
      <c r="H36" s="2">
        <f t="shared" si="15"/>
        <v>0.15452875316302125</v>
      </c>
      <c r="I36" s="6"/>
      <c r="J36" s="2">
        <f t="shared" si="16"/>
        <v>0.55752365766577694</v>
      </c>
      <c r="K36" s="2">
        <f t="shared" si="17"/>
        <v>0.40299490450275571</v>
      </c>
      <c r="L36" s="2">
        <f t="shared" si="18"/>
        <v>2.7730597247738225E-4</v>
      </c>
      <c r="M36" s="2">
        <f t="shared" si="19"/>
        <v>3.9204131858989966E-2</v>
      </c>
      <c r="N36" s="63">
        <v>16084</v>
      </c>
      <c r="O36" s="63">
        <v>11626</v>
      </c>
      <c r="P36" s="63">
        <v>8</v>
      </c>
      <c r="Q36" s="63">
        <v>749</v>
      </c>
      <c r="R36" s="63">
        <v>379</v>
      </c>
      <c r="S36" s="63">
        <v>0</v>
      </c>
      <c r="T36" s="63">
        <v>1</v>
      </c>
      <c r="U36" s="63"/>
      <c r="V36" s="63">
        <v>0</v>
      </c>
      <c r="W36" s="63">
        <f t="shared" si="20"/>
        <v>0</v>
      </c>
      <c r="Y36" s="63">
        <v>2</v>
      </c>
      <c r="Z36" s="63"/>
      <c r="AA36" s="63"/>
      <c r="AB36" s="63"/>
      <c r="AE36" s="8">
        <v>0</v>
      </c>
      <c r="AM36">
        <v>0</v>
      </c>
      <c r="AQ36">
        <v>0</v>
      </c>
      <c r="AT36" t="str">
        <f t="shared" si="21"/>
        <v>Danbury</v>
      </c>
      <c r="AU36" t="s">
        <v>280</v>
      </c>
      <c r="AV36" s="8">
        <v>5</v>
      </c>
      <c r="AX36" s="114">
        <v>9</v>
      </c>
      <c r="AY36" s="116">
        <v>1</v>
      </c>
      <c r="AZ36" s="116">
        <v>20</v>
      </c>
      <c r="BA36" s="120">
        <v>18500</v>
      </c>
      <c r="BB36" s="120">
        <f t="shared" si="22"/>
        <v>9001</v>
      </c>
      <c r="BC36" t="s">
        <v>1472</v>
      </c>
      <c r="BD36" s="124">
        <f t="shared" si="23"/>
        <v>918500</v>
      </c>
      <c r="BI36">
        <v>44.3</v>
      </c>
      <c r="BJ36">
        <v>2.19</v>
      </c>
      <c r="BK36">
        <v>42.11</v>
      </c>
      <c r="BL36" s="2"/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hidden="1" outlineLevel="1">
      <c r="A37" t="s">
        <v>3025</v>
      </c>
      <c r="B37" s="8" t="s">
        <v>1485</v>
      </c>
      <c r="C37" s="1">
        <f t="shared" si="12"/>
        <v>11265</v>
      </c>
      <c r="D37" s="5">
        <f>IF(N37&gt;0, RANK(N37,(N37:P37,Q37:AE37)),0)</f>
        <v>1</v>
      </c>
      <c r="E37" s="5">
        <f>IF(O37&gt;0,RANK(O37,(N37:P37,Q37:AE37)),0)</f>
        <v>2</v>
      </c>
      <c r="F37" s="5">
        <f t="shared" si="13"/>
        <v>5</v>
      </c>
      <c r="G37" s="1">
        <f t="shared" si="14"/>
        <v>1317</v>
      </c>
      <c r="H37" s="2">
        <f t="shared" si="15"/>
        <v>0.11691078561917444</v>
      </c>
      <c r="I37" s="6"/>
      <c r="J37" s="2">
        <f t="shared" si="16"/>
        <v>0.52747447847314688</v>
      </c>
      <c r="K37" s="2">
        <f t="shared" si="17"/>
        <v>0.41056369285397248</v>
      </c>
      <c r="L37" s="2">
        <f t="shared" si="18"/>
        <v>1.7754105636928539E-3</v>
      </c>
      <c r="M37" s="2">
        <f t="shared" si="19"/>
        <v>6.0186418109187782E-2</v>
      </c>
      <c r="N37" s="63">
        <v>5942</v>
      </c>
      <c r="O37" s="63">
        <v>4625</v>
      </c>
      <c r="P37" s="63">
        <v>20</v>
      </c>
      <c r="Q37" s="63">
        <v>586</v>
      </c>
      <c r="R37" s="63">
        <v>80</v>
      </c>
      <c r="S37" s="63">
        <v>0</v>
      </c>
      <c r="T37" s="63">
        <v>0</v>
      </c>
      <c r="U37" s="63"/>
      <c r="V37" s="63">
        <v>0</v>
      </c>
      <c r="W37" s="63">
        <f t="shared" si="20"/>
        <v>12</v>
      </c>
      <c r="Y37" s="63">
        <v>0</v>
      </c>
      <c r="Z37" s="63"/>
      <c r="AA37" s="63"/>
      <c r="AB37" s="63"/>
      <c r="AE37" s="8">
        <v>0</v>
      </c>
      <c r="AM37">
        <v>0</v>
      </c>
      <c r="AQ37">
        <v>0</v>
      </c>
      <c r="AT37" t="str">
        <f t="shared" si="21"/>
        <v>Darien</v>
      </c>
      <c r="AU37" t="s">
        <v>280</v>
      </c>
      <c r="AV37" s="8">
        <v>4</v>
      </c>
      <c r="AX37" s="114">
        <v>9</v>
      </c>
      <c r="AY37" s="116">
        <v>1</v>
      </c>
      <c r="AZ37" s="116">
        <v>25</v>
      </c>
      <c r="BA37" s="120">
        <v>18850</v>
      </c>
      <c r="BB37" s="120">
        <f t="shared" si="22"/>
        <v>9001</v>
      </c>
      <c r="BC37" t="s">
        <v>1472</v>
      </c>
      <c r="BD37" s="124">
        <f t="shared" si="23"/>
        <v>918850</v>
      </c>
      <c r="BI37">
        <v>23.44</v>
      </c>
      <c r="BJ37">
        <v>10.59</v>
      </c>
      <c r="BK37">
        <v>12.86</v>
      </c>
      <c r="BL37" s="2"/>
      <c r="BS37">
        <v>0</v>
      </c>
      <c r="BT37">
        <v>0</v>
      </c>
      <c r="BU37">
        <v>0</v>
      </c>
      <c r="BV37">
        <v>12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hidden="1" outlineLevel="1">
      <c r="A38" t="s">
        <v>2672</v>
      </c>
      <c r="B38" s="8" t="s">
        <v>1485</v>
      </c>
      <c r="C38" s="1">
        <f t="shared" si="12"/>
        <v>2606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3"/>
        <v>5</v>
      </c>
      <c r="G38" s="1">
        <f t="shared" si="14"/>
        <v>335</v>
      </c>
      <c r="H38" s="2">
        <f t="shared" si="15"/>
        <v>0.12854950115118957</v>
      </c>
      <c r="I38" s="6"/>
      <c r="J38" s="2">
        <f t="shared" si="16"/>
        <v>0.54182655410590941</v>
      </c>
      <c r="K38" s="2">
        <f t="shared" si="17"/>
        <v>0.41327705295471989</v>
      </c>
      <c r="L38" s="2">
        <f t="shared" si="18"/>
        <v>7.6745970836531081E-4</v>
      </c>
      <c r="M38" s="2">
        <f t="shared" si="19"/>
        <v>4.4128933231005391E-2</v>
      </c>
      <c r="N38" s="63">
        <v>1412</v>
      </c>
      <c r="O38" s="63">
        <v>1077</v>
      </c>
      <c r="P38" s="63">
        <v>2</v>
      </c>
      <c r="Q38" s="63">
        <v>74</v>
      </c>
      <c r="R38" s="63">
        <v>41</v>
      </c>
      <c r="S38" s="63">
        <v>0</v>
      </c>
      <c r="T38" s="63">
        <v>0</v>
      </c>
      <c r="U38" s="63"/>
      <c r="V38" s="63">
        <v>0</v>
      </c>
      <c r="W38" s="63">
        <f t="shared" si="20"/>
        <v>0</v>
      </c>
      <c r="Y38" s="63">
        <v>0</v>
      </c>
      <c r="Z38" s="63"/>
      <c r="AA38" s="63"/>
      <c r="AB38" s="63"/>
      <c r="AE38" s="8">
        <v>0</v>
      </c>
      <c r="AM38">
        <v>0</v>
      </c>
      <c r="AQ38">
        <v>0</v>
      </c>
      <c r="AT38" t="str">
        <f t="shared" si="21"/>
        <v>Deep River</v>
      </c>
      <c r="AU38" t="s">
        <v>503</v>
      </c>
      <c r="AV38" s="8">
        <v>2</v>
      </c>
      <c r="AX38" s="114">
        <v>9</v>
      </c>
      <c r="AY38" s="116">
        <v>7</v>
      </c>
      <c r="AZ38" s="116">
        <v>20</v>
      </c>
      <c r="BA38" s="120">
        <v>19130</v>
      </c>
      <c r="BB38" s="120">
        <f t="shared" si="22"/>
        <v>9007</v>
      </c>
      <c r="BC38" t="s">
        <v>1472</v>
      </c>
      <c r="BD38" s="124">
        <f t="shared" si="23"/>
        <v>919130</v>
      </c>
      <c r="BI38">
        <v>14.17</v>
      </c>
      <c r="BJ38">
        <v>0.61</v>
      </c>
      <c r="BK38">
        <v>13.55</v>
      </c>
      <c r="BL38" s="2"/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hidden="1" outlineLevel="1">
      <c r="A39" t="s">
        <v>3157</v>
      </c>
      <c r="B39" s="8" t="s">
        <v>1485</v>
      </c>
      <c r="C39" s="1">
        <f t="shared" si="12"/>
        <v>5150</v>
      </c>
      <c r="D39" s="5">
        <f>IF(N39&gt;0, RANK(N39,(N39:P39,Q39:AE39)),0)</f>
        <v>2</v>
      </c>
      <c r="E39" s="5">
        <f>IF(O39&gt;0,RANK(O39,(N39:P39,Q39:AE39)),0)</f>
        <v>1</v>
      </c>
      <c r="F39" s="5">
        <f t="shared" si="13"/>
        <v>0</v>
      </c>
      <c r="G39" s="1">
        <f t="shared" si="14"/>
        <v>319</v>
      </c>
      <c r="H39" s="2">
        <f t="shared" si="15"/>
        <v>6.1941747572815536E-2</v>
      </c>
      <c r="I39" s="6"/>
      <c r="J39" s="2">
        <f t="shared" si="16"/>
        <v>0.45281553398058255</v>
      </c>
      <c r="K39" s="2">
        <f t="shared" si="17"/>
        <v>0.51475728155339806</v>
      </c>
      <c r="L39" s="2">
        <f t="shared" si="18"/>
        <v>0</v>
      </c>
      <c r="M39" s="2">
        <f t="shared" si="19"/>
        <v>3.2427184466019332E-2</v>
      </c>
      <c r="N39" s="63">
        <v>2332</v>
      </c>
      <c r="O39" s="63">
        <v>2651</v>
      </c>
      <c r="P39" s="63">
        <v>0</v>
      </c>
      <c r="Q39" s="63">
        <v>109</v>
      </c>
      <c r="R39" s="63">
        <v>58</v>
      </c>
      <c r="S39" s="63">
        <v>0</v>
      </c>
      <c r="T39" s="63">
        <v>0</v>
      </c>
      <c r="U39" s="63"/>
      <c r="V39" s="63">
        <v>0</v>
      </c>
      <c r="W39" s="63">
        <f t="shared" si="20"/>
        <v>0</v>
      </c>
      <c r="Y39" s="63">
        <v>0</v>
      </c>
      <c r="Z39" s="63"/>
      <c r="AA39" s="63"/>
      <c r="AB39" s="63"/>
      <c r="AE39" s="8">
        <v>0</v>
      </c>
      <c r="AM39">
        <v>0</v>
      </c>
      <c r="AQ39">
        <v>0</v>
      </c>
      <c r="AT39" t="str">
        <f t="shared" si="21"/>
        <v>Derby</v>
      </c>
      <c r="AU39" t="s">
        <v>2797</v>
      </c>
      <c r="AV39" s="8">
        <v>3</v>
      </c>
      <c r="AX39" s="114">
        <v>9</v>
      </c>
      <c r="AY39" s="116">
        <v>9</v>
      </c>
      <c r="AZ39" s="116">
        <v>30</v>
      </c>
      <c r="BA39" s="120">
        <v>19550</v>
      </c>
      <c r="BB39" s="120">
        <f t="shared" si="22"/>
        <v>9009</v>
      </c>
      <c r="BC39" t="s">
        <v>1472</v>
      </c>
      <c r="BD39" s="124">
        <f t="shared" si="23"/>
        <v>919550</v>
      </c>
      <c r="BI39">
        <v>5.38</v>
      </c>
      <c r="BJ39">
        <v>0.4</v>
      </c>
      <c r="BK39">
        <v>4.9800000000000004</v>
      </c>
      <c r="BL39" s="2"/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hidden="1" outlineLevel="1">
      <c r="A40" t="s">
        <v>2221</v>
      </c>
      <c r="B40" s="8" t="s">
        <v>1485</v>
      </c>
      <c r="C40" s="1">
        <f t="shared" si="12"/>
        <v>4281</v>
      </c>
      <c r="D40" s="5">
        <f>IF(N40&gt;0, RANK(N40,(N40:P40,Q40:AE40)),0)</f>
        <v>2</v>
      </c>
      <c r="E40" s="5">
        <f>IF(O40&gt;0,RANK(O40,(N40:P40,Q40:AE40)),0)</f>
        <v>1</v>
      </c>
      <c r="F40" s="5">
        <f t="shared" si="13"/>
        <v>5</v>
      </c>
      <c r="G40" s="1">
        <f t="shared" si="14"/>
        <v>258</v>
      </c>
      <c r="H40" s="2">
        <f t="shared" si="15"/>
        <v>6.0266292922214436E-2</v>
      </c>
      <c r="I40" s="6"/>
      <c r="J40" s="2">
        <f t="shared" si="16"/>
        <v>0.4433543564587713</v>
      </c>
      <c r="K40" s="2">
        <f t="shared" si="17"/>
        <v>0.50362064938098572</v>
      </c>
      <c r="L40" s="2">
        <f t="shared" si="18"/>
        <v>1.4015416958654519E-3</v>
      </c>
      <c r="M40" s="2">
        <f t="shared" si="19"/>
        <v>5.1623452464377523E-2</v>
      </c>
      <c r="N40" s="63">
        <v>1898</v>
      </c>
      <c r="O40" s="63">
        <v>2156</v>
      </c>
      <c r="P40" s="63">
        <v>6</v>
      </c>
      <c r="Q40" s="63">
        <v>158</v>
      </c>
      <c r="R40" s="63">
        <v>63</v>
      </c>
      <c r="S40" s="63">
        <v>0</v>
      </c>
      <c r="T40" s="63">
        <v>0</v>
      </c>
      <c r="U40" s="63"/>
      <c r="V40" s="63">
        <v>0</v>
      </c>
      <c r="W40" s="63">
        <f t="shared" si="20"/>
        <v>0</v>
      </c>
      <c r="Y40" s="63">
        <v>0</v>
      </c>
      <c r="Z40" s="63"/>
      <c r="AA40" s="63"/>
      <c r="AB40" s="63"/>
      <c r="AE40" s="8">
        <v>0</v>
      </c>
      <c r="AM40">
        <v>0</v>
      </c>
      <c r="AQ40">
        <v>0</v>
      </c>
      <c r="AT40" t="str">
        <f t="shared" si="21"/>
        <v>Durham</v>
      </c>
      <c r="AU40" t="s">
        <v>503</v>
      </c>
      <c r="AV40" s="8">
        <v>3</v>
      </c>
      <c r="AX40" s="114">
        <v>9</v>
      </c>
      <c r="AY40" s="116">
        <v>7</v>
      </c>
      <c r="AZ40" s="116">
        <v>25</v>
      </c>
      <c r="BA40" s="120">
        <v>20810</v>
      </c>
      <c r="BB40" s="120">
        <f t="shared" si="22"/>
        <v>9007</v>
      </c>
      <c r="BC40" t="s">
        <v>1472</v>
      </c>
      <c r="BD40" s="124">
        <f t="shared" si="23"/>
        <v>920810</v>
      </c>
      <c r="BI40">
        <v>23.76</v>
      </c>
      <c r="BJ40">
        <v>0.16</v>
      </c>
      <c r="BK40">
        <v>23.6</v>
      </c>
      <c r="BL40" s="2"/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hidden="1" outlineLevel="1">
      <c r="A41" t="s">
        <v>2420</v>
      </c>
      <c r="B41" s="8" t="s">
        <v>1485</v>
      </c>
      <c r="C41" s="1">
        <f t="shared" si="12"/>
        <v>2950</v>
      </c>
      <c r="D41" s="5">
        <f>IF(N41&gt;0, RANK(N41,(N41:P41,Q41:AE41)),0)</f>
        <v>1</v>
      </c>
      <c r="E41" s="5">
        <f>IF(O41&gt;0,RANK(O41,(N41:P41,Q41:AE41)),0)</f>
        <v>2</v>
      </c>
      <c r="F41" s="5">
        <f t="shared" si="13"/>
        <v>5</v>
      </c>
      <c r="G41" s="1">
        <f t="shared" si="14"/>
        <v>18</v>
      </c>
      <c r="H41" s="2">
        <f t="shared" si="15"/>
        <v>6.1016949152542374E-3</v>
      </c>
      <c r="I41" s="6"/>
      <c r="J41" s="2">
        <f t="shared" si="16"/>
        <v>0.47084745762711866</v>
      </c>
      <c r="K41" s="2">
        <f t="shared" si="17"/>
        <v>0.46474576271186441</v>
      </c>
      <c r="L41" s="2">
        <f t="shared" si="18"/>
        <v>1.6949152542372881E-3</v>
      </c>
      <c r="M41" s="2">
        <f t="shared" si="19"/>
        <v>6.2711864406779644E-2</v>
      </c>
      <c r="N41" s="63">
        <v>1389</v>
      </c>
      <c r="O41" s="63">
        <v>1371</v>
      </c>
      <c r="P41" s="63">
        <v>5</v>
      </c>
      <c r="Q41" s="63">
        <v>149</v>
      </c>
      <c r="R41" s="63">
        <v>36</v>
      </c>
      <c r="S41" s="63">
        <v>0</v>
      </c>
      <c r="T41" s="63">
        <v>0</v>
      </c>
      <c r="U41" s="63"/>
      <c r="V41" s="63">
        <v>0</v>
      </c>
      <c r="W41" s="63">
        <f t="shared" si="20"/>
        <v>0</v>
      </c>
      <c r="Y41" s="63">
        <v>0</v>
      </c>
      <c r="Z41" s="63"/>
      <c r="AA41" s="63"/>
      <c r="AB41" s="63"/>
      <c r="AE41" s="8">
        <v>0</v>
      </c>
      <c r="AM41">
        <v>0</v>
      </c>
      <c r="AQ41">
        <v>0</v>
      </c>
      <c r="AT41" t="str">
        <f t="shared" si="21"/>
        <v>East Granby</v>
      </c>
      <c r="AU41" t="s">
        <v>1737</v>
      </c>
      <c r="AV41" s="8">
        <v>1</v>
      </c>
      <c r="AX41" s="114">
        <v>9</v>
      </c>
      <c r="AY41" s="116">
        <v>3</v>
      </c>
      <c r="AZ41" s="116">
        <v>35</v>
      </c>
      <c r="BA41" s="120">
        <v>22070</v>
      </c>
      <c r="BB41" s="120">
        <f t="shared" si="22"/>
        <v>9003</v>
      </c>
      <c r="BC41" t="s">
        <v>1472</v>
      </c>
      <c r="BD41" s="124">
        <f t="shared" si="23"/>
        <v>922070</v>
      </c>
      <c r="BI41">
        <v>17.559999999999999</v>
      </c>
      <c r="BJ41">
        <v>0.08</v>
      </c>
      <c r="BK41">
        <v>17.48</v>
      </c>
      <c r="BL41" s="2"/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hidden="1" outlineLevel="1">
      <c r="A42" t="s">
        <v>1568</v>
      </c>
      <c r="B42" s="8" t="s">
        <v>1485</v>
      </c>
      <c r="C42" s="1">
        <f t="shared" si="12"/>
        <v>5087</v>
      </c>
      <c r="D42" s="5">
        <f>IF(N42&gt;0, RANK(N42,(N42:P42,Q42:AE42)),0)</f>
        <v>2</v>
      </c>
      <c r="E42" s="5">
        <f>IF(O42&gt;0,RANK(O42,(N42:P42,Q42:AE42)),0)</f>
        <v>1</v>
      </c>
      <c r="F42" s="5">
        <f t="shared" si="13"/>
        <v>5</v>
      </c>
      <c r="G42" s="1">
        <f t="shared" si="14"/>
        <v>156</v>
      </c>
      <c r="H42" s="2">
        <f t="shared" si="15"/>
        <v>3.0666404560644782E-2</v>
      </c>
      <c r="I42" s="6"/>
      <c r="J42" s="2">
        <f t="shared" si="16"/>
        <v>0.45822685276194219</v>
      </c>
      <c r="K42" s="2">
        <f t="shared" si="17"/>
        <v>0.48889325732258698</v>
      </c>
      <c r="L42" s="2">
        <f t="shared" si="18"/>
        <v>1.7692156477295065E-3</v>
      </c>
      <c r="M42" s="2">
        <f t="shared" si="19"/>
        <v>5.1110674267741317E-2</v>
      </c>
      <c r="N42" s="63">
        <v>2331</v>
      </c>
      <c r="O42" s="63">
        <v>2487</v>
      </c>
      <c r="P42" s="63">
        <v>9</v>
      </c>
      <c r="Q42" s="63">
        <v>164</v>
      </c>
      <c r="R42" s="63">
        <v>95</v>
      </c>
      <c r="S42" s="63">
        <v>1</v>
      </c>
      <c r="T42" s="63">
        <v>0</v>
      </c>
      <c r="U42" s="63"/>
      <c r="V42" s="63">
        <v>0</v>
      </c>
      <c r="W42" s="63">
        <f t="shared" si="20"/>
        <v>0</v>
      </c>
      <c r="Y42" s="63">
        <v>0</v>
      </c>
      <c r="Z42" s="63"/>
      <c r="AA42" s="63"/>
      <c r="AB42" s="63"/>
      <c r="AE42" s="8">
        <v>0</v>
      </c>
      <c r="AM42">
        <v>0</v>
      </c>
      <c r="AQ42">
        <v>0</v>
      </c>
      <c r="AT42" t="str">
        <f t="shared" si="21"/>
        <v>East Haddam</v>
      </c>
      <c r="AU42" t="s">
        <v>503</v>
      </c>
      <c r="AV42" s="8">
        <v>2</v>
      </c>
      <c r="AX42" s="114">
        <v>9</v>
      </c>
      <c r="AY42" s="116">
        <v>7</v>
      </c>
      <c r="AZ42" s="116">
        <v>30</v>
      </c>
      <c r="BA42" s="120">
        <v>22280</v>
      </c>
      <c r="BB42" s="120">
        <f t="shared" si="22"/>
        <v>9007</v>
      </c>
      <c r="BC42" t="s">
        <v>1472</v>
      </c>
      <c r="BD42" s="124">
        <f t="shared" si="23"/>
        <v>922280</v>
      </c>
      <c r="BI42">
        <v>56.57</v>
      </c>
      <c r="BJ42">
        <v>2.2400000000000002</v>
      </c>
      <c r="BK42">
        <v>54.33</v>
      </c>
      <c r="BL42" s="2"/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hidden="1" outlineLevel="1">
      <c r="A43" t="s">
        <v>2400</v>
      </c>
      <c r="B43" s="8" t="s">
        <v>1485</v>
      </c>
      <c r="C43" s="1">
        <f t="shared" si="12"/>
        <v>7245</v>
      </c>
      <c r="D43" s="5">
        <f>IF(N43&gt;0, RANK(N43,(N43:P43,Q43:AE43)),0)</f>
        <v>2</v>
      </c>
      <c r="E43" s="5">
        <f>IF(O43&gt;0,RANK(O43,(N43:P43,Q43:AE43)),0)</f>
        <v>1</v>
      </c>
      <c r="F43" s="5">
        <f t="shared" si="13"/>
        <v>5</v>
      </c>
      <c r="G43" s="1">
        <f t="shared" si="14"/>
        <v>438</v>
      </c>
      <c r="H43" s="2">
        <f t="shared" si="15"/>
        <v>6.0455486542443065E-2</v>
      </c>
      <c r="I43" s="6"/>
      <c r="J43" s="2">
        <f t="shared" si="16"/>
        <v>0.44306418219461696</v>
      </c>
      <c r="K43" s="2">
        <f t="shared" si="17"/>
        <v>0.50351966873706</v>
      </c>
      <c r="L43" s="2">
        <f t="shared" si="18"/>
        <v>2.6224982746721878E-3</v>
      </c>
      <c r="M43" s="2">
        <f t="shared" si="19"/>
        <v>5.0793650793650849E-2</v>
      </c>
      <c r="N43" s="63">
        <v>3210</v>
      </c>
      <c r="O43" s="63">
        <v>3648</v>
      </c>
      <c r="P43" s="63">
        <v>19</v>
      </c>
      <c r="Q43" s="63">
        <v>277</v>
      </c>
      <c r="R43" s="63">
        <v>88</v>
      </c>
      <c r="S43" s="63">
        <v>1</v>
      </c>
      <c r="T43" s="63">
        <v>0</v>
      </c>
      <c r="U43" s="63"/>
      <c r="V43" s="63">
        <v>0</v>
      </c>
      <c r="W43" s="63">
        <f t="shared" si="20"/>
        <v>0</v>
      </c>
      <c r="Y43" s="63">
        <v>0</v>
      </c>
      <c r="Z43" s="63"/>
      <c r="AA43" s="63"/>
      <c r="AB43" s="63"/>
      <c r="AE43" s="8">
        <v>2</v>
      </c>
      <c r="AM43">
        <v>0</v>
      </c>
      <c r="AQ43">
        <v>0</v>
      </c>
      <c r="AT43" t="str">
        <f t="shared" si="21"/>
        <v>East Hampton</v>
      </c>
      <c r="AU43" t="s">
        <v>503</v>
      </c>
      <c r="AV43" s="8">
        <v>2</v>
      </c>
      <c r="AX43" s="114">
        <v>9</v>
      </c>
      <c r="AY43" s="116">
        <v>7</v>
      </c>
      <c r="AZ43" s="116">
        <v>35</v>
      </c>
      <c r="BA43" s="120">
        <v>22490</v>
      </c>
      <c r="BB43" s="120">
        <f t="shared" si="22"/>
        <v>9007</v>
      </c>
      <c r="BC43" t="s">
        <v>1472</v>
      </c>
      <c r="BD43" s="124">
        <f t="shared" si="23"/>
        <v>922490</v>
      </c>
      <c r="BI43">
        <v>36.840000000000003</v>
      </c>
      <c r="BJ43">
        <v>1.24</v>
      </c>
      <c r="BK43">
        <v>35.590000000000003</v>
      </c>
      <c r="BL43" s="2"/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hidden="1" outlineLevel="1">
      <c r="A44" t="s">
        <v>1963</v>
      </c>
      <c r="B44" s="8" t="s">
        <v>1485</v>
      </c>
      <c r="C44" s="1">
        <f t="shared" si="12"/>
        <v>19047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3"/>
        <v>5</v>
      </c>
      <c r="G44" s="1">
        <f t="shared" si="14"/>
        <v>7967</v>
      </c>
      <c r="H44" s="2">
        <f t="shared" si="15"/>
        <v>0.41828109413555942</v>
      </c>
      <c r="I44" s="6"/>
      <c r="J44" s="2">
        <f t="shared" si="16"/>
        <v>0.69197248910589593</v>
      </c>
      <c r="K44" s="2">
        <f t="shared" si="17"/>
        <v>0.27369139497033651</v>
      </c>
      <c r="L44" s="2">
        <f t="shared" si="18"/>
        <v>6.3002047566545908E-4</v>
      </c>
      <c r="M44" s="2">
        <f t="shared" si="19"/>
        <v>3.3706095448102102E-2</v>
      </c>
      <c r="N44" s="63">
        <v>13180</v>
      </c>
      <c r="O44" s="63">
        <v>5213</v>
      </c>
      <c r="P44" s="63">
        <v>12</v>
      </c>
      <c r="Q44" s="63">
        <v>406</v>
      </c>
      <c r="R44" s="63">
        <v>233</v>
      </c>
      <c r="S44" s="63">
        <v>3</v>
      </c>
      <c r="T44" s="63">
        <v>0</v>
      </c>
      <c r="U44" s="63"/>
      <c r="V44" s="63">
        <v>0</v>
      </c>
      <c r="W44" s="63">
        <f t="shared" si="20"/>
        <v>0</v>
      </c>
      <c r="Y44" s="63">
        <v>0</v>
      </c>
      <c r="Z44" s="63"/>
      <c r="AA44" s="63"/>
      <c r="AB44" s="63"/>
      <c r="AE44" s="8">
        <v>0</v>
      </c>
      <c r="AM44">
        <v>0</v>
      </c>
      <c r="AQ44">
        <v>0</v>
      </c>
      <c r="AT44" t="str">
        <f t="shared" si="21"/>
        <v>East Hartford</v>
      </c>
      <c r="AU44" t="s">
        <v>1737</v>
      </c>
      <c r="AV44" s="8">
        <v>1</v>
      </c>
      <c r="AX44" s="114">
        <v>9</v>
      </c>
      <c r="AY44" s="116">
        <v>3</v>
      </c>
      <c r="AZ44" s="116">
        <v>40</v>
      </c>
      <c r="BA44" s="120">
        <v>22630</v>
      </c>
      <c r="BB44" s="120">
        <f t="shared" si="22"/>
        <v>9003</v>
      </c>
      <c r="BC44" t="s">
        <v>1472</v>
      </c>
      <c r="BD44" s="124">
        <f t="shared" si="23"/>
        <v>922630</v>
      </c>
      <c r="BI44">
        <v>18.78</v>
      </c>
      <c r="BJ44">
        <v>0.76</v>
      </c>
      <c r="BK44">
        <v>18.02</v>
      </c>
      <c r="BL44" s="2"/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hidden="1" outlineLevel="1">
      <c r="A45" t="s">
        <v>1314</v>
      </c>
      <c r="B45" s="8" t="s">
        <v>1485</v>
      </c>
      <c r="C45" s="1">
        <f t="shared" si="12"/>
        <v>12657</v>
      </c>
      <c r="D45" s="5">
        <f>IF(N45&gt;0, RANK(N45,(N45:P45,Q45:AE45)),0)</f>
        <v>2</v>
      </c>
      <c r="E45" s="5">
        <f>IF(O45&gt;0,RANK(O45,(N45:P45,Q45:AE45)),0)</f>
        <v>1</v>
      </c>
      <c r="F45" s="5">
        <f t="shared" si="13"/>
        <v>0</v>
      </c>
      <c r="G45" s="1">
        <f t="shared" si="14"/>
        <v>1442</v>
      </c>
      <c r="H45" s="2">
        <f t="shared" si="15"/>
        <v>0.11392905111795844</v>
      </c>
      <c r="I45" s="6"/>
      <c r="J45" s="2">
        <f t="shared" si="16"/>
        <v>0.42861657580785334</v>
      </c>
      <c r="K45" s="2">
        <f t="shared" si="17"/>
        <v>0.54254562692581176</v>
      </c>
      <c r="L45" s="2">
        <f t="shared" si="18"/>
        <v>0</v>
      </c>
      <c r="M45" s="2">
        <f t="shared" si="19"/>
        <v>2.8837797266334952E-2</v>
      </c>
      <c r="N45" s="63">
        <v>5425</v>
      </c>
      <c r="O45" s="63">
        <v>6867</v>
      </c>
      <c r="P45" s="63">
        <v>0</v>
      </c>
      <c r="Q45" s="63">
        <v>218</v>
      </c>
      <c r="R45" s="63">
        <v>147</v>
      </c>
      <c r="S45" s="63">
        <v>0</v>
      </c>
      <c r="T45" s="63">
        <v>0</v>
      </c>
      <c r="U45" s="63"/>
      <c r="V45" s="63">
        <v>0</v>
      </c>
      <c r="W45" s="63">
        <f t="shared" si="20"/>
        <v>0</v>
      </c>
      <c r="Y45" s="63">
        <v>0</v>
      </c>
      <c r="Z45" s="63"/>
      <c r="AA45" s="63"/>
      <c r="AB45" s="63"/>
      <c r="AE45" s="8">
        <v>0</v>
      </c>
      <c r="AM45">
        <v>0</v>
      </c>
      <c r="AQ45">
        <v>0</v>
      </c>
      <c r="AT45" t="str">
        <f t="shared" si="21"/>
        <v>East Haven</v>
      </c>
      <c r="AU45" t="s">
        <v>2797</v>
      </c>
      <c r="AV45" s="8">
        <v>3</v>
      </c>
      <c r="AX45" s="114">
        <v>9</v>
      </c>
      <c r="AY45" s="116">
        <v>9</v>
      </c>
      <c r="AZ45" s="116">
        <v>35</v>
      </c>
      <c r="BA45" s="120">
        <v>22910</v>
      </c>
      <c r="BB45" s="120">
        <f t="shared" si="22"/>
        <v>9009</v>
      </c>
      <c r="BC45" t="s">
        <v>1472</v>
      </c>
      <c r="BD45" s="124">
        <f t="shared" si="23"/>
        <v>922910</v>
      </c>
      <c r="BI45">
        <v>13.42</v>
      </c>
      <c r="BJ45">
        <v>1.1499999999999999</v>
      </c>
      <c r="BK45">
        <v>12.26</v>
      </c>
      <c r="BL45" s="2"/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hidden="1" outlineLevel="1">
      <c r="A46" t="s">
        <v>2449</v>
      </c>
      <c r="B46" s="8" t="s">
        <v>1485</v>
      </c>
      <c r="C46" s="1">
        <f t="shared" si="12"/>
        <v>10213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3"/>
        <v>5</v>
      </c>
      <c r="G46" s="1">
        <f t="shared" si="14"/>
        <v>1298</v>
      </c>
      <c r="H46" s="2">
        <f t="shared" si="15"/>
        <v>0.12709292078723197</v>
      </c>
      <c r="I46" s="6"/>
      <c r="J46" s="2">
        <f t="shared" si="16"/>
        <v>0.5397042984431607</v>
      </c>
      <c r="K46" s="2">
        <f t="shared" si="17"/>
        <v>0.4126113776559287</v>
      </c>
      <c r="L46" s="2">
        <f t="shared" si="18"/>
        <v>1.0770586507392538E-3</v>
      </c>
      <c r="M46" s="2">
        <f t="shared" si="19"/>
        <v>4.6607265250171344E-2</v>
      </c>
      <c r="N46" s="63">
        <v>5512</v>
      </c>
      <c r="O46" s="63">
        <v>4214</v>
      </c>
      <c r="P46" s="63">
        <v>11</v>
      </c>
      <c r="Q46" s="63">
        <v>330</v>
      </c>
      <c r="R46" s="63">
        <v>144</v>
      </c>
      <c r="S46" s="63">
        <v>0</v>
      </c>
      <c r="T46" s="63">
        <v>0</v>
      </c>
      <c r="U46" s="63"/>
      <c r="V46" s="63">
        <v>1</v>
      </c>
      <c r="W46" s="63">
        <f t="shared" si="20"/>
        <v>1</v>
      </c>
      <c r="Y46" s="63">
        <v>0</v>
      </c>
      <c r="Z46" s="63"/>
      <c r="AA46" s="63"/>
      <c r="AB46" s="63"/>
      <c r="AE46" s="8">
        <v>0</v>
      </c>
      <c r="AM46">
        <v>0</v>
      </c>
      <c r="AQ46">
        <v>0</v>
      </c>
      <c r="AT46" t="str">
        <f t="shared" si="21"/>
        <v>East Lyme</v>
      </c>
      <c r="AU46" t="s">
        <v>130</v>
      </c>
      <c r="AV46" s="8">
        <v>2</v>
      </c>
      <c r="AX46" s="114">
        <v>9</v>
      </c>
      <c r="AY46" s="116">
        <v>11</v>
      </c>
      <c r="AZ46" s="116">
        <v>15</v>
      </c>
      <c r="BA46" s="120">
        <v>23400</v>
      </c>
      <c r="BB46" s="120">
        <f t="shared" si="22"/>
        <v>9011</v>
      </c>
      <c r="BC46" t="s">
        <v>1472</v>
      </c>
      <c r="BD46" s="124">
        <f t="shared" si="23"/>
        <v>923400</v>
      </c>
      <c r="BI46">
        <v>41.97</v>
      </c>
      <c r="BJ46">
        <v>7.93</v>
      </c>
      <c r="BK46">
        <v>34.03</v>
      </c>
      <c r="BL46" s="2"/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hidden="1" outlineLevel="1">
      <c r="A47" t="s">
        <v>2079</v>
      </c>
      <c r="B47" s="8" t="s">
        <v>1485</v>
      </c>
      <c r="C47" s="1">
        <f t="shared" si="12"/>
        <v>5301</v>
      </c>
      <c r="D47" s="5">
        <f>IF(N47&gt;0, RANK(N47,(N47:P47,Q47:AE47)),0)</f>
        <v>2</v>
      </c>
      <c r="E47" s="5">
        <f>IF(O47&gt;0,RANK(O47,(N47:P47,Q47:AE47)),0)</f>
        <v>1</v>
      </c>
      <c r="F47" s="5">
        <f t="shared" si="13"/>
        <v>5</v>
      </c>
      <c r="G47" s="1">
        <f t="shared" si="14"/>
        <v>165</v>
      </c>
      <c r="H47" s="2">
        <f t="shared" si="15"/>
        <v>3.1126202603282398E-2</v>
      </c>
      <c r="I47" s="6"/>
      <c r="J47" s="2">
        <f t="shared" si="16"/>
        <v>0.46047915487643842</v>
      </c>
      <c r="K47" s="2">
        <f t="shared" si="17"/>
        <v>0.49160535747972078</v>
      </c>
      <c r="L47" s="2">
        <f t="shared" si="18"/>
        <v>1.3205055649877383E-3</v>
      </c>
      <c r="M47" s="2">
        <f t="shared" si="19"/>
        <v>4.6594982078853056E-2</v>
      </c>
      <c r="N47" s="63">
        <v>2441</v>
      </c>
      <c r="O47" s="63">
        <v>2606</v>
      </c>
      <c r="P47" s="63">
        <v>7</v>
      </c>
      <c r="Q47" s="63">
        <v>158</v>
      </c>
      <c r="R47" s="63">
        <v>89</v>
      </c>
      <c r="S47" s="63">
        <v>0</v>
      </c>
      <c r="T47" s="63">
        <v>0</v>
      </c>
      <c r="U47" s="63"/>
      <c r="V47" s="63">
        <v>0</v>
      </c>
      <c r="W47" s="63">
        <f t="shared" si="20"/>
        <v>0</v>
      </c>
      <c r="Y47" s="63">
        <v>0</v>
      </c>
      <c r="Z47" s="63"/>
      <c r="AA47" s="63"/>
      <c r="AB47" s="63"/>
      <c r="AE47" s="8">
        <v>0</v>
      </c>
      <c r="AM47">
        <v>0</v>
      </c>
      <c r="AQ47">
        <v>0</v>
      </c>
      <c r="AT47" t="str">
        <f t="shared" si="21"/>
        <v>East Windsor</v>
      </c>
      <c r="AU47" t="s">
        <v>1737</v>
      </c>
      <c r="AV47" s="8">
        <v>1</v>
      </c>
      <c r="AX47" s="114">
        <v>9</v>
      </c>
      <c r="AY47" s="116">
        <v>3</v>
      </c>
      <c r="AZ47" s="116">
        <v>45</v>
      </c>
      <c r="BA47" s="120">
        <v>24800</v>
      </c>
      <c r="BB47" s="120">
        <f t="shared" si="22"/>
        <v>9003</v>
      </c>
      <c r="BC47" t="s">
        <v>1472</v>
      </c>
      <c r="BD47" s="124">
        <f t="shared" si="23"/>
        <v>924800</v>
      </c>
      <c r="BI47">
        <v>26.82</v>
      </c>
      <c r="BJ47">
        <v>0.53</v>
      </c>
      <c r="BK47">
        <v>26.29</v>
      </c>
      <c r="BL47" s="2"/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hidden="1" outlineLevel="1">
      <c r="A48" t="s">
        <v>1567</v>
      </c>
      <c r="B48" s="8" t="s">
        <v>1485</v>
      </c>
      <c r="C48" s="1">
        <f t="shared" si="12"/>
        <v>962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3"/>
        <v>5</v>
      </c>
      <c r="G48" s="1">
        <f t="shared" si="14"/>
        <v>146</v>
      </c>
      <c r="H48" s="2">
        <f t="shared" si="15"/>
        <v>0.15176715176715178</v>
      </c>
      <c r="I48" s="6"/>
      <c r="J48" s="2">
        <f t="shared" si="16"/>
        <v>0.38149688149688149</v>
      </c>
      <c r="K48" s="2">
        <f t="shared" si="17"/>
        <v>0.53326403326403327</v>
      </c>
      <c r="L48" s="2">
        <f t="shared" si="18"/>
        <v>1.3513513513513514E-2</v>
      </c>
      <c r="M48" s="2">
        <f t="shared" si="19"/>
        <v>7.1725571725571674E-2</v>
      </c>
      <c r="N48" s="63">
        <v>367</v>
      </c>
      <c r="O48" s="63">
        <v>513</v>
      </c>
      <c r="P48" s="63">
        <v>13</v>
      </c>
      <c r="Q48" s="63">
        <v>48</v>
      </c>
      <c r="R48" s="63">
        <v>21</v>
      </c>
      <c r="S48" s="63">
        <v>0</v>
      </c>
      <c r="T48" s="63">
        <v>0</v>
      </c>
      <c r="U48" s="63"/>
      <c r="V48" s="63">
        <v>0</v>
      </c>
      <c r="W48" s="63">
        <f t="shared" si="20"/>
        <v>0</v>
      </c>
      <c r="Y48" s="63">
        <v>0</v>
      </c>
      <c r="Z48" s="63"/>
      <c r="AA48" s="63"/>
      <c r="AB48" s="63"/>
      <c r="AE48" s="8">
        <v>0</v>
      </c>
      <c r="AM48">
        <v>0</v>
      </c>
      <c r="AQ48">
        <v>0</v>
      </c>
      <c r="AT48" t="str">
        <f t="shared" si="21"/>
        <v>Eastford</v>
      </c>
      <c r="AU48" t="s">
        <v>2129</v>
      </c>
      <c r="AV48" s="8">
        <v>2</v>
      </c>
      <c r="AX48" s="114">
        <v>9</v>
      </c>
      <c r="AY48" s="116">
        <v>15</v>
      </c>
      <c r="AZ48" s="116">
        <v>25</v>
      </c>
      <c r="BA48" s="120">
        <v>21860</v>
      </c>
      <c r="BB48" s="120">
        <f t="shared" si="22"/>
        <v>9015</v>
      </c>
      <c r="BC48" t="s">
        <v>1472</v>
      </c>
      <c r="BD48" s="124">
        <f t="shared" si="23"/>
        <v>921860</v>
      </c>
      <c r="BI48">
        <v>29.23</v>
      </c>
      <c r="BJ48">
        <v>0.35</v>
      </c>
      <c r="BK48">
        <v>28.89</v>
      </c>
      <c r="BL48" s="2"/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hidden="1" outlineLevel="1">
      <c r="A49" t="s">
        <v>2524</v>
      </c>
      <c r="B49" s="8" t="s">
        <v>1485</v>
      </c>
      <c r="C49" s="1">
        <f t="shared" si="12"/>
        <v>4526</v>
      </c>
      <c r="D49" s="5">
        <f>IF(N49&gt;0, RANK(N49,(N49:P49,Q49:AE49)),0)</f>
        <v>1</v>
      </c>
      <c r="E49" s="5">
        <f>IF(O49&gt;0,RANK(O49,(N49:P49,Q49:AE49)),0)</f>
        <v>2</v>
      </c>
      <c r="F49" s="5">
        <f t="shared" si="13"/>
        <v>5</v>
      </c>
      <c r="G49" s="1">
        <f t="shared" si="14"/>
        <v>72</v>
      </c>
      <c r="H49" s="2">
        <f t="shared" si="15"/>
        <v>1.5908086610693768E-2</v>
      </c>
      <c r="I49" s="6"/>
      <c r="J49" s="2">
        <f t="shared" si="16"/>
        <v>0.48674326115775518</v>
      </c>
      <c r="K49" s="2">
        <f t="shared" si="17"/>
        <v>0.47083517454706142</v>
      </c>
      <c r="L49" s="2">
        <f t="shared" si="18"/>
        <v>1.5466195315952276E-3</v>
      </c>
      <c r="M49" s="2">
        <f t="shared" si="19"/>
        <v>4.0874944763588231E-2</v>
      </c>
      <c r="N49" s="63">
        <v>2203</v>
      </c>
      <c r="O49" s="63">
        <v>2131</v>
      </c>
      <c r="P49" s="63">
        <v>7</v>
      </c>
      <c r="Q49" s="63">
        <v>127</v>
      </c>
      <c r="R49" s="63">
        <v>56</v>
      </c>
      <c r="S49" s="63">
        <v>0</v>
      </c>
      <c r="T49" s="63">
        <v>0</v>
      </c>
      <c r="U49" s="63"/>
      <c r="V49" s="63">
        <v>0</v>
      </c>
      <c r="W49" s="63">
        <f t="shared" si="20"/>
        <v>2</v>
      </c>
      <c r="Y49" s="63">
        <v>0</v>
      </c>
      <c r="Z49" s="63"/>
      <c r="AA49" s="63"/>
      <c r="AB49" s="63"/>
      <c r="AE49" s="8">
        <v>0</v>
      </c>
      <c r="AM49">
        <v>0</v>
      </c>
      <c r="AQ49">
        <v>0</v>
      </c>
      <c r="AT49" t="str">
        <f t="shared" si="21"/>
        <v>Easton</v>
      </c>
      <c r="AU49" t="s">
        <v>280</v>
      </c>
      <c r="AV49" s="8">
        <v>4</v>
      </c>
      <c r="AX49" s="114">
        <v>9</v>
      </c>
      <c r="AY49" s="116">
        <v>1</v>
      </c>
      <c r="AZ49" s="116">
        <v>30</v>
      </c>
      <c r="BA49" s="120">
        <v>23890</v>
      </c>
      <c r="BB49" s="120">
        <f t="shared" si="22"/>
        <v>9001</v>
      </c>
      <c r="BC49" t="s">
        <v>1472</v>
      </c>
      <c r="BD49" s="124">
        <f t="shared" si="23"/>
        <v>923890</v>
      </c>
      <c r="BI49">
        <v>28.63</v>
      </c>
      <c r="BJ49">
        <v>1.21</v>
      </c>
      <c r="BK49">
        <v>27.42</v>
      </c>
      <c r="BL49" s="2"/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</row>
    <row r="50" spans="1:82" hidden="1" outlineLevel="1">
      <c r="A50" t="s">
        <v>2575</v>
      </c>
      <c r="B50" s="8" t="s">
        <v>1485</v>
      </c>
      <c r="C50" s="1">
        <f t="shared" si="12"/>
        <v>8202</v>
      </c>
      <c r="D50" s="5">
        <f>IF(N50&gt;0, RANK(N50,(N50:P50,Q50:AE50)),0)</f>
        <v>2</v>
      </c>
      <c r="E50" s="5">
        <f>IF(O50&gt;0,RANK(O50,(N50:P50,Q50:AE50)),0)</f>
        <v>1</v>
      </c>
      <c r="F50" s="5">
        <f t="shared" si="13"/>
        <v>5</v>
      </c>
      <c r="G50" s="1">
        <f t="shared" si="14"/>
        <v>668</v>
      </c>
      <c r="H50" s="2">
        <f t="shared" si="15"/>
        <v>8.14435503535723E-2</v>
      </c>
      <c r="I50" s="6"/>
      <c r="J50" s="2">
        <f t="shared" si="16"/>
        <v>0.43050475493782003</v>
      </c>
      <c r="K50" s="2">
        <f t="shared" si="17"/>
        <v>0.51194830529139235</v>
      </c>
      <c r="L50" s="2">
        <f t="shared" si="18"/>
        <v>3.9014874420872959E-3</v>
      </c>
      <c r="M50" s="2">
        <f t="shared" si="19"/>
        <v>5.3645452328700327E-2</v>
      </c>
      <c r="N50" s="63">
        <v>3531</v>
      </c>
      <c r="O50" s="63">
        <v>4199</v>
      </c>
      <c r="P50" s="63">
        <v>32</v>
      </c>
      <c r="Q50" s="63">
        <v>322</v>
      </c>
      <c r="R50" s="63">
        <v>115</v>
      </c>
      <c r="S50" s="63">
        <v>0</v>
      </c>
      <c r="T50" s="63">
        <v>0</v>
      </c>
      <c r="U50" s="63"/>
      <c r="V50" s="63">
        <v>0</v>
      </c>
      <c r="W50" s="63">
        <f t="shared" si="20"/>
        <v>3</v>
      </c>
      <c r="Y50" s="63">
        <v>0</v>
      </c>
      <c r="Z50" s="63"/>
      <c r="AA50" s="63"/>
      <c r="AB50" s="63"/>
      <c r="AE50" s="8">
        <v>0</v>
      </c>
      <c r="AM50">
        <v>0</v>
      </c>
      <c r="AQ50">
        <v>0</v>
      </c>
      <c r="AT50" t="str">
        <f t="shared" si="21"/>
        <v>Ellington</v>
      </c>
      <c r="AU50" t="s">
        <v>67</v>
      </c>
      <c r="AV50" s="8">
        <v>2</v>
      </c>
      <c r="AX50" s="114">
        <v>9</v>
      </c>
      <c r="AY50" s="116">
        <v>13</v>
      </c>
      <c r="AZ50" s="116">
        <v>25</v>
      </c>
      <c r="BA50" s="120">
        <v>25360</v>
      </c>
      <c r="BB50" s="120">
        <f t="shared" si="22"/>
        <v>9013</v>
      </c>
      <c r="BC50" t="s">
        <v>1472</v>
      </c>
      <c r="BD50" s="124">
        <f t="shared" si="23"/>
        <v>925360</v>
      </c>
      <c r="BI50">
        <v>34.61</v>
      </c>
      <c r="BJ50">
        <v>0.55000000000000004</v>
      </c>
      <c r="BK50">
        <v>34.049999999999997</v>
      </c>
      <c r="BL50" s="2"/>
      <c r="BS50">
        <v>0</v>
      </c>
      <c r="BT50">
        <v>0</v>
      </c>
      <c r="BU50">
        <v>0</v>
      </c>
      <c r="BV50">
        <v>1</v>
      </c>
      <c r="BW50">
        <v>0</v>
      </c>
      <c r="BX50">
        <v>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hidden="1" outlineLevel="1">
      <c r="A51" t="s">
        <v>2401</v>
      </c>
      <c r="B51" s="8" t="s">
        <v>1485</v>
      </c>
      <c r="C51" s="1">
        <f t="shared" si="12"/>
        <v>18959</v>
      </c>
      <c r="D51" s="5">
        <f>IF(N51&gt;0, RANK(N51,(N51:P51,Q51:AE51)),0)</f>
        <v>2</v>
      </c>
      <c r="E51" s="5">
        <f>IF(O51&gt;0,RANK(O51,(N51:P51,Q51:AE51)),0)</f>
        <v>1</v>
      </c>
      <c r="F51" s="5">
        <f t="shared" si="13"/>
        <v>5</v>
      </c>
      <c r="G51" s="1">
        <f t="shared" si="14"/>
        <v>587</v>
      </c>
      <c r="H51" s="2">
        <f t="shared" si="15"/>
        <v>3.0961548604884225E-2</v>
      </c>
      <c r="I51" s="6"/>
      <c r="J51" s="2">
        <f t="shared" si="16"/>
        <v>0.45603671079698294</v>
      </c>
      <c r="K51" s="2">
        <f t="shared" si="17"/>
        <v>0.4869982594018672</v>
      </c>
      <c r="L51" s="2">
        <f t="shared" si="18"/>
        <v>1.0549079592805527E-3</v>
      </c>
      <c r="M51" s="2">
        <f t="shared" si="19"/>
        <v>5.5910121841869317E-2</v>
      </c>
      <c r="N51" s="63">
        <v>8646</v>
      </c>
      <c r="O51" s="63">
        <v>9233</v>
      </c>
      <c r="P51" s="63">
        <v>20</v>
      </c>
      <c r="Q51" s="63">
        <v>755</v>
      </c>
      <c r="R51" s="63">
        <v>299</v>
      </c>
      <c r="S51" s="63">
        <v>3</v>
      </c>
      <c r="T51" s="63">
        <v>0</v>
      </c>
      <c r="U51" s="63"/>
      <c r="V51" s="63">
        <v>0</v>
      </c>
      <c r="W51" s="63">
        <f t="shared" si="20"/>
        <v>2</v>
      </c>
      <c r="Y51" s="63">
        <v>1</v>
      </c>
      <c r="Z51" s="63"/>
      <c r="AA51" s="63"/>
      <c r="AB51" s="63"/>
      <c r="AE51" s="8">
        <v>0</v>
      </c>
      <c r="AM51">
        <v>0</v>
      </c>
      <c r="AQ51">
        <v>0</v>
      </c>
      <c r="AT51" t="str">
        <f t="shared" si="21"/>
        <v>Enfield</v>
      </c>
      <c r="AU51" t="s">
        <v>1737</v>
      </c>
      <c r="AV51" s="8">
        <v>2</v>
      </c>
      <c r="AX51" s="114">
        <v>9</v>
      </c>
      <c r="AY51" s="116">
        <v>3</v>
      </c>
      <c r="AZ51" s="116">
        <v>50</v>
      </c>
      <c r="BA51" s="120">
        <v>25990</v>
      </c>
      <c r="BB51" s="120">
        <f t="shared" si="22"/>
        <v>9003</v>
      </c>
      <c r="BC51" t="s">
        <v>1472</v>
      </c>
      <c r="BD51" s="124">
        <f t="shared" si="23"/>
        <v>925990</v>
      </c>
      <c r="BI51">
        <v>34.22</v>
      </c>
      <c r="BJ51">
        <v>0.83</v>
      </c>
      <c r="BK51">
        <v>33.380000000000003</v>
      </c>
      <c r="BL51" s="2"/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hidden="1" outlineLevel="1">
      <c r="A52" t="s">
        <v>842</v>
      </c>
      <c r="B52" s="8" t="s">
        <v>1485</v>
      </c>
      <c r="C52" s="1">
        <f t="shared" si="12"/>
        <v>4092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3"/>
        <v>0</v>
      </c>
      <c r="G52" s="1">
        <f t="shared" si="14"/>
        <v>671</v>
      </c>
      <c r="H52" s="2">
        <f t="shared" si="15"/>
        <v>0.16397849462365591</v>
      </c>
      <c r="I52" s="6"/>
      <c r="J52" s="2">
        <f t="shared" si="16"/>
        <v>0.55987292277614853</v>
      </c>
      <c r="K52" s="2">
        <f t="shared" si="17"/>
        <v>0.39589442815249265</v>
      </c>
      <c r="L52" s="2">
        <f t="shared" si="18"/>
        <v>0</v>
      </c>
      <c r="M52" s="2">
        <f t="shared" si="19"/>
        <v>4.4232649071358821E-2</v>
      </c>
      <c r="N52" s="63">
        <v>2291</v>
      </c>
      <c r="O52" s="63">
        <v>1620</v>
      </c>
      <c r="P52" s="63">
        <v>0</v>
      </c>
      <c r="Q52" s="63">
        <v>114</v>
      </c>
      <c r="R52" s="63">
        <v>67</v>
      </c>
      <c r="S52" s="63">
        <v>0</v>
      </c>
      <c r="T52" s="63">
        <v>0</v>
      </c>
      <c r="U52" s="63"/>
      <c r="V52" s="63">
        <v>0</v>
      </c>
      <c r="W52" s="63">
        <f t="shared" si="20"/>
        <v>0</v>
      </c>
      <c r="Y52" s="63">
        <v>0</v>
      </c>
      <c r="Z52" s="63"/>
      <c r="AA52" s="63"/>
      <c r="AB52" s="63"/>
      <c r="AE52" s="8">
        <v>0</v>
      </c>
      <c r="AM52">
        <v>0</v>
      </c>
      <c r="AQ52">
        <v>0</v>
      </c>
      <c r="AT52" t="str">
        <f t="shared" si="21"/>
        <v>Essex</v>
      </c>
      <c r="AU52" t="s">
        <v>503</v>
      </c>
      <c r="AV52" s="8">
        <v>2</v>
      </c>
      <c r="AX52" s="114">
        <v>9</v>
      </c>
      <c r="AY52" s="116">
        <v>7</v>
      </c>
      <c r="AZ52" s="116">
        <v>40</v>
      </c>
      <c r="BA52" s="120">
        <v>26270</v>
      </c>
      <c r="BB52" s="120">
        <f t="shared" si="22"/>
        <v>9007</v>
      </c>
      <c r="BC52" t="s">
        <v>1472</v>
      </c>
      <c r="BD52" s="124">
        <f t="shared" si="23"/>
        <v>926270</v>
      </c>
      <c r="BI52">
        <v>11.82</v>
      </c>
      <c r="BJ52">
        <v>1.46</v>
      </c>
      <c r="BK52">
        <v>10.36</v>
      </c>
      <c r="BL52" s="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hidden="1" outlineLevel="1">
      <c r="A53" t="s">
        <v>280</v>
      </c>
      <c r="B53" s="8" t="s">
        <v>1485</v>
      </c>
      <c r="C53" s="1">
        <f t="shared" si="12"/>
        <v>31553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3"/>
        <v>5</v>
      </c>
      <c r="G53" s="1">
        <f t="shared" si="14"/>
        <v>5929</v>
      </c>
      <c r="H53" s="2">
        <f t="shared" si="15"/>
        <v>0.18790606281494629</v>
      </c>
      <c r="I53" s="6"/>
      <c r="J53" s="2">
        <f t="shared" si="16"/>
        <v>0.5717681361518715</v>
      </c>
      <c r="K53" s="2">
        <f t="shared" si="17"/>
        <v>0.38386207333692518</v>
      </c>
      <c r="L53" s="2">
        <f t="shared" si="18"/>
        <v>2.0600259880201566E-3</v>
      </c>
      <c r="M53" s="2">
        <f t="shared" si="19"/>
        <v>4.2309764523183163E-2</v>
      </c>
      <c r="N53" s="63">
        <v>18041</v>
      </c>
      <c r="O53" s="63">
        <v>12112</v>
      </c>
      <c r="P53" s="63">
        <v>65</v>
      </c>
      <c r="Q53" s="63">
        <v>985</v>
      </c>
      <c r="R53" s="63">
        <v>348</v>
      </c>
      <c r="S53" s="63">
        <v>0</v>
      </c>
      <c r="T53" s="63">
        <v>0</v>
      </c>
      <c r="U53" s="63"/>
      <c r="V53" s="63">
        <v>0</v>
      </c>
      <c r="W53" s="63">
        <f t="shared" si="20"/>
        <v>1</v>
      </c>
      <c r="Y53" s="63">
        <v>0</v>
      </c>
      <c r="Z53" s="63"/>
      <c r="AA53" s="63"/>
      <c r="AB53" s="63"/>
      <c r="AE53" s="8">
        <v>1</v>
      </c>
      <c r="AM53">
        <v>0</v>
      </c>
      <c r="AQ53">
        <v>0</v>
      </c>
      <c r="AT53" t="str">
        <f t="shared" si="21"/>
        <v>Fairfield</v>
      </c>
      <c r="AU53" t="s">
        <v>280</v>
      </c>
      <c r="AV53" s="8">
        <v>4</v>
      </c>
      <c r="AX53" s="114">
        <v>9</v>
      </c>
      <c r="AY53" s="116">
        <v>1</v>
      </c>
      <c r="AZ53" s="116">
        <v>35</v>
      </c>
      <c r="BA53" s="120">
        <v>26620</v>
      </c>
      <c r="BB53" s="120">
        <f t="shared" si="22"/>
        <v>9001</v>
      </c>
      <c r="BC53" t="s">
        <v>1472</v>
      </c>
      <c r="BD53" s="124">
        <f t="shared" si="23"/>
        <v>926620</v>
      </c>
      <c r="BI53">
        <v>31.33</v>
      </c>
      <c r="BJ53">
        <v>1.3</v>
      </c>
      <c r="BK53">
        <v>30.03</v>
      </c>
      <c r="BL53" s="2"/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hidden="1" outlineLevel="1">
      <c r="A54" t="s">
        <v>1948</v>
      </c>
      <c r="B54" s="8" t="s">
        <v>1485</v>
      </c>
      <c r="C54" s="1">
        <f t="shared" si="12"/>
        <v>14303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3"/>
        <v>5</v>
      </c>
      <c r="G54" s="1">
        <f t="shared" si="14"/>
        <v>1657</v>
      </c>
      <c r="H54" s="2">
        <f t="shared" si="15"/>
        <v>0.11584982171572397</v>
      </c>
      <c r="I54" s="6"/>
      <c r="J54" s="2">
        <f t="shared" si="16"/>
        <v>0.53373418164021535</v>
      </c>
      <c r="K54" s="2">
        <f t="shared" si="17"/>
        <v>0.41788435992449136</v>
      </c>
      <c r="L54" s="2">
        <f t="shared" si="18"/>
        <v>2.097462070894218E-3</v>
      </c>
      <c r="M54" s="2">
        <f t="shared" si="19"/>
        <v>4.6283996364399074E-2</v>
      </c>
      <c r="N54" s="63">
        <v>7634</v>
      </c>
      <c r="O54" s="63">
        <v>5977</v>
      </c>
      <c r="P54" s="63">
        <v>30</v>
      </c>
      <c r="Q54" s="63">
        <v>477</v>
      </c>
      <c r="R54" s="63">
        <v>185</v>
      </c>
      <c r="S54" s="63">
        <v>0</v>
      </c>
      <c r="T54" s="63">
        <v>0</v>
      </c>
      <c r="U54" s="63"/>
      <c r="V54" s="63">
        <v>0</v>
      </c>
      <c r="W54" s="63">
        <f t="shared" si="20"/>
        <v>0</v>
      </c>
      <c r="Y54" s="63">
        <v>0</v>
      </c>
      <c r="Z54" s="63"/>
      <c r="AA54" s="63"/>
      <c r="AB54" s="63"/>
      <c r="AE54" s="8">
        <v>0</v>
      </c>
      <c r="AM54">
        <v>0</v>
      </c>
      <c r="AQ54">
        <v>0</v>
      </c>
      <c r="AT54" t="str">
        <f t="shared" si="21"/>
        <v>Farmington</v>
      </c>
      <c r="AU54" t="s">
        <v>1737</v>
      </c>
      <c r="AV54" s="8">
        <v>5</v>
      </c>
      <c r="AX54" s="114">
        <v>9</v>
      </c>
      <c r="AY54" s="116">
        <v>3</v>
      </c>
      <c r="AZ54" s="116">
        <v>55</v>
      </c>
      <c r="BA54" s="120">
        <v>27600</v>
      </c>
      <c r="BB54" s="120">
        <f t="shared" si="22"/>
        <v>9003</v>
      </c>
      <c r="BC54" t="s">
        <v>1472</v>
      </c>
      <c r="BD54" s="124">
        <f t="shared" si="23"/>
        <v>927600</v>
      </c>
      <c r="BI54">
        <v>28.77</v>
      </c>
      <c r="BJ54">
        <v>0.72</v>
      </c>
      <c r="BK54">
        <v>28.06</v>
      </c>
      <c r="BL54" s="2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hidden="1" outlineLevel="1">
      <c r="A55" t="s">
        <v>1138</v>
      </c>
      <c r="B55" s="8" t="s">
        <v>1485</v>
      </c>
      <c r="C55" s="1">
        <f t="shared" si="12"/>
        <v>1097</v>
      </c>
      <c r="D55" s="5">
        <f>IF(N55&gt;0, RANK(N55,(N55:P55,Q55:AE55)),0)</f>
        <v>2</v>
      </c>
      <c r="E55" s="5">
        <f>IF(O55&gt;0,RANK(O55,(N55:P55,Q55:AE55)),0)</f>
        <v>1</v>
      </c>
      <c r="F55" s="5">
        <f t="shared" si="13"/>
        <v>5</v>
      </c>
      <c r="G55" s="1">
        <f t="shared" si="14"/>
        <v>200</v>
      </c>
      <c r="H55" s="2">
        <f t="shared" si="15"/>
        <v>0.18231540565177756</v>
      </c>
      <c r="I55" s="6"/>
      <c r="J55" s="2">
        <f t="shared" si="16"/>
        <v>0.37648131267092072</v>
      </c>
      <c r="K55" s="2">
        <f t="shared" si="17"/>
        <v>0.55879671832269828</v>
      </c>
      <c r="L55" s="2">
        <f t="shared" si="18"/>
        <v>3.6463081130355514E-3</v>
      </c>
      <c r="M55" s="2">
        <f t="shared" si="19"/>
        <v>6.1075660893345388E-2</v>
      </c>
      <c r="N55" s="63">
        <v>413</v>
      </c>
      <c r="O55" s="63">
        <v>613</v>
      </c>
      <c r="P55" s="63">
        <v>4</v>
      </c>
      <c r="Q55" s="63">
        <v>48</v>
      </c>
      <c r="R55" s="63">
        <v>19</v>
      </c>
      <c r="S55" s="63">
        <v>0</v>
      </c>
      <c r="T55" s="63">
        <v>0</v>
      </c>
      <c r="U55" s="63"/>
      <c r="V55" s="63">
        <v>0</v>
      </c>
      <c r="W55" s="63">
        <f t="shared" si="20"/>
        <v>0</v>
      </c>
      <c r="Y55" s="63">
        <v>0</v>
      </c>
      <c r="Z55" s="63"/>
      <c r="AA55" s="63"/>
      <c r="AB55" s="63"/>
      <c r="AE55" s="8">
        <v>0</v>
      </c>
      <c r="AM55">
        <v>0</v>
      </c>
      <c r="AQ55">
        <v>0</v>
      </c>
      <c r="AT55" t="str">
        <f t="shared" si="21"/>
        <v>Franklin</v>
      </c>
      <c r="AU55" t="s">
        <v>130</v>
      </c>
      <c r="AV55" s="8">
        <v>2</v>
      </c>
      <c r="AX55" s="114">
        <v>9</v>
      </c>
      <c r="AY55" s="116">
        <v>11</v>
      </c>
      <c r="AZ55" s="116">
        <v>20</v>
      </c>
      <c r="BA55" s="120">
        <v>29910</v>
      </c>
      <c r="BB55" s="120">
        <f t="shared" si="22"/>
        <v>9011</v>
      </c>
      <c r="BC55" t="s">
        <v>1472</v>
      </c>
      <c r="BD55" s="124">
        <f t="shared" si="23"/>
        <v>929910</v>
      </c>
      <c r="BI55">
        <v>19.579999999999998</v>
      </c>
      <c r="BJ55">
        <v>7.0000000000000007E-2</v>
      </c>
      <c r="BK55">
        <v>19.510000000000002</v>
      </c>
      <c r="BL55" s="2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hidden="1" outlineLevel="1">
      <c r="A56" t="s">
        <v>1011</v>
      </c>
      <c r="B56" s="8" t="s">
        <v>1485</v>
      </c>
      <c r="C56" s="1">
        <f t="shared" si="12"/>
        <v>19625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3"/>
        <v>5</v>
      </c>
      <c r="G56" s="1">
        <f t="shared" si="14"/>
        <v>3541</v>
      </c>
      <c r="H56" s="2">
        <f t="shared" si="15"/>
        <v>0.18043312101910827</v>
      </c>
      <c r="I56" s="6"/>
      <c r="J56" s="2">
        <f t="shared" si="16"/>
        <v>0.56428025477707011</v>
      </c>
      <c r="K56" s="2">
        <f t="shared" si="17"/>
        <v>0.38384713375796176</v>
      </c>
      <c r="L56" s="2">
        <f t="shared" si="18"/>
        <v>2.0382165605095539E-3</v>
      </c>
      <c r="M56" s="2">
        <f t="shared" si="19"/>
        <v>4.9834394904458582E-2</v>
      </c>
      <c r="N56" s="63">
        <v>11074</v>
      </c>
      <c r="O56" s="63">
        <v>7533</v>
      </c>
      <c r="P56" s="63">
        <v>40</v>
      </c>
      <c r="Q56" s="63">
        <v>726</v>
      </c>
      <c r="R56" s="63">
        <v>247</v>
      </c>
      <c r="S56" s="63">
        <v>3</v>
      </c>
      <c r="T56" s="63">
        <v>0</v>
      </c>
      <c r="U56" s="63"/>
      <c r="V56" s="63">
        <v>0</v>
      </c>
      <c r="W56" s="63">
        <f t="shared" si="20"/>
        <v>2</v>
      </c>
      <c r="Y56" s="63">
        <v>0</v>
      </c>
      <c r="Z56" s="63"/>
      <c r="AA56" s="63"/>
      <c r="AB56" s="63"/>
      <c r="AE56" s="8">
        <v>0</v>
      </c>
      <c r="AM56">
        <v>0</v>
      </c>
      <c r="AQ56">
        <v>0</v>
      </c>
      <c r="AT56" t="str">
        <f t="shared" si="21"/>
        <v>Glastonbury</v>
      </c>
      <c r="AU56" t="s">
        <v>1737</v>
      </c>
      <c r="AV56" s="8">
        <v>0</v>
      </c>
      <c r="AX56" s="114">
        <v>9</v>
      </c>
      <c r="AY56" s="116">
        <v>3</v>
      </c>
      <c r="AZ56" s="116">
        <v>60</v>
      </c>
      <c r="BA56" s="120">
        <v>31240</v>
      </c>
      <c r="BB56" s="120">
        <f t="shared" si="22"/>
        <v>9003</v>
      </c>
      <c r="BC56" t="s">
        <v>1472</v>
      </c>
      <c r="BD56" s="124">
        <f t="shared" si="23"/>
        <v>931240</v>
      </c>
      <c r="BI56">
        <v>52.29</v>
      </c>
      <c r="BJ56">
        <v>0.92</v>
      </c>
      <c r="BK56">
        <v>51.37</v>
      </c>
      <c r="BL56" s="2"/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hidden="1" outlineLevel="1">
      <c r="A57" t="s">
        <v>592</v>
      </c>
      <c r="B57" s="8" t="s">
        <v>1485</v>
      </c>
      <c r="C57" s="1">
        <f t="shared" si="12"/>
        <v>1823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3"/>
        <v>0</v>
      </c>
      <c r="G57" s="1">
        <f t="shared" si="14"/>
        <v>391</v>
      </c>
      <c r="H57" s="2">
        <f t="shared" si="15"/>
        <v>0.21448162369720242</v>
      </c>
      <c r="I57" s="6"/>
      <c r="J57" s="2">
        <f t="shared" si="16"/>
        <v>0.36917169500822822</v>
      </c>
      <c r="K57" s="2">
        <f t="shared" si="17"/>
        <v>0.58365331870543058</v>
      </c>
      <c r="L57" s="2">
        <f t="shared" si="18"/>
        <v>0</v>
      </c>
      <c r="M57" s="2">
        <f t="shared" si="19"/>
        <v>4.7174986286341203E-2</v>
      </c>
      <c r="N57" s="63">
        <v>673</v>
      </c>
      <c r="O57" s="63">
        <v>1064</v>
      </c>
      <c r="P57" s="63">
        <v>0</v>
      </c>
      <c r="Q57" s="63">
        <v>61</v>
      </c>
      <c r="R57" s="63">
        <v>25</v>
      </c>
      <c r="S57" s="63">
        <v>0</v>
      </c>
      <c r="T57" s="63">
        <v>0</v>
      </c>
      <c r="U57" s="63"/>
      <c r="V57" s="63">
        <v>0</v>
      </c>
      <c r="W57" s="63">
        <f t="shared" si="20"/>
        <v>0</v>
      </c>
      <c r="Y57" s="63">
        <v>0</v>
      </c>
      <c r="Z57" s="63"/>
      <c r="AA57" s="63"/>
      <c r="AB57" s="63"/>
      <c r="AE57" s="8">
        <v>0</v>
      </c>
      <c r="AM57">
        <v>0</v>
      </c>
      <c r="AQ57">
        <v>0</v>
      </c>
      <c r="AT57" t="str">
        <f t="shared" si="21"/>
        <v>Goshen</v>
      </c>
      <c r="AU57" t="s">
        <v>1276</v>
      </c>
      <c r="AV57" s="8">
        <v>5</v>
      </c>
      <c r="AX57" s="114">
        <v>9</v>
      </c>
      <c r="AY57" s="116">
        <v>5</v>
      </c>
      <c r="AZ57" s="116">
        <v>35</v>
      </c>
      <c r="BA57" s="120">
        <v>32290</v>
      </c>
      <c r="BB57" s="120">
        <f t="shared" si="22"/>
        <v>9005</v>
      </c>
      <c r="BC57" t="s">
        <v>1472</v>
      </c>
      <c r="BD57" s="124">
        <f t="shared" si="23"/>
        <v>932290</v>
      </c>
      <c r="BI57">
        <v>45.2</v>
      </c>
      <c r="BJ57">
        <v>1.55</v>
      </c>
      <c r="BK57">
        <v>43.66</v>
      </c>
      <c r="BL57" s="2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hidden="1" outlineLevel="1">
      <c r="A58" t="s">
        <v>2453</v>
      </c>
      <c r="B58" s="8" t="s">
        <v>1485</v>
      </c>
      <c r="C58" s="1">
        <f t="shared" si="12"/>
        <v>6509</v>
      </c>
      <c r="D58" s="5">
        <f>IF(N58&gt;0, RANK(N58,(N58:P58,Q58:AE58)),0)</f>
        <v>1</v>
      </c>
      <c r="E58" s="5">
        <f>IF(O58&gt;0,RANK(O58,(N58:P58,Q58:AE58)),0)</f>
        <v>2</v>
      </c>
      <c r="F58" s="5">
        <f t="shared" si="13"/>
        <v>5</v>
      </c>
      <c r="G58" s="1">
        <f t="shared" si="14"/>
        <v>147</v>
      </c>
      <c r="H58" s="2">
        <f t="shared" si="15"/>
        <v>2.2584114303272392E-2</v>
      </c>
      <c r="I58" s="6"/>
      <c r="J58" s="2">
        <f t="shared" si="16"/>
        <v>0.47841450299585192</v>
      </c>
      <c r="K58" s="2">
        <f t="shared" si="17"/>
        <v>0.45583038869257952</v>
      </c>
      <c r="L58" s="2">
        <f t="shared" si="18"/>
        <v>2.9190351820556153E-3</v>
      </c>
      <c r="M58" s="2">
        <f t="shared" si="19"/>
        <v>6.2836073129512879E-2</v>
      </c>
      <c r="N58" s="63">
        <v>3114</v>
      </c>
      <c r="O58" s="63">
        <v>2967</v>
      </c>
      <c r="P58" s="63">
        <v>19</v>
      </c>
      <c r="Q58" s="63">
        <v>292</v>
      </c>
      <c r="R58" s="63">
        <v>115</v>
      </c>
      <c r="S58" s="63">
        <v>1</v>
      </c>
      <c r="T58" s="63">
        <v>0</v>
      </c>
      <c r="U58" s="63"/>
      <c r="V58" s="63">
        <v>0</v>
      </c>
      <c r="W58" s="63">
        <f t="shared" si="20"/>
        <v>1</v>
      </c>
      <c r="Y58" s="63">
        <v>0</v>
      </c>
      <c r="Z58" s="63"/>
      <c r="AA58" s="63"/>
      <c r="AB58" s="63"/>
      <c r="AE58" s="8">
        <v>0</v>
      </c>
      <c r="AM58">
        <v>0</v>
      </c>
      <c r="AQ58">
        <v>0</v>
      </c>
      <c r="AT58" t="str">
        <f t="shared" si="21"/>
        <v>Granby</v>
      </c>
      <c r="AU58" t="s">
        <v>1737</v>
      </c>
      <c r="AV58" s="8">
        <v>1</v>
      </c>
      <c r="AX58" s="114">
        <v>9</v>
      </c>
      <c r="AY58" s="116">
        <v>3</v>
      </c>
      <c r="AZ58" s="116">
        <v>65</v>
      </c>
      <c r="BA58" s="120">
        <v>32640</v>
      </c>
      <c r="BB58" s="120">
        <f t="shared" si="22"/>
        <v>9003</v>
      </c>
      <c r="BC58" t="s">
        <v>1472</v>
      </c>
      <c r="BD58" s="124">
        <f t="shared" si="23"/>
        <v>932640</v>
      </c>
      <c r="BI58">
        <v>40.82</v>
      </c>
      <c r="BJ58">
        <v>0.13</v>
      </c>
      <c r="BK58">
        <v>40.69</v>
      </c>
      <c r="BL58" s="2"/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hidden="1" outlineLevel="1">
      <c r="A59" t="s">
        <v>3029</v>
      </c>
      <c r="B59" s="8" t="s">
        <v>1485</v>
      </c>
      <c r="C59" s="1">
        <f t="shared" si="12"/>
        <v>31209</v>
      </c>
      <c r="D59" s="5">
        <f>IF(N59&gt;0, RANK(N59,(N59:P59,Q59:AE59)),0)</f>
        <v>1</v>
      </c>
      <c r="E59" s="5">
        <f>IF(O59&gt;0,RANK(O59,(N59:P59,Q59:AE59)),0)</f>
        <v>2</v>
      </c>
      <c r="F59" s="5">
        <f t="shared" si="13"/>
        <v>5</v>
      </c>
      <c r="G59" s="1">
        <f t="shared" si="14"/>
        <v>5415</v>
      </c>
      <c r="H59" s="2">
        <f t="shared" si="15"/>
        <v>0.17350764202633856</v>
      </c>
      <c r="I59" s="6"/>
      <c r="J59" s="2">
        <f t="shared" si="16"/>
        <v>0.56490115030920562</v>
      </c>
      <c r="K59" s="2">
        <f t="shared" si="17"/>
        <v>0.39139350828286712</v>
      </c>
      <c r="L59" s="2">
        <f t="shared" si="18"/>
        <v>8.6513505719503989E-4</v>
      </c>
      <c r="M59" s="2">
        <f t="shared" si="19"/>
        <v>4.2840206350732213E-2</v>
      </c>
      <c r="N59" s="63">
        <v>17630</v>
      </c>
      <c r="O59" s="63">
        <v>12215</v>
      </c>
      <c r="P59" s="63">
        <v>27</v>
      </c>
      <c r="Q59" s="63">
        <v>1050</v>
      </c>
      <c r="R59" s="63">
        <v>271</v>
      </c>
      <c r="S59" s="63">
        <v>3</v>
      </c>
      <c r="T59" s="63">
        <v>0</v>
      </c>
      <c r="U59" s="63"/>
      <c r="V59" s="63">
        <v>0</v>
      </c>
      <c r="W59" s="63">
        <f t="shared" si="20"/>
        <v>13</v>
      </c>
      <c r="Y59" s="63">
        <v>0</v>
      </c>
      <c r="Z59" s="63"/>
      <c r="AA59" s="63"/>
      <c r="AB59" s="63"/>
      <c r="AE59" s="8">
        <v>0</v>
      </c>
      <c r="AM59">
        <v>0</v>
      </c>
      <c r="AQ59">
        <v>0</v>
      </c>
      <c r="AT59" t="str">
        <f t="shared" si="21"/>
        <v>Greenwich</v>
      </c>
      <c r="AU59" t="s">
        <v>280</v>
      </c>
      <c r="AV59" s="8">
        <v>4</v>
      </c>
      <c r="AX59" s="114">
        <v>9</v>
      </c>
      <c r="AY59" s="116">
        <v>1</v>
      </c>
      <c r="AZ59" s="116">
        <v>40</v>
      </c>
      <c r="BA59" s="120">
        <v>33620</v>
      </c>
      <c r="BB59" s="120">
        <f t="shared" si="22"/>
        <v>9001</v>
      </c>
      <c r="BC59" t="s">
        <v>1472</v>
      </c>
      <c r="BD59" s="124">
        <f t="shared" si="23"/>
        <v>933620</v>
      </c>
      <c r="BI59">
        <v>67.239999999999995</v>
      </c>
      <c r="BJ59">
        <v>19.420000000000002</v>
      </c>
      <c r="BK59">
        <v>47.83</v>
      </c>
      <c r="BL59" s="2"/>
      <c r="BS59">
        <v>0</v>
      </c>
      <c r="BT59">
        <v>0</v>
      </c>
      <c r="BU59">
        <v>1</v>
      </c>
      <c r="BV59">
        <v>9</v>
      </c>
      <c r="BW59">
        <v>0</v>
      </c>
      <c r="BX59">
        <v>0</v>
      </c>
      <c r="BY59">
        <v>3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hidden="1" outlineLevel="1">
      <c r="A60" t="s">
        <v>2033</v>
      </c>
      <c r="B60" s="8" t="s">
        <v>1485</v>
      </c>
      <c r="C60" s="1">
        <f t="shared" si="12"/>
        <v>5276</v>
      </c>
      <c r="D60" s="5">
        <f>IF(N60&gt;0, RANK(N60,(N60:P60,Q60:AE60)),0)</f>
        <v>2</v>
      </c>
      <c r="E60" s="5">
        <f>IF(O60&gt;0,RANK(O60,(N60:P60,Q60:AE60)),0)</f>
        <v>1</v>
      </c>
      <c r="F60" s="5">
        <f t="shared" si="13"/>
        <v>5</v>
      </c>
      <c r="G60" s="1">
        <f t="shared" si="14"/>
        <v>1078</v>
      </c>
      <c r="H60" s="2">
        <f t="shared" si="15"/>
        <v>0.20432145564821835</v>
      </c>
      <c r="I60" s="6"/>
      <c r="J60" s="2">
        <f t="shared" si="16"/>
        <v>0.36656557998483702</v>
      </c>
      <c r="K60" s="2">
        <f t="shared" si="17"/>
        <v>0.57088703563305532</v>
      </c>
      <c r="L60" s="2">
        <f t="shared" si="18"/>
        <v>1.3267626990144049E-3</v>
      </c>
      <c r="M60" s="2">
        <f t="shared" si="19"/>
        <v>6.1220621683093203E-2</v>
      </c>
      <c r="N60" s="63">
        <v>1934</v>
      </c>
      <c r="O60" s="63">
        <v>3012</v>
      </c>
      <c r="P60" s="63">
        <v>7</v>
      </c>
      <c r="Q60" s="63">
        <v>232</v>
      </c>
      <c r="R60" s="63">
        <v>89</v>
      </c>
      <c r="S60" s="63">
        <v>0</v>
      </c>
      <c r="T60" s="63">
        <v>0</v>
      </c>
      <c r="U60" s="63"/>
      <c r="V60" s="63">
        <v>1</v>
      </c>
      <c r="W60" s="63">
        <f t="shared" si="20"/>
        <v>1</v>
      </c>
      <c r="Y60" s="63">
        <v>0</v>
      </c>
      <c r="Z60" s="63"/>
      <c r="AA60" s="63"/>
      <c r="AB60" s="63"/>
      <c r="AE60" s="8">
        <v>0</v>
      </c>
      <c r="AM60">
        <v>0</v>
      </c>
      <c r="AQ60">
        <v>0</v>
      </c>
      <c r="AT60" t="str">
        <f t="shared" si="21"/>
        <v>Griswold</v>
      </c>
      <c r="AU60" t="s">
        <v>130</v>
      </c>
      <c r="AV60" s="8">
        <v>2</v>
      </c>
      <c r="AX60" s="114">
        <v>9</v>
      </c>
      <c r="AY60" s="116">
        <v>11</v>
      </c>
      <c r="AZ60" s="116">
        <v>25</v>
      </c>
      <c r="BA60" s="120">
        <v>33900</v>
      </c>
      <c r="BB60" s="120">
        <f t="shared" si="22"/>
        <v>9011</v>
      </c>
      <c r="BC60" t="s">
        <v>1472</v>
      </c>
      <c r="BD60" s="124">
        <f t="shared" si="23"/>
        <v>933900</v>
      </c>
      <c r="BI60">
        <v>37.1</v>
      </c>
      <c r="BJ60">
        <v>2.16</v>
      </c>
      <c r="BK60">
        <v>34.950000000000003</v>
      </c>
      <c r="BL60" s="2"/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hidden="1" outlineLevel="1">
      <c r="A61" t="s">
        <v>2482</v>
      </c>
      <c r="B61" s="8" t="s">
        <v>1485</v>
      </c>
      <c r="C61" s="1">
        <f t="shared" si="12"/>
        <v>15357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3"/>
        <v>5</v>
      </c>
      <c r="G61" s="1">
        <f t="shared" si="14"/>
        <v>2517</v>
      </c>
      <c r="H61" s="2">
        <f t="shared" si="15"/>
        <v>0.16389919906231687</v>
      </c>
      <c r="I61" s="6"/>
      <c r="J61" s="2">
        <f t="shared" si="16"/>
        <v>0.5504330272839747</v>
      </c>
      <c r="K61" s="2">
        <f t="shared" si="17"/>
        <v>0.38653382822165788</v>
      </c>
      <c r="L61" s="2">
        <f t="shared" si="18"/>
        <v>1.3674545809728462E-3</v>
      </c>
      <c r="M61" s="2">
        <f t="shared" si="19"/>
        <v>6.1665689913394578E-2</v>
      </c>
      <c r="N61" s="63">
        <v>8453</v>
      </c>
      <c r="O61" s="63">
        <v>5936</v>
      </c>
      <c r="P61" s="63">
        <v>21</v>
      </c>
      <c r="Q61" s="63">
        <v>662</v>
      </c>
      <c r="R61" s="63">
        <v>272</v>
      </c>
      <c r="S61" s="63">
        <v>5</v>
      </c>
      <c r="T61" s="63">
        <v>0</v>
      </c>
      <c r="U61" s="63"/>
      <c r="V61" s="63">
        <v>0</v>
      </c>
      <c r="W61" s="63">
        <f t="shared" si="20"/>
        <v>6</v>
      </c>
      <c r="Y61" s="63">
        <v>0</v>
      </c>
      <c r="Z61" s="63"/>
      <c r="AA61" s="63"/>
      <c r="AB61" s="63"/>
      <c r="AE61" s="8">
        <v>1</v>
      </c>
      <c r="AM61">
        <v>0</v>
      </c>
      <c r="AQ61">
        <v>1</v>
      </c>
      <c r="AT61" t="str">
        <f t="shared" si="21"/>
        <v>Groton</v>
      </c>
      <c r="AU61" t="s">
        <v>130</v>
      </c>
      <c r="AV61" s="8">
        <v>2</v>
      </c>
      <c r="AX61" s="114">
        <v>9</v>
      </c>
      <c r="AY61" s="116">
        <v>11</v>
      </c>
      <c r="AZ61" s="116">
        <v>30</v>
      </c>
      <c r="BA61" s="120">
        <v>34250</v>
      </c>
      <c r="BB61" s="120">
        <f t="shared" si="22"/>
        <v>9011</v>
      </c>
      <c r="BC61" t="s">
        <v>1472</v>
      </c>
      <c r="BD61" s="124">
        <f t="shared" si="23"/>
        <v>934250</v>
      </c>
      <c r="BI61">
        <v>45.2</v>
      </c>
      <c r="BJ61">
        <v>13.9</v>
      </c>
      <c r="BK61">
        <v>31.3</v>
      </c>
      <c r="BL61" s="2"/>
      <c r="BS61">
        <v>0</v>
      </c>
      <c r="BT61">
        <v>0</v>
      </c>
      <c r="BU61">
        <v>1</v>
      </c>
      <c r="BV61">
        <v>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0</v>
      </c>
      <c r="CD61">
        <v>0</v>
      </c>
    </row>
    <row r="62" spans="1:82" hidden="1" outlineLevel="1">
      <c r="A62" t="s">
        <v>1036</v>
      </c>
      <c r="B62" s="8" t="s">
        <v>1485</v>
      </c>
      <c r="C62" s="1">
        <f t="shared" si="12"/>
        <v>13323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3"/>
        <v>5</v>
      </c>
      <c r="G62" s="1">
        <f t="shared" si="14"/>
        <v>2935</v>
      </c>
      <c r="H62" s="2">
        <f t="shared" si="15"/>
        <v>0.22029572919012236</v>
      </c>
      <c r="I62" s="6"/>
      <c r="J62" s="2">
        <f t="shared" si="16"/>
        <v>0.59025744952338066</v>
      </c>
      <c r="K62" s="2">
        <f t="shared" si="17"/>
        <v>0.36996172033325825</v>
      </c>
      <c r="L62" s="2">
        <f t="shared" si="18"/>
        <v>2.1016287622907756E-3</v>
      </c>
      <c r="M62" s="2">
        <f t="shared" si="19"/>
        <v>3.7679201381070317E-2</v>
      </c>
      <c r="N62" s="63">
        <v>7864</v>
      </c>
      <c r="O62" s="63">
        <v>4929</v>
      </c>
      <c r="P62" s="63">
        <v>28</v>
      </c>
      <c r="Q62" s="63">
        <v>338</v>
      </c>
      <c r="R62" s="63">
        <v>159</v>
      </c>
      <c r="S62" s="63">
        <v>5</v>
      </c>
      <c r="T62" s="63">
        <v>0</v>
      </c>
      <c r="U62" s="63"/>
      <c r="V62" s="63">
        <v>0</v>
      </c>
      <c r="W62" s="63">
        <f t="shared" si="20"/>
        <v>0</v>
      </c>
      <c r="Y62" s="63">
        <v>0</v>
      </c>
      <c r="Z62" s="63"/>
      <c r="AA62" s="63"/>
      <c r="AB62" s="63"/>
      <c r="AE62" s="8">
        <v>0</v>
      </c>
      <c r="AM62">
        <v>0</v>
      </c>
      <c r="AQ62">
        <v>0</v>
      </c>
      <c r="AT62" t="str">
        <f t="shared" si="21"/>
        <v>Guilford</v>
      </c>
      <c r="AU62" t="s">
        <v>2797</v>
      </c>
      <c r="AV62" s="8">
        <v>3</v>
      </c>
      <c r="AX62" s="114">
        <v>9</v>
      </c>
      <c r="AY62" s="116">
        <v>9</v>
      </c>
      <c r="AZ62" s="116">
        <v>40</v>
      </c>
      <c r="BA62" s="120">
        <v>34950</v>
      </c>
      <c r="BB62" s="120">
        <f t="shared" si="22"/>
        <v>9009</v>
      </c>
      <c r="BC62" t="s">
        <v>1472</v>
      </c>
      <c r="BD62" s="124">
        <f t="shared" si="23"/>
        <v>934950</v>
      </c>
      <c r="BI62">
        <v>49.73</v>
      </c>
      <c r="BJ62">
        <v>2.68</v>
      </c>
      <c r="BK62">
        <v>47.05</v>
      </c>
      <c r="BL62" s="2"/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hidden="1" outlineLevel="1">
      <c r="A63" t="s">
        <v>2712</v>
      </c>
      <c r="B63" s="8" t="s">
        <v>1485</v>
      </c>
      <c r="C63" s="1">
        <f t="shared" si="12"/>
        <v>4970</v>
      </c>
      <c r="D63" s="5">
        <f>IF(N63&gt;0, RANK(N63,(N63:P63,Q63:AE63)),0)</f>
        <v>2</v>
      </c>
      <c r="E63" s="5">
        <f>IF(O63&gt;0,RANK(O63,(N63:P63,Q63:AE63)),0)</f>
        <v>1</v>
      </c>
      <c r="F63" s="5">
        <f t="shared" si="13"/>
        <v>5</v>
      </c>
      <c r="G63" s="1">
        <f t="shared" si="14"/>
        <v>415</v>
      </c>
      <c r="H63" s="2">
        <f t="shared" si="15"/>
        <v>8.350100603621731E-2</v>
      </c>
      <c r="I63" s="6"/>
      <c r="J63" s="2">
        <f t="shared" si="16"/>
        <v>0.43078470824949699</v>
      </c>
      <c r="K63" s="2">
        <f t="shared" si="17"/>
        <v>0.51428571428571423</v>
      </c>
      <c r="L63" s="2">
        <f t="shared" si="18"/>
        <v>1.6096579476861167E-3</v>
      </c>
      <c r="M63" s="2">
        <f t="shared" si="19"/>
        <v>5.3319919517102653E-2</v>
      </c>
      <c r="N63" s="63">
        <v>2141</v>
      </c>
      <c r="O63" s="63">
        <v>2556</v>
      </c>
      <c r="P63" s="63">
        <v>8</v>
      </c>
      <c r="Q63" s="63">
        <v>171</v>
      </c>
      <c r="R63" s="63">
        <v>93</v>
      </c>
      <c r="S63" s="63">
        <v>0</v>
      </c>
      <c r="T63" s="63">
        <v>0</v>
      </c>
      <c r="U63" s="63"/>
      <c r="V63" s="63">
        <v>0</v>
      </c>
      <c r="W63" s="63">
        <f t="shared" si="20"/>
        <v>1</v>
      </c>
      <c r="Y63" s="63">
        <v>0</v>
      </c>
      <c r="Z63" s="63"/>
      <c r="AA63" s="63"/>
      <c r="AB63" s="63"/>
      <c r="AE63" s="8">
        <v>0</v>
      </c>
      <c r="AM63">
        <v>0</v>
      </c>
      <c r="AQ63">
        <v>0</v>
      </c>
      <c r="AT63" t="str">
        <f t="shared" si="21"/>
        <v>Haddam</v>
      </c>
      <c r="AU63" t="s">
        <v>503</v>
      </c>
      <c r="AV63" s="8">
        <v>2</v>
      </c>
      <c r="AX63" s="114">
        <v>9</v>
      </c>
      <c r="AY63" s="116">
        <v>7</v>
      </c>
      <c r="AZ63" s="116">
        <v>45</v>
      </c>
      <c r="BA63" s="120">
        <v>35230</v>
      </c>
      <c r="BB63" s="120">
        <f t="shared" si="22"/>
        <v>9007</v>
      </c>
      <c r="BC63" t="s">
        <v>1472</v>
      </c>
      <c r="BD63" s="124">
        <f t="shared" si="23"/>
        <v>935230</v>
      </c>
      <c r="BI63">
        <v>46.35</v>
      </c>
      <c r="BJ63">
        <v>2.3199999999999998</v>
      </c>
      <c r="BK63">
        <v>44.03</v>
      </c>
      <c r="BL63" s="2"/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</row>
    <row r="64" spans="1:82" hidden="1" outlineLevel="1">
      <c r="A64" t="s">
        <v>2979</v>
      </c>
      <c r="B64" s="8" t="s">
        <v>1485</v>
      </c>
      <c r="C64" s="1">
        <f t="shared" si="12"/>
        <v>27695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3"/>
        <v>5</v>
      </c>
      <c r="G64" s="1">
        <f t="shared" si="14"/>
        <v>11172</v>
      </c>
      <c r="H64" s="2">
        <f t="shared" si="15"/>
        <v>0.40339411446109408</v>
      </c>
      <c r="I64" s="6"/>
      <c r="J64" s="2">
        <f t="shared" si="16"/>
        <v>0.68467232352410179</v>
      </c>
      <c r="K64" s="2">
        <f t="shared" si="17"/>
        <v>0.28127820906300777</v>
      </c>
      <c r="L64" s="2">
        <f t="shared" si="18"/>
        <v>1.4804116266474094E-3</v>
      </c>
      <c r="M64" s="2">
        <f t="shared" si="19"/>
        <v>3.2569055786243035E-2</v>
      </c>
      <c r="N64" s="63">
        <v>18962</v>
      </c>
      <c r="O64" s="63">
        <v>7790</v>
      </c>
      <c r="P64" s="63">
        <v>41</v>
      </c>
      <c r="Q64" s="63">
        <v>549</v>
      </c>
      <c r="R64" s="63">
        <v>348</v>
      </c>
      <c r="S64" s="63">
        <v>1</v>
      </c>
      <c r="T64" s="63">
        <v>0</v>
      </c>
      <c r="U64" s="63"/>
      <c r="V64" s="63">
        <v>1</v>
      </c>
      <c r="W64" s="63">
        <f t="shared" si="20"/>
        <v>2</v>
      </c>
      <c r="Y64" s="63">
        <v>0</v>
      </c>
      <c r="Z64" s="63"/>
      <c r="AA64" s="63"/>
      <c r="AB64" s="63"/>
      <c r="AE64" s="8">
        <v>0</v>
      </c>
      <c r="AM64">
        <v>0</v>
      </c>
      <c r="AQ64">
        <v>1</v>
      </c>
      <c r="AT64" t="str">
        <f t="shared" si="21"/>
        <v>Hamden</v>
      </c>
      <c r="AU64" t="s">
        <v>2797</v>
      </c>
      <c r="AV64" s="8">
        <v>3</v>
      </c>
      <c r="AX64" s="114">
        <v>9</v>
      </c>
      <c r="AY64" s="116">
        <v>9</v>
      </c>
      <c r="AZ64" s="116">
        <v>45</v>
      </c>
      <c r="BA64" s="120">
        <v>35650</v>
      </c>
      <c r="BB64" s="120">
        <f t="shared" si="22"/>
        <v>9009</v>
      </c>
      <c r="BC64" t="s">
        <v>1472</v>
      </c>
      <c r="BD64" s="124">
        <f t="shared" si="23"/>
        <v>935650</v>
      </c>
      <c r="BI64">
        <v>33.32</v>
      </c>
      <c r="BJ64">
        <v>0.54</v>
      </c>
      <c r="BK64">
        <v>32.78</v>
      </c>
      <c r="BL64" s="2"/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hidden="1" outlineLevel="1">
      <c r="A65" t="s">
        <v>719</v>
      </c>
      <c r="B65" s="8" t="s">
        <v>1485</v>
      </c>
      <c r="C65" s="1">
        <f t="shared" si="12"/>
        <v>1059</v>
      </c>
      <c r="D65" s="5">
        <f>IF(N65&gt;0, RANK(N65,(N65:P65,Q65:AE65)),0)</f>
        <v>2</v>
      </c>
      <c r="E65" s="5">
        <f>IF(O65&gt;0,RANK(O65,(N65:P65,Q65:AE65)),0)</f>
        <v>1</v>
      </c>
      <c r="F65" s="5">
        <f t="shared" si="13"/>
        <v>5</v>
      </c>
      <c r="G65" s="1">
        <f t="shared" si="14"/>
        <v>25</v>
      </c>
      <c r="H65" s="2">
        <f t="shared" si="15"/>
        <v>2.3607176581680833E-2</v>
      </c>
      <c r="I65" s="6"/>
      <c r="J65" s="2">
        <f t="shared" si="16"/>
        <v>0.45703493862134087</v>
      </c>
      <c r="K65" s="2">
        <f t="shared" si="17"/>
        <v>0.48064211520302169</v>
      </c>
      <c r="L65" s="2">
        <f t="shared" si="18"/>
        <v>9.4428706326723328E-4</v>
      </c>
      <c r="M65" s="2">
        <f t="shared" si="19"/>
        <v>6.1378659112370261E-2</v>
      </c>
      <c r="N65" s="63">
        <v>484</v>
      </c>
      <c r="O65" s="63">
        <v>509</v>
      </c>
      <c r="P65" s="63">
        <v>1</v>
      </c>
      <c r="Q65" s="63">
        <v>37</v>
      </c>
      <c r="R65" s="63">
        <v>27</v>
      </c>
      <c r="S65" s="63">
        <v>0</v>
      </c>
      <c r="T65" s="63">
        <v>0</v>
      </c>
      <c r="U65" s="63"/>
      <c r="V65" s="63">
        <v>0</v>
      </c>
      <c r="W65" s="63">
        <f t="shared" si="20"/>
        <v>1</v>
      </c>
      <c r="Y65" s="63">
        <v>0</v>
      </c>
      <c r="Z65" s="63"/>
      <c r="AA65" s="63"/>
      <c r="AB65" s="63"/>
      <c r="AE65" s="8">
        <v>0</v>
      </c>
      <c r="AM65">
        <v>0</v>
      </c>
      <c r="AQ65">
        <v>0</v>
      </c>
      <c r="AT65" t="str">
        <f t="shared" si="21"/>
        <v>Hampton</v>
      </c>
      <c r="AU65" t="s">
        <v>2129</v>
      </c>
      <c r="AV65" s="8">
        <v>2</v>
      </c>
      <c r="AX65" s="114">
        <v>9</v>
      </c>
      <c r="AY65" s="116">
        <v>15</v>
      </c>
      <c r="AZ65" s="116">
        <v>30</v>
      </c>
      <c r="BA65" s="120">
        <v>36000</v>
      </c>
      <c r="BB65" s="120">
        <f t="shared" si="22"/>
        <v>9015</v>
      </c>
      <c r="BC65" t="s">
        <v>1472</v>
      </c>
      <c r="BD65" s="124">
        <f t="shared" si="23"/>
        <v>936000</v>
      </c>
      <c r="BI65">
        <v>25.5</v>
      </c>
      <c r="BJ65">
        <v>0.5</v>
      </c>
      <c r="BK65">
        <v>25</v>
      </c>
      <c r="BL65" s="2"/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hidden="1" outlineLevel="1">
      <c r="A66" t="s">
        <v>1737</v>
      </c>
      <c r="B66" s="8" t="s">
        <v>1485</v>
      </c>
      <c r="C66" s="1">
        <f t="shared" si="12"/>
        <v>33667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3"/>
        <v>5</v>
      </c>
      <c r="G66" s="1">
        <f t="shared" si="14"/>
        <v>27844</v>
      </c>
      <c r="H66" s="2">
        <f t="shared" si="15"/>
        <v>0.8270413164226097</v>
      </c>
      <c r="I66" s="6"/>
      <c r="J66" s="2">
        <f t="shared" si="16"/>
        <v>0.90221878991297111</v>
      </c>
      <c r="K66" s="2">
        <f t="shared" si="17"/>
        <v>7.5177473490361482E-2</v>
      </c>
      <c r="L66" s="2">
        <f t="shared" si="18"/>
        <v>8.9108028633379862E-5</v>
      </c>
      <c r="M66" s="2">
        <f t="shared" si="19"/>
        <v>2.2514628568034028E-2</v>
      </c>
      <c r="N66" s="63">
        <v>30375</v>
      </c>
      <c r="O66" s="63">
        <v>2531</v>
      </c>
      <c r="P66" s="63">
        <v>3</v>
      </c>
      <c r="Q66" s="63">
        <v>356</v>
      </c>
      <c r="R66" s="63">
        <v>401</v>
      </c>
      <c r="S66" s="63">
        <v>0</v>
      </c>
      <c r="T66" s="63">
        <v>0</v>
      </c>
      <c r="U66" s="63"/>
      <c r="V66" s="63">
        <v>0</v>
      </c>
      <c r="W66" s="63">
        <f t="shared" si="20"/>
        <v>1</v>
      </c>
      <c r="Y66" s="63">
        <v>0</v>
      </c>
      <c r="Z66" s="63"/>
      <c r="AA66" s="63"/>
      <c r="AB66" s="63"/>
      <c r="AE66" s="8">
        <v>0</v>
      </c>
      <c r="AM66">
        <v>0</v>
      </c>
      <c r="AQ66">
        <v>0</v>
      </c>
      <c r="AT66" t="str">
        <f t="shared" si="21"/>
        <v>Hartford</v>
      </c>
      <c r="AU66" t="s">
        <v>1737</v>
      </c>
      <c r="AV66" s="8">
        <v>1</v>
      </c>
      <c r="AX66" s="114">
        <v>9</v>
      </c>
      <c r="AY66" s="116">
        <v>3</v>
      </c>
      <c r="AZ66" s="116">
        <v>70</v>
      </c>
      <c r="BA66" s="120">
        <v>37070</v>
      </c>
      <c r="BB66" s="120">
        <f t="shared" si="22"/>
        <v>9003</v>
      </c>
      <c r="BC66" t="s">
        <v>1472</v>
      </c>
      <c r="BD66" s="124">
        <f t="shared" si="23"/>
        <v>937070</v>
      </c>
      <c r="BI66">
        <v>17.97</v>
      </c>
      <c r="BJ66">
        <v>0.66</v>
      </c>
      <c r="BK66">
        <v>17.309999999999999</v>
      </c>
      <c r="BL66" s="2"/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hidden="1" outlineLevel="1">
      <c r="A67" t="s">
        <v>2373</v>
      </c>
      <c r="B67" s="8" t="s">
        <v>1485</v>
      </c>
      <c r="C67" s="1">
        <f t="shared" ref="C67:C98" si="24">SUM(N67:AR67)</f>
        <v>1238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5">IF(P67&gt;0,RANK(P67,(N67:AE67)),0)</f>
        <v>5</v>
      </c>
      <c r="G67" s="1">
        <f t="shared" ref="G67:G98" si="26">IF(C67&gt;0,MAX(N67:P67)-LARGE(N67:P67,2),0)</f>
        <v>455</v>
      </c>
      <c r="H67" s="2">
        <f t="shared" ref="H67:H98" si="27">IF(C67&gt;0,G67/C67,0)</f>
        <v>0.36752827140549271</v>
      </c>
      <c r="I67" s="6"/>
      <c r="J67" s="2">
        <f t="shared" ref="J67:J98" si="28">IF(C67=0,"-",N67/C67)</f>
        <v>0.28190630048465265</v>
      </c>
      <c r="K67" s="2">
        <f t="shared" ref="K67:K98" si="29">IF(C67=0,"-",O67/C67)</f>
        <v>0.64943457189014542</v>
      </c>
      <c r="L67" s="2">
        <f t="shared" ref="L67:L98" si="30">IF(C67=0,"-",P67/C67)</f>
        <v>4.0387722132471729E-3</v>
      </c>
      <c r="M67" s="2">
        <f t="shared" ref="M67:M98" si="31">IF(C67=0,"-",(1-J67-K67-L67))</f>
        <v>6.4620355411954711E-2</v>
      </c>
      <c r="N67" s="63">
        <v>349</v>
      </c>
      <c r="O67" s="63">
        <v>804</v>
      </c>
      <c r="P67" s="63">
        <v>5</v>
      </c>
      <c r="Q67" s="63">
        <v>48</v>
      </c>
      <c r="R67" s="63">
        <v>31</v>
      </c>
      <c r="S67" s="63">
        <v>0</v>
      </c>
      <c r="T67" s="63">
        <v>0</v>
      </c>
      <c r="U67" s="63"/>
      <c r="V67" s="63">
        <v>0</v>
      </c>
      <c r="W67" s="63">
        <f t="shared" ref="W67:W98" si="32">SUM(BS67:CD67)</f>
        <v>1</v>
      </c>
      <c r="Y67" s="63">
        <v>0</v>
      </c>
      <c r="Z67" s="63"/>
      <c r="AA67" s="63"/>
      <c r="AB67" s="63"/>
      <c r="AE67" s="8">
        <v>0</v>
      </c>
      <c r="AM67">
        <v>0</v>
      </c>
      <c r="AQ67">
        <v>0</v>
      </c>
      <c r="AT67" t="str">
        <f t="shared" ref="AT67:AT98" si="33">A67</f>
        <v>Hartland</v>
      </c>
      <c r="AU67" t="s">
        <v>1737</v>
      </c>
      <c r="AV67" s="8">
        <v>1</v>
      </c>
      <c r="AX67" s="114">
        <v>9</v>
      </c>
      <c r="AY67" s="116">
        <v>3</v>
      </c>
      <c r="AZ67" s="116">
        <v>75</v>
      </c>
      <c r="BA67" s="120">
        <v>37140</v>
      </c>
      <c r="BB67" s="120">
        <f t="shared" ref="BB67:BB98" si="34">AX67*1000+AY67</f>
        <v>9003</v>
      </c>
      <c r="BC67" t="s">
        <v>1472</v>
      </c>
      <c r="BD67" s="124">
        <f t="shared" ref="BD67:BD98" si="35">AX67*100000+BA67</f>
        <v>937140</v>
      </c>
      <c r="BI67">
        <v>34.57</v>
      </c>
      <c r="BJ67">
        <v>1.54</v>
      </c>
      <c r="BK67">
        <v>33.03</v>
      </c>
      <c r="BL67" s="2"/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hidden="1" outlineLevel="1">
      <c r="A68" t="s">
        <v>508</v>
      </c>
      <c r="B68" s="8" t="s">
        <v>1485</v>
      </c>
      <c r="C68" s="1">
        <f t="shared" si="24"/>
        <v>3407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5"/>
        <v>5</v>
      </c>
      <c r="G68" s="1">
        <f t="shared" si="26"/>
        <v>976</v>
      </c>
      <c r="H68" s="2">
        <f t="shared" si="27"/>
        <v>0.28646903434106252</v>
      </c>
      <c r="I68" s="6"/>
      <c r="J68" s="2">
        <f t="shared" si="28"/>
        <v>0.33196360434399763</v>
      </c>
      <c r="K68" s="2">
        <f t="shared" si="29"/>
        <v>0.61843263868506015</v>
      </c>
      <c r="L68" s="2">
        <f t="shared" si="30"/>
        <v>1.7610801291458762E-3</v>
      </c>
      <c r="M68" s="2">
        <f t="shared" si="31"/>
        <v>4.7842676841796342E-2</v>
      </c>
      <c r="N68" s="63">
        <v>1131</v>
      </c>
      <c r="O68" s="63">
        <v>2107</v>
      </c>
      <c r="P68" s="63">
        <v>6</v>
      </c>
      <c r="Q68" s="63">
        <v>117</v>
      </c>
      <c r="R68" s="63">
        <v>41</v>
      </c>
      <c r="S68" s="63">
        <v>2</v>
      </c>
      <c r="T68" s="63">
        <v>0</v>
      </c>
      <c r="U68" s="63"/>
      <c r="V68" s="63">
        <v>0</v>
      </c>
      <c r="W68" s="63">
        <f t="shared" si="32"/>
        <v>2</v>
      </c>
      <c r="Y68" s="63">
        <v>0</v>
      </c>
      <c r="Z68" s="63"/>
      <c r="AA68" s="63"/>
      <c r="AB68" s="63"/>
      <c r="AE68" s="8">
        <v>1</v>
      </c>
      <c r="AM68">
        <v>0</v>
      </c>
      <c r="AQ68">
        <v>0</v>
      </c>
      <c r="AT68" t="str">
        <f t="shared" si="33"/>
        <v>Harwinton</v>
      </c>
      <c r="AU68" t="s">
        <v>1276</v>
      </c>
      <c r="AV68" s="8">
        <v>5</v>
      </c>
      <c r="AX68" s="114">
        <v>9</v>
      </c>
      <c r="AY68" s="116">
        <v>5</v>
      </c>
      <c r="AZ68" s="116">
        <v>40</v>
      </c>
      <c r="BA68" s="120">
        <v>37280</v>
      </c>
      <c r="BB68" s="120">
        <f t="shared" si="34"/>
        <v>9005</v>
      </c>
      <c r="BC68" t="s">
        <v>1472</v>
      </c>
      <c r="BD68" s="124">
        <f t="shared" si="35"/>
        <v>937280</v>
      </c>
      <c r="BI68">
        <v>31.1</v>
      </c>
      <c r="BJ68">
        <v>0.35</v>
      </c>
      <c r="BK68">
        <v>30.75</v>
      </c>
      <c r="BL68" s="2"/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</row>
    <row r="69" spans="1:82" hidden="1" outlineLevel="1">
      <c r="A69" t="s">
        <v>976</v>
      </c>
      <c r="B69" s="8" t="s">
        <v>1485</v>
      </c>
      <c r="C69" s="1">
        <f t="shared" si="24"/>
        <v>5486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5"/>
        <v>6</v>
      </c>
      <c r="G69" s="1">
        <f t="shared" si="26"/>
        <v>72</v>
      </c>
      <c r="H69" s="2">
        <f t="shared" si="27"/>
        <v>1.3124316441851986E-2</v>
      </c>
      <c r="I69" s="6"/>
      <c r="J69" s="2">
        <f t="shared" si="28"/>
        <v>0.47885526795479399</v>
      </c>
      <c r="K69" s="2">
        <f t="shared" si="29"/>
        <v>0.46573095151294203</v>
      </c>
      <c r="L69" s="2">
        <f t="shared" si="30"/>
        <v>1.2759752096244987E-3</v>
      </c>
      <c r="M69" s="2">
        <f t="shared" si="31"/>
        <v>5.4137805322639537E-2</v>
      </c>
      <c r="N69" s="63">
        <v>2627</v>
      </c>
      <c r="O69" s="63">
        <v>2555</v>
      </c>
      <c r="P69" s="63">
        <v>7</v>
      </c>
      <c r="Q69" s="63">
        <v>206</v>
      </c>
      <c r="R69" s="63">
        <v>82</v>
      </c>
      <c r="S69" s="63">
        <v>1</v>
      </c>
      <c r="T69" s="63">
        <v>0</v>
      </c>
      <c r="U69" s="63"/>
      <c r="V69" s="63">
        <v>0</v>
      </c>
      <c r="W69" s="63">
        <f t="shared" si="32"/>
        <v>8</v>
      </c>
      <c r="Y69" s="63">
        <v>0</v>
      </c>
      <c r="Z69" s="63"/>
      <c r="AA69" s="63"/>
      <c r="AB69" s="63"/>
      <c r="AE69" s="8">
        <v>0</v>
      </c>
      <c r="AM69">
        <v>0</v>
      </c>
      <c r="AQ69">
        <v>0</v>
      </c>
      <c r="AT69" t="str">
        <f t="shared" si="33"/>
        <v>Hebron</v>
      </c>
      <c r="AU69" t="s">
        <v>67</v>
      </c>
      <c r="AV69" s="8">
        <v>2</v>
      </c>
      <c r="AX69" s="114">
        <v>9</v>
      </c>
      <c r="AY69" s="116">
        <v>13</v>
      </c>
      <c r="AZ69" s="116">
        <v>30</v>
      </c>
      <c r="BA69" s="120">
        <v>37910</v>
      </c>
      <c r="BB69" s="120">
        <f t="shared" si="34"/>
        <v>9013</v>
      </c>
      <c r="BC69" t="s">
        <v>1472</v>
      </c>
      <c r="BD69" s="124">
        <f t="shared" si="35"/>
        <v>937910</v>
      </c>
      <c r="BI69">
        <v>37.26</v>
      </c>
      <c r="BJ69">
        <v>0.36</v>
      </c>
      <c r="BK69">
        <v>36.9</v>
      </c>
      <c r="BL69" s="2"/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6</v>
      </c>
      <c r="BZ69">
        <v>0</v>
      </c>
      <c r="CA69">
        <v>0</v>
      </c>
      <c r="CB69">
        <v>1</v>
      </c>
      <c r="CC69">
        <v>1</v>
      </c>
      <c r="CD69">
        <v>0</v>
      </c>
    </row>
    <row r="70" spans="1:82" hidden="1" outlineLevel="1">
      <c r="A70" t="s">
        <v>725</v>
      </c>
      <c r="B70" s="8" t="s">
        <v>1485</v>
      </c>
      <c r="C70" s="1">
        <f t="shared" si="24"/>
        <v>1716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5"/>
        <v>5</v>
      </c>
      <c r="G70" s="1">
        <f t="shared" si="26"/>
        <v>522</v>
      </c>
      <c r="H70" s="2">
        <f t="shared" si="27"/>
        <v>0.30419580419580422</v>
      </c>
      <c r="I70" s="6"/>
      <c r="J70" s="2">
        <f t="shared" si="28"/>
        <v>0.62995337995337997</v>
      </c>
      <c r="K70" s="2">
        <f t="shared" si="29"/>
        <v>0.32575757575757575</v>
      </c>
      <c r="L70" s="2">
        <f t="shared" si="30"/>
        <v>2.331002331002331E-3</v>
      </c>
      <c r="M70" s="2">
        <f t="shared" si="31"/>
        <v>4.195804195804196E-2</v>
      </c>
      <c r="N70" s="63">
        <v>1081</v>
      </c>
      <c r="O70" s="63">
        <v>559</v>
      </c>
      <c r="P70" s="63">
        <v>4</v>
      </c>
      <c r="Q70" s="63">
        <v>45</v>
      </c>
      <c r="R70" s="63">
        <v>27</v>
      </c>
      <c r="S70" s="63">
        <v>0</v>
      </c>
      <c r="T70" s="63">
        <v>0</v>
      </c>
      <c r="U70" s="63"/>
      <c r="V70" s="63">
        <v>0</v>
      </c>
      <c r="W70" s="63">
        <f t="shared" si="32"/>
        <v>0</v>
      </c>
      <c r="Y70" s="63">
        <v>0</v>
      </c>
      <c r="Z70" s="63"/>
      <c r="AA70" s="63"/>
      <c r="AB70" s="63"/>
      <c r="AE70" s="8">
        <v>0</v>
      </c>
      <c r="AM70">
        <v>0</v>
      </c>
      <c r="AQ70">
        <v>0</v>
      </c>
      <c r="AT70" t="str">
        <f t="shared" si="33"/>
        <v>Kent</v>
      </c>
      <c r="AU70" t="s">
        <v>1276</v>
      </c>
      <c r="AV70" s="8">
        <v>5</v>
      </c>
      <c r="AX70" s="114">
        <v>9</v>
      </c>
      <c r="AY70" s="116">
        <v>5</v>
      </c>
      <c r="AZ70" s="116">
        <v>45</v>
      </c>
      <c r="BA70" s="120">
        <v>40290</v>
      </c>
      <c r="BB70" s="120">
        <f t="shared" si="34"/>
        <v>9005</v>
      </c>
      <c r="BC70" t="s">
        <v>1472</v>
      </c>
      <c r="BD70" s="124">
        <f t="shared" si="35"/>
        <v>940290</v>
      </c>
      <c r="BI70">
        <v>49.59</v>
      </c>
      <c r="BJ70">
        <v>1.1200000000000001</v>
      </c>
      <c r="BK70">
        <v>48.47</v>
      </c>
      <c r="BL70" s="2"/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hidden="1" outlineLevel="1">
      <c r="A71" t="s">
        <v>2571</v>
      </c>
      <c r="B71" s="8" t="s">
        <v>1485</v>
      </c>
      <c r="C71" s="1">
        <f t="shared" si="24"/>
        <v>6888</v>
      </c>
      <c r="D71" s="5">
        <f>IF(N71&gt;0, RANK(N71,(N71:P71,Q71:AE71)),0)</f>
        <v>2</v>
      </c>
      <c r="E71" s="5">
        <f>IF(O71&gt;0,RANK(O71,(N71:P71,Q71:AE71)),0)</f>
        <v>1</v>
      </c>
      <c r="F71" s="5">
        <f t="shared" si="25"/>
        <v>6</v>
      </c>
      <c r="G71" s="1">
        <f t="shared" si="26"/>
        <v>1425</v>
      </c>
      <c r="H71" s="2">
        <f t="shared" si="27"/>
        <v>0.20688153310104529</v>
      </c>
      <c r="I71" s="6"/>
      <c r="J71" s="2">
        <f t="shared" si="28"/>
        <v>0.36164343786295006</v>
      </c>
      <c r="K71" s="2">
        <f t="shared" si="29"/>
        <v>0.56852497096399535</v>
      </c>
      <c r="L71" s="2">
        <f t="shared" si="30"/>
        <v>5.8072009291521487E-4</v>
      </c>
      <c r="M71" s="2">
        <f t="shared" si="31"/>
        <v>6.9250871080139387E-2</v>
      </c>
      <c r="N71" s="63">
        <v>2491</v>
      </c>
      <c r="O71" s="63">
        <v>3916</v>
      </c>
      <c r="P71" s="63">
        <v>4</v>
      </c>
      <c r="Q71" s="63">
        <v>326</v>
      </c>
      <c r="R71" s="63">
        <v>141</v>
      </c>
      <c r="S71" s="63">
        <v>0</v>
      </c>
      <c r="T71" s="63">
        <v>0</v>
      </c>
      <c r="U71" s="63"/>
      <c r="V71" s="63">
        <v>0</v>
      </c>
      <c r="W71" s="63">
        <f t="shared" si="32"/>
        <v>10</v>
      </c>
      <c r="Y71" s="63">
        <v>0</v>
      </c>
      <c r="Z71" s="63"/>
      <c r="AA71" s="63"/>
      <c r="AB71" s="63"/>
      <c r="AE71" s="8">
        <v>0</v>
      </c>
      <c r="AM71">
        <v>0</v>
      </c>
      <c r="AQ71">
        <v>0</v>
      </c>
      <c r="AT71" t="str">
        <f t="shared" si="33"/>
        <v>Killingly</v>
      </c>
      <c r="AU71" t="s">
        <v>2129</v>
      </c>
      <c r="AV71" s="8">
        <v>2</v>
      </c>
      <c r="AX71" s="114">
        <v>9</v>
      </c>
      <c r="AY71" s="116">
        <v>15</v>
      </c>
      <c r="AZ71" s="116">
        <v>35</v>
      </c>
      <c r="BA71" s="120">
        <v>40500</v>
      </c>
      <c r="BB71" s="120">
        <f t="shared" si="34"/>
        <v>9015</v>
      </c>
      <c r="BC71" t="s">
        <v>1472</v>
      </c>
      <c r="BD71" s="124">
        <f t="shared" si="35"/>
        <v>940500</v>
      </c>
      <c r="BI71">
        <v>49.99</v>
      </c>
      <c r="BJ71">
        <v>1.47</v>
      </c>
      <c r="BK71">
        <v>48.52</v>
      </c>
      <c r="BL71" s="2"/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hidden="1" outlineLevel="1">
      <c r="A72" t="s">
        <v>1776</v>
      </c>
      <c r="B72" s="8" t="s">
        <v>1485</v>
      </c>
      <c r="C72" s="1">
        <f t="shared" si="24"/>
        <v>4015</v>
      </c>
      <c r="D72" s="5">
        <f>IF(N72&gt;0, RANK(N72,(N72:P72,Q72:AE72)),0)</f>
        <v>2</v>
      </c>
      <c r="E72" s="5">
        <f>IF(O72&gt;0,RANK(O72,(N72:P72,Q72:AE72)),0)</f>
        <v>1</v>
      </c>
      <c r="F72" s="5">
        <f t="shared" si="25"/>
        <v>5</v>
      </c>
      <c r="G72" s="1">
        <f t="shared" si="26"/>
        <v>48</v>
      </c>
      <c r="H72" s="2">
        <f t="shared" si="27"/>
        <v>1.1955168119551681E-2</v>
      </c>
      <c r="I72" s="6"/>
      <c r="J72" s="2">
        <f t="shared" si="28"/>
        <v>0.47198007471980075</v>
      </c>
      <c r="K72" s="2">
        <f t="shared" si="29"/>
        <v>0.48393524283935241</v>
      </c>
      <c r="L72" s="2">
        <f t="shared" si="30"/>
        <v>4.9813200498132002E-4</v>
      </c>
      <c r="M72" s="2">
        <f t="shared" si="31"/>
        <v>4.3586550435865526E-2</v>
      </c>
      <c r="N72" s="63">
        <v>1895</v>
      </c>
      <c r="O72" s="63">
        <v>1943</v>
      </c>
      <c r="P72" s="63">
        <v>2</v>
      </c>
      <c r="Q72" s="63">
        <v>119</v>
      </c>
      <c r="R72" s="63">
        <v>55</v>
      </c>
      <c r="S72" s="63">
        <v>0</v>
      </c>
      <c r="T72" s="63">
        <v>0</v>
      </c>
      <c r="U72" s="63"/>
      <c r="V72" s="63">
        <v>0</v>
      </c>
      <c r="W72" s="63">
        <f t="shared" si="32"/>
        <v>1</v>
      </c>
      <c r="Y72" s="63">
        <v>0</v>
      </c>
      <c r="Z72" s="63"/>
      <c r="AA72" s="63"/>
      <c r="AB72" s="63"/>
      <c r="AE72" s="8">
        <v>0</v>
      </c>
      <c r="AM72">
        <v>0</v>
      </c>
      <c r="AQ72">
        <v>0</v>
      </c>
      <c r="AT72" t="str">
        <f t="shared" si="33"/>
        <v>Killingworth</v>
      </c>
      <c r="AU72" t="s">
        <v>503</v>
      </c>
      <c r="AV72" s="8">
        <v>2</v>
      </c>
      <c r="AX72" s="114">
        <v>9</v>
      </c>
      <c r="AY72" s="116">
        <v>7</v>
      </c>
      <c r="AZ72" s="116">
        <v>50</v>
      </c>
      <c r="BA72" s="120">
        <v>40710</v>
      </c>
      <c r="BB72" s="120">
        <f t="shared" si="34"/>
        <v>9007</v>
      </c>
      <c r="BC72" t="s">
        <v>1472</v>
      </c>
      <c r="BD72" s="124">
        <f t="shared" si="35"/>
        <v>940710</v>
      </c>
      <c r="BI72">
        <v>35.81</v>
      </c>
      <c r="BJ72">
        <v>0.48</v>
      </c>
      <c r="BK72">
        <v>35.33</v>
      </c>
      <c r="BL72" s="2"/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hidden="1" outlineLevel="1">
      <c r="A73" t="s">
        <v>188</v>
      </c>
      <c r="B73" s="8" t="s">
        <v>1485</v>
      </c>
      <c r="C73" s="1">
        <f t="shared" si="24"/>
        <v>3948</v>
      </c>
      <c r="D73" s="5">
        <f>IF(N73&gt;0, RANK(N73,(N73:P73,Q73:AE73)),0)</f>
        <v>2</v>
      </c>
      <c r="E73" s="5">
        <f>IF(O73&gt;0,RANK(O73,(N73:P73,Q73:AE73)),0)</f>
        <v>1</v>
      </c>
      <c r="F73" s="5">
        <f t="shared" si="25"/>
        <v>6</v>
      </c>
      <c r="G73" s="1">
        <f t="shared" si="26"/>
        <v>532</v>
      </c>
      <c r="H73" s="2">
        <f t="shared" si="27"/>
        <v>0.13475177304964539</v>
      </c>
      <c r="I73" s="6"/>
      <c r="J73" s="2">
        <f t="shared" si="28"/>
        <v>0.40096251266464034</v>
      </c>
      <c r="K73" s="2">
        <f t="shared" si="29"/>
        <v>0.5357142857142857</v>
      </c>
      <c r="L73" s="2">
        <f t="shared" si="30"/>
        <v>2.5329280648429586E-4</v>
      </c>
      <c r="M73" s="2">
        <f t="shared" si="31"/>
        <v>6.3069908814589667E-2</v>
      </c>
      <c r="N73" s="63">
        <v>1583</v>
      </c>
      <c r="O73" s="63">
        <v>2115</v>
      </c>
      <c r="P73" s="63">
        <v>1</v>
      </c>
      <c r="Q73" s="63">
        <v>174</v>
      </c>
      <c r="R73" s="63">
        <v>66</v>
      </c>
      <c r="S73" s="63">
        <v>1</v>
      </c>
      <c r="T73" s="63">
        <v>0</v>
      </c>
      <c r="U73" s="63"/>
      <c r="V73" s="63">
        <v>0</v>
      </c>
      <c r="W73" s="63">
        <f t="shared" si="32"/>
        <v>7</v>
      </c>
      <c r="Y73" s="63">
        <v>0</v>
      </c>
      <c r="Z73" s="63"/>
      <c r="AA73" s="63"/>
      <c r="AB73" s="63"/>
      <c r="AE73" s="8">
        <v>0</v>
      </c>
      <c r="AM73">
        <v>0</v>
      </c>
      <c r="AQ73">
        <v>1</v>
      </c>
      <c r="AT73" t="str">
        <f t="shared" si="33"/>
        <v>Lebanon</v>
      </c>
      <c r="AU73" t="s">
        <v>130</v>
      </c>
      <c r="AV73" s="8">
        <v>2</v>
      </c>
      <c r="AX73" s="114">
        <v>9</v>
      </c>
      <c r="AY73" s="116">
        <v>11</v>
      </c>
      <c r="AZ73" s="116">
        <v>35</v>
      </c>
      <c r="BA73" s="120">
        <v>42390</v>
      </c>
      <c r="BB73" s="120">
        <f t="shared" si="34"/>
        <v>9011</v>
      </c>
      <c r="BC73" t="s">
        <v>1472</v>
      </c>
      <c r="BD73" s="124">
        <f t="shared" si="35"/>
        <v>942390</v>
      </c>
      <c r="BI73">
        <v>55.24</v>
      </c>
      <c r="BJ73">
        <v>1.1299999999999999</v>
      </c>
      <c r="BK73">
        <v>54.11</v>
      </c>
      <c r="BL73" s="2"/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7</v>
      </c>
      <c r="CC73">
        <v>0</v>
      </c>
      <c r="CD73">
        <v>0</v>
      </c>
    </row>
    <row r="74" spans="1:82" hidden="1" outlineLevel="1">
      <c r="A74" t="s">
        <v>2055</v>
      </c>
      <c r="B74" s="8" t="s">
        <v>1485</v>
      </c>
      <c r="C74" s="1">
        <f t="shared" si="24"/>
        <v>7300</v>
      </c>
      <c r="D74" s="5">
        <f>IF(N74&gt;0, RANK(N74,(N74:P74,Q74:AE74)),0)</f>
        <v>2</v>
      </c>
      <c r="E74" s="5">
        <f>IF(O74&gt;0,RANK(O74,(N74:P74,Q74:AE74)),0)</f>
        <v>1</v>
      </c>
      <c r="F74" s="5">
        <f t="shared" si="25"/>
        <v>6</v>
      </c>
      <c r="G74" s="1">
        <f t="shared" si="26"/>
        <v>135</v>
      </c>
      <c r="H74" s="2">
        <f t="shared" si="27"/>
        <v>1.8493150684931507E-2</v>
      </c>
      <c r="I74" s="6"/>
      <c r="J74" s="2">
        <f t="shared" si="28"/>
        <v>0.45698630136986301</v>
      </c>
      <c r="K74" s="2">
        <f t="shared" si="29"/>
        <v>0.47547945205479453</v>
      </c>
      <c r="L74" s="2">
        <f t="shared" si="30"/>
        <v>1.095890410958904E-3</v>
      </c>
      <c r="M74" s="2">
        <f t="shared" si="31"/>
        <v>6.6438356164383608E-2</v>
      </c>
      <c r="N74" s="63">
        <v>3336</v>
      </c>
      <c r="O74" s="63">
        <v>3471</v>
      </c>
      <c r="P74" s="63">
        <v>8</v>
      </c>
      <c r="Q74" s="63">
        <v>350</v>
      </c>
      <c r="R74" s="63">
        <v>116</v>
      </c>
      <c r="S74" s="63">
        <v>3</v>
      </c>
      <c r="T74" s="63">
        <v>0</v>
      </c>
      <c r="U74" s="63"/>
      <c r="V74" s="63">
        <v>0</v>
      </c>
      <c r="W74" s="63">
        <f t="shared" si="32"/>
        <v>16</v>
      </c>
      <c r="Y74" s="63">
        <v>0</v>
      </c>
      <c r="Z74" s="63"/>
      <c r="AA74" s="63"/>
      <c r="AB74" s="63"/>
      <c r="AE74" s="8">
        <v>0</v>
      </c>
      <c r="AM74">
        <v>0</v>
      </c>
      <c r="AQ74">
        <v>0</v>
      </c>
      <c r="AT74" t="str">
        <f t="shared" si="33"/>
        <v>Ledyard</v>
      </c>
      <c r="AU74" t="s">
        <v>130</v>
      </c>
      <c r="AV74" s="8">
        <v>2</v>
      </c>
      <c r="AX74" s="114">
        <v>9</v>
      </c>
      <c r="AY74" s="116">
        <v>11</v>
      </c>
      <c r="AZ74" s="116">
        <v>40</v>
      </c>
      <c r="BA74" s="120">
        <v>42600</v>
      </c>
      <c r="BB74" s="120">
        <f t="shared" si="34"/>
        <v>9011</v>
      </c>
      <c r="BC74" t="s">
        <v>1472</v>
      </c>
      <c r="BD74" s="124">
        <f t="shared" si="35"/>
        <v>942600</v>
      </c>
      <c r="BI74">
        <v>40</v>
      </c>
      <c r="BJ74">
        <v>1.85</v>
      </c>
      <c r="BK74">
        <v>38.14</v>
      </c>
      <c r="BL74" s="2"/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15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hidden="1" outlineLevel="1">
      <c r="A75" t="s">
        <v>1510</v>
      </c>
      <c r="B75" s="8" t="s">
        <v>1485</v>
      </c>
      <c r="C75" s="1">
        <f t="shared" si="24"/>
        <v>2181</v>
      </c>
      <c r="D75" s="5">
        <f>IF(N75&gt;0, RANK(N75,(N75:P75,Q75:AE75)),0)</f>
        <v>2</v>
      </c>
      <c r="E75" s="5">
        <f>IF(O75&gt;0,RANK(O75,(N75:P75,Q75:AE75)),0)</f>
        <v>1</v>
      </c>
      <c r="F75" s="5">
        <f t="shared" si="25"/>
        <v>5</v>
      </c>
      <c r="G75" s="1">
        <f t="shared" si="26"/>
        <v>307</v>
      </c>
      <c r="H75" s="2">
        <f t="shared" si="27"/>
        <v>0.14076111875286565</v>
      </c>
      <c r="I75" s="6"/>
      <c r="J75" s="2">
        <f t="shared" si="28"/>
        <v>0.39798257679963317</v>
      </c>
      <c r="K75" s="2">
        <f t="shared" si="29"/>
        <v>0.5387436955524989</v>
      </c>
      <c r="L75" s="2">
        <f t="shared" si="30"/>
        <v>1.375515818431912E-3</v>
      </c>
      <c r="M75" s="2">
        <f t="shared" si="31"/>
        <v>6.1898211829435959E-2</v>
      </c>
      <c r="N75" s="63">
        <v>868</v>
      </c>
      <c r="O75" s="63">
        <v>1175</v>
      </c>
      <c r="P75" s="63">
        <v>3</v>
      </c>
      <c r="Q75" s="63">
        <v>83</v>
      </c>
      <c r="R75" s="63">
        <v>52</v>
      </c>
      <c r="S75" s="63">
        <v>0</v>
      </c>
      <c r="T75" s="63">
        <v>0</v>
      </c>
      <c r="U75" s="63"/>
      <c r="V75" s="63">
        <v>0</v>
      </c>
      <c r="W75" s="63">
        <f t="shared" si="32"/>
        <v>0</v>
      </c>
      <c r="Y75" s="63">
        <v>0</v>
      </c>
      <c r="Z75" s="63"/>
      <c r="AA75" s="63"/>
      <c r="AB75" s="63"/>
      <c r="AE75" s="8">
        <v>0</v>
      </c>
      <c r="AM75">
        <v>0</v>
      </c>
      <c r="AQ75">
        <v>0</v>
      </c>
      <c r="AT75" t="str">
        <f t="shared" si="33"/>
        <v>Lisbon</v>
      </c>
      <c r="AU75" t="s">
        <v>130</v>
      </c>
      <c r="AV75" s="8">
        <v>2</v>
      </c>
      <c r="AX75" s="114">
        <v>9</v>
      </c>
      <c r="AY75" s="116">
        <v>11</v>
      </c>
      <c r="AZ75" s="116">
        <v>45</v>
      </c>
      <c r="BA75" s="120">
        <v>43230</v>
      </c>
      <c r="BB75" s="120">
        <f t="shared" si="34"/>
        <v>9011</v>
      </c>
      <c r="BC75" t="s">
        <v>1472</v>
      </c>
      <c r="BD75" s="124">
        <f t="shared" si="35"/>
        <v>943230</v>
      </c>
      <c r="BI75">
        <v>16.63</v>
      </c>
      <c r="BJ75">
        <v>0.38</v>
      </c>
      <c r="BK75">
        <v>16.260000000000002</v>
      </c>
      <c r="BL75" s="2"/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hidden="1" outlineLevel="1">
      <c r="A76" t="s">
        <v>1276</v>
      </c>
      <c r="B76" s="8" t="s">
        <v>1485</v>
      </c>
      <c r="C76" s="1">
        <f t="shared" si="24"/>
        <v>4859</v>
      </c>
      <c r="D76" s="5">
        <f>IF(N76&gt;0, RANK(N76,(N76:P76,Q76:AE76)),0)</f>
        <v>2</v>
      </c>
      <c r="E76" s="5">
        <f>IF(O76&gt;0,RANK(O76,(N76:P76,Q76:AE76)),0)</f>
        <v>1</v>
      </c>
      <c r="F76" s="5">
        <f t="shared" si="25"/>
        <v>5</v>
      </c>
      <c r="G76" s="1">
        <f t="shared" si="26"/>
        <v>263</v>
      </c>
      <c r="H76" s="2">
        <f t="shared" si="27"/>
        <v>5.4126363449269396E-2</v>
      </c>
      <c r="I76" s="6"/>
      <c r="J76" s="2">
        <f t="shared" si="28"/>
        <v>0.44679975303560404</v>
      </c>
      <c r="K76" s="2">
        <f t="shared" si="29"/>
        <v>0.5009261164848734</v>
      </c>
      <c r="L76" s="2">
        <f t="shared" si="30"/>
        <v>1.6464293064416546E-3</v>
      </c>
      <c r="M76" s="2">
        <f t="shared" si="31"/>
        <v>5.0627701173080908E-2</v>
      </c>
      <c r="N76" s="63">
        <v>2171</v>
      </c>
      <c r="O76" s="63">
        <v>2434</v>
      </c>
      <c r="P76" s="63">
        <v>8</v>
      </c>
      <c r="Q76" s="63">
        <v>180</v>
      </c>
      <c r="R76" s="63">
        <v>66</v>
      </c>
      <c r="S76" s="63">
        <v>0</v>
      </c>
      <c r="T76" s="63">
        <v>0</v>
      </c>
      <c r="U76" s="63"/>
      <c r="V76" s="63">
        <v>0</v>
      </c>
      <c r="W76" s="63">
        <f t="shared" si="32"/>
        <v>0</v>
      </c>
      <c r="Y76" s="63">
        <v>0</v>
      </c>
      <c r="Z76" s="63"/>
      <c r="AA76" s="63"/>
      <c r="AB76" s="63"/>
      <c r="AE76" s="8">
        <v>0</v>
      </c>
      <c r="AM76">
        <v>0</v>
      </c>
      <c r="AQ76">
        <v>0</v>
      </c>
      <c r="AT76" t="str">
        <f t="shared" si="33"/>
        <v>Litchfield</v>
      </c>
      <c r="AU76" t="s">
        <v>1276</v>
      </c>
      <c r="AV76" s="8">
        <v>5</v>
      </c>
      <c r="AX76" s="114">
        <v>9</v>
      </c>
      <c r="AY76" s="116">
        <v>5</v>
      </c>
      <c r="AZ76" s="116">
        <v>50</v>
      </c>
      <c r="BA76" s="120">
        <v>43370</v>
      </c>
      <c r="BB76" s="120">
        <f t="shared" si="34"/>
        <v>9005</v>
      </c>
      <c r="BC76" t="s">
        <v>1472</v>
      </c>
      <c r="BD76" s="124">
        <f t="shared" si="35"/>
        <v>943370</v>
      </c>
      <c r="BI76">
        <v>56.78</v>
      </c>
      <c r="BJ76">
        <v>0.72</v>
      </c>
      <c r="BK76">
        <v>56.06</v>
      </c>
      <c r="BL76" s="2"/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hidden="1" outlineLevel="1">
      <c r="A77" t="s">
        <v>2347</v>
      </c>
      <c r="B77" s="8" t="s">
        <v>1485</v>
      </c>
      <c r="C77" s="1">
        <f t="shared" si="24"/>
        <v>1691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5"/>
        <v>5</v>
      </c>
      <c r="G77" s="1">
        <f t="shared" si="26"/>
        <v>452</v>
      </c>
      <c r="H77" s="2">
        <f t="shared" si="27"/>
        <v>0.26729745712596098</v>
      </c>
      <c r="I77" s="6"/>
      <c r="J77" s="2">
        <f t="shared" si="28"/>
        <v>0.60260201064458896</v>
      </c>
      <c r="K77" s="2">
        <f t="shared" si="29"/>
        <v>0.33530455351862803</v>
      </c>
      <c r="L77" s="2">
        <f t="shared" si="30"/>
        <v>1.7740981667652277E-3</v>
      </c>
      <c r="M77" s="2">
        <f t="shared" si="31"/>
        <v>6.0319337670017778E-2</v>
      </c>
      <c r="N77" s="63">
        <v>1019</v>
      </c>
      <c r="O77" s="63">
        <v>567</v>
      </c>
      <c r="P77" s="63">
        <v>3</v>
      </c>
      <c r="Q77" s="63">
        <v>73</v>
      </c>
      <c r="R77" s="63">
        <v>28</v>
      </c>
      <c r="S77" s="63">
        <v>0</v>
      </c>
      <c r="T77" s="63">
        <v>0</v>
      </c>
      <c r="U77" s="63"/>
      <c r="V77" s="63">
        <v>0</v>
      </c>
      <c r="W77" s="63">
        <f t="shared" si="32"/>
        <v>1</v>
      </c>
      <c r="Y77" s="63">
        <v>0</v>
      </c>
      <c r="Z77" s="63"/>
      <c r="AA77" s="63"/>
      <c r="AB77" s="63"/>
      <c r="AE77" s="8">
        <v>0</v>
      </c>
      <c r="AM77">
        <v>0</v>
      </c>
      <c r="AQ77">
        <v>0</v>
      </c>
      <c r="AT77" t="str">
        <f t="shared" si="33"/>
        <v>Lyme</v>
      </c>
      <c r="AU77" t="s">
        <v>130</v>
      </c>
      <c r="AV77" s="8">
        <v>2</v>
      </c>
      <c r="AX77" s="114">
        <v>9</v>
      </c>
      <c r="AY77" s="116">
        <v>11</v>
      </c>
      <c r="AZ77" s="116">
        <v>50</v>
      </c>
      <c r="BA77" s="120">
        <v>44210</v>
      </c>
      <c r="BB77" s="120">
        <f t="shared" si="34"/>
        <v>9011</v>
      </c>
      <c r="BC77" t="s">
        <v>1472</v>
      </c>
      <c r="BD77" s="124">
        <f t="shared" si="35"/>
        <v>944210</v>
      </c>
      <c r="BI77">
        <v>34.479999999999997</v>
      </c>
      <c r="BJ77">
        <v>2.63</v>
      </c>
      <c r="BK77">
        <v>31.85</v>
      </c>
      <c r="BL77" s="2"/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hidden="1" outlineLevel="1">
      <c r="A78" t="s">
        <v>1650</v>
      </c>
      <c r="B78" s="8" t="s">
        <v>1485</v>
      </c>
      <c r="C78" s="1">
        <f t="shared" si="24"/>
        <v>10913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5"/>
        <v>5</v>
      </c>
      <c r="G78" s="1">
        <f t="shared" si="26"/>
        <v>1435</v>
      </c>
      <c r="H78" s="2">
        <f t="shared" si="27"/>
        <v>0.13149454778704298</v>
      </c>
      <c r="I78" s="6"/>
      <c r="J78" s="2">
        <f t="shared" si="28"/>
        <v>0.54384678823421606</v>
      </c>
      <c r="K78" s="2">
        <f t="shared" si="29"/>
        <v>0.41235224044717311</v>
      </c>
      <c r="L78" s="2">
        <f t="shared" si="30"/>
        <v>2.1075781178411068E-3</v>
      </c>
      <c r="M78" s="2">
        <f t="shared" si="31"/>
        <v>4.1693393200769722E-2</v>
      </c>
      <c r="N78" s="63">
        <v>5935</v>
      </c>
      <c r="O78" s="63">
        <v>4500</v>
      </c>
      <c r="P78" s="63">
        <v>23</v>
      </c>
      <c r="Q78" s="63">
        <v>334</v>
      </c>
      <c r="R78" s="63">
        <v>120</v>
      </c>
      <c r="S78" s="63">
        <v>1</v>
      </c>
      <c r="T78" s="63">
        <v>0</v>
      </c>
      <c r="U78" s="63"/>
      <c r="V78" s="63">
        <v>0</v>
      </c>
      <c r="W78" s="63">
        <f t="shared" si="32"/>
        <v>0</v>
      </c>
      <c r="Y78" s="63">
        <v>0</v>
      </c>
      <c r="Z78" s="63"/>
      <c r="AA78" s="63"/>
      <c r="AB78" s="63"/>
      <c r="AE78" s="8">
        <v>0</v>
      </c>
      <c r="AM78">
        <v>0</v>
      </c>
      <c r="AQ78">
        <v>0</v>
      </c>
      <c r="AT78" t="str">
        <f t="shared" si="33"/>
        <v>Madison</v>
      </c>
      <c r="AU78" t="s">
        <v>2797</v>
      </c>
      <c r="AV78" s="8">
        <v>2</v>
      </c>
      <c r="AX78" s="114">
        <v>9</v>
      </c>
      <c r="AY78" s="116">
        <v>9</v>
      </c>
      <c r="AZ78" s="116">
        <v>50</v>
      </c>
      <c r="BA78" s="120">
        <v>44560</v>
      </c>
      <c r="BB78" s="120">
        <f t="shared" si="34"/>
        <v>9009</v>
      </c>
      <c r="BC78" t="s">
        <v>1472</v>
      </c>
      <c r="BD78" s="124">
        <f t="shared" si="35"/>
        <v>944560</v>
      </c>
      <c r="BI78">
        <v>36.78</v>
      </c>
      <c r="BJ78">
        <v>0.57999999999999996</v>
      </c>
      <c r="BK78">
        <v>36.200000000000003</v>
      </c>
      <c r="BL78" s="2"/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hidden="1" outlineLevel="1">
      <c r="A79" t="s">
        <v>1983</v>
      </c>
      <c r="B79" s="8" t="s">
        <v>1485</v>
      </c>
      <c r="C79" s="1">
        <f t="shared" si="24"/>
        <v>24838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5"/>
        <v>5</v>
      </c>
      <c r="G79" s="1">
        <f t="shared" si="26"/>
        <v>6751</v>
      </c>
      <c r="H79" s="2">
        <f t="shared" si="27"/>
        <v>0.27180127224414202</v>
      </c>
      <c r="I79" s="6"/>
      <c r="J79" s="2">
        <f t="shared" si="28"/>
        <v>0.60830179563571951</v>
      </c>
      <c r="K79" s="2">
        <f t="shared" si="29"/>
        <v>0.33650052339157743</v>
      </c>
      <c r="L79" s="2">
        <f t="shared" si="30"/>
        <v>1.2883484982687816E-3</v>
      </c>
      <c r="M79" s="2">
        <f t="shared" si="31"/>
        <v>5.3909332474434274E-2</v>
      </c>
      <c r="N79" s="63">
        <v>15109</v>
      </c>
      <c r="O79" s="63">
        <v>8358</v>
      </c>
      <c r="P79" s="63">
        <v>32</v>
      </c>
      <c r="Q79" s="63">
        <v>864</v>
      </c>
      <c r="R79" s="63">
        <v>469</v>
      </c>
      <c r="S79" s="63">
        <v>0</v>
      </c>
      <c r="T79" s="63">
        <v>0</v>
      </c>
      <c r="U79" s="63"/>
      <c r="V79" s="63">
        <v>0</v>
      </c>
      <c r="W79" s="63">
        <f t="shared" si="32"/>
        <v>6</v>
      </c>
      <c r="Y79" s="63">
        <v>0</v>
      </c>
      <c r="Z79" s="63"/>
      <c r="AA79" s="63"/>
      <c r="AB79" s="63"/>
      <c r="AE79" s="8">
        <v>0</v>
      </c>
      <c r="AM79">
        <v>0</v>
      </c>
      <c r="AQ79">
        <v>0</v>
      </c>
      <c r="AT79" t="str">
        <f t="shared" si="33"/>
        <v>Manchester</v>
      </c>
      <c r="AU79" t="s">
        <v>1737</v>
      </c>
      <c r="AV79" s="8">
        <v>1</v>
      </c>
      <c r="AX79" s="114">
        <v>9</v>
      </c>
      <c r="AY79" s="116">
        <v>3</v>
      </c>
      <c r="AZ79" s="116">
        <v>80</v>
      </c>
      <c r="BA79" s="120">
        <v>44700</v>
      </c>
      <c r="BB79" s="120">
        <f t="shared" si="34"/>
        <v>9003</v>
      </c>
      <c r="BC79" t="s">
        <v>1472</v>
      </c>
      <c r="BD79" s="124">
        <f t="shared" si="35"/>
        <v>944700</v>
      </c>
      <c r="BI79">
        <v>27.68</v>
      </c>
      <c r="BJ79">
        <v>0.42</v>
      </c>
      <c r="BK79">
        <v>27.26</v>
      </c>
      <c r="BL79" s="2"/>
      <c r="BS79">
        <v>0</v>
      </c>
      <c r="BT79">
        <v>0</v>
      </c>
      <c r="BU79">
        <v>0</v>
      </c>
      <c r="BV79">
        <v>2</v>
      </c>
      <c r="BW79">
        <v>0</v>
      </c>
      <c r="BX79">
        <v>2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</row>
    <row r="80" spans="1:82" hidden="1" outlineLevel="1">
      <c r="A80" t="s">
        <v>2259</v>
      </c>
      <c r="B80" s="8" t="s">
        <v>1485</v>
      </c>
      <c r="C80" s="1">
        <f t="shared" si="24"/>
        <v>11481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5"/>
        <v>5</v>
      </c>
      <c r="G80" s="1">
        <f t="shared" si="26"/>
        <v>5876</v>
      </c>
      <c r="H80" s="2">
        <f t="shared" si="27"/>
        <v>0.51180210783032842</v>
      </c>
      <c r="I80" s="6"/>
      <c r="J80" s="2">
        <f t="shared" si="28"/>
        <v>0.7237174462154865</v>
      </c>
      <c r="K80" s="2">
        <f t="shared" si="29"/>
        <v>0.21191533838515808</v>
      </c>
      <c r="L80" s="2">
        <f t="shared" si="30"/>
        <v>2.0033098162180996E-3</v>
      </c>
      <c r="M80" s="2">
        <f t="shared" si="31"/>
        <v>6.2363905583137313E-2</v>
      </c>
      <c r="N80" s="63">
        <v>8309</v>
      </c>
      <c r="O80" s="63">
        <v>2433</v>
      </c>
      <c r="P80" s="63">
        <v>23</v>
      </c>
      <c r="Q80" s="63">
        <v>429</v>
      </c>
      <c r="R80" s="63">
        <v>280</v>
      </c>
      <c r="S80" s="63">
        <v>1</v>
      </c>
      <c r="T80" s="63">
        <v>0</v>
      </c>
      <c r="U80" s="63"/>
      <c r="V80" s="63">
        <v>2</v>
      </c>
      <c r="W80" s="63">
        <f t="shared" si="32"/>
        <v>1</v>
      </c>
      <c r="Y80" s="63">
        <v>3</v>
      </c>
      <c r="Z80" s="63"/>
      <c r="AA80" s="63"/>
      <c r="AB80" s="63"/>
      <c r="AE80" s="8">
        <v>0</v>
      </c>
      <c r="AM80">
        <v>0</v>
      </c>
      <c r="AQ80">
        <v>0</v>
      </c>
      <c r="AT80" t="str">
        <f t="shared" si="33"/>
        <v>Mansfield</v>
      </c>
      <c r="AU80" t="s">
        <v>67</v>
      </c>
      <c r="AV80" s="8">
        <v>2</v>
      </c>
      <c r="AX80" s="114">
        <v>9</v>
      </c>
      <c r="AY80" s="116">
        <v>13</v>
      </c>
      <c r="AZ80" s="116">
        <v>35</v>
      </c>
      <c r="BA80" s="120">
        <v>44910</v>
      </c>
      <c r="BB80" s="120">
        <f t="shared" si="34"/>
        <v>9013</v>
      </c>
      <c r="BC80" t="s">
        <v>1472</v>
      </c>
      <c r="BD80" s="124">
        <f t="shared" si="35"/>
        <v>944910</v>
      </c>
      <c r="BI80">
        <v>45.49</v>
      </c>
      <c r="BJ80">
        <v>1.03</v>
      </c>
      <c r="BK80">
        <v>44.46</v>
      </c>
      <c r="BL80" s="2"/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hidden="1" outlineLevel="1">
      <c r="A81" t="s">
        <v>1610</v>
      </c>
      <c r="B81" s="8" t="s">
        <v>1485</v>
      </c>
      <c r="C81" s="1">
        <f t="shared" si="24"/>
        <v>3639</v>
      </c>
      <c r="D81" s="5">
        <f>IF(N81&gt;0, RANK(N81,(N81:P81,Q81:AE81)),0)</f>
        <v>2</v>
      </c>
      <c r="E81" s="5">
        <f>IF(O81&gt;0,RANK(O81,(N81:P81,Q81:AE81)),0)</f>
        <v>1</v>
      </c>
      <c r="F81" s="5">
        <f t="shared" si="25"/>
        <v>5</v>
      </c>
      <c r="G81" s="1">
        <f t="shared" si="26"/>
        <v>79</v>
      </c>
      <c r="H81" s="2">
        <f t="shared" si="27"/>
        <v>2.17092607859302E-2</v>
      </c>
      <c r="I81" s="6"/>
      <c r="J81" s="2">
        <f t="shared" si="28"/>
        <v>0.46358889804891451</v>
      </c>
      <c r="K81" s="2">
        <f t="shared" si="29"/>
        <v>0.48529815883484473</v>
      </c>
      <c r="L81" s="2">
        <f t="shared" si="30"/>
        <v>2.7480076944215444E-3</v>
      </c>
      <c r="M81" s="2">
        <f t="shared" si="31"/>
        <v>4.8364935421819272E-2</v>
      </c>
      <c r="N81" s="63">
        <v>1687</v>
      </c>
      <c r="O81" s="63">
        <v>1766</v>
      </c>
      <c r="P81" s="63">
        <v>10</v>
      </c>
      <c r="Q81" s="63">
        <v>128</v>
      </c>
      <c r="R81" s="63">
        <v>46</v>
      </c>
      <c r="S81" s="63">
        <v>0</v>
      </c>
      <c r="T81" s="63">
        <v>1</v>
      </c>
      <c r="U81" s="63"/>
      <c r="V81" s="63">
        <v>0</v>
      </c>
      <c r="W81" s="63">
        <f t="shared" si="32"/>
        <v>0</v>
      </c>
      <c r="Y81" s="63">
        <v>1</v>
      </c>
      <c r="Z81" s="63"/>
      <c r="AA81" s="63"/>
      <c r="AB81" s="63"/>
      <c r="AE81" s="8">
        <v>0</v>
      </c>
      <c r="AM81">
        <v>0</v>
      </c>
      <c r="AQ81">
        <v>0</v>
      </c>
      <c r="AT81" t="str">
        <f t="shared" si="33"/>
        <v>Marlborough</v>
      </c>
      <c r="AU81" t="s">
        <v>1737</v>
      </c>
      <c r="AV81" s="8">
        <v>2</v>
      </c>
      <c r="AX81" s="114">
        <v>9</v>
      </c>
      <c r="AY81" s="116">
        <v>3</v>
      </c>
      <c r="AZ81" s="116">
        <v>85</v>
      </c>
      <c r="BA81" s="120">
        <v>45820</v>
      </c>
      <c r="BB81" s="120">
        <f t="shared" si="34"/>
        <v>9003</v>
      </c>
      <c r="BC81" t="s">
        <v>1472</v>
      </c>
      <c r="BD81" s="124">
        <f t="shared" si="35"/>
        <v>945820</v>
      </c>
      <c r="BI81">
        <v>23.43</v>
      </c>
      <c r="BJ81">
        <v>0.15</v>
      </c>
      <c r="BK81">
        <v>23.28</v>
      </c>
      <c r="BL81" s="2"/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hidden="1" outlineLevel="1">
      <c r="A82" t="s">
        <v>2734</v>
      </c>
      <c r="B82" s="8" t="s">
        <v>1485</v>
      </c>
      <c r="C82" s="1">
        <f t="shared" si="24"/>
        <v>22443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5"/>
        <v>5</v>
      </c>
      <c r="G82" s="1">
        <f t="shared" si="26"/>
        <v>4128</v>
      </c>
      <c r="H82" s="2">
        <f t="shared" si="27"/>
        <v>0.18393262932762999</v>
      </c>
      <c r="I82" s="6"/>
      <c r="J82" s="2">
        <f t="shared" si="28"/>
        <v>0.56979904647328794</v>
      </c>
      <c r="K82" s="2">
        <f t="shared" si="29"/>
        <v>0.38586641714565789</v>
      </c>
      <c r="L82" s="2">
        <f t="shared" si="30"/>
        <v>2.6734393797620638E-4</v>
      </c>
      <c r="M82" s="2">
        <f t="shared" si="31"/>
        <v>4.4067192443077961E-2</v>
      </c>
      <c r="N82" s="63">
        <v>12788</v>
      </c>
      <c r="O82" s="63">
        <v>8660</v>
      </c>
      <c r="P82" s="63">
        <v>6</v>
      </c>
      <c r="Q82" s="63">
        <v>635</v>
      </c>
      <c r="R82" s="63">
        <v>348</v>
      </c>
      <c r="S82" s="63">
        <v>5</v>
      </c>
      <c r="T82" s="63">
        <v>0</v>
      </c>
      <c r="U82" s="63"/>
      <c r="V82" s="63">
        <v>0</v>
      </c>
      <c r="W82" s="63">
        <f t="shared" si="32"/>
        <v>1</v>
      </c>
      <c r="Y82" s="63">
        <v>0</v>
      </c>
      <c r="Z82" s="63"/>
      <c r="AA82" s="63"/>
      <c r="AB82" s="63"/>
      <c r="AE82" s="8">
        <v>0</v>
      </c>
      <c r="AM82">
        <v>0</v>
      </c>
      <c r="AQ82">
        <v>0</v>
      </c>
      <c r="AT82" t="str">
        <f t="shared" si="33"/>
        <v>Meriden</v>
      </c>
      <c r="AU82" t="s">
        <v>2797</v>
      </c>
      <c r="AV82" s="8">
        <v>5</v>
      </c>
      <c r="AX82" s="114">
        <v>9</v>
      </c>
      <c r="AY82" s="116">
        <v>9</v>
      </c>
      <c r="AZ82" s="116">
        <v>55</v>
      </c>
      <c r="BA82" s="120">
        <v>46520</v>
      </c>
      <c r="BB82" s="120">
        <f t="shared" si="34"/>
        <v>9009</v>
      </c>
      <c r="BC82" t="s">
        <v>1472</v>
      </c>
      <c r="BD82" s="124">
        <f t="shared" si="35"/>
        <v>946520</v>
      </c>
      <c r="BI82">
        <v>24.14</v>
      </c>
      <c r="BJ82">
        <v>0.4</v>
      </c>
      <c r="BK82">
        <v>23.75</v>
      </c>
      <c r="BL82" s="2"/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hidden="1" outlineLevel="1">
      <c r="A83" t="s">
        <v>1171</v>
      </c>
      <c r="B83" s="8" t="s">
        <v>1485</v>
      </c>
      <c r="C83" s="1">
        <f t="shared" si="24"/>
        <v>4495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5"/>
        <v>5</v>
      </c>
      <c r="G83" s="1">
        <f t="shared" si="26"/>
        <v>966</v>
      </c>
      <c r="H83" s="2">
        <f t="shared" si="27"/>
        <v>0.21490545050055618</v>
      </c>
      <c r="I83" s="6"/>
      <c r="J83" s="2">
        <f t="shared" si="28"/>
        <v>0.37018909899888763</v>
      </c>
      <c r="K83" s="2">
        <f t="shared" si="29"/>
        <v>0.58509454949944384</v>
      </c>
      <c r="L83" s="2">
        <f t="shared" si="30"/>
        <v>1.5572858731924359E-3</v>
      </c>
      <c r="M83" s="2">
        <f t="shared" si="31"/>
        <v>4.3159065628476094E-2</v>
      </c>
      <c r="N83" s="63">
        <v>1664</v>
      </c>
      <c r="O83" s="63">
        <v>2630</v>
      </c>
      <c r="P83" s="63">
        <v>7</v>
      </c>
      <c r="Q83" s="63">
        <v>148</v>
      </c>
      <c r="R83" s="63">
        <v>45</v>
      </c>
      <c r="S83" s="63">
        <v>0</v>
      </c>
      <c r="T83" s="63">
        <v>0</v>
      </c>
      <c r="U83" s="63"/>
      <c r="V83" s="63">
        <v>0</v>
      </c>
      <c r="W83" s="63">
        <f t="shared" si="32"/>
        <v>1</v>
      </c>
      <c r="Y83" s="63">
        <v>0</v>
      </c>
      <c r="Z83" s="63"/>
      <c r="AA83" s="63"/>
      <c r="AB83" s="63"/>
      <c r="AE83" s="8">
        <v>0</v>
      </c>
      <c r="AM83">
        <v>0</v>
      </c>
      <c r="AQ83">
        <v>0</v>
      </c>
      <c r="AT83" t="str">
        <f t="shared" si="33"/>
        <v>Middlebury</v>
      </c>
      <c r="AU83" t="s">
        <v>2797</v>
      </c>
      <c r="AV83" s="8">
        <v>5</v>
      </c>
      <c r="AX83" s="114">
        <v>9</v>
      </c>
      <c r="AY83" s="116">
        <v>9</v>
      </c>
      <c r="AZ83" s="116">
        <v>60</v>
      </c>
      <c r="BA83" s="120">
        <v>46940</v>
      </c>
      <c r="BB83" s="120">
        <f t="shared" si="34"/>
        <v>9009</v>
      </c>
      <c r="BC83" t="s">
        <v>1472</v>
      </c>
      <c r="BD83" s="124">
        <f t="shared" si="35"/>
        <v>946940</v>
      </c>
      <c r="BI83">
        <v>18.45</v>
      </c>
      <c r="BJ83">
        <v>0.7</v>
      </c>
      <c r="BK83">
        <v>17.75</v>
      </c>
      <c r="BL83" s="2"/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hidden="1" outlineLevel="1">
      <c r="A84" t="s">
        <v>14</v>
      </c>
      <c r="B84" s="8" t="s">
        <v>1485</v>
      </c>
      <c r="C84" s="1">
        <f t="shared" si="24"/>
        <v>2636</v>
      </c>
      <c r="D84" s="5">
        <f>IF(N84&gt;0, RANK(N84,(N84:P84,Q84:AE84)),0)</f>
        <v>2</v>
      </c>
      <c r="E84" s="5">
        <f>IF(O84&gt;0,RANK(O84,(N84:P84,Q84:AE84)),0)</f>
        <v>1</v>
      </c>
      <c r="F84" s="5">
        <f t="shared" si="25"/>
        <v>5</v>
      </c>
      <c r="G84" s="1">
        <f t="shared" si="26"/>
        <v>207</v>
      </c>
      <c r="H84" s="2">
        <f t="shared" si="27"/>
        <v>7.8528072837632773E-2</v>
      </c>
      <c r="I84" s="6"/>
      <c r="J84" s="2">
        <f t="shared" si="28"/>
        <v>0.43778452200303491</v>
      </c>
      <c r="K84" s="2">
        <f t="shared" si="29"/>
        <v>0.51631259484066772</v>
      </c>
      <c r="L84" s="2">
        <f t="shared" si="30"/>
        <v>1.8968133535660092E-3</v>
      </c>
      <c r="M84" s="2">
        <f t="shared" si="31"/>
        <v>4.4006069802731307E-2</v>
      </c>
      <c r="N84" s="63">
        <v>1154</v>
      </c>
      <c r="O84" s="63">
        <v>1361</v>
      </c>
      <c r="P84" s="63">
        <v>5</v>
      </c>
      <c r="Q84" s="63">
        <v>78</v>
      </c>
      <c r="R84" s="63">
        <v>38</v>
      </c>
      <c r="S84" s="63">
        <v>0</v>
      </c>
      <c r="T84" s="63">
        <v>0</v>
      </c>
      <c r="U84" s="63"/>
      <c r="V84" s="63">
        <v>0</v>
      </c>
      <c r="W84" s="63">
        <f t="shared" si="32"/>
        <v>0</v>
      </c>
      <c r="Y84" s="63">
        <v>0</v>
      </c>
      <c r="Z84" s="63"/>
      <c r="AA84" s="63"/>
      <c r="AB84" s="63"/>
      <c r="AE84" s="8">
        <v>0</v>
      </c>
      <c r="AM84">
        <v>0</v>
      </c>
      <c r="AQ84">
        <v>0</v>
      </c>
      <c r="AT84" t="str">
        <f t="shared" si="33"/>
        <v>Middlefield</v>
      </c>
      <c r="AU84" t="s">
        <v>503</v>
      </c>
      <c r="AV84" s="8">
        <v>3</v>
      </c>
      <c r="AX84" s="114">
        <v>9</v>
      </c>
      <c r="AY84" s="116">
        <v>7</v>
      </c>
      <c r="AZ84" s="116">
        <v>55</v>
      </c>
      <c r="BA84" s="120">
        <v>47080</v>
      </c>
      <c r="BB84" s="120">
        <f t="shared" si="34"/>
        <v>9007</v>
      </c>
      <c r="BC84" t="s">
        <v>1472</v>
      </c>
      <c r="BD84" s="124">
        <f t="shared" si="35"/>
        <v>947080</v>
      </c>
      <c r="BI84">
        <v>13.32</v>
      </c>
      <c r="BJ84">
        <v>0.62</v>
      </c>
      <c r="BK84">
        <v>12.7</v>
      </c>
      <c r="BL84" s="2"/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hidden="1" outlineLevel="1">
      <c r="A85" t="s">
        <v>767</v>
      </c>
      <c r="B85" s="8" t="s">
        <v>1485</v>
      </c>
      <c r="C85" s="1">
        <f t="shared" si="24"/>
        <v>21244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5"/>
        <v>5</v>
      </c>
      <c r="G85" s="1">
        <f t="shared" si="26"/>
        <v>5833</v>
      </c>
      <c r="H85" s="2">
        <f t="shared" si="27"/>
        <v>0.27457164375823762</v>
      </c>
      <c r="I85" s="6"/>
      <c r="J85" s="2">
        <f t="shared" si="28"/>
        <v>0.61000753153831666</v>
      </c>
      <c r="K85" s="2">
        <f t="shared" si="29"/>
        <v>0.3354358877800791</v>
      </c>
      <c r="L85" s="2">
        <f t="shared" si="30"/>
        <v>1.5533797778196196E-3</v>
      </c>
      <c r="M85" s="2">
        <f t="shared" si="31"/>
        <v>5.3003200903784617E-2</v>
      </c>
      <c r="N85" s="63">
        <v>12959</v>
      </c>
      <c r="O85" s="63">
        <v>7126</v>
      </c>
      <c r="P85" s="63">
        <v>33</v>
      </c>
      <c r="Q85" s="63">
        <v>639</v>
      </c>
      <c r="R85" s="63">
        <v>485</v>
      </c>
      <c r="S85" s="63">
        <v>0</v>
      </c>
      <c r="T85" s="63">
        <v>0</v>
      </c>
      <c r="U85" s="63"/>
      <c r="V85" s="63">
        <v>0</v>
      </c>
      <c r="W85" s="63">
        <f t="shared" si="32"/>
        <v>2</v>
      </c>
      <c r="Y85" s="63">
        <v>0</v>
      </c>
      <c r="Z85" s="63"/>
      <c r="AA85" s="63"/>
      <c r="AB85" s="63"/>
      <c r="AE85" s="8">
        <v>0</v>
      </c>
      <c r="AM85">
        <v>0</v>
      </c>
      <c r="AQ85">
        <v>0</v>
      </c>
      <c r="AT85" t="str">
        <f t="shared" si="33"/>
        <v>Middletown</v>
      </c>
      <c r="AU85" t="s">
        <v>503</v>
      </c>
      <c r="AV85" s="8">
        <v>0</v>
      </c>
      <c r="AX85" s="114">
        <v>9</v>
      </c>
      <c r="AY85" s="116">
        <v>7</v>
      </c>
      <c r="AZ85" s="116">
        <v>60</v>
      </c>
      <c r="BA85" s="120">
        <v>47360</v>
      </c>
      <c r="BB85" s="120">
        <f t="shared" si="34"/>
        <v>9007</v>
      </c>
      <c r="BC85" t="s">
        <v>1472</v>
      </c>
      <c r="BD85" s="124">
        <f t="shared" si="35"/>
        <v>947360</v>
      </c>
      <c r="BI85">
        <v>42.32</v>
      </c>
      <c r="BJ85">
        <v>1.42</v>
      </c>
      <c r="BK85">
        <v>40.9</v>
      </c>
      <c r="BL85" s="2"/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hidden="1" outlineLevel="1">
      <c r="A86" t="s">
        <v>139</v>
      </c>
      <c r="B86" s="8" t="s">
        <v>1485</v>
      </c>
      <c r="C86" s="1">
        <f t="shared" si="24"/>
        <v>28151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5"/>
        <v>5</v>
      </c>
      <c r="G86" s="1">
        <f t="shared" si="26"/>
        <v>215</v>
      </c>
      <c r="H86" s="2">
        <f t="shared" si="27"/>
        <v>7.6373841071365137E-3</v>
      </c>
      <c r="I86" s="6"/>
      <c r="J86" s="2">
        <f t="shared" si="28"/>
        <v>0.48303790273880148</v>
      </c>
      <c r="K86" s="2">
        <f t="shared" si="29"/>
        <v>0.47540051863166494</v>
      </c>
      <c r="L86" s="2">
        <f t="shared" si="30"/>
        <v>8.1702248587972007E-4</v>
      </c>
      <c r="M86" s="2">
        <f t="shared" si="31"/>
        <v>4.0744556143653916E-2</v>
      </c>
      <c r="N86" s="63">
        <v>13598</v>
      </c>
      <c r="O86" s="63">
        <v>13383</v>
      </c>
      <c r="P86" s="63">
        <v>23</v>
      </c>
      <c r="Q86" s="63">
        <v>791</v>
      </c>
      <c r="R86" s="63">
        <v>349</v>
      </c>
      <c r="S86" s="63">
        <v>0</v>
      </c>
      <c r="T86" s="63">
        <v>0</v>
      </c>
      <c r="U86" s="63"/>
      <c r="V86" s="63">
        <v>0</v>
      </c>
      <c r="W86" s="63">
        <f t="shared" si="32"/>
        <v>3</v>
      </c>
      <c r="Y86" s="63">
        <v>4</v>
      </c>
      <c r="Z86" s="63"/>
      <c r="AA86" s="63"/>
      <c r="AB86" s="63"/>
      <c r="AE86" s="8">
        <v>0</v>
      </c>
      <c r="AM86">
        <v>0</v>
      </c>
      <c r="AQ86">
        <v>0</v>
      </c>
      <c r="AT86" t="str">
        <f t="shared" si="33"/>
        <v>Milford</v>
      </c>
      <c r="AU86" t="s">
        <v>2797</v>
      </c>
      <c r="AV86" s="8">
        <v>3</v>
      </c>
      <c r="AX86" s="114">
        <v>9</v>
      </c>
      <c r="AY86" s="116">
        <v>9</v>
      </c>
      <c r="AZ86" s="116">
        <v>65</v>
      </c>
      <c r="BA86" s="120">
        <v>47535</v>
      </c>
      <c r="BB86" s="120">
        <f t="shared" si="34"/>
        <v>9009</v>
      </c>
      <c r="BC86" t="s">
        <v>1472</v>
      </c>
      <c r="BD86" s="124">
        <f t="shared" si="35"/>
        <v>947535</v>
      </c>
      <c r="BI86">
        <v>26.15</v>
      </c>
      <c r="BJ86">
        <v>3.59</v>
      </c>
      <c r="BK86">
        <v>22.56</v>
      </c>
      <c r="BL86" s="2"/>
      <c r="BS86">
        <v>0</v>
      </c>
      <c r="BT86">
        <v>0</v>
      </c>
      <c r="BU86">
        <v>0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</row>
    <row r="87" spans="1:82" hidden="1" outlineLevel="1">
      <c r="A87" t="s">
        <v>644</v>
      </c>
      <c r="B87" s="8" t="s">
        <v>1485</v>
      </c>
      <c r="C87" s="1">
        <f t="shared" si="24"/>
        <v>10908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5"/>
        <v>5</v>
      </c>
      <c r="G87" s="1">
        <f t="shared" si="26"/>
        <v>1402</v>
      </c>
      <c r="H87" s="2">
        <f t="shared" si="27"/>
        <v>0.12852951961862852</v>
      </c>
      <c r="I87" s="6"/>
      <c r="J87" s="2">
        <f t="shared" si="28"/>
        <v>0.41437477081041435</v>
      </c>
      <c r="K87" s="2">
        <f t="shared" si="29"/>
        <v>0.54290429042904287</v>
      </c>
      <c r="L87" s="2">
        <f t="shared" si="30"/>
        <v>1.5584891822515584E-3</v>
      </c>
      <c r="M87" s="2">
        <f t="shared" si="31"/>
        <v>4.1162449578291169E-2</v>
      </c>
      <c r="N87" s="63">
        <v>4520</v>
      </c>
      <c r="O87" s="63">
        <v>5922</v>
      </c>
      <c r="P87" s="63">
        <v>17</v>
      </c>
      <c r="Q87" s="63">
        <v>353</v>
      </c>
      <c r="R87" s="63">
        <v>95</v>
      </c>
      <c r="S87" s="63">
        <v>0</v>
      </c>
      <c r="T87" s="63">
        <v>0</v>
      </c>
      <c r="U87" s="63"/>
      <c r="V87" s="63">
        <v>0</v>
      </c>
      <c r="W87" s="63">
        <f t="shared" si="32"/>
        <v>0</v>
      </c>
      <c r="Y87" s="63">
        <v>0</v>
      </c>
      <c r="Z87" s="63"/>
      <c r="AA87" s="63"/>
      <c r="AB87" s="63"/>
      <c r="AE87" s="8">
        <v>0</v>
      </c>
      <c r="AM87">
        <v>0</v>
      </c>
      <c r="AQ87">
        <v>1</v>
      </c>
      <c r="AT87" t="str">
        <f t="shared" si="33"/>
        <v>Monroe</v>
      </c>
      <c r="AU87" t="s">
        <v>280</v>
      </c>
      <c r="AV87" s="8">
        <v>4</v>
      </c>
      <c r="AX87" s="114">
        <v>9</v>
      </c>
      <c r="AY87" s="116">
        <v>1</v>
      </c>
      <c r="AZ87" s="116">
        <v>45</v>
      </c>
      <c r="BA87" s="120">
        <v>48620</v>
      </c>
      <c r="BB87" s="120">
        <f t="shared" si="34"/>
        <v>9001</v>
      </c>
      <c r="BC87" t="s">
        <v>1472</v>
      </c>
      <c r="BD87" s="124">
        <f t="shared" si="35"/>
        <v>948620</v>
      </c>
      <c r="BI87">
        <v>26.33</v>
      </c>
      <c r="BJ87">
        <v>0.2</v>
      </c>
      <c r="BK87">
        <v>26.13</v>
      </c>
      <c r="BL87" s="2"/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hidden="1" outlineLevel="1">
      <c r="A88" t="s">
        <v>1576</v>
      </c>
      <c r="B88" s="8" t="s">
        <v>1485</v>
      </c>
      <c r="C88" s="1">
        <f t="shared" si="24"/>
        <v>7972</v>
      </c>
      <c r="D88" s="5">
        <f>IF(N88&gt;0, RANK(N88,(N88:P88,Q88:AE88)),0)</f>
        <v>2</v>
      </c>
      <c r="E88" s="5">
        <f>IF(O88&gt;0,RANK(O88,(N88:P88,Q88:AE88)),0)</f>
        <v>1</v>
      </c>
      <c r="F88" s="5">
        <f t="shared" si="25"/>
        <v>0</v>
      </c>
      <c r="G88" s="1">
        <f t="shared" si="26"/>
        <v>816</v>
      </c>
      <c r="H88" s="2">
        <f t="shared" si="27"/>
        <v>0.10235825388861014</v>
      </c>
      <c r="I88" s="6"/>
      <c r="J88" s="2">
        <f t="shared" si="28"/>
        <v>0.41896638233818362</v>
      </c>
      <c r="K88" s="2">
        <f t="shared" si="29"/>
        <v>0.52132463622679381</v>
      </c>
      <c r="L88" s="2">
        <f t="shared" si="30"/>
        <v>0</v>
      </c>
      <c r="M88" s="2">
        <f t="shared" si="31"/>
        <v>5.9708981435022568E-2</v>
      </c>
      <c r="N88" s="63">
        <v>3340</v>
      </c>
      <c r="O88" s="63">
        <v>4156</v>
      </c>
      <c r="P88" s="63">
        <v>0</v>
      </c>
      <c r="Q88" s="63">
        <v>327</v>
      </c>
      <c r="R88" s="63">
        <v>149</v>
      </c>
      <c r="S88" s="63">
        <v>0</v>
      </c>
      <c r="T88" s="63">
        <v>0</v>
      </c>
      <c r="U88" s="63"/>
      <c r="V88" s="63">
        <v>0</v>
      </c>
      <c r="W88" s="63">
        <f t="shared" si="32"/>
        <v>0</v>
      </c>
      <c r="Y88" s="63">
        <v>0</v>
      </c>
      <c r="Z88" s="63"/>
      <c r="AA88" s="63"/>
      <c r="AB88" s="63"/>
      <c r="AE88" s="8">
        <v>0</v>
      </c>
      <c r="AM88">
        <v>0</v>
      </c>
      <c r="AQ88">
        <v>0</v>
      </c>
      <c r="AT88" t="str">
        <f t="shared" si="33"/>
        <v>Montville</v>
      </c>
      <c r="AU88" t="s">
        <v>130</v>
      </c>
      <c r="AV88" s="8">
        <v>2</v>
      </c>
      <c r="AX88" s="114">
        <v>9</v>
      </c>
      <c r="AY88" s="116">
        <v>11</v>
      </c>
      <c r="AZ88" s="116">
        <v>55</v>
      </c>
      <c r="BA88" s="120">
        <v>48900</v>
      </c>
      <c r="BB88" s="120">
        <f t="shared" si="34"/>
        <v>9011</v>
      </c>
      <c r="BC88" t="s">
        <v>1472</v>
      </c>
      <c r="BD88" s="124">
        <f t="shared" si="35"/>
        <v>948900</v>
      </c>
      <c r="BI88">
        <v>44.13</v>
      </c>
      <c r="BJ88">
        <v>2.11</v>
      </c>
      <c r="BK88">
        <v>42.02</v>
      </c>
      <c r="BL88" s="2"/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hidden="1" outlineLevel="1">
      <c r="A89" t="s">
        <v>2619</v>
      </c>
      <c r="B89" s="8" t="s">
        <v>1485</v>
      </c>
      <c r="C89" s="1">
        <f t="shared" si="24"/>
        <v>1418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5"/>
        <v>5</v>
      </c>
      <c r="G89" s="1">
        <f t="shared" si="26"/>
        <v>328</v>
      </c>
      <c r="H89" s="2">
        <f t="shared" si="27"/>
        <v>0.23131170662905501</v>
      </c>
      <c r="I89" s="6"/>
      <c r="J89" s="2">
        <f t="shared" si="28"/>
        <v>0.35966149506346967</v>
      </c>
      <c r="K89" s="2">
        <f t="shared" si="29"/>
        <v>0.59097320169252465</v>
      </c>
      <c r="L89" s="2">
        <f t="shared" si="30"/>
        <v>1.4104372355430183E-3</v>
      </c>
      <c r="M89" s="2">
        <f t="shared" si="31"/>
        <v>4.795486600846266E-2</v>
      </c>
      <c r="N89" s="63">
        <v>510</v>
      </c>
      <c r="O89" s="63">
        <v>838</v>
      </c>
      <c r="P89" s="63">
        <v>2</v>
      </c>
      <c r="Q89" s="63">
        <v>41</v>
      </c>
      <c r="R89" s="63">
        <v>24</v>
      </c>
      <c r="S89" s="63">
        <v>2</v>
      </c>
      <c r="T89" s="63">
        <v>0</v>
      </c>
      <c r="U89" s="63"/>
      <c r="V89" s="63">
        <v>0</v>
      </c>
      <c r="W89" s="63">
        <f t="shared" si="32"/>
        <v>1</v>
      </c>
      <c r="Y89" s="63">
        <v>0</v>
      </c>
      <c r="Z89" s="63"/>
      <c r="AA89" s="63"/>
      <c r="AB89" s="63"/>
      <c r="AE89" s="8">
        <v>0</v>
      </c>
      <c r="AM89">
        <v>0</v>
      </c>
      <c r="AQ89">
        <v>0</v>
      </c>
      <c r="AT89" t="str">
        <f t="shared" si="33"/>
        <v>Morris</v>
      </c>
      <c r="AU89" t="s">
        <v>1276</v>
      </c>
      <c r="AV89" s="8">
        <v>5</v>
      </c>
      <c r="AX89" s="114">
        <v>9</v>
      </c>
      <c r="AY89" s="116">
        <v>5</v>
      </c>
      <c r="AZ89" s="116">
        <v>55</v>
      </c>
      <c r="BA89" s="120">
        <v>49460</v>
      </c>
      <c r="BB89" s="120">
        <f t="shared" si="34"/>
        <v>9005</v>
      </c>
      <c r="BC89" t="s">
        <v>1472</v>
      </c>
      <c r="BD89" s="124">
        <f t="shared" si="35"/>
        <v>949460</v>
      </c>
      <c r="BI89">
        <v>18.72</v>
      </c>
      <c r="BJ89">
        <v>1.53</v>
      </c>
      <c r="BK89">
        <v>17.190000000000001</v>
      </c>
      <c r="BL89" s="2"/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hidden="1" outlineLevel="1">
      <c r="A90" t="s">
        <v>2763</v>
      </c>
      <c r="B90" s="8" t="s">
        <v>1485</v>
      </c>
      <c r="C90" s="1">
        <f t="shared" si="24"/>
        <v>13182</v>
      </c>
      <c r="D90" s="5">
        <f>IF(N90&gt;0, RANK(N90,(N90:P90,Q90:AE90)),0)</f>
        <v>2</v>
      </c>
      <c r="E90" s="5">
        <f>IF(O90&gt;0,RANK(O90,(N90:P90,Q90:AE90)),0)</f>
        <v>1</v>
      </c>
      <c r="F90" s="5">
        <f t="shared" si="25"/>
        <v>5</v>
      </c>
      <c r="G90" s="1">
        <f t="shared" si="26"/>
        <v>2091</v>
      </c>
      <c r="H90" s="2">
        <f t="shared" si="27"/>
        <v>0.15862539827036867</v>
      </c>
      <c r="I90" s="6"/>
      <c r="J90" s="2">
        <f t="shared" si="28"/>
        <v>0.39591867698376576</v>
      </c>
      <c r="K90" s="2">
        <f t="shared" si="29"/>
        <v>0.55454407525413441</v>
      </c>
      <c r="L90" s="2">
        <f t="shared" si="30"/>
        <v>9.8619329388560163E-4</v>
      </c>
      <c r="M90" s="2">
        <f t="shared" si="31"/>
        <v>4.855105446821429E-2</v>
      </c>
      <c r="N90" s="63">
        <v>5219</v>
      </c>
      <c r="O90" s="63">
        <v>7310</v>
      </c>
      <c r="P90" s="63">
        <v>13</v>
      </c>
      <c r="Q90" s="63">
        <v>440</v>
      </c>
      <c r="R90" s="63">
        <v>199</v>
      </c>
      <c r="S90" s="63">
        <v>0</v>
      </c>
      <c r="T90" s="63">
        <v>0</v>
      </c>
      <c r="U90" s="63"/>
      <c r="V90" s="63">
        <v>0</v>
      </c>
      <c r="W90" s="63">
        <f t="shared" si="32"/>
        <v>1</v>
      </c>
      <c r="Y90" s="63">
        <v>0</v>
      </c>
      <c r="Z90" s="63"/>
      <c r="AA90" s="63"/>
      <c r="AB90" s="63"/>
      <c r="AE90" s="8">
        <v>0</v>
      </c>
      <c r="AM90">
        <v>0</v>
      </c>
      <c r="AQ90">
        <v>0</v>
      </c>
      <c r="AT90" t="str">
        <f t="shared" si="33"/>
        <v>Naugatuck</v>
      </c>
      <c r="AU90" t="s">
        <v>2797</v>
      </c>
      <c r="AV90" s="8">
        <v>3</v>
      </c>
      <c r="AX90" s="114">
        <v>9</v>
      </c>
      <c r="AY90" s="116">
        <v>9</v>
      </c>
      <c r="AZ90" s="116">
        <v>70</v>
      </c>
      <c r="BA90" s="120">
        <v>49950</v>
      </c>
      <c r="BB90" s="120">
        <f t="shared" si="34"/>
        <v>9009</v>
      </c>
      <c r="BC90" t="s">
        <v>1472</v>
      </c>
      <c r="BD90" s="124">
        <f t="shared" si="35"/>
        <v>949950</v>
      </c>
      <c r="BI90">
        <v>16.45</v>
      </c>
      <c r="BJ90">
        <v>0.06</v>
      </c>
      <c r="BK90">
        <v>16.39</v>
      </c>
      <c r="BL90" s="2"/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hidden="1" outlineLevel="1">
      <c r="A91" t="s">
        <v>2853</v>
      </c>
      <c r="B91" s="8" t="s">
        <v>1485</v>
      </c>
      <c r="C91" s="1">
        <f t="shared" si="24"/>
        <v>22328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5"/>
        <v>5</v>
      </c>
      <c r="G91" s="1">
        <f t="shared" si="26"/>
        <v>9413</v>
      </c>
      <c r="H91" s="2">
        <f t="shared" si="27"/>
        <v>0.42157828735220348</v>
      </c>
      <c r="I91" s="6"/>
      <c r="J91" s="2">
        <f t="shared" si="28"/>
        <v>0.69276245073450371</v>
      </c>
      <c r="K91" s="2">
        <f t="shared" si="29"/>
        <v>0.27118416338230023</v>
      </c>
      <c r="L91" s="2">
        <f t="shared" si="30"/>
        <v>4.0308133285560729E-4</v>
      </c>
      <c r="M91" s="2">
        <f t="shared" si="31"/>
        <v>3.5650304550340454E-2</v>
      </c>
      <c r="N91" s="63">
        <v>15468</v>
      </c>
      <c r="O91" s="63">
        <v>6055</v>
      </c>
      <c r="P91" s="63">
        <v>9</v>
      </c>
      <c r="Q91" s="63">
        <v>406</v>
      </c>
      <c r="R91" s="63">
        <v>381</v>
      </c>
      <c r="S91" s="63">
        <v>6</v>
      </c>
      <c r="T91" s="63">
        <v>0</v>
      </c>
      <c r="U91" s="63"/>
      <c r="V91" s="63">
        <v>0</v>
      </c>
      <c r="W91" s="63">
        <f t="shared" si="32"/>
        <v>2</v>
      </c>
      <c r="Y91" s="63">
        <v>0</v>
      </c>
      <c r="Z91" s="63"/>
      <c r="AA91" s="63"/>
      <c r="AB91" s="63"/>
      <c r="AE91" s="8">
        <v>1</v>
      </c>
      <c r="AM91">
        <v>0</v>
      </c>
      <c r="AQ91">
        <v>0</v>
      </c>
      <c r="AT91" t="str">
        <f t="shared" si="33"/>
        <v>New Britain</v>
      </c>
      <c r="AU91" t="s">
        <v>1737</v>
      </c>
      <c r="AV91" s="8">
        <v>5</v>
      </c>
      <c r="AX91" s="114">
        <v>9</v>
      </c>
      <c r="AY91" s="116">
        <v>3</v>
      </c>
      <c r="AZ91" s="116">
        <v>90</v>
      </c>
      <c r="BA91" s="120">
        <v>50440</v>
      </c>
      <c r="BB91" s="120">
        <f t="shared" si="34"/>
        <v>9003</v>
      </c>
      <c r="BC91" t="s">
        <v>1472</v>
      </c>
      <c r="BD91" s="124">
        <f t="shared" si="35"/>
        <v>950440</v>
      </c>
      <c r="BI91">
        <v>13.4</v>
      </c>
      <c r="BJ91">
        <v>7.0000000000000007E-2</v>
      </c>
      <c r="BK91">
        <v>13.34</v>
      </c>
      <c r="BL91" s="2"/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hidden="1" outlineLevel="1">
      <c r="A92" t="s">
        <v>2831</v>
      </c>
      <c r="B92" s="8" t="s">
        <v>1485</v>
      </c>
      <c r="C92" s="1">
        <f t="shared" si="24"/>
        <v>10966</v>
      </c>
      <c r="D92" s="5">
        <f>IF(N92&gt;0, RANK(N92,(N92:P92,Q92:AE92)),0)</f>
        <v>1</v>
      </c>
      <c r="E92" s="5">
        <f>IF(O92&gt;0,RANK(O92,(N92:P92,Q92:AE92)),0)</f>
        <v>2</v>
      </c>
      <c r="F92" s="5">
        <f t="shared" si="25"/>
        <v>5</v>
      </c>
      <c r="G92" s="1">
        <f t="shared" si="26"/>
        <v>1226</v>
      </c>
      <c r="H92" s="2">
        <f t="shared" si="27"/>
        <v>0.11180010942914463</v>
      </c>
      <c r="I92" s="6"/>
      <c r="J92" s="2">
        <f t="shared" si="28"/>
        <v>0.52589823089549514</v>
      </c>
      <c r="K92" s="2">
        <f t="shared" si="29"/>
        <v>0.41409812146635055</v>
      </c>
      <c r="L92" s="2">
        <f t="shared" si="30"/>
        <v>6.0186029545869048E-3</v>
      </c>
      <c r="M92" s="2">
        <f t="shared" si="31"/>
        <v>5.3985044683567393E-2</v>
      </c>
      <c r="N92" s="63">
        <v>5767</v>
      </c>
      <c r="O92" s="63">
        <v>4541</v>
      </c>
      <c r="P92" s="63">
        <v>66</v>
      </c>
      <c r="Q92" s="63">
        <v>511</v>
      </c>
      <c r="R92" s="63">
        <v>81</v>
      </c>
      <c r="S92" s="63">
        <v>0</v>
      </c>
      <c r="T92" s="63">
        <v>0</v>
      </c>
      <c r="U92" s="63"/>
      <c r="V92" s="63">
        <v>0</v>
      </c>
      <c r="W92" s="63">
        <f t="shared" si="32"/>
        <v>0</v>
      </c>
      <c r="Y92" s="63">
        <v>0</v>
      </c>
      <c r="Z92" s="63"/>
      <c r="AA92" s="63"/>
      <c r="AB92" s="63"/>
      <c r="AE92" s="8">
        <v>0</v>
      </c>
      <c r="AM92">
        <v>0</v>
      </c>
      <c r="AQ92">
        <v>0</v>
      </c>
      <c r="AT92" t="str">
        <f t="shared" si="33"/>
        <v>New Canaan</v>
      </c>
      <c r="AU92" t="s">
        <v>280</v>
      </c>
      <c r="AV92" s="8">
        <v>4</v>
      </c>
      <c r="AX92" s="114">
        <v>9</v>
      </c>
      <c r="AY92" s="116">
        <v>1</v>
      </c>
      <c r="AZ92" s="116">
        <v>50</v>
      </c>
      <c r="BA92" s="120">
        <v>50580</v>
      </c>
      <c r="BB92" s="120">
        <f t="shared" si="34"/>
        <v>9001</v>
      </c>
      <c r="BC92" t="s">
        <v>1472</v>
      </c>
      <c r="BD92" s="124">
        <f t="shared" si="35"/>
        <v>950580</v>
      </c>
      <c r="BI92">
        <v>22.48</v>
      </c>
      <c r="BJ92">
        <v>0.35</v>
      </c>
      <c r="BK92">
        <v>22.13</v>
      </c>
      <c r="BL92" s="2"/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hidden="1" outlineLevel="1">
      <c r="A93" t="s">
        <v>2493</v>
      </c>
      <c r="B93" s="8" t="s">
        <v>1485</v>
      </c>
      <c r="C93" s="1">
        <f t="shared" si="24"/>
        <v>7677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5"/>
        <v>5</v>
      </c>
      <c r="G93" s="1">
        <f t="shared" si="26"/>
        <v>1231</v>
      </c>
      <c r="H93" s="2">
        <f t="shared" si="27"/>
        <v>0.16034909469844991</v>
      </c>
      <c r="I93" s="6"/>
      <c r="J93" s="2">
        <f t="shared" si="28"/>
        <v>0.40002605184316792</v>
      </c>
      <c r="K93" s="2">
        <f t="shared" si="29"/>
        <v>0.5603751465416178</v>
      </c>
      <c r="L93" s="2">
        <f t="shared" si="30"/>
        <v>7.8155529503712393E-4</v>
      </c>
      <c r="M93" s="2">
        <f t="shared" si="31"/>
        <v>3.8817246320177107E-2</v>
      </c>
      <c r="N93" s="63">
        <v>3071</v>
      </c>
      <c r="O93" s="63">
        <v>4302</v>
      </c>
      <c r="P93" s="63">
        <v>6</v>
      </c>
      <c r="Q93" s="63">
        <v>204</v>
      </c>
      <c r="R93" s="63">
        <v>94</v>
      </c>
      <c r="S93" s="63">
        <v>0</v>
      </c>
      <c r="T93" s="63">
        <v>0</v>
      </c>
      <c r="U93" s="63"/>
      <c r="V93" s="63">
        <v>0</v>
      </c>
      <c r="W93" s="63">
        <f t="shared" si="32"/>
        <v>0</v>
      </c>
      <c r="Y93" s="63">
        <v>0</v>
      </c>
      <c r="Z93" s="63"/>
      <c r="AA93" s="63"/>
      <c r="AB93" s="63"/>
      <c r="AE93" s="8">
        <v>0</v>
      </c>
      <c r="AM93">
        <v>0</v>
      </c>
      <c r="AQ93">
        <v>0</v>
      </c>
      <c r="AT93" t="str">
        <f t="shared" si="33"/>
        <v>New Fairfield</v>
      </c>
      <c r="AU93" t="s">
        <v>280</v>
      </c>
      <c r="AV93" s="8">
        <v>5</v>
      </c>
      <c r="AX93" s="114">
        <v>9</v>
      </c>
      <c r="AY93" s="116">
        <v>1</v>
      </c>
      <c r="AZ93" s="116">
        <v>55</v>
      </c>
      <c r="BA93" s="120">
        <v>50860</v>
      </c>
      <c r="BB93" s="120">
        <f t="shared" si="34"/>
        <v>9001</v>
      </c>
      <c r="BC93" t="s">
        <v>1472</v>
      </c>
      <c r="BD93" s="124">
        <f t="shared" si="35"/>
        <v>950860</v>
      </c>
      <c r="BI93">
        <v>25.06</v>
      </c>
      <c r="BJ93">
        <v>4.59</v>
      </c>
      <c r="BK93">
        <v>20.46</v>
      </c>
      <c r="BL93" s="2"/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hidden="1" outlineLevel="1">
      <c r="A94" t="s">
        <v>2456</v>
      </c>
      <c r="B94" s="8" t="s">
        <v>1485</v>
      </c>
      <c r="C94" s="1">
        <f t="shared" si="24"/>
        <v>4122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5"/>
        <v>0</v>
      </c>
      <c r="G94" s="1">
        <f t="shared" si="26"/>
        <v>589</v>
      </c>
      <c r="H94" s="2">
        <f t="shared" si="27"/>
        <v>0.14289180009704028</v>
      </c>
      <c r="I94" s="6"/>
      <c r="J94" s="2">
        <f t="shared" si="28"/>
        <v>0.40126152353226591</v>
      </c>
      <c r="K94" s="2">
        <f t="shared" si="29"/>
        <v>0.54415332362930613</v>
      </c>
      <c r="L94" s="2">
        <f t="shared" si="30"/>
        <v>0</v>
      </c>
      <c r="M94" s="2">
        <f t="shared" si="31"/>
        <v>5.4585152838428019E-2</v>
      </c>
      <c r="N94" s="63">
        <v>1654</v>
      </c>
      <c r="O94" s="63">
        <v>2243</v>
      </c>
      <c r="P94" s="63">
        <v>0</v>
      </c>
      <c r="Q94" s="63">
        <v>146</v>
      </c>
      <c r="R94" s="63">
        <v>77</v>
      </c>
      <c r="S94" s="63">
        <v>2</v>
      </c>
      <c r="T94" s="63">
        <v>0</v>
      </c>
      <c r="U94" s="63"/>
      <c r="V94" s="63">
        <v>0</v>
      </c>
      <c r="W94" s="63">
        <f t="shared" si="32"/>
        <v>0</v>
      </c>
      <c r="Y94" s="63">
        <v>0</v>
      </c>
      <c r="Z94" s="63"/>
      <c r="AA94" s="63"/>
      <c r="AB94" s="63"/>
      <c r="AE94" s="8">
        <v>0</v>
      </c>
      <c r="AM94">
        <v>0</v>
      </c>
      <c r="AQ94">
        <v>0</v>
      </c>
      <c r="AT94" t="str">
        <f t="shared" si="33"/>
        <v>New Hartford</v>
      </c>
      <c r="AU94" t="s">
        <v>1276</v>
      </c>
      <c r="AV94" s="8">
        <v>1</v>
      </c>
      <c r="AX94" s="114">
        <v>9</v>
      </c>
      <c r="AY94" s="116">
        <v>5</v>
      </c>
      <c r="AZ94" s="116">
        <v>60</v>
      </c>
      <c r="BA94" s="120">
        <v>51350</v>
      </c>
      <c r="BB94" s="120">
        <f t="shared" si="34"/>
        <v>9005</v>
      </c>
      <c r="BC94" t="s">
        <v>1472</v>
      </c>
      <c r="BD94" s="124">
        <f t="shared" si="35"/>
        <v>951350</v>
      </c>
      <c r="BI94">
        <v>38.14</v>
      </c>
      <c r="BJ94">
        <v>1.1100000000000001</v>
      </c>
      <c r="BK94">
        <v>37.03</v>
      </c>
      <c r="BL94" s="2"/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hidden="1" outlineLevel="1">
      <c r="A95" t="s">
        <v>2797</v>
      </c>
      <c r="B95" s="8" t="s">
        <v>1485</v>
      </c>
      <c r="C95" s="1">
        <f t="shared" si="24"/>
        <v>41688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5"/>
        <v>5</v>
      </c>
      <c r="G95" s="1">
        <f t="shared" si="26"/>
        <v>31393</v>
      </c>
      <c r="H95" s="2">
        <f t="shared" si="27"/>
        <v>0.75304644022260603</v>
      </c>
      <c r="I95" s="6"/>
      <c r="J95" s="2">
        <f t="shared" si="28"/>
        <v>0.86195068125119934</v>
      </c>
      <c r="K95" s="2">
        <f t="shared" si="29"/>
        <v>0.10890424102859336</v>
      </c>
      <c r="L95" s="2">
        <f t="shared" si="30"/>
        <v>1.7990788716177317E-3</v>
      </c>
      <c r="M95" s="2">
        <f t="shared" si="31"/>
        <v>2.734599884858957E-2</v>
      </c>
      <c r="N95" s="63">
        <v>35933</v>
      </c>
      <c r="O95" s="63">
        <v>4540</v>
      </c>
      <c r="P95" s="63">
        <v>75</v>
      </c>
      <c r="Q95" s="63">
        <v>493</v>
      </c>
      <c r="R95" s="63">
        <v>618</v>
      </c>
      <c r="S95" s="63">
        <v>5</v>
      </c>
      <c r="T95" s="63">
        <v>0</v>
      </c>
      <c r="U95" s="63"/>
      <c r="V95" s="63">
        <v>18</v>
      </c>
      <c r="W95" s="63">
        <f t="shared" si="32"/>
        <v>5</v>
      </c>
      <c r="Y95" s="63">
        <v>0</v>
      </c>
      <c r="Z95" s="63"/>
      <c r="AA95" s="63"/>
      <c r="AB95" s="63"/>
      <c r="AE95" s="8">
        <v>0</v>
      </c>
      <c r="AM95">
        <v>0</v>
      </c>
      <c r="AQ95">
        <v>1</v>
      </c>
      <c r="AT95" t="str">
        <f t="shared" si="33"/>
        <v>New Haven</v>
      </c>
      <c r="AU95" t="s">
        <v>2797</v>
      </c>
      <c r="AV95" s="8">
        <v>3</v>
      </c>
      <c r="AX95" s="114">
        <v>9</v>
      </c>
      <c r="AY95" s="116">
        <v>9</v>
      </c>
      <c r="AZ95" s="116">
        <v>75</v>
      </c>
      <c r="BA95" s="120">
        <v>52070</v>
      </c>
      <c r="BB95" s="120">
        <f t="shared" si="34"/>
        <v>9009</v>
      </c>
      <c r="BC95" t="s">
        <v>1472</v>
      </c>
      <c r="BD95" s="124">
        <f t="shared" si="35"/>
        <v>952070</v>
      </c>
      <c r="BI95">
        <v>20.25</v>
      </c>
      <c r="BJ95">
        <v>1.4</v>
      </c>
      <c r="BK95">
        <v>18.850000000000001</v>
      </c>
      <c r="BL95" s="2"/>
      <c r="BS95">
        <v>2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hidden="1" outlineLevel="1">
      <c r="A96" t="s">
        <v>130</v>
      </c>
      <c r="B96" s="8" t="s">
        <v>1485</v>
      </c>
      <c r="C96" s="1">
        <f t="shared" si="24"/>
        <v>8687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5"/>
        <v>5</v>
      </c>
      <c r="G96" s="1">
        <f t="shared" si="26"/>
        <v>4381</v>
      </c>
      <c r="H96" s="2">
        <f t="shared" si="27"/>
        <v>0.50431679521123518</v>
      </c>
      <c r="I96" s="6"/>
      <c r="J96" s="2">
        <f t="shared" si="28"/>
        <v>0.72579716818234141</v>
      </c>
      <c r="K96" s="2">
        <f t="shared" si="29"/>
        <v>0.22148037297110626</v>
      </c>
      <c r="L96" s="2">
        <f t="shared" si="30"/>
        <v>3.4534361689881433E-4</v>
      </c>
      <c r="M96" s="2">
        <f t="shared" si="31"/>
        <v>5.2377115229653513E-2</v>
      </c>
      <c r="N96" s="63">
        <v>6305</v>
      </c>
      <c r="O96" s="63">
        <v>1924</v>
      </c>
      <c r="P96" s="63">
        <v>3</v>
      </c>
      <c r="Q96" s="63">
        <v>217</v>
      </c>
      <c r="R96" s="63">
        <v>237</v>
      </c>
      <c r="S96" s="63">
        <v>0</v>
      </c>
      <c r="T96" s="63">
        <v>0</v>
      </c>
      <c r="U96" s="63"/>
      <c r="V96" s="63">
        <v>0</v>
      </c>
      <c r="W96" s="63">
        <f t="shared" si="32"/>
        <v>1</v>
      </c>
      <c r="Y96" s="63">
        <v>0</v>
      </c>
      <c r="Z96" s="63"/>
      <c r="AA96" s="63"/>
      <c r="AB96" s="63"/>
      <c r="AE96" s="8">
        <v>0</v>
      </c>
      <c r="AM96">
        <v>0</v>
      </c>
      <c r="AQ96">
        <v>0</v>
      </c>
      <c r="AT96" t="str">
        <f t="shared" si="33"/>
        <v>New London</v>
      </c>
      <c r="AU96" t="s">
        <v>130</v>
      </c>
      <c r="AV96" s="8">
        <v>2</v>
      </c>
      <c r="AX96" s="114">
        <v>9</v>
      </c>
      <c r="AY96" s="116">
        <v>11</v>
      </c>
      <c r="AZ96" s="116">
        <v>60</v>
      </c>
      <c r="BA96" s="120">
        <v>52350</v>
      </c>
      <c r="BB96" s="120">
        <f t="shared" si="34"/>
        <v>9011</v>
      </c>
      <c r="BC96" t="s">
        <v>1472</v>
      </c>
      <c r="BD96" s="124">
        <f t="shared" si="35"/>
        <v>952350</v>
      </c>
      <c r="BI96">
        <v>10.76</v>
      </c>
      <c r="BJ96">
        <v>5.23</v>
      </c>
      <c r="BK96">
        <v>5.54</v>
      </c>
      <c r="BL96" s="2"/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hidden="1" outlineLevel="1">
      <c r="A97" t="s">
        <v>2424</v>
      </c>
      <c r="B97" s="8" t="s">
        <v>1485</v>
      </c>
      <c r="C97" s="1">
        <f t="shared" si="24"/>
        <v>13668</v>
      </c>
      <c r="D97" s="5">
        <f>IF(N97&gt;0, RANK(N97,(N97:P97,Q97:AE97)),0)</f>
        <v>2</v>
      </c>
      <c r="E97" s="5">
        <f>IF(O97&gt;0,RANK(O97,(N97:P97,Q97:AE97)),0)</f>
        <v>1</v>
      </c>
      <c r="F97" s="5">
        <f t="shared" si="25"/>
        <v>5</v>
      </c>
      <c r="G97" s="1">
        <f t="shared" si="26"/>
        <v>729</v>
      </c>
      <c r="H97" s="2">
        <f t="shared" si="27"/>
        <v>5.3336259877085165E-2</v>
      </c>
      <c r="I97" s="6"/>
      <c r="J97" s="2">
        <f t="shared" si="28"/>
        <v>0.44893181153058237</v>
      </c>
      <c r="K97" s="2">
        <f t="shared" si="29"/>
        <v>0.50226807140766749</v>
      </c>
      <c r="L97" s="2">
        <f t="shared" si="30"/>
        <v>1.3901082821188176E-3</v>
      </c>
      <c r="M97" s="2">
        <f t="shared" si="31"/>
        <v>4.7410008779631321E-2</v>
      </c>
      <c r="N97" s="63">
        <v>6136</v>
      </c>
      <c r="O97" s="63">
        <v>6865</v>
      </c>
      <c r="P97" s="63">
        <v>19</v>
      </c>
      <c r="Q97" s="63">
        <v>433</v>
      </c>
      <c r="R97" s="63">
        <v>214</v>
      </c>
      <c r="S97" s="63">
        <v>0</v>
      </c>
      <c r="T97" s="63">
        <v>0</v>
      </c>
      <c r="U97" s="63"/>
      <c r="V97" s="63">
        <v>0</v>
      </c>
      <c r="W97" s="63">
        <f t="shared" si="32"/>
        <v>0</v>
      </c>
      <c r="Y97" s="63">
        <v>1</v>
      </c>
      <c r="Z97" s="63"/>
      <c r="AA97" s="63"/>
      <c r="AB97" s="63"/>
      <c r="AE97" s="8">
        <v>0</v>
      </c>
      <c r="AM97">
        <v>0</v>
      </c>
      <c r="AQ97">
        <v>0</v>
      </c>
      <c r="AT97" t="str">
        <f t="shared" si="33"/>
        <v>New Milford</v>
      </c>
      <c r="AU97" t="s">
        <v>1276</v>
      </c>
      <c r="AV97" s="8">
        <v>5</v>
      </c>
      <c r="AX97" s="114">
        <v>9</v>
      </c>
      <c r="AY97" s="116">
        <v>5</v>
      </c>
      <c r="AZ97" s="116">
        <v>65</v>
      </c>
      <c r="BA97" s="120">
        <v>52630</v>
      </c>
      <c r="BB97" s="120">
        <f t="shared" si="34"/>
        <v>9005</v>
      </c>
      <c r="BC97" t="s">
        <v>1472</v>
      </c>
      <c r="BD97" s="124">
        <f t="shared" si="35"/>
        <v>952630</v>
      </c>
      <c r="BI97">
        <v>63.7</v>
      </c>
      <c r="BJ97">
        <v>2.11</v>
      </c>
      <c r="BK97">
        <v>61.59</v>
      </c>
      <c r="BL97" s="2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hidden="1" outlineLevel="1">
      <c r="A98" t="s">
        <v>2908</v>
      </c>
      <c r="B98" s="8" t="s">
        <v>1485</v>
      </c>
      <c r="C98" s="1">
        <f t="shared" si="24"/>
        <v>15691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5"/>
        <v>5</v>
      </c>
      <c r="G98" s="1">
        <f t="shared" si="26"/>
        <v>1868</v>
      </c>
      <c r="H98" s="2">
        <f t="shared" si="27"/>
        <v>0.11904913644764514</v>
      </c>
      <c r="I98" s="6"/>
      <c r="J98" s="2">
        <f t="shared" si="28"/>
        <v>0.53693199923523038</v>
      </c>
      <c r="K98" s="2">
        <f t="shared" si="29"/>
        <v>0.41788286278758524</v>
      </c>
      <c r="L98" s="2">
        <f t="shared" si="30"/>
        <v>1.0196928175387164E-3</v>
      </c>
      <c r="M98" s="2">
        <f t="shared" si="31"/>
        <v>4.4165445159645655E-2</v>
      </c>
      <c r="N98" s="63">
        <v>8425</v>
      </c>
      <c r="O98" s="63">
        <v>6557</v>
      </c>
      <c r="P98" s="63">
        <v>16</v>
      </c>
      <c r="Q98" s="63">
        <v>479</v>
      </c>
      <c r="R98" s="63">
        <v>213</v>
      </c>
      <c r="S98" s="63">
        <v>0</v>
      </c>
      <c r="T98" s="63">
        <v>0</v>
      </c>
      <c r="U98" s="63"/>
      <c r="V98" s="63">
        <v>0</v>
      </c>
      <c r="W98" s="63">
        <f t="shared" si="32"/>
        <v>0</v>
      </c>
      <c r="Y98" s="63">
        <v>1</v>
      </c>
      <c r="Z98" s="63"/>
      <c r="AA98" s="63"/>
      <c r="AB98" s="63"/>
      <c r="AE98" s="8">
        <v>0</v>
      </c>
      <c r="AM98">
        <v>0</v>
      </c>
      <c r="AQ98">
        <v>0</v>
      </c>
      <c r="AT98" t="str">
        <f t="shared" si="33"/>
        <v>Newington</v>
      </c>
      <c r="AU98" t="s">
        <v>1737</v>
      </c>
      <c r="AV98" s="8">
        <v>1</v>
      </c>
      <c r="AX98" s="114">
        <v>9</v>
      </c>
      <c r="AY98" s="116">
        <v>3</v>
      </c>
      <c r="AZ98" s="116">
        <v>95</v>
      </c>
      <c r="BA98" s="120">
        <v>52140</v>
      </c>
      <c r="BB98" s="120">
        <f t="shared" si="34"/>
        <v>9003</v>
      </c>
      <c r="BC98" t="s">
        <v>1472</v>
      </c>
      <c r="BD98" s="124">
        <f t="shared" si="35"/>
        <v>952140</v>
      </c>
      <c r="BI98">
        <v>13.18</v>
      </c>
      <c r="BJ98">
        <v>0</v>
      </c>
      <c r="BK98">
        <v>13.18</v>
      </c>
      <c r="BL98" s="2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hidden="1" outlineLevel="1">
      <c r="A99" t="s">
        <v>2866</v>
      </c>
      <c r="B99" s="8" t="s">
        <v>1485</v>
      </c>
      <c r="C99" s="1">
        <f t="shared" ref="C99:C130" si="36">SUM(N99:AR99)</f>
        <v>15359</v>
      </c>
      <c r="D99" s="5">
        <f>IF(N99&gt;0, RANK(N99,(N99:P99,Q99:AE99)),0)</f>
        <v>1</v>
      </c>
      <c r="E99" s="5">
        <f>IF(O99&gt;0,RANK(O99,(N99:P99,Q99:AE99)),0)</f>
        <v>2</v>
      </c>
      <c r="F99" s="5">
        <f t="shared" ref="F99:F130" si="37">IF(P99&gt;0,RANK(P99,(N99:AE99)),0)</f>
        <v>5</v>
      </c>
      <c r="G99" s="1">
        <f t="shared" ref="G99:G130" si="38">IF(C99&gt;0,MAX(N99:P99)-LARGE(N99:P99,2),0)</f>
        <v>294</v>
      </c>
      <c r="H99" s="2">
        <f t="shared" ref="H99:H130" si="39">IF(C99&gt;0,G99/C99,0)</f>
        <v>1.9141871215573932E-2</v>
      </c>
      <c r="I99" s="6"/>
      <c r="J99" s="2">
        <f t="shared" ref="J99:J130" si="40">IF(C99=0,"-",N99/C99)</f>
        <v>0.48492740412787289</v>
      </c>
      <c r="K99" s="2">
        <f t="shared" ref="K99:K130" si="41">IF(C99=0,"-",O99/C99)</f>
        <v>0.46578553291229896</v>
      </c>
      <c r="L99" s="2">
        <f t="shared" ref="L99:L130" si="42">IF(C99=0,"-",P99/C99)</f>
        <v>3.0600950582720227E-3</v>
      </c>
      <c r="M99" s="2">
        <f t="shared" ref="M99:M130" si="43">IF(C99=0,"-",(1-J99-K99-L99))</f>
        <v>4.6226967901556185E-2</v>
      </c>
      <c r="N99" s="63">
        <v>7448</v>
      </c>
      <c r="O99" s="63">
        <v>7154</v>
      </c>
      <c r="P99" s="63">
        <v>47</v>
      </c>
      <c r="Q99" s="63">
        <v>505</v>
      </c>
      <c r="R99" s="63">
        <v>204</v>
      </c>
      <c r="S99" s="63">
        <v>0</v>
      </c>
      <c r="T99" s="63">
        <v>0</v>
      </c>
      <c r="U99" s="63"/>
      <c r="V99" s="63">
        <v>0</v>
      </c>
      <c r="W99" s="63">
        <f t="shared" ref="W99:W130" si="44">SUM(BS99:CD99)</f>
        <v>1</v>
      </c>
      <c r="Y99" s="63">
        <v>0</v>
      </c>
      <c r="Z99" s="63"/>
      <c r="AA99" s="63"/>
      <c r="AB99" s="63"/>
      <c r="AE99" s="8">
        <v>0</v>
      </c>
      <c r="AM99">
        <v>0</v>
      </c>
      <c r="AQ99">
        <v>0</v>
      </c>
      <c r="AT99" t="str">
        <f t="shared" ref="AT99:AT130" si="45">A99</f>
        <v>Newtown</v>
      </c>
      <c r="AU99" t="s">
        <v>280</v>
      </c>
      <c r="AV99" s="8">
        <v>5</v>
      </c>
      <c r="AX99" s="114">
        <v>9</v>
      </c>
      <c r="AY99" s="116">
        <v>1</v>
      </c>
      <c r="AZ99" s="116">
        <v>60</v>
      </c>
      <c r="BA99" s="120">
        <v>52980</v>
      </c>
      <c r="BB99" s="120">
        <f t="shared" ref="BB99:BB130" si="46">AX99*1000+AY99</f>
        <v>9001</v>
      </c>
      <c r="BC99" t="s">
        <v>1472</v>
      </c>
      <c r="BD99" s="124">
        <f t="shared" ref="BD99:BD130" si="47">AX99*100000+BA99</f>
        <v>952980</v>
      </c>
      <c r="BI99">
        <v>59.07</v>
      </c>
      <c r="BJ99">
        <v>1.31</v>
      </c>
      <c r="BK99">
        <v>57.76</v>
      </c>
      <c r="BL99" s="2"/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hidden="1" outlineLevel="1">
      <c r="A100" t="s">
        <v>753</v>
      </c>
      <c r="B100" s="8" t="s">
        <v>1485</v>
      </c>
      <c r="C100" s="1">
        <f t="shared" si="36"/>
        <v>967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37"/>
        <v>5</v>
      </c>
      <c r="G100" s="1">
        <f t="shared" si="38"/>
        <v>174</v>
      </c>
      <c r="H100" s="2">
        <f t="shared" si="39"/>
        <v>0.17993795243019647</v>
      </c>
      <c r="I100" s="6"/>
      <c r="J100" s="2">
        <f t="shared" si="40"/>
        <v>0.56566701137538777</v>
      </c>
      <c r="K100" s="2">
        <f t="shared" si="41"/>
        <v>0.38572905894519133</v>
      </c>
      <c r="L100" s="2">
        <f t="shared" si="42"/>
        <v>1.0341261633919339E-3</v>
      </c>
      <c r="M100" s="2">
        <f t="shared" si="43"/>
        <v>4.7569803516028963E-2</v>
      </c>
      <c r="N100" s="63">
        <v>547</v>
      </c>
      <c r="O100" s="63">
        <v>373</v>
      </c>
      <c r="P100" s="63">
        <v>1</v>
      </c>
      <c r="Q100" s="63">
        <v>20</v>
      </c>
      <c r="R100" s="63">
        <v>26</v>
      </c>
      <c r="S100" s="63">
        <v>0</v>
      </c>
      <c r="T100" s="63">
        <v>0</v>
      </c>
      <c r="U100" s="63"/>
      <c r="V100" s="63">
        <v>0</v>
      </c>
      <c r="W100" s="63">
        <f t="shared" si="44"/>
        <v>0</v>
      </c>
      <c r="Y100" s="63">
        <v>0</v>
      </c>
      <c r="Z100" s="63"/>
      <c r="AA100" s="63"/>
      <c r="AB100" s="63"/>
      <c r="AE100" s="8">
        <v>0</v>
      </c>
      <c r="AM100">
        <v>0</v>
      </c>
      <c r="AQ100">
        <v>0</v>
      </c>
      <c r="AT100" t="str">
        <f t="shared" si="45"/>
        <v>Norfolk</v>
      </c>
      <c r="AU100" t="s">
        <v>1276</v>
      </c>
      <c r="AV100" s="8">
        <v>5</v>
      </c>
      <c r="AX100" s="114">
        <v>9</v>
      </c>
      <c r="AY100" s="116">
        <v>5</v>
      </c>
      <c r="AZ100" s="116">
        <v>70</v>
      </c>
      <c r="BA100" s="120">
        <v>53470</v>
      </c>
      <c r="BB100" s="120">
        <f t="shared" si="46"/>
        <v>9005</v>
      </c>
      <c r="BC100" t="s">
        <v>1472</v>
      </c>
      <c r="BD100" s="124">
        <f t="shared" si="47"/>
        <v>953470</v>
      </c>
      <c r="BI100">
        <v>46.41</v>
      </c>
      <c r="BJ100">
        <v>1.1000000000000001</v>
      </c>
      <c r="BK100">
        <v>45.31</v>
      </c>
      <c r="BL100" s="2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hidden="1" outlineLevel="1">
      <c r="A101" t="s">
        <v>1395</v>
      </c>
      <c r="B101" s="8" t="s">
        <v>1485</v>
      </c>
      <c r="C101" s="1">
        <f t="shared" si="36"/>
        <v>7654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 t="shared" si="37"/>
        <v>5</v>
      </c>
      <c r="G101" s="1">
        <f t="shared" si="38"/>
        <v>1540</v>
      </c>
      <c r="H101" s="2">
        <f t="shared" si="39"/>
        <v>0.20120198588973087</v>
      </c>
      <c r="I101" s="6"/>
      <c r="J101" s="2">
        <f t="shared" si="40"/>
        <v>0.38319832767180562</v>
      </c>
      <c r="K101" s="2">
        <f t="shared" si="41"/>
        <v>0.58440031356153643</v>
      </c>
      <c r="L101" s="2">
        <f t="shared" si="42"/>
        <v>5.2260256075254764E-4</v>
      </c>
      <c r="M101" s="2">
        <f t="shared" si="43"/>
        <v>3.1878756205905405E-2</v>
      </c>
      <c r="N101" s="63">
        <v>2933</v>
      </c>
      <c r="O101" s="63">
        <v>4473</v>
      </c>
      <c r="P101" s="63">
        <v>4</v>
      </c>
      <c r="Q101" s="63">
        <v>175</v>
      </c>
      <c r="R101" s="63">
        <v>68</v>
      </c>
      <c r="S101" s="63">
        <v>0</v>
      </c>
      <c r="T101" s="63">
        <v>0</v>
      </c>
      <c r="U101" s="63"/>
      <c r="V101" s="63">
        <v>0</v>
      </c>
      <c r="W101" s="63">
        <f t="shared" si="44"/>
        <v>1</v>
      </c>
      <c r="Y101" s="63">
        <v>0</v>
      </c>
      <c r="Z101" s="63"/>
      <c r="AA101" s="63"/>
      <c r="AB101" s="63"/>
      <c r="AE101" s="8">
        <v>0</v>
      </c>
      <c r="AM101">
        <v>0</v>
      </c>
      <c r="AQ101">
        <v>0</v>
      </c>
      <c r="AT101" t="str">
        <f t="shared" si="45"/>
        <v>North Branford</v>
      </c>
      <c r="AU101" t="s">
        <v>2797</v>
      </c>
      <c r="AV101" s="8">
        <v>3</v>
      </c>
      <c r="AX101" s="114">
        <v>9</v>
      </c>
      <c r="AY101" s="116">
        <v>9</v>
      </c>
      <c r="AZ101" s="116">
        <v>80</v>
      </c>
      <c r="BA101" s="120">
        <v>53890</v>
      </c>
      <c r="BB101" s="120">
        <f t="shared" si="46"/>
        <v>9009</v>
      </c>
      <c r="BC101" t="s">
        <v>1472</v>
      </c>
      <c r="BD101" s="124">
        <f t="shared" si="47"/>
        <v>953890</v>
      </c>
      <c r="BI101">
        <v>26.65</v>
      </c>
      <c r="BJ101">
        <v>1.73</v>
      </c>
      <c r="BK101">
        <v>24.92</v>
      </c>
      <c r="BL101" s="2"/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hidden="1" outlineLevel="1">
      <c r="A102" t="s">
        <v>1179</v>
      </c>
      <c r="B102" s="8" t="s">
        <v>1485</v>
      </c>
      <c r="C102" s="1">
        <f t="shared" si="36"/>
        <v>1509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37"/>
        <v>0</v>
      </c>
      <c r="G102" s="1">
        <f t="shared" si="38"/>
        <v>29</v>
      </c>
      <c r="H102" s="2">
        <f t="shared" si="39"/>
        <v>1.9218025182239893E-2</v>
      </c>
      <c r="I102" s="6"/>
      <c r="J102" s="2">
        <f t="shared" si="40"/>
        <v>0.48508946322067592</v>
      </c>
      <c r="K102" s="2">
        <f t="shared" si="41"/>
        <v>0.46587143803843606</v>
      </c>
      <c r="L102" s="2">
        <f t="shared" si="42"/>
        <v>0</v>
      </c>
      <c r="M102" s="2">
        <f t="shared" si="43"/>
        <v>4.9039098740888021E-2</v>
      </c>
      <c r="N102" s="63">
        <v>732</v>
      </c>
      <c r="O102" s="63">
        <v>703</v>
      </c>
      <c r="P102" s="63">
        <v>0</v>
      </c>
      <c r="Q102" s="63">
        <v>52</v>
      </c>
      <c r="R102" s="63">
        <v>22</v>
      </c>
      <c r="S102" s="63">
        <v>0</v>
      </c>
      <c r="T102" s="63">
        <v>0</v>
      </c>
      <c r="U102" s="63"/>
      <c r="V102" s="63">
        <v>0</v>
      </c>
      <c r="W102" s="63">
        <f t="shared" si="44"/>
        <v>0</v>
      </c>
      <c r="Y102" s="63">
        <v>0</v>
      </c>
      <c r="Z102" s="63"/>
      <c r="AA102" s="63"/>
      <c r="AB102" s="63"/>
      <c r="AE102" s="8">
        <v>0</v>
      </c>
      <c r="AM102">
        <v>0</v>
      </c>
      <c r="AQ102">
        <v>0</v>
      </c>
      <c r="AT102" t="str">
        <f t="shared" si="45"/>
        <v>North Canaan</v>
      </c>
      <c r="AU102" t="s">
        <v>1276</v>
      </c>
      <c r="AV102" s="8">
        <v>5</v>
      </c>
      <c r="AX102" s="114">
        <v>9</v>
      </c>
      <c r="AY102" s="116">
        <v>5</v>
      </c>
      <c r="AZ102" s="116">
        <v>75</v>
      </c>
      <c r="BA102" s="120">
        <v>54030</v>
      </c>
      <c r="BB102" s="120">
        <f t="shared" si="46"/>
        <v>9005</v>
      </c>
      <c r="BC102" t="s">
        <v>1472</v>
      </c>
      <c r="BD102" s="124">
        <f t="shared" si="47"/>
        <v>954030</v>
      </c>
      <c r="BI102">
        <v>19.46</v>
      </c>
      <c r="BJ102">
        <v>0.01</v>
      </c>
      <c r="BK102">
        <v>19.45</v>
      </c>
      <c r="BL102" s="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hidden="1" outlineLevel="1">
      <c r="A103" t="s">
        <v>2117</v>
      </c>
      <c r="B103" s="8" t="s">
        <v>1485</v>
      </c>
      <c r="C103" s="1">
        <f t="shared" si="36"/>
        <v>13589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 t="shared" si="37"/>
        <v>5</v>
      </c>
      <c r="G103" s="1">
        <f t="shared" si="38"/>
        <v>1431</v>
      </c>
      <c r="H103" s="2">
        <f t="shared" si="39"/>
        <v>0.10530576201339319</v>
      </c>
      <c r="I103" s="6"/>
      <c r="J103" s="2">
        <f t="shared" si="40"/>
        <v>0.42953859739495182</v>
      </c>
      <c r="K103" s="2">
        <f t="shared" si="41"/>
        <v>0.53484435940834496</v>
      </c>
      <c r="L103" s="2">
        <f t="shared" si="42"/>
        <v>6.6230039002134074E-4</v>
      </c>
      <c r="M103" s="2">
        <f t="shared" si="43"/>
        <v>3.4954742806681885E-2</v>
      </c>
      <c r="N103" s="63">
        <v>5837</v>
      </c>
      <c r="O103" s="63">
        <v>7268</v>
      </c>
      <c r="P103" s="63">
        <v>9</v>
      </c>
      <c r="Q103" s="63">
        <v>323</v>
      </c>
      <c r="R103" s="63">
        <v>146</v>
      </c>
      <c r="S103" s="63">
        <v>3</v>
      </c>
      <c r="T103" s="63">
        <v>1</v>
      </c>
      <c r="U103" s="63"/>
      <c r="V103" s="63">
        <v>1</v>
      </c>
      <c r="W103" s="63">
        <f t="shared" si="44"/>
        <v>1</v>
      </c>
      <c r="Y103" s="63">
        <v>0</v>
      </c>
      <c r="Z103" s="63"/>
      <c r="AA103" s="63"/>
      <c r="AB103" s="63"/>
      <c r="AE103" s="8">
        <v>0</v>
      </c>
      <c r="AM103">
        <v>0</v>
      </c>
      <c r="AQ103">
        <v>0</v>
      </c>
      <c r="AT103" t="str">
        <f t="shared" si="45"/>
        <v>North Haven</v>
      </c>
      <c r="AU103" t="s">
        <v>2797</v>
      </c>
      <c r="AV103" s="8">
        <v>3</v>
      </c>
      <c r="AX103" s="114">
        <v>9</v>
      </c>
      <c r="AY103" s="116">
        <v>9</v>
      </c>
      <c r="AZ103" s="116">
        <v>85</v>
      </c>
      <c r="BA103" s="120">
        <v>54870</v>
      </c>
      <c r="BB103" s="120">
        <f t="shared" si="46"/>
        <v>9009</v>
      </c>
      <c r="BC103" t="s">
        <v>1472</v>
      </c>
      <c r="BD103" s="124">
        <f t="shared" si="47"/>
        <v>954870</v>
      </c>
      <c r="BI103">
        <v>21.09</v>
      </c>
      <c r="BJ103">
        <v>0.32</v>
      </c>
      <c r="BK103">
        <v>20.77</v>
      </c>
      <c r="BL103" s="2"/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hidden="1" outlineLevel="1">
      <c r="A104" t="s">
        <v>871</v>
      </c>
      <c r="B104" s="8" t="s">
        <v>1485</v>
      </c>
      <c r="C104" s="1">
        <f t="shared" si="36"/>
        <v>3030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 t="shared" si="37"/>
        <v>7</v>
      </c>
      <c r="G104" s="1">
        <f t="shared" si="38"/>
        <v>271</v>
      </c>
      <c r="H104" s="2">
        <f t="shared" si="39"/>
        <v>8.9438943894389444E-2</v>
      </c>
      <c r="I104" s="6"/>
      <c r="J104" s="2">
        <f t="shared" si="40"/>
        <v>0.42541254125412542</v>
      </c>
      <c r="K104" s="2">
        <f t="shared" si="41"/>
        <v>0.51485148514851486</v>
      </c>
      <c r="L104" s="2">
        <f t="shared" si="42"/>
        <v>3.3003300330033004E-4</v>
      </c>
      <c r="M104" s="2">
        <f t="shared" si="43"/>
        <v>5.9405940594059382E-2</v>
      </c>
      <c r="N104" s="63">
        <v>1289</v>
      </c>
      <c r="O104" s="63">
        <v>1560</v>
      </c>
      <c r="P104" s="63">
        <v>1</v>
      </c>
      <c r="Q104" s="63">
        <v>124</v>
      </c>
      <c r="R104" s="63">
        <v>51</v>
      </c>
      <c r="S104" s="63">
        <v>2</v>
      </c>
      <c r="T104" s="63">
        <v>0</v>
      </c>
      <c r="U104" s="63"/>
      <c r="V104" s="63">
        <v>0</v>
      </c>
      <c r="W104" s="63">
        <f t="shared" si="44"/>
        <v>3</v>
      </c>
      <c r="Y104" s="63">
        <v>0</v>
      </c>
      <c r="Z104" s="63"/>
      <c r="AA104" s="63"/>
      <c r="AB104" s="63"/>
      <c r="AE104" s="8">
        <v>0</v>
      </c>
      <c r="AM104">
        <v>0</v>
      </c>
      <c r="AQ104">
        <v>0</v>
      </c>
      <c r="AT104" t="str">
        <f t="shared" si="45"/>
        <v>North Stonington</v>
      </c>
      <c r="AU104" t="s">
        <v>130</v>
      </c>
      <c r="AV104" s="8">
        <v>2</v>
      </c>
      <c r="AX104" s="114">
        <v>9</v>
      </c>
      <c r="AY104" s="116">
        <v>11</v>
      </c>
      <c r="AZ104" s="116">
        <v>65</v>
      </c>
      <c r="BA104" s="120">
        <v>55500</v>
      </c>
      <c r="BB104" s="120">
        <f t="shared" si="46"/>
        <v>9011</v>
      </c>
      <c r="BC104" t="s">
        <v>1472</v>
      </c>
      <c r="BD104" s="124">
        <f t="shared" si="47"/>
        <v>955500</v>
      </c>
      <c r="BI104">
        <v>54.97</v>
      </c>
      <c r="BJ104">
        <v>0.66</v>
      </c>
      <c r="BK104">
        <v>54.31</v>
      </c>
      <c r="BL104" s="2"/>
      <c r="BS104">
        <v>0</v>
      </c>
      <c r="BT104">
        <v>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hidden="1" outlineLevel="1">
      <c r="A105" t="s">
        <v>872</v>
      </c>
      <c r="B105" s="8" t="s">
        <v>1485</v>
      </c>
      <c r="C105" s="1">
        <f t="shared" si="36"/>
        <v>38232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37"/>
        <v>5</v>
      </c>
      <c r="G105" s="1">
        <f t="shared" si="38"/>
        <v>12090</v>
      </c>
      <c r="H105" s="2">
        <f t="shared" si="39"/>
        <v>0.31622724419334591</v>
      </c>
      <c r="I105" s="6"/>
      <c r="J105" s="2">
        <f t="shared" si="40"/>
        <v>0.63857501569365971</v>
      </c>
      <c r="K105" s="2">
        <f t="shared" si="41"/>
        <v>0.32234777150031385</v>
      </c>
      <c r="L105" s="2">
        <f t="shared" si="42"/>
        <v>8.8930738648252772E-4</v>
      </c>
      <c r="M105" s="2">
        <f t="shared" si="43"/>
        <v>3.8187905419543915E-2</v>
      </c>
      <c r="N105" s="63">
        <v>24414</v>
      </c>
      <c r="O105" s="63">
        <v>12324</v>
      </c>
      <c r="P105" s="63">
        <v>34</v>
      </c>
      <c r="Q105" s="63">
        <v>968</v>
      </c>
      <c r="R105" s="63">
        <v>490</v>
      </c>
      <c r="S105" s="63">
        <v>1</v>
      </c>
      <c r="T105" s="63">
        <v>0</v>
      </c>
      <c r="U105" s="63"/>
      <c r="V105" s="63">
        <v>0</v>
      </c>
      <c r="W105" s="63">
        <f t="shared" si="44"/>
        <v>1</v>
      </c>
      <c r="Y105" s="63">
        <v>0</v>
      </c>
      <c r="Z105" s="63"/>
      <c r="AA105" s="63"/>
      <c r="AB105" s="63"/>
      <c r="AE105" s="8">
        <v>0</v>
      </c>
      <c r="AM105">
        <v>0</v>
      </c>
      <c r="AQ105">
        <v>0</v>
      </c>
      <c r="AT105" t="str">
        <f t="shared" si="45"/>
        <v>Norwalk</v>
      </c>
      <c r="AU105" t="s">
        <v>280</v>
      </c>
      <c r="AV105" s="8">
        <v>4</v>
      </c>
      <c r="AX105" s="114">
        <v>9</v>
      </c>
      <c r="AY105" s="116">
        <v>1</v>
      </c>
      <c r="AZ105" s="116">
        <v>65</v>
      </c>
      <c r="BA105" s="120">
        <v>56060</v>
      </c>
      <c r="BB105" s="120">
        <f t="shared" si="46"/>
        <v>9001</v>
      </c>
      <c r="BC105" t="s">
        <v>1472</v>
      </c>
      <c r="BD105" s="124">
        <f t="shared" si="47"/>
        <v>956060</v>
      </c>
      <c r="BI105">
        <v>36.33</v>
      </c>
      <c r="BJ105">
        <v>13.53</v>
      </c>
      <c r="BK105">
        <v>22.81</v>
      </c>
      <c r="BL105" s="2"/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hidden="1" outlineLevel="1">
      <c r="A106" t="s">
        <v>3095</v>
      </c>
      <c r="B106" s="8" t="s">
        <v>1485</v>
      </c>
      <c r="C106" s="1">
        <f t="shared" si="36"/>
        <v>13476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37"/>
        <v>5</v>
      </c>
      <c r="G106" s="1">
        <f t="shared" si="38"/>
        <v>2236</v>
      </c>
      <c r="H106" s="2">
        <f t="shared" si="39"/>
        <v>0.16592460670822201</v>
      </c>
      <c r="I106" s="6"/>
      <c r="J106" s="2">
        <f t="shared" si="40"/>
        <v>0.55305728702879198</v>
      </c>
      <c r="K106" s="2">
        <f t="shared" si="41"/>
        <v>0.38713268032056991</v>
      </c>
      <c r="L106" s="2">
        <f t="shared" si="42"/>
        <v>8.9047195013357077E-4</v>
      </c>
      <c r="M106" s="2">
        <f t="shared" si="43"/>
        <v>5.8919560700504539E-2</v>
      </c>
      <c r="N106" s="63">
        <v>7453</v>
      </c>
      <c r="O106" s="63">
        <v>5217</v>
      </c>
      <c r="P106" s="63">
        <v>12</v>
      </c>
      <c r="Q106" s="63">
        <v>511</v>
      </c>
      <c r="R106" s="63">
        <v>282</v>
      </c>
      <c r="S106" s="63">
        <v>0</v>
      </c>
      <c r="T106" s="63">
        <v>0</v>
      </c>
      <c r="U106" s="63"/>
      <c r="V106" s="63">
        <v>1</v>
      </c>
      <c r="W106" s="63">
        <f t="shared" si="44"/>
        <v>0</v>
      </c>
      <c r="Y106" s="63">
        <v>0</v>
      </c>
      <c r="Z106" s="63"/>
      <c r="AA106" s="63"/>
      <c r="AB106" s="63"/>
      <c r="AE106" s="8">
        <v>0</v>
      </c>
      <c r="AM106">
        <v>0</v>
      </c>
      <c r="AQ106">
        <v>0</v>
      </c>
      <c r="AT106" t="str">
        <f t="shared" si="45"/>
        <v>Norwich</v>
      </c>
      <c r="AU106" t="s">
        <v>130</v>
      </c>
      <c r="AV106" s="8">
        <v>2</v>
      </c>
      <c r="AX106" s="114">
        <v>9</v>
      </c>
      <c r="AY106" s="116">
        <v>11</v>
      </c>
      <c r="AZ106" s="116">
        <v>70</v>
      </c>
      <c r="BA106" s="120">
        <v>56270</v>
      </c>
      <c r="BB106" s="120">
        <f t="shared" si="46"/>
        <v>9011</v>
      </c>
      <c r="BC106" t="s">
        <v>1472</v>
      </c>
      <c r="BD106" s="124">
        <f t="shared" si="47"/>
        <v>956270</v>
      </c>
      <c r="BI106">
        <v>29.48</v>
      </c>
      <c r="BJ106">
        <v>1.1399999999999999</v>
      </c>
      <c r="BK106">
        <v>28.33</v>
      </c>
      <c r="BL106" s="2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hidden="1" outlineLevel="1">
      <c r="A107" t="s">
        <v>687</v>
      </c>
      <c r="B107" s="8" t="s">
        <v>1485</v>
      </c>
      <c r="C107" s="1">
        <f t="shared" si="36"/>
        <v>4709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37"/>
        <v>5</v>
      </c>
      <c r="G107" s="1">
        <f t="shared" si="38"/>
        <v>499</v>
      </c>
      <c r="H107" s="2">
        <f t="shared" si="39"/>
        <v>0.1059672966659588</v>
      </c>
      <c r="I107" s="6"/>
      <c r="J107" s="2">
        <f t="shared" si="40"/>
        <v>0.53047356126566148</v>
      </c>
      <c r="K107" s="2">
        <f t="shared" si="41"/>
        <v>0.4245062645997027</v>
      </c>
      <c r="L107" s="2">
        <f t="shared" si="42"/>
        <v>1.2741558717349756E-3</v>
      </c>
      <c r="M107" s="2">
        <f t="shared" si="43"/>
        <v>4.3746018262900851E-2</v>
      </c>
      <c r="N107" s="63">
        <v>2498</v>
      </c>
      <c r="O107" s="63">
        <v>1999</v>
      </c>
      <c r="P107" s="63">
        <v>6</v>
      </c>
      <c r="Q107" s="63">
        <v>142</v>
      </c>
      <c r="R107" s="63">
        <v>63</v>
      </c>
      <c r="S107" s="63">
        <v>1</v>
      </c>
      <c r="T107" s="63">
        <v>0</v>
      </c>
      <c r="U107" s="63"/>
      <c r="V107" s="63">
        <v>0</v>
      </c>
      <c r="W107" s="63">
        <f t="shared" si="44"/>
        <v>0</v>
      </c>
      <c r="Y107" s="63">
        <v>0</v>
      </c>
      <c r="Z107" s="63"/>
      <c r="AA107" s="63"/>
      <c r="AB107" s="63"/>
      <c r="AE107" s="8">
        <v>0</v>
      </c>
      <c r="AM107">
        <v>0</v>
      </c>
      <c r="AQ107">
        <v>0</v>
      </c>
      <c r="AT107" t="str">
        <f t="shared" si="45"/>
        <v>Old Lyme</v>
      </c>
      <c r="AU107" t="s">
        <v>130</v>
      </c>
      <c r="AV107" s="8">
        <v>2</v>
      </c>
      <c r="AX107" s="114">
        <v>9</v>
      </c>
      <c r="AY107" s="116">
        <v>11</v>
      </c>
      <c r="AZ107" s="116">
        <v>75</v>
      </c>
      <c r="BA107" s="120">
        <v>57040</v>
      </c>
      <c r="BB107" s="120">
        <f t="shared" si="46"/>
        <v>9011</v>
      </c>
      <c r="BC107" t="s">
        <v>1472</v>
      </c>
      <c r="BD107" s="124">
        <f t="shared" si="47"/>
        <v>957040</v>
      </c>
      <c r="BI107">
        <v>28.82</v>
      </c>
      <c r="BJ107">
        <v>5.72</v>
      </c>
      <c r="BK107">
        <v>23.1</v>
      </c>
      <c r="BL107" s="2"/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hidden="1" outlineLevel="1">
      <c r="A108" t="s">
        <v>1749</v>
      </c>
      <c r="B108" s="8" t="s">
        <v>1485</v>
      </c>
      <c r="C108" s="1">
        <f t="shared" si="36"/>
        <v>6225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37"/>
        <v>5</v>
      </c>
      <c r="G108" s="1">
        <f t="shared" si="38"/>
        <v>423</v>
      </c>
      <c r="H108" s="2">
        <f t="shared" si="39"/>
        <v>6.7951807228915667E-2</v>
      </c>
      <c r="I108" s="6"/>
      <c r="J108" s="2">
        <f t="shared" si="40"/>
        <v>0.51518072289156625</v>
      </c>
      <c r="K108" s="2">
        <f t="shared" si="41"/>
        <v>0.44722891566265061</v>
      </c>
      <c r="L108" s="2">
        <f t="shared" si="42"/>
        <v>2.2489959839357429E-3</v>
      </c>
      <c r="M108" s="2">
        <f t="shared" si="43"/>
        <v>3.5341365461847407E-2</v>
      </c>
      <c r="N108" s="63">
        <v>3207</v>
      </c>
      <c r="O108" s="63">
        <v>2784</v>
      </c>
      <c r="P108" s="63">
        <v>14</v>
      </c>
      <c r="Q108" s="63">
        <v>133</v>
      </c>
      <c r="R108" s="63">
        <v>85</v>
      </c>
      <c r="S108" s="63">
        <v>0</v>
      </c>
      <c r="T108" s="63">
        <v>0</v>
      </c>
      <c r="U108" s="63"/>
      <c r="V108" s="63">
        <v>0</v>
      </c>
      <c r="W108" s="63">
        <f t="shared" si="44"/>
        <v>1</v>
      </c>
      <c r="Y108" s="63">
        <v>0</v>
      </c>
      <c r="Z108" s="63"/>
      <c r="AA108" s="63"/>
      <c r="AB108" s="63"/>
      <c r="AE108" s="8">
        <v>1</v>
      </c>
      <c r="AM108">
        <v>0</v>
      </c>
      <c r="AQ108">
        <v>0</v>
      </c>
      <c r="AT108" t="str">
        <f t="shared" si="45"/>
        <v>Old Saybrook</v>
      </c>
      <c r="AU108" t="s">
        <v>503</v>
      </c>
      <c r="AV108" s="8">
        <v>2</v>
      </c>
      <c r="AX108" s="114">
        <v>9</v>
      </c>
      <c r="AY108" s="116">
        <v>7</v>
      </c>
      <c r="AZ108" s="116">
        <v>65</v>
      </c>
      <c r="BA108" s="120">
        <v>57320</v>
      </c>
      <c r="BB108" s="120">
        <f t="shared" si="46"/>
        <v>9007</v>
      </c>
      <c r="BC108" t="s">
        <v>1472</v>
      </c>
      <c r="BD108" s="124">
        <f t="shared" si="47"/>
        <v>957320</v>
      </c>
      <c r="BI108">
        <v>21.61</v>
      </c>
      <c r="BJ108">
        <v>6.58</v>
      </c>
      <c r="BK108">
        <v>15.04</v>
      </c>
      <c r="BL108" s="2"/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hidden="1" outlineLevel="1">
      <c r="A109" t="s">
        <v>2013</v>
      </c>
      <c r="B109" s="8" t="s">
        <v>1485</v>
      </c>
      <c r="C109" s="1">
        <f t="shared" si="36"/>
        <v>8367</v>
      </c>
      <c r="D109" s="5">
        <f>IF(N109&gt;0, RANK(N109,(N109:P109,Q109:AE109)),0)</f>
        <v>2</v>
      </c>
      <c r="E109" s="5">
        <f>IF(O109&gt;0,RANK(O109,(N109:P109,Q109:AE109)),0)</f>
        <v>1</v>
      </c>
      <c r="F109" s="5">
        <f t="shared" si="37"/>
        <v>5</v>
      </c>
      <c r="G109" s="1">
        <f t="shared" si="38"/>
        <v>387</v>
      </c>
      <c r="H109" s="2">
        <f t="shared" si="39"/>
        <v>4.6253137325206167E-2</v>
      </c>
      <c r="I109" s="6"/>
      <c r="J109" s="2">
        <f t="shared" si="40"/>
        <v>0.45822875582646111</v>
      </c>
      <c r="K109" s="2">
        <f t="shared" si="41"/>
        <v>0.50448189315166725</v>
      </c>
      <c r="L109" s="2">
        <f t="shared" si="42"/>
        <v>1.0756543564001434E-3</v>
      </c>
      <c r="M109" s="2">
        <f t="shared" si="43"/>
        <v>3.6213696665471556E-2</v>
      </c>
      <c r="N109" s="63">
        <v>3834</v>
      </c>
      <c r="O109" s="63">
        <v>4221</v>
      </c>
      <c r="P109" s="63">
        <v>9</v>
      </c>
      <c r="Q109" s="63">
        <v>216</v>
      </c>
      <c r="R109" s="63">
        <v>86</v>
      </c>
      <c r="S109" s="63">
        <v>0</v>
      </c>
      <c r="T109" s="63">
        <v>0</v>
      </c>
      <c r="U109" s="63"/>
      <c r="V109" s="63">
        <v>0</v>
      </c>
      <c r="W109" s="63">
        <f t="shared" si="44"/>
        <v>1</v>
      </c>
      <c r="Y109" s="63">
        <v>0</v>
      </c>
      <c r="Z109" s="63"/>
      <c r="AA109" s="63"/>
      <c r="AB109" s="63"/>
      <c r="AE109" s="8">
        <v>0</v>
      </c>
      <c r="AM109">
        <v>0</v>
      </c>
      <c r="AQ109">
        <v>0</v>
      </c>
      <c r="AT109" t="str">
        <f t="shared" si="45"/>
        <v>Orange</v>
      </c>
      <c r="AU109" t="s">
        <v>2797</v>
      </c>
      <c r="AV109" s="8">
        <v>3</v>
      </c>
      <c r="AX109" s="114">
        <v>9</v>
      </c>
      <c r="AY109" s="116">
        <v>9</v>
      </c>
      <c r="AZ109" s="116">
        <v>90</v>
      </c>
      <c r="BA109" s="120">
        <v>57600</v>
      </c>
      <c r="BB109" s="120">
        <f t="shared" si="46"/>
        <v>9009</v>
      </c>
      <c r="BC109" t="s">
        <v>1472</v>
      </c>
      <c r="BD109" s="124">
        <f t="shared" si="47"/>
        <v>957600</v>
      </c>
      <c r="BI109">
        <v>17.43</v>
      </c>
      <c r="BJ109">
        <v>0.24</v>
      </c>
      <c r="BK109">
        <v>17.190000000000001</v>
      </c>
      <c r="BL109" s="2"/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hidden="1" outlineLevel="1">
      <c r="A110" t="s">
        <v>2383</v>
      </c>
      <c r="B110" s="8" t="s">
        <v>1485</v>
      </c>
      <c r="C110" s="1">
        <f t="shared" si="36"/>
        <v>7343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37"/>
        <v>5</v>
      </c>
      <c r="G110" s="1">
        <f t="shared" si="38"/>
        <v>2287</v>
      </c>
      <c r="H110" s="2">
        <f t="shared" si="39"/>
        <v>0.3114530845703391</v>
      </c>
      <c r="I110" s="6"/>
      <c r="J110" s="2">
        <f t="shared" si="40"/>
        <v>0.32656952199373551</v>
      </c>
      <c r="K110" s="2">
        <f t="shared" si="41"/>
        <v>0.63802260656407461</v>
      </c>
      <c r="L110" s="2">
        <f t="shared" si="42"/>
        <v>1.770393572109492E-3</v>
      </c>
      <c r="M110" s="2">
        <f t="shared" si="43"/>
        <v>3.3637477870080437E-2</v>
      </c>
      <c r="N110" s="63">
        <v>2398</v>
      </c>
      <c r="O110" s="63">
        <v>4685</v>
      </c>
      <c r="P110" s="63">
        <v>13</v>
      </c>
      <c r="Q110" s="63">
        <v>178</v>
      </c>
      <c r="R110" s="63">
        <v>64</v>
      </c>
      <c r="S110" s="63">
        <v>2</v>
      </c>
      <c r="T110" s="63">
        <v>0</v>
      </c>
      <c r="U110" s="63"/>
      <c r="V110" s="63">
        <v>0</v>
      </c>
      <c r="W110" s="63">
        <f t="shared" si="44"/>
        <v>2</v>
      </c>
      <c r="Y110" s="63">
        <v>1</v>
      </c>
      <c r="Z110" s="63"/>
      <c r="AA110" s="63"/>
      <c r="AB110" s="63"/>
      <c r="AE110" s="8">
        <v>0</v>
      </c>
      <c r="AM110">
        <v>0</v>
      </c>
      <c r="AQ110">
        <v>0</v>
      </c>
      <c r="AT110" t="str">
        <f t="shared" si="45"/>
        <v>Oxford</v>
      </c>
      <c r="AU110" t="s">
        <v>2797</v>
      </c>
      <c r="AV110" s="8">
        <v>4</v>
      </c>
      <c r="AX110" s="114">
        <v>9</v>
      </c>
      <c r="AY110" s="116">
        <v>9</v>
      </c>
      <c r="AZ110" s="116">
        <v>95</v>
      </c>
      <c r="BA110" s="120">
        <v>58300</v>
      </c>
      <c r="BB110" s="120">
        <f t="shared" si="46"/>
        <v>9009</v>
      </c>
      <c r="BC110" t="s">
        <v>1472</v>
      </c>
      <c r="BD110" s="124">
        <f t="shared" si="47"/>
        <v>958300</v>
      </c>
      <c r="BI110">
        <v>33.39</v>
      </c>
      <c r="BJ110">
        <v>0.5</v>
      </c>
      <c r="BK110">
        <v>32.89</v>
      </c>
      <c r="BL110" s="2"/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</row>
    <row r="111" spans="1:82" hidden="1" outlineLevel="1">
      <c r="A111" t="s">
        <v>2130</v>
      </c>
      <c r="B111" s="8" t="s">
        <v>1485</v>
      </c>
      <c r="C111" s="1">
        <f t="shared" si="36"/>
        <v>6120</v>
      </c>
      <c r="D111" s="5">
        <f>IF(N111&gt;0, RANK(N111,(N111:P111,Q111:AE111)),0)</f>
        <v>2</v>
      </c>
      <c r="E111" s="5">
        <f>IF(O111&gt;0,RANK(O111,(N111:P111,Q111:AE111)),0)</f>
        <v>1</v>
      </c>
      <c r="F111" s="5">
        <f t="shared" si="37"/>
        <v>5</v>
      </c>
      <c r="G111" s="1">
        <f t="shared" si="38"/>
        <v>1335</v>
      </c>
      <c r="H111" s="2">
        <f t="shared" si="39"/>
        <v>0.21813725490196079</v>
      </c>
      <c r="I111" s="6"/>
      <c r="J111" s="2">
        <f t="shared" si="40"/>
        <v>0.35571895424836603</v>
      </c>
      <c r="K111" s="2">
        <f t="shared" si="41"/>
        <v>0.57385620915032676</v>
      </c>
      <c r="L111" s="2">
        <f t="shared" si="42"/>
        <v>1.1437908496732027E-3</v>
      </c>
      <c r="M111" s="2">
        <f t="shared" si="43"/>
        <v>6.9281045751633963E-2</v>
      </c>
      <c r="N111" s="63">
        <v>2177</v>
      </c>
      <c r="O111" s="63">
        <v>3512</v>
      </c>
      <c r="P111" s="63">
        <v>7</v>
      </c>
      <c r="Q111" s="63">
        <v>300</v>
      </c>
      <c r="R111" s="63">
        <v>123</v>
      </c>
      <c r="S111" s="63">
        <v>0</v>
      </c>
      <c r="T111" s="63">
        <v>0</v>
      </c>
      <c r="U111" s="63"/>
      <c r="V111" s="63">
        <v>0</v>
      </c>
      <c r="W111" s="63">
        <f t="shared" si="44"/>
        <v>0</v>
      </c>
      <c r="Y111" s="63">
        <v>0</v>
      </c>
      <c r="Z111" s="63"/>
      <c r="AA111" s="63"/>
      <c r="AB111" s="63"/>
      <c r="AE111" s="8">
        <v>1</v>
      </c>
      <c r="AM111">
        <v>0</v>
      </c>
      <c r="AQ111">
        <v>0</v>
      </c>
      <c r="AT111" t="str">
        <f t="shared" si="45"/>
        <v>Plainfield</v>
      </c>
      <c r="AU111" t="s">
        <v>2129</v>
      </c>
      <c r="AV111" s="8">
        <v>2</v>
      </c>
      <c r="AX111" s="114">
        <v>9</v>
      </c>
      <c r="AY111" s="116">
        <v>15</v>
      </c>
      <c r="AZ111" s="116">
        <v>40</v>
      </c>
      <c r="BA111" s="120">
        <v>59980</v>
      </c>
      <c r="BB111" s="120">
        <f t="shared" si="46"/>
        <v>9015</v>
      </c>
      <c r="BC111" t="s">
        <v>1472</v>
      </c>
      <c r="BD111" s="124">
        <f t="shared" si="47"/>
        <v>959980</v>
      </c>
      <c r="BI111">
        <v>43.04</v>
      </c>
      <c r="BJ111">
        <v>0.78</v>
      </c>
      <c r="BK111">
        <v>42.27</v>
      </c>
      <c r="BL111" s="2"/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hidden="1" outlineLevel="1">
      <c r="A112" t="s">
        <v>2813</v>
      </c>
      <c r="B112" s="8" t="s">
        <v>1485</v>
      </c>
      <c r="C112" s="1">
        <f t="shared" si="36"/>
        <v>8703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 t="shared" si="37"/>
        <v>5</v>
      </c>
      <c r="G112" s="1">
        <f t="shared" si="38"/>
        <v>690</v>
      </c>
      <c r="H112" s="2">
        <f t="shared" si="39"/>
        <v>7.9283005860048258E-2</v>
      </c>
      <c r="I112" s="6"/>
      <c r="J112" s="2">
        <f t="shared" si="40"/>
        <v>0.43686085257957025</v>
      </c>
      <c r="K112" s="2">
        <f t="shared" si="41"/>
        <v>0.51614385843961852</v>
      </c>
      <c r="L112" s="2">
        <f t="shared" si="42"/>
        <v>4.596116281741928E-4</v>
      </c>
      <c r="M112" s="2">
        <f t="shared" si="43"/>
        <v>4.6535677352636987E-2</v>
      </c>
      <c r="N112" s="63">
        <v>3802</v>
      </c>
      <c r="O112" s="63">
        <v>4492</v>
      </c>
      <c r="P112" s="63">
        <v>4</v>
      </c>
      <c r="Q112" s="63">
        <v>254</v>
      </c>
      <c r="R112" s="63">
        <v>151</v>
      </c>
      <c r="S112" s="63">
        <v>0</v>
      </c>
      <c r="T112" s="63">
        <v>0</v>
      </c>
      <c r="U112" s="63"/>
      <c r="V112" s="63">
        <v>0</v>
      </c>
      <c r="W112" s="63">
        <f t="shared" si="44"/>
        <v>0</v>
      </c>
      <c r="Y112" s="63">
        <v>0</v>
      </c>
      <c r="Z112" s="63"/>
      <c r="AA112" s="63"/>
      <c r="AB112" s="63"/>
      <c r="AE112" s="8">
        <v>0</v>
      </c>
      <c r="AM112">
        <v>0</v>
      </c>
      <c r="AQ112">
        <v>0</v>
      </c>
      <c r="AT112" t="str">
        <f t="shared" si="45"/>
        <v>Plainville</v>
      </c>
      <c r="AU112" t="s">
        <v>1737</v>
      </c>
      <c r="AV112" s="8">
        <v>5</v>
      </c>
      <c r="AX112" s="114">
        <v>9</v>
      </c>
      <c r="AY112" s="116">
        <v>3</v>
      </c>
      <c r="AZ112" s="116">
        <v>100</v>
      </c>
      <c r="BA112" s="120">
        <v>60120</v>
      </c>
      <c r="BB112" s="120">
        <f t="shared" si="46"/>
        <v>9003</v>
      </c>
      <c r="BC112" t="s">
        <v>1472</v>
      </c>
      <c r="BD112" s="124">
        <f t="shared" si="47"/>
        <v>960120</v>
      </c>
      <c r="BI112">
        <v>9.81</v>
      </c>
      <c r="BJ112">
        <v>0.05</v>
      </c>
      <c r="BK112">
        <v>9.76</v>
      </c>
      <c r="BL112" s="2"/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hidden="1" outlineLevel="1">
      <c r="A113" t="s">
        <v>231</v>
      </c>
      <c r="B113" s="8" t="s">
        <v>1485</v>
      </c>
      <c r="C113" s="1">
        <f t="shared" si="36"/>
        <v>5810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37"/>
        <v>5</v>
      </c>
      <c r="G113" s="1">
        <f t="shared" si="38"/>
        <v>1883</v>
      </c>
      <c r="H113" s="2">
        <f t="shared" si="39"/>
        <v>0.32409638554216869</v>
      </c>
      <c r="I113" s="6"/>
      <c r="J113" s="2">
        <f t="shared" si="40"/>
        <v>0.3242685025817556</v>
      </c>
      <c r="K113" s="2">
        <f t="shared" si="41"/>
        <v>0.64836488812392423</v>
      </c>
      <c r="L113" s="2">
        <f t="shared" si="42"/>
        <v>3.4423407917383823E-4</v>
      </c>
      <c r="M113" s="2">
        <f t="shared" si="43"/>
        <v>2.7022375215146381E-2</v>
      </c>
      <c r="N113" s="63">
        <v>1884</v>
      </c>
      <c r="O113" s="63">
        <v>3767</v>
      </c>
      <c r="P113" s="63">
        <v>2</v>
      </c>
      <c r="Q113" s="63">
        <v>113</v>
      </c>
      <c r="R113" s="63">
        <v>42</v>
      </c>
      <c r="S113" s="63">
        <v>0</v>
      </c>
      <c r="T113" s="63">
        <v>0</v>
      </c>
      <c r="U113" s="63"/>
      <c r="V113" s="63">
        <v>0</v>
      </c>
      <c r="W113" s="63">
        <f t="shared" si="44"/>
        <v>1</v>
      </c>
      <c r="Y113" s="63">
        <v>0</v>
      </c>
      <c r="Z113" s="63"/>
      <c r="AA113" s="63"/>
      <c r="AB113" s="63"/>
      <c r="AE113" s="8">
        <v>0</v>
      </c>
      <c r="AM113">
        <v>0</v>
      </c>
      <c r="AQ113">
        <v>1</v>
      </c>
      <c r="AT113" t="str">
        <f t="shared" si="45"/>
        <v>Plymouth</v>
      </c>
      <c r="AU113" t="s">
        <v>1276</v>
      </c>
      <c r="AV113" s="8">
        <v>5</v>
      </c>
      <c r="AX113" s="114">
        <v>9</v>
      </c>
      <c r="AY113" s="116">
        <v>5</v>
      </c>
      <c r="AZ113" s="116">
        <v>80</v>
      </c>
      <c r="BA113" s="120">
        <v>60750</v>
      </c>
      <c r="BB113" s="120">
        <f t="shared" si="46"/>
        <v>9005</v>
      </c>
      <c r="BC113" t="s">
        <v>1472</v>
      </c>
      <c r="BD113" s="124">
        <f t="shared" si="47"/>
        <v>960750</v>
      </c>
      <c r="BI113">
        <v>22.32</v>
      </c>
      <c r="BJ113">
        <v>0.6</v>
      </c>
      <c r="BK113">
        <v>21.72</v>
      </c>
      <c r="BL113" s="2"/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hidden="1" outlineLevel="1">
      <c r="A114" t="s">
        <v>1428</v>
      </c>
      <c r="B114" s="8" t="s">
        <v>1485</v>
      </c>
      <c r="C114" s="1">
        <f t="shared" si="36"/>
        <v>2232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37"/>
        <v>5</v>
      </c>
      <c r="G114" s="1">
        <f t="shared" si="38"/>
        <v>70</v>
      </c>
      <c r="H114" s="2">
        <f t="shared" si="39"/>
        <v>3.1362007168458779E-2</v>
      </c>
      <c r="I114" s="6"/>
      <c r="J114" s="2">
        <f t="shared" si="40"/>
        <v>0.48566308243727596</v>
      </c>
      <c r="K114" s="2">
        <f t="shared" si="41"/>
        <v>0.45430107526881719</v>
      </c>
      <c r="L114" s="2">
        <f t="shared" si="42"/>
        <v>3.1362007168458782E-3</v>
      </c>
      <c r="M114" s="2">
        <f t="shared" si="43"/>
        <v>5.6899641577060969E-2</v>
      </c>
      <c r="N114" s="63">
        <v>1084</v>
      </c>
      <c r="O114" s="63">
        <v>1014</v>
      </c>
      <c r="P114" s="63">
        <v>7</v>
      </c>
      <c r="Q114" s="63">
        <v>94</v>
      </c>
      <c r="R114" s="63">
        <v>33</v>
      </c>
      <c r="S114" s="63">
        <v>0</v>
      </c>
      <c r="T114" s="63">
        <v>0</v>
      </c>
      <c r="U114" s="63"/>
      <c r="V114" s="63">
        <v>0</v>
      </c>
      <c r="W114" s="63">
        <f t="shared" si="44"/>
        <v>0</v>
      </c>
      <c r="Y114" s="63">
        <v>0</v>
      </c>
      <c r="Z114" s="63"/>
      <c r="AA114" s="63"/>
      <c r="AB114" s="63"/>
      <c r="AE114" s="8">
        <v>0</v>
      </c>
      <c r="AM114">
        <v>0</v>
      </c>
      <c r="AQ114">
        <v>0</v>
      </c>
      <c r="AT114" t="str">
        <f t="shared" si="45"/>
        <v>Pomfret</v>
      </c>
      <c r="AU114" t="s">
        <v>2129</v>
      </c>
      <c r="AV114" s="8">
        <v>2</v>
      </c>
      <c r="AX114" s="114">
        <v>9</v>
      </c>
      <c r="AY114" s="116">
        <v>15</v>
      </c>
      <c r="AZ114" s="116">
        <v>45</v>
      </c>
      <c r="BA114" s="120">
        <v>61030</v>
      </c>
      <c r="BB114" s="120">
        <f t="shared" si="46"/>
        <v>9015</v>
      </c>
      <c r="BC114" t="s">
        <v>1472</v>
      </c>
      <c r="BD114" s="124">
        <f t="shared" si="47"/>
        <v>961030</v>
      </c>
      <c r="BI114">
        <v>40.56</v>
      </c>
      <c r="BJ114">
        <v>0.26</v>
      </c>
      <c r="BK114">
        <v>40.299999999999997</v>
      </c>
      <c r="BL114" s="2"/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hidden="1" outlineLevel="1">
      <c r="A115" t="s">
        <v>1298</v>
      </c>
      <c r="B115" s="8" t="s">
        <v>1485</v>
      </c>
      <c r="C115" s="1">
        <f t="shared" si="36"/>
        <v>5253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37"/>
        <v>0</v>
      </c>
      <c r="G115" s="1">
        <f t="shared" si="38"/>
        <v>3</v>
      </c>
      <c r="H115" s="2">
        <f t="shared" si="39"/>
        <v>5.7110222729868647E-4</v>
      </c>
      <c r="I115" s="6"/>
      <c r="J115" s="2">
        <f t="shared" si="40"/>
        <v>0.474776318294308</v>
      </c>
      <c r="K115" s="2">
        <f t="shared" si="41"/>
        <v>0.47420521606700933</v>
      </c>
      <c r="L115" s="2">
        <f t="shared" si="42"/>
        <v>0</v>
      </c>
      <c r="M115" s="2">
        <f t="shared" si="43"/>
        <v>5.1018465638682675E-2</v>
      </c>
      <c r="N115" s="63">
        <v>2494</v>
      </c>
      <c r="O115" s="63">
        <v>2491</v>
      </c>
      <c r="P115" s="63">
        <v>0</v>
      </c>
      <c r="Q115" s="63">
        <v>186</v>
      </c>
      <c r="R115" s="63">
        <v>82</v>
      </c>
      <c r="S115" s="63">
        <v>0</v>
      </c>
      <c r="T115" s="63">
        <v>0</v>
      </c>
      <c r="U115" s="63"/>
      <c r="V115" s="63">
        <v>0</v>
      </c>
      <c r="W115" s="63">
        <f t="shared" si="44"/>
        <v>0</v>
      </c>
      <c r="Y115" s="63">
        <v>0</v>
      </c>
      <c r="Z115" s="63"/>
      <c r="AA115" s="63"/>
      <c r="AB115" s="63"/>
      <c r="AE115" s="8">
        <v>0</v>
      </c>
      <c r="AM115">
        <v>0</v>
      </c>
      <c r="AQ115">
        <v>0</v>
      </c>
      <c r="AT115" t="str">
        <f t="shared" si="45"/>
        <v>Portland</v>
      </c>
      <c r="AU115" t="s">
        <v>503</v>
      </c>
      <c r="AV115" s="8">
        <v>1</v>
      </c>
      <c r="AX115" s="114">
        <v>9</v>
      </c>
      <c r="AY115" s="116">
        <v>7</v>
      </c>
      <c r="AZ115" s="116">
        <v>70</v>
      </c>
      <c r="BA115" s="120">
        <v>61800</v>
      </c>
      <c r="BB115" s="120">
        <f t="shared" si="46"/>
        <v>9007</v>
      </c>
      <c r="BC115" t="s">
        <v>1472</v>
      </c>
      <c r="BD115" s="124">
        <f t="shared" si="47"/>
        <v>961800</v>
      </c>
      <c r="BI115">
        <v>24.89</v>
      </c>
      <c r="BJ115">
        <v>1.49</v>
      </c>
      <c r="BK115">
        <v>23.4</v>
      </c>
      <c r="BL115" s="2"/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hidden="1" outlineLevel="1">
      <c r="A116" t="s">
        <v>2593</v>
      </c>
      <c r="B116" s="8" t="s">
        <v>1485</v>
      </c>
      <c r="C116" s="1">
        <f t="shared" si="36"/>
        <v>2514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37"/>
        <v>5</v>
      </c>
      <c r="G116" s="1">
        <f t="shared" si="38"/>
        <v>399</v>
      </c>
      <c r="H116" s="2">
        <f t="shared" si="39"/>
        <v>0.15871121718377088</v>
      </c>
      <c r="I116" s="6"/>
      <c r="J116" s="2">
        <f t="shared" si="40"/>
        <v>0.38902147971360385</v>
      </c>
      <c r="K116" s="2">
        <f t="shared" si="41"/>
        <v>0.54773269689737469</v>
      </c>
      <c r="L116" s="2">
        <f t="shared" si="42"/>
        <v>3.977724741447892E-3</v>
      </c>
      <c r="M116" s="2">
        <f t="shared" si="43"/>
        <v>5.9268098647573625E-2</v>
      </c>
      <c r="N116" s="63">
        <v>978</v>
      </c>
      <c r="O116" s="63">
        <v>1377</v>
      </c>
      <c r="P116" s="63">
        <v>10</v>
      </c>
      <c r="Q116" s="63">
        <v>97</v>
      </c>
      <c r="R116" s="63">
        <v>52</v>
      </c>
      <c r="S116" s="63">
        <v>0</v>
      </c>
      <c r="T116" s="63">
        <v>0</v>
      </c>
      <c r="U116" s="63"/>
      <c r="V116" s="63">
        <v>0</v>
      </c>
      <c r="W116" s="63">
        <f t="shared" si="44"/>
        <v>0</v>
      </c>
      <c r="Y116" s="63">
        <v>0</v>
      </c>
      <c r="Z116" s="63"/>
      <c r="AA116" s="63"/>
      <c r="AB116" s="63"/>
      <c r="AE116" s="8">
        <v>0</v>
      </c>
      <c r="AM116">
        <v>0</v>
      </c>
      <c r="AQ116">
        <v>0</v>
      </c>
      <c r="AT116" t="str">
        <f t="shared" si="45"/>
        <v>Preston</v>
      </c>
      <c r="AU116" t="s">
        <v>130</v>
      </c>
      <c r="AV116" s="8">
        <v>2</v>
      </c>
      <c r="AX116" s="114">
        <v>9</v>
      </c>
      <c r="AY116" s="116">
        <v>11</v>
      </c>
      <c r="AZ116" s="116">
        <v>80</v>
      </c>
      <c r="BA116" s="120">
        <v>62150</v>
      </c>
      <c r="BB116" s="120">
        <f t="shared" si="46"/>
        <v>9011</v>
      </c>
      <c r="BC116" t="s">
        <v>1472</v>
      </c>
      <c r="BD116" s="124">
        <f t="shared" si="47"/>
        <v>962150</v>
      </c>
      <c r="BI116">
        <v>31.76</v>
      </c>
      <c r="BJ116">
        <v>0.86</v>
      </c>
      <c r="BK116">
        <v>30.9</v>
      </c>
      <c r="BL116" s="2"/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hidden="1" outlineLevel="1">
      <c r="A117" t="s">
        <v>2360</v>
      </c>
      <c r="B117" s="8" t="s">
        <v>1485</v>
      </c>
      <c r="C117" s="1">
        <f t="shared" si="36"/>
        <v>5585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37"/>
        <v>5</v>
      </c>
      <c r="G117" s="1">
        <f t="shared" si="38"/>
        <v>2040</v>
      </c>
      <c r="H117" s="2">
        <f t="shared" si="39"/>
        <v>0.36526410026857653</v>
      </c>
      <c r="I117" s="6"/>
      <c r="J117" s="2">
        <f t="shared" si="40"/>
        <v>0.29740376007162039</v>
      </c>
      <c r="K117" s="2">
        <f t="shared" si="41"/>
        <v>0.66266786034019698</v>
      </c>
      <c r="L117" s="2">
        <f t="shared" si="42"/>
        <v>1.432408236347359E-3</v>
      </c>
      <c r="M117" s="2">
        <f t="shared" si="43"/>
        <v>3.8495971351835266E-2</v>
      </c>
      <c r="N117" s="63">
        <v>1661</v>
      </c>
      <c r="O117" s="63">
        <v>3701</v>
      </c>
      <c r="P117" s="63">
        <v>8</v>
      </c>
      <c r="Q117" s="63">
        <v>156</v>
      </c>
      <c r="R117" s="63">
        <v>58</v>
      </c>
      <c r="S117" s="63">
        <v>0</v>
      </c>
      <c r="T117" s="63">
        <v>0</v>
      </c>
      <c r="U117" s="63"/>
      <c r="V117" s="63">
        <v>0</v>
      </c>
      <c r="W117" s="63">
        <f t="shared" si="44"/>
        <v>0</v>
      </c>
      <c r="Y117" s="63">
        <v>0</v>
      </c>
      <c r="Z117" s="63"/>
      <c r="AA117" s="63"/>
      <c r="AB117" s="63"/>
      <c r="AE117" s="8">
        <v>1</v>
      </c>
      <c r="AM117">
        <v>0</v>
      </c>
      <c r="AQ117">
        <v>0</v>
      </c>
      <c r="AT117" t="str">
        <f t="shared" si="45"/>
        <v>Prospect</v>
      </c>
      <c r="AU117" t="s">
        <v>2797</v>
      </c>
      <c r="AV117" s="8">
        <v>3</v>
      </c>
      <c r="AX117" s="114">
        <v>9</v>
      </c>
      <c r="AY117" s="116">
        <v>9</v>
      </c>
      <c r="AZ117" s="116">
        <v>100</v>
      </c>
      <c r="BA117" s="120">
        <v>62290</v>
      </c>
      <c r="BB117" s="120">
        <f t="shared" si="46"/>
        <v>9009</v>
      </c>
      <c r="BC117" t="s">
        <v>1472</v>
      </c>
      <c r="BD117" s="124">
        <f t="shared" si="47"/>
        <v>962290</v>
      </c>
      <c r="BI117">
        <v>14.54</v>
      </c>
      <c r="BJ117">
        <v>0.23</v>
      </c>
      <c r="BK117">
        <v>14.32</v>
      </c>
      <c r="BL117" s="2"/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hidden="1" outlineLevel="1">
      <c r="A118" t="s">
        <v>955</v>
      </c>
      <c r="B118" s="8" t="s">
        <v>1485</v>
      </c>
      <c r="C118" s="1">
        <f t="shared" si="36"/>
        <v>3657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 t="shared" si="37"/>
        <v>5</v>
      </c>
      <c r="G118" s="1">
        <f t="shared" si="38"/>
        <v>283</v>
      </c>
      <c r="H118" s="2">
        <f t="shared" si="39"/>
        <v>7.738583538419469E-2</v>
      </c>
      <c r="I118" s="6"/>
      <c r="J118" s="2">
        <f t="shared" si="40"/>
        <v>0.42712605961170358</v>
      </c>
      <c r="K118" s="2">
        <f t="shared" si="41"/>
        <v>0.50451189499589832</v>
      </c>
      <c r="L118" s="2">
        <f t="shared" si="42"/>
        <v>1.3672409078479629E-3</v>
      </c>
      <c r="M118" s="2">
        <f t="shared" si="43"/>
        <v>6.6994804484550127E-2</v>
      </c>
      <c r="N118" s="63">
        <v>1562</v>
      </c>
      <c r="O118" s="63">
        <v>1845</v>
      </c>
      <c r="P118" s="63">
        <v>5</v>
      </c>
      <c r="Q118" s="63">
        <v>161</v>
      </c>
      <c r="R118" s="63">
        <v>83</v>
      </c>
      <c r="S118" s="63">
        <v>1</v>
      </c>
      <c r="T118" s="63">
        <v>0</v>
      </c>
      <c r="U118" s="63"/>
      <c r="V118" s="63">
        <v>0</v>
      </c>
      <c r="W118" s="63">
        <f t="shared" si="44"/>
        <v>0</v>
      </c>
      <c r="Y118" s="63">
        <v>0</v>
      </c>
      <c r="Z118" s="63"/>
      <c r="AA118" s="63"/>
      <c r="AB118" s="63"/>
      <c r="AE118" s="8">
        <v>0</v>
      </c>
      <c r="AM118">
        <v>0</v>
      </c>
      <c r="AQ118">
        <v>0</v>
      </c>
      <c r="AT118" t="str">
        <f t="shared" si="45"/>
        <v>Putnam</v>
      </c>
      <c r="AU118" t="s">
        <v>2129</v>
      </c>
      <c r="AV118" s="8">
        <v>2</v>
      </c>
      <c r="AX118" s="114">
        <v>9</v>
      </c>
      <c r="AY118" s="116">
        <v>15</v>
      </c>
      <c r="AZ118" s="116">
        <v>50</v>
      </c>
      <c r="BA118" s="120">
        <v>62710</v>
      </c>
      <c r="BB118" s="120">
        <f t="shared" si="46"/>
        <v>9015</v>
      </c>
      <c r="BC118" t="s">
        <v>1472</v>
      </c>
      <c r="BD118" s="124">
        <f t="shared" si="47"/>
        <v>962710</v>
      </c>
      <c r="BI118">
        <v>20.399999999999999</v>
      </c>
      <c r="BJ118">
        <v>0.11</v>
      </c>
      <c r="BK118">
        <v>20.29</v>
      </c>
      <c r="BL118" s="2"/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hidden="1" outlineLevel="1">
      <c r="A119" t="s">
        <v>1545</v>
      </c>
      <c r="B119" s="8" t="s">
        <v>1485</v>
      </c>
      <c r="C119" s="1">
        <f t="shared" si="36"/>
        <v>5487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37"/>
        <v>5</v>
      </c>
      <c r="G119" s="1">
        <f t="shared" si="38"/>
        <v>1039</v>
      </c>
      <c r="H119" s="2">
        <f t="shared" si="39"/>
        <v>0.18935666119919811</v>
      </c>
      <c r="I119" s="6"/>
      <c r="J119" s="2">
        <f t="shared" si="40"/>
        <v>0.56989247311827962</v>
      </c>
      <c r="K119" s="2">
        <f t="shared" si="41"/>
        <v>0.38053581191908148</v>
      </c>
      <c r="L119" s="2">
        <f t="shared" si="42"/>
        <v>2.1869874248223072E-3</v>
      </c>
      <c r="M119" s="2">
        <f t="shared" si="43"/>
        <v>4.7384727537816598E-2</v>
      </c>
      <c r="N119" s="63">
        <v>3127</v>
      </c>
      <c r="O119" s="63">
        <v>2088</v>
      </c>
      <c r="P119" s="63">
        <v>12</v>
      </c>
      <c r="Q119" s="63">
        <v>185</v>
      </c>
      <c r="R119" s="63">
        <v>73</v>
      </c>
      <c r="S119" s="63">
        <v>1</v>
      </c>
      <c r="T119" s="63">
        <v>0</v>
      </c>
      <c r="U119" s="63"/>
      <c r="V119" s="63">
        <v>0</v>
      </c>
      <c r="W119" s="63">
        <f t="shared" si="44"/>
        <v>0</v>
      </c>
      <c r="Y119" s="63">
        <v>0</v>
      </c>
      <c r="Z119" s="63"/>
      <c r="AA119" s="63"/>
      <c r="AB119" s="63"/>
      <c r="AE119" s="8">
        <v>1</v>
      </c>
      <c r="AM119">
        <v>0</v>
      </c>
      <c r="AQ119">
        <v>0</v>
      </c>
      <c r="AT119" t="str">
        <f t="shared" si="45"/>
        <v>Redding</v>
      </c>
      <c r="AU119" t="s">
        <v>280</v>
      </c>
      <c r="AV119" s="8">
        <v>4</v>
      </c>
      <c r="AX119" s="114">
        <v>9</v>
      </c>
      <c r="AY119" s="116">
        <v>1</v>
      </c>
      <c r="AZ119" s="116">
        <v>70</v>
      </c>
      <c r="BA119" s="120">
        <v>63480</v>
      </c>
      <c r="BB119" s="120">
        <f t="shared" si="46"/>
        <v>9001</v>
      </c>
      <c r="BC119" t="s">
        <v>1472</v>
      </c>
      <c r="BD119" s="124">
        <f t="shared" si="47"/>
        <v>963480</v>
      </c>
      <c r="BI119">
        <v>32.06</v>
      </c>
      <c r="BJ119">
        <v>0.56000000000000005</v>
      </c>
      <c r="BK119">
        <v>31.5</v>
      </c>
      <c r="BL119" s="2"/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hidden="1" outlineLevel="1">
      <c r="A120" t="s">
        <v>1691</v>
      </c>
      <c r="B120" s="8" t="s">
        <v>1485</v>
      </c>
      <c r="C120" s="1">
        <f t="shared" si="36"/>
        <v>14296</v>
      </c>
      <c r="D120" s="5">
        <f>IF(N120&gt;0, RANK(N120,(N120:P120,Q120:AE120)),0)</f>
        <v>1</v>
      </c>
      <c r="E120" s="5">
        <f>IF(O120&gt;0,RANK(O120,(N120:P120,Q120:AE120)),0)</f>
        <v>2</v>
      </c>
      <c r="F120" s="5">
        <f t="shared" si="37"/>
        <v>5</v>
      </c>
      <c r="G120" s="1">
        <f t="shared" si="38"/>
        <v>2227</v>
      </c>
      <c r="H120" s="2">
        <f t="shared" si="39"/>
        <v>0.15577783995523223</v>
      </c>
      <c r="I120" s="6"/>
      <c r="J120" s="2">
        <f t="shared" si="40"/>
        <v>0.55309177392277564</v>
      </c>
      <c r="K120" s="2">
        <f t="shared" si="41"/>
        <v>0.39731393396754339</v>
      </c>
      <c r="L120" s="2">
        <f t="shared" si="42"/>
        <v>3.0078343592613316E-3</v>
      </c>
      <c r="M120" s="2">
        <f t="shared" si="43"/>
        <v>4.6586457750419641E-2</v>
      </c>
      <c r="N120" s="63">
        <v>7907</v>
      </c>
      <c r="O120" s="63">
        <v>5680</v>
      </c>
      <c r="P120" s="63">
        <v>43</v>
      </c>
      <c r="Q120" s="63">
        <v>516</v>
      </c>
      <c r="R120" s="63">
        <v>146</v>
      </c>
      <c r="S120" s="63">
        <v>2</v>
      </c>
      <c r="T120" s="63">
        <v>0</v>
      </c>
      <c r="U120" s="63"/>
      <c r="V120" s="63">
        <v>0</v>
      </c>
      <c r="W120" s="63">
        <f t="shared" si="44"/>
        <v>1</v>
      </c>
      <c r="Y120" s="63">
        <v>1</v>
      </c>
      <c r="Z120" s="63"/>
      <c r="AA120" s="63"/>
      <c r="AB120" s="63"/>
      <c r="AE120" s="8">
        <v>0</v>
      </c>
      <c r="AM120">
        <v>0</v>
      </c>
      <c r="AQ120">
        <v>0</v>
      </c>
      <c r="AT120" t="str">
        <f t="shared" si="45"/>
        <v>Ridgefield</v>
      </c>
      <c r="AU120" t="s">
        <v>280</v>
      </c>
      <c r="AV120" s="8">
        <v>4</v>
      </c>
      <c r="AX120" s="114">
        <v>9</v>
      </c>
      <c r="AY120" s="116">
        <v>1</v>
      </c>
      <c r="AZ120" s="116">
        <v>75</v>
      </c>
      <c r="BA120" s="120">
        <v>63970</v>
      </c>
      <c r="BB120" s="120">
        <f t="shared" si="46"/>
        <v>9001</v>
      </c>
      <c r="BC120" t="s">
        <v>1472</v>
      </c>
      <c r="BD120" s="124">
        <f t="shared" si="47"/>
        <v>963970</v>
      </c>
      <c r="BI120">
        <v>34.97</v>
      </c>
      <c r="BJ120">
        <v>0.53</v>
      </c>
      <c r="BK120">
        <v>34.43</v>
      </c>
      <c r="BL120" s="2"/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hidden="1" outlineLevel="1">
      <c r="A121" t="s">
        <v>1773</v>
      </c>
      <c r="B121" s="8" t="s">
        <v>1485</v>
      </c>
      <c r="C121" s="1">
        <f t="shared" si="36"/>
        <v>9838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37"/>
        <v>5</v>
      </c>
      <c r="G121" s="1">
        <f t="shared" si="38"/>
        <v>759</v>
      </c>
      <c r="H121" s="2">
        <f t="shared" si="39"/>
        <v>7.7149827200650542E-2</v>
      </c>
      <c r="I121" s="6"/>
      <c r="J121" s="2">
        <f t="shared" si="40"/>
        <v>0.51738158162228098</v>
      </c>
      <c r="K121" s="2">
        <f t="shared" si="41"/>
        <v>0.44023175442163043</v>
      </c>
      <c r="L121" s="2">
        <f t="shared" si="42"/>
        <v>8.1317340922951815E-4</v>
      </c>
      <c r="M121" s="2">
        <f t="shared" si="43"/>
        <v>4.157349054685907E-2</v>
      </c>
      <c r="N121" s="63">
        <v>5090</v>
      </c>
      <c r="O121" s="63">
        <v>4331</v>
      </c>
      <c r="P121" s="63">
        <v>8</v>
      </c>
      <c r="Q121" s="63">
        <v>304</v>
      </c>
      <c r="R121" s="63">
        <v>105</v>
      </c>
      <c r="S121" s="63">
        <v>0</v>
      </c>
      <c r="T121" s="63">
        <v>0</v>
      </c>
      <c r="U121" s="63"/>
      <c r="V121" s="63">
        <v>0</v>
      </c>
      <c r="W121" s="63">
        <f t="shared" si="44"/>
        <v>0</v>
      </c>
      <c r="Y121" s="63">
        <v>0</v>
      </c>
      <c r="Z121" s="63"/>
      <c r="AA121" s="63"/>
      <c r="AB121" s="63"/>
      <c r="AE121" s="8">
        <v>0</v>
      </c>
      <c r="AM121">
        <v>0</v>
      </c>
      <c r="AQ121">
        <v>0</v>
      </c>
      <c r="AT121" t="str">
        <f t="shared" si="45"/>
        <v>Rocky Hill</v>
      </c>
      <c r="AU121" t="s">
        <v>1737</v>
      </c>
      <c r="AV121" s="8">
        <v>1</v>
      </c>
      <c r="AX121" s="114">
        <v>9</v>
      </c>
      <c r="AY121" s="116">
        <v>3</v>
      </c>
      <c r="AZ121" s="116">
        <v>105</v>
      </c>
      <c r="BA121" s="120">
        <v>65370</v>
      </c>
      <c r="BB121" s="120">
        <f t="shared" si="46"/>
        <v>9003</v>
      </c>
      <c r="BC121" t="s">
        <v>1472</v>
      </c>
      <c r="BD121" s="124">
        <f t="shared" si="47"/>
        <v>965370</v>
      </c>
      <c r="BI121">
        <v>13.8</v>
      </c>
      <c r="BJ121">
        <v>0.35</v>
      </c>
      <c r="BK121">
        <v>13.45</v>
      </c>
      <c r="BL121" s="2"/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hidden="1" outlineLevel="1">
      <c r="A122" t="s">
        <v>2718</v>
      </c>
      <c r="B122" s="8" t="s">
        <v>1485</v>
      </c>
      <c r="C122" s="1">
        <f t="shared" si="36"/>
        <v>1474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37"/>
        <v>0</v>
      </c>
      <c r="G122" s="1">
        <f t="shared" si="38"/>
        <v>127</v>
      </c>
      <c r="H122" s="2">
        <f t="shared" si="39"/>
        <v>8.6160108548168246E-2</v>
      </c>
      <c r="I122" s="6"/>
      <c r="J122" s="2">
        <f t="shared" si="40"/>
        <v>0.51899592944369066</v>
      </c>
      <c r="K122" s="2">
        <f t="shared" si="41"/>
        <v>0.43283582089552236</v>
      </c>
      <c r="L122" s="2">
        <f t="shared" si="42"/>
        <v>0</v>
      </c>
      <c r="M122" s="2">
        <f t="shared" si="43"/>
        <v>4.8168249660786977E-2</v>
      </c>
      <c r="N122" s="63">
        <v>765</v>
      </c>
      <c r="O122" s="63">
        <v>638</v>
      </c>
      <c r="P122" s="63">
        <v>0</v>
      </c>
      <c r="Q122" s="63">
        <v>55</v>
      </c>
      <c r="R122" s="63">
        <v>16</v>
      </c>
      <c r="S122" s="63">
        <v>0</v>
      </c>
      <c r="T122" s="63">
        <v>0</v>
      </c>
      <c r="U122" s="63"/>
      <c r="V122" s="63">
        <v>0</v>
      </c>
      <c r="W122" s="63">
        <f t="shared" si="44"/>
        <v>0</v>
      </c>
      <c r="Y122" s="63">
        <v>0</v>
      </c>
      <c r="Z122" s="63"/>
      <c r="AA122" s="63"/>
      <c r="AB122" s="63"/>
      <c r="AE122" s="8">
        <v>0</v>
      </c>
      <c r="AM122">
        <v>0</v>
      </c>
      <c r="AQ122">
        <v>0</v>
      </c>
      <c r="AT122" t="str">
        <f t="shared" si="45"/>
        <v>Roxbury</v>
      </c>
      <c r="AU122" t="s">
        <v>1276</v>
      </c>
      <c r="AV122" s="8">
        <v>5</v>
      </c>
      <c r="AX122" s="114">
        <v>9</v>
      </c>
      <c r="AY122" s="116">
        <v>5</v>
      </c>
      <c r="AZ122" s="116">
        <v>85</v>
      </c>
      <c r="BA122" s="120">
        <v>65930</v>
      </c>
      <c r="BB122" s="120">
        <f t="shared" si="46"/>
        <v>9005</v>
      </c>
      <c r="BC122" t="s">
        <v>1472</v>
      </c>
      <c r="BD122" s="124">
        <f t="shared" si="47"/>
        <v>965930</v>
      </c>
      <c r="BI122">
        <v>26.29</v>
      </c>
      <c r="BJ122">
        <v>0.06</v>
      </c>
      <c r="BK122">
        <v>26.23</v>
      </c>
      <c r="BL122" s="2"/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hidden="1" outlineLevel="1">
      <c r="A123" t="s">
        <v>2880</v>
      </c>
      <c r="B123" s="8" t="s">
        <v>1485</v>
      </c>
      <c r="C123" s="1">
        <f t="shared" si="36"/>
        <v>2346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 t="shared" si="37"/>
        <v>6</v>
      </c>
      <c r="G123" s="1">
        <f t="shared" si="38"/>
        <v>153</v>
      </c>
      <c r="H123" s="2">
        <f t="shared" si="39"/>
        <v>6.5217391304347824E-2</v>
      </c>
      <c r="I123" s="6"/>
      <c r="J123" s="2">
        <f t="shared" si="40"/>
        <v>0.43861892583120204</v>
      </c>
      <c r="K123" s="2">
        <f t="shared" si="41"/>
        <v>0.50383631713554988</v>
      </c>
      <c r="L123" s="2">
        <f t="shared" si="42"/>
        <v>4.2625745950554135E-4</v>
      </c>
      <c r="M123" s="2">
        <f t="shared" si="43"/>
        <v>5.7118499573742473E-2</v>
      </c>
      <c r="N123" s="63">
        <v>1029</v>
      </c>
      <c r="O123" s="63">
        <v>1182</v>
      </c>
      <c r="P123" s="63">
        <v>1</v>
      </c>
      <c r="Q123" s="63">
        <v>98</v>
      </c>
      <c r="R123" s="63">
        <v>34</v>
      </c>
      <c r="S123" s="63">
        <v>2</v>
      </c>
      <c r="T123" s="63">
        <v>0</v>
      </c>
      <c r="U123" s="63"/>
      <c r="V123" s="63">
        <v>0</v>
      </c>
      <c r="W123" s="63">
        <f t="shared" si="44"/>
        <v>0</v>
      </c>
      <c r="Y123" s="63">
        <v>0</v>
      </c>
      <c r="Z123" s="63"/>
      <c r="AA123" s="63"/>
      <c r="AB123" s="63"/>
      <c r="AE123" s="8">
        <v>0</v>
      </c>
      <c r="AM123">
        <v>0</v>
      </c>
      <c r="AQ123">
        <v>0</v>
      </c>
      <c r="AT123" t="str">
        <f t="shared" si="45"/>
        <v>Salem</v>
      </c>
      <c r="AU123" t="s">
        <v>130</v>
      </c>
      <c r="AV123" s="8">
        <v>2</v>
      </c>
      <c r="AX123" s="114">
        <v>9</v>
      </c>
      <c r="AY123" s="116">
        <v>11</v>
      </c>
      <c r="AZ123" s="116">
        <v>85</v>
      </c>
      <c r="BA123" s="120">
        <v>66210</v>
      </c>
      <c r="BB123" s="120">
        <f t="shared" si="46"/>
        <v>9011</v>
      </c>
      <c r="BC123" t="s">
        <v>1472</v>
      </c>
      <c r="BD123" s="124">
        <f t="shared" si="47"/>
        <v>966210</v>
      </c>
      <c r="BI123">
        <v>29.79</v>
      </c>
      <c r="BJ123">
        <v>0.83</v>
      </c>
      <c r="BK123">
        <v>28.95</v>
      </c>
      <c r="BL123" s="2"/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hidden="1" outlineLevel="1">
      <c r="A124" t="s">
        <v>2097</v>
      </c>
      <c r="B124" s="8" t="s">
        <v>1485</v>
      </c>
      <c r="C124" s="1">
        <f t="shared" si="36"/>
        <v>2331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37"/>
        <v>5</v>
      </c>
      <c r="G124" s="1">
        <f t="shared" si="38"/>
        <v>1126</v>
      </c>
      <c r="H124" s="2">
        <f t="shared" si="39"/>
        <v>0.48305448305448306</v>
      </c>
      <c r="I124" s="6"/>
      <c r="J124" s="2">
        <f t="shared" si="40"/>
        <v>0.71685971685971683</v>
      </c>
      <c r="K124" s="2">
        <f t="shared" si="41"/>
        <v>0.2338052338052338</v>
      </c>
      <c r="L124" s="2">
        <f t="shared" si="42"/>
        <v>1.716001716001716E-3</v>
      </c>
      <c r="M124" s="2">
        <f t="shared" si="43"/>
        <v>4.7619047619047651E-2</v>
      </c>
      <c r="N124" s="63">
        <v>1671</v>
      </c>
      <c r="O124" s="63">
        <v>545</v>
      </c>
      <c r="P124" s="63">
        <v>4</v>
      </c>
      <c r="Q124" s="63">
        <v>73</v>
      </c>
      <c r="R124" s="63">
        <v>38</v>
      </c>
      <c r="S124" s="63">
        <v>0</v>
      </c>
      <c r="T124" s="63">
        <v>0</v>
      </c>
      <c r="U124" s="63"/>
      <c r="V124" s="63">
        <v>0</v>
      </c>
      <c r="W124" s="63">
        <f t="shared" si="44"/>
        <v>0</v>
      </c>
      <c r="Y124" s="63">
        <v>0</v>
      </c>
      <c r="Z124" s="63"/>
      <c r="AA124" s="63"/>
      <c r="AB124" s="63"/>
      <c r="AE124" s="8">
        <v>0</v>
      </c>
      <c r="AM124">
        <v>0</v>
      </c>
      <c r="AQ124">
        <v>0</v>
      </c>
      <c r="AT124" t="str">
        <f t="shared" si="45"/>
        <v>Salisbury</v>
      </c>
      <c r="AU124" t="s">
        <v>1276</v>
      </c>
      <c r="AV124" s="8">
        <v>5</v>
      </c>
      <c r="AX124" s="114">
        <v>9</v>
      </c>
      <c r="AY124" s="116">
        <v>5</v>
      </c>
      <c r="AZ124" s="116">
        <v>90</v>
      </c>
      <c r="BA124" s="120">
        <v>66420</v>
      </c>
      <c r="BB124" s="120">
        <f t="shared" si="46"/>
        <v>9005</v>
      </c>
      <c r="BC124" t="s">
        <v>1472</v>
      </c>
      <c r="BD124" s="124">
        <f t="shared" si="47"/>
        <v>966420</v>
      </c>
      <c r="BI124">
        <v>60.08</v>
      </c>
      <c r="BJ124">
        <v>2.76</v>
      </c>
      <c r="BK124">
        <v>57.32</v>
      </c>
      <c r="BL124" s="2"/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hidden="1" outlineLevel="1">
      <c r="A125" t="s">
        <v>1548</v>
      </c>
      <c r="B125" s="8" t="s">
        <v>1485</v>
      </c>
      <c r="C125" s="1">
        <f t="shared" si="36"/>
        <v>909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37"/>
        <v>5</v>
      </c>
      <c r="G125" s="1">
        <f t="shared" si="38"/>
        <v>208</v>
      </c>
      <c r="H125" s="2">
        <f t="shared" si="39"/>
        <v>0.22882288228822883</v>
      </c>
      <c r="I125" s="6"/>
      <c r="J125" s="2">
        <f t="shared" si="40"/>
        <v>0.34103410341034102</v>
      </c>
      <c r="K125" s="2">
        <f t="shared" si="41"/>
        <v>0.56985698569856991</v>
      </c>
      <c r="L125" s="2">
        <f t="shared" si="42"/>
        <v>1.1001100110011001E-3</v>
      </c>
      <c r="M125" s="2">
        <f t="shared" si="43"/>
        <v>8.8008800880087973E-2</v>
      </c>
      <c r="N125" s="63">
        <v>310</v>
      </c>
      <c r="O125" s="63">
        <v>518</v>
      </c>
      <c r="P125" s="63">
        <v>1</v>
      </c>
      <c r="Q125" s="63">
        <v>58</v>
      </c>
      <c r="R125" s="63">
        <v>22</v>
      </c>
      <c r="S125" s="63">
        <v>0</v>
      </c>
      <c r="T125" s="63">
        <v>0</v>
      </c>
      <c r="U125" s="63"/>
      <c r="V125" s="63">
        <v>0</v>
      </c>
      <c r="W125" s="63">
        <f t="shared" si="44"/>
        <v>0</v>
      </c>
      <c r="Y125" s="63">
        <v>0</v>
      </c>
      <c r="Z125" s="63"/>
      <c r="AA125" s="63"/>
      <c r="AB125" s="63"/>
      <c r="AE125" s="8">
        <v>0</v>
      </c>
      <c r="AM125">
        <v>0</v>
      </c>
      <c r="AQ125">
        <v>0</v>
      </c>
      <c r="AT125" t="str">
        <f t="shared" si="45"/>
        <v>Scotland</v>
      </c>
      <c r="AU125" t="s">
        <v>2129</v>
      </c>
      <c r="AV125" s="8">
        <v>2</v>
      </c>
      <c r="AX125" s="114">
        <v>9</v>
      </c>
      <c r="AY125" s="116">
        <v>15</v>
      </c>
      <c r="AZ125" s="116">
        <v>55</v>
      </c>
      <c r="BA125" s="120">
        <v>67400</v>
      </c>
      <c r="BB125" s="120">
        <f t="shared" si="46"/>
        <v>9015</v>
      </c>
      <c r="BC125" t="s">
        <v>1472</v>
      </c>
      <c r="BD125" s="124">
        <f t="shared" si="47"/>
        <v>967400</v>
      </c>
      <c r="BI125">
        <v>18.66</v>
      </c>
      <c r="BJ125">
        <v>0.05</v>
      </c>
      <c r="BK125">
        <v>18.61</v>
      </c>
      <c r="BL125" s="2"/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hidden="1" outlineLevel="1">
      <c r="A126" t="s">
        <v>2490</v>
      </c>
      <c r="B126" s="8" t="s">
        <v>1485</v>
      </c>
      <c r="C126" s="1">
        <f t="shared" si="36"/>
        <v>8206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37"/>
        <v>5</v>
      </c>
      <c r="G126" s="1">
        <f t="shared" si="38"/>
        <v>1800</v>
      </c>
      <c r="H126" s="2">
        <f t="shared" si="39"/>
        <v>0.21935169388252498</v>
      </c>
      <c r="I126" s="6"/>
      <c r="J126" s="2">
        <f t="shared" si="40"/>
        <v>0.36851084572264198</v>
      </c>
      <c r="K126" s="2">
        <f t="shared" si="41"/>
        <v>0.58786253960516699</v>
      </c>
      <c r="L126" s="2">
        <f t="shared" si="42"/>
        <v>1.4623446258834999E-3</v>
      </c>
      <c r="M126" s="2">
        <f t="shared" si="43"/>
        <v>4.2164270046307475E-2</v>
      </c>
      <c r="N126" s="63">
        <v>3024</v>
      </c>
      <c r="O126" s="63">
        <v>4824</v>
      </c>
      <c r="P126" s="63">
        <v>12</v>
      </c>
      <c r="Q126" s="63">
        <v>227</v>
      </c>
      <c r="R126" s="63">
        <v>117</v>
      </c>
      <c r="S126" s="63">
        <v>1</v>
      </c>
      <c r="T126" s="63">
        <v>0</v>
      </c>
      <c r="U126" s="63"/>
      <c r="V126" s="63">
        <v>1</v>
      </c>
      <c r="W126" s="63">
        <f t="shared" si="44"/>
        <v>0</v>
      </c>
      <c r="Y126" s="63">
        <v>0</v>
      </c>
      <c r="Z126" s="63"/>
      <c r="AA126" s="63"/>
      <c r="AB126" s="63"/>
      <c r="AE126" s="8">
        <v>0</v>
      </c>
      <c r="AM126">
        <v>0</v>
      </c>
      <c r="AQ126">
        <v>0</v>
      </c>
      <c r="AT126" t="str">
        <f t="shared" si="45"/>
        <v>Seymour</v>
      </c>
      <c r="AU126" t="s">
        <v>2797</v>
      </c>
      <c r="AV126" s="8">
        <v>3</v>
      </c>
      <c r="AX126" s="114">
        <v>9</v>
      </c>
      <c r="AY126" s="116">
        <v>9</v>
      </c>
      <c r="AZ126" s="116">
        <v>105</v>
      </c>
      <c r="BA126" s="120">
        <v>67610</v>
      </c>
      <c r="BB126" s="120">
        <f t="shared" si="46"/>
        <v>9009</v>
      </c>
      <c r="BC126" t="s">
        <v>1472</v>
      </c>
      <c r="BD126" s="124">
        <f t="shared" si="47"/>
        <v>967610</v>
      </c>
      <c r="BI126">
        <v>14.97</v>
      </c>
      <c r="BJ126">
        <v>0.4</v>
      </c>
      <c r="BK126">
        <v>14.57</v>
      </c>
      <c r="BL126" s="2"/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hidden="1" outlineLevel="1">
      <c r="A127" t="s">
        <v>1684</v>
      </c>
      <c r="B127" s="8" t="s">
        <v>1485</v>
      </c>
      <c r="C127" s="1">
        <f t="shared" si="36"/>
        <v>1416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37"/>
        <v>0</v>
      </c>
      <c r="G127" s="1">
        <f t="shared" si="38"/>
        <v>299</v>
      </c>
      <c r="H127" s="2">
        <f t="shared" si="39"/>
        <v>0.21115819209039549</v>
      </c>
      <c r="I127" s="6"/>
      <c r="J127" s="2">
        <f t="shared" si="40"/>
        <v>0.57909604519774016</v>
      </c>
      <c r="K127" s="2">
        <f t="shared" si="41"/>
        <v>0.36793785310734461</v>
      </c>
      <c r="L127" s="2">
        <f t="shared" si="42"/>
        <v>0</v>
      </c>
      <c r="M127" s="2">
        <f t="shared" si="43"/>
        <v>5.2966101694915224E-2</v>
      </c>
      <c r="N127" s="63">
        <v>820</v>
      </c>
      <c r="O127" s="63">
        <v>521</v>
      </c>
      <c r="P127" s="63">
        <v>0</v>
      </c>
      <c r="Q127" s="63">
        <v>50</v>
      </c>
      <c r="R127" s="63">
        <v>25</v>
      </c>
      <c r="S127" s="63">
        <v>0</v>
      </c>
      <c r="T127" s="63">
        <v>0</v>
      </c>
      <c r="U127" s="63"/>
      <c r="V127" s="63">
        <v>0</v>
      </c>
      <c r="W127" s="63">
        <f t="shared" si="44"/>
        <v>0</v>
      </c>
      <c r="Y127" s="63">
        <v>0</v>
      </c>
      <c r="Z127" s="63"/>
      <c r="AA127" s="63"/>
      <c r="AB127" s="63"/>
      <c r="AE127" s="8">
        <v>0</v>
      </c>
      <c r="AM127">
        <v>0</v>
      </c>
      <c r="AQ127">
        <v>0</v>
      </c>
      <c r="AT127" t="str">
        <f t="shared" si="45"/>
        <v>Sharon</v>
      </c>
      <c r="AU127" t="s">
        <v>1276</v>
      </c>
      <c r="AV127" s="8">
        <v>5</v>
      </c>
      <c r="AX127" s="114">
        <v>9</v>
      </c>
      <c r="AY127" s="116">
        <v>5</v>
      </c>
      <c r="AZ127" s="116">
        <v>95</v>
      </c>
      <c r="BA127" s="120">
        <v>67960</v>
      </c>
      <c r="BB127" s="120">
        <f t="shared" si="46"/>
        <v>9005</v>
      </c>
      <c r="BC127" t="s">
        <v>1472</v>
      </c>
      <c r="BD127" s="124">
        <f t="shared" si="47"/>
        <v>967960</v>
      </c>
      <c r="BI127">
        <v>59.56</v>
      </c>
      <c r="BJ127">
        <v>0.86</v>
      </c>
      <c r="BK127">
        <v>58.7</v>
      </c>
      <c r="BL127" s="2"/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hidden="1" outlineLevel="1">
      <c r="A128" t="s">
        <v>1146</v>
      </c>
      <c r="B128" s="8" t="s">
        <v>1485</v>
      </c>
      <c r="C128" s="1">
        <f t="shared" si="36"/>
        <v>20857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37"/>
        <v>5</v>
      </c>
      <c r="G128" s="1">
        <f t="shared" si="38"/>
        <v>4050</v>
      </c>
      <c r="H128" s="2">
        <f t="shared" si="39"/>
        <v>0.19417941218775472</v>
      </c>
      <c r="I128" s="6"/>
      <c r="J128" s="2">
        <f t="shared" si="40"/>
        <v>0.38361221652203098</v>
      </c>
      <c r="K128" s="2">
        <f t="shared" si="41"/>
        <v>0.57779162870978573</v>
      </c>
      <c r="L128" s="2">
        <f t="shared" si="42"/>
        <v>7.6712854197631491E-4</v>
      </c>
      <c r="M128" s="2">
        <f t="shared" si="43"/>
        <v>3.7829026226206916E-2</v>
      </c>
      <c r="N128" s="63">
        <v>8001</v>
      </c>
      <c r="O128" s="63">
        <v>12051</v>
      </c>
      <c r="P128" s="63">
        <v>16</v>
      </c>
      <c r="Q128" s="63">
        <v>520</v>
      </c>
      <c r="R128" s="63">
        <v>264</v>
      </c>
      <c r="S128" s="63">
        <v>3</v>
      </c>
      <c r="T128" s="63">
        <v>0</v>
      </c>
      <c r="U128" s="63"/>
      <c r="V128" s="63">
        <v>0</v>
      </c>
      <c r="W128" s="63">
        <f t="shared" si="44"/>
        <v>2</v>
      </c>
      <c r="Y128" s="63">
        <v>0</v>
      </c>
      <c r="Z128" s="63"/>
      <c r="AA128" s="63"/>
      <c r="AB128" s="63"/>
      <c r="AE128" s="8">
        <v>0</v>
      </c>
      <c r="AM128">
        <v>0</v>
      </c>
      <c r="AQ128">
        <v>0</v>
      </c>
      <c r="AT128" t="str">
        <f t="shared" si="45"/>
        <v>Shelton</v>
      </c>
      <c r="AU128" t="s">
        <v>280</v>
      </c>
      <c r="AV128" s="8">
        <v>0</v>
      </c>
      <c r="AX128" s="114">
        <v>9</v>
      </c>
      <c r="AY128" s="116">
        <v>1</v>
      </c>
      <c r="AZ128" s="116">
        <v>80</v>
      </c>
      <c r="BA128" s="120">
        <v>68170</v>
      </c>
      <c r="BB128" s="120">
        <f t="shared" si="46"/>
        <v>9001</v>
      </c>
      <c r="BC128" t="s">
        <v>1472</v>
      </c>
      <c r="BD128" s="124">
        <f t="shared" si="47"/>
        <v>968170</v>
      </c>
      <c r="BI128">
        <v>31.93</v>
      </c>
      <c r="BJ128">
        <v>1.36</v>
      </c>
      <c r="BK128">
        <v>30.57</v>
      </c>
      <c r="BL128" s="2"/>
      <c r="BS128">
        <v>0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hidden="1" outlineLevel="1">
      <c r="A129" t="s">
        <v>2877</v>
      </c>
      <c r="B129" s="8" t="s">
        <v>1485</v>
      </c>
      <c r="C129" s="1">
        <f t="shared" si="36"/>
        <v>2137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 t="shared" si="37"/>
        <v>5</v>
      </c>
      <c r="G129" s="1">
        <f t="shared" si="38"/>
        <v>89</v>
      </c>
      <c r="H129" s="2">
        <f t="shared" si="39"/>
        <v>4.1647168928404303E-2</v>
      </c>
      <c r="I129" s="6"/>
      <c r="J129" s="2">
        <f t="shared" si="40"/>
        <v>0.45671502105755735</v>
      </c>
      <c r="K129" s="2">
        <f t="shared" si="41"/>
        <v>0.4983621899859616</v>
      </c>
      <c r="L129" s="2">
        <f t="shared" si="42"/>
        <v>4.6794571829667761E-4</v>
      </c>
      <c r="M129" s="2">
        <f t="shared" si="43"/>
        <v>4.4454843238184376E-2</v>
      </c>
      <c r="N129" s="63">
        <v>976</v>
      </c>
      <c r="O129" s="63">
        <v>1065</v>
      </c>
      <c r="P129" s="63">
        <v>1</v>
      </c>
      <c r="Q129" s="63">
        <v>67</v>
      </c>
      <c r="R129" s="63">
        <v>28</v>
      </c>
      <c r="S129" s="63">
        <v>0</v>
      </c>
      <c r="T129" s="63">
        <v>0</v>
      </c>
      <c r="U129" s="63"/>
      <c r="V129" s="63">
        <v>0</v>
      </c>
      <c r="W129" s="63">
        <f t="shared" si="44"/>
        <v>0</v>
      </c>
      <c r="Y129" s="63">
        <v>0</v>
      </c>
      <c r="Z129" s="63"/>
      <c r="AA129" s="63"/>
      <c r="AB129" s="63"/>
      <c r="AE129" s="8">
        <v>0</v>
      </c>
      <c r="AM129">
        <v>0</v>
      </c>
      <c r="AQ129">
        <v>0</v>
      </c>
      <c r="AT129" t="str">
        <f t="shared" si="45"/>
        <v>Sherman</v>
      </c>
      <c r="AU129" t="s">
        <v>280</v>
      </c>
      <c r="AV129" s="8">
        <v>5</v>
      </c>
      <c r="AX129" s="114">
        <v>9</v>
      </c>
      <c r="AY129" s="116">
        <v>1</v>
      </c>
      <c r="AZ129" s="116">
        <v>85</v>
      </c>
      <c r="BA129" s="120">
        <v>68310</v>
      </c>
      <c r="BB129" s="120">
        <f t="shared" si="46"/>
        <v>9001</v>
      </c>
      <c r="BC129" t="s">
        <v>1472</v>
      </c>
      <c r="BD129" s="124">
        <f t="shared" si="47"/>
        <v>968310</v>
      </c>
      <c r="BI129">
        <v>23.36</v>
      </c>
      <c r="BJ129">
        <v>1.56</v>
      </c>
      <c r="BK129">
        <v>21.8</v>
      </c>
      <c r="BL129" s="2"/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hidden="1" outlineLevel="1">
      <c r="A130" t="s">
        <v>248</v>
      </c>
      <c r="B130" s="8" t="s">
        <v>1485</v>
      </c>
      <c r="C130" s="1">
        <f t="shared" si="36"/>
        <v>13984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37"/>
        <v>5</v>
      </c>
      <c r="G130" s="1">
        <f t="shared" si="38"/>
        <v>2468</v>
      </c>
      <c r="H130" s="2">
        <f t="shared" si="39"/>
        <v>0.17648741418764302</v>
      </c>
      <c r="I130" s="6"/>
      <c r="J130" s="2">
        <f t="shared" si="40"/>
        <v>0.55956807780320361</v>
      </c>
      <c r="K130" s="2">
        <f t="shared" si="41"/>
        <v>0.38308066361556065</v>
      </c>
      <c r="L130" s="2">
        <f t="shared" si="42"/>
        <v>2.9319221967963388E-3</v>
      </c>
      <c r="M130" s="2">
        <f t="shared" si="43"/>
        <v>5.4419336384439403E-2</v>
      </c>
      <c r="N130" s="63">
        <v>7825</v>
      </c>
      <c r="O130" s="63">
        <v>5357</v>
      </c>
      <c r="P130" s="63">
        <v>41</v>
      </c>
      <c r="Q130" s="63">
        <v>598</v>
      </c>
      <c r="R130" s="63">
        <v>161</v>
      </c>
      <c r="S130" s="63">
        <v>2</v>
      </c>
      <c r="T130" s="63">
        <v>0</v>
      </c>
      <c r="U130" s="63"/>
      <c r="V130" s="63">
        <v>0</v>
      </c>
      <c r="W130" s="63">
        <f t="shared" si="44"/>
        <v>0</v>
      </c>
      <c r="Y130" s="63">
        <v>0</v>
      </c>
      <c r="Z130" s="63"/>
      <c r="AA130" s="63"/>
      <c r="AB130" s="63"/>
      <c r="AE130" s="8">
        <v>0</v>
      </c>
      <c r="AM130">
        <v>0</v>
      </c>
      <c r="AQ130">
        <v>0</v>
      </c>
      <c r="AT130" t="str">
        <f t="shared" si="45"/>
        <v>Simsbury</v>
      </c>
      <c r="AU130" t="s">
        <v>1737</v>
      </c>
      <c r="AV130" s="8">
        <v>5</v>
      </c>
      <c r="AX130" s="114">
        <v>9</v>
      </c>
      <c r="AY130" s="116">
        <v>3</v>
      </c>
      <c r="AZ130" s="116">
        <v>110</v>
      </c>
      <c r="BA130" s="120">
        <v>68940</v>
      </c>
      <c r="BB130" s="120">
        <f t="shared" si="46"/>
        <v>9003</v>
      </c>
      <c r="BC130" t="s">
        <v>1472</v>
      </c>
      <c r="BD130" s="124">
        <f t="shared" si="47"/>
        <v>968940</v>
      </c>
      <c r="BI130">
        <v>34.31</v>
      </c>
      <c r="BJ130">
        <v>0.43</v>
      </c>
      <c r="BK130">
        <v>33.880000000000003</v>
      </c>
      <c r="BL130" s="2"/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hidden="1" outlineLevel="1">
      <c r="A131" t="s">
        <v>1410</v>
      </c>
      <c r="B131" s="8" t="s">
        <v>1485</v>
      </c>
      <c r="C131" s="1">
        <f t="shared" ref="C131:C162" si="48">SUM(N131:AR131)</f>
        <v>5694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49">IF(P131&gt;0,RANK(P131,(N131:AE131)),0)</f>
        <v>6</v>
      </c>
      <c r="G131" s="1">
        <f t="shared" ref="G131:G162" si="50">IF(C131&gt;0,MAX(N131:P131)-LARGE(N131:P131,2),0)</f>
        <v>1225</v>
      </c>
      <c r="H131" s="2">
        <f t="shared" ref="H131:H162" si="51">IF(C131&gt;0,G131/C131,0)</f>
        <v>0.21513874253600282</v>
      </c>
      <c r="I131" s="6"/>
      <c r="J131" s="2">
        <f t="shared" ref="J131:J162" si="52">IF(C131=0,"-",N131/C131)</f>
        <v>0.37319985950122936</v>
      </c>
      <c r="K131" s="2">
        <f t="shared" ref="K131:K162" si="53">IF(C131=0,"-",O131/C131)</f>
        <v>0.58833860203723221</v>
      </c>
      <c r="L131" s="2">
        <f t="shared" ref="L131:L162" si="54">IF(C131=0,"-",P131/C131)</f>
        <v>7.0249385317878467E-4</v>
      </c>
      <c r="M131" s="2">
        <f t="shared" ref="M131:M162" si="55">IF(C131=0,"-",(1-J131-K131-L131))</f>
        <v>3.7759044608359653E-2</v>
      </c>
      <c r="N131" s="63">
        <v>2125</v>
      </c>
      <c r="O131" s="63">
        <v>3350</v>
      </c>
      <c r="P131" s="63">
        <v>4</v>
      </c>
      <c r="Q131" s="63">
        <v>163</v>
      </c>
      <c r="R131" s="63">
        <v>46</v>
      </c>
      <c r="S131" s="63">
        <v>1</v>
      </c>
      <c r="T131" s="63">
        <v>0</v>
      </c>
      <c r="U131" s="63"/>
      <c r="V131" s="63">
        <v>0</v>
      </c>
      <c r="W131" s="63">
        <f t="shared" ref="W131:W162" si="56">SUM(BS131:CD131)</f>
        <v>0</v>
      </c>
      <c r="Y131" s="63">
        <v>5</v>
      </c>
      <c r="Z131" s="63"/>
      <c r="AA131" s="63"/>
      <c r="AB131" s="63"/>
      <c r="AE131" s="8">
        <v>0</v>
      </c>
      <c r="AM131">
        <v>0</v>
      </c>
      <c r="AQ131">
        <v>0</v>
      </c>
      <c r="AT131" t="str">
        <f t="shared" ref="AT131:AT162" si="57">A131</f>
        <v>Somers</v>
      </c>
      <c r="AU131" t="s">
        <v>67</v>
      </c>
      <c r="AV131" s="8">
        <v>2</v>
      </c>
      <c r="AX131" s="114">
        <v>9</v>
      </c>
      <c r="AY131" s="116">
        <v>13</v>
      </c>
      <c r="AZ131" s="116">
        <v>40</v>
      </c>
      <c r="BA131" s="120">
        <v>69220</v>
      </c>
      <c r="BB131" s="120">
        <f t="shared" ref="BB131:BB162" si="58">AX131*1000+AY131</f>
        <v>9013</v>
      </c>
      <c r="BC131" t="s">
        <v>1472</v>
      </c>
      <c r="BD131" s="124">
        <f t="shared" ref="BD131:BD162" si="59">AX131*100000+BA131</f>
        <v>969220</v>
      </c>
      <c r="BI131">
        <v>28.48</v>
      </c>
      <c r="BJ131">
        <v>0.14000000000000001</v>
      </c>
      <c r="BK131">
        <v>28.34</v>
      </c>
      <c r="BL131" s="2"/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hidden="1" outlineLevel="1">
      <c r="A132" t="s">
        <v>2634</v>
      </c>
      <c r="B132" s="8" t="s">
        <v>1485</v>
      </c>
      <c r="C132" s="1">
        <f t="shared" si="48"/>
        <v>13954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49"/>
        <v>5</v>
      </c>
      <c r="G132" s="1">
        <f t="shared" si="50"/>
        <v>2164</v>
      </c>
      <c r="H132" s="2">
        <f t="shared" si="51"/>
        <v>0.15508098036405332</v>
      </c>
      <c r="I132" s="6"/>
      <c r="J132" s="2">
        <f t="shared" si="52"/>
        <v>0.55331804500501647</v>
      </c>
      <c r="K132" s="2">
        <f t="shared" si="53"/>
        <v>0.39823706464096315</v>
      </c>
      <c r="L132" s="2">
        <f t="shared" si="54"/>
        <v>8.5996846782284645E-4</v>
      </c>
      <c r="M132" s="2">
        <f t="shared" si="55"/>
        <v>4.7584921886197541E-2</v>
      </c>
      <c r="N132" s="63">
        <v>7721</v>
      </c>
      <c r="O132" s="63">
        <v>5557</v>
      </c>
      <c r="P132" s="63">
        <v>12</v>
      </c>
      <c r="Q132" s="63">
        <v>498</v>
      </c>
      <c r="R132" s="63">
        <v>166</v>
      </c>
      <c r="S132" s="63">
        <v>0</v>
      </c>
      <c r="T132" s="63">
        <v>0</v>
      </c>
      <c r="U132" s="63"/>
      <c r="V132" s="63">
        <v>0</v>
      </c>
      <c r="W132" s="63">
        <f t="shared" si="56"/>
        <v>0</v>
      </c>
      <c r="Y132" s="63">
        <v>0</v>
      </c>
      <c r="Z132" s="63"/>
      <c r="AA132" s="63"/>
      <c r="AB132" s="63"/>
      <c r="AE132" s="8">
        <v>0</v>
      </c>
      <c r="AM132">
        <v>0</v>
      </c>
      <c r="AQ132">
        <v>0</v>
      </c>
      <c r="AT132" t="str">
        <f t="shared" si="57"/>
        <v>South Windsor</v>
      </c>
      <c r="AU132" t="s">
        <v>1737</v>
      </c>
      <c r="AV132" s="8">
        <v>1</v>
      </c>
      <c r="AX132" s="114">
        <v>9</v>
      </c>
      <c r="AY132" s="116">
        <v>3</v>
      </c>
      <c r="AZ132" s="116">
        <v>120</v>
      </c>
      <c r="BA132" s="120">
        <v>71390</v>
      </c>
      <c r="BB132" s="120">
        <f t="shared" si="58"/>
        <v>9003</v>
      </c>
      <c r="BC132" t="s">
        <v>1472</v>
      </c>
      <c r="BD132" s="124">
        <f t="shared" si="59"/>
        <v>971390</v>
      </c>
      <c r="BI132">
        <v>28.66</v>
      </c>
      <c r="BJ132">
        <v>0.7</v>
      </c>
      <c r="BK132">
        <v>27.96</v>
      </c>
      <c r="BL132" s="2"/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hidden="1" outlineLevel="1">
      <c r="A133" t="s">
        <v>2680</v>
      </c>
      <c r="B133" s="8" t="s">
        <v>1485</v>
      </c>
      <c r="C133" s="1">
        <f t="shared" si="48"/>
        <v>11580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 t="shared" si="49"/>
        <v>5</v>
      </c>
      <c r="G133" s="1">
        <f t="shared" si="50"/>
        <v>1087</v>
      </c>
      <c r="H133" s="2">
        <f t="shared" si="51"/>
        <v>9.3868739205526769E-2</v>
      </c>
      <c r="I133" s="6"/>
      <c r="J133" s="2">
        <f t="shared" si="52"/>
        <v>0.43290155440414507</v>
      </c>
      <c r="K133" s="2">
        <f t="shared" si="53"/>
        <v>0.52677029360967187</v>
      </c>
      <c r="L133" s="2">
        <f t="shared" si="54"/>
        <v>1.2953367875647669E-3</v>
      </c>
      <c r="M133" s="2">
        <f t="shared" si="55"/>
        <v>3.9032815198618349E-2</v>
      </c>
      <c r="N133" s="63">
        <v>5013</v>
      </c>
      <c r="O133" s="63">
        <v>6100</v>
      </c>
      <c r="P133" s="63">
        <v>15</v>
      </c>
      <c r="Q133" s="63">
        <v>347</v>
      </c>
      <c r="R133" s="63">
        <v>103</v>
      </c>
      <c r="S133" s="63">
        <v>0</v>
      </c>
      <c r="T133" s="63">
        <v>0</v>
      </c>
      <c r="U133" s="63"/>
      <c r="V133" s="63">
        <v>0</v>
      </c>
      <c r="W133" s="63">
        <f t="shared" si="56"/>
        <v>1</v>
      </c>
      <c r="Y133" s="63">
        <v>1</v>
      </c>
      <c r="Z133" s="63"/>
      <c r="AA133" s="63"/>
      <c r="AB133" s="63"/>
      <c r="AE133" s="8">
        <v>0</v>
      </c>
      <c r="AM133">
        <v>0</v>
      </c>
      <c r="AQ133">
        <v>0</v>
      </c>
      <c r="AT133" t="str">
        <f t="shared" si="57"/>
        <v>Southbury</v>
      </c>
      <c r="AU133" t="s">
        <v>2797</v>
      </c>
      <c r="AV133" s="8">
        <v>5</v>
      </c>
      <c r="AX133" s="114">
        <v>9</v>
      </c>
      <c r="AY133" s="116">
        <v>9</v>
      </c>
      <c r="AZ133" s="116">
        <v>110</v>
      </c>
      <c r="BA133" s="120">
        <v>69640</v>
      </c>
      <c r="BB133" s="120">
        <f t="shared" si="58"/>
        <v>9009</v>
      </c>
      <c r="BC133" t="s">
        <v>1472</v>
      </c>
      <c r="BD133" s="124">
        <f t="shared" si="59"/>
        <v>969640</v>
      </c>
      <c r="BI133">
        <v>39.97</v>
      </c>
      <c r="BJ133">
        <v>0.91</v>
      </c>
      <c r="BK133">
        <v>39.06</v>
      </c>
      <c r="BL133" s="2"/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hidden="1" outlineLevel="1">
      <c r="A134" t="s">
        <v>2731</v>
      </c>
      <c r="B134" s="8" t="s">
        <v>1485</v>
      </c>
      <c r="C134" s="1">
        <f t="shared" si="48"/>
        <v>23318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 t="shared" si="49"/>
        <v>5</v>
      </c>
      <c r="G134" s="1">
        <f t="shared" si="50"/>
        <v>2493</v>
      </c>
      <c r="H134" s="2">
        <f t="shared" si="51"/>
        <v>0.10691311433227549</v>
      </c>
      <c r="I134" s="6"/>
      <c r="J134" s="2">
        <f t="shared" si="52"/>
        <v>0.42413586070846554</v>
      </c>
      <c r="K134" s="2">
        <f t="shared" si="53"/>
        <v>0.53104897504074111</v>
      </c>
      <c r="L134" s="2">
        <f t="shared" si="54"/>
        <v>1.029247791405781E-3</v>
      </c>
      <c r="M134" s="2">
        <f t="shared" si="55"/>
        <v>4.3785916459387571E-2</v>
      </c>
      <c r="N134" s="63">
        <v>9890</v>
      </c>
      <c r="O134" s="63">
        <v>12383</v>
      </c>
      <c r="P134" s="63">
        <v>24</v>
      </c>
      <c r="Q134" s="63">
        <v>743</v>
      </c>
      <c r="R134" s="63">
        <v>275</v>
      </c>
      <c r="S134" s="63">
        <v>2</v>
      </c>
      <c r="T134" s="63">
        <v>0</v>
      </c>
      <c r="U134" s="63"/>
      <c r="V134" s="63">
        <v>0</v>
      </c>
      <c r="W134" s="63">
        <f t="shared" si="56"/>
        <v>0</v>
      </c>
      <c r="Y134" s="63">
        <v>0</v>
      </c>
      <c r="Z134" s="63"/>
      <c r="AA134" s="63"/>
      <c r="AB134" s="63"/>
      <c r="AE134" s="8">
        <v>1</v>
      </c>
      <c r="AM134">
        <v>0</v>
      </c>
      <c r="AQ134">
        <v>0</v>
      </c>
      <c r="AT134" t="str">
        <f t="shared" si="57"/>
        <v>Southington</v>
      </c>
      <c r="AU134" t="s">
        <v>1737</v>
      </c>
      <c r="AV134" s="8">
        <v>1</v>
      </c>
      <c r="AX134" s="114">
        <v>9</v>
      </c>
      <c r="AY134" s="116">
        <v>3</v>
      </c>
      <c r="AZ134" s="116">
        <v>115</v>
      </c>
      <c r="BA134" s="120">
        <v>70550</v>
      </c>
      <c r="BB134" s="120">
        <f t="shared" si="58"/>
        <v>9003</v>
      </c>
      <c r="BC134" t="s">
        <v>1472</v>
      </c>
      <c r="BD134" s="124">
        <f t="shared" si="59"/>
        <v>970550</v>
      </c>
      <c r="BI134">
        <v>36.619999999999997</v>
      </c>
      <c r="BJ134">
        <v>0.63</v>
      </c>
      <c r="BK134">
        <v>35.99</v>
      </c>
      <c r="BL134" s="2"/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hidden="1" outlineLevel="1">
      <c r="A135" t="s">
        <v>2736</v>
      </c>
      <c r="B135" s="8" t="s">
        <v>1485</v>
      </c>
      <c r="C135" s="1">
        <f t="shared" si="48"/>
        <v>1509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 t="shared" si="49"/>
        <v>5</v>
      </c>
      <c r="G135" s="1">
        <f t="shared" si="50"/>
        <v>329</v>
      </c>
      <c r="H135" s="2">
        <f t="shared" si="51"/>
        <v>0.21802518223989398</v>
      </c>
      <c r="I135" s="6"/>
      <c r="J135" s="2">
        <f t="shared" si="52"/>
        <v>0.35453943008614974</v>
      </c>
      <c r="K135" s="2">
        <f t="shared" si="53"/>
        <v>0.57256461232604372</v>
      </c>
      <c r="L135" s="2">
        <f t="shared" si="54"/>
        <v>1.3253810470510272E-3</v>
      </c>
      <c r="M135" s="2">
        <f t="shared" si="55"/>
        <v>7.1570576540755507E-2</v>
      </c>
      <c r="N135" s="63">
        <v>535</v>
      </c>
      <c r="O135" s="63">
        <v>864</v>
      </c>
      <c r="P135" s="63">
        <v>2</v>
      </c>
      <c r="Q135" s="63">
        <v>78</v>
      </c>
      <c r="R135" s="63">
        <v>30</v>
      </c>
      <c r="S135" s="63">
        <v>0</v>
      </c>
      <c r="T135" s="63">
        <v>0</v>
      </c>
      <c r="U135" s="63"/>
      <c r="V135" s="63">
        <v>0</v>
      </c>
      <c r="W135" s="63">
        <f t="shared" si="56"/>
        <v>0</v>
      </c>
      <c r="Y135" s="63">
        <v>0</v>
      </c>
      <c r="Z135" s="63"/>
      <c r="AA135" s="63"/>
      <c r="AB135" s="63"/>
      <c r="AE135" s="8">
        <v>0</v>
      </c>
      <c r="AM135">
        <v>0</v>
      </c>
      <c r="AQ135">
        <v>0</v>
      </c>
      <c r="AT135" t="str">
        <f t="shared" si="57"/>
        <v>Sprague</v>
      </c>
      <c r="AU135" t="s">
        <v>130</v>
      </c>
      <c r="AV135" s="8">
        <v>2</v>
      </c>
      <c r="AX135" s="114">
        <v>9</v>
      </c>
      <c r="AY135" s="116">
        <v>11</v>
      </c>
      <c r="AZ135" s="116">
        <v>90</v>
      </c>
      <c r="BA135" s="120">
        <v>71670</v>
      </c>
      <c r="BB135" s="120">
        <f t="shared" si="58"/>
        <v>9011</v>
      </c>
      <c r="BC135" t="s">
        <v>1472</v>
      </c>
      <c r="BD135" s="124">
        <f t="shared" si="59"/>
        <v>971670</v>
      </c>
      <c r="BI135">
        <v>13.83</v>
      </c>
      <c r="BJ135">
        <v>0.61</v>
      </c>
      <c r="BK135">
        <v>13.21</v>
      </c>
      <c r="BL135" s="2"/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hidden="1" outlineLevel="1">
      <c r="A136" t="s">
        <v>2683</v>
      </c>
      <c r="B136" s="8" t="s">
        <v>1485</v>
      </c>
      <c r="C136" s="1">
        <f t="shared" si="48"/>
        <v>6034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 t="shared" si="49"/>
        <v>5</v>
      </c>
      <c r="G136" s="1">
        <f t="shared" si="50"/>
        <v>1058</v>
      </c>
      <c r="H136" s="2">
        <f t="shared" si="51"/>
        <v>0.17533974146503148</v>
      </c>
      <c r="I136" s="6"/>
      <c r="J136" s="2">
        <f t="shared" si="52"/>
        <v>0.37885316539608882</v>
      </c>
      <c r="K136" s="2">
        <f t="shared" si="53"/>
        <v>0.55419290686112033</v>
      </c>
      <c r="L136" s="2">
        <f t="shared" si="54"/>
        <v>3.3145508783559825E-4</v>
      </c>
      <c r="M136" s="2">
        <f t="shared" si="55"/>
        <v>6.6622472654955259E-2</v>
      </c>
      <c r="N136" s="63">
        <v>2286</v>
      </c>
      <c r="O136" s="63">
        <v>3344</v>
      </c>
      <c r="P136" s="63">
        <v>2</v>
      </c>
      <c r="Q136" s="63">
        <v>296</v>
      </c>
      <c r="R136" s="63">
        <v>106</v>
      </c>
      <c r="S136" s="63">
        <v>0</v>
      </c>
      <c r="T136" s="63">
        <v>0</v>
      </c>
      <c r="U136" s="63"/>
      <c r="V136" s="63">
        <v>0</v>
      </c>
      <c r="W136" s="63">
        <f t="shared" si="56"/>
        <v>0</v>
      </c>
      <c r="Y136" s="63">
        <v>0</v>
      </c>
      <c r="Z136" s="63"/>
      <c r="AA136" s="63"/>
      <c r="AB136" s="63"/>
      <c r="AE136" s="8">
        <v>0</v>
      </c>
      <c r="AM136">
        <v>0</v>
      </c>
      <c r="AQ136">
        <v>0</v>
      </c>
      <c r="AT136" t="str">
        <f t="shared" si="57"/>
        <v>Stafford</v>
      </c>
      <c r="AU136" t="s">
        <v>67</v>
      </c>
      <c r="AV136" s="8">
        <v>2</v>
      </c>
      <c r="AX136" s="114">
        <v>9</v>
      </c>
      <c r="AY136" s="116">
        <v>13</v>
      </c>
      <c r="AZ136" s="116">
        <v>45</v>
      </c>
      <c r="BA136" s="120">
        <v>72090</v>
      </c>
      <c r="BB136" s="120">
        <f t="shared" si="58"/>
        <v>9013</v>
      </c>
      <c r="BC136" t="s">
        <v>1472</v>
      </c>
      <c r="BD136" s="124">
        <f t="shared" si="59"/>
        <v>972090</v>
      </c>
      <c r="BI136">
        <v>58.77</v>
      </c>
      <c r="BJ136">
        <v>0.81</v>
      </c>
      <c r="BK136">
        <v>57.96</v>
      </c>
      <c r="BL136" s="2"/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hidden="1" outlineLevel="1">
      <c r="A137" t="s">
        <v>57</v>
      </c>
      <c r="B137" s="8" t="s">
        <v>1485</v>
      </c>
      <c r="C137" s="1">
        <f t="shared" si="48"/>
        <v>52258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49"/>
        <v>5</v>
      </c>
      <c r="G137" s="1">
        <f t="shared" si="50"/>
        <v>17926</v>
      </c>
      <c r="H137" s="2">
        <f t="shared" si="51"/>
        <v>0.343028818554097</v>
      </c>
      <c r="I137" s="6"/>
      <c r="J137" s="2">
        <f t="shared" si="52"/>
        <v>0.65345018944467836</v>
      </c>
      <c r="K137" s="2">
        <f t="shared" si="53"/>
        <v>0.31042137089058136</v>
      </c>
      <c r="L137" s="2">
        <f t="shared" si="54"/>
        <v>1.2629645221784223E-3</v>
      </c>
      <c r="M137" s="2">
        <f t="shared" si="55"/>
        <v>3.4865475142561851E-2</v>
      </c>
      <c r="N137" s="63">
        <v>34148</v>
      </c>
      <c r="O137" s="63">
        <v>16222</v>
      </c>
      <c r="P137" s="63">
        <v>66</v>
      </c>
      <c r="Q137" s="63">
        <v>1184</v>
      </c>
      <c r="R137" s="63">
        <v>627</v>
      </c>
      <c r="S137" s="63">
        <v>2</v>
      </c>
      <c r="T137" s="63">
        <v>1</v>
      </c>
      <c r="U137" s="63"/>
      <c r="V137" s="63">
        <v>2</v>
      </c>
      <c r="W137" s="63">
        <f t="shared" si="56"/>
        <v>5</v>
      </c>
      <c r="Y137" s="63">
        <v>1</v>
      </c>
      <c r="Z137" s="63"/>
      <c r="AA137" s="63"/>
      <c r="AB137" s="63"/>
      <c r="AE137" s="8">
        <v>0</v>
      </c>
      <c r="AM137">
        <v>0</v>
      </c>
      <c r="AQ137">
        <v>0</v>
      </c>
      <c r="AT137" t="str">
        <f t="shared" si="57"/>
        <v>Stamford</v>
      </c>
      <c r="AU137" t="s">
        <v>280</v>
      </c>
      <c r="AV137" s="8">
        <v>4</v>
      </c>
      <c r="AX137" s="114">
        <v>9</v>
      </c>
      <c r="AY137" s="116">
        <v>1</v>
      </c>
      <c r="AZ137" s="116">
        <v>90</v>
      </c>
      <c r="BA137" s="120">
        <v>73070</v>
      </c>
      <c r="BB137" s="120">
        <f t="shared" si="58"/>
        <v>9001</v>
      </c>
      <c r="BC137" t="s">
        <v>1472</v>
      </c>
      <c r="BD137" s="124">
        <f t="shared" si="59"/>
        <v>973070</v>
      </c>
      <c r="BI137">
        <v>52.07</v>
      </c>
      <c r="BJ137">
        <v>14.33</v>
      </c>
      <c r="BK137">
        <v>37.75</v>
      </c>
      <c r="BL137" s="2"/>
      <c r="BS137">
        <v>2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</row>
    <row r="138" spans="1:82" hidden="1" outlineLevel="1">
      <c r="A138" t="s">
        <v>2625</v>
      </c>
      <c r="B138" s="8" t="s">
        <v>1485</v>
      </c>
      <c r="C138" s="1">
        <f t="shared" si="48"/>
        <v>1684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49"/>
        <v>0</v>
      </c>
      <c r="G138" s="1">
        <f t="shared" si="50"/>
        <v>624</v>
      </c>
      <c r="H138" s="2">
        <f t="shared" si="51"/>
        <v>0.37054631828978624</v>
      </c>
      <c r="I138" s="6"/>
      <c r="J138" s="2">
        <f t="shared" si="52"/>
        <v>0.2838479809976247</v>
      </c>
      <c r="K138" s="2">
        <f t="shared" si="53"/>
        <v>0.65439429928741089</v>
      </c>
      <c r="L138" s="2">
        <f t="shared" si="54"/>
        <v>0</v>
      </c>
      <c r="M138" s="2">
        <f t="shared" si="55"/>
        <v>6.1757719714964465E-2</v>
      </c>
      <c r="N138" s="63">
        <v>478</v>
      </c>
      <c r="O138" s="63">
        <v>1102</v>
      </c>
      <c r="P138" s="63">
        <v>0</v>
      </c>
      <c r="Q138" s="63">
        <v>67</v>
      </c>
      <c r="R138" s="63">
        <v>37</v>
      </c>
      <c r="S138" s="63">
        <v>0</v>
      </c>
      <c r="T138" s="63">
        <v>0</v>
      </c>
      <c r="U138" s="63"/>
      <c r="V138" s="63">
        <v>0</v>
      </c>
      <c r="W138" s="63">
        <f t="shared" si="56"/>
        <v>0</v>
      </c>
      <c r="Y138" s="63">
        <v>0</v>
      </c>
      <c r="Z138" s="63"/>
      <c r="AA138" s="63"/>
      <c r="AB138" s="63"/>
      <c r="AE138" s="8">
        <v>0</v>
      </c>
      <c r="AM138">
        <v>0</v>
      </c>
      <c r="AQ138">
        <v>0</v>
      </c>
      <c r="AT138" t="str">
        <f t="shared" si="57"/>
        <v>Sterling</v>
      </c>
      <c r="AU138" t="s">
        <v>2129</v>
      </c>
      <c r="AV138" s="8">
        <v>2</v>
      </c>
      <c r="AX138" s="114">
        <v>9</v>
      </c>
      <c r="AY138" s="116">
        <v>15</v>
      </c>
      <c r="AZ138" s="116">
        <v>60</v>
      </c>
      <c r="BA138" s="120">
        <v>73420</v>
      </c>
      <c r="BB138" s="120">
        <f t="shared" si="58"/>
        <v>9015</v>
      </c>
      <c r="BC138" t="s">
        <v>1472</v>
      </c>
      <c r="BD138" s="124">
        <f t="shared" si="59"/>
        <v>973420</v>
      </c>
      <c r="BI138">
        <v>27.31</v>
      </c>
      <c r="BJ138">
        <v>0.08</v>
      </c>
      <c r="BK138">
        <v>27.23</v>
      </c>
      <c r="BL138" s="2"/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hidden="1" outlineLevel="1">
      <c r="A139" t="s">
        <v>1070</v>
      </c>
      <c r="B139" s="8" t="s">
        <v>1485</v>
      </c>
      <c r="C139" s="1">
        <f t="shared" si="48"/>
        <v>10173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49"/>
        <v>5</v>
      </c>
      <c r="G139" s="1">
        <f t="shared" si="50"/>
        <v>1554</v>
      </c>
      <c r="H139" s="2">
        <f t="shared" si="51"/>
        <v>0.15275729873193747</v>
      </c>
      <c r="I139" s="6"/>
      <c r="J139" s="2">
        <f t="shared" si="52"/>
        <v>0.55391723188833186</v>
      </c>
      <c r="K139" s="2">
        <f t="shared" si="53"/>
        <v>0.40115993315639437</v>
      </c>
      <c r="L139" s="2">
        <f t="shared" si="54"/>
        <v>7.8639536026737437E-4</v>
      </c>
      <c r="M139" s="2">
        <f t="shared" si="55"/>
        <v>4.4136439595006398E-2</v>
      </c>
      <c r="N139" s="63">
        <v>5635</v>
      </c>
      <c r="O139" s="63">
        <v>4081</v>
      </c>
      <c r="P139" s="63">
        <v>8</v>
      </c>
      <c r="Q139" s="63">
        <v>302</v>
      </c>
      <c r="R139" s="63">
        <v>144</v>
      </c>
      <c r="S139" s="63">
        <v>1</v>
      </c>
      <c r="T139" s="63">
        <v>1</v>
      </c>
      <c r="U139" s="63"/>
      <c r="V139" s="63">
        <v>1</v>
      </c>
      <c r="W139" s="63">
        <f t="shared" si="56"/>
        <v>0</v>
      </c>
      <c r="Y139" s="63">
        <v>0</v>
      </c>
      <c r="Z139" s="63"/>
      <c r="AA139" s="63"/>
      <c r="AB139" s="63"/>
      <c r="AE139" s="8">
        <v>0</v>
      </c>
      <c r="AM139">
        <v>0</v>
      </c>
      <c r="AQ139">
        <v>0</v>
      </c>
      <c r="AT139" t="str">
        <f t="shared" si="57"/>
        <v>Stonington</v>
      </c>
      <c r="AU139" t="s">
        <v>130</v>
      </c>
      <c r="AV139" s="8">
        <v>2</v>
      </c>
      <c r="AX139" s="114">
        <v>9</v>
      </c>
      <c r="AY139" s="116">
        <v>11</v>
      </c>
      <c r="AZ139" s="116">
        <v>95</v>
      </c>
      <c r="BA139" s="120">
        <v>73770</v>
      </c>
      <c r="BB139" s="120">
        <f t="shared" si="58"/>
        <v>9011</v>
      </c>
      <c r="BC139" t="s">
        <v>1472</v>
      </c>
      <c r="BD139" s="124">
        <f t="shared" si="59"/>
        <v>973770</v>
      </c>
      <c r="BI139">
        <v>50.04</v>
      </c>
      <c r="BJ139">
        <v>11.35</v>
      </c>
      <c r="BK139">
        <v>38.69</v>
      </c>
      <c r="BL139" s="2"/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hidden="1" outlineLevel="1">
      <c r="A140" t="s">
        <v>2837</v>
      </c>
      <c r="B140" s="8" t="s">
        <v>1485</v>
      </c>
      <c r="C140" s="1">
        <f t="shared" si="48"/>
        <v>25251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49"/>
        <v>6</v>
      </c>
      <c r="G140" s="1">
        <f t="shared" si="50"/>
        <v>3195</v>
      </c>
      <c r="H140" s="2">
        <f t="shared" si="51"/>
        <v>0.12652964239040038</v>
      </c>
      <c r="I140" s="6"/>
      <c r="J140" s="2">
        <f t="shared" si="52"/>
        <v>0.54370123955486915</v>
      </c>
      <c r="K140" s="2">
        <f t="shared" si="53"/>
        <v>0.41717159716446872</v>
      </c>
      <c r="L140" s="2">
        <f t="shared" si="54"/>
        <v>8.7125262365846893E-4</v>
      </c>
      <c r="M140" s="2">
        <f t="shared" si="55"/>
        <v>3.8255910657003657E-2</v>
      </c>
      <c r="N140" s="63">
        <v>13729</v>
      </c>
      <c r="O140" s="63">
        <v>10534</v>
      </c>
      <c r="P140" s="63">
        <v>22</v>
      </c>
      <c r="Q140" s="63">
        <v>570</v>
      </c>
      <c r="R140" s="63">
        <v>368</v>
      </c>
      <c r="S140" s="63">
        <v>1</v>
      </c>
      <c r="T140" s="63">
        <v>0</v>
      </c>
      <c r="U140" s="63"/>
      <c r="V140" s="63">
        <v>0</v>
      </c>
      <c r="W140" s="63">
        <f t="shared" si="56"/>
        <v>27</v>
      </c>
      <c r="Y140" s="63">
        <v>0</v>
      </c>
      <c r="Z140" s="63"/>
      <c r="AA140" s="63"/>
      <c r="AB140" s="63"/>
      <c r="AE140" s="8">
        <v>0</v>
      </c>
      <c r="AM140">
        <v>0</v>
      </c>
      <c r="AQ140">
        <v>0</v>
      </c>
      <c r="AT140" t="str">
        <f t="shared" si="57"/>
        <v>Stratford</v>
      </c>
      <c r="AU140" t="s">
        <v>280</v>
      </c>
      <c r="AV140" s="8">
        <v>3</v>
      </c>
      <c r="AX140" s="114">
        <v>9</v>
      </c>
      <c r="AY140" s="116">
        <v>1</v>
      </c>
      <c r="AZ140" s="116">
        <v>95</v>
      </c>
      <c r="BA140" s="120">
        <v>74190</v>
      </c>
      <c r="BB140" s="120">
        <f t="shared" si="58"/>
        <v>9001</v>
      </c>
      <c r="BC140" t="s">
        <v>1472</v>
      </c>
      <c r="BD140" s="124">
        <f t="shared" si="59"/>
        <v>974190</v>
      </c>
      <c r="BI140">
        <v>19.88</v>
      </c>
      <c r="BJ140">
        <v>2.29</v>
      </c>
      <c r="BK140">
        <v>17.59</v>
      </c>
      <c r="BL140" s="2"/>
      <c r="BS140">
        <v>25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hidden="1" outlineLevel="1">
      <c r="A141" t="s">
        <v>2580</v>
      </c>
      <c r="B141" s="8" t="s">
        <v>1485</v>
      </c>
      <c r="C141" s="1">
        <f t="shared" si="48"/>
        <v>7558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 t="shared" si="49"/>
        <v>5</v>
      </c>
      <c r="G141" s="1">
        <f t="shared" si="50"/>
        <v>455</v>
      </c>
      <c r="H141" s="2">
        <f t="shared" si="51"/>
        <v>6.0201111405133637E-2</v>
      </c>
      <c r="I141" s="6"/>
      <c r="J141" s="2">
        <f t="shared" si="52"/>
        <v>0.44112198994442975</v>
      </c>
      <c r="K141" s="2">
        <f t="shared" si="53"/>
        <v>0.50132310134956337</v>
      </c>
      <c r="L141" s="2">
        <f t="shared" si="54"/>
        <v>2.2492722942577402E-3</v>
      </c>
      <c r="M141" s="2">
        <f t="shared" si="55"/>
        <v>5.530563641174914E-2</v>
      </c>
      <c r="N141" s="63">
        <v>3334</v>
      </c>
      <c r="O141" s="63">
        <v>3789</v>
      </c>
      <c r="P141" s="63">
        <v>17</v>
      </c>
      <c r="Q141" s="63">
        <v>307</v>
      </c>
      <c r="R141" s="63">
        <v>111</v>
      </c>
      <c r="S141" s="63">
        <v>0</v>
      </c>
      <c r="T141" s="63">
        <v>0</v>
      </c>
      <c r="U141" s="63"/>
      <c r="V141" s="63">
        <v>0</v>
      </c>
      <c r="W141" s="63">
        <f t="shared" si="56"/>
        <v>0</v>
      </c>
      <c r="Y141" s="63">
        <v>0</v>
      </c>
      <c r="Z141" s="63"/>
      <c r="AA141" s="63"/>
      <c r="AB141" s="63"/>
      <c r="AE141" s="8">
        <v>0</v>
      </c>
      <c r="AM141">
        <v>0</v>
      </c>
      <c r="AQ141">
        <v>0</v>
      </c>
      <c r="AT141" t="str">
        <f t="shared" si="57"/>
        <v>Suffield</v>
      </c>
      <c r="AU141" t="s">
        <v>1737</v>
      </c>
      <c r="AV141" s="8">
        <v>2</v>
      </c>
      <c r="AX141" s="114">
        <v>9</v>
      </c>
      <c r="AY141" s="116">
        <v>3</v>
      </c>
      <c r="AZ141" s="116">
        <v>125</v>
      </c>
      <c r="BA141" s="120">
        <v>74540</v>
      </c>
      <c r="BB141" s="120">
        <f t="shared" si="58"/>
        <v>9003</v>
      </c>
      <c r="BC141" t="s">
        <v>1472</v>
      </c>
      <c r="BD141" s="124">
        <f t="shared" si="59"/>
        <v>974540</v>
      </c>
      <c r="BI141">
        <v>42.94</v>
      </c>
      <c r="BJ141">
        <v>0.72</v>
      </c>
      <c r="BK141">
        <v>42.21</v>
      </c>
      <c r="BL141" s="2"/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hidden="1" outlineLevel="1">
      <c r="A142" t="s">
        <v>2522</v>
      </c>
      <c r="B142" s="8" t="s">
        <v>1485</v>
      </c>
      <c r="C142" s="1">
        <f t="shared" si="48"/>
        <v>3971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49"/>
        <v>0</v>
      </c>
      <c r="G142" s="1">
        <f t="shared" si="50"/>
        <v>1464</v>
      </c>
      <c r="H142" s="2">
        <f t="shared" si="51"/>
        <v>0.36867287836816925</v>
      </c>
      <c r="I142" s="6"/>
      <c r="J142" s="2">
        <f t="shared" si="52"/>
        <v>0.29010324855200204</v>
      </c>
      <c r="K142" s="2">
        <f t="shared" si="53"/>
        <v>0.65877612692017129</v>
      </c>
      <c r="L142" s="2">
        <f t="shared" si="54"/>
        <v>0</v>
      </c>
      <c r="M142" s="2">
        <f t="shared" si="55"/>
        <v>5.1120624527826619E-2</v>
      </c>
      <c r="N142" s="63">
        <v>1152</v>
      </c>
      <c r="O142" s="63">
        <v>2616</v>
      </c>
      <c r="P142" s="63">
        <v>0</v>
      </c>
      <c r="Q142" s="63">
        <v>152</v>
      </c>
      <c r="R142" s="63">
        <v>50</v>
      </c>
      <c r="S142" s="63">
        <v>0</v>
      </c>
      <c r="T142" s="63">
        <v>0</v>
      </c>
      <c r="U142" s="63"/>
      <c r="V142" s="63">
        <v>0</v>
      </c>
      <c r="W142" s="63">
        <f t="shared" si="56"/>
        <v>1</v>
      </c>
      <c r="Y142" s="63">
        <v>0</v>
      </c>
      <c r="Z142" s="63"/>
      <c r="AA142" s="63"/>
      <c r="AB142" s="63"/>
      <c r="AE142" s="8">
        <v>0</v>
      </c>
      <c r="AM142">
        <v>0</v>
      </c>
      <c r="AQ142">
        <v>0</v>
      </c>
      <c r="AT142" t="str">
        <f t="shared" si="57"/>
        <v>Thomaston</v>
      </c>
      <c r="AU142" t="s">
        <v>1276</v>
      </c>
      <c r="AV142" s="8">
        <v>5</v>
      </c>
      <c r="AX142" s="114">
        <v>9</v>
      </c>
      <c r="AY142" s="116">
        <v>5</v>
      </c>
      <c r="AZ142" s="116">
        <v>100</v>
      </c>
      <c r="BA142" s="120">
        <v>75730</v>
      </c>
      <c r="BB142" s="120">
        <f t="shared" si="58"/>
        <v>9005</v>
      </c>
      <c r="BC142" t="s">
        <v>1472</v>
      </c>
      <c r="BD142" s="124">
        <f t="shared" si="59"/>
        <v>975730</v>
      </c>
      <c r="BI142">
        <v>12.23</v>
      </c>
      <c r="BJ142">
        <v>0.22</v>
      </c>
      <c r="BK142">
        <v>12.01</v>
      </c>
      <c r="BL142" s="2"/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hidden="1" outlineLevel="1">
      <c r="A143" t="s">
        <v>2723</v>
      </c>
      <c r="B143" s="8" t="s">
        <v>1485</v>
      </c>
      <c r="C143" s="1">
        <f t="shared" si="48"/>
        <v>4508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49"/>
        <v>5</v>
      </c>
      <c r="G143" s="1">
        <f t="shared" si="50"/>
        <v>1067</v>
      </c>
      <c r="H143" s="2">
        <f t="shared" si="51"/>
        <v>0.23669032830523515</v>
      </c>
      <c r="I143" s="6"/>
      <c r="J143" s="2">
        <f t="shared" si="52"/>
        <v>0.35026619343389531</v>
      </c>
      <c r="K143" s="2">
        <f t="shared" si="53"/>
        <v>0.58695652173913049</v>
      </c>
      <c r="L143" s="2">
        <f t="shared" si="54"/>
        <v>2.2182786157941438E-4</v>
      </c>
      <c r="M143" s="2">
        <f t="shared" si="55"/>
        <v>6.2555456965394787E-2</v>
      </c>
      <c r="N143" s="63">
        <v>1579</v>
      </c>
      <c r="O143" s="63">
        <v>2646</v>
      </c>
      <c r="P143" s="63">
        <v>1</v>
      </c>
      <c r="Q143" s="63">
        <v>216</v>
      </c>
      <c r="R143" s="63">
        <v>66</v>
      </c>
      <c r="S143" s="63">
        <v>0</v>
      </c>
      <c r="T143" s="63">
        <v>0</v>
      </c>
      <c r="U143" s="63"/>
      <c r="V143" s="63">
        <v>0</v>
      </c>
      <c r="W143" s="63">
        <f t="shared" si="56"/>
        <v>0</v>
      </c>
      <c r="Y143" s="63">
        <v>0</v>
      </c>
      <c r="Z143" s="63"/>
      <c r="AA143" s="63"/>
      <c r="AB143" s="63"/>
      <c r="AE143" s="8">
        <v>0</v>
      </c>
      <c r="AM143">
        <v>0</v>
      </c>
      <c r="AQ143">
        <v>0</v>
      </c>
      <c r="AT143" t="str">
        <f t="shared" si="57"/>
        <v>Thompson</v>
      </c>
      <c r="AU143" t="s">
        <v>2129</v>
      </c>
      <c r="AV143" s="8">
        <v>2</v>
      </c>
      <c r="AX143" s="114">
        <v>9</v>
      </c>
      <c r="AY143" s="116">
        <v>15</v>
      </c>
      <c r="AZ143" s="116">
        <v>65</v>
      </c>
      <c r="BA143" s="120">
        <v>75870</v>
      </c>
      <c r="BB143" s="120">
        <f t="shared" si="58"/>
        <v>9015</v>
      </c>
      <c r="BC143" t="s">
        <v>1472</v>
      </c>
      <c r="BD143" s="124">
        <f t="shared" si="59"/>
        <v>975870</v>
      </c>
      <c r="BI143">
        <v>48.65</v>
      </c>
      <c r="BJ143">
        <v>1.71</v>
      </c>
      <c r="BK143">
        <v>46.94</v>
      </c>
      <c r="BL143" s="2"/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hidden="1" outlineLevel="1">
      <c r="A144" t="s">
        <v>67</v>
      </c>
      <c r="B144" s="8" t="s">
        <v>1485</v>
      </c>
      <c r="C144" s="1">
        <f t="shared" si="48"/>
        <v>8499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49"/>
        <v>5</v>
      </c>
      <c r="G144" s="1">
        <f t="shared" si="50"/>
        <v>112</v>
      </c>
      <c r="H144" s="2">
        <f t="shared" si="51"/>
        <v>1.3178020943640428E-2</v>
      </c>
      <c r="I144" s="6"/>
      <c r="J144" s="2">
        <f t="shared" si="52"/>
        <v>0.47299682315566538</v>
      </c>
      <c r="K144" s="2">
        <f t="shared" si="53"/>
        <v>0.45981880221202492</v>
      </c>
      <c r="L144" s="2">
        <f t="shared" si="54"/>
        <v>2.5885398282150841E-3</v>
      </c>
      <c r="M144" s="2">
        <f t="shared" si="55"/>
        <v>6.4595834804094615E-2</v>
      </c>
      <c r="N144" s="63">
        <v>4020</v>
      </c>
      <c r="O144" s="63">
        <v>3908</v>
      </c>
      <c r="P144" s="63">
        <v>22</v>
      </c>
      <c r="Q144" s="63">
        <v>399</v>
      </c>
      <c r="R144" s="63">
        <v>146</v>
      </c>
      <c r="S144" s="63">
        <v>2</v>
      </c>
      <c r="T144" s="63">
        <v>0</v>
      </c>
      <c r="U144" s="63"/>
      <c r="V144" s="63">
        <v>0</v>
      </c>
      <c r="W144" s="63">
        <f t="shared" si="56"/>
        <v>1</v>
      </c>
      <c r="Y144" s="63">
        <v>0</v>
      </c>
      <c r="Z144" s="63"/>
      <c r="AA144" s="63"/>
      <c r="AB144" s="63"/>
      <c r="AE144" s="8">
        <v>0</v>
      </c>
      <c r="AM144">
        <v>0</v>
      </c>
      <c r="AQ144">
        <v>1</v>
      </c>
      <c r="AT144" t="str">
        <f t="shared" si="57"/>
        <v>Tolland</v>
      </c>
      <c r="AU144" t="s">
        <v>67</v>
      </c>
      <c r="AV144" s="8">
        <v>2</v>
      </c>
      <c r="AX144" s="114">
        <v>9</v>
      </c>
      <c r="AY144" s="116">
        <v>13</v>
      </c>
      <c r="AZ144" s="116">
        <v>50</v>
      </c>
      <c r="BA144" s="120">
        <v>76290</v>
      </c>
      <c r="BB144" s="120">
        <f t="shared" si="58"/>
        <v>9013</v>
      </c>
      <c r="BC144" t="s">
        <v>1472</v>
      </c>
      <c r="BD144" s="124">
        <f t="shared" si="59"/>
        <v>976290</v>
      </c>
      <c r="BI144">
        <v>40.299999999999997</v>
      </c>
      <c r="BJ144">
        <v>0.59</v>
      </c>
      <c r="BK144">
        <v>39.71</v>
      </c>
      <c r="BL144" s="2"/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hidden="1" outlineLevel="1">
      <c r="A145" t="s">
        <v>1978</v>
      </c>
      <c r="B145" s="8" t="s">
        <v>1485</v>
      </c>
      <c r="C145" s="1">
        <f t="shared" si="48"/>
        <v>15131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49"/>
        <v>5</v>
      </c>
      <c r="G145" s="1">
        <f t="shared" si="50"/>
        <v>2960</v>
      </c>
      <c r="H145" s="2">
        <f t="shared" si="51"/>
        <v>0.19562487608221532</v>
      </c>
      <c r="I145" s="6"/>
      <c r="J145" s="2">
        <f t="shared" si="52"/>
        <v>0.37756922873570814</v>
      </c>
      <c r="K145" s="2">
        <f t="shared" si="53"/>
        <v>0.57319410481792343</v>
      </c>
      <c r="L145" s="2">
        <f t="shared" si="54"/>
        <v>9.9134227744365863E-4</v>
      </c>
      <c r="M145" s="2">
        <f t="shared" si="55"/>
        <v>4.8245324168924714E-2</v>
      </c>
      <c r="N145" s="63">
        <v>5713</v>
      </c>
      <c r="O145" s="63">
        <v>8673</v>
      </c>
      <c r="P145" s="63">
        <v>15</v>
      </c>
      <c r="Q145" s="63">
        <v>515</v>
      </c>
      <c r="R145" s="63">
        <v>214</v>
      </c>
      <c r="S145" s="63">
        <v>0</v>
      </c>
      <c r="T145" s="63">
        <v>0</v>
      </c>
      <c r="U145" s="63"/>
      <c r="V145" s="63">
        <v>0</v>
      </c>
      <c r="W145" s="63">
        <f t="shared" si="56"/>
        <v>0</v>
      </c>
      <c r="Y145" s="63">
        <v>1</v>
      </c>
      <c r="Z145" s="63"/>
      <c r="AA145" s="63"/>
      <c r="AB145" s="63"/>
      <c r="AE145" s="8">
        <v>0</v>
      </c>
      <c r="AM145">
        <v>0</v>
      </c>
      <c r="AQ145">
        <v>0</v>
      </c>
      <c r="AT145" t="str">
        <f t="shared" si="57"/>
        <v>Torrington</v>
      </c>
      <c r="AU145" t="s">
        <v>1276</v>
      </c>
      <c r="AV145" s="8">
        <v>0</v>
      </c>
      <c r="AX145" s="114">
        <v>9</v>
      </c>
      <c r="AY145" s="116">
        <v>5</v>
      </c>
      <c r="AZ145" s="116">
        <v>105</v>
      </c>
      <c r="BA145" s="120">
        <v>76570</v>
      </c>
      <c r="BB145" s="120">
        <f t="shared" si="58"/>
        <v>9005</v>
      </c>
      <c r="BC145" t="s">
        <v>1472</v>
      </c>
      <c r="BD145" s="124">
        <f t="shared" si="59"/>
        <v>976570</v>
      </c>
      <c r="BI145">
        <v>40.369999999999997</v>
      </c>
      <c r="BJ145">
        <v>0.56999999999999995</v>
      </c>
      <c r="BK145">
        <v>39.79</v>
      </c>
      <c r="BL145" s="2"/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hidden="1" outlineLevel="1">
      <c r="A146" t="s">
        <v>155</v>
      </c>
      <c r="B146" s="8" t="s">
        <v>1485</v>
      </c>
      <c r="C146" s="1">
        <f t="shared" si="48"/>
        <v>19846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 t="shared" si="49"/>
        <v>5</v>
      </c>
      <c r="G146" s="1">
        <f t="shared" si="50"/>
        <v>454</v>
      </c>
      <c r="H146" s="2">
        <f t="shared" si="51"/>
        <v>2.287614632671571E-2</v>
      </c>
      <c r="I146" s="6"/>
      <c r="J146" s="2">
        <f t="shared" si="52"/>
        <v>0.46855789579764184</v>
      </c>
      <c r="K146" s="2">
        <f t="shared" si="53"/>
        <v>0.49143404212435754</v>
      </c>
      <c r="L146" s="2">
        <f t="shared" si="54"/>
        <v>3.5271591252645368E-3</v>
      </c>
      <c r="M146" s="2">
        <f t="shared" si="55"/>
        <v>3.648090295273608E-2</v>
      </c>
      <c r="N146" s="63">
        <v>9299</v>
      </c>
      <c r="O146" s="63">
        <v>9753</v>
      </c>
      <c r="P146" s="63">
        <v>70</v>
      </c>
      <c r="Q146" s="63">
        <v>495</v>
      </c>
      <c r="R146" s="63">
        <v>224</v>
      </c>
      <c r="S146" s="63">
        <v>3</v>
      </c>
      <c r="T146" s="63">
        <v>0</v>
      </c>
      <c r="U146" s="63"/>
      <c r="V146" s="63">
        <v>0</v>
      </c>
      <c r="W146" s="63">
        <f t="shared" si="56"/>
        <v>0</v>
      </c>
      <c r="Y146" s="63">
        <v>0</v>
      </c>
      <c r="Z146" s="63"/>
      <c r="AA146" s="63"/>
      <c r="AB146" s="63"/>
      <c r="AE146" s="8">
        <v>1</v>
      </c>
      <c r="AM146">
        <v>1</v>
      </c>
      <c r="AQ146">
        <v>0</v>
      </c>
      <c r="AT146" t="str">
        <f t="shared" si="57"/>
        <v>Trumbull</v>
      </c>
      <c r="AU146" t="s">
        <v>280</v>
      </c>
      <c r="AV146" s="8">
        <v>4</v>
      </c>
      <c r="AX146" s="114">
        <v>9</v>
      </c>
      <c r="AY146" s="116">
        <v>1</v>
      </c>
      <c r="AZ146" s="116">
        <v>100</v>
      </c>
      <c r="BA146" s="120">
        <v>77200</v>
      </c>
      <c r="BB146" s="120">
        <f t="shared" si="58"/>
        <v>9001</v>
      </c>
      <c r="BC146" t="s">
        <v>1472</v>
      </c>
      <c r="BD146" s="124">
        <f t="shared" si="59"/>
        <v>977200</v>
      </c>
      <c r="BI146">
        <v>23.52</v>
      </c>
      <c r="BJ146">
        <v>0.23</v>
      </c>
      <c r="BK146">
        <v>23.29</v>
      </c>
      <c r="BL146" s="2"/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hidden="1" outlineLevel="1">
      <c r="A147" t="s">
        <v>1513</v>
      </c>
      <c r="B147" s="8" t="s">
        <v>1485</v>
      </c>
      <c r="C147" s="1">
        <f t="shared" si="48"/>
        <v>496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 t="shared" si="49"/>
        <v>0</v>
      </c>
      <c r="G147" s="1">
        <f t="shared" si="50"/>
        <v>89</v>
      </c>
      <c r="H147" s="2">
        <f t="shared" si="51"/>
        <v>0.17943548387096775</v>
      </c>
      <c r="I147" s="6"/>
      <c r="J147" s="2">
        <f t="shared" si="52"/>
        <v>0.37903225806451613</v>
      </c>
      <c r="K147" s="2">
        <f t="shared" si="53"/>
        <v>0.55846774193548387</v>
      </c>
      <c r="L147" s="2">
        <f t="shared" si="54"/>
        <v>0</v>
      </c>
      <c r="M147" s="2">
        <f t="shared" si="55"/>
        <v>6.25E-2</v>
      </c>
      <c r="N147" s="63">
        <v>188</v>
      </c>
      <c r="O147" s="63">
        <v>277</v>
      </c>
      <c r="P147" s="63">
        <v>0</v>
      </c>
      <c r="Q147" s="63">
        <v>22</v>
      </c>
      <c r="R147" s="63">
        <v>9</v>
      </c>
      <c r="S147" s="63">
        <v>0</v>
      </c>
      <c r="T147" s="63">
        <v>0</v>
      </c>
      <c r="U147" s="63"/>
      <c r="V147" s="63">
        <v>0</v>
      </c>
      <c r="W147" s="63">
        <f t="shared" si="56"/>
        <v>0</v>
      </c>
      <c r="Y147" s="63">
        <v>0</v>
      </c>
      <c r="Z147" s="63"/>
      <c r="AA147" s="63"/>
      <c r="AB147" s="63"/>
      <c r="AE147" s="8">
        <v>0</v>
      </c>
      <c r="AM147">
        <v>0</v>
      </c>
      <c r="AQ147">
        <v>0</v>
      </c>
      <c r="AT147" t="str">
        <f t="shared" si="57"/>
        <v>Union</v>
      </c>
      <c r="AU147" t="s">
        <v>67</v>
      </c>
      <c r="AV147" s="8">
        <v>2</v>
      </c>
      <c r="AX147" s="114">
        <v>9</v>
      </c>
      <c r="AY147" s="116">
        <v>13</v>
      </c>
      <c r="AZ147" s="116">
        <v>55</v>
      </c>
      <c r="BA147" s="120">
        <v>77830</v>
      </c>
      <c r="BB147" s="120">
        <f t="shared" si="58"/>
        <v>9013</v>
      </c>
      <c r="BC147" t="s">
        <v>1472</v>
      </c>
      <c r="BD147" s="124">
        <f t="shared" si="59"/>
        <v>977830</v>
      </c>
      <c r="BI147">
        <v>29.83</v>
      </c>
      <c r="BJ147">
        <v>1.1200000000000001</v>
      </c>
      <c r="BK147">
        <v>28.71</v>
      </c>
      <c r="BL147" s="2"/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hidden="1" outlineLevel="1">
      <c r="A148" t="s">
        <v>1864</v>
      </c>
      <c r="B148" s="8" t="s">
        <v>1485</v>
      </c>
      <c r="C148" s="1">
        <f t="shared" si="48"/>
        <v>13559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49"/>
        <v>5</v>
      </c>
      <c r="G148" s="1">
        <f t="shared" si="50"/>
        <v>1418</v>
      </c>
      <c r="H148" s="2">
        <f t="shared" si="51"/>
        <v>0.10457998377461465</v>
      </c>
      <c r="I148" s="6"/>
      <c r="J148" s="2">
        <f t="shared" si="52"/>
        <v>0.52245740836344867</v>
      </c>
      <c r="K148" s="2">
        <f t="shared" si="53"/>
        <v>0.41787742458883398</v>
      </c>
      <c r="L148" s="2">
        <f t="shared" si="54"/>
        <v>9.5877277085330771E-4</v>
      </c>
      <c r="M148" s="2">
        <f t="shared" si="55"/>
        <v>5.8706394276864041E-2</v>
      </c>
      <c r="N148" s="63">
        <v>7084</v>
      </c>
      <c r="O148" s="63">
        <v>5666</v>
      </c>
      <c r="P148" s="63">
        <v>13</v>
      </c>
      <c r="Q148" s="63">
        <v>553</v>
      </c>
      <c r="R148" s="63">
        <v>237</v>
      </c>
      <c r="S148" s="63">
        <v>2</v>
      </c>
      <c r="T148" s="63">
        <v>1</v>
      </c>
      <c r="U148" s="63"/>
      <c r="V148" s="63">
        <v>0</v>
      </c>
      <c r="W148" s="63">
        <f t="shared" si="56"/>
        <v>3</v>
      </c>
      <c r="Y148" s="63">
        <v>0</v>
      </c>
      <c r="Z148" s="63"/>
      <c r="AA148" s="63"/>
      <c r="AB148" s="63"/>
      <c r="AE148" s="8">
        <v>0</v>
      </c>
      <c r="AM148">
        <v>0</v>
      </c>
      <c r="AQ148">
        <v>0</v>
      </c>
      <c r="AT148" t="str">
        <f t="shared" si="57"/>
        <v>Vernon</v>
      </c>
      <c r="AU148" t="s">
        <v>67</v>
      </c>
      <c r="AV148" s="8">
        <v>2</v>
      </c>
      <c r="AX148" s="114">
        <v>9</v>
      </c>
      <c r="AY148" s="116">
        <v>13</v>
      </c>
      <c r="AZ148" s="116">
        <v>60</v>
      </c>
      <c r="BA148" s="120">
        <v>78250</v>
      </c>
      <c r="BB148" s="120">
        <f t="shared" si="58"/>
        <v>9013</v>
      </c>
      <c r="BC148" t="s">
        <v>1472</v>
      </c>
      <c r="BD148" s="124">
        <f t="shared" si="59"/>
        <v>978250</v>
      </c>
      <c r="BI148">
        <v>18.07</v>
      </c>
      <c r="BJ148">
        <v>0.34</v>
      </c>
      <c r="BK148">
        <v>17.73</v>
      </c>
      <c r="BL148" s="2"/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2</v>
      </c>
      <c r="CB148">
        <v>0</v>
      </c>
      <c r="CC148">
        <v>0</v>
      </c>
      <c r="CD148">
        <v>0</v>
      </c>
    </row>
    <row r="149" spans="1:82" hidden="1" outlineLevel="1">
      <c r="A149" t="s">
        <v>910</v>
      </c>
      <c r="B149" s="8" t="s">
        <v>1485</v>
      </c>
      <c r="C149" s="1">
        <f t="shared" si="48"/>
        <v>1385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 t="shared" si="49"/>
        <v>0</v>
      </c>
      <c r="G149" s="1">
        <f t="shared" si="50"/>
        <v>431</v>
      </c>
      <c r="H149" s="2">
        <f t="shared" si="51"/>
        <v>0.31119133574007218</v>
      </c>
      <c r="I149" s="6"/>
      <c r="J149" s="2">
        <f t="shared" si="52"/>
        <v>0.31119133574007218</v>
      </c>
      <c r="K149" s="2">
        <f t="shared" si="53"/>
        <v>0.62238267148014437</v>
      </c>
      <c r="L149" s="2">
        <f t="shared" si="54"/>
        <v>0</v>
      </c>
      <c r="M149" s="2">
        <f t="shared" si="55"/>
        <v>6.6425992779783449E-2</v>
      </c>
      <c r="N149" s="63">
        <v>431</v>
      </c>
      <c r="O149" s="63">
        <v>862</v>
      </c>
      <c r="P149" s="63">
        <v>0</v>
      </c>
      <c r="Q149" s="63">
        <v>63</v>
      </c>
      <c r="R149" s="63">
        <v>29</v>
      </c>
      <c r="S149" s="63">
        <v>0</v>
      </c>
      <c r="T149" s="63">
        <v>0</v>
      </c>
      <c r="U149" s="63"/>
      <c r="V149" s="63">
        <v>0</v>
      </c>
      <c r="W149" s="63">
        <f t="shared" si="56"/>
        <v>0</v>
      </c>
      <c r="Y149" s="63">
        <v>0</v>
      </c>
      <c r="Z149" s="63"/>
      <c r="AA149" s="63"/>
      <c r="AB149" s="63"/>
      <c r="AE149" s="8">
        <v>0</v>
      </c>
      <c r="AM149">
        <v>0</v>
      </c>
      <c r="AQ149">
        <v>0</v>
      </c>
      <c r="AT149" t="str">
        <f t="shared" si="57"/>
        <v>Voluntown</v>
      </c>
      <c r="AU149" t="s">
        <v>130</v>
      </c>
      <c r="AV149" s="8">
        <v>2</v>
      </c>
      <c r="AX149" s="114">
        <v>9</v>
      </c>
      <c r="AY149" s="116">
        <v>11</v>
      </c>
      <c r="AZ149" s="116">
        <v>100</v>
      </c>
      <c r="BA149" s="120">
        <v>78600</v>
      </c>
      <c r="BB149" s="120">
        <f t="shared" si="58"/>
        <v>9011</v>
      </c>
      <c r="BC149" t="s">
        <v>1472</v>
      </c>
      <c r="BD149" s="124">
        <f t="shared" si="59"/>
        <v>978600</v>
      </c>
      <c r="BI149">
        <v>39.76</v>
      </c>
      <c r="BJ149">
        <v>0.85</v>
      </c>
      <c r="BK149">
        <v>38.92</v>
      </c>
      <c r="BL149" s="2"/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hidden="1" outlineLevel="1">
      <c r="A150" t="s">
        <v>1832</v>
      </c>
      <c r="B150" s="8" t="s">
        <v>1485</v>
      </c>
      <c r="C150" s="1">
        <f t="shared" si="48"/>
        <v>22636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 t="shared" si="49"/>
        <v>5</v>
      </c>
      <c r="G150" s="1">
        <f t="shared" si="50"/>
        <v>289</v>
      </c>
      <c r="H150" s="2">
        <f t="shared" si="51"/>
        <v>1.2767273369853331E-2</v>
      </c>
      <c r="I150" s="6"/>
      <c r="J150" s="2">
        <f t="shared" si="52"/>
        <v>0.47053366319137657</v>
      </c>
      <c r="K150" s="2">
        <f t="shared" si="53"/>
        <v>0.48330093656122991</v>
      </c>
      <c r="L150" s="2">
        <f t="shared" si="54"/>
        <v>1.0602579961123874E-3</v>
      </c>
      <c r="M150" s="2">
        <f t="shared" si="55"/>
        <v>4.5105142251281129E-2</v>
      </c>
      <c r="N150" s="63">
        <v>10651</v>
      </c>
      <c r="O150" s="63">
        <v>10940</v>
      </c>
      <c r="P150" s="63">
        <v>24</v>
      </c>
      <c r="Q150" s="63">
        <v>716</v>
      </c>
      <c r="R150" s="63">
        <v>301</v>
      </c>
      <c r="S150" s="63">
        <v>2</v>
      </c>
      <c r="T150" s="63">
        <v>0</v>
      </c>
      <c r="U150" s="63"/>
      <c r="V150" s="63">
        <v>1</v>
      </c>
      <c r="W150" s="63">
        <f t="shared" si="56"/>
        <v>0</v>
      </c>
      <c r="Y150" s="63">
        <v>1</v>
      </c>
      <c r="Z150" s="63"/>
      <c r="AA150" s="63"/>
      <c r="AB150" s="63"/>
      <c r="AE150" s="8">
        <v>0</v>
      </c>
      <c r="AM150">
        <v>0</v>
      </c>
      <c r="AQ150">
        <v>0</v>
      </c>
      <c r="AT150" t="str">
        <f t="shared" si="57"/>
        <v>Wallingford</v>
      </c>
      <c r="AU150" t="s">
        <v>2797</v>
      </c>
      <c r="AV150" s="8">
        <v>3</v>
      </c>
      <c r="AX150" s="114">
        <v>9</v>
      </c>
      <c r="AY150" s="116">
        <v>9</v>
      </c>
      <c r="AZ150" s="116">
        <v>115</v>
      </c>
      <c r="BA150" s="120">
        <v>78740</v>
      </c>
      <c r="BB150" s="120">
        <f t="shared" si="58"/>
        <v>9009</v>
      </c>
      <c r="BC150" t="s">
        <v>1472</v>
      </c>
      <c r="BD150" s="124">
        <f t="shared" si="59"/>
        <v>978740</v>
      </c>
      <c r="BI150">
        <v>39.880000000000003</v>
      </c>
      <c r="BJ150">
        <v>0.86</v>
      </c>
      <c r="BK150">
        <v>39.020000000000003</v>
      </c>
      <c r="BL150" s="2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hidden="1" outlineLevel="1">
      <c r="A151" t="s">
        <v>422</v>
      </c>
      <c r="B151" s="8" t="s">
        <v>1485</v>
      </c>
      <c r="C151" s="1">
        <f t="shared" si="48"/>
        <v>858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49"/>
        <v>5</v>
      </c>
      <c r="G151" s="1">
        <f t="shared" si="50"/>
        <v>99</v>
      </c>
      <c r="H151" s="2">
        <f t="shared" si="51"/>
        <v>0.11538461538461539</v>
      </c>
      <c r="I151" s="6"/>
      <c r="J151" s="2">
        <f t="shared" si="52"/>
        <v>0.41025641025641024</v>
      </c>
      <c r="K151" s="2">
        <f t="shared" si="53"/>
        <v>0.52564102564102566</v>
      </c>
      <c r="L151" s="2">
        <f t="shared" si="54"/>
        <v>4.662004662004662E-3</v>
      </c>
      <c r="M151" s="2">
        <f t="shared" si="55"/>
        <v>5.9440559440559433E-2</v>
      </c>
      <c r="N151" s="63">
        <v>352</v>
      </c>
      <c r="O151" s="63">
        <v>451</v>
      </c>
      <c r="P151" s="63">
        <v>4</v>
      </c>
      <c r="Q151" s="63">
        <v>35</v>
      </c>
      <c r="R151" s="63">
        <v>16</v>
      </c>
      <c r="S151" s="63">
        <v>0</v>
      </c>
      <c r="T151" s="63">
        <v>0</v>
      </c>
      <c r="U151" s="63"/>
      <c r="V151" s="63">
        <v>0</v>
      </c>
      <c r="W151" s="63">
        <f t="shared" si="56"/>
        <v>0</v>
      </c>
      <c r="Y151" s="63">
        <v>0</v>
      </c>
      <c r="Z151" s="63"/>
      <c r="AA151" s="63"/>
      <c r="AB151" s="63"/>
      <c r="AE151" s="8">
        <v>0</v>
      </c>
      <c r="AM151">
        <v>0</v>
      </c>
      <c r="AQ151">
        <v>0</v>
      </c>
      <c r="AT151" t="str">
        <f t="shared" si="57"/>
        <v>Warren</v>
      </c>
      <c r="AU151" t="s">
        <v>1276</v>
      </c>
      <c r="AV151" s="8">
        <v>5</v>
      </c>
      <c r="AX151" s="114">
        <v>9</v>
      </c>
      <c r="AY151" s="116">
        <v>5</v>
      </c>
      <c r="AZ151" s="116">
        <v>110</v>
      </c>
      <c r="BA151" s="120">
        <v>79510</v>
      </c>
      <c r="BB151" s="120">
        <f t="shared" si="58"/>
        <v>9005</v>
      </c>
      <c r="BC151" t="s">
        <v>1472</v>
      </c>
      <c r="BD151" s="124">
        <f t="shared" si="59"/>
        <v>979510</v>
      </c>
      <c r="BI151">
        <v>27.56</v>
      </c>
      <c r="BJ151">
        <v>1.25</v>
      </c>
      <c r="BK151">
        <v>26.31</v>
      </c>
      <c r="BL151" s="2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hidden="1" outlineLevel="1">
      <c r="A152" t="s">
        <v>692</v>
      </c>
      <c r="B152" s="8" t="s">
        <v>1485</v>
      </c>
      <c r="C152" s="1">
        <f t="shared" si="48"/>
        <v>2082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49"/>
        <v>5</v>
      </c>
      <c r="G152" s="1">
        <f t="shared" si="50"/>
        <v>504</v>
      </c>
      <c r="H152" s="2">
        <f t="shared" si="51"/>
        <v>0.24207492795389049</v>
      </c>
      <c r="I152" s="6"/>
      <c r="J152" s="2">
        <f t="shared" si="52"/>
        <v>0.59654178674351588</v>
      </c>
      <c r="K152" s="2">
        <f t="shared" si="53"/>
        <v>0.35446685878962536</v>
      </c>
      <c r="L152" s="2">
        <f t="shared" si="54"/>
        <v>1.9212295869356388E-3</v>
      </c>
      <c r="M152" s="2">
        <f t="shared" si="55"/>
        <v>4.7070124879923125E-2</v>
      </c>
      <c r="N152" s="63">
        <v>1242</v>
      </c>
      <c r="O152" s="63">
        <v>738</v>
      </c>
      <c r="P152" s="63">
        <v>4</v>
      </c>
      <c r="Q152" s="63">
        <v>57</v>
      </c>
      <c r="R152" s="63">
        <v>41</v>
      </c>
      <c r="S152" s="63">
        <v>0</v>
      </c>
      <c r="T152" s="63">
        <v>0</v>
      </c>
      <c r="U152" s="63"/>
      <c r="V152" s="63">
        <v>0</v>
      </c>
      <c r="W152" s="63">
        <f t="shared" si="56"/>
        <v>0</v>
      </c>
      <c r="Y152" s="63">
        <v>0</v>
      </c>
      <c r="Z152" s="63"/>
      <c r="AA152" s="63"/>
      <c r="AB152" s="63"/>
      <c r="AE152" s="8">
        <v>0</v>
      </c>
      <c r="AM152">
        <v>0</v>
      </c>
      <c r="AQ152">
        <v>0</v>
      </c>
      <c r="AT152" t="str">
        <f t="shared" si="57"/>
        <v>Washington</v>
      </c>
      <c r="AU152" t="s">
        <v>1276</v>
      </c>
      <c r="AV152" s="8">
        <v>5</v>
      </c>
      <c r="AX152" s="114">
        <v>9</v>
      </c>
      <c r="AY152" s="116">
        <v>5</v>
      </c>
      <c r="AZ152" s="116">
        <v>115</v>
      </c>
      <c r="BA152" s="120">
        <v>79720</v>
      </c>
      <c r="BB152" s="120">
        <f t="shared" si="58"/>
        <v>9005</v>
      </c>
      <c r="BC152" t="s">
        <v>1472</v>
      </c>
      <c r="BD152" s="124">
        <f t="shared" si="59"/>
        <v>979720</v>
      </c>
      <c r="BI152">
        <v>38.71</v>
      </c>
      <c r="BJ152">
        <v>0.52</v>
      </c>
      <c r="BK152">
        <v>38.19</v>
      </c>
      <c r="BL152" s="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hidden="1" outlineLevel="1">
      <c r="A153" t="s">
        <v>825</v>
      </c>
      <c r="B153" s="8" t="s">
        <v>1485</v>
      </c>
      <c r="C153" s="1">
        <f t="shared" si="48"/>
        <v>33719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49"/>
        <v>5</v>
      </c>
      <c r="G153" s="1">
        <f t="shared" si="50"/>
        <v>7033</v>
      </c>
      <c r="H153" s="2">
        <f t="shared" si="51"/>
        <v>0.20857676680803108</v>
      </c>
      <c r="I153" s="6"/>
      <c r="J153" s="2">
        <f t="shared" si="52"/>
        <v>0.58928200717696255</v>
      </c>
      <c r="K153" s="2">
        <f t="shared" si="53"/>
        <v>0.38070524036893144</v>
      </c>
      <c r="L153" s="2">
        <f t="shared" si="54"/>
        <v>2.0759809009757111E-4</v>
      </c>
      <c r="M153" s="2">
        <f t="shared" si="55"/>
        <v>2.9805154364008435E-2</v>
      </c>
      <c r="N153" s="63">
        <v>19870</v>
      </c>
      <c r="O153" s="63">
        <v>12837</v>
      </c>
      <c r="P153" s="63">
        <v>7</v>
      </c>
      <c r="Q153" s="63">
        <v>612</v>
      </c>
      <c r="R153" s="63">
        <v>391</v>
      </c>
      <c r="S153" s="63">
        <v>1</v>
      </c>
      <c r="T153" s="63">
        <v>0</v>
      </c>
      <c r="U153" s="63"/>
      <c r="V153" s="63">
        <v>0</v>
      </c>
      <c r="W153" s="63">
        <f t="shared" si="56"/>
        <v>1</v>
      </c>
      <c r="Y153" s="63">
        <v>0</v>
      </c>
      <c r="Z153" s="63"/>
      <c r="AA153" s="63"/>
      <c r="AB153" s="63"/>
      <c r="AE153" s="8">
        <v>0</v>
      </c>
      <c r="AM153">
        <v>0</v>
      </c>
      <c r="AQ153">
        <v>0</v>
      </c>
      <c r="AT153" t="str">
        <f t="shared" si="57"/>
        <v>Waterbury</v>
      </c>
      <c r="AU153" t="s">
        <v>2797</v>
      </c>
      <c r="AV153" s="8">
        <v>0</v>
      </c>
      <c r="AX153" s="114">
        <v>9</v>
      </c>
      <c r="AY153" s="116">
        <v>9</v>
      </c>
      <c r="AZ153" s="116">
        <v>120</v>
      </c>
      <c r="BA153" s="120">
        <v>80070</v>
      </c>
      <c r="BB153" s="120">
        <f t="shared" si="58"/>
        <v>9009</v>
      </c>
      <c r="BC153" t="s">
        <v>1472</v>
      </c>
      <c r="BD153" s="124">
        <f t="shared" si="59"/>
        <v>980070</v>
      </c>
      <c r="BI153">
        <v>28.92</v>
      </c>
      <c r="BJ153">
        <v>0.35</v>
      </c>
      <c r="BK153">
        <v>28.57</v>
      </c>
      <c r="BL153" s="2"/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hidden="1" outlineLevel="1">
      <c r="A154" t="s">
        <v>1058</v>
      </c>
      <c r="B154" s="8" t="s">
        <v>1485</v>
      </c>
      <c r="C154" s="1">
        <f t="shared" si="48"/>
        <v>10683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49"/>
        <v>5</v>
      </c>
      <c r="G154" s="1">
        <f t="shared" si="50"/>
        <v>372</v>
      </c>
      <c r="H154" s="2">
        <f t="shared" si="51"/>
        <v>3.4821679303566416E-2</v>
      </c>
      <c r="I154" s="6"/>
      <c r="J154" s="2">
        <f t="shared" si="52"/>
        <v>0.48984367686979313</v>
      </c>
      <c r="K154" s="2">
        <f t="shared" si="53"/>
        <v>0.45502199756622669</v>
      </c>
      <c r="L154" s="2">
        <f t="shared" si="54"/>
        <v>1.8721332958906674E-3</v>
      </c>
      <c r="M154" s="2">
        <f t="shared" si="55"/>
        <v>5.3262192268089516E-2</v>
      </c>
      <c r="N154" s="63">
        <v>5233</v>
      </c>
      <c r="O154" s="63">
        <v>4861</v>
      </c>
      <c r="P154" s="63">
        <v>20</v>
      </c>
      <c r="Q154" s="63">
        <v>368</v>
      </c>
      <c r="R154" s="63">
        <v>189</v>
      </c>
      <c r="S154" s="63">
        <v>7</v>
      </c>
      <c r="T154" s="63">
        <v>0</v>
      </c>
      <c r="U154" s="63"/>
      <c r="V154" s="63">
        <v>0</v>
      </c>
      <c r="W154" s="63">
        <f t="shared" si="56"/>
        <v>2</v>
      </c>
      <c r="Y154" s="63">
        <v>1</v>
      </c>
      <c r="Z154" s="63"/>
      <c r="AA154" s="63"/>
      <c r="AB154" s="63"/>
      <c r="AE154" s="8">
        <v>0</v>
      </c>
      <c r="AM154">
        <v>0</v>
      </c>
      <c r="AQ154">
        <v>2</v>
      </c>
      <c r="AT154" t="str">
        <f t="shared" si="57"/>
        <v>Waterford</v>
      </c>
      <c r="AU154" t="s">
        <v>130</v>
      </c>
      <c r="AV154" s="8">
        <v>2</v>
      </c>
      <c r="AX154" s="114">
        <v>9</v>
      </c>
      <c r="AY154" s="116">
        <v>11</v>
      </c>
      <c r="AZ154" s="116">
        <v>105</v>
      </c>
      <c r="BA154" s="120">
        <v>80280</v>
      </c>
      <c r="BB154" s="120">
        <f t="shared" si="58"/>
        <v>9011</v>
      </c>
      <c r="BC154" t="s">
        <v>1472</v>
      </c>
      <c r="BD154" s="124">
        <f t="shared" si="59"/>
        <v>980280</v>
      </c>
      <c r="BI154">
        <v>44.39</v>
      </c>
      <c r="BJ154">
        <v>11.64</v>
      </c>
      <c r="BK154">
        <v>32.75</v>
      </c>
      <c r="BL154" s="2"/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</row>
    <row r="155" spans="1:82" hidden="1" outlineLevel="1">
      <c r="A155" t="s">
        <v>1357</v>
      </c>
      <c r="B155" s="8" t="s">
        <v>1485</v>
      </c>
      <c r="C155" s="1">
        <f t="shared" si="48"/>
        <v>11884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49"/>
        <v>0</v>
      </c>
      <c r="G155" s="1">
        <f t="shared" si="50"/>
        <v>3998</v>
      </c>
      <c r="H155" s="2">
        <f t="shared" si="51"/>
        <v>0.33641871423763042</v>
      </c>
      <c r="I155" s="6"/>
      <c r="J155" s="2">
        <f t="shared" si="52"/>
        <v>0.31403567822282058</v>
      </c>
      <c r="K155" s="2">
        <f t="shared" si="53"/>
        <v>0.650454392460451</v>
      </c>
      <c r="L155" s="2">
        <f t="shared" si="54"/>
        <v>0</v>
      </c>
      <c r="M155" s="2">
        <f t="shared" si="55"/>
        <v>3.5509929316728361E-2</v>
      </c>
      <c r="N155" s="63">
        <v>3732</v>
      </c>
      <c r="O155" s="63">
        <v>7730</v>
      </c>
      <c r="P155" s="63">
        <v>0</v>
      </c>
      <c r="Q155" s="63">
        <v>300</v>
      </c>
      <c r="R155" s="63">
        <v>122</v>
      </c>
      <c r="S155" s="63">
        <v>0</v>
      </c>
      <c r="T155" s="63">
        <v>0</v>
      </c>
      <c r="U155" s="63"/>
      <c r="V155" s="63">
        <v>0</v>
      </c>
      <c r="W155" s="63">
        <f t="shared" si="56"/>
        <v>0</v>
      </c>
      <c r="Y155" s="63">
        <v>0</v>
      </c>
      <c r="Z155" s="63"/>
      <c r="AA155" s="63"/>
      <c r="AB155" s="63"/>
      <c r="AE155" s="8">
        <v>0</v>
      </c>
      <c r="AM155">
        <v>0</v>
      </c>
      <c r="AQ155">
        <v>0</v>
      </c>
      <c r="AT155" t="str">
        <f t="shared" si="57"/>
        <v>Watertown</v>
      </c>
      <c r="AU155" t="s">
        <v>1276</v>
      </c>
      <c r="AV155" s="8">
        <v>5</v>
      </c>
      <c r="AX155" s="114">
        <v>9</v>
      </c>
      <c r="AY155" s="116">
        <v>5</v>
      </c>
      <c r="AZ155" s="116">
        <v>120</v>
      </c>
      <c r="BA155" s="120">
        <v>80490</v>
      </c>
      <c r="BB155" s="120">
        <f t="shared" si="58"/>
        <v>9005</v>
      </c>
      <c r="BC155" t="s">
        <v>1472</v>
      </c>
      <c r="BD155" s="124">
        <f t="shared" si="59"/>
        <v>980490</v>
      </c>
      <c r="BI155">
        <v>29.58</v>
      </c>
      <c r="BJ155">
        <v>0.43</v>
      </c>
      <c r="BK155">
        <v>29.15</v>
      </c>
      <c r="BL155" s="2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hidden="1" outlineLevel="1">
      <c r="A156" t="s">
        <v>741</v>
      </c>
      <c r="B156" s="8" t="s">
        <v>1485</v>
      </c>
      <c r="C156" s="1">
        <f t="shared" si="48"/>
        <v>33346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49"/>
        <v>5</v>
      </c>
      <c r="G156" s="1">
        <f t="shared" si="50"/>
        <v>15726</v>
      </c>
      <c r="H156" s="2">
        <f t="shared" si="51"/>
        <v>0.47160079169915431</v>
      </c>
      <c r="I156" s="6"/>
      <c r="J156" s="2">
        <f t="shared" si="52"/>
        <v>0.71315899958015949</v>
      </c>
      <c r="K156" s="2">
        <f t="shared" si="53"/>
        <v>0.24155820788100521</v>
      </c>
      <c r="L156" s="2">
        <f t="shared" si="54"/>
        <v>1.8892820728123314E-3</v>
      </c>
      <c r="M156" s="2">
        <f t="shared" si="55"/>
        <v>4.3393510466022966E-2</v>
      </c>
      <c r="N156" s="63">
        <v>23781</v>
      </c>
      <c r="O156" s="63">
        <v>8055</v>
      </c>
      <c r="P156" s="63">
        <v>63</v>
      </c>
      <c r="Q156" s="63">
        <v>993</v>
      </c>
      <c r="R156" s="63">
        <v>445</v>
      </c>
      <c r="S156" s="63">
        <v>2</v>
      </c>
      <c r="T156" s="63">
        <v>0</v>
      </c>
      <c r="U156" s="63"/>
      <c r="V156" s="63">
        <v>2</v>
      </c>
      <c r="W156" s="63">
        <f t="shared" si="56"/>
        <v>4</v>
      </c>
      <c r="Y156" s="63">
        <v>0</v>
      </c>
      <c r="Z156" s="63"/>
      <c r="AA156" s="63"/>
      <c r="AB156" s="63"/>
      <c r="AE156" s="8">
        <v>1</v>
      </c>
      <c r="AM156">
        <v>0</v>
      </c>
      <c r="AQ156">
        <v>0</v>
      </c>
      <c r="AT156" t="str">
        <f t="shared" si="57"/>
        <v>West Hartford</v>
      </c>
      <c r="AU156" t="s">
        <v>1737</v>
      </c>
      <c r="AV156" s="8">
        <v>1</v>
      </c>
      <c r="AX156" s="114">
        <v>9</v>
      </c>
      <c r="AY156" s="116">
        <v>3</v>
      </c>
      <c r="AZ156" s="116">
        <v>130</v>
      </c>
      <c r="BA156" s="120">
        <v>82590</v>
      </c>
      <c r="BB156" s="120">
        <f t="shared" si="58"/>
        <v>9003</v>
      </c>
      <c r="BC156" t="s">
        <v>1472</v>
      </c>
      <c r="BD156" s="124">
        <f t="shared" si="59"/>
        <v>982590</v>
      </c>
      <c r="BI156">
        <v>22.36</v>
      </c>
      <c r="BJ156">
        <v>0.38</v>
      </c>
      <c r="BK156">
        <v>21.98</v>
      </c>
      <c r="BL156" s="2"/>
      <c r="BS156">
        <v>1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</row>
    <row r="157" spans="1:82" hidden="1" outlineLevel="1">
      <c r="A157" t="s">
        <v>2766</v>
      </c>
      <c r="B157" s="8" t="s">
        <v>1485</v>
      </c>
      <c r="C157" s="1">
        <f t="shared" si="48"/>
        <v>20969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49"/>
        <v>5</v>
      </c>
      <c r="G157" s="1">
        <f t="shared" si="50"/>
        <v>4703</v>
      </c>
      <c r="H157" s="2">
        <f t="shared" si="51"/>
        <v>0.22428346606895894</v>
      </c>
      <c r="I157" s="6"/>
      <c r="J157" s="2">
        <f t="shared" si="52"/>
        <v>0.59502122180361483</v>
      </c>
      <c r="K157" s="2">
        <f t="shared" si="53"/>
        <v>0.37073775573465589</v>
      </c>
      <c r="L157" s="2">
        <f t="shared" si="54"/>
        <v>2.3844723162764079E-4</v>
      </c>
      <c r="M157" s="2">
        <f t="shared" si="55"/>
        <v>3.4002575230101632E-2</v>
      </c>
      <c r="N157" s="63">
        <v>12477</v>
      </c>
      <c r="O157" s="63">
        <v>7774</v>
      </c>
      <c r="P157" s="63">
        <v>5</v>
      </c>
      <c r="Q157" s="63">
        <v>422</v>
      </c>
      <c r="R157" s="63">
        <v>287</v>
      </c>
      <c r="S157" s="63">
        <v>3</v>
      </c>
      <c r="T157" s="63">
        <v>0</v>
      </c>
      <c r="U157" s="63"/>
      <c r="V157" s="63">
        <v>0</v>
      </c>
      <c r="W157" s="63">
        <f t="shared" si="56"/>
        <v>1</v>
      </c>
      <c r="Y157" s="63">
        <v>0</v>
      </c>
      <c r="Z157" s="63"/>
      <c r="AA157" s="63"/>
      <c r="AB157" s="63"/>
      <c r="AE157" s="8">
        <v>0</v>
      </c>
      <c r="AM157">
        <v>0</v>
      </c>
      <c r="AQ157">
        <v>0</v>
      </c>
      <c r="AT157" t="str">
        <f t="shared" si="57"/>
        <v>West Haven</v>
      </c>
      <c r="AU157" t="s">
        <v>2797</v>
      </c>
      <c r="AV157" s="8">
        <v>3</v>
      </c>
      <c r="AX157" s="114">
        <v>9</v>
      </c>
      <c r="AY157" s="116">
        <v>9</v>
      </c>
      <c r="AZ157" s="116">
        <v>125</v>
      </c>
      <c r="BA157" s="120">
        <v>82870</v>
      </c>
      <c r="BB157" s="120">
        <f t="shared" si="58"/>
        <v>9009</v>
      </c>
      <c r="BC157" t="s">
        <v>1472</v>
      </c>
      <c r="BD157" s="124">
        <f t="shared" si="59"/>
        <v>982870</v>
      </c>
      <c r="BI157">
        <v>11.01</v>
      </c>
      <c r="BJ157">
        <v>0.17</v>
      </c>
      <c r="BK157">
        <v>10.84</v>
      </c>
      <c r="BL157" s="2"/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hidden="1" outlineLevel="1">
      <c r="A158" t="s">
        <v>464</v>
      </c>
      <c r="B158" s="8" t="s">
        <v>1485</v>
      </c>
      <c r="C158" s="1">
        <f t="shared" si="48"/>
        <v>3792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 t="shared" si="49"/>
        <v>5</v>
      </c>
      <c r="G158" s="1">
        <f t="shared" si="50"/>
        <v>237</v>
      </c>
      <c r="H158" s="2">
        <f t="shared" si="51"/>
        <v>6.25E-2</v>
      </c>
      <c r="I158" s="6"/>
      <c r="J158" s="2">
        <f t="shared" si="52"/>
        <v>0.44804852320675104</v>
      </c>
      <c r="K158" s="2">
        <f t="shared" si="53"/>
        <v>0.51054852320675104</v>
      </c>
      <c r="L158" s="2">
        <f t="shared" si="54"/>
        <v>2.6371308016877635E-4</v>
      </c>
      <c r="M158" s="2">
        <f t="shared" si="55"/>
        <v>4.1139240506329153E-2</v>
      </c>
      <c r="N158" s="63">
        <v>1699</v>
      </c>
      <c r="O158" s="63">
        <v>1936</v>
      </c>
      <c r="P158" s="63">
        <v>1</v>
      </c>
      <c r="Q158" s="63">
        <v>100</v>
      </c>
      <c r="R158" s="63">
        <v>55</v>
      </c>
      <c r="S158" s="63">
        <v>0</v>
      </c>
      <c r="T158" s="63">
        <v>0</v>
      </c>
      <c r="U158" s="63"/>
      <c r="V158" s="63">
        <v>1</v>
      </c>
      <c r="W158" s="63">
        <f t="shared" si="56"/>
        <v>0</v>
      </c>
      <c r="Y158" s="63">
        <v>0</v>
      </c>
      <c r="Z158" s="63"/>
      <c r="AA158" s="63"/>
      <c r="AB158" s="63"/>
      <c r="AE158" s="8">
        <v>0</v>
      </c>
      <c r="AM158">
        <v>0</v>
      </c>
      <c r="AQ158">
        <v>0</v>
      </c>
      <c r="AT158" t="str">
        <f t="shared" si="57"/>
        <v>Westbrook</v>
      </c>
      <c r="AU158" t="s">
        <v>503</v>
      </c>
      <c r="AV158" s="8">
        <v>2</v>
      </c>
      <c r="AX158" s="114">
        <v>9</v>
      </c>
      <c r="AY158" s="116">
        <v>7</v>
      </c>
      <c r="AZ158" s="116">
        <v>75</v>
      </c>
      <c r="BA158" s="120">
        <v>81680</v>
      </c>
      <c r="BB158" s="120">
        <f t="shared" si="58"/>
        <v>9007</v>
      </c>
      <c r="BC158" t="s">
        <v>1472</v>
      </c>
      <c r="BD158" s="124">
        <f t="shared" si="59"/>
        <v>981680</v>
      </c>
      <c r="BI158">
        <v>21.38</v>
      </c>
      <c r="BJ158">
        <v>5.66</v>
      </c>
      <c r="BK158">
        <v>15.72</v>
      </c>
      <c r="BL158" s="2"/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hidden="1" outlineLevel="1">
      <c r="A159" t="s">
        <v>1430</v>
      </c>
      <c r="B159" s="8" t="s">
        <v>1485</v>
      </c>
      <c r="C159" s="1">
        <f t="shared" si="48"/>
        <v>5712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49"/>
        <v>5</v>
      </c>
      <c r="G159" s="1">
        <f t="shared" si="50"/>
        <v>2174</v>
      </c>
      <c r="H159" s="2">
        <f t="shared" si="51"/>
        <v>0.38060224089635852</v>
      </c>
      <c r="I159" s="6"/>
      <c r="J159" s="2">
        <f t="shared" si="52"/>
        <v>0.66649159663865543</v>
      </c>
      <c r="K159" s="2">
        <f t="shared" si="53"/>
        <v>0.2858893557422969</v>
      </c>
      <c r="L159" s="2">
        <f t="shared" si="54"/>
        <v>1.0504201680672268E-3</v>
      </c>
      <c r="M159" s="2">
        <f t="shared" si="55"/>
        <v>4.6568627450980442E-2</v>
      </c>
      <c r="N159" s="63">
        <v>3807</v>
      </c>
      <c r="O159" s="63">
        <v>1633</v>
      </c>
      <c r="P159" s="63">
        <v>6</v>
      </c>
      <c r="Q159" s="63">
        <v>208</v>
      </c>
      <c r="R159" s="63">
        <v>58</v>
      </c>
      <c r="S159" s="63">
        <v>0</v>
      </c>
      <c r="T159" s="63">
        <v>0</v>
      </c>
      <c r="U159" s="63"/>
      <c r="V159" s="63">
        <v>0</v>
      </c>
      <c r="W159" s="63">
        <f t="shared" si="56"/>
        <v>0</v>
      </c>
      <c r="Y159" s="63">
        <v>0</v>
      </c>
      <c r="Z159" s="63"/>
      <c r="AA159" s="63"/>
      <c r="AB159" s="63"/>
      <c r="AE159" s="8">
        <v>0</v>
      </c>
      <c r="AM159">
        <v>0</v>
      </c>
      <c r="AQ159">
        <v>0</v>
      </c>
      <c r="AT159" t="str">
        <f t="shared" si="57"/>
        <v>Weston</v>
      </c>
      <c r="AU159" t="s">
        <v>280</v>
      </c>
      <c r="AV159" s="8">
        <v>4</v>
      </c>
      <c r="AX159" s="114">
        <v>9</v>
      </c>
      <c r="AY159" s="116">
        <v>1</v>
      </c>
      <c r="AZ159" s="116">
        <v>105</v>
      </c>
      <c r="BA159" s="120">
        <v>83430</v>
      </c>
      <c r="BB159" s="120">
        <f t="shared" si="58"/>
        <v>9001</v>
      </c>
      <c r="BC159" t="s">
        <v>1472</v>
      </c>
      <c r="BD159" s="124">
        <f t="shared" si="59"/>
        <v>983430</v>
      </c>
      <c r="BI159">
        <v>20.71</v>
      </c>
      <c r="BJ159">
        <v>0.91</v>
      </c>
      <c r="BK159">
        <v>19.8</v>
      </c>
      <c r="BL159" s="2"/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hidden="1" outlineLevel="1">
      <c r="A160" t="s">
        <v>2193</v>
      </c>
      <c r="B160" s="8" t="s">
        <v>1485</v>
      </c>
      <c r="C160" s="1">
        <f t="shared" si="48"/>
        <v>15444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49"/>
        <v>5</v>
      </c>
      <c r="G160" s="1">
        <f t="shared" si="50"/>
        <v>6486</v>
      </c>
      <c r="H160" s="2">
        <f t="shared" si="51"/>
        <v>0.41996891996892</v>
      </c>
      <c r="I160" s="6"/>
      <c r="J160" s="2">
        <f t="shared" si="52"/>
        <v>0.68991193991193989</v>
      </c>
      <c r="K160" s="2">
        <f t="shared" si="53"/>
        <v>0.26994301994301995</v>
      </c>
      <c r="L160" s="2">
        <f t="shared" si="54"/>
        <v>1.4245014245014246E-3</v>
      </c>
      <c r="M160" s="2">
        <f t="shared" si="55"/>
        <v>3.8720538720538746E-2</v>
      </c>
      <c r="N160" s="63">
        <v>10655</v>
      </c>
      <c r="O160" s="63">
        <v>4169</v>
      </c>
      <c r="P160" s="63">
        <v>22</v>
      </c>
      <c r="Q160" s="63">
        <v>472</v>
      </c>
      <c r="R160" s="63">
        <v>124</v>
      </c>
      <c r="S160" s="63">
        <v>0</v>
      </c>
      <c r="T160" s="63">
        <v>0</v>
      </c>
      <c r="U160" s="63"/>
      <c r="V160" s="63">
        <v>0</v>
      </c>
      <c r="W160" s="63">
        <f t="shared" si="56"/>
        <v>1</v>
      </c>
      <c r="Y160" s="63">
        <v>0</v>
      </c>
      <c r="Z160" s="63"/>
      <c r="AA160" s="63"/>
      <c r="AB160" s="63"/>
      <c r="AE160" s="8">
        <v>1</v>
      </c>
      <c r="AM160">
        <v>0</v>
      </c>
      <c r="AQ160">
        <v>0</v>
      </c>
      <c r="AT160" t="str">
        <f t="shared" si="57"/>
        <v>Westport</v>
      </c>
      <c r="AU160" t="s">
        <v>280</v>
      </c>
      <c r="AV160" s="8">
        <v>4</v>
      </c>
      <c r="AX160" s="114">
        <v>9</v>
      </c>
      <c r="AY160" s="116">
        <v>1</v>
      </c>
      <c r="AZ160" s="116">
        <v>110</v>
      </c>
      <c r="BA160" s="120">
        <v>83500</v>
      </c>
      <c r="BB160" s="120">
        <f t="shared" si="58"/>
        <v>9001</v>
      </c>
      <c r="BC160" t="s">
        <v>1472</v>
      </c>
      <c r="BD160" s="124">
        <f t="shared" si="59"/>
        <v>983500</v>
      </c>
      <c r="BI160">
        <v>33.33</v>
      </c>
      <c r="BJ160">
        <v>13.32</v>
      </c>
      <c r="BK160">
        <v>20.010000000000002</v>
      </c>
      <c r="BL160" s="2"/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9" hidden="1" outlineLevel="1">
      <c r="A161" t="s">
        <v>1412</v>
      </c>
      <c r="B161" s="8" t="s">
        <v>1485</v>
      </c>
      <c r="C161" s="1">
        <f t="shared" si="48"/>
        <v>14222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49"/>
        <v>5</v>
      </c>
      <c r="G161" s="1">
        <f t="shared" si="50"/>
        <v>1940</v>
      </c>
      <c r="H161" s="2">
        <f t="shared" si="51"/>
        <v>0.13640838138095907</v>
      </c>
      <c r="I161" s="6"/>
      <c r="J161" s="2">
        <f t="shared" si="52"/>
        <v>0.54380537195893686</v>
      </c>
      <c r="K161" s="2">
        <f t="shared" si="53"/>
        <v>0.40739699057797779</v>
      </c>
      <c r="L161" s="2">
        <f t="shared" si="54"/>
        <v>3.4453663338489663E-3</v>
      </c>
      <c r="M161" s="2">
        <f t="shared" si="55"/>
        <v>4.5352271129236385E-2</v>
      </c>
      <c r="N161" s="63">
        <v>7734</v>
      </c>
      <c r="O161" s="63">
        <v>5794</v>
      </c>
      <c r="P161" s="63">
        <v>49</v>
      </c>
      <c r="Q161" s="63">
        <v>447</v>
      </c>
      <c r="R161" s="63">
        <v>194</v>
      </c>
      <c r="S161" s="63">
        <v>0</v>
      </c>
      <c r="T161" s="63">
        <v>1</v>
      </c>
      <c r="U161" s="63"/>
      <c r="V161" s="63">
        <v>0</v>
      </c>
      <c r="W161" s="63">
        <f t="shared" si="56"/>
        <v>0</v>
      </c>
      <c r="Y161" s="63">
        <v>0</v>
      </c>
      <c r="Z161" s="63"/>
      <c r="AA161" s="63"/>
      <c r="AB161" s="63"/>
      <c r="AE161" s="8">
        <v>3</v>
      </c>
      <c r="AM161">
        <v>0</v>
      </c>
      <c r="AQ161">
        <v>0</v>
      </c>
      <c r="AT161" t="str">
        <f t="shared" si="57"/>
        <v>Wethersfield</v>
      </c>
      <c r="AU161" t="s">
        <v>1737</v>
      </c>
      <c r="AV161" s="8">
        <v>1</v>
      </c>
      <c r="AX161" s="114">
        <v>9</v>
      </c>
      <c r="AY161" s="116">
        <v>3</v>
      </c>
      <c r="AZ161" s="116">
        <v>135</v>
      </c>
      <c r="BA161" s="120">
        <v>84900</v>
      </c>
      <c r="BB161" s="120">
        <f t="shared" si="58"/>
        <v>9003</v>
      </c>
      <c r="BC161" t="s">
        <v>1472</v>
      </c>
      <c r="BD161" s="124">
        <f t="shared" si="59"/>
        <v>984900</v>
      </c>
      <c r="BI161">
        <v>13.11</v>
      </c>
      <c r="BJ161">
        <v>0.72</v>
      </c>
      <c r="BK161">
        <v>12.39</v>
      </c>
      <c r="BL161" s="2"/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9" hidden="1" outlineLevel="1">
      <c r="A162" t="s">
        <v>1673</v>
      </c>
      <c r="B162" s="8" t="s">
        <v>1485</v>
      </c>
      <c r="C162" s="1">
        <f t="shared" si="48"/>
        <v>2996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49"/>
        <v>0</v>
      </c>
      <c r="G162" s="1">
        <f t="shared" si="50"/>
        <v>41</v>
      </c>
      <c r="H162" s="2">
        <f t="shared" si="51"/>
        <v>1.3684913217623497E-2</v>
      </c>
      <c r="I162" s="6"/>
      <c r="J162" s="2">
        <f t="shared" si="52"/>
        <v>0.4719626168224299</v>
      </c>
      <c r="K162" s="2">
        <f t="shared" si="53"/>
        <v>0.45827770360480641</v>
      </c>
      <c r="L162" s="2">
        <f t="shared" si="54"/>
        <v>0</v>
      </c>
      <c r="M162" s="2">
        <f t="shared" si="55"/>
        <v>6.9759679572763689E-2</v>
      </c>
      <c r="N162" s="63">
        <v>1414</v>
      </c>
      <c r="O162" s="63">
        <v>1373</v>
      </c>
      <c r="P162" s="63">
        <v>0</v>
      </c>
      <c r="Q162" s="63">
        <v>127</v>
      </c>
      <c r="R162" s="63">
        <v>82</v>
      </c>
      <c r="S162" s="63">
        <v>0</v>
      </c>
      <c r="T162" s="63">
        <v>0</v>
      </c>
      <c r="U162" s="63"/>
      <c r="V162" s="63">
        <v>0</v>
      </c>
      <c r="W162" s="63">
        <f t="shared" si="56"/>
        <v>0</v>
      </c>
      <c r="Y162" s="63">
        <v>0</v>
      </c>
      <c r="Z162" s="63"/>
      <c r="AA162" s="63"/>
      <c r="AB162" s="63"/>
      <c r="AE162" s="8">
        <v>0</v>
      </c>
      <c r="AM162">
        <v>0</v>
      </c>
      <c r="AQ162">
        <v>0</v>
      </c>
      <c r="AT162" t="str">
        <f t="shared" si="57"/>
        <v>Willington</v>
      </c>
      <c r="AU162" t="s">
        <v>67</v>
      </c>
      <c r="AV162" s="8">
        <v>2</v>
      </c>
      <c r="AX162" s="114">
        <v>9</v>
      </c>
      <c r="AY162" s="116">
        <v>13</v>
      </c>
      <c r="AZ162" s="116">
        <v>65</v>
      </c>
      <c r="BA162" s="120">
        <v>85950</v>
      </c>
      <c r="BB162" s="120">
        <f t="shared" si="58"/>
        <v>9013</v>
      </c>
      <c r="BC162" t="s">
        <v>1472</v>
      </c>
      <c r="BD162" s="124">
        <f t="shared" si="59"/>
        <v>985950</v>
      </c>
      <c r="BI162">
        <v>33.479999999999997</v>
      </c>
      <c r="BJ162">
        <v>0.21</v>
      </c>
      <c r="BK162">
        <v>33.270000000000003</v>
      </c>
      <c r="BL162" s="2"/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9" hidden="1" outlineLevel="1">
      <c r="A163" t="s">
        <v>2075</v>
      </c>
      <c r="B163" s="8" t="s">
        <v>1485</v>
      </c>
      <c r="C163" s="1">
        <f t="shared" ref="C163:C172" si="60">SUM(N163:AR163)</f>
        <v>10391</v>
      </c>
      <c r="D163" s="5">
        <f>IF(N163&gt;0, RANK(N163,(N163:P163,Q163:AE163)),0)</f>
        <v>1</v>
      </c>
      <c r="E163" s="5">
        <f>IF(O163&gt;0,RANK(O163,(N163:P163,Q163:AE163)),0)</f>
        <v>2</v>
      </c>
      <c r="F163" s="5">
        <f t="shared" ref="F163:F172" si="61">IF(P163&gt;0,RANK(P163,(N163:AE163)),0)</f>
        <v>5</v>
      </c>
      <c r="G163" s="1">
        <f t="shared" ref="G163:G172" si="62">IF(C163&gt;0,MAX(N163:P163)-LARGE(N163:P163,2),0)</f>
        <v>2269</v>
      </c>
      <c r="H163" s="2">
        <f t="shared" ref="H163:H172" si="63">IF(C163&gt;0,G163/C163,0)</f>
        <v>0.21836204407660476</v>
      </c>
      <c r="I163" s="6"/>
      <c r="J163" s="2">
        <f t="shared" ref="J163:J172" si="64">IF(C163=0,"-",N163/C163)</f>
        <v>0.58271581176017706</v>
      </c>
      <c r="K163" s="2">
        <f t="shared" ref="K163:K172" si="65">IF(C163=0,"-",O163/C163)</f>
        <v>0.3643537676835723</v>
      </c>
      <c r="L163" s="2">
        <f t="shared" ref="L163:L172" si="66">IF(C163=0,"-",P163/C163)</f>
        <v>2.502165335386392E-3</v>
      </c>
      <c r="M163" s="2">
        <f t="shared" ref="M163:M172" si="67">IF(C163=0,"-",(1-J163-K163-L163))</f>
        <v>5.0428255220864242E-2</v>
      </c>
      <c r="N163" s="63">
        <v>6055</v>
      </c>
      <c r="O163" s="63">
        <v>3786</v>
      </c>
      <c r="P163" s="63">
        <v>26</v>
      </c>
      <c r="Q163" s="63">
        <v>411</v>
      </c>
      <c r="R163" s="63">
        <v>111</v>
      </c>
      <c r="S163" s="63">
        <v>1</v>
      </c>
      <c r="T163" s="63">
        <v>0</v>
      </c>
      <c r="U163" s="63"/>
      <c r="V163" s="63">
        <v>0</v>
      </c>
      <c r="W163" s="63">
        <f t="shared" ref="W163:W171" si="68">SUM(BS163:CD163)</f>
        <v>1</v>
      </c>
      <c r="Y163" s="63">
        <v>0</v>
      </c>
      <c r="Z163" s="63"/>
      <c r="AA163" s="63"/>
      <c r="AB163" s="63"/>
      <c r="AE163" s="8">
        <v>0</v>
      </c>
      <c r="AM163">
        <v>0</v>
      </c>
      <c r="AQ163">
        <v>0</v>
      </c>
      <c r="AT163" t="str">
        <f t="shared" ref="AT163:AT172" si="69">A163</f>
        <v>Wilton</v>
      </c>
      <c r="AU163" t="s">
        <v>280</v>
      </c>
      <c r="AV163" s="8">
        <v>4</v>
      </c>
      <c r="AX163" s="114">
        <v>9</v>
      </c>
      <c r="AY163" s="116">
        <v>1</v>
      </c>
      <c r="AZ163" s="116">
        <v>115</v>
      </c>
      <c r="BA163" s="120">
        <v>86370</v>
      </c>
      <c r="BB163" s="120">
        <f t="shared" ref="BB163:BB171" si="70">AX163*1000+AY163</f>
        <v>9001</v>
      </c>
      <c r="BC163" t="s">
        <v>1472</v>
      </c>
      <c r="BD163" s="124">
        <f t="shared" ref="BD163:BD171" si="71">AX163*100000+BA163</f>
        <v>986370</v>
      </c>
      <c r="BI163">
        <v>27.36</v>
      </c>
      <c r="BJ163">
        <v>0.41</v>
      </c>
      <c r="BK163">
        <v>26.95</v>
      </c>
      <c r="BL163" s="2"/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9" hidden="1" outlineLevel="1">
      <c r="A164" t="s">
        <v>893</v>
      </c>
      <c r="B164" s="8" t="s">
        <v>1485</v>
      </c>
      <c r="C164" s="1">
        <f t="shared" si="60"/>
        <v>4994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61"/>
        <v>5</v>
      </c>
      <c r="G164" s="1">
        <f t="shared" si="62"/>
        <v>1087</v>
      </c>
      <c r="H164" s="2">
        <f t="shared" si="63"/>
        <v>0.21766119343211854</v>
      </c>
      <c r="I164" s="6"/>
      <c r="J164" s="2">
        <f t="shared" si="64"/>
        <v>0.36363636363636365</v>
      </c>
      <c r="K164" s="2">
        <f t="shared" si="65"/>
        <v>0.58129755706848218</v>
      </c>
      <c r="L164" s="2">
        <f t="shared" si="66"/>
        <v>1.4016820184221065E-3</v>
      </c>
      <c r="M164" s="2">
        <f t="shared" si="67"/>
        <v>5.3664397276732063E-2</v>
      </c>
      <c r="N164" s="63">
        <v>1816</v>
      </c>
      <c r="O164" s="63">
        <v>2903</v>
      </c>
      <c r="P164" s="63">
        <v>7</v>
      </c>
      <c r="Q164" s="63">
        <v>146</v>
      </c>
      <c r="R164" s="63">
        <v>122</v>
      </c>
      <c r="S164" s="63">
        <v>0</v>
      </c>
      <c r="T164" s="63">
        <v>0</v>
      </c>
      <c r="U164" s="63"/>
      <c r="V164" s="63">
        <v>0</v>
      </c>
      <c r="W164" s="63">
        <f t="shared" si="68"/>
        <v>0</v>
      </c>
      <c r="Y164" s="63">
        <v>0</v>
      </c>
      <c r="Z164" s="63"/>
      <c r="AA164" s="63"/>
      <c r="AB164" s="63"/>
      <c r="AE164" s="8">
        <v>0</v>
      </c>
      <c r="AM164">
        <v>0</v>
      </c>
      <c r="AQ164">
        <v>0</v>
      </c>
      <c r="AT164" t="str">
        <f t="shared" si="69"/>
        <v>Winchester</v>
      </c>
      <c r="AU164" t="s">
        <v>1276</v>
      </c>
      <c r="AV164" s="8">
        <v>1</v>
      </c>
      <c r="AX164" s="114">
        <v>9</v>
      </c>
      <c r="AY164" s="116">
        <v>5</v>
      </c>
      <c r="AZ164" s="116">
        <v>125</v>
      </c>
      <c r="BA164" s="120">
        <v>86440</v>
      </c>
      <c r="BB164" s="120">
        <f t="shared" si="70"/>
        <v>9005</v>
      </c>
      <c r="BC164" t="s">
        <v>1472</v>
      </c>
      <c r="BD164" s="124">
        <f t="shared" si="71"/>
        <v>986440</v>
      </c>
      <c r="BI164">
        <v>33.840000000000003</v>
      </c>
      <c r="BJ164">
        <v>1.56</v>
      </c>
      <c r="BK164">
        <v>32.28</v>
      </c>
      <c r="BL164" s="2"/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9" hidden="1" outlineLevel="1">
      <c r="A165" t="s">
        <v>2129</v>
      </c>
      <c r="B165" s="8" t="s">
        <v>1485</v>
      </c>
      <c r="C165" s="1">
        <f t="shared" si="60"/>
        <v>8403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61"/>
        <v>5</v>
      </c>
      <c r="G165" s="1">
        <f t="shared" si="62"/>
        <v>2811</v>
      </c>
      <c r="H165" s="2">
        <f t="shared" si="63"/>
        <v>0.33452338450553376</v>
      </c>
      <c r="I165" s="6"/>
      <c r="J165" s="2">
        <f t="shared" si="64"/>
        <v>0.63965250505771754</v>
      </c>
      <c r="K165" s="2">
        <f t="shared" si="65"/>
        <v>0.30512912055218372</v>
      </c>
      <c r="L165" s="2">
        <f t="shared" si="66"/>
        <v>9.5204093776032374E-4</v>
      </c>
      <c r="M165" s="2">
        <f t="shared" si="67"/>
        <v>5.4266333452338424E-2</v>
      </c>
      <c r="N165" s="63">
        <v>5375</v>
      </c>
      <c r="O165" s="63">
        <v>2564</v>
      </c>
      <c r="P165" s="63">
        <v>8</v>
      </c>
      <c r="Q165" s="63">
        <v>271</v>
      </c>
      <c r="R165" s="63">
        <v>183</v>
      </c>
      <c r="S165" s="63">
        <v>0</v>
      </c>
      <c r="T165" s="63">
        <v>1</v>
      </c>
      <c r="U165" s="63"/>
      <c r="V165" s="63">
        <v>1</v>
      </c>
      <c r="W165" s="63">
        <f t="shared" si="68"/>
        <v>0</v>
      </c>
      <c r="Y165" s="63">
        <v>0</v>
      </c>
      <c r="Z165" s="63"/>
      <c r="AA165" s="63"/>
      <c r="AB165" s="63"/>
      <c r="AE165" s="8">
        <v>0</v>
      </c>
      <c r="AM165">
        <v>0</v>
      </c>
      <c r="AQ165">
        <v>0</v>
      </c>
      <c r="AT165" t="str">
        <f t="shared" si="69"/>
        <v>Windham</v>
      </c>
      <c r="AU165" t="s">
        <v>2129</v>
      </c>
      <c r="AV165" s="8">
        <v>2</v>
      </c>
      <c r="AX165" s="114">
        <v>9</v>
      </c>
      <c r="AY165" s="116">
        <v>15</v>
      </c>
      <c r="AZ165" s="116">
        <v>70</v>
      </c>
      <c r="BA165" s="120">
        <v>86790</v>
      </c>
      <c r="BB165" s="120">
        <f t="shared" si="70"/>
        <v>9015</v>
      </c>
      <c r="BC165" t="s">
        <v>1472</v>
      </c>
      <c r="BD165" s="124">
        <f t="shared" si="71"/>
        <v>986790</v>
      </c>
      <c r="BI165">
        <v>27.92</v>
      </c>
      <c r="BJ165">
        <v>0.85</v>
      </c>
      <c r="BK165">
        <v>27.07</v>
      </c>
      <c r="BL165" s="2"/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9" hidden="1" outlineLevel="1">
      <c r="A166" t="s">
        <v>2282</v>
      </c>
      <c r="B166" s="8" t="s">
        <v>1485</v>
      </c>
      <c r="C166" s="1">
        <f t="shared" si="60"/>
        <v>16016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61"/>
        <v>5</v>
      </c>
      <c r="G166" s="1">
        <f t="shared" si="62"/>
        <v>7357</v>
      </c>
      <c r="H166" s="2">
        <f t="shared" si="63"/>
        <v>0.45935314685314688</v>
      </c>
      <c r="I166" s="6"/>
      <c r="J166" s="2">
        <f t="shared" si="64"/>
        <v>0.70991508491508493</v>
      </c>
      <c r="K166" s="2">
        <f t="shared" si="65"/>
        <v>0.25056193806193805</v>
      </c>
      <c r="L166" s="2">
        <f t="shared" si="66"/>
        <v>8.7412587412587413E-4</v>
      </c>
      <c r="M166" s="2">
        <f t="shared" si="67"/>
        <v>3.8648851148851152E-2</v>
      </c>
      <c r="N166" s="63">
        <v>11370</v>
      </c>
      <c r="O166" s="63">
        <v>4013</v>
      </c>
      <c r="P166" s="63">
        <v>14</v>
      </c>
      <c r="Q166" s="63">
        <v>385</v>
      </c>
      <c r="R166" s="63">
        <v>231</v>
      </c>
      <c r="S166" s="63">
        <v>2</v>
      </c>
      <c r="T166" s="63">
        <v>0</v>
      </c>
      <c r="U166" s="63"/>
      <c r="V166" s="63">
        <v>0</v>
      </c>
      <c r="W166" s="63">
        <f t="shared" si="68"/>
        <v>0</v>
      </c>
      <c r="Y166" s="63">
        <v>1</v>
      </c>
      <c r="Z166" s="63"/>
      <c r="AA166" s="63"/>
      <c r="AB166" s="63"/>
      <c r="AE166" s="8">
        <v>0</v>
      </c>
      <c r="AM166">
        <v>0</v>
      </c>
      <c r="AQ166">
        <v>0</v>
      </c>
      <c r="AT166" t="str">
        <f t="shared" si="69"/>
        <v>Windsor</v>
      </c>
      <c r="AU166" t="s">
        <v>1737</v>
      </c>
      <c r="AV166" s="8">
        <v>1</v>
      </c>
      <c r="AX166" s="114">
        <v>9</v>
      </c>
      <c r="AY166" s="116">
        <v>3</v>
      </c>
      <c r="AZ166" s="116">
        <v>150</v>
      </c>
      <c r="BA166" s="120">
        <v>87000</v>
      </c>
      <c r="BB166" s="120">
        <f t="shared" si="70"/>
        <v>9003</v>
      </c>
      <c r="BC166" t="s">
        <v>1472</v>
      </c>
      <c r="BD166" s="124">
        <f t="shared" si="71"/>
        <v>987000</v>
      </c>
      <c r="BI166">
        <v>31.05</v>
      </c>
      <c r="BJ166">
        <v>1.43</v>
      </c>
      <c r="BK166">
        <v>29.63</v>
      </c>
      <c r="BL166" s="2"/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9" hidden="1" outlineLevel="1">
      <c r="A167" t="s">
        <v>255</v>
      </c>
      <c r="B167" s="8" t="s">
        <v>1485</v>
      </c>
      <c r="C167" s="1">
        <f t="shared" si="60"/>
        <v>6146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 t="shared" si="61"/>
        <v>5</v>
      </c>
      <c r="G167" s="1">
        <f t="shared" si="62"/>
        <v>233</v>
      </c>
      <c r="H167" s="2">
        <f t="shared" si="63"/>
        <v>3.7910836316303285E-2</v>
      </c>
      <c r="I167" s="6"/>
      <c r="J167" s="2">
        <f t="shared" si="64"/>
        <v>0.45379108363163034</v>
      </c>
      <c r="K167" s="2">
        <f t="shared" si="65"/>
        <v>0.49170191994793361</v>
      </c>
      <c r="L167" s="2">
        <f t="shared" si="66"/>
        <v>9.7624471200780994E-4</v>
      </c>
      <c r="M167" s="2">
        <f t="shared" si="67"/>
        <v>5.3530751708428241E-2</v>
      </c>
      <c r="N167" s="63">
        <v>2789</v>
      </c>
      <c r="O167" s="63">
        <v>3022</v>
      </c>
      <c r="P167" s="63">
        <v>6</v>
      </c>
      <c r="Q167" s="63">
        <v>232</v>
      </c>
      <c r="R167" s="63">
        <v>97</v>
      </c>
      <c r="S167" s="63">
        <v>0</v>
      </c>
      <c r="T167" s="63">
        <v>0</v>
      </c>
      <c r="U167" s="63"/>
      <c r="V167" s="63">
        <v>0</v>
      </c>
      <c r="W167" s="63">
        <f t="shared" si="68"/>
        <v>0</v>
      </c>
      <c r="Y167" s="63">
        <v>0</v>
      </c>
      <c r="Z167" s="63"/>
      <c r="AA167" s="63"/>
      <c r="AB167" s="63"/>
      <c r="AE167" s="8">
        <v>0</v>
      </c>
      <c r="AM167">
        <v>0</v>
      </c>
      <c r="AQ167">
        <v>0</v>
      </c>
      <c r="AT167" t="str">
        <f t="shared" si="69"/>
        <v>Windsor Locks</v>
      </c>
      <c r="AU167" t="s">
        <v>1737</v>
      </c>
      <c r="AV167" s="8">
        <v>1</v>
      </c>
      <c r="AX167" s="114">
        <v>9</v>
      </c>
      <c r="AY167" s="116">
        <v>3</v>
      </c>
      <c r="AZ167" s="116">
        <v>155</v>
      </c>
      <c r="BA167" s="120">
        <v>87070</v>
      </c>
      <c r="BB167" s="120">
        <f t="shared" si="70"/>
        <v>9003</v>
      </c>
      <c r="BC167" t="s">
        <v>1472</v>
      </c>
      <c r="BD167" s="124">
        <f t="shared" si="71"/>
        <v>987070</v>
      </c>
      <c r="BI167">
        <v>9.36</v>
      </c>
      <c r="BJ167">
        <v>0.33</v>
      </c>
      <c r="BK167">
        <v>9.0299999999999994</v>
      </c>
      <c r="BL167" s="2"/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9" hidden="1" outlineLevel="1">
      <c r="A168" t="s">
        <v>2752</v>
      </c>
      <c r="B168" s="8" t="s">
        <v>1485</v>
      </c>
      <c r="C168" s="1">
        <f t="shared" si="60"/>
        <v>9092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61"/>
        <v>5</v>
      </c>
      <c r="G168" s="1">
        <f t="shared" si="62"/>
        <v>3617</v>
      </c>
      <c r="H168" s="2">
        <f t="shared" si="63"/>
        <v>0.39782226132864057</v>
      </c>
      <c r="I168" s="6"/>
      <c r="J168" s="2">
        <f t="shared" si="64"/>
        <v>0.2832160140783106</v>
      </c>
      <c r="K168" s="2">
        <f t="shared" si="65"/>
        <v>0.68103827540695117</v>
      </c>
      <c r="L168" s="2">
        <f t="shared" si="66"/>
        <v>5.4993400791904972E-4</v>
      </c>
      <c r="M168" s="2">
        <f t="shared" si="67"/>
        <v>3.5195776506819133E-2</v>
      </c>
      <c r="N168" s="63">
        <v>2575</v>
      </c>
      <c r="O168" s="63">
        <v>6192</v>
      </c>
      <c r="P168" s="63">
        <v>5</v>
      </c>
      <c r="Q168" s="63">
        <v>235</v>
      </c>
      <c r="R168" s="63">
        <v>85</v>
      </c>
      <c r="S168" s="63">
        <v>0</v>
      </c>
      <c r="T168" s="63">
        <v>0</v>
      </c>
      <c r="U168" s="63"/>
      <c r="V168" s="63">
        <v>0</v>
      </c>
      <c r="W168" s="63">
        <f t="shared" si="68"/>
        <v>0</v>
      </c>
      <c r="Y168" s="63">
        <v>0</v>
      </c>
      <c r="Z168" s="63"/>
      <c r="AA168" s="63"/>
      <c r="AB168" s="63"/>
      <c r="AE168" s="8">
        <v>0</v>
      </c>
      <c r="AM168">
        <v>0</v>
      </c>
      <c r="AQ168">
        <v>0</v>
      </c>
      <c r="AT168" t="str">
        <f t="shared" si="69"/>
        <v>Wolcott</v>
      </c>
      <c r="AU168" t="s">
        <v>2797</v>
      </c>
      <c r="AV168" s="8">
        <v>5</v>
      </c>
      <c r="AX168" s="114">
        <v>9</v>
      </c>
      <c r="AY168" s="116">
        <v>9</v>
      </c>
      <c r="AZ168" s="116">
        <v>130</v>
      </c>
      <c r="BA168" s="120">
        <v>87560</v>
      </c>
      <c r="BB168" s="120">
        <f t="shared" si="70"/>
        <v>9009</v>
      </c>
      <c r="BC168" t="s">
        <v>1472</v>
      </c>
      <c r="BD168" s="124">
        <f t="shared" si="71"/>
        <v>987560</v>
      </c>
      <c r="BI168">
        <v>21.11</v>
      </c>
      <c r="BJ168">
        <v>0.68</v>
      </c>
      <c r="BK168">
        <v>20.43</v>
      </c>
      <c r="BL168" s="2"/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9" hidden="1" outlineLevel="1">
      <c r="A169" t="s">
        <v>2750</v>
      </c>
      <c r="B169" s="8" t="s">
        <v>1485</v>
      </c>
      <c r="C169" s="1">
        <f t="shared" si="60"/>
        <v>5353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61"/>
        <v>5</v>
      </c>
      <c r="G169" s="1">
        <f t="shared" si="62"/>
        <v>1519</v>
      </c>
      <c r="H169" s="2">
        <f t="shared" si="63"/>
        <v>0.28376611246030264</v>
      </c>
      <c r="I169" s="6"/>
      <c r="J169" s="2">
        <f t="shared" si="64"/>
        <v>0.62264150943396224</v>
      </c>
      <c r="K169" s="2">
        <f t="shared" si="65"/>
        <v>0.33887539697365965</v>
      </c>
      <c r="L169" s="2">
        <f t="shared" si="66"/>
        <v>2.0549224733794136E-3</v>
      </c>
      <c r="M169" s="2">
        <f t="shared" si="67"/>
        <v>3.6428171118998702E-2</v>
      </c>
      <c r="N169" s="63">
        <v>3333</v>
      </c>
      <c r="O169" s="63">
        <v>1814</v>
      </c>
      <c r="P169" s="63">
        <v>11</v>
      </c>
      <c r="Q169" s="63">
        <v>120</v>
      </c>
      <c r="R169" s="63">
        <v>73</v>
      </c>
      <c r="S169" s="63">
        <v>0</v>
      </c>
      <c r="T169" s="63">
        <v>0</v>
      </c>
      <c r="U169" s="63"/>
      <c r="V169" s="63">
        <v>1</v>
      </c>
      <c r="W169" s="63">
        <f t="shared" si="68"/>
        <v>1</v>
      </c>
      <c r="Y169" s="63">
        <v>0</v>
      </c>
      <c r="Z169" s="63"/>
      <c r="AA169" s="63"/>
      <c r="AB169" s="63"/>
      <c r="AE169" s="8">
        <v>0</v>
      </c>
      <c r="AM169">
        <v>0</v>
      </c>
      <c r="AQ169">
        <v>0</v>
      </c>
      <c r="AT169" t="str">
        <f t="shared" si="69"/>
        <v>Woodbridge</v>
      </c>
      <c r="AU169" t="s">
        <v>2797</v>
      </c>
      <c r="AV169" s="8">
        <v>3</v>
      </c>
      <c r="AX169" s="114">
        <v>9</v>
      </c>
      <c r="AY169" s="116">
        <v>9</v>
      </c>
      <c r="AZ169" s="116">
        <v>135</v>
      </c>
      <c r="BA169" s="120">
        <v>87700</v>
      </c>
      <c r="BB169" s="120">
        <f t="shared" si="70"/>
        <v>9009</v>
      </c>
      <c r="BC169" t="s">
        <v>1472</v>
      </c>
      <c r="BD169" s="124">
        <f t="shared" si="71"/>
        <v>987700</v>
      </c>
      <c r="BI169">
        <v>19.23</v>
      </c>
      <c r="BJ169">
        <v>0.39</v>
      </c>
      <c r="BK169">
        <v>18.829999999999998</v>
      </c>
      <c r="BL169" s="2"/>
      <c r="BS169">
        <v>0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9" hidden="1" outlineLevel="1">
      <c r="A170" t="s">
        <v>784</v>
      </c>
      <c r="B170" s="8" t="s">
        <v>1485</v>
      </c>
      <c r="C170" s="1">
        <f t="shared" si="60"/>
        <v>5930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61"/>
        <v>6</v>
      </c>
      <c r="G170" s="1">
        <f t="shared" si="62"/>
        <v>705</v>
      </c>
      <c r="H170" s="2">
        <f t="shared" si="63"/>
        <v>0.11888701517706576</v>
      </c>
      <c r="I170" s="6"/>
      <c r="J170" s="2">
        <f t="shared" si="64"/>
        <v>0.41585160202360877</v>
      </c>
      <c r="K170" s="2">
        <f t="shared" si="65"/>
        <v>0.5347386172006745</v>
      </c>
      <c r="L170" s="2">
        <f t="shared" si="66"/>
        <v>5.05902192242833E-4</v>
      </c>
      <c r="M170" s="2">
        <f t="shared" si="67"/>
        <v>4.8903878583473948E-2</v>
      </c>
      <c r="N170" s="63">
        <v>2466</v>
      </c>
      <c r="O170" s="63">
        <v>3171</v>
      </c>
      <c r="P170" s="63">
        <v>3</v>
      </c>
      <c r="Q170" s="63">
        <v>149</v>
      </c>
      <c r="R170" s="63">
        <v>79</v>
      </c>
      <c r="S170" s="63">
        <v>3</v>
      </c>
      <c r="T170" s="63">
        <v>3</v>
      </c>
      <c r="U170" s="63"/>
      <c r="V170" s="63">
        <v>3</v>
      </c>
      <c r="W170" s="63">
        <f t="shared" si="68"/>
        <v>41</v>
      </c>
      <c r="Y170" s="63">
        <v>3</v>
      </c>
      <c r="Z170" s="63"/>
      <c r="AA170" s="63"/>
      <c r="AB170" s="63"/>
      <c r="AE170" s="8">
        <v>3</v>
      </c>
      <c r="AM170">
        <v>3</v>
      </c>
      <c r="AQ170">
        <v>3</v>
      </c>
      <c r="AT170" t="str">
        <f t="shared" si="69"/>
        <v>Woodbury</v>
      </c>
      <c r="AU170" t="s">
        <v>1276</v>
      </c>
      <c r="AV170" s="8">
        <v>5</v>
      </c>
      <c r="AX170" s="114">
        <v>9</v>
      </c>
      <c r="AY170" s="116">
        <v>5</v>
      </c>
      <c r="AZ170" s="116">
        <v>130</v>
      </c>
      <c r="BA170" s="120">
        <v>87910</v>
      </c>
      <c r="BB170" s="120">
        <f t="shared" si="70"/>
        <v>9005</v>
      </c>
      <c r="BC170" t="s">
        <v>1472</v>
      </c>
      <c r="BD170" s="124">
        <f t="shared" si="71"/>
        <v>987910</v>
      </c>
      <c r="BI170">
        <v>36.729999999999997</v>
      </c>
      <c r="BJ170">
        <v>0.27</v>
      </c>
      <c r="BK170">
        <v>36.47</v>
      </c>
      <c r="BL170" s="2"/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8</v>
      </c>
    </row>
    <row r="171" spans="1:89" hidden="1" outlineLevel="1">
      <c r="A171" t="s">
        <v>1709</v>
      </c>
      <c r="B171" s="8" t="s">
        <v>1485</v>
      </c>
      <c r="C171" s="1">
        <f t="shared" si="60"/>
        <v>4486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 t="shared" si="61"/>
        <v>5</v>
      </c>
      <c r="G171" s="1">
        <f t="shared" si="62"/>
        <v>336</v>
      </c>
      <c r="H171" s="2">
        <f t="shared" si="63"/>
        <v>7.4899687917967014E-2</v>
      </c>
      <c r="I171" s="6"/>
      <c r="J171" s="2">
        <f t="shared" si="64"/>
        <v>0.43357111012037453</v>
      </c>
      <c r="K171" s="2">
        <f t="shared" si="65"/>
        <v>0.5084707980383415</v>
      </c>
      <c r="L171" s="2">
        <f t="shared" si="66"/>
        <v>8.9166295140436912E-4</v>
      </c>
      <c r="M171" s="2">
        <f t="shared" si="67"/>
        <v>5.706642888987961E-2</v>
      </c>
      <c r="N171" s="63">
        <v>1945</v>
      </c>
      <c r="O171" s="63">
        <v>2281</v>
      </c>
      <c r="P171" s="63">
        <v>4</v>
      </c>
      <c r="Q171" s="63">
        <v>187</v>
      </c>
      <c r="R171" s="63">
        <v>67</v>
      </c>
      <c r="S171" s="63">
        <v>0</v>
      </c>
      <c r="T171" s="63">
        <v>0</v>
      </c>
      <c r="U171" s="63"/>
      <c r="V171" s="63">
        <v>0</v>
      </c>
      <c r="W171" s="63">
        <f t="shared" si="68"/>
        <v>0</v>
      </c>
      <c r="Y171" s="63">
        <v>2</v>
      </c>
      <c r="Z171" s="63"/>
      <c r="AA171" s="63"/>
      <c r="AB171" s="63"/>
      <c r="AE171" s="8">
        <v>0</v>
      </c>
      <c r="AM171">
        <v>0</v>
      </c>
      <c r="AQ171">
        <v>0</v>
      </c>
      <c r="AT171" t="str">
        <f t="shared" si="69"/>
        <v>Woodstock</v>
      </c>
      <c r="AU171" t="s">
        <v>2129</v>
      </c>
      <c r="AV171" s="8">
        <v>2</v>
      </c>
      <c r="AX171" s="114">
        <v>9</v>
      </c>
      <c r="AY171" s="116">
        <v>15</v>
      </c>
      <c r="AZ171" s="116">
        <v>75</v>
      </c>
      <c r="BA171" s="120">
        <v>88190</v>
      </c>
      <c r="BB171" s="120">
        <f t="shared" si="70"/>
        <v>9015</v>
      </c>
      <c r="BC171" t="s">
        <v>1472</v>
      </c>
      <c r="BD171" s="124">
        <f t="shared" si="71"/>
        <v>988190</v>
      </c>
      <c r="BI171">
        <v>61.83</v>
      </c>
      <c r="BJ171">
        <v>1.3</v>
      </c>
      <c r="BK171">
        <v>60.54</v>
      </c>
      <c r="BL171" s="2"/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9" collapsed="1">
      <c r="A172" s="8" t="s">
        <v>1033</v>
      </c>
      <c r="B172" s="8" t="s">
        <v>544</v>
      </c>
      <c r="C172" s="1">
        <f t="shared" si="60"/>
        <v>1644920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61"/>
        <v>5</v>
      </c>
      <c r="G172" s="1">
        <f t="shared" si="62"/>
        <v>224357</v>
      </c>
      <c r="H172" s="2">
        <f t="shared" si="63"/>
        <v>0.13639386717895094</v>
      </c>
      <c r="I172" s="6"/>
      <c r="J172" s="2">
        <f t="shared" si="64"/>
        <v>0.54566301096709868</v>
      </c>
      <c r="K172" s="2">
        <f t="shared" si="65"/>
        <v>0.40926914378814777</v>
      </c>
      <c r="L172" s="2">
        <f t="shared" si="66"/>
        <v>1.2815212897891691E-3</v>
      </c>
      <c r="M172" s="2">
        <f t="shared" si="67"/>
        <v>4.3786323954964373E-2</v>
      </c>
      <c r="N172" s="63">
        <f>SUM(N3:N171)</f>
        <v>897572</v>
      </c>
      <c r="O172" s="63">
        <f t="shared" ref="O172:W172" si="72">SUM(O3:O171)</f>
        <v>673215</v>
      </c>
      <c r="P172" s="63">
        <f t="shared" si="72"/>
        <v>2108</v>
      </c>
      <c r="Q172" s="63">
        <f t="shared" si="72"/>
        <v>48676</v>
      </c>
      <c r="R172" s="63">
        <f t="shared" si="72"/>
        <v>22841</v>
      </c>
      <c r="S172" s="63">
        <f t="shared" si="72"/>
        <v>147</v>
      </c>
      <c r="T172" s="63">
        <f t="shared" si="72"/>
        <v>12</v>
      </c>
      <c r="U172" s="63"/>
      <c r="V172" s="63">
        <f t="shared" si="72"/>
        <v>41</v>
      </c>
      <c r="W172" s="63">
        <f t="shared" si="72"/>
        <v>238</v>
      </c>
      <c r="X172" s="63"/>
      <c r="Y172" s="63">
        <f>SUM(Y3:Y171)</f>
        <v>31</v>
      </c>
      <c r="Z172" s="63"/>
      <c r="AA172" s="63"/>
      <c r="AB172" s="63"/>
      <c r="AE172" s="63">
        <f>SUM(AE3:AE171)</f>
        <v>23</v>
      </c>
      <c r="AL172" s="1"/>
      <c r="AM172" s="63">
        <f>SUM(AM3:AM171)</f>
        <v>4</v>
      </c>
      <c r="AN172" s="1"/>
      <c r="AO172" s="1"/>
      <c r="AP172" s="1"/>
      <c r="AQ172" s="63">
        <f>SUM(AQ3:AQ171)</f>
        <v>12</v>
      </c>
      <c r="AR172" s="1"/>
      <c r="AT172" t="str">
        <f t="shared" si="69"/>
        <v>Connecticut</v>
      </c>
      <c r="AX172" s="114">
        <v>9</v>
      </c>
      <c r="BB172" s="114">
        <v>9</v>
      </c>
      <c r="BC172" t="s">
        <v>711</v>
      </c>
      <c r="BD172" s="114">
        <v>9</v>
      </c>
      <c r="BI172">
        <v>5543.33</v>
      </c>
      <c r="BJ172">
        <v>698.53</v>
      </c>
      <c r="BK172">
        <v>4844.8</v>
      </c>
      <c r="BS172">
        <f>SUM(BS3:BS171)</f>
        <v>42</v>
      </c>
      <c r="BT172">
        <f t="shared" ref="BT172:CD172" si="73">SUM(BT3:BT171)</f>
        <v>12</v>
      </c>
      <c r="BU172">
        <f t="shared" si="73"/>
        <v>19</v>
      </c>
      <c r="BV172">
        <f t="shared" si="73"/>
        <v>57</v>
      </c>
      <c r="BW172">
        <f t="shared" si="73"/>
        <v>5</v>
      </c>
      <c r="BX172">
        <f t="shared" si="73"/>
        <v>13</v>
      </c>
      <c r="BY172">
        <f t="shared" si="73"/>
        <v>44</v>
      </c>
      <c r="BZ172">
        <f t="shared" si="73"/>
        <v>3</v>
      </c>
      <c r="CA172">
        <f t="shared" si="73"/>
        <v>6</v>
      </c>
      <c r="CB172">
        <f t="shared" si="73"/>
        <v>15</v>
      </c>
      <c r="CC172">
        <f t="shared" si="73"/>
        <v>4</v>
      </c>
      <c r="CD172">
        <f t="shared" si="73"/>
        <v>18</v>
      </c>
    </row>
    <row r="173" spans="1:89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BS173" s="132" t="s">
        <v>3734</v>
      </c>
    </row>
    <row r="174" spans="1:89" hidden="1" outlineLevel="1">
      <c r="A174" t="s">
        <v>2709</v>
      </c>
      <c r="B174" s="8" t="s">
        <v>1697</v>
      </c>
      <c r="C174" s="1">
        <f t="shared" ref="C174:C233" si="74">SUM(N174:AR174)</f>
        <v>397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 t="shared" ref="F174:F233" si="75">IF(P174&gt;0,RANK(P174,(N174:AE174)),0)</f>
        <v>0</v>
      </c>
      <c r="G174" s="1">
        <f t="shared" ref="G174:G233" si="76">IF(C174&gt;0,MAX(N174:P174)-LARGE(N174:P174,2),0)</f>
        <v>154</v>
      </c>
      <c r="H174" s="2">
        <f t="shared" ref="H174:H233" si="77">IF(C174&gt;0,G174/C174,0)</f>
        <v>0.38790931989924432</v>
      </c>
      <c r="I174" s="6"/>
      <c r="J174" s="2">
        <f t="shared" ref="J174:J233" si="78">IF(C174=0,"-",N174/C174)</f>
        <v>0.25440806045340053</v>
      </c>
      <c r="K174" s="2">
        <f t="shared" ref="K174:K233" si="79">IF(C174=0,"-",O174/C174)</f>
        <v>0.64231738035264485</v>
      </c>
      <c r="L174" s="2">
        <f t="shared" ref="L174:L233" si="80">IF(C174=0,"-",P174/C174)</f>
        <v>0</v>
      </c>
      <c r="M174" s="2">
        <f t="shared" ref="M174:M233" si="81">IF(C174=0,"-",(1-J174-K174-L174))</f>
        <v>0.10327455919395467</v>
      </c>
      <c r="N174" s="63">
        <v>101</v>
      </c>
      <c r="O174" s="63">
        <v>255</v>
      </c>
      <c r="P174" s="63">
        <v>0</v>
      </c>
      <c r="Q174" s="63">
        <v>31</v>
      </c>
      <c r="R174" s="63">
        <v>10</v>
      </c>
      <c r="S174" s="63">
        <v>0</v>
      </c>
      <c r="T174" s="67"/>
      <c r="U174" s="63"/>
      <c r="V174" s="63"/>
      <c r="W174" s="63">
        <f t="shared" ref="W174:W237" si="82">BS174</f>
        <v>0</v>
      </c>
      <c r="X174" s="63"/>
      <c r="Y174" s="63"/>
      <c r="Z174" s="63"/>
      <c r="AA174" s="63"/>
      <c r="AB174" s="63"/>
      <c r="AE174" s="8">
        <v>0</v>
      </c>
      <c r="AT174" t="str">
        <f t="shared" ref="AT174:AT233" si="83">A174</f>
        <v>Abbot</v>
      </c>
      <c r="AU174" t="s">
        <v>1957</v>
      </c>
      <c r="AV174">
        <v>2</v>
      </c>
      <c r="AX174" s="114">
        <v>23</v>
      </c>
      <c r="AY174" s="116">
        <v>21</v>
      </c>
      <c r="AZ174" s="116">
        <v>5</v>
      </c>
      <c r="BA174" s="120">
        <v>100</v>
      </c>
      <c r="BB174" s="120">
        <f t="shared" ref="BB174:BB233" si="84">AX174*1000+AY174</f>
        <v>23021</v>
      </c>
      <c r="BC174" t="s">
        <v>1472</v>
      </c>
      <c r="BD174">
        <f t="shared" ref="BD174:BD233" si="85">AX174*100000+BA174</f>
        <v>2300100</v>
      </c>
      <c r="BE174" s="1">
        <v>11</v>
      </c>
      <c r="BI174">
        <v>35.53</v>
      </c>
      <c r="BJ174">
        <v>0.8</v>
      </c>
      <c r="BK174">
        <v>34.74</v>
      </c>
      <c r="BS174" s="63">
        <v>0</v>
      </c>
      <c r="CK174" s="1" t="s">
        <v>3735</v>
      </c>
    </row>
    <row r="175" spans="1:89" hidden="1" outlineLevel="1">
      <c r="A175" t="s">
        <v>2032</v>
      </c>
      <c r="B175" s="8" t="s">
        <v>1697</v>
      </c>
      <c r="C175" s="1">
        <f t="shared" si="74"/>
        <v>1456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 t="shared" si="75"/>
        <v>5</v>
      </c>
      <c r="G175" s="1">
        <f t="shared" si="76"/>
        <v>278</v>
      </c>
      <c r="H175" s="2">
        <f t="shared" si="77"/>
        <v>0.19093406593406592</v>
      </c>
      <c r="I175" s="6"/>
      <c r="J175" s="2">
        <f t="shared" si="78"/>
        <v>0.37225274725274726</v>
      </c>
      <c r="K175" s="2">
        <f t="shared" si="79"/>
        <v>0.56318681318681318</v>
      </c>
      <c r="L175" s="2">
        <f t="shared" si="80"/>
        <v>1.3736263736263737E-3</v>
      </c>
      <c r="M175" s="2">
        <f t="shared" si="81"/>
        <v>6.3186813186813184E-2</v>
      </c>
      <c r="N175" s="63">
        <v>542</v>
      </c>
      <c r="O175" s="63">
        <v>820</v>
      </c>
      <c r="P175" s="63">
        <v>2</v>
      </c>
      <c r="Q175" s="63">
        <v>68</v>
      </c>
      <c r="R175" s="63">
        <v>23</v>
      </c>
      <c r="S175" s="63">
        <v>1</v>
      </c>
      <c r="T175" s="67"/>
      <c r="U175" s="63"/>
      <c r="V175" s="63"/>
      <c r="W175" s="63">
        <f t="shared" si="82"/>
        <v>0</v>
      </c>
      <c r="X175" s="63"/>
      <c r="Y175" s="63"/>
      <c r="Z175" s="63"/>
      <c r="AA175" s="63"/>
      <c r="AB175" s="63"/>
      <c r="AE175" s="8">
        <v>0</v>
      </c>
      <c r="AT175" t="str">
        <f t="shared" si="83"/>
        <v>Acton</v>
      </c>
      <c r="AU175" t="s">
        <v>925</v>
      </c>
      <c r="AV175">
        <v>1</v>
      </c>
      <c r="AX175" s="114">
        <v>23</v>
      </c>
      <c r="AY175" s="116">
        <v>31</v>
      </c>
      <c r="AZ175" s="116">
        <v>5</v>
      </c>
      <c r="BA175" s="120">
        <v>275</v>
      </c>
      <c r="BB175" s="120">
        <f t="shared" si="84"/>
        <v>23031</v>
      </c>
      <c r="BC175" t="s">
        <v>1472</v>
      </c>
      <c r="BD175">
        <f t="shared" si="85"/>
        <v>2300275</v>
      </c>
      <c r="BE175" s="1">
        <v>41</v>
      </c>
      <c r="BI175">
        <v>41.07</v>
      </c>
      <c r="BJ175">
        <v>3.41</v>
      </c>
      <c r="BK175">
        <v>37.659999999999997</v>
      </c>
      <c r="BS175" s="63">
        <v>0</v>
      </c>
      <c r="CK175" s="1" t="s">
        <v>3736</v>
      </c>
    </row>
    <row r="176" spans="1:89" hidden="1" outlineLevel="1">
      <c r="A176" t="s">
        <v>1346</v>
      </c>
      <c r="B176" s="8" t="s">
        <v>1697</v>
      </c>
      <c r="C176" s="1">
        <f t="shared" si="74"/>
        <v>665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 t="shared" si="75"/>
        <v>0</v>
      </c>
      <c r="G176" s="1">
        <f t="shared" si="76"/>
        <v>199</v>
      </c>
      <c r="H176" s="2">
        <f t="shared" si="77"/>
        <v>0.29924812030075187</v>
      </c>
      <c r="I176" s="6"/>
      <c r="J176" s="2">
        <f t="shared" si="78"/>
        <v>0.31578947368421051</v>
      </c>
      <c r="K176" s="2">
        <f t="shared" si="79"/>
        <v>0.61503759398496238</v>
      </c>
      <c r="L176" s="2">
        <f t="shared" si="80"/>
        <v>0</v>
      </c>
      <c r="M176" s="2">
        <f t="shared" si="81"/>
        <v>6.9172932330827108E-2</v>
      </c>
      <c r="N176" s="63">
        <v>210</v>
      </c>
      <c r="O176" s="63">
        <v>409</v>
      </c>
      <c r="P176" s="63">
        <v>0</v>
      </c>
      <c r="Q176" s="63">
        <v>36</v>
      </c>
      <c r="R176" s="63">
        <v>10</v>
      </c>
      <c r="S176" s="63">
        <v>0</v>
      </c>
      <c r="T176" s="67"/>
      <c r="U176" s="63"/>
      <c r="V176" s="63"/>
      <c r="W176" s="63">
        <f t="shared" si="82"/>
        <v>0</v>
      </c>
      <c r="X176" s="63"/>
      <c r="Y176" s="63"/>
      <c r="Z176" s="63"/>
      <c r="AA176" s="63"/>
      <c r="AB176" s="63"/>
      <c r="AE176" s="8">
        <v>0</v>
      </c>
      <c r="AT176" t="str">
        <f t="shared" si="83"/>
        <v>Addison</v>
      </c>
      <c r="AU176" t="s">
        <v>692</v>
      </c>
      <c r="AV176">
        <v>2</v>
      </c>
      <c r="AX176" s="114">
        <v>23</v>
      </c>
      <c r="AY176" s="116">
        <v>29</v>
      </c>
      <c r="AZ176" s="116">
        <v>5</v>
      </c>
      <c r="BA176" s="120">
        <v>380</v>
      </c>
      <c r="BB176" s="120">
        <f t="shared" si="84"/>
        <v>23029</v>
      </c>
      <c r="BC176" t="s">
        <v>1472</v>
      </c>
      <c r="BD176">
        <f t="shared" si="85"/>
        <v>2300380</v>
      </c>
      <c r="BE176" s="1">
        <v>15</v>
      </c>
      <c r="BI176">
        <v>97.23</v>
      </c>
      <c r="BJ176">
        <v>54.85</v>
      </c>
      <c r="BK176">
        <v>42.38</v>
      </c>
      <c r="BS176" s="63">
        <v>0</v>
      </c>
      <c r="CK176" s="1" t="s">
        <v>3737</v>
      </c>
    </row>
    <row r="177" spans="1:89" hidden="1" outlineLevel="1">
      <c r="A177" t="s">
        <v>233</v>
      </c>
      <c r="B177" s="8" t="s">
        <v>1697</v>
      </c>
      <c r="C177" s="1">
        <f t="shared" si="74"/>
        <v>304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 t="shared" si="75"/>
        <v>0</v>
      </c>
      <c r="G177" s="1">
        <f t="shared" si="76"/>
        <v>46</v>
      </c>
      <c r="H177" s="2">
        <f t="shared" si="77"/>
        <v>0.15131578947368421</v>
      </c>
      <c r="I177" s="6"/>
      <c r="J177" s="2">
        <f t="shared" si="78"/>
        <v>0.34868421052631576</v>
      </c>
      <c r="K177" s="2">
        <f t="shared" si="79"/>
        <v>0.5</v>
      </c>
      <c r="L177" s="2">
        <f t="shared" si="80"/>
        <v>0</v>
      </c>
      <c r="M177" s="2">
        <f t="shared" si="81"/>
        <v>0.15131578947368429</v>
      </c>
      <c r="N177" s="63">
        <v>106</v>
      </c>
      <c r="O177" s="63">
        <v>152</v>
      </c>
      <c r="P177" s="63">
        <v>0</v>
      </c>
      <c r="Q177" s="63">
        <v>33</v>
      </c>
      <c r="R177" s="63">
        <v>13</v>
      </c>
      <c r="S177" s="63">
        <v>0</v>
      </c>
      <c r="T177" s="67"/>
      <c r="U177" s="63"/>
      <c r="V177" s="63"/>
      <c r="W177" s="63">
        <f t="shared" si="82"/>
        <v>0</v>
      </c>
      <c r="X177" s="63"/>
      <c r="Y177" s="63"/>
      <c r="Z177" s="63"/>
      <c r="AA177" s="63"/>
      <c r="AB177" s="63"/>
      <c r="AE177" s="8">
        <v>0</v>
      </c>
      <c r="AT177" t="str">
        <f t="shared" si="83"/>
        <v>Albany</v>
      </c>
      <c r="AU177" t="s">
        <v>2383</v>
      </c>
      <c r="AV177">
        <v>2</v>
      </c>
      <c r="AX177" s="114">
        <v>23</v>
      </c>
      <c r="AY177" s="116">
        <v>17</v>
      </c>
      <c r="BA177" s="120">
        <v>390</v>
      </c>
      <c r="BB177" s="120">
        <f t="shared" si="84"/>
        <v>23017</v>
      </c>
      <c r="BC177" t="s">
        <v>957</v>
      </c>
      <c r="BD177">
        <f t="shared" si="85"/>
        <v>2300390</v>
      </c>
      <c r="BE177" s="1">
        <v>11</v>
      </c>
      <c r="BS177" s="63">
        <v>0</v>
      </c>
      <c r="CK177" s="1" t="s">
        <v>3738</v>
      </c>
    </row>
    <row r="178" spans="1:89" hidden="1" outlineLevel="1">
      <c r="A178" t="s">
        <v>1284</v>
      </c>
      <c r="B178" s="8" t="s">
        <v>1697</v>
      </c>
      <c r="C178" s="1">
        <f t="shared" si="74"/>
        <v>1140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 t="shared" si="75"/>
        <v>5</v>
      </c>
      <c r="G178" s="1">
        <f t="shared" si="76"/>
        <v>387</v>
      </c>
      <c r="H178" s="2">
        <f t="shared" si="77"/>
        <v>0.33947368421052632</v>
      </c>
      <c r="I178" s="6"/>
      <c r="J178" s="2">
        <f t="shared" si="78"/>
        <v>0.28859649122807018</v>
      </c>
      <c r="K178" s="2">
        <f t="shared" si="79"/>
        <v>0.62807017543859645</v>
      </c>
      <c r="L178" s="2">
        <f t="shared" si="80"/>
        <v>1.7543859649122807E-3</v>
      </c>
      <c r="M178" s="2">
        <f t="shared" si="81"/>
        <v>8.1578947368421084E-2</v>
      </c>
      <c r="N178" s="63">
        <v>329</v>
      </c>
      <c r="O178" s="63">
        <v>716</v>
      </c>
      <c r="P178" s="63">
        <v>2</v>
      </c>
      <c r="Q178" s="63">
        <v>65</v>
      </c>
      <c r="R178" s="63">
        <v>27</v>
      </c>
      <c r="S178" s="63">
        <v>1</v>
      </c>
      <c r="T178" s="67"/>
      <c r="U178" s="63"/>
      <c r="V178" s="63"/>
      <c r="W178" s="63">
        <f t="shared" si="82"/>
        <v>0</v>
      </c>
      <c r="X178" s="63"/>
      <c r="Y178" s="63"/>
      <c r="Z178" s="63"/>
      <c r="AA178" s="63"/>
      <c r="AB178" s="63"/>
      <c r="AE178" s="8">
        <v>0</v>
      </c>
      <c r="AT178" t="str">
        <f t="shared" si="83"/>
        <v>Albion</v>
      </c>
      <c r="AU178" t="s">
        <v>3007</v>
      </c>
      <c r="AV178">
        <v>2</v>
      </c>
      <c r="AX178" s="114">
        <v>23</v>
      </c>
      <c r="AY178" s="116">
        <v>11</v>
      </c>
      <c r="AZ178" s="116">
        <v>5</v>
      </c>
      <c r="BA178" s="120">
        <v>590</v>
      </c>
      <c r="BB178" s="120">
        <f t="shared" si="84"/>
        <v>23011</v>
      </c>
      <c r="BC178" t="s">
        <v>1472</v>
      </c>
      <c r="BD178">
        <f t="shared" si="85"/>
        <v>2300590</v>
      </c>
      <c r="BE178" s="1">
        <v>35</v>
      </c>
      <c r="BI178">
        <v>39.479999999999997</v>
      </c>
      <c r="BJ178">
        <v>0.63</v>
      </c>
      <c r="BK178">
        <v>38.85</v>
      </c>
      <c r="BS178" s="63">
        <v>0</v>
      </c>
      <c r="CK178" s="1" t="s">
        <v>3739</v>
      </c>
    </row>
    <row r="179" spans="1:89" hidden="1" outlineLevel="1">
      <c r="A179" t="s">
        <v>26</v>
      </c>
      <c r="B179" s="8" t="s">
        <v>1697</v>
      </c>
      <c r="C179" s="1">
        <f t="shared" si="74"/>
        <v>305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 t="shared" si="75"/>
        <v>4</v>
      </c>
      <c r="G179" s="1">
        <f t="shared" si="76"/>
        <v>128</v>
      </c>
      <c r="H179" s="2">
        <f t="shared" si="77"/>
        <v>0.41967213114754098</v>
      </c>
      <c r="I179" s="6"/>
      <c r="J179" s="2">
        <f t="shared" si="78"/>
        <v>0.26229508196721313</v>
      </c>
      <c r="K179" s="2">
        <f t="shared" si="79"/>
        <v>0.68196721311475406</v>
      </c>
      <c r="L179" s="2">
        <f t="shared" si="80"/>
        <v>1.6393442622950821E-2</v>
      </c>
      <c r="M179" s="2">
        <f t="shared" si="81"/>
        <v>3.9344262295081936E-2</v>
      </c>
      <c r="N179" s="63">
        <v>80</v>
      </c>
      <c r="O179" s="63">
        <v>208</v>
      </c>
      <c r="P179" s="63">
        <v>5</v>
      </c>
      <c r="Q179" s="63">
        <v>7</v>
      </c>
      <c r="R179" s="63">
        <v>5</v>
      </c>
      <c r="S179" s="63">
        <v>0</v>
      </c>
      <c r="T179" s="67"/>
      <c r="U179" s="63"/>
      <c r="V179" s="63"/>
      <c r="W179" s="63">
        <f t="shared" si="82"/>
        <v>0</v>
      </c>
      <c r="X179" s="63"/>
      <c r="Y179" s="63"/>
      <c r="Z179" s="63"/>
      <c r="AA179" s="63"/>
      <c r="AB179" s="63"/>
      <c r="AE179" s="8">
        <v>0</v>
      </c>
      <c r="AT179" t="str">
        <f t="shared" si="83"/>
        <v>Alexander</v>
      </c>
      <c r="AU179" t="s">
        <v>692</v>
      </c>
      <c r="AV179">
        <v>2</v>
      </c>
      <c r="AX179" s="114">
        <v>23</v>
      </c>
      <c r="AY179" s="116">
        <v>29</v>
      </c>
      <c r="AZ179" s="116">
        <v>10</v>
      </c>
      <c r="BA179" s="120">
        <v>660</v>
      </c>
      <c r="BB179" s="120">
        <f t="shared" si="84"/>
        <v>23029</v>
      </c>
      <c r="BC179" t="s">
        <v>1472</v>
      </c>
      <c r="BD179">
        <f t="shared" si="85"/>
        <v>2300660</v>
      </c>
      <c r="BE179" s="1">
        <v>8</v>
      </c>
      <c r="BI179">
        <v>45.11</v>
      </c>
      <c r="BJ179">
        <v>5.53</v>
      </c>
      <c r="BK179">
        <v>39.58</v>
      </c>
      <c r="BS179" s="63">
        <v>0</v>
      </c>
      <c r="CK179" s="1" t="s">
        <v>3740</v>
      </c>
    </row>
    <row r="180" spans="1:89" hidden="1" outlineLevel="1">
      <c r="A180" t="s">
        <v>1282</v>
      </c>
      <c r="B180" s="8" t="s">
        <v>1697</v>
      </c>
      <c r="C180" s="1">
        <f t="shared" si="74"/>
        <v>1813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 t="shared" si="75"/>
        <v>0</v>
      </c>
      <c r="G180" s="1">
        <f t="shared" si="76"/>
        <v>73</v>
      </c>
      <c r="H180" s="2">
        <f t="shared" si="77"/>
        <v>4.0264754550468837E-2</v>
      </c>
      <c r="I180" s="6"/>
      <c r="J180" s="2">
        <f t="shared" si="78"/>
        <v>0.44787644787644787</v>
      </c>
      <c r="K180" s="2">
        <f t="shared" si="79"/>
        <v>0.48814120242691672</v>
      </c>
      <c r="L180" s="2">
        <f t="shared" si="80"/>
        <v>0</v>
      </c>
      <c r="M180" s="2">
        <f t="shared" si="81"/>
        <v>6.398234969663541E-2</v>
      </c>
      <c r="N180" s="63">
        <v>812</v>
      </c>
      <c r="O180" s="63">
        <v>885</v>
      </c>
      <c r="P180" s="63">
        <v>0</v>
      </c>
      <c r="Q180" s="63">
        <v>92</v>
      </c>
      <c r="R180" s="63">
        <v>24</v>
      </c>
      <c r="S180" s="63">
        <v>0</v>
      </c>
      <c r="T180" s="67"/>
      <c r="U180" s="63"/>
      <c r="V180" s="63"/>
      <c r="W180" s="63">
        <f t="shared" si="82"/>
        <v>0</v>
      </c>
      <c r="X180" s="63"/>
      <c r="Y180" s="63"/>
      <c r="Z180" s="63"/>
      <c r="AA180" s="63"/>
      <c r="AB180" s="63"/>
      <c r="AE180" s="8">
        <v>0</v>
      </c>
      <c r="AT180" t="str">
        <f t="shared" si="83"/>
        <v>Alfred</v>
      </c>
      <c r="AU180" t="s">
        <v>925</v>
      </c>
      <c r="AV180">
        <v>1</v>
      </c>
      <c r="AX180" s="114">
        <v>23</v>
      </c>
      <c r="AY180" s="116">
        <v>31</v>
      </c>
      <c r="AZ180" s="116">
        <v>10</v>
      </c>
      <c r="BA180" s="120">
        <v>730</v>
      </c>
      <c r="BB180" s="120">
        <f t="shared" si="84"/>
        <v>23031</v>
      </c>
      <c r="BC180" t="s">
        <v>1472</v>
      </c>
      <c r="BD180">
        <f t="shared" si="85"/>
        <v>2300730</v>
      </c>
      <c r="BE180" s="1">
        <v>60</v>
      </c>
      <c r="BI180">
        <v>27.91</v>
      </c>
      <c r="BJ180">
        <v>0.67</v>
      </c>
      <c r="BK180">
        <v>27.24</v>
      </c>
      <c r="BS180" s="63">
        <v>0</v>
      </c>
      <c r="CK180" s="1" t="s">
        <v>3741</v>
      </c>
    </row>
    <row r="181" spans="1:89" hidden="1" outlineLevel="1">
      <c r="A181" t="s">
        <v>2826</v>
      </c>
      <c r="B181" s="8" t="s">
        <v>1697</v>
      </c>
      <c r="C181" s="1">
        <f t="shared" si="74"/>
        <v>160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 t="shared" si="75"/>
        <v>0</v>
      </c>
      <c r="G181" s="1">
        <f t="shared" si="76"/>
        <v>16</v>
      </c>
      <c r="H181" s="2">
        <f t="shared" si="77"/>
        <v>0.1</v>
      </c>
      <c r="I181" s="6"/>
      <c r="J181" s="2">
        <f t="shared" si="78"/>
        <v>0.43125000000000002</v>
      </c>
      <c r="K181" s="2">
        <f t="shared" si="79"/>
        <v>0.53125</v>
      </c>
      <c r="L181" s="2">
        <f t="shared" si="80"/>
        <v>0</v>
      </c>
      <c r="M181" s="2">
        <f t="shared" si="81"/>
        <v>3.7499999999999978E-2</v>
      </c>
      <c r="N181" s="63">
        <v>69</v>
      </c>
      <c r="O181" s="63">
        <v>85</v>
      </c>
      <c r="P181" s="63">
        <v>0</v>
      </c>
      <c r="Q181" s="63">
        <v>3</v>
      </c>
      <c r="R181" s="63">
        <v>2</v>
      </c>
      <c r="S181" s="63">
        <v>1</v>
      </c>
      <c r="T181" s="67"/>
      <c r="U181" s="63"/>
      <c r="V181" s="63"/>
      <c r="W181" s="63">
        <f t="shared" si="82"/>
        <v>0</v>
      </c>
      <c r="X181" s="63"/>
      <c r="Y181" s="63"/>
      <c r="Z181" s="63"/>
      <c r="AA181" s="63"/>
      <c r="AB181" s="63"/>
      <c r="AE181" s="8">
        <v>0</v>
      </c>
      <c r="AT181" t="str">
        <f t="shared" si="83"/>
        <v>Allagash</v>
      </c>
      <c r="AU181" t="s">
        <v>2830</v>
      </c>
      <c r="AV181">
        <v>2</v>
      </c>
      <c r="AX181" s="114">
        <v>23</v>
      </c>
      <c r="AY181" s="116">
        <v>3</v>
      </c>
      <c r="AZ181" s="116">
        <v>5</v>
      </c>
      <c r="BA181" s="120">
        <v>800</v>
      </c>
      <c r="BB181" s="120">
        <f t="shared" si="84"/>
        <v>23003</v>
      </c>
      <c r="BC181" t="s">
        <v>1472</v>
      </c>
      <c r="BD181">
        <f t="shared" si="85"/>
        <v>2300800</v>
      </c>
      <c r="BE181" s="1">
        <v>9</v>
      </c>
      <c r="BI181">
        <v>131.31</v>
      </c>
      <c r="BJ181">
        <v>2.83</v>
      </c>
      <c r="BK181">
        <v>128.47999999999999</v>
      </c>
      <c r="BS181" s="63">
        <v>0</v>
      </c>
      <c r="CK181" s="158" t="s">
        <v>3742</v>
      </c>
    </row>
    <row r="182" spans="1:89" hidden="1" outlineLevel="1">
      <c r="A182" t="s">
        <v>2172</v>
      </c>
      <c r="B182" s="8" t="s">
        <v>1697</v>
      </c>
      <c r="C182" s="1">
        <f t="shared" si="74"/>
        <v>467</v>
      </c>
      <c r="D182" s="5">
        <f>IF(N182&gt;0, RANK(N182,(N182:P182,Q182:AE182)),0)</f>
        <v>1</v>
      </c>
      <c r="E182" s="5">
        <f>IF(O182&gt;0,RANK(O182,(N182:P182,Q182:AE182)),0)</f>
        <v>2</v>
      </c>
      <c r="F182" s="5">
        <f t="shared" si="75"/>
        <v>0</v>
      </c>
      <c r="G182" s="1">
        <f t="shared" si="76"/>
        <v>86</v>
      </c>
      <c r="H182" s="2">
        <f t="shared" si="77"/>
        <v>0.1841541755888651</v>
      </c>
      <c r="I182" s="6"/>
      <c r="J182" s="2">
        <f t="shared" si="78"/>
        <v>0.56102783725910066</v>
      </c>
      <c r="K182" s="2">
        <f t="shared" si="79"/>
        <v>0.37687366167023556</v>
      </c>
      <c r="L182" s="2">
        <f t="shared" si="80"/>
        <v>0</v>
      </c>
      <c r="M182" s="2">
        <f t="shared" si="81"/>
        <v>6.2098501070663781E-2</v>
      </c>
      <c r="N182" s="63">
        <v>262</v>
      </c>
      <c r="O182" s="63">
        <v>176</v>
      </c>
      <c r="P182" s="63">
        <v>0</v>
      </c>
      <c r="Q182" s="63">
        <v>15</v>
      </c>
      <c r="R182" s="63">
        <v>14</v>
      </c>
      <c r="S182" s="63">
        <v>0</v>
      </c>
      <c r="T182" s="67"/>
      <c r="U182" s="63"/>
      <c r="V182" s="63"/>
      <c r="W182" s="63">
        <f t="shared" si="82"/>
        <v>0</v>
      </c>
      <c r="X182" s="63"/>
      <c r="Y182" s="63"/>
      <c r="Z182" s="63"/>
      <c r="AA182" s="63"/>
      <c r="AB182" s="63"/>
      <c r="AE182" s="8">
        <v>0</v>
      </c>
      <c r="AT182" t="str">
        <f t="shared" si="83"/>
        <v>Alna</v>
      </c>
      <c r="AU182" t="s">
        <v>1597</v>
      </c>
      <c r="AV182">
        <v>1</v>
      </c>
      <c r="AX182" s="114">
        <v>23</v>
      </c>
      <c r="AY182" s="116">
        <v>15</v>
      </c>
      <c r="AZ182" s="116">
        <v>5</v>
      </c>
      <c r="BA182" s="120">
        <v>1010</v>
      </c>
      <c r="BB182" s="120">
        <f t="shared" si="84"/>
        <v>23015</v>
      </c>
      <c r="BC182" t="s">
        <v>1472</v>
      </c>
      <c r="BD182">
        <f t="shared" si="85"/>
        <v>2301010</v>
      </c>
      <c r="BE182" s="1">
        <v>15</v>
      </c>
      <c r="BI182">
        <v>21.39</v>
      </c>
      <c r="BJ182">
        <v>0.47</v>
      </c>
      <c r="BK182">
        <v>20.92</v>
      </c>
      <c r="BS182" s="63">
        <v>0</v>
      </c>
      <c r="CK182" s="1" t="s">
        <v>3743</v>
      </c>
    </row>
    <row r="183" spans="1:89" hidden="1" outlineLevel="1">
      <c r="A183" t="s">
        <v>1489</v>
      </c>
      <c r="B183" s="8" t="s">
        <v>1697</v>
      </c>
      <c r="C183" s="1">
        <f t="shared" si="74"/>
        <v>464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 t="shared" si="75"/>
        <v>0</v>
      </c>
      <c r="G183" s="1">
        <f t="shared" si="76"/>
        <v>120</v>
      </c>
      <c r="H183" s="2">
        <f t="shared" si="77"/>
        <v>0.25862068965517243</v>
      </c>
      <c r="I183" s="6"/>
      <c r="J183" s="2">
        <f t="shared" si="78"/>
        <v>0.32974137931034481</v>
      </c>
      <c r="K183" s="2">
        <f t="shared" si="79"/>
        <v>0.58836206896551724</v>
      </c>
      <c r="L183" s="2">
        <f t="shared" si="80"/>
        <v>0</v>
      </c>
      <c r="M183" s="2">
        <f t="shared" si="81"/>
        <v>8.1896551724138011E-2</v>
      </c>
      <c r="N183" s="63">
        <v>153</v>
      </c>
      <c r="O183" s="63">
        <v>273</v>
      </c>
      <c r="P183" s="63">
        <v>0</v>
      </c>
      <c r="Q183" s="63">
        <v>33</v>
      </c>
      <c r="R183" s="63">
        <v>5</v>
      </c>
      <c r="S183" s="63">
        <v>0</v>
      </c>
      <c r="T183" s="67"/>
      <c r="U183" s="63"/>
      <c r="V183" s="63"/>
      <c r="W183" s="63">
        <f t="shared" si="82"/>
        <v>0</v>
      </c>
      <c r="X183" s="63"/>
      <c r="Y183" s="63"/>
      <c r="Z183" s="63"/>
      <c r="AA183" s="63"/>
      <c r="AB183" s="63"/>
      <c r="AE183" s="8">
        <v>0</v>
      </c>
      <c r="AT183" t="str">
        <f t="shared" si="83"/>
        <v>Alton</v>
      </c>
      <c r="AU183" t="s">
        <v>2481</v>
      </c>
      <c r="AV183">
        <v>2</v>
      </c>
      <c r="AX183" s="114">
        <v>23</v>
      </c>
      <c r="AY183" s="116">
        <v>19</v>
      </c>
      <c r="AZ183" s="116">
        <v>5</v>
      </c>
      <c r="BA183" s="120">
        <v>1115</v>
      </c>
      <c r="BB183" s="120">
        <f t="shared" si="84"/>
        <v>23019</v>
      </c>
      <c r="BC183" t="s">
        <v>1472</v>
      </c>
      <c r="BD183">
        <f t="shared" si="85"/>
        <v>2301115</v>
      </c>
      <c r="BE183" s="1">
        <v>9</v>
      </c>
      <c r="BI183">
        <v>42.76</v>
      </c>
      <c r="BJ183">
        <v>0.37</v>
      </c>
      <c r="BK183">
        <v>42.39</v>
      </c>
      <c r="BS183" s="63">
        <v>0</v>
      </c>
      <c r="CK183" s="1" t="s">
        <v>3744</v>
      </c>
    </row>
    <row r="184" spans="1:89" hidden="1" outlineLevel="1">
      <c r="A184" t="s">
        <v>2474</v>
      </c>
      <c r="B184" s="8" t="s">
        <v>1697</v>
      </c>
      <c r="C184" s="1">
        <f t="shared" si="74"/>
        <v>169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 t="shared" si="75"/>
        <v>0</v>
      </c>
      <c r="G184" s="1">
        <f t="shared" si="76"/>
        <v>42</v>
      </c>
      <c r="H184" s="2">
        <f t="shared" si="77"/>
        <v>0.24852071005917159</v>
      </c>
      <c r="I184" s="6"/>
      <c r="J184" s="2">
        <f t="shared" si="78"/>
        <v>0.33727810650887574</v>
      </c>
      <c r="K184" s="2">
        <f t="shared" si="79"/>
        <v>0.58579881656804733</v>
      </c>
      <c r="L184" s="2">
        <f t="shared" si="80"/>
        <v>0</v>
      </c>
      <c r="M184" s="2">
        <f t="shared" si="81"/>
        <v>7.6923076923076983E-2</v>
      </c>
      <c r="N184" s="63">
        <v>57</v>
      </c>
      <c r="O184" s="63">
        <v>99</v>
      </c>
      <c r="P184" s="63">
        <v>0</v>
      </c>
      <c r="Q184" s="63">
        <v>7</v>
      </c>
      <c r="R184" s="63">
        <v>6</v>
      </c>
      <c r="S184" s="63">
        <v>0</v>
      </c>
      <c r="T184" s="67"/>
      <c r="U184" s="63"/>
      <c r="V184" s="63"/>
      <c r="W184" s="63">
        <f t="shared" si="82"/>
        <v>0</v>
      </c>
      <c r="X184" s="63"/>
      <c r="Y184" s="63"/>
      <c r="Z184" s="63"/>
      <c r="AA184" s="63"/>
      <c r="AB184" s="63"/>
      <c r="AE184" s="8">
        <v>0</v>
      </c>
      <c r="AT184" t="str">
        <f t="shared" si="83"/>
        <v>Amherst</v>
      </c>
      <c r="AU184" t="s">
        <v>597</v>
      </c>
      <c r="AV184">
        <v>2</v>
      </c>
      <c r="AX184" s="114">
        <v>23</v>
      </c>
      <c r="AY184" s="116">
        <v>9</v>
      </c>
      <c r="AZ184" s="116">
        <v>5</v>
      </c>
      <c r="BA184" s="120">
        <v>1185</v>
      </c>
      <c r="BB184" s="120">
        <f t="shared" si="84"/>
        <v>23009</v>
      </c>
      <c r="BC184" t="s">
        <v>1472</v>
      </c>
      <c r="BD184">
        <f t="shared" si="85"/>
        <v>2301185</v>
      </c>
      <c r="BE184" s="1">
        <v>5</v>
      </c>
      <c r="BI184">
        <v>39.29</v>
      </c>
      <c r="BJ184">
        <v>0.32</v>
      </c>
      <c r="BK184">
        <v>38.97</v>
      </c>
      <c r="BS184" s="63">
        <v>0</v>
      </c>
      <c r="CK184" s="1" t="s">
        <v>3745</v>
      </c>
    </row>
    <row r="185" spans="1:89" hidden="1" outlineLevel="1">
      <c r="A185" t="s">
        <v>454</v>
      </c>
      <c r="B185" s="8" t="s">
        <v>1697</v>
      </c>
      <c r="C185" s="1">
        <f t="shared" si="74"/>
        <v>119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 t="shared" si="75"/>
        <v>0</v>
      </c>
      <c r="G185" s="1">
        <f t="shared" si="76"/>
        <v>53</v>
      </c>
      <c r="H185" s="2">
        <f t="shared" si="77"/>
        <v>0.44537815126050423</v>
      </c>
      <c r="I185" s="6"/>
      <c r="J185" s="2">
        <f t="shared" si="78"/>
        <v>0.24369747899159663</v>
      </c>
      <c r="K185" s="2">
        <f t="shared" si="79"/>
        <v>0.68907563025210083</v>
      </c>
      <c r="L185" s="2">
        <f t="shared" si="80"/>
        <v>0</v>
      </c>
      <c r="M185" s="2">
        <f t="shared" si="81"/>
        <v>6.7226890756302504E-2</v>
      </c>
      <c r="N185" s="63">
        <v>29</v>
      </c>
      <c r="O185" s="63">
        <v>82</v>
      </c>
      <c r="P185" s="63">
        <v>0</v>
      </c>
      <c r="Q185" s="63">
        <v>4</v>
      </c>
      <c r="R185" s="63">
        <v>2</v>
      </c>
      <c r="S185" s="63">
        <v>2</v>
      </c>
      <c r="T185" s="67"/>
      <c r="U185" s="63"/>
      <c r="V185" s="63"/>
      <c r="W185" s="63">
        <f t="shared" si="82"/>
        <v>0</v>
      </c>
      <c r="X185" s="63"/>
      <c r="Y185" s="63"/>
      <c r="Z185" s="63"/>
      <c r="AA185" s="63"/>
      <c r="AB185" s="63"/>
      <c r="AE185" s="8">
        <v>0</v>
      </c>
      <c r="AT185" t="str">
        <f t="shared" si="83"/>
        <v>Amity</v>
      </c>
      <c r="AU185" t="s">
        <v>2830</v>
      </c>
      <c r="AV185">
        <v>2</v>
      </c>
      <c r="AX185" s="114">
        <v>23</v>
      </c>
      <c r="AY185" s="116">
        <v>3</v>
      </c>
      <c r="AZ185" s="116">
        <v>10</v>
      </c>
      <c r="BA185" s="120">
        <v>1220</v>
      </c>
      <c r="BB185" s="120">
        <f t="shared" si="84"/>
        <v>23003</v>
      </c>
      <c r="BC185" t="s">
        <v>1472</v>
      </c>
      <c r="BD185">
        <f t="shared" si="85"/>
        <v>2301220</v>
      </c>
      <c r="BE185" s="1">
        <v>5</v>
      </c>
      <c r="BI185">
        <v>42.13</v>
      </c>
      <c r="BJ185">
        <v>0</v>
      </c>
      <c r="BK185">
        <v>42.13</v>
      </c>
      <c r="BS185" s="63">
        <v>0</v>
      </c>
      <c r="CK185" s="1" t="s">
        <v>3746</v>
      </c>
    </row>
    <row r="186" spans="1:89" hidden="1" outlineLevel="1">
      <c r="A186" t="s">
        <v>772</v>
      </c>
      <c r="B186" s="8" t="s">
        <v>1697</v>
      </c>
      <c r="C186" s="1">
        <f t="shared" si="74"/>
        <v>528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 t="shared" si="75"/>
        <v>0</v>
      </c>
      <c r="G186" s="1">
        <f t="shared" si="76"/>
        <v>85</v>
      </c>
      <c r="H186" s="2">
        <f t="shared" si="77"/>
        <v>0.16098484848484848</v>
      </c>
      <c r="I186" s="6"/>
      <c r="J186" s="2">
        <f t="shared" si="78"/>
        <v>0.36931818181818182</v>
      </c>
      <c r="K186" s="2">
        <f t="shared" si="79"/>
        <v>0.53030303030303028</v>
      </c>
      <c r="L186" s="2">
        <f t="shared" si="80"/>
        <v>0</v>
      </c>
      <c r="M186" s="2">
        <f t="shared" si="81"/>
        <v>0.10037878787878785</v>
      </c>
      <c r="N186" s="63">
        <v>195</v>
      </c>
      <c r="O186" s="63">
        <v>280</v>
      </c>
      <c r="P186" s="63">
        <v>0</v>
      </c>
      <c r="Q186" s="63">
        <v>40</v>
      </c>
      <c r="R186" s="63">
        <v>13</v>
      </c>
      <c r="S186" s="63">
        <v>0</v>
      </c>
      <c r="T186" s="67"/>
      <c r="U186" s="63"/>
      <c r="V186" s="63"/>
      <c r="W186" s="63">
        <f t="shared" si="82"/>
        <v>0</v>
      </c>
      <c r="X186" s="63"/>
      <c r="Y186" s="63"/>
      <c r="Z186" s="63"/>
      <c r="AA186" s="63"/>
      <c r="AB186" s="63"/>
      <c r="AE186" s="8">
        <v>0</v>
      </c>
      <c r="AT186" t="str">
        <f t="shared" si="83"/>
        <v>Andover</v>
      </c>
      <c r="AU186" t="s">
        <v>2383</v>
      </c>
      <c r="AV186">
        <v>2</v>
      </c>
      <c r="AX186" s="114">
        <v>23</v>
      </c>
      <c r="AY186" s="116">
        <v>17</v>
      </c>
      <c r="AZ186" s="116">
        <v>5</v>
      </c>
      <c r="BA186" s="120">
        <v>1325</v>
      </c>
      <c r="BB186" s="120">
        <f t="shared" si="84"/>
        <v>23017</v>
      </c>
      <c r="BC186" t="s">
        <v>1472</v>
      </c>
      <c r="BD186">
        <f t="shared" si="85"/>
        <v>2301325</v>
      </c>
      <c r="BE186" s="1">
        <v>18</v>
      </c>
      <c r="BI186">
        <v>57.45</v>
      </c>
      <c r="BJ186">
        <v>0.04</v>
      </c>
      <c r="BK186">
        <v>57.41</v>
      </c>
      <c r="BS186" s="63">
        <v>0</v>
      </c>
      <c r="CK186" s="1" t="s">
        <v>3747</v>
      </c>
    </row>
    <row r="187" spans="1:89" hidden="1" outlineLevel="1">
      <c r="A187" t="s">
        <v>68</v>
      </c>
      <c r="B187" s="8" t="s">
        <v>1697</v>
      </c>
      <c r="C187" s="1">
        <f t="shared" si="74"/>
        <v>1144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 t="shared" si="75"/>
        <v>0</v>
      </c>
      <c r="G187" s="1">
        <f t="shared" si="76"/>
        <v>345</v>
      </c>
      <c r="H187" s="2">
        <f t="shared" si="77"/>
        <v>0.30157342657342656</v>
      </c>
      <c r="I187" s="6"/>
      <c r="J187" s="2">
        <f t="shared" si="78"/>
        <v>0.31468531468531469</v>
      </c>
      <c r="K187" s="2">
        <f t="shared" si="79"/>
        <v>0.61625874125874125</v>
      </c>
      <c r="L187" s="2">
        <f t="shared" si="80"/>
        <v>0</v>
      </c>
      <c r="M187" s="2">
        <f t="shared" si="81"/>
        <v>6.9055944055944063E-2</v>
      </c>
      <c r="N187" s="63">
        <v>360</v>
      </c>
      <c r="O187" s="63">
        <v>705</v>
      </c>
      <c r="P187" s="63">
        <v>0</v>
      </c>
      <c r="Q187" s="63">
        <v>57</v>
      </c>
      <c r="R187" s="63">
        <v>20</v>
      </c>
      <c r="S187" s="63">
        <v>2</v>
      </c>
      <c r="T187" s="67"/>
      <c r="U187" s="63"/>
      <c r="V187" s="63"/>
      <c r="W187" s="63">
        <f t="shared" si="82"/>
        <v>0</v>
      </c>
      <c r="X187" s="63"/>
      <c r="Y187" s="63"/>
      <c r="Z187" s="63"/>
      <c r="AA187" s="63"/>
      <c r="AB187" s="63"/>
      <c r="AE187" s="8">
        <v>0</v>
      </c>
      <c r="AT187" t="str">
        <f t="shared" si="83"/>
        <v>Anson</v>
      </c>
      <c r="AU187" t="s">
        <v>1787</v>
      </c>
      <c r="AV187">
        <v>2</v>
      </c>
      <c r="AX187" s="114">
        <v>23</v>
      </c>
      <c r="AY187" s="116">
        <v>25</v>
      </c>
      <c r="AZ187" s="116">
        <v>5</v>
      </c>
      <c r="BA187" s="120">
        <v>1395</v>
      </c>
      <c r="BB187" s="120">
        <f t="shared" si="84"/>
        <v>23025</v>
      </c>
      <c r="BC187" t="s">
        <v>1472</v>
      </c>
      <c r="BD187">
        <f t="shared" si="85"/>
        <v>2301395</v>
      </c>
      <c r="BE187" s="1">
        <v>31</v>
      </c>
      <c r="BI187">
        <v>48.36</v>
      </c>
      <c r="BJ187">
        <v>0.87</v>
      </c>
      <c r="BK187">
        <v>47.49</v>
      </c>
      <c r="BS187" s="63">
        <v>0</v>
      </c>
      <c r="CK187" s="158" t="s">
        <v>3748</v>
      </c>
    </row>
    <row r="188" spans="1:89" hidden="1" outlineLevel="1">
      <c r="A188" t="s">
        <v>1971</v>
      </c>
      <c r="B188" s="8" t="s">
        <v>1697</v>
      </c>
      <c r="C188" s="1">
        <f t="shared" si="74"/>
        <v>849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 t="shared" si="75"/>
        <v>5</v>
      </c>
      <c r="G188" s="1">
        <f t="shared" si="76"/>
        <v>3</v>
      </c>
      <c r="H188" s="2">
        <f t="shared" si="77"/>
        <v>3.5335689045936395E-3</v>
      </c>
      <c r="I188" s="6"/>
      <c r="J188" s="2">
        <f t="shared" si="78"/>
        <v>0.4628975265017668</v>
      </c>
      <c r="K188" s="2">
        <f t="shared" si="79"/>
        <v>0.46643109540636041</v>
      </c>
      <c r="L188" s="2">
        <f t="shared" si="80"/>
        <v>3.5335689045936395E-3</v>
      </c>
      <c r="M188" s="2">
        <f t="shared" si="81"/>
        <v>6.7137809187279213E-2</v>
      </c>
      <c r="N188" s="63">
        <v>393</v>
      </c>
      <c r="O188" s="63">
        <v>396</v>
      </c>
      <c r="P188" s="63">
        <v>3</v>
      </c>
      <c r="Q188" s="63">
        <v>41</v>
      </c>
      <c r="R188" s="63">
        <v>16</v>
      </c>
      <c r="S188" s="63">
        <v>0</v>
      </c>
      <c r="T188" s="67"/>
      <c r="U188" s="63"/>
      <c r="V188" s="63"/>
      <c r="W188" s="63">
        <f t="shared" si="82"/>
        <v>0</v>
      </c>
      <c r="X188" s="63"/>
      <c r="Y188" s="63"/>
      <c r="Z188" s="63"/>
      <c r="AA188" s="63"/>
      <c r="AB188" s="63"/>
      <c r="AE188" s="8">
        <v>0</v>
      </c>
      <c r="AT188" t="str">
        <f t="shared" si="83"/>
        <v>Appleton</v>
      </c>
      <c r="AU188" t="s">
        <v>1729</v>
      </c>
      <c r="AV188">
        <v>1</v>
      </c>
      <c r="AX188" s="114">
        <v>23</v>
      </c>
      <c r="AY188" s="116">
        <v>13</v>
      </c>
      <c r="AZ188" s="116">
        <v>5</v>
      </c>
      <c r="BA188" s="120">
        <v>1465</v>
      </c>
      <c r="BB188" s="120">
        <f t="shared" si="84"/>
        <v>23013</v>
      </c>
      <c r="BC188" t="s">
        <v>1472</v>
      </c>
      <c r="BD188">
        <f t="shared" si="85"/>
        <v>2301465</v>
      </c>
      <c r="BE188" s="1">
        <v>25</v>
      </c>
      <c r="BI188">
        <v>33.51</v>
      </c>
      <c r="BJ188">
        <v>0.77</v>
      </c>
      <c r="BK188">
        <v>32.75</v>
      </c>
      <c r="BS188" s="63">
        <v>0</v>
      </c>
      <c r="CK188" s="159" t="s">
        <v>3749</v>
      </c>
    </row>
    <row r="189" spans="1:89" hidden="1" outlineLevel="1">
      <c r="A189" t="s">
        <v>2268</v>
      </c>
      <c r="B189" s="8" t="s">
        <v>1697</v>
      </c>
      <c r="C189" s="1">
        <f t="shared" si="74"/>
        <v>84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 t="shared" si="75"/>
        <v>0</v>
      </c>
      <c r="G189" s="1">
        <f t="shared" si="76"/>
        <v>13</v>
      </c>
      <c r="H189" s="2">
        <f t="shared" si="77"/>
        <v>0.15476190476190477</v>
      </c>
      <c r="I189" s="6"/>
      <c r="J189" s="2">
        <f t="shared" si="78"/>
        <v>0.40476190476190477</v>
      </c>
      <c r="K189" s="2">
        <f t="shared" si="79"/>
        <v>0.55952380952380953</v>
      </c>
      <c r="L189" s="2">
        <f t="shared" si="80"/>
        <v>0</v>
      </c>
      <c r="M189" s="2">
        <f t="shared" si="81"/>
        <v>3.5714285714285698E-2</v>
      </c>
      <c r="N189" s="63">
        <v>34</v>
      </c>
      <c r="O189" s="63">
        <v>47</v>
      </c>
      <c r="P189" s="63">
        <v>0</v>
      </c>
      <c r="Q189" s="63">
        <v>2</v>
      </c>
      <c r="R189" s="63">
        <v>1</v>
      </c>
      <c r="S189" s="63">
        <v>0</v>
      </c>
      <c r="T189" s="67"/>
      <c r="U189" s="63"/>
      <c r="V189" s="63"/>
      <c r="W189" s="63">
        <f t="shared" si="82"/>
        <v>0</v>
      </c>
      <c r="X189" s="63"/>
      <c r="Y189" s="63"/>
      <c r="Z189" s="63"/>
      <c r="AA189" s="63"/>
      <c r="AB189" s="63"/>
      <c r="AE189" s="8">
        <v>0</v>
      </c>
      <c r="AT189" t="str">
        <f t="shared" si="83"/>
        <v>Argyle</v>
      </c>
      <c r="AU189" t="s">
        <v>2481</v>
      </c>
      <c r="AV189">
        <v>2</v>
      </c>
      <c r="AX189" s="114">
        <v>23</v>
      </c>
      <c r="AY189" s="116">
        <v>19</v>
      </c>
      <c r="BA189" s="120">
        <v>1500</v>
      </c>
      <c r="BB189" s="120">
        <f t="shared" si="84"/>
        <v>23019</v>
      </c>
      <c r="BC189" t="s">
        <v>957</v>
      </c>
      <c r="BD189">
        <f t="shared" si="85"/>
        <v>2301500</v>
      </c>
      <c r="BE189" s="1">
        <v>2</v>
      </c>
      <c r="BS189" s="63">
        <v>0</v>
      </c>
      <c r="CK189" s="1" t="s">
        <v>3750</v>
      </c>
    </row>
    <row r="190" spans="1:89" hidden="1" outlineLevel="1">
      <c r="A190" t="s">
        <v>2846</v>
      </c>
      <c r="B190" s="8" t="s">
        <v>1697</v>
      </c>
      <c r="C190" s="1">
        <f t="shared" si="74"/>
        <v>339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 t="shared" si="75"/>
        <v>0</v>
      </c>
      <c r="G190" s="1">
        <f t="shared" si="76"/>
        <v>124</v>
      </c>
      <c r="H190" s="2">
        <f t="shared" si="77"/>
        <v>0.36578171091445427</v>
      </c>
      <c r="I190" s="6"/>
      <c r="J190" s="2">
        <f t="shared" si="78"/>
        <v>0.65486725663716816</v>
      </c>
      <c r="K190" s="2">
        <f t="shared" si="79"/>
        <v>0.28908554572271389</v>
      </c>
      <c r="L190" s="2">
        <f t="shared" si="80"/>
        <v>0</v>
      </c>
      <c r="M190" s="2">
        <f t="shared" si="81"/>
        <v>5.6047197640117952E-2</v>
      </c>
      <c r="N190" s="63">
        <v>222</v>
      </c>
      <c r="O190" s="63">
        <v>98</v>
      </c>
      <c r="P190" s="63">
        <v>0</v>
      </c>
      <c r="Q190" s="63">
        <v>9</v>
      </c>
      <c r="R190" s="63">
        <v>10</v>
      </c>
      <c r="S190" s="63">
        <v>0</v>
      </c>
      <c r="T190" s="67"/>
      <c r="U190" s="63"/>
      <c r="V190" s="63"/>
      <c r="W190" s="63">
        <f t="shared" si="82"/>
        <v>0</v>
      </c>
      <c r="X190" s="63"/>
      <c r="Y190" s="63"/>
      <c r="Z190" s="63"/>
      <c r="AA190" s="63"/>
      <c r="AB190" s="63"/>
      <c r="AE190" s="8">
        <v>0</v>
      </c>
      <c r="AT190" t="str">
        <f t="shared" si="83"/>
        <v>Arrowsic</v>
      </c>
      <c r="AU190" t="s">
        <v>1283</v>
      </c>
      <c r="AV190">
        <v>1</v>
      </c>
      <c r="AX190" s="114">
        <v>23</v>
      </c>
      <c r="AY190" s="116">
        <v>23</v>
      </c>
      <c r="AZ190" s="116">
        <v>5</v>
      </c>
      <c r="BA190" s="120">
        <v>1570</v>
      </c>
      <c r="BB190" s="120">
        <f t="shared" si="84"/>
        <v>23023</v>
      </c>
      <c r="BC190" t="s">
        <v>1472</v>
      </c>
      <c r="BD190">
        <f t="shared" si="85"/>
        <v>2301570</v>
      </c>
      <c r="BE190" s="1">
        <v>12</v>
      </c>
      <c r="BI190">
        <v>10.77</v>
      </c>
      <c r="BJ190">
        <v>2.99</v>
      </c>
      <c r="BK190">
        <v>7.78</v>
      </c>
      <c r="BS190" s="63">
        <v>0</v>
      </c>
      <c r="CK190" s="1" t="s">
        <v>3751</v>
      </c>
    </row>
    <row r="191" spans="1:89" hidden="1" outlineLevel="1">
      <c r="A191" t="s">
        <v>2539</v>
      </c>
      <c r="B191" s="8" t="s">
        <v>1697</v>
      </c>
      <c r="C191" s="1">
        <f t="shared" si="74"/>
        <v>2451</v>
      </c>
      <c r="D191" s="5">
        <f>IF(N191&gt;0, RANK(N191,(N191:P191,Q191:AE191)),0)</f>
        <v>2</v>
      </c>
      <c r="E191" s="5">
        <f>IF(O191&gt;0,RANK(O191,(N191:P191,Q191:AE191)),0)</f>
        <v>1</v>
      </c>
      <c r="F191" s="5">
        <f t="shared" si="75"/>
        <v>5</v>
      </c>
      <c r="G191" s="1">
        <f t="shared" si="76"/>
        <v>134</v>
      </c>
      <c r="H191" s="2">
        <f t="shared" si="77"/>
        <v>5.4671562627498983E-2</v>
      </c>
      <c r="I191" s="6"/>
      <c r="J191" s="2">
        <f t="shared" si="78"/>
        <v>0.43410852713178294</v>
      </c>
      <c r="K191" s="2">
        <f t="shared" si="79"/>
        <v>0.48878008975928194</v>
      </c>
      <c r="L191" s="2">
        <f t="shared" si="80"/>
        <v>2.0399836801305591E-3</v>
      </c>
      <c r="M191" s="2">
        <f t="shared" si="81"/>
        <v>7.5071399428804558E-2</v>
      </c>
      <c r="N191" s="63">
        <v>1064</v>
      </c>
      <c r="O191" s="63">
        <v>1198</v>
      </c>
      <c r="P191" s="63">
        <v>5</v>
      </c>
      <c r="Q191" s="63">
        <v>141</v>
      </c>
      <c r="R191" s="63">
        <v>43</v>
      </c>
      <c r="S191" s="63">
        <v>0</v>
      </c>
      <c r="T191" s="67"/>
      <c r="U191" s="63"/>
      <c r="V191" s="63"/>
      <c r="W191" s="63">
        <f t="shared" si="82"/>
        <v>0</v>
      </c>
      <c r="X191" s="63"/>
      <c r="Y191" s="63"/>
      <c r="Z191" s="63"/>
      <c r="AA191" s="63"/>
      <c r="AB191" s="63"/>
      <c r="AE191" s="8">
        <v>0</v>
      </c>
      <c r="AT191" t="str">
        <f t="shared" si="83"/>
        <v>Arundel</v>
      </c>
      <c r="AU191" t="s">
        <v>925</v>
      </c>
      <c r="AV191">
        <v>1</v>
      </c>
      <c r="AX191" s="114">
        <v>23</v>
      </c>
      <c r="AY191" s="116">
        <v>31</v>
      </c>
      <c r="AZ191" s="116">
        <v>15</v>
      </c>
      <c r="BA191" s="120">
        <v>1605</v>
      </c>
      <c r="BB191" s="120">
        <f t="shared" si="84"/>
        <v>23031</v>
      </c>
      <c r="BC191" t="s">
        <v>1472</v>
      </c>
      <c r="BD191">
        <f t="shared" si="85"/>
        <v>2301605</v>
      </c>
      <c r="BE191" s="1">
        <v>85</v>
      </c>
      <c r="BI191">
        <v>23.94</v>
      </c>
      <c r="BJ191">
        <v>0.03</v>
      </c>
      <c r="BK191">
        <v>23.91</v>
      </c>
      <c r="BS191" s="63">
        <v>0</v>
      </c>
      <c r="CK191" s="1" t="s">
        <v>3752</v>
      </c>
    </row>
    <row r="192" spans="1:89" hidden="1" outlineLevel="1">
      <c r="A192" t="s">
        <v>196</v>
      </c>
      <c r="B192" s="8" t="s">
        <v>1697</v>
      </c>
      <c r="C192" s="1">
        <f t="shared" si="74"/>
        <v>606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 t="shared" si="75"/>
        <v>0</v>
      </c>
      <c r="G192" s="1">
        <f t="shared" si="76"/>
        <v>139</v>
      </c>
      <c r="H192" s="2">
        <f t="shared" si="77"/>
        <v>0.22937293729372937</v>
      </c>
      <c r="I192" s="6"/>
      <c r="J192" s="2">
        <f t="shared" si="78"/>
        <v>0.34323432343234322</v>
      </c>
      <c r="K192" s="2">
        <f t="shared" si="79"/>
        <v>0.5726072607260726</v>
      </c>
      <c r="L192" s="2">
        <f t="shared" si="80"/>
        <v>0</v>
      </c>
      <c r="M192" s="2">
        <f t="shared" si="81"/>
        <v>8.4158415841584233E-2</v>
      </c>
      <c r="N192" s="63">
        <v>208</v>
      </c>
      <c r="O192" s="63">
        <v>347</v>
      </c>
      <c r="P192" s="63">
        <v>0</v>
      </c>
      <c r="Q192" s="63">
        <v>40</v>
      </c>
      <c r="R192" s="63">
        <v>11</v>
      </c>
      <c r="S192" s="63">
        <v>0</v>
      </c>
      <c r="T192" s="67"/>
      <c r="U192" s="63"/>
      <c r="V192" s="63"/>
      <c r="W192" s="63">
        <f t="shared" si="82"/>
        <v>0</v>
      </c>
      <c r="X192" s="63"/>
      <c r="Y192" s="63"/>
      <c r="Z192" s="63"/>
      <c r="AA192" s="63"/>
      <c r="AB192" s="63"/>
      <c r="AE192" s="8">
        <v>0</v>
      </c>
      <c r="AT192" t="str">
        <f t="shared" si="83"/>
        <v>Ashland</v>
      </c>
      <c r="AU192" t="s">
        <v>2830</v>
      </c>
      <c r="AV192">
        <v>2</v>
      </c>
      <c r="AX192" s="114">
        <v>23</v>
      </c>
      <c r="AY192" s="116">
        <v>3</v>
      </c>
      <c r="AZ192" s="116">
        <v>15</v>
      </c>
      <c r="BA192" s="120">
        <v>1710</v>
      </c>
      <c r="BB192" s="120">
        <f t="shared" si="84"/>
        <v>23003</v>
      </c>
      <c r="BC192" t="s">
        <v>1472</v>
      </c>
      <c r="BD192">
        <f t="shared" si="85"/>
        <v>2301710</v>
      </c>
      <c r="BE192" s="1">
        <v>22</v>
      </c>
      <c r="BI192">
        <v>81.73</v>
      </c>
      <c r="BJ192">
        <v>1.1399999999999999</v>
      </c>
      <c r="BK192">
        <v>80.59</v>
      </c>
      <c r="BS192" s="63">
        <v>0</v>
      </c>
      <c r="CK192" s="1" t="s">
        <v>3753</v>
      </c>
    </row>
    <row r="193" spans="1:89" hidden="1" outlineLevel="1">
      <c r="A193" t="s">
        <v>1528</v>
      </c>
      <c r="B193" s="8" t="s">
        <v>1697</v>
      </c>
      <c r="C193" s="1">
        <f t="shared" si="74"/>
        <v>480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 t="shared" si="75"/>
        <v>0</v>
      </c>
      <c r="G193" s="1">
        <f t="shared" si="76"/>
        <v>115</v>
      </c>
      <c r="H193" s="2">
        <f t="shared" si="77"/>
        <v>0.23958333333333334</v>
      </c>
      <c r="I193" s="6"/>
      <c r="J193" s="2">
        <f t="shared" si="78"/>
        <v>0.33333333333333331</v>
      </c>
      <c r="K193" s="2">
        <f t="shared" si="79"/>
        <v>0.57291666666666663</v>
      </c>
      <c r="L193" s="2">
        <f t="shared" si="80"/>
        <v>0</v>
      </c>
      <c r="M193" s="2">
        <f t="shared" si="81"/>
        <v>9.3750000000000111E-2</v>
      </c>
      <c r="N193" s="63">
        <v>160</v>
      </c>
      <c r="O193" s="63">
        <v>275</v>
      </c>
      <c r="P193" s="63">
        <v>0</v>
      </c>
      <c r="Q193" s="63">
        <v>32</v>
      </c>
      <c r="R193" s="63">
        <v>13</v>
      </c>
      <c r="S193" s="63">
        <v>0</v>
      </c>
      <c r="T193" s="67"/>
      <c r="U193" s="63"/>
      <c r="V193" s="63"/>
      <c r="W193" s="63">
        <f t="shared" si="82"/>
        <v>0</v>
      </c>
      <c r="X193" s="63"/>
      <c r="Y193" s="63"/>
      <c r="Z193" s="63"/>
      <c r="AA193" s="63"/>
      <c r="AB193" s="63"/>
      <c r="AE193" s="8">
        <v>0</v>
      </c>
      <c r="AT193" t="str">
        <f t="shared" si="83"/>
        <v>Athens</v>
      </c>
      <c r="AU193" t="s">
        <v>1787</v>
      </c>
      <c r="AV193">
        <v>2</v>
      </c>
      <c r="AX193" s="114">
        <v>23</v>
      </c>
      <c r="AY193" s="116">
        <v>25</v>
      </c>
      <c r="AZ193" s="116">
        <v>10</v>
      </c>
      <c r="BA193" s="120">
        <v>1885</v>
      </c>
      <c r="BB193" s="120">
        <f t="shared" si="84"/>
        <v>23025</v>
      </c>
      <c r="BC193" t="s">
        <v>1472</v>
      </c>
      <c r="BD193">
        <f t="shared" si="85"/>
        <v>2301885</v>
      </c>
      <c r="BE193" s="1">
        <v>21</v>
      </c>
      <c r="BI193">
        <v>43.51</v>
      </c>
      <c r="BJ193">
        <v>0.02</v>
      </c>
      <c r="BK193">
        <v>43.5</v>
      </c>
      <c r="BS193" s="63">
        <v>0</v>
      </c>
      <c r="CK193" s="1" t="s">
        <v>3754</v>
      </c>
    </row>
    <row r="194" spans="1:89" hidden="1" outlineLevel="1">
      <c r="A194" t="s">
        <v>2168</v>
      </c>
      <c r="B194" s="8" t="s">
        <v>1697</v>
      </c>
      <c r="C194" s="1">
        <f t="shared" si="74"/>
        <v>182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 t="shared" si="75"/>
        <v>4</v>
      </c>
      <c r="G194" s="1">
        <f t="shared" si="76"/>
        <v>70</v>
      </c>
      <c r="H194" s="2">
        <f t="shared" si="77"/>
        <v>0.38461538461538464</v>
      </c>
      <c r="I194" s="6"/>
      <c r="J194" s="2">
        <f t="shared" si="78"/>
        <v>0.27472527472527475</v>
      </c>
      <c r="K194" s="2">
        <f t="shared" si="79"/>
        <v>0.65934065934065933</v>
      </c>
      <c r="L194" s="2">
        <f t="shared" si="80"/>
        <v>5.4945054945054949E-3</v>
      </c>
      <c r="M194" s="2">
        <f t="shared" si="81"/>
        <v>6.0439560439560426E-2</v>
      </c>
      <c r="N194" s="63">
        <v>50</v>
      </c>
      <c r="O194" s="63">
        <v>120</v>
      </c>
      <c r="P194" s="63">
        <v>1</v>
      </c>
      <c r="Q194" s="63">
        <v>10</v>
      </c>
      <c r="R194" s="63">
        <v>1</v>
      </c>
      <c r="S194" s="63">
        <v>0</v>
      </c>
      <c r="T194" s="67"/>
      <c r="U194" s="63"/>
      <c r="V194" s="63"/>
      <c r="W194" s="63">
        <f t="shared" si="82"/>
        <v>0</v>
      </c>
      <c r="X194" s="63"/>
      <c r="Y194" s="63"/>
      <c r="Z194" s="63"/>
      <c r="AA194" s="63"/>
      <c r="AB194" s="63"/>
      <c r="AE194" s="8">
        <v>0</v>
      </c>
      <c r="AT194" t="str">
        <f t="shared" si="83"/>
        <v>Atkinson</v>
      </c>
      <c r="AU194" t="s">
        <v>1957</v>
      </c>
      <c r="AV194">
        <v>2</v>
      </c>
      <c r="AX194" s="114">
        <v>23</v>
      </c>
      <c r="AY194" s="116">
        <v>21</v>
      </c>
      <c r="AZ194" s="116">
        <v>10</v>
      </c>
      <c r="BA194" s="120">
        <v>1920</v>
      </c>
      <c r="BB194" s="120">
        <f t="shared" si="84"/>
        <v>23021</v>
      </c>
      <c r="BC194" t="s">
        <v>1472</v>
      </c>
      <c r="BD194">
        <f t="shared" si="85"/>
        <v>2301920</v>
      </c>
      <c r="BE194" s="1">
        <v>6</v>
      </c>
      <c r="BI194">
        <v>39.19</v>
      </c>
      <c r="BJ194">
        <v>0.02</v>
      </c>
      <c r="BK194">
        <v>39.17</v>
      </c>
      <c r="BS194" s="63">
        <v>0</v>
      </c>
      <c r="CK194" s="1" t="s">
        <v>3755</v>
      </c>
    </row>
    <row r="195" spans="1:89" hidden="1" outlineLevel="1">
      <c r="A195" t="s">
        <v>1343</v>
      </c>
      <c r="B195" s="8" t="s">
        <v>1697</v>
      </c>
      <c r="C195" s="1">
        <f t="shared" si="74"/>
        <v>11608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 t="shared" si="75"/>
        <v>5</v>
      </c>
      <c r="G195" s="1">
        <f t="shared" si="76"/>
        <v>29</v>
      </c>
      <c r="H195" s="2">
        <f t="shared" si="77"/>
        <v>2.4982770503101308E-3</v>
      </c>
      <c r="I195" s="6"/>
      <c r="J195" s="2">
        <f t="shared" si="78"/>
        <v>0.45623707787732598</v>
      </c>
      <c r="K195" s="2">
        <f t="shared" si="79"/>
        <v>0.45873535492763612</v>
      </c>
      <c r="L195" s="2">
        <f t="shared" si="80"/>
        <v>3.359751895244659E-3</v>
      </c>
      <c r="M195" s="2">
        <f t="shared" si="81"/>
        <v>8.1667815299793292E-2</v>
      </c>
      <c r="N195" s="63">
        <v>5296</v>
      </c>
      <c r="O195" s="63">
        <v>5325</v>
      </c>
      <c r="P195" s="63">
        <v>39</v>
      </c>
      <c r="Q195" s="63">
        <v>737</v>
      </c>
      <c r="R195" s="63">
        <v>207</v>
      </c>
      <c r="S195" s="63">
        <v>4</v>
      </c>
      <c r="T195" s="67"/>
      <c r="U195" s="63"/>
      <c r="V195" s="63"/>
      <c r="W195" s="63">
        <f t="shared" si="82"/>
        <v>0</v>
      </c>
      <c r="X195" s="63"/>
      <c r="Y195" s="63"/>
      <c r="Z195" s="63"/>
      <c r="AA195" s="63"/>
      <c r="AB195" s="63"/>
      <c r="AE195" s="8">
        <v>0</v>
      </c>
      <c r="AT195" t="str">
        <f t="shared" si="83"/>
        <v>Auburn</v>
      </c>
      <c r="AU195" t="s">
        <v>1118</v>
      </c>
      <c r="AV195">
        <v>2</v>
      </c>
      <c r="AX195" s="114">
        <v>23</v>
      </c>
      <c r="AY195" s="116">
        <v>1</v>
      </c>
      <c r="AZ195" s="116">
        <v>5</v>
      </c>
      <c r="BA195" s="120">
        <v>2060</v>
      </c>
      <c r="BB195" s="120">
        <f t="shared" si="84"/>
        <v>23001</v>
      </c>
      <c r="BC195" t="s">
        <v>1249</v>
      </c>
      <c r="BD195">
        <f t="shared" si="85"/>
        <v>2302060</v>
      </c>
      <c r="BE195" s="1">
        <v>378</v>
      </c>
      <c r="BI195">
        <v>65.8</v>
      </c>
      <c r="BJ195">
        <v>6.01</v>
      </c>
      <c r="BK195">
        <v>59.78</v>
      </c>
      <c r="BS195" s="63">
        <v>0</v>
      </c>
      <c r="CK195" s="1" t="s">
        <v>3756</v>
      </c>
    </row>
    <row r="196" spans="1:89" hidden="1" outlineLevel="1">
      <c r="A196" t="s">
        <v>2378</v>
      </c>
      <c r="B196" s="8" t="s">
        <v>1697</v>
      </c>
      <c r="C196" s="1">
        <f t="shared" si="74"/>
        <v>8909</v>
      </c>
      <c r="D196" s="5">
        <f>IF(N196&gt;0, RANK(N196,(N196:P196,Q196:AE196)),0)</f>
        <v>1</v>
      </c>
      <c r="E196" s="5">
        <f>IF(O196&gt;0,RANK(O196,(N196:P196,Q196:AE196)),0)</f>
        <v>2</v>
      </c>
      <c r="F196" s="5">
        <f t="shared" si="75"/>
        <v>5</v>
      </c>
      <c r="G196" s="1">
        <f t="shared" si="76"/>
        <v>591</v>
      </c>
      <c r="H196" s="2">
        <f t="shared" si="77"/>
        <v>6.6337411606240876E-2</v>
      </c>
      <c r="I196" s="6"/>
      <c r="J196" s="2">
        <f t="shared" si="78"/>
        <v>0.4934336064653721</v>
      </c>
      <c r="K196" s="2">
        <f t="shared" si="79"/>
        <v>0.4270961948591312</v>
      </c>
      <c r="L196" s="2">
        <f t="shared" si="80"/>
        <v>1.6836906499045909E-3</v>
      </c>
      <c r="M196" s="2">
        <f t="shared" si="81"/>
        <v>7.778650802559206E-2</v>
      </c>
      <c r="N196" s="63">
        <v>4396</v>
      </c>
      <c r="O196" s="63">
        <v>3805</v>
      </c>
      <c r="P196" s="63">
        <v>15</v>
      </c>
      <c r="Q196" s="63">
        <v>501</v>
      </c>
      <c r="R196" s="63">
        <v>192</v>
      </c>
      <c r="S196" s="63">
        <v>0</v>
      </c>
      <c r="T196" s="67"/>
      <c r="U196" s="63"/>
      <c r="V196" s="63"/>
      <c r="W196" s="63">
        <f t="shared" si="82"/>
        <v>0</v>
      </c>
      <c r="X196" s="63"/>
      <c r="Y196" s="63"/>
      <c r="Z196" s="63"/>
      <c r="AA196" s="63"/>
      <c r="AB196" s="63"/>
      <c r="AE196" s="8">
        <v>0</v>
      </c>
      <c r="AT196" t="str">
        <f t="shared" si="83"/>
        <v>Augusta</v>
      </c>
      <c r="AU196" t="s">
        <v>3007</v>
      </c>
      <c r="AV196">
        <v>1</v>
      </c>
      <c r="AX196" s="114">
        <v>23</v>
      </c>
      <c r="AY196" s="116">
        <v>11</v>
      </c>
      <c r="AZ196" s="116">
        <v>10</v>
      </c>
      <c r="BA196" s="120">
        <v>2100</v>
      </c>
      <c r="BB196" s="120">
        <f t="shared" si="84"/>
        <v>23011</v>
      </c>
      <c r="BC196" t="s">
        <v>1249</v>
      </c>
      <c r="BD196">
        <f t="shared" si="85"/>
        <v>2302100</v>
      </c>
      <c r="BE196" s="1">
        <v>305</v>
      </c>
      <c r="BI196">
        <v>58.28</v>
      </c>
      <c r="BJ196">
        <v>2.9</v>
      </c>
      <c r="BK196">
        <v>55.38</v>
      </c>
      <c r="BS196" s="63">
        <v>0</v>
      </c>
      <c r="CK196" s="1" t="s">
        <v>3757</v>
      </c>
    </row>
    <row r="197" spans="1:89" hidden="1" outlineLevel="1">
      <c r="A197" t="s">
        <v>1522</v>
      </c>
      <c r="B197" s="8" t="s">
        <v>1697</v>
      </c>
      <c r="C197" s="1">
        <f t="shared" si="74"/>
        <v>74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 t="shared" si="75"/>
        <v>5</v>
      </c>
      <c r="G197" s="1">
        <f t="shared" si="76"/>
        <v>31</v>
      </c>
      <c r="H197" s="2">
        <f t="shared" si="77"/>
        <v>0.41891891891891891</v>
      </c>
      <c r="I197" s="6"/>
      <c r="J197" s="2">
        <f t="shared" si="78"/>
        <v>0.22972972972972974</v>
      </c>
      <c r="K197" s="2">
        <f t="shared" si="79"/>
        <v>0.64864864864864868</v>
      </c>
      <c r="L197" s="2">
        <f t="shared" si="80"/>
        <v>1.3513513513513514E-2</v>
      </c>
      <c r="M197" s="2">
        <f t="shared" si="81"/>
        <v>0.10810810810810809</v>
      </c>
      <c r="N197" s="63">
        <v>17</v>
      </c>
      <c r="O197" s="63">
        <v>48</v>
      </c>
      <c r="P197" s="63">
        <v>1</v>
      </c>
      <c r="Q197" s="63">
        <v>5</v>
      </c>
      <c r="R197" s="63">
        <v>3</v>
      </c>
      <c r="S197" s="63">
        <v>0</v>
      </c>
      <c r="T197" s="67"/>
      <c r="U197" s="63"/>
      <c r="V197" s="63"/>
      <c r="W197" s="63">
        <f t="shared" si="82"/>
        <v>0</v>
      </c>
      <c r="X197" s="63"/>
      <c r="Y197" s="63"/>
      <c r="Z197" s="63"/>
      <c r="AA197" s="63"/>
      <c r="AB197" s="63"/>
      <c r="AE197" s="8">
        <v>0</v>
      </c>
      <c r="AT197" t="str">
        <f t="shared" si="83"/>
        <v>Aurora</v>
      </c>
      <c r="AU197" t="s">
        <v>597</v>
      </c>
      <c r="AV197">
        <v>2</v>
      </c>
      <c r="AX197" s="114">
        <v>23</v>
      </c>
      <c r="AY197" s="116">
        <v>9</v>
      </c>
      <c r="AZ197" s="116">
        <v>10</v>
      </c>
      <c r="BA197" s="120">
        <v>2165</v>
      </c>
      <c r="BB197" s="120">
        <f t="shared" si="84"/>
        <v>23009</v>
      </c>
      <c r="BC197" t="s">
        <v>1472</v>
      </c>
      <c r="BD197">
        <f t="shared" si="85"/>
        <v>2302165</v>
      </c>
      <c r="BE197" s="1">
        <v>2</v>
      </c>
      <c r="BI197">
        <v>38.85</v>
      </c>
      <c r="BJ197">
        <v>1.54</v>
      </c>
      <c r="BK197">
        <v>37.31</v>
      </c>
      <c r="BS197" s="63">
        <v>0</v>
      </c>
      <c r="CK197" s="1" t="s">
        <v>3758</v>
      </c>
    </row>
    <row r="198" spans="1:89" hidden="1" outlineLevel="1">
      <c r="A198" t="s">
        <v>244</v>
      </c>
      <c r="B198" s="8" t="s">
        <v>1697</v>
      </c>
      <c r="C198" s="1">
        <f t="shared" si="74"/>
        <v>241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 t="shared" si="75"/>
        <v>0</v>
      </c>
      <c r="G198" s="1">
        <f t="shared" si="76"/>
        <v>70</v>
      </c>
      <c r="H198" s="2">
        <f t="shared" si="77"/>
        <v>0.29045643153526973</v>
      </c>
      <c r="I198" s="6"/>
      <c r="J198" s="2">
        <f t="shared" si="78"/>
        <v>0.31535269709543567</v>
      </c>
      <c r="K198" s="2">
        <f t="shared" si="79"/>
        <v>0.60580912863070535</v>
      </c>
      <c r="L198" s="2">
        <f t="shared" si="80"/>
        <v>0</v>
      </c>
      <c r="M198" s="2">
        <f t="shared" si="81"/>
        <v>7.8838174273858974E-2</v>
      </c>
      <c r="N198" s="63">
        <v>76</v>
      </c>
      <c r="O198" s="63">
        <v>146</v>
      </c>
      <c r="P198" s="63">
        <v>0</v>
      </c>
      <c r="Q198" s="63">
        <v>15</v>
      </c>
      <c r="R198" s="63">
        <v>4</v>
      </c>
      <c r="S198" s="63">
        <v>0</v>
      </c>
      <c r="T198" s="67"/>
      <c r="U198" s="63"/>
      <c r="V198" s="63"/>
      <c r="W198" s="63">
        <f t="shared" si="82"/>
        <v>0</v>
      </c>
      <c r="X198" s="63"/>
      <c r="Y198" s="63"/>
      <c r="Z198" s="63"/>
      <c r="AA198" s="63"/>
      <c r="AB198" s="63"/>
      <c r="AE198" s="8">
        <v>0</v>
      </c>
      <c r="AT198" t="str">
        <f t="shared" si="83"/>
        <v>Avon</v>
      </c>
      <c r="AU198" t="s">
        <v>1138</v>
      </c>
      <c r="AV198">
        <v>2</v>
      </c>
      <c r="AX198" s="114">
        <v>23</v>
      </c>
      <c r="AY198" s="116">
        <v>7</v>
      </c>
      <c r="AZ198" s="116">
        <v>5</v>
      </c>
      <c r="BA198" s="120">
        <v>2235</v>
      </c>
      <c r="BB198" s="120">
        <f t="shared" si="84"/>
        <v>23007</v>
      </c>
      <c r="BC198" t="s">
        <v>1472</v>
      </c>
      <c r="BD198">
        <f t="shared" si="85"/>
        <v>2302235</v>
      </c>
      <c r="BE198" s="1">
        <v>7</v>
      </c>
      <c r="BI198">
        <v>41.52</v>
      </c>
      <c r="BJ198">
        <v>0.24</v>
      </c>
      <c r="BK198">
        <v>41.28</v>
      </c>
      <c r="BS198" s="63">
        <v>0</v>
      </c>
      <c r="CK198" s="1" t="s">
        <v>3759</v>
      </c>
    </row>
    <row r="199" spans="1:89" hidden="1" outlineLevel="1">
      <c r="A199" t="s">
        <v>3005</v>
      </c>
      <c r="B199" s="8" t="s">
        <v>1697</v>
      </c>
      <c r="C199" s="1">
        <f t="shared" si="74"/>
        <v>686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 t="shared" si="75"/>
        <v>0</v>
      </c>
      <c r="G199" s="1">
        <f t="shared" si="76"/>
        <v>109</v>
      </c>
      <c r="H199" s="2">
        <f t="shared" si="77"/>
        <v>0.15889212827988339</v>
      </c>
      <c r="I199" s="6"/>
      <c r="J199" s="2">
        <f t="shared" si="78"/>
        <v>0.38338192419825073</v>
      </c>
      <c r="K199" s="2">
        <f t="shared" si="79"/>
        <v>0.54227405247813409</v>
      </c>
      <c r="L199" s="2">
        <f t="shared" si="80"/>
        <v>0</v>
      </c>
      <c r="M199" s="2">
        <f t="shared" si="81"/>
        <v>7.4344023323615116E-2</v>
      </c>
      <c r="N199" s="63">
        <v>263</v>
      </c>
      <c r="O199" s="63">
        <v>372</v>
      </c>
      <c r="P199" s="63">
        <v>0</v>
      </c>
      <c r="Q199" s="63">
        <v>43</v>
      </c>
      <c r="R199" s="63">
        <v>8</v>
      </c>
      <c r="S199" s="63">
        <v>0</v>
      </c>
      <c r="T199" s="67"/>
      <c r="U199" s="63"/>
      <c r="V199" s="63"/>
      <c r="W199" s="63">
        <f t="shared" si="82"/>
        <v>0</v>
      </c>
      <c r="X199" s="63"/>
      <c r="Y199" s="63"/>
      <c r="Z199" s="63"/>
      <c r="AA199" s="63"/>
      <c r="AB199" s="63"/>
      <c r="AE199" s="8">
        <v>0</v>
      </c>
      <c r="AT199" t="str">
        <f t="shared" si="83"/>
        <v>Baileyville</v>
      </c>
      <c r="AU199" t="s">
        <v>692</v>
      </c>
      <c r="AV199">
        <v>2</v>
      </c>
      <c r="AX199" s="114">
        <v>23</v>
      </c>
      <c r="AY199" s="116">
        <v>29</v>
      </c>
      <c r="AZ199" s="116">
        <v>15</v>
      </c>
      <c r="BA199" s="120">
        <v>2480</v>
      </c>
      <c r="BB199" s="120">
        <f t="shared" si="84"/>
        <v>23029</v>
      </c>
      <c r="BC199" t="s">
        <v>1472</v>
      </c>
      <c r="BD199">
        <f t="shared" si="85"/>
        <v>2302480</v>
      </c>
      <c r="BE199" s="1">
        <v>21</v>
      </c>
      <c r="BI199">
        <v>41.08</v>
      </c>
      <c r="BJ199">
        <v>4.62</v>
      </c>
      <c r="BK199">
        <v>36.46</v>
      </c>
      <c r="BS199" s="63">
        <v>0</v>
      </c>
      <c r="CK199" s="1" t="s">
        <v>3760</v>
      </c>
    </row>
    <row r="200" spans="1:89" hidden="1" outlineLevel="1">
      <c r="A200" t="s">
        <v>2740</v>
      </c>
      <c r="B200" s="8" t="s">
        <v>1697</v>
      </c>
      <c r="C200" s="1">
        <f t="shared" si="74"/>
        <v>908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 t="shared" si="75"/>
        <v>5</v>
      </c>
      <c r="G200" s="1">
        <f t="shared" si="76"/>
        <v>289</v>
      </c>
      <c r="H200" s="2">
        <f t="shared" si="77"/>
        <v>0.31828193832599116</v>
      </c>
      <c r="I200" s="6"/>
      <c r="J200" s="2">
        <f t="shared" si="78"/>
        <v>0.29845814977973567</v>
      </c>
      <c r="K200" s="2">
        <f t="shared" si="79"/>
        <v>0.61674008810572689</v>
      </c>
      <c r="L200" s="2">
        <f t="shared" si="80"/>
        <v>3.3039647577092512E-3</v>
      </c>
      <c r="M200" s="2">
        <f t="shared" si="81"/>
        <v>8.1497797356828244E-2</v>
      </c>
      <c r="N200" s="63">
        <v>271</v>
      </c>
      <c r="O200" s="63">
        <v>560</v>
      </c>
      <c r="P200" s="63">
        <v>3</v>
      </c>
      <c r="Q200" s="63">
        <v>58</v>
      </c>
      <c r="R200" s="63">
        <v>16</v>
      </c>
      <c r="S200" s="63">
        <v>0</v>
      </c>
      <c r="T200" s="67"/>
      <c r="U200" s="63"/>
      <c r="V200" s="63"/>
      <c r="W200" s="63">
        <f t="shared" si="82"/>
        <v>0</v>
      </c>
      <c r="X200" s="63"/>
      <c r="Y200" s="63"/>
      <c r="Z200" s="63"/>
      <c r="AA200" s="63"/>
      <c r="AB200" s="63"/>
      <c r="AE200" s="8">
        <v>0</v>
      </c>
      <c r="AT200" t="str">
        <f t="shared" si="83"/>
        <v>Baldwin</v>
      </c>
      <c r="AU200" t="s">
        <v>1531</v>
      </c>
      <c r="AV200">
        <v>1</v>
      </c>
      <c r="AX200" s="114">
        <v>23</v>
      </c>
      <c r="AY200" s="116">
        <v>5</v>
      </c>
      <c r="AZ200" s="116">
        <v>5</v>
      </c>
      <c r="BA200" s="120">
        <v>2655</v>
      </c>
      <c r="BB200" s="120">
        <f t="shared" si="84"/>
        <v>23005</v>
      </c>
      <c r="BC200" t="s">
        <v>1472</v>
      </c>
      <c r="BD200">
        <f t="shared" si="85"/>
        <v>2302655</v>
      </c>
      <c r="BE200" s="1">
        <v>28</v>
      </c>
      <c r="BI200">
        <v>36.33</v>
      </c>
      <c r="BJ200">
        <v>1.03</v>
      </c>
      <c r="BK200">
        <v>35.299999999999997</v>
      </c>
      <c r="BS200" s="63">
        <v>0</v>
      </c>
      <c r="CK200" s="1" t="s">
        <v>3761</v>
      </c>
    </row>
    <row r="201" spans="1:89" hidden="1" outlineLevel="1">
      <c r="A201" t="s">
        <v>2812</v>
      </c>
      <c r="B201" s="8" t="s">
        <v>1697</v>
      </c>
      <c r="C201" s="1">
        <f t="shared" si="74"/>
        <v>0</v>
      </c>
      <c r="D201" s="5">
        <f>IF(N201&gt;0, RANK(N201,(N201:P201,Q201:AE201)),0)</f>
        <v>0</v>
      </c>
      <c r="E201" s="5">
        <f>IF(O201&gt;0,RANK(O201,(N201:P201,Q201:AE201)),0)</f>
        <v>0</v>
      </c>
      <c r="F201" s="5">
        <f t="shared" si="75"/>
        <v>0</v>
      </c>
      <c r="G201" s="1">
        <f t="shared" si="76"/>
        <v>0</v>
      </c>
      <c r="H201" s="2">
        <f t="shared" si="77"/>
        <v>0</v>
      </c>
      <c r="I201" s="6"/>
      <c r="J201" s="2" t="str">
        <f t="shared" si="78"/>
        <v>-</v>
      </c>
      <c r="K201" s="2" t="str">
        <f t="shared" si="79"/>
        <v>-</v>
      </c>
      <c r="L201" s="2" t="str">
        <f t="shared" si="80"/>
        <v>-</v>
      </c>
      <c r="M201" s="2" t="str">
        <f t="shared" si="81"/>
        <v>-</v>
      </c>
      <c r="N201" s="63"/>
      <c r="O201" s="63"/>
      <c r="P201" s="63"/>
      <c r="Q201" s="63"/>
      <c r="R201" s="63"/>
      <c r="S201" s="63"/>
      <c r="T201" s="67"/>
      <c r="U201" s="63"/>
      <c r="V201" s="63"/>
      <c r="W201" s="63">
        <f t="shared" si="82"/>
        <v>0</v>
      </c>
      <c r="X201" s="63"/>
      <c r="Y201" s="63"/>
      <c r="Z201" s="63"/>
      <c r="AA201" s="63"/>
      <c r="AB201" s="63"/>
      <c r="AT201" t="str">
        <f t="shared" si="83"/>
        <v>Bancroft</v>
      </c>
      <c r="AU201" t="s">
        <v>2830</v>
      </c>
      <c r="AV201">
        <v>2</v>
      </c>
      <c r="AX201" s="114">
        <v>23</v>
      </c>
      <c r="AY201" s="116">
        <v>3</v>
      </c>
      <c r="AZ201" s="116">
        <v>20</v>
      </c>
      <c r="BA201" s="120">
        <v>2760</v>
      </c>
      <c r="BB201" s="120">
        <f t="shared" si="84"/>
        <v>23003</v>
      </c>
      <c r="BC201" t="s">
        <v>1472</v>
      </c>
      <c r="BD201">
        <f t="shared" si="85"/>
        <v>2302760</v>
      </c>
      <c r="BI201">
        <v>40.53</v>
      </c>
      <c r="BJ201">
        <v>0.56000000000000005</v>
      </c>
      <c r="BK201">
        <v>39.97</v>
      </c>
      <c r="BS201" s="63"/>
      <c r="CK201" s="1"/>
    </row>
    <row r="202" spans="1:89" hidden="1" outlineLevel="1">
      <c r="A202" t="s">
        <v>3113</v>
      </c>
      <c r="B202" s="8" t="s">
        <v>1697</v>
      </c>
      <c r="C202" s="1">
        <f t="shared" si="74"/>
        <v>15424</v>
      </c>
      <c r="D202" s="5">
        <f>IF(N202&gt;0, RANK(N202,(N202:P202,Q202:AE202)),0)</f>
        <v>1</v>
      </c>
      <c r="E202" s="5">
        <f>IF(O202&gt;0,RANK(O202,(N202:P202,Q202:AE202)),0)</f>
        <v>2</v>
      </c>
      <c r="F202" s="5">
        <f t="shared" si="75"/>
        <v>5</v>
      </c>
      <c r="G202" s="1">
        <f t="shared" si="76"/>
        <v>2154</v>
      </c>
      <c r="H202" s="2">
        <f t="shared" si="77"/>
        <v>0.13965248962655602</v>
      </c>
      <c r="I202" s="6"/>
      <c r="J202" s="2">
        <f t="shared" si="78"/>
        <v>0.5287214730290456</v>
      </c>
      <c r="K202" s="2">
        <f t="shared" si="79"/>
        <v>0.38906898340248963</v>
      </c>
      <c r="L202" s="2">
        <f t="shared" si="80"/>
        <v>5.4460580912863068E-3</v>
      </c>
      <c r="M202" s="2">
        <f t="shared" si="81"/>
        <v>7.676348547717847E-2</v>
      </c>
      <c r="N202" s="63">
        <v>8155</v>
      </c>
      <c r="O202" s="63">
        <v>6001</v>
      </c>
      <c r="P202" s="63">
        <v>84</v>
      </c>
      <c r="Q202" s="63">
        <v>868</v>
      </c>
      <c r="R202" s="63">
        <v>310</v>
      </c>
      <c r="S202" s="63">
        <v>5</v>
      </c>
      <c r="T202" s="67"/>
      <c r="U202" s="63"/>
      <c r="V202" s="63"/>
      <c r="W202" s="63">
        <f t="shared" si="82"/>
        <v>0</v>
      </c>
      <c r="X202" s="63"/>
      <c r="Y202" s="63"/>
      <c r="Z202" s="63"/>
      <c r="AA202" s="63"/>
      <c r="AB202" s="63"/>
      <c r="AE202" s="8">
        <v>1</v>
      </c>
      <c r="AT202" t="str">
        <f t="shared" si="83"/>
        <v>Bangor</v>
      </c>
      <c r="AU202" t="s">
        <v>2481</v>
      </c>
      <c r="AV202">
        <v>2</v>
      </c>
      <c r="AX202" s="114">
        <v>23</v>
      </c>
      <c r="AY202" s="116">
        <v>19</v>
      </c>
      <c r="AZ202" s="116">
        <v>10</v>
      </c>
      <c r="BA202" s="120">
        <v>2795</v>
      </c>
      <c r="BB202" s="120">
        <f t="shared" si="84"/>
        <v>23019</v>
      </c>
      <c r="BC202" t="s">
        <v>1249</v>
      </c>
      <c r="BD202">
        <f t="shared" si="85"/>
        <v>2302795</v>
      </c>
      <c r="BE202" s="1">
        <v>488</v>
      </c>
      <c r="BI202">
        <v>34.74</v>
      </c>
      <c r="BJ202">
        <v>0.3</v>
      </c>
      <c r="BK202">
        <v>34.450000000000003</v>
      </c>
      <c r="BS202" s="63">
        <v>0</v>
      </c>
      <c r="CK202" s="1" t="s">
        <v>3762</v>
      </c>
    </row>
    <row r="203" spans="1:89" hidden="1" outlineLevel="1">
      <c r="A203" t="s">
        <v>1476</v>
      </c>
      <c r="B203" s="8" t="s">
        <v>1697</v>
      </c>
      <c r="C203" s="1">
        <f t="shared" si="74"/>
        <v>3129</v>
      </c>
      <c r="D203" s="5">
        <f>IF(N203&gt;0, RANK(N203,(N203:P203,Q203:AE203)),0)</f>
        <v>1</v>
      </c>
      <c r="E203" s="5">
        <f>IF(O203&gt;0,RANK(O203,(N203:P203,Q203:AE203)),0)</f>
        <v>2</v>
      </c>
      <c r="F203" s="5">
        <f t="shared" si="75"/>
        <v>5</v>
      </c>
      <c r="G203" s="1">
        <f t="shared" si="76"/>
        <v>1532</v>
      </c>
      <c r="H203" s="2">
        <f t="shared" si="77"/>
        <v>0.48961329498242251</v>
      </c>
      <c r="I203" s="6"/>
      <c r="J203" s="2">
        <f t="shared" si="78"/>
        <v>0.71716203259827416</v>
      </c>
      <c r="K203" s="2">
        <f t="shared" si="79"/>
        <v>0.2275487376158517</v>
      </c>
      <c r="L203" s="2">
        <f t="shared" si="80"/>
        <v>2.556727388942154E-3</v>
      </c>
      <c r="M203" s="2">
        <f t="shared" si="81"/>
        <v>5.2732502396931988E-2</v>
      </c>
      <c r="N203" s="63">
        <v>2244</v>
      </c>
      <c r="O203" s="63">
        <v>712</v>
      </c>
      <c r="P203" s="63">
        <v>8</v>
      </c>
      <c r="Q203" s="63">
        <v>107</v>
      </c>
      <c r="R203" s="63">
        <v>58</v>
      </c>
      <c r="S203" s="63">
        <v>0</v>
      </c>
      <c r="T203" s="67"/>
      <c r="U203" s="63"/>
      <c r="V203" s="63"/>
      <c r="W203" s="63">
        <f t="shared" si="82"/>
        <v>0</v>
      </c>
      <c r="X203" s="63"/>
      <c r="Y203" s="63"/>
      <c r="Z203" s="63"/>
      <c r="AA203" s="63"/>
      <c r="AB203" s="63"/>
      <c r="AE203" s="8">
        <v>0</v>
      </c>
      <c r="AT203" t="str">
        <f t="shared" si="83"/>
        <v>Bar Harbor</v>
      </c>
      <c r="AU203" t="s">
        <v>597</v>
      </c>
      <c r="AV203">
        <v>2</v>
      </c>
      <c r="AX203" s="114">
        <v>23</v>
      </c>
      <c r="AY203" s="116">
        <v>9</v>
      </c>
      <c r="AZ203" s="116">
        <v>15</v>
      </c>
      <c r="BA203" s="120">
        <v>2865</v>
      </c>
      <c r="BB203" s="120">
        <f t="shared" si="84"/>
        <v>23009</v>
      </c>
      <c r="BC203" t="s">
        <v>1472</v>
      </c>
      <c r="BD203">
        <f t="shared" si="85"/>
        <v>2302865</v>
      </c>
      <c r="BE203" s="1">
        <v>88</v>
      </c>
      <c r="BI203">
        <v>70.44</v>
      </c>
      <c r="BJ203">
        <v>28.22</v>
      </c>
      <c r="BK203">
        <v>42.21</v>
      </c>
      <c r="BS203" s="63">
        <v>0</v>
      </c>
      <c r="CK203" s="1" t="s">
        <v>3763</v>
      </c>
    </row>
    <row r="204" spans="1:89" hidden="1" outlineLevel="1">
      <c r="A204" t="s">
        <v>2241</v>
      </c>
      <c r="B204" s="8" t="s">
        <v>1697</v>
      </c>
      <c r="C204" s="1">
        <f t="shared" si="74"/>
        <v>120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 t="shared" si="75"/>
        <v>4</v>
      </c>
      <c r="G204" s="1">
        <f t="shared" si="76"/>
        <v>18</v>
      </c>
      <c r="H204" s="2">
        <f t="shared" si="77"/>
        <v>0.15</v>
      </c>
      <c r="I204" s="6"/>
      <c r="J204" s="2">
        <f t="shared" si="78"/>
        <v>0.4</v>
      </c>
      <c r="K204" s="2">
        <f t="shared" si="79"/>
        <v>0.55000000000000004</v>
      </c>
      <c r="L204" s="2">
        <f t="shared" si="80"/>
        <v>8.3333333333333332E-3</v>
      </c>
      <c r="M204" s="2">
        <f t="shared" si="81"/>
        <v>4.1666666666666602E-2</v>
      </c>
      <c r="N204" s="63">
        <v>48</v>
      </c>
      <c r="O204" s="63">
        <v>66</v>
      </c>
      <c r="P204" s="63">
        <v>1</v>
      </c>
      <c r="Q204" s="63">
        <v>4</v>
      </c>
      <c r="R204" s="63">
        <v>1</v>
      </c>
      <c r="S204" s="63">
        <v>0</v>
      </c>
      <c r="T204" s="67"/>
      <c r="U204" s="63"/>
      <c r="V204" s="63"/>
      <c r="W204" s="63">
        <f t="shared" si="82"/>
        <v>0</v>
      </c>
      <c r="X204" s="63"/>
      <c r="Y204" s="63"/>
      <c r="Z204" s="63"/>
      <c r="AA204" s="63"/>
      <c r="AB204" s="63"/>
      <c r="AE204" s="8">
        <v>0</v>
      </c>
      <c r="AT204" t="str">
        <f t="shared" si="83"/>
        <v>Baring</v>
      </c>
      <c r="AU204" t="s">
        <v>692</v>
      </c>
      <c r="AV204">
        <v>2</v>
      </c>
      <c r="AX204" s="114">
        <v>23</v>
      </c>
      <c r="AY204" s="116">
        <v>29</v>
      </c>
      <c r="AZ204" s="116">
        <v>17</v>
      </c>
      <c r="BA204" s="120">
        <v>2970</v>
      </c>
      <c r="BB204" s="120">
        <f t="shared" si="84"/>
        <v>23029</v>
      </c>
      <c r="BC204" t="s">
        <v>3075</v>
      </c>
      <c r="BD204">
        <f t="shared" si="85"/>
        <v>2302970</v>
      </c>
      <c r="BE204" s="1">
        <v>7</v>
      </c>
      <c r="BI204">
        <v>24.09</v>
      </c>
      <c r="BJ204">
        <v>3.18</v>
      </c>
      <c r="BK204">
        <v>20.91</v>
      </c>
      <c r="BS204" s="63">
        <v>0</v>
      </c>
      <c r="CK204" s="1" t="s">
        <v>3764</v>
      </c>
    </row>
    <row r="205" spans="1:89" hidden="1" outlineLevel="1">
      <c r="A205" t="s">
        <v>708</v>
      </c>
      <c r="B205" s="8" t="s">
        <v>1697</v>
      </c>
      <c r="C205" s="1">
        <f t="shared" si="74"/>
        <v>4660</v>
      </c>
      <c r="D205" s="5">
        <f>IF(N205&gt;0, RANK(N205,(N205:P205,Q205:AE205)),0)</f>
        <v>1</v>
      </c>
      <c r="E205" s="5">
        <f>IF(O205&gt;0,RANK(O205,(N205:P205,Q205:AE205)),0)</f>
        <v>2</v>
      </c>
      <c r="F205" s="5">
        <f t="shared" si="75"/>
        <v>5</v>
      </c>
      <c r="G205" s="1">
        <f t="shared" si="76"/>
        <v>1146</v>
      </c>
      <c r="H205" s="2">
        <f t="shared" si="77"/>
        <v>0.24592274678111589</v>
      </c>
      <c r="I205" s="6"/>
      <c r="J205" s="2">
        <f t="shared" si="78"/>
        <v>0.58304721030042916</v>
      </c>
      <c r="K205" s="2">
        <f t="shared" si="79"/>
        <v>0.3371244635193133</v>
      </c>
      <c r="L205" s="2">
        <f t="shared" si="80"/>
        <v>6.4377682403433478E-4</v>
      </c>
      <c r="M205" s="2">
        <f t="shared" si="81"/>
        <v>7.9184549356223197E-2</v>
      </c>
      <c r="N205" s="63">
        <v>2717</v>
      </c>
      <c r="O205" s="63">
        <v>1571</v>
      </c>
      <c r="P205" s="63">
        <v>3</v>
      </c>
      <c r="Q205" s="63">
        <v>252</v>
      </c>
      <c r="R205" s="63">
        <v>115</v>
      </c>
      <c r="S205" s="63">
        <v>2</v>
      </c>
      <c r="T205" s="67"/>
      <c r="U205" s="63"/>
      <c r="V205" s="63"/>
      <c r="W205" s="63">
        <f t="shared" si="82"/>
        <v>0</v>
      </c>
      <c r="X205" s="63"/>
      <c r="Y205" s="63"/>
      <c r="Z205" s="63"/>
      <c r="AA205" s="63"/>
      <c r="AB205" s="63"/>
      <c r="AE205" s="8">
        <v>0</v>
      </c>
      <c r="AT205" t="str">
        <f t="shared" si="83"/>
        <v>Bath</v>
      </c>
      <c r="AU205" t="s">
        <v>1283</v>
      </c>
      <c r="AV205">
        <v>1</v>
      </c>
      <c r="AX205" s="114">
        <v>23</v>
      </c>
      <c r="AY205" s="116">
        <v>23</v>
      </c>
      <c r="AZ205" s="116">
        <v>10</v>
      </c>
      <c r="BA205" s="120">
        <v>3355</v>
      </c>
      <c r="BB205" s="120">
        <f t="shared" si="84"/>
        <v>23023</v>
      </c>
      <c r="BC205" t="s">
        <v>1249</v>
      </c>
      <c r="BD205">
        <f t="shared" si="85"/>
        <v>2303355</v>
      </c>
      <c r="BE205" s="1">
        <v>163</v>
      </c>
      <c r="BI205">
        <v>13.24</v>
      </c>
      <c r="BJ205">
        <v>4.12</v>
      </c>
      <c r="BK205">
        <v>9.11</v>
      </c>
      <c r="BS205" s="63">
        <v>0</v>
      </c>
      <c r="CK205" s="1" t="s">
        <v>3765</v>
      </c>
    </row>
    <row r="206" spans="1:89" hidden="1" outlineLevel="1">
      <c r="A206" t="s">
        <v>2247</v>
      </c>
      <c r="B206" s="8" t="s">
        <v>1697</v>
      </c>
      <c r="C206" s="1">
        <f t="shared" si="74"/>
        <v>278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 t="shared" si="75"/>
        <v>0</v>
      </c>
      <c r="G206" s="1">
        <f t="shared" si="76"/>
        <v>28</v>
      </c>
      <c r="H206" s="2">
        <f t="shared" si="77"/>
        <v>0.10071942446043165</v>
      </c>
      <c r="I206" s="6"/>
      <c r="J206" s="2">
        <f t="shared" si="78"/>
        <v>0.40647482014388492</v>
      </c>
      <c r="K206" s="2">
        <f t="shared" si="79"/>
        <v>0.5071942446043165</v>
      </c>
      <c r="L206" s="2">
        <f t="shared" si="80"/>
        <v>0</v>
      </c>
      <c r="M206" s="2">
        <f t="shared" si="81"/>
        <v>8.633093525179858E-2</v>
      </c>
      <c r="N206" s="63">
        <v>113</v>
      </c>
      <c r="O206" s="63">
        <v>141</v>
      </c>
      <c r="P206" s="63">
        <v>0</v>
      </c>
      <c r="Q206" s="63">
        <v>18</v>
      </c>
      <c r="R206" s="63">
        <v>6</v>
      </c>
      <c r="S206" s="63">
        <v>0</v>
      </c>
      <c r="T206" s="67"/>
      <c r="U206" s="63"/>
      <c r="V206" s="63"/>
      <c r="W206" s="63">
        <f t="shared" si="82"/>
        <v>0</v>
      </c>
      <c r="X206" s="63"/>
      <c r="Y206" s="63"/>
      <c r="Z206" s="63"/>
      <c r="AA206" s="63"/>
      <c r="AB206" s="63"/>
      <c r="AE206" s="8">
        <v>0</v>
      </c>
      <c r="AT206" t="str">
        <f t="shared" si="83"/>
        <v>Beals</v>
      </c>
      <c r="AU206" t="s">
        <v>692</v>
      </c>
      <c r="AV206">
        <v>2</v>
      </c>
      <c r="AX206" s="114">
        <v>23</v>
      </c>
      <c r="AY206" s="116">
        <v>29</v>
      </c>
      <c r="AZ206" s="116">
        <v>20</v>
      </c>
      <c r="BA206" s="120">
        <v>3670</v>
      </c>
      <c r="BB206" s="120">
        <f t="shared" si="84"/>
        <v>23029</v>
      </c>
      <c r="BC206" t="s">
        <v>1472</v>
      </c>
      <c r="BD206">
        <f t="shared" si="85"/>
        <v>2303670</v>
      </c>
      <c r="BE206" s="1">
        <v>10</v>
      </c>
      <c r="BI206">
        <v>47.48</v>
      </c>
      <c r="BJ206">
        <v>41.8</v>
      </c>
      <c r="BK206">
        <v>5.68</v>
      </c>
      <c r="BS206" s="63">
        <v>0</v>
      </c>
      <c r="CK206" s="1" t="s">
        <v>3766</v>
      </c>
    </row>
    <row r="207" spans="1:89" hidden="1" outlineLevel="1">
      <c r="A207" t="s">
        <v>1068</v>
      </c>
      <c r="B207" s="8" t="s">
        <v>1697</v>
      </c>
      <c r="C207" s="1">
        <f t="shared" si="74"/>
        <v>100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 t="shared" si="75"/>
        <v>4</v>
      </c>
      <c r="G207" s="1">
        <f t="shared" si="76"/>
        <v>21</v>
      </c>
      <c r="H207" s="2">
        <f t="shared" si="77"/>
        <v>0.21</v>
      </c>
      <c r="I207" s="6"/>
      <c r="J207" s="2">
        <f t="shared" si="78"/>
        <v>0.37</v>
      </c>
      <c r="K207" s="2">
        <f t="shared" si="79"/>
        <v>0.57999999999999996</v>
      </c>
      <c r="L207" s="2">
        <f t="shared" si="80"/>
        <v>0.01</v>
      </c>
      <c r="M207" s="2">
        <f t="shared" si="81"/>
        <v>4.0000000000000042E-2</v>
      </c>
      <c r="N207" s="63">
        <v>37</v>
      </c>
      <c r="O207" s="63">
        <v>58</v>
      </c>
      <c r="P207" s="63">
        <v>1</v>
      </c>
      <c r="Q207" s="63">
        <v>4</v>
      </c>
      <c r="R207" s="63">
        <v>0</v>
      </c>
      <c r="S207" s="63">
        <v>0</v>
      </c>
      <c r="T207" s="67"/>
      <c r="U207" s="63"/>
      <c r="V207" s="63"/>
      <c r="W207" s="63">
        <f t="shared" si="82"/>
        <v>0</v>
      </c>
      <c r="X207" s="63"/>
      <c r="Y207" s="63"/>
      <c r="Z207" s="63"/>
      <c r="AA207" s="63"/>
      <c r="AB207" s="63"/>
      <c r="AE207" s="8">
        <v>0</v>
      </c>
      <c r="AT207" t="str">
        <f t="shared" si="83"/>
        <v>Beaver Cove</v>
      </c>
      <c r="AU207" t="s">
        <v>1957</v>
      </c>
      <c r="AV207">
        <v>2</v>
      </c>
      <c r="AX207" s="114">
        <v>23</v>
      </c>
      <c r="AY207" s="116">
        <v>21</v>
      </c>
      <c r="AZ207" s="116">
        <v>17</v>
      </c>
      <c r="BA207" s="120">
        <v>3740</v>
      </c>
      <c r="BB207" s="120">
        <f t="shared" si="84"/>
        <v>23021</v>
      </c>
      <c r="BC207" t="s">
        <v>1472</v>
      </c>
      <c r="BD207">
        <f t="shared" si="85"/>
        <v>2303740</v>
      </c>
      <c r="BE207" s="1">
        <v>1</v>
      </c>
      <c r="BI207">
        <v>32.549999999999997</v>
      </c>
      <c r="BJ207">
        <v>0.85</v>
      </c>
      <c r="BK207">
        <v>31.7</v>
      </c>
      <c r="BS207" s="63">
        <v>0</v>
      </c>
      <c r="CK207" s="1" t="s">
        <v>3767</v>
      </c>
    </row>
    <row r="208" spans="1:89" hidden="1" outlineLevel="1">
      <c r="A208" t="s">
        <v>2665</v>
      </c>
      <c r="B208" s="8" t="s">
        <v>1697</v>
      </c>
      <c r="C208" s="1">
        <f t="shared" si="74"/>
        <v>37</v>
      </c>
      <c r="D208" s="5">
        <f>IF(N208&gt;0, RANK(N208,(N208:P208,Q208:AE208)),0)</f>
        <v>2</v>
      </c>
      <c r="E208" s="5">
        <f>IF(O208&gt;0,RANK(O208,(N208:P208,Q208:AE208)),0)</f>
        <v>1</v>
      </c>
      <c r="F208" s="5">
        <f t="shared" si="75"/>
        <v>0</v>
      </c>
      <c r="G208" s="1">
        <f t="shared" si="76"/>
        <v>13</v>
      </c>
      <c r="H208" s="2">
        <f t="shared" si="77"/>
        <v>0.35135135135135137</v>
      </c>
      <c r="I208" s="6"/>
      <c r="J208" s="2">
        <f t="shared" si="78"/>
        <v>0.29729729729729731</v>
      </c>
      <c r="K208" s="2">
        <f t="shared" si="79"/>
        <v>0.64864864864864868</v>
      </c>
      <c r="L208" s="2">
        <f t="shared" si="80"/>
        <v>0</v>
      </c>
      <c r="M208" s="2">
        <f t="shared" si="81"/>
        <v>5.4054054054053946E-2</v>
      </c>
      <c r="N208" s="63">
        <v>11</v>
      </c>
      <c r="O208" s="63">
        <v>24</v>
      </c>
      <c r="P208" s="63">
        <v>0</v>
      </c>
      <c r="Q208" s="63">
        <v>1</v>
      </c>
      <c r="R208" s="63">
        <v>1</v>
      </c>
      <c r="S208" s="63">
        <v>0</v>
      </c>
      <c r="T208" s="67"/>
      <c r="U208" s="63"/>
      <c r="V208" s="63"/>
      <c r="W208" s="63">
        <f t="shared" si="82"/>
        <v>0</v>
      </c>
      <c r="X208" s="63"/>
      <c r="Y208" s="63"/>
      <c r="Z208" s="63"/>
      <c r="AA208" s="63"/>
      <c r="AB208" s="63"/>
      <c r="AE208" s="8">
        <v>0</v>
      </c>
      <c r="AT208" t="str">
        <f t="shared" si="83"/>
        <v>Beddington</v>
      </c>
      <c r="AU208" t="s">
        <v>692</v>
      </c>
      <c r="AV208">
        <v>2</v>
      </c>
      <c r="AX208" s="114">
        <v>23</v>
      </c>
      <c r="AY208" s="116">
        <v>29</v>
      </c>
      <c r="AZ208" s="116">
        <v>25</v>
      </c>
      <c r="BA208" s="120">
        <v>3810</v>
      </c>
      <c r="BB208" s="120">
        <f t="shared" si="84"/>
        <v>23029</v>
      </c>
      <c r="BC208" t="s">
        <v>1472</v>
      </c>
      <c r="BD208">
        <f t="shared" si="85"/>
        <v>2303810</v>
      </c>
      <c r="BE208" s="1">
        <v>0</v>
      </c>
      <c r="BI208">
        <v>38.159999999999997</v>
      </c>
      <c r="BJ208">
        <v>3.32</v>
      </c>
      <c r="BK208">
        <v>34.840000000000003</v>
      </c>
      <c r="BS208" s="63">
        <v>0</v>
      </c>
      <c r="CK208" s="1" t="s">
        <v>3768</v>
      </c>
    </row>
    <row r="209" spans="1:89" hidden="1" outlineLevel="1">
      <c r="A209" t="s">
        <v>1943</v>
      </c>
      <c r="B209" s="8" t="s">
        <v>1697</v>
      </c>
      <c r="C209" s="1">
        <f t="shared" si="74"/>
        <v>3876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 t="shared" si="75"/>
        <v>5</v>
      </c>
      <c r="G209" s="1">
        <f t="shared" si="76"/>
        <v>1110</v>
      </c>
      <c r="H209" s="2">
        <f t="shared" si="77"/>
        <v>0.28637770897832815</v>
      </c>
      <c r="I209" s="6"/>
      <c r="J209" s="2">
        <f t="shared" si="78"/>
        <v>0.60655314757481937</v>
      </c>
      <c r="K209" s="2">
        <f t="shared" si="79"/>
        <v>0.32017543859649122</v>
      </c>
      <c r="L209" s="2">
        <f t="shared" si="80"/>
        <v>1.805985552115583E-3</v>
      </c>
      <c r="M209" s="2">
        <f t="shared" si="81"/>
        <v>7.1465428276573817E-2</v>
      </c>
      <c r="N209" s="63">
        <v>2351</v>
      </c>
      <c r="O209" s="63">
        <v>1241</v>
      </c>
      <c r="P209" s="63">
        <v>7</v>
      </c>
      <c r="Q209" s="63">
        <v>177</v>
      </c>
      <c r="R209" s="63">
        <v>100</v>
      </c>
      <c r="S209" s="63">
        <v>0</v>
      </c>
      <c r="T209" s="67"/>
      <c r="U209" s="63"/>
      <c r="V209" s="63"/>
      <c r="W209" s="63">
        <f t="shared" si="82"/>
        <v>0</v>
      </c>
      <c r="X209" s="63"/>
      <c r="Y209" s="63"/>
      <c r="Z209" s="63"/>
      <c r="AA209" s="63"/>
      <c r="AB209" s="63"/>
      <c r="AE209" s="8">
        <v>0</v>
      </c>
      <c r="AT209" t="str">
        <f t="shared" si="83"/>
        <v>Belfast</v>
      </c>
      <c r="AU209" t="s">
        <v>217</v>
      </c>
      <c r="AV209">
        <v>2</v>
      </c>
      <c r="AX209" s="114">
        <v>23</v>
      </c>
      <c r="AY209" s="116">
        <v>27</v>
      </c>
      <c r="AZ209" s="116">
        <v>5</v>
      </c>
      <c r="BA209" s="120">
        <v>3950</v>
      </c>
      <c r="BB209" s="120">
        <f t="shared" si="84"/>
        <v>23027</v>
      </c>
      <c r="BC209" t="s">
        <v>1249</v>
      </c>
      <c r="BD209">
        <f t="shared" si="85"/>
        <v>2303950</v>
      </c>
      <c r="BE209" s="1">
        <v>122</v>
      </c>
      <c r="BI209">
        <v>38.35</v>
      </c>
      <c r="BJ209">
        <v>4.32</v>
      </c>
      <c r="BK209">
        <v>34.04</v>
      </c>
      <c r="BS209" s="63">
        <v>0</v>
      </c>
      <c r="CK209" s="1" t="s">
        <v>3769</v>
      </c>
    </row>
    <row r="210" spans="1:89" hidden="1" outlineLevel="1">
      <c r="A210" t="s">
        <v>1443</v>
      </c>
      <c r="B210" s="8" t="s">
        <v>1697</v>
      </c>
      <c r="C210" s="1">
        <f t="shared" si="74"/>
        <v>1999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 t="shared" si="75"/>
        <v>5</v>
      </c>
      <c r="G210" s="1">
        <f t="shared" si="76"/>
        <v>236</v>
      </c>
      <c r="H210" s="2">
        <f t="shared" si="77"/>
        <v>0.11805902951475739</v>
      </c>
      <c r="I210" s="6"/>
      <c r="J210" s="2">
        <f t="shared" si="78"/>
        <v>0.41320660330165082</v>
      </c>
      <c r="K210" s="2">
        <f t="shared" si="79"/>
        <v>0.53126563281640815</v>
      </c>
      <c r="L210" s="2">
        <f t="shared" si="80"/>
        <v>2.0010005002501249E-3</v>
      </c>
      <c r="M210" s="2">
        <f t="shared" si="81"/>
        <v>5.3526763381690906E-2</v>
      </c>
      <c r="N210" s="63">
        <v>826</v>
      </c>
      <c r="O210" s="63">
        <v>1062</v>
      </c>
      <c r="P210" s="63">
        <v>4</v>
      </c>
      <c r="Q210" s="63">
        <v>89</v>
      </c>
      <c r="R210" s="63">
        <v>18</v>
      </c>
      <c r="S210" s="63">
        <v>0</v>
      </c>
      <c r="T210" s="67"/>
      <c r="U210" s="63"/>
      <c r="V210" s="63"/>
      <c r="W210" s="63">
        <f t="shared" si="82"/>
        <v>0</v>
      </c>
      <c r="X210" s="63"/>
      <c r="Y210" s="63"/>
      <c r="Z210" s="63"/>
      <c r="AA210" s="63"/>
      <c r="AB210" s="63"/>
      <c r="AE210" s="8">
        <v>0</v>
      </c>
      <c r="AT210" t="str">
        <f t="shared" si="83"/>
        <v>Belgrade</v>
      </c>
      <c r="AU210" t="s">
        <v>3007</v>
      </c>
      <c r="AV210">
        <v>2</v>
      </c>
      <c r="AX210" s="114">
        <v>23</v>
      </c>
      <c r="AY210" s="116">
        <v>11</v>
      </c>
      <c r="AZ210" s="116">
        <v>15</v>
      </c>
      <c r="BA210" s="120">
        <v>4020</v>
      </c>
      <c r="BB210" s="120">
        <f t="shared" si="84"/>
        <v>23011</v>
      </c>
      <c r="BC210" t="s">
        <v>1472</v>
      </c>
      <c r="BD210">
        <f t="shared" si="85"/>
        <v>2304020</v>
      </c>
      <c r="BE210" s="1">
        <v>50</v>
      </c>
      <c r="BI210">
        <v>57.91</v>
      </c>
      <c r="BJ210">
        <v>14.66</v>
      </c>
      <c r="BK210">
        <v>43.25</v>
      </c>
      <c r="BS210" s="63">
        <v>0</v>
      </c>
      <c r="CK210" s="1" t="s">
        <v>3770</v>
      </c>
    </row>
    <row r="211" spans="1:89" hidden="1" outlineLevel="1">
      <c r="A211" t="s">
        <v>899</v>
      </c>
      <c r="B211" s="8" t="s">
        <v>1697</v>
      </c>
      <c r="C211" s="1">
        <f t="shared" si="74"/>
        <v>556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 t="shared" si="75"/>
        <v>5</v>
      </c>
      <c r="G211" s="1">
        <f t="shared" si="76"/>
        <v>56</v>
      </c>
      <c r="H211" s="2">
        <f t="shared" si="77"/>
        <v>0.10071942446043165</v>
      </c>
      <c r="I211" s="6"/>
      <c r="J211" s="2">
        <f t="shared" si="78"/>
        <v>0.40467625899280574</v>
      </c>
      <c r="K211" s="2">
        <f t="shared" si="79"/>
        <v>0.50539568345323738</v>
      </c>
      <c r="L211" s="2">
        <f t="shared" si="80"/>
        <v>5.3956834532374104E-3</v>
      </c>
      <c r="M211" s="2">
        <f t="shared" si="81"/>
        <v>8.4532374100719537E-2</v>
      </c>
      <c r="N211" s="63">
        <v>225</v>
      </c>
      <c r="O211" s="63">
        <v>281</v>
      </c>
      <c r="P211" s="63">
        <v>3</v>
      </c>
      <c r="Q211" s="63">
        <v>35</v>
      </c>
      <c r="R211" s="63">
        <v>12</v>
      </c>
      <c r="S211" s="63">
        <v>0</v>
      </c>
      <c r="T211" s="67"/>
      <c r="U211" s="63"/>
      <c r="V211" s="63"/>
      <c r="W211" s="63">
        <f t="shared" si="82"/>
        <v>0</v>
      </c>
      <c r="X211" s="63"/>
      <c r="Y211" s="63"/>
      <c r="Z211" s="63"/>
      <c r="AA211" s="63"/>
      <c r="AB211" s="63"/>
      <c r="AE211" s="8">
        <v>0</v>
      </c>
      <c r="AT211" t="str">
        <f t="shared" si="83"/>
        <v>Belmont</v>
      </c>
      <c r="AU211" t="s">
        <v>217</v>
      </c>
      <c r="AV211">
        <v>2</v>
      </c>
      <c r="AX211" s="114">
        <v>23</v>
      </c>
      <c r="AY211" s="116">
        <v>27</v>
      </c>
      <c r="AZ211" s="116">
        <v>10</v>
      </c>
      <c r="BA211" s="120">
        <v>4125</v>
      </c>
      <c r="BB211" s="120">
        <f t="shared" si="84"/>
        <v>23027</v>
      </c>
      <c r="BC211" t="s">
        <v>1472</v>
      </c>
      <c r="BD211">
        <f t="shared" si="85"/>
        <v>2304125</v>
      </c>
      <c r="BE211" s="1">
        <v>21</v>
      </c>
      <c r="BI211">
        <v>14.2</v>
      </c>
      <c r="BJ211">
        <v>0.57999999999999996</v>
      </c>
      <c r="BK211">
        <v>13.62</v>
      </c>
      <c r="BS211" s="63">
        <v>0</v>
      </c>
      <c r="CK211" s="1" t="s">
        <v>3771</v>
      </c>
    </row>
    <row r="212" spans="1:89" hidden="1" outlineLevel="1">
      <c r="A212" t="s">
        <v>1098</v>
      </c>
      <c r="B212" s="8" t="s">
        <v>1697</v>
      </c>
      <c r="C212" s="1">
        <f t="shared" si="74"/>
        <v>1509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 t="shared" si="75"/>
        <v>5</v>
      </c>
      <c r="G212" s="1">
        <f t="shared" si="76"/>
        <v>298</v>
      </c>
      <c r="H212" s="2">
        <f t="shared" si="77"/>
        <v>0.19748177601060304</v>
      </c>
      <c r="I212" s="6"/>
      <c r="J212" s="2">
        <f t="shared" si="78"/>
        <v>0.36050364479787939</v>
      </c>
      <c r="K212" s="2">
        <f t="shared" si="79"/>
        <v>0.55798542080848246</v>
      </c>
      <c r="L212" s="2">
        <f t="shared" si="80"/>
        <v>1.3253810470510272E-3</v>
      </c>
      <c r="M212" s="2">
        <f t="shared" si="81"/>
        <v>8.0185553346587182E-2</v>
      </c>
      <c r="N212" s="63">
        <v>544</v>
      </c>
      <c r="O212" s="63">
        <v>842</v>
      </c>
      <c r="P212" s="63">
        <v>2</v>
      </c>
      <c r="Q212" s="63">
        <v>101</v>
      </c>
      <c r="R212" s="63">
        <v>20</v>
      </c>
      <c r="S212" s="63">
        <v>0</v>
      </c>
      <c r="T212" s="67"/>
      <c r="U212" s="63"/>
      <c r="V212" s="63"/>
      <c r="W212" s="63">
        <f t="shared" si="82"/>
        <v>0</v>
      </c>
      <c r="X212" s="63"/>
      <c r="Y212" s="63"/>
      <c r="Z212" s="63"/>
      <c r="AA212" s="63"/>
      <c r="AB212" s="63"/>
      <c r="AE212" s="8">
        <v>0</v>
      </c>
      <c r="AT212" t="str">
        <f t="shared" si="83"/>
        <v>Benton</v>
      </c>
      <c r="AU212" t="s">
        <v>3007</v>
      </c>
      <c r="AV212">
        <v>2</v>
      </c>
      <c r="AX212" s="114">
        <v>23</v>
      </c>
      <c r="AY212" s="116">
        <v>11</v>
      </c>
      <c r="AZ212" s="116">
        <v>20</v>
      </c>
      <c r="BA212" s="120">
        <v>4475</v>
      </c>
      <c r="BB212" s="120">
        <f t="shared" si="84"/>
        <v>23011</v>
      </c>
      <c r="BC212" t="s">
        <v>1472</v>
      </c>
      <c r="BD212">
        <f t="shared" si="85"/>
        <v>2304475</v>
      </c>
      <c r="BE212" s="1">
        <v>57</v>
      </c>
      <c r="BI212">
        <v>29.06</v>
      </c>
      <c r="BJ212">
        <v>0.64</v>
      </c>
      <c r="BK212">
        <v>28.42</v>
      </c>
      <c r="BS212" s="63">
        <v>0</v>
      </c>
      <c r="CK212" s="1" t="s">
        <v>3772</v>
      </c>
    </row>
    <row r="213" spans="1:89" hidden="1" outlineLevel="1">
      <c r="A213" t="s">
        <v>1504</v>
      </c>
      <c r="B213" s="8" t="s">
        <v>1697</v>
      </c>
      <c r="C213" s="1">
        <f t="shared" si="74"/>
        <v>3901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 t="shared" si="75"/>
        <v>5</v>
      </c>
      <c r="G213" s="1">
        <f t="shared" si="76"/>
        <v>547</v>
      </c>
      <c r="H213" s="2">
        <f t="shared" si="77"/>
        <v>0.14022045629325813</v>
      </c>
      <c r="I213" s="6"/>
      <c r="J213" s="2">
        <f t="shared" si="78"/>
        <v>0.39451422712125095</v>
      </c>
      <c r="K213" s="2">
        <f t="shared" si="79"/>
        <v>0.53473468341450914</v>
      </c>
      <c r="L213" s="2">
        <f t="shared" si="80"/>
        <v>2.0507562163547808E-3</v>
      </c>
      <c r="M213" s="2">
        <f t="shared" si="81"/>
        <v>6.8700333247885131E-2</v>
      </c>
      <c r="N213" s="63">
        <v>1539</v>
      </c>
      <c r="O213" s="63">
        <v>2086</v>
      </c>
      <c r="P213" s="63">
        <v>8</v>
      </c>
      <c r="Q213" s="63">
        <v>207</v>
      </c>
      <c r="R213" s="63">
        <v>58</v>
      </c>
      <c r="S213" s="63">
        <v>3</v>
      </c>
      <c r="T213" s="67"/>
      <c r="U213" s="63"/>
      <c r="V213" s="63"/>
      <c r="W213" s="63">
        <f t="shared" si="82"/>
        <v>0</v>
      </c>
      <c r="X213" s="63"/>
      <c r="Y213" s="63"/>
      <c r="Z213" s="63"/>
      <c r="AA213" s="63"/>
      <c r="AB213" s="63"/>
      <c r="AE213" s="8">
        <v>0</v>
      </c>
      <c r="AT213" t="str">
        <f t="shared" si="83"/>
        <v>Berwick</v>
      </c>
      <c r="AU213" t="s">
        <v>925</v>
      </c>
      <c r="AV213">
        <v>1</v>
      </c>
      <c r="AX213" s="114">
        <v>23</v>
      </c>
      <c r="AY213" s="116">
        <v>31</v>
      </c>
      <c r="AZ213" s="116">
        <v>20</v>
      </c>
      <c r="BA213" s="120">
        <v>4720</v>
      </c>
      <c r="BB213" s="120">
        <f t="shared" si="84"/>
        <v>23031</v>
      </c>
      <c r="BC213" t="s">
        <v>1472</v>
      </c>
      <c r="BD213">
        <f t="shared" si="85"/>
        <v>2304720</v>
      </c>
      <c r="BE213" s="1">
        <v>104</v>
      </c>
      <c r="BI213">
        <v>37.58</v>
      </c>
      <c r="BJ213">
        <v>0.46</v>
      </c>
      <c r="BK213">
        <v>37.119999999999997</v>
      </c>
      <c r="BS213" s="63">
        <v>0</v>
      </c>
      <c r="CK213" s="1" t="s">
        <v>3773</v>
      </c>
    </row>
    <row r="214" spans="1:89" hidden="1" outlineLevel="1">
      <c r="A214" t="s">
        <v>365</v>
      </c>
      <c r="B214" s="8" t="s">
        <v>1697</v>
      </c>
      <c r="C214" s="1">
        <f t="shared" si="74"/>
        <v>1656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 t="shared" si="75"/>
        <v>0</v>
      </c>
      <c r="G214" s="1">
        <f t="shared" si="76"/>
        <v>178</v>
      </c>
      <c r="H214" s="2">
        <f t="shared" si="77"/>
        <v>0.10748792270531402</v>
      </c>
      <c r="I214" s="6"/>
      <c r="J214" s="2">
        <f t="shared" si="78"/>
        <v>0.51690821256038644</v>
      </c>
      <c r="K214" s="2">
        <f t="shared" si="79"/>
        <v>0.40942028985507245</v>
      </c>
      <c r="L214" s="2">
        <f t="shared" si="80"/>
        <v>0</v>
      </c>
      <c r="M214" s="2">
        <f t="shared" si="81"/>
        <v>7.3671497584541112E-2</v>
      </c>
      <c r="N214" s="63">
        <v>856</v>
      </c>
      <c r="O214" s="63">
        <v>678</v>
      </c>
      <c r="P214" s="63">
        <v>0</v>
      </c>
      <c r="Q214" s="63">
        <v>102</v>
      </c>
      <c r="R214" s="63">
        <v>20</v>
      </c>
      <c r="S214" s="63">
        <v>0</v>
      </c>
      <c r="T214" s="67"/>
      <c r="U214" s="63"/>
      <c r="V214" s="63"/>
      <c r="W214" s="63">
        <f t="shared" si="82"/>
        <v>0</v>
      </c>
      <c r="X214" s="63"/>
      <c r="Y214" s="63"/>
      <c r="Z214" s="63"/>
      <c r="AA214" s="63"/>
      <c r="AB214" s="63"/>
      <c r="AE214" s="8">
        <v>0</v>
      </c>
      <c r="AT214" t="str">
        <f t="shared" si="83"/>
        <v>Bethel</v>
      </c>
      <c r="AU214" t="s">
        <v>2383</v>
      </c>
      <c r="AV214">
        <v>2</v>
      </c>
      <c r="AX214" s="114">
        <v>23</v>
      </c>
      <c r="AY214" s="116">
        <v>17</v>
      </c>
      <c r="AZ214" s="116">
        <v>10</v>
      </c>
      <c r="BA214" s="120">
        <v>4825</v>
      </c>
      <c r="BB214" s="120">
        <f t="shared" si="84"/>
        <v>23017</v>
      </c>
      <c r="BC214" t="s">
        <v>1472</v>
      </c>
      <c r="BD214">
        <f t="shared" si="85"/>
        <v>2304825</v>
      </c>
      <c r="BE214" s="1">
        <v>56</v>
      </c>
      <c r="BI214">
        <v>65.95</v>
      </c>
      <c r="BJ214">
        <v>1.1200000000000001</v>
      </c>
      <c r="BK214">
        <v>64.83</v>
      </c>
      <c r="BS214" s="63">
        <v>0</v>
      </c>
      <c r="CK214" s="1" t="s">
        <v>3774</v>
      </c>
    </row>
    <row r="215" spans="1:89" hidden="1" outlineLevel="1">
      <c r="A215" t="s">
        <v>477</v>
      </c>
      <c r="B215" s="8" t="s">
        <v>1697</v>
      </c>
      <c r="C215" s="1">
        <f t="shared" si="74"/>
        <v>9965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 t="shared" si="75"/>
        <v>5</v>
      </c>
      <c r="G215" s="1">
        <f t="shared" si="76"/>
        <v>1776</v>
      </c>
      <c r="H215" s="2">
        <f t="shared" si="77"/>
        <v>0.17822378324134472</v>
      </c>
      <c r="I215" s="6"/>
      <c r="J215" s="2">
        <f t="shared" si="78"/>
        <v>0.5524335173105871</v>
      </c>
      <c r="K215" s="2">
        <f t="shared" si="79"/>
        <v>0.37420973406924235</v>
      </c>
      <c r="L215" s="2">
        <f t="shared" si="80"/>
        <v>1.9066733567486202E-3</v>
      </c>
      <c r="M215" s="2">
        <f t="shared" si="81"/>
        <v>7.1450075263421939E-2</v>
      </c>
      <c r="N215" s="63">
        <v>5505</v>
      </c>
      <c r="O215" s="63">
        <v>3729</v>
      </c>
      <c r="P215" s="63">
        <v>19</v>
      </c>
      <c r="Q215" s="63">
        <v>471</v>
      </c>
      <c r="R215" s="63">
        <v>241</v>
      </c>
      <c r="S215" s="63">
        <v>0</v>
      </c>
      <c r="T215" s="67"/>
      <c r="U215" s="63"/>
      <c r="V215" s="63"/>
      <c r="W215" s="63">
        <f t="shared" si="82"/>
        <v>0</v>
      </c>
      <c r="X215" s="63"/>
      <c r="Y215" s="63"/>
      <c r="Z215" s="63"/>
      <c r="AA215" s="63"/>
      <c r="AB215" s="63"/>
      <c r="AE215" s="8">
        <v>0</v>
      </c>
      <c r="AT215" t="str">
        <f t="shared" si="83"/>
        <v>Biddeford</v>
      </c>
      <c r="AU215" t="s">
        <v>925</v>
      </c>
      <c r="AV215">
        <v>1</v>
      </c>
      <c r="AX215" s="114">
        <v>23</v>
      </c>
      <c r="AY215" s="116">
        <v>31</v>
      </c>
      <c r="AZ215" s="116">
        <v>25</v>
      </c>
      <c r="BA215" s="120">
        <v>4860</v>
      </c>
      <c r="BB215" s="120">
        <f t="shared" si="84"/>
        <v>23031</v>
      </c>
      <c r="BC215" t="s">
        <v>1249</v>
      </c>
      <c r="BD215">
        <f t="shared" si="85"/>
        <v>2304860</v>
      </c>
      <c r="BE215" s="1">
        <v>348</v>
      </c>
      <c r="BI215">
        <v>34.54</v>
      </c>
      <c r="BJ215">
        <v>4.53</v>
      </c>
      <c r="BK215">
        <v>30.01</v>
      </c>
      <c r="BS215" s="63">
        <v>0</v>
      </c>
      <c r="CK215" s="1" t="s">
        <v>3775</v>
      </c>
    </row>
    <row r="216" spans="1:89" hidden="1" outlineLevel="1">
      <c r="A216" t="s">
        <v>758</v>
      </c>
      <c r="B216" s="8" t="s">
        <v>1697</v>
      </c>
      <c r="C216" s="1">
        <f t="shared" si="74"/>
        <v>523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 t="shared" si="75"/>
        <v>0</v>
      </c>
      <c r="G216" s="1">
        <f t="shared" si="76"/>
        <v>111</v>
      </c>
      <c r="H216" s="2">
        <f t="shared" si="77"/>
        <v>0.21223709369024857</v>
      </c>
      <c r="I216" s="6"/>
      <c r="J216" s="2">
        <f t="shared" si="78"/>
        <v>0.36520076481835562</v>
      </c>
      <c r="K216" s="2">
        <f t="shared" si="79"/>
        <v>0.57743785850860418</v>
      </c>
      <c r="L216" s="2">
        <f t="shared" si="80"/>
        <v>0</v>
      </c>
      <c r="M216" s="2">
        <f t="shared" si="81"/>
        <v>5.7361376673040199E-2</v>
      </c>
      <c r="N216" s="63">
        <v>191</v>
      </c>
      <c r="O216" s="63">
        <v>302</v>
      </c>
      <c r="P216" s="63">
        <v>0</v>
      </c>
      <c r="Q216" s="63">
        <v>16</v>
      </c>
      <c r="R216" s="63">
        <v>14</v>
      </c>
      <c r="S216" s="63">
        <v>0</v>
      </c>
      <c r="T216" s="67"/>
      <c r="U216" s="63"/>
      <c r="V216" s="63"/>
      <c r="W216" s="63">
        <f t="shared" si="82"/>
        <v>0</v>
      </c>
      <c r="X216" s="63"/>
      <c r="Y216" s="63"/>
      <c r="Z216" s="63"/>
      <c r="AA216" s="63"/>
      <c r="AB216" s="63"/>
      <c r="AE216" s="8">
        <v>0</v>
      </c>
      <c r="AT216" t="str">
        <f t="shared" si="83"/>
        <v>Bingham</v>
      </c>
      <c r="AU216" t="s">
        <v>1787</v>
      </c>
      <c r="AV216">
        <v>2</v>
      </c>
      <c r="AX216" s="114">
        <v>23</v>
      </c>
      <c r="AY216" s="116">
        <v>25</v>
      </c>
      <c r="AZ216" s="116">
        <v>15</v>
      </c>
      <c r="BA216" s="120">
        <v>5000</v>
      </c>
      <c r="BB216" s="120">
        <f t="shared" si="84"/>
        <v>23025</v>
      </c>
      <c r="BC216" t="s">
        <v>1472</v>
      </c>
      <c r="BD216">
        <f t="shared" si="85"/>
        <v>2305000</v>
      </c>
      <c r="BE216" s="1">
        <v>21</v>
      </c>
      <c r="BI216">
        <v>35</v>
      </c>
      <c r="BJ216">
        <v>0.41</v>
      </c>
      <c r="BK216">
        <v>34.6</v>
      </c>
      <c r="BS216" s="63">
        <v>0</v>
      </c>
      <c r="CK216" s="1" t="s">
        <v>3776</v>
      </c>
    </row>
    <row r="217" spans="1:89" hidden="1" outlineLevel="1">
      <c r="A217" t="s">
        <v>794</v>
      </c>
      <c r="B217" s="8" t="s">
        <v>1697</v>
      </c>
      <c r="C217" s="1">
        <f t="shared" si="74"/>
        <v>394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 t="shared" si="75"/>
        <v>5</v>
      </c>
      <c r="G217" s="1">
        <f t="shared" si="76"/>
        <v>189</v>
      </c>
      <c r="H217" s="2">
        <f t="shared" si="77"/>
        <v>0.47969543147208121</v>
      </c>
      <c r="I217" s="6"/>
      <c r="J217" s="2">
        <f t="shared" si="78"/>
        <v>0.23857868020304568</v>
      </c>
      <c r="K217" s="2">
        <f t="shared" si="79"/>
        <v>0.71827411167512689</v>
      </c>
      <c r="L217" s="2">
        <f t="shared" si="80"/>
        <v>2.5380710659898475E-3</v>
      </c>
      <c r="M217" s="2">
        <f t="shared" si="81"/>
        <v>4.0609137055837637E-2</v>
      </c>
      <c r="N217" s="63">
        <v>94</v>
      </c>
      <c r="O217" s="63">
        <v>283</v>
      </c>
      <c r="P217" s="63">
        <v>1</v>
      </c>
      <c r="Q217" s="63">
        <v>13</v>
      </c>
      <c r="R217" s="63">
        <v>2</v>
      </c>
      <c r="S217" s="63">
        <v>1</v>
      </c>
      <c r="T217" s="67"/>
      <c r="U217" s="63"/>
      <c r="V217" s="63"/>
      <c r="W217" s="63">
        <f t="shared" si="82"/>
        <v>0</v>
      </c>
      <c r="X217" s="63"/>
      <c r="Y217" s="63"/>
      <c r="Z217" s="63"/>
      <c r="AA217" s="63"/>
      <c r="AB217" s="63"/>
      <c r="AE217" s="8">
        <v>0</v>
      </c>
      <c r="AT217" t="str">
        <f t="shared" si="83"/>
        <v>Blaine</v>
      </c>
      <c r="AU217" t="s">
        <v>2830</v>
      </c>
      <c r="AV217">
        <v>2</v>
      </c>
      <c r="AX217" s="114">
        <v>23</v>
      </c>
      <c r="AY217" s="116">
        <v>3</v>
      </c>
      <c r="AZ217" s="116">
        <v>30</v>
      </c>
      <c r="BA217" s="120">
        <v>5385</v>
      </c>
      <c r="BB217" s="120">
        <f t="shared" si="84"/>
        <v>23003</v>
      </c>
      <c r="BC217" t="s">
        <v>1472</v>
      </c>
      <c r="BD217">
        <f t="shared" si="85"/>
        <v>2305385</v>
      </c>
      <c r="BE217" s="1">
        <v>5</v>
      </c>
      <c r="BI217">
        <v>18.54</v>
      </c>
      <c r="BJ217">
        <v>0.05</v>
      </c>
      <c r="BK217">
        <v>18.48</v>
      </c>
      <c r="BS217" s="63">
        <v>0</v>
      </c>
      <c r="CK217" s="1" t="s">
        <v>3777</v>
      </c>
    </row>
    <row r="218" spans="1:89" hidden="1" outlineLevel="1">
      <c r="A218" t="s">
        <v>1299</v>
      </c>
      <c r="B218" s="8" t="s">
        <v>1697</v>
      </c>
      <c r="C218" s="1">
        <f t="shared" si="74"/>
        <v>1776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 t="shared" si="75"/>
        <v>5</v>
      </c>
      <c r="G218" s="1">
        <f t="shared" si="76"/>
        <v>528</v>
      </c>
      <c r="H218" s="2">
        <f t="shared" si="77"/>
        <v>0.29729729729729731</v>
      </c>
      <c r="I218" s="6"/>
      <c r="J218" s="2">
        <f t="shared" si="78"/>
        <v>0.61261261261261257</v>
      </c>
      <c r="K218" s="2">
        <f t="shared" si="79"/>
        <v>0.31531531531531531</v>
      </c>
      <c r="L218" s="2">
        <f t="shared" si="80"/>
        <v>5.6306306306306306E-4</v>
      </c>
      <c r="M218" s="2">
        <f t="shared" si="81"/>
        <v>7.1509009009009056E-2</v>
      </c>
      <c r="N218" s="63">
        <v>1088</v>
      </c>
      <c r="O218" s="63">
        <v>560</v>
      </c>
      <c r="P218" s="63">
        <v>1</v>
      </c>
      <c r="Q218" s="63">
        <v>82</v>
      </c>
      <c r="R218" s="63">
        <v>44</v>
      </c>
      <c r="S218" s="63">
        <v>1</v>
      </c>
      <c r="T218" s="67"/>
      <c r="U218" s="63"/>
      <c r="V218" s="63"/>
      <c r="W218" s="63">
        <f t="shared" si="82"/>
        <v>0</v>
      </c>
      <c r="X218" s="63"/>
      <c r="Y218" s="63"/>
      <c r="Z218" s="63"/>
      <c r="AA218" s="63"/>
      <c r="AB218" s="63"/>
      <c r="AE218" s="8">
        <v>0</v>
      </c>
      <c r="AT218" t="str">
        <f t="shared" si="83"/>
        <v>Blue Hill</v>
      </c>
      <c r="AU218" t="s">
        <v>597</v>
      </c>
      <c r="AV218">
        <v>2</v>
      </c>
      <c r="AX218" s="114">
        <v>23</v>
      </c>
      <c r="AY218" s="116">
        <v>9</v>
      </c>
      <c r="AZ218" s="116">
        <v>20</v>
      </c>
      <c r="BA218" s="120">
        <v>5700</v>
      </c>
      <c r="BB218" s="120">
        <f t="shared" si="84"/>
        <v>23009</v>
      </c>
      <c r="BC218" t="s">
        <v>1472</v>
      </c>
      <c r="BD218">
        <f t="shared" si="85"/>
        <v>2305700</v>
      </c>
      <c r="BE218" s="1">
        <v>48</v>
      </c>
      <c r="BI218">
        <v>86.67</v>
      </c>
      <c r="BJ218">
        <v>24.13</v>
      </c>
      <c r="BK218">
        <v>62.53</v>
      </c>
      <c r="BS218" s="63">
        <v>0</v>
      </c>
      <c r="CK218" s="158" t="s">
        <v>3778</v>
      </c>
    </row>
    <row r="219" spans="1:89" hidden="1" outlineLevel="1">
      <c r="A219" t="s">
        <v>2521</v>
      </c>
      <c r="B219" s="8" t="s">
        <v>1697</v>
      </c>
      <c r="C219" s="1">
        <f t="shared" si="74"/>
        <v>2033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 t="shared" si="75"/>
        <v>5</v>
      </c>
      <c r="G219" s="1">
        <f t="shared" si="76"/>
        <v>81</v>
      </c>
      <c r="H219" s="2">
        <f t="shared" si="77"/>
        <v>3.9842597147073291E-2</v>
      </c>
      <c r="I219" s="6"/>
      <c r="J219" s="2">
        <f t="shared" si="78"/>
        <v>0.48204623708804722</v>
      </c>
      <c r="K219" s="2">
        <f t="shared" si="79"/>
        <v>0.44220363994097395</v>
      </c>
      <c r="L219" s="2">
        <f t="shared" si="80"/>
        <v>9.8376783079193305E-4</v>
      </c>
      <c r="M219" s="2">
        <f t="shared" si="81"/>
        <v>7.4766355140186952E-2</v>
      </c>
      <c r="N219" s="63">
        <v>980</v>
      </c>
      <c r="O219" s="63">
        <v>899</v>
      </c>
      <c r="P219" s="63">
        <v>2</v>
      </c>
      <c r="Q219" s="63">
        <v>112</v>
      </c>
      <c r="R219" s="63">
        <v>40</v>
      </c>
      <c r="S219" s="63">
        <v>0</v>
      </c>
      <c r="T219" s="67"/>
      <c r="U219" s="63"/>
      <c r="V219" s="63"/>
      <c r="W219" s="63">
        <f t="shared" si="82"/>
        <v>0</v>
      </c>
      <c r="X219" s="63"/>
      <c r="Y219" s="63"/>
      <c r="Z219" s="63"/>
      <c r="AA219" s="63"/>
      <c r="AB219" s="63"/>
      <c r="AE219" s="8">
        <v>0</v>
      </c>
      <c r="AT219" t="str">
        <f t="shared" si="83"/>
        <v>Boothbay</v>
      </c>
      <c r="AU219" t="s">
        <v>1597</v>
      </c>
      <c r="AV219">
        <v>1</v>
      </c>
      <c r="AX219" s="114">
        <v>23</v>
      </c>
      <c r="AY219" s="116">
        <v>15</v>
      </c>
      <c r="AZ219" s="116">
        <v>10</v>
      </c>
      <c r="BA219" s="120">
        <v>6050</v>
      </c>
      <c r="BB219" s="120">
        <f t="shared" si="84"/>
        <v>23015</v>
      </c>
      <c r="BC219" t="s">
        <v>1472</v>
      </c>
      <c r="BD219">
        <f t="shared" si="85"/>
        <v>2306050</v>
      </c>
      <c r="BE219" s="1">
        <v>80</v>
      </c>
      <c r="BI219">
        <v>46.13</v>
      </c>
      <c r="BJ219">
        <v>24.03</v>
      </c>
      <c r="BK219">
        <v>22.1</v>
      </c>
      <c r="BS219" s="63">
        <v>0</v>
      </c>
      <c r="CK219" s="1" t="s">
        <v>3779</v>
      </c>
    </row>
    <row r="220" spans="1:89" hidden="1" outlineLevel="1">
      <c r="A220" t="s">
        <v>933</v>
      </c>
      <c r="B220" s="8" t="s">
        <v>1697</v>
      </c>
      <c r="C220" s="1">
        <f t="shared" si="74"/>
        <v>1356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 t="shared" si="75"/>
        <v>0</v>
      </c>
      <c r="G220" s="1">
        <f t="shared" si="76"/>
        <v>188</v>
      </c>
      <c r="H220" s="2">
        <f t="shared" si="77"/>
        <v>0.13864306784660768</v>
      </c>
      <c r="I220" s="6"/>
      <c r="J220" s="2">
        <f t="shared" si="78"/>
        <v>0.53761061946902655</v>
      </c>
      <c r="K220" s="2">
        <f t="shared" si="79"/>
        <v>0.39896755162241887</v>
      </c>
      <c r="L220" s="2">
        <f t="shared" si="80"/>
        <v>0</v>
      </c>
      <c r="M220" s="2">
        <f t="shared" si="81"/>
        <v>6.3421828908554578E-2</v>
      </c>
      <c r="N220" s="63">
        <v>729</v>
      </c>
      <c r="O220" s="63">
        <v>541</v>
      </c>
      <c r="P220" s="63">
        <v>0</v>
      </c>
      <c r="Q220" s="63">
        <v>64</v>
      </c>
      <c r="R220" s="63">
        <v>22</v>
      </c>
      <c r="S220" s="63">
        <v>0</v>
      </c>
      <c r="T220" s="67"/>
      <c r="U220" s="63"/>
      <c r="V220" s="63"/>
      <c r="W220" s="63">
        <f t="shared" si="82"/>
        <v>0</v>
      </c>
      <c r="X220" s="63"/>
      <c r="Y220" s="63"/>
      <c r="Z220" s="63"/>
      <c r="AA220" s="63"/>
      <c r="AB220" s="63"/>
      <c r="AE220" s="8">
        <v>0</v>
      </c>
      <c r="AT220" t="str">
        <f t="shared" si="83"/>
        <v>Boothbay Harbor</v>
      </c>
      <c r="AU220" t="s">
        <v>1597</v>
      </c>
      <c r="AV220">
        <v>1</v>
      </c>
      <c r="AX220" s="114">
        <v>23</v>
      </c>
      <c r="AY220" s="116">
        <v>15</v>
      </c>
      <c r="AZ220" s="116">
        <v>15</v>
      </c>
      <c r="BA220" s="120">
        <v>6120</v>
      </c>
      <c r="BB220" s="120">
        <f t="shared" si="84"/>
        <v>23015</v>
      </c>
      <c r="BC220" t="s">
        <v>1472</v>
      </c>
      <c r="BD220">
        <f t="shared" si="85"/>
        <v>2306120</v>
      </c>
      <c r="BE220" s="1">
        <v>37</v>
      </c>
      <c r="BI220">
        <v>9.23</v>
      </c>
      <c r="BJ220">
        <v>3.46</v>
      </c>
      <c r="BK220">
        <v>5.77</v>
      </c>
      <c r="BS220" s="63">
        <v>0</v>
      </c>
      <c r="CK220" s="1" t="s">
        <v>3780</v>
      </c>
    </row>
    <row r="221" spans="1:89" hidden="1" outlineLevel="1">
      <c r="A221" t="s">
        <v>2816</v>
      </c>
      <c r="B221" s="8" t="s">
        <v>1697</v>
      </c>
      <c r="C221" s="1">
        <f t="shared" si="74"/>
        <v>1710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 t="shared" si="75"/>
        <v>5</v>
      </c>
      <c r="G221" s="1">
        <f t="shared" si="76"/>
        <v>418</v>
      </c>
      <c r="H221" s="2">
        <f t="shared" si="77"/>
        <v>0.24444444444444444</v>
      </c>
      <c r="I221" s="6"/>
      <c r="J221" s="2">
        <f t="shared" si="78"/>
        <v>0.34444444444444444</v>
      </c>
      <c r="K221" s="2">
        <f t="shared" si="79"/>
        <v>0.58888888888888891</v>
      </c>
      <c r="L221" s="2">
        <f t="shared" si="80"/>
        <v>5.263157894736842E-3</v>
      </c>
      <c r="M221" s="2">
        <f t="shared" si="81"/>
        <v>6.1403508771929807E-2</v>
      </c>
      <c r="N221" s="63">
        <v>589</v>
      </c>
      <c r="O221" s="63">
        <v>1007</v>
      </c>
      <c r="P221" s="63">
        <v>9</v>
      </c>
      <c r="Q221" s="63">
        <v>81</v>
      </c>
      <c r="R221" s="63">
        <v>21</v>
      </c>
      <c r="S221" s="63">
        <v>3</v>
      </c>
      <c r="T221" s="67"/>
      <c r="U221" s="63"/>
      <c r="V221" s="63"/>
      <c r="W221" s="63">
        <f t="shared" si="82"/>
        <v>0</v>
      </c>
      <c r="X221" s="63"/>
      <c r="Y221" s="63"/>
      <c r="Z221" s="63"/>
      <c r="AA221" s="63"/>
      <c r="AB221" s="63"/>
      <c r="AE221" s="8">
        <v>0</v>
      </c>
      <c r="AT221" t="str">
        <f t="shared" si="83"/>
        <v>Bowdoin</v>
      </c>
      <c r="AU221" t="s">
        <v>1283</v>
      </c>
      <c r="AV221">
        <v>1</v>
      </c>
      <c r="AX221" s="114">
        <v>23</v>
      </c>
      <c r="AY221" s="116">
        <v>23</v>
      </c>
      <c r="AZ221" s="116">
        <v>15</v>
      </c>
      <c r="BA221" s="120">
        <v>6260</v>
      </c>
      <c r="BB221" s="120">
        <f t="shared" si="84"/>
        <v>23023</v>
      </c>
      <c r="BC221" t="s">
        <v>1472</v>
      </c>
      <c r="BD221">
        <f t="shared" si="85"/>
        <v>2306260</v>
      </c>
      <c r="BE221" s="1">
        <v>54</v>
      </c>
      <c r="BI221">
        <v>43.65</v>
      </c>
      <c r="BJ221">
        <v>0.16</v>
      </c>
      <c r="BK221">
        <v>43.49</v>
      </c>
      <c r="BS221" s="63">
        <v>0</v>
      </c>
      <c r="CK221" s="1" t="s">
        <v>3781</v>
      </c>
    </row>
    <row r="222" spans="1:89" hidden="1" outlineLevel="1">
      <c r="A222" t="s">
        <v>82</v>
      </c>
      <c r="B222" s="8" t="s">
        <v>1697</v>
      </c>
      <c r="C222" s="1">
        <f t="shared" si="74"/>
        <v>1834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 t="shared" si="75"/>
        <v>5</v>
      </c>
      <c r="G222" s="1">
        <f t="shared" si="76"/>
        <v>73</v>
      </c>
      <c r="H222" s="2">
        <f t="shared" si="77"/>
        <v>3.9803707742639041E-2</v>
      </c>
      <c r="I222" s="6"/>
      <c r="J222" s="2">
        <f t="shared" si="78"/>
        <v>0.47764449291166849</v>
      </c>
      <c r="K222" s="2">
        <f t="shared" si="79"/>
        <v>0.43784078516902947</v>
      </c>
      <c r="L222" s="2">
        <f t="shared" si="80"/>
        <v>2.1810250817884407E-3</v>
      </c>
      <c r="M222" s="2">
        <f t="shared" si="81"/>
        <v>8.2333696837513543E-2</v>
      </c>
      <c r="N222" s="63">
        <v>876</v>
      </c>
      <c r="O222" s="63">
        <v>803</v>
      </c>
      <c r="P222" s="63">
        <v>4</v>
      </c>
      <c r="Q222" s="63">
        <v>109</v>
      </c>
      <c r="R222" s="63">
        <v>41</v>
      </c>
      <c r="S222" s="63">
        <v>1</v>
      </c>
      <c r="T222" s="67"/>
      <c r="U222" s="63"/>
      <c r="V222" s="63"/>
      <c r="W222" s="63">
        <f t="shared" si="82"/>
        <v>0</v>
      </c>
      <c r="X222" s="63"/>
      <c r="Y222" s="63"/>
      <c r="Z222" s="63"/>
      <c r="AA222" s="63"/>
      <c r="AB222" s="63"/>
      <c r="AE222" s="8">
        <v>0</v>
      </c>
      <c r="AT222" t="str">
        <f t="shared" si="83"/>
        <v>Bowdoinham</v>
      </c>
      <c r="AU222" t="s">
        <v>1283</v>
      </c>
      <c r="AV222">
        <v>1</v>
      </c>
      <c r="AX222" s="114">
        <v>23</v>
      </c>
      <c r="AY222" s="116">
        <v>23</v>
      </c>
      <c r="AZ222" s="116">
        <v>20</v>
      </c>
      <c r="BA222" s="120">
        <v>6365</v>
      </c>
      <c r="BB222" s="120">
        <f t="shared" si="84"/>
        <v>23023</v>
      </c>
      <c r="BC222" t="s">
        <v>1472</v>
      </c>
      <c r="BD222">
        <f t="shared" si="85"/>
        <v>2306365</v>
      </c>
      <c r="BE222" s="1">
        <v>51</v>
      </c>
      <c r="BI222">
        <v>39.14</v>
      </c>
      <c r="BJ222">
        <v>4.74</v>
      </c>
      <c r="BK222">
        <v>34.4</v>
      </c>
      <c r="BS222" s="63">
        <v>0</v>
      </c>
      <c r="CK222" s="1" t="s">
        <v>3782</v>
      </c>
    </row>
    <row r="223" spans="1:89" hidden="1" outlineLevel="1">
      <c r="A223" t="s">
        <v>618</v>
      </c>
      <c r="B223" s="8" t="s">
        <v>1697</v>
      </c>
      <c r="C223" s="1">
        <f t="shared" si="74"/>
        <v>88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 t="shared" si="75"/>
        <v>0</v>
      </c>
      <c r="G223" s="1">
        <f t="shared" si="76"/>
        <v>35</v>
      </c>
      <c r="H223" s="2">
        <f t="shared" si="77"/>
        <v>0.39772727272727271</v>
      </c>
      <c r="I223" s="6"/>
      <c r="J223" s="2">
        <f t="shared" si="78"/>
        <v>0.28409090909090912</v>
      </c>
      <c r="K223" s="2">
        <f t="shared" si="79"/>
        <v>0.68181818181818177</v>
      </c>
      <c r="L223" s="2">
        <f t="shared" si="80"/>
        <v>0</v>
      </c>
      <c r="M223" s="2">
        <f t="shared" si="81"/>
        <v>3.4090909090909061E-2</v>
      </c>
      <c r="N223" s="63">
        <v>25</v>
      </c>
      <c r="O223" s="63">
        <v>60</v>
      </c>
      <c r="P223" s="63">
        <v>0</v>
      </c>
      <c r="Q223" s="63">
        <v>3</v>
      </c>
      <c r="R223" s="63">
        <v>0</v>
      </c>
      <c r="S223" s="63">
        <v>0</v>
      </c>
      <c r="T223" s="67"/>
      <c r="U223" s="63"/>
      <c r="V223" s="63"/>
      <c r="W223" s="63">
        <f t="shared" si="82"/>
        <v>0</v>
      </c>
      <c r="X223" s="63"/>
      <c r="Y223" s="63"/>
      <c r="Z223" s="63"/>
      <c r="AA223" s="63"/>
      <c r="AB223" s="63"/>
      <c r="AE223" s="8">
        <v>0</v>
      </c>
      <c r="AT223" t="str">
        <f t="shared" si="83"/>
        <v>Bowerbank</v>
      </c>
      <c r="AU223" t="s">
        <v>1957</v>
      </c>
      <c r="AV223">
        <v>2</v>
      </c>
      <c r="AX223" s="114">
        <v>23</v>
      </c>
      <c r="AY223" s="116">
        <v>21</v>
      </c>
      <c r="AZ223" s="116">
        <v>25</v>
      </c>
      <c r="BA223" s="120">
        <v>6400</v>
      </c>
      <c r="BB223" s="120">
        <f t="shared" si="84"/>
        <v>23021</v>
      </c>
      <c r="BC223" t="s">
        <v>1472</v>
      </c>
      <c r="BD223">
        <f t="shared" si="85"/>
        <v>2306400</v>
      </c>
      <c r="BE223" s="1">
        <v>5</v>
      </c>
      <c r="BI223">
        <v>47.27</v>
      </c>
      <c r="BJ223">
        <v>5.57</v>
      </c>
      <c r="BK223">
        <v>41.7</v>
      </c>
      <c r="BS223" s="63">
        <v>0</v>
      </c>
      <c r="CK223" s="1" t="s">
        <v>3783</v>
      </c>
    </row>
    <row r="224" spans="1:89" hidden="1" outlineLevel="1">
      <c r="A224" t="s">
        <v>2276</v>
      </c>
      <c r="B224" s="8" t="s">
        <v>1697</v>
      </c>
      <c r="C224" s="1">
        <f t="shared" si="74"/>
        <v>661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 t="shared" si="75"/>
        <v>0</v>
      </c>
      <c r="G224" s="1">
        <f t="shared" si="76"/>
        <v>257</v>
      </c>
      <c r="H224" s="2">
        <f t="shared" si="77"/>
        <v>0.38880484114977309</v>
      </c>
      <c r="I224" s="6"/>
      <c r="J224" s="2">
        <f t="shared" si="78"/>
        <v>0.27987897125567324</v>
      </c>
      <c r="K224" s="2">
        <f t="shared" si="79"/>
        <v>0.66868381240544628</v>
      </c>
      <c r="L224" s="2">
        <f t="shared" si="80"/>
        <v>0</v>
      </c>
      <c r="M224" s="2">
        <f t="shared" si="81"/>
        <v>5.1437216338880432E-2</v>
      </c>
      <c r="N224" s="63">
        <v>185</v>
      </c>
      <c r="O224" s="63">
        <v>442</v>
      </c>
      <c r="P224" s="63">
        <v>0</v>
      </c>
      <c r="Q224" s="63">
        <v>26</v>
      </c>
      <c r="R224" s="63">
        <v>8</v>
      </c>
      <c r="S224" s="63">
        <v>0</v>
      </c>
      <c r="T224" s="67"/>
      <c r="U224" s="63"/>
      <c r="V224" s="63"/>
      <c r="W224" s="63">
        <f t="shared" si="82"/>
        <v>0</v>
      </c>
      <c r="X224" s="63"/>
      <c r="Y224" s="63"/>
      <c r="Z224" s="63"/>
      <c r="AA224" s="63"/>
      <c r="AB224" s="63"/>
      <c r="AE224" s="8">
        <v>0</v>
      </c>
      <c r="AT224" t="str">
        <f t="shared" si="83"/>
        <v>Bradford</v>
      </c>
      <c r="AU224" t="s">
        <v>2481</v>
      </c>
      <c r="AV224">
        <v>2</v>
      </c>
      <c r="AX224" s="114">
        <v>23</v>
      </c>
      <c r="AY224" s="116">
        <v>19</v>
      </c>
      <c r="AZ224" s="116">
        <v>15</v>
      </c>
      <c r="BA224" s="120">
        <v>6575</v>
      </c>
      <c r="BB224" s="120">
        <f t="shared" si="84"/>
        <v>23019</v>
      </c>
      <c r="BC224" t="s">
        <v>1472</v>
      </c>
      <c r="BD224">
        <f t="shared" si="85"/>
        <v>2306575</v>
      </c>
      <c r="BE224" s="1">
        <v>18</v>
      </c>
      <c r="BI224">
        <v>41.31</v>
      </c>
      <c r="BJ224">
        <v>0</v>
      </c>
      <c r="BK224">
        <v>41.31</v>
      </c>
      <c r="BS224" s="63">
        <v>0</v>
      </c>
      <c r="CK224" s="1" t="s">
        <v>3784</v>
      </c>
    </row>
    <row r="225" spans="1:89" hidden="1" outlineLevel="1">
      <c r="A225" t="s">
        <v>610</v>
      </c>
      <c r="B225" s="8" t="s">
        <v>1697</v>
      </c>
      <c r="C225" s="1">
        <f t="shared" si="74"/>
        <v>803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 t="shared" si="75"/>
        <v>0</v>
      </c>
      <c r="G225" s="1">
        <f t="shared" si="76"/>
        <v>76</v>
      </c>
      <c r="H225" s="2">
        <f t="shared" si="77"/>
        <v>9.4645080946450813E-2</v>
      </c>
      <c r="I225" s="6"/>
      <c r="J225" s="2">
        <f t="shared" si="78"/>
        <v>0.41718555417185554</v>
      </c>
      <c r="K225" s="2">
        <f t="shared" si="79"/>
        <v>0.5118306351183064</v>
      </c>
      <c r="L225" s="2">
        <f t="shared" si="80"/>
        <v>0</v>
      </c>
      <c r="M225" s="2">
        <f t="shared" si="81"/>
        <v>7.0983810709838058E-2</v>
      </c>
      <c r="N225" s="63">
        <v>335</v>
      </c>
      <c r="O225" s="63">
        <v>411</v>
      </c>
      <c r="P225" s="63">
        <v>0</v>
      </c>
      <c r="Q225" s="63">
        <v>42</v>
      </c>
      <c r="R225" s="63">
        <v>15</v>
      </c>
      <c r="S225" s="63">
        <v>0</v>
      </c>
      <c r="T225" s="67"/>
      <c r="U225" s="63"/>
      <c r="V225" s="63"/>
      <c r="W225" s="63">
        <f t="shared" si="82"/>
        <v>0</v>
      </c>
      <c r="X225" s="63"/>
      <c r="Y225" s="63"/>
      <c r="Z225" s="63"/>
      <c r="AA225" s="63"/>
      <c r="AB225" s="63"/>
      <c r="AE225" s="8">
        <v>0</v>
      </c>
      <c r="AT225" t="str">
        <f t="shared" si="83"/>
        <v>Bradley</v>
      </c>
      <c r="AU225" t="s">
        <v>2481</v>
      </c>
      <c r="AV225">
        <v>2</v>
      </c>
      <c r="AX225" s="114">
        <v>23</v>
      </c>
      <c r="AY225" s="116">
        <v>19</v>
      </c>
      <c r="AZ225" s="116">
        <v>20</v>
      </c>
      <c r="BA225" s="120">
        <v>6680</v>
      </c>
      <c r="BB225" s="120">
        <f t="shared" si="84"/>
        <v>23019</v>
      </c>
      <c r="BC225" t="s">
        <v>1472</v>
      </c>
      <c r="BD225">
        <f t="shared" si="85"/>
        <v>2306680</v>
      </c>
      <c r="BE225" s="1">
        <v>31</v>
      </c>
      <c r="BI225">
        <v>50.79</v>
      </c>
      <c r="BJ225">
        <v>1.23</v>
      </c>
      <c r="BK225">
        <v>49.56</v>
      </c>
      <c r="BS225" s="63">
        <v>0</v>
      </c>
      <c r="CK225" s="1" t="s">
        <v>3785</v>
      </c>
    </row>
    <row r="226" spans="1:89" hidden="1" outlineLevel="1">
      <c r="A226" t="s">
        <v>637</v>
      </c>
      <c r="B226" s="8" t="s">
        <v>1697</v>
      </c>
      <c r="C226" s="1">
        <f t="shared" si="74"/>
        <v>495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 t="shared" si="75"/>
        <v>5</v>
      </c>
      <c r="G226" s="1">
        <f t="shared" si="76"/>
        <v>88</v>
      </c>
      <c r="H226" s="2">
        <f t="shared" si="77"/>
        <v>0.17777777777777778</v>
      </c>
      <c r="I226" s="6"/>
      <c r="J226" s="2">
        <f t="shared" si="78"/>
        <v>0.5696969696969697</v>
      </c>
      <c r="K226" s="2">
        <f t="shared" si="79"/>
        <v>0.39191919191919194</v>
      </c>
      <c r="L226" s="2">
        <f t="shared" si="80"/>
        <v>4.0404040404040404E-3</v>
      </c>
      <c r="M226" s="2">
        <f t="shared" si="81"/>
        <v>3.4343434343434315E-2</v>
      </c>
      <c r="N226" s="63">
        <v>282</v>
      </c>
      <c r="O226" s="63">
        <v>194</v>
      </c>
      <c r="P226" s="63">
        <v>2</v>
      </c>
      <c r="Q226" s="63">
        <v>11</v>
      </c>
      <c r="R226" s="63">
        <v>6</v>
      </c>
      <c r="S226" s="63">
        <v>0</v>
      </c>
      <c r="T226" s="67"/>
      <c r="U226" s="63"/>
      <c r="V226" s="63"/>
      <c r="W226" s="63">
        <f t="shared" si="82"/>
        <v>0</v>
      </c>
      <c r="X226" s="63"/>
      <c r="Y226" s="63"/>
      <c r="Z226" s="63"/>
      <c r="AA226" s="63"/>
      <c r="AB226" s="63"/>
      <c r="AE226" s="8">
        <v>0</v>
      </c>
      <c r="AT226" t="str">
        <f t="shared" si="83"/>
        <v>Bremen</v>
      </c>
      <c r="AU226" t="s">
        <v>1597</v>
      </c>
      <c r="AV226">
        <v>1</v>
      </c>
      <c r="AX226" s="114">
        <v>23</v>
      </c>
      <c r="AY226" s="116">
        <v>15</v>
      </c>
      <c r="AZ226" s="116">
        <v>20</v>
      </c>
      <c r="BA226" s="120">
        <v>6855</v>
      </c>
      <c r="BB226" s="120">
        <f t="shared" si="84"/>
        <v>23015</v>
      </c>
      <c r="BC226" t="s">
        <v>1472</v>
      </c>
      <c r="BD226">
        <f t="shared" si="85"/>
        <v>2306855</v>
      </c>
      <c r="BE226" s="1">
        <v>18</v>
      </c>
      <c r="BI226">
        <v>27.39</v>
      </c>
      <c r="BJ226">
        <v>10.91</v>
      </c>
      <c r="BK226">
        <v>16.48</v>
      </c>
      <c r="BS226" s="63">
        <v>0</v>
      </c>
      <c r="CK226" s="1" t="s">
        <v>3786</v>
      </c>
    </row>
    <row r="227" spans="1:89" hidden="1" outlineLevel="1">
      <c r="A227" t="s">
        <v>1509</v>
      </c>
      <c r="B227" s="8" t="s">
        <v>1697</v>
      </c>
      <c r="C227" s="1">
        <f t="shared" si="74"/>
        <v>5144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 t="shared" si="75"/>
        <v>0</v>
      </c>
      <c r="G227" s="1">
        <f t="shared" si="76"/>
        <v>420</v>
      </c>
      <c r="H227" s="2">
        <f t="shared" si="77"/>
        <v>8.164852255054432E-2</v>
      </c>
      <c r="I227" s="6"/>
      <c r="J227" s="2">
        <f t="shared" si="78"/>
        <v>0.42087869362363917</v>
      </c>
      <c r="K227" s="2">
        <f t="shared" si="79"/>
        <v>0.5025272161741835</v>
      </c>
      <c r="L227" s="2">
        <f t="shared" si="80"/>
        <v>0</v>
      </c>
      <c r="M227" s="2">
        <f t="shared" si="81"/>
        <v>7.6594090202177334E-2</v>
      </c>
      <c r="N227" s="63">
        <v>2165</v>
      </c>
      <c r="O227" s="63">
        <v>2585</v>
      </c>
      <c r="P227" s="63">
        <v>0</v>
      </c>
      <c r="Q227" s="63">
        <v>302</v>
      </c>
      <c r="R227" s="63">
        <v>92</v>
      </c>
      <c r="S227" s="63">
        <v>0</v>
      </c>
      <c r="T227" s="67"/>
      <c r="U227" s="63"/>
      <c r="V227" s="63"/>
      <c r="W227" s="63">
        <f t="shared" si="82"/>
        <v>0</v>
      </c>
      <c r="X227" s="63"/>
      <c r="Y227" s="63"/>
      <c r="Z227" s="63"/>
      <c r="AA227" s="63"/>
      <c r="AB227" s="63"/>
      <c r="AE227" s="8">
        <v>0</v>
      </c>
      <c r="AT227" t="str">
        <f t="shared" si="83"/>
        <v>Brewer</v>
      </c>
      <c r="AU227" t="s">
        <v>2481</v>
      </c>
      <c r="AV227">
        <v>2</v>
      </c>
      <c r="AX227" s="114">
        <v>23</v>
      </c>
      <c r="AY227" s="116">
        <v>19</v>
      </c>
      <c r="AZ227" s="116">
        <v>25</v>
      </c>
      <c r="BA227" s="120">
        <v>6925</v>
      </c>
      <c r="BB227" s="120">
        <f t="shared" si="84"/>
        <v>23019</v>
      </c>
      <c r="BC227" t="s">
        <v>1249</v>
      </c>
      <c r="BD227">
        <f t="shared" si="85"/>
        <v>2306925</v>
      </c>
      <c r="BE227" s="1">
        <v>160</v>
      </c>
      <c r="BI227">
        <v>15.6</v>
      </c>
      <c r="BJ227">
        <v>0.5</v>
      </c>
      <c r="BK227">
        <v>15.1</v>
      </c>
      <c r="BS227" s="63">
        <v>0</v>
      </c>
      <c r="CK227" s="1" t="s">
        <v>3787</v>
      </c>
    </row>
    <row r="228" spans="1:89" hidden="1" outlineLevel="1">
      <c r="A228" t="s">
        <v>804</v>
      </c>
      <c r="B228" s="8" t="s">
        <v>1697</v>
      </c>
      <c r="C228" s="1">
        <f t="shared" si="74"/>
        <v>309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 t="shared" si="75"/>
        <v>0</v>
      </c>
      <c r="G228" s="1">
        <f t="shared" si="76"/>
        <v>117</v>
      </c>
      <c r="H228" s="2">
        <f t="shared" si="77"/>
        <v>0.37864077669902912</v>
      </c>
      <c r="I228" s="6"/>
      <c r="J228" s="2">
        <f t="shared" si="78"/>
        <v>0.27508090614886732</v>
      </c>
      <c r="K228" s="2">
        <f t="shared" si="79"/>
        <v>0.65372168284789645</v>
      </c>
      <c r="L228" s="2">
        <f t="shared" si="80"/>
        <v>0</v>
      </c>
      <c r="M228" s="2">
        <f t="shared" si="81"/>
        <v>7.1197411003236288E-2</v>
      </c>
      <c r="N228" s="63">
        <v>85</v>
      </c>
      <c r="O228" s="63">
        <v>202</v>
      </c>
      <c r="P228" s="63">
        <v>0</v>
      </c>
      <c r="Q228" s="63">
        <v>17</v>
      </c>
      <c r="R228" s="63">
        <v>5</v>
      </c>
      <c r="S228" s="63">
        <v>0</v>
      </c>
      <c r="T228" s="67"/>
      <c r="U228" s="63"/>
      <c r="V228" s="63"/>
      <c r="W228" s="63">
        <f t="shared" si="82"/>
        <v>0</v>
      </c>
      <c r="X228" s="63"/>
      <c r="Y228" s="63"/>
      <c r="Z228" s="63"/>
      <c r="AA228" s="63"/>
      <c r="AB228" s="63"/>
      <c r="AE228" s="8">
        <v>0</v>
      </c>
      <c r="AT228" t="str">
        <f t="shared" si="83"/>
        <v>Bridgewater</v>
      </c>
      <c r="AU228" t="s">
        <v>2830</v>
      </c>
      <c r="AV228">
        <v>2</v>
      </c>
      <c r="AX228" s="114">
        <v>23</v>
      </c>
      <c r="AY228" s="116">
        <v>3</v>
      </c>
      <c r="AZ228" s="116">
        <v>35</v>
      </c>
      <c r="BA228" s="120">
        <v>7065</v>
      </c>
      <c r="BB228" s="120">
        <f t="shared" si="84"/>
        <v>23003</v>
      </c>
      <c r="BC228" t="s">
        <v>1472</v>
      </c>
      <c r="BD228">
        <f t="shared" si="85"/>
        <v>2307065</v>
      </c>
      <c r="BE228" s="1">
        <v>4</v>
      </c>
      <c r="BI228">
        <v>38.950000000000003</v>
      </c>
      <c r="BJ228">
        <v>0.17</v>
      </c>
      <c r="BK228">
        <v>38.78</v>
      </c>
      <c r="BS228" s="63">
        <v>0</v>
      </c>
      <c r="CK228" s="1" t="s">
        <v>3788</v>
      </c>
    </row>
    <row r="229" spans="1:89" hidden="1" outlineLevel="1">
      <c r="A229" t="s">
        <v>847</v>
      </c>
      <c r="B229" s="8" t="s">
        <v>1697</v>
      </c>
      <c r="C229" s="1">
        <f t="shared" si="74"/>
        <v>2931</v>
      </c>
      <c r="D229" s="5">
        <f>IF(N229&gt;0, RANK(N229,(N229:P229,Q229:AE229)),0)</f>
        <v>2</v>
      </c>
      <c r="E229" s="5">
        <f>IF(O229&gt;0,RANK(O229,(N229:P229,Q229:AE229)),0)</f>
        <v>1</v>
      </c>
      <c r="F229" s="5">
        <f t="shared" si="75"/>
        <v>5</v>
      </c>
      <c r="G229" s="1">
        <f t="shared" si="76"/>
        <v>250</v>
      </c>
      <c r="H229" s="2">
        <f t="shared" si="77"/>
        <v>8.529512111907199E-2</v>
      </c>
      <c r="I229" s="6"/>
      <c r="J229" s="2">
        <f t="shared" si="78"/>
        <v>0.41760491299897645</v>
      </c>
      <c r="K229" s="2">
        <f t="shared" si="79"/>
        <v>0.5029000341180484</v>
      </c>
      <c r="L229" s="2">
        <f t="shared" si="80"/>
        <v>2.0470829068577278E-3</v>
      </c>
      <c r="M229" s="2">
        <f t="shared" si="81"/>
        <v>7.7447969976117359E-2</v>
      </c>
      <c r="N229" s="63">
        <v>1224</v>
      </c>
      <c r="O229" s="63">
        <v>1474</v>
      </c>
      <c r="P229" s="63">
        <v>6</v>
      </c>
      <c r="Q229" s="63">
        <v>158</v>
      </c>
      <c r="R229" s="63">
        <v>69</v>
      </c>
      <c r="S229" s="63">
        <v>0</v>
      </c>
      <c r="T229" s="67"/>
      <c r="U229" s="63"/>
      <c r="V229" s="63"/>
      <c r="W229" s="63">
        <f t="shared" si="82"/>
        <v>0</v>
      </c>
      <c r="X229" s="63"/>
      <c r="Y229" s="63"/>
      <c r="Z229" s="63"/>
      <c r="AA229" s="63"/>
      <c r="AB229" s="63"/>
      <c r="AE229" s="8">
        <v>0</v>
      </c>
      <c r="AT229" t="str">
        <f t="shared" si="83"/>
        <v>Bridgton</v>
      </c>
      <c r="AU229" t="s">
        <v>1531</v>
      </c>
      <c r="AV229">
        <v>1</v>
      </c>
      <c r="AX229" s="114">
        <v>23</v>
      </c>
      <c r="AY229" s="116">
        <v>5</v>
      </c>
      <c r="AZ229" s="116">
        <v>10</v>
      </c>
      <c r="BA229" s="120">
        <v>7170</v>
      </c>
      <c r="BB229" s="120">
        <f t="shared" si="84"/>
        <v>23005</v>
      </c>
      <c r="BC229" t="s">
        <v>1472</v>
      </c>
      <c r="BD229">
        <f t="shared" si="85"/>
        <v>2307170</v>
      </c>
      <c r="BE229" s="1">
        <v>96</v>
      </c>
      <c r="BI229">
        <v>67.650000000000006</v>
      </c>
      <c r="BJ229">
        <v>10.36</v>
      </c>
      <c r="BK229">
        <v>57.29</v>
      </c>
      <c r="BS229" s="63">
        <v>0</v>
      </c>
      <c r="CK229" s="158" t="s">
        <v>3789</v>
      </c>
    </row>
    <row r="230" spans="1:89" hidden="1" outlineLevel="1">
      <c r="A230" t="s">
        <v>787</v>
      </c>
      <c r="B230" s="8" t="s">
        <v>1697</v>
      </c>
      <c r="C230" s="1">
        <f t="shared" si="74"/>
        <v>48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 t="shared" si="75"/>
        <v>0</v>
      </c>
      <c r="G230" s="1">
        <f t="shared" si="76"/>
        <v>20</v>
      </c>
      <c r="H230" s="2">
        <f t="shared" si="77"/>
        <v>0.41666666666666669</v>
      </c>
      <c r="I230" s="6"/>
      <c r="J230" s="2">
        <f t="shared" si="78"/>
        <v>0.25</v>
      </c>
      <c r="K230" s="2">
        <f t="shared" si="79"/>
        <v>0.66666666666666663</v>
      </c>
      <c r="L230" s="2">
        <f t="shared" si="80"/>
        <v>0</v>
      </c>
      <c r="M230" s="2">
        <f t="shared" si="81"/>
        <v>8.333333333333337E-2</v>
      </c>
      <c r="N230" s="63">
        <v>12</v>
      </c>
      <c r="O230" s="63">
        <v>32</v>
      </c>
      <c r="P230" s="63">
        <v>0</v>
      </c>
      <c r="Q230" s="63">
        <v>2</v>
      </c>
      <c r="R230" s="63">
        <v>2</v>
      </c>
      <c r="S230" s="63">
        <v>0</v>
      </c>
      <c r="T230" s="67"/>
      <c r="U230" s="63"/>
      <c r="V230" s="63"/>
      <c r="W230" s="63">
        <f t="shared" si="82"/>
        <v>0</v>
      </c>
      <c r="X230" s="63"/>
      <c r="Y230" s="63"/>
      <c r="Z230" s="63"/>
      <c r="AA230" s="63"/>
      <c r="AB230" s="63"/>
      <c r="AE230" s="8">
        <v>0</v>
      </c>
      <c r="AT230" t="str">
        <f t="shared" si="83"/>
        <v>Brighton</v>
      </c>
      <c r="AU230" t="s">
        <v>1787</v>
      </c>
      <c r="AV230">
        <v>2</v>
      </c>
      <c r="AX230" s="114">
        <v>23</v>
      </c>
      <c r="AY230" s="116">
        <v>25</v>
      </c>
      <c r="AZ230" s="116">
        <v>20</v>
      </c>
      <c r="BA230" s="120">
        <v>7380</v>
      </c>
      <c r="BB230" s="120">
        <f t="shared" si="84"/>
        <v>23025</v>
      </c>
      <c r="BC230" t="s">
        <v>3075</v>
      </c>
      <c r="BD230">
        <f t="shared" si="85"/>
        <v>2307380</v>
      </c>
      <c r="BE230" s="1">
        <v>1</v>
      </c>
      <c r="BI230">
        <v>39.99</v>
      </c>
      <c r="BJ230">
        <v>0.67</v>
      </c>
      <c r="BK230">
        <v>39.32</v>
      </c>
      <c r="BS230" s="63">
        <v>0</v>
      </c>
      <c r="CK230" s="1" t="s">
        <v>3790</v>
      </c>
    </row>
    <row r="231" spans="1:89" hidden="1" outlineLevel="1">
      <c r="A231" t="s">
        <v>2215</v>
      </c>
      <c r="B231" s="8" t="s">
        <v>1697</v>
      </c>
      <c r="C231" s="1">
        <f t="shared" si="74"/>
        <v>1825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 t="shared" si="75"/>
        <v>5</v>
      </c>
      <c r="G231" s="1">
        <f t="shared" si="76"/>
        <v>169</v>
      </c>
      <c r="H231" s="2">
        <f t="shared" si="77"/>
        <v>9.2602739726027394E-2</v>
      </c>
      <c r="I231" s="6"/>
      <c r="J231" s="2">
        <f t="shared" si="78"/>
        <v>0.51287671232876708</v>
      </c>
      <c r="K231" s="2">
        <f t="shared" si="79"/>
        <v>0.42027397260273974</v>
      </c>
      <c r="L231" s="2">
        <f t="shared" si="80"/>
        <v>7.1232876712328764E-3</v>
      </c>
      <c r="M231" s="2">
        <f t="shared" si="81"/>
        <v>5.9726027397260302E-2</v>
      </c>
      <c r="N231" s="63">
        <v>936</v>
      </c>
      <c r="O231" s="63">
        <v>767</v>
      </c>
      <c r="P231" s="63">
        <v>13</v>
      </c>
      <c r="Q231" s="63">
        <v>73</v>
      </c>
      <c r="R231" s="63">
        <v>35</v>
      </c>
      <c r="S231" s="63">
        <v>1</v>
      </c>
      <c r="T231" s="67"/>
      <c r="U231" s="63"/>
      <c r="V231" s="63"/>
      <c r="W231" s="63">
        <f t="shared" si="82"/>
        <v>0</v>
      </c>
      <c r="X231" s="63"/>
      <c r="Y231" s="63"/>
      <c r="Z231" s="63"/>
      <c r="AA231" s="63"/>
      <c r="AB231" s="63"/>
      <c r="AE231" s="8">
        <v>0</v>
      </c>
      <c r="AT231" t="str">
        <f t="shared" si="83"/>
        <v>Bristol</v>
      </c>
      <c r="AU231" t="s">
        <v>1597</v>
      </c>
      <c r="AV231">
        <v>1</v>
      </c>
      <c r="AX231" s="114">
        <v>23</v>
      </c>
      <c r="AY231" s="116">
        <v>15</v>
      </c>
      <c r="AZ231" s="116">
        <v>25</v>
      </c>
      <c r="BA231" s="120">
        <v>7485</v>
      </c>
      <c r="BB231" s="120">
        <f t="shared" si="84"/>
        <v>23015</v>
      </c>
      <c r="BC231" t="s">
        <v>1472</v>
      </c>
      <c r="BD231">
        <f t="shared" si="85"/>
        <v>2307485</v>
      </c>
      <c r="BE231" s="1">
        <v>69</v>
      </c>
      <c r="BI231">
        <v>62.45</v>
      </c>
      <c r="BJ231">
        <v>27</v>
      </c>
      <c r="BK231">
        <v>35.450000000000003</v>
      </c>
      <c r="BS231" s="63">
        <v>0</v>
      </c>
      <c r="CK231" s="1" t="s">
        <v>3791</v>
      </c>
    </row>
    <row r="232" spans="1:89" hidden="1" outlineLevel="1">
      <c r="A232" t="s">
        <v>639</v>
      </c>
      <c r="B232" s="8" t="s">
        <v>1697</v>
      </c>
      <c r="C232" s="1">
        <f t="shared" si="74"/>
        <v>562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 t="shared" si="75"/>
        <v>5</v>
      </c>
      <c r="G232" s="1">
        <f t="shared" si="76"/>
        <v>169</v>
      </c>
      <c r="H232" s="2">
        <f t="shared" si="77"/>
        <v>0.30071174377224197</v>
      </c>
      <c r="I232" s="6"/>
      <c r="J232" s="2">
        <f t="shared" si="78"/>
        <v>0.61565836298932386</v>
      </c>
      <c r="K232" s="2">
        <f t="shared" si="79"/>
        <v>0.31494661921708184</v>
      </c>
      <c r="L232" s="2">
        <f t="shared" si="80"/>
        <v>5.3380782918149468E-3</v>
      </c>
      <c r="M232" s="2">
        <f t="shared" si="81"/>
        <v>6.4056939501779361E-2</v>
      </c>
      <c r="N232" s="63">
        <v>346</v>
      </c>
      <c r="O232" s="63">
        <v>177</v>
      </c>
      <c r="P232" s="63">
        <v>3</v>
      </c>
      <c r="Q232" s="63">
        <v>20</v>
      </c>
      <c r="R232" s="63">
        <v>16</v>
      </c>
      <c r="S232" s="63">
        <v>0</v>
      </c>
      <c r="T232" s="67"/>
      <c r="U232" s="63"/>
      <c r="V232" s="63"/>
      <c r="W232" s="63">
        <f t="shared" si="82"/>
        <v>0</v>
      </c>
      <c r="X232" s="63"/>
      <c r="Y232" s="63"/>
      <c r="Z232" s="63"/>
      <c r="AA232" s="63"/>
      <c r="AB232" s="63"/>
      <c r="AE232" s="8">
        <v>0</v>
      </c>
      <c r="AT232" t="str">
        <f t="shared" si="83"/>
        <v>Brooklin</v>
      </c>
      <c r="AU232" t="s">
        <v>597</v>
      </c>
      <c r="AV232">
        <v>2</v>
      </c>
      <c r="AX232" s="114">
        <v>23</v>
      </c>
      <c r="AY232" s="116">
        <v>9</v>
      </c>
      <c r="AZ232" s="116">
        <v>25</v>
      </c>
      <c r="BA232" s="120">
        <v>7800</v>
      </c>
      <c r="BB232" s="120">
        <f t="shared" si="84"/>
        <v>23009</v>
      </c>
      <c r="BC232" t="s">
        <v>1472</v>
      </c>
      <c r="BD232">
        <f t="shared" si="85"/>
        <v>2307800</v>
      </c>
      <c r="BE232" s="1">
        <v>12</v>
      </c>
      <c r="BI232">
        <v>41.19</v>
      </c>
      <c r="BJ232">
        <v>23.23</v>
      </c>
      <c r="BK232">
        <v>17.95</v>
      </c>
      <c r="BS232" s="63">
        <v>0</v>
      </c>
      <c r="CK232" s="1" t="s">
        <v>3792</v>
      </c>
    </row>
    <row r="233" spans="1:89" hidden="1" outlineLevel="1">
      <c r="A233" t="s">
        <v>3134</v>
      </c>
      <c r="B233" s="8" t="s">
        <v>1697</v>
      </c>
      <c r="C233" s="1">
        <f t="shared" si="74"/>
        <v>565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 t="shared" si="75"/>
        <v>5</v>
      </c>
      <c r="G233" s="1">
        <f t="shared" si="76"/>
        <v>91</v>
      </c>
      <c r="H233" s="2">
        <f t="shared" si="77"/>
        <v>0.16106194690265488</v>
      </c>
      <c r="I233" s="6"/>
      <c r="J233" s="2">
        <f t="shared" si="78"/>
        <v>0.36637168141592918</v>
      </c>
      <c r="K233" s="2">
        <f t="shared" si="79"/>
        <v>0.52743362831858409</v>
      </c>
      <c r="L233" s="2">
        <f t="shared" si="80"/>
        <v>1.2389380530973451E-2</v>
      </c>
      <c r="M233" s="2">
        <f t="shared" si="81"/>
        <v>9.3805309734513218E-2</v>
      </c>
      <c r="N233" s="63">
        <v>207</v>
      </c>
      <c r="O233" s="63">
        <v>298</v>
      </c>
      <c r="P233" s="63">
        <v>7</v>
      </c>
      <c r="Q233" s="63">
        <v>32</v>
      </c>
      <c r="R233" s="63">
        <v>21</v>
      </c>
      <c r="S233" s="63">
        <v>0</v>
      </c>
      <c r="T233" s="67"/>
      <c r="U233" s="63"/>
      <c r="V233" s="63"/>
      <c r="W233" s="63">
        <f t="shared" si="82"/>
        <v>0</v>
      </c>
      <c r="X233" s="63"/>
      <c r="Y233" s="63"/>
      <c r="Z233" s="63"/>
      <c r="AA233" s="63"/>
      <c r="AB233" s="63"/>
      <c r="AE233" s="8">
        <v>0</v>
      </c>
      <c r="AT233" t="str">
        <f t="shared" si="83"/>
        <v>Brooks</v>
      </c>
      <c r="AU233" t="s">
        <v>217</v>
      </c>
      <c r="AV233">
        <v>2</v>
      </c>
      <c r="AX233" s="114">
        <v>23</v>
      </c>
      <c r="AY233" s="116">
        <v>27</v>
      </c>
      <c r="AZ233" s="116">
        <v>15</v>
      </c>
      <c r="BA233" s="120">
        <v>7870</v>
      </c>
      <c r="BB233" s="120">
        <f t="shared" si="84"/>
        <v>23027</v>
      </c>
      <c r="BC233" t="s">
        <v>1472</v>
      </c>
      <c r="BD233">
        <f t="shared" si="85"/>
        <v>2307870</v>
      </c>
      <c r="BE233" s="1">
        <v>16</v>
      </c>
      <c r="BI233">
        <v>25.1</v>
      </c>
      <c r="BJ233">
        <v>0.66</v>
      </c>
      <c r="BK233">
        <v>24.44</v>
      </c>
      <c r="BS233" s="63">
        <v>0</v>
      </c>
      <c r="CK233" s="1" t="s">
        <v>3793</v>
      </c>
    </row>
    <row r="234" spans="1:89" hidden="1" outlineLevel="1">
      <c r="A234" t="s">
        <v>81</v>
      </c>
      <c r="B234" s="8" t="s">
        <v>1697</v>
      </c>
      <c r="C234" s="1">
        <f t="shared" ref="C234:C298" si="86">SUM(N234:AR234)</f>
        <v>632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 t="shared" ref="F234:F298" si="87">IF(P234&gt;0,RANK(P234,(N234:AE234)),0)</f>
        <v>0</v>
      </c>
      <c r="G234" s="1">
        <f t="shared" ref="G234:G298" si="88">IF(C234&gt;0,MAX(N234:P234)-LARGE(N234:P234,2),0)</f>
        <v>216</v>
      </c>
      <c r="H234" s="2">
        <f t="shared" ref="H234:H298" si="89">IF(C234&gt;0,G234/C234,0)</f>
        <v>0.34177215189873417</v>
      </c>
      <c r="I234" s="6"/>
      <c r="J234" s="2">
        <f t="shared" ref="J234:J298" si="90">IF(C234=0,"-",N234/C234)</f>
        <v>0.64240506329113922</v>
      </c>
      <c r="K234" s="2">
        <f t="shared" ref="K234:K298" si="91">IF(C234=0,"-",O234/C234)</f>
        <v>0.30063291139240506</v>
      </c>
      <c r="L234" s="2">
        <f t="shared" ref="L234:L298" si="92">IF(C234=0,"-",P234/C234)</f>
        <v>0</v>
      </c>
      <c r="M234" s="2">
        <f t="shared" ref="M234:M298" si="93">IF(C234=0,"-",(1-J234-K234-L234))</f>
        <v>5.6962025316455722E-2</v>
      </c>
      <c r="N234" s="63">
        <v>406</v>
      </c>
      <c r="O234" s="63">
        <v>190</v>
      </c>
      <c r="P234" s="63">
        <v>0</v>
      </c>
      <c r="Q234" s="63">
        <v>15</v>
      </c>
      <c r="R234" s="63">
        <v>21</v>
      </c>
      <c r="S234" s="63">
        <v>0</v>
      </c>
      <c r="T234" s="67"/>
      <c r="U234" s="63"/>
      <c r="V234" s="63"/>
      <c r="W234" s="63">
        <f t="shared" si="82"/>
        <v>0</v>
      </c>
      <c r="X234" s="63"/>
      <c r="Y234" s="63"/>
      <c r="Z234" s="63"/>
      <c r="AA234" s="63"/>
      <c r="AB234" s="63"/>
      <c r="AE234" s="8">
        <v>0</v>
      </c>
      <c r="AT234" t="str">
        <f t="shared" ref="AT234:AT298" si="94">A234</f>
        <v>Brooksville</v>
      </c>
      <c r="AU234" t="s">
        <v>597</v>
      </c>
      <c r="AV234">
        <v>2</v>
      </c>
      <c r="AX234" s="114">
        <v>23</v>
      </c>
      <c r="AY234" s="116">
        <v>9</v>
      </c>
      <c r="AZ234" s="116">
        <v>30</v>
      </c>
      <c r="BA234" s="120">
        <v>7975</v>
      </c>
      <c r="BB234" s="120">
        <f t="shared" ref="BB234:BB298" si="95">AX234*1000+AY234</f>
        <v>23009</v>
      </c>
      <c r="BC234" t="s">
        <v>1472</v>
      </c>
      <c r="BD234">
        <f t="shared" ref="BD234:BD298" si="96">AX234*100000+BA234</f>
        <v>2307975</v>
      </c>
      <c r="BE234" s="1">
        <v>25</v>
      </c>
      <c r="BI234">
        <v>51.1</v>
      </c>
      <c r="BJ234">
        <v>19.989999999999998</v>
      </c>
      <c r="BK234">
        <v>31.11</v>
      </c>
      <c r="BS234" s="63">
        <v>0</v>
      </c>
      <c r="CK234" s="1" t="s">
        <v>3794</v>
      </c>
    </row>
    <row r="235" spans="1:89" hidden="1" outlineLevel="1">
      <c r="A235" t="s">
        <v>2251</v>
      </c>
      <c r="B235" s="8" t="s">
        <v>1697</v>
      </c>
      <c r="C235" s="1">
        <f t="shared" si="86"/>
        <v>0</v>
      </c>
      <c r="D235" s="5">
        <f>IF(N235&gt;0, RANK(N235,(N235:P235,Q235:AE235)),0)</f>
        <v>0</v>
      </c>
      <c r="E235" s="5">
        <f>IF(O235&gt;0,RANK(O235,(N235:P235,Q235:AE235)),0)</f>
        <v>0</v>
      </c>
      <c r="F235" s="5">
        <f t="shared" si="87"/>
        <v>0</v>
      </c>
      <c r="G235" s="1">
        <f t="shared" si="88"/>
        <v>0</v>
      </c>
      <c r="H235" s="2">
        <f t="shared" si="89"/>
        <v>0</v>
      </c>
      <c r="I235" s="6"/>
      <c r="J235" s="2" t="str">
        <f t="shared" si="90"/>
        <v>-</v>
      </c>
      <c r="K235" s="2" t="str">
        <f t="shared" si="91"/>
        <v>-</v>
      </c>
      <c r="L235" s="2" t="str">
        <f t="shared" si="92"/>
        <v>-</v>
      </c>
      <c r="M235" s="2" t="str">
        <f t="shared" si="93"/>
        <v>-</v>
      </c>
      <c r="N235" s="63"/>
      <c r="O235" s="63"/>
      <c r="P235" s="63"/>
      <c r="Q235" s="63"/>
      <c r="R235" s="63"/>
      <c r="S235" s="63"/>
      <c r="T235" s="67"/>
      <c r="U235" s="63"/>
      <c r="V235" s="63"/>
      <c r="W235" s="63">
        <f t="shared" si="82"/>
        <v>0</v>
      </c>
      <c r="X235" s="63"/>
      <c r="Y235" s="63"/>
      <c r="Z235" s="63"/>
      <c r="AA235" s="63"/>
      <c r="AB235" s="63"/>
      <c r="AT235" t="str">
        <f t="shared" si="94"/>
        <v>Brookton</v>
      </c>
      <c r="AU235" t="s">
        <v>692</v>
      </c>
      <c r="AV235">
        <v>2</v>
      </c>
      <c r="AX235" s="114">
        <v>23</v>
      </c>
      <c r="AY235" s="116">
        <v>29</v>
      </c>
      <c r="BA235" s="120">
        <v>7985</v>
      </c>
      <c r="BB235" s="120">
        <f t="shared" si="95"/>
        <v>23029</v>
      </c>
      <c r="BC235" t="s">
        <v>957</v>
      </c>
      <c r="BD235">
        <f t="shared" si="96"/>
        <v>2307985</v>
      </c>
      <c r="BS235" s="63"/>
      <c r="CK235" s="1"/>
    </row>
    <row r="236" spans="1:89" hidden="1" outlineLevel="1">
      <c r="A236" t="s">
        <v>1078</v>
      </c>
      <c r="B236" s="8" t="s">
        <v>1697</v>
      </c>
      <c r="C236" s="1">
        <f t="shared" si="86"/>
        <v>850</v>
      </c>
      <c r="D236" s="5">
        <f>IF(N236&gt;0, RANK(N236,(N236:P236,Q236:AE236)),0)</f>
        <v>2</v>
      </c>
      <c r="E236" s="5">
        <f>IF(O236&gt;0,RANK(O236,(N236:P236,Q236:AE236)),0)</f>
        <v>1</v>
      </c>
      <c r="F236" s="5">
        <f t="shared" si="87"/>
        <v>5</v>
      </c>
      <c r="G236" s="1">
        <f t="shared" si="88"/>
        <v>62</v>
      </c>
      <c r="H236" s="2">
        <f t="shared" si="89"/>
        <v>7.2941176470588232E-2</v>
      </c>
      <c r="I236" s="6"/>
      <c r="J236" s="2">
        <f t="shared" si="90"/>
        <v>0.43058823529411766</v>
      </c>
      <c r="K236" s="2">
        <f t="shared" si="91"/>
        <v>0.50352941176470589</v>
      </c>
      <c r="L236" s="2">
        <f t="shared" si="92"/>
        <v>3.5294117647058825E-3</v>
      </c>
      <c r="M236" s="2">
        <f t="shared" si="93"/>
        <v>6.2352941176470507E-2</v>
      </c>
      <c r="N236" s="63">
        <v>366</v>
      </c>
      <c r="O236" s="63">
        <v>428</v>
      </c>
      <c r="P236" s="63">
        <v>3</v>
      </c>
      <c r="Q236" s="63">
        <v>42</v>
      </c>
      <c r="R236" s="63">
        <v>11</v>
      </c>
      <c r="S236" s="63">
        <v>0</v>
      </c>
      <c r="T236" s="67"/>
      <c r="U236" s="63"/>
      <c r="V236" s="63"/>
      <c r="W236" s="63">
        <f t="shared" si="82"/>
        <v>0</v>
      </c>
      <c r="X236" s="63"/>
      <c r="Y236" s="63"/>
      <c r="Z236" s="63"/>
      <c r="AA236" s="63"/>
      <c r="AB236" s="63"/>
      <c r="AE236" s="8">
        <v>0</v>
      </c>
      <c r="AT236" t="str">
        <f t="shared" si="94"/>
        <v>Brownfield</v>
      </c>
      <c r="AU236" t="s">
        <v>2383</v>
      </c>
      <c r="AV236">
        <v>2</v>
      </c>
      <c r="AX236" s="114">
        <v>23</v>
      </c>
      <c r="AY236" s="116">
        <v>17</v>
      </c>
      <c r="AZ236" s="116">
        <v>15</v>
      </c>
      <c r="BA236" s="120">
        <v>8150</v>
      </c>
      <c r="BB236" s="120">
        <f t="shared" si="95"/>
        <v>23017</v>
      </c>
      <c r="BC236" t="s">
        <v>1472</v>
      </c>
      <c r="BD236">
        <f t="shared" si="96"/>
        <v>2308150</v>
      </c>
      <c r="BE236" s="1">
        <v>28</v>
      </c>
      <c r="BI236">
        <v>46.15</v>
      </c>
      <c r="BJ236">
        <v>1.28</v>
      </c>
      <c r="BK236">
        <v>44.86</v>
      </c>
      <c r="BS236" s="63">
        <v>0</v>
      </c>
      <c r="CK236" s="1" t="s">
        <v>3795</v>
      </c>
    </row>
    <row r="237" spans="1:89" hidden="1" outlineLevel="1">
      <c r="A237" t="s">
        <v>2617</v>
      </c>
      <c r="B237" s="8" t="s">
        <v>1697</v>
      </c>
      <c r="C237" s="1">
        <f t="shared" si="86"/>
        <v>599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 t="shared" si="87"/>
        <v>5</v>
      </c>
      <c r="G237" s="1">
        <f t="shared" si="88"/>
        <v>121</v>
      </c>
      <c r="H237" s="2">
        <f t="shared" si="89"/>
        <v>0.2020033388981636</v>
      </c>
      <c r="I237" s="6"/>
      <c r="J237" s="2">
        <f t="shared" si="90"/>
        <v>0.35225375626043404</v>
      </c>
      <c r="K237" s="2">
        <f t="shared" si="91"/>
        <v>0.55425709515859767</v>
      </c>
      <c r="L237" s="2">
        <f t="shared" si="92"/>
        <v>8.3472454090150246E-3</v>
      </c>
      <c r="M237" s="2">
        <f t="shared" si="93"/>
        <v>8.5141903171953331E-2</v>
      </c>
      <c r="N237" s="63">
        <v>211</v>
      </c>
      <c r="O237" s="63">
        <v>332</v>
      </c>
      <c r="P237" s="63">
        <v>5</v>
      </c>
      <c r="Q237" s="63">
        <v>37</v>
      </c>
      <c r="R237" s="63">
        <v>13</v>
      </c>
      <c r="S237" s="63">
        <v>1</v>
      </c>
      <c r="T237" s="67"/>
      <c r="U237" s="63"/>
      <c r="V237" s="63"/>
      <c r="W237" s="63">
        <f t="shared" si="82"/>
        <v>0</v>
      </c>
      <c r="X237" s="63"/>
      <c r="Y237" s="63"/>
      <c r="Z237" s="63"/>
      <c r="AA237" s="63"/>
      <c r="AB237" s="63"/>
      <c r="AE237" s="8">
        <v>0</v>
      </c>
      <c r="AT237" t="str">
        <f t="shared" si="94"/>
        <v>Brownville</v>
      </c>
      <c r="AU237" t="s">
        <v>1957</v>
      </c>
      <c r="AV237">
        <v>2</v>
      </c>
      <c r="AX237" s="114">
        <v>23</v>
      </c>
      <c r="AY237" s="116">
        <v>21</v>
      </c>
      <c r="AZ237" s="116">
        <v>30</v>
      </c>
      <c r="BA237" s="120">
        <v>8325</v>
      </c>
      <c r="BB237" s="120">
        <f t="shared" si="95"/>
        <v>23021</v>
      </c>
      <c r="BC237" t="s">
        <v>1472</v>
      </c>
      <c r="BD237">
        <f t="shared" si="96"/>
        <v>2308325</v>
      </c>
      <c r="BE237" s="1">
        <v>12</v>
      </c>
      <c r="BI237">
        <v>44.61</v>
      </c>
      <c r="BJ237">
        <v>0.25</v>
      </c>
      <c r="BK237">
        <v>44.36</v>
      </c>
      <c r="BS237" s="63">
        <v>0</v>
      </c>
      <c r="CK237" s="1" t="s">
        <v>3796</v>
      </c>
    </row>
    <row r="238" spans="1:89" hidden="1" outlineLevel="1">
      <c r="A238" t="s">
        <v>1808</v>
      </c>
      <c r="B238" s="8" t="s">
        <v>1697</v>
      </c>
      <c r="C238" s="1">
        <f t="shared" si="86"/>
        <v>12479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 t="shared" si="87"/>
        <v>5</v>
      </c>
      <c r="G238" s="1">
        <f t="shared" si="88"/>
        <v>4345</v>
      </c>
      <c r="H238" s="2">
        <f t="shared" si="89"/>
        <v>0.3481849507172049</v>
      </c>
      <c r="I238" s="6"/>
      <c r="J238" s="2">
        <f t="shared" si="90"/>
        <v>0.64043593236637553</v>
      </c>
      <c r="K238" s="2">
        <f t="shared" si="91"/>
        <v>0.29225098164917063</v>
      </c>
      <c r="L238" s="2">
        <f t="shared" si="92"/>
        <v>2.0033656542992229E-3</v>
      </c>
      <c r="M238" s="2">
        <f t="shared" si="93"/>
        <v>6.5309720330154628E-2</v>
      </c>
      <c r="N238" s="63">
        <v>7992</v>
      </c>
      <c r="O238" s="63">
        <v>3647</v>
      </c>
      <c r="P238" s="63">
        <v>25</v>
      </c>
      <c r="Q238" s="63">
        <v>579</v>
      </c>
      <c r="R238" s="63">
        <v>236</v>
      </c>
      <c r="S238" s="63">
        <v>0</v>
      </c>
      <c r="T238" s="67"/>
      <c r="U238" s="63"/>
      <c r="V238" s="63"/>
      <c r="W238" s="63">
        <f t="shared" ref="W238:W301" si="97">BS238</f>
        <v>0</v>
      </c>
      <c r="X238" s="63"/>
      <c r="Y238" s="63"/>
      <c r="Z238" s="63"/>
      <c r="AA238" s="63"/>
      <c r="AB238" s="63"/>
      <c r="AE238" s="8">
        <v>0</v>
      </c>
      <c r="AT238" t="str">
        <f t="shared" si="94"/>
        <v>Brunswick</v>
      </c>
      <c r="AU238" t="s">
        <v>1531</v>
      </c>
      <c r="AV238">
        <v>1</v>
      </c>
      <c r="AX238" s="114">
        <v>23</v>
      </c>
      <c r="AY238" s="116">
        <v>5</v>
      </c>
      <c r="AZ238" s="116">
        <v>15</v>
      </c>
      <c r="BA238" s="120">
        <v>8430</v>
      </c>
      <c r="BB238" s="120">
        <f t="shared" si="95"/>
        <v>23005</v>
      </c>
      <c r="BC238" t="s">
        <v>1472</v>
      </c>
      <c r="BD238">
        <f t="shared" si="96"/>
        <v>2308430</v>
      </c>
      <c r="BE238" s="1">
        <v>413</v>
      </c>
      <c r="BI238">
        <v>54.22</v>
      </c>
      <c r="BJ238">
        <v>7.44</v>
      </c>
      <c r="BK238">
        <v>46.78</v>
      </c>
      <c r="BS238" s="63">
        <v>0</v>
      </c>
      <c r="CK238" s="1" t="s">
        <v>3797</v>
      </c>
    </row>
    <row r="239" spans="1:89" hidden="1" outlineLevel="1">
      <c r="A239" t="s">
        <v>2465</v>
      </c>
      <c r="B239" s="8" t="s">
        <v>1697</v>
      </c>
      <c r="C239" s="1">
        <f t="shared" si="86"/>
        <v>1072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 t="shared" si="87"/>
        <v>5</v>
      </c>
      <c r="G239" s="1">
        <f t="shared" si="88"/>
        <v>248</v>
      </c>
      <c r="H239" s="2">
        <f t="shared" si="89"/>
        <v>0.23134328358208955</v>
      </c>
      <c r="I239" s="6"/>
      <c r="J239" s="2">
        <f t="shared" si="90"/>
        <v>0.34608208955223879</v>
      </c>
      <c r="K239" s="2">
        <f t="shared" si="91"/>
        <v>0.5774253731343284</v>
      </c>
      <c r="L239" s="2">
        <f t="shared" si="92"/>
        <v>3.7313432835820895E-3</v>
      </c>
      <c r="M239" s="2">
        <f t="shared" si="93"/>
        <v>7.2761194029850776E-2</v>
      </c>
      <c r="N239" s="63">
        <v>371</v>
      </c>
      <c r="O239" s="63">
        <v>619</v>
      </c>
      <c r="P239" s="63">
        <v>4</v>
      </c>
      <c r="Q239" s="63">
        <v>58</v>
      </c>
      <c r="R239" s="63">
        <v>19</v>
      </c>
      <c r="S239" s="63">
        <v>1</v>
      </c>
      <c r="T239" s="67"/>
      <c r="U239" s="63"/>
      <c r="V239" s="63"/>
      <c r="W239" s="63">
        <f t="shared" si="97"/>
        <v>0</v>
      </c>
      <c r="X239" s="63"/>
      <c r="Y239" s="63"/>
      <c r="Z239" s="63"/>
      <c r="AA239" s="63"/>
      <c r="AB239" s="63"/>
      <c r="AE239" s="8">
        <v>0</v>
      </c>
      <c r="AT239" t="str">
        <f t="shared" si="94"/>
        <v>Buckfield</v>
      </c>
      <c r="AU239" t="s">
        <v>2383</v>
      </c>
      <c r="AV239">
        <v>2</v>
      </c>
      <c r="AX239" s="114">
        <v>23</v>
      </c>
      <c r="AY239" s="116">
        <v>17</v>
      </c>
      <c r="AZ239" s="116">
        <v>20</v>
      </c>
      <c r="BA239" s="120">
        <v>8710</v>
      </c>
      <c r="BB239" s="120">
        <f t="shared" si="95"/>
        <v>23017</v>
      </c>
      <c r="BC239" t="s">
        <v>1472</v>
      </c>
      <c r="BD239">
        <f t="shared" si="96"/>
        <v>2308710</v>
      </c>
      <c r="BE239" s="1">
        <v>40</v>
      </c>
      <c r="BI239">
        <v>37.89</v>
      </c>
      <c r="BJ239">
        <v>0.2</v>
      </c>
      <c r="BK239">
        <v>37.69</v>
      </c>
      <c r="BS239" s="63">
        <v>0</v>
      </c>
      <c r="CK239" s="1" t="s">
        <v>3798</v>
      </c>
    </row>
    <row r="240" spans="1:89" hidden="1" outlineLevel="1">
      <c r="A240" t="s">
        <v>710</v>
      </c>
      <c r="B240" s="8" t="s">
        <v>1697</v>
      </c>
      <c r="C240" s="1">
        <f t="shared" si="86"/>
        <v>2579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 t="shared" si="87"/>
        <v>5</v>
      </c>
      <c r="G240" s="1">
        <f t="shared" si="88"/>
        <v>300</v>
      </c>
      <c r="H240" s="2">
        <f t="shared" si="89"/>
        <v>0.11632415664986429</v>
      </c>
      <c r="I240" s="6"/>
      <c r="J240" s="2">
        <f t="shared" si="90"/>
        <v>0.4013183404420318</v>
      </c>
      <c r="K240" s="2">
        <f t="shared" si="91"/>
        <v>0.51764249709189614</v>
      </c>
      <c r="L240" s="2">
        <f t="shared" si="92"/>
        <v>5.4284606436603338E-3</v>
      </c>
      <c r="M240" s="2">
        <f t="shared" si="93"/>
        <v>7.5610701822411794E-2</v>
      </c>
      <c r="N240" s="63">
        <v>1035</v>
      </c>
      <c r="O240" s="63">
        <v>1335</v>
      </c>
      <c r="P240" s="63">
        <v>14</v>
      </c>
      <c r="Q240" s="63">
        <v>148</v>
      </c>
      <c r="R240" s="63">
        <v>47</v>
      </c>
      <c r="S240" s="63">
        <v>0</v>
      </c>
      <c r="T240" s="67"/>
      <c r="U240" s="63"/>
      <c r="V240" s="63"/>
      <c r="W240" s="63">
        <f t="shared" si="97"/>
        <v>0</v>
      </c>
      <c r="X240" s="63"/>
      <c r="Y240" s="63"/>
      <c r="Z240" s="63"/>
      <c r="AA240" s="63"/>
      <c r="AB240" s="63"/>
      <c r="AE240" s="8">
        <v>0</v>
      </c>
      <c r="AT240" t="str">
        <f t="shared" si="94"/>
        <v>Bucksport</v>
      </c>
      <c r="AU240" t="s">
        <v>597</v>
      </c>
      <c r="AV240">
        <v>2</v>
      </c>
      <c r="AX240" s="114">
        <v>23</v>
      </c>
      <c r="AY240" s="116">
        <v>9</v>
      </c>
      <c r="AZ240" s="116">
        <v>35</v>
      </c>
      <c r="BA240" s="120">
        <v>8815</v>
      </c>
      <c r="BB240" s="120">
        <f t="shared" si="95"/>
        <v>23009</v>
      </c>
      <c r="BC240" t="s">
        <v>1472</v>
      </c>
      <c r="BD240">
        <f t="shared" si="96"/>
        <v>2308815</v>
      </c>
      <c r="BE240" s="1">
        <v>76</v>
      </c>
      <c r="BI240">
        <v>56.46</v>
      </c>
      <c r="BJ240">
        <v>4.9000000000000004</v>
      </c>
      <c r="BK240">
        <v>51.56</v>
      </c>
      <c r="BS240" s="63">
        <v>0</v>
      </c>
      <c r="CK240" s="1" t="s">
        <v>3799</v>
      </c>
    </row>
    <row r="241" spans="1:89" hidden="1" outlineLevel="1">
      <c r="A241" t="s">
        <v>2562</v>
      </c>
      <c r="B241" s="8" t="s">
        <v>1697</v>
      </c>
      <c r="C241" s="1">
        <f t="shared" si="86"/>
        <v>188</v>
      </c>
      <c r="D241" s="5">
        <f>IF(N241&gt;0, RANK(N241,(N241:P241,Q241:AE241)),0)</f>
        <v>2</v>
      </c>
      <c r="E241" s="5">
        <f>IF(O241&gt;0,RANK(O241,(N241:P241,Q241:AE241)),0)</f>
        <v>1</v>
      </c>
      <c r="F241" s="5">
        <f t="shared" si="87"/>
        <v>0</v>
      </c>
      <c r="G241" s="1">
        <f t="shared" si="88"/>
        <v>90</v>
      </c>
      <c r="H241" s="2">
        <f t="shared" si="89"/>
        <v>0.47872340425531917</v>
      </c>
      <c r="I241" s="6"/>
      <c r="J241" s="2">
        <f t="shared" si="90"/>
        <v>0.21808510638297873</v>
      </c>
      <c r="K241" s="2">
        <f t="shared" si="91"/>
        <v>0.69680851063829785</v>
      </c>
      <c r="L241" s="2">
        <f t="shared" si="92"/>
        <v>0</v>
      </c>
      <c r="M241" s="2">
        <f t="shared" si="93"/>
        <v>8.5106382978723416E-2</v>
      </c>
      <c r="N241" s="63">
        <v>41</v>
      </c>
      <c r="O241" s="63">
        <v>131</v>
      </c>
      <c r="P241" s="63">
        <v>0</v>
      </c>
      <c r="Q241" s="63">
        <v>10</v>
      </c>
      <c r="R241" s="63">
        <v>6</v>
      </c>
      <c r="S241" s="63">
        <v>0</v>
      </c>
      <c r="T241" s="67"/>
      <c r="U241" s="63"/>
      <c r="V241" s="63"/>
      <c r="W241" s="63">
        <f t="shared" si="97"/>
        <v>0</v>
      </c>
      <c r="X241" s="63"/>
      <c r="Y241" s="63"/>
      <c r="Z241" s="63"/>
      <c r="AA241" s="63"/>
      <c r="AB241" s="63"/>
      <c r="AE241" s="8">
        <v>0</v>
      </c>
      <c r="AT241" t="str">
        <f t="shared" si="94"/>
        <v>Burlington</v>
      </c>
      <c r="AU241" t="s">
        <v>2481</v>
      </c>
      <c r="AV241">
        <v>2</v>
      </c>
      <c r="AX241" s="114">
        <v>23</v>
      </c>
      <c r="AY241" s="116">
        <v>19</v>
      </c>
      <c r="AZ241" s="116">
        <v>30</v>
      </c>
      <c r="BA241" s="120">
        <v>9200</v>
      </c>
      <c r="BB241" s="120">
        <f t="shared" si="95"/>
        <v>23019</v>
      </c>
      <c r="BC241" t="s">
        <v>1472</v>
      </c>
      <c r="BD241">
        <f t="shared" si="96"/>
        <v>2309200</v>
      </c>
      <c r="BE241" s="1">
        <v>6</v>
      </c>
      <c r="BI241">
        <v>56.24</v>
      </c>
      <c r="BJ241">
        <v>2.4300000000000002</v>
      </c>
      <c r="BK241">
        <v>53.81</v>
      </c>
      <c r="BS241" s="63">
        <v>0</v>
      </c>
      <c r="CK241" s="1" t="s">
        <v>3800</v>
      </c>
    </row>
    <row r="242" spans="1:89" hidden="1" outlineLevel="1">
      <c r="A242" t="s">
        <v>1079</v>
      </c>
      <c r="B242" s="8" t="s">
        <v>1697</v>
      </c>
      <c r="C242" s="1">
        <f t="shared" si="86"/>
        <v>666</v>
      </c>
      <c r="D242" s="5">
        <f>IF(N242&gt;0, RANK(N242,(N242:P242,Q242:AE242)),0)</f>
        <v>2</v>
      </c>
      <c r="E242" s="5">
        <f>IF(O242&gt;0,RANK(O242,(N242:P242,Q242:AE242)),0)</f>
        <v>1</v>
      </c>
      <c r="F242" s="5">
        <f t="shared" si="87"/>
        <v>5</v>
      </c>
      <c r="G242" s="1">
        <f t="shared" si="88"/>
        <v>191</v>
      </c>
      <c r="H242" s="2">
        <f t="shared" si="89"/>
        <v>0.28678678678678676</v>
      </c>
      <c r="I242" s="6"/>
      <c r="J242" s="2">
        <f t="shared" si="90"/>
        <v>0.31981981981981983</v>
      </c>
      <c r="K242" s="2">
        <f t="shared" si="91"/>
        <v>0.60660660660660659</v>
      </c>
      <c r="L242" s="2">
        <f t="shared" si="92"/>
        <v>1.5015015015015015E-3</v>
      </c>
      <c r="M242" s="2">
        <f t="shared" si="93"/>
        <v>7.207207207207203E-2</v>
      </c>
      <c r="N242" s="63">
        <v>213</v>
      </c>
      <c r="O242" s="63">
        <v>404</v>
      </c>
      <c r="P242" s="63">
        <v>1</v>
      </c>
      <c r="Q242" s="63">
        <v>35</v>
      </c>
      <c r="R242" s="63">
        <v>13</v>
      </c>
      <c r="S242" s="63">
        <v>0</v>
      </c>
      <c r="T242" s="67"/>
      <c r="U242" s="63"/>
      <c r="V242" s="63"/>
      <c r="W242" s="63">
        <f t="shared" si="97"/>
        <v>0</v>
      </c>
      <c r="X242" s="63"/>
      <c r="Y242" s="63"/>
      <c r="Z242" s="63"/>
      <c r="AA242" s="63"/>
      <c r="AB242" s="63"/>
      <c r="AE242" s="8">
        <v>0</v>
      </c>
      <c r="AT242" t="str">
        <f t="shared" si="94"/>
        <v>Burnham</v>
      </c>
      <c r="AU242" t="s">
        <v>217</v>
      </c>
      <c r="AV242">
        <v>2</v>
      </c>
      <c r="AX242" s="114">
        <v>23</v>
      </c>
      <c r="AY242" s="116">
        <v>27</v>
      </c>
      <c r="AZ242" s="116">
        <v>20</v>
      </c>
      <c r="BA242" s="120">
        <v>9270</v>
      </c>
      <c r="BB242" s="120">
        <f t="shared" si="95"/>
        <v>23027</v>
      </c>
      <c r="BC242" t="s">
        <v>1472</v>
      </c>
      <c r="BD242">
        <f t="shared" si="96"/>
        <v>2309270</v>
      </c>
      <c r="BE242" s="1">
        <v>23</v>
      </c>
      <c r="BI242">
        <v>41.15</v>
      </c>
      <c r="BJ242">
        <v>2.23</v>
      </c>
      <c r="BK242">
        <v>38.92</v>
      </c>
      <c r="BS242" s="63">
        <v>0</v>
      </c>
      <c r="CK242" s="1" t="s">
        <v>3801</v>
      </c>
    </row>
    <row r="243" spans="1:89" hidden="1" outlineLevel="1">
      <c r="A243" t="s">
        <v>1111</v>
      </c>
      <c r="B243" s="8" t="s">
        <v>1697</v>
      </c>
      <c r="C243" s="1">
        <f t="shared" si="86"/>
        <v>4766</v>
      </c>
      <c r="D243" s="5">
        <f>IF(N243&gt;0, RANK(N243,(N243:P243,Q243:AE243)),0)</f>
        <v>2</v>
      </c>
      <c r="E243" s="5">
        <f>IF(O243&gt;0,RANK(O243,(N243:P243,Q243:AE243)),0)</f>
        <v>1</v>
      </c>
      <c r="F243" s="5">
        <f t="shared" si="87"/>
        <v>5</v>
      </c>
      <c r="G243" s="1">
        <f t="shared" si="88"/>
        <v>643</v>
      </c>
      <c r="H243" s="2">
        <f t="shared" si="89"/>
        <v>0.13491397398237515</v>
      </c>
      <c r="I243" s="6"/>
      <c r="J243" s="2">
        <f t="shared" si="90"/>
        <v>0.39760805707091901</v>
      </c>
      <c r="K243" s="2">
        <f t="shared" si="91"/>
        <v>0.53252203105329421</v>
      </c>
      <c r="L243" s="2">
        <f t="shared" si="92"/>
        <v>2.517834662190516E-3</v>
      </c>
      <c r="M243" s="2">
        <f t="shared" si="93"/>
        <v>6.7352077213596206E-2</v>
      </c>
      <c r="N243" s="63">
        <v>1895</v>
      </c>
      <c r="O243" s="63">
        <v>2538</v>
      </c>
      <c r="P243" s="63">
        <v>12</v>
      </c>
      <c r="Q243" s="63">
        <v>237</v>
      </c>
      <c r="R243" s="63">
        <v>82</v>
      </c>
      <c r="S243" s="63">
        <v>2</v>
      </c>
      <c r="T243" s="67"/>
      <c r="U243" s="63"/>
      <c r="V243" s="63"/>
      <c r="W243" s="63">
        <f t="shared" si="97"/>
        <v>0</v>
      </c>
      <c r="X243" s="63"/>
      <c r="Y243" s="63"/>
      <c r="Z243" s="63"/>
      <c r="AA243" s="63"/>
      <c r="AB243" s="63"/>
      <c r="AE243" s="8">
        <v>0</v>
      </c>
      <c r="AT243" t="str">
        <f t="shared" si="94"/>
        <v>Buxton</v>
      </c>
      <c r="AU243" t="s">
        <v>925</v>
      </c>
      <c r="AV243">
        <v>1</v>
      </c>
      <c r="AX243" s="114">
        <v>23</v>
      </c>
      <c r="AY243" s="116">
        <v>31</v>
      </c>
      <c r="AZ243" s="116">
        <v>30</v>
      </c>
      <c r="BA243" s="120">
        <v>9410</v>
      </c>
      <c r="BB243" s="120">
        <f t="shared" si="95"/>
        <v>23031</v>
      </c>
      <c r="BC243" t="s">
        <v>1472</v>
      </c>
      <c r="BD243">
        <f t="shared" si="96"/>
        <v>2309410</v>
      </c>
      <c r="BE243" s="1">
        <v>132</v>
      </c>
      <c r="BI243">
        <v>41.19</v>
      </c>
      <c r="BJ243">
        <v>0.7</v>
      </c>
      <c r="BK243">
        <v>40.49</v>
      </c>
      <c r="BS243" s="63">
        <v>0</v>
      </c>
      <c r="CK243" s="1" t="s">
        <v>3802</v>
      </c>
    </row>
    <row r="244" spans="1:89" hidden="1" outlineLevel="1">
      <c r="A244" t="s">
        <v>1733</v>
      </c>
      <c r="B244" s="8" t="s">
        <v>1697</v>
      </c>
      <c r="C244" s="1">
        <f t="shared" si="86"/>
        <v>89</v>
      </c>
      <c r="D244" s="5">
        <f>IF(N244&gt;0, RANK(N244,(N244:P244,Q244:AE244)),0)</f>
        <v>2</v>
      </c>
      <c r="E244" s="5">
        <f>IF(O244&gt;0,RANK(O244,(N244:P244,Q244:AE244)),0)</f>
        <v>1</v>
      </c>
      <c r="F244" s="5">
        <f t="shared" si="87"/>
        <v>0</v>
      </c>
      <c r="G244" s="1">
        <f t="shared" si="88"/>
        <v>23</v>
      </c>
      <c r="H244" s="2">
        <f t="shared" si="89"/>
        <v>0.25842696629213485</v>
      </c>
      <c r="I244" s="6"/>
      <c r="J244" s="2">
        <f t="shared" si="90"/>
        <v>0.3258426966292135</v>
      </c>
      <c r="K244" s="2">
        <f t="shared" si="91"/>
        <v>0.5842696629213483</v>
      </c>
      <c r="L244" s="2">
        <f t="shared" si="92"/>
        <v>0</v>
      </c>
      <c r="M244" s="2">
        <f t="shared" si="93"/>
        <v>8.98876404494382E-2</v>
      </c>
      <c r="N244" s="63">
        <v>29</v>
      </c>
      <c r="O244" s="63">
        <v>52</v>
      </c>
      <c r="P244" s="63">
        <v>0</v>
      </c>
      <c r="Q244" s="63">
        <v>3</v>
      </c>
      <c r="R244" s="63">
        <v>5</v>
      </c>
      <c r="S244" s="63">
        <v>0</v>
      </c>
      <c r="T244" s="67"/>
      <c r="U244" s="63"/>
      <c r="V244" s="63"/>
      <c r="W244" s="63">
        <f t="shared" si="97"/>
        <v>0</v>
      </c>
      <c r="X244" s="63"/>
      <c r="Y244" s="63"/>
      <c r="Z244" s="63"/>
      <c r="AA244" s="63"/>
      <c r="AB244" s="63"/>
      <c r="AE244" s="8">
        <v>0</v>
      </c>
      <c r="AT244" t="str">
        <f t="shared" si="94"/>
        <v>Byron</v>
      </c>
      <c r="AU244" t="s">
        <v>2383</v>
      </c>
      <c r="AV244">
        <v>2</v>
      </c>
      <c r="AX244" s="114">
        <v>23</v>
      </c>
      <c r="AY244" s="116">
        <v>17</v>
      </c>
      <c r="AZ244" s="116">
        <v>25</v>
      </c>
      <c r="BA244" s="120">
        <v>9550</v>
      </c>
      <c r="BB244" s="120">
        <f t="shared" si="95"/>
        <v>23017</v>
      </c>
      <c r="BC244" t="s">
        <v>1472</v>
      </c>
      <c r="BD244">
        <f t="shared" si="96"/>
        <v>2309550</v>
      </c>
      <c r="BE244" s="1">
        <v>4</v>
      </c>
      <c r="BI244">
        <v>52.51</v>
      </c>
      <c r="BJ244">
        <v>0.73</v>
      </c>
      <c r="BK244">
        <v>51.78</v>
      </c>
      <c r="BS244" s="63">
        <v>0</v>
      </c>
      <c r="CK244" s="1" t="s">
        <v>3803</v>
      </c>
    </row>
    <row r="245" spans="1:89" hidden="1" outlineLevel="1">
      <c r="A245" t="s">
        <v>3059</v>
      </c>
      <c r="B245" s="8" t="s">
        <v>1697</v>
      </c>
      <c r="C245" s="1">
        <f t="shared" si="86"/>
        <v>1447</v>
      </c>
      <c r="D245" s="5">
        <f>IF(N245&gt;0, RANK(N245,(N245:P245,Q245:AE245)),0)</f>
        <v>2</v>
      </c>
      <c r="E245" s="5">
        <f>IF(O245&gt;0,RANK(O245,(N245:P245,Q245:AE245)),0)</f>
        <v>1</v>
      </c>
      <c r="F245" s="5">
        <f t="shared" si="87"/>
        <v>5</v>
      </c>
      <c r="G245" s="1">
        <f t="shared" si="88"/>
        <v>188</v>
      </c>
      <c r="H245" s="2">
        <f t="shared" si="89"/>
        <v>0.12992398064961991</v>
      </c>
      <c r="I245" s="6"/>
      <c r="J245" s="2">
        <f t="shared" si="90"/>
        <v>0.39668279198341394</v>
      </c>
      <c r="K245" s="2">
        <f t="shared" si="91"/>
        <v>0.5266067726330339</v>
      </c>
      <c r="L245" s="2">
        <f t="shared" si="92"/>
        <v>2.0732550103662751E-3</v>
      </c>
      <c r="M245" s="2">
        <f t="shared" si="93"/>
        <v>7.4637180373185882E-2</v>
      </c>
      <c r="N245" s="63">
        <v>574</v>
      </c>
      <c r="O245" s="63">
        <v>762</v>
      </c>
      <c r="P245" s="63">
        <v>3</v>
      </c>
      <c r="Q245" s="63">
        <v>90</v>
      </c>
      <c r="R245" s="63">
        <v>16</v>
      </c>
      <c r="S245" s="63">
        <v>2</v>
      </c>
      <c r="T245" s="67"/>
      <c r="U245" s="63"/>
      <c r="V245" s="63"/>
      <c r="W245" s="63">
        <f t="shared" si="97"/>
        <v>0</v>
      </c>
      <c r="X245" s="63"/>
      <c r="Y245" s="63"/>
      <c r="Z245" s="63"/>
      <c r="AA245" s="63"/>
      <c r="AB245" s="63"/>
      <c r="AE245" s="8">
        <v>0</v>
      </c>
      <c r="AT245" t="str">
        <f t="shared" si="94"/>
        <v>Calais</v>
      </c>
      <c r="AU245" t="s">
        <v>692</v>
      </c>
      <c r="AV245">
        <v>2</v>
      </c>
      <c r="AX245" s="114">
        <v>23</v>
      </c>
      <c r="AY245" s="116">
        <v>29</v>
      </c>
      <c r="AZ245" s="116">
        <v>30</v>
      </c>
      <c r="BA245" s="120">
        <v>9585</v>
      </c>
      <c r="BB245" s="120">
        <f t="shared" si="95"/>
        <v>23029</v>
      </c>
      <c r="BC245" t="s">
        <v>1249</v>
      </c>
      <c r="BD245">
        <f t="shared" si="96"/>
        <v>2309585</v>
      </c>
      <c r="BE245" s="1">
        <v>58</v>
      </c>
      <c r="BI245">
        <v>40.020000000000003</v>
      </c>
      <c r="BJ245">
        <v>5.98</v>
      </c>
      <c r="BK245">
        <v>34.04</v>
      </c>
      <c r="BS245" s="63">
        <v>0</v>
      </c>
      <c r="CK245" s="1" t="s">
        <v>3804</v>
      </c>
    </row>
    <row r="246" spans="1:89" hidden="1" outlineLevel="1">
      <c r="A246" t="s">
        <v>2563</v>
      </c>
      <c r="B246" s="8" t="s">
        <v>1697</v>
      </c>
      <c r="C246" s="1">
        <f t="shared" si="86"/>
        <v>261</v>
      </c>
      <c r="D246" s="5">
        <f>IF(N246&gt;0, RANK(N246,(N246:P246,Q246:AE246)),0)</f>
        <v>2</v>
      </c>
      <c r="E246" s="5">
        <f>IF(O246&gt;0,RANK(O246,(N246:P246,Q246:AE246)),0)</f>
        <v>1</v>
      </c>
      <c r="F246" s="5">
        <f t="shared" si="87"/>
        <v>0</v>
      </c>
      <c r="G246" s="1">
        <f t="shared" si="88"/>
        <v>108</v>
      </c>
      <c r="H246" s="2">
        <f t="shared" si="89"/>
        <v>0.41379310344827586</v>
      </c>
      <c r="I246" s="6"/>
      <c r="J246" s="2">
        <f t="shared" si="90"/>
        <v>0.24904214559386972</v>
      </c>
      <c r="K246" s="2">
        <f t="shared" si="91"/>
        <v>0.66283524904214564</v>
      </c>
      <c r="L246" s="2">
        <f t="shared" si="92"/>
        <v>0</v>
      </c>
      <c r="M246" s="2">
        <f t="shared" si="93"/>
        <v>8.8122605363984641E-2</v>
      </c>
      <c r="N246" s="63">
        <v>65</v>
      </c>
      <c r="O246" s="63">
        <v>173</v>
      </c>
      <c r="P246" s="63">
        <v>0</v>
      </c>
      <c r="Q246" s="63">
        <v>18</v>
      </c>
      <c r="R246" s="63">
        <v>5</v>
      </c>
      <c r="S246" s="63">
        <v>0</v>
      </c>
      <c r="T246" s="67"/>
      <c r="U246" s="63"/>
      <c r="V246" s="63"/>
      <c r="W246" s="63">
        <f t="shared" si="97"/>
        <v>0</v>
      </c>
      <c r="X246" s="63"/>
      <c r="Y246" s="63"/>
      <c r="Z246" s="63"/>
      <c r="AA246" s="63"/>
      <c r="AB246" s="63"/>
      <c r="AE246" s="8">
        <v>0</v>
      </c>
      <c r="AT246" t="str">
        <f t="shared" si="94"/>
        <v>Cambridge</v>
      </c>
      <c r="AU246" t="s">
        <v>1787</v>
      </c>
      <c r="AV246">
        <v>2</v>
      </c>
      <c r="AX246" s="114">
        <v>23</v>
      </c>
      <c r="AY246" s="116">
        <v>25</v>
      </c>
      <c r="AZ246" s="116">
        <v>25</v>
      </c>
      <c r="BA246" s="120">
        <v>9655</v>
      </c>
      <c r="BB246" s="120">
        <f t="shared" si="95"/>
        <v>23025</v>
      </c>
      <c r="BC246" t="s">
        <v>1472</v>
      </c>
      <c r="BD246">
        <f t="shared" si="96"/>
        <v>2309655</v>
      </c>
      <c r="BE246" s="1">
        <v>8</v>
      </c>
      <c r="BI246">
        <v>19.420000000000002</v>
      </c>
      <c r="BJ246">
        <v>0.05</v>
      </c>
      <c r="BK246">
        <v>19.37</v>
      </c>
      <c r="BS246" s="63">
        <v>0</v>
      </c>
      <c r="CK246" s="1" t="s">
        <v>3805</v>
      </c>
    </row>
    <row r="247" spans="1:89" hidden="1" outlineLevel="1">
      <c r="A247" t="s">
        <v>1605</v>
      </c>
      <c r="B247" s="8" t="s">
        <v>1697</v>
      </c>
      <c r="C247" s="1">
        <f t="shared" si="86"/>
        <v>3380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 t="shared" si="87"/>
        <v>5</v>
      </c>
      <c r="G247" s="1">
        <f t="shared" si="88"/>
        <v>1628</v>
      </c>
      <c r="H247" s="2">
        <f t="shared" si="89"/>
        <v>0.48165680473372779</v>
      </c>
      <c r="I247" s="6"/>
      <c r="J247" s="2">
        <f t="shared" si="90"/>
        <v>0.71893491124260356</v>
      </c>
      <c r="K247" s="2">
        <f t="shared" si="91"/>
        <v>0.23727810650887574</v>
      </c>
      <c r="L247" s="2">
        <f t="shared" si="92"/>
        <v>2.3668639053254438E-3</v>
      </c>
      <c r="M247" s="2">
        <f t="shared" si="93"/>
        <v>4.1420118343195263E-2</v>
      </c>
      <c r="N247" s="63">
        <v>2430</v>
      </c>
      <c r="O247" s="63">
        <v>802</v>
      </c>
      <c r="P247" s="63">
        <v>8</v>
      </c>
      <c r="Q247" s="63">
        <v>80</v>
      </c>
      <c r="R247" s="63">
        <v>60</v>
      </c>
      <c r="S247" s="63">
        <v>0</v>
      </c>
      <c r="T247" s="67"/>
      <c r="U247" s="63"/>
      <c r="V247" s="63"/>
      <c r="W247" s="63">
        <f t="shared" si="97"/>
        <v>0</v>
      </c>
      <c r="X247" s="63"/>
      <c r="Y247" s="63"/>
      <c r="Z247" s="63"/>
      <c r="AA247" s="63"/>
      <c r="AB247" s="63"/>
      <c r="AE247" s="8">
        <v>0</v>
      </c>
      <c r="AT247" t="str">
        <f t="shared" si="94"/>
        <v>Camden</v>
      </c>
      <c r="AU247" t="s">
        <v>1729</v>
      </c>
      <c r="AV247">
        <v>1</v>
      </c>
      <c r="AX247" s="114">
        <v>23</v>
      </c>
      <c r="AY247" s="116">
        <v>13</v>
      </c>
      <c r="AZ247" s="116">
        <v>10</v>
      </c>
      <c r="BA247" s="120">
        <v>9725</v>
      </c>
      <c r="BB247" s="120">
        <f t="shared" si="95"/>
        <v>23013</v>
      </c>
      <c r="BC247" t="s">
        <v>1472</v>
      </c>
      <c r="BD247">
        <f t="shared" si="96"/>
        <v>2309725</v>
      </c>
      <c r="BE247" s="1">
        <v>123</v>
      </c>
      <c r="BI247">
        <v>25.81</v>
      </c>
      <c r="BJ247">
        <v>7.52</v>
      </c>
      <c r="BK247">
        <v>18.29</v>
      </c>
      <c r="BS247" s="63">
        <v>0</v>
      </c>
      <c r="CK247" s="1" t="s">
        <v>3806</v>
      </c>
    </row>
    <row r="248" spans="1:89" hidden="1" outlineLevel="1">
      <c r="A248" t="s">
        <v>2564</v>
      </c>
      <c r="B248" s="8" t="s">
        <v>1697</v>
      </c>
      <c r="C248" s="1">
        <f t="shared" si="86"/>
        <v>1117</v>
      </c>
      <c r="D248" s="5">
        <f>IF(N248&gt;0, RANK(N248,(N248:P248,Q248:AE248)),0)</f>
        <v>2</v>
      </c>
      <c r="E248" s="5">
        <f>IF(O248&gt;0,RANK(O248,(N248:P248,Q248:AE248)),0)</f>
        <v>1</v>
      </c>
      <c r="F248" s="5">
        <f t="shared" si="87"/>
        <v>5</v>
      </c>
      <c r="G248" s="1">
        <f t="shared" si="88"/>
        <v>285</v>
      </c>
      <c r="H248" s="2">
        <f t="shared" si="89"/>
        <v>0.25514771709937334</v>
      </c>
      <c r="I248" s="6"/>
      <c r="J248" s="2">
        <f t="shared" si="90"/>
        <v>0.32408236347358998</v>
      </c>
      <c r="K248" s="2">
        <f t="shared" si="91"/>
        <v>0.57923008057296332</v>
      </c>
      <c r="L248" s="2">
        <f t="shared" si="92"/>
        <v>2.6857654431512983E-3</v>
      </c>
      <c r="M248" s="2">
        <f t="shared" si="93"/>
        <v>9.4001790510295391E-2</v>
      </c>
      <c r="N248" s="63">
        <v>362</v>
      </c>
      <c r="O248" s="63">
        <v>647</v>
      </c>
      <c r="P248" s="63">
        <v>3</v>
      </c>
      <c r="Q248" s="63">
        <v>78</v>
      </c>
      <c r="R248" s="63">
        <v>27</v>
      </c>
      <c r="S248" s="63">
        <v>0</v>
      </c>
      <c r="T248" s="67"/>
      <c r="U248" s="63"/>
      <c r="V248" s="63"/>
      <c r="W248" s="63">
        <f t="shared" si="97"/>
        <v>0</v>
      </c>
      <c r="X248" s="63"/>
      <c r="Y248" s="63"/>
      <c r="Z248" s="63"/>
      <c r="AA248" s="63"/>
      <c r="AB248" s="63"/>
      <c r="AE248" s="8">
        <v>0</v>
      </c>
      <c r="AT248" t="str">
        <f t="shared" si="94"/>
        <v>Canaan</v>
      </c>
      <c r="AU248" t="s">
        <v>1787</v>
      </c>
      <c r="AV248">
        <v>2</v>
      </c>
      <c r="AX248" s="114">
        <v>23</v>
      </c>
      <c r="AY248" s="116">
        <v>25</v>
      </c>
      <c r="AZ248" s="116">
        <v>30</v>
      </c>
      <c r="BA248" s="120">
        <v>9935</v>
      </c>
      <c r="BB248" s="120">
        <f t="shared" si="95"/>
        <v>23025</v>
      </c>
      <c r="BC248" t="s">
        <v>1472</v>
      </c>
      <c r="BD248">
        <f t="shared" si="96"/>
        <v>2309935</v>
      </c>
      <c r="BE248" s="1">
        <v>39</v>
      </c>
      <c r="BI248">
        <v>42.09</v>
      </c>
      <c r="BJ248">
        <v>0.97</v>
      </c>
      <c r="BK248">
        <v>41.12</v>
      </c>
      <c r="BS248" s="63">
        <v>0</v>
      </c>
      <c r="CK248" s="1" t="s">
        <v>3807</v>
      </c>
    </row>
    <row r="249" spans="1:89" hidden="1" outlineLevel="1">
      <c r="A249" t="s">
        <v>2913</v>
      </c>
      <c r="B249" s="8" t="s">
        <v>1697</v>
      </c>
      <c r="C249" s="1">
        <f t="shared" si="86"/>
        <v>508</v>
      </c>
      <c r="D249" s="5">
        <f>IF(N249&gt;0, RANK(N249,(N249:P249,Q249:AE249)),0)</f>
        <v>2</v>
      </c>
      <c r="E249" s="5">
        <f>IF(O249&gt;0,RANK(O249,(N249:P249,Q249:AE249)),0)</f>
        <v>1</v>
      </c>
      <c r="F249" s="5">
        <f t="shared" si="87"/>
        <v>0</v>
      </c>
      <c r="G249" s="1">
        <f t="shared" si="88"/>
        <v>90</v>
      </c>
      <c r="H249" s="2">
        <f t="shared" si="89"/>
        <v>0.17716535433070865</v>
      </c>
      <c r="I249" s="6"/>
      <c r="J249" s="2">
        <f t="shared" si="90"/>
        <v>0.29921259842519687</v>
      </c>
      <c r="K249" s="2">
        <f t="shared" si="91"/>
        <v>0.4763779527559055</v>
      </c>
      <c r="L249" s="2">
        <f t="shared" si="92"/>
        <v>0</v>
      </c>
      <c r="M249" s="2">
        <f t="shared" si="93"/>
        <v>0.22440944881889763</v>
      </c>
      <c r="N249" s="63">
        <v>152</v>
      </c>
      <c r="O249" s="63">
        <v>242</v>
      </c>
      <c r="P249" s="63">
        <v>0</v>
      </c>
      <c r="Q249" s="63">
        <v>37</v>
      </c>
      <c r="R249" s="63">
        <v>76</v>
      </c>
      <c r="S249" s="63">
        <v>1</v>
      </c>
      <c r="T249" s="67"/>
      <c r="U249" s="63"/>
      <c r="V249" s="63"/>
      <c r="W249" s="63">
        <f t="shared" si="97"/>
        <v>0</v>
      </c>
      <c r="X249" s="63"/>
      <c r="Y249" s="63"/>
      <c r="Z249" s="63"/>
      <c r="AA249" s="63"/>
      <c r="AB249" s="63"/>
      <c r="AE249" s="8">
        <v>0</v>
      </c>
      <c r="AT249" t="str">
        <f t="shared" si="94"/>
        <v>Canton</v>
      </c>
      <c r="AU249" t="s">
        <v>2383</v>
      </c>
      <c r="AV249">
        <v>2</v>
      </c>
      <c r="AX249" s="114">
        <v>23</v>
      </c>
      <c r="AY249" s="116">
        <v>17</v>
      </c>
      <c r="AZ249" s="116">
        <v>30</v>
      </c>
      <c r="BA249" s="120">
        <v>10005</v>
      </c>
      <c r="BB249" s="120">
        <f t="shared" si="95"/>
        <v>23017</v>
      </c>
      <c r="BC249" t="s">
        <v>1472</v>
      </c>
      <c r="BD249">
        <f t="shared" si="96"/>
        <v>2310005</v>
      </c>
      <c r="BE249" s="1">
        <v>31</v>
      </c>
      <c r="BI249">
        <v>30.26</v>
      </c>
      <c r="BJ249">
        <v>1.32</v>
      </c>
      <c r="BK249">
        <v>28.94</v>
      </c>
      <c r="BS249" s="63">
        <v>0</v>
      </c>
      <c r="CK249" s="1" t="s">
        <v>3808</v>
      </c>
    </row>
    <row r="250" spans="1:89" hidden="1" outlineLevel="1">
      <c r="A250" t="s">
        <v>3053</v>
      </c>
      <c r="B250" s="8" t="s">
        <v>1697</v>
      </c>
      <c r="C250" s="1">
        <f t="shared" si="86"/>
        <v>6379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 t="shared" si="87"/>
        <v>5</v>
      </c>
      <c r="G250" s="1">
        <f t="shared" si="88"/>
        <v>2887</v>
      </c>
      <c r="H250" s="2">
        <f t="shared" si="89"/>
        <v>0.4525787741025239</v>
      </c>
      <c r="I250" s="6"/>
      <c r="J250" s="2">
        <f t="shared" si="90"/>
        <v>0.70230443643204266</v>
      </c>
      <c r="K250" s="2">
        <f t="shared" si="91"/>
        <v>0.24972566232951873</v>
      </c>
      <c r="L250" s="2">
        <f t="shared" si="92"/>
        <v>1.0973506819250665E-3</v>
      </c>
      <c r="M250" s="2">
        <f t="shared" si="93"/>
        <v>4.6872550556513543E-2</v>
      </c>
      <c r="N250" s="63">
        <v>4480</v>
      </c>
      <c r="O250" s="63">
        <v>1593</v>
      </c>
      <c r="P250" s="63">
        <v>7</v>
      </c>
      <c r="Q250" s="63">
        <v>229</v>
      </c>
      <c r="R250" s="63">
        <v>70</v>
      </c>
      <c r="S250" s="63">
        <v>0</v>
      </c>
      <c r="T250" s="67"/>
      <c r="U250" s="63"/>
      <c r="V250" s="63"/>
      <c r="W250" s="63">
        <f t="shared" si="97"/>
        <v>0</v>
      </c>
      <c r="X250" s="63"/>
      <c r="Y250" s="63"/>
      <c r="Z250" s="63"/>
      <c r="AA250" s="63"/>
      <c r="AB250" s="63"/>
      <c r="AE250" s="8">
        <v>0</v>
      </c>
      <c r="AT250" t="str">
        <f t="shared" si="94"/>
        <v>Cape Elizabeth</v>
      </c>
      <c r="AU250" t="s">
        <v>1531</v>
      </c>
      <c r="AV250">
        <v>1</v>
      </c>
      <c r="AX250" s="114">
        <v>23</v>
      </c>
      <c r="AY250" s="116">
        <v>5</v>
      </c>
      <c r="AZ250" s="116">
        <v>20</v>
      </c>
      <c r="BA250" s="120">
        <v>10180</v>
      </c>
      <c r="BB250" s="120">
        <f t="shared" si="95"/>
        <v>23005</v>
      </c>
      <c r="BC250" t="s">
        <v>1472</v>
      </c>
      <c r="BD250">
        <f t="shared" si="96"/>
        <v>2310180</v>
      </c>
      <c r="BE250" s="1">
        <v>219</v>
      </c>
      <c r="BI250">
        <v>58.41</v>
      </c>
      <c r="BJ250">
        <v>43.68</v>
      </c>
      <c r="BK250">
        <v>14.73</v>
      </c>
      <c r="BS250" s="63">
        <v>0</v>
      </c>
      <c r="CK250" s="1" t="s">
        <v>3809</v>
      </c>
    </row>
    <row r="251" spans="1:89" hidden="1" outlineLevel="1">
      <c r="A251" t="s">
        <v>2134</v>
      </c>
      <c r="B251" s="8" t="s">
        <v>1697</v>
      </c>
      <c r="C251" s="1">
        <f t="shared" si="86"/>
        <v>50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 t="shared" si="87"/>
        <v>0</v>
      </c>
      <c r="G251" s="1">
        <f t="shared" si="88"/>
        <v>4</v>
      </c>
      <c r="H251" s="2">
        <f t="shared" si="89"/>
        <v>0.08</v>
      </c>
      <c r="I251" s="6"/>
      <c r="J251" s="2">
        <f t="shared" si="90"/>
        <v>0.54</v>
      </c>
      <c r="K251" s="2">
        <f t="shared" si="91"/>
        <v>0.46</v>
      </c>
      <c r="L251" s="2">
        <f t="shared" si="92"/>
        <v>0</v>
      </c>
      <c r="M251" s="2">
        <f t="shared" si="93"/>
        <v>-5.5511151231257827E-17</v>
      </c>
      <c r="N251" s="63">
        <v>27</v>
      </c>
      <c r="O251" s="63">
        <v>23</v>
      </c>
      <c r="P251" s="63">
        <v>0</v>
      </c>
      <c r="Q251" s="63">
        <v>0</v>
      </c>
      <c r="R251" s="63">
        <v>0</v>
      </c>
      <c r="S251" s="63">
        <v>0</v>
      </c>
      <c r="T251" s="67"/>
      <c r="U251" s="63"/>
      <c r="V251" s="63"/>
      <c r="W251" s="63">
        <f t="shared" si="97"/>
        <v>0</v>
      </c>
      <c r="X251" s="63"/>
      <c r="Y251" s="63"/>
      <c r="Z251" s="63"/>
      <c r="AA251" s="63"/>
      <c r="AB251" s="63"/>
      <c r="AE251" s="8">
        <v>0</v>
      </c>
      <c r="AT251" t="str">
        <f t="shared" si="94"/>
        <v>Caratunk</v>
      </c>
      <c r="AU251" t="s">
        <v>1787</v>
      </c>
      <c r="AV251">
        <v>2</v>
      </c>
      <c r="AX251" s="114">
        <v>23</v>
      </c>
      <c r="AY251" s="116">
        <v>25</v>
      </c>
      <c r="AZ251" s="116">
        <v>35</v>
      </c>
      <c r="BA251" s="120">
        <v>10495</v>
      </c>
      <c r="BB251" s="120">
        <f t="shared" si="95"/>
        <v>23025</v>
      </c>
      <c r="BC251" t="s">
        <v>1472</v>
      </c>
      <c r="BD251">
        <f t="shared" si="96"/>
        <v>2310495</v>
      </c>
      <c r="BE251" s="1">
        <v>0</v>
      </c>
      <c r="BI251">
        <v>55.31</v>
      </c>
      <c r="BJ251">
        <v>3</v>
      </c>
      <c r="BK251">
        <v>52.31</v>
      </c>
      <c r="BS251" s="63">
        <v>0</v>
      </c>
      <c r="CK251" s="1" t="s">
        <v>3810</v>
      </c>
    </row>
    <row r="252" spans="1:89" hidden="1" outlineLevel="1">
      <c r="A252" t="s">
        <v>1803</v>
      </c>
      <c r="B252" s="8" t="s">
        <v>1697</v>
      </c>
      <c r="C252" s="1">
        <f t="shared" si="86"/>
        <v>3977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 t="shared" si="87"/>
        <v>5</v>
      </c>
      <c r="G252" s="1">
        <f t="shared" si="88"/>
        <v>511</v>
      </c>
      <c r="H252" s="2">
        <f t="shared" si="89"/>
        <v>0.12848881066130249</v>
      </c>
      <c r="I252" s="6"/>
      <c r="J252" s="2">
        <f t="shared" si="90"/>
        <v>0.40105607241639429</v>
      </c>
      <c r="K252" s="2">
        <f t="shared" si="91"/>
        <v>0.52954488307769676</v>
      </c>
      <c r="L252" s="2">
        <f t="shared" si="92"/>
        <v>4.2745788282625092E-3</v>
      </c>
      <c r="M252" s="2">
        <f t="shared" si="93"/>
        <v>6.5124465677646431E-2</v>
      </c>
      <c r="N252" s="63">
        <v>1595</v>
      </c>
      <c r="O252" s="63">
        <v>2106</v>
      </c>
      <c r="P252" s="63">
        <v>17</v>
      </c>
      <c r="Q252" s="63">
        <v>213</v>
      </c>
      <c r="R252" s="63">
        <v>45</v>
      </c>
      <c r="S252" s="63">
        <v>1</v>
      </c>
      <c r="T252" s="67"/>
      <c r="U252" s="63"/>
      <c r="V252" s="63"/>
      <c r="W252" s="63">
        <f t="shared" si="97"/>
        <v>0</v>
      </c>
      <c r="X252" s="63"/>
      <c r="Y252" s="63"/>
      <c r="Z252" s="63"/>
      <c r="AA252" s="63"/>
      <c r="AB252" s="63"/>
      <c r="AE252" s="8">
        <v>0</v>
      </c>
      <c r="AT252" t="str">
        <f t="shared" si="94"/>
        <v>Caribou</v>
      </c>
      <c r="AU252" t="s">
        <v>2830</v>
      </c>
      <c r="AV252">
        <v>2</v>
      </c>
      <c r="AX252" s="114">
        <v>23</v>
      </c>
      <c r="AY252" s="116">
        <v>3</v>
      </c>
      <c r="AZ252" s="116">
        <v>40</v>
      </c>
      <c r="BA252" s="120">
        <v>10565</v>
      </c>
      <c r="BB252" s="120">
        <f t="shared" si="95"/>
        <v>23003</v>
      </c>
      <c r="BC252" t="s">
        <v>1249</v>
      </c>
      <c r="BD252">
        <f t="shared" si="96"/>
        <v>2310565</v>
      </c>
      <c r="BE252" s="1">
        <v>112</v>
      </c>
      <c r="BI252">
        <v>80.180000000000007</v>
      </c>
      <c r="BJ252">
        <v>0.89</v>
      </c>
      <c r="BK252">
        <v>79.290000000000006</v>
      </c>
      <c r="BS252" s="63">
        <v>0</v>
      </c>
      <c r="CK252" s="1" t="s">
        <v>3811</v>
      </c>
    </row>
    <row r="253" spans="1:89" hidden="1" outlineLevel="1">
      <c r="A253" t="s">
        <v>845</v>
      </c>
      <c r="B253" s="8" t="s">
        <v>1697</v>
      </c>
      <c r="C253" s="1">
        <f t="shared" si="86"/>
        <v>1577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 t="shared" si="87"/>
        <v>0</v>
      </c>
      <c r="G253" s="1">
        <f t="shared" si="88"/>
        <v>560</v>
      </c>
      <c r="H253" s="2">
        <f t="shared" si="89"/>
        <v>0.35510462904248574</v>
      </c>
      <c r="I253" s="6"/>
      <c r="J253" s="2">
        <f t="shared" si="90"/>
        <v>0.29105897273303744</v>
      </c>
      <c r="K253" s="2">
        <f t="shared" si="91"/>
        <v>0.64616360177552312</v>
      </c>
      <c r="L253" s="2">
        <f t="shared" si="92"/>
        <v>0</v>
      </c>
      <c r="M253" s="2">
        <f t="shared" si="93"/>
        <v>6.2777425491439387E-2</v>
      </c>
      <c r="N253" s="63">
        <v>459</v>
      </c>
      <c r="O253" s="63">
        <v>1019</v>
      </c>
      <c r="P253" s="63">
        <v>0</v>
      </c>
      <c r="Q253" s="63">
        <v>79</v>
      </c>
      <c r="R253" s="63">
        <v>20</v>
      </c>
      <c r="S253" s="63">
        <v>0</v>
      </c>
      <c r="T253" s="67"/>
      <c r="U253" s="63"/>
      <c r="V253" s="63"/>
      <c r="W253" s="63">
        <f t="shared" si="97"/>
        <v>0</v>
      </c>
      <c r="X253" s="63"/>
      <c r="Y253" s="63"/>
      <c r="Z253" s="63"/>
      <c r="AA253" s="63"/>
      <c r="AB253" s="63"/>
      <c r="AE253" s="8">
        <v>0</v>
      </c>
      <c r="AT253" t="str">
        <f t="shared" si="94"/>
        <v>Carmel</v>
      </c>
      <c r="AU253" t="s">
        <v>2481</v>
      </c>
      <c r="AV253">
        <v>2</v>
      </c>
      <c r="AX253" s="114">
        <v>23</v>
      </c>
      <c r="AY253" s="116">
        <v>19</v>
      </c>
      <c r="AZ253" s="116">
        <v>35</v>
      </c>
      <c r="BA253" s="120">
        <v>10670</v>
      </c>
      <c r="BB253" s="120">
        <f t="shared" si="95"/>
        <v>23019</v>
      </c>
      <c r="BC253" t="s">
        <v>1472</v>
      </c>
      <c r="BD253">
        <f t="shared" si="96"/>
        <v>2310670</v>
      </c>
      <c r="BE253" s="1">
        <v>55</v>
      </c>
      <c r="BI253">
        <v>37</v>
      </c>
      <c r="BJ253">
        <v>0.46</v>
      </c>
      <c r="BK253">
        <v>36.54</v>
      </c>
      <c r="BS253" s="63">
        <v>0</v>
      </c>
      <c r="CK253" s="1" t="s">
        <v>3812</v>
      </c>
    </row>
    <row r="254" spans="1:89" hidden="1" outlineLevel="1">
      <c r="A254" t="s">
        <v>1930</v>
      </c>
      <c r="B254" s="8" t="s">
        <v>1697</v>
      </c>
      <c r="C254" s="1">
        <f t="shared" si="86"/>
        <v>446</v>
      </c>
      <c r="D254" s="5">
        <f>IF(N254&gt;0, RANK(N254,(N254:P254,Q254:AE254)),0)</f>
        <v>1</v>
      </c>
      <c r="E254" s="5">
        <f>IF(O254&gt;0,RANK(O254,(N254:P254,Q254:AE254)),0)</f>
        <v>2</v>
      </c>
      <c r="F254" s="5">
        <f t="shared" si="87"/>
        <v>0</v>
      </c>
      <c r="G254" s="1">
        <f t="shared" si="88"/>
        <v>137</v>
      </c>
      <c r="H254" s="2">
        <f t="shared" si="89"/>
        <v>0.30717488789237668</v>
      </c>
      <c r="I254" s="6"/>
      <c r="J254" s="2">
        <f t="shared" si="90"/>
        <v>0.59192825112107628</v>
      </c>
      <c r="K254" s="2">
        <f t="shared" si="91"/>
        <v>0.28475336322869954</v>
      </c>
      <c r="L254" s="2">
        <f t="shared" si="92"/>
        <v>0</v>
      </c>
      <c r="M254" s="2">
        <f t="shared" si="93"/>
        <v>0.12331838565022418</v>
      </c>
      <c r="N254" s="63">
        <v>264</v>
      </c>
      <c r="O254" s="63">
        <v>127</v>
      </c>
      <c r="P254" s="63">
        <v>0</v>
      </c>
      <c r="Q254" s="63">
        <v>32</v>
      </c>
      <c r="R254" s="63">
        <v>23</v>
      </c>
      <c r="S254" s="63">
        <v>0</v>
      </c>
      <c r="T254" s="67"/>
      <c r="U254" s="63"/>
      <c r="V254" s="63"/>
      <c r="W254" s="63">
        <f t="shared" si="97"/>
        <v>0</v>
      </c>
      <c r="X254" s="63"/>
      <c r="Y254" s="63"/>
      <c r="Z254" s="63"/>
      <c r="AA254" s="63"/>
      <c r="AB254" s="63"/>
      <c r="AE254" s="8">
        <v>0</v>
      </c>
      <c r="AT254" t="str">
        <f t="shared" si="94"/>
        <v>Carrabassett Valley</v>
      </c>
      <c r="AU254" t="s">
        <v>1138</v>
      </c>
      <c r="AV254">
        <v>2</v>
      </c>
      <c r="AX254" s="114">
        <v>23</v>
      </c>
      <c r="AY254" s="116">
        <v>7</v>
      </c>
      <c r="AZ254" s="116">
        <v>8</v>
      </c>
      <c r="BA254" s="120">
        <v>10740</v>
      </c>
      <c r="BB254" s="120">
        <f t="shared" si="95"/>
        <v>23007</v>
      </c>
      <c r="BC254" t="s">
        <v>1472</v>
      </c>
      <c r="BD254">
        <f t="shared" si="96"/>
        <v>2310740</v>
      </c>
      <c r="BE254" s="1">
        <v>28</v>
      </c>
      <c r="BI254">
        <v>77.53</v>
      </c>
      <c r="BJ254">
        <v>0.15</v>
      </c>
      <c r="BK254">
        <v>77.39</v>
      </c>
      <c r="BS254" s="63">
        <v>0</v>
      </c>
      <c r="CK254" s="1" t="s">
        <v>3813</v>
      </c>
    </row>
    <row r="255" spans="1:89" hidden="1" outlineLevel="1">
      <c r="A255" t="s">
        <v>1675</v>
      </c>
      <c r="B255" s="8" t="s">
        <v>1697</v>
      </c>
      <c r="C255" s="1">
        <f t="shared" si="86"/>
        <v>94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 t="shared" si="87"/>
        <v>0</v>
      </c>
      <c r="G255" s="1">
        <f t="shared" si="88"/>
        <v>55</v>
      </c>
      <c r="H255" s="2">
        <f t="shared" si="89"/>
        <v>0.58510638297872342</v>
      </c>
      <c r="I255" s="6"/>
      <c r="J255" s="2">
        <f t="shared" si="90"/>
        <v>0.18085106382978725</v>
      </c>
      <c r="K255" s="2">
        <f t="shared" si="91"/>
        <v>0.76595744680851063</v>
      </c>
      <c r="L255" s="2">
        <f t="shared" si="92"/>
        <v>0</v>
      </c>
      <c r="M255" s="2">
        <f t="shared" si="93"/>
        <v>5.3191489361702149E-2</v>
      </c>
      <c r="N255" s="63">
        <v>17</v>
      </c>
      <c r="O255" s="63">
        <v>72</v>
      </c>
      <c r="P255" s="63">
        <v>0</v>
      </c>
      <c r="Q255" s="63">
        <v>2</v>
      </c>
      <c r="R255" s="63">
        <v>3</v>
      </c>
      <c r="S255" s="63">
        <v>0</v>
      </c>
      <c r="T255" s="67"/>
      <c r="U255" s="63"/>
      <c r="V255" s="63"/>
      <c r="W255" s="63">
        <f t="shared" si="97"/>
        <v>0</v>
      </c>
      <c r="X255" s="63"/>
      <c r="Y255" s="63"/>
      <c r="Z255" s="63"/>
      <c r="AA255" s="63"/>
      <c r="AB255" s="63"/>
      <c r="AE255" s="8">
        <v>0</v>
      </c>
      <c r="AT255" t="str">
        <f t="shared" si="94"/>
        <v>Carroll</v>
      </c>
      <c r="AU255" t="s">
        <v>2481</v>
      </c>
      <c r="AV255">
        <v>2</v>
      </c>
      <c r="AX255" s="114">
        <v>23</v>
      </c>
      <c r="AY255" s="116">
        <v>19</v>
      </c>
      <c r="AZ255" s="116">
        <v>40</v>
      </c>
      <c r="BA255" s="120">
        <v>10810</v>
      </c>
      <c r="BB255" s="120">
        <f t="shared" si="95"/>
        <v>23019</v>
      </c>
      <c r="BC255" t="s">
        <v>3075</v>
      </c>
      <c r="BD255">
        <f t="shared" si="96"/>
        <v>2310810</v>
      </c>
      <c r="BE255" s="1">
        <v>1</v>
      </c>
      <c r="BI255">
        <v>44.36</v>
      </c>
      <c r="BJ255">
        <v>0.17</v>
      </c>
      <c r="BK255">
        <v>44.18</v>
      </c>
      <c r="BS255" s="63">
        <v>0</v>
      </c>
      <c r="CK255" s="158" t="s">
        <v>3814</v>
      </c>
    </row>
    <row r="256" spans="1:89" hidden="1" outlineLevel="1">
      <c r="A256" t="s">
        <v>0</v>
      </c>
      <c r="B256" s="8" t="s">
        <v>1697</v>
      </c>
      <c r="C256" s="1">
        <f t="shared" si="86"/>
        <v>283</v>
      </c>
      <c r="D256" s="5">
        <f>IF(N256&gt;0, RANK(N256,(N256:P256,Q256:AE256)),0)</f>
        <v>2</v>
      </c>
      <c r="E256" s="5">
        <f>IF(O256&gt;0,RANK(O256,(N256:P256,Q256:AE256)),0)</f>
        <v>1</v>
      </c>
      <c r="F256" s="5">
        <f t="shared" si="87"/>
        <v>5</v>
      </c>
      <c r="G256" s="1">
        <f t="shared" si="88"/>
        <v>49</v>
      </c>
      <c r="H256" s="2">
        <f t="shared" si="89"/>
        <v>0.17314487632508835</v>
      </c>
      <c r="I256" s="6"/>
      <c r="J256" s="2">
        <f t="shared" si="90"/>
        <v>0.31802120141342755</v>
      </c>
      <c r="K256" s="2">
        <f t="shared" si="91"/>
        <v>0.49116607773851589</v>
      </c>
      <c r="L256" s="2">
        <f t="shared" si="92"/>
        <v>3.5335689045936395E-3</v>
      </c>
      <c r="M256" s="2">
        <f t="shared" si="93"/>
        <v>0.18727915194346287</v>
      </c>
      <c r="N256" s="63">
        <v>90</v>
      </c>
      <c r="O256" s="63">
        <v>139</v>
      </c>
      <c r="P256" s="63">
        <v>1</v>
      </c>
      <c r="Q256" s="63">
        <v>20</v>
      </c>
      <c r="R256" s="63">
        <v>33</v>
      </c>
      <c r="S256" s="63">
        <v>0</v>
      </c>
      <c r="T256" s="67"/>
      <c r="U256" s="63"/>
      <c r="V256" s="63"/>
      <c r="W256" s="63">
        <f t="shared" si="97"/>
        <v>0</v>
      </c>
      <c r="X256" s="63"/>
      <c r="Y256" s="63"/>
      <c r="Z256" s="63"/>
      <c r="AA256" s="63"/>
      <c r="AB256" s="63"/>
      <c r="AE256" s="8">
        <v>0</v>
      </c>
      <c r="AT256" t="str">
        <f t="shared" si="94"/>
        <v>Carthage</v>
      </c>
      <c r="AU256" t="s">
        <v>1138</v>
      </c>
      <c r="AV256">
        <v>2</v>
      </c>
      <c r="AX256" s="114">
        <v>23</v>
      </c>
      <c r="AY256" s="116">
        <v>7</v>
      </c>
      <c r="AZ256" s="116">
        <v>10</v>
      </c>
      <c r="BA256" s="120">
        <v>10915</v>
      </c>
      <c r="BB256" s="120">
        <f t="shared" si="95"/>
        <v>23007</v>
      </c>
      <c r="BC256" t="s">
        <v>1472</v>
      </c>
      <c r="BD256">
        <f t="shared" si="96"/>
        <v>2310915</v>
      </c>
      <c r="BE256" s="1">
        <v>9</v>
      </c>
      <c r="BI256">
        <v>33.299999999999997</v>
      </c>
      <c r="BJ256">
        <v>0.12</v>
      </c>
      <c r="BK256">
        <v>33.18</v>
      </c>
      <c r="BS256" s="63">
        <v>0</v>
      </c>
      <c r="CK256" s="158" t="s">
        <v>3815</v>
      </c>
    </row>
    <row r="257" spans="1:89" hidden="1" outlineLevel="1">
      <c r="A257" t="s">
        <v>655</v>
      </c>
      <c r="B257" s="8" t="s">
        <v>1697</v>
      </c>
      <c r="C257" s="1">
        <f t="shared" si="86"/>
        <v>112</v>
      </c>
      <c r="D257" s="5">
        <f>IF(N257&gt;0, RANK(N257,(N257:P257,Q257:AE257)),0)</f>
        <v>2</v>
      </c>
      <c r="E257" s="5">
        <f>IF(O257&gt;0,RANK(O257,(N257:P257,Q257:AE257)),0)</f>
        <v>1</v>
      </c>
      <c r="F257" s="5">
        <f t="shared" si="87"/>
        <v>0</v>
      </c>
      <c r="G257" s="1">
        <f t="shared" si="88"/>
        <v>57</v>
      </c>
      <c r="H257" s="2">
        <f t="shared" si="89"/>
        <v>0.5089285714285714</v>
      </c>
      <c r="I257" s="6"/>
      <c r="J257" s="2">
        <f t="shared" si="90"/>
        <v>0.21428571428571427</v>
      </c>
      <c r="K257" s="2">
        <f t="shared" si="91"/>
        <v>0.7232142857142857</v>
      </c>
      <c r="L257" s="2">
        <f t="shared" si="92"/>
        <v>0</v>
      </c>
      <c r="M257" s="2">
        <f t="shared" si="93"/>
        <v>6.25E-2</v>
      </c>
      <c r="N257" s="63">
        <v>24</v>
      </c>
      <c r="O257" s="63">
        <v>81</v>
      </c>
      <c r="P257" s="63">
        <v>0</v>
      </c>
      <c r="Q257" s="63">
        <v>6</v>
      </c>
      <c r="R257" s="63">
        <v>1</v>
      </c>
      <c r="S257" s="63">
        <v>0</v>
      </c>
      <c r="T257" s="67"/>
      <c r="U257" s="63"/>
      <c r="V257" s="63"/>
      <c r="W257" s="63">
        <f t="shared" si="97"/>
        <v>0</v>
      </c>
      <c r="X257" s="63"/>
      <c r="Y257" s="63"/>
      <c r="Z257" s="63"/>
      <c r="AA257" s="63"/>
      <c r="AB257" s="63"/>
      <c r="AE257" s="8">
        <v>0</v>
      </c>
      <c r="AT257" t="str">
        <f t="shared" si="94"/>
        <v>Cary</v>
      </c>
      <c r="AU257" t="s">
        <v>2830</v>
      </c>
      <c r="AV257">
        <v>2</v>
      </c>
      <c r="AX257" s="114">
        <v>23</v>
      </c>
      <c r="AY257" s="116">
        <v>3</v>
      </c>
      <c r="AZ257" s="116">
        <v>45</v>
      </c>
      <c r="BA257" s="120">
        <v>11020</v>
      </c>
      <c r="BB257" s="120">
        <f t="shared" si="95"/>
        <v>23003</v>
      </c>
      <c r="BC257" t="s">
        <v>3075</v>
      </c>
      <c r="BD257">
        <f t="shared" si="96"/>
        <v>2311020</v>
      </c>
      <c r="BE257" s="1">
        <v>6</v>
      </c>
      <c r="BI257">
        <v>18.97</v>
      </c>
      <c r="BJ257">
        <v>0</v>
      </c>
      <c r="BK257">
        <v>18.97</v>
      </c>
      <c r="BS257" s="63">
        <v>0</v>
      </c>
      <c r="CK257" s="1" t="s">
        <v>3816</v>
      </c>
    </row>
    <row r="258" spans="1:89" hidden="1" outlineLevel="1">
      <c r="A258" t="s">
        <v>1734</v>
      </c>
      <c r="B258" s="8" t="s">
        <v>1697</v>
      </c>
      <c r="C258" s="1">
        <f t="shared" si="86"/>
        <v>2096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 t="shared" si="87"/>
        <v>5</v>
      </c>
      <c r="G258" s="1">
        <f t="shared" si="88"/>
        <v>298</v>
      </c>
      <c r="H258" s="2">
        <f t="shared" si="89"/>
        <v>0.14217557251908397</v>
      </c>
      <c r="I258" s="6"/>
      <c r="J258" s="2">
        <f t="shared" si="90"/>
        <v>0.3907442748091603</v>
      </c>
      <c r="K258" s="2">
        <f t="shared" si="91"/>
        <v>0.53291984732824427</v>
      </c>
      <c r="L258" s="2">
        <f t="shared" si="92"/>
        <v>4.7709923664122139E-3</v>
      </c>
      <c r="M258" s="2">
        <f t="shared" si="93"/>
        <v>7.1564885496183228E-2</v>
      </c>
      <c r="N258" s="63">
        <v>819</v>
      </c>
      <c r="O258" s="63">
        <v>1117</v>
      </c>
      <c r="P258" s="63">
        <v>10</v>
      </c>
      <c r="Q258" s="63">
        <v>104</v>
      </c>
      <c r="R258" s="63">
        <v>46</v>
      </c>
      <c r="S258" s="63">
        <v>0</v>
      </c>
      <c r="T258" s="67"/>
      <c r="U258" s="63"/>
      <c r="V258" s="63"/>
      <c r="W258" s="63">
        <f t="shared" si="97"/>
        <v>0</v>
      </c>
      <c r="X258" s="63"/>
      <c r="Y258" s="63"/>
      <c r="Z258" s="63"/>
      <c r="AA258" s="63"/>
      <c r="AB258" s="63"/>
      <c r="AE258" s="8">
        <v>0</v>
      </c>
      <c r="AT258" t="str">
        <f t="shared" si="94"/>
        <v>Casco</v>
      </c>
      <c r="AU258" t="s">
        <v>1531</v>
      </c>
      <c r="AV258">
        <v>1</v>
      </c>
      <c r="AX258" s="114">
        <v>23</v>
      </c>
      <c r="AY258" s="116">
        <v>5</v>
      </c>
      <c r="AZ258" s="116">
        <v>25</v>
      </c>
      <c r="BA258" s="120">
        <v>11125</v>
      </c>
      <c r="BB258" s="120">
        <f t="shared" si="95"/>
        <v>23005</v>
      </c>
      <c r="BC258" t="s">
        <v>1472</v>
      </c>
      <c r="BD258">
        <f t="shared" si="96"/>
        <v>2311125</v>
      </c>
      <c r="BE258" s="1">
        <v>59</v>
      </c>
      <c r="BI258">
        <v>36.43</v>
      </c>
      <c r="BJ258">
        <v>5.16</v>
      </c>
      <c r="BK258">
        <v>31.27</v>
      </c>
      <c r="BS258" s="63">
        <v>0</v>
      </c>
      <c r="CK258" s="1" t="s">
        <v>3817</v>
      </c>
    </row>
    <row r="259" spans="1:89" hidden="1" outlineLevel="1">
      <c r="A259" t="s">
        <v>1735</v>
      </c>
      <c r="B259" s="8" t="s">
        <v>1697</v>
      </c>
      <c r="C259" s="1">
        <f t="shared" si="86"/>
        <v>581</v>
      </c>
      <c r="D259" s="5">
        <f>IF(N259&gt;0, RANK(N259,(N259:P259,Q259:AE259)),0)</f>
        <v>1</v>
      </c>
      <c r="E259" s="5">
        <f>IF(O259&gt;0,RANK(O259,(N259:P259,Q259:AE259)),0)</f>
        <v>2</v>
      </c>
      <c r="F259" s="5">
        <f t="shared" si="87"/>
        <v>5</v>
      </c>
      <c r="G259" s="1">
        <f t="shared" si="88"/>
        <v>124</v>
      </c>
      <c r="H259" s="2">
        <f t="shared" si="89"/>
        <v>0.21342512908777969</v>
      </c>
      <c r="I259" s="6"/>
      <c r="J259" s="2">
        <f t="shared" si="90"/>
        <v>0.5662650602409639</v>
      </c>
      <c r="K259" s="2">
        <f t="shared" si="91"/>
        <v>0.35283993115318418</v>
      </c>
      <c r="L259" s="2">
        <f t="shared" si="92"/>
        <v>3.4423407917383822E-3</v>
      </c>
      <c r="M259" s="2">
        <f t="shared" si="93"/>
        <v>7.7452667814113529E-2</v>
      </c>
      <c r="N259" s="63">
        <v>329</v>
      </c>
      <c r="O259" s="63">
        <v>205</v>
      </c>
      <c r="P259" s="63">
        <v>2</v>
      </c>
      <c r="Q259" s="63">
        <v>37</v>
      </c>
      <c r="R259" s="63">
        <v>8</v>
      </c>
      <c r="S259" s="63">
        <v>0</v>
      </c>
      <c r="T259" s="67"/>
      <c r="U259" s="63"/>
      <c r="V259" s="63"/>
      <c r="W259" s="63">
        <f t="shared" si="97"/>
        <v>0</v>
      </c>
      <c r="X259" s="63"/>
      <c r="Y259" s="63"/>
      <c r="Z259" s="63"/>
      <c r="AA259" s="63"/>
      <c r="AB259" s="63"/>
      <c r="AE259" s="8">
        <v>0</v>
      </c>
      <c r="AT259" t="str">
        <f t="shared" si="94"/>
        <v>Castine</v>
      </c>
      <c r="AU259" t="s">
        <v>597</v>
      </c>
      <c r="AV259">
        <v>2</v>
      </c>
      <c r="AX259" s="114">
        <v>23</v>
      </c>
      <c r="AY259" s="116">
        <v>9</v>
      </c>
      <c r="AZ259" s="116">
        <v>40</v>
      </c>
      <c r="BA259" s="120">
        <v>11265</v>
      </c>
      <c r="BB259" s="120">
        <f t="shared" si="95"/>
        <v>23009</v>
      </c>
      <c r="BC259" t="s">
        <v>1472</v>
      </c>
      <c r="BD259">
        <f t="shared" si="96"/>
        <v>2311265</v>
      </c>
      <c r="BE259" s="1">
        <v>19</v>
      </c>
      <c r="BI259">
        <v>19.989999999999998</v>
      </c>
      <c r="BJ259">
        <v>12.19</v>
      </c>
      <c r="BK259">
        <v>7.8</v>
      </c>
      <c r="BS259" s="63">
        <v>0</v>
      </c>
      <c r="CK259" s="1" t="s">
        <v>3818</v>
      </c>
    </row>
    <row r="260" spans="1:89" hidden="1" outlineLevel="1">
      <c r="A260" t="s">
        <v>89</v>
      </c>
      <c r="B260" s="8" t="s">
        <v>1697</v>
      </c>
      <c r="C260" s="1">
        <f t="shared" si="86"/>
        <v>222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 t="shared" si="87"/>
        <v>0</v>
      </c>
      <c r="G260" s="1">
        <f t="shared" si="88"/>
        <v>38</v>
      </c>
      <c r="H260" s="2">
        <f t="shared" si="89"/>
        <v>0.17117117117117117</v>
      </c>
      <c r="I260" s="6"/>
      <c r="J260" s="2">
        <f t="shared" si="90"/>
        <v>0.38288288288288286</v>
      </c>
      <c r="K260" s="2">
        <f t="shared" si="91"/>
        <v>0.55405405405405406</v>
      </c>
      <c r="L260" s="2">
        <f t="shared" si="92"/>
        <v>0</v>
      </c>
      <c r="M260" s="2">
        <f t="shared" si="93"/>
        <v>6.3063063063063085E-2</v>
      </c>
      <c r="N260" s="63">
        <v>85</v>
      </c>
      <c r="O260" s="63">
        <v>123</v>
      </c>
      <c r="P260" s="63">
        <v>0</v>
      </c>
      <c r="Q260" s="63">
        <v>11</v>
      </c>
      <c r="R260" s="63">
        <v>3</v>
      </c>
      <c r="S260" s="63">
        <v>0</v>
      </c>
      <c r="T260" s="67"/>
      <c r="U260" s="63"/>
      <c r="V260" s="63"/>
      <c r="W260" s="63">
        <f t="shared" si="97"/>
        <v>0</v>
      </c>
      <c r="X260" s="63"/>
      <c r="Y260" s="63"/>
      <c r="Z260" s="63"/>
      <c r="AA260" s="63"/>
      <c r="AB260" s="63"/>
      <c r="AE260" s="8">
        <v>0</v>
      </c>
      <c r="AT260" t="str">
        <f t="shared" si="94"/>
        <v>Castle Hill</v>
      </c>
      <c r="AU260" t="s">
        <v>2830</v>
      </c>
      <c r="AV260">
        <v>2</v>
      </c>
      <c r="AX260" s="114">
        <v>23</v>
      </c>
      <c r="AY260" s="116">
        <v>3</v>
      </c>
      <c r="AZ260" s="116">
        <v>50</v>
      </c>
      <c r="BA260" s="120">
        <v>11300</v>
      </c>
      <c r="BB260" s="120">
        <f t="shared" si="95"/>
        <v>23003</v>
      </c>
      <c r="BC260" t="s">
        <v>1472</v>
      </c>
      <c r="BD260">
        <f t="shared" si="96"/>
        <v>2311300</v>
      </c>
      <c r="BE260" s="1">
        <v>12</v>
      </c>
      <c r="BI260">
        <v>36.14</v>
      </c>
      <c r="BJ260">
        <v>0.46</v>
      </c>
      <c r="BK260">
        <v>35.68</v>
      </c>
      <c r="BS260" s="63">
        <v>0</v>
      </c>
      <c r="CK260" s="1" t="s">
        <v>3819</v>
      </c>
    </row>
    <row r="261" spans="1:89" hidden="1" outlineLevel="1">
      <c r="A261" t="s">
        <v>1247</v>
      </c>
      <c r="B261" s="8" t="s">
        <v>1697</v>
      </c>
      <c r="C261" s="1">
        <f t="shared" si="86"/>
        <v>141</v>
      </c>
      <c r="D261" s="5">
        <f>IF(N261&gt;0, RANK(N261,(N261:P261,Q261:AE261)),0)</f>
        <v>1</v>
      </c>
      <c r="E261" s="5">
        <f>IF(O261&gt;0,RANK(O261,(N261:P261,Q261:AE261)),0)</f>
        <v>2</v>
      </c>
      <c r="F261" s="5">
        <f t="shared" si="87"/>
        <v>0</v>
      </c>
      <c r="G261" s="1">
        <f t="shared" si="88"/>
        <v>15</v>
      </c>
      <c r="H261" s="2">
        <f t="shared" si="89"/>
        <v>0.10638297872340426</v>
      </c>
      <c r="I261" s="6"/>
      <c r="J261" s="2">
        <f t="shared" si="90"/>
        <v>0.51773049645390068</v>
      </c>
      <c r="K261" s="2">
        <f t="shared" si="91"/>
        <v>0.41134751773049644</v>
      </c>
      <c r="L261" s="2">
        <f t="shared" si="92"/>
        <v>0</v>
      </c>
      <c r="M261" s="2">
        <f t="shared" si="93"/>
        <v>7.0921985815602884E-2</v>
      </c>
      <c r="N261" s="63">
        <v>73</v>
      </c>
      <c r="O261" s="63">
        <v>58</v>
      </c>
      <c r="P261" s="63">
        <v>0</v>
      </c>
      <c r="Q261" s="63">
        <v>6</v>
      </c>
      <c r="R261" s="63">
        <v>4</v>
      </c>
      <c r="S261" s="63">
        <v>0</v>
      </c>
      <c r="T261" s="67"/>
      <c r="U261" s="63"/>
      <c r="V261" s="63"/>
      <c r="W261" s="63">
        <f t="shared" si="97"/>
        <v>0</v>
      </c>
      <c r="X261" s="63"/>
      <c r="Y261" s="63"/>
      <c r="Z261" s="63"/>
      <c r="AA261" s="63"/>
      <c r="AB261" s="63"/>
      <c r="AE261" s="8">
        <v>0</v>
      </c>
      <c r="AT261" t="str">
        <f t="shared" si="94"/>
        <v>Caswell</v>
      </c>
      <c r="AU261" t="s">
        <v>2830</v>
      </c>
      <c r="AV261">
        <v>2</v>
      </c>
      <c r="AX261" s="114">
        <v>23</v>
      </c>
      <c r="AY261" s="116">
        <v>3</v>
      </c>
      <c r="AZ261" s="116">
        <v>55</v>
      </c>
      <c r="BA261" s="120">
        <v>11335</v>
      </c>
      <c r="BB261" s="120">
        <f t="shared" si="95"/>
        <v>23003</v>
      </c>
      <c r="BC261" t="s">
        <v>1472</v>
      </c>
      <c r="BD261">
        <f t="shared" si="96"/>
        <v>2311335</v>
      </c>
      <c r="BE261" s="1">
        <v>8</v>
      </c>
      <c r="BI261">
        <v>41.71</v>
      </c>
      <c r="BJ261">
        <v>0.26</v>
      </c>
      <c r="BK261">
        <v>41.45</v>
      </c>
      <c r="BS261" s="63">
        <v>0</v>
      </c>
      <c r="CK261" s="1" t="s">
        <v>3820</v>
      </c>
    </row>
    <row r="262" spans="1:89" hidden="1" outlineLevel="1">
      <c r="A262" t="s">
        <v>3718</v>
      </c>
      <c r="B262" s="8" t="s">
        <v>1697</v>
      </c>
      <c r="C262" s="1">
        <f>SUM(N262:AR262)</f>
        <v>11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IF(P262&gt;0,RANK(P262,(N262:AE262)),0)</f>
        <v>0</v>
      </c>
      <c r="G262" s="1">
        <f>IF(C262&gt;0,MAX(N262:P262)-LARGE(N262:P262,2),0)</f>
        <v>1</v>
      </c>
      <c r="H262" s="2">
        <f>IF(C262&gt;0,G262/C262,0)</f>
        <v>9.0909090909090912E-2</v>
      </c>
      <c r="I262" s="6"/>
      <c r="J262" s="2">
        <f>IF(C262=0,"-",N262/C262)</f>
        <v>0.45454545454545453</v>
      </c>
      <c r="K262" s="2">
        <f>IF(C262=0,"-",O262/C262)</f>
        <v>0.54545454545454541</v>
      </c>
      <c r="L262" s="2">
        <f>IF(C262=0,"-",P262/C262)</f>
        <v>0</v>
      </c>
      <c r="M262" s="2">
        <f>IF(C262=0,"-",(1-J262-K262-L262))</f>
        <v>0</v>
      </c>
      <c r="N262" s="63">
        <v>5</v>
      </c>
      <c r="O262" s="63">
        <v>6</v>
      </c>
      <c r="P262" s="63">
        <v>0</v>
      </c>
      <c r="Q262" s="63">
        <v>0</v>
      </c>
      <c r="R262" s="63">
        <v>0</v>
      </c>
      <c r="S262" s="63">
        <v>0</v>
      </c>
      <c r="T262" s="67"/>
      <c r="U262" s="63"/>
      <c r="V262" s="63"/>
      <c r="W262" s="63">
        <f t="shared" si="97"/>
        <v>0</v>
      </c>
      <c r="X262" s="63"/>
      <c r="Y262" s="63"/>
      <c r="Z262" s="63"/>
      <c r="AA262" s="63"/>
      <c r="AB262" s="63"/>
      <c r="AE262" s="8">
        <v>0</v>
      </c>
      <c r="AT262" t="str">
        <f>A262</f>
        <v>Cathance</v>
      </c>
      <c r="AU262" t="s">
        <v>692</v>
      </c>
      <c r="AV262">
        <v>2</v>
      </c>
      <c r="AX262" s="114">
        <v>23</v>
      </c>
      <c r="AY262" s="116">
        <v>29</v>
      </c>
      <c r="BA262" s="142">
        <v>11420</v>
      </c>
      <c r="BB262" s="120">
        <f>AX262*1000+AY262</f>
        <v>23029</v>
      </c>
      <c r="BC262" t="s">
        <v>957</v>
      </c>
      <c r="BD262">
        <f>AX262*100000+BA262</f>
        <v>2311420</v>
      </c>
      <c r="BE262" s="1">
        <v>0</v>
      </c>
      <c r="BS262" s="63">
        <v>0</v>
      </c>
      <c r="CK262" s="1" t="s">
        <v>3821</v>
      </c>
    </row>
    <row r="263" spans="1:89" hidden="1" outlineLevel="1">
      <c r="A263" t="s">
        <v>809</v>
      </c>
      <c r="B263" s="8" t="s">
        <v>1697</v>
      </c>
      <c r="C263" s="1">
        <f t="shared" si="86"/>
        <v>17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 t="shared" si="87"/>
        <v>0</v>
      </c>
      <c r="G263" s="1">
        <f t="shared" si="88"/>
        <v>9</v>
      </c>
      <c r="H263" s="2">
        <f t="shared" si="89"/>
        <v>0.52941176470588236</v>
      </c>
      <c r="I263" s="6"/>
      <c r="J263" s="2">
        <f t="shared" si="90"/>
        <v>0.23529411764705882</v>
      </c>
      <c r="K263" s="2">
        <f t="shared" si="91"/>
        <v>0.76470588235294112</v>
      </c>
      <c r="L263" s="2">
        <f t="shared" si="92"/>
        <v>0</v>
      </c>
      <c r="M263" s="2">
        <f t="shared" si="93"/>
        <v>0</v>
      </c>
      <c r="N263" s="63">
        <v>4</v>
      </c>
      <c r="O263" s="63">
        <v>13</v>
      </c>
      <c r="P263" s="63">
        <v>0</v>
      </c>
      <c r="Q263" s="63">
        <v>0</v>
      </c>
      <c r="R263" s="63">
        <v>0</v>
      </c>
      <c r="S263" s="63">
        <v>0</v>
      </c>
      <c r="T263" s="67"/>
      <c r="U263" s="63"/>
      <c r="V263" s="63"/>
      <c r="W263" s="63">
        <f t="shared" si="97"/>
        <v>0</v>
      </c>
      <c r="X263" s="63"/>
      <c r="Y263" s="63"/>
      <c r="Z263" s="63"/>
      <c r="AA263" s="63"/>
      <c r="AB263" s="63"/>
      <c r="AE263" s="8">
        <v>0</v>
      </c>
      <c r="AT263" t="str">
        <f t="shared" si="94"/>
        <v>Centerville</v>
      </c>
      <c r="AU263" t="s">
        <v>692</v>
      </c>
      <c r="AV263">
        <v>2</v>
      </c>
      <c r="AX263" s="114">
        <v>23</v>
      </c>
      <c r="AY263" s="116">
        <v>29</v>
      </c>
      <c r="AZ263" s="116">
        <v>35</v>
      </c>
      <c r="BA263" s="120">
        <v>11755</v>
      </c>
      <c r="BB263" s="120">
        <f t="shared" si="95"/>
        <v>23029</v>
      </c>
      <c r="BC263" t="s">
        <v>957</v>
      </c>
      <c r="BD263">
        <f t="shared" si="96"/>
        <v>2311755</v>
      </c>
      <c r="BE263" s="1">
        <v>1</v>
      </c>
      <c r="BI263">
        <v>42.99</v>
      </c>
      <c r="BJ263">
        <v>1.06</v>
      </c>
      <c r="BK263">
        <v>41.93</v>
      </c>
      <c r="BS263" s="63">
        <v>0</v>
      </c>
      <c r="CK263" s="1" t="s">
        <v>3822</v>
      </c>
    </row>
    <row r="264" spans="1:89" hidden="1" outlineLevel="1">
      <c r="A264" t="s">
        <v>2338</v>
      </c>
      <c r="B264" s="8" t="s">
        <v>1697</v>
      </c>
      <c r="C264" s="1">
        <f t="shared" si="86"/>
        <v>279</v>
      </c>
      <c r="D264" s="5">
        <f>IF(N264&gt;0, RANK(N264,(N264:P264,Q264:AE264)),0)</f>
        <v>2</v>
      </c>
      <c r="E264" s="5">
        <f>IF(O264&gt;0,RANK(O264,(N264:P264,Q264:AE264)),0)</f>
        <v>1</v>
      </c>
      <c r="F264" s="5">
        <f t="shared" si="87"/>
        <v>5</v>
      </c>
      <c r="G264" s="1">
        <f t="shared" si="88"/>
        <v>57</v>
      </c>
      <c r="H264" s="2">
        <f t="shared" si="89"/>
        <v>0.20430107526881722</v>
      </c>
      <c r="I264" s="6"/>
      <c r="J264" s="2">
        <f t="shared" si="90"/>
        <v>0.35483870967741937</v>
      </c>
      <c r="K264" s="2">
        <f t="shared" si="91"/>
        <v>0.55913978494623651</v>
      </c>
      <c r="L264" s="2">
        <f t="shared" si="92"/>
        <v>1.4336917562724014E-2</v>
      </c>
      <c r="M264" s="2">
        <f t="shared" si="93"/>
        <v>7.168458781362011E-2</v>
      </c>
      <c r="N264" s="63">
        <v>99</v>
      </c>
      <c r="O264" s="63">
        <v>156</v>
      </c>
      <c r="P264" s="63">
        <v>4</v>
      </c>
      <c r="Q264" s="63">
        <v>15</v>
      </c>
      <c r="R264" s="63">
        <v>5</v>
      </c>
      <c r="S264" s="63">
        <v>0</v>
      </c>
      <c r="T264" s="67"/>
      <c r="U264" s="63"/>
      <c r="V264" s="63"/>
      <c r="W264" s="63">
        <f t="shared" si="97"/>
        <v>0</v>
      </c>
      <c r="X264" s="63"/>
      <c r="Y264" s="63"/>
      <c r="Z264" s="63"/>
      <c r="AA264" s="63"/>
      <c r="AB264" s="63"/>
      <c r="AE264" s="8">
        <v>0</v>
      </c>
      <c r="AT264" t="str">
        <f t="shared" si="94"/>
        <v>Chapman</v>
      </c>
      <c r="AU264" t="s">
        <v>2830</v>
      </c>
      <c r="AV264">
        <v>2</v>
      </c>
      <c r="AX264" s="114">
        <v>23</v>
      </c>
      <c r="AY264" s="116">
        <v>3</v>
      </c>
      <c r="AZ264" s="116">
        <v>60</v>
      </c>
      <c r="BA264" s="120">
        <v>12000</v>
      </c>
      <c r="BB264" s="120">
        <f t="shared" si="95"/>
        <v>23003</v>
      </c>
      <c r="BC264" t="s">
        <v>1472</v>
      </c>
      <c r="BD264">
        <f t="shared" si="96"/>
        <v>2312000</v>
      </c>
      <c r="BE264" s="1">
        <v>0</v>
      </c>
      <c r="BI264">
        <v>38.79</v>
      </c>
      <c r="BJ264">
        <v>0.42</v>
      </c>
      <c r="BK264">
        <v>38.369999999999997</v>
      </c>
      <c r="BS264" s="63">
        <v>0</v>
      </c>
      <c r="CK264" s="1" t="s">
        <v>3823</v>
      </c>
    </row>
    <row r="265" spans="1:89" hidden="1" outlineLevel="1">
      <c r="A265" t="s">
        <v>2784</v>
      </c>
      <c r="B265" s="8" t="s">
        <v>1697</v>
      </c>
      <c r="C265" s="1">
        <f t="shared" si="86"/>
        <v>702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 t="shared" si="87"/>
        <v>5</v>
      </c>
      <c r="G265" s="1">
        <f t="shared" si="88"/>
        <v>392</v>
      </c>
      <c r="H265" s="2">
        <f t="shared" si="89"/>
        <v>0.55840455840455838</v>
      </c>
      <c r="I265" s="6"/>
      <c r="J265" s="2">
        <f t="shared" si="90"/>
        <v>0.19943019943019943</v>
      </c>
      <c r="K265" s="2">
        <f t="shared" si="91"/>
        <v>0.75783475783475784</v>
      </c>
      <c r="L265" s="2">
        <f t="shared" si="92"/>
        <v>1.4245014245014246E-3</v>
      </c>
      <c r="M265" s="2">
        <f t="shared" si="93"/>
        <v>4.1310541310541272E-2</v>
      </c>
      <c r="N265" s="63">
        <v>140</v>
      </c>
      <c r="O265" s="63">
        <v>532</v>
      </c>
      <c r="P265" s="63">
        <v>1</v>
      </c>
      <c r="Q265" s="63">
        <v>20</v>
      </c>
      <c r="R265" s="63">
        <v>9</v>
      </c>
      <c r="S265" s="63">
        <v>0</v>
      </c>
      <c r="T265" s="67"/>
      <c r="U265" s="63"/>
      <c r="V265" s="63"/>
      <c r="W265" s="63">
        <f t="shared" si="97"/>
        <v>0</v>
      </c>
      <c r="X265" s="63"/>
      <c r="Y265" s="63"/>
      <c r="Z265" s="63"/>
      <c r="AA265" s="63"/>
      <c r="AB265" s="63"/>
      <c r="AE265" s="8">
        <v>0</v>
      </c>
      <c r="AT265" t="str">
        <f t="shared" si="94"/>
        <v>Charleston</v>
      </c>
      <c r="AU265" t="s">
        <v>2481</v>
      </c>
      <c r="AV265">
        <v>2</v>
      </c>
      <c r="AX265" s="114">
        <v>23</v>
      </c>
      <c r="AY265" s="116">
        <v>19</v>
      </c>
      <c r="AZ265" s="116">
        <v>45</v>
      </c>
      <c r="BA265" s="120">
        <v>12105</v>
      </c>
      <c r="BB265" s="120">
        <f t="shared" si="95"/>
        <v>23019</v>
      </c>
      <c r="BC265" t="s">
        <v>1472</v>
      </c>
      <c r="BD265">
        <f t="shared" si="96"/>
        <v>2312105</v>
      </c>
      <c r="BE265" s="1">
        <v>14</v>
      </c>
      <c r="BI265">
        <v>40.229999999999997</v>
      </c>
      <c r="BJ265">
        <v>0.02</v>
      </c>
      <c r="BK265">
        <v>40.21</v>
      </c>
      <c r="BS265" s="63">
        <v>0</v>
      </c>
      <c r="CK265" s="159" t="s">
        <v>3824</v>
      </c>
    </row>
    <row r="266" spans="1:89" hidden="1" outlineLevel="1">
      <c r="A266" t="s">
        <v>1188</v>
      </c>
      <c r="B266" s="8" t="s">
        <v>1697</v>
      </c>
      <c r="C266" s="1">
        <f t="shared" si="86"/>
        <v>177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 t="shared" si="87"/>
        <v>5</v>
      </c>
      <c r="G266" s="1">
        <f t="shared" si="88"/>
        <v>63</v>
      </c>
      <c r="H266" s="2">
        <f t="shared" si="89"/>
        <v>0.3559322033898305</v>
      </c>
      <c r="I266" s="6"/>
      <c r="J266" s="2">
        <f t="shared" si="90"/>
        <v>0.28813559322033899</v>
      </c>
      <c r="K266" s="2">
        <f t="shared" si="91"/>
        <v>0.64406779661016944</v>
      </c>
      <c r="L266" s="2">
        <f t="shared" si="92"/>
        <v>1.1299435028248588E-2</v>
      </c>
      <c r="M266" s="2">
        <f t="shared" si="93"/>
        <v>5.6497175141242979E-2</v>
      </c>
      <c r="N266" s="63">
        <v>51</v>
      </c>
      <c r="O266" s="63">
        <v>114</v>
      </c>
      <c r="P266" s="63">
        <v>2</v>
      </c>
      <c r="Q266" s="63">
        <v>4</v>
      </c>
      <c r="R266" s="63">
        <v>6</v>
      </c>
      <c r="S266" s="63">
        <v>0</v>
      </c>
      <c r="T266" s="67"/>
      <c r="U266" s="63"/>
      <c r="V266" s="63"/>
      <c r="W266" s="63">
        <f t="shared" si="97"/>
        <v>0</v>
      </c>
      <c r="X266" s="63"/>
      <c r="Y266" s="63"/>
      <c r="Z266" s="63"/>
      <c r="AA266" s="63"/>
      <c r="AB266" s="63"/>
      <c r="AE266" s="8">
        <v>0</v>
      </c>
      <c r="AT266" t="str">
        <f t="shared" si="94"/>
        <v>Charlotte</v>
      </c>
      <c r="AU266" t="s">
        <v>692</v>
      </c>
      <c r="AV266">
        <v>2</v>
      </c>
      <c r="AX266" s="114">
        <v>23</v>
      </c>
      <c r="AY266" s="116">
        <v>29</v>
      </c>
      <c r="AZ266" s="116">
        <v>40</v>
      </c>
      <c r="BA266" s="120">
        <v>12175</v>
      </c>
      <c r="BB266" s="120">
        <f t="shared" si="95"/>
        <v>23029</v>
      </c>
      <c r="BC266" t="s">
        <v>1472</v>
      </c>
      <c r="BD266">
        <f t="shared" si="96"/>
        <v>2312175</v>
      </c>
      <c r="BE266" s="1">
        <v>8</v>
      </c>
      <c r="BI266">
        <v>34.049999999999997</v>
      </c>
      <c r="BJ266">
        <v>2.75</v>
      </c>
      <c r="BK266">
        <v>31.3</v>
      </c>
      <c r="BS266" s="63">
        <v>0</v>
      </c>
      <c r="CK266" s="1" t="s">
        <v>3825</v>
      </c>
    </row>
    <row r="267" spans="1:89" hidden="1" outlineLevel="1">
      <c r="A267" t="s">
        <v>3111</v>
      </c>
      <c r="B267" s="8" t="s">
        <v>1697</v>
      </c>
      <c r="C267" s="1">
        <f t="shared" si="86"/>
        <v>326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 t="shared" si="87"/>
        <v>0</v>
      </c>
      <c r="G267" s="1">
        <f t="shared" si="88"/>
        <v>166</v>
      </c>
      <c r="H267" s="2">
        <f t="shared" si="89"/>
        <v>0.50920245398773001</v>
      </c>
      <c r="I267" s="6"/>
      <c r="J267" s="2">
        <f t="shared" si="90"/>
        <v>0.71165644171779141</v>
      </c>
      <c r="K267" s="2">
        <f t="shared" si="91"/>
        <v>0.20245398773006135</v>
      </c>
      <c r="L267" s="2">
        <f t="shared" si="92"/>
        <v>0</v>
      </c>
      <c r="M267" s="2">
        <f t="shared" si="93"/>
        <v>8.5889570552147243E-2</v>
      </c>
      <c r="N267" s="63">
        <v>232</v>
      </c>
      <c r="O267" s="63">
        <v>66</v>
      </c>
      <c r="P267" s="63">
        <v>0</v>
      </c>
      <c r="Q267" s="63">
        <v>17</v>
      </c>
      <c r="R267" s="63">
        <v>11</v>
      </c>
      <c r="S267" s="63">
        <v>0</v>
      </c>
      <c r="T267" s="67"/>
      <c r="U267" s="63"/>
      <c r="V267" s="63"/>
      <c r="W267" s="63">
        <f t="shared" si="97"/>
        <v>0</v>
      </c>
      <c r="X267" s="63"/>
      <c r="Y267" s="63"/>
      <c r="Z267" s="63"/>
      <c r="AA267" s="63"/>
      <c r="AB267" s="63"/>
      <c r="AE267" s="8">
        <v>0</v>
      </c>
      <c r="AT267" t="str">
        <f t="shared" si="94"/>
        <v>Chebeague Island</v>
      </c>
      <c r="AU267" t="s">
        <v>1531</v>
      </c>
      <c r="AV267">
        <v>1</v>
      </c>
      <c r="AX267" s="114">
        <v>23</v>
      </c>
      <c r="AY267" s="116">
        <v>5</v>
      </c>
      <c r="BA267" s="120">
        <v>12300</v>
      </c>
      <c r="BB267" s="120">
        <f t="shared" si="95"/>
        <v>23005</v>
      </c>
      <c r="BC267" t="s">
        <v>1472</v>
      </c>
      <c r="BD267">
        <f t="shared" si="96"/>
        <v>2312300</v>
      </c>
      <c r="BE267" s="1">
        <v>3</v>
      </c>
      <c r="BM267" t="s">
        <v>3198</v>
      </c>
      <c r="BS267" s="63">
        <v>0</v>
      </c>
      <c r="CK267" s="1" t="s">
        <v>3826</v>
      </c>
    </row>
    <row r="268" spans="1:89" hidden="1" outlineLevel="1">
      <c r="A268" t="s">
        <v>1006</v>
      </c>
      <c r="B268" s="8" t="s">
        <v>1697</v>
      </c>
      <c r="C268" s="1">
        <f t="shared" si="86"/>
        <v>1470</v>
      </c>
      <c r="D268" s="5">
        <f>IF(N268&gt;0, RANK(N268,(N268:P268,Q268:AE268)),0)</f>
        <v>2</v>
      </c>
      <c r="E268" s="5">
        <f>IF(O268&gt;0,RANK(O268,(N268:P268,Q268:AE268)),0)</f>
        <v>1</v>
      </c>
      <c r="F268" s="5">
        <f t="shared" si="87"/>
        <v>5</v>
      </c>
      <c r="G268" s="1">
        <f t="shared" si="88"/>
        <v>340</v>
      </c>
      <c r="H268" s="2">
        <f t="shared" si="89"/>
        <v>0.23129251700680273</v>
      </c>
      <c r="I268" s="6"/>
      <c r="J268" s="2">
        <f t="shared" si="90"/>
        <v>0.35374149659863946</v>
      </c>
      <c r="K268" s="2">
        <f t="shared" si="91"/>
        <v>0.58503401360544216</v>
      </c>
      <c r="L268" s="2">
        <f t="shared" si="92"/>
        <v>6.8027210884353737E-4</v>
      </c>
      <c r="M268" s="2">
        <f t="shared" si="93"/>
        <v>6.0544217687074901E-2</v>
      </c>
      <c r="N268" s="63">
        <v>520</v>
      </c>
      <c r="O268" s="63">
        <v>860</v>
      </c>
      <c r="P268" s="63">
        <v>1</v>
      </c>
      <c r="Q268" s="63">
        <v>63</v>
      </c>
      <c r="R268" s="63">
        <v>26</v>
      </c>
      <c r="S268" s="63">
        <v>0</v>
      </c>
      <c r="T268" s="67"/>
      <c r="U268" s="63"/>
      <c r="V268" s="63"/>
      <c r="W268" s="63">
        <f t="shared" si="97"/>
        <v>0</v>
      </c>
      <c r="X268" s="63"/>
      <c r="Y268" s="63"/>
      <c r="Z268" s="63"/>
      <c r="AA268" s="63"/>
      <c r="AB268" s="63"/>
      <c r="AE268" s="8">
        <v>0</v>
      </c>
      <c r="AT268" t="str">
        <f t="shared" si="94"/>
        <v>Chelsea</v>
      </c>
      <c r="AU268" t="s">
        <v>3007</v>
      </c>
      <c r="AV268">
        <v>1</v>
      </c>
      <c r="AX268" s="114">
        <v>23</v>
      </c>
      <c r="AY268" s="116">
        <v>11</v>
      </c>
      <c r="AZ268" s="116">
        <v>25</v>
      </c>
      <c r="BA268" s="120">
        <v>12350</v>
      </c>
      <c r="BB268" s="120">
        <f t="shared" si="95"/>
        <v>23011</v>
      </c>
      <c r="BC268" t="s">
        <v>1472</v>
      </c>
      <c r="BD268">
        <f t="shared" si="96"/>
        <v>2312350</v>
      </c>
      <c r="BE268" s="1">
        <v>57</v>
      </c>
      <c r="BI268">
        <v>19.91</v>
      </c>
      <c r="BJ268">
        <v>0.4</v>
      </c>
      <c r="BK268">
        <v>19.5</v>
      </c>
      <c r="BS268" s="63">
        <v>0</v>
      </c>
      <c r="CK268" s="158" t="s">
        <v>3827</v>
      </c>
    </row>
    <row r="269" spans="1:89" hidden="1" outlineLevel="1">
      <c r="A269" t="s">
        <v>908</v>
      </c>
      <c r="B269" s="8" t="s">
        <v>1697</v>
      </c>
      <c r="C269" s="1">
        <f t="shared" si="86"/>
        <v>624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 t="shared" si="87"/>
        <v>0</v>
      </c>
      <c r="G269" s="1">
        <f t="shared" si="88"/>
        <v>166</v>
      </c>
      <c r="H269" s="2">
        <f t="shared" si="89"/>
        <v>0.26602564102564102</v>
      </c>
      <c r="I269" s="6"/>
      <c r="J269" s="2">
        <f t="shared" si="90"/>
        <v>0.32051282051282054</v>
      </c>
      <c r="K269" s="2">
        <f t="shared" si="91"/>
        <v>0.58653846153846156</v>
      </c>
      <c r="L269" s="2">
        <f t="shared" si="92"/>
        <v>0</v>
      </c>
      <c r="M269" s="2">
        <f t="shared" si="93"/>
        <v>9.2948717948717952E-2</v>
      </c>
      <c r="N269" s="63">
        <v>200</v>
      </c>
      <c r="O269" s="63">
        <v>366</v>
      </c>
      <c r="P269" s="63">
        <v>0</v>
      </c>
      <c r="Q269" s="63">
        <v>38</v>
      </c>
      <c r="R269" s="63">
        <v>20</v>
      </c>
      <c r="S269" s="63">
        <v>0</v>
      </c>
      <c r="T269" s="67"/>
      <c r="U269" s="63"/>
      <c r="V269" s="63"/>
      <c r="W269" s="63">
        <f t="shared" si="97"/>
        <v>0</v>
      </c>
      <c r="X269" s="63"/>
      <c r="Y269" s="63"/>
      <c r="Z269" s="63"/>
      <c r="AA269" s="63"/>
      <c r="AB269" s="63"/>
      <c r="AE269" s="8">
        <v>0</v>
      </c>
      <c r="AT269" t="str">
        <f t="shared" si="94"/>
        <v>Cherryfield</v>
      </c>
      <c r="AU269" t="s">
        <v>692</v>
      </c>
      <c r="AV269">
        <v>2</v>
      </c>
      <c r="AX269" s="114">
        <v>23</v>
      </c>
      <c r="AY269" s="116">
        <v>29</v>
      </c>
      <c r="AZ269" s="116">
        <v>45</v>
      </c>
      <c r="BA269" s="120">
        <v>12455</v>
      </c>
      <c r="BB269" s="120">
        <f t="shared" si="95"/>
        <v>23029</v>
      </c>
      <c r="BC269" t="s">
        <v>1472</v>
      </c>
      <c r="BD269">
        <f t="shared" si="96"/>
        <v>2312455</v>
      </c>
      <c r="BE269" s="1">
        <v>27</v>
      </c>
      <c r="BI269">
        <v>44.25</v>
      </c>
      <c r="BJ269">
        <v>0.52</v>
      </c>
      <c r="BK269">
        <v>43.74</v>
      </c>
      <c r="BS269" s="63">
        <v>0</v>
      </c>
      <c r="CK269" s="1" t="s">
        <v>3828</v>
      </c>
    </row>
    <row r="270" spans="1:89" hidden="1" outlineLevel="1">
      <c r="A270" t="s">
        <v>357</v>
      </c>
      <c r="B270" s="8" t="s">
        <v>1697</v>
      </c>
      <c r="C270" s="1">
        <f t="shared" si="86"/>
        <v>328</v>
      </c>
      <c r="D270" s="5">
        <f>IF(N270&gt;0, RANK(N270,(N270:P270,Q270:AE270)),0)</f>
        <v>2</v>
      </c>
      <c r="E270" s="5">
        <f>IF(O270&gt;0,RANK(O270,(N270:P270,Q270:AE270)),0)</f>
        <v>1</v>
      </c>
      <c r="F270" s="5">
        <f t="shared" si="87"/>
        <v>5</v>
      </c>
      <c r="G270" s="1">
        <f t="shared" si="88"/>
        <v>179</v>
      </c>
      <c r="H270" s="2">
        <f t="shared" si="89"/>
        <v>0.54573170731707321</v>
      </c>
      <c r="I270" s="6"/>
      <c r="J270" s="2">
        <f t="shared" si="90"/>
        <v>0.19817073170731708</v>
      </c>
      <c r="K270" s="2">
        <f t="shared" si="91"/>
        <v>0.74390243902439024</v>
      </c>
      <c r="L270" s="2">
        <f t="shared" si="92"/>
        <v>3.0487804878048782E-3</v>
      </c>
      <c r="M270" s="2">
        <f t="shared" si="93"/>
        <v>5.4878048780487743E-2</v>
      </c>
      <c r="N270" s="63">
        <v>65</v>
      </c>
      <c r="O270" s="63">
        <v>244</v>
      </c>
      <c r="P270" s="63">
        <v>1</v>
      </c>
      <c r="Q270" s="63">
        <v>14</v>
      </c>
      <c r="R270" s="63">
        <v>4</v>
      </c>
      <c r="S270" s="63">
        <v>0</v>
      </c>
      <c r="T270" s="67"/>
      <c r="U270" s="63"/>
      <c r="V270" s="63"/>
      <c r="W270" s="63">
        <f t="shared" si="97"/>
        <v>0</v>
      </c>
      <c r="X270" s="63"/>
      <c r="Y270" s="63"/>
      <c r="Z270" s="63"/>
      <c r="AA270" s="63"/>
      <c r="AB270" s="63"/>
      <c r="AE270" s="8">
        <v>0</v>
      </c>
      <c r="AT270" t="str">
        <f t="shared" si="94"/>
        <v>Chester</v>
      </c>
      <c r="AU270" t="s">
        <v>2481</v>
      </c>
      <c r="AV270">
        <v>2</v>
      </c>
      <c r="AX270" s="114">
        <v>23</v>
      </c>
      <c r="AY270" s="116">
        <v>19</v>
      </c>
      <c r="AZ270" s="116">
        <v>50</v>
      </c>
      <c r="BA270" s="120">
        <v>12525</v>
      </c>
      <c r="BB270" s="120">
        <f t="shared" si="95"/>
        <v>23019</v>
      </c>
      <c r="BC270" t="s">
        <v>1472</v>
      </c>
      <c r="BD270">
        <f t="shared" si="96"/>
        <v>2312525</v>
      </c>
      <c r="BE270" s="1">
        <v>4</v>
      </c>
      <c r="BI270">
        <v>44.32</v>
      </c>
      <c r="BJ270">
        <v>0</v>
      </c>
      <c r="BK270">
        <v>44.31</v>
      </c>
      <c r="BS270" s="63">
        <v>0</v>
      </c>
      <c r="CK270" s="1" t="s">
        <v>3829</v>
      </c>
    </row>
    <row r="271" spans="1:89" hidden="1" outlineLevel="1">
      <c r="A271" t="s">
        <v>199</v>
      </c>
      <c r="B271" s="8" t="s">
        <v>1697</v>
      </c>
      <c r="C271" s="1">
        <f t="shared" si="86"/>
        <v>729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 t="shared" si="87"/>
        <v>5</v>
      </c>
      <c r="G271" s="1">
        <f t="shared" si="88"/>
        <v>99</v>
      </c>
      <c r="H271" s="2">
        <f t="shared" si="89"/>
        <v>0.13580246913580246</v>
      </c>
      <c r="I271" s="6"/>
      <c r="J271" s="2">
        <f t="shared" si="90"/>
        <v>0.37860082304526749</v>
      </c>
      <c r="K271" s="2">
        <f t="shared" si="91"/>
        <v>0.51440329218106995</v>
      </c>
      <c r="L271" s="2">
        <f t="shared" si="92"/>
        <v>2.7434842249657062E-3</v>
      </c>
      <c r="M271" s="2">
        <f t="shared" si="93"/>
        <v>0.10425240054869681</v>
      </c>
      <c r="N271" s="63">
        <v>276</v>
      </c>
      <c r="O271" s="63">
        <v>375</v>
      </c>
      <c r="P271" s="63">
        <v>2</v>
      </c>
      <c r="Q271" s="63">
        <v>60</v>
      </c>
      <c r="R271" s="63">
        <v>15</v>
      </c>
      <c r="S271" s="63">
        <v>0</v>
      </c>
      <c r="T271" s="67"/>
      <c r="U271" s="63"/>
      <c r="V271" s="63"/>
      <c r="W271" s="63">
        <f t="shared" si="97"/>
        <v>0</v>
      </c>
      <c r="X271" s="63"/>
      <c r="Y271" s="63"/>
      <c r="Z271" s="63"/>
      <c r="AA271" s="63"/>
      <c r="AB271" s="63"/>
      <c r="AE271" s="8">
        <v>1</v>
      </c>
      <c r="AT271" t="str">
        <f t="shared" si="94"/>
        <v>Chesterville</v>
      </c>
      <c r="AU271" t="s">
        <v>1138</v>
      </c>
      <c r="AV271">
        <v>2</v>
      </c>
      <c r="AX271" s="114">
        <v>23</v>
      </c>
      <c r="AY271" s="116">
        <v>7</v>
      </c>
      <c r="AZ271" s="116">
        <v>15</v>
      </c>
      <c r="BA271" s="120">
        <v>12595</v>
      </c>
      <c r="BB271" s="120">
        <f t="shared" si="95"/>
        <v>23007</v>
      </c>
      <c r="BC271" t="s">
        <v>1472</v>
      </c>
      <c r="BD271">
        <f t="shared" si="96"/>
        <v>2312595</v>
      </c>
      <c r="BE271" s="1">
        <v>18</v>
      </c>
      <c r="BI271">
        <v>37.630000000000003</v>
      </c>
      <c r="BJ271">
        <v>1.17</v>
      </c>
      <c r="BK271">
        <v>36.46</v>
      </c>
      <c r="BS271" s="63">
        <v>0</v>
      </c>
      <c r="CK271" s="1" t="s">
        <v>3830</v>
      </c>
    </row>
    <row r="272" spans="1:89" hidden="1" outlineLevel="1">
      <c r="A272" t="s">
        <v>2801</v>
      </c>
      <c r="B272" s="8" t="s">
        <v>1697</v>
      </c>
      <c r="C272" s="1">
        <f t="shared" si="86"/>
        <v>2450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 t="shared" si="87"/>
        <v>6</v>
      </c>
      <c r="G272" s="1">
        <f t="shared" si="88"/>
        <v>428</v>
      </c>
      <c r="H272" s="2">
        <f t="shared" si="89"/>
        <v>0.17469387755102042</v>
      </c>
      <c r="I272" s="6"/>
      <c r="J272" s="2">
        <f t="shared" si="90"/>
        <v>0.37510204081632653</v>
      </c>
      <c r="K272" s="2">
        <f t="shared" si="91"/>
        <v>0.54979591836734698</v>
      </c>
      <c r="L272" s="2">
        <f t="shared" si="92"/>
        <v>1.2244897959183673E-3</v>
      </c>
      <c r="M272" s="2">
        <f t="shared" si="93"/>
        <v>7.3877551020408064E-2</v>
      </c>
      <c r="N272" s="63">
        <v>919</v>
      </c>
      <c r="O272" s="63">
        <v>1347</v>
      </c>
      <c r="P272" s="63">
        <v>3</v>
      </c>
      <c r="Q272" s="63">
        <v>135</v>
      </c>
      <c r="R272" s="63">
        <v>42</v>
      </c>
      <c r="S272" s="63">
        <v>4</v>
      </c>
      <c r="T272" s="67"/>
      <c r="U272" s="63"/>
      <c r="V272" s="63"/>
      <c r="W272" s="63">
        <f t="shared" si="97"/>
        <v>0</v>
      </c>
      <c r="X272" s="63"/>
      <c r="Y272" s="63"/>
      <c r="Z272" s="63"/>
      <c r="AA272" s="63"/>
      <c r="AB272" s="63"/>
      <c r="AE272" s="8">
        <v>0</v>
      </c>
      <c r="AT272" t="str">
        <f t="shared" si="94"/>
        <v>China</v>
      </c>
      <c r="AU272" t="s">
        <v>3007</v>
      </c>
      <c r="AV272">
        <v>1</v>
      </c>
      <c r="AX272" s="114">
        <v>23</v>
      </c>
      <c r="AY272" s="116">
        <v>11</v>
      </c>
      <c r="AZ272" s="116">
        <v>30</v>
      </c>
      <c r="BA272" s="120">
        <v>12735</v>
      </c>
      <c r="BB272" s="120">
        <f t="shared" si="95"/>
        <v>23011</v>
      </c>
      <c r="BC272" t="s">
        <v>1472</v>
      </c>
      <c r="BD272">
        <f t="shared" si="96"/>
        <v>2312735</v>
      </c>
      <c r="BE272" s="1">
        <v>66</v>
      </c>
      <c r="BI272">
        <v>56.77</v>
      </c>
      <c r="BJ272">
        <v>6.93</v>
      </c>
      <c r="BK272">
        <v>49.85</v>
      </c>
      <c r="BS272" s="63">
        <v>0</v>
      </c>
      <c r="CK272" s="1" t="s">
        <v>3831</v>
      </c>
    </row>
    <row r="273" spans="1:89" hidden="1" outlineLevel="1">
      <c r="A273" t="s">
        <v>1013</v>
      </c>
      <c r="B273" s="8" t="s">
        <v>1697</v>
      </c>
      <c r="C273" s="1">
        <f t="shared" si="86"/>
        <v>506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 t="shared" si="87"/>
        <v>5</v>
      </c>
      <c r="G273" s="1">
        <f t="shared" si="88"/>
        <v>123</v>
      </c>
      <c r="H273" s="2">
        <f t="shared" si="89"/>
        <v>0.24308300395256918</v>
      </c>
      <c r="I273" s="6"/>
      <c r="J273" s="2">
        <f t="shared" si="90"/>
        <v>0.33596837944664032</v>
      </c>
      <c r="K273" s="2">
        <f t="shared" si="91"/>
        <v>0.57905138339920947</v>
      </c>
      <c r="L273" s="2">
        <f t="shared" si="92"/>
        <v>1.976284584980237E-3</v>
      </c>
      <c r="M273" s="2">
        <f t="shared" si="93"/>
        <v>8.3003952569169911E-2</v>
      </c>
      <c r="N273" s="63">
        <v>170</v>
      </c>
      <c r="O273" s="63">
        <v>293</v>
      </c>
      <c r="P273" s="63">
        <v>1</v>
      </c>
      <c r="Q273" s="63">
        <v>30</v>
      </c>
      <c r="R273" s="63">
        <v>11</v>
      </c>
      <c r="S273" s="63">
        <v>1</v>
      </c>
      <c r="T273" s="67"/>
      <c r="U273" s="63"/>
      <c r="V273" s="63"/>
      <c r="W273" s="63">
        <f t="shared" si="97"/>
        <v>0</v>
      </c>
      <c r="X273" s="63"/>
      <c r="Y273" s="63"/>
      <c r="Z273" s="63"/>
      <c r="AA273" s="63"/>
      <c r="AB273" s="63"/>
      <c r="AE273" s="8">
        <v>0</v>
      </c>
      <c r="AT273" t="str">
        <f t="shared" si="94"/>
        <v>Clifton</v>
      </c>
      <c r="AU273" t="s">
        <v>2481</v>
      </c>
      <c r="AV273">
        <v>2</v>
      </c>
      <c r="AX273" s="114">
        <v>23</v>
      </c>
      <c r="AY273" s="116">
        <v>19</v>
      </c>
      <c r="AZ273" s="116">
        <v>55</v>
      </c>
      <c r="BA273" s="120">
        <v>13365</v>
      </c>
      <c r="BB273" s="120">
        <f t="shared" si="95"/>
        <v>23019</v>
      </c>
      <c r="BC273" t="s">
        <v>1472</v>
      </c>
      <c r="BD273">
        <f t="shared" si="96"/>
        <v>2313365</v>
      </c>
      <c r="BE273" s="1">
        <v>12</v>
      </c>
      <c r="BI273">
        <v>35.82</v>
      </c>
      <c r="BJ273">
        <v>1.43</v>
      </c>
      <c r="BK273">
        <v>34.39</v>
      </c>
      <c r="BS273" s="63">
        <v>0</v>
      </c>
      <c r="CK273" s="1" t="s">
        <v>3832</v>
      </c>
    </row>
    <row r="274" spans="1:89" hidden="1" outlineLevel="1">
      <c r="A274" t="s">
        <v>1285</v>
      </c>
      <c r="B274" s="8" t="s">
        <v>1697</v>
      </c>
      <c r="C274" s="1">
        <f t="shared" si="86"/>
        <v>1648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 t="shared" si="87"/>
        <v>0</v>
      </c>
      <c r="G274" s="1">
        <f t="shared" si="88"/>
        <v>491</v>
      </c>
      <c r="H274" s="2">
        <f t="shared" si="89"/>
        <v>0.2979368932038835</v>
      </c>
      <c r="I274" s="6"/>
      <c r="J274" s="2">
        <f t="shared" si="90"/>
        <v>0.31614077669902912</v>
      </c>
      <c r="K274" s="2">
        <f t="shared" si="91"/>
        <v>0.61407766990291257</v>
      </c>
      <c r="L274" s="2">
        <f t="shared" si="92"/>
        <v>0</v>
      </c>
      <c r="M274" s="2">
        <f t="shared" si="93"/>
        <v>6.9781553398058249E-2</v>
      </c>
      <c r="N274" s="63">
        <v>521</v>
      </c>
      <c r="O274" s="63">
        <v>1012</v>
      </c>
      <c r="P274" s="63">
        <v>0</v>
      </c>
      <c r="Q274" s="63">
        <v>86</v>
      </c>
      <c r="R274" s="63">
        <v>29</v>
      </c>
      <c r="S274" s="63">
        <v>0</v>
      </c>
      <c r="T274" s="67"/>
      <c r="U274" s="63"/>
      <c r="V274" s="63"/>
      <c r="W274" s="63">
        <f t="shared" si="97"/>
        <v>0</v>
      </c>
      <c r="X274" s="63"/>
      <c r="Y274" s="63"/>
      <c r="Z274" s="63"/>
      <c r="AA274" s="63"/>
      <c r="AB274" s="63"/>
      <c r="AE274" s="8">
        <v>0</v>
      </c>
      <c r="AT274" t="str">
        <f t="shared" si="94"/>
        <v>Clinton</v>
      </c>
      <c r="AU274" t="s">
        <v>3007</v>
      </c>
      <c r="AV274">
        <v>2</v>
      </c>
      <c r="AX274" s="114">
        <v>23</v>
      </c>
      <c r="AY274" s="116">
        <v>11</v>
      </c>
      <c r="AZ274" s="116">
        <v>35</v>
      </c>
      <c r="BA274" s="120">
        <v>13470</v>
      </c>
      <c r="BB274" s="120">
        <f t="shared" si="95"/>
        <v>23011</v>
      </c>
      <c r="BC274" t="s">
        <v>1472</v>
      </c>
      <c r="BD274">
        <f t="shared" si="96"/>
        <v>2313470</v>
      </c>
      <c r="BE274" s="1">
        <v>59</v>
      </c>
      <c r="BI274">
        <v>44.83</v>
      </c>
      <c r="BJ274">
        <v>0.95</v>
      </c>
      <c r="BK274">
        <v>43.89</v>
      </c>
      <c r="BS274" s="63">
        <v>0</v>
      </c>
      <c r="CK274" s="1" t="s">
        <v>3833</v>
      </c>
    </row>
    <row r="275" spans="1:89" hidden="1" outlineLevel="1">
      <c r="A275" t="s">
        <v>1496</v>
      </c>
      <c r="B275" s="8" t="s">
        <v>1697</v>
      </c>
      <c r="C275" s="1">
        <f t="shared" si="86"/>
        <v>210</v>
      </c>
      <c r="D275" s="5">
        <f>IF(N275&gt;0, RANK(N275,(N275:P275,Q275:AE275)),0)</f>
        <v>2</v>
      </c>
      <c r="E275" s="5">
        <f>IF(O275&gt;0,RANK(O275,(N275:P275,Q275:AE275)),0)</f>
        <v>1</v>
      </c>
      <c r="F275" s="5">
        <f t="shared" si="87"/>
        <v>5</v>
      </c>
      <c r="G275" s="1">
        <f t="shared" si="88"/>
        <v>108</v>
      </c>
      <c r="H275" s="2">
        <f t="shared" si="89"/>
        <v>0.51428571428571423</v>
      </c>
      <c r="I275" s="6"/>
      <c r="J275" s="2">
        <f t="shared" si="90"/>
        <v>0.20476190476190476</v>
      </c>
      <c r="K275" s="2">
        <f t="shared" si="91"/>
        <v>0.71904761904761905</v>
      </c>
      <c r="L275" s="2">
        <f t="shared" si="92"/>
        <v>1.4285714285714285E-2</v>
      </c>
      <c r="M275" s="2">
        <f t="shared" si="93"/>
        <v>6.1904761904761969E-2</v>
      </c>
      <c r="N275" s="63">
        <v>43</v>
      </c>
      <c r="O275" s="63">
        <v>151</v>
      </c>
      <c r="P275" s="63">
        <v>3</v>
      </c>
      <c r="Q275" s="63">
        <v>9</v>
      </c>
      <c r="R275" s="63">
        <v>4</v>
      </c>
      <c r="S275" s="63">
        <v>0</v>
      </c>
      <c r="T275" s="67"/>
      <c r="U275" s="63"/>
      <c r="V275" s="63"/>
      <c r="W275" s="63">
        <f t="shared" si="97"/>
        <v>0</v>
      </c>
      <c r="X275" s="63"/>
      <c r="Y275" s="63"/>
      <c r="Z275" s="63"/>
      <c r="AA275" s="63"/>
      <c r="AB275" s="63"/>
      <c r="AE275" s="8">
        <v>0</v>
      </c>
      <c r="AT275" t="str">
        <f t="shared" si="94"/>
        <v>Columbia</v>
      </c>
      <c r="AU275" t="s">
        <v>692</v>
      </c>
      <c r="AV275">
        <v>2</v>
      </c>
      <c r="AX275" s="114">
        <v>23</v>
      </c>
      <c r="AY275" s="116">
        <v>29</v>
      </c>
      <c r="AZ275" s="116">
        <v>55</v>
      </c>
      <c r="BA275" s="120">
        <v>13750</v>
      </c>
      <c r="BB275" s="120">
        <f t="shared" si="95"/>
        <v>23029</v>
      </c>
      <c r="BC275" t="s">
        <v>1472</v>
      </c>
      <c r="BD275">
        <f t="shared" si="96"/>
        <v>2313750</v>
      </c>
      <c r="BE275" s="1">
        <v>10</v>
      </c>
      <c r="BI275">
        <v>36.270000000000003</v>
      </c>
      <c r="BJ275">
        <v>0.27</v>
      </c>
      <c r="BK275">
        <v>36</v>
      </c>
      <c r="BS275" s="63">
        <v>0</v>
      </c>
      <c r="CK275" s="1" t="s">
        <v>3834</v>
      </c>
    </row>
    <row r="276" spans="1:89" hidden="1" outlineLevel="1">
      <c r="A276" t="s">
        <v>1594</v>
      </c>
      <c r="B276" s="8" t="s">
        <v>1697</v>
      </c>
      <c r="C276" s="1">
        <f t="shared" si="86"/>
        <v>293</v>
      </c>
      <c r="D276" s="5">
        <f>IF(N276&gt;0, RANK(N276,(N276:P276,Q276:AE276)),0)</f>
        <v>2</v>
      </c>
      <c r="E276" s="5">
        <f>IF(O276&gt;0,RANK(O276,(N276:P276,Q276:AE276)),0)</f>
        <v>1</v>
      </c>
      <c r="F276" s="5">
        <f t="shared" si="87"/>
        <v>0</v>
      </c>
      <c r="G276" s="1">
        <f t="shared" si="88"/>
        <v>108</v>
      </c>
      <c r="H276" s="2">
        <f t="shared" si="89"/>
        <v>0.36860068259385664</v>
      </c>
      <c r="I276" s="6"/>
      <c r="J276" s="2">
        <f t="shared" si="90"/>
        <v>0.27986348122866894</v>
      </c>
      <c r="K276" s="2">
        <f t="shared" si="91"/>
        <v>0.64846416382252559</v>
      </c>
      <c r="L276" s="2">
        <f t="shared" si="92"/>
        <v>0</v>
      </c>
      <c r="M276" s="2">
        <f t="shared" si="93"/>
        <v>7.1672354948805528E-2</v>
      </c>
      <c r="N276" s="63">
        <v>82</v>
      </c>
      <c r="O276" s="63">
        <v>190</v>
      </c>
      <c r="P276" s="63">
        <v>0</v>
      </c>
      <c r="Q276" s="63">
        <v>14</v>
      </c>
      <c r="R276" s="63">
        <v>7</v>
      </c>
      <c r="S276" s="63">
        <v>0</v>
      </c>
      <c r="T276" s="67"/>
      <c r="U276" s="63"/>
      <c r="V276" s="63"/>
      <c r="W276" s="63">
        <f t="shared" si="97"/>
        <v>0</v>
      </c>
      <c r="X276" s="63"/>
      <c r="Y276" s="63"/>
      <c r="Z276" s="63"/>
      <c r="AA276" s="63"/>
      <c r="AB276" s="63"/>
      <c r="AE276" s="8">
        <v>0</v>
      </c>
      <c r="AT276" t="str">
        <f t="shared" si="94"/>
        <v>Columbia Falls</v>
      </c>
      <c r="AU276" t="s">
        <v>692</v>
      </c>
      <c r="AV276">
        <v>2</v>
      </c>
      <c r="AX276" s="114">
        <v>23</v>
      </c>
      <c r="AY276" s="116">
        <v>29</v>
      </c>
      <c r="AZ276" s="116">
        <v>60</v>
      </c>
      <c r="BA276" s="120">
        <v>13820</v>
      </c>
      <c r="BB276" s="120">
        <f t="shared" si="95"/>
        <v>23029</v>
      </c>
      <c r="BC276" t="s">
        <v>1472</v>
      </c>
      <c r="BD276">
        <f t="shared" si="96"/>
        <v>2313820</v>
      </c>
      <c r="BE276" s="1">
        <v>9</v>
      </c>
      <c r="BI276">
        <v>24.66</v>
      </c>
      <c r="BJ276">
        <v>0.14000000000000001</v>
      </c>
      <c r="BK276">
        <v>24.53</v>
      </c>
      <c r="BS276" s="63">
        <v>0</v>
      </c>
      <c r="CK276" s="158" t="s">
        <v>3835</v>
      </c>
    </row>
    <row r="277" spans="1:89" hidden="1" outlineLevel="1">
      <c r="A277" t="s">
        <v>2695</v>
      </c>
      <c r="B277" s="8" t="s">
        <v>1697</v>
      </c>
      <c r="C277" s="1">
        <f t="shared" si="86"/>
        <v>3</v>
      </c>
      <c r="D277" s="5">
        <f>IF(N277&gt;0, RANK(N277,(N277:P277,Q277:AE277)),0)</f>
        <v>0</v>
      </c>
      <c r="E277" s="5">
        <f>IF(O277&gt;0,RANK(O277,(N277:P277,Q277:AE277)),0)</f>
        <v>1</v>
      </c>
      <c r="F277" s="5">
        <f t="shared" si="87"/>
        <v>0</v>
      </c>
      <c r="G277" s="1">
        <f t="shared" si="88"/>
        <v>3</v>
      </c>
      <c r="H277" s="2">
        <f t="shared" si="89"/>
        <v>1</v>
      </c>
      <c r="I277" s="6"/>
      <c r="J277" s="2">
        <f t="shared" si="90"/>
        <v>0</v>
      </c>
      <c r="K277" s="2">
        <f t="shared" si="91"/>
        <v>1</v>
      </c>
      <c r="L277" s="2">
        <f t="shared" si="92"/>
        <v>0</v>
      </c>
      <c r="M277" s="2">
        <f t="shared" si="93"/>
        <v>0</v>
      </c>
      <c r="N277" s="63">
        <v>0</v>
      </c>
      <c r="O277" s="63">
        <v>3</v>
      </c>
      <c r="P277" s="63">
        <v>0</v>
      </c>
      <c r="Q277" s="63">
        <v>0</v>
      </c>
      <c r="R277" s="63">
        <v>0</v>
      </c>
      <c r="S277" s="63">
        <v>0</v>
      </c>
      <c r="T277" s="67"/>
      <c r="U277" s="63"/>
      <c r="V277" s="63"/>
      <c r="W277" s="63">
        <f t="shared" si="97"/>
        <v>0</v>
      </c>
      <c r="X277" s="63"/>
      <c r="Y277" s="63"/>
      <c r="Z277" s="63"/>
      <c r="AA277" s="63"/>
      <c r="AB277" s="63"/>
      <c r="AE277" s="8">
        <v>0</v>
      </c>
      <c r="AT277" t="str">
        <f t="shared" si="94"/>
        <v>Concord</v>
      </c>
      <c r="AU277" t="s">
        <v>1787</v>
      </c>
      <c r="AV277">
        <v>2</v>
      </c>
      <c r="AX277" s="114">
        <v>23</v>
      </c>
      <c r="AY277" s="116">
        <v>25</v>
      </c>
      <c r="BA277" s="142">
        <v>13870</v>
      </c>
      <c r="BB277" s="120">
        <f t="shared" si="95"/>
        <v>23025</v>
      </c>
      <c r="BC277" s="120" t="s">
        <v>957</v>
      </c>
      <c r="BD277">
        <f t="shared" si="96"/>
        <v>2313870</v>
      </c>
      <c r="BE277" s="1">
        <v>0</v>
      </c>
      <c r="BS277" s="63">
        <v>0</v>
      </c>
      <c r="CK277" s="1" t="s">
        <v>3836</v>
      </c>
    </row>
    <row r="278" spans="1:89" hidden="1" outlineLevel="1">
      <c r="A278" t="s">
        <v>658</v>
      </c>
      <c r="B278" s="8" t="s">
        <v>1697</v>
      </c>
      <c r="C278" s="1">
        <f t="shared" si="86"/>
        <v>0</v>
      </c>
      <c r="D278" s="5">
        <f>IF(N278&gt;0, RANK(N278,(N278:P278,Q278:AE278)),0)</f>
        <v>0</v>
      </c>
      <c r="E278" s="5">
        <f>IF(O278&gt;0,RANK(O278,(N278:P278,Q278:AE278)),0)</f>
        <v>0</v>
      </c>
      <c r="F278" s="5">
        <f t="shared" si="87"/>
        <v>0</v>
      </c>
      <c r="G278" s="1">
        <f t="shared" si="88"/>
        <v>0</v>
      </c>
      <c r="H278" s="2">
        <f t="shared" si="89"/>
        <v>0</v>
      </c>
      <c r="I278" s="6"/>
      <c r="J278" s="2" t="str">
        <f t="shared" si="90"/>
        <v>-</v>
      </c>
      <c r="K278" s="2" t="str">
        <f t="shared" si="91"/>
        <v>-</v>
      </c>
      <c r="L278" s="2" t="str">
        <f t="shared" si="92"/>
        <v>-</v>
      </c>
      <c r="M278" s="2" t="str">
        <f t="shared" si="93"/>
        <v>-</v>
      </c>
      <c r="N278" s="63"/>
      <c r="O278" s="63"/>
      <c r="P278" s="63"/>
      <c r="Q278" s="63"/>
      <c r="R278" s="63"/>
      <c r="S278" s="63"/>
      <c r="T278" s="67"/>
      <c r="U278" s="63"/>
      <c r="V278" s="63"/>
      <c r="W278" s="63">
        <f t="shared" si="97"/>
        <v>0</v>
      </c>
      <c r="X278" s="63"/>
      <c r="Y278" s="63"/>
      <c r="Z278" s="63"/>
      <c r="AA278" s="63"/>
      <c r="AB278" s="63"/>
      <c r="AT278" t="str">
        <f t="shared" si="94"/>
        <v>Connor</v>
      </c>
      <c r="AU278" t="s">
        <v>2830</v>
      </c>
      <c r="AV278">
        <v>2</v>
      </c>
      <c r="AX278" s="114">
        <v>23</v>
      </c>
      <c r="AY278" s="116">
        <v>3</v>
      </c>
      <c r="AZ278" s="116">
        <v>63</v>
      </c>
      <c r="BA278" s="120">
        <v>13900</v>
      </c>
      <c r="BB278" s="120">
        <f t="shared" si="95"/>
        <v>23003</v>
      </c>
      <c r="BC278" t="s">
        <v>957</v>
      </c>
      <c r="BD278">
        <f t="shared" si="96"/>
        <v>2313900</v>
      </c>
      <c r="BI278">
        <v>39.51</v>
      </c>
      <c r="BJ278">
        <v>0.09</v>
      </c>
      <c r="BK278">
        <v>39.43</v>
      </c>
      <c r="BS278" s="63"/>
      <c r="CK278" s="1"/>
    </row>
    <row r="279" spans="1:89" hidden="1" outlineLevel="1">
      <c r="A279" t="s">
        <v>1874</v>
      </c>
      <c r="B279" s="8" t="s">
        <v>1697</v>
      </c>
      <c r="C279" s="1">
        <f t="shared" si="86"/>
        <v>93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 t="shared" si="87"/>
        <v>0</v>
      </c>
      <c r="G279" s="1">
        <f t="shared" si="88"/>
        <v>22</v>
      </c>
      <c r="H279" s="2">
        <f t="shared" si="89"/>
        <v>0.23655913978494625</v>
      </c>
      <c r="I279" s="6"/>
      <c r="J279" s="2">
        <f t="shared" si="90"/>
        <v>0.35483870967741937</v>
      </c>
      <c r="K279" s="2">
        <f t="shared" si="91"/>
        <v>0.59139784946236562</v>
      </c>
      <c r="L279" s="2">
        <f t="shared" si="92"/>
        <v>0</v>
      </c>
      <c r="M279" s="2">
        <f t="shared" si="93"/>
        <v>5.3763440860215006E-2</v>
      </c>
      <c r="N279" s="63">
        <v>33</v>
      </c>
      <c r="O279" s="63">
        <v>55</v>
      </c>
      <c r="P279" s="63">
        <v>0</v>
      </c>
      <c r="Q279" s="63">
        <v>3</v>
      </c>
      <c r="R279" s="63">
        <v>2</v>
      </c>
      <c r="S279" s="63">
        <v>0</v>
      </c>
      <c r="T279" s="67"/>
      <c r="U279" s="63"/>
      <c r="V279" s="63"/>
      <c r="W279" s="63">
        <f t="shared" si="97"/>
        <v>0</v>
      </c>
      <c r="X279" s="63"/>
      <c r="Y279" s="63"/>
      <c r="Z279" s="63"/>
      <c r="AA279" s="63"/>
      <c r="AB279" s="63"/>
      <c r="AE279" s="8">
        <v>0</v>
      </c>
      <c r="AT279" t="str">
        <f t="shared" si="94"/>
        <v>Cooper</v>
      </c>
      <c r="AU279" t="s">
        <v>692</v>
      </c>
      <c r="AV279">
        <v>2</v>
      </c>
      <c r="AX279" s="114">
        <v>23</v>
      </c>
      <c r="AY279" s="116">
        <v>29</v>
      </c>
      <c r="AZ279" s="116">
        <v>65</v>
      </c>
      <c r="BA279" s="120">
        <v>14100</v>
      </c>
      <c r="BB279" s="120">
        <f t="shared" si="95"/>
        <v>23029</v>
      </c>
      <c r="BC279" t="s">
        <v>1472</v>
      </c>
      <c r="BD279">
        <f t="shared" si="96"/>
        <v>2314100</v>
      </c>
      <c r="BE279" s="1">
        <v>2</v>
      </c>
      <c r="BI279">
        <v>32.909999999999997</v>
      </c>
      <c r="BJ279">
        <v>1.79</v>
      </c>
      <c r="BK279">
        <v>31.11</v>
      </c>
      <c r="BS279" s="63">
        <v>0</v>
      </c>
      <c r="CK279" s="1" t="s">
        <v>3837</v>
      </c>
    </row>
    <row r="280" spans="1:89" hidden="1" outlineLevel="1">
      <c r="A280" t="s">
        <v>85</v>
      </c>
      <c r="B280" s="8" t="s">
        <v>1697</v>
      </c>
      <c r="C280" s="1">
        <f t="shared" si="86"/>
        <v>96</v>
      </c>
      <c r="D280" s="5">
        <f>IF(N280&gt;0, RANK(N280,(N280:P280,Q280:AE280)),0)</f>
        <v>2</v>
      </c>
      <c r="E280" s="5">
        <f>IF(O280&gt;0,RANK(O280,(N280:P280,Q280:AE280)),0)</f>
        <v>1</v>
      </c>
      <c r="F280" s="5">
        <f t="shared" si="87"/>
        <v>0</v>
      </c>
      <c r="G280" s="1">
        <f t="shared" si="88"/>
        <v>6</v>
      </c>
      <c r="H280" s="2">
        <f t="shared" si="89"/>
        <v>6.25E-2</v>
      </c>
      <c r="I280" s="6"/>
      <c r="J280" s="2">
        <f t="shared" si="90"/>
        <v>0.39583333333333331</v>
      </c>
      <c r="K280" s="2">
        <f t="shared" si="91"/>
        <v>0.45833333333333331</v>
      </c>
      <c r="L280" s="2">
        <f t="shared" si="92"/>
        <v>0</v>
      </c>
      <c r="M280" s="2">
        <f t="shared" si="93"/>
        <v>0.14583333333333343</v>
      </c>
      <c r="N280" s="63">
        <v>38</v>
      </c>
      <c r="O280" s="63">
        <v>44</v>
      </c>
      <c r="P280" s="63">
        <v>0</v>
      </c>
      <c r="Q280" s="63">
        <v>11</v>
      </c>
      <c r="R280" s="63">
        <v>3</v>
      </c>
      <c r="S280" s="63">
        <v>0</v>
      </c>
      <c r="T280" s="67"/>
      <c r="U280" s="63"/>
      <c r="V280" s="63"/>
      <c r="W280" s="63">
        <f t="shared" si="97"/>
        <v>0</v>
      </c>
      <c r="X280" s="63"/>
      <c r="Y280" s="63"/>
      <c r="Z280" s="63"/>
      <c r="AA280" s="63"/>
      <c r="AB280" s="63"/>
      <c r="AE280" s="8">
        <v>0</v>
      </c>
      <c r="AT280" t="str">
        <f t="shared" si="94"/>
        <v>Coplin</v>
      </c>
      <c r="AU280" t="s">
        <v>1138</v>
      </c>
      <c r="AV280">
        <v>2</v>
      </c>
      <c r="AX280" s="114">
        <v>23</v>
      </c>
      <c r="AY280" s="116">
        <v>7</v>
      </c>
      <c r="AZ280" s="116">
        <v>20</v>
      </c>
      <c r="BA280" s="120">
        <v>14205</v>
      </c>
      <c r="BB280" s="120">
        <f t="shared" si="95"/>
        <v>23007</v>
      </c>
      <c r="BC280" t="s">
        <v>3075</v>
      </c>
      <c r="BD280">
        <f t="shared" si="96"/>
        <v>2314205</v>
      </c>
      <c r="BE280" s="1">
        <v>7</v>
      </c>
      <c r="BI280">
        <v>33.06</v>
      </c>
      <c r="BJ280">
        <v>0</v>
      </c>
      <c r="BK280">
        <v>33.06</v>
      </c>
      <c r="BS280" s="63">
        <v>0</v>
      </c>
      <c r="CK280" s="1" t="s">
        <v>3838</v>
      </c>
    </row>
    <row r="281" spans="1:89" hidden="1" outlineLevel="1">
      <c r="A281" t="s">
        <v>2998</v>
      </c>
      <c r="B281" s="8" t="s">
        <v>1697</v>
      </c>
      <c r="C281" s="1">
        <f t="shared" si="86"/>
        <v>1130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 t="shared" si="87"/>
        <v>5</v>
      </c>
      <c r="G281" s="1">
        <f t="shared" si="88"/>
        <v>434</v>
      </c>
      <c r="H281" s="2">
        <f t="shared" si="89"/>
        <v>0.384070796460177</v>
      </c>
      <c r="I281" s="6"/>
      <c r="J281" s="2">
        <f t="shared" si="90"/>
        <v>0.26902654867256637</v>
      </c>
      <c r="K281" s="2">
        <f t="shared" si="91"/>
        <v>0.65309734513274331</v>
      </c>
      <c r="L281" s="2">
        <f t="shared" si="92"/>
        <v>4.4247787610619468E-3</v>
      </c>
      <c r="M281" s="2">
        <f t="shared" si="93"/>
        <v>7.3451327433628366E-2</v>
      </c>
      <c r="N281" s="63">
        <v>304</v>
      </c>
      <c r="O281" s="63">
        <v>738</v>
      </c>
      <c r="P281" s="63">
        <v>5</v>
      </c>
      <c r="Q281" s="63">
        <v>61</v>
      </c>
      <c r="R281" s="63">
        <v>22</v>
      </c>
      <c r="S281" s="63">
        <v>0</v>
      </c>
      <c r="T281" s="67"/>
      <c r="U281" s="63"/>
      <c r="V281" s="63"/>
      <c r="W281" s="63">
        <f t="shared" si="97"/>
        <v>0</v>
      </c>
      <c r="X281" s="63"/>
      <c r="Y281" s="63"/>
      <c r="Z281" s="63"/>
      <c r="AA281" s="63"/>
      <c r="AB281" s="63"/>
      <c r="AE281" s="8">
        <v>0</v>
      </c>
      <c r="AT281" t="str">
        <f t="shared" si="94"/>
        <v>Corinna</v>
      </c>
      <c r="AU281" t="s">
        <v>2481</v>
      </c>
      <c r="AV281">
        <v>2</v>
      </c>
      <c r="AX281" s="114">
        <v>23</v>
      </c>
      <c r="AY281" s="116">
        <v>19</v>
      </c>
      <c r="AZ281" s="116">
        <v>60</v>
      </c>
      <c r="BA281" s="120">
        <v>14310</v>
      </c>
      <c r="BB281" s="120">
        <f t="shared" si="95"/>
        <v>23019</v>
      </c>
      <c r="BC281" t="s">
        <v>1472</v>
      </c>
      <c r="BD281">
        <f t="shared" si="96"/>
        <v>2314310</v>
      </c>
      <c r="BE281" s="1">
        <v>31</v>
      </c>
      <c r="BI281">
        <v>39.44</v>
      </c>
      <c r="BJ281">
        <v>0.78</v>
      </c>
      <c r="BK281">
        <v>38.659999999999997</v>
      </c>
      <c r="BS281" s="63">
        <v>0</v>
      </c>
      <c r="CK281" s="1" t="s">
        <v>3839</v>
      </c>
    </row>
    <row r="282" spans="1:89" hidden="1" outlineLevel="1">
      <c r="A282" t="s">
        <v>2152</v>
      </c>
      <c r="B282" s="8" t="s">
        <v>1697</v>
      </c>
      <c r="C282" s="1">
        <f t="shared" si="86"/>
        <v>1500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 t="shared" si="87"/>
        <v>5</v>
      </c>
      <c r="G282" s="1">
        <f t="shared" si="88"/>
        <v>689</v>
      </c>
      <c r="H282" s="2">
        <f t="shared" si="89"/>
        <v>0.45933333333333332</v>
      </c>
      <c r="I282" s="6"/>
      <c r="J282" s="2">
        <f t="shared" si="90"/>
        <v>0.24533333333333332</v>
      </c>
      <c r="K282" s="2">
        <f t="shared" si="91"/>
        <v>0.70466666666666666</v>
      </c>
      <c r="L282" s="2">
        <f t="shared" si="92"/>
        <v>4.0000000000000001E-3</v>
      </c>
      <c r="M282" s="2">
        <f t="shared" si="93"/>
        <v>4.6000000000000041E-2</v>
      </c>
      <c r="N282" s="63">
        <v>368</v>
      </c>
      <c r="O282" s="63">
        <v>1057</v>
      </c>
      <c r="P282" s="63">
        <v>6</v>
      </c>
      <c r="Q282" s="63">
        <v>60</v>
      </c>
      <c r="R282" s="63">
        <v>9</v>
      </c>
      <c r="S282" s="63">
        <v>0</v>
      </c>
      <c r="T282" s="67"/>
      <c r="U282" s="63"/>
      <c r="V282" s="63"/>
      <c r="W282" s="63">
        <f t="shared" si="97"/>
        <v>0</v>
      </c>
      <c r="X282" s="63"/>
      <c r="Y282" s="63"/>
      <c r="Z282" s="63"/>
      <c r="AA282" s="63"/>
      <c r="AB282" s="63"/>
      <c r="AE282" s="8">
        <v>0</v>
      </c>
      <c r="AT282" t="str">
        <f t="shared" si="94"/>
        <v>Corinth</v>
      </c>
      <c r="AU282" t="s">
        <v>2481</v>
      </c>
      <c r="AV282">
        <v>2</v>
      </c>
      <c r="AX282" s="114">
        <v>23</v>
      </c>
      <c r="AY282" s="116">
        <v>19</v>
      </c>
      <c r="AZ282" s="116">
        <v>65</v>
      </c>
      <c r="BA282" s="120">
        <v>14380</v>
      </c>
      <c r="BB282" s="120">
        <f t="shared" si="95"/>
        <v>23019</v>
      </c>
      <c r="BC282" t="s">
        <v>1472</v>
      </c>
      <c r="BD282">
        <f t="shared" si="96"/>
        <v>2314380</v>
      </c>
      <c r="BE282" s="1">
        <v>31</v>
      </c>
      <c r="BI282">
        <v>40.15</v>
      </c>
      <c r="BJ282">
        <v>0</v>
      </c>
      <c r="BK282">
        <v>40.15</v>
      </c>
      <c r="BS282" s="63">
        <v>0</v>
      </c>
      <c r="CK282" s="1" t="s">
        <v>3840</v>
      </c>
    </row>
    <row r="283" spans="1:89" hidden="1" outlineLevel="1">
      <c r="A283" t="s">
        <v>1160</v>
      </c>
      <c r="B283" s="8" t="s">
        <v>1697</v>
      </c>
      <c r="C283" s="1">
        <f t="shared" si="86"/>
        <v>811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 t="shared" si="87"/>
        <v>0</v>
      </c>
      <c r="G283" s="1">
        <f t="shared" si="88"/>
        <v>65</v>
      </c>
      <c r="H283" s="2">
        <f t="shared" si="89"/>
        <v>8.0147965474722568E-2</v>
      </c>
      <c r="I283" s="6"/>
      <c r="J283" s="2">
        <f t="shared" si="90"/>
        <v>0.40937114673242908</v>
      </c>
      <c r="K283" s="2">
        <f t="shared" si="91"/>
        <v>0.48951911220715166</v>
      </c>
      <c r="L283" s="2">
        <f t="shared" si="92"/>
        <v>0</v>
      </c>
      <c r="M283" s="2">
        <f t="shared" si="93"/>
        <v>0.10110974106041931</v>
      </c>
      <c r="N283" s="63">
        <v>332</v>
      </c>
      <c r="O283" s="63">
        <v>397</v>
      </c>
      <c r="P283" s="63">
        <v>0</v>
      </c>
      <c r="Q283" s="63">
        <v>64</v>
      </c>
      <c r="R283" s="63">
        <v>18</v>
      </c>
      <c r="S283" s="63">
        <v>0</v>
      </c>
      <c r="T283" s="67"/>
      <c r="U283" s="63"/>
      <c r="V283" s="63"/>
      <c r="W283" s="63">
        <f t="shared" si="97"/>
        <v>0</v>
      </c>
      <c r="X283" s="63"/>
      <c r="Y283" s="63"/>
      <c r="Z283" s="63"/>
      <c r="AA283" s="63"/>
      <c r="AB283" s="63"/>
      <c r="AE283" s="8">
        <v>0</v>
      </c>
      <c r="AT283" t="str">
        <f t="shared" si="94"/>
        <v>Cornish</v>
      </c>
      <c r="AU283" t="s">
        <v>925</v>
      </c>
      <c r="AV283">
        <v>1</v>
      </c>
      <c r="AX283" s="114">
        <v>23</v>
      </c>
      <c r="AY283" s="116">
        <v>31</v>
      </c>
      <c r="AZ283" s="116">
        <v>35</v>
      </c>
      <c r="BA283" s="120">
        <v>14485</v>
      </c>
      <c r="BB283" s="120">
        <f t="shared" si="95"/>
        <v>23031</v>
      </c>
      <c r="BC283" t="s">
        <v>1472</v>
      </c>
      <c r="BD283">
        <f t="shared" si="96"/>
        <v>2314485</v>
      </c>
      <c r="BE283" s="1">
        <v>25</v>
      </c>
      <c r="BI283">
        <v>22.28</v>
      </c>
      <c r="BJ283">
        <v>0.18</v>
      </c>
      <c r="BK283">
        <v>22.1</v>
      </c>
      <c r="BS283" s="63">
        <v>0</v>
      </c>
      <c r="CK283" s="1" t="s">
        <v>3841</v>
      </c>
    </row>
    <row r="284" spans="1:89" hidden="1" outlineLevel="1">
      <c r="A284" t="s">
        <v>2105</v>
      </c>
      <c r="B284" s="8" t="s">
        <v>1697</v>
      </c>
      <c r="C284" s="1">
        <f t="shared" si="86"/>
        <v>713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 t="shared" si="87"/>
        <v>0</v>
      </c>
      <c r="G284" s="1">
        <f t="shared" si="88"/>
        <v>159</v>
      </c>
      <c r="H284" s="2">
        <f t="shared" si="89"/>
        <v>0.22300140252454417</v>
      </c>
      <c r="I284" s="6"/>
      <c r="J284" s="2">
        <f t="shared" si="90"/>
        <v>0.35203366058906033</v>
      </c>
      <c r="K284" s="2">
        <f t="shared" si="91"/>
        <v>0.57503506311360453</v>
      </c>
      <c r="L284" s="2">
        <f t="shared" si="92"/>
        <v>0</v>
      </c>
      <c r="M284" s="2">
        <f t="shared" si="93"/>
        <v>7.293127629733509E-2</v>
      </c>
      <c r="N284" s="63">
        <v>251</v>
      </c>
      <c r="O284" s="63">
        <v>410</v>
      </c>
      <c r="P284" s="63">
        <v>0</v>
      </c>
      <c r="Q284" s="63">
        <v>36</v>
      </c>
      <c r="R284" s="63">
        <v>16</v>
      </c>
      <c r="S284" s="63">
        <v>0</v>
      </c>
      <c r="T284" s="67"/>
      <c r="U284" s="63"/>
      <c r="V284" s="63"/>
      <c r="W284" s="63">
        <f t="shared" si="97"/>
        <v>0</v>
      </c>
      <c r="X284" s="63"/>
      <c r="Y284" s="63"/>
      <c r="Z284" s="63"/>
      <c r="AA284" s="63"/>
      <c r="AB284" s="63"/>
      <c r="AE284" s="8">
        <v>0</v>
      </c>
      <c r="AT284" t="str">
        <f t="shared" si="94"/>
        <v>Cornville</v>
      </c>
      <c r="AU284" t="s">
        <v>1787</v>
      </c>
      <c r="AV284">
        <v>2</v>
      </c>
      <c r="AX284" s="114">
        <v>23</v>
      </c>
      <c r="AY284" s="116">
        <v>25</v>
      </c>
      <c r="AZ284" s="116">
        <v>40</v>
      </c>
      <c r="BA284" s="120">
        <v>14555</v>
      </c>
      <c r="BB284" s="120">
        <f t="shared" si="95"/>
        <v>23025</v>
      </c>
      <c r="BC284" t="s">
        <v>1472</v>
      </c>
      <c r="BD284">
        <f t="shared" si="96"/>
        <v>2314555</v>
      </c>
      <c r="BE284" s="1">
        <v>19</v>
      </c>
      <c r="BI284">
        <v>40.65</v>
      </c>
      <c r="BJ284">
        <v>0.21</v>
      </c>
      <c r="BK284">
        <v>40.450000000000003</v>
      </c>
      <c r="BS284" s="63">
        <v>0</v>
      </c>
      <c r="CK284" s="1" t="s">
        <v>3842</v>
      </c>
    </row>
    <row r="285" spans="1:89" hidden="1" outlineLevel="1">
      <c r="A285" t="s">
        <v>2557</v>
      </c>
      <c r="B285" s="8" t="s">
        <v>1697</v>
      </c>
      <c r="C285" s="1">
        <f t="shared" si="86"/>
        <v>151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 t="shared" si="87"/>
        <v>0</v>
      </c>
      <c r="G285" s="1">
        <f t="shared" si="88"/>
        <v>59</v>
      </c>
      <c r="H285" s="2">
        <f t="shared" si="89"/>
        <v>0.39072847682119205</v>
      </c>
      <c r="I285" s="6"/>
      <c r="J285" s="2">
        <f t="shared" si="90"/>
        <v>0.66225165562913912</v>
      </c>
      <c r="K285" s="2">
        <f t="shared" si="91"/>
        <v>0.27152317880794702</v>
      </c>
      <c r="L285" s="2">
        <f t="shared" si="92"/>
        <v>0</v>
      </c>
      <c r="M285" s="2">
        <f t="shared" si="93"/>
        <v>6.6225165562913857E-2</v>
      </c>
      <c r="N285" s="63">
        <v>100</v>
      </c>
      <c r="O285" s="63">
        <v>41</v>
      </c>
      <c r="P285" s="63">
        <v>0</v>
      </c>
      <c r="Q285" s="63">
        <v>6</v>
      </c>
      <c r="R285" s="63">
        <v>4</v>
      </c>
      <c r="S285" s="63">
        <v>0</v>
      </c>
      <c r="T285" s="67"/>
      <c r="U285" s="63"/>
      <c r="V285" s="63"/>
      <c r="W285" s="63">
        <f t="shared" si="97"/>
        <v>0</v>
      </c>
      <c r="X285" s="63"/>
      <c r="Y285" s="63"/>
      <c r="Z285" s="63"/>
      <c r="AA285" s="63"/>
      <c r="AB285" s="63"/>
      <c r="AE285" s="8">
        <v>0</v>
      </c>
      <c r="AT285" t="str">
        <f t="shared" si="94"/>
        <v>Cranberry Isles</v>
      </c>
      <c r="AU285" t="s">
        <v>597</v>
      </c>
      <c r="AV285">
        <v>2</v>
      </c>
      <c r="AX285" s="114">
        <v>23</v>
      </c>
      <c r="AY285" s="116">
        <v>9</v>
      </c>
      <c r="AZ285" s="116">
        <v>45</v>
      </c>
      <c r="BA285" s="120">
        <v>14905</v>
      </c>
      <c r="BB285" s="120">
        <f t="shared" si="95"/>
        <v>23009</v>
      </c>
      <c r="BC285" t="s">
        <v>1472</v>
      </c>
      <c r="BD285">
        <f t="shared" si="96"/>
        <v>2314905</v>
      </c>
      <c r="BE285" s="1">
        <v>2</v>
      </c>
      <c r="BI285">
        <v>42.41</v>
      </c>
      <c r="BJ285">
        <v>39.229999999999997</v>
      </c>
      <c r="BK285">
        <v>3.17</v>
      </c>
      <c r="BS285" s="63">
        <v>0</v>
      </c>
      <c r="CK285" s="1" t="s">
        <v>3843</v>
      </c>
    </row>
    <row r="286" spans="1:89" hidden="1" outlineLevel="1">
      <c r="A286" t="s">
        <v>1875</v>
      </c>
      <c r="B286" s="8" t="s">
        <v>1697</v>
      </c>
      <c r="C286" s="1">
        <f t="shared" si="86"/>
        <v>72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 t="shared" si="87"/>
        <v>0</v>
      </c>
      <c r="G286" s="1">
        <f t="shared" si="88"/>
        <v>27</v>
      </c>
      <c r="H286" s="2">
        <f t="shared" si="89"/>
        <v>0.375</v>
      </c>
      <c r="I286" s="6"/>
      <c r="J286" s="2">
        <f t="shared" si="90"/>
        <v>0.29166666666666669</v>
      </c>
      <c r="K286" s="2">
        <f t="shared" si="91"/>
        <v>0.66666666666666663</v>
      </c>
      <c r="L286" s="2">
        <f t="shared" si="92"/>
        <v>0</v>
      </c>
      <c r="M286" s="2">
        <f t="shared" si="93"/>
        <v>4.166666666666663E-2</v>
      </c>
      <c r="N286" s="63">
        <v>21</v>
      </c>
      <c r="O286" s="63">
        <v>48</v>
      </c>
      <c r="P286" s="63">
        <v>0</v>
      </c>
      <c r="Q286" s="63">
        <v>2</v>
      </c>
      <c r="R286" s="63">
        <v>1</v>
      </c>
      <c r="S286" s="63">
        <v>0</v>
      </c>
      <c r="T286" s="67"/>
      <c r="U286" s="63"/>
      <c r="V286" s="63"/>
      <c r="W286" s="63">
        <f t="shared" si="97"/>
        <v>0</v>
      </c>
      <c r="X286" s="63"/>
      <c r="Y286" s="63"/>
      <c r="Z286" s="63"/>
      <c r="AA286" s="63"/>
      <c r="AB286" s="63"/>
      <c r="AE286" s="8">
        <v>0</v>
      </c>
      <c r="AT286" t="str">
        <f t="shared" si="94"/>
        <v>Crawford</v>
      </c>
      <c r="AU286" t="s">
        <v>692</v>
      </c>
      <c r="AV286">
        <v>2</v>
      </c>
      <c r="AX286" s="114">
        <v>23</v>
      </c>
      <c r="AY286" s="116">
        <v>29</v>
      </c>
      <c r="AZ286" s="116">
        <v>70</v>
      </c>
      <c r="BA286" s="120">
        <v>14940</v>
      </c>
      <c r="BB286" s="120">
        <f t="shared" si="95"/>
        <v>23029</v>
      </c>
      <c r="BC286" t="s">
        <v>1472</v>
      </c>
      <c r="BD286">
        <f t="shared" si="96"/>
        <v>2314940</v>
      </c>
      <c r="BE286" s="1">
        <v>1</v>
      </c>
      <c r="BI286">
        <v>37.68</v>
      </c>
      <c r="BJ286">
        <v>3.09</v>
      </c>
      <c r="BK286">
        <v>34.590000000000003</v>
      </c>
      <c r="BS286" s="63">
        <v>0</v>
      </c>
      <c r="CK286" s="1" t="s">
        <v>3844</v>
      </c>
    </row>
    <row r="287" spans="1:89" hidden="1" outlineLevel="1">
      <c r="A287" t="s">
        <v>2502</v>
      </c>
      <c r="B287" s="8" t="s">
        <v>1697</v>
      </c>
      <c r="C287" s="1">
        <f t="shared" si="86"/>
        <v>1</v>
      </c>
      <c r="D287" s="5">
        <f>IF(N287&gt;0, RANK(N287,(N287:P287,Q287:AE287)),0)</f>
        <v>1</v>
      </c>
      <c r="E287" s="5">
        <f>IF(O287&gt;0,RANK(O287,(N287:P287,Q287:AE287)),0)</f>
        <v>0</v>
      </c>
      <c r="F287" s="5">
        <f t="shared" si="87"/>
        <v>0</v>
      </c>
      <c r="G287" s="1">
        <f t="shared" si="88"/>
        <v>1</v>
      </c>
      <c r="H287" s="2">
        <f t="shared" si="89"/>
        <v>1</v>
      </c>
      <c r="I287" s="6"/>
      <c r="J287" s="2">
        <f t="shared" si="90"/>
        <v>1</v>
      </c>
      <c r="K287" s="2">
        <f t="shared" si="91"/>
        <v>0</v>
      </c>
      <c r="L287" s="2">
        <f t="shared" si="92"/>
        <v>0</v>
      </c>
      <c r="M287" s="2">
        <f t="shared" si="93"/>
        <v>0</v>
      </c>
      <c r="N287" s="63">
        <v>1</v>
      </c>
      <c r="O287" s="63">
        <v>0</v>
      </c>
      <c r="P287" s="63">
        <v>0</v>
      </c>
      <c r="Q287" s="63">
        <v>0</v>
      </c>
      <c r="R287" s="63">
        <v>0</v>
      </c>
      <c r="S287" s="63">
        <v>0</v>
      </c>
      <c r="T287" s="67"/>
      <c r="U287" s="63"/>
      <c r="V287" s="63"/>
      <c r="W287" s="63">
        <f t="shared" si="97"/>
        <v>0</v>
      </c>
      <c r="X287" s="63"/>
      <c r="Y287" s="63"/>
      <c r="Z287" s="63"/>
      <c r="AA287" s="63"/>
      <c r="AB287" s="63"/>
      <c r="AE287" s="8">
        <v>0</v>
      </c>
      <c r="AT287" t="str">
        <f t="shared" si="94"/>
        <v>Criehaven</v>
      </c>
      <c r="AU287" t="s">
        <v>1729</v>
      </c>
      <c r="AV287">
        <v>1</v>
      </c>
      <c r="AX287" s="114">
        <v>23</v>
      </c>
      <c r="AY287" s="116">
        <v>13</v>
      </c>
      <c r="BA287" s="120">
        <v>15125</v>
      </c>
      <c r="BB287" s="120">
        <f t="shared" si="95"/>
        <v>23013</v>
      </c>
      <c r="BC287" t="s">
        <v>957</v>
      </c>
      <c r="BD287">
        <f t="shared" si="96"/>
        <v>2315125</v>
      </c>
      <c r="BE287" s="1">
        <v>0</v>
      </c>
      <c r="BS287" s="63">
        <v>0</v>
      </c>
      <c r="CK287" s="1" t="s">
        <v>3845</v>
      </c>
    </row>
    <row r="288" spans="1:89" hidden="1" outlineLevel="1">
      <c r="A288" t="s">
        <v>3717</v>
      </c>
      <c r="B288" s="8" t="s">
        <v>1697</v>
      </c>
      <c r="C288" s="1">
        <f>SUM(N288:AR288)</f>
        <v>119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 t="shared" si="87"/>
        <v>0</v>
      </c>
      <c r="G288" s="1">
        <f t="shared" si="88"/>
        <v>2</v>
      </c>
      <c r="H288" s="2">
        <f t="shared" si="89"/>
        <v>1.680672268907563E-2</v>
      </c>
      <c r="I288" s="6"/>
      <c r="J288" s="2">
        <f t="shared" si="90"/>
        <v>0.44537815126050423</v>
      </c>
      <c r="K288" s="2">
        <f t="shared" si="91"/>
        <v>0.46218487394957986</v>
      </c>
      <c r="L288" s="2">
        <f t="shared" si="92"/>
        <v>0</v>
      </c>
      <c r="M288" s="2">
        <f t="shared" si="93"/>
        <v>9.2436974789915971E-2</v>
      </c>
      <c r="N288" s="63">
        <v>53</v>
      </c>
      <c r="O288" s="63">
        <v>55</v>
      </c>
      <c r="P288" s="63">
        <v>0</v>
      </c>
      <c r="Q288" s="63">
        <v>9</v>
      </c>
      <c r="R288" s="63">
        <v>2</v>
      </c>
      <c r="S288" s="63">
        <v>0</v>
      </c>
      <c r="T288" s="67"/>
      <c r="U288" s="63"/>
      <c r="V288" s="63"/>
      <c r="W288" s="63">
        <f t="shared" si="97"/>
        <v>0</v>
      </c>
      <c r="X288" s="63"/>
      <c r="Y288" s="63"/>
      <c r="Z288" s="63"/>
      <c r="AA288" s="63"/>
      <c r="AB288" s="63"/>
      <c r="AE288" s="8">
        <v>0</v>
      </c>
      <c r="AT288" t="str">
        <f t="shared" si="94"/>
        <v>Cross Lake (T17 R5)</v>
      </c>
      <c r="AU288" t="s">
        <v>2830</v>
      </c>
      <c r="AV288">
        <v>2</v>
      </c>
      <c r="AX288" s="114">
        <v>23</v>
      </c>
      <c r="AY288" s="116">
        <v>3</v>
      </c>
      <c r="BA288" s="142">
        <v>75625</v>
      </c>
      <c r="BB288" s="120">
        <f t="shared" si="95"/>
        <v>23003</v>
      </c>
      <c r="BC288" t="s">
        <v>957</v>
      </c>
      <c r="BD288">
        <f t="shared" si="96"/>
        <v>2375625</v>
      </c>
      <c r="BE288" s="1">
        <v>2</v>
      </c>
      <c r="BS288" s="63">
        <v>0</v>
      </c>
      <c r="CK288" s="1" t="s">
        <v>3846</v>
      </c>
    </row>
    <row r="289" spans="1:89" hidden="1" outlineLevel="1">
      <c r="A289" t="s">
        <v>2390</v>
      </c>
      <c r="B289" s="8" t="s">
        <v>1697</v>
      </c>
      <c r="C289" s="1">
        <f t="shared" si="86"/>
        <v>146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 t="shared" si="87"/>
        <v>0</v>
      </c>
      <c r="G289" s="1">
        <f t="shared" si="88"/>
        <v>69</v>
      </c>
      <c r="H289" s="2">
        <f t="shared" si="89"/>
        <v>0.4726027397260274</v>
      </c>
      <c r="I289" s="6"/>
      <c r="J289" s="2">
        <f t="shared" si="90"/>
        <v>0.22602739726027396</v>
      </c>
      <c r="K289" s="2">
        <f t="shared" si="91"/>
        <v>0.69863013698630139</v>
      </c>
      <c r="L289" s="2">
        <f t="shared" si="92"/>
        <v>0</v>
      </c>
      <c r="M289" s="2">
        <f t="shared" si="93"/>
        <v>7.5342465753424626E-2</v>
      </c>
      <c r="N289" s="63">
        <v>33</v>
      </c>
      <c r="O289" s="63">
        <v>102</v>
      </c>
      <c r="P289" s="63">
        <v>0</v>
      </c>
      <c r="Q289" s="63">
        <v>8</v>
      </c>
      <c r="R289" s="63">
        <v>3</v>
      </c>
      <c r="S289" s="63">
        <v>0</v>
      </c>
      <c r="T289" s="67"/>
      <c r="U289" s="63"/>
      <c r="V289" s="63"/>
      <c r="W289" s="63">
        <f t="shared" si="97"/>
        <v>0</v>
      </c>
      <c r="X289" s="63"/>
      <c r="Y289" s="63"/>
      <c r="Z289" s="63"/>
      <c r="AA289" s="63"/>
      <c r="AB289" s="63"/>
      <c r="AE289" s="8">
        <v>0</v>
      </c>
      <c r="AT289" t="str">
        <f t="shared" si="94"/>
        <v>Crystal</v>
      </c>
      <c r="AU289" t="s">
        <v>2830</v>
      </c>
      <c r="AV289">
        <v>2</v>
      </c>
      <c r="AX289" s="114">
        <v>23</v>
      </c>
      <c r="AY289" s="116">
        <v>3</v>
      </c>
      <c r="AZ289" s="116">
        <v>65</v>
      </c>
      <c r="BA289" s="120">
        <v>15395</v>
      </c>
      <c r="BB289" s="120">
        <f t="shared" si="95"/>
        <v>23003</v>
      </c>
      <c r="BC289" t="s">
        <v>1472</v>
      </c>
      <c r="BD289">
        <f t="shared" si="96"/>
        <v>2315395</v>
      </c>
      <c r="BE289" s="1">
        <v>3</v>
      </c>
      <c r="BI289">
        <v>40.159999999999997</v>
      </c>
      <c r="BJ289">
        <v>0.03</v>
      </c>
      <c r="BK289">
        <v>40.130000000000003</v>
      </c>
      <c r="BS289" s="63">
        <v>0</v>
      </c>
      <c r="CK289" s="1" t="s">
        <v>3847</v>
      </c>
    </row>
    <row r="290" spans="1:89" hidden="1" outlineLevel="1">
      <c r="A290" t="s">
        <v>1531</v>
      </c>
      <c r="B290" s="8" t="s">
        <v>1697</v>
      </c>
      <c r="C290" s="1">
        <f t="shared" si="86"/>
        <v>5305</v>
      </c>
      <c r="D290" s="5">
        <f>IF(N290&gt;0, RANK(N290,(N290:P290,Q290:AE290)),0)</f>
        <v>1</v>
      </c>
      <c r="E290" s="5">
        <f>IF(O290&gt;0,RANK(O290,(N290:P290,Q290:AE290)),0)</f>
        <v>2</v>
      </c>
      <c r="F290" s="5">
        <f t="shared" si="87"/>
        <v>5</v>
      </c>
      <c r="G290" s="1">
        <f t="shared" si="88"/>
        <v>1429</v>
      </c>
      <c r="H290" s="2">
        <f t="shared" si="89"/>
        <v>0.26936852026390196</v>
      </c>
      <c r="I290" s="6"/>
      <c r="J290" s="2">
        <f t="shared" si="90"/>
        <v>0.60018850141376057</v>
      </c>
      <c r="K290" s="2">
        <f t="shared" si="91"/>
        <v>0.33081998114985861</v>
      </c>
      <c r="L290" s="2">
        <f t="shared" si="92"/>
        <v>5.2780395852968899E-3</v>
      </c>
      <c r="M290" s="2">
        <f t="shared" si="93"/>
        <v>6.371347785108393E-2</v>
      </c>
      <c r="N290" s="63">
        <v>3184</v>
      </c>
      <c r="O290" s="63">
        <v>1755</v>
      </c>
      <c r="P290" s="63">
        <v>28</v>
      </c>
      <c r="Q290" s="63">
        <v>283</v>
      </c>
      <c r="R290" s="63">
        <v>55</v>
      </c>
      <c r="S290" s="63">
        <v>0</v>
      </c>
      <c r="T290" s="67"/>
      <c r="U290" s="63"/>
      <c r="V290" s="63"/>
      <c r="W290" s="63">
        <f t="shared" si="97"/>
        <v>0</v>
      </c>
      <c r="X290" s="63"/>
      <c r="Y290" s="63"/>
      <c r="Z290" s="63"/>
      <c r="AA290" s="63"/>
      <c r="AB290" s="63"/>
      <c r="AE290" s="8">
        <v>0</v>
      </c>
      <c r="AT290" t="str">
        <f t="shared" si="94"/>
        <v>Cumberland</v>
      </c>
      <c r="AU290" t="s">
        <v>1531</v>
      </c>
      <c r="AV290">
        <v>1</v>
      </c>
      <c r="AX290" s="114">
        <v>23</v>
      </c>
      <c r="AY290" s="116">
        <v>5</v>
      </c>
      <c r="AZ290" s="116">
        <v>30</v>
      </c>
      <c r="BA290" s="120">
        <v>15430</v>
      </c>
      <c r="BB290" s="120">
        <f t="shared" si="95"/>
        <v>23005</v>
      </c>
      <c r="BC290" t="s">
        <v>1472</v>
      </c>
      <c r="BD290">
        <f t="shared" si="96"/>
        <v>2315430</v>
      </c>
      <c r="BE290" s="1">
        <v>200</v>
      </c>
      <c r="BI290">
        <v>46.37</v>
      </c>
      <c r="BJ290">
        <v>20.3</v>
      </c>
      <c r="BK290">
        <v>26.07</v>
      </c>
      <c r="BS290" s="63">
        <v>0</v>
      </c>
      <c r="CK290" s="1" t="s">
        <v>3848</v>
      </c>
    </row>
    <row r="291" spans="1:89" hidden="1" outlineLevel="1">
      <c r="A291" t="s">
        <v>2391</v>
      </c>
      <c r="B291" s="8" t="s">
        <v>1697</v>
      </c>
      <c r="C291" s="1">
        <f t="shared" si="86"/>
        <v>860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 t="shared" si="87"/>
        <v>0</v>
      </c>
      <c r="G291" s="1">
        <f t="shared" si="88"/>
        <v>68</v>
      </c>
      <c r="H291" s="2">
        <f t="shared" si="89"/>
        <v>7.9069767441860464E-2</v>
      </c>
      <c r="I291" s="6"/>
      <c r="J291" s="2">
        <f t="shared" si="90"/>
        <v>0.4325581395348837</v>
      </c>
      <c r="K291" s="2">
        <f t="shared" si="91"/>
        <v>0.51162790697674421</v>
      </c>
      <c r="L291" s="2">
        <f t="shared" si="92"/>
        <v>0</v>
      </c>
      <c r="M291" s="2">
        <f t="shared" si="93"/>
        <v>5.5813953488372148E-2</v>
      </c>
      <c r="N291" s="63">
        <v>372</v>
      </c>
      <c r="O291" s="63">
        <v>440</v>
      </c>
      <c r="P291" s="63">
        <v>0</v>
      </c>
      <c r="Q291" s="63">
        <v>34</v>
      </c>
      <c r="R291" s="63">
        <v>12</v>
      </c>
      <c r="S291" s="63">
        <v>2</v>
      </c>
      <c r="T291" s="67"/>
      <c r="U291" s="63"/>
      <c r="V291" s="63"/>
      <c r="W291" s="63">
        <f t="shared" si="97"/>
        <v>0</v>
      </c>
      <c r="X291" s="63"/>
      <c r="Y291" s="63"/>
      <c r="Z291" s="63"/>
      <c r="AA291" s="63"/>
      <c r="AB291" s="63"/>
      <c r="AE291" s="8">
        <v>0</v>
      </c>
      <c r="AT291" t="str">
        <f t="shared" si="94"/>
        <v>Cushing</v>
      </c>
      <c r="AU291" t="s">
        <v>1729</v>
      </c>
      <c r="AV291">
        <v>1</v>
      </c>
      <c r="AX291" s="114">
        <v>23</v>
      </c>
      <c r="AY291" s="116">
        <v>13</v>
      </c>
      <c r="AZ291" s="116">
        <v>15</v>
      </c>
      <c r="BA291" s="120">
        <v>15780</v>
      </c>
      <c r="BB291" s="120">
        <f t="shared" si="95"/>
        <v>23013</v>
      </c>
      <c r="BC291" t="s">
        <v>1472</v>
      </c>
      <c r="BD291">
        <f t="shared" si="96"/>
        <v>2315780</v>
      </c>
      <c r="BE291" s="1">
        <v>22</v>
      </c>
      <c r="BI291">
        <v>26.11</v>
      </c>
      <c r="BJ291">
        <v>6.72</v>
      </c>
      <c r="BK291">
        <v>19.399999999999999</v>
      </c>
      <c r="BS291" s="63">
        <v>0</v>
      </c>
      <c r="CK291" s="1" t="s">
        <v>3849</v>
      </c>
    </row>
    <row r="292" spans="1:89" hidden="1" outlineLevel="1">
      <c r="A292" t="s">
        <v>2034</v>
      </c>
      <c r="B292" s="8" t="s">
        <v>1697</v>
      </c>
      <c r="C292" s="1">
        <f t="shared" si="86"/>
        <v>285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 t="shared" si="87"/>
        <v>0</v>
      </c>
      <c r="G292" s="1">
        <f t="shared" si="88"/>
        <v>132</v>
      </c>
      <c r="H292" s="2">
        <f t="shared" si="89"/>
        <v>0.4631578947368421</v>
      </c>
      <c r="I292" s="6"/>
      <c r="J292" s="2">
        <f t="shared" si="90"/>
        <v>0.24561403508771928</v>
      </c>
      <c r="K292" s="2">
        <f t="shared" si="91"/>
        <v>0.70877192982456139</v>
      </c>
      <c r="L292" s="2">
        <f t="shared" si="92"/>
        <v>0</v>
      </c>
      <c r="M292" s="2">
        <f t="shared" si="93"/>
        <v>4.5614035087719329E-2</v>
      </c>
      <c r="N292" s="63">
        <v>70</v>
      </c>
      <c r="O292" s="63">
        <v>202</v>
      </c>
      <c r="P292" s="63">
        <v>0</v>
      </c>
      <c r="Q292" s="63">
        <v>7</v>
      </c>
      <c r="R292" s="63">
        <v>6</v>
      </c>
      <c r="S292" s="63">
        <v>0</v>
      </c>
      <c r="T292" s="67"/>
      <c r="U292" s="63"/>
      <c r="V292" s="63"/>
      <c r="W292" s="63">
        <f t="shared" si="97"/>
        <v>0</v>
      </c>
      <c r="X292" s="63"/>
      <c r="Y292" s="63"/>
      <c r="Z292" s="63"/>
      <c r="AA292" s="63"/>
      <c r="AB292" s="63"/>
      <c r="AE292" s="8">
        <v>0</v>
      </c>
      <c r="AT292" t="str">
        <f t="shared" si="94"/>
        <v>Cutler</v>
      </c>
      <c r="AU292" t="s">
        <v>692</v>
      </c>
      <c r="AV292">
        <v>2</v>
      </c>
      <c r="AX292" s="114">
        <v>23</v>
      </c>
      <c r="AY292" s="116">
        <v>29</v>
      </c>
      <c r="AZ292" s="116">
        <v>75</v>
      </c>
      <c r="BA292" s="120">
        <v>15920</v>
      </c>
      <c r="BB292" s="120">
        <f t="shared" si="95"/>
        <v>23029</v>
      </c>
      <c r="BC292" t="s">
        <v>1472</v>
      </c>
      <c r="BD292">
        <f t="shared" si="96"/>
        <v>2315920</v>
      </c>
      <c r="BE292" s="1">
        <v>12</v>
      </c>
      <c r="BI292">
        <v>116.34</v>
      </c>
      <c r="BJ292">
        <v>69.34</v>
      </c>
      <c r="BK292">
        <v>47</v>
      </c>
      <c r="BS292" s="63">
        <v>0</v>
      </c>
      <c r="CK292" s="1" t="s">
        <v>3850</v>
      </c>
    </row>
    <row r="293" spans="1:89" hidden="1" outlineLevel="1">
      <c r="A293" t="s">
        <v>337</v>
      </c>
      <c r="B293" s="8" t="s">
        <v>1697</v>
      </c>
      <c r="C293" s="1">
        <f t="shared" si="86"/>
        <v>51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 t="shared" si="87"/>
        <v>0</v>
      </c>
      <c r="G293" s="1">
        <f t="shared" si="88"/>
        <v>6</v>
      </c>
      <c r="H293" s="2">
        <f t="shared" si="89"/>
        <v>0.11764705882352941</v>
      </c>
      <c r="I293" s="6"/>
      <c r="J293" s="2">
        <f t="shared" si="90"/>
        <v>0.43137254901960786</v>
      </c>
      <c r="K293" s="2">
        <f t="shared" si="91"/>
        <v>0.5490196078431373</v>
      </c>
      <c r="L293" s="2">
        <f t="shared" si="92"/>
        <v>0</v>
      </c>
      <c r="M293" s="2">
        <f t="shared" si="93"/>
        <v>1.9607843137254832E-2</v>
      </c>
      <c r="N293" s="63">
        <v>22</v>
      </c>
      <c r="O293" s="63">
        <v>28</v>
      </c>
      <c r="P293" s="63">
        <v>0</v>
      </c>
      <c r="Q293" s="63">
        <v>1</v>
      </c>
      <c r="R293" s="63">
        <v>0</v>
      </c>
      <c r="S293" s="63">
        <v>0</v>
      </c>
      <c r="T293" s="67"/>
      <c r="U293" s="63"/>
      <c r="V293" s="63"/>
      <c r="W293" s="63">
        <f t="shared" si="97"/>
        <v>0</v>
      </c>
      <c r="X293" s="63"/>
      <c r="Y293" s="63"/>
      <c r="Z293" s="63"/>
      <c r="AA293" s="63"/>
      <c r="AB293" s="63"/>
      <c r="AE293" s="8">
        <v>0</v>
      </c>
      <c r="AT293" t="str">
        <f t="shared" si="94"/>
        <v>Cyr</v>
      </c>
      <c r="AU293" t="s">
        <v>2830</v>
      </c>
      <c r="AV293">
        <v>2</v>
      </c>
      <c r="AX293" s="114">
        <v>23</v>
      </c>
      <c r="AY293" s="116">
        <v>3</v>
      </c>
      <c r="AZ293" s="116">
        <v>70</v>
      </c>
      <c r="BA293" s="120">
        <v>15990</v>
      </c>
      <c r="BB293" s="120">
        <f t="shared" si="95"/>
        <v>23003</v>
      </c>
      <c r="BC293" t="s">
        <v>3075</v>
      </c>
      <c r="BD293">
        <f t="shared" si="96"/>
        <v>2315990</v>
      </c>
      <c r="BE293" s="1">
        <v>2</v>
      </c>
      <c r="BI293">
        <v>38.43</v>
      </c>
      <c r="BJ293">
        <v>0</v>
      </c>
      <c r="BK293">
        <v>38.43</v>
      </c>
      <c r="BS293" s="63">
        <v>0</v>
      </c>
      <c r="CK293" s="1" t="s">
        <v>3851</v>
      </c>
    </row>
    <row r="294" spans="1:89" hidden="1" outlineLevel="1">
      <c r="A294" t="s">
        <v>1086</v>
      </c>
      <c r="B294" s="8" t="s">
        <v>1697</v>
      </c>
      <c r="C294" s="1">
        <f t="shared" si="86"/>
        <v>204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 t="shared" si="87"/>
        <v>5</v>
      </c>
      <c r="G294" s="1">
        <f t="shared" si="88"/>
        <v>2</v>
      </c>
      <c r="H294" s="2">
        <f t="shared" si="89"/>
        <v>9.8039215686274508E-3</v>
      </c>
      <c r="I294" s="6"/>
      <c r="J294" s="2">
        <f t="shared" si="90"/>
        <v>0.44117647058823528</v>
      </c>
      <c r="K294" s="2">
        <f t="shared" si="91"/>
        <v>0.45098039215686275</v>
      </c>
      <c r="L294" s="2">
        <f t="shared" si="92"/>
        <v>1.4705882352941176E-2</v>
      </c>
      <c r="M294" s="2">
        <f t="shared" si="93"/>
        <v>9.3137254901960786E-2</v>
      </c>
      <c r="N294" s="63">
        <v>90</v>
      </c>
      <c r="O294" s="63">
        <v>92</v>
      </c>
      <c r="P294" s="63">
        <v>3</v>
      </c>
      <c r="Q294" s="63">
        <v>15</v>
      </c>
      <c r="R294" s="63">
        <v>4</v>
      </c>
      <c r="S294" s="63">
        <v>0</v>
      </c>
      <c r="T294" s="67"/>
      <c r="U294" s="63"/>
      <c r="V294" s="63"/>
      <c r="W294" s="63">
        <f t="shared" si="97"/>
        <v>0</v>
      </c>
      <c r="X294" s="63"/>
      <c r="Y294" s="63"/>
      <c r="Z294" s="63"/>
      <c r="AA294" s="63"/>
      <c r="AB294" s="63"/>
      <c r="AE294" s="8">
        <v>0</v>
      </c>
      <c r="AT294" t="str">
        <f t="shared" si="94"/>
        <v>Dallas</v>
      </c>
      <c r="AU294" t="s">
        <v>1138</v>
      </c>
      <c r="AV294">
        <v>2</v>
      </c>
      <c r="AX294" s="114">
        <v>23</v>
      </c>
      <c r="AY294" s="116">
        <v>7</v>
      </c>
      <c r="AZ294" s="116">
        <v>25</v>
      </c>
      <c r="BA294" s="120">
        <v>16165</v>
      </c>
      <c r="BB294" s="120">
        <f t="shared" si="95"/>
        <v>23007</v>
      </c>
      <c r="BC294" t="s">
        <v>3075</v>
      </c>
      <c r="BD294">
        <f t="shared" si="96"/>
        <v>2316165</v>
      </c>
      <c r="BE294" s="1">
        <v>3</v>
      </c>
      <c r="BI294">
        <v>40.44</v>
      </c>
      <c r="BJ294">
        <v>1.4</v>
      </c>
      <c r="BK294">
        <v>39.04</v>
      </c>
      <c r="BS294" s="63">
        <v>0</v>
      </c>
      <c r="CK294" s="1" t="s">
        <v>3852</v>
      </c>
    </row>
    <row r="295" spans="1:89" hidden="1" outlineLevel="1">
      <c r="A295" t="s">
        <v>1700</v>
      </c>
      <c r="B295" s="8" t="s">
        <v>1697</v>
      </c>
      <c r="C295" s="1">
        <f t="shared" si="86"/>
        <v>1314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 t="shared" si="87"/>
        <v>0</v>
      </c>
      <c r="G295" s="1">
        <f t="shared" si="88"/>
        <v>313</v>
      </c>
      <c r="H295" s="2">
        <f t="shared" si="89"/>
        <v>0.23820395738203956</v>
      </c>
      <c r="I295" s="6"/>
      <c r="J295" s="2">
        <f t="shared" si="90"/>
        <v>0.58371385083713856</v>
      </c>
      <c r="K295" s="2">
        <f t="shared" si="91"/>
        <v>0.34550989345509892</v>
      </c>
      <c r="L295" s="2">
        <f t="shared" si="92"/>
        <v>0</v>
      </c>
      <c r="M295" s="2">
        <f t="shared" si="93"/>
        <v>7.0776255707762525E-2</v>
      </c>
      <c r="N295" s="63">
        <v>767</v>
      </c>
      <c r="O295" s="63">
        <v>454</v>
      </c>
      <c r="P295" s="63">
        <v>0</v>
      </c>
      <c r="Q295" s="63">
        <v>70</v>
      </c>
      <c r="R295" s="63">
        <v>23</v>
      </c>
      <c r="S295" s="63">
        <v>0</v>
      </c>
      <c r="T295" s="67"/>
      <c r="U295" s="63"/>
      <c r="V295" s="63"/>
      <c r="W295" s="63">
        <f t="shared" si="97"/>
        <v>0</v>
      </c>
      <c r="X295" s="63"/>
      <c r="Y295" s="63"/>
      <c r="Z295" s="63"/>
      <c r="AA295" s="63"/>
      <c r="AB295" s="63"/>
      <c r="AE295" s="8">
        <v>0</v>
      </c>
      <c r="AT295" t="str">
        <f t="shared" si="94"/>
        <v>Damariscotta</v>
      </c>
      <c r="AU295" t="s">
        <v>1597</v>
      </c>
      <c r="AV295">
        <v>1</v>
      </c>
      <c r="AX295" s="114">
        <v>23</v>
      </c>
      <c r="AY295" s="116">
        <v>15</v>
      </c>
      <c r="AZ295" s="116">
        <v>30</v>
      </c>
      <c r="BA295" s="120">
        <v>16235</v>
      </c>
      <c r="BB295" s="120">
        <f t="shared" si="95"/>
        <v>23015</v>
      </c>
      <c r="BC295" t="s">
        <v>1472</v>
      </c>
      <c r="BD295">
        <f t="shared" si="96"/>
        <v>2316235</v>
      </c>
      <c r="BE295" s="1">
        <v>58</v>
      </c>
      <c r="BI295">
        <v>14.59</v>
      </c>
      <c r="BJ295">
        <v>2.17</v>
      </c>
      <c r="BK295">
        <v>12.42</v>
      </c>
      <c r="BS295" s="63">
        <v>0</v>
      </c>
      <c r="CK295" s="159" t="s">
        <v>3853</v>
      </c>
    </row>
    <row r="296" spans="1:89" hidden="1" outlineLevel="1">
      <c r="A296" t="s">
        <v>1569</v>
      </c>
      <c r="B296" s="8" t="s">
        <v>1697</v>
      </c>
      <c r="C296" s="1">
        <f t="shared" si="86"/>
        <v>360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 t="shared" si="87"/>
        <v>0</v>
      </c>
      <c r="G296" s="1">
        <f t="shared" si="88"/>
        <v>151</v>
      </c>
      <c r="H296" s="2">
        <f t="shared" si="89"/>
        <v>0.41944444444444445</v>
      </c>
      <c r="I296" s="6"/>
      <c r="J296" s="2">
        <f t="shared" si="90"/>
        <v>0.25555555555555554</v>
      </c>
      <c r="K296" s="2">
        <f t="shared" si="91"/>
        <v>0.67500000000000004</v>
      </c>
      <c r="L296" s="2">
        <f t="shared" si="92"/>
        <v>0</v>
      </c>
      <c r="M296" s="2">
        <f t="shared" si="93"/>
        <v>6.944444444444442E-2</v>
      </c>
      <c r="N296" s="63">
        <v>92</v>
      </c>
      <c r="O296" s="63">
        <v>243</v>
      </c>
      <c r="P296" s="63">
        <v>0</v>
      </c>
      <c r="Q296" s="63">
        <v>20</v>
      </c>
      <c r="R296" s="63">
        <v>5</v>
      </c>
      <c r="S296" s="63">
        <v>0</v>
      </c>
      <c r="T296" s="67"/>
      <c r="U296" s="63"/>
      <c r="V296" s="63"/>
      <c r="W296" s="63">
        <f t="shared" si="97"/>
        <v>0</v>
      </c>
      <c r="X296" s="63"/>
      <c r="Y296" s="63"/>
      <c r="Z296" s="63"/>
      <c r="AA296" s="63"/>
      <c r="AB296" s="63"/>
      <c r="AE296" s="8">
        <v>0</v>
      </c>
      <c r="AT296" t="str">
        <f t="shared" si="94"/>
        <v>Danforth</v>
      </c>
      <c r="AU296" t="s">
        <v>692</v>
      </c>
      <c r="AV296">
        <v>2</v>
      </c>
      <c r="AX296" s="114">
        <v>23</v>
      </c>
      <c r="AY296" s="116">
        <v>29</v>
      </c>
      <c r="AZ296" s="116">
        <v>80</v>
      </c>
      <c r="BA296" s="120">
        <v>16410</v>
      </c>
      <c r="BB296" s="120">
        <f t="shared" si="95"/>
        <v>23029</v>
      </c>
      <c r="BC296" t="s">
        <v>1472</v>
      </c>
      <c r="BD296">
        <f t="shared" si="96"/>
        <v>2316410</v>
      </c>
      <c r="BE296" s="1">
        <v>13</v>
      </c>
      <c r="BI296">
        <v>60.89</v>
      </c>
      <c r="BJ296">
        <v>6.48</v>
      </c>
      <c r="BK296">
        <v>54.41</v>
      </c>
      <c r="BS296" s="63">
        <v>0</v>
      </c>
      <c r="CK296" s="1" t="s">
        <v>3854</v>
      </c>
    </row>
    <row r="297" spans="1:89" hidden="1" outlineLevel="1">
      <c r="A297" t="s">
        <v>1570</v>
      </c>
      <c r="B297" s="8" t="s">
        <v>1697</v>
      </c>
      <c r="C297" s="1">
        <f t="shared" si="86"/>
        <v>1230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 t="shared" si="87"/>
        <v>0</v>
      </c>
      <c r="G297" s="1">
        <f t="shared" si="88"/>
        <v>201</v>
      </c>
      <c r="H297" s="2">
        <f t="shared" si="89"/>
        <v>0.16341463414634147</v>
      </c>
      <c r="I297" s="6"/>
      <c r="J297" s="2">
        <f t="shared" si="90"/>
        <v>0.3796747967479675</v>
      </c>
      <c r="K297" s="2">
        <f t="shared" si="91"/>
        <v>0.54308943089430894</v>
      </c>
      <c r="L297" s="2">
        <f t="shared" si="92"/>
        <v>0</v>
      </c>
      <c r="M297" s="2">
        <f t="shared" si="93"/>
        <v>7.7235772357723609E-2</v>
      </c>
      <c r="N297" s="63">
        <v>467</v>
      </c>
      <c r="O297" s="63">
        <v>668</v>
      </c>
      <c r="P297" s="63">
        <v>0</v>
      </c>
      <c r="Q297" s="63">
        <v>72</v>
      </c>
      <c r="R297" s="63">
        <v>23</v>
      </c>
      <c r="S297" s="63">
        <v>0</v>
      </c>
      <c r="T297" s="67"/>
      <c r="U297" s="63"/>
      <c r="V297" s="63"/>
      <c r="W297" s="63">
        <f t="shared" si="97"/>
        <v>0</v>
      </c>
      <c r="X297" s="63"/>
      <c r="Y297" s="63"/>
      <c r="Z297" s="63"/>
      <c r="AA297" s="63"/>
      <c r="AB297" s="63"/>
      <c r="AE297" s="8">
        <v>0</v>
      </c>
      <c r="AT297" t="str">
        <f t="shared" si="94"/>
        <v>Dayton</v>
      </c>
      <c r="AU297" t="s">
        <v>925</v>
      </c>
      <c r="AV297">
        <v>1</v>
      </c>
      <c r="AX297" s="114">
        <v>23</v>
      </c>
      <c r="AY297" s="116">
        <v>31</v>
      </c>
      <c r="AZ297" s="116">
        <v>40</v>
      </c>
      <c r="BA297" s="120">
        <v>16725</v>
      </c>
      <c r="BB297" s="120">
        <f t="shared" si="95"/>
        <v>23031</v>
      </c>
      <c r="BC297" t="s">
        <v>1472</v>
      </c>
      <c r="BD297">
        <f t="shared" si="96"/>
        <v>2316725</v>
      </c>
      <c r="BE297" s="1">
        <v>40</v>
      </c>
      <c r="BI297">
        <v>18.41</v>
      </c>
      <c r="BJ297">
        <v>0.52</v>
      </c>
      <c r="BK297">
        <v>17.89</v>
      </c>
      <c r="BS297" s="63">
        <v>0</v>
      </c>
      <c r="CK297" s="1" t="s">
        <v>3855</v>
      </c>
    </row>
    <row r="298" spans="1:89" hidden="1" outlineLevel="1">
      <c r="A298" t="s">
        <v>1546</v>
      </c>
      <c r="B298" s="8" t="s">
        <v>1697</v>
      </c>
      <c r="C298" s="1">
        <f t="shared" si="86"/>
        <v>38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 t="shared" si="87"/>
        <v>0</v>
      </c>
      <c r="G298" s="1">
        <f t="shared" si="88"/>
        <v>24</v>
      </c>
      <c r="H298" s="2">
        <f t="shared" si="89"/>
        <v>0.63157894736842102</v>
      </c>
      <c r="I298" s="6"/>
      <c r="J298" s="2">
        <f t="shared" si="90"/>
        <v>0.15789473684210525</v>
      </c>
      <c r="K298" s="2">
        <f t="shared" si="91"/>
        <v>0.78947368421052633</v>
      </c>
      <c r="L298" s="2">
        <f t="shared" si="92"/>
        <v>0</v>
      </c>
      <c r="M298" s="2">
        <f t="shared" si="93"/>
        <v>5.2631578947368363E-2</v>
      </c>
      <c r="N298" s="63">
        <v>6</v>
      </c>
      <c r="O298" s="63">
        <v>30</v>
      </c>
      <c r="P298" s="63">
        <v>0</v>
      </c>
      <c r="Q298" s="63">
        <v>1</v>
      </c>
      <c r="R298" s="63">
        <v>1</v>
      </c>
      <c r="S298" s="63">
        <v>0</v>
      </c>
      <c r="T298" s="67"/>
      <c r="U298" s="63"/>
      <c r="V298" s="63"/>
      <c r="W298" s="63">
        <f t="shared" si="97"/>
        <v>0</v>
      </c>
      <c r="X298" s="63"/>
      <c r="Y298" s="63"/>
      <c r="Z298" s="63"/>
      <c r="AA298" s="63"/>
      <c r="AB298" s="63"/>
      <c r="AE298" s="8">
        <v>0</v>
      </c>
      <c r="AT298" t="str">
        <f t="shared" si="94"/>
        <v>Deblois</v>
      </c>
      <c r="AU298" t="s">
        <v>692</v>
      </c>
      <c r="AV298">
        <v>2</v>
      </c>
      <c r="AX298" s="114">
        <v>23</v>
      </c>
      <c r="AY298" s="116">
        <v>29</v>
      </c>
      <c r="AZ298" s="116">
        <v>85</v>
      </c>
      <c r="BA298" s="120">
        <v>16865</v>
      </c>
      <c r="BB298" s="120">
        <f t="shared" si="95"/>
        <v>23029</v>
      </c>
      <c r="BC298" t="s">
        <v>1472</v>
      </c>
      <c r="BD298">
        <f t="shared" si="96"/>
        <v>2316865</v>
      </c>
      <c r="BE298" s="1">
        <v>1</v>
      </c>
      <c r="BI298">
        <v>33.549999999999997</v>
      </c>
      <c r="BJ298">
        <v>0.2</v>
      </c>
      <c r="BK298">
        <v>33.35</v>
      </c>
      <c r="BS298" s="63">
        <v>0</v>
      </c>
      <c r="CK298" s="1" t="s">
        <v>3856</v>
      </c>
    </row>
    <row r="299" spans="1:89" hidden="1" outlineLevel="1">
      <c r="A299" t="s">
        <v>685</v>
      </c>
      <c r="B299" s="8" t="s">
        <v>1697</v>
      </c>
      <c r="C299" s="1">
        <f t="shared" ref="C299:C357" si="98">SUM(N299:AR299)</f>
        <v>1075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 t="shared" ref="F299:F357" si="99">IF(P299&gt;0,RANK(P299,(N299:AE299)),0)</f>
        <v>5</v>
      </c>
      <c r="G299" s="1">
        <f t="shared" ref="G299:G357" si="100">IF(C299&gt;0,MAX(N299:P299)-LARGE(N299:P299,2),0)</f>
        <v>92</v>
      </c>
      <c r="H299" s="2">
        <f t="shared" ref="H299:H357" si="101">IF(C299&gt;0,G299/C299,0)</f>
        <v>8.5581395348837214E-2</v>
      </c>
      <c r="I299" s="6"/>
      <c r="J299" s="2">
        <f t="shared" ref="J299:J357" si="102">IF(C299=0,"-",N299/C299)</f>
        <v>0.41860465116279072</v>
      </c>
      <c r="K299" s="2">
        <f t="shared" ref="K299:K357" si="103">IF(C299=0,"-",O299/C299)</f>
        <v>0.50418604651162791</v>
      </c>
      <c r="L299" s="2">
        <f t="shared" ref="L299:L357" si="104">IF(C299=0,"-",P299/C299)</f>
        <v>5.5813953488372094E-3</v>
      </c>
      <c r="M299" s="2">
        <f t="shared" ref="M299:M357" si="105">IF(C299=0,"-",(1-J299-K299-L299))</f>
        <v>7.1627906976744107E-2</v>
      </c>
      <c r="N299" s="63">
        <v>450</v>
      </c>
      <c r="O299" s="63">
        <v>542</v>
      </c>
      <c r="P299" s="63">
        <v>6</v>
      </c>
      <c r="Q299" s="63">
        <v>57</v>
      </c>
      <c r="R299" s="63">
        <v>20</v>
      </c>
      <c r="S299" s="63">
        <v>0</v>
      </c>
      <c r="T299" s="67"/>
      <c r="U299" s="63"/>
      <c r="V299" s="63"/>
      <c r="W299" s="63">
        <f t="shared" si="97"/>
        <v>0</v>
      </c>
      <c r="X299" s="63"/>
      <c r="Y299" s="63"/>
      <c r="Z299" s="63"/>
      <c r="AA299" s="63"/>
      <c r="AB299" s="63"/>
      <c r="AE299" s="8">
        <v>0</v>
      </c>
      <c r="AT299" t="str">
        <f t="shared" ref="AT299:AT357" si="106">A299</f>
        <v>Dedham</v>
      </c>
      <c r="AU299" t="s">
        <v>597</v>
      </c>
      <c r="AV299">
        <v>2</v>
      </c>
      <c r="AX299" s="114">
        <v>23</v>
      </c>
      <c r="AY299" s="116">
        <v>9</v>
      </c>
      <c r="AZ299" s="116">
        <v>50</v>
      </c>
      <c r="BA299" s="120">
        <v>16935</v>
      </c>
      <c r="BB299" s="120">
        <f t="shared" ref="BB299:BB357" si="107">AX299*1000+AY299</f>
        <v>23009</v>
      </c>
      <c r="BC299" t="s">
        <v>1472</v>
      </c>
      <c r="BD299">
        <f t="shared" ref="BD299:BD357" si="108">AX299*100000+BA299</f>
        <v>2316935</v>
      </c>
      <c r="BE299" s="1">
        <v>25</v>
      </c>
      <c r="BI299">
        <v>44.26</v>
      </c>
      <c r="BJ299">
        <v>5.01</v>
      </c>
      <c r="BK299">
        <v>39.25</v>
      </c>
      <c r="BS299" s="63">
        <v>0</v>
      </c>
      <c r="CK299" s="1" t="s">
        <v>3857</v>
      </c>
    </row>
    <row r="300" spans="1:89" hidden="1" outlineLevel="1">
      <c r="A300" t="s">
        <v>1819</v>
      </c>
      <c r="B300" s="8" t="s">
        <v>1697</v>
      </c>
      <c r="C300" s="1">
        <f t="shared" si="98"/>
        <v>1201</v>
      </c>
      <c r="D300" s="5">
        <f>IF(N300&gt;0, RANK(N300,(N300:P300,Q300:AE300)),0)</f>
        <v>1</v>
      </c>
      <c r="E300" s="5">
        <f>IF(O300&gt;0,RANK(O300,(N300:P300,Q300:AE300)),0)</f>
        <v>2</v>
      </c>
      <c r="F300" s="5">
        <f t="shared" si="99"/>
        <v>0</v>
      </c>
      <c r="G300" s="1">
        <f t="shared" si="100"/>
        <v>231</v>
      </c>
      <c r="H300" s="2">
        <f t="shared" si="101"/>
        <v>0.19233971690258117</v>
      </c>
      <c r="I300" s="6"/>
      <c r="J300" s="2">
        <f t="shared" si="102"/>
        <v>0.56952539550374692</v>
      </c>
      <c r="K300" s="2">
        <f t="shared" si="103"/>
        <v>0.3771856786011657</v>
      </c>
      <c r="L300" s="2">
        <f t="shared" si="104"/>
        <v>0</v>
      </c>
      <c r="M300" s="2">
        <f t="shared" si="105"/>
        <v>5.328892589508738E-2</v>
      </c>
      <c r="N300" s="63">
        <v>684</v>
      </c>
      <c r="O300" s="63">
        <v>453</v>
      </c>
      <c r="P300" s="63">
        <v>0</v>
      </c>
      <c r="Q300" s="63">
        <v>43</v>
      </c>
      <c r="R300" s="63">
        <v>21</v>
      </c>
      <c r="S300" s="63">
        <v>0</v>
      </c>
      <c r="T300" s="67"/>
      <c r="U300" s="63"/>
      <c r="V300" s="63"/>
      <c r="W300" s="63">
        <f t="shared" si="97"/>
        <v>0</v>
      </c>
      <c r="X300" s="63"/>
      <c r="Y300" s="63"/>
      <c r="Z300" s="63"/>
      <c r="AA300" s="63"/>
      <c r="AB300" s="63"/>
      <c r="AE300" s="8">
        <v>0</v>
      </c>
      <c r="AT300" t="str">
        <f t="shared" si="106"/>
        <v>Deer Isle</v>
      </c>
      <c r="AU300" t="s">
        <v>597</v>
      </c>
      <c r="AV300">
        <v>2</v>
      </c>
      <c r="AX300" s="114">
        <v>23</v>
      </c>
      <c r="AY300" s="116">
        <v>9</v>
      </c>
      <c r="AZ300" s="116">
        <v>55</v>
      </c>
      <c r="BA300" s="120">
        <v>17145</v>
      </c>
      <c r="BB300" s="120">
        <f t="shared" si="107"/>
        <v>23009</v>
      </c>
      <c r="BC300" t="s">
        <v>1472</v>
      </c>
      <c r="BD300">
        <f t="shared" si="108"/>
        <v>2317145</v>
      </c>
      <c r="BE300" s="1">
        <v>29</v>
      </c>
      <c r="BI300">
        <v>123.71</v>
      </c>
      <c r="BJ300">
        <v>94.02</v>
      </c>
      <c r="BK300">
        <v>29.7</v>
      </c>
      <c r="BS300" s="63">
        <v>0</v>
      </c>
      <c r="CK300" s="1" t="s">
        <v>3858</v>
      </c>
    </row>
    <row r="301" spans="1:89" hidden="1" outlineLevel="1">
      <c r="A301" t="s">
        <v>1814</v>
      </c>
      <c r="B301" s="8" t="s">
        <v>1697</v>
      </c>
      <c r="C301" s="1">
        <f t="shared" si="98"/>
        <v>729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 t="shared" si="99"/>
        <v>5</v>
      </c>
      <c r="G301" s="1">
        <f t="shared" si="100"/>
        <v>97</v>
      </c>
      <c r="H301" s="2">
        <f t="shared" si="101"/>
        <v>0.13305898491083676</v>
      </c>
      <c r="I301" s="6"/>
      <c r="J301" s="2">
        <f t="shared" si="102"/>
        <v>0.39094650205761317</v>
      </c>
      <c r="K301" s="2">
        <f t="shared" si="103"/>
        <v>0.52400548696844995</v>
      </c>
      <c r="L301" s="2">
        <f t="shared" si="104"/>
        <v>1.3717421124828531E-3</v>
      </c>
      <c r="M301" s="2">
        <f t="shared" si="105"/>
        <v>8.3676268861454031E-2</v>
      </c>
      <c r="N301" s="63">
        <v>285</v>
      </c>
      <c r="O301" s="63">
        <v>382</v>
      </c>
      <c r="P301" s="63">
        <v>1</v>
      </c>
      <c r="Q301" s="63">
        <v>40</v>
      </c>
      <c r="R301" s="63">
        <v>21</v>
      </c>
      <c r="S301" s="63">
        <v>0</v>
      </c>
      <c r="T301" s="67"/>
      <c r="U301" s="63"/>
      <c r="V301" s="63"/>
      <c r="W301" s="63">
        <f t="shared" si="97"/>
        <v>0</v>
      </c>
      <c r="X301" s="63"/>
      <c r="Y301" s="63"/>
      <c r="Z301" s="63"/>
      <c r="AA301" s="63"/>
      <c r="AB301" s="63"/>
      <c r="AE301" s="8">
        <v>0</v>
      </c>
      <c r="AT301" t="str">
        <f t="shared" si="106"/>
        <v>Denmark</v>
      </c>
      <c r="AU301" t="s">
        <v>2383</v>
      </c>
      <c r="AV301">
        <v>2</v>
      </c>
      <c r="AX301" s="114">
        <v>23</v>
      </c>
      <c r="AY301" s="116">
        <v>17</v>
      </c>
      <c r="AZ301" s="116">
        <v>35</v>
      </c>
      <c r="BA301" s="120">
        <v>17250</v>
      </c>
      <c r="BB301" s="120">
        <f t="shared" si="107"/>
        <v>23017</v>
      </c>
      <c r="BC301" t="s">
        <v>1472</v>
      </c>
      <c r="BD301">
        <f t="shared" si="108"/>
        <v>2317250</v>
      </c>
      <c r="BE301" s="1">
        <v>23</v>
      </c>
      <c r="BI301">
        <v>48.6</v>
      </c>
      <c r="BJ301">
        <v>3.56</v>
      </c>
      <c r="BK301">
        <v>45.04</v>
      </c>
      <c r="BS301" s="63">
        <v>0</v>
      </c>
      <c r="CK301" s="158" t="s">
        <v>3859</v>
      </c>
    </row>
    <row r="302" spans="1:89" hidden="1" outlineLevel="1">
      <c r="A302" t="s">
        <v>890</v>
      </c>
      <c r="B302" s="8" t="s">
        <v>1697</v>
      </c>
      <c r="C302" s="1">
        <f t="shared" si="98"/>
        <v>24</v>
      </c>
      <c r="D302" s="5">
        <f>IF(N302&gt;0, RANK(N302,(N302:P302,Q302:AE302)),0)</f>
        <v>2</v>
      </c>
      <c r="E302" s="5">
        <f>IF(O302&gt;0,RANK(O302,(N302:P302,Q302:AE302)),0)</f>
        <v>1</v>
      </c>
      <c r="F302" s="5">
        <f t="shared" si="99"/>
        <v>0</v>
      </c>
      <c r="G302" s="1">
        <f t="shared" si="100"/>
        <v>14</v>
      </c>
      <c r="H302" s="2">
        <f t="shared" si="101"/>
        <v>0.58333333333333337</v>
      </c>
      <c r="I302" s="6"/>
      <c r="J302" s="2">
        <f t="shared" si="102"/>
        <v>0.20833333333333334</v>
      </c>
      <c r="K302" s="2">
        <f t="shared" si="103"/>
        <v>0.79166666666666663</v>
      </c>
      <c r="L302" s="2">
        <f t="shared" si="104"/>
        <v>0</v>
      </c>
      <c r="M302" s="2">
        <f t="shared" si="105"/>
        <v>0</v>
      </c>
      <c r="N302" s="63">
        <v>5</v>
      </c>
      <c r="O302" s="63">
        <v>19</v>
      </c>
      <c r="P302" s="63">
        <v>0</v>
      </c>
      <c r="Q302" s="63">
        <v>0</v>
      </c>
      <c r="R302" s="63">
        <v>0</v>
      </c>
      <c r="S302" s="63">
        <v>0</v>
      </c>
      <c r="T302" s="67"/>
      <c r="U302" s="63"/>
      <c r="V302" s="63"/>
      <c r="W302" s="63">
        <f t="shared" ref="W302:W365" si="109">BS302</f>
        <v>0</v>
      </c>
      <c r="X302" s="63"/>
      <c r="Y302" s="63"/>
      <c r="Z302" s="63"/>
      <c r="AA302" s="63"/>
      <c r="AB302" s="63"/>
      <c r="AE302" s="8">
        <v>0</v>
      </c>
      <c r="AT302" t="str">
        <f t="shared" si="106"/>
        <v>Dennistown</v>
      </c>
      <c r="AU302" t="s">
        <v>1787</v>
      </c>
      <c r="AV302">
        <v>2</v>
      </c>
      <c r="AX302" s="114">
        <v>23</v>
      </c>
      <c r="AY302" s="116">
        <v>25</v>
      </c>
      <c r="AZ302" s="116">
        <v>45</v>
      </c>
      <c r="BA302" s="120">
        <v>17285</v>
      </c>
      <c r="BB302" s="120">
        <f t="shared" si="107"/>
        <v>23025</v>
      </c>
      <c r="BC302" t="s">
        <v>3075</v>
      </c>
      <c r="BD302">
        <f t="shared" si="108"/>
        <v>2317285</v>
      </c>
      <c r="BE302" s="1">
        <v>2</v>
      </c>
      <c r="BI302">
        <v>40.590000000000003</v>
      </c>
      <c r="BJ302">
        <v>1.81</v>
      </c>
      <c r="BK302">
        <v>38.78</v>
      </c>
      <c r="BS302" s="63">
        <v>0</v>
      </c>
      <c r="CK302" s="1" t="s">
        <v>3860</v>
      </c>
    </row>
    <row r="303" spans="1:89" hidden="1" outlineLevel="1">
      <c r="A303" t="s">
        <v>1396</v>
      </c>
      <c r="B303" s="8" t="s">
        <v>1697</v>
      </c>
      <c r="C303" s="1">
        <f t="shared" si="98"/>
        <v>322</v>
      </c>
      <c r="D303" s="5">
        <f>IF(N303&gt;0, RANK(N303,(N303:P303,Q303:AE303)),0)</f>
        <v>2</v>
      </c>
      <c r="E303" s="5">
        <f>IF(O303&gt;0,RANK(O303,(N303:P303,Q303:AE303)),0)</f>
        <v>1</v>
      </c>
      <c r="F303" s="5">
        <f t="shared" si="99"/>
        <v>0</v>
      </c>
      <c r="G303" s="1">
        <f t="shared" si="100"/>
        <v>102</v>
      </c>
      <c r="H303" s="2">
        <f t="shared" si="101"/>
        <v>0.31677018633540371</v>
      </c>
      <c r="I303" s="6"/>
      <c r="J303" s="2">
        <f t="shared" si="102"/>
        <v>0.29192546583850931</v>
      </c>
      <c r="K303" s="2">
        <f t="shared" si="103"/>
        <v>0.60869565217391308</v>
      </c>
      <c r="L303" s="2">
        <f t="shared" si="104"/>
        <v>0</v>
      </c>
      <c r="M303" s="2">
        <f t="shared" si="105"/>
        <v>9.9378881987577605E-2</v>
      </c>
      <c r="N303" s="63">
        <v>94</v>
      </c>
      <c r="O303" s="63">
        <v>196</v>
      </c>
      <c r="P303" s="63">
        <v>0</v>
      </c>
      <c r="Q303" s="63">
        <v>25</v>
      </c>
      <c r="R303" s="63">
        <v>7</v>
      </c>
      <c r="S303" s="63">
        <v>0</v>
      </c>
      <c r="T303" s="67"/>
      <c r="U303" s="63"/>
      <c r="V303" s="63"/>
      <c r="W303" s="63">
        <f t="shared" si="109"/>
        <v>0</v>
      </c>
      <c r="X303" s="63"/>
      <c r="Y303" s="63"/>
      <c r="Z303" s="63"/>
      <c r="AA303" s="63"/>
      <c r="AB303" s="63"/>
      <c r="AE303" s="8">
        <v>0</v>
      </c>
      <c r="AT303" t="str">
        <f t="shared" si="106"/>
        <v>Dennysville</v>
      </c>
      <c r="AU303" t="s">
        <v>692</v>
      </c>
      <c r="AV303">
        <v>2</v>
      </c>
      <c r="AX303" s="114">
        <v>23</v>
      </c>
      <c r="AY303" s="116">
        <v>29</v>
      </c>
      <c r="AZ303" s="116">
        <v>90</v>
      </c>
      <c r="BA303" s="120">
        <v>17355</v>
      </c>
      <c r="BB303" s="120">
        <f t="shared" si="107"/>
        <v>23029</v>
      </c>
      <c r="BC303" t="s">
        <v>1472</v>
      </c>
      <c r="BD303">
        <f t="shared" si="108"/>
        <v>2317355</v>
      </c>
      <c r="BE303" s="1">
        <v>16</v>
      </c>
      <c r="BI303">
        <v>15.12</v>
      </c>
      <c r="BJ303">
        <v>0.36</v>
      </c>
      <c r="BK303">
        <v>14.76</v>
      </c>
      <c r="BS303" s="63">
        <v>0</v>
      </c>
      <c r="CK303" s="1" t="s">
        <v>3861</v>
      </c>
    </row>
    <row r="304" spans="1:89" hidden="1" outlineLevel="1">
      <c r="A304" t="s">
        <v>2611</v>
      </c>
      <c r="B304" s="8" t="s">
        <v>1697</v>
      </c>
      <c r="C304" s="1">
        <f t="shared" si="98"/>
        <v>404</v>
      </c>
      <c r="D304" s="5">
        <f>IF(N304&gt;0, RANK(N304,(N304:P304,Q304:AE304)),0)</f>
        <v>2</v>
      </c>
      <c r="E304" s="5">
        <f>IF(O304&gt;0,RANK(O304,(N304:P304,Q304:AE304)),0)</f>
        <v>1</v>
      </c>
      <c r="F304" s="5">
        <f t="shared" si="99"/>
        <v>0</v>
      </c>
      <c r="G304" s="1">
        <f t="shared" si="100"/>
        <v>81</v>
      </c>
      <c r="H304" s="2">
        <f t="shared" si="101"/>
        <v>0.20049504950495051</v>
      </c>
      <c r="I304" s="6"/>
      <c r="J304" s="2">
        <f t="shared" si="102"/>
        <v>0.36386138613861385</v>
      </c>
      <c r="K304" s="2">
        <f t="shared" si="103"/>
        <v>0.5643564356435643</v>
      </c>
      <c r="L304" s="2">
        <f t="shared" si="104"/>
        <v>0</v>
      </c>
      <c r="M304" s="2">
        <f t="shared" si="105"/>
        <v>7.1782178217821846E-2</v>
      </c>
      <c r="N304" s="63">
        <v>147</v>
      </c>
      <c r="O304" s="63">
        <v>228</v>
      </c>
      <c r="P304" s="63">
        <v>0</v>
      </c>
      <c r="Q304" s="63">
        <v>19</v>
      </c>
      <c r="R304" s="63">
        <v>10</v>
      </c>
      <c r="S304" s="63">
        <v>0</v>
      </c>
      <c r="T304" s="67"/>
      <c r="U304" s="63"/>
      <c r="V304" s="63"/>
      <c r="W304" s="63">
        <f t="shared" si="109"/>
        <v>0</v>
      </c>
      <c r="X304" s="63"/>
      <c r="Y304" s="63"/>
      <c r="Z304" s="63"/>
      <c r="AA304" s="63"/>
      <c r="AB304" s="63"/>
      <c r="AE304" s="8">
        <v>0</v>
      </c>
      <c r="AT304" t="str">
        <f t="shared" si="106"/>
        <v>Detroit</v>
      </c>
      <c r="AU304" t="s">
        <v>1787</v>
      </c>
      <c r="AV304">
        <v>2</v>
      </c>
      <c r="AX304" s="114">
        <v>23</v>
      </c>
      <c r="AY304" s="116">
        <v>25</v>
      </c>
      <c r="AZ304" s="116">
        <v>50</v>
      </c>
      <c r="BA304" s="120">
        <v>17460</v>
      </c>
      <c r="BB304" s="120">
        <f t="shared" si="107"/>
        <v>23025</v>
      </c>
      <c r="BC304" t="s">
        <v>1472</v>
      </c>
      <c r="BD304">
        <f t="shared" si="108"/>
        <v>2317460</v>
      </c>
      <c r="BE304" s="1">
        <v>11</v>
      </c>
      <c r="BI304">
        <v>20.41</v>
      </c>
      <c r="BJ304">
        <v>0.16</v>
      </c>
      <c r="BK304">
        <v>20.25</v>
      </c>
      <c r="BS304" s="63">
        <v>0</v>
      </c>
      <c r="CK304" s="1" t="s">
        <v>3862</v>
      </c>
    </row>
    <row r="305" spans="1:89" hidden="1" outlineLevel="1">
      <c r="A305" t="s">
        <v>1166</v>
      </c>
      <c r="B305" s="8" t="s">
        <v>1697</v>
      </c>
      <c r="C305" s="1">
        <f t="shared" si="98"/>
        <v>1775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 t="shared" si="99"/>
        <v>0</v>
      </c>
      <c r="G305" s="1">
        <f t="shared" si="100"/>
        <v>490</v>
      </c>
      <c r="H305" s="2">
        <f t="shared" si="101"/>
        <v>0.27605633802816903</v>
      </c>
      <c r="I305" s="6"/>
      <c r="J305" s="2">
        <f t="shared" si="102"/>
        <v>0.32225352112676059</v>
      </c>
      <c r="K305" s="2">
        <f t="shared" si="103"/>
        <v>0.59830985915492962</v>
      </c>
      <c r="L305" s="2">
        <f t="shared" si="104"/>
        <v>0</v>
      </c>
      <c r="M305" s="2">
        <f t="shared" si="105"/>
        <v>7.9436619718309842E-2</v>
      </c>
      <c r="N305" s="63">
        <v>572</v>
      </c>
      <c r="O305" s="63">
        <v>1062</v>
      </c>
      <c r="P305" s="63">
        <v>0</v>
      </c>
      <c r="Q305" s="63">
        <v>103</v>
      </c>
      <c r="R305" s="63">
        <v>38</v>
      </c>
      <c r="S305" s="63">
        <v>0</v>
      </c>
      <c r="T305" s="67"/>
      <c r="U305" s="63"/>
      <c r="V305" s="63"/>
      <c r="W305" s="63">
        <f t="shared" si="109"/>
        <v>0</v>
      </c>
      <c r="X305" s="63"/>
      <c r="Y305" s="63"/>
      <c r="Z305" s="63"/>
      <c r="AA305" s="63"/>
      <c r="AB305" s="63"/>
      <c r="AE305" s="8">
        <v>0</v>
      </c>
      <c r="AT305" t="str">
        <f t="shared" si="106"/>
        <v>Dexter</v>
      </c>
      <c r="AU305" t="s">
        <v>2481</v>
      </c>
      <c r="AV305">
        <v>2</v>
      </c>
      <c r="AX305" s="114">
        <v>23</v>
      </c>
      <c r="AY305" s="116">
        <v>19</v>
      </c>
      <c r="AZ305" s="116">
        <v>70</v>
      </c>
      <c r="BA305" s="120">
        <v>17530</v>
      </c>
      <c r="BB305" s="120">
        <f t="shared" si="107"/>
        <v>23019</v>
      </c>
      <c r="BC305" t="s">
        <v>1472</v>
      </c>
      <c r="BD305">
        <f t="shared" si="108"/>
        <v>2317530</v>
      </c>
      <c r="BE305" s="1">
        <v>54</v>
      </c>
      <c r="BI305">
        <v>37.18</v>
      </c>
      <c r="BJ305">
        <v>2</v>
      </c>
      <c r="BK305">
        <v>35.17</v>
      </c>
      <c r="BS305" s="63">
        <v>0</v>
      </c>
      <c r="CK305" s="1" t="s">
        <v>3863</v>
      </c>
    </row>
    <row r="306" spans="1:89" hidden="1" outlineLevel="1">
      <c r="A306" t="s">
        <v>1883</v>
      </c>
      <c r="B306" s="8" t="s">
        <v>1697</v>
      </c>
      <c r="C306" s="1">
        <f t="shared" si="98"/>
        <v>1238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 t="shared" si="99"/>
        <v>0</v>
      </c>
      <c r="G306" s="1">
        <f t="shared" si="100"/>
        <v>294</v>
      </c>
      <c r="H306" s="2">
        <f t="shared" si="101"/>
        <v>0.23747980613893377</v>
      </c>
      <c r="I306" s="6"/>
      <c r="J306" s="2">
        <f t="shared" si="102"/>
        <v>0.33521809369951533</v>
      </c>
      <c r="K306" s="2">
        <f t="shared" si="103"/>
        <v>0.5726978998384491</v>
      </c>
      <c r="L306" s="2">
        <f t="shared" si="104"/>
        <v>0</v>
      </c>
      <c r="M306" s="2">
        <f t="shared" si="105"/>
        <v>9.2084006462035628E-2</v>
      </c>
      <c r="N306" s="63">
        <v>415</v>
      </c>
      <c r="O306" s="63">
        <v>709</v>
      </c>
      <c r="P306" s="63">
        <v>0</v>
      </c>
      <c r="Q306" s="63">
        <v>90</v>
      </c>
      <c r="R306" s="63">
        <v>24</v>
      </c>
      <c r="S306" s="63">
        <v>0</v>
      </c>
      <c r="T306" s="67"/>
      <c r="U306" s="63"/>
      <c r="V306" s="63"/>
      <c r="W306" s="63">
        <f t="shared" si="109"/>
        <v>0</v>
      </c>
      <c r="X306" s="63"/>
      <c r="Y306" s="63"/>
      <c r="Z306" s="63"/>
      <c r="AA306" s="63"/>
      <c r="AB306" s="63"/>
      <c r="AE306" s="8">
        <v>0</v>
      </c>
      <c r="AT306" t="str">
        <f t="shared" si="106"/>
        <v>Dixfield</v>
      </c>
      <c r="AU306" t="s">
        <v>2383</v>
      </c>
      <c r="AV306">
        <v>2</v>
      </c>
      <c r="AX306" s="114">
        <v>23</v>
      </c>
      <c r="AY306" s="116">
        <v>17</v>
      </c>
      <c r="AZ306" s="116">
        <v>40</v>
      </c>
      <c r="BA306" s="120">
        <v>17740</v>
      </c>
      <c r="BB306" s="120">
        <f t="shared" si="107"/>
        <v>23017</v>
      </c>
      <c r="BC306" t="s">
        <v>1472</v>
      </c>
      <c r="BD306">
        <f t="shared" si="108"/>
        <v>2317740</v>
      </c>
      <c r="BE306" s="1">
        <v>68</v>
      </c>
      <c r="BI306">
        <v>41.61</v>
      </c>
      <c r="BJ306">
        <v>0.41</v>
      </c>
      <c r="BK306">
        <v>41.2</v>
      </c>
      <c r="BS306" s="63">
        <v>0</v>
      </c>
      <c r="CK306" s="1" t="s">
        <v>3864</v>
      </c>
    </row>
    <row r="307" spans="1:89" hidden="1" outlineLevel="1">
      <c r="A307" t="s">
        <v>1235</v>
      </c>
      <c r="B307" s="8" t="s">
        <v>1697</v>
      </c>
      <c r="C307" s="1">
        <f t="shared" si="98"/>
        <v>716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 t="shared" si="99"/>
        <v>5</v>
      </c>
      <c r="G307" s="1">
        <f t="shared" si="100"/>
        <v>199</v>
      </c>
      <c r="H307" s="2">
        <f t="shared" si="101"/>
        <v>0.27793296089385477</v>
      </c>
      <c r="I307" s="6"/>
      <c r="J307" s="2">
        <f t="shared" si="102"/>
        <v>0.32402234636871508</v>
      </c>
      <c r="K307" s="2">
        <f t="shared" si="103"/>
        <v>0.60195530726256985</v>
      </c>
      <c r="L307" s="2">
        <f t="shared" si="104"/>
        <v>2.7932960893854749E-3</v>
      </c>
      <c r="M307" s="2">
        <f t="shared" si="105"/>
        <v>7.1229050279329603E-2</v>
      </c>
      <c r="N307" s="63">
        <v>232</v>
      </c>
      <c r="O307" s="63">
        <v>431</v>
      </c>
      <c r="P307" s="63">
        <v>2</v>
      </c>
      <c r="Q307" s="63">
        <v>31</v>
      </c>
      <c r="R307" s="63">
        <v>20</v>
      </c>
      <c r="S307" s="63">
        <v>0</v>
      </c>
      <c r="T307" s="67"/>
      <c r="U307" s="63"/>
      <c r="V307" s="63"/>
      <c r="W307" s="63">
        <f t="shared" si="109"/>
        <v>0</v>
      </c>
      <c r="X307" s="63"/>
      <c r="Y307" s="63"/>
      <c r="Z307" s="63"/>
      <c r="AA307" s="63"/>
      <c r="AB307" s="63"/>
      <c r="AE307" s="8">
        <v>0</v>
      </c>
      <c r="AT307" t="str">
        <f t="shared" si="106"/>
        <v>Dixmont</v>
      </c>
      <c r="AU307" t="s">
        <v>2481</v>
      </c>
      <c r="AV307">
        <v>2</v>
      </c>
      <c r="AX307" s="114">
        <v>23</v>
      </c>
      <c r="AY307" s="116">
        <v>19</v>
      </c>
      <c r="AZ307" s="116">
        <v>75</v>
      </c>
      <c r="BA307" s="120">
        <v>17950</v>
      </c>
      <c r="BB307" s="120">
        <f t="shared" si="107"/>
        <v>23019</v>
      </c>
      <c r="BC307" t="s">
        <v>1472</v>
      </c>
      <c r="BD307">
        <f t="shared" si="108"/>
        <v>2317950</v>
      </c>
      <c r="BE307" s="1">
        <v>30</v>
      </c>
      <c r="BI307">
        <v>36.49</v>
      </c>
      <c r="BJ307">
        <v>0.15</v>
      </c>
      <c r="BK307">
        <v>36.340000000000003</v>
      </c>
      <c r="BS307" s="63">
        <v>0</v>
      </c>
      <c r="CK307" s="1" t="s">
        <v>3865</v>
      </c>
    </row>
    <row r="308" spans="1:89" hidden="1" outlineLevel="1">
      <c r="A308" t="s">
        <v>2700</v>
      </c>
      <c r="B308" s="8" t="s">
        <v>1697</v>
      </c>
      <c r="C308" s="1">
        <f t="shared" si="98"/>
        <v>2109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 t="shared" si="99"/>
        <v>5</v>
      </c>
      <c r="G308" s="1">
        <f t="shared" si="100"/>
        <v>349</v>
      </c>
      <c r="H308" s="2">
        <f t="shared" si="101"/>
        <v>0.16548127074442864</v>
      </c>
      <c r="I308" s="6"/>
      <c r="J308" s="2">
        <f t="shared" si="102"/>
        <v>0.37411095305832148</v>
      </c>
      <c r="K308" s="2">
        <f t="shared" si="103"/>
        <v>0.53959222380275007</v>
      </c>
      <c r="L308" s="2">
        <f t="shared" si="104"/>
        <v>5.6899004267425323E-3</v>
      </c>
      <c r="M308" s="2">
        <f t="shared" si="105"/>
        <v>8.0606922712185863E-2</v>
      </c>
      <c r="N308" s="63">
        <v>789</v>
      </c>
      <c r="O308" s="63">
        <v>1138</v>
      </c>
      <c r="P308" s="63">
        <v>12</v>
      </c>
      <c r="Q308" s="63">
        <v>111</v>
      </c>
      <c r="R308" s="63">
        <v>58</v>
      </c>
      <c r="S308" s="63">
        <v>1</v>
      </c>
      <c r="T308" s="67"/>
      <c r="U308" s="63"/>
      <c r="V308" s="63"/>
      <c r="W308" s="63">
        <f t="shared" si="109"/>
        <v>0</v>
      </c>
      <c r="X308" s="63"/>
      <c r="Y308" s="63"/>
      <c r="Z308" s="63"/>
      <c r="AA308" s="63"/>
      <c r="AB308" s="63"/>
      <c r="AE308" s="8">
        <v>0</v>
      </c>
      <c r="AT308" t="str">
        <f t="shared" si="106"/>
        <v>Dover-Foxcroft</v>
      </c>
      <c r="AU308" t="s">
        <v>1957</v>
      </c>
      <c r="AV308">
        <v>2</v>
      </c>
      <c r="AX308" s="114">
        <v>23</v>
      </c>
      <c r="AY308" s="116">
        <v>21</v>
      </c>
      <c r="AZ308" s="116">
        <v>35</v>
      </c>
      <c r="BA308" s="120">
        <v>18195</v>
      </c>
      <c r="BB308" s="120">
        <f t="shared" si="107"/>
        <v>23021</v>
      </c>
      <c r="BC308" t="s">
        <v>1472</v>
      </c>
      <c r="BD308">
        <f t="shared" si="108"/>
        <v>2318195</v>
      </c>
      <c r="BE308" s="1">
        <v>67</v>
      </c>
      <c r="BI308">
        <v>71.23</v>
      </c>
      <c r="BJ308">
        <v>2.98</v>
      </c>
      <c r="BK308">
        <v>68.239999999999995</v>
      </c>
      <c r="BS308" s="63">
        <v>0</v>
      </c>
      <c r="CK308" s="1" t="s">
        <v>3866</v>
      </c>
    </row>
    <row r="309" spans="1:89" hidden="1" outlineLevel="1">
      <c r="A309" t="s">
        <v>1423</v>
      </c>
      <c r="B309" s="8" t="s">
        <v>1697</v>
      </c>
      <c r="C309" s="1">
        <f t="shared" si="98"/>
        <v>1049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 t="shared" si="99"/>
        <v>5</v>
      </c>
      <c r="G309" s="1">
        <f t="shared" si="100"/>
        <v>66</v>
      </c>
      <c r="H309" s="2">
        <f t="shared" si="101"/>
        <v>6.2917063870352716E-2</v>
      </c>
      <c r="I309" s="6"/>
      <c r="J309" s="2">
        <f t="shared" si="102"/>
        <v>0.42612011439466158</v>
      </c>
      <c r="K309" s="2">
        <f t="shared" si="103"/>
        <v>0.48903717826501431</v>
      </c>
      <c r="L309" s="2">
        <f t="shared" si="104"/>
        <v>4.7664442326024788E-3</v>
      </c>
      <c r="M309" s="2">
        <f t="shared" si="105"/>
        <v>8.0076263107721646E-2</v>
      </c>
      <c r="N309" s="63">
        <v>447</v>
      </c>
      <c r="O309" s="63">
        <v>513</v>
      </c>
      <c r="P309" s="63">
        <v>5</v>
      </c>
      <c r="Q309" s="63">
        <v>63</v>
      </c>
      <c r="R309" s="63">
        <v>20</v>
      </c>
      <c r="S309" s="63">
        <v>1</v>
      </c>
      <c r="T309" s="67"/>
      <c r="U309" s="63"/>
      <c r="V309" s="63"/>
      <c r="W309" s="63">
        <f t="shared" si="109"/>
        <v>0</v>
      </c>
      <c r="X309" s="63"/>
      <c r="Y309" s="63"/>
      <c r="Z309" s="63"/>
      <c r="AA309" s="63"/>
      <c r="AB309" s="63"/>
      <c r="AE309" s="8">
        <v>0</v>
      </c>
      <c r="AT309" t="str">
        <f t="shared" si="106"/>
        <v>Dresden</v>
      </c>
      <c r="AU309" t="s">
        <v>1597</v>
      </c>
      <c r="AV309">
        <v>1</v>
      </c>
      <c r="AX309" s="114">
        <v>23</v>
      </c>
      <c r="AY309" s="116">
        <v>15</v>
      </c>
      <c r="AZ309" s="116">
        <v>35</v>
      </c>
      <c r="BA309" s="120">
        <v>18475</v>
      </c>
      <c r="BB309" s="120">
        <f t="shared" si="107"/>
        <v>23015</v>
      </c>
      <c r="BC309" t="s">
        <v>1472</v>
      </c>
      <c r="BD309">
        <f t="shared" si="108"/>
        <v>2318475</v>
      </c>
      <c r="BE309" s="1">
        <v>40</v>
      </c>
      <c r="BI309">
        <v>33.159999999999997</v>
      </c>
      <c r="BJ309">
        <v>2.52</v>
      </c>
      <c r="BK309">
        <v>30.64</v>
      </c>
      <c r="BS309" s="63">
        <v>0</v>
      </c>
      <c r="CK309" s="158" t="s">
        <v>3867</v>
      </c>
    </row>
    <row r="310" spans="1:89" hidden="1" outlineLevel="1">
      <c r="A310" t="s">
        <v>1257</v>
      </c>
      <c r="B310" s="8" t="s">
        <v>1697</v>
      </c>
      <c r="C310" s="1">
        <f t="shared" si="98"/>
        <v>24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 t="shared" si="99"/>
        <v>0</v>
      </c>
      <c r="G310" s="1">
        <f t="shared" si="100"/>
        <v>17</v>
      </c>
      <c r="H310" s="2">
        <f t="shared" si="101"/>
        <v>0.70833333333333337</v>
      </c>
      <c r="I310" s="6"/>
      <c r="J310" s="2">
        <f t="shared" si="102"/>
        <v>0.125</v>
      </c>
      <c r="K310" s="2">
        <f t="shared" si="103"/>
        <v>0.83333333333333337</v>
      </c>
      <c r="L310" s="2">
        <f t="shared" si="104"/>
        <v>0</v>
      </c>
      <c r="M310" s="2">
        <f t="shared" si="105"/>
        <v>4.166666666666663E-2</v>
      </c>
      <c r="N310" s="63">
        <v>3</v>
      </c>
      <c r="O310" s="63">
        <v>20</v>
      </c>
      <c r="P310" s="63">
        <v>0</v>
      </c>
      <c r="Q310" s="63">
        <v>1</v>
      </c>
      <c r="R310" s="63">
        <v>0</v>
      </c>
      <c r="S310" s="63">
        <v>0</v>
      </c>
      <c r="T310" s="67"/>
      <c r="U310" s="63"/>
      <c r="V310" s="63"/>
      <c r="W310" s="63">
        <f t="shared" si="109"/>
        <v>0</v>
      </c>
      <c r="X310" s="63"/>
      <c r="Y310" s="63"/>
      <c r="Z310" s="63"/>
      <c r="AA310" s="63"/>
      <c r="AB310" s="63"/>
      <c r="AE310" s="8">
        <v>0</v>
      </c>
      <c r="AT310" t="str">
        <f t="shared" si="106"/>
        <v>Drew</v>
      </c>
      <c r="AU310" t="s">
        <v>2481</v>
      </c>
      <c r="AV310">
        <v>2</v>
      </c>
      <c r="AX310" s="114">
        <v>23</v>
      </c>
      <c r="AY310" s="116">
        <v>19</v>
      </c>
      <c r="AZ310" s="116">
        <v>80</v>
      </c>
      <c r="BA310" s="120">
        <v>18580</v>
      </c>
      <c r="BB310" s="120">
        <f t="shared" si="107"/>
        <v>23019</v>
      </c>
      <c r="BC310" t="s">
        <v>3075</v>
      </c>
      <c r="BD310">
        <f t="shared" si="108"/>
        <v>2318580</v>
      </c>
      <c r="BE310" s="1">
        <v>0</v>
      </c>
      <c r="BI310">
        <v>38.78</v>
      </c>
      <c r="BJ310">
        <v>1.17</v>
      </c>
      <c r="BK310">
        <v>37.61</v>
      </c>
      <c r="BS310" s="63">
        <v>0</v>
      </c>
      <c r="CK310" s="1" t="s">
        <v>3868</v>
      </c>
    </row>
    <row r="311" spans="1:89" hidden="1" outlineLevel="1">
      <c r="A311" s="34" t="s">
        <v>739</v>
      </c>
      <c r="B311" s="8" t="s">
        <v>1697</v>
      </c>
      <c r="C311" s="1">
        <f t="shared" si="98"/>
        <v>7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 t="shared" si="99"/>
        <v>0</v>
      </c>
      <c r="G311" s="1">
        <f t="shared" si="100"/>
        <v>3</v>
      </c>
      <c r="H311" s="2">
        <f t="shared" si="101"/>
        <v>0.42857142857142855</v>
      </c>
      <c r="I311" s="6"/>
      <c r="J311" s="2">
        <f t="shared" si="102"/>
        <v>0.2857142857142857</v>
      </c>
      <c r="K311" s="2">
        <f t="shared" si="103"/>
        <v>0.7142857142857143</v>
      </c>
      <c r="L311" s="2">
        <f t="shared" si="104"/>
        <v>0</v>
      </c>
      <c r="M311" s="2">
        <f t="shared" si="105"/>
        <v>0</v>
      </c>
      <c r="N311" s="63">
        <v>2</v>
      </c>
      <c r="O311" s="63">
        <v>5</v>
      </c>
      <c r="P311" s="63">
        <v>0</v>
      </c>
      <c r="Q311" s="63">
        <v>0</v>
      </c>
      <c r="R311" s="63">
        <v>0</v>
      </c>
      <c r="S311" s="63">
        <v>0</v>
      </c>
      <c r="T311" s="67"/>
      <c r="U311" s="63"/>
      <c r="V311" s="63"/>
      <c r="W311" s="63">
        <f t="shared" si="109"/>
        <v>0</v>
      </c>
      <c r="X311" s="63"/>
      <c r="Y311" s="63"/>
      <c r="Z311" s="63"/>
      <c r="AA311" s="63"/>
      <c r="AB311" s="63"/>
      <c r="AE311" s="8">
        <v>0</v>
      </c>
      <c r="AT311" t="str">
        <f t="shared" si="106"/>
        <v>DTT9 &amp; T10</v>
      </c>
      <c r="AU311" t="s">
        <v>597</v>
      </c>
      <c r="AV311">
        <v>2</v>
      </c>
      <c r="AX311" s="114">
        <v>23</v>
      </c>
      <c r="AY311" s="116">
        <v>9</v>
      </c>
      <c r="BA311" s="120">
        <v>16750</v>
      </c>
      <c r="BB311" s="120">
        <f t="shared" si="107"/>
        <v>23009</v>
      </c>
      <c r="BC311" t="s">
        <v>957</v>
      </c>
      <c r="BD311">
        <f t="shared" si="108"/>
        <v>2316750</v>
      </c>
      <c r="BE311" s="1">
        <v>0</v>
      </c>
      <c r="BS311" s="63">
        <v>0</v>
      </c>
      <c r="CK311" s="1" t="s">
        <v>3869</v>
      </c>
    </row>
    <row r="312" spans="1:89" hidden="1" outlineLevel="1">
      <c r="A312" t="s">
        <v>2221</v>
      </c>
      <c r="B312" s="8" t="s">
        <v>1697</v>
      </c>
      <c r="C312" s="1">
        <f t="shared" si="98"/>
        <v>2540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 t="shared" si="99"/>
        <v>0</v>
      </c>
      <c r="G312" s="1">
        <f t="shared" si="100"/>
        <v>182</v>
      </c>
      <c r="H312" s="2">
        <f t="shared" si="101"/>
        <v>7.165354330708662E-2</v>
      </c>
      <c r="I312" s="6"/>
      <c r="J312" s="2">
        <f t="shared" si="102"/>
        <v>0.42677165354330709</v>
      </c>
      <c r="K312" s="2">
        <f t="shared" si="103"/>
        <v>0.49842519685039371</v>
      </c>
      <c r="L312" s="2">
        <f t="shared" si="104"/>
        <v>0</v>
      </c>
      <c r="M312" s="2">
        <f t="shared" si="105"/>
        <v>7.4803149606299246E-2</v>
      </c>
      <c r="N312" s="63">
        <v>1084</v>
      </c>
      <c r="O312" s="63">
        <v>1266</v>
      </c>
      <c r="P312" s="63">
        <v>0</v>
      </c>
      <c r="Q312" s="63">
        <v>147</v>
      </c>
      <c r="R312" s="63">
        <v>43</v>
      </c>
      <c r="S312" s="63">
        <v>0</v>
      </c>
      <c r="T312" s="67"/>
      <c r="U312" s="63"/>
      <c r="V312" s="63"/>
      <c r="W312" s="63">
        <f t="shared" si="109"/>
        <v>0</v>
      </c>
      <c r="X312" s="63"/>
      <c r="Y312" s="63"/>
      <c r="Z312" s="63"/>
      <c r="AA312" s="63"/>
      <c r="AB312" s="63"/>
      <c r="AE312" s="8">
        <v>0</v>
      </c>
      <c r="AT312" t="str">
        <f t="shared" si="106"/>
        <v>Durham</v>
      </c>
      <c r="AU312" t="s">
        <v>1118</v>
      </c>
      <c r="AV312">
        <v>2</v>
      </c>
      <c r="AX312" s="114">
        <v>23</v>
      </c>
      <c r="AY312" s="116">
        <v>1</v>
      </c>
      <c r="AZ312" s="116">
        <v>10</v>
      </c>
      <c r="BA312" s="120">
        <v>19105</v>
      </c>
      <c r="BB312" s="120">
        <f t="shared" si="107"/>
        <v>23001</v>
      </c>
      <c r="BC312" t="s">
        <v>1472</v>
      </c>
      <c r="BD312">
        <f t="shared" si="108"/>
        <v>2319105</v>
      </c>
      <c r="BE312" s="1">
        <v>71</v>
      </c>
      <c r="BI312">
        <v>38.75</v>
      </c>
      <c r="BJ312">
        <v>0.65</v>
      </c>
      <c r="BK312">
        <v>38.1</v>
      </c>
      <c r="BS312" s="63">
        <v>0</v>
      </c>
      <c r="CK312" s="1" t="s">
        <v>3870</v>
      </c>
    </row>
    <row r="313" spans="1:89" hidden="1" outlineLevel="1">
      <c r="A313" t="s">
        <v>667</v>
      </c>
      <c r="B313" s="8" t="s">
        <v>1697</v>
      </c>
      <c r="C313" s="1">
        <f t="shared" si="98"/>
        <v>147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 t="shared" si="99"/>
        <v>0</v>
      </c>
      <c r="G313" s="1">
        <f t="shared" si="100"/>
        <v>58</v>
      </c>
      <c r="H313" s="2">
        <f t="shared" si="101"/>
        <v>0.39455782312925169</v>
      </c>
      <c r="I313" s="6"/>
      <c r="J313" s="2">
        <f t="shared" si="102"/>
        <v>0.25850340136054423</v>
      </c>
      <c r="K313" s="2">
        <f t="shared" si="103"/>
        <v>0.65306122448979587</v>
      </c>
      <c r="L313" s="2">
        <f t="shared" si="104"/>
        <v>0</v>
      </c>
      <c r="M313" s="2">
        <f t="shared" si="105"/>
        <v>8.8435374149659851E-2</v>
      </c>
      <c r="N313" s="63">
        <v>38</v>
      </c>
      <c r="O313" s="63">
        <v>96</v>
      </c>
      <c r="P313" s="63">
        <v>0</v>
      </c>
      <c r="Q313" s="63">
        <v>9</v>
      </c>
      <c r="R313" s="63">
        <v>4</v>
      </c>
      <c r="S313" s="63">
        <v>0</v>
      </c>
      <c r="T313" s="67"/>
      <c r="U313" s="63"/>
      <c r="V313" s="63"/>
      <c r="W313" s="63">
        <f t="shared" si="109"/>
        <v>0</v>
      </c>
      <c r="X313" s="63"/>
      <c r="Y313" s="63"/>
      <c r="Z313" s="63"/>
      <c r="AA313" s="63"/>
      <c r="AB313" s="63"/>
      <c r="AE313" s="8">
        <v>0</v>
      </c>
      <c r="AT313" t="str">
        <f t="shared" si="106"/>
        <v>Dyer Brook</v>
      </c>
      <c r="AU313" t="s">
        <v>2830</v>
      </c>
      <c r="AV313">
        <v>2</v>
      </c>
      <c r="AX313" s="114">
        <v>23</v>
      </c>
      <c r="AY313" s="116">
        <v>3</v>
      </c>
      <c r="AZ313" s="116">
        <v>75</v>
      </c>
      <c r="BA313" s="120">
        <v>19210</v>
      </c>
      <c r="BB313" s="120">
        <f t="shared" si="107"/>
        <v>23003</v>
      </c>
      <c r="BC313" t="s">
        <v>1472</v>
      </c>
      <c r="BD313">
        <f t="shared" si="108"/>
        <v>2319210</v>
      </c>
      <c r="BE313" s="1">
        <v>3</v>
      </c>
      <c r="BI313">
        <v>38.51</v>
      </c>
      <c r="BJ313">
        <v>0.01</v>
      </c>
      <c r="BK313">
        <v>38.5</v>
      </c>
      <c r="BS313" s="63">
        <v>0</v>
      </c>
      <c r="CK313" s="1" t="s">
        <v>3871</v>
      </c>
    </row>
    <row r="314" spans="1:89" hidden="1" outlineLevel="1">
      <c r="A314" t="s">
        <v>3239</v>
      </c>
      <c r="B314" s="8" t="s">
        <v>1697</v>
      </c>
      <c r="C314" s="1">
        <f t="shared" si="98"/>
        <v>35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 t="shared" si="99"/>
        <v>0</v>
      </c>
      <c r="G314" s="1">
        <f t="shared" si="100"/>
        <v>23</v>
      </c>
      <c r="H314" s="2">
        <f t="shared" si="101"/>
        <v>0.65714285714285714</v>
      </c>
      <c r="I314" s="6"/>
      <c r="J314" s="2">
        <f t="shared" si="102"/>
        <v>0.14285714285714285</v>
      </c>
      <c r="K314" s="2">
        <f t="shared" si="103"/>
        <v>0.8</v>
      </c>
      <c r="L314" s="2">
        <f t="shared" si="104"/>
        <v>0</v>
      </c>
      <c r="M314" s="2">
        <f t="shared" si="105"/>
        <v>5.7142857142857162E-2</v>
      </c>
      <c r="N314" s="63">
        <v>5</v>
      </c>
      <c r="O314" s="63">
        <v>28</v>
      </c>
      <c r="P314" s="63">
        <v>0</v>
      </c>
      <c r="Q314" s="63">
        <v>1</v>
      </c>
      <c r="R314" s="63">
        <v>1</v>
      </c>
      <c r="S314" s="63">
        <v>0</v>
      </c>
      <c r="T314" s="67"/>
      <c r="U314" s="63"/>
      <c r="V314" s="63"/>
      <c r="W314" s="63">
        <f t="shared" si="109"/>
        <v>0</v>
      </c>
      <c r="X314" s="63"/>
      <c r="Y314" s="63"/>
      <c r="Z314" s="63"/>
      <c r="AA314" s="63"/>
      <c r="AB314" s="63"/>
      <c r="AE314" s="8">
        <v>0</v>
      </c>
      <c r="AT314" t="str">
        <f t="shared" si="106"/>
        <v>E</v>
      </c>
      <c r="AU314" t="s">
        <v>2830</v>
      </c>
      <c r="AV314">
        <v>2</v>
      </c>
      <c r="AX314" s="114">
        <v>23</v>
      </c>
      <c r="AY314" s="116">
        <v>3</v>
      </c>
      <c r="BA314" s="120">
        <v>19300</v>
      </c>
      <c r="BB314" s="120">
        <f t="shared" si="107"/>
        <v>23003</v>
      </c>
      <c r="BC314" t="s">
        <v>957</v>
      </c>
      <c r="BD314">
        <f t="shared" si="108"/>
        <v>2319300</v>
      </c>
      <c r="BE314" s="1">
        <v>0</v>
      </c>
      <c r="BS314" s="63">
        <v>0</v>
      </c>
      <c r="CK314" s="1" t="s">
        <v>3872</v>
      </c>
    </row>
    <row r="315" spans="1:89" hidden="1" outlineLevel="1">
      <c r="A315" t="s">
        <v>362</v>
      </c>
      <c r="B315" s="8" t="s">
        <v>1697</v>
      </c>
      <c r="C315" s="1">
        <f t="shared" si="98"/>
        <v>468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 t="shared" si="99"/>
        <v>0</v>
      </c>
      <c r="G315" s="1">
        <f t="shared" si="100"/>
        <v>13</v>
      </c>
      <c r="H315" s="2">
        <f t="shared" si="101"/>
        <v>2.7777777777777776E-2</v>
      </c>
      <c r="I315" s="6"/>
      <c r="J315" s="2">
        <f t="shared" si="102"/>
        <v>0.46581196581196582</v>
      </c>
      <c r="K315" s="2">
        <f t="shared" si="103"/>
        <v>0.49358974358974361</v>
      </c>
      <c r="L315" s="2">
        <f t="shared" si="104"/>
        <v>0</v>
      </c>
      <c r="M315" s="2">
        <f t="shared" si="105"/>
        <v>4.0598290598290565E-2</v>
      </c>
      <c r="N315" s="63">
        <v>218</v>
      </c>
      <c r="O315" s="63">
        <v>231</v>
      </c>
      <c r="P315" s="63">
        <v>0</v>
      </c>
      <c r="Q315" s="63">
        <v>16</v>
      </c>
      <c r="R315" s="63">
        <v>3</v>
      </c>
      <c r="S315" s="63">
        <v>0</v>
      </c>
      <c r="T315" s="67"/>
      <c r="U315" s="63"/>
      <c r="V315" s="63"/>
      <c r="W315" s="63">
        <f t="shared" si="109"/>
        <v>0</v>
      </c>
      <c r="X315" s="63"/>
      <c r="Y315" s="63"/>
      <c r="Z315" s="63"/>
      <c r="AA315" s="63"/>
      <c r="AB315" s="63"/>
      <c r="AE315" s="8">
        <v>0</v>
      </c>
      <c r="AT315" t="str">
        <f t="shared" si="106"/>
        <v>Eagle Lake</v>
      </c>
      <c r="AU315" t="s">
        <v>2830</v>
      </c>
      <c r="AV315">
        <v>2</v>
      </c>
      <c r="AX315" s="114">
        <v>23</v>
      </c>
      <c r="AY315" s="116">
        <v>3</v>
      </c>
      <c r="AZ315" s="116">
        <v>85</v>
      </c>
      <c r="BA315" s="120">
        <v>19420</v>
      </c>
      <c r="BB315" s="120">
        <f t="shared" si="107"/>
        <v>23003</v>
      </c>
      <c r="BC315" t="s">
        <v>1472</v>
      </c>
      <c r="BD315">
        <f t="shared" si="108"/>
        <v>2319420</v>
      </c>
      <c r="BE315" s="1">
        <v>15</v>
      </c>
      <c r="BI315">
        <v>39.31</v>
      </c>
      <c r="BJ315">
        <v>2.13</v>
      </c>
      <c r="BK315">
        <v>37.18</v>
      </c>
      <c r="BS315" s="63">
        <v>0</v>
      </c>
      <c r="CK315" s="1" t="s">
        <v>3873</v>
      </c>
    </row>
    <row r="316" spans="1:89" hidden="1" outlineLevel="1">
      <c r="A316" t="s">
        <v>2651</v>
      </c>
      <c r="B316" s="8" t="s">
        <v>1697</v>
      </c>
      <c r="C316" s="1">
        <f t="shared" si="98"/>
        <v>714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 t="shared" si="99"/>
        <v>5</v>
      </c>
      <c r="G316" s="1">
        <f t="shared" si="100"/>
        <v>179</v>
      </c>
      <c r="H316" s="2">
        <f t="shared" si="101"/>
        <v>0.25070028011204482</v>
      </c>
      <c r="I316" s="6"/>
      <c r="J316" s="2">
        <f t="shared" si="102"/>
        <v>0.34313725490196079</v>
      </c>
      <c r="K316" s="2">
        <f t="shared" si="103"/>
        <v>0.5938375350140056</v>
      </c>
      <c r="L316" s="2">
        <f t="shared" si="104"/>
        <v>4.2016806722689074E-3</v>
      </c>
      <c r="M316" s="2">
        <f t="shared" si="105"/>
        <v>5.8823529411764705E-2</v>
      </c>
      <c r="N316" s="63">
        <v>245</v>
      </c>
      <c r="O316" s="63">
        <v>424</v>
      </c>
      <c r="P316" s="63">
        <v>3</v>
      </c>
      <c r="Q316" s="63">
        <v>27</v>
      </c>
      <c r="R316" s="63">
        <v>15</v>
      </c>
      <c r="S316" s="63">
        <v>0</v>
      </c>
      <c r="T316" s="67"/>
      <c r="U316" s="63"/>
      <c r="V316" s="63"/>
      <c r="W316" s="63">
        <f t="shared" si="109"/>
        <v>0</v>
      </c>
      <c r="X316" s="63"/>
      <c r="Y316" s="63"/>
      <c r="Z316" s="63"/>
      <c r="AA316" s="63"/>
      <c r="AB316" s="63"/>
      <c r="AE316" s="8">
        <v>0</v>
      </c>
      <c r="AT316" t="str">
        <f t="shared" si="106"/>
        <v>East Machias</v>
      </c>
      <c r="AU316" t="s">
        <v>692</v>
      </c>
      <c r="AV316">
        <v>2</v>
      </c>
      <c r="AX316" s="114">
        <v>23</v>
      </c>
      <c r="AY316" s="116">
        <v>29</v>
      </c>
      <c r="AZ316" s="116">
        <v>95</v>
      </c>
      <c r="BA316" s="120">
        <v>20960</v>
      </c>
      <c r="BB316" s="120">
        <f t="shared" si="107"/>
        <v>23029</v>
      </c>
      <c r="BC316" t="s">
        <v>1472</v>
      </c>
      <c r="BD316">
        <f t="shared" si="108"/>
        <v>2320960</v>
      </c>
      <c r="BE316" s="1">
        <v>13</v>
      </c>
      <c r="BI316">
        <v>40.01</v>
      </c>
      <c r="BJ316">
        <v>4.8</v>
      </c>
      <c r="BK316">
        <v>35.21</v>
      </c>
      <c r="BS316" s="63">
        <v>0</v>
      </c>
      <c r="CK316" s="1" t="s">
        <v>3874</v>
      </c>
    </row>
    <row r="317" spans="1:89" hidden="1" outlineLevel="1">
      <c r="A317" t="s">
        <v>1997</v>
      </c>
      <c r="B317" s="8" t="s">
        <v>1697</v>
      </c>
      <c r="C317" s="1">
        <f t="shared" si="98"/>
        <v>921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 t="shared" si="99"/>
        <v>0</v>
      </c>
      <c r="G317" s="1">
        <f t="shared" si="100"/>
        <v>121</v>
      </c>
      <c r="H317" s="2">
        <f t="shared" si="101"/>
        <v>0.13137893593919653</v>
      </c>
      <c r="I317" s="6"/>
      <c r="J317" s="2">
        <f t="shared" si="102"/>
        <v>0.40499457111834963</v>
      </c>
      <c r="K317" s="2">
        <f t="shared" si="103"/>
        <v>0.53637350705754616</v>
      </c>
      <c r="L317" s="2">
        <f t="shared" si="104"/>
        <v>0</v>
      </c>
      <c r="M317" s="2">
        <f t="shared" si="105"/>
        <v>5.8631921824104261E-2</v>
      </c>
      <c r="N317" s="63">
        <v>373</v>
      </c>
      <c r="O317" s="63">
        <v>494</v>
      </c>
      <c r="P317" s="63">
        <v>0</v>
      </c>
      <c r="Q317" s="63">
        <v>37</v>
      </c>
      <c r="R317" s="63">
        <v>17</v>
      </c>
      <c r="S317" s="63">
        <v>0</v>
      </c>
      <c r="T317" s="67"/>
      <c r="U317" s="63"/>
      <c r="V317" s="63"/>
      <c r="W317" s="63">
        <f t="shared" si="109"/>
        <v>0</v>
      </c>
      <c r="X317" s="63"/>
      <c r="Y317" s="63"/>
      <c r="Z317" s="63"/>
      <c r="AA317" s="63"/>
      <c r="AB317" s="63"/>
      <c r="AE317" s="8">
        <v>0</v>
      </c>
      <c r="AT317" t="str">
        <f t="shared" si="106"/>
        <v>East Millinocket</v>
      </c>
      <c r="AU317" t="s">
        <v>2481</v>
      </c>
      <c r="AV317">
        <v>2</v>
      </c>
      <c r="AX317" s="114">
        <v>23</v>
      </c>
      <c r="AY317" s="116">
        <v>19</v>
      </c>
      <c r="AZ317" s="116">
        <v>85</v>
      </c>
      <c r="BA317" s="120">
        <v>21030</v>
      </c>
      <c r="BB317" s="120">
        <f t="shared" si="107"/>
        <v>23019</v>
      </c>
      <c r="BC317" t="s">
        <v>1472</v>
      </c>
      <c r="BD317">
        <f t="shared" si="108"/>
        <v>2321030</v>
      </c>
      <c r="BE317" s="1">
        <v>29</v>
      </c>
      <c r="BI317">
        <v>7.89</v>
      </c>
      <c r="BJ317">
        <v>0.76</v>
      </c>
      <c r="BK317">
        <v>7.13</v>
      </c>
      <c r="BS317" s="63">
        <v>0</v>
      </c>
      <c r="CK317" s="1" t="s">
        <v>3875</v>
      </c>
    </row>
    <row r="318" spans="1:89" hidden="1" outlineLevel="1">
      <c r="A318" t="s">
        <v>674</v>
      </c>
      <c r="B318" s="8" t="s">
        <v>1697</v>
      </c>
      <c r="C318" s="1">
        <f t="shared" si="98"/>
        <v>239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 t="shared" si="99"/>
        <v>0</v>
      </c>
      <c r="G318" s="1">
        <f t="shared" si="100"/>
        <v>84</v>
      </c>
      <c r="H318" s="2">
        <f t="shared" si="101"/>
        <v>0.35146443514644349</v>
      </c>
      <c r="I318" s="6"/>
      <c r="J318" s="2">
        <f t="shared" si="102"/>
        <v>0.27615062761506276</v>
      </c>
      <c r="K318" s="2">
        <f t="shared" si="103"/>
        <v>0.62761506276150625</v>
      </c>
      <c r="L318" s="2">
        <f t="shared" si="104"/>
        <v>0</v>
      </c>
      <c r="M318" s="2">
        <f t="shared" si="105"/>
        <v>9.6234309623431047E-2</v>
      </c>
      <c r="N318" s="63">
        <v>66</v>
      </c>
      <c r="O318" s="63">
        <v>150</v>
      </c>
      <c r="P318" s="63">
        <v>0</v>
      </c>
      <c r="Q318" s="63">
        <v>16</v>
      </c>
      <c r="R318" s="63">
        <v>6</v>
      </c>
      <c r="S318" s="63">
        <v>1</v>
      </c>
      <c r="T318" s="67"/>
      <c r="U318" s="63"/>
      <c r="V318" s="63"/>
      <c r="W318" s="63">
        <f t="shared" si="109"/>
        <v>0</v>
      </c>
      <c r="X318" s="63"/>
      <c r="Y318" s="63"/>
      <c r="Z318" s="63"/>
      <c r="AA318" s="63"/>
      <c r="AB318" s="63"/>
      <c r="AE318" s="8">
        <v>0</v>
      </c>
      <c r="AT318" t="str">
        <f t="shared" si="106"/>
        <v>Eastbrook</v>
      </c>
      <c r="AU318" t="s">
        <v>597</v>
      </c>
      <c r="AV318">
        <v>2</v>
      </c>
      <c r="AX318" s="114">
        <v>23</v>
      </c>
      <c r="AY318" s="116">
        <v>9</v>
      </c>
      <c r="AZ318" s="116">
        <v>60</v>
      </c>
      <c r="BA318" s="120">
        <v>19770</v>
      </c>
      <c r="BB318" s="120">
        <f t="shared" si="107"/>
        <v>23009</v>
      </c>
      <c r="BC318" t="s">
        <v>1472</v>
      </c>
      <c r="BD318">
        <f t="shared" si="108"/>
        <v>2319770</v>
      </c>
      <c r="BE318" s="1">
        <v>5</v>
      </c>
      <c r="BI318">
        <v>37.590000000000003</v>
      </c>
      <c r="BJ318">
        <v>4.32</v>
      </c>
      <c r="BK318">
        <v>33.28</v>
      </c>
      <c r="BS318" s="63">
        <v>0</v>
      </c>
      <c r="CK318" s="1" t="s">
        <v>3876</v>
      </c>
    </row>
    <row r="319" spans="1:89" hidden="1" outlineLevel="1">
      <c r="A319" t="s">
        <v>2524</v>
      </c>
      <c r="B319" s="8" t="s">
        <v>1697</v>
      </c>
      <c r="C319" s="1">
        <f t="shared" si="98"/>
        <v>669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 t="shared" si="99"/>
        <v>5</v>
      </c>
      <c r="G319" s="1">
        <f t="shared" si="100"/>
        <v>191</v>
      </c>
      <c r="H319" s="2">
        <f t="shared" si="101"/>
        <v>0.28550074738415543</v>
      </c>
      <c r="I319" s="6"/>
      <c r="J319" s="2">
        <f t="shared" si="102"/>
        <v>0.32436472346786249</v>
      </c>
      <c r="K319" s="2">
        <f t="shared" si="103"/>
        <v>0.60986547085201792</v>
      </c>
      <c r="L319" s="2">
        <f t="shared" si="104"/>
        <v>1.4947683109118087E-3</v>
      </c>
      <c r="M319" s="2">
        <f t="shared" si="105"/>
        <v>6.4275037369207783E-2</v>
      </c>
      <c r="N319" s="63">
        <v>217</v>
      </c>
      <c r="O319" s="63">
        <v>408</v>
      </c>
      <c r="P319" s="63">
        <v>1</v>
      </c>
      <c r="Q319" s="63">
        <v>28</v>
      </c>
      <c r="R319" s="63">
        <v>15</v>
      </c>
      <c r="S319" s="63">
        <v>0</v>
      </c>
      <c r="T319" s="67"/>
      <c r="U319" s="63"/>
      <c r="V319" s="63"/>
      <c r="W319" s="63">
        <f t="shared" si="109"/>
        <v>0</v>
      </c>
      <c r="X319" s="63"/>
      <c r="Y319" s="63"/>
      <c r="Z319" s="63"/>
      <c r="AA319" s="63"/>
      <c r="AB319" s="63"/>
      <c r="AE319" s="8">
        <v>0</v>
      </c>
      <c r="AT319" t="str">
        <f t="shared" si="106"/>
        <v>Easton</v>
      </c>
      <c r="AU319" t="s">
        <v>2830</v>
      </c>
      <c r="AV319">
        <v>2</v>
      </c>
      <c r="AX319" s="114">
        <v>23</v>
      </c>
      <c r="AY319" s="116">
        <v>3</v>
      </c>
      <c r="AZ319" s="116">
        <v>90</v>
      </c>
      <c r="BA319" s="120">
        <v>21380</v>
      </c>
      <c r="BB319" s="120">
        <f t="shared" si="107"/>
        <v>23003</v>
      </c>
      <c r="BC319" t="s">
        <v>1472</v>
      </c>
      <c r="BD319">
        <f t="shared" si="108"/>
        <v>2321380</v>
      </c>
      <c r="BE319" s="1">
        <v>20</v>
      </c>
      <c r="BI319">
        <v>38.96</v>
      </c>
      <c r="BJ319">
        <v>0.22</v>
      </c>
      <c r="BK319">
        <v>38.74</v>
      </c>
      <c r="BS319" s="63">
        <v>0</v>
      </c>
      <c r="CK319" s="1" t="s">
        <v>3877</v>
      </c>
    </row>
    <row r="320" spans="1:89" hidden="1" outlineLevel="1">
      <c r="A320" t="s">
        <v>525</v>
      </c>
      <c r="B320" s="8" t="s">
        <v>1697</v>
      </c>
      <c r="C320" s="1">
        <f t="shared" si="98"/>
        <v>780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 t="shared" si="99"/>
        <v>0</v>
      </c>
      <c r="G320" s="1">
        <f t="shared" si="100"/>
        <v>99</v>
      </c>
      <c r="H320" s="2">
        <f t="shared" si="101"/>
        <v>0.12692307692307692</v>
      </c>
      <c r="I320" s="6"/>
      <c r="J320" s="2">
        <f t="shared" si="102"/>
        <v>0.52307692307692311</v>
      </c>
      <c r="K320" s="2">
        <f t="shared" si="103"/>
        <v>0.39615384615384613</v>
      </c>
      <c r="L320" s="2">
        <f t="shared" si="104"/>
        <v>0</v>
      </c>
      <c r="M320" s="2">
        <f t="shared" si="105"/>
        <v>8.076923076923076E-2</v>
      </c>
      <c r="N320" s="63">
        <v>408</v>
      </c>
      <c r="O320" s="63">
        <v>309</v>
      </c>
      <c r="P320" s="63">
        <v>0</v>
      </c>
      <c r="Q320" s="63">
        <v>24</v>
      </c>
      <c r="R320" s="63">
        <v>39</v>
      </c>
      <c r="S320" s="63">
        <v>0</v>
      </c>
      <c r="T320" s="67"/>
      <c r="U320" s="63"/>
      <c r="V320" s="63"/>
      <c r="W320" s="63">
        <f t="shared" si="109"/>
        <v>0</v>
      </c>
      <c r="X320" s="63"/>
      <c r="Y320" s="63"/>
      <c r="Z320" s="63"/>
      <c r="AA320" s="63"/>
      <c r="AB320" s="63"/>
      <c r="AE320" s="8">
        <v>0</v>
      </c>
      <c r="AT320" t="str">
        <f t="shared" si="106"/>
        <v>Eastport</v>
      </c>
      <c r="AU320" t="s">
        <v>692</v>
      </c>
      <c r="AV320">
        <v>2</v>
      </c>
      <c r="AX320" s="114">
        <v>23</v>
      </c>
      <c r="AY320" s="116">
        <v>29</v>
      </c>
      <c r="AZ320" s="116">
        <v>100</v>
      </c>
      <c r="BA320" s="120">
        <v>21730</v>
      </c>
      <c r="BB320" s="120">
        <f t="shared" si="107"/>
        <v>23029</v>
      </c>
      <c r="BC320" t="s">
        <v>1249</v>
      </c>
      <c r="BD320">
        <f t="shared" si="108"/>
        <v>2321730</v>
      </c>
      <c r="BE320" s="1">
        <v>35</v>
      </c>
      <c r="BI320">
        <v>12.06</v>
      </c>
      <c r="BJ320">
        <v>8.4</v>
      </c>
      <c r="BK320">
        <v>3.66</v>
      </c>
      <c r="BS320" s="63">
        <v>0</v>
      </c>
      <c r="CK320" s="1" t="s">
        <v>3878</v>
      </c>
    </row>
    <row r="321" spans="1:89" hidden="1" outlineLevel="1">
      <c r="A321" t="s">
        <v>1507</v>
      </c>
      <c r="B321" s="8" t="s">
        <v>1697</v>
      </c>
      <c r="C321" s="1">
        <f t="shared" si="98"/>
        <v>1334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 t="shared" si="99"/>
        <v>0</v>
      </c>
      <c r="G321" s="1">
        <f t="shared" si="100"/>
        <v>340</v>
      </c>
      <c r="H321" s="2">
        <f t="shared" si="101"/>
        <v>0.25487256371814093</v>
      </c>
      <c r="I321" s="6"/>
      <c r="J321" s="2">
        <f t="shared" si="102"/>
        <v>0.33283358320839579</v>
      </c>
      <c r="K321" s="2">
        <f t="shared" si="103"/>
        <v>0.58770614692653678</v>
      </c>
      <c r="L321" s="2">
        <f t="shared" si="104"/>
        <v>0</v>
      </c>
      <c r="M321" s="2">
        <f t="shared" si="105"/>
        <v>7.946026986506749E-2</v>
      </c>
      <c r="N321" s="63">
        <v>444</v>
      </c>
      <c r="O321" s="63">
        <v>784</v>
      </c>
      <c r="P321" s="63">
        <v>0</v>
      </c>
      <c r="Q321" s="63">
        <v>86</v>
      </c>
      <c r="R321" s="63">
        <v>20</v>
      </c>
      <c r="S321" s="63">
        <v>0</v>
      </c>
      <c r="T321" s="67"/>
      <c r="U321" s="63"/>
      <c r="V321" s="63"/>
      <c r="W321" s="63">
        <f t="shared" si="109"/>
        <v>0</v>
      </c>
      <c r="X321" s="63"/>
      <c r="Y321" s="63"/>
      <c r="Z321" s="63"/>
      <c r="AA321" s="63"/>
      <c r="AB321" s="63"/>
      <c r="AE321" s="8">
        <v>0</v>
      </c>
      <c r="AT321" t="str">
        <f t="shared" si="106"/>
        <v>Eddington</v>
      </c>
      <c r="AU321" t="s">
        <v>2481</v>
      </c>
      <c r="AV321">
        <v>2</v>
      </c>
      <c r="AX321" s="114">
        <v>23</v>
      </c>
      <c r="AY321" s="116">
        <v>19</v>
      </c>
      <c r="AZ321" s="116">
        <v>90</v>
      </c>
      <c r="BA321" s="120">
        <v>22535</v>
      </c>
      <c r="BB321" s="120">
        <f t="shared" si="107"/>
        <v>23019</v>
      </c>
      <c r="BC321" t="s">
        <v>1472</v>
      </c>
      <c r="BD321">
        <f t="shared" si="108"/>
        <v>2322535</v>
      </c>
      <c r="BE321" s="1">
        <v>33</v>
      </c>
      <c r="BI321">
        <v>26.52</v>
      </c>
      <c r="BJ321">
        <v>1.41</v>
      </c>
      <c r="BK321">
        <v>25.11</v>
      </c>
      <c r="BS321" s="63">
        <v>0</v>
      </c>
      <c r="CK321" s="159" t="s">
        <v>3879</v>
      </c>
    </row>
    <row r="322" spans="1:89" hidden="1" outlineLevel="1">
      <c r="A322" t="s">
        <v>1547</v>
      </c>
      <c r="B322" s="8" t="s">
        <v>1697</v>
      </c>
      <c r="C322" s="1">
        <f t="shared" si="98"/>
        <v>805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 t="shared" si="99"/>
        <v>5</v>
      </c>
      <c r="G322" s="1">
        <f t="shared" si="100"/>
        <v>101</v>
      </c>
      <c r="H322" s="2">
        <f t="shared" si="101"/>
        <v>0.12546583850931678</v>
      </c>
      <c r="I322" s="6"/>
      <c r="J322" s="2">
        <f t="shared" si="102"/>
        <v>0.52422360248447208</v>
      </c>
      <c r="K322" s="2">
        <f t="shared" si="103"/>
        <v>0.39875776397515528</v>
      </c>
      <c r="L322" s="2">
        <f t="shared" si="104"/>
        <v>1.2422360248447205E-3</v>
      </c>
      <c r="M322" s="2">
        <f t="shared" si="105"/>
        <v>7.5776397515527921E-2</v>
      </c>
      <c r="N322" s="63">
        <v>422</v>
      </c>
      <c r="O322" s="63">
        <v>321</v>
      </c>
      <c r="P322" s="63">
        <v>1</v>
      </c>
      <c r="Q322" s="63">
        <v>47</v>
      </c>
      <c r="R322" s="63">
        <v>14</v>
      </c>
      <c r="S322" s="63">
        <v>0</v>
      </c>
      <c r="T322" s="67"/>
      <c r="U322" s="63"/>
      <c r="V322" s="63"/>
      <c r="W322" s="63">
        <f t="shared" si="109"/>
        <v>0</v>
      </c>
      <c r="X322" s="63"/>
      <c r="Y322" s="63"/>
      <c r="Z322" s="63"/>
      <c r="AA322" s="63"/>
      <c r="AB322" s="63"/>
      <c r="AE322" s="8">
        <v>0</v>
      </c>
      <c r="AT322" t="str">
        <f t="shared" si="106"/>
        <v>Edgecomb</v>
      </c>
      <c r="AU322" t="s">
        <v>1597</v>
      </c>
      <c r="AV322">
        <v>1</v>
      </c>
      <c r="AX322" s="114">
        <v>23</v>
      </c>
      <c r="AY322" s="116">
        <v>15</v>
      </c>
      <c r="AZ322" s="116">
        <v>40</v>
      </c>
      <c r="BA322" s="120">
        <v>22675</v>
      </c>
      <c r="BB322" s="120">
        <f t="shared" si="107"/>
        <v>23015</v>
      </c>
      <c r="BC322" t="s">
        <v>1472</v>
      </c>
      <c r="BD322">
        <f t="shared" si="108"/>
        <v>2322675</v>
      </c>
      <c r="BE322" s="1">
        <v>18</v>
      </c>
      <c r="BI322">
        <v>20.78</v>
      </c>
      <c r="BJ322">
        <v>2.71</v>
      </c>
      <c r="BK322">
        <v>18.07</v>
      </c>
      <c r="BS322" s="63">
        <v>0</v>
      </c>
      <c r="CK322" s="1" t="s">
        <v>3880</v>
      </c>
    </row>
    <row r="323" spans="1:89" hidden="1" outlineLevel="1">
      <c r="A323" t="s">
        <v>1035</v>
      </c>
      <c r="B323" s="8" t="s">
        <v>1697</v>
      </c>
      <c r="C323" s="1">
        <f t="shared" si="98"/>
        <v>74</v>
      </c>
      <c r="D323" s="5">
        <f>IF(N323&gt;0, RANK(N323,(N323:P323,Q323:AE323)),0)</f>
        <v>2</v>
      </c>
      <c r="E323" s="5">
        <f>IF(O323&gt;0,RANK(O323,(N323:P323,Q323:AE323)),0)</f>
        <v>1</v>
      </c>
      <c r="F323" s="5">
        <f t="shared" si="99"/>
        <v>0</v>
      </c>
      <c r="G323" s="1">
        <f t="shared" si="100"/>
        <v>21</v>
      </c>
      <c r="H323" s="2">
        <f t="shared" si="101"/>
        <v>0.28378378378378377</v>
      </c>
      <c r="I323" s="6"/>
      <c r="J323" s="2">
        <f t="shared" si="102"/>
        <v>0.35135135135135137</v>
      </c>
      <c r="K323" s="2">
        <f t="shared" si="103"/>
        <v>0.63513513513513509</v>
      </c>
      <c r="L323" s="2">
        <f t="shared" si="104"/>
        <v>0</v>
      </c>
      <c r="M323" s="2">
        <f t="shared" si="105"/>
        <v>1.3513513513513598E-2</v>
      </c>
      <c r="N323" s="63">
        <v>26</v>
      </c>
      <c r="O323" s="63">
        <v>47</v>
      </c>
      <c r="P323" s="63">
        <v>0</v>
      </c>
      <c r="Q323" s="63">
        <v>0</v>
      </c>
      <c r="R323" s="63">
        <v>1</v>
      </c>
      <c r="S323" s="63">
        <v>0</v>
      </c>
      <c r="T323" s="67"/>
      <c r="U323" s="63"/>
      <c r="V323" s="63"/>
      <c r="W323" s="63">
        <f t="shared" si="109"/>
        <v>0</v>
      </c>
      <c r="X323" s="63"/>
      <c r="Y323" s="63"/>
      <c r="Z323" s="63"/>
      <c r="AA323" s="63"/>
      <c r="AB323" s="63"/>
      <c r="AE323" s="8">
        <v>0</v>
      </c>
      <c r="AT323" t="str">
        <f t="shared" si="106"/>
        <v>Edinburg</v>
      </c>
      <c r="AU323" t="s">
        <v>2481</v>
      </c>
      <c r="AV323">
        <v>2</v>
      </c>
      <c r="AX323" s="114">
        <v>23</v>
      </c>
      <c r="AY323" s="116">
        <v>19</v>
      </c>
      <c r="AZ323" s="116">
        <v>95</v>
      </c>
      <c r="BA323" s="120">
        <v>22710</v>
      </c>
      <c r="BB323" s="120">
        <f t="shared" si="107"/>
        <v>23019</v>
      </c>
      <c r="BC323" t="s">
        <v>1472</v>
      </c>
      <c r="BD323">
        <f t="shared" si="108"/>
        <v>2322710</v>
      </c>
      <c r="BE323" s="1">
        <v>1</v>
      </c>
      <c r="BI323">
        <v>35.049999999999997</v>
      </c>
      <c r="BJ323">
        <v>0</v>
      </c>
      <c r="BK323">
        <v>35.049999999999997</v>
      </c>
      <c r="BS323" s="63">
        <v>0</v>
      </c>
      <c r="CK323" s="1" t="s">
        <v>3881</v>
      </c>
    </row>
    <row r="324" spans="1:89" hidden="1" outlineLevel="1">
      <c r="A324" t="s">
        <v>1965</v>
      </c>
      <c r="B324" s="8" t="s">
        <v>1697</v>
      </c>
      <c r="C324" s="1">
        <f t="shared" si="98"/>
        <v>0</v>
      </c>
      <c r="D324" s="5">
        <f>IF(N324&gt;0, RANK(N324,(N324:P324,Q324:AE324)),0)</f>
        <v>0</v>
      </c>
      <c r="E324" s="5">
        <f>IF(O324&gt;0,RANK(O324,(N324:P324,Q324:AE324)),0)</f>
        <v>0</v>
      </c>
      <c r="F324" s="5">
        <f t="shared" si="99"/>
        <v>0</v>
      </c>
      <c r="G324" s="1">
        <f t="shared" si="100"/>
        <v>0</v>
      </c>
      <c r="H324" s="2">
        <f t="shared" si="101"/>
        <v>0</v>
      </c>
      <c r="I324" s="6"/>
      <c r="J324" s="2" t="str">
        <f t="shared" si="102"/>
        <v>-</v>
      </c>
      <c r="K324" s="2" t="str">
        <f t="shared" si="103"/>
        <v>-</v>
      </c>
      <c r="L324" s="2" t="str">
        <f t="shared" si="104"/>
        <v>-</v>
      </c>
      <c r="M324" s="2" t="str">
        <f t="shared" si="105"/>
        <v>-</v>
      </c>
      <c r="N324" s="63"/>
      <c r="O324" s="63"/>
      <c r="P324" s="63"/>
      <c r="Q324" s="63"/>
      <c r="R324" s="63"/>
      <c r="S324" s="63"/>
      <c r="T324" s="67"/>
      <c r="U324" s="63"/>
      <c r="V324" s="63"/>
      <c r="W324" s="63">
        <f t="shared" si="109"/>
        <v>0</v>
      </c>
      <c r="X324" s="63"/>
      <c r="Y324" s="63"/>
      <c r="Z324" s="63"/>
      <c r="AA324" s="63"/>
      <c r="AB324" s="63"/>
      <c r="AT324" t="str">
        <f t="shared" si="106"/>
        <v>Edmunds</v>
      </c>
      <c r="AU324" t="s">
        <v>692</v>
      </c>
      <c r="AV324">
        <v>2</v>
      </c>
      <c r="AX324" s="114">
        <v>23</v>
      </c>
      <c r="AY324" s="116">
        <v>29</v>
      </c>
      <c r="BA324" s="120">
        <v>22800</v>
      </c>
      <c r="BB324" s="120">
        <f t="shared" si="107"/>
        <v>23029</v>
      </c>
      <c r="BC324" t="s">
        <v>957</v>
      </c>
      <c r="BD324">
        <f t="shared" si="108"/>
        <v>2322800</v>
      </c>
      <c r="BS324" s="63"/>
      <c r="CK324" s="1"/>
    </row>
    <row r="325" spans="1:89" hidden="1" outlineLevel="1">
      <c r="A325" t="s">
        <v>2601</v>
      </c>
      <c r="B325" s="8" t="s">
        <v>1697</v>
      </c>
      <c r="C325" s="1">
        <f t="shared" si="98"/>
        <v>4224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 t="shared" si="99"/>
        <v>5</v>
      </c>
      <c r="G325" s="1">
        <f t="shared" si="100"/>
        <v>553</v>
      </c>
      <c r="H325" s="2">
        <f t="shared" si="101"/>
        <v>0.13091856060606061</v>
      </c>
      <c r="I325" s="6"/>
      <c r="J325" s="2">
        <f t="shared" si="102"/>
        <v>0.53432765151515149</v>
      </c>
      <c r="K325" s="2">
        <f t="shared" si="103"/>
        <v>0.40340909090909088</v>
      </c>
      <c r="L325" s="2">
        <f t="shared" si="104"/>
        <v>7.1022727272727275E-4</v>
      </c>
      <c r="M325" s="2">
        <f t="shared" si="105"/>
        <v>6.1553030303030352E-2</v>
      </c>
      <c r="N325" s="63">
        <v>2257</v>
      </c>
      <c r="O325" s="63">
        <v>1704</v>
      </c>
      <c r="P325" s="63">
        <v>3</v>
      </c>
      <c r="Q325" s="63">
        <v>200</v>
      </c>
      <c r="R325" s="63">
        <v>58</v>
      </c>
      <c r="S325" s="63">
        <v>2</v>
      </c>
      <c r="T325" s="67"/>
      <c r="U325" s="63"/>
      <c r="V325" s="63"/>
      <c r="W325" s="63">
        <f t="shared" si="109"/>
        <v>0</v>
      </c>
      <c r="X325" s="63"/>
      <c r="Y325" s="63"/>
      <c r="Z325" s="63"/>
      <c r="AA325" s="63"/>
      <c r="AB325" s="63"/>
      <c r="AE325" s="8">
        <v>0</v>
      </c>
      <c r="AT325" t="str">
        <f t="shared" si="106"/>
        <v>Eliot</v>
      </c>
      <c r="AU325" t="s">
        <v>925</v>
      </c>
      <c r="AV325">
        <v>1</v>
      </c>
      <c r="AX325" s="114">
        <v>23</v>
      </c>
      <c r="AY325" s="116">
        <v>31</v>
      </c>
      <c r="AZ325" s="116">
        <v>45</v>
      </c>
      <c r="BA325" s="120">
        <v>22955</v>
      </c>
      <c r="BB325" s="120">
        <f t="shared" si="107"/>
        <v>23031</v>
      </c>
      <c r="BC325" t="s">
        <v>1472</v>
      </c>
      <c r="BD325">
        <f t="shared" si="108"/>
        <v>2322955</v>
      </c>
      <c r="BE325" s="1">
        <v>129</v>
      </c>
      <c r="BI325">
        <v>21.27</v>
      </c>
      <c r="BJ325">
        <v>1.55</v>
      </c>
      <c r="BK325">
        <v>19.72</v>
      </c>
      <c r="BS325" s="63">
        <v>0</v>
      </c>
      <c r="CK325" s="1" t="s">
        <v>3882</v>
      </c>
    </row>
    <row r="326" spans="1:89" hidden="1" outlineLevel="1">
      <c r="A326" t="s">
        <v>3240</v>
      </c>
      <c r="B326" s="8" t="s">
        <v>1697</v>
      </c>
      <c r="C326" s="1">
        <f t="shared" si="98"/>
        <v>15</v>
      </c>
      <c r="D326" s="5">
        <f>IF(N326&gt;0, RANK(N326,(N326:P326,Q326:AE326)),0)</f>
        <v>1</v>
      </c>
      <c r="E326" s="5">
        <f>IF(O326&gt;0,RANK(O326,(N326:P326,Q326:AE326)),0)</f>
        <v>2</v>
      </c>
      <c r="F326" s="5">
        <f t="shared" si="99"/>
        <v>0</v>
      </c>
      <c r="G326" s="1">
        <f t="shared" si="100"/>
        <v>1</v>
      </c>
      <c r="H326" s="2">
        <f t="shared" si="101"/>
        <v>6.6666666666666666E-2</v>
      </c>
      <c r="I326" s="6"/>
      <c r="J326" s="2">
        <f t="shared" si="102"/>
        <v>0.46666666666666667</v>
      </c>
      <c r="K326" s="2">
        <f t="shared" si="103"/>
        <v>0.4</v>
      </c>
      <c r="L326" s="2">
        <f t="shared" si="104"/>
        <v>0</v>
      </c>
      <c r="M326" s="2">
        <f t="shared" si="105"/>
        <v>0.1333333333333333</v>
      </c>
      <c r="N326" s="63">
        <v>7</v>
      </c>
      <c r="O326" s="63">
        <v>6</v>
      </c>
      <c r="P326" s="63">
        <v>0</v>
      </c>
      <c r="Q326" s="63">
        <v>1</v>
      </c>
      <c r="R326" s="63">
        <v>1</v>
      </c>
      <c r="S326" s="63">
        <v>0</v>
      </c>
      <c r="T326" s="67"/>
      <c r="U326" s="63"/>
      <c r="V326" s="63"/>
      <c r="W326" s="63">
        <f t="shared" si="109"/>
        <v>0</v>
      </c>
      <c r="X326" s="63"/>
      <c r="Y326" s="63"/>
      <c r="Z326" s="63"/>
      <c r="AA326" s="63"/>
      <c r="AB326" s="63"/>
      <c r="AE326" s="8">
        <v>0</v>
      </c>
      <c r="AT326" t="str">
        <f t="shared" si="106"/>
        <v>Elliottsville</v>
      </c>
      <c r="AU326" t="s">
        <v>1957</v>
      </c>
      <c r="AV326">
        <v>2</v>
      </c>
      <c r="AX326" s="114">
        <v>23</v>
      </c>
      <c r="AY326" s="116">
        <v>21</v>
      </c>
      <c r="BA326" s="142">
        <v>23100</v>
      </c>
      <c r="BB326" s="120">
        <f t="shared" si="107"/>
        <v>23021</v>
      </c>
      <c r="BC326" t="s">
        <v>957</v>
      </c>
      <c r="BD326">
        <f t="shared" si="108"/>
        <v>2323100</v>
      </c>
      <c r="BE326" s="1">
        <v>1</v>
      </c>
      <c r="BS326" s="63">
        <v>0</v>
      </c>
      <c r="CK326" s="1" t="s">
        <v>3883</v>
      </c>
    </row>
    <row r="327" spans="1:89" hidden="1" outlineLevel="1">
      <c r="A327" t="s">
        <v>1466</v>
      </c>
      <c r="B327" s="8" t="s">
        <v>1697</v>
      </c>
      <c r="C327" s="1">
        <f t="shared" si="98"/>
        <v>4272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 t="shared" si="99"/>
        <v>5</v>
      </c>
      <c r="G327" s="1">
        <f t="shared" si="100"/>
        <v>303</v>
      </c>
      <c r="H327" s="2">
        <f t="shared" si="101"/>
        <v>7.0926966292134838E-2</v>
      </c>
      <c r="I327" s="6"/>
      <c r="J327" s="2">
        <f t="shared" si="102"/>
        <v>0.42368913857677903</v>
      </c>
      <c r="K327" s="2">
        <f t="shared" si="103"/>
        <v>0.49461610486891383</v>
      </c>
      <c r="L327" s="2">
        <f t="shared" si="104"/>
        <v>3.2771535580524347E-3</v>
      </c>
      <c r="M327" s="2">
        <f t="shared" si="105"/>
        <v>7.8417602996254707E-2</v>
      </c>
      <c r="N327" s="63">
        <v>1810</v>
      </c>
      <c r="O327" s="63">
        <v>2113</v>
      </c>
      <c r="P327" s="63">
        <v>14</v>
      </c>
      <c r="Q327" s="63">
        <v>242</v>
      </c>
      <c r="R327" s="63">
        <v>90</v>
      </c>
      <c r="S327" s="63">
        <v>3</v>
      </c>
      <c r="T327" s="67"/>
      <c r="U327" s="63"/>
      <c r="V327" s="63"/>
      <c r="W327" s="63">
        <f t="shared" si="109"/>
        <v>0</v>
      </c>
      <c r="X327" s="63"/>
      <c r="Y327" s="63"/>
      <c r="Z327" s="63"/>
      <c r="AA327" s="63"/>
      <c r="AB327" s="63"/>
      <c r="AE327" s="8">
        <v>0</v>
      </c>
      <c r="AT327" t="str">
        <f t="shared" si="106"/>
        <v>Ellsworth</v>
      </c>
      <c r="AU327" t="s">
        <v>597</v>
      </c>
      <c r="AV327">
        <v>2</v>
      </c>
      <c r="AX327" s="114">
        <v>23</v>
      </c>
      <c r="AY327" s="116">
        <v>9</v>
      </c>
      <c r="AZ327" s="116">
        <v>65</v>
      </c>
      <c r="BA327" s="120">
        <v>23200</v>
      </c>
      <c r="BB327" s="120">
        <f t="shared" si="107"/>
        <v>23009</v>
      </c>
      <c r="BC327" t="s">
        <v>1249</v>
      </c>
      <c r="BD327">
        <f t="shared" si="108"/>
        <v>2323200</v>
      </c>
      <c r="BE327" s="1">
        <v>129</v>
      </c>
      <c r="BI327">
        <v>93.82</v>
      </c>
      <c r="BJ327">
        <v>14.57</v>
      </c>
      <c r="BK327">
        <v>79.25</v>
      </c>
      <c r="BS327" s="63">
        <v>0</v>
      </c>
      <c r="CK327" s="1" t="s">
        <v>3884</v>
      </c>
    </row>
    <row r="328" spans="1:89" hidden="1" outlineLevel="1">
      <c r="A328" t="s">
        <v>2432</v>
      </c>
      <c r="B328" s="8" t="s">
        <v>1697</v>
      </c>
      <c r="C328" s="1">
        <f t="shared" si="98"/>
        <v>524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 t="shared" si="99"/>
        <v>5</v>
      </c>
      <c r="G328" s="1">
        <f t="shared" si="100"/>
        <v>155</v>
      </c>
      <c r="H328" s="2">
        <f t="shared" si="101"/>
        <v>0.29580152671755727</v>
      </c>
      <c r="I328" s="6"/>
      <c r="J328" s="2">
        <f t="shared" si="102"/>
        <v>0.31870229007633588</v>
      </c>
      <c r="K328" s="2">
        <f t="shared" si="103"/>
        <v>0.6145038167938931</v>
      </c>
      <c r="L328" s="2">
        <f t="shared" si="104"/>
        <v>3.8167938931297708E-3</v>
      </c>
      <c r="M328" s="2">
        <f t="shared" si="105"/>
        <v>6.2977099236641243E-2</v>
      </c>
      <c r="N328" s="63">
        <v>167</v>
      </c>
      <c r="O328" s="63">
        <v>322</v>
      </c>
      <c r="P328" s="63">
        <v>2</v>
      </c>
      <c r="Q328" s="63">
        <v>23</v>
      </c>
      <c r="R328" s="63">
        <v>10</v>
      </c>
      <c r="S328" s="63">
        <v>0</v>
      </c>
      <c r="T328" s="67"/>
      <c r="U328" s="63"/>
      <c r="V328" s="63"/>
      <c r="W328" s="63">
        <f t="shared" si="109"/>
        <v>0</v>
      </c>
      <c r="X328" s="63"/>
      <c r="Y328" s="63"/>
      <c r="Z328" s="63"/>
      <c r="AA328" s="63"/>
      <c r="AB328" s="63"/>
      <c r="AE328" s="8">
        <v>0</v>
      </c>
      <c r="AT328" t="str">
        <f t="shared" si="106"/>
        <v>Embden</v>
      </c>
      <c r="AU328" t="s">
        <v>1787</v>
      </c>
      <c r="AV328">
        <v>2</v>
      </c>
      <c r="AX328" s="114">
        <v>23</v>
      </c>
      <c r="AY328" s="116">
        <v>25</v>
      </c>
      <c r="AZ328" s="116">
        <v>55</v>
      </c>
      <c r="BA328" s="120">
        <v>23410</v>
      </c>
      <c r="BB328" s="120">
        <f t="shared" si="107"/>
        <v>23025</v>
      </c>
      <c r="BC328" t="s">
        <v>1472</v>
      </c>
      <c r="BD328">
        <f t="shared" si="108"/>
        <v>2323410</v>
      </c>
      <c r="BE328" s="1">
        <v>11</v>
      </c>
      <c r="BI328">
        <v>44.06</v>
      </c>
      <c r="BJ328">
        <v>3.95</v>
      </c>
      <c r="BK328">
        <v>40.11</v>
      </c>
      <c r="BS328" s="63">
        <v>0</v>
      </c>
      <c r="CK328" s="158" t="s">
        <v>3885</v>
      </c>
    </row>
    <row r="329" spans="1:89" hidden="1" outlineLevel="1">
      <c r="A329" t="s">
        <v>2401</v>
      </c>
      <c r="B329" s="8" t="s">
        <v>1697</v>
      </c>
      <c r="C329" s="1">
        <f t="shared" si="98"/>
        <v>817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 t="shared" si="99"/>
        <v>0</v>
      </c>
      <c r="G329" s="1">
        <f t="shared" si="100"/>
        <v>234</v>
      </c>
      <c r="H329" s="2">
        <f t="shared" si="101"/>
        <v>0.2864137086903305</v>
      </c>
      <c r="I329" s="6"/>
      <c r="J329" s="2">
        <f t="shared" si="102"/>
        <v>0.31701346389228885</v>
      </c>
      <c r="K329" s="2">
        <f t="shared" si="103"/>
        <v>0.60342717258261935</v>
      </c>
      <c r="L329" s="2">
        <f t="shared" si="104"/>
        <v>0</v>
      </c>
      <c r="M329" s="2">
        <f t="shared" si="105"/>
        <v>7.9559363525091853E-2</v>
      </c>
      <c r="N329" s="63">
        <v>259</v>
      </c>
      <c r="O329" s="63">
        <v>493</v>
      </c>
      <c r="P329" s="63">
        <v>0</v>
      </c>
      <c r="Q329" s="63">
        <v>56</v>
      </c>
      <c r="R329" s="63">
        <v>9</v>
      </c>
      <c r="S329" s="63">
        <v>0</v>
      </c>
      <c r="T329" s="67"/>
      <c r="U329" s="63"/>
      <c r="V329" s="63"/>
      <c r="W329" s="63">
        <f t="shared" si="109"/>
        <v>0</v>
      </c>
      <c r="X329" s="63"/>
      <c r="Y329" s="63"/>
      <c r="Z329" s="63"/>
      <c r="AA329" s="63"/>
      <c r="AB329" s="63"/>
      <c r="AE329" s="8">
        <v>0</v>
      </c>
      <c r="AT329" t="str">
        <f t="shared" si="106"/>
        <v>Enfield</v>
      </c>
      <c r="AU329" t="s">
        <v>2481</v>
      </c>
      <c r="AV329">
        <v>2</v>
      </c>
      <c r="AX329" s="114">
        <v>23</v>
      </c>
      <c r="AY329" s="116">
        <v>19</v>
      </c>
      <c r="AZ329" s="116">
        <v>100</v>
      </c>
      <c r="BA329" s="120">
        <v>23620</v>
      </c>
      <c r="BB329" s="120">
        <f t="shared" si="107"/>
        <v>23019</v>
      </c>
      <c r="BC329" t="s">
        <v>1472</v>
      </c>
      <c r="BD329">
        <f t="shared" si="108"/>
        <v>2323620</v>
      </c>
      <c r="BE329" s="1">
        <v>36</v>
      </c>
      <c r="BI329">
        <v>33.17</v>
      </c>
      <c r="BJ329">
        <v>5.28</v>
      </c>
      <c r="BK329">
        <v>27.88</v>
      </c>
      <c r="BS329" s="63">
        <v>0</v>
      </c>
      <c r="CK329" s="1" t="s">
        <v>3886</v>
      </c>
    </row>
    <row r="330" spans="1:89" hidden="1" outlineLevel="1">
      <c r="A330" t="s">
        <v>273</v>
      </c>
      <c r="B330" s="8" t="s">
        <v>1697</v>
      </c>
      <c r="C330" s="1">
        <f t="shared" si="98"/>
        <v>636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 t="shared" si="99"/>
        <v>0</v>
      </c>
      <c r="G330" s="1">
        <f t="shared" si="100"/>
        <v>187</v>
      </c>
      <c r="H330" s="2">
        <f t="shared" si="101"/>
        <v>0.29402515723270439</v>
      </c>
      <c r="I330" s="6"/>
      <c r="J330" s="2">
        <f t="shared" si="102"/>
        <v>0.31132075471698112</v>
      </c>
      <c r="K330" s="2">
        <f t="shared" si="103"/>
        <v>0.60534591194968557</v>
      </c>
      <c r="L330" s="2">
        <f t="shared" si="104"/>
        <v>0</v>
      </c>
      <c r="M330" s="2">
        <f t="shared" si="105"/>
        <v>8.3333333333333259E-2</v>
      </c>
      <c r="N330" s="63">
        <v>198</v>
      </c>
      <c r="O330" s="63">
        <v>385</v>
      </c>
      <c r="P330" s="63">
        <v>0</v>
      </c>
      <c r="Q330" s="63">
        <v>35</v>
      </c>
      <c r="R330" s="63">
        <v>16</v>
      </c>
      <c r="S330" s="63">
        <v>0</v>
      </c>
      <c r="T330" s="67"/>
      <c r="U330" s="63"/>
      <c r="V330" s="63"/>
      <c r="W330" s="63">
        <f t="shared" si="109"/>
        <v>0</v>
      </c>
      <c r="X330" s="63"/>
      <c r="Y330" s="63"/>
      <c r="Z330" s="63"/>
      <c r="AA330" s="63"/>
      <c r="AB330" s="63"/>
      <c r="AE330" s="8">
        <v>2</v>
      </c>
      <c r="AT330" t="str">
        <f t="shared" si="106"/>
        <v>Etna</v>
      </c>
      <c r="AU330" t="s">
        <v>2481</v>
      </c>
      <c r="AV330">
        <v>2</v>
      </c>
      <c r="AX330" s="114">
        <v>23</v>
      </c>
      <c r="AY330" s="116">
        <v>19</v>
      </c>
      <c r="AZ330" s="116">
        <v>105</v>
      </c>
      <c r="BA330" s="120">
        <v>23865</v>
      </c>
      <c r="BB330" s="120">
        <f t="shared" si="107"/>
        <v>23019</v>
      </c>
      <c r="BC330" t="s">
        <v>1472</v>
      </c>
      <c r="BD330">
        <f t="shared" si="108"/>
        <v>2323865</v>
      </c>
      <c r="BE330" s="1">
        <v>21</v>
      </c>
      <c r="BI330">
        <v>24.63</v>
      </c>
      <c r="BJ330">
        <v>0.2</v>
      </c>
      <c r="BK330">
        <v>24.43</v>
      </c>
      <c r="BS330" s="63">
        <v>0</v>
      </c>
      <c r="CK330" s="1" t="s">
        <v>3887</v>
      </c>
    </row>
    <row r="331" spans="1:89" hidden="1" outlineLevel="1">
      <c r="A331" t="s">
        <v>2407</v>
      </c>
      <c r="B331" s="8" t="s">
        <v>1697</v>
      </c>
      <c r="C331" s="1">
        <f t="shared" si="98"/>
        <v>407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 t="shared" si="99"/>
        <v>0</v>
      </c>
      <c r="G331" s="1">
        <f t="shared" si="100"/>
        <v>86</v>
      </c>
      <c r="H331" s="2">
        <f t="shared" si="101"/>
        <v>0.2113022113022113</v>
      </c>
      <c r="I331" s="6"/>
      <c r="J331" s="2">
        <f t="shared" si="102"/>
        <v>0.33415233415233414</v>
      </c>
      <c r="K331" s="2">
        <f t="shared" si="103"/>
        <v>0.54545454545454541</v>
      </c>
      <c r="L331" s="2">
        <f t="shared" si="104"/>
        <v>0</v>
      </c>
      <c r="M331" s="2">
        <f t="shared" si="105"/>
        <v>0.12039312039312045</v>
      </c>
      <c r="N331" s="63">
        <v>136</v>
      </c>
      <c r="O331" s="63">
        <v>222</v>
      </c>
      <c r="P331" s="63">
        <v>0</v>
      </c>
      <c r="Q331" s="63">
        <v>37</v>
      </c>
      <c r="R331" s="63">
        <v>12</v>
      </c>
      <c r="S331" s="63">
        <v>0</v>
      </c>
      <c r="T331" s="67"/>
      <c r="U331" s="63"/>
      <c r="V331" s="63"/>
      <c r="W331" s="63">
        <f t="shared" si="109"/>
        <v>0</v>
      </c>
      <c r="X331" s="63"/>
      <c r="Y331" s="63"/>
      <c r="Z331" s="63"/>
      <c r="AA331" s="63"/>
      <c r="AB331" s="63"/>
      <c r="AE331" s="8">
        <v>0</v>
      </c>
      <c r="AT331" t="str">
        <f t="shared" si="106"/>
        <v>Eustis</v>
      </c>
      <c r="AU331" t="s">
        <v>1138</v>
      </c>
      <c r="AV331">
        <v>2</v>
      </c>
      <c r="AX331" s="114">
        <v>23</v>
      </c>
      <c r="AY331" s="116">
        <v>7</v>
      </c>
      <c r="AZ331" s="116">
        <v>30</v>
      </c>
      <c r="BA331" s="120">
        <v>24005</v>
      </c>
      <c r="BB331" s="120">
        <f t="shared" si="107"/>
        <v>23007</v>
      </c>
      <c r="BC331" t="s">
        <v>1472</v>
      </c>
      <c r="BD331">
        <f t="shared" si="108"/>
        <v>2324005</v>
      </c>
      <c r="BE331" s="1">
        <v>18</v>
      </c>
      <c r="BI331">
        <v>41.35</v>
      </c>
      <c r="BJ331">
        <v>2.23</v>
      </c>
      <c r="BK331">
        <v>39.119999999999997</v>
      </c>
      <c r="BS331" s="63">
        <v>0</v>
      </c>
      <c r="CK331" s="1" t="s">
        <v>3888</v>
      </c>
    </row>
    <row r="332" spans="1:89" hidden="1" outlineLevel="1">
      <c r="A332" t="s">
        <v>1777</v>
      </c>
      <c r="B332" s="8" t="s">
        <v>1697</v>
      </c>
      <c r="C332" s="1">
        <f t="shared" si="98"/>
        <v>542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 t="shared" si="99"/>
        <v>5</v>
      </c>
      <c r="G332" s="1">
        <f t="shared" si="100"/>
        <v>153</v>
      </c>
      <c r="H332" s="2">
        <f t="shared" si="101"/>
        <v>0.28228782287822879</v>
      </c>
      <c r="I332" s="6"/>
      <c r="J332" s="2">
        <f t="shared" si="102"/>
        <v>0.32656826568265684</v>
      </c>
      <c r="K332" s="2">
        <f t="shared" si="103"/>
        <v>0.60885608856088558</v>
      </c>
      <c r="L332" s="2">
        <f t="shared" si="104"/>
        <v>1.8450184501845018E-3</v>
      </c>
      <c r="M332" s="2">
        <f t="shared" si="105"/>
        <v>6.2730627306273073E-2</v>
      </c>
      <c r="N332" s="63">
        <v>177</v>
      </c>
      <c r="O332" s="63">
        <v>330</v>
      </c>
      <c r="P332" s="63">
        <v>1</v>
      </c>
      <c r="Q332" s="63">
        <v>28</v>
      </c>
      <c r="R332" s="63">
        <v>6</v>
      </c>
      <c r="S332" s="63">
        <v>0</v>
      </c>
      <c r="T332" s="67"/>
      <c r="U332" s="63"/>
      <c r="V332" s="63"/>
      <c r="W332" s="63">
        <f t="shared" si="109"/>
        <v>0</v>
      </c>
      <c r="X332" s="63"/>
      <c r="Y332" s="63"/>
      <c r="Z332" s="63"/>
      <c r="AA332" s="63"/>
      <c r="AB332" s="63"/>
      <c r="AE332" s="8">
        <v>0</v>
      </c>
      <c r="AT332" t="str">
        <f t="shared" si="106"/>
        <v>Exeter</v>
      </c>
      <c r="AU332" t="s">
        <v>2481</v>
      </c>
      <c r="AV332">
        <v>2</v>
      </c>
      <c r="AX332" s="114">
        <v>23</v>
      </c>
      <c r="AY332" s="116">
        <v>19</v>
      </c>
      <c r="AZ332" s="116">
        <v>110</v>
      </c>
      <c r="BA332" s="120">
        <v>24110</v>
      </c>
      <c r="BB332" s="120">
        <f t="shared" si="107"/>
        <v>23019</v>
      </c>
      <c r="BC332" t="s">
        <v>1472</v>
      </c>
      <c r="BD332">
        <f t="shared" si="108"/>
        <v>2324110</v>
      </c>
      <c r="BE332" s="1">
        <v>8</v>
      </c>
      <c r="BI332">
        <v>38.44</v>
      </c>
      <c r="BJ332">
        <v>0.03</v>
      </c>
      <c r="BK332">
        <v>38.409999999999997</v>
      </c>
      <c r="BS332" s="63">
        <v>0</v>
      </c>
      <c r="CK332" s="1" t="s">
        <v>3889</v>
      </c>
    </row>
    <row r="333" spans="1:89" hidden="1" outlineLevel="1">
      <c r="A333" t="s">
        <v>280</v>
      </c>
      <c r="B333" s="8" t="s">
        <v>1697</v>
      </c>
      <c r="C333" s="1">
        <f t="shared" si="98"/>
        <v>3269</v>
      </c>
      <c r="D333" s="5">
        <f>IF(N333&gt;0, RANK(N333,(N333:P333,Q333:AE333)),0)</f>
        <v>2</v>
      </c>
      <c r="E333" s="5">
        <f>IF(O333&gt;0,RANK(O333,(N333:P333,Q333:AE333)),0)</f>
        <v>1</v>
      </c>
      <c r="F333" s="5">
        <f t="shared" si="99"/>
        <v>5</v>
      </c>
      <c r="G333" s="1">
        <f t="shared" si="100"/>
        <v>495</v>
      </c>
      <c r="H333" s="2">
        <f t="shared" si="101"/>
        <v>0.15142245334964821</v>
      </c>
      <c r="I333" s="6"/>
      <c r="J333" s="2">
        <f t="shared" si="102"/>
        <v>0.38237993270113185</v>
      </c>
      <c r="K333" s="2">
        <f t="shared" si="103"/>
        <v>0.53380238605078001</v>
      </c>
      <c r="L333" s="2">
        <f t="shared" si="104"/>
        <v>3.6708473539308656E-3</v>
      </c>
      <c r="M333" s="2">
        <f t="shared" si="105"/>
        <v>8.0146833894157221E-2</v>
      </c>
      <c r="N333" s="63">
        <v>1250</v>
      </c>
      <c r="O333" s="63">
        <v>1745</v>
      </c>
      <c r="P333" s="63">
        <v>12</v>
      </c>
      <c r="Q333" s="63">
        <v>206</v>
      </c>
      <c r="R333" s="63">
        <v>56</v>
      </c>
      <c r="S333" s="63">
        <v>0</v>
      </c>
      <c r="T333" s="67"/>
      <c r="U333" s="63"/>
      <c r="V333" s="63"/>
      <c r="W333" s="63">
        <f t="shared" si="109"/>
        <v>0</v>
      </c>
      <c r="X333" s="63"/>
      <c r="Y333" s="63"/>
      <c r="Z333" s="63"/>
      <c r="AA333" s="63"/>
      <c r="AB333" s="63"/>
      <c r="AE333" s="8">
        <v>0</v>
      </c>
      <c r="AT333" t="str">
        <f t="shared" si="106"/>
        <v>Fairfield</v>
      </c>
      <c r="AU333" t="s">
        <v>1787</v>
      </c>
      <c r="AV333">
        <v>2</v>
      </c>
      <c r="AX333" s="114">
        <v>23</v>
      </c>
      <c r="AY333" s="116">
        <v>25</v>
      </c>
      <c r="AZ333" s="116">
        <v>60</v>
      </c>
      <c r="BA333" s="120">
        <v>24320</v>
      </c>
      <c r="BB333" s="120">
        <f t="shared" si="107"/>
        <v>23025</v>
      </c>
      <c r="BC333" t="s">
        <v>1472</v>
      </c>
      <c r="BD333">
        <f t="shared" si="108"/>
        <v>2324320</v>
      </c>
      <c r="BE333" s="1">
        <v>113</v>
      </c>
      <c r="BI333">
        <v>54.62</v>
      </c>
      <c r="BJ333">
        <v>0.85</v>
      </c>
      <c r="BK333">
        <v>53.77</v>
      </c>
      <c r="BS333" s="63">
        <v>0</v>
      </c>
      <c r="CK333" s="1" t="s">
        <v>3890</v>
      </c>
    </row>
    <row r="334" spans="1:89" hidden="1" outlineLevel="1">
      <c r="A334" t="s">
        <v>1524</v>
      </c>
      <c r="B334" s="8" t="s">
        <v>1697</v>
      </c>
      <c r="C334" s="1">
        <f t="shared" si="98"/>
        <v>7943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 t="shared" si="99"/>
        <v>5</v>
      </c>
      <c r="G334" s="1">
        <f t="shared" si="100"/>
        <v>2244</v>
      </c>
      <c r="H334" s="2">
        <f t="shared" si="101"/>
        <v>0.28251290444416466</v>
      </c>
      <c r="I334" s="6"/>
      <c r="J334" s="2">
        <f t="shared" si="102"/>
        <v>0.61399974820596748</v>
      </c>
      <c r="K334" s="2">
        <f t="shared" si="103"/>
        <v>0.33148684376180282</v>
      </c>
      <c r="L334" s="2">
        <f t="shared" si="104"/>
        <v>2.6438373410550171E-3</v>
      </c>
      <c r="M334" s="2">
        <f t="shared" si="105"/>
        <v>5.1869570691174691E-2</v>
      </c>
      <c r="N334" s="63">
        <v>4877</v>
      </c>
      <c r="O334" s="63">
        <v>2633</v>
      </c>
      <c r="P334" s="63">
        <v>21</v>
      </c>
      <c r="Q334" s="63">
        <v>305</v>
      </c>
      <c r="R334" s="63">
        <v>107</v>
      </c>
      <c r="S334" s="63">
        <v>0</v>
      </c>
      <c r="T334" s="67"/>
      <c r="U334" s="63"/>
      <c r="V334" s="63"/>
      <c r="W334" s="63">
        <f t="shared" si="109"/>
        <v>0</v>
      </c>
      <c r="X334" s="63"/>
      <c r="Y334" s="63"/>
      <c r="Z334" s="63"/>
      <c r="AA334" s="63"/>
      <c r="AB334" s="63"/>
      <c r="AE334" s="8">
        <v>0</v>
      </c>
      <c r="AT334" t="str">
        <f t="shared" si="106"/>
        <v>Falmouth</v>
      </c>
      <c r="AU334" t="s">
        <v>1531</v>
      </c>
      <c r="AV334">
        <v>1</v>
      </c>
      <c r="AX334" s="114">
        <v>23</v>
      </c>
      <c r="AY334" s="116">
        <v>5</v>
      </c>
      <c r="AZ334" s="116">
        <v>35</v>
      </c>
      <c r="BA334" s="120">
        <v>24495</v>
      </c>
      <c r="BB334" s="120">
        <f t="shared" si="107"/>
        <v>23005</v>
      </c>
      <c r="BC334" t="s">
        <v>1472</v>
      </c>
      <c r="BD334">
        <f t="shared" si="108"/>
        <v>2324495</v>
      </c>
      <c r="BE334" s="1">
        <v>236</v>
      </c>
      <c r="BI334">
        <v>37.409999999999997</v>
      </c>
      <c r="BJ334">
        <v>7.8</v>
      </c>
      <c r="BK334">
        <v>29.62</v>
      </c>
      <c r="BS334" s="63">
        <v>0</v>
      </c>
      <c r="CK334" s="1" t="s">
        <v>3891</v>
      </c>
    </row>
    <row r="335" spans="1:89" hidden="1" outlineLevel="1">
      <c r="A335" t="s">
        <v>1418</v>
      </c>
      <c r="B335" s="8" t="s">
        <v>1697</v>
      </c>
      <c r="C335" s="1">
        <f t="shared" si="98"/>
        <v>1670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 t="shared" si="99"/>
        <v>5</v>
      </c>
      <c r="G335" s="1">
        <f t="shared" si="100"/>
        <v>12</v>
      </c>
      <c r="H335" s="2">
        <f t="shared" si="101"/>
        <v>7.18562874251497E-3</v>
      </c>
      <c r="I335" s="6"/>
      <c r="J335" s="2">
        <f t="shared" si="102"/>
        <v>0.46287425149700601</v>
      </c>
      <c r="K335" s="2">
        <f t="shared" si="103"/>
        <v>0.45568862275449101</v>
      </c>
      <c r="L335" s="2">
        <f t="shared" si="104"/>
        <v>3.592814371257485E-3</v>
      </c>
      <c r="M335" s="2">
        <f t="shared" si="105"/>
        <v>7.7844311377245498E-2</v>
      </c>
      <c r="N335" s="63">
        <v>773</v>
      </c>
      <c r="O335" s="63">
        <v>761</v>
      </c>
      <c r="P335" s="63">
        <v>6</v>
      </c>
      <c r="Q335" s="63">
        <v>96</v>
      </c>
      <c r="R335" s="63">
        <v>32</v>
      </c>
      <c r="S335" s="63">
        <v>2</v>
      </c>
      <c r="T335" s="67"/>
      <c r="U335" s="63"/>
      <c r="V335" s="63"/>
      <c r="W335" s="63">
        <f t="shared" si="109"/>
        <v>0</v>
      </c>
      <c r="X335" s="63"/>
      <c r="Y335" s="63"/>
      <c r="Z335" s="63"/>
      <c r="AA335" s="63"/>
      <c r="AB335" s="63"/>
      <c r="AE335" s="8">
        <v>0</v>
      </c>
      <c r="AT335" t="str">
        <f t="shared" si="106"/>
        <v>Farmingdale</v>
      </c>
      <c r="AU335" t="s">
        <v>3007</v>
      </c>
      <c r="AV335">
        <v>1</v>
      </c>
      <c r="AX335" s="114">
        <v>23</v>
      </c>
      <c r="AY335" s="116">
        <v>11</v>
      </c>
      <c r="AZ335" s="116">
        <v>40</v>
      </c>
      <c r="BA335" s="120">
        <v>24670</v>
      </c>
      <c r="BB335" s="120">
        <f t="shared" si="107"/>
        <v>23011</v>
      </c>
      <c r="BC335" t="s">
        <v>1472</v>
      </c>
      <c r="BD335">
        <f t="shared" si="108"/>
        <v>2324670</v>
      </c>
      <c r="BE335" s="1">
        <v>53</v>
      </c>
      <c r="BI335">
        <v>11.53</v>
      </c>
      <c r="BJ335">
        <v>0.33</v>
      </c>
      <c r="BK335">
        <v>11.21</v>
      </c>
      <c r="BS335" s="63">
        <v>0</v>
      </c>
      <c r="CK335" s="1" t="s">
        <v>3892</v>
      </c>
    </row>
    <row r="336" spans="1:89" hidden="1" outlineLevel="1">
      <c r="A336" t="s">
        <v>1948</v>
      </c>
      <c r="B336" s="8" t="s">
        <v>1697</v>
      </c>
      <c r="C336" s="1">
        <f t="shared" si="98"/>
        <v>3844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 t="shared" si="99"/>
        <v>5</v>
      </c>
      <c r="G336" s="1">
        <f t="shared" si="100"/>
        <v>496</v>
      </c>
      <c r="H336" s="2">
        <f t="shared" si="101"/>
        <v>0.12903225806451613</v>
      </c>
      <c r="I336" s="6"/>
      <c r="J336" s="2">
        <f t="shared" si="102"/>
        <v>0.5148283038501561</v>
      </c>
      <c r="K336" s="2">
        <f t="shared" si="103"/>
        <v>0.38579604578563997</v>
      </c>
      <c r="L336" s="2">
        <f t="shared" si="104"/>
        <v>4.6826222684703432E-3</v>
      </c>
      <c r="M336" s="2">
        <f t="shared" si="105"/>
        <v>9.4693028095733586E-2</v>
      </c>
      <c r="N336" s="63">
        <v>1979</v>
      </c>
      <c r="O336" s="63">
        <v>1483</v>
      </c>
      <c r="P336" s="63">
        <v>18</v>
      </c>
      <c r="Q336" s="63">
        <v>260</v>
      </c>
      <c r="R336" s="63">
        <v>104</v>
      </c>
      <c r="S336" s="63">
        <v>0</v>
      </c>
      <c r="T336" s="67"/>
      <c r="U336" s="63"/>
      <c r="V336" s="63"/>
      <c r="W336" s="63">
        <f t="shared" si="109"/>
        <v>0</v>
      </c>
      <c r="X336" s="63"/>
      <c r="Y336" s="63"/>
      <c r="Z336" s="63"/>
      <c r="AA336" s="63"/>
      <c r="AB336" s="63"/>
      <c r="AE336" s="8">
        <v>0</v>
      </c>
      <c r="AT336" t="str">
        <f t="shared" si="106"/>
        <v>Farmington</v>
      </c>
      <c r="AU336" t="s">
        <v>1138</v>
      </c>
      <c r="AV336">
        <v>2</v>
      </c>
      <c r="AX336" s="114">
        <v>23</v>
      </c>
      <c r="AY336" s="116">
        <v>7</v>
      </c>
      <c r="AZ336" s="116">
        <v>35</v>
      </c>
      <c r="BA336" s="120">
        <v>24775</v>
      </c>
      <c r="BB336" s="120">
        <f t="shared" si="107"/>
        <v>23007</v>
      </c>
      <c r="BC336" t="s">
        <v>1472</v>
      </c>
      <c r="BD336">
        <f t="shared" si="108"/>
        <v>2324775</v>
      </c>
      <c r="BE336" s="1">
        <v>139</v>
      </c>
      <c r="BI336">
        <v>56.04</v>
      </c>
      <c r="BJ336">
        <v>0.2</v>
      </c>
      <c r="BK336">
        <v>55.83</v>
      </c>
      <c r="BS336" s="63">
        <v>0</v>
      </c>
      <c r="CK336" s="1" t="s">
        <v>3893</v>
      </c>
    </row>
    <row r="337" spans="1:89" hidden="1" outlineLevel="1">
      <c r="A337" t="s">
        <v>1416</v>
      </c>
      <c r="B337" s="8" t="s">
        <v>1697</v>
      </c>
      <c r="C337" s="1">
        <f t="shared" si="98"/>
        <v>771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 t="shared" si="99"/>
        <v>5</v>
      </c>
      <c r="G337" s="1">
        <f t="shared" si="100"/>
        <v>29</v>
      </c>
      <c r="H337" s="2">
        <f t="shared" si="101"/>
        <v>3.7613488975356678E-2</v>
      </c>
      <c r="I337" s="6"/>
      <c r="J337" s="2">
        <f t="shared" si="102"/>
        <v>0.4461738002594034</v>
      </c>
      <c r="K337" s="2">
        <f t="shared" si="103"/>
        <v>0.48378728923476005</v>
      </c>
      <c r="L337" s="2">
        <f t="shared" si="104"/>
        <v>2.5940337224383916E-3</v>
      </c>
      <c r="M337" s="2">
        <f t="shared" si="105"/>
        <v>6.7444876783398208E-2</v>
      </c>
      <c r="N337" s="63">
        <v>344</v>
      </c>
      <c r="O337" s="63">
        <v>373</v>
      </c>
      <c r="P337" s="63">
        <v>2</v>
      </c>
      <c r="Q337" s="63">
        <v>40</v>
      </c>
      <c r="R337" s="63">
        <v>10</v>
      </c>
      <c r="S337" s="63">
        <v>2</v>
      </c>
      <c r="T337" s="67"/>
      <c r="U337" s="63"/>
      <c r="V337" s="63"/>
      <c r="W337" s="63">
        <f t="shared" si="109"/>
        <v>0</v>
      </c>
      <c r="X337" s="63"/>
      <c r="Y337" s="63"/>
      <c r="Z337" s="63"/>
      <c r="AA337" s="63"/>
      <c r="AB337" s="63"/>
      <c r="AE337" s="8">
        <v>0</v>
      </c>
      <c r="AT337" t="str">
        <f t="shared" si="106"/>
        <v>Fayette</v>
      </c>
      <c r="AU337" t="s">
        <v>3007</v>
      </c>
      <c r="AV337">
        <v>2</v>
      </c>
      <c r="AX337" s="114">
        <v>23</v>
      </c>
      <c r="AY337" s="116">
        <v>11</v>
      </c>
      <c r="AZ337" s="116">
        <v>45</v>
      </c>
      <c r="BA337" s="120">
        <v>24950</v>
      </c>
      <c r="BB337" s="120">
        <f t="shared" si="107"/>
        <v>23011</v>
      </c>
      <c r="BC337" t="s">
        <v>1472</v>
      </c>
      <c r="BD337">
        <f t="shared" si="108"/>
        <v>2324950</v>
      </c>
      <c r="BE337" s="1">
        <v>18</v>
      </c>
      <c r="BI337">
        <v>31.4</v>
      </c>
      <c r="BJ337">
        <v>2.2200000000000002</v>
      </c>
      <c r="BK337">
        <v>29.18</v>
      </c>
      <c r="BS337" s="63">
        <v>0</v>
      </c>
      <c r="CK337" s="1" t="s">
        <v>3894</v>
      </c>
    </row>
    <row r="338" spans="1:89" hidden="1" outlineLevel="1">
      <c r="A338" t="s">
        <v>3242</v>
      </c>
      <c r="B338" s="8" t="s">
        <v>1697</v>
      </c>
      <c r="C338" s="1">
        <f t="shared" si="98"/>
        <v>0</v>
      </c>
      <c r="D338" s="5">
        <f>IF(N338&gt;0, RANK(N338,(N338:P338,Q338:AE338)),0)</f>
        <v>0</v>
      </c>
      <c r="E338" s="5">
        <f>IF(O338&gt;0,RANK(O338,(N338:P338,Q338:AE338)),0)</f>
        <v>0</v>
      </c>
      <c r="F338" s="5">
        <f t="shared" si="99"/>
        <v>0</v>
      </c>
      <c r="G338" s="1">
        <f t="shared" si="100"/>
        <v>0</v>
      </c>
      <c r="H338" s="2">
        <f t="shared" si="101"/>
        <v>0</v>
      </c>
      <c r="I338" s="6"/>
      <c r="J338" s="2" t="str">
        <f t="shared" si="102"/>
        <v>-</v>
      </c>
      <c r="K338" s="2" t="str">
        <f t="shared" si="103"/>
        <v>-</v>
      </c>
      <c r="L338" s="2" t="str">
        <f t="shared" si="104"/>
        <v>-</v>
      </c>
      <c r="M338" s="2" t="str">
        <f t="shared" si="105"/>
        <v>-</v>
      </c>
      <c r="N338" s="63"/>
      <c r="O338" s="63"/>
      <c r="P338" s="63"/>
      <c r="Q338" s="63"/>
      <c r="R338" s="63"/>
      <c r="S338" s="63"/>
      <c r="T338" s="67"/>
      <c r="U338" s="63"/>
      <c r="V338" s="63"/>
      <c r="W338" s="63">
        <f t="shared" si="109"/>
        <v>0</v>
      </c>
      <c r="X338" s="63"/>
      <c r="Y338" s="63"/>
      <c r="Z338" s="63"/>
      <c r="AA338" s="63"/>
      <c r="AB338" s="63"/>
      <c r="AT338" t="str">
        <f t="shared" si="106"/>
        <v>Fletcher's Landing</v>
      </c>
      <c r="AU338" t="s">
        <v>597</v>
      </c>
      <c r="AV338">
        <v>2</v>
      </c>
      <c r="AX338" s="114">
        <v>23</v>
      </c>
      <c r="AY338" s="116">
        <v>9</v>
      </c>
      <c r="BA338" s="120">
        <v>54050</v>
      </c>
      <c r="BB338" s="120">
        <f t="shared" si="107"/>
        <v>23009</v>
      </c>
      <c r="BC338" t="s">
        <v>957</v>
      </c>
      <c r="BD338">
        <f t="shared" si="108"/>
        <v>2354050</v>
      </c>
      <c r="BH338" t="s">
        <v>3241</v>
      </c>
      <c r="BS338" s="63"/>
      <c r="CK338" s="1"/>
    </row>
    <row r="339" spans="1:89" hidden="1" outlineLevel="1">
      <c r="A339" t="s">
        <v>2576</v>
      </c>
      <c r="B339" s="8" t="s">
        <v>1697</v>
      </c>
      <c r="C339" s="1">
        <f t="shared" si="98"/>
        <v>1648</v>
      </c>
      <c r="D339" s="5">
        <f>IF(N339&gt;0, RANK(N339,(N339:P339,Q339:AE339)),0)</f>
        <v>2</v>
      </c>
      <c r="E339" s="5">
        <f>IF(O339&gt;0,RANK(O339,(N339:P339,Q339:AE339)),0)</f>
        <v>1</v>
      </c>
      <c r="F339" s="5">
        <f t="shared" si="99"/>
        <v>4</v>
      </c>
      <c r="G339" s="1">
        <f t="shared" si="100"/>
        <v>229</v>
      </c>
      <c r="H339" s="2">
        <f t="shared" si="101"/>
        <v>0.13895631067961164</v>
      </c>
      <c r="I339" s="6"/>
      <c r="J339" s="2">
        <f t="shared" si="102"/>
        <v>0.39987864077669905</v>
      </c>
      <c r="K339" s="2">
        <f t="shared" si="103"/>
        <v>0.53883495145631066</v>
      </c>
      <c r="L339" s="2">
        <f t="shared" si="104"/>
        <v>1.0315533980582525E-2</v>
      </c>
      <c r="M339" s="2">
        <f t="shared" si="105"/>
        <v>5.0970873786407821E-2</v>
      </c>
      <c r="N339" s="63">
        <v>659</v>
      </c>
      <c r="O339" s="63">
        <v>888</v>
      </c>
      <c r="P339" s="63">
        <v>17</v>
      </c>
      <c r="Q339" s="63">
        <v>70</v>
      </c>
      <c r="R339" s="63">
        <v>13</v>
      </c>
      <c r="S339" s="63">
        <v>1</v>
      </c>
      <c r="T339" s="67"/>
      <c r="U339" s="63"/>
      <c r="V339" s="63"/>
      <c r="W339" s="63">
        <f t="shared" si="109"/>
        <v>0</v>
      </c>
      <c r="X339" s="63"/>
      <c r="Y339" s="63"/>
      <c r="Z339" s="63"/>
      <c r="AA339" s="63"/>
      <c r="AB339" s="63"/>
      <c r="AE339" s="8">
        <v>0</v>
      </c>
      <c r="AT339" t="str">
        <f t="shared" si="106"/>
        <v>Fort Fairfield</v>
      </c>
      <c r="AU339" t="s">
        <v>2830</v>
      </c>
      <c r="AV339">
        <v>2</v>
      </c>
      <c r="AX339" s="114">
        <v>23</v>
      </c>
      <c r="AY339" s="116">
        <v>3</v>
      </c>
      <c r="AZ339" s="116">
        <v>95</v>
      </c>
      <c r="BA339" s="120">
        <v>25615</v>
      </c>
      <c r="BB339" s="120">
        <f t="shared" si="107"/>
        <v>23003</v>
      </c>
      <c r="BC339" t="s">
        <v>1472</v>
      </c>
      <c r="BD339">
        <f t="shared" si="108"/>
        <v>2325615</v>
      </c>
      <c r="BE339" s="1">
        <v>56</v>
      </c>
      <c r="BI339">
        <v>78.37</v>
      </c>
      <c r="BJ339">
        <v>1.73</v>
      </c>
      <c r="BK339">
        <v>76.64</v>
      </c>
      <c r="BS339" s="63">
        <v>0</v>
      </c>
      <c r="CK339" s="1" t="s">
        <v>3895</v>
      </c>
    </row>
    <row r="340" spans="1:89" hidden="1" outlineLevel="1">
      <c r="A340" t="s">
        <v>2653</v>
      </c>
      <c r="B340" s="8" t="s">
        <v>1697</v>
      </c>
      <c r="C340" s="1">
        <f t="shared" si="98"/>
        <v>2112</v>
      </c>
      <c r="D340" s="5">
        <f>IF(N340&gt;0, RANK(N340,(N340:P340,Q340:AE340)),0)</f>
        <v>2</v>
      </c>
      <c r="E340" s="5">
        <f>IF(O340&gt;0,RANK(O340,(N340:P340,Q340:AE340)),0)</f>
        <v>1</v>
      </c>
      <c r="F340" s="5">
        <f t="shared" si="99"/>
        <v>5</v>
      </c>
      <c r="G340" s="1">
        <f t="shared" si="100"/>
        <v>11</v>
      </c>
      <c r="H340" s="2">
        <f t="shared" si="101"/>
        <v>5.208333333333333E-3</v>
      </c>
      <c r="I340" s="6"/>
      <c r="J340" s="2">
        <f t="shared" si="102"/>
        <v>0.46685606060606061</v>
      </c>
      <c r="K340" s="2">
        <f t="shared" si="103"/>
        <v>0.47206439393939392</v>
      </c>
      <c r="L340" s="2">
        <f t="shared" si="104"/>
        <v>9.46969696969697E-4</v>
      </c>
      <c r="M340" s="2">
        <f t="shared" si="105"/>
        <v>6.0132575757575829E-2</v>
      </c>
      <c r="N340" s="63">
        <v>986</v>
      </c>
      <c r="O340" s="63">
        <v>997</v>
      </c>
      <c r="P340" s="63">
        <v>2</v>
      </c>
      <c r="Q340" s="63">
        <v>95</v>
      </c>
      <c r="R340" s="63">
        <v>30</v>
      </c>
      <c r="S340" s="63">
        <v>2</v>
      </c>
      <c r="T340" s="67"/>
      <c r="U340" s="63"/>
      <c r="V340" s="63"/>
      <c r="W340" s="63">
        <f t="shared" si="109"/>
        <v>0</v>
      </c>
      <c r="X340" s="63"/>
      <c r="Y340" s="63"/>
      <c r="Z340" s="63"/>
      <c r="AA340" s="63"/>
      <c r="AB340" s="63"/>
      <c r="AE340" s="8">
        <v>0</v>
      </c>
      <c r="AT340" t="str">
        <f t="shared" si="106"/>
        <v>Fort Kent</v>
      </c>
      <c r="AU340" t="s">
        <v>2830</v>
      </c>
      <c r="AV340">
        <v>2</v>
      </c>
      <c r="AX340" s="114">
        <v>23</v>
      </c>
      <c r="AY340" s="116">
        <v>3</v>
      </c>
      <c r="AZ340" s="116">
        <v>100</v>
      </c>
      <c r="BA340" s="120">
        <v>25755</v>
      </c>
      <c r="BB340" s="120">
        <f t="shared" si="107"/>
        <v>23003</v>
      </c>
      <c r="BC340" t="s">
        <v>1472</v>
      </c>
      <c r="BD340">
        <f t="shared" si="108"/>
        <v>2325755</v>
      </c>
      <c r="BE340" s="1">
        <v>75</v>
      </c>
      <c r="BI340">
        <v>55.35</v>
      </c>
      <c r="BJ340">
        <v>1.19</v>
      </c>
      <c r="BK340">
        <v>54.16</v>
      </c>
      <c r="BS340" s="63">
        <v>0</v>
      </c>
      <c r="CK340" s="1" t="s">
        <v>3896</v>
      </c>
    </row>
    <row r="341" spans="1:89" hidden="1" outlineLevel="1">
      <c r="A341" t="s">
        <v>2437</v>
      </c>
      <c r="B341" s="8" t="s">
        <v>1697</v>
      </c>
      <c r="C341" s="1">
        <f t="shared" si="98"/>
        <v>651</v>
      </c>
      <c r="D341" s="5">
        <f>IF(N341&gt;0, RANK(N341,(N341:P341,Q341:AE341)),0)</f>
        <v>2</v>
      </c>
      <c r="E341" s="5">
        <f>IF(O341&gt;0,RANK(O341,(N341:P341,Q341:AE341)),0)</f>
        <v>1</v>
      </c>
      <c r="F341" s="5">
        <f t="shared" si="99"/>
        <v>5</v>
      </c>
      <c r="G341" s="1">
        <f t="shared" si="100"/>
        <v>161</v>
      </c>
      <c r="H341" s="2">
        <f t="shared" si="101"/>
        <v>0.24731182795698925</v>
      </c>
      <c r="I341" s="6"/>
      <c r="J341" s="2">
        <f t="shared" si="102"/>
        <v>0.33794162826420893</v>
      </c>
      <c r="K341" s="2">
        <f t="shared" si="103"/>
        <v>0.58525345622119818</v>
      </c>
      <c r="L341" s="2">
        <f t="shared" si="104"/>
        <v>3.0721966205837174E-3</v>
      </c>
      <c r="M341" s="2">
        <f t="shared" si="105"/>
        <v>7.3732718894009175E-2</v>
      </c>
      <c r="N341" s="63">
        <v>220</v>
      </c>
      <c r="O341" s="63">
        <v>381</v>
      </c>
      <c r="P341" s="63">
        <v>2</v>
      </c>
      <c r="Q341" s="63">
        <v>34</v>
      </c>
      <c r="R341" s="63">
        <v>14</v>
      </c>
      <c r="S341" s="63">
        <v>0</v>
      </c>
      <c r="T341" s="67"/>
      <c r="U341" s="63"/>
      <c r="V341" s="63"/>
      <c r="W341" s="63">
        <f t="shared" si="109"/>
        <v>0</v>
      </c>
      <c r="X341" s="63"/>
      <c r="Y341" s="63"/>
      <c r="Z341" s="63"/>
      <c r="AA341" s="63"/>
      <c r="AB341" s="63"/>
      <c r="AE341" s="8">
        <v>0</v>
      </c>
      <c r="AT341" t="str">
        <f t="shared" si="106"/>
        <v>Frankfort</v>
      </c>
      <c r="AU341" t="s">
        <v>217</v>
      </c>
      <c r="AV341">
        <v>2</v>
      </c>
      <c r="AX341" s="114">
        <v>23</v>
      </c>
      <c r="AY341" s="116">
        <v>27</v>
      </c>
      <c r="AZ341" s="116">
        <v>25</v>
      </c>
      <c r="BA341" s="120">
        <v>26280</v>
      </c>
      <c r="BB341" s="120">
        <f t="shared" si="107"/>
        <v>23027</v>
      </c>
      <c r="BC341" t="s">
        <v>1472</v>
      </c>
      <c r="BD341">
        <f t="shared" si="108"/>
        <v>2326280</v>
      </c>
      <c r="BE341" s="1">
        <v>20</v>
      </c>
      <c r="BI341">
        <v>25.91</v>
      </c>
      <c r="BJ341">
        <v>1.28</v>
      </c>
      <c r="BK341">
        <v>24.63</v>
      </c>
      <c r="BS341" s="63">
        <v>0</v>
      </c>
      <c r="CK341" s="1" t="s">
        <v>3897</v>
      </c>
    </row>
    <row r="342" spans="1:89" hidden="1" outlineLevel="1">
      <c r="A342" t="s">
        <v>1138</v>
      </c>
      <c r="B342" s="8" t="s">
        <v>1697</v>
      </c>
      <c r="C342" s="1">
        <f t="shared" si="98"/>
        <v>788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 t="shared" si="99"/>
        <v>0</v>
      </c>
      <c r="G342" s="1">
        <f t="shared" si="100"/>
        <v>123</v>
      </c>
      <c r="H342" s="2">
        <f t="shared" si="101"/>
        <v>0.15609137055837563</v>
      </c>
      <c r="I342" s="6"/>
      <c r="J342" s="2">
        <f t="shared" si="102"/>
        <v>0.38451776649746194</v>
      </c>
      <c r="K342" s="2">
        <f t="shared" si="103"/>
        <v>0.54060913705583757</v>
      </c>
      <c r="L342" s="2">
        <f t="shared" si="104"/>
        <v>0</v>
      </c>
      <c r="M342" s="2">
        <f t="shared" si="105"/>
        <v>7.4873096446700482E-2</v>
      </c>
      <c r="N342" s="63">
        <v>303</v>
      </c>
      <c r="O342" s="63">
        <v>426</v>
      </c>
      <c r="P342" s="63">
        <v>0</v>
      </c>
      <c r="Q342" s="63">
        <v>48</v>
      </c>
      <c r="R342" s="63">
        <v>11</v>
      </c>
      <c r="S342" s="63">
        <v>0</v>
      </c>
      <c r="T342" s="67"/>
      <c r="U342" s="63"/>
      <c r="V342" s="63"/>
      <c r="W342" s="63">
        <f t="shared" si="109"/>
        <v>0</v>
      </c>
      <c r="X342" s="63"/>
      <c r="Y342" s="63"/>
      <c r="Z342" s="63"/>
      <c r="AA342" s="63"/>
      <c r="AB342" s="63"/>
      <c r="AE342" s="8">
        <v>0</v>
      </c>
      <c r="AT342" t="str">
        <f t="shared" si="106"/>
        <v>Franklin</v>
      </c>
      <c r="AU342" t="s">
        <v>597</v>
      </c>
      <c r="AV342">
        <v>2</v>
      </c>
      <c r="AX342" s="114">
        <v>23</v>
      </c>
      <c r="AY342" s="116">
        <v>9</v>
      </c>
      <c r="AZ342" s="116">
        <v>70</v>
      </c>
      <c r="BA342" s="120">
        <v>26350</v>
      </c>
      <c r="BB342" s="120">
        <f t="shared" si="107"/>
        <v>23009</v>
      </c>
      <c r="BC342" t="s">
        <v>1472</v>
      </c>
      <c r="BD342">
        <f t="shared" si="108"/>
        <v>2326350</v>
      </c>
      <c r="BE342" s="1">
        <v>23</v>
      </c>
      <c r="BI342">
        <v>41.71</v>
      </c>
      <c r="BJ342">
        <v>4.99</v>
      </c>
      <c r="BK342">
        <v>36.729999999999997</v>
      </c>
      <c r="BS342" s="63">
        <v>0</v>
      </c>
      <c r="CK342" s="1" t="s">
        <v>3898</v>
      </c>
    </row>
    <row r="343" spans="1:89" hidden="1" outlineLevel="1">
      <c r="A343" t="s">
        <v>823</v>
      </c>
      <c r="B343" s="8" t="s">
        <v>1697</v>
      </c>
      <c r="C343" s="1">
        <f t="shared" si="98"/>
        <v>426</v>
      </c>
      <c r="D343" s="5">
        <f>IF(N343&gt;0, RANK(N343,(N343:P343,Q343:AE343)),0)</f>
        <v>2</v>
      </c>
      <c r="E343" s="5">
        <f>IF(O343&gt;0,RANK(O343,(N343:P343,Q343:AE343)),0)</f>
        <v>1</v>
      </c>
      <c r="F343" s="5">
        <f t="shared" si="99"/>
        <v>5</v>
      </c>
      <c r="G343" s="1">
        <f t="shared" si="100"/>
        <v>37</v>
      </c>
      <c r="H343" s="2">
        <f t="shared" si="101"/>
        <v>8.6854460093896718E-2</v>
      </c>
      <c r="I343" s="6"/>
      <c r="J343" s="2">
        <f t="shared" si="102"/>
        <v>0.40375586854460094</v>
      </c>
      <c r="K343" s="2">
        <f t="shared" si="103"/>
        <v>0.49061032863849763</v>
      </c>
      <c r="L343" s="2">
        <f t="shared" si="104"/>
        <v>2.3474178403755869E-3</v>
      </c>
      <c r="M343" s="2">
        <f t="shared" si="105"/>
        <v>0.10328638497652579</v>
      </c>
      <c r="N343" s="63">
        <v>172</v>
      </c>
      <c r="O343" s="63">
        <v>209</v>
      </c>
      <c r="P343" s="63">
        <v>1</v>
      </c>
      <c r="Q343" s="63">
        <v>32</v>
      </c>
      <c r="R343" s="63">
        <v>12</v>
      </c>
      <c r="S343" s="63">
        <v>0</v>
      </c>
      <c r="T343" s="67"/>
      <c r="U343" s="63"/>
      <c r="V343" s="63"/>
      <c r="W343" s="63">
        <f t="shared" si="109"/>
        <v>0</v>
      </c>
      <c r="X343" s="63"/>
      <c r="Y343" s="63"/>
      <c r="Z343" s="63"/>
      <c r="AA343" s="63"/>
      <c r="AB343" s="63"/>
      <c r="AE343" s="8">
        <v>0</v>
      </c>
      <c r="AT343" t="str">
        <f t="shared" si="106"/>
        <v>Freedom</v>
      </c>
      <c r="AU343" t="s">
        <v>217</v>
      </c>
      <c r="AV343">
        <v>2</v>
      </c>
      <c r="AX343" s="114">
        <v>23</v>
      </c>
      <c r="AY343" s="116">
        <v>27</v>
      </c>
      <c r="AZ343" s="116">
        <v>30</v>
      </c>
      <c r="BA343" s="120">
        <v>26420</v>
      </c>
      <c r="BB343" s="120">
        <f t="shared" si="107"/>
        <v>23027</v>
      </c>
      <c r="BC343" t="s">
        <v>1472</v>
      </c>
      <c r="BD343">
        <f t="shared" si="108"/>
        <v>2326420</v>
      </c>
      <c r="BE343" s="1">
        <v>14</v>
      </c>
      <c r="BI343">
        <v>22.24</v>
      </c>
      <c r="BJ343">
        <v>0.71</v>
      </c>
      <c r="BK343">
        <v>21.52</v>
      </c>
      <c r="BS343" s="63">
        <v>0</v>
      </c>
      <c r="CK343" s="1" t="s">
        <v>3899</v>
      </c>
    </row>
    <row r="344" spans="1:89" hidden="1" outlineLevel="1">
      <c r="A344" s="34" t="s">
        <v>662</v>
      </c>
      <c r="B344" s="8" t="s">
        <v>1697</v>
      </c>
      <c r="C344" s="1">
        <f t="shared" si="98"/>
        <v>0</v>
      </c>
      <c r="D344" s="5">
        <f>IF(N344&gt;0, RANK(N344,(N344:P344,Q344:AE344)),0)</f>
        <v>0</v>
      </c>
      <c r="E344" s="5">
        <f>IF(O344&gt;0,RANK(O344,(N344:P344,Q344:AE344)),0)</f>
        <v>0</v>
      </c>
      <c r="F344" s="5">
        <f t="shared" si="99"/>
        <v>0</v>
      </c>
      <c r="G344" s="1">
        <f t="shared" si="100"/>
        <v>0</v>
      </c>
      <c r="H344" s="2">
        <f t="shared" si="101"/>
        <v>0</v>
      </c>
      <c r="I344" s="6"/>
      <c r="J344" s="2" t="str">
        <f t="shared" si="102"/>
        <v>-</v>
      </c>
      <c r="K344" s="2" t="str">
        <f t="shared" si="103"/>
        <v>-</v>
      </c>
      <c r="L344" s="2" t="str">
        <f t="shared" si="104"/>
        <v>-</v>
      </c>
      <c r="M344" s="2" t="str">
        <f t="shared" si="105"/>
        <v>-</v>
      </c>
      <c r="N344" s="63"/>
      <c r="O344" s="63"/>
      <c r="P344" s="63"/>
      <c r="Q344" s="63"/>
      <c r="R344" s="63"/>
      <c r="S344" s="63"/>
      <c r="T344" s="67"/>
      <c r="U344" s="63"/>
      <c r="V344" s="63"/>
      <c r="W344" s="63">
        <f t="shared" si="109"/>
        <v>0</v>
      </c>
      <c r="X344" s="63"/>
      <c r="Y344" s="63"/>
      <c r="Z344" s="63"/>
      <c r="AA344" s="63"/>
      <c r="AB344" s="63"/>
      <c r="AT344" t="str">
        <f t="shared" si="106"/>
        <v>Freeman</v>
      </c>
      <c r="AU344" t="s">
        <v>1138</v>
      </c>
      <c r="AV344">
        <v>2</v>
      </c>
      <c r="AX344" s="114">
        <v>23</v>
      </c>
      <c r="AY344" s="116">
        <v>7</v>
      </c>
      <c r="BA344" s="120">
        <v>26500</v>
      </c>
      <c r="BB344" s="120">
        <f t="shared" si="107"/>
        <v>23007</v>
      </c>
      <c r="BC344" t="s">
        <v>957</v>
      </c>
      <c r="BD344">
        <f t="shared" si="108"/>
        <v>2326500</v>
      </c>
      <c r="BS344" s="63"/>
      <c r="CK344" s="1"/>
    </row>
    <row r="345" spans="1:89" hidden="1" outlineLevel="1">
      <c r="A345" t="s">
        <v>2872</v>
      </c>
      <c r="B345" s="8" t="s">
        <v>1697</v>
      </c>
      <c r="C345" s="1">
        <f t="shared" si="98"/>
        <v>5447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 t="shared" si="99"/>
        <v>5</v>
      </c>
      <c r="G345" s="1">
        <f t="shared" si="100"/>
        <v>1798</v>
      </c>
      <c r="H345" s="2">
        <f t="shared" si="101"/>
        <v>0.33008995777492195</v>
      </c>
      <c r="I345" s="6"/>
      <c r="J345" s="2">
        <f t="shared" si="102"/>
        <v>0.6319074720029374</v>
      </c>
      <c r="K345" s="2">
        <f t="shared" si="103"/>
        <v>0.30181751422801545</v>
      </c>
      <c r="L345" s="2">
        <f t="shared" si="104"/>
        <v>1.8358729575913347E-3</v>
      </c>
      <c r="M345" s="2">
        <f t="shared" si="105"/>
        <v>6.4439140811455825E-2</v>
      </c>
      <c r="N345" s="63">
        <v>3442</v>
      </c>
      <c r="O345" s="63">
        <v>1644</v>
      </c>
      <c r="P345" s="63">
        <v>10</v>
      </c>
      <c r="Q345" s="63">
        <v>265</v>
      </c>
      <c r="R345" s="63">
        <v>86</v>
      </c>
      <c r="S345" s="63">
        <v>0</v>
      </c>
      <c r="T345" s="67"/>
      <c r="U345" s="63"/>
      <c r="V345" s="63"/>
      <c r="W345" s="63">
        <f t="shared" si="109"/>
        <v>0</v>
      </c>
      <c r="X345" s="63"/>
      <c r="Y345" s="63"/>
      <c r="Z345" s="63"/>
      <c r="AA345" s="63"/>
      <c r="AB345" s="63"/>
      <c r="AE345" s="8">
        <v>0</v>
      </c>
      <c r="AT345" t="str">
        <f t="shared" si="106"/>
        <v>Freeport</v>
      </c>
      <c r="AU345" t="s">
        <v>1531</v>
      </c>
      <c r="AV345">
        <v>1</v>
      </c>
      <c r="AX345" s="114">
        <v>23</v>
      </c>
      <c r="AY345" s="116">
        <v>5</v>
      </c>
      <c r="AZ345" s="116">
        <v>40</v>
      </c>
      <c r="BA345" s="120">
        <v>26525</v>
      </c>
      <c r="BB345" s="120">
        <f t="shared" si="107"/>
        <v>23005</v>
      </c>
      <c r="BC345" t="s">
        <v>1472</v>
      </c>
      <c r="BD345">
        <f t="shared" si="108"/>
        <v>2326525</v>
      </c>
      <c r="BE345" s="1">
        <v>168</v>
      </c>
      <c r="BI345">
        <v>46.48</v>
      </c>
      <c r="BJ345">
        <v>11.78</v>
      </c>
      <c r="BK345">
        <v>34.71</v>
      </c>
      <c r="BS345" s="63">
        <v>0</v>
      </c>
      <c r="CK345" s="1" t="s">
        <v>3900</v>
      </c>
    </row>
    <row r="346" spans="1:89" hidden="1" outlineLevel="1">
      <c r="A346" t="s">
        <v>1785</v>
      </c>
      <c r="B346" s="8" t="s">
        <v>1697</v>
      </c>
      <c r="C346" s="1">
        <f t="shared" si="98"/>
        <v>32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 t="shared" si="99"/>
        <v>0</v>
      </c>
      <c r="G346" s="1">
        <f t="shared" si="100"/>
        <v>16</v>
      </c>
      <c r="H346" s="2">
        <f t="shared" si="101"/>
        <v>0.5</v>
      </c>
      <c r="I346" s="6"/>
      <c r="J346" s="2">
        <f t="shared" si="102"/>
        <v>0.21875</v>
      </c>
      <c r="K346" s="2">
        <f t="shared" si="103"/>
        <v>0.71875</v>
      </c>
      <c r="L346" s="2">
        <f t="shared" si="104"/>
        <v>0</v>
      </c>
      <c r="M346" s="2">
        <f t="shared" si="105"/>
        <v>6.25E-2</v>
      </c>
      <c r="N346" s="63">
        <v>7</v>
      </c>
      <c r="O346" s="63">
        <v>23</v>
      </c>
      <c r="P346" s="63">
        <v>0</v>
      </c>
      <c r="Q346" s="63">
        <v>0</v>
      </c>
      <c r="R346" s="63">
        <v>2</v>
      </c>
      <c r="S346" s="63">
        <v>0</v>
      </c>
      <c r="T346" s="67"/>
      <c r="U346" s="63"/>
      <c r="V346" s="63"/>
      <c r="W346" s="63">
        <f t="shared" si="109"/>
        <v>0</v>
      </c>
      <c r="X346" s="63"/>
      <c r="Y346" s="63"/>
      <c r="Z346" s="63"/>
      <c r="AA346" s="63"/>
      <c r="AB346" s="63"/>
      <c r="AE346" s="8">
        <v>0</v>
      </c>
      <c r="AT346" t="str">
        <f t="shared" si="106"/>
        <v>Frenchboro</v>
      </c>
      <c r="AU346" t="s">
        <v>597</v>
      </c>
      <c r="AV346">
        <v>2</v>
      </c>
      <c r="AX346" s="114">
        <v>23</v>
      </c>
      <c r="AY346" s="116">
        <v>9</v>
      </c>
      <c r="AZ346" s="116">
        <v>73</v>
      </c>
      <c r="BA346" s="120">
        <v>26595</v>
      </c>
      <c r="BB346" s="120">
        <f t="shared" si="107"/>
        <v>23009</v>
      </c>
      <c r="BC346" t="s">
        <v>1472</v>
      </c>
      <c r="BD346">
        <f t="shared" si="108"/>
        <v>2326595</v>
      </c>
      <c r="BE346" s="1">
        <v>1</v>
      </c>
      <c r="BI346">
        <v>94.56</v>
      </c>
      <c r="BJ346">
        <v>89.74</v>
      </c>
      <c r="BK346">
        <v>4.8099999999999996</v>
      </c>
      <c r="BS346" s="63">
        <v>0</v>
      </c>
      <c r="CK346" s="1" t="s">
        <v>3901</v>
      </c>
    </row>
    <row r="347" spans="1:89" hidden="1" outlineLevel="1">
      <c r="A347" t="s">
        <v>2867</v>
      </c>
      <c r="B347" s="8" t="s">
        <v>1697</v>
      </c>
      <c r="C347" s="1">
        <f t="shared" si="98"/>
        <v>608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 t="shared" si="99"/>
        <v>5</v>
      </c>
      <c r="G347" s="1">
        <f t="shared" si="100"/>
        <v>48</v>
      </c>
      <c r="H347" s="2">
        <f t="shared" si="101"/>
        <v>7.8947368421052627E-2</v>
      </c>
      <c r="I347" s="6"/>
      <c r="J347" s="2">
        <f t="shared" si="102"/>
        <v>0.43421052631578949</v>
      </c>
      <c r="K347" s="2">
        <f t="shared" si="103"/>
        <v>0.51315789473684215</v>
      </c>
      <c r="L347" s="2">
        <f t="shared" si="104"/>
        <v>3.2894736842105261E-3</v>
      </c>
      <c r="M347" s="2">
        <f t="shared" si="105"/>
        <v>4.934210526315784E-2</v>
      </c>
      <c r="N347" s="63">
        <v>264</v>
      </c>
      <c r="O347" s="63">
        <v>312</v>
      </c>
      <c r="P347" s="63">
        <v>2</v>
      </c>
      <c r="Q347" s="63">
        <v>22</v>
      </c>
      <c r="R347" s="63">
        <v>8</v>
      </c>
      <c r="S347" s="63">
        <v>0</v>
      </c>
      <c r="T347" s="67"/>
      <c r="U347" s="63"/>
      <c r="V347" s="63"/>
      <c r="W347" s="63">
        <f t="shared" si="109"/>
        <v>0</v>
      </c>
      <c r="X347" s="63"/>
      <c r="Y347" s="63"/>
      <c r="Z347" s="63"/>
      <c r="AA347" s="63"/>
      <c r="AB347" s="63"/>
      <c r="AE347" s="8">
        <v>0</v>
      </c>
      <c r="AT347" t="str">
        <f t="shared" si="106"/>
        <v>Frenchville</v>
      </c>
      <c r="AU347" t="s">
        <v>2830</v>
      </c>
      <c r="AV347">
        <v>2</v>
      </c>
      <c r="AX347" s="114">
        <v>23</v>
      </c>
      <c r="AY347" s="116">
        <v>3</v>
      </c>
      <c r="AZ347" s="116">
        <v>105</v>
      </c>
      <c r="BA347" s="120">
        <v>26735</v>
      </c>
      <c r="BB347" s="120">
        <f t="shared" si="107"/>
        <v>23003</v>
      </c>
      <c r="BC347" t="s">
        <v>1472</v>
      </c>
      <c r="BD347">
        <f t="shared" si="108"/>
        <v>2326735</v>
      </c>
      <c r="BE347" s="1">
        <v>18</v>
      </c>
      <c r="BI347">
        <v>29.21</v>
      </c>
      <c r="BJ347">
        <v>0.64</v>
      </c>
      <c r="BK347">
        <v>28.57</v>
      </c>
      <c r="BS347" s="63">
        <v>0</v>
      </c>
      <c r="CK347" s="1" t="s">
        <v>3902</v>
      </c>
    </row>
    <row r="348" spans="1:89" hidden="1" outlineLevel="1">
      <c r="A348" t="s">
        <v>2417</v>
      </c>
      <c r="B348" s="8" t="s">
        <v>1697</v>
      </c>
      <c r="C348" s="1">
        <f t="shared" si="98"/>
        <v>741</v>
      </c>
      <c r="D348" s="5">
        <f>IF(N348&gt;0, RANK(N348,(N348:P348,Q348:AE348)),0)</f>
        <v>2</v>
      </c>
      <c r="E348" s="5">
        <f>IF(O348&gt;0,RANK(O348,(N348:P348,Q348:AE348)),0)</f>
        <v>1</v>
      </c>
      <c r="F348" s="5">
        <f t="shared" si="99"/>
        <v>0</v>
      </c>
      <c r="G348" s="1">
        <f t="shared" si="100"/>
        <v>154</v>
      </c>
      <c r="H348" s="2">
        <f t="shared" si="101"/>
        <v>0.2078272604588394</v>
      </c>
      <c r="I348" s="6"/>
      <c r="J348" s="2">
        <f t="shared" si="102"/>
        <v>0.36572199730094468</v>
      </c>
      <c r="K348" s="2">
        <f t="shared" si="103"/>
        <v>0.57354925775978405</v>
      </c>
      <c r="L348" s="2">
        <f t="shared" si="104"/>
        <v>0</v>
      </c>
      <c r="M348" s="2">
        <f t="shared" si="105"/>
        <v>6.0728744939271273E-2</v>
      </c>
      <c r="N348" s="63">
        <v>271</v>
      </c>
      <c r="O348" s="63">
        <v>425</v>
      </c>
      <c r="P348" s="63">
        <v>0</v>
      </c>
      <c r="Q348" s="63">
        <v>31</v>
      </c>
      <c r="R348" s="63">
        <v>13</v>
      </c>
      <c r="S348" s="63">
        <v>1</v>
      </c>
      <c r="T348" s="67"/>
      <c r="U348" s="63"/>
      <c r="V348" s="63"/>
      <c r="W348" s="63">
        <f t="shared" si="109"/>
        <v>0</v>
      </c>
      <c r="X348" s="63"/>
      <c r="Y348" s="63"/>
      <c r="Z348" s="63"/>
      <c r="AA348" s="63"/>
      <c r="AB348" s="63"/>
      <c r="AE348" s="8">
        <v>0</v>
      </c>
      <c r="AT348" t="str">
        <f t="shared" si="106"/>
        <v>Friendship</v>
      </c>
      <c r="AU348" t="s">
        <v>1729</v>
      </c>
      <c r="AV348">
        <v>1</v>
      </c>
      <c r="AX348" s="114">
        <v>23</v>
      </c>
      <c r="AY348" s="116">
        <v>13</v>
      </c>
      <c r="AZ348" s="116">
        <v>20</v>
      </c>
      <c r="BA348" s="120">
        <v>26805</v>
      </c>
      <c r="BB348" s="120">
        <f t="shared" si="107"/>
        <v>23013</v>
      </c>
      <c r="BC348" t="s">
        <v>1472</v>
      </c>
      <c r="BD348">
        <f t="shared" si="108"/>
        <v>2326805</v>
      </c>
      <c r="BE348" s="1">
        <v>17</v>
      </c>
      <c r="BI348">
        <v>31.03</v>
      </c>
      <c r="BJ348">
        <v>17.010000000000002</v>
      </c>
      <c r="BK348">
        <v>14.02</v>
      </c>
      <c r="BS348" s="63">
        <v>0</v>
      </c>
      <c r="CK348" s="1" t="s">
        <v>3903</v>
      </c>
    </row>
    <row r="349" spans="1:89" hidden="1" outlineLevel="1">
      <c r="A349" s="34" t="s">
        <v>2460</v>
      </c>
      <c r="B349" s="8" t="s">
        <v>1697</v>
      </c>
      <c r="C349" s="1">
        <f t="shared" si="98"/>
        <v>77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 t="shared" si="99"/>
        <v>0</v>
      </c>
      <c r="G349" s="1">
        <f t="shared" si="100"/>
        <v>17</v>
      </c>
      <c r="H349" s="2">
        <f t="shared" si="101"/>
        <v>0.22077922077922077</v>
      </c>
      <c r="I349" s="6"/>
      <c r="J349" s="2">
        <f t="shared" si="102"/>
        <v>0.55844155844155841</v>
      </c>
      <c r="K349" s="2">
        <f t="shared" si="103"/>
        <v>0.33766233766233766</v>
      </c>
      <c r="L349" s="2">
        <f t="shared" si="104"/>
        <v>0</v>
      </c>
      <c r="M349" s="2">
        <f t="shared" si="105"/>
        <v>0.10389610389610393</v>
      </c>
      <c r="N349" s="63">
        <v>43</v>
      </c>
      <c r="O349" s="63">
        <v>26</v>
      </c>
      <c r="P349" s="63">
        <v>0</v>
      </c>
      <c r="Q349" s="63">
        <v>8</v>
      </c>
      <c r="R349" s="63">
        <v>0</v>
      </c>
      <c r="S349" s="63">
        <v>0</v>
      </c>
      <c r="T349" s="67"/>
      <c r="U349" s="63"/>
      <c r="V349" s="63"/>
      <c r="W349" s="63">
        <f t="shared" si="109"/>
        <v>0</v>
      </c>
      <c r="X349" s="63"/>
      <c r="Y349" s="63"/>
      <c r="Z349" s="63"/>
      <c r="AA349" s="63"/>
      <c r="AB349" s="63"/>
      <c r="AE349" s="8">
        <v>0</v>
      </c>
      <c r="AT349" t="str">
        <f t="shared" si="106"/>
        <v>Frye Island</v>
      </c>
      <c r="AU349" t="s">
        <v>1531</v>
      </c>
      <c r="AV349">
        <v>1</v>
      </c>
      <c r="AX349" s="114">
        <v>23</v>
      </c>
      <c r="AY349" s="116">
        <v>5</v>
      </c>
      <c r="AZ349" s="116">
        <v>43</v>
      </c>
      <c r="BA349" s="120">
        <v>27025</v>
      </c>
      <c r="BB349" s="120">
        <f t="shared" si="107"/>
        <v>23005</v>
      </c>
      <c r="BC349" t="s">
        <v>1472</v>
      </c>
      <c r="BD349">
        <f t="shared" si="108"/>
        <v>2327025</v>
      </c>
      <c r="BE349" s="1">
        <v>1</v>
      </c>
      <c r="BI349">
        <v>1.6</v>
      </c>
      <c r="BJ349">
        <v>0.27</v>
      </c>
      <c r="BK349">
        <v>1.33</v>
      </c>
      <c r="BS349" s="63">
        <v>0</v>
      </c>
      <c r="CK349" s="1" t="s">
        <v>3904</v>
      </c>
    </row>
    <row r="350" spans="1:89" hidden="1" outlineLevel="1">
      <c r="A350" t="s">
        <v>2122</v>
      </c>
      <c r="B350" s="8" t="s">
        <v>1697</v>
      </c>
      <c r="C350" s="1">
        <f t="shared" si="98"/>
        <v>1753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 t="shared" si="99"/>
        <v>5</v>
      </c>
      <c r="G350" s="1">
        <f t="shared" si="100"/>
        <v>42</v>
      </c>
      <c r="H350" s="2">
        <f t="shared" si="101"/>
        <v>2.3958927552766685E-2</v>
      </c>
      <c r="I350" s="6"/>
      <c r="J350" s="2">
        <f t="shared" si="102"/>
        <v>0.46206503137478611</v>
      </c>
      <c r="K350" s="2">
        <f t="shared" si="103"/>
        <v>0.43810610382201942</v>
      </c>
      <c r="L350" s="2">
        <f t="shared" si="104"/>
        <v>1.1409013120365088E-3</v>
      </c>
      <c r="M350" s="2">
        <f t="shared" si="105"/>
        <v>9.8687963491158021E-2</v>
      </c>
      <c r="N350" s="63">
        <v>810</v>
      </c>
      <c r="O350" s="63">
        <v>768</v>
      </c>
      <c r="P350" s="63">
        <v>2</v>
      </c>
      <c r="Q350" s="63">
        <v>134</v>
      </c>
      <c r="R350" s="63">
        <v>38</v>
      </c>
      <c r="S350" s="63">
        <v>1</v>
      </c>
      <c r="T350" s="67"/>
      <c r="U350" s="63"/>
      <c r="V350" s="63"/>
      <c r="W350" s="63">
        <f t="shared" si="109"/>
        <v>0</v>
      </c>
      <c r="X350" s="63"/>
      <c r="Y350" s="63"/>
      <c r="Z350" s="63"/>
      <c r="AA350" s="63"/>
      <c r="AB350" s="63"/>
      <c r="AE350" s="8">
        <v>0</v>
      </c>
      <c r="AT350" t="str">
        <f t="shared" si="106"/>
        <v>Fryeburg</v>
      </c>
      <c r="AU350" t="s">
        <v>2383</v>
      </c>
      <c r="AV350">
        <v>2</v>
      </c>
      <c r="AX350" s="114">
        <v>23</v>
      </c>
      <c r="AY350" s="116">
        <v>17</v>
      </c>
      <c r="AZ350" s="116">
        <v>45</v>
      </c>
      <c r="BA350" s="120">
        <v>26910</v>
      </c>
      <c r="BB350" s="120">
        <f t="shared" si="107"/>
        <v>23017</v>
      </c>
      <c r="BC350" t="s">
        <v>1472</v>
      </c>
      <c r="BD350">
        <f t="shared" si="108"/>
        <v>2326910</v>
      </c>
      <c r="BE350" s="1">
        <v>80</v>
      </c>
      <c r="BI350">
        <v>65.87</v>
      </c>
      <c r="BJ350">
        <v>7.52</v>
      </c>
      <c r="BK350">
        <v>58.34</v>
      </c>
      <c r="BS350" s="63">
        <v>0</v>
      </c>
      <c r="CK350" s="1" t="s">
        <v>3905</v>
      </c>
    </row>
    <row r="351" spans="1:89" hidden="1" outlineLevel="1">
      <c r="A351" t="s">
        <v>2594</v>
      </c>
      <c r="B351" s="8" t="s">
        <v>1697</v>
      </c>
      <c r="C351" s="1">
        <f t="shared" si="98"/>
        <v>3049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 t="shared" si="99"/>
        <v>5</v>
      </c>
      <c r="G351" s="1">
        <f t="shared" si="100"/>
        <v>85</v>
      </c>
      <c r="H351" s="2">
        <f t="shared" si="101"/>
        <v>2.7877992784519516E-2</v>
      </c>
      <c r="I351" s="6"/>
      <c r="J351" s="2">
        <f t="shared" si="102"/>
        <v>0.47425385372253198</v>
      </c>
      <c r="K351" s="2">
        <f t="shared" si="103"/>
        <v>0.44637586093801246</v>
      </c>
      <c r="L351" s="2">
        <f t="shared" si="104"/>
        <v>1.9678583142013774E-3</v>
      </c>
      <c r="M351" s="2">
        <f t="shared" si="105"/>
        <v>7.7402427025254128E-2</v>
      </c>
      <c r="N351" s="63">
        <v>1446</v>
      </c>
      <c r="O351" s="63">
        <v>1361</v>
      </c>
      <c r="P351" s="63">
        <v>6</v>
      </c>
      <c r="Q351" s="63">
        <v>156</v>
      </c>
      <c r="R351" s="63">
        <v>80</v>
      </c>
      <c r="S351" s="63">
        <v>0</v>
      </c>
      <c r="T351" s="67"/>
      <c r="U351" s="63"/>
      <c r="V351" s="63"/>
      <c r="W351" s="63">
        <f t="shared" si="109"/>
        <v>0</v>
      </c>
      <c r="X351" s="63"/>
      <c r="Y351" s="63"/>
      <c r="Z351" s="63"/>
      <c r="AA351" s="63"/>
      <c r="AB351" s="63"/>
      <c r="AE351" s="8">
        <v>0</v>
      </c>
      <c r="AT351" t="str">
        <f t="shared" si="106"/>
        <v>Gardiner</v>
      </c>
      <c r="AU351" t="s">
        <v>3007</v>
      </c>
      <c r="AV351">
        <v>2</v>
      </c>
      <c r="AX351" s="114">
        <v>23</v>
      </c>
      <c r="AY351" s="116">
        <v>11</v>
      </c>
      <c r="AZ351" s="116">
        <v>50</v>
      </c>
      <c r="BA351" s="120">
        <v>27085</v>
      </c>
      <c r="BB351" s="120">
        <f t="shared" si="107"/>
        <v>23011</v>
      </c>
      <c r="BC351" t="s">
        <v>1249</v>
      </c>
      <c r="BD351">
        <f t="shared" si="108"/>
        <v>2327085</v>
      </c>
      <c r="BE351" s="1">
        <v>71</v>
      </c>
      <c r="BI351">
        <v>16.61</v>
      </c>
      <c r="BJ351">
        <v>0.95</v>
      </c>
      <c r="BK351">
        <v>15.67</v>
      </c>
      <c r="BS351" s="63">
        <v>0</v>
      </c>
      <c r="CK351" s="1" t="s">
        <v>3906</v>
      </c>
    </row>
    <row r="352" spans="1:89" hidden="1" outlineLevel="1">
      <c r="A352" t="s">
        <v>2946</v>
      </c>
      <c r="B352" s="8" t="s">
        <v>1697</v>
      </c>
      <c r="C352" s="1">
        <f t="shared" si="98"/>
        <v>50</v>
      </c>
      <c r="D352" s="5">
        <f>IF(N352&gt;0, RANK(N352,(N352:P352,Q352:AE352)),0)</f>
        <v>2</v>
      </c>
      <c r="E352" s="5">
        <f>IF(O352&gt;0,RANK(O352,(N352:P352,Q352:AE352)),0)</f>
        <v>1</v>
      </c>
      <c r="F352" s="5">
        <f t="shared" si="99"/>
        <v>0</v>
      </c>
      <c r="G352" s="1">
        <f t="shared" si="100"/>
        <v>17</v>
      </c>
      <c r="H352" s="2">
        <f t="shared" si="101"/>
        <v>0.34</v>
      </c>
      <c r="I352" s="6"/>
      <c r="J352" s="2">
        <f t="shared" si="102"/>
        <v>0.28000000000000003</v>
      </c>
      <c r="K352" s="2">
        <f t="shared" si="103"/>
        <v>0.62</v>
      </c>
      <c r="L352" s="2">
        <f t="shared" si="104"/>
        <v>0</v>
      </c>
      <c r="M352" s="2">
        <f t="shared" si="105"/>
        <v>9.9999999999999978E-2</v>
      </c>
      <c r="N352" s="63">
        <v>14</v>
      </c>
      <c r="O352" s="63">
        <v>31</v>
      </c>
      <c r="P352" s="63">
        <v>0</v>
      </c>
      <c r="Q352" s="63">
        <v>4</v>
      </c>
      <c r="R352" s="63">
        <v>1</v>
      </c>
      <c r="S352" s="63">
        <v>0</v>
      </c>
      <c r="T352" s="67"/>
      <c r="U352" s="63"/>
      <c r="V352" s="63"/>
      <c r="W352" s="63">
        <f t="shared" si="109"/>
        <v>0</v>
      </c>
      <c r="X352" s="63"/>
      <c r="Y352" s="63"/>
      <c r="Z352" s="63"/>
      <c r="AA352" s="63"/>
      <c r="AB352" s="63"/>
      <c r="AE352" s="8">
        <v>0</v>
      </c>
      <c r="AT352" t="str">
        <f t="shared" si="106"/>
        <v>Garfield</v>
      </c>
      <c r="AU352" t="s">
        <v>2830</v>
      </c>
      <c r="AV352">
        <v>2</v>
      </c>
      <c r="AX352" s="114">
        <v>23</v>
      </c>
      <c r="AY352" s="116">
        <v>3</v>
      </c>
      <c r="AZ352" s="116">
        <v>110</v>
      </c>
      <c r="BA352" s="120">
        <v>27120</v>
      </c>
      <c r="BB352" s="120">
        <f t="shared" si="107"/>
        <v>23003</v>
      </c>
      <c r="BC352" t="s">
        <v>3075</v>
      </c>
      <c r="BD352">
        <f t="shared" si="108"/>
        <v>2327120</v>
      </c>
      <c r="BE352" s="1">
        <v>3</v>
      </c>
      <c r="BI352">
        <v>38.479999999999997</v>
      </c>
      <c r="BJ352">
        <v>0.27</v>
      </c>
      <c r="BK352">
        <v>38.200000000000003</v>
      </c>
      <c r="BS352" s="63">
        <v>0</v>
      </c>
      <c r="CK352" s="1" t="s">
        <v>3907</v>
      </c>
    </row>
    <row r="353" spans="1:89" hidden="1" outlineLevel="1">
      <c r="A353" t="s">
        <v>645</v>
      </c>
      <c r="B353" s="8" t="s">
        <v>1697</v>
      </c>
      <c r="C353" s="1">
        <f t="shared" si="98"/>
        <v>556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 t="shared" si="99"/>
        <v>0</v>
      </c>
      <c r="G353" s="1">
        <f t="shared" si="100"/>
        <v>177</v>
      </c>
      <c r="H353" s="2">
        <f t="shared" si="101"/>
        <v>0.31834532374100721</v>
      </c>
      <c r="I353" s="6"/>
      <c r="J353" s="2">
        <f t="shared" si="102"/>
        <v>0.30035971223021585</v>
      </c>
      <c r="K353" s="2">
        <f t="shared" si="103"/>
        <v>0.61870503597122306</v>
      </c>
      <c r="L353" s="2">
        <f t="shared" si="104"/>
        <v>0</v>
      </c>
      <c r="M353" s="2">
        <f t="shared" si="105"/>
        <v>8.0935251798561092E-2</v>
      </c>
      <c r="N353" s="63">
        <v>167</v>
      </c>
      <c r="O353" s="63">
        <v>344</v>
      </c>
      <c r="P353" s="63">
        <v>0</v>
      </c>
      <c r="Q353" s="63">
        <v>34</v>
      </c>
      <c r="R353" s="63">
        <v>7</v>
      </c>
      <c r="S353" s="63">
        <v>4</v>
      </c>
      <c r="T353" s="67"/>
      <c r="U353" s="63"/>
      <c r="V353" s="63"/>
      <c r="W353" s="63">
        <f t="shared" si="109"/>
        <v>0</v>
      </c>
      <c r="X353" s="63"/>
      <c r="Y353" s="63"/>
      <c r="Z353" s="63"/>
      <c r="AA353" s="63"/>
      <c r="AB353" s="63"/>
      <c r="AE353" s="8">
        <v>0</v>
      </c>
      <c r="AT353" t="str">
        <f t="shared" si="106"/>
        <v>Garland</v>
      </c>
      <c r="AU353" t="s">
        <v>2481</v>
      </c>
      <c r="AV353">
        <v>2</v>
      </c>
      <c r="AX353" s="114">
        <v>23</v>
      </c>
      <c r="AY353" s="116">
        <v>19</v>
      </c>
      <c r="AZ353" s="116">
        <v>115</v>
      </c>
      <c r="BA353" s="120">
        <v>27190</v>
      </c>
      <c r="BB353" s="120">
        <f t="shared" si="107"/>
        <v>23019</v>
      </c>
      <c r="BC353" t="s">
        <v>1472</v>
      </c>
      <c r="BD353">
        <f t="shared" si="108"/>
        <v>2327190</v>
      </c>
      <c r="BE353" s="1">
        <v>21</v>
      </c>
      <c r="BI353">
        <v>38.049999999999997</v>
      </c>
      <c r="BJ353">
        <v>0.27</v>
      </c>
      <c r="BK353">
        <v>37.78</v>
      </c>
      <c r="BS353" s="63">
        <v>0</v>
      </c>
      <c r="CK353" s="1" t="s">
        <v>3908</v>
      </c>
    </row>
    <row r="354" spans="1:89" hidden="1" outlineLevel="1">
      <c r="A354" t="s">
        <v>445</v>
      </c>
      <c r="B354" s="8" t="s">
        <v>1697</v>
      </c>
      <c r="C354" s="1">
        <f t="shared" si="98"/>
        <v>744</v>
      </c>
      <c r="D354" s="5">
        <f>IF(N354&gt;0, RANK(N354,(N354:P354,Q354:AE354)),0)</f>
        <v>1</v>
      </c>
      <c r="E354" s="5">
        <f>IF(O354&gt;0,RANK(O354,(N354:P354,Q354:AE354)),0)</f>
        <v>2</v>
      </c>
      <c r="F354" s="5">
        <f t="shared" si="99"/>
        <v>0</v>
      </c>
      <c r="G354" s="1">
        <f t="shared" si="100"/>
        <v>121</v>
      </c>
      <c r="H354" s="2">
        <f t="shared" si="101"/>
        <v>0.16263440860215053</v>
      </c>
      <c r="I354" s="6"/>
      <c r="J354" s="2">
        <f t="shared" si="102"/>
        <v>0.54032258064516125</v>
      </c>
      <c r="K354" s="2">
        <f t="shared" si="103"/>
        <v>0.37768817204301075</v>
      </c>
      <c r="L354" s="2">
        <f t="shared" si="104"/>
        <v>0</v>
      </c>
      <c r="M354" s="2">
        <f t="shared" si="105"/>
        <v>8.1989247311827995E-2</v>
      </c>
      <c r="N354" s="63">
        <v>402</v>
      </c>
      <c r="O354" s="63">
        <v>281</v>
      </c>
      <c r="P354" s="63">
        <v>0</v>
      </c>
      <c r="Q354" s="63">
        <v>29</v>
      </c>
      <c r="R354" s="63">
        <v>32</v>
      </c>
      <c r="S354" s="63">
        <v>0</v>
      </c>
      <c r="T354" s="67"/>
      <c r="U354" s="63"/>
      <c r="V354" s="63"/>
      <c r="W354" s="63">
        <f t="shared" si="109"/>
        <v>0</v>
      </c>
      <c r="X354" s="63"/>
      <c r="Y354" s="63"/>
      <c r="Z354" s="63"/>
      <c r="AA354" s="63"/>
      <c r="AB354" s="63"/>
      <c r="AE354" s="8">
        <v>0</v>
      </c>
      <c r="AT354" t="str">
        <f t="shared" si="106"/>
        <v>Georgetown</v>
      </c>
      <c r="AU354" t="s">
        <v>1283</v>
      </c>
      <c r="AV354">
        <v>1</v>
      </c>
      <c r="AX354" s="114">
        <v>23</v>
      </c>
      <c r="AY354" s="116">
        <v>23</v>
      </c>
      <c r="AZ354" s="116">
        <v>25</v>
      </c>
      <c r="BA354" s="120">
        <v>27295</v>
      </c>
      <c r="BB354" s="120">
        <f t="shared" si="107"/>
        <v>23023</v>
      </c>
      <c r="BC354" t="s">
        <v>1472</v>
      </c>
      <c r="BD354">
        <f t="shared" si="108"/>
        <v>2327295</v>
      </c>
      <c r="BE354" s="1">
        <v>25</v>
      </c>
      <c r="BI354">
        <v>31.85</v>
      </c>
      <c r="BJ354">
        <v>13.11</v>
      </c>
      <c r="BK354">
        <v>18.739999999999998</v>
      </c>
      <c r="BS354" s="63">
        <v>0</v>
      </c>
      <c r="CK354" s="1" t="s">
        <v>3909</v>
      </c>
    </row>
    <row r="355" spans="1:89" hidden="1" outlineLevel="1">
      <c r="A355" t="s">
        <v>2884</v>
      </c>
      <c r="B355" s="8" t="s">
        <v>1697</v>
      </c>
      <c r="C355" s="1">
        <f t="shared" si="98"/>
        <v>116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 t="shared" si="99"/>
        <v>0</v>
      </c>
      <c r="G355" s="1">
        <f t="shared" si="100"/>
        <v>20</v>
      </c>
      <c r="H355" s="2">
        <f t="shared" si="101"/>
        <v>0.17241379310344829</v>
      </c>
      <c r="I355" s="6"/>
      <c r="J355" s="2">
        <f t="shared" si="102"/>
        <v>0.36206896551724138</v>
      </c>
      <c r="K355" s="2">
        <f t="shared" si="103"/>
        <v>0.53448275862068961</v>
      </c>
      <c r="L355" s="2">
        <f t="shared" si="104"/>
        <v>0</v>
      </c>
      <c r="M355" s="2">
        <f t="shared" si="105"/>
        <v>0.10344827586206906</v>
      </c>
      <c r="N355" s="63">
        <v>42</v>
      </c>
      <c r="O355" s="63">
        <v>62</v>
      </c>
      <c r="P355" s="63">
        <v>0</v>
      </c>
      <c r="Q355" s="63">
        <v>10</v>
      </c>
      <c r="R355" s="63">
        <v>2</v>
      </c>
      <c r="S355" s="63">
        <v>0</v>
      </c>
      <c r="T355" s="67"/>
      <c r="U355" s="63"/>
      <c r="V355" s="63"/>
      <c r="W355" s="63">
        <f t="shared" si="109"/>
        <v>0</v>
      </c>
      <c r="X355" s="63"/>
      <c r="Y355" s="63"/>
      <c r="Z355" s="63"/>
      <c r="AA355" s="63"/>
      <c r="AB355" s="63"/>
      <c r="AE355" s="8">
        <v>0</v>
      </c>
      <c r="AT355" t="str">
        <f t="shared" si="106"/>
        <v>Gilead</v>
      </c>
      <c r="AU355" t="s">
        <v>2383</v>
      </c>
      <c r="AV355">
        <v>2</v>
      </c>
      <c r="AX355" s="114">
        <v>23</v>
      </c>
      <c r="AY355" s="116">
        <v>17</v>
      </c>
      <c r="AZ355" s="116">
        <v>50</v>
      </c>
      <c r="BA355" s="120">
        <v>27505</v>
      </c>
      <c r="BB355" s="120">
        <f t="shared" si="107"/>
        <v>23017</v>
      </c>
      <c r="BC355" t="s">
        <v>1472</v>
      </c>
      <c r="BD355">
        <f t="shared" si="108"/>
        <v>2327505</v>
      </c>
      <c r="BE355" s="1">
        <v>2</v>
      </c>
      <c r="BI355">
        <v>19.7</v>
      </c>
      <c r="BJ355">
        <v>0.63</v>
      </c>
      <c r="BK355">
        <v>19.07</v>
      </c>
      <c r="BS355" s="63">
        <v>0</v>
      </c>
      <c r="CK355" s="1" t="s">
        <v>3910</v>
      </c>
    </row>
    <row r="356" spans="1:89" hidden="1" outlineLevel="1">
      <c r="A356" t="s">
        <v>1817</v>
      </c>
      <c r="B356" s="8" t="s">
        <v>1697</v>
      </c>
      <c r="C356" s="1">
        <f t="shared" si="98"/>
        <v>2534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 t="shared" si="99"/>
        <v>5</v>
      </c>
      <c r="G356" s="1">
        <f t="shared" si="100"/>
        <v>478</v>
      </c>
      <c r="H356" s="2">
        <f t="shared" si="101"/>
        <v>0.18863456985003946</v>
      </c>
      <c r="I356" s="6"/>
      <c r="J356" s="2">
        <f t="shared" si="102"/>
        <v>0.3681925808997632</v>
      </c>
      <c r="K356" s="2">
        <f t="shared" si="103"/>
        <v>0.55682715074980271</v>
      </c>
      <c r="L356" s="2">
        <f t="shared" si="104"/>
        <v>3.9463299131807421E-3</v>
      </c>
      <c r="M356" s="2">
        <f t="shared" si="105"/>
        <v>7.1033938437253294E-2</v>
      </c>
      <c r="N356" s="63">
        <v>933</v>
      </c>
      <c r="O356" s="63">
        <v>1411</v>
      </c>
      <c r="P356" s="63">
        <v>10</v>
      </c>
      <c r="Q356" s="63">
        <v>143</v>
      </c>
      <c r="R356" s="63">
        <v>34</v>
      </c>
      <c r="S356" s="63">
        <v>3</v>
      </c>
      <c r="T356" s="67"/>
      <c r="U356" s="63"/>
      <c r="V356" s="63"/>
      <c r="W356" s="63">
        <f t="shared" si="109"/>
        <v>0</v>
      </c>
      <c r="X356" s="63"/>
      <c r="Y356" s="63"/>
      <c r="Z356" s="63"/>
      <c r="AA356" s="63"/>
      <c r="AB356" s="63"/>
      <c r="AE356" s="8">
        <v>0</v>
      </c>
      <c r="AT356" t="str">
        <f t="shared" si="106"/>
        <v>Glenburn</v>
      </c>
      <c r="AU356" t="s">
        <v>2481</v>
      </c>
      <c r="AV356">
        <v>2</v>
      </c>
      <c r="AX356" s="114">
        <v>23</v>
      </c>
      <c r="AY356" s="116">
        <v>19</v>
      </c>
      <c r="AZ356" s="116">
        <v>120</v>
      </c>
      <c r="BA356" s="120">
        <v>27645</v>
      </c>
      <c r="BB356" s="120">
        <f t="shared" si="107"/>
        <v>23019</v>
      </c>
      <c r="BC356" t="s">
        <v>1472</v>
      </c>
      <c r="BD356">
        <f t="shared" si="108"/>
        <v>2327645</v>
      </c>
      <c r="BE356" s="1">
        <v>72</v>
      </c>
      <c r="BI356">
        <v>29.31</v>
      </c>
      <c r="BJ356">
        <v>2.12</v>
      </c>
      <c r="BK356">
        <v>27.19</v>
      </c>
      <c r="BS356" s="63">
        <v>0</v>
      </c>
      <c r="CK356" s="1" t="s">
        <v>3911</v>
      </c>
    </row>
    <row r="357" spans="1:89" hidden="1" outlineLevel="1">
      <c r="A357" t="s">
        <v>91</v>
      </c>
      <c r="B357" s="8" t="s">
        <v>1697</v>
      </c>
      <c r="C357" s="1">
        <f t="shared" si="98"/>
        <v>2</v>
      </c>
      <c r="D357" s="5">
        <f>IF(N357&gt;0, RANK(N357,(N357:P357,Q357:AE357)),0)</f>
        <v>0</v>
      </c>
      <c r="E357" s="5">
        <f>IF(O357&gt;0,RANK(O357,(N357:P357,Q357:AE357)),0)</f>
        <v>1</v>
      </c>
      <c r="F357" s="5">
        <f t="shared" si="99"/>
        <v>0</v>
      </c>
      <c r="G357" s="1">
        <f t="shared" si="100"/>
        <v>2</v>
      </c>
      <c r="H357" s="2">
        <f t="shared" si="101"/>
        <v>1</v>
      </c>
      <c r="I357" s="6"/>
      <c r="J357" s="2">
        <f t="shared" si="102"/>
        <v>0</v>
      </c>
      <c r="K357" s="2">
        <f t="shared" si="103"/>
        <v>1</v>
      </c>
      <c r="L357" s="2">
        <f t="shared" si="104"/>
        <v>0</v>
      </c>
      <c r="M357" s="2">
        <f t="shared" si="105"/>
        <v>0</v>
      </c>
      <c r="N357" s="63">
        <v>0</v>
      </c>
      <c r="O357" s="63">
        <v>2</v>
      </c>
      <c r="P357" s="63">
        <v>0</v>
      </c>
      <c r="Q357" s="63">
        <v>0</v>
      </c>
      <c r="R357" s="63">
        <v>0</v>
      </c>
      <c r="S357" s="63">
        <v>0</v>
      </c>
      <c r="T357" s="67"/>
      <c r="U357" s="63"/>
      <c r="V357" s="63"/>
      <c r="W357" s="63">
        <f t="shared" si="109"/>
        <v>0</v>
      </c>
      <c r="X357" s="63"/>
      <c r="Y357" s="63"/>
      <c r="Z357" s="63"/>
      <c r="AA357" s="63"/>
      <c r="AB357" s="63"/>
      <c r="AE357" s="8">
        <v>0</v>
      </c>
      <c r="AT357" t="str">
        <f t="shared" si="106"/>
        <v>Glenwood</v>
      </c>
      <c r="AU357" t="s">
        <v>2830</v>
      </c>
      <c r="AV357">
        <v>2</v>
      </c>
      <c r="AX357" s="114">
        <v>23</v>
      </c>
      <c r="AY357" s="116">
        <v>3</v>
      </c>
      <c r="AZ357" s="116">
        <v>115</v>
      </c>
      <c r="BA357" s="120">
        <v>27855</v>
      </c>
      <c r="BB357" s="120">
        <f t="shared" si="107"/>
        <v>23003</v>
      </c>
      <c r="BC357" t="s">
        <v>3075</v>
      </c>
      <c r="BD357">
        <f t="shared" si="108"/>
        <v>2327855</v>
      </c>
      <c r="BE357" s="1">
        <v>0</v>
      </c>
      <c r="BI357">
        <v>39.520000000000003</v>
      </c>
      <c r="BJ357">
        <v>1.34</v>
      </c>
      <c r="BK357">
        <v>38.18</v>
      </c>
      <c r="BS357" s="63">
        <v>0</v>
      </c>
      <c r="CK357" s="1" t="s">
        <v>3912</v>
      </c>
    </row>
    <row r="358" spans="1:89" hidden="1" outlineLevel="1">
      <c r="A358" t="s">
        <v>143</v>
      </c>
      <c r="B358" s="8" t="s">
        <v>1697</v>
      </c>
      <c r="C358" s="1">
        <f t="shared" ref="C358:C420" si="110">SUM(N358:AR358)</f>
        <v>9689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 t="shared" ref="F358:F420" si="111">IF(P358&gt;0,RANK(P358,(N358:AE358)),0)</f>
        <v>6</v>
      </c>
      <c r="G358" s="1">
        <f t="shared" ref="G358:G420" si="112">IF(C358&gt;0,MAX(N358:P358)-LARGE(N358:P358,2),0)</f>
        <v>1050</v>
      </c>
      <c r="H358" s="2">
        <f t="shared" ref="H358:H420" si="113">IF(C358&gt;0,G358/C358,0)</f>
        <v>0.10837031685416451</v>
      </c>
      <c r="I358" s="6"/>
      <c r="J358" s="2">
        <f t="shared" ref="J358:J420" si="114">IF(C358=0,"-",N358/C358)</f>
        <v>0.51553307874909693</v>
      </c>
      <c r="K358" s="2">
        <f t="shared" ref="K358:K420" si="115">IF(C358=0,"-",O358/C358)</f>
        <v>0.40716276189493239</v>
      </c>
      <c r="L358" s="2">
        <f t="shared" ref="L358:L420" si="116">IF(C358=0,"-",P358/C358)</f>
        <v>2.2706161626586852E-3</v>
      </c>
      <c r="M358" s="2">
        <f t="shared" ref="M358:M420" si="117">IF(C358=0,"-",(1-J358-K358-L358))</f>
        <v>7.5033543193312E-2</v>
      </c>
      <c r="N358" s="63">
        <v>4995</v>
      </c>
      <c r="O358" s="63">
        <v>3945</v>
      </c>
      <c r="P358" s="63">
        <v>22</v>
      </c>
      <c r="Q358" s="63">
        <v>486</v>
      </c>
      <c r="R358" s="63">
        <v>161</v>
      </c>
      <c r="S358" s="63">
        <v>80</v>
      </c>
      <c r="T358" s="67"/>
      <c r="U358" s="63"/>
      <c r="V358" s="63"/>
      <c r="W358" s="63">
        <f t="shared" si="109"/>
        <v>0</v>
      </c>
      <c r="X358" s="63"/>
      <c r="Y358" s="63"/>
      <c r="Z358" s="63"/>
      <c r="AA358" s="63"/>
      <c r="AB358" s="63"/>
      <c r="AE358" s="8">
        <v>0</v>
      </c>
      <c r="AT358" t="str">
        <f t="shared" ref="AT358:AT420" si="118">A358</f>
        <v>Gorham</v>
      </c>
      <c r="AU358" t="s">
        <v>1531</v>
      </c>
      <c r="AV358">
        <v>1</v>
      </c>
      <c r="AX358" s="114">
        <v>23</v>
      </c>
      <c r="AY358" s="116">
        <v>5</v>
      </c>
      <c r="AZ358" s="116">
        <v>45</v>
      </c>
      <c r="BA358" s="120">
        <v>28240</v>
      </c>
      <c r="BB358" s="120">
        <f t="shared" ref="BB358:BB420" si="119">AX358*1000+AY358</f>
        <v>23005</v>
      </c>
      <c r="BC358" t="s">
        <v>1472</v>
      </c>
      <c r="BD358">
        <f t="shared" ref="BD358:BD420" si="120">AX358*100000+BA358</f>
        <v>2328240</v>
      </c>
      <c r="BE358" s="1">
        <v>258</v>
      </c>
      <c r="BI358">
        <v>51.27</v>
      </c>
      <c r="BJ358">
        <v>0.63</v>
      </c>
      <c r="BK358">
        <v>50.64</v>
      </c>
      <c r="BS358" s="63">
        <v>0</v>
      </c>
      <c r="CK358" s="1" t="s">
        <v>3913</v>
      </c>
    </row>
    <row r="359" spans="1:89" hidden="1" outlineLevel="1">
      <c r="A359" t="s">
        <v>2412</v>
      </c>
      <c r="B359" s="8" t="s">
        <v>1697</v>
      </c>
      <c r="C359" s="1">
        <f t="shared" si="110"/>
        <v>1018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 t="shared" si="111"/>
        <v>0</v>
      </c>
      <c r="G359" s="1">
        <f t="shared" si="112"/>
        <v>150</v>
      </c>
      <c r="H359" s="2">
        <f t="shared" si="113"/>
        <v>0.14734774066797643</v>
      </c>
      <c r="I359" s="6"/>
      <c r="J359" s="2">
        <f t="shared" si="114"/>
        <v>0.4017681728880157</v>
      </c>
      <c r="K359" s="2">
        <f t="shared" si="115"/>
        <v>0.5491159135559921</v>
      </c>
      <c r="L359" s="2">
        <f t="shared" si="116"/>
        <v>0</v>
      </c>
      <c r="M359" s="2">
        <f t="shared" si="117"/>
        <v>4.9115913555992208E-2</v>
      </c>
      <c r="N359" s="63">
        <v>409</v>
      </c>
      <c r="O359" s="63">
        <v>559</v>
      </c>
      <c r="P359" s="63">
        <v>0</v>
      </c>
      <c r="Q359" s="63">
        <v>39</v>
      </c>
      <c r="R359" s="63">
        <v>11</v>
      </c>
      <c r="S359" s="63">
        <v>0</v>
      </c>
      <c r="T359" s="67"/>
      <c r="U359" s="63"/>
      <c r="V359" s="63"/>
      <c r="W359" s="63">
        <f t="shared" si="109"/>
        <v>0</v>
      </c>
      <c r="X359" s="63"/>
      <c r="Y359" s="63"/>
      <c r="Z359" s="63"/>
      <c r="AA359" s="63"/>
      <c r="AB359" s="63"/>
      <c r="AE359" s="8">
        <v>0</v>
      </c>
      <c r="AT359" t="str">
        <f t="shared" si="118"/>
        <v>Gouldsboro</v>
      </c>
      <c r="AU359" t="s">
        <v>597</v>
      </c>
      <c r="AV359">
        <v>2</v>
      </c>
      <c r="AX359" s="114">
        <v>23</v>
      </c>
      <c r="AY359" s="116">
        <v>9</v>
      </c>
      <c r="AZ359" s="116">
        <v>75</v>
      </c>
      <c r="BA359" s="120">
        <v>28450</v>
      </c>
      <c r="BB359" s="120">
        <f t="shared" si="119"/>
        <v>23009</v>
      </c>
      <c r="BC359" t="s">
        <v>1472</v>
      </c>
      <c r="BD359">
        <f t="shared" si="120"/>
        <v>2328450</v>
      </c>
      <c r="BE359" s="1">
        <v>16</v>
      </c>
      <c r="BI359">
        <v>100.77</v>
      </c>
      <c r="BJ359">
        <v>54.66</v>
      </c>
      <c r="BK359">
        <v>46.11</v>
      </c>
      <c r="BS359" s="63">
        <v>0</v>
      </c>
      <c r="CK359" s="1" t="s">
        <v>3914</v>
      </c>
    </row>
    <row r="360" spans="1:89" hidden="1" outlineLevel="1">
      <c r="A360" t="s">
        <v>3716</v>
      </c>
      <c r="B360" s="8" t="s">
        <v>1697</v>
      </c>
      <c r="C360" s="1">
        <f>SUM(N360:AR360)</f>
        <v>7</v>
      </c>
      <c r="D360" s="5">
        <f>IF(N360&gt;0, RANK(N360,(N360:P360,Q360:AE360)),0)</f>
        <v>4</v>
      </c>
      <c r="E360" s="5">
        <f>IF(O360&gt;0,RANK(O360,(N360:P360,Q360:AE360)),0)</f>
        <v>1</v>
      </c>
      <c r="F360" s="5">
        <f t="shared" si="111"/>
        <v>0</v>
      </c>
      <c r="G360" s="1">
        <f t="shared" si="112"/>
        <v>1</v>
      </c>
      <c r="H360" s="2">
        <f t="shared" si="113"/>
        <v>0.14285714285714285</v>
      </c>
      <c r="I360" s="6"/>
      <c r="J360" s="2">
        <f t="shared" si="114"/>
        <v>0.14285714285714285</v>
      </c>
      <c r="K360" s="2">
        <f t="shared" si="115"/>
        <v>0.2857142857142857</v>
      </c>
      <c r="L360" s="2">
        <f t="shared" si="116"/>
        <v>0</v>
      </c>
      <c r="M360" s="2">
        <f t="shared" si="117"/>
        <v>0.57142857142857151</v>
      </c>
      <c r="N360" s="63">
        <v>1</v>
      </c>
      <c r="O360" s="63">
        <v>2</v>
      </c>
      <c r="P360" s="63">
        <v>0</v>
      </c>
      <c r="Q360" s="63">
        <v>2</v>
      </c>
      <c r="R360" s="63">
        <v>2</v>
      </c>
      <c r="S360" s="63">
        <v>0</v>
      </c>
      <c r="T360" s="67"/>
      <c r="U360" s="63"/>
      <c r="V360" s="63"/>
      <c r="W360" s="63">
        <f t="shared" si="109"/>
        <v>0</v>
      </c>
      <c r="X360" s="63"/>
      <c r="Y360" s="63"/>
      <c r="Z360" s="63"/>
      <c r="AA360" s="63"/>
      <c r="AB360" s="63"/>
      <c r="AE360" s="8">
        <v>0</v>
      </c>
      <c r="AT360" t="str">
        <f t="shared" si="118"/>
        <v>Grand Falls</v>
      </c>
      <c r="AU360" t="s">
        <v>2481</v>
      </c>
      <c r="AV360">
        <v>2</v>
      </c>
      <c r="AX360" s="114">
        <v>23</v>
      </c>
      <c r="AY360" s="116">
        <v>19</v>
      </c>
      <c r="BA360" s="142">
        <v>28550</v>
      </c>
      <c r="BB360" s="120">
        <f t="shared" si="119"/>
        <v>23019</v>
      </c>
      <c r="BC360" t="s">
        <v>957</v>
      </c>
      <c r="BD360">
        <f t="shared" si="120"/>
        <v>2328550</v>
      </c>
      <c r="BE360" s="1">
        <v>0</v>
      </c>
      <c r="BS360" s="63">
        <v>0</v>
      </c>
      <c r="CK360" s="1" t="s">
        <v>3915</v>
      </c>
    </row>
    <row r="361" spans="1:89" hidden="1" outlineLevel="1">
      <c r="A361" t="s">
        <v>3176</v>
      </c>
      <c r="B361" s="8" t="s">
        <v>1697</v>
      </c>
      <c r="C361" s="1">
        <f t="shared" si="110"/>
        <v>223</v>
      </c>
      <c r="D361" s="5">
        <f>IF(N361&gt;0, RANK(N361,(N361:P361,Q361:AE361)),0)</f>
        <v>1</v>
      </c>
      <c r="E361" s="5">
        <f>IF(O361&gt;0,RANK(O361,(N361:P361,Q361:AE361)),0)</f>
        <v>2</v>
      </c>
      <c r="F361" s="5">
        <f t="shared" si="111"/>
        <v>0</v>
      </c>
      <c r="G361" s="1">
        <f t="shared" si="112"/>
        <v>29</v>
      </c>
      <c r="H361" s="2">
        <f t="shared" si="113"/>
        <v>0.13004484304932734</v>
      </c>
      <c r="I361" s="6"/>
      <c r="J361" s="2">
        <f t="shared" si="114"/>
        <v>0.547085201793722</v>
      </c>
      <c r="K361" s="2">
        <f t="shared" si="115"/>
        <v>0.4170403587443946</v>
      </c>
      <c r="L361" s="2">
        <f t="shared" si="116"/>
        <v>0</v>
      </c>
      <c r="M361" s="2">
        <f t="shared" si="117"/>
        <v>3.5874439461883401E-2</v>
      </c>
      <c r="N361" s="63">
        <v>122</v>
      </c>
      <c r="O361" s="63">
        <v>93</v>
      </c>
      <c r="P361" s="63">
        <v>0</v>
      </c>
      <c r="Q361" s="63">
        <v>4</v>
      </c>
      <c r="R361" s="63">
        <v>4</v>
      </c>
      <c r="S361" s="63">
        <v>0</v>
      </c>
      <c r="T361" s="67"/>
      <c r="U361" s="63"/>
      <c r="V361" s="63"/>
      <c r="W361" s="63">
        <f t="shared" si="109"/>
        <v>0</v>
      </c>
      <c r="X361" s="63"/>
      <c r="Y361" s="63"/>
      <c r="Z361" s="63"/>
      <c r="AA361" s="63"/>
      <c r="AB361" s="63"/>
      <c r="AE361" s="8">
        <v>0</v>
      </c>
      <c r="AT361" t="str">
        <f t="shared" si="118"/>
        <v>Grand Isle</v>
      </c>
      <c r="AU361" t="s">
        <v>2830</v>
      </c>
      <c r="AV361">
        <v>2</v>
      </c>
      <c r="AX361" s="114">
        <v>23</v>
      </c>
      <c r="AY361" s="116">
        <v>3</v>
      </c>
      <c r="AZ361" s="116">
        <v>120</v>
      </c>
      <c r="BA361" s="120">
        <v>28590</v>
      </c>
      <c r="BB361" s="120">
        <f t="shared" si="119"/>
        <v>23003</v>
      </c>
      <c r="BC361" t="s">
        <v>1472</v>
      </c>
      <c r="BD361">
        <f t="shared" si="120"/>
        <v>2328590</v>
      </c>
      <c r="BE361" s="1">
        <v>10</v>
      </c>
      <c r="BI361">
        <v>35.19</v>
      </c>
      <c r="BJ361">
        <v>0.89</v>
      </c>
      <c r="BK361">
        <v>34.299999999999997</v>
      </c>
      <c r="BS361" s="63">
        <v>0</v>
      </c>
      <c r="CK361" s="1" t="s">
        <v>3916</v>
      </c>
    </row>
    <row r="362" spans="1:89" hidden="1" outlineLevel="1">
      <c r="A362" t="s">
        <v>917</v>
      </c>
      <c r="B362" s="8" t="s">
        <v>1697</v>
      </c>
      <c r="C362" s="1">
        <f t="shared" si="110"/>
        <v>99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 t="shared" si="111"/>
        <v>0</v>
      </c>
      <c r="G362" s="1">
        <f t="shared" si="112"/>
        <v>27</v>
      </c>
      <c r="H362" s="2">
        <f t="shared" si="113"/>
        <v>0.27272727272727271</v>
      </c>
      <c r="I362" s="6"/>
      <c r="J362" s="2">
        <f t="shared" si="114"/>
        <v>0.32323232323232326</v>
      </c>
      <c r="K362" s="2">
        <f t="shared" si="115"/>
        <v>0.59595959595959591</v>
      </c>
      <c r="L362" s="2">
        <f t="shared" si="116"/>
        <v>0</v>
      </c>
      <c r="M362" s="2">
        <f t="shared" si="117"/>
        <v>8.0808080808080773E-2</v>
      </c>
      <c r="N362" s="63">
        <v>32</v>
      </c>
      <c r="O362" s="63">
        <v>59</v>
      </c>
      <c r="P362" s="63">
        <v>0</v>
      </c>
      <c r="Q362" s="63">
        <v>8</v>
      </c>
      <c r="R362" s="63">
        <v>0</v>
      </c>
      <c r="S362" s="63">
        <v>0</v>
      </c>
      <c r="T362" s="67"/>
      <c r="U362" s="63"/>
      <c r="V362" s="63"/>
      <c r="W362" s="63">
        <f t="shared" si="109"/>
        <v>0</v>
      </c>
      <c r="X362" s="63"/>
      <c r="Y362" s="63"/>
      <c r="Z362" s="63"/>
      <c r="AA362" s="63"/>
      <c r="AB362" s="63"/>
      <c r="AE362" s="8">
        <v>0</v>
      </c>
      <c r="AT362" t="str">
        <f t="shared" si="118"/>
        <v>Grand Lake Stream</v>
      </c>
      <c r="AU362" t="s">
        <v>692</v>
      </c>
      <c r="AV362">
        <v>2</v>
      </c>
      <c r="AX362" s="114">
        <v>23</v>
      </c>
      <c r="AY362" s="116">
        <v>29</v>
      </c>
      <c r="AZ362" s="116">
        <v>105</v>
      </c>
      <c r="BA362" s="120">
        <v>28660</v>
      </c>
      <c r="BB362" s="120">
        <f t="shared" si="119"/>
        <v>23029</v>
      </c>
      <c r="BC362" t="s">
        <v>3075</v>
      </c>
      <c r="BD362">
        <f t="shared" si="120"/>
        <v>2328660</v>
      </c>
      <c r="BE362" s="1">
        <v>3</v>
      </c>
      <c r="BI362">
        <v>48.7</v>
      </c>
      <c r="BJ362">
        <v>4.51</v>
      </c>
      <c r="BK362">
        <v>44.19</v>
      </c>
      <c r="BS362" s="63">
        <v>0</v>
      </c>
      <c r="CK362" s="1" t="s">
        <v>3917</v>
      </c>
    </row>
    <row r="363" spans="1:89" hidden="1" outlineLevel="1">
      <c r="A363" t="s">
        <v>2207</v>
      </c>
      <c r="B363" s="8" t="s">
        <v>1697</v>
      </c>
      <c r="C363" s="1">
        <f t="shared" si="110"/>
        <v>4782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 t="shared" si="111"/>
        <v>5</v>
      </c>
      <c r="G363" s="1">
        <f t="shared" si="112"/>
        <v>376</v>
      </c>
      <c r="H363" s="2">
        <f t="shared" si="113"/>
        <v>7.8628189042241739E-2</v>
      </c>
      <c r="I363" s="6"/>
      <c r="J363" s="2">
        <f t="shared" si="114"/>
        <v>0.42262651610204938</v>
      </c>
      <c r="K363" s="2">
        <f t="shared" si="115"/>
        <v>0.50125470514429105</v>
      </c>
      <c r="L363" s="2">
        <f t="shared" si="116"/>
        <v>2.509410288582183E-3</v>
      </c>
      <c r="M363" s="2">
        <f t="shared" si="117"/>
        <v>7.3609368465077388E-2</v>
      </c>
      <c r="N363" s="63">
        <v>2021</v>
      </c>
      <c r="O363" s="63">
        <v>2397</v>
      </c>
      <c r="P363" s="63">
        <v>12</v>
      </c>
      <c r="Q363" s="63">
        <v>269</v>
      </c>
      <c r="R363" s="63">
        <v>81</v>
      </c>
      <c r="S363" s="63">
        <v>2</v>
      </c>
      <c r="T363" s="67"/>
      <c r="U363" s="63"/>
      <c r="V363" s="63"/>
      <c r="W363" s="63">
        <f t="shared" si="109"/>
        <v>0</v>
      </c>
      <c r="X363" s="63"/>
      <c r="Y363" s="63"/>
      <c r="Z363" s="63"/>
      <c r="AA363" s="63"/>
      <c r="AB363" s="63"/>
      <c r="AE363" s="8">
        <v>0</v>
      </c>
      <c r="AT363" t="str">
        <f t="shared" si="118"/>
        <v>Gray</v>
      </c>
      <c r="AU363" t="s">
        <v>1531</v>
      </c>
      <c r="AV363">
        <v>1</v>
      </c>
      <c r="AX363" s="114">
        <v>23</v>
      </c>
      <c r="AY363" s="116">
        <v>5</v>
      </c>
      <c r="AZ363" s="116">
        <v>50</v>
      </c>
      <c r="BA363" s="120">
        <v>28870</v>
      </c>
      <c r="BB363" s="120">
        <f t="shared" si="119"/>
        <v>23005</v>
      </c>
      <c r="BC363" t="s">
        <v>1472</v>
      </c>
      <c r="BD363">
        <f t="shared" si="120"/>
        <v>2328870</v>
      </c>
      <c r="BE363" s="1">
        <v>149</v>
      </c>
      <c r="BI363">
        <v>45.98</v>
      </c>
      <c r="BJ363">
        <v>2.73</v>
      </c>
      <c r="BK363">
        <v>43.26</v>
      </c>
      <c r="BS363" s="63">
        <v>0</v>
      </c>
      <c r="CK363" s="1" t="s">
        <v>3918</v>
      </c>
    </row>
    <row r="364" spans="1:89" hidden="1" outlineLevel="1">
      <c r="A364" t="s">
        <v>3052</v>
      </c>
      <c r="B364" s="8" t="s">
        <v>1697</v>
      </c>
      <c r="C364" s="1">
        <f t="shared" si="110"/>
        <v>41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 t="shared" si="111"/>
        <v>0</v>
      </c>
      <c r="G364" s="1">
        <f t="shared" si="112"/>
        <v>7</v>
      </c>
      <c r="H364" s="2">
        <f t="shared" si="113"/>
        <v>0.17073170731707318</v>
      </c>
      <c r="I364" s="6"/>
      <c r="J364" s="2">
        <f t="shared" si="114"/>
        <v>0.36585365853658536</v>
      </c>
      <c r="K364" s="2">
        <f t="shared" si="115"/>
        <v>0.53658536585365857</v>
      </c>
      <c r="L364" s="2">
        <f t="shared" si="116"/>
        <v>0</v>
      </c>
      <c r="M364" s="2">
        <f t="shared" si="117"/>
        <v>9.7560975609756073E-2</v>
      </c>
      <c r="N364" s="63">
        <v>15</v>
      </c>
      <c r="O364" s="63">
        <v>22</v>
      </c>
      <c r="P364" s="63">
        <v>0</v>
      </c>
      <c r="Q364" s="63">
        <v>3</v>
      </c>
      <c r="R364" s="63">
        <v>1</v>
      </c>
      <c r="S364" s="63">
        <v>0</v>
      </c>
      <c r="T364" s="67"/>
      <c r="U364" s="63"/>
      <c r="V364" s="63"/>
      <c r="W364" s="63">
        <f t="shared" si="109"/>
        <v>0</v>
      </c>
      <c r="X364" s="63"/>
      <c r="Y364" s="63"/>
      <c r="Z364" s="63"/>
      <c r="AA364" s="63"/>
      <c r="AB364" s="63"/>
      <c r="AE364" s="8">
        <v>0</v>
      </c>
      <c r="AT364" t="str">
        <f t="shared" si="118"/>
        <v>Great Pond</v>
      </c>
      <c r="AU364" t="s">
        <v>597</v>
      </c>
      <c r="AV364">
        <v>2</v>
      </c>
      <c r="AX364" s="114">
        <v>23</v>
      </c>
      <c r="AY364" s="116">
        <v>9</v>
      </c>
      <c r="AZ364" s="116">
        <v>77</v>
      </c>
      <c r="BA364" s="120">
        <v>28975</v>
      </c>
      <c r="BB364" s="120">
        <f t="shared" si="119"/>
        <v>23009</v>
      </c>
      <c r="BC364" t="s">
        <v>1472</v>
      </c>
      <c r="BD364">
        <f t="shared" si="120"/>
        <v>2328975</v>
      </c>
      <c r="BE364" s="1">
        <v>0</v>
      </c>
      <c r="BI364">
        <v>39</v>
      </c>
      <c r="BJ364">
        <v>2.12</v>
      </c>
      <c r="BK364">
        <v>36.869999999999997</v>
      </c>
      <c r="BS364" s="63">
        <v>0</v>
      </c>
      <c r="CK364" s="1" t="s">
        <v>3919</v>
      </c>
    </row>
    <row r="365" spans="1:89" hidden="1" outlineLevel="1">
      <c r="A365" t="s">
        <v>2334</v>
      </c>
      <c r="B365" s="8" t="s">
        <v>1697</v>
      </c>
      <c r="C365" s="1">
        <f t="shared" si="110"/>
        <v>685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 t="shared" si="111"/>
        <v>0</v>
      </c>
      <c r="G365" s="1">
        <f t="shared" si="112"/>
        <v>255</v>
      </c>
      <c r="H365" s="2">
        <f t="shared" si="113"/>
        <v>0.37226277372262773</v>
      </c>
      <c r="I365" s="6"/>
      <c r="J365" s="2">
        <f t="shared" si="114"/>
        <v>0.27007299270072993</v>
      </c>
      <c r="K365" s="2">
        <f t="shared" si="115"/>
        <v>0.64233576642335766</v>
      </c>
      <c r="L365" s="2">
        <f t="shared" si="116"/>
        <v>0</v>
      </c>
      <c r="M365" s="2">
        <f t="shared" si="117"/>
        <v>8.7591240875912413E-2</v>
      </c>
      <c r="N365" s="63">
        <v>185</v>
      </c>
      <c r="O365" s="63">
        <v>440</v>
      </c>
      <c r="P365" s="63">
        <v>0</v>
      </c>
      <c r="Q365" s="63">
        <v>45</v>
      </c>
      <c r="R365" s="63">
        <v>12</v>
      </c>
      <c r="S365" s="63">
        <v>3</v>
      </c>
      <c r="T365" s="67"/>
      <c r="U365" s="63"/>
      <c r="V365" s="63"/>
      <c r="W365" s="63">
        <f t="shared" si="109"/>
        <v>0</v>
      </c>
      <c r="X365" s="63"/>
      <c r="Y365" s="63"/>
      <c r="Z365" s="63"/>
      <c r="AA365" s="63"/>
      <c r="AB365" s="63"/>
      <c r="AE365" s="8">
        <v>0</v>
      </c>
      <c r="AT365" t="str">
        <f t="shared" si="118"/>
        <v>Greenbush</v>
      </c>
      <c r="AU365" t="s">
        <v>2481</v>
      </c>
      <c r="AV365">
        <v>2</v>
      </c>
      <c r="AX365" s="114">
        <v>23</v>
      </c>
      <c r="AY365" s="116">
        <v>19</v>
      </c>
      <c r="AZ365" s="116">
        <v>130</v>
      </c>
      <c r="BA365" s="120">
        <v>29185</v>
      </c>
      <c r="BB365" s="120">
        <f t="shared" si="119"/>
        <v>23019</v>
      </c>
      <c r="BC365" t="s">
        <v>1472</v>
      </c>
      <c r="BD365">
        <f t="shared" si="120"/>
        <v>2329185</v>
      </c>
      <c r="BE365" s="1">
        <v>24</v>
      </c>
      <c r="BI365">
        <v>44.04</v>
      </c>
      <c r="BJ365">
        <v>0.26</v>
      </c>
      <c r="BK365">
        <v>43.78</v>
      </c>
      <c r="BS365" s="63">
        <v>0</v>
      </c>
      <c r="CK365" s="1" t="s">
        <v>3920</v>
      </c>
    </row>
    <row r="366" spans="1:89" hidden="1" outlineLevel="1">
      <c r="A366" t="s">
        <v>2189</v>
      </c>
      <c r="B366" s="8" t="s">
        <v>1697</v>
      </c>
      <c r="C366" s="1">
        <f t="shared" si="110"/>
        <v>2528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 t="shared" si="111"/>
        <v>0</v>
      </c>
      <c r="G366" s="1">
        <f t="shared" si="112"/>
        <v>732</v>
      </c>
      <c r="H366" s="2">
        <f t="shared" si="113"/>
        <v>0.28955696202531644</v>
      </c>
      <c r="I366" s="6"/>
      <c r="J366" s="2">
        <f t="shared" si="114"/>
        <v>0.32041139240506328</v>
      </c>
      <c r="K366" s="2">
        <f t="shared" si="115"/>
        <v>0.60996835443037978</v>
      </c>
      <c r="L366" s="2">
        <f t="shared" si="116"/>
        <v>0</v>
      </c>
      <c r="M366" s="2">
        <f t="shared" si="117"/>
        <v>6.9620253164556889E-2</v>
      </c>
      <c r="N366" s="63">
        <v>810</v>
      </c>
      <c r="O366" s="63">
        <v>1542</v>
      </c>
      <c r="P366" s="63">
        <v>0</v>
      </c>
      <c r="Q366" s="63">
        <v>150</v>
      </c>
      <c r="R366" s="63">
        <v>26</v>
      </c>
      <c r="S366" s="63">
        <v>0</v>
      </c>
      <c r="T366" s="67"/>
      <c r="U366" s="63"/>
      <c r="V366" s="63"/>
      <c r="W366" s="63">
        <f t="shared" ref="W366:W429" si="121">BS366</f>
        <v>0</v>
      </c>
      <c r="X366" s="63"/>
      <c r="Y366" s="63"/>
      <c r="Z366" s="63"/>
      <c r="AA366" s="63"/>
      <c r="AB366" s="63"/>
      <c r="AE366" s="8">
        <v>0</v>
      </c>
      <c r="AT366" t="str">
        <f t="shared" si="118"/>
        <v>Greene</v>
      </c>
      <c r="AU366" t="s">
        <v>1118</v>
      </c>
      <c r="AV366">
        <v>2</v>
      </c>
      <c r="AX366" s="114">
        <v>23</v>
      </c>
      <c r="AY366" s="116">
        <v>1</v>
      </c>
      <c r="AZ366" s="116">
        <v>15</v>
      </c>
      <c r="BA366" s="120">
        <v>29255</v>
      </c>
      <c r="BB366" s="120">
        <f t="shared" si="119"/>
        <v>23001</v>
      </c>
      <c r="BC366" t="s">
        <v>1472</v>
      </c>
      <c r="BD366">
        <f t="shared" si="120"/>
        <v>2329255</v>
      </c>
      <c r="BE366" s="1">
        <v>69</v>
      </c>
      <c r="BI366">
        <v>35.33</v>
      </c>
      <c r="BJ366">
        <v>2.94</v>
      </c>
      <c r="BK366">
        <v>32.39</v>
      </c>
      <c r="BS366" s="63">
        <v>0</v>
      </c>
      <c r="CK366" s="1" t="s">
        <v>3921</v>
      </c>
    </row>
    <row r="367" spans="1:89" hidden="1" outlineLevel="1">
      <c r="A367" t="s">
        <v>2137</v>
      </c>
      <c r="B367" s="8" t="s">
        <v>1697</v>
      </c>
      <c r="C367" s="1">
        <f t="shared" si="110"/>
        <v>0</v>
      </c>
      <c r="D367" s="5">
        <f>IF(N367&gt;0, RANK(N367,(N367:P367,Q367:AE367)),0)</f>
        <v>0</v>
      </c>
      <c r="E367" s="5">
        <f>IF(O367&gt;0,RANK(O367,(N367:P367,Q367:AE367)),0)</f>
        <v>0</v>
      </c>
      <c r="F367" s="5">
        <f t="shared" si="111"/>
        <v>0</v>
      </c>
      <c r="G367" s="1">
        <f t="shared" si="112"/>
        <v>0</v>
      </c>
      <c r="H367" s="2">
        <f t="shared" si="113"/>
        <v>0</v>
      </c>
      <c r="I367" s="6"/>
      <c r="J367" s="2" t="str">
        <f t="shared" si="114"/>
        <v>-</v>
      </c>
      <c r="K367" s="2" t="str">
        <f t="shared" si="115"/>
        <v>-</v>
      </c>
      <c r="L367" s="2" t="str">
        <f t="shared" si="116"/>
        <v>-</v>
      </c>
      <c r="M367" s="2" t="str">
        <f t="shared" si="117"/>
        <v>-</v>
      </c>
      <c r="N367" s="63"/>
      <c r="O367" s="63"/>
      <c r="P367" s="63"/>
      <c r="Q367" s="63"/>
      <c r="R367" s="63"/>
      <c r="S367" s="63"/>
      <c r="T367" s="67"/>
      <c r="U367" s="63"/>
      <c r="V367" s="63"/>
      <c r="W367" s="63">
        <f t="shared" si="121"/>
        <v>0</v>
      </c>
      <c r="X367" s="63"/>
      <c r="Y367" s="63"/>
      <c r="Z367" s="63"/>
      <c r="AA367" s="63"/>
      <c r="AB367" s="63"/>
      <c r="AT367" t="str">
        <f t="shared" si="118"/>
        <v>Greenfield</v>
      </c>
      <c r="AU367" t="s">
        <v>2481</v>
      </c>
      <c r="AV367">
        <v>2</v>
      </c>
      <c r="AX367" s="114">
        <v>23</v>
      </c>
      <c r="AY367" s="116">
        <v>19</v>
      </c>
      <c r="BA367" s="142">
        <v>29520</v>
      </c>
      <c r="BB367" s="120">
        <f t="shared" si="119"/>
        <v>23019</v>
      </c>
      <c r="BC367" t="s">
        <v>957</v>
      </c>
      <c r="BD367">
        <f t="shared" si="120"/>
        <v>2329520</v>
      </c>
      <c r="BS367" s="63"/>
      <c r="CK367" s="1"/>
    </row>
    <row r="368" spans="1:89" hidden="1" outlineLevel="1">
      <c r="A368" t="s">
        <v>2487</v>
      </c>
      <c r="B368" s="8" t="s">
        <v>1697</v>
      </c>
      <c r="C368" s="1">
        <f t="shared" si="110"/>
        <v>1084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 t="shared" si="111"/>
        <v>0</v>
      </c>
      <c r="G368" s="1">
        <f t="shared" si="112"/>
        <v>218</v>
      </c>
      <c r="H368" s="2">
        <f t="shared" si="113"/>
        <v>0.2011070110701107</v>
      </c>
      <c r="I368" s="6"/>
      <c r="J368" s="2">
        <f t="shared" si="114"/>
        <v>0.37546125461254615</v>
      </c>
      <c r="K368" s="2">
        <f t="shared" si="115"/>
        <v>0.57656826568265684</v>
      </c>
      <c r="L368" s="2">
        <f t="shared" si="116"/>
        <v>0</v>
      </c>
      <c r="M368" s="2">
        <f t="shared" si="117"/>
        <v>4.7970479704796953E-2</v>
      </c>
      <c r="N368" s="63">
        <v>407</v>
      </c>
      <c r="O368" s="63">
        <v>625</v>
      </c>
      <c r="P368" s="63">
        <v>0</v>
      </c>
      <c r="Q368" s="63">
        <v>41</v>
      </c>
      <c r="R368" s="63">
        <v>11</v>
      </c>
      <c r="S368" s="63">
        <v>0</v>
      </c>
      <c r="T368" s="67"/>
      <c r="U368" s="63"/>
      <c r="V368" s="63"/>
      <c r="W368" s="63">
        <f t="shared" si="121"/>
        <v>0</v>
      </c>
      <c r="X368" s="63"/>
      <c r="Y368" s="63"/>
      <c r="Z368" s="63"/>
      <c r="AA368" s="63"/>
      <c r="AB368" s="63"/>
      <c r="AE368" s="8">
        <v>0</v>
      </c>
      <c r="AT368" t="str">
        <f t="shared" si="118"/>
        <v>Greenville</v>
      </c>
      <c r="AU368" t="s">
        <v>1957</v>
      </c>
      <c r="AV368">
        <v>2</v>
      </c>
      <c r="AX368" s="114">
        <v>23</v>
      </c>
      <c r="AY368" s="116">
        <v>21</v>
      </c>
      <c r="AZ368" s="116">
        <v>45</v>
      </c>
      <c r="BA368" s="120">
        <v>29535</v>
      </c>
      <c r="BB368" s="120">
        <f t="shared" si="119"/>
        <v>23021</v>
      </c>
      <c r="BC368" t="s">
        <v>1472</v>
      </c>
      <c r="BD368">
        <f t="shared" si="120"/>
        <v>2329535</v>
      </c>
      <c r="BE368" s="1">
        <v>44</v>
      </c>
      <c r="BI368">
        <v>46.38</v>
      </c>
      <c r="BJ368">
        <v>3.89</v>
      </c>
      <c r="BK368">
        <v>42.49</v>
      </c>
      <c r="BS368" s="63">
        <v>0</v>
      </c>
      <c r="CK368" s="159" t="s">
        <v>3922</v>
      </c>
    </row>
    <row r="369" spans="1:89" hidden="1" outlineLevel="1">
      <c r="A369" t="s">
        <v>652</v>
      </c>
      <c r="B369" s="8" t="s">
        <v>1697</v>
      </c>
      <c r="C369" s="1">
        <f t="shared" si="110"/>
        <v>458</v>
      </c>
      <c r="D369" s="5">
        <f>IF(N369&gt;0, RANK(N369,(N369:P369,Q369:AE369)),0)</f>
        <v>1</v>
      </c>
      <c r="E369" s="5">
        <f>IF(O369&gt;0,RANK(O369,(N369:P369,Q369:AE369)),0)</f>
        <v>2</v>
      </c>
      <c r="F369" s="5">
        <f t="shared" si="111"/>
        <v>0</v>
      </c>
      <c r="G369" s="1">
        <f t="shared" si="112"/>
        <v>2</v>
      </c>
      <c r="H369" s="2">
        <f t="shared" si="113"/>
        <v>4.3668122270742356E-3</v>
      </c>
      <c r="I369" s="6"/>
      <c r="J369" s="2">
        <f t="shared" si="114"/>
        <v>0.46506550218340609</v>
      </c>
      <c r="K369" s="2">
        <f t="shared" si="115"/>
        <v>0.4606986899563319</v>
      </c>
      <c r="L369" s="2">
        <f t="shared" si="116"/>
        <v>0</v>
      </c>
      <c r="M369" s="2">
        <f t="shared" si="117"/>
        <v>7.4235807860262071E-2</v>
      </c>
      <c r="N369" s="63">
        <v>213</v>
      </c>
      <c r="O369" s="63">
        <v>211</v>
      </c>
      <c r="P369" s="63">
        <v>0</v>
      </c>
      <c r="Q369" s="63">
        <v>27</v>
      </c>
      <c r="R369" s="63">
        <v>7</v>
      </c>
      <c r="S369" s="63">
        <v>0</v>
      </c>
      <c r="T369" s="67"/>
      <c r="U369" s="63"/>
      <c r="V369" s="63"/>
      <c r="W369" s="63">
        <f t="shared" si="121"/>
        <v>0</v>
      </c>
      <c r="X369" s="63"/>
      <c r="Y369" s="63"/>
      <c r="Z369" s="63"/>
      <c r="AA369" s="63"/>
      <c r="AB369" s="63"/>
      <c r="AE369" s="8">
        <v>0</v>
      </c>
      <c r="AT369" t="str">
        <f t="shared" si="118"/>
        <v>Greenwood</v>
      </c>
      <c r="AU369" t="s">
        <v>2383</v>
      </c>
      <c r="AV369">
        <v>2</v>
      </c>
      <c r="AX369" s="114">
        <v>23</v>
      </c>
      <c r="AY369" s="116">
        <v>17</v>
      </c>
      <c r="AZ369" s="116">
        <v>55</v>
      </c>
      <c r="BA369" s="120">
        <v>29710</v>
      </c>
      <c r="BB369" s="120">
        <f t="shared" si="119"/>
        <v>23017</v>
      </c>
      <c r="BC369" t="s">
        <v>1472</v>
      </c>
      <c r="BD369">
        <f t="shared" si="120"/>
        <v>2329710</v>
      </c>
      <c r="BE369" s="1">
        <v>16</v>
      </c>
      <c r="BI369">
        <v>43.15</v>
      </c>
      <c r="BJ369">
        <v>1.33</v>
      </c>
      <c r="BK369">
        <v>41.81</v>
      </c>
      <c r="BS369" s="63">
        <v>0</v>
      </c>
      <c r="CK369" s="1" t="s">
        <v>3923</v>
      </c>
    </row>
    <row r="370" spans="1:89" hidden="1" outlineLevel="1">
      <c r="A370" t="s">
        <v>1036</v>
      </c>
      <c r="B370" s="8" t="s">
        <v>1697</v>
      </c>
      <c r="C370" s="1">
        <f t="shared" si="110"/>
        <v>677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 t="shared" si="111"/>
        <v>5</v>
      </c>
      <c r="G370" s="1">
        <f t="shared" si="112"/>
        <v>179</v>
      </c>
      <c r="H370" s="2">
        <f t="shared" si="113"/>
        <v>0.26440177252584934</v>
      </c>
      <c r="I370" s="6"/>
      <c r="J370" s="2">
        <f t="shared" si="114"/>
        <v>0.32791728212703103</v>
      </c>
      <c r="K370" s="2">
        <f t="shared" si="115"/>
        <v>0.59231905465288037</v>
      </c>
      <c r="L370" s="2">
        <f t="shared" si="116"/>
        <v>1.4771048744460858E-3</v>
      </c>
      <c r="M370" s="2">
        <f t="shared" si="117"/>
        <v>7.8286558345642451E-2</v>
      </c>
      <c r="N370" s="63">
        <v>222</v>
      </c>
      <c r="O370" s="63">
        <v>401</v>
      </c>
      <c r="P370" s="63">
        <v>1</v>
      </c>
      <c r="Q370" s="63">
        <v>32</v>
      </c>
      <c r="R370" s="63">
        <v>20</v>
      </c>
      <c r="S370" s="63">
        <v>1</v>
      </c>
      <c r="T370" s="67"/>
      <c r="U370" s="63"/>
      <c r="V370" s="63"/>
      <c r="W370" s="63">
        <f t="shared" si="121"/>
        <v>0</v>
      </c>
      <c r="X370" s="63"/>
      <c r="Y370" s="63"/>
      <c r="Z370" s="63"/>
      <c r="AA370" s="63"/>
      <c r="AB370" s="63"/>
      <c r="AE370" s="8">
        <v>0</v>
      </c>
      <c r="AT370" t="str">
        <f t="shared" si="118"/>
        <v>Guilford</v>
      </c>
      <c r="AU370" t="s">
        <v>1957</v>
      </c>
      <c r="AV370">
        <v>2</v>
      </c>
      <c r="AX370" s="114">
        <v>23</v>
      </c>
      <c r="AY370" s="116">
        <v>21</v>
      </c>
      <c r="AZ370" s="116">
        <v>50</v>
      </c>
      <c r="BA370" s="120">
        <v>30095</v>
      </c>
      <c r="BB370" s="120">
        <f t="shared" si="119"/>
        <v>23021</v>
      </c>
      <c r="BC370" t="s">
        <v>1472</v>
      </c>
      <c r="BD370">
        <f t="shared" si="120"/>
        <v>2330095</v>
      </c>
      <c r="BE370" s="1">
        <v>25</v>
      </c>
      <c r="BI370">
        <v>35.69</v>
      </c>
      <c r="BJ370">
        <v>0.71</v>
      </c>
      <c r="BK370">
        <v>34.979999999999997</v>
      </c>
      <c r="BS370" s="63">
        <v>0</v>
      </c>
      <c r="CK370" s="158" t="s">
        <v>3924</v>
      </c>
    </row>
    <row r="371" spans="1:89" hidden="1" outlineLevel="1">
      <c r="A371" t="s">
        <v>1897</v>
      </c>
      <c r="B371" s="8" t="s">
        <v>1697</v>
      </c>
      <c r="C371" s="1">
        <f t="shared" si="110"/>
        <v>1590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 t="shared" si="111"/>
        <v>5</v>
      </c>
      <c r="G371" s="1">
        <f t="shared" si="112"/>
        <v>719</v>
      </c>
      <c r="H371" s="2">
        <f t="shared" si="113"/>
        <v>0.45220125786163523</v>
      </c>
      <c r="I371" s="6"/>
      <c r="J371" s="2">
        <f t="shared" si="114"/>
        <v>0.6874213836477987</v>
      </c>
      <c r="K371" s="2">
        <f t="shared" si="115"/>
        <v>0.23522012578616353</v>
      </c>
      <c r="L371" s="2">
        <f t="shared" si="116"/>
        <v>2.5157232704402514E-3</v>
      </c>
      <c r="M371" s="2">
        <f t="shared" si="117"/>
        <v>7.4842767295597523E-2</v>
      </c>
      <c r="N371" s="63">
        <v>1093</v>
      </c>
      <c r="O371" s="63">
        <v>374</v>
      </c>
      <c r="P371" s="63">
        <v>4</v>
      </c>
      <c r="Q371" s="63">
        <v>71</v>
      </c>
      <c r="R371" s="63">
        <v>46</v>
      </c>
      <c r="S371" s="63">
        <v>2</v>
      </c>
      <c r="T371" s="67"/>
      <c r="U371" s="63"/>
      <c r="V371" s="63"/>
      <c r="W371" s="63">
        <f t="shared" si="121"/>
        <v>0</v>
      </c>
      <c r="X371" s="63"/>
      <c r="Y371" s="63"/>
      <c r="Z371" s="63"/>
      <c r="AA371" s="63"/>
      <c r="AB371" s="63"/>
      <c r="AE371" s="8">
        <v>0</v>
      </c>
      <c r="AT371" t="str">
        <f t="shared" si="118"/>
        <v>Hallowell</v>
      </c>
      <c r="AU371" t="s">
        <v>3007</v>
      </c>
      <c r="AV371">
        <v>1</v>
      </c>
      <c r="AX371" s="114">
        <v>23</v>
      </c>
      <c r="AY371" s="116">
        <v>11</v>
      </c>
      <c r="AZ371" s="116">
        <v>55</v>
      </c>
      <c r="BA371" s="120">
        <v>30550</v>
      </c>
      <c r="BB371" s="120">
        <f t="shared" si="119"/>
        <v>23011</v>
      </c>
      <c r="BC371" t="s">
        <v>1249</v>
      </c>
      <c r="BD371">
        <f t="shared" si="120"/>
        <v>2330550</v>
      </c>
      <c r="BE371" s="1">
        <v>69</v>
      </c>
      <c r="BI371">
        <v>6.11</v>
      </c>
      <c r="BJ371">
        <v>0.23</v>
      </c>
      <c r="BK371">
        <v>5.87</v>
      </c>
      <c r="BS371" s="63">
        <v>0</v>
      </c>
      <c r="CK371" s="1" t="s">
        <v>3925</v>
      </c>
    </row>
    <row r="372" spans="1:89" hidden="1" outlineLevel="1">
      <c r="A372" t="s">
        <v>776</v>
      </c>
      <c r="B372" s="8" t="s">
        <v>1697</v>
      </c>
      <c r="C372" s="1">
        <f t="shared" si="110"/>
        <v>101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 t="shared" si="111"/>
        <v>0</v>
      </c>
      <c r="G372" s="1">
        <f t="shared" si="112"/>
        <v>4</v>
      </c>
      <c r="H372" s="2">
        <f t="shared" si="113"/>
        <v>3.9603960396039604E-2</v>
      </c>
      <c r="I372" s="6"/>
      <c r="J372" s="2">
        <f t="shared" si="114"/>
        <v>0.47524752475247523</v>
      </c>
      <c r="K372" s="2">
        <f t="shared" si="115"/>
        <v>0.51485148514851486</v>
      </c>
      <c r="L372" s="2">
        <f t="shared" si="116"/>
        <v>0</v>
      </c>
      <c r="M372" s="2">
        <f t="shared" si="117"/>
        <v>9.9009900990099098E-3</v>
      </c>
      <c r="N372" s="63">
        <v>48</v>
      </c>
      <c r="O372" s="63">
        <v>52</v>
      </c>
      <c r="P372" s="63">
        <v>0</v>
      </c>
      <c r="Q372" s="63">
        <v>0</v>
      </c>
      <c r="R372" s="63">
        <v>1</v>
      </c>
      <c r="S372" s="63">
        <v>0</v>
      </c>
      <c r="T372" s="67"/>
      <c r="U372" s="63"/>
      <c r="V372" s="63"/>
      <c r="W372" s="63">
        <f t="shared" si="121"/>
        <v>0</v>
      </c>
      <c r="X372" s="63"/>
      <c r="Y372" s="63"/>
      <c r="Z372" s="63"/>
      <c r="AA372" s="63"/>
      <c r="AB372" s="63"/>
      <c r="AE372" s="8">
        <v>0</v>
      </c>
      <c r="AT372" t="str">
        <f t="shared" si="118"/>
        <v>Hamlin</v>
      </c>
      <c r="AU372" t="s">
        <v>2830</v>
      </c>
      <c r="AV372">
        <v>2</v>
      </c>
      <c r="AX372" s="114">
        <v>23</v>
      </c>
      <c r="AY372" s="116">
        <v>3</v>
      </c>
      <c r="AZ372" s="116">
        <v>125</v>
      </c>
      <c r="BA372" s="120">
        <v>30690</v>
      </c>
      <c r="BB372" s="120">
        <f t="shared" si="119"/>
        <v>23003</v>
      </c>
      <c r="BC372" t="s">
        <v>1472</v>
      </c>
      <c r="BD372">
        <f t="shared" si="120"/>
        <v>2330690</v>
      </c>
      <c r="BE372" s="1">
        <v>3</v>
      </c>
      <c r="BI372">
        <v>24.13</v>
      </c>
      <c r="BJ372">
        <v>0.84</v>
      </c>
      <c r="BK372">
        <v>23.29</v>
      </c>
      <c r="BS372" s="63">
        <v>0</v>
      </c>
      <c r="CK372" s="1" t="s">
        <v>3926</v>
      </c>
    </row>
    <row r="373" spans="1:89" hidden="1" outlineLevel="1">
      <c r="A373" t="s">
        <v>3013</v>
      </c>
      <c r="B373" s="8" t="s">
        <v>1697</v>
      </c>
      <c r="C373" s="1">
        <f t="shared" si="110"/>
        <v>49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 t="shared" si="111"/>
        <v>0</v>
      </c>
      <c r="G373" s="1">
        <f t="shared" si="112"/>
        <v>29</v>
      </c>
      <c r="H373" s="2">
        <f t="shared" si="113"/>
        <v>0.59183673469387754</v>
      </c>
      <c r="I373" s="6"/>
      <c r="J373" s="2">
        <f t="shared" si="114"/>
        <v>0.16326530612244897</v>
      </c>
      <c r="K373" s="2">
        <f t="shared" si="115"/>
        <v>0.75510204081632648</v>
      </c>
      <c r="L373" s="2">
        <f t="shared" si="116"/>
        <v>0</v>
      </c>
      <c r="M373" s="2">
        <f t="shared" si="117"/>
        <v>8.163265306122458E-2</v>
      </c>
      <c r="N373" s="63">
        <v>8</v>
      </c>
      <c r="O373" s="63">
        <v>37</v>
      </c>
      <c r="P373" s="63">
        <v>0</v>
      </c>
      <c r="Q373" s="63">
        <v>3</v>
      </c>
      <c r="R373" s="63">
        <v>1</v>
      </c>
      <c r="S373" s="63">
        <v>0</v>
      </c>
      <c r="T373" s="67"/>
      <c r="U373" s="63"/>
      <c r="V373" s="63"/>
      <c r="W373" s="63">
        <f t="shared" si="121"/>
        <v>0</v>
      </c>
      <c r="X373" s="63"/>
      <c r="Y373" s="63"/>
      <c r="Z373" s="63"/>
      <c r="AA373" s="63"/>
      <c r="AB373" s="63"/>
      <c r="AE373" s="8">
        <v>0</v>
      </c>
      <c r="AT373" t="str">
        <f t="shared" si="118"/>
        <v>Hammond</v>
      </c>
      <c r="AU373" t="s">
        <v>2830</v>
      </c>
      <c r="AV373">
        <v>2</v>
      </c>
      <c r="AX373" s="114">
        <v>23</v>
      </c>
      <c r="AY373" s="116">
        <v>3</v>
      </c>
      <c r="AZ373" s="116">
        <v>130</v>
      </c>
      <c r="BA373" s="120">
        <v>30725</v>
      </c>
      <c r="BB373" s="120">
        <f t="shared" si="119"/>
        <v>23003</v>
      </c>
      <c r="BC373" t="s">
        <v>1472</v>
      </c>
      <c r="BD373">
        <f t="shared" si="120"/>
        <v>2330725</v>
      </c>
      <c r="BE373" s="1">
        <v>1</v>
      </c>
      <c r="BI373">
        <v>39.049999999999997</v>
      </c>
      <c r="BJ373">
        <v>0.11</v>
      </c>
      <c r="BK373">
        <v>38.94</v>
      </c>
      <c r="BS373" s="63">
        <v>0</v>
      </c>
      <c r="CK373" s="1" t="s">
        <v>3927</v>
      </c>
    </row>
    <row r="374" spans="1:89" hidden="1" outlineLevel="1">
      <c r="A374" t="s">
        <v>2852</v>
      </c>
      <c r="B374" s="8" t="s">
        <v>1697</v>
      </c>
      <c r="C374" s="1">
        <f t="shared" si="110"/>
        <v>4401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 t="shared" si="111"/>
        <v>5</v>
      </c>
      <c r="G374" s="1">
        <f t="shared" si="112"/>
        <v>174</v>
      </c>
      <c r="H374" s="2">
        <f t="shared" si="113"/>
        <v>3.9536468984321747E-2</v>
      </c>
      <c r="I374" s="6"/>
      <c r="J374" s="2">
        <f t="shared" si="114"/>
        <v>0.43830947511929108</v>
      </c>
      <c r="K374" s="2">
        <f t="shared" si="115"/>
        <v>0.47784594410361281</v>
      </c>
      <c r="L374" s="2">
        <f t="shared" si="116"/>
        <v>4.7716428084526247E-3</v>
      </c>
      <c r="M374" s="2">
        <f t="shared" si="117"/>
        <v>7.9072937968643481E-2</v>
      </c>
      <c r="N374" s="63">
        <v>1929</v>
      </c>
      <c r="O374" s="63">
        <v>2103</v>
      </c>
      <c r="P374" s="63">
        <v>21</v>
      </c>
      <c r="Q374" s="63">
        <v>272</v>
      </c>
      <c r="R374" s="63">
        <v>74</v>
      </c>
      <c r="S374" s="63">
        <v>2</v>
      </c>
      <c r="T374" s="67"/>
      <c r="U374" s="63"/>
      <c r="V374" s="63"/>
      <c r="W374" s="63">
        <f t="shared" si="121"/>
        <v>0</v>
      </c>
      <c r="X374" s="63"/>
      <c r="Y374" s="63"/>
      <c r="Z374" s="63"/>
      <c r="AA374" s="63"/>
      <c r="AB374" s="63"/>
      <c r="AE374" s="8">
        <v>0</v>
      </c>
      <c r="AT374" t="str">
        <f t="shared" si="118"/>
        <v>Hampden</v>
      </c>
      <c r="AU374" t="s">
        <v>2481</v>
      </c>
      <c r="AV374">
        <v>2</v>
      </c>
      <c r="AX374" s="114">
        <v>23</v>
      </c>
      <c r="AY374" s="116">
        <v>19</v>
      </c>
      <c r="AZ374" s="116">
        <v>140</v>
      </c>
      <c r="BA374" s="120">
        <v>30795</v>
      </c>
      <c r="BB374" s="120">
        <f t="shared" si="119"/>
        <v>23019</v>
      </c>
      <c r="BC374" t="s">
        <v>1472</v>
      </c>
      <c r="BD374">
        <f t="shared" si="120"/>
        <v>2330795</v>
      </c>
      <c r="BE374" s="1">
        <v>131</v>
      </c>
      <c r="BI374">
        <v>39</v>
      </c>
      <c r="BJ374">
        <v>0.92</v>
      </c>
      <c r="BK374">
        <v>38.08</v>
      </c>
      <c r="BS374" s="63">
        <v>0</v>
      </c>
      <c r="CK374" s="1" t="s">
        <v>3928</v>
      </c>
    </row>
    <row r="375" spans="1:89" hidden="1" outlineLevel="1">
      <c r="A375" t="s">
        <v>597</v>
      </c>
      <c r="B375" s="8" t="s">
        <v>1697</v>
      </c>
      <c r="C375" s="1">
        <f t="shared" si="110"/>
        <v>1291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 t="shared" si="111"/>
        <v>5</v>
      </c>
      <c r="G375" s="1">
        <f t="shared" si="112"/>
        <v>171</v>
      </c>
      <c r="H375" s="2">
        <f t="shared" si="113"/>
        <v>0.13245546088303642</v>
      </c>
      <c r="I375" s="6"/>
      <c r="J375" s="2">
        <f t="shared" si="114"/>
        <v>0.39271882261812546</v>
      </c>
      <c r="K375" s="2">
        <f t="shared" si="115"/>
        <v>0.52517428350116191</v>
      </c>
      <c r="L375" s="2">
        <f t="shared" si="116"/>
        <v>3.0983733539891559E-3</v>
      </c>
      <c r="M375" s="2">
        <f t="shared" si="117"/>
        <v>7.9008520526723414E-2</v>
      </c>
      <c r="N375" s="63">
        <v>507</v>
      </c>
      <c r="O375" s="63">
        <v>678</v>
      </c>
      <c r="P375" s="63">
        <v>4</v>
      </c>
      <c r="Q375" s="63">
        <v>73</v>
      </c>
      <c r="R375" s="63">
        <v>29</v>
      </c>
      <c r="S375" s="63">
        <v>0</v>
      </c>
      <c r="T375" s="67"/>
      <c r="U375" s="63"/>
      <c r="V375" s="63"/>
      <c r="W375" s="63">
        <f t="shared" si="121"/>
        <v>0</v>
      </c>
      <c r="X375" s="63"/>
      <c r="Y375" s="63"/>
      <c r="Z375" s="63"/>
      <c r="AA375" s="63"/>
      <c r="AB375" s="63"/>
      <c r="AE375" s="8">
        <v>0</v>
      </c>
      <c r="AT375" t="str">
        <f t="shared" si="118"/>
        <v>Hancock</v>
      </c>
      <c r="AU375" t="s">
        <v>597</v>
      </c>
      <c r="AV375">
        <v>2</v>
      </c>
      <c r="AX375" s="114">
        <v>23</v>
      </c>
      <c r="AY375" s="116">
        <v>9</v>
      </c>
      <c r="AZ375" s="116">
        <v>80</v>
      </c>
      <c r="BA375" s="120">
        <v>30970</v>
      </c>
      <c r="BB375" s="120">
        <f t="shared" si="119"/>
        <v>23009</v>
      </c>
      <c r="BC375" t="s">
        <v>1472</v>
      </c>
      <c r="BD375">
        <f t="shared" si="120"/>
        <v>2330970</v>
      </c>
      <c r="BE375" s="1">
        <v>40</v>
      </c>
      <c r="BI375">
        <v>38.65</v>
      </c>
      <c r="BJ375">
        <v>8.83</v>
      </c>
      <c r="BK375">
        <v>29.82</v>
      </c>
      <c r="BS375" s="63">
        <v>0</v>
      </c>
      <c r="CK375" s="1" t="s">
        <v>3929</v>
      </c>
    </row>
    <row r="376" spans="1:89" hidden="1" outlineLevel="1">
      <c r="A376" t="s">
        <v>693</v>
      </c>
      <c r="B376" s="8" t="s">
        <v>1697</v>
      </c>
      <c r="C376" s="1">
        <f t="shared" si="110"/>
        <v>185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 t="shared" si="111"/>
        <v>0</v>
      </c>
      <c r="G376" s="1">
        <f t="shared" si="112"/>
        <v>1</v>
      </c>
      <c r="H376" s="2">
        <f t="shared" si="113"/>
        <v>5.4054054054054057E-3</v>
      </c>
      <c r="I376" s="6"/>
      <c r="J376" s="2">
        <f t="shared" si="114"/>
        <v>0.45405405405405408</v>
      </c>
      <c r="K376" s="2">
        <f t="shared" si="115"/>
        <v>0.45945945945945948</v>
      </c>
      <c r="L376" s="2">
        <f t="shared" si="116"/>
        <v>0</v>
      </c>
      <c r="M376" s="2">
        <f t="shared" si="117"/>
        <v>8.6486486486486436E-2</v>
      </c>
      <c r="N376" s="63">
        <v>84</v>
      </c>
      <c r="O376" s="63">
        <v>85</v>
      </c>
      <c r="P376" s="63">
        <v>0</v>
      </c>
      <c r="Q376" s="63">
        <v>11</v>
      </c>
      <c r="R376" s="63">
        <v>5</v>
      </c>
      <c r="S376" s="63">
        <v>0</v>
      </c>
      <c r="T376" s="67"/>
      <c r="U376" s="63"/>
      <c r="V376" s="63"/>
      <c r="W376" s="63">
        <f t="shared" si="121"/>
        <v>0</v>
      </c>
      <c r="X376" s="63"/>
      <c r="Y376" s="63"/>
      <c r="Z376" s="63"/>
      <c r="AA376" s="63"/>
      <c r="AB376" s="63"/>
      <c r="AE376" s="8">
        <v>0</v>
      </c>
      <c r="AT376" t="str">
        <f t="shared" si="118"/>
        <v>Hanover</v>
      </c>
      <c r="AU376" t="s">
        <v>2383</v>
      </c>
      <c r="AV376">
        <v>2</v>
      </c>
      <c r="AX376" s="114">
        <v>23</v>
      </c>
      <c r="AY376" s="116">
        <v>17</v>
      </c>
      <c r="AZ376" s="116">
        <v>60</v>
      </c>
      <c r="BA376" s="120">
        <v>31110</v>
      </c>
      <c r="BB376" s="120">
        <f t="shared" si="119"/>
        <v>23017</v>
      </c>
      <c r="BC376" t="s">
        <v>1472</v>
      </c>
      <c r="BD376">
        <f t="shared" si="120"/>
        <v>2331110</v>
      </c>
      <c r="BE376" s="1">
        <v>4</v>
      </c>
      <c r="BI376">
        <v>7.5</v>
      </c>
      <c r="BJ376">
        <v>0.46</v>
      </c>
      <c r="BK376">
        <v>7.04</v>
      </c>
      <c r="BS376" s="63">
        <v>0</v>
      </c>
      <c r="CK376" s="1" t="s">
        <v>3930</v>
      </c>
    </row>
    <row r="377" spans="1:89" hidden="1" outlineLevel="1">
      <c r="A377" t="s">
        <v>2662</v>
      </c>
      <c r="B377" s="8" t="s">
        <v>1697</v>
      </c>
      <c r="C377" s="1">
        <f t="shared" si="110"/>
        <v>472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 t="shared" si="111"/>
        <v>5</v>
      </c>
      <c r="G377" s="1">
        <f t="shared" si="112"/>
        <v>139</v>
      </c>
      <c r="H377" s="2">
        <f t="shared" si="113"/>
        <v>0.29449152542372881</v>
      </c>
      <c r="I377" s="6"/>
      <c r="J377" s="2">
        <f t="shared" si="114"/>
        <v>0.32627118644067798</v>
      </c>
      <c r="K377" s="2">
        <f t="shared" si="115"/>
        <v>0.62076271186440679</v>
      </c>
      <c r="L377" s="2">
        <f t="shared" si="116"/>
        <v>4.2372881355932203E-3</v>
      </c>
      <c r="M377" s="2">
        <f t="shared" si="117"/>
        <v>4.8728813559322001E-2</v>
      </c>
      <c r="N377" s="63">
        <v>154</v>
      </c>
      <c r="O377" s="63">
        <v>293</v>
      </c>
      <c r="P377" s="63">
        <v>2</v>
      </c>
      <c r="Q377" s="63">
        <v>17</v>
      </c>
      <c r="R377" s="63">
        <v>6</v>
      </c>
      <c r="S377" s="63">
        <v>0</v>
      </c>
      <c r="T377" s="67"/>
      <c r="U377" s="63"/>
      <c r="V377" s="63"/>
      <c r="W377" s="63">
        <f t="shared" si="121"/>
        <v>0</v>
      </c>
      <c r="X377" s="63"/>
      <c r="Y377" s="63"/>
      <c r="Z377" s="63"/>
      <c r="AA377" s="63"/>
      <c r="AB377" s="63"/>
      <c r="AE377" s="8">
        <v>0</v>
      </c>
      <c r="AT377" t="str">
        <f t="shared" si="118"/>
        <v>Harmony</v>
      </c>
      <c r="AU377" t="s">
        <v>1787</v>
      </c>
      <c r="AV377">
        <v>2</v>
      </c>
      <c r="AX377" s="114">
        <v>23</v>
      </c>
      <c r="AY377" s="116">
        <v>25</v>
      </c>
      <c r="AZ377" s="116">
        <v>65</v>
      </c>
      <c r="BA377" s="120">
        <v>31355</v>
      </c>
      <c r="BB377" s="120">
        <f t="shared" si="119"/>
        <v>23025</v>
      </c>
      <c r="BC377" t="s">
        <v>1472</v>
      </c>
      <c r="BD377">
        <f t="shared" si="120"/>
        <v>2331355</v>
      </c>
      <c r="BE377" s="1">
        <v>21</v>
      </c>
      <c r="BI377">
        <v>40.49</v>
      </c>
      <c r="BJ377">
        <v>1.69</v>
      </c>
      <c r="BK377">
        <v>38.799999999999997</v>
      </c>
      <c r="BS377" s="63">
        <v>0</v>
      </c>
      <c r="CK377" s="1" t="s">
        <v>3931</v>
      </c>
    </row>
    <row r="378" spans="1:89" hidden="1" outlineLevel="1">
      <c r="A378" t="s">
        <v>3206</v>
      </c>
      <c r="B378" s="8" t="s">
        <v>1697</v>
      </c>
      <c r="C378" s="1">
        <f t="shared" si="110"/>
        <v>3386</v>
      </c>
      <c r="D378" s="5">
        <f>IF(N378&gt;0, RANK(N378,(N378:P378,Q378:AE378)),0)</f>
        <v>1</v>
      </c>
      <c r="E378" s="5">
        <f>IF(O378&gt;0,RANK(O378,(N378:P378,Q378:AE378)),0)</f>
        <v>2</v>
      </c>
      <c r="F378" s="5">
        <f t="shared" si="111"/>
        <v>5</v>
      </c>
      <c r="G378" s="1">
        <f t="shared" si="112"/>
        <v>565</v>
      </c>
      <c r="H378" s="2">
        <f t="shared" si="113"/>
        <v>0.16686355581807441</v>
      </c>
      <c r="I378" s="6"/>
      <c r="J378" s="2">
        <f t="shared" si="114"/>
        <v>0.55552274069698759</v>
      </c>
      <c r="K378" s="2">
        <f t="shared" si="115"/>
        <v>0.38865918487891316</v>
      </c>
      <c r="L378" s="2">
        <f t="shared" si="116"/>
        <v>2.9533372711163615E-3</v>
      </c>
      <c r="M378" s="2">
        <f t="shared" si="117"/>
        <v>5.2864737152982892E-2</v>
      </c>
      <c r="N378" s="63">
        <v>1881</v>
      </c>
      <c r="O378" s="63">
        <v>1316</v>
      </c>
      <c r="P378" s="63">
        <v>10</v>
      </c>
      <c r="Q378" s="63">
        <v>128</v>
      </c>
      <c r="R378" s="63">
        <v>51</v>
      </c>
      <c r="S378" s="63">
        <v>0</v>
      </c>
      <c r="T378" s="67"/>
      <c r="U378" s="63"/>
      <c r="V378" s="63"/>
      <c r="W378" s="63">
        <f t="shared" si="121"/>
        <v>0</v>
      </c>
      <c r="X378" s="63"/>
      <c r="Y378" s="63"/>
      <c r="Z378" s="63"/>
      <c r="AA378" s="63"/>
      <c r="AB378" s="63"/>
      <c r="AE378" s="8">
        <v>0</v>
      </c>
      <c r="AT378" t="str">
        <f t="shared" si="118"/>
        <v>Harpswell</v>
      </c>
      <c r="AU378" t="s">
        <v>1531</v>
      </c>
      <c r="AV378">
        <v>1</v>
      </c>
      <c r="AX378" s="114">
        <v>23</v>
      </c>
      <c r="AY378" s="116">
        <v>5</v>
      </c>
      <c r="AZ378" s="116">
        <v>55</v>
      </c>
      <c r="BA378" s="120">
        <v>31390</v>
      </c>
      <c r="BB378" s="120">
        <f t="shared" si="119"/>
        <v>23005</v>
      </c>
      <c r="BC378" t="s">
        <v>1472</v>
      </c>
      <c r="BD378">
        <f t="shared" si="120"/>
        <v>2331390</v>
      </c>
      <c r="BE378" s="1">
        <v>97</v>
      </c>
      <c r="BI378">
        <v>83.92</v>
      </c>
      <c r="BJ378">
        <v>59.75</v>
      </c>
      <c r="BK378">
        <v>24.17</v>
      </c>
      <c r="BS378" s="63">
        <v>0</v>
      </c>
      <c r="CK378" s="1" t="s">
        <v>3932</v>
      </c>
    </row>
    <row r="379" spans="1:89" hidden="1" outlineLevel="1">
      <c r="A379" t="s">
        <v>2526</v>
      </c>
      <c r="B379" s="8" t="s">
        <v>1697</v>
      </c>
      <c r="C379" s="1">
        <f t="shared" si="110"/>
        <v>479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 t="shared" si="111"/>
        <v>5</v>
      </c>
      <c r="G379" s="1">
        <f t="shared" si="112"/>
        <v>193</v>
      </c>
      <c r="H379" s="2">
        <f t="shared" si="113"/>
        <v>0.40292275574112735</v>
      </c>
      <c r="I379" s="6"/>
      <c r="J379" s="2">
        <f t="shared" si="114"/>
        <v>0.26931106471816285</v>
      </c>
      <c r="K379" s="2">
        <f t="shared" si="115"/>
        <v>0.67223382045929014</v>
      </c>
      <c r="L379" s="2">
        <f t="shared" si="116"/>
        <v>2.0876826722338203E-3</v>
      </c>
      <c r="M379" s="2">
        <f t="shared" si="117"/>
        <v>5.6367432150313132E-2</v>
      </c>
      <c r="N379" s="63">
        <v>129</v>
      </c>
      <c r="O379" s="63">
        <v>322</v>
      </c>
      <c r="P379" s="63">
        <v>1</v>
      </c>
      <c r="Q379" s="63">
        <v>19</v>
      </c>
      <c r="R379" s="63">
        <v>8</v>
      </c>
      <c r="S379" s="63">
        <v>0</v>
      </c>
      <c r="T379" s="67"/>
      <c r="U379" s="63"/>
      <c r="V379" s="63"/>
      <c r="W379" s="63">
        <f t="shared" si="121"/>
        <v>0</v>
      </c>
      <c r="X379" s="63"/>
      <c r="Y379" s="63"/>
      <c r="Z379" s="63"/>
      <c r="AA379" s="63"/>
      <c r="AB379" s="63"/>
      <c r="AE379" s="8">
        <v>0</v>
      </c>
      <c r="AT379" t="str">
        <f t="shared" si="118"/>
        <v>Harrington</v>
      </c>
      <c r="AU379" t="s">
        <v>692</v>
      </c>
      <c r="AV379">
        <v>2</v>
      </c>
      <c r="AX379" s="114">
        <v>23</v>
      </c>
      <c r="AY379" s="116">
        <v>29</v>
      </c>
      <c r="AZ379" s="116">
        <v>110</v>
      </c>
      <c r="BA379" s="120">
        <v>31530</v>
      </c>
      <c r="BB379" s="120">
        <f t="shared" si="119"/>
        <v>23029</v>
      </c>
      <c r="BC379" t="s">
        <v>1472</v>
      </c>
      <c r="BD379">
        <f t="shared" si="120"/>
        <v>2331530</v>
      </c>
      <c r="BE379" s="1">
        <v>22</v>
      </c>
      <c r="BI379">
        <v>52.86</v>
      </c>
      <c r="BJ379">
        <v>31.7</v>
      </c>
      <c r="BK379">
        <v>21.16</v>
      </c>
      <c r="BS379" s="63">
        <v>0</v>
      </c>
      <c r="CK379" s="1" t="s">
        <v>3933</v>
      </c>
    </row>
    <row r="380" spans="1:89" hidden="1" outlineLevel="1">
      <c r="A380" t="s">
        <v>875</v>
      </c>
      <c r="B380" s="8" t="s">
        <v>1697</v>
      </c>
      <c r="C380" s="1">
        <f t="shared" si="110"/>
        <v>1452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 t="shared" si="111"/>
        <v>5</v>
      </c>
      <c r="G380" s="1">
        <f t="shared" si="112"/>
        <v>192</v>
      </c>
      <c r="H380" s="2">
        <f t="shared" si="113"/>
        <v>0.13223140495867769</v>
      </c>
      <c r="I380" s="6"/>
      <c r="J380" s="2">
        <f t="shared" si="114"/>
        <v>0.39118457300275483</v>
      </c>
      <c r="K380" s="2">
        <f t="shared" si="115"/>
        <v>0.52341597796143247</v>
      </c>
      <c r="L380" s="2">
        <f t="shared" si="116"/>
        <v>2.7548209366391185E-3</v>
      </c>
      <c r="M380" s="2">
        <f t="shared" si="117"/>
        <v>8.2644628099173639E-2</v>
      </c>
      <c r="N380" s="63">
        <v>568</v>
      </c>
      <c r="O380" s="63">
        <v>760</v>
      </c>
      <c r="P380" s="63">
        <v>4</v>
      </c>
      <c r="Q380" s="63">
        <v>80</v>
      </c>
      <c r="R380" s="63">
        <v>38</v>
      </c>
      <c r="S380" s="63">
        <v>2</v>
      </c>
      <c r="T380" s="67"/>
      <c r="U380" s="63"/>
      <c r="V380" s="63"/>
      <c r="W380" s="63">
        <f t="shared" si="121"/>
        <v>0</v>
      </c>
      <c r="X380" s="63"/>
      <c r="Y380" s="63"/>
      <c r="Z380" s="63"/>
      <c r="AA380" s="63"/>
      <c r="AB380" s="63"/>
      <c r="AE380" s="8">
        <v>0</v>
      </c>
      <c r="AT380" t="str">
        <f t="shared" si="118"/>
        <v>Harrison</v>
      </c>
      <c r="AU380" t="s">
        <v>1531</v>
      </c>
      <c r="AV380">
        <v>1</v>
      </c>
      <c r="AX380" s="114">
        <v>23</v>
      </c>
      <c r="AY380" s="116">
        <v>5</v>
      </c>
      <c r="AZ380" s="116">
        <v>60</v>
      </c>
      <c r="BA380" s="120">
        <v>31600</v>
      </c>
      <c r="BB380" s="120">
        <f t="shared" si="119"/>
        <v>23005</v>
      </c>
      <c r="BC380" t="s">
        <v>1472</v>
      </c>
      <c r="BD380">
        <f t="shared" si="120"/>
        <v>2331600</v>
      </c>
      <c r="BE380" s="1">
        <v>45</v>
      </c>
      <c r="BI380">
        <v>33.86</v>
      </c>
      <c r="BJ380">
        <v>0.83</v>
      </c>
      <c r="BK380">
        <v>33.03</v>
      </c>
      <c r="BS380" s="63">
        <v>0</v>
      </c>
      <c r="CK380" s="1" t="s">
        <v>3934</v>
      </c>
    </row>
    <row r="381" spans="1:89" hidden="1" outlineLevel="1">
      <c r="A381" t="s">
        <v>1737</v>
      </c>
      <c r="B381" s="8" t="s">
        <v>1697</v>
      </c>
      <c r="C381" s="1">
        <f t="shared" si="110"/>
        <v>637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 t="shared" si="111"/>
        <v>0</v>
      </c>
      <c r="G381" s="1">
        <f t="shared" si="112"/>
        <v>172</v>
      </c>
      <c r="H381" s="2">
        <f t="shared" si="113"/>
        <v>0.27001569858712715</v>
      </c>
      <c r="I381" s="6"/>
      <c r="J381" s="2">
        <f t="shared" si="114"/>
        <v>0.32339089481946626</v>
      </c>
      <c r="K381" s="2">
        <f t="shared" si="115"/>
        <v>0.59340659340659341</v>
      </c>
      <c r="L381" s="2">
        <f t="shared" si="116"/>
        <v>0</v>
      </c>
      <c r="M381" s="2">
        <f t="shared" si="117"/>
        <v>8.3202511773940335E-2</v>
      </c>
      <c r="N381" s="63">
        <v>206</v>
      </c>
      <c r="O381" s="63">
        <v>378</v>
      </c>
      <c r="P381" s="63">
        <v>0</v>
      </c>
      <c r="Q381" s="63">
        <v>43</v>
      </c>
      <c r="R381" s="63">
        <v>10</v>
      </c>
      <c r="S381" s="63">
        <v>0</v>
      </c>
      <c r="T381" s="67"/>
      <c r="U381" s="63"/>
      <c r="V381" s="63"/>
      <c r="W381" s="63">
        <f t="shared" si="121"/>
        <v>0</v>
      </c>
      <c r="X381" s="63"/>
      <c r="Y381" s="63"/>
      <c r="Z381" s="63"/>
      <c r="AA381" s="63"/>
      <c r="AB381" s="63"/>
      <c r="AE381" s="8">
        <v>0</v>
      </c>
      <c r="AT381" t="str">
        <f t="shared" si="118"/>
        <v>Hartford</v>
      </c>
      <c r="AU381" t="s">
        <v>2383</v>
      </c>
      <c r="AV381">
        <v>2</v>
      </c>
      <c r="AX381" s="114">
        <v>23</v>
      </c>
      <c r="AY381" s="116">
        <v>17</v>
      </c>
      <c r="AZ381" s="116">
        <v>65</v>
      </c>
      <c r="BA381" s="120">
        <v>31670</v>
      </c>
      <c r="BB381" s="120">
        <f t="shared" si="119"/>
        <v>23017</v>
      </c>
      <c r="BC381" t="s">
        <v>1472</v>
      </c>
      <c r="BD381">
        <f t="shared" si="120"/>
        <v>2331670</v>
      </c>
      <c r="BE381" s="1">
        <v>18</v>
      </c>
      <c r="BI381">
        <v>45.1</v>
      </c>
      <c r="BJ381">
        <v>1.21</v>
      </c>
      <c r="BK381">
        <v>43.89</v>
      </c>
      <c r="BS381" s="63">
        <v>0</v>
      </c>
      <c r="CK381" s="1" t="s">
        <v>3935</v>
      </c>
    </row>
    <row r="382" spans="1:89" hidden="1" outlineLevel="1">
      <c r="A382" t="s">
        <v>2373</v>
      </c>
      <c r="B382" s="8" t="s">
        <v>1697</v>
      </c>
      <c r="C382" s="1">
        <f t="shared" si="110"/>
        <v>871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 t="shared" si="111"/>
        <v>5</v>
      </c>
      <c r="G382" s="1">
        <f t="shared" si="112"/>
        <v>378</v>
      </c>
      <c r="H382" s="2">
        <f t="shared" si="113"/>
        <v>0.43398392652123996</v>
      </c>
      <c r="I382" s="6"/>
      <c r="J382" s="2">
        <f t="shared" si="114"/>
        <v>0.25487944890929964</v>
      </c>
      <c r="K382" s="2">
        <f t="shared" si="115"/>
        <v>0.68886337543053966</v>
      </c>
      <c r="L382" s="2">
        <f t="shared" si="116"/>
        <v>2.2962112514351321E-3</v>
      </c>
      <c r="M382" s="2">
        <f t="shared" si="117"/>
        <v>5.3960964408725623E-2</v>
      </c>
      <c r="N382" s="63">
        <v>222</v>
      </c>
      <c r="O382" s="63">
        <v>600</v>
      </c>
      <c r="P382" s="63">
        <v>2</v>
      </c>
      <c r="Q382" s="63">
        <v>37</v>
      </c>
      <c r="R382" s="63">
        <v>9</v>
      </c>
      <c r="S382" s="63">
        <v>1</v>
      </c>
      <c r="T382" s="67"/>
      <c r="U382" s="63"/>
      <c r="V382" s="63"/>
      <c r="W382" s="63">
        <f t="shared" si="121"/>
        <v>0</v>
      </c>
      <c r="X382" s="63"/>
      <c r="Y382" s="63"/>
      <c r="Z382" s="63"/>
      <c r="AA382" s="63"/>
      <c r="AB382" s="63"/>
      <c r="AE382" s="8">
        <v>0</v>
      </c>
      <c r="AT382" t="str">
        <f t="shared" si="118"/>
        <v>Hartland</v>
      </c>
      <c r="AU382" t="s">
        <v>1787</v>
      </c>
      <c r="AV382">
        <v>2</v>
      </c>
      <c r="AX382" s="114">
        <v>23</v>
      </c>
      <c r="AY382" s="116">
        <v>25</v>
      </c>
      <c r="AZ382" s="116">
        <v>70</v>
      </c>
      <c r="BA382" s="120">
        <v>31740</v>
      </c>
      <c r="BB382" s="120">
        <f t="shared" si="119"/>
        <v>23025</v>
      </c>
      <c r="BC382" t="s">
        <v>1472</v>
      </c>
      <c r="BD382">
        <f t="shared" si="120"/>
        <v>2331740</v>
      </c>
      <c r="BE382" s="1">
        <v>17</v>
      </c>
      <c r="BI382">
        <v>42.82</v>
      </c>
      <c r="BJ382">
        <v>5.76</v>
      </c>
      <c r="BK382">
        <v>37.07</v>
      </c>
      <c r="BS382" s="63">
        <v>0</v>
      </c>
      <c r="CK382" s="1" t="s">
        <v>3936</v>
      </c>
    </row>
    <row r="383" spans="1:89" hidden="1" outlineLevel="1">
      <c r="A383" t="s">
        <v>2705</v>
      </c>
      <c r="B383" s="8" t="s">
        <v>1697</v>
      </c>
      <c r="C383" s="1">
        <f t="shared" si="110"/>
        <v>49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 t="shared" si="111"/>
        <v>3</v>
      </c>
      <c r="G383" s="1">
        <f t="shared" si="112"/>
        <v>22</v>
      </c>
      <c r="H383" s="2">
        <f t="shared" si="113"/>
        <v>0.44897959183673469</v>
      </c>
      <c r="I383" s="6"/>
      <c r="J383" s="2">
        <f t="shared" si="114"/>
        <v>0.22448979591836735</v>
      </c>
      <c r="K383" s="2">
        <f t="shared" si="115"/>
        <v>0.67346938775510201</v>
      </c>
      <c r="L383" s="2">
        <f t="shared" si="116"/>
        <v>4.0816326530612242E-2</v>
      </c>
      <c r="M383" s="2">
        <f t="shared" si="117"/>
        <v>6.1224489795918373E-2</v>
      </c>
      <c r="N383" s="63">
        <v>11</v>
      </c>
      <c r="O383" s="63">
        <v>33</v>
      </c>
      <c r="P383" s="63">
        <v>2</v>
      </c>
      <c r="Q383" s="63">
        <v>2</v>
      </c>
      <c r="R383" s="63">
        <v>1</v>
      </c>
      <c r="S383" s="63">
        <v>0</v>
      </c>
      <c r="T383" s="67"/>
      <c r="U383" s="63"/>
      <c r="V383" s="63"/>
      <c r="W383" s="63">
        <f t="shared" si="121"/>
        <v>0</v>
      </c>
      <c r="X383" s="63"/>
      <c r="Y383" s="63"/>
      <c r="Z383" s="63"/>
      <c r="AA383" s="63"/>
      <c r="AB383" s="63"/>
      <c r="AE383" s="8">
        <v>0</v>
      </c>
      <c r="AT383" t="str">
        <f t="shared" si="118"/>
        <v>Haynesville</v>
      </c>
      <c r="AU383" t="s">
        <v>2830</v>
      </c>
      <c r="AV383">
        <v>2</v>
      </c>
      <c r="AX383" s="114">
        <v>23</v>
      </c>
      <c r="AY383" s="116">
        <v>3</v>
      </c>
      <c r="AZ383" s="116">
        <v>135</v>
      </c>
      <c r="BA383" s="120">
        <v>32195</v>
      </c>
      <c r="BB383" s="120">
        <f t="shared" si="119"/>
        <v>23003</v>
      </c>
      <c r="BC383" t="s">
        <v>1472</v>
      </c>
      <c r="BD383">
        <f t="shared" si="120"/>
        <v>2332195</v>
      </c>
      <c r="BE383" s="1">
        <v>1</v>
      </c>
      <c r="BI383">
        <v>41.46</v>
      </c>
      <c r="BJ383">
        <v>0.47</v>
      </c>
      <c r="BK383">
        <v>40.99</v>
      </c>
      <c r="BS383" s="63">
        <v>0</v>
      </c>
      <c r="CK383" s="1" t="s">
        <v>3937</v>
      </c>
    </row>
    <row r="384" spans="1:89" hidden="1" outlineLevel="1">
      <c r="A384" t="s">
        <v>976</v>
      </c>
      <c r="B384" s="8" t="s">
        <v>1697</v>
      </c>
      <c r="C384" s="1">
        <f t="shared" si="110"/>
        <v>733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 t="shared" si="111"/>
        <v>6</v>
      </c>
      <c r="G384" s="1">
        <f t="shared" si="112"/>
        <v>148</v>
      </c>
      <c r="H384" s="2">
        <f t="shared" si="113"/>
        <v>0.20190995907230561</v>
      </c>
      <c r="I384" s="6"/>
      <c r="J384" s="2">
        <f t="shared" si="114"/>
        <v>0.339699863574352</v>
      </c>
      <c r="K384" s="2">
        <f t="shared" si="115"/>
        <v>0.54160982264665758</v>
      </c>
      <c r="L384" s="2">
        <f t="shared" si="116"/>
        <v>1.364256480218281E-3</v>
      </c>
      <c r="M384" s="2">
        <f t="shared" si="117"/>
        <v>0.11732605729877214</v>
      </c>
      <c r="N384" s="63">
        <v>249</v>
      </c>
      <c r="O384" s="63">
        <v>397</v>
      </c>
      <c r="P384" s="63">
        <v>1</v>
      </c>
      <c r="Q384" s="63">
        <v>74</v>
      </c>
      <c r="R384" s="63">
        <v>10</v>
      </c>
      <c r="S384" s="63">
        <v>2</v>
      </c>
      <c r="T384" s="67"/>
      <c r="U384" s="63"/>
      <c r="V384" s="63"/>
      <c r="W384" s="63">
        <f t="shared" si="121"/>
        <v>0</v>
      </c>
      <c r="X384" s="63"/>
      <c r="Y384" s="63"/>
      <c r="Z384" s="63"/>
      <c r="AA384" s="63"/>
      <c r="AB384" s="63"/>
      <c r="AE384" s="8">
        <v>0</v>
      </c>
      <c r="AT384" t="str">
        <f t="shared" si="118"/>
        <v>Hebron</v>
      </c>
      <c r="AU384" t="s">
        <v>2383</v>
      </c>
      <c r="AV384">
        <v>2</v>
      </c>
      <c r="AX384" s="114">
        <v>23</v>
      </c>
      <c r="AY384" s="116">
        <v>17</v>
      </c>
      <c r="AZ384" s="116">
        <v>70</v>
      </c>
      <c r="BA384" s="120">
        <v>32370</v>
      </c>
      <c r="BB384" s="120">
        <f t="shared" si="119"/>
        <v>23017</v>
      </c>
      <c r="BC384" t="s">
        <v>1472</v>
      </c>
      <c r="BD384">
        <f t="shared" si="120"/>
        <v>2332370</v>
      </c>
      <c r="BE384" s="1">
        <v>20</v>
      </c>
      <c r="BI384">
        <v>22.55</v>
      </c>
      <c r="BJ384">
        <v>0.14000000000000001</v>
      </c>
      <c r="BK384">
        <v>22.42</v>
      </c>
      <c r="BS384" s="63">
        <v>0</v>
      </c>
      <c r="CK384" s="1" t="s">
        <v>3938</v>
      </c>
    </row>
    <row r="385" spans="1:89" hidden="1" outlineLevel="1">
      <c r="A385" t="s">
        <v>3182</v>
      </c>
      <c r="B385" s="8" t="s">
        <v>1697</v>
      </c>
      <c r="C385" s="1">
        <f t="shared" si="110"/>
        <v>3495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 t="shared" si="111"/>
        <v>5</v>
      </c>
      <c r="G385" s="1">
        <f t="shared" si="112"/>
        <v>1069</v>
      </c>
      <c r="H385" s="2">
        <f t="shared" si="113"/>
        <v>0.30586552217453505</v>
      </c>
      <c r="I385" s="6"/>
      <c r="J385" s="2">
        <f t="shared" si="114"/>
        <v>0.31502145922746783</v>
      </c>
      <c r="K385" s="2">
        <f t="shared" si="115"/>
        <v>0.62088698140200282</v>
      </c>
      <c r="L385" s="2">
        <f t="shared" si="116"/>
        <v>4.8640915593705291E-3</v>
      </c>
      <c r="M385" s="2">
        <f t="shared" si="117"/>
        <v>5.922746781115882E-2</v>
      </c>
      <c r="N385" s="63">
        <v>1101</v>
      </c>
      <c r="O385" s="63">
        <v>2170</v>
      </c>
      <c r="P385" s="63">
        <v>17</v>
      </c>
      <c r="Q385" s="63">
        <v>171</v>
      </c>
      <c r="R385" s="63">
        <v>35</v>
      </c>
      <c r="S385" s="63">
        <v>1</v>
      </c>
      <c r="T385" s="67"/>
      <c r="U385" s="63"/>
      <c r="V385" s="63"/>
      <c r="W385" s="63">
        <f t="shared" si="121"/>
        <v>0</v>
      </c>
      <c r="X385" s="63"/>
      <c r="Y385" s="63"/>
      <c r="Z385" s="63"/>
      <c r="AA385" s="63"/>
      <c r="AB385" s="63"/>
      <c r="AE385" s="8">
        <v>0</v>
      </c>
      <c r="AT385" t="str">
        <f t="shared" si="118"/>
        <v>Hermon</v>
      </c>
      <c r="AU385" t="s">
        <v>2481</v>
      </c>
      <c r="AV385">
        <v>2</v>
      </c>
      <c r="AX385" s="114">
        <v>23</v>
      </c>
      <c r="AY385" s="116">
        <v>19</v>
      </c>
      <c r="AZ385" s="116">
        <v>145</v>
      </c>
      <c r="BA385" s="120">
        <v>32510</v>
      </c>
      <c r="BB385" s="120">
        <f t="shared" si="119"/>
        <v>23019</v>
      </c>
      <c r="BC385" t="s">
        <v>1472</v>
      </c>
      <c r="BD385">
        <f t="shared" si="120"/>
        <v>2332510</v>
      </c>
      <c r="BE385" s="1">
        <v>93</v>
      </c>
      <c r="BI385">
        <v>36.79</v>
      </c>
      <c r="BJ385">
        <v>0.86</v>
      </c>
      <c r="BK385">
        <v>35.92</v>
      </c>
      <c r="BS385" s="63">
        <v>0</v>
      </c>
      <c r="CK385" s="1" t="s">
        <v>3939</v>
      </c>
    </row>
    <row r="386" spans="1:89" hidden="1" outlineLevel="1">
      <c r="A386" t="s">
        <v>2363</v>
      </c>
      <c r="B386" s="8" t="s">
        <v>1697</v>
      </c>
      <c r="C386" s="1">
        <f t="shared" si="110"/>
        <v>34</v>
      </c>
      <c r="D386" s="5">
        <f>IF(N386&gt;0, RANK(N386,(N386:P386,Q386:AE386)),0)</f>
        <v>3</v>
      </c>
      <c r="E386" s="5">
        <f>IF(O386&gt;0,RANK(O386,(N386:P386,Q386:AE386)),0)</f>
        <v>1</v>
      </c>
      <c r="F386" s="5">
        <f t="shared" si="111"/>
        <v>4</v>
      </c>
      <c r="G386" s="1">
        <f t="shared" si="112"/>
        <v>19</v>
      </c>
      <c r="H386" s="2">
        <f t="shared" si="113"/>
        <v>0.55882352941176472</v>
      </c>
      <c r="I386" s="6"/>
      <c r="J386" s="2">
        <f t="shared" si="114"/>
        <v>0.11764705882352941</v>
      </c>
      <c r="K386" s="2">
        <f t="shared" si="115"/>
        <v>0.67647058823529416</v>
      </c>
      <c r="L386" s="2">
        <f t="shared" si="116"/>
        <v>5.8823529411764705E-2</v>
      </c>
      <c r="M386" s="2">
        <f t="shared" si="117"/>
        <v>0.14705882352941169</v>
      </c>
      <c r="N386" s="63">
        <v>4</v>
      </c>
      <c r="O386" s="63">
        <v>23</v>
      </c>
      <c r="P386" s="63">
        <v>2</v>
      </c>
      <c r="Q386" s="63">
        <v>5</v>
      </c>
      <c r="R386" s="63">
        <v>0</v>
      </c>
      <c r="S386" s="63">
        <v>0</v>
      </c>
      <c r="T386" s="67"/>
      <c r="U386" s="63"/>
      <c r="V386" s="63"/>
      <c r="W386" s="63">
        <f t="shared" si="121"/>
        <v>0</v>
      </c>
      <c r="X386" s="63"/>
      <c r="Y386" s="63"/>
      <c r="Z386" s="63"/>
      <c r="AA386" s="63"/>
      <c r="AB386" s="63"/>
      <c r="AE386" s="8">
        <v>0</v>
      </c>
      <c r="AT386" t="str">
        <f t="shared" si="118"/>
        <v>Hersey</v>
      </c>
      <c r="AU386" t="s">
        <v>2830</v>
      </c>
      <c r="AV386">
        <v>2</v>
      </c>
      <c r="AX386" s="114">
        <v>23</v>
      </c>
      <c r="AY386" s="116">
        <v>3</v>
      </c>
      <c r="AZ386" s="116">
        <v>140</v>
      </c>
      <c r="BA386" s="120">
        <v>32685</v>
      </c>
      <c r="BB386" s="120">
        <f t="shared" si="119"/>
        <v>23003</v>
      </c>
      <c r="BC386" t="s">
        <v>1472</v>
      </c>
      <c r="BD386">
        <f t="shared" si="120"/>
        <v>2332685</v>
      </c>
      <c r="BE386" s="1">
        <v>0</v>
      </c>
      <c r="BI386">
        <v>40.01</v>
      </c>
      <c r="BJ386">
        <v>0.21</v>
      </c>
      <c r="BK386">
        <v>39.799999999999997</v>
      </c>
      <c r="BS386" s="63">
        <v>0</v>
      </c>
      <c r="CK386" s="1" t="s">
        <v>3940</v>
      </c>
    </row>
    <row r="387" spans="1:89" hidden="1" outlineLevel="1">
      <c r="A387" t="s">
        <v>3719</v>
      </c>
      <c r="B387" s="8" t="s">
        <v>1697</v>
      </c>
      <c r="C387" s="1">
        <f>SUM(N387:AR387)</f>
        <v>15</v>
      </c>
      <c r="D387" s="5">
        <f>IF(N387&gt;0, RANK(N387,(N387:P387,Q387:AE387)),0)</f>
        <v>0</v>
      </c>
      <c r="E387" s="5">
        <f>IF(O387&gt;0,RANK(O387,(N387:P387,Q387:AE387)),0)</f>
        <v>1</v>
      </c>
      <c r="F387" s="5">
        <f>IF(P387&gt;0,RANK(P387,(N387:AE387)),0)</f>
        <v>0</v>
      </c>
      <c r="G387" s="1">
        <f>IF(C387&gt;0,MAX(N387:P387)-LARGE(N387:P387,2),0)</f>
        <v>13</v>
      </c>
      <c r="H387" s="2">
        <f>IF(C387&gt;0,G387/C387,0)</f>
        <v>0.8666666666666667</v>
      </c>
      <c r="I387" s="6"/>
      <c r="J387" s="2">
        <f>IF(C387=0,"-",N387/C387)</f>
        <v>0</v>
      </c>
      <c r="K387" s="2">
        <f>IF(C387=0,"-",O387/C387)</f>
        <v>0.8666666666666667</v>
      </c>
      <c r="L387" s="2">
        <f>IF(C387=0,"-",P387/C387)</f>
        <v>0</v>
      </c>
      <c r="M387" s="2">
        <f>IF(C387=0,"-",(1-J387-K387-L387))</f>
        <v>0.1333333333333333</v>
      </c>
      <c r="N387" s="63">
        <v>0</v>
      </c>
      <c r="O387" s="63">
        <v>13</v>
      </c>
      <c r="P387" s="63">
        <v>0</v>
      </c>
      <c r="Q387" s="63">
        <v>1</v>
      </c>
      <c r="R387" s="63">
        <v>1</v>
      </c>
      <c r="S387" s="63">
        <v>0</v>
      </c>
      <c r="T387" s="67"/>
      <c r="U387" s="63"/>
      <c r="V387" s="63"/>
      <c r="W387" s="63">
        <f t="shared" si="121"/>
        <v>0</v>
      </c>
      <c r="X387" s="63"/>
      <c r="Y387" s="63"/>
      <c r="Z387" s="63"/>
      <c r="AA387" s="63"/>
      <c r="AB387" s="63"/>
      <c r="AE387" s="8">
        <v>0</v>
      </c>
      <c r="AT387" t="str">
        <f>A387</f>
        <v>Herseytown</v>
      </c>
      <c r="AU387" t="s">
        <v>2481</v>
      </c>
      <c r="AV387">
        <v>2</v>
      </c>
      <c r="AX387" s="114">
        <v>23</v>
      </c>
      <c r="AY387" s="116">
        <v>19</v>
      </c>
      <c r="BA387" s="142">
        <v>32690</v>
      </c>
      <c r="BB387" s="120">
        <f>AX387*1000+AY387</f>
        <v>23019</v>
      </c>
      <c r="BC387" t="s">
        <v>957</v>
      </c>
      <c r="BD387">
        <f>AX387*100000+BA387</f>
        <v>2332690</v>
      </c>
      <c r="BE387" s="1">
        <v>0</v>
      </c>
      <c r="BS387" s="63">
        <v>0</v>
      </c>
      <c r="CK387" s="1" t="s">
        <v>3941</v>
      </c>
    </row>
    <row r="388" spans="1:89" hidden="1" outlineLevel="1">
      <c r="A388" t="s">
        <v>1985</v>
      </c>
      <c r="B388" s="8" t="s">
        <v>1697</v>
      </c>
      <c r="C388" s="1">
        <f t="shared" si="110"/>
        <v>113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 t="shared" si="111"/>
        <v>0</v>
      </c>
      <c r="G388" s="1">
        <f t="shared" si="112"/>
        <v>37</v>
      </c>
      <c r="H388" s="2">
        <f t="shared" si="113"/>
        <v>0.32743362831858408</v>
      </c>
      <c r="I388" s="6"/>
      <c r="J388" s="2">
        <f t="shared" si="114"/>
        <v>0.29203539823008851</v>
      </c>
      <c r="K388" s="2">
        <f t="shared" si="115"/>
        <v>0.61946902654867253</v>
      </c>
      <c r="L388" s="2">
        <f t="shared" si="116"/>
        <v>0</v>
      </c>
      <c r="M388" s="2">
        <f t="shared" si="117"/>
        <v>8.8495575221238965E-2</v>
      </c>
      <c r="N388" s="63">
        <v>33</v>
      </c>
      <c r="O388" s="63">
        <v>70</v>
      </c>
      <c r="P388" s="63">
        <v>0</v>
      </c>
      <c r="Q388" s="63">
        <v>5</v>
      </c>
      <c r="R388" s="63">
        <v>5</v>
      </c>
      <c r="S388" s="63">
        <v>0</v>
      </c>
      <c r="T388" s="67"/>
      <c r="U388" s="63"/>
      <c r="V388" s="63"/>
      <c r="W388" s="63">
        <f t="shared" si="121"/>
        <v>0</v>
      </c>
      <c r="X388" s="63"/>
      <c r="Y388" s="63"/>
      <c r="Z388" s="63"/>
      <c r="AA388" s="63"/>
      <c r="AB388" s="63"/>
      <c r="AE388" s="8">
        <v>0</v>
      </c>
      <c r="AT388" t="str">
        <f t="shared" si="118"/>
        <v>Highland</v>
      </c>
      <c r="AU388" t="s">
        <v>1787</v>
      </c>
      <c r="AV388">
        <v>2</v>
      </c>
      <c r="AX388" s="114">
        <v>23</v>
      </c>
      <c r="AY388" s="116">
        <v>25</v>
      </c>
      <c r="AZ388" s="116">
        <v>75</v>
      </c>
      <c r="BA388" s="120">
        <v>32895</v>
      </c>
      <c r="BB388" s="120">
        <f t="shared" si="119"/>
        <v>23025</v>
      </c>
      <c r="BC388" t="s">
        <v>3075</v>
      </c>
      <c r="BD388">
        <f t="shared" si="120"/>
        <v>2332895</v>
      </c>
      <c r="BE388" s="1">
        <v>5</v>
      </c>
      <c r="BI388">
        <v>42.03</v>
      </c>
      <c r="BJ388">
        <v>0.02</v>
      </c>
      <c r="BK388">
        <v>42.01</v>
      </c>
      <c r="BS388" s="63">
        <v>0</v>
      </c>
      <c r="CK388" s="1" t="s">
        <v>3942</v>
      </c>
    </row>
    <row r="389" spans="1:89" hidden="1" outlineLevel="1">
      <c r="A389" t="s">
        <v>3181</v>
      </c>
      <c r="B389" s="8" t="s">
        <v>1697</v>
      </c>
      <c r="C389" s="1">
        <f t="shared" si="110"/>
        <v>823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 t="shared" si="111"/>
        <v>5</v>
      </c>
      <c r="G389" s="1">
        <f t="shared" si="112"/>
        <v>130</v>
      </c>
      <c r="H389" s="2">
        <f t="shared" si="113"/>
        <v>0.15795868772782504</v>
      </c>
      <c r="I389" s="6"/>
      <c r="J389" s="2">
        <f t="shared" si="114"/>
        <v>0.37910085054678005</v>
      </c>
      <c r="K389" s="2">
        <f t="shared" si="115"/>
        <v>0.53705953827460506</v>
      </c>
      <c r="L389" s="2">
        <f t="shared" si="116"/>
        <v>1.215066828675577E-3</v>
      </c>
      <c r="M389" s="2">
        <f t="shared" si="117"/>
        <v>8.2624544349939252E-2</v>
      </c>
      <c r="N389" s="63">
        <v>312</v>
      </c>
      <c r="O389" s="63">
        <v>442</v>
      </c>
      <c r="P389" s="63">
        <v>1</v>
      </c>
      <c r="Q389" s="63">
        <v>49</v>
      </c>
      <c r="R389" s="63">
        <v>19</v>
      </c>
      <c r="S389" s="63">
        <v>0</v>
      </c>
      <c r="T389" s="67"/>
      <c r="U389" s="63"/>
      <c r="V389" s="63"/>
      <c r="W389" s="63">
        <f t="shared" si="121"/>
        <v>0</v>
      </c>
      <c r="X389" s="63"/>
      <c r="Y389" s="63"/>
      <c r="Z389" s="63"/>
      <c r="AA389" s="63"/>
      <c r="AB389" s="63"/>
      <c r="AE389" s="8">
        <v>0</v>
      </c>
      <c r="AT389" t="str">
        <f t="shared" si="118"/>
        <v>Hiram</v>
      </c>
      <c r="AU389" t="s">
        <v>2383</v>
      </c>
      <c r="AV389">
        <v>2</v>
      </c>
      <c r="AX389" s="114">
        <v>23</v>
      </c>
      <c r="AY389" s="116">
        <v>17</v>
      </c>
      <c r="AZ389" s="116">
        <v>75</v>
      </c>
      <c r="BA389" s="120">
        <v>33315</v>
      </c>
      <c r="BB389" s="120">
        <f t="shared" si="119"/>
        <v>23017</v>
      </c>
      <c r="BC389" t="s">
        <v>1472</v>
      </c>
      <c r="BD389">
        <f t="shared" si="120"/>
        <v>2333315</v>
      </c>
      <c r="BE389" s="1">
        <v>34</v>
      </c>
      <c r="BI389">
        <v>38.840000000000003</v>
      </c>
      <c r="BJ389">
        <v>1.3</v>
      </c>
      <c r="BK389">
        <v>37.53</v>
      </c>
      <c r="BS389" s="63">
        <v>0</v>
      </c>
      <c r="CK389" s="1" t="s">
        <v>3943</v>
      </c>
    </row>
    <row r="390" spans="1:89" hidden="1" outlineLevel="1">
      <c r="A390" t="s">
        <v>1488</v>
      </c>
      <c r="B390" s="8" t="s">
        <v>1697</v>
      </c>
      <c r="C390" s="1">
        <f t="shared" si="110"/>
        <v>678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 t="shared" si="111"/>
        <v>5</v>
      </c>
      <c r="G390" s="1">
        <f t="shared" si="112"/>
        <v>351</v>
      </c>
      <c r="H390" s="2">
        <f t="shared" si="113"/>
        <v>0.51769911504424782</v>
      </c>
      <c r="I390" s="6"/>
      <c r="J390" s="2">
        <f t="shared" si="114"/>
        <v>0.21828908554572271</v>
      </c>
      <c r="K390" s="2">
        <f t="shared" si="115"/>
        <v>0.7359882005899705</v>
      </c>
      <c r="L390" s="2">
        <f t="shared" si="116"/>
        <v>4.4247787610619468E-3</v>
      </c>
      <c r="M390" s="2">
        <f t="shared" si="117"/>
        <v>4.1297935103244872E-2</v>
      </c>
      <c r="N390" s="63">
        <v>148</v>
      </c>
      <c r="O390" s="63">
        <v>499</v>
      </c>
      <c r="P390" s="63">
        <v>3</v>
      </c>
      <c r="Q390" s="63">
        <v>22</v>
      </c>
      <c r="R390" s="63">
        <v>6</v>
      </c>
      <c r="S390" s="63">
        <v>0</v>
      </c>
      <c r="T390" s="67"/>
      <c r="U390" s="63"/>
      <c r="V390" s="63"/>
      <c r="W390" s="63">
        <f t="shared" si="121"/>
        <v>0</v>
      </c>
      <c r="X390" s="63"/>
      <c r="Y390" s="63"/>
      <c r="Z390" s="63"/>
      <c r="AA390" s="63"/>
      <c r="AB390" s="63"/>
      <c r="AE390" s="8">
        <v>0</v>
      </c>
      <c r="AT390" t="str">
        <f t="shared" si="118"/>
        <v>Hodgdon</v>
      </c>
      <c r="AU390" t="s">
        <v>2830</v>
      </c>
      <c r="AV390">
        <v>2</v>
      </c>
      <c r="AX390" s="114">
        <v>23</v>
      </c>
      <c r="AY390" s="116">
        <v>3</v>
      </c>
      <c r="AZ390" s="116">
        <v>145</v>
      </c>
      <c r="BA390" s="120">
        <v>33385</v>
      </c>
      <c r="BB390" s="120">
        <f t="shared" si="119"/>
        <v>23003</v>
      </c>
      <c r="BC390" t="s">
        <v>1472</v>
      </c>
      <c r="BD390">
        <f t="shared" si="120"/>
        <v>2333385</v>
      </c>
      <c r="BE390" s="1">
        <v>12</v>
      </c>
      <c r="BI390">
        <v>39.82</v>
      </c>
      <c r="BJ390">
        <v>0.15</v>
      </c>
      <c r="BK390">
        <v>39.68</v>
      </c>
      <c r="BS390" s="63">
        <v>0</v>
      </c>
      <c r="CK390" s="1" t="s">
        <v>3944</v>
      </c>
    </row>
    <row r="391" spans="1:89" hidden="1" outlineLevel="1">
      <c r="A391" t="s">
        <v>1789</v>
      </c>
      <c r="B391" s="8" t="s">
        <v>1697</v>
      </c>
      <c r="C391" s="1">
        <f t="shared" si="110"/>
        <v>1991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 t="shared" si="111"/>
        <v>5</v>
      </c>
      <c r="G391" s="1">
        <f t="shared" si="112"/>
        <v>404</v>
      </c>
      <c r="H391" s="2">
        <f t="shared" si="113"/>
        <v>0.20291310899045706</v>
      </c>
      <c r="I391" s="6"/>
      <c r="J391" s="2">
        <f t="shared" si="114"/>
        <v>0.36112506278252132</v>
      </c>
      <c r="K391" s="2">
        <f t="shared" si="115"/>
        <v>0.56403817177297844</v>
      </c>
      <c r="L391" s="2">
        <f t="shared" si="116"/>
        <v>5.0226017076845809E-3</v>
      </c>
      <c r="M391" s="2">
        <f t="shared" si="117"/>
        <v>6.9814163736815663E-2</v>
      </c>
      <c r="N391" s="63">
        <v>719</v>
      </c>
      <c r="O391" s="63">
        <v>1123</v>
      </c>
      <c r="P391" s="63">
        <v>10</v>
      </c>
      <c r="Q391" s="63">
        <v>102</v>
      </c>
      <c r="R391" s="63">
        <v>36</v>
      </c>
      <c r="S391" s="63">
        <v>1</v>
      </c>
      <c r="T391" s="67"/>
      <c r="U391" s="63"/>
      <c r="V391" s="63"/>
      <c r="W391" s="63">
        <f t="shared" si="121"/>
        <v>0</v>
      </c>
      <c r="X391" s="63"/>
      <c r="Y391" s="63"/>
      <c r="Z391" s="63"/>
      <c r="AA391" s="63"/>
      <c r="AB391" s="63"/>
      <c r="AE391" s="8">
        <v>0</v>
      </c>
      <c r="AT391" t="str">
        <f t="shared" si="118"/>
        <v>Holden</v>
      </c>
      <c r="AU391" t="s">
        <v>2481</v>
      </c>
      <c r="AV391">
        <v>2</v>
      </c>
      <c r="AX391" s="114">
        <v>23</v>
      </c>
      <c r="AY391" s="116">
        <v>19</v>
      </c>
      <c r="AZ391" s="116">
        <v>150</v>
      </c>
      <c r="BA391" s="120">
        <v>33490</v>
      </c>
      <c r="BB391" s="120">
        <f t="shared" si="119"/>
        <v>23019</v>
      </c>
      <c r="BC391" t="s">
        <v>1472</v>
      </c>
      <c r="BD391">
        <f t="shared" si="120"/>
        <v>2333490</v>
      </c>
      <c r="BE391" s="1">
        <v>59</v>
      </c>
      <c r="BI391">
        <v>32.11</v>
      </c>
      <c r="BJ391">
        <v>1.19</v>
      </c>
      <c r="BK391">
        <v>30.91</v>
      </c>
      <c r="BS391" s="63">
        <v>0</v>
      </c>
      <c r="CK391" s="1" t="s">
        <v>3945</v>
      </c>
    </row>
    <row r="392" spans="1:89" hidden="1" outlineLevel="1">
      <c r="A392" t="s">
        <v>2287</v>
      </c>
      <c r="B392" s="8" t="s">
        <v>1697</v>
      </c>
      <c r="C392" s="1">
        <f t="shared" si="110"/>
        <v>2560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 t="shared" si="111"/>
        <v>5</v>
      </c>
      <c r="G392" s="1">
        <f t="shared" si="112"/>
        <v>314</v>
      </c>
      <c r="H392" s="2">
        <f t="shared" si="113"/>
        <v>0.12265624999999999</v>
      </c>
      <c r="I392" s="6"/>
      <c r="J392" s="2">
        <f t="shared" si="114"/>
        <v>0.396484375</v>
      </c>
      <c r="K392" s="2">
        <f t="shared" si="115"/>
        <v>0.51914062500000002</v>
      </c>
      <c r="L392" s="2">
        <f t="shared" si="116"/>
        <v>1.5625000000000001E-3</v>
      </c>
      <c r="M392" s="2">
        <f t="shared" si="117"/>
        <v>8.2812499999999983E-2</v>
      </c>
      <c r="N392" s="63">
        <v>1015</v>
      </c>
      <c r="O392" s="63">
        <v>1329</v>
      </c>
      <c r="P392" s="63">
        <v>4</v>
      </c>
      <c r="Q392" s="63">
        <v>154</v>
      </c>
      <c r="R392" s="63">
        <v>58</v>
      </c>
      <c r="S392" s="63">
        <v>0</v>
      </c>
      <c r="T392" s="67"/>
      <c r="U392" s="63"/>
      <c r="V392" s="63"/>
      <c r="W392" s="63">
        <f t="shared" si="121"/>
        <v>0</v>
      </c>
      <c r="X392" s="63"/>
      <c r="Y392" s="63"/>
      <c r="Z392" s="63"/>
      <c r="AA392" s="63"/>
      <c r="AB392" s="63"/>
      <c r="AE392" s="8">
        <v>0</v>
      </c>
      <c r="AT392" t="str">
        <f t="shared" si="118"/>
        <v>Hollis</v>
      </c>
      <c r="AU392" t="s">
        <v>925</v>
      </c>
      <c r="AV392">
        <v>1</v>
      </c>
      <c r="AX392" s="114">
        <v>23</v>
      </c>
      <c r="AY392" s="116">
        <v>31</v>
      </c>
      <c r="AZ392" s="116">
        <v>50</v>
      </c>
      <c r="BA392" s="120">
        <v>33665</v>
      </c>
      <c r="BB392" s="120">
        <f t="shared" si="119"/>
        <v>23031</v>
      </c>
      <c r="BC392" t="s">
        <v>1472</v>
      </c>
      <c r="BD392">
        <f t="shared" si="120"/>
        <v>2333665</v>
      </c>
      <c r="BE392" s="1">
        <v>80</v>
      </c>
      <c r="BI392">
        <v>32.93</v>
      </c>
      <c r="BJ392">
        <v>0.92</v>
      </c>
      <c r="BK392">
        <v>32.020000000000003</v>
      </c>
      <c r="BS392" s="63">
        <v>0</v>
      </c>
      <c r="CK392" s="1" t="s">
        <v>3946</v>
      </c>
    </row>
    <row r="393" spans="1:89" hidden="1" outlineLevel="1">
      <c r="A393" t="s">
        <v>2907</v>
      </c>
      <c r="B393" s="8" t="s">
        <v>1697</v>
      </c>
      <c r="C393" s="1">
        <f t="shared" si="110"/>
        <v>1022</v>
      </c>
      <c r="D393" s="5">
        <f>IF(N393&gt;0, RANK(N393,(N393:P393,Q393:AE393)),0)</f>
        <v>1</v>
      </c>
      <c r="E393" s="5">
        <f>IF(O393&gt;0,RANK(O393,(N393:P393,Q393:AE393)),0)</f>
        <v>2</v>
      </c>
      <c r="F393" s="5">
        <f t="shared" si="111"/>
        <v>5</v>
      </c>
      <c r="G393" s="1">
        <f t="shared" si="112"/>
        <v>119</v>
      </c>
      <c r="H393" s="2">
        <f t="shared" si="113"/>
        <v>0.11643835616438356</v>
      </c>
      <c r="I393" s="6"/>
      <c r="J393" s="2">
        <f t="shared" si="114"/>
        <v>0.52544031311154604</v>
      </c>
      <c r="K393" s="2">
        <f t="shared" si="115"/>
        <v>0.4090019569471624</v>
      </c>
      <c r="L393" s="2">
        <f t="shared" si="116"/>
        <v>2.9354207436399216E-3</v>
      </c>
      <c r="M393" s="2">
        <f t="shared" si="117"/>
        <v>6.2622309197651632E-2</v>
      </c>
      <c r="N393" s="63">
        <v>537</v>
      </c>
      <c r="O393" s="63">
        <v>418</v>
      </c>
      <c r="P393" s="63">
        <v>3</v>
      </c>
      <c r="Q393" s="63">
        <v>44</v>
      </c>
      <c r="R393" s="63">
        <v>20</v>
      </c>
      <c r="S393" s="63">
        <v>0</v>
      </c>
      <c r="T393" s="67"/>
      <c r="U393" s="63"/>
      <c r="V393" s="63"/>
      <c r="W393" s="63">
        <f t="shared" si="121"/>
        <v>0</v>
      </c>
      <c r="X393" s="63"/>
      <c r="Y393" s="63"/>
      <c r="Z393" s="63"/>
      <c r="AA393" s="63"/>
      <c r="AB393" s="63"/>
      <c r="AE393" s="8">
        <v>0</v>
      </c>
      <c r="AT393" t="str">
        <f t="shared" si="118"/>
        <v>Hope</v>
      </c>
      <c r="AU393" t="s">
        <v>1729</v>
      </c>
      <c r="AV393">
        <v>1</v>
      </c>
      <c r="AX393" s="114">
        <v>23</v>
      </c>
      <c r="AY393" s="116">
        <v>13</v>
      </c>
      <c r="AZ393" s="116">
        <v>25</v>
      </c>
      <c r="BA393" s="120">
        <v>33840</v>
      </c>
      <c r="BB393" s="120">
        <f t="shared" si="119"/>
        <v>23013</v>
      </c>
      <c r="BC393" t="s">
        <v>1472</v>
      </c>
      <c r="BD393">
        <f t="shared" si="120"/>
        <v>2333840</v>
      </c>
      <c r="BE393" s="1">
        <v>26</v>
      </c>
      <c r="BI393">
        <v>23.8</v>
      </c>
      <c r="BJ393">
        <v>1.96</v>
      </c>
      <c r="BK393">
        <v>21.84</v>
      </c>
      <c r="BS393" s="63">
        <v>0</v>
      </c>
      <c r="CK393" s="158" t="s">
        <v>3947</v>
      </c>
    </row>
    <row r="394" spans="1:89" hidden="1" outlineLevel="1">
      <c r="A394" t="s">
        <v>2300</v>
      </c>
      <c r="B394" s="8" t="s">
        <v>1697</v>
      </c>
      <c r="C394" s="1">
        <f t="shared" si="110"/>
        <v>2692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 t="shared" si="111"/>
        <v>5</v>
      </c>
      <c r="G394" s="1">
        <f t="shared" si="112"/>
        <v>633</v>
      </c>
      <c r="H394" s="2">
        <f t="shared" si="113"/>
        <v>0.23514115898959881</v>
      </c>
      <c r="I394" s="6"/>
      <c r="J394" s="2">
        <f t="shared" si="114"/>
        <v>0.34918276374442792</v>
      </c>
      <c r="K394" s="2">
        <f t="shared" si="115"/>
        <v>0.58432392273402678</v>
      </c>
      <c r="L394" s="2">
        <f t="shared" si="116"/>
        <v>2.6002971768202079E-3</v>
      </c>
      <c r="M394" s="2">
        <f t="shared" si="117"/>
        <v>6.3893016344725093E-2</v>
      </c>
      <c r="N394" s="63">
        <v>940</v>
      </c>
      <c r="O394" s="63">
        <v>1573</v>
      </c>
      <c r="P394" s="63">
        <v>7</v>
      </c>
      <c r="Q394" s="63">
        <v>134</v>
      </c>
      <c r="R394" s="63">
        <v>36</v>
      </c>
      <c r="S394" s="63">
        <v>2</v>
      </c>
      <c r="T394" s="67"/>
      <c r="U394" s="63"/>
      <c r="V394" s="63"/>
      <c r="W394" s="63">
        <f t="shared" si="121"/>
        <v>0</v>
      </c>
      <c r="X394" s="63"/>
      <c r="Y394" s="63"/>
      <c r="Z394" s="63"/>
      <c r="AA394" s="63"/>
      <c r="AB394" s="63"/>
      <c r="AE394" s="8">
        <v>0</v>
      </c>
      <c r="AT394" t="str">
        <f t="shared" si="118"/>
        <v>Houlton</v>
      </c>
      <c r="AU394" t="s">
        <v>2830</v>
      </c>
      <c r="AV394">
        <v>2</v>
      </c>
      <c r="AX394" s="114">
        <v>23</v>
      </c>
      <c r="AY394" s="116">
        <v>3</v>
      </c>
      <c r="AZ394" s="116">
        <v>150</v>
      </c>
      <c r="BA394" s="120">
        <v>33980</v>
      </c>
      <c r="BB394" s="120">
        <f t="shared" si="119"/>
        <v>23003</v>
      </c>
      <c r="BC394" t="s">
        <v>1472</v>
      </c>
      <c r="BD394">
        <f t="shared" si="120"/>
        <v>2333980</v>
      </c>
      <c r="BE394" s="1">
        <v>80</v>
      </c>
      <c r="BI394">
        <v>36.76</v>
      </c>
      <c r="BJ394">
        <v>0.01</v>
      </c>
      <c r="BK394">
        <v>36.75</v>
      </c>
      <c r="BS394" s="63">
        <v>0</v>
      </c>
      <c r="CK394" s="1" t="s">
        <v>3948</v>
      </c>
    </row>
    <row r="395" spans="1:89" hidden="1" outlineLevel="1">
      <c r="A395" t="s">
        <v>1882</v>
      </c>
      <c r="B395" s="8" t="s">
        <v>1697</v>
      </c>
      <c r="C395" s="1">
        <f t="shared" si="110"/>
        <v>674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 t="shared" si="111"/>
        <v>5</v>
      </c>
      <c r="G395" s="1">
        <f t="shared" si="112"/>
        <v>139</v>
      </c>
      <c r="H395" s="2">
        <f t="shared" si="113"/>
        <v>0.20623145400593471</v>
      </c>
      <c r="I395" s="6"/>
      <c r="J395" s="2">
        <f t="shared" si="114"/>
        <v>0.36795252225519287</v>
      </c>
      <c r="K395" s="2">
        <f t="shared" si="115"/>
        <v>0.5741839762611276</v>
      </c>
      <c r="L395" s="2">
        <f t="shared" si="116"/>
        <v>5.9347181008902079E-3</v>
      </c>
      <c r="M395" s="2">
        <f t="shared" si="117"/>
        <v>5.1928783382789265E-2</v>
      </c>
      <c r="N395" s="63">
        <v>248</v>
      </c>
      <c r="O395" s="63">
        <v>387</v>
      </c>
      <c r="P395" s="63">
        <v>4</v>
      </c>
      <c r="Q395" s="63">
        <v>28</v>
      </c>
      <c r="R395" s="63">
        <v>6</v>
      </c>
      <c r="S395" s="63">
        <v>1</v>
      </c>
      <c r="T395" s="67"/>
      <c r="U395" s="63"/>
      <c r="V395" s="63"/>
      <c r="W395" s="63">
        <f t="shared" si="121"/>
        <v>0</v>
      </c>
      <c r="X395" s="63"/>
      <c r="Y395" s="63"/>
      <c r="Z395" s="63"/>
      <c r="AA395" s="63"/>
      <c r="AB395" s="63"/>
      <c r="AE395" s="8">
        <v>0</v>
      </c>
      <c r="AT395" t="str">
        <f t="shared" si="118"/>
        <v>Howland</v>
      </c>
      <c r="AU395" t="s">
        <v>2481</v>
      </c>
      <c r="AV395">
        <v>2</v>
      </c>
      <c r="AX395" s="114">
        <v>23</v>
      </c>
      <c r="AY395" s="116">
        <v>19</v>
      </c>
      <c r="AZ395" s="116">
        <v>155</v>
      </c>
      <c r="BA395" s="120">
        <v>34190</v>
      </c>
      <c r="BB395" s="120">
        <f t="shared" si="119"/>
        <v>23019</v>
      </c>
      <c r="BC395" t="s">
        <v>1472</v>
      </c>
      <c r="BD395">
        <f t="shared" si="120"/>
        <v>2334190</v>
      </c>
      <c r="BE395" s="1">
        <v>24</v>
      </c>
      <c r="BI395">
        <v>35.340000000000003</v>
      </c>
      <c r="BJ395">
        <v>0.7</v>
      </c>
      <c r="BK395">
        <v>34.65</v>
      </c>
      <c r="BS395" s="63">
        <v>0</v>
      </c>
      <c r="CK395" s="1" t="s">
        <v>3949</v>
      </c>
    </row>
    <row r="396" spans="1:89" hidden="1" outlineLevel="1">
      <c r="A396" t="s">
        <v>2101</v>
      </c>
      <c r="B396" s="8" t="s">
        <v>1697</v>
      </c>
      <c r="C396" s="1">
        <f t="shared" si="110"/>
        <v>735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 t="shared" si="111"/>
        <v>5</v>
      </c>
      <c r="G396" s="1">
        <f t="shared" si="112"/>
        <v>296</v>
      </c>
      <c r="H396" s="2">
        <f t="shared" si="113"/>
        <v>0.40272108843537413</v>
      </c>
      <c r="I396" s="6"/>
      <c r="J396" s="2">
        <f t="shared" si="114"/>
        <v>0.2639455782312925</v>
      </c>
      <c r="K396" s="2">
        <f t="shared" si="115"/>
        <v>0.66666666666666663</v>
      </c>
      <c r="L396" s="2">
        <f t="shared" si="116"/>
        <v>1.3605442176870747E-3</v>
      </c>
      <c r="M396" s="2">
        <f t="shared" si="117"/>
        <v>6.8027210884353803E-2</v>
      </c>
      <c r="N396" s="63">
        <v>194</v>
      </c>
      <c r="O396" s="63">
        <v>490</v>
      </c>
      <c r="P396" s="63">
        <v>1</v>
      </c>
      <c r="Q396" s="63">
        <v>38</v>
      </c>
      <c r="R396" s="63">
        <v>12</v>
      </c>
      <c r="S396" s="63">
        <v>0</v>
      </c>
      <c r="T396" s="67"/>
      <c r="U396" s="63"/>
      <c r="V396" s="63"/>
      <c r="W396" s="63">
        <f t="shared" si="121"/>
        <v>0</v>
      </c>
      <c r="X396" s="63"/>
      <c r="Y396" s="63"/>
      <c r="Z396" s="63"/>
      <c r="AA396" s="63"/>
      <c r="AB396" s="63"/>
      <c r="AE396" s="8">
        <v>0</v>
      </c>
      <c r="AT396" t="str">
        <f t="shared" si="118"/>
        <v>Hudson</v>
      </c>
      <c r="AU396" t="s">
        <v>2481</v>
      </c>
      <c r="AV396">
        <v>2</v>
      </c>
      <c r="AX396" s="114">
        <v>23</v>
      </c>
      <c r="AY396" s="116">
        <v>19</v>
      </c>
      <c r="AZ396" s="116">
        <v>160</v>
      </c>
      <c r="BA396" s="120">
        <v>34365</v>
      </c>
      <c r="BB396" s="120">
        <f t="shared" si="119"/>
        <v>23019</v>
      </c>
      <c r="BC396" t="s">
        <v>1472</v>
      </c>
      <c r="BD396">
        <f t="shared" si="120"/>
        <v>2334365</v>
      </c>
      <c r="BE396" s="1">
        <v>23</v>
      </c>
      <c r="BI396">
        <v>40.19</v>
      </c>
      <c r="BJ396">
        <v>2.38</v>
      </c>
      <c r="BK396">
        <v>37.81</v>
      </c>
      <c r="BS396" s="63">
        <v>0</v>
      </c>
      <c r="CK396" s="1" t="s">
        <v>3950</v>
      </c>
    </row>
    <row r="397" spans="1:89" hidden="1" outlineLevel="1">
      <c r="A397" t="s">
        <v>2583</v>
      </c>
      <c r="B397" s="8" t="s">
        <v>1697</v>
      </c>
      <c r="C397" s="1">
        <f t="shared" si="110"/>
        <v>257</v>
      </c>
      <c r="D397" s="5">
        <f>IF(N397&gt;0, RANK(N397,(N397:P397,Q397:AE397)),0)</f>
        <v>1</v>
      </c>
      <c r="E397" s="5">
        <f>IF(O397&gt;0,RANK(O397,(N397:P397,Q397:AE397)),0)</f>
        <v>2</v>
      </c>
      <c r="F397" s="5">
        <f t="shared" si="111"/>
        <v>0</v>
      </c>
      <c r="G397" s="1">
        <f t="shared" si="112"/>
        <v>125</v>
      </c>
      <c r="H397" s="2">
        <f t="shared" si="113"/>
        <v>0.48638132295719844</v>
      </c>
      <c r="I397" s="6"/>
      <c r="J397" s="2">
        <f t="shared" si="114"/>
        <v>0.71595330739299612</v>
      </c>
      <c r="K397" s="2">
        <f t="shared" si="115"/>
        <v>0.22957198443579765</v>
      </c>
      <c r="L397" s="2">
        <f t="shared" si="116"/>
        <v>0</v>
      </c>
      <c r="M397" s="2">
        <f t="shared" si="117"/>
        <v>5.4474708171206226E-2</v>
      </c>
      <c r="N397" s="63">
        <v>184</v>
      </c>
      <c r="O397" s="63">
        <v>59</v>
      </c>
      <c r="P397" s="63">
        <v>0</v>
      </c>
      <c r="Q397" s="63">
        <v>13</v>
      </c>
      <c r="R397" s="63">
        <v>1</v>
      </c>
      <c r="S397" s="63">
        <v>0</v>
      </c>
      <c r="T397" s="67"/>
      <c r="U397" s="63"/>
      <c r="V397" s="63"/>
      <c r="W397" s="63">
        <f t="shared" si="121"/>
        <v>0</v>
      </c>
      <c r="X397" s="63"/>
      <c r="Y397" s="63"/>
      <c r="Z397" s="63"/>
      <c r="AA397" s="63"/>
      <c r="AB397" s="63"/>
      <c r="AE397" s="8">
        <v>0</v>
      </c>
      <c r="AT397" t="str">
        <f t="shared" si="118"/>
        <v>Indian Township</v>
      </c>
      <c r="AU397" t="s">
        <v>692</v>
      </c>
      <c r="AV397">
        <v>2</v>
      </c>
      <c r="AX397" s="114">
        <v>23</v>
      </c>
      <c r="AY397" s="116">
        <v>29</v>
      </c>
      <c r="BA397" s="120">
        <v>34500</v>
      </c>
      <c r="BB397" s="120">
        <f t="shared" si="119"/>
        <v>23029</v>
      </c>
      <c r="BC397" t="s">
        <v>3165</v>
      </c>
      <c r="BD397">
        <f t="shared" si="120"/>
        <v>2334500</v>
      </c>
      <c r="BE397" s="1">
        <v>24</v>
      </c>
      <c r="BS397" s="63">
        <v>0</v>
      </c>
      <c r="CK397" s="159" t="s">
        <v>3951</v>
      </c>
    </row>
    <row r="398" spans="1:89" hidden="1" outlineLevel="1">
      <c r="A398" s="34" t="s">
        <v>104</v>
      </c>
      <c r="B398" s="8" t="s">
        <v>1697</v>
      </c>
      <c r="C398" s="1">
        <f t="shared" si="110"/>
        <v>0</v>
      </c>
      <c r="D398" s="5">
        <f>IF(N398&gt;0, RANK(N398,(N398:P398,Q398:AE398)),0)</f>
        <v>0</v>
      </c>
      <c r="E398" s="5">
        <f>IF(O398&gt;0,RANK(O398,(N398:P398,Q398:AE398)),0)</f>
        <v>0</v>
      </c>
      <c r="F398" s="5">
        <f t="shared" si="111"/>
        <v>0</v>
      </c>
      <c r="G398" s="1">
        <f t="shared" si="112"/>
        <v>0</v>
      </c>
      <c r="H398" s="2">
        <f t="shared" si="113"/>
        <v>0</v>
      </c>
      <c r="I398" s="6"/>
      <c r="J398" s="2" t="str">
        <f t="shared" si="114"/>
        <v>-</v>
      </c>
      <c r="K398" s="2" t="str">
        <f t="shared" si="115"/>
        <v>-</v>
      </c>
      <c r="L398" s="2" t="str">
        <f t="shared" si="116"/>
        <v>-</v>
      </c>
      <c r="M398" s="2" t="str">
        <f t="shared" si="117"/>
        <v>-</v>
      </c>
      <c r="N398" s="63"/>
      <c r="O398" s="63"/>
      <c r="P398" s="63"/>
      <c r="Q398" s="63"/>
      <c r="R398" s="63"/>
      <c r="S398" s="63"/>
      <c r="T398" s="67"/>
      <c r="U398" s="63"/>
      <c r="V398" s="63"/>
      <c r="W398" s="63">
        <f t="shared" si="121"/>
        <v>0</v>
      </c>
      <c r="X398" s="63"/>
      <c r="Y398" s="63"/>
      <c r="Z398" s="63"/>
      <c r="AA398" s="63"/>
      <c r="AB398" s="63"/>
      <c r="AT398" t="str">
        <f t="shared" si="118"/>
        <v>Indian Purchase T3 T4</v>
      </c>
      <c r="AU398" t="s">
        <v>2481</v>
      </c>
      <c r="AV398">
        <v>2</v>
      </c>
      <c r="AX398" s="114">
        <v>23</v>
      </c>
      <c r="AY398" s="116">
        <v>19</v>
      </c>
      <c r="BA398" s="120">
        <v>34450</v>
      </c>
      <c r="BB398" s="120">
        <f t="shared" si="119"/>
        <v>23019</v>
      </c>
      <c r="BC398" t="s">
        <v>957</v>
      </c>
      <c r="BD398">
        <f t="shared" si="120"/>
        <v>2334450</v>
      </c>
      <c r="BS398" s="63"/>
      <c r="CK398" s="1"/>
    </row>
    <row r="399" spans="1:89" hidden="1" outlineLevel="1">
      <c r="A399" t="s">
        <v>1969</v>
      </c>
      <c r="B399" s="8" t="s">
        <v>1697</v>
      </c>
      <c r="C399" s="1">
        <f t="shared" si="110"/>
        <v>459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 t="shared" si="111"/>
        <v>0</v>
      </c>
      <c r="G399" s="1">
        <f t="shared" si="112"/>
        <v>45</v>
      </c>
      <c r="H399" s="2">
        <f t="shared" si="113"/>
        <v>9.8039215686274508E-2</v>
      </c>
      <c r="I399" s="6"/>
      <c r="J399" s="2">
        <f t="shared" si="114"/>
        <v>0.41176470588235292</v>
      </c>
      <c r="K399" s="2">
        <f t="shared" si="115"/>
        <v>0.50980392156862742</v>
      </c>
      <c r="L399" s="2">
        <f t="shared" si="116"/>
        <v>0</v>
      </c>
      <c r="M399" s="2">
        <f t="shared" si="117"/>
        <v>7.8431372549019662E-2</v>
      </c>
      <c r="N399" s="63">
        <v>189</v>
      </c>
      <c r="O399" s="63">
        <v>234</v>
      </c>
      <c r="P399" s="63">
        <v>0</v>
      </c>
      <c r="Q399" s="63">
        <v>28</v>
      </c>
      <c r="R399" s="63">
        <v>8</v>
      </c>
      <c r="S399" s="63">
        <v>0</v>
      </c>
      <c r="T399" s="67"/>
      <c r="U399" s="63"/>
      <c r="V399" s="63"/>
      <c r="W399" s="63">
        <f t="shared" si="121"/>
        <v>0</v>
      </c>
      <c r="X399" s="63"/>
      <c r="Y399" s="63"/>
      <c r="Z399" s="63"/>
      <c r="AA399" s="63"/>
      <c r="AB399" s="63"/>
      <c r="AE399" s="8">
        <v>0</v>
      </c>
      <c r="AT399" t="str">
        <f t="shared" si="118"/>
        <v>Industry</v>
      </c>
      <c r="AU399" t="s">
        <v>1138</v>
      </c>
      <c r="AV399">
        <v>2</v>
      </c>
      <c r="AX399" s="114">
        <v>23</v>
      </c>
      <c r="AY399" s="116">
        <v>7</v>
      </c>
      <c r="AZ399" s="116">
        <v>40</v>
      </c>
      <c r="BA399" s="120">
        <v>34820</v>
      </c>
      <c r="BB399" s="120">
        <f t="shared" si="119"/>
        <v>23007</v>
      </c>
      <c r="BC399" t="s">
        <v>1472</v>
      </c>
      <c r="BD399">
        <f t="shared" si="120"/>
        <v>2334820</v>
      </c>
      <c r="BE399" s="1">
        <v>11</v>
      </c>
      <c r="BI399">
        <v>31.2</v>
      </c>
      <c r="BJ399">
        <v>1.23</v>
      </c>
      <c r="BK399">
        <v>29.98</v>
      </c>
      <c r="BS399" s="63">
        <v>0</v>
      </c>
      <c r="CK399" s="1" t="s">
        <v>3952</v>
      </c>
    </row>
    <row r="400" spans="1:89" hidden="1" outlineLevel="1">
      <c r="A400" t="s">
        <v>2419</v>
      </c>
      <c r="B400" s="8" t="s">
        <v>1697</v>
      </c>
      <c r="C400" s="1">
        <f t="shared" si="110"/>
        <v>399</v>
      </c>
      <c r="D400" s="5">
        <f>IF(N400&gt;0, RANK(N400,(N400:P400,Q400:AE400)),0)</f>
        <v>2</v>
      </c>
      <c r="E400" s="5">
        <f>IF(O400&gt;0,RANK(O400,(N400:P400,Q400:AE400)),0)</f>
        <v>1</v>
      </c>
      <c r="F400" s="5">
        <f t="shared" si="111"/>
        <v>0</v>
      </c>
      <c r="G400" s="1">
        <f t="shared" si="112"/>
        <v>126</v>
      </c>
      <c r="H400" s="2">
        <f t="shared" si="113"/>
        <v>0.31578947368421051</v>
      </c>
      <c r="I400" s="6"/>
      <c r="J400" s="2">
        <f t="shared" si="114"/>
        <v>0.30827067669172931</v>
      </c>
      <c r="K400" s="2">
        <f t="shared" si="115"/>
        <v>0.62406015037593987</v>
      </c>
      <c r="L400" s="2">
        <f t="shared" si="116"/>
        <v>0</v>
      </c>
      <c r="M400" s="2">
        <f t="shared" si="117"/>
        <v>6.7669172932330768E-2</v>
      </c>
      <c r="N400" s="63">
        <v>123</v>
      </c>
      <c r="O400" s="63">
        <v>249</v>
      </c>
      <c r="P400" s="63">
        <v>0</v>
      </c>
      <c r="Q400" s="63">
        <v>16</v>
      </c>
      <c r="R400" s="63">
        <v>11</v>
      </c>
      <c r="S400" s="63">
        <v>0</v>
      </c>
      <c r="T400" s="67"/>
      <c r="U400" s="63"/>
      <c r="V400" s="63"/>
      <c r="W400" s="63">
        <f t="shared" si="121"/>
        <v>0</v>
      </c>
      <c r="X400" s="63"/>
      <c r="Y400" s="63"/>
      <c r="Z400" s="63"/>
      <c r="AA400" s="63"/>
      <c r="AB400" s="63"/>
      <c r="AE400" s="8">
        <v>0</v>
      </c>
      <c r="AT400" t="str">
        <f t="shared" si="118"/>
        <v>Island Falls</v>
      </c>
      <c r="AU400" t="s">
        <v>2830</v>
      </c>
      <c r="AV400">
        <v>2</v>
      </c>
      <c r="AX400" s="114">
        <v>23</v>
      </c>
      <c r="AY400" s="116">
        <v>3</v>
      </c>
      <c r="AZ400" s="116">
        <v>155</v>
      </c>
      <c r="BA400" s="120">
        <v>35065</v>
      </c>
      <c r="BB400" s="120">
        <f t="shared" si="119"/>
        <v>23003</v>
      </c>
      <c r="BC400" t="s">
        <v>1472</v>
      </c>
      <c r="BD400">
        <f t="shared" si="120"/>
        <v>2335065</v>
      </c>
      <c r="BE400" s="1">
        <v>20</v>
      </c>
      <c r="BI400">
        <v>40.47</v>
      </c>
      <c r="BJ400">
        <v>4.59</v>
      </c>
      <c r="BK400">
        <v>35.880000000000003</v>
      </c>
      <c r="BS400" s="63">
        <v>0</v>
      </c>
      <c r="CK400" s="1" t="s">
        <v>3953</v>
      </c>
    </row>
    <row r="401" spans="1:89" hidden="1" outlineLevel="1">
      <c r="A401" t="s">
        <v>930</v>
      </c>
      <c r="B401" s="8" t="s">
        <v>1697</v>
      </c>
      <c r="C401" s="1">
        <f t="shared" si="110"/>
        <v>63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 t="shared" si="111"/>
        <v>0</v>
      </c>
      <c r="G401" s="1">
        <f t="shared" si="112"/>
        <v>23</v>
      </c>
      <c r="H401" s="2">
        <f t="shared" si="113"/>
        <v>0.36507936507936506</v>
      </c>
      <c r="I401" s="6"/>
      <c r="J401" s="2">
        <f t="shared" si="114"/>
        <v>0.60317460317460314</v>
      </c>
      <c r="K401" s="2">
        <f t="shared" si="115"/>
        <v>0.23809523809523808</v>
      </c>
      <c r="L401" s="2">
        <f t="shared" si="116"/>
        <v>0</v>
      </c>
      <c r="M401" s="2">
        <f t="shared" si="117"/>
        <v>0.15873015873015878</v>
      </c>
      <c r="N401" s="63">
        <v>38</v>
      </c>
      <c r="O401" s="63">
        <v>15</v>
      </c>
      <c r="P401" s="63">
        <v>0</v>
      </c>
      <c r="Q401" s="63">
        <v>3</v>
      </c>
      <c r="R401" s="63">
        <v>7</v>
      </c>
      <c r="S401" s="63">
        <v>0</v>
      </c>
      <c r="T401" s="67"/>
      <c r="U401" s="63"/>
      <c r="V401" s="63"/>
      <c r="W401" s="63">
        <f t="shared" si="121"/>
        <v>0</v>
      </c>
      <c r="X401" s="63"/>
      <c r="Y401" s="63"/>
      <c r="Z401" s="63"/>
      <c r="AA401" s="63"/>
      <c r="AB401" s="63"/>
      <c r="AE401" s="8">
        <v>0</v>
      </c>
      <c r="AT401" t="str">
        <f t="shared" si="118"/>
        <v>Isle Au Haut</v>
      </c>
      <c r="AU401" t="s">
        <v>1729</v>
      </c>
      <c r="AV401">
        <v>1</v>
      </c>
      <c r="AX401" s="114">
        <v>23</v>
      </c>
      <c r="AY401" s="116">
        <v>13</v>
      </c>
      <c r="AZ401" s="116">
        <v>30</v>
      </c>
      <c r="BA401" s="120">
        <v>35135</v>
      </c>
      <c r="BB401" s="120">
        <f t="shared" si="119"/>
        <v>23013</v>
      </c>
      <c r="BC401" t="s">
        <v>1472</v>
      </c>
      <c r="BD401">
        <f t="shared" si="120"/>
        <v>2335135</v>
      </c>
      <c r="BE401" s="1">
        <v>3</v>
      </c>
      <c r="BI401">
        <v>109.62</v>
      </c>
      <c r="BJ401">
        <v>96.94</v>
      </c>
      <c r="BK401">
        <v>12.67</v>
      </c>
      <c r="BS401" s="63">
        <v>0</v>
      </c>
      <c r="CK401" s="1" t="s">
        <v>3954</v>
      </c>
    </row>
    <row r="402" spans="1:89" hidden="1" outlineLevel="1">
      <c r="A402" t="s">
        <v>1459</v>
      </c>
      <c r="B402" s="8" t="s">
        <v>1697</v>
      </c>
      <c r="C402" s="1">
        <f t="shared" si="110"/>
        <v>419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 t="shared" si="111"/>
        <v>0</v>
      </c>
      <c r="G402" s="1">
        <f t="shared" si="112"/>
        <v>164</v>
      </c>
      <c r="H402" s="2">
        <f t="shared" si="113"/>
        <v>0.39140811455847258</v>
      </c>
      <c r="I402" s="6"/>
      <c r="J402" s="2">
        <f t="shared" si="114"/>
        <v>0.66825775656324582</v>
      </c>
      <c r="K402" s="2">
        <f t="shared" si="115"/>
        <v>0.27684964200477324</v>
      </c>
      <c r="L402" s="2">
        <f t="shared" si="116"/>
        <v>0</v>
      </c>
      <c r="M402" s="2">
        <f t="shared" si="117"/>
        <v>5.4892601431980936E-2</v>
      </c>
      <c r="N402" s="63">
        <v>280</v>
      </c>
      <c r="O402" s="63">
        <v>116</v>
      </c>
      <c r="P402" s="63">
        <v>0</v>
      </c>
      <c r="Q402" s="63">
        <v>14</v>
      </c>
      <c r="R402" s="63">
        <v>9</v>
      </c>
      <c r="S402" s="63">
        <v>0</v>
      </c>
      <c r="T402" s="67"/>
      <c r="U402" s="63"/>
      <c r="V402" s="63"/>
      <c r="W402" s="63">
        <f t="shared" si="121"/>
        <v>0</v>
      </c>
      <c r="X402" s="63"/>
      <c r="Y402" s="63"/>
      <c r="Z402" s="63"/>
      <c r="AA402" s="63"/>
      <c r="AB402" s="63"/>
      <c r="AE402" s="8">
        <v>0</v>
      </c>
      <c r="AT402" t="str">
        <f t="shared" si="118"/>
        <v>Islesboro</v>
      </c>
      <c r="AU402" t="s">
        <v>217</v>
      </c>
      <c r="AV402">
        <v>2</v>
      </c>
      <c r="AX402" s="114">
        <v>23</v>
      </c>
      <c r="AY402" s="116">
        <v>27</v>
      </c>
      <c r="AZ402" s="116">
        <v>35</v>
      </c>
      <c r="BA402" s="120">
        <v>35240</v>
      </c>
      <c r="BB402" s="120">
        <f t="shared" si="119"/>
        <v>23027</v>
      </c>
      <c r="BC402" t="s">
        <v>1472</v>
      </c>
      <c r="BD402">
        <f t="shared" si="120"/>
        <v>2335240</v>
      </c>
      <c r="BE402" s="1">
        <v>11</v>
      </c>
      <c r="BI402">
        <v>68.930000000000007</v>
      </c>
      <c r="BJ402">
        <v>54.67</v>
      </c>
      <c r="BK402">
        <v>14.25</v>
      </c>
      <c r="BS402" s="63">
        <v>0</v>
      </c>
      <c r="CK402" s="1" t="s">
        <v>3955</v>
      </c>
    </row>
    <row r="403" spans="1:89" hidden="1" outlineLevel="1">
      <c r="A403" t="s">
        <v>1274</v>
      </c>
      <c r="B403" s="8" t="s">
        <v>1697</v>
      </c>
      <c r="C403" s="1">
        <f t="shared" si="110"/>
        <v>525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 t="shared" si="111"/>
        <v>0</v>
      </c>
      <c r="G403" s="1">
        <f t="shared" si="112"/>
        <v>255</v>
      </c>
      <c r="H403" s="2">
        <f t="shared" si="113"/>
        <v>0.48571428571428571</v>
      </c>
      <c r="I403" s="6"/>
      <c r="J403" s="2">
        <f t="shared" si="114"/>
        <v>0.23047619047619047</v>
      </c>
      <c r="K403" s="2">
        <f t="shared" si="115"/>
        <v>0.71619047619047616</v>
      </c>
      <c r="L403" s="2">
        <f t="shared" si="116"/>
        <v>0</v>
      </c>
      <c r="M403" s="2">
        <f t="shared" si="117"/>
        <v>5.3333333333333344E-2</v>
      </c>
      <c r="N403" s="63">
        <v>121</v>
      </c>
      <c r="O403" s="63">
        <v>376</v>
      </c>
      <c r="P403" s="63">
        <v>0</v>
      </c>
      <c r="Q403" s="63">
        <v>20</v>
      </c>
      <c r="R403" s="63">
        <v>5</v>
      </c>
      <c r="S403" s="63">
        <v>3</v>
      </c>
      <c r="T403" s="67"/>
      <c r="U403" s="63"/>
      <c r="V403" s="63"/>
      <c r="W403" s="63">
        <f t="shared" si="121"/>
        <v>0</v>
      </c>
      <c r="X403" s="63"/>
      <c r="Y403" s="63"/>
      <c r="Z403" s="63"/>
      <c r="AA403" s="63"/>
      <c r="AB403" s="63"/>
      <c r="AE403" s="8">
        <v>0</v>
      </c>
      <c r="AT403" t="str">
        <f t="shared" si="118"/>
        <v>Jackman</v>
      </c>
      <c r="AU403" t="s">
        <v>1787</v>
      </c>
      <c r="AV403">
        <v>2</v>
      </c>
      <c r="AX403" s="114">
        <v>23</v>
      </c>
      <c r="AY403" s="116">
        <v>25</v>
      </c>
      <c r="AZ403" s="116">
        <v>80</v>
      </c>
      <c r="BA403" s="120">
        <v>35345</v>
      </c>
      <c r="BB403" s="120">
        <f t="shared" si="119"/>
        <v>23025</v>
      </c>
      <c r="BC403" t="s">
        <v>1472</v>
      </c>
      <c r="BD403">
        <f t="shared" si="120"/>
        <v>2335345</v>
      </c>
      <c r="BE403" s="1">
        <v>19</v>
      </c>
      <c r="BI403">
        <v>42.2</v>
      </c>
      <c r="BJ403">
        <v>1.17</v>
      </c>
      <c r="BK403">
        <v>41.03</v>
      </c>
      <c r="BS403" s="63">
        <v>0</v>
      </c>
      <c r="CK403" s="1" t="s">
        <v>3956</v>
      </c>
    </row>
    <row r="404" spans="1:89" hidden="1" outlineLevel="1">
      <c r="A404" t="s">
        <v>2921</v>
      </c>
      <c r="B404" s="8" t="s">
        <v>1697</v>
      </c>
      <c r="C404" s="1">
        <f t="shared" si="110"/>
        <v>321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 t="shared" si="111"/>
        <v>5</v>
      </c>
      <c r="G404" s="1">
        <f t="shared" si="112"/>
        <v>85</v>
      </c>
      <c r="H404" s="2">
        <f t="shared" si="113"/>
        <v>0.26479750778816197</v>
      </c>
      <c r="I404" s="6"/>
      <c r="J404" s="2">
        <f t="shared" si="114"/>
        <v>0.32398753894080995</v>
      </c>
      <c r="K404" s="2">
        <f t="shared" si="115"/>
        <v>0.58878504672897192</v>
      </c>
      <c r="L404" s="2">
        <f t="shared" si="116"/>
        <v>6.2305295950155761E-3</v>
      </c>
      <c r="M404" s="2">
        <f t="shared" si="117"/>
        <v>8.0996884735202501E-2</v>
      </c>
      <c r="N404" s="63">
        <v>104</v>
      </c>
      <c r="O404" s="63">
        <v>189</v>
      </c>
      <c r="P404" s="63">
        <v>2</v>
      </c>
      <c r="Q404" s="63">
        <v>20</v>
      </c>
      <c r="R404" s="63">
        <v>6</v>
      </c>
      <c r="S404" s="63">
        <v>0</v>
      </c>
      <c r="T404" s="67"/>
      <c r="U404" s="63"/>
      <c r="V404" s="63"/>
      <c r="W404" s="63">
        <f t="shared" si="121"/>
        <v>0</v>
      </c>
      <c r="X404" s="63"/>
      <c r="Y404" s="63"/>
      <c r="Z404" s="63"/>
      <c r="AA404" s="63"/>
      <c r="AB404" s="63"/>
      <c r="AE404" s="8">
        <v>0</v>
      </c>
      <c r="AT404" t="str">
        <f t="shared" si="118"/>
        <v>Jackson</v>
      </c>
      <c r="AU404" t="s">
        <v>217</v>
      </c>
      <c r="AV404">
        <v>2</v>
      </c>
      <c r="AX404" s="114">
        <v>23</v>
      </c>
      <c r="AY404" s="116">
        <v>27</v>
      </c>
      <c r="AZ404" s="116">
        <v>40</v>
      </c>
      <c r="BA404" s="120">
        <v>35450</v>
      </c>
      <c r="BB404" s="120">
        <f t="shared" si="119"/>
        <v>23027</v>
      </c>
      <c r="BC404" t="s">
        <v>1472</v>
      </c>
      <c r="BD404">
        <f t="shared" si="120"/>
        <v>2335450</v>
      </c>
      <c r="BE404" s="1">
        <v>13</v>
      </c>
      <c r="BI404">
        <v>25.32</v>
      </c>
      <c r="BJ404">
        <v>0.12</v>
      </c>
      <c r="BK404">
        <v>25.21</v>
      </c>
      <c r="BS404" s="63">
        <v>0</v>
      </c>
      <c r="CK404" s="1" t="s">
        <v>3957</v>
      </c>
    </row>
    <row r="405" spans="1:89" hidden="1" outlineLevel="1">
      <c r="A405" t="s">
        <v>1924</v>
      </c>
      <c r="B405" s="8" t="s">
        <v>1697</v>
      </c>
      <c r="C405" s="1">
        <f t="shared" si="110"/>
        <v>2502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 t="shared" si="111"/>
        <v>5</v>
      </c>
      <c r="G405" s="1">
        <f t="shared" si="112"/>
        <v>41</v>
      </c>
      <c r="H405" s="2">
        <f t="shared" si="113"/>
        <v>1.6386890487609912E-2</v>
      </c>
      <c r="I405" s="6"/>
      <c r="J405" s="2">
        <f t="shared" si="114"/>
        <v>0.45683453237410071</v>
      </c>
      <c r="K405" s="2">
        <f t="shared" si="115"/>
        <v>0.47322142286171065</v>
      </c>
      <c r="L405" s="2">
        <f t="shared" si="116"/>
        <v>1.9984012789768186E-3</v>
      </c>
      <c r="M405" s="2">
        <f t="shared" si="117"/>
        <v>6.794564348521176E-2</v>
      </c>
      <c r="N405" s="63">
        <v>1143</v>
      </c>
      <c r="O405" s="63">
        <v>1184</v>
      </c>
      <c r="P405" s="63">
        <v>5</v>
      </c>
      <c r="Q405" s="63">
        <v>142</v>
      </c>
      <c r="R405" s="63">
        <v>28</v>
      </c>
      <c r="S405" s="63">
        <v>0</v>
      </c>
      <c r="T405" s="67"/>
      <c r="U405" s="63"/>
      <c r="V405" s="63"/>
      <c r="W405" s="63">
        <f t="shared" si="121"/>
        <v>0</v>
      </c>
      <c r="X405" s="63"/>
      <c r="Y405" s="63"/>
      <c r="Z405" s="63"/>
      <c r="AA405" s="63"/>
      <c r="AB405" s="63"/>
      <c r="AE405" s="8">
        <v>0</v>
      </c>
      <c r="AT405" t="str">
        <f t="shared" si="118"/>
        <v>Jay</v>
      </c>
      <c r="AU405" t="s">
        <v>1138</v>
      </c>
      <c r="AV405">
        <v>2</v>
      </c>
      <c r="AX405" s="114">
        <v>23</v>
      </c>
      <c r="AY405" s="116">
        <v>7</v>
      </c>
      <c r="AZ405" s="116">
        <v>45</v>
      </c>
      <c r="BA405" s="120">
        <v>35625</v>
      </c>
      <c r="BB405" s="120">
        <f t="shared" si="119"/>
        <v>23007</v>
      </c>
      <c r="BC405" t="s">
        <v>1472</v>
      </c>
      <c r="BD405">
        <f t="shared" si="120"/>
        <v>2335625</v>
      </c>
      <c r="BE405" s="1">
        <v>98</v>
      </c>
      <c r="BI405">
        <v>49.24</v>
      </c>
      <c r="BJ405">
        <v>0.78</v>
      </c>
      <c r="BK405">
        <v>48.46</v>
      </c>
      <c r="BS405" s="63">
        <v>0</v>
      </c>
      <c r="CK405" s="1" t="s">
        <v>3958</v>
      </c>
    </row>
    <row r="406" spans="1:89" hidden="1" outlineLevel="1">
      <c r="A406" t="s">
        <v>1092</v>
      </c>
      <c r="B406" s="8" t="s">
        <v>1697</v>
      </c>
      <c r="C406" s="1">
        <f t="shared" si="110"/>
        <v>1559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 t="shared" si="111"/>
        <v>5</v>
      </c>
      <c r="G406" s="1">
        <f t="shared" si="112"/>
        <v>326</v>
      </c>
      <c r="H406" s="2">
        <f t="shared" si="113"/>
        <v>0.20910840282232201</v>
      </c>
      <c r="I406" s="6"/>
      <c r="J406" s="2">
        <f t="shared" si="114"/>
        <v>0.35150737652341246</v>
      </c>
      <c r="K406" s="2">
        <f t="shared" si="115"/>
        <v>0.56061577934573448</v>
      </c>
      <c r="L406" s="2">
        <f t="shared" si="116"/>
        <v>3.8486209108402822E-3</v>
      </c>
      <c r="M406" s="2">
        <f t="shared" si="117"/>
        <v>8.4028223220012771E-2</v>
      </c>
      <c r="N406" s="63">
        <v>548</v>
      </c>
      <c r="O406" s="63">
        <v>874</v>
      </c>
      <c r="P406" s="63">
        <v>6</v>
      </c>
      <c r="Q406" s="63">
        <v>88</v>
      </c>
      <c r="R406" s="63">
        <v>40</v>
      </c>
      <c r="S406" s="63">
        <v>3</v>
      </c>
      <c r="T406" s="67"/>
      <c r="U406" s="63"/>
      <c r="V406" s="63"/>
      <c r="W406" s="63">
        <f t="shared" si="121"/>
        <v>0</v>
      </c>
      <c r="X406" s="63"/>
      <c r="Y406" s="63"/>
      <c r="Z406" s="63"/>
      <c r="AA406" s="63"/>
      <c r="AB406" s="63"/>
      <c r="AE406" s="8">
        <v>0</v>
      </c>
      <c r="AT406" t="str">
        <f t="shared" si="118"/>
        <v>Jefferson</v>
      </c>
      <c r="AU406" t="s">
        <v>1597</v>
      </c>
      <c r="AV406">
        <v>1</v>
      </c>
      <c r="AX406" s="114">
        <v>23</v>
      </c>
      <c r="AY406" s="116">
        <v>15</v>
      </c>
      <c r="AZ406" s="116">
        <v>50</v>
      </c>
      <c r="BA406" s="120">
        <v>35695</v>
      </c>
      <c r="BB406" s="120">
        <f t="shared" si="119"/>
        <v>23015</v>
      </c>
      <c r="BC406" t="s">
        <v>1472</v>
      </c>
      <c r="BD406">
        <f t="shared" si="120"/>
        <v>2335695</v>
      </c>
      <c r="BE406" s="1">
        <v>54</v>
      </c>
      <c r="BI406">
        <v>58.64</v>
      </c>
      <c r="BJ406">
        <v>5.96</v>
      </c>
      <c r="BK406">
        <v>52.69</v>
      </c>
      <c r="BS406" s="63">
        <v>0</v>
      </c>
      <c r="CK406" s="1" t="s">
        <v>3959</v>
      </c>
    </row>
    <row r="407" spans="1:89" hidden="1" outlineLevel="1">
      <c r="A407" t="s">
        <v>2369</v>
      </c>
      <c r="B407" s="8" t="s">
        <v>1697</v>
      </c>
      <c r="C407" s="1">
        <f t="shared" si="110"/>
        <v>324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 t="shared" si="111"/>
        <v>5</v>
      </c>
      <c r="G407" s="1">
        <f t="shared" si="112"/>
        <v>58</v>
      </c>
      <c r="H407" s="2">
        <f t="shared" si="113"/>
        <v>0.17901234567901234</v>
      </c>
      <c r="I407" s="6"/>
      <c r="J407" s="2">
        <f t="shared" si="114"/>
        <v>0.36728395061728397</v>
      </c>
      <c r="K407" s="2">
        <f t="shared" si="115"/>
        <v>0.54629629629629628</v>
      </c>
      <c r="L407" s="2">
        <f t="shared" si="116"/>
        <v>6.1728395061728392E-3</v>
      </c>
      <c r="M407" s="2">
        <f t="shared" si="117"/>
        <v>8.0246913580246854E-2</v>
      </c>
      <c r="N407" s="63">
        <v>119</v>
      </c>
      <c r="O407" s="63">
        <v>177</v>
      </c>
      <c r="P407" s="63">
        <v>2</v>
      </c>
      <c r="Q407" s="63">
        <v>23</v>
      </c>
      <c r="R407" s="63">
        <v>3</v>
      </c>
      <c r="S407" s="63">
        <v>0</v>
      </c>
      <c r="T407" s="67"/>
      <c r="U407" s="63"/>
      <c r="V407" s="63"/>
      <c r="W407" s="63">
        <f t="shared" si="121"/>
        <v>0</v>
      </c>
      <c r="X407" s="63"/>
      <c r="Y407" s="63"/>
      <c r="Z407" s="63"/>
      <c r="AA407" s="63"/>
      <c r="AB407" s="63"/>
      <c r="AE407" s="8">
        <v>0</v>
      </c>
      <c r="AT407" t="str">
        <f t="shared" si="118"/>
        <v>Jonesboro</v>
      </c>
      <c r="AU407" t="s">
        <v>692</v>
      </c>
      <c r="AV407">
        <v>2</v>
      </c>
      <c r="AX407" s="114">
        <v>23</v>
      </c>
      <c r="AY407" s="116">
        <v>29</v>
      </c>
      <c r="AZ407" s="116">
        <v>115</v>
      </c>
      <c r="BA407" s="120">
        <v>35905</v>
      </c>
      <c r="BB407" s="120">
        <f t="shared" si="119"/>
        <v>23029</v>
      </c>
      <c r="BC407" t="s">
        <v>1472</v>
      </c>
      <c r="BD407">
        <f t="shared" si="120"/>
        <v>2335905</v>
      </c>
      <c r="BE407" s="1">
        <v>17</v>
      </c>
      <c r="BI407">
        <v>38.43</v>
      </c>
      <c r="BJ407">
        <v>1.75</v>
      </c>
      <c r="BK407">
        <v>36.67</v>
      </c>
      <c r="BS407" s="63">
        <v>0</v>
      </c>
      <c r="CK407" s="1" t="s">
        <v>3960</v>
      </c>
    </row>
    <row r="408" spans="1:89" hidden="1" outlineLevel="1">
      <c r="A408" t="s">
        <v>2525</v>
      </c>
      <c r="B408" s="8" t="s">
        <v>1697</v>
      </c>
      <c r="C408" s="1">
        <f t="shared" si="110"/>
        <v>661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 t="shared" si="111"/>
        <v>0</v>
      </c>
      <c r="G408" s="1">
        <f t="shared" si="112"/>
        <v>137</v>
      </c>
      <c r="H408" s="2">
        <f t="shared" si="113"/>
        <v>0.20726172465960666</v>
      </c>
      <c r="I408" s="6"/>
      <c r="J408" s="2">
        <f t="shared" si="114"/>
        <v>0.36308623298033282</v>
      </c>
      <c r="K408" s="2">
        <f t="shared" si="115"/>
        <v>0.57034795763993951</v>
      </c>
      <c r="L408" s="2">
        <f t="shared" si="116"/>
        <v>0</v>
      </c>
      <c r="M408" s="2">
        <f t="shared" si="117"/>
        <v>6.656580937972767E-2</v>
      </c>
      <c r="N408" s="63">
        <v>240</v>
      </c>
      <c r="O408" s="63">
        <v>377</v>
      </c>
      <c r="P408" s="63">
        <v>0</v>
      </c>
      <c r="Q408" s="63">
        <v>34</v>
      </c>
      <c r="R408" s="63">
        <v>10</v>
      </c>
      <c r="S408" s="63">
        <v>0</v>
      </c>
      <c r="T408" s="67"/>
      <c r="U408" s="63"/>
      <c r="V408" s="63"/>
      <c r="W408" s="63">
        <f t="shared" si="121"/>
        <v>0</v>
      </c>
      <c r="X408" s="63"/>
      <c r="Y408" s="63"/>
      <c r="Z408" s="63"/>
      <c r="AA408" s="63"/>
      <c r="AB408" s="63"/>
      <c r="AE408" s="8">
        <v>0</v>
      </c>
      <c r="AT408" t="str">
        <f t="shared" si="118"/>
        <v>Jonesport</v>
      </c>
      <c r="AU408" t="s">
        <v>692</v>
      </c>
      <c r="AV408">
        <v>2</v>
      </c>
      <c r="AX408" s="114">
        <v>23</v>
      </c>
      <c r="AY408" s="116">
        <v>29</v>
      </c>
      <c r="AZ408" s="116">
        <v>120</v>
      </c>
      <c r="BA408" s="120">
        <v>36010</v>
      </c>
      <c r="BB408" s="120">
        <f t="shared" si="119"/>
        <v>23029</v>
      </c>
      <c r="BC408" t="s">
        <v>1472</v>
      </c>
      <c r="BD408">
        <f t="shared" si="120"/>
        <v>2336010</v>
      </c>
      <c r="BE408" s="1">
        <v>27</v>
      </c>
      <c r="BI408">
        <v>100.67</v>
      </c>
      <c r="BJ408">
        <v>72.16</v>
      </c>
      <c r="BK408">
        <v>28.51</v>
      </c>
      <c r="BS408" s="63">
        <v>0</v>
      </c>
      <c r="CK408" s="1" t="s">
        <v>3961</v>
      </c>
    </row>
    <row r="409" spans="1:89" hidden="1" outlineLevel="1">
      <c r="A409" t="s">
        <v>2421</v>
      </c>
      <c r="B409" s="8" t="s">
        <v>1697</v>
      </c>
      <c r="C409" s="1">
        <f t="shared" si="110"/>
        <v>725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 t="shared" si="111"/>
        <v>0</v>
      </c>
      <c r="G409" s="1">
        <f t="shared" si="112"/>
        <v>259</v>
      </c>
      <c r="H409" s="2">
        <f t="shared" si="113"/>
        <v>0.35724137931034483</v>
      </c>
      <c r="I409" s="6"/>
      <c r="J409" s="2">
        <f t="shared" si="114"/>
        <v>0.27862068965517239</v>
      </c>
      <c r="K409" s="2">
        <f t="shared" si="115"/>
        <v>0.63586206896551722</v>
      </c>
      <c r="L409" s="2">
        <f t="shared" si="116"/>
        <v>0</v>
      </c>
      <c r="M409" s="2">
        <f t="shared" si="117"/>
        <v>8.5517241379310382E-2</v>
      </c>
      <c r="N409" s="63">
        <v>202</v>
      </c>
      <c r="O409" s="63">
        <v>461</v>
      </c>
      <c r="P409" s="63">
        <v>0</v>
      </c>
      <c r="Q409" s="63">
        <v>45</v>
      </c>
      <c r="R409" s="63">
        <v>17</v>
      </c>
      <c r="S409" s="63">
        <v>0</v>
      </c>
      <c r="T409" s="67"/>
      <c r="U409" s="63"/>
      <c r="V409" s="63"/>
      <c r="W409" s="63">
        <f t="shared" si="121"/>
        <v>0</v>
      </c>
      <c r="X409" s="63"/>
      <c r="Y409" s="63"/>
      <c r="Z409" s="63"/>
      <c r="AA409" s="63"/>
      <c r="AB409" s="63"/>
      <c r="AE409" s="8">
        <v>0</v>
      </c>
      <c r="AT409" t="str">
        <f t="shared" si="118"/>
        <v>Kenduskeag</v>
      </c>
      <c r="AU409" t="s">
        <v>2481</v>
      </c>
      <c r="AV409">
        <v>2</v>
      </c>
      <c r="AX409" s="114">
        <v>23</v>
      </c>
      <c r="AY409" s="116">
        <v>19</v>
      </c>
      <c r="AZ409" s="116">
        <v>165</v>
      </c>
      <c r="BA409" s="120">
        <v>36325</v>
      </c>
      <c r="BB409" s="120">
        <f t="shared" si="119"/>
        <v>23019</v>
      </c>
      <c r="BC409" t="s">
        <v>1472</v>
      </c>
      <c r="BD409">
        <f t="shared" si="120"/>
        <v>2336325</v>
      </c>
      <c r="BE409" s="1">
        <v>17</v>
      </c>
      <c r="BI409">
        <v>16.79</v>
      </c>
      <c r="BJ409">
        <v>0</v>
      </c>
      <c r="BK409">
        <v>16.79</v>
      </c>
      <c r="BS409" s="63">
        <v>0</v>
      </c>
      <c r="CK409" s="1" t="s">
        <v>3962</v>
      </c>
    </row>
    <row r="410" spans="1:89" hidden="1" outlineLevel="1">
      <c r="A410" t="s">
        <v>3102</v>
      </c>
      <c r="B410" s="8" t="s">
        <v>1697</v>
      </c>
      <c r="C410" s="1">
        <f t="shared" si="110"/>
        <v>7342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 t="shared" si="111"/>
        <v>0</v>
      </c>
      <c r="G410" s="1">
        <f t="shared" si="112"/>
        <v>1576</v>
      </c>
      <c r="H410" s="2">
        <f t="shared" si="113"/>
        <v>0.21465540724598203</v>
      </c>
      <c r="I410" s="6"/>
      <c r="J410" s="2">
        <f t="shared" si="114"/>
        <v>0.57532007627349491</v>
      </c>
      <c r="K410" s="2">
        <f t="shared" si="115"/>
        <v>0.36066466902751293</v>
      </c>
      <c r="L410" s="2">
        <f t="shared" si="116"/>
        <v>0</v>
      </c>
      <c r="M410" s="2">
        <f t="shared" si="117"/>
        <v>6.4015254698992163E-2</v>
      </c>
      <c r="N410" s="63">
        <v>4224</v>
      </c>
      <c r="O410" s="63">
        <v>2648</v>
      </c>
      <c r="P410" s="63">
        <v>0</v>
      </c>
      <c r="Q410" s="63">
        <v>345</v>
      </c>
      <c r="R410" s="63">
        <v>125</v>
      </c>
      <c r="S410" s="63">
        <v>0</v>
      </c>
      <c r="T410" s="67"/>
      <c r="U410" s="63"/>
      <c r="V410" s="63"/>
      <c r="W410" s="63">
        <f t="shared" si="121"/>
        <v>0</v>
      </c>
      <c r="X410" s="63"/>
      <c r="Y410" s="63"/>
      <c r="Z410" s="63"/>
      <c r="AA410" s="63"/>
      <c r="AB410" s="63"/>
      <c r="AE410" s="8">
        <v>0</v>
      </c>
      <c r="AT410" t="str">
        <f t="shared" si="118"/>
        <v>Kennebunk</v>
      </c>
      <c r="AU410" t="s">
        <v>925</v>
      </c>
      <c r="AV410">
        <v>1</v>
      </c>
      <c r="AX410" s="114">
        <v>23</v>
      </c>
      <c r="AY410" s="116">
        <v>31</v>
      </c>
      <c r="AZ410" s="116">
        <v>55</v>
      </c>
      <c r="BA410" s="120">
        <v>36535</v>
      </c>
      <c r="BB410" s="120">
        <f t="shared" si="119"/>
        <v>23031</v>
      </c>
      <c r="BC410" t="s">
        <v>1472</v>
      </c>
      <c r="BD410">
        <f t="shared" si="120"/>
        <v>2336535</v>
      </c>
      <c r="BE410" s="1">
        <v>308</v>
      </c>
      <c r="BI410">
        <v>35.51</v>
      </c>
      <c r="BJ410">
        <v>0.42</v>
      </c>
      <c r="BK410">
        <v>35.090000000000003</v>
      </c>
      <c r="BS410" s="63">
        <v>0</v>
      </c>
      <c r="CK410" s="1" t="s">
        <v>3963</v>
      </c>
    </row>
    <row r="411" spans="1:89" hidden="1" outlineLevel="1">
      <c r="A411" t="s">
        <v>1408</v>
      </c>
      <c r="B411" s="8" t="s">
        <v>1697</v>
      </c>
      <c r="C411" s="1">
        <f t="shared" si="110"/>
        <v>2403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 t="shared" si="111"/>
        <v>5</v>
      </c>
      <c r="G411" s="1">
        <f t="shared" si="112"/>
        <v>446</v>
      </c>
      <c r="H411" s="2">
        <f t="shared" si="113"/>
        <v>0.1856013316687474</v>
      </c>
      <c r="I411" s="6"/>
      <c r="J411" s="2">
        <f t="shared" si="114"/>
        <v>0.56429463171036209</v>
      </c>
      <c r="K411" s="2">
        <f t="shared" si="115"/>
        <v>0.37869330004161467</v>
      </c>
      <c r="L411" s="2">
        <f t="shared" si="116"/>
        <v>3.7453183520599251E-3</v>
      </c>
      <c r="M411" s="2">
        <f t="shared" si="117"/>
        <v>5.3266749895963313E-2</v>
      </c>
      <c r="N411" s="63">
        <v>1356</v>
      </c>
      <c r="O411" s="63">
        <v>910</v>
      </c>
      <c r="P411" s="63">
        <v>9</v>
      </c>
      <c r="Q411" s="63">
        <v>98</v>
      </c>
      <c r="R411" s="63">
        <v>30</v>
      </c>
      <c r="S411" s="63">
        <v>0</v>
      </c>
      <c r="T411" s="67"/>
      <c r="U411" s="63"/>
      <c r="V411" s="63"/>
      <c r="W411" s="63">
        <f t="shared" si="121"/>
        <v>0</v>
      </c>
      <c r="X411" s="63"/>
      <c r="Y411" s="63"/>
      <c r="Z411" s="63"/>
      <c r="AA411" s="63"/>
      <c r="AB411" s="63"/>
      <c r="AE411" s="8">
        <v>0</v>
      </c>
      <c r="AT411" t="str">
        <f t="shared" si="118"/>
        <v>Kennebunkport</v>
      </c>
      <c r="AU411" t="s">
        <v>925</v>
      </c>
      <c r="AV411">
        <v>1</v>
      </c>
      <c r="AX411" s="114">
        <v>23</v>
      </c>
      <c r="AY411" s="116">
        <v>31</v>
      </c>
      <c r="AZ411" s="116">
        <v>60</v>
      </c>
      <c r="BA411" s="120">
        <v>36745</v>
      </c>
      <c r="BB411" s="120">
        <f t="shared" si="119"/>
        <v>23031</v>
      </c>
      <c r="BC411" t="s">
        <v>1472</v>
      </c>
      <c r="BD411">
        <f t="shared" si="120"/>
        <v>2336745</v>
      </c>
      <c r="BE411" s="1">
        <v>99</v>
      </c>
      <c r="BI411">
        <v>21.98</v>
      </c>
      <c r="BJ411">
        <v>1.36</v>
      </c>
      <c r="BK411">
        <v>20.62</v>
      </c>
      <c r="BS411" s="63">
        <v>0</v>
      </c>
      <c r="CK411" s="1" t="s">
        <v>3964</v>
      </c>
    </row>
    <row r="412" spans="1:89" hidden="1" outlineLevel="1">
      <c r="A412" t="s">
        <v>1801</v>
      </c>
      <c r="B412" s="8" t="s">
        <v>1697</v>
      </c>
      <c r="C412" s="1">
        <f t="shared" si="110"/>
        <v>783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 t="shared" si="111"/>
        <v>0</v>
      </c>
      <c r="G412" s="1">
        <f t="shared" si="112"/>
        <v>106</v>
      </c>
      <c r="H412" s="2">
        <f t="shared" si="113"/>
        <v>0.13537675606641125</v>
      </c>
      <c r="I412" s="6"/>
      <c r="J412" s="2">
        <f t="shared" si="114"/>
        <v>0.37931034482758619</v>
      </c>
      <c r="K412" s="2">
        <f t="shared" si="115"/>
        <v>0.5146871008939975</v>
      </c>
      <c r="L412" s="2">
        <f t="shared" si="116"/>
        <v>0</v>
      </c>
      <c r="M412" s="2">
        <f t="shared" si="117"/>
        <v>0.10600255427841632</v>
      </c>
      <c r="N412" s="63">
        <v>297</v>
      </c>
      <c r="O412" s="63">
        <v>403</v>
      </c>
      <c r="P412" s="63">
        <v>0</v>
      </c>
      <c r="Q412" s="63">
        <v>65</v>
      </c>
      <c r="R412" s="63">
        <v>18</v>
      </c>
      <c r="S412" s="63">
        <v>0</v>
      </c>
      <c r="T412" s="67"/>
      <c r="U412" s="63"/>
      <c r="V412" s="63"/>
      <c r="W412" s="63">
        <f t="shared" si="121"/>
        <v>0</v>
      </c>
      <c r="X412" s="63"/>
      <c r="Y412" s="63"/>
      <c r="Z412" s="63"/>
      <c r="AA412" s="63"/>
      <c r="AB412" s="63"/>
      <c r="AE412" s="8">
        <v>0</v>
      </c>
      <c r="AT412" t="str">
        <f t="shared" si="118"/>
        <v>Kingfield</v>
      </c>
      <c r="AU412" t="s">
        <v>1138</v>
      </c>
      <c r="AV412">
        <v>2</v>
      </c>
      <c r="AX412" s="114">
        <v>23</v>
      </c>
      <c r="AY412" s="116">
        <v>7</v>
      </c>
      <c r="AZ412" s="116">
        <v>50</v>
      </c>
      <c r="BA412" s="120">
        <v>37025</v>
      </c>
      <c r="BB412" s="120">
        <f t="shared" si="119"/>
        <v>23007</v>
      </c>
      <c r="BC412" t="s">
        <v>1472</v>
      </c>
      <c r="BD412">
        <f t="shared" si="120"/>
        <v>2337025</v>
      </c>
      <c r="BE412" s="1">
        <v>27</v>
      </c>
      <c r="BI412">
        <v>43.59</v>
      </c>
      <c r="BJ412">
        <v>0.16</v>
      </c>
      <c r="BK412">
        <v>43.44</v>
      </c>
      <c r="BS412" s="63">
        <v>0</v>
      </c>
      <c r="CK412" s="1" t="s">
        <v>3965</v>
      </c>
    </row>
    <row r="413" spans="1:89" hidden="1" outlineLevel="1">
      <c r="A413" t="s">
        <v>1338</v>
      </c>
      <c r="B413" s="8" t="s">
        <v>1697</v>
      </c>
      <c r="C413" s="1">
        <f t="shared" si="110"/>
        <v>70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 t="shared" si="111"/>
        <v>0</v>
      </c>
      <c r="G413" s="1">
        <f t="shared" si="112"/>
        <v>37</v>
      </c>
      <c r="H413" s="2">
        <f t="shared" si="113"/>
        <v>0.52857142857142858</v>
      </c>
      <c r="I413" s="6"/>
      <c r="J413" s="2">
        <f t="shared" si="114"/>
        <v>0.22857142857142856</v>
      </c>
      <c r="K413" s="2">
        <f t="shared" si="115"/>
        <v>0.75714285714285712</v>
      </c>
      <c r="L413" s="2">
        <f t="shared" si="116"/>
        <v>0</v>
      </c>
      <c r="M413" s="2">
        <f t="shared" si="117"/>
        <v>1.4285714285714346E-2</v>
      </c>
      <c r="N413" s="63">
        <v>16</v>
      </c>
      <c r="O413" s="63">
        <v>53</v>
      </c>
      <c r="P413" s="63">
        <v>0</v>
      </c>
      <c r="Q413" s="63">
        <v>1</v>
      </c>
      <c r="R413" s="63">
        <v>0</v>
      </c>
      <c r="S413" s="63">
        <v>0</v>
      </c>
      <c r="T413" s="67"/>
      <c r="U413" s="63"/>
      <c r="V413" s="63"/>
      <c r="W413" s="63">
        <f t="shared" si="121"/>
        <v>0</v>
      </c>
      <c r="X413" s="63"/>
      <c r="Y413" s="63"/>
      <c r="Z413" s="63"/>
      <c r="AA413" s="63"/>
      <c r="AB413" s="63"/>
      <c r="AE413" s="8">
        <v>0</v>
      </c>
      <c r="AT413" t="str">
        <f t="shared" si="118"/>
        <v>Kingman</v>
      </c>
      <c r="AU413" t="s">
        <v>2481</v>
      </c>
      <c r="AV413">
        <v>2</v>
      </c>
      <c r="AX413" s="114">
        <v>23</v>
      </c>
      <c r="AY413" s="116">
        <v>19</v>
      </c>
      <c r="AZ413" s="116">
        <v>167</v>
      </c>
      <c r="BA413" s="120">
        <v>37075</v>
      </c>
      <c r="BB413" s="120">
        <f t="shared" si="119"/>
        <v>23019</v>
      </c>
      <c r="BC413" t="s">
        <v>957</v>
      </c>
      <c r="BD413">
        <f t="shared" si="120"/>
        <v>2337075</v>
      </c>
      <c r="BE413" s="1">
        <v>1</v>
      </c>
      <c r="BI413">
        <v>25.35</v>
      </c>
      <c r="BJ413">
        <v>0.36</v>
      </c>
      <c r="BK413">
        <v>24.99</v>
      </c>
      <c r="BS413" s="63">
        <v>0</v>
      </c>
      <c r="CK413" s="1" t="s">
        <v>3966</v>
      </c>
    </row>
    <row r="414" spans="1:89" hidden="1" outlineLevel="1">
      <c r="A414" t="s">
        <v>659</v>
      </c>
      <c r="B414" s="8" t="s">
        <v>1697</v>
      </c>
      <c r="C414" s="1">
        <f t="shared" si="110"/>
        <v>19</v>
      </c>
      <c r="D414" s="5">
        <f>IF(N414&gt;0, RANK(N414,(N414:P414,Q414:AE414)),0)</f>
        <v>1</v>
      </c>
      <c r="E414" s="5">
        <f>IF(O414&gt;0,RANK(O414,(N414:P414,Q414:AE414)),0)</f>
        <v>1</v>
      </c>
      <c r="F414" s="5">
        <f t="shared" si="111"/>
        <v>0</v>
      </c>
      <c r="G414" s="1">
        <f t="shared" si="112"/>
        <v>0</v>
      </c>
      <c r="H414" s="2">
        <f t="shared" si="113"/>
        <v>0</v>
      </c>
      <c r="I414" s="6"/>
      <c r="J414" s="2">
        <f t="shared" si="114"/>
        <v>0.47368421052631576</v>
      </c>
      <c r="K414" s="2">
        <f t="shared" si="115"/>
        <v>0.47368421052631576</v>
      </c>
      <c r="L414" s="2">
        <f t="shared" si="116"/>
        <v>0</v>
      </c>
      <c r="M414" s="2">
        <f t="shared" si="117"/>
        <v>5.2631578947368529E-2</v>
      </c>
      <c r="N414" s="63">
        <v>9</v>
      </c>
      <c r="O414" s="63">
        <v>9</v>
      </c>
      <c r="P414" s="63">
        <v>0</v>
      </c>
      <c r="Q414" s="63">
        <v>1</v>
      </c>
      <c r="R414" s="63">
        <v>0</v>
      </c>
      <c r="S414" s="63">
        <v>0</v>
      </c>
      <c r="T414" s="67"/>
      <c r="U414" s="63"/>
      <c r="V414" s="63"/>
      <c r="W414" s="63">
        <f t="shared" si="121"/>
        <v>0</v>
      </c>
      <c r="X414" s="63"/>
      <c r="Y414" s="63"/>
      <c r="Z414" s="63"/>
      <c r="AA414" s="63"/>
      <c r="AB414" s="63"/>
      <c r="AE414" s="8">
        <v>0</v>
      </c>
      <c r="AT414" t="str">
        <f t="shared" si="118"/>
        <v>Kingsbury</v>
      </c>
      <c r="AU414" t="s">
        <v>1957</v>
      </c>
      <c r="AV414">
        <v>2</v>
      </c>
      <c r="AX414" s="114">
        <v>23</v>
      </c>
      <c r="AY414" s="116">
        <v>21</v>
      </c>
      <c r="AZ414" s="116">
        <v>55</v>
      </c>
      <c r="BA414" s="120">
        <v>37095</v>
      </c>
      <c r="BB414" s="120">
        <f t="shared" si="119"/>
        <v>23021</v>
      </c>
      <c r="BC414" t="s">
        <v>3075</v>
      </c>
      <c r="BD414">
        <f t="shared" si="120"/>
        <v>2337095</v>
      </c>
      <c r="BE414" s="1">
        <v>0</v>
      </c>
      <c r="BI414">
        <v>44.62</v>
      </c>
      <c r="BJ414">
        <v>0.48</v>
      </c>
      <c r="BK414">
        <v>44.14</v>
      </c>
      <c r="BS414" s="63">
        <v>0</v>
      </c>
      <c r="CK414" s="1" t="s">
        <v>3967</v>
      </c>
    </row>
    <row r="415" spans="1:89" hidden="1" outlineLevel="1">
      <c r="A415" t="s">
        <v>3038</v>
      </c>
      <c r="B415" s="8" t="s">
        <v>1697</v>
      </c>
      <c r="C415" s="1">
        <f t="shared" si="110"/>
        <v>5586</v>
      </c>
      <c r="D415" s="5">
        <f>IF(N415&gt;0, RANK(N415,(N415:P415,Q415:AE415)),0)</f>
        <v>1</v>
      </c>
      <c r="E415" s="5">
        <f>IF(O415&gt;0,RANK(O415,(N415:P415,Q415:AE415)),0)</f>
        <v>2</v>
      </c>
      <c r="F415" s="5">
        <f t="shared" si="111"/>
        <v>5</v>
      </c>
      <c r="G415" s="1">
        <f t="shared" si="112"/>
        <v>1728</v>
      </c>
      <c r="H415" s="2">
        <f t="shared" si="113"/>
        <v>0.30934479054779807</v>
      </c>
      <c r="I415" s="6"/>
      <c r="J415" s="2">
        <f t="shared" si="114"/>
        <v>0.62191192266380235</v>
      </c>
      <c r="K415" s="2">
        <f t="shared" si="115"/>
        <v>0.31256713211600429</v>
      </c>
      <c r="L415" s="2">
        <f t="shared" si="116"/>
        <v>3.5803795202291443E-3</v>
      </c>
      <c r="M415" s="2">
        <f t="shared" si="117"/>
        <v>6.1940565699964215E-2</v>
      </c>
      <c r="N415" s="63">
        <v>3474</v>
      </c>
      <c r="O415" s="63">
        <v>1746</v>
      </c>
      <c r="P415" s="63">
        <v>20</v>
      </c>
      <c r="Q415" s="63">
        <v>264</v>
      </c>
      <c r="R415" s="63">
        <v>82</v>
      </c>
      <c r="S415" s="63">
        <v>0</v>
      </c>
      <c r="T415" s="67"/>
      <c r="U415" s="63"/>
      <c r="V415" s="63"/>
      <c r="W415" s="63">
        <f t="shared" si="121"/>
        <v>0</v>
      </c>
      <c r="X415" s="63"/>
      <c r="Y415" s="63"/>
      <c r="Z415" s="63"/>
      <c r="AA415" s="63"/>
      <c r="AB415" s="63"/>
      <c r="AE415" s="8">
        <v>0</v>
      </c>
      <c r="AT415" t="str">
        <f t="shared" si="118"/>
        <v>Kittery</v>
      </c>
      <c r="AU415" t="s">
        <v>925</v>
      </c>
      <c r="AV415">
        <v>1</v>
      </c>
      <c r="AX415" s="114">
        <v>23</v>
      </c>
      <c r="AY415" s="116">
        <v>31</v>
      </c>
      <c r="AZ415" s="116">
        <v>65</v>
      </c>
      <c r="BA415" s="120">
        <v>37270</v>
      </c>
      <c r="BB415" s="120">
        <f t="shared" si="119"/>
        <v>23031</v>
      </c>
      <c r="BC415" t="s">
        <v>1472</v>
      </c>
      <c r="BD415">
        <f t="shared" si="120"/>
        <v>2337270</v>
      </c>
      <c r="BE415" s="1">
        <v>162</v>
      </c>
      <c r="BI415">
        <v>21</v>
      </c>
      <c r="BJ415">
        <v>3.18</v>
      </c>
      <c r="BK415">
        <v>17.82</v>
      </c>
      <c r="BS415" s="63">
        <v>0</v>
      </c>
      <c r="CK415" s="1" t="s">
        <v>3968</v>
      </c>
    </row>
    <row r="416" spans="1:89" hidden="1" outlineLevel="1">
      <c r="A416" t="s">
        <v>1729</v>
      </c>
      <c r="B416" s="8" t="s">
        <v>1697</v>
      </c>
      <c r="C416" s="1">
        <f t="shared" si="110"/>
        <v>445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 t="shared" si="111"/>
        <v>5</v>
      </c>
      <c r="G416" s="1">
        <f t="shared" si="112"/>
        <v>150</v>
      </c>
      <c r="H416" s="2">
        <f t="shared" si="113"/>
        <v>0.33707865168539325</v>
      </c>
      <c r="I416" s="6"/>
      <c r="J416" s="2">
        <f t="shared" si="114"/>
        <v>0.29438202247191009</v>
      </c>
      <c r="K416" s="2">
        <f t="shared" si="115"/>
        <v>0.63146067415730334</v>
      </c>
      <c r="L416" s="2">
        <f t="shared" si="116"/>
        <v>2.2471910112359553E-3</v>
      </c>
      <c r="M416" s="2">
        <f t="shared" si="117"/>
        <v>7.1910112359550679E-2</v>
      </c>
      <c r="N416" s="63">
        <v>131</v>
      </c>
      <c r="O416" s="63">
        <v>281</v>
      </c>
      <c r="P416" s="63">
        <v>1</v>
      </c>
      <c r="Q416" s="63">
        <v>23</v>
      </c>
      <c r="R416" s="63">
        <v>9</v>
      </c>
      <c r="S416" s="63">
        <v>0</v>
      </c>
      <c r="T416" s="67"/>
      <c r="U416" s="63"/>
      <c r="V416" s="63"/>
      <c r="W416" s="63">
        <f t="shared" si="121"/>
        <v>0</v>
      </c>
      <c r="X416" s="63"/>
      <c r="Y416" s="63"/>
      <c r="Z416" s="63"/>
      <c r="AA416" s="63"/>
      <c r="AB416" s="63"/>
      <c r="AE416" s="8">
        <v>0</v>
      </c>
      <c r="AT416" t="str">
        <f t="shared" si="118"/>
        <v>Knox</v>
      </c>
      <c r="AU416" t="s">
        <v>217</v>
      </c>
      <c r="AV416">
        <v>2</v>
      </c>
      <c r="AX416" s="114">
        <v>23</v>
      </c>
      <c r="AY416" s="116">
        <v>27</v>
      </c>
      <c r="AZ416" s="116">
        <v>45</v>
      </c>
      <c r="BA416" s="120">
        <v>37585</v>
      </c>
      <c r="BB416" s="120">
        <f t="shared" si="119"/>
        <v>23027</v>
      </c>
      <c r="BC416" t="s">
        <v>1472</v>
      </c>
      <c r="BD416">
        <f t="shared" si="120"/>
        <v>2337585</v>
      </c>
      <c r="BE416" s="1">
        <v>14</v>
      </c>
      <c r="BI416">
        <v>29.34</v>
      </c>
      <c r="BJ416">
        <v>0.2</v>
      </c>
      <c r="BK416">
        <v>29.14</v>
      </c>
      <c r="BS416" s="63">
        <v>0</v>
      </c>
      <c r="CK416" s="1" t="s">
        <v>3969</v>
      </c>
    </row>
    <row r="417" spans="1:89" hidden="1" outlineLevel="1">
      <c r="A417" t="s">
        <v>3039</v>
      </c>
      <c r="B417" s="8" t="s">
        <v>1697</v>
      </c>
      <c r="C417" s="1">
        <f t="shared" si="110"/>
        <v>362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 t="shared" si="111"/>
        <v>0</v>
      </c>
      <c r="G417" s="1">
        <f t="shared" si="112"/>
        <v>125</v>
      </c>
      <c r="H417" s="2">
        <f t="shared" si="113"/>
        <v>0.34530386740331492</v>
      </c>
      <c r="I417" s="6"/>
      <c r="J417" s="2">
        <f t="shared" si="114"/>
        <v>0.30939226519337015</v>
      </c>
      <c r="K417" s="2">
        <f t="shared" si="115"/>
        <v>0.65469613259668513</v>
      </c>
      <c r="L417" s="2">
        <f t="shared" si="116"/>
        <v>0</v>
      </c>
      <c r="M417" s="2">
        <f t="shared" si="117"/>
        <v>3.5911602209944715E-2</v>
      </c>
      <c r="N417" s="63">
        <v>112</v>
      </c>
      <c r="O417" s="63">
        <v>237</v>
      </c>
      <c r="P417" s="63">
        <v>0</v>
      </c>
      <c r="Q417" s="63">
        <v>9</v>
      </c>
      <c r="R417" s="63">
        <v>4</v>
      </c>
      <c r="S417" s="63">
        <v>0</v>
      </c>
      <c r="T417" s="67"/>
      <c r="U417" s="63"/>
      <c r="V417" s="63"/>
      <c r="W417" s="63">
        <f t="shared" si="121"/>
        <v>0</v>
      </c>
      <c r="X417" s="63"/>
      <c r="Y417" s="63"/>
      <c r="Z417" s="63"/>
      <c r="AA417" s="63"/>
      <c r="AB417" s="63"/>
      <c r="AE417" s="8">
        <v>0</v>
      </c>
      <c r="AT417" t="str">
        <f t="shared" si="118"/>
        <v>Lagrange</v>
      </c>
      <c r="AU417" t="s">
        <v>2481</v>
      </c>
      <c r="AV417">
        <v>2</v>
      </c>
      <c r="AX417" s="114">
        <v>23</v>
      </c>
      <c r="AY417" s="116">
        <v>19</v>
      </c>
      <c r="AZ417" s="116">
        <v>170</v>
      </c>
      <c r="BA417" s="120">
        <v>37760</v>
      </c>
      <c r="BB417" s="120">
        <f t="shared" si="119"/>
        <v>23019</v>
      </c>
      <c r="BC417" t="s">
        <v>1472</v>
      </c>
      <c r="BD417">
        <f t="shared" si="120"/>
        <v>2337760</v>
      </c>
      <c r="BE417" s="1">
        <v>8</v>
      </c>
      <c r="BI417">
        <v>49.49</v>
      </c>
      <c r="BJ417">
        <v>0.05</v>
      </c>
      <c r="BK417">
        <v>49.44</v>
      </c>
      <c r="BS417" s="63">
        <v>0</v>
      </c>
      <c r="CK417" s="1" t="s">
        <v>3970</v>
      </c>
    </row>
    <row r="418" spans="1:89" hidden="1" outlineLevel="1">
      <c r="A418" t="s">
        <v>748</v>
      </c>
      <c r="B418" s="8" t="s">
        <v>1697</v>
      </c>
      <c r="C418" s="1">
        <f t="shared" si="110"/>
        <v>72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 t="shared" si="111"/>
        <v>0</v>
      </c>
      <c r="G418" s="1">
        <f t="shared" si="112"/>
        <v>6</v>
      </c>
      <c r="H418" s="2">
        <f t="shared" si="113"/>
        <v>8.3333333333333329E-2</v>
      </c>
      <c r="I418" s="6"/>
      <c r="J418" s="2">
        <f t="shared" si="114"/>
        <v>0.45833333333333331</v>
      </c>
      <c r="K418" s="2">
        <f t="shared" si="115"/>
        <v>0.54166666666666663</v>
      </c>
      <c r="L418" s="2">
        <f t="shared" si="116"/>
        <v>0</v>
      </c>
      <c r="M418" s="2">
        <f t="shared" si="117"/>
        <v>1.1102230246251565E-16</v>
      </c>
      <c r="N418" s="63">
        <v>33</v>
      </c>
      <c r="O418" s="63">
        <v>39</v>
      </c>
      <c r="P418" s="63">
        <v>0</v>
      </c>
      <c r="Q418" s="63">
        <v>0</v>
      </c>
      <c r="R418" s="63">
        <v>0</v>
      </c>
      <c r="S418" s="63">
        <v>0</v>
      </c>
      <c r="T418" s="67"/>
      <c r="U418" s="63"/>
      <c r="V418" s="63"/>
      <c r="W418" s="63">
        <f t="shared" si="121"/>
        <v>0</v>
      </c>
      <c r="X418" s="63"/>
      <c r="Y418" s="63"/>
      <c r="Z418" s="63"/>
      <c r="AA418" s="63"/>
      <c r="AB418" s="63"/>
      <c r="AE418" s="8">
        <v>0</v>
      </c>
      <c r="AT418" t="str">
        <f t="shared" si="118"/>
        <v>Lake View</v>
      </c>
      <c r="AU418" t="s">
        <v>1957</v>
      </c>
      <c r="AV418">
        <v>2</v>
      </c>
      <c r="AX418" s="114">
        <v>23</v>
      </c>
      <c r="AY418" s="116">
        <v>21</v>
      </c>
      <c r="AZ418" s="116">
        <v>60</v>
      </c>
      <c r="BA418" s="120">
        <v>37970</v>
      </c>
      <c r="BB418" s="120">
        <f t="shared" si="119"/>
        <v>23021</v>
      </c>
      <c r="BC418" t="s">
        <v>3075</v>
      </c>
      <c r="BD418">
        <f t="shared" si="120"/>
        <v>2337970</v>
      </c>
      <c r="BE418" s="1">
        <v>1</v>
      </c>
      <c r="BI418">
        <v>53.16</v>
      </c>
      <c r="BJ418">
        <v>11.7</v>
      </c>
      <c r="BK418">
        <v>41.47</v>
      </c>
      <c r="BS418" s="63">
        <v>0</v>
      </c>
      <c r="CK418" s="159" t="s">
        <v>3971</v>
      </c>
    </row>
    <row r="419" spans="1:89" hidden="1" outlineLevel="1">
      <c r="A419" t="s">
        <v>2022</v>
      </c>
      <c r="B419" s="8" t="s">
        <v>1697</v>
      </c>
      <c r="C419" s="1">
        <f t="shared" si="110"/>
        <v>59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 t="shared" si="111"/>
        <v>0</v>
      </c>
      <c r="G419" s="1">
        <f t="shared" si="112"/>
        <v>14</v>
      </c>
      <c r="H419" s="2">
        <f t="shared" si="113"/>
        <v>0.23728813559322035</v>
      </c>
      <c r="I419" s="6"/>
      <c r="J419" s="2">
        <f t="shared" si="114"/>
        <v>0.30508474576271188</v>
      </c>
      <c r="K419" s="2">
        <f t="shared" si="115"/>
        <v>0.5423728813559322</v>
      </c>
      <c r="L419" s="2">
        <f t="shared" si="116"/>
        <v>0</v>
      </c>
      <c r="M419" s="2">
        <f t="shared" si="117"/>
        <v>0.15254237288135586</v>
      </c>
      <c r="N419" s="63">
        <v>18</v>
      </c>
      <c r="O419" s="63">
        <v>32</v>
      </c>
      <c r="P419" s="63">
        <v>0</v>
      </c>
      <c r="Q419" s="63">
        <v>6</v>
      </c>
      <c r="R419" s="63">
        <v>0</v>
      </c>
      <c r="S419" s="63">
        <v>3</v>
      </c>
      <c r="T419" s="67"/>
      <c r="U419" s="63"/>
      <c r="V419" s="63"/>
      <c r="W419" s="63">
        <f t="shared" si="121"/>
        <v>0</v>
      </c>
      <c r="X419" s="63"/>
      <c r="Y419" s="63"/>
      <c r="Z419" s="63"/>
      <c r="AA419" s="63"/>
      <c r="AB419" s="63"/>
      <c r="AE419" s="8">
        <v>0</v>
      </c>
      <c r="AT419" t="str">
        <f t="shared" si="118"/>
        <v>Lakeville</v>
      </c>
      <c r="AU419" t="s">
        <v>2481</v>
      </c>
      <c r="AV419">
        <v>2</v>
      </c>
      <c r="AX419" s="114">
        <v>23</v>
      </c>
      <c r="AY419" s="116">
        <v>19</v>
      </c>
      <c r="AZ419" s="116">
        <v>175</v>
      </c>
      <c r="BA419" s="120">
        <v>38005</v>
      </c>
      <c r="BB419" s="120">
        <f t="shared" si="119"/>
        <v>23019</v>
      </c>
      <c r="BC419" t="s">
        <v>1472</v>
      </c>
      <c r="BD419">
        <f t="shared" si="120"/>
        <v>2338005</v>
      </c>
      <c r="BE419" s="1">
        <v>0</v>
      </c>
      <c r="BI419">
        <v>65.3</v>
      </c>
      <c r="BJ419">
        <v>7.22</v>
      </c>
      <c r="BK419">
        <v>58.08</v>
      </c>
      <c r="BS419" s="63">
        <v>0</v>
      </c>
      <c r="CK419" s="1" t="s">
        <v>3972</v>
      </c>
    </row>
    <row r="420" spans="1:89" hidden="1" outlineLevel="1">
      <c r="A420" t="s">
        <v>2923</v>
      </c>
      <c r="B420" s="8" t="s">
        <v>1697</v>
      </c>
      <c r="C420" s="1">
        <f t="shared" si="110"/>
        <v>1077</v>
      </c>
      <c r="D420" s="5">
        <f>IF(N420&gt;0, RANK(N420,(N420:P420,Q420:AE420)),0)</f>
        <v>2</v>
      </c>
      <c r="E420" s="5">
        <f>IF(O420&gt;0,RANK(O420,(N420:P420,Q420:AE420)),0)</f>
        <v>1</v>
      </c>
      <c r="F420" s="5">
        <f t="shared" si="111"/>
        <v>5</v>
      </c>
      <c r="G420" s="1">
        <f t="shared" si="112"/>
        <v>35</v>
      </c>
      <c r="H420" s="2">
        <f t="shared" si="113"/>
        <v>3.2497678737233054E-2</v>
      </c>
      <c r="I420" s="6"/>
      <c r="J420" s="2">
        <f t="shared" si="114"/>
        <v>0.44661095636025999</v>
      </c>
      <c r="K420" s="2">
        <f t="shared" si="115"/>
        <v>0.47910863509749302</v>
      </c>
      <c r="L420" s="2">
        <f t="shared" si="116"/>
        <v>3.7140204271123491E-3</v>
      </c>
      <c r="M420" s="2">
        <f t="shared" si="117"/>
        <v>7.056638811513459E-2</v>
      </c>
      <c r="N420" s="63">
        <v>481</v>
      </c>
      <c r="O420" s="63">
        <v>516</v>
      </c>
      <c r="P420" s="63">
        <v>4</v>
      </c>
      <c r="Q420" s="63">
        <v>60</v>
      </c>
      <c r="R420" s="63">
        <v>12</v>
      </c>
      <c r="S420" s="63">
        <v>4</v>
      </c>
      <c r="T420" s="67"/>
      <c r="U420" s="63"/>
      <c r="V420" s="63"/>
      <c r="W420" s="63">
        <f t="shared" si="121"/>
        <v>0</v>
      </c>
      <c r="X420" s="63"/>
      <c r="Y420" s="63"/>
      <c r="Z420" s="63"/>
      <c r="AA420" s="63"/>
      <c r="AB420" s="63"/>
      <c r="AE420" s="8">
        <v>0</v>
      </c>
      <c r="AT420" t="str">
        <f t="shared" si="118"/>
        <v>Lamoine</v>
      </c>
      <c r="AU420" t="s">
        <v>597</v>
      </c>
      <c r="AV420">
        <v>2</v>
      </c>
      <c r="AX420" s="114">
        <v>23</v>
      </c>
      <c r="AY420" s="116">
        <v>9</v>
      </c>
      <c r="AZ420" s="116">
        <v>85</v>
      </c>
      <c r="BA420" s="120">
        <v>38180</v>
      </c>
      <c r="BB420" s="120">
        <f t="shared" si="119"/>
        <v>23009</v>
      </c>
      <c r="BC420" t="s">
        <v>1472</v>
      </c>
      <c r="BD420">
        <f t="shared" si="120"/>
        <v>2338180</v>
      </c>
      <c r="BE420" s="1">
        <v>35</v>
      </c>
      <c r="BI420">
        <v>25.07</v>
      </c>
      <c r="BJ420">
        <v>7.18</v>
      </c>
      <c r="BK420">
        <v>17.89</v>
      </c>
      <c r="BS420" s="63">
        <v>0</v>
      </c>
      <c r="CK420" s="1" t="s">
        <v>3973</v>
      </c>
    </row>
    <row r="421" spans="1:89" hidden="1" outlineLevel="1">
      <c r="A421" t="s">
        <v>3243</v>
      </c>
      <c r="B421" s="8" t="s">
        <v>1697</v>
      </c>
      <c r="C421" s="1">
        <f t="shared" ref="C421:C482" si="122">SUM(N421:AR421)</f>
        <v>0</v>
      </c>
      <c r="D421" s="5">
        <f>IF(N421&gt;0, RANK(N421,(N421:P421,Q421:AE421)),0)</f>
        <v>0</v>
      </c>
      <c r="E421" s="5">
        <f>IF(O421&gt;0,RANK(O421,(N421:P421,Q421:AE421)),0)</f>
        <v>0</v>
      </c>
      <c r="F421" s="5">
        <f t="shared" ref="F421:F467" si="123">IF(P421&gt;0,RANK(P421,(N421:AE421)),0)</f>
        <v>0</v>
      </c>
      <c r="G421" s="1">
        <f t="shared" ref="G421:G467" si="124">IF(C421&gt;0,MAX(N421:P421)-LARGE(N421:P421,2),0)</f>
        <v>0</v>
      </c>
      <c r="H421" s="2">
        <f t="shared" ref="H421:H467" si="125">IF(C421&gt;0,G421/C421,0)</f>
        <v>0</v>
      </c>
      <c r="I421" s="6"/>
      <c r="J421" s="2" t="str">
        <f t="shared" ref="J421:J467" si="126">IF(C421=0,"-",N421/C421)</f>
        <v>-</v>
      </c>
      <c r="K421" s="2" t="str">
        <f t="shared" ref="K421:K467" si="127">IF(C421=0,"-",O421/C421)</f>
        <v>-</v>
      </c>
      <c r="L421" s="2" t="str">
        <f t="shared" ref="L421:L467" si="128">IF(C421=0,"-",P421/C421)</f>
        <v>-</v>
      </c>
      <c r="M421" s="2" t="str">
        <f t="shared" ref="M421:M467" si="129">IF(C421=0,"-",(1-J421-K421-L421))</f>
        <v>-</v>
      </c>
      <c r="N421" s="63"/>
      <c r="O421" s="63"/>
      <c r="P421" s="63"/>
      <c r="Q421" s="63"/>
      <c r="R421" s="63"/>
      <c r="S421" s="63"/>
      <c r="T421" s="67"/>
      <c r="U421" s="63"/>
      <c r="V421" s="63"/>
      <c r="W421" s="63">
        <f t="shared" si="121"/>
        <v>0</v>
      </c>
      <c r="X421" s="63"/>
      <c r="Y421" s="63"/>
      <c r="Z421" s="63"/>
      <c r="AA421" s="63"/>
      <c r="AB421" s="63"/>
      <c r="AT421" t="str">
        <f t="shared" ref="AT421:AT482" si="130">A421</f>
        <v>Lang</v>
      </c>
      <c r="AU421" t="s">
        <v>1138</v>
      </c>
      <c r="AV421">
        <v>2</v>
      </c>
      <c r="AX421" s="114">
        <v>23</v>
      </c>
      <c r="AY421" s="116">
        <v>7</v>
      </c>
      <c r="BA421" s="142">
        <v>38195</v>
      </c>
      <c r="BB421" s="120">
        <f t="shared" ref="BB421:BB482" si="131">AX421*1000+AY421</f>
        <v>23007</v>
      </c>
      <c r="BC421" t="s">
        <v>957</v>
      </c>
      <c r="BD421">
        <f t="shared" ref="BD421:BD482" si="132">AX421*100000+BA421</f>
        <v>2338195</v>
      </c>
      <c r="BS421" s="63"/>
      <c r="CK421" s="1"/>
    </row>
    <row r="422" spans="1:89" hidden="1" outlineLevel="1">
      <c r="A422" t="s">
        <v>188</v>
      </c>
      <c r="B422" s="8" t="s">
        <v>1697</v>
      </c>
      <c r="C422" s="1">
        <f t="shared" si="122"/>
        <v>3165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 t="shared" si="123"/>
        <v>6</v>
      </c>
      <c r="G422" s="1">
        <f t="shared" si="124"/>
        <v>1006</v>
      </c>
      <c r="H422" s="2">
        <f t="shared" si="125"/>
        <v>0.31785150078988944</v>
      </c>
      <c r="I422" s="6"/>
      <c r="J422" s="2">
        <f t="shared" si="126"/>
        <v>0.29668246445497631</v>
      </c>
      <c r="K422" s="2">
        <f t="shared" si="127"/>
        <v>0.6145339652448657</v>
      </c>
      <c r="L422" s="2">
        <f t="shared" si="128"/>
        <v>6.9510268562401265E-3</v>
      </c>
      <c r="M422" s="2">
        <f t="shared" si="129"/>
        <v>8.1832543443917799E-2</v>
      </c>
      <c r="N422" s="63">
        <v>939</v>
      </c>
      <c r="O422" s="63">
        <v>1945</v>
      </c>
      <c r="P422" s="63">
        <v>22</v>
      </c>
      <c r="Q422" s="63">
        <v>165</v>
      </c>
      <c r="R422" s="63">
        <v>57</v>
      </c>
      <c r="S422" s="63">
        <v>37</v>
      </c>
      <c r="T422" s="67"/>
      <c r="U422" s="63"/>
      <c r="V422" s="63"/>
      <c r="W422" s="63">
        <f t="shared" si="121"/>
        <v>0</v>
      </c>
      <c r="X422" s="63"/>
      <c r="Y422" s="63"/>
      <c r="Z422" s="63"/>
      <c r="AA422" s="63"/>
      <c r="AB422" s="63"/>
      <c r="AE422" s="8">
        <v>0</v>
      </c>
      <c r="AT422" t="str">
        <f t="shared" si="130"/>
        <v>Lebanon</v>
      </c>
      <c r="AU422" t="s">
        <v>925</v>
      </c>
      <c r="AV422">
        <v>1</v>
      </c>
      <c r="AX422" s="114">
        <v>23</v>
      </c>
      <c r="AY422" s="116">
        <v>31</v>
      </c>
      <c r="AZ422" s="116">
        <v>70</v>
      </c>
      <c r="BA422" s="120">
        <v>38425</v>
      </c>
      <c r="BB422" s="120">
        <f t="shared" si="131"/>
        <v>23031</v>
      </c>
      <c r="BC422" t="s">
        <v>1472</v>
      </c>
      <c r="BD422">
        <f t="shared" si="132"/>
        <v>2338425</v>
      </c>
      <c r="BE422" s="1">
        <v>33</v>
      </c>
      <c r="BI422">
        <v>55.79</v>
      </c>
      <c r="BJ422">
        <v>1.08</v>
      </c>
      <c r="BK422">
        <v>54.71</v>
      </c>
      <c r="BS422" s="63">
        <v>0</v>
      </c>
      <c r="CK422" s="1" t="s">
        <v>3974</v>
      </c>
    </row>
    <row r="423" spans="1:89" hidden="1" outlineLevel="1">
      <c r="A423" t="s">
        <v>97</v>
      </c>
      <c r="B423" s="8" t="s">
        <v>1697</v>
      </c>
      <c r="C423" s="1">
        <f t="shared" si="122"/>
        <v>517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 t="shared" si="123"/>
        <v>0</v>
      </c>
      <c r="G423" s="1">
        <f t="shared" si="124"/>
        <v>221</v>
      </c>
      <c r="H423" s="2">
        <f t="shared" si="125"/>
        <v>0.42746615087040618</v>
      </c>
      <c r="I423" s="6"/>
      <c r="J423" s="2">
        <f t="shared" si="126"/>
        <v>0.26499032882011603</v>
      </c>
      <c r="K423" s="2">
        <f t="shared" si="127"/>
        <v>0.69245647969052226</v>
      </c>
      <c r="L423" s="2">
        <f t="shared" si="128"/>
        <v>0</v>
      </c>
      <c r="M423" s="2">
        <f t="shared" si="129"/>
        <v>4.2553191489361653E-2</v>
      </c>
      <c r="N423" s="63">
        <v>137</v>
      </c>
      <c r="O423" s="63">
        <v>358</v>
      </c>
      <c r="P423" s="63">
        <v>0</v>
      </c>
      <c r="Q423" s="63">
        <v>11</v>
      </c>
      <c r="R423" s="63">
        <v>8</v>
      </c>
      <c r="S423" s="63">
        <v>3</v>
      </c>
      <c r="T423" s="67"/>
      <c r="U423" s="63"/>
      <c r="V423" s="63"/>
      <c r="W423" s="63">
        <f t="shared" si="121"/>
        <v>0</v>
      </c>
      <c r="X423" s="63"/>
      <c r="Y423" s="63"/>
      <c r="Z423" s="63"/>
      <c r="AA423" s="63"/>
      <c r="AB423" s="63"/>
      <c r="AE423" s="8">
        <v>0</v>
      </c>
      <c r="AT423" t="str">
        <f t="shared" si="130"/>
        <v>Lee</v>
      </c>
      <c r="AU423" t="s">
        <v>2481</v>
      </c>
      <c r="AV423">
        <v>2</v>
      </c>
      <c r="AX423" s="114">
        <v>23</v>
      </c>
      <c r="AY423" s="116">
        <v>19</v>
      </c>
      <c r="AZ423" s="116">
        <v>180</v>
      </c>
      <c r="BA423" s="120">
        <v>38530</v>
      </c>
      <c r="BB423" s="120">
        <f t="shared" si="131"/>
        <v>23019</v>
      </c>
      <c r="BC423" t="s">
        <v>1472</v>
      </c>
      <c r="BD423">
        <f t="shared" si="132"/>
        <v>2338530</v>
      </c>
      <c r="BE423" s="1">
        <v>17</v>
      </c>
      <c r="BI423">
        <v>39.71</v>
      </c>
      <c r="BJ423">
        <v>1.1200000000000001</v>
      </c>
      <c r="BK423">
        <v>38.590000000000003</v>
      </c>
      <c r="BS423" s="63">
        <v>0</v>
      </c>
      <c r="CK423" s="1" t="s">
        <v>3975</v>
      </c>
    </row>
    <row r="424" spans="1:89" hidden="1" outlineLevel="1">
      <c r="A424" t="s">
        <v>2893</v>
      </c>
      <c r="B424" s="8" t="s">
        <v>1697</v>
      </c>
      <c r="C424" s="1">
        <f t="shared" si="122"/>
        <v>1267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 t="shared" si="123"/>
        <v>5</v>
      </c>
      <c r="G424" s="1">
        <f t="shared" si="124"/>
        <v>337</v>
      </c>
      <c r="H424" s="2">
        <f t="shared" si="125"/>
        <v>0.26598263614838202</v>
      </c>
      <c r="I424" s="6"/>
      <c r="J424" s="2">
        <f t="shared" si="126"/>
        <v>0.3267561168113654</v>
      </c>
      <c r="K424" s="2">
        <f t="shared" si="127"/>
        <v>0.59273875295974743</v>
      </c>
      <c r="L424" s="2">
        <f t="shared" si="128"/>
        <v>6.314127861089187E-3</v>
      </c>
      <c r="M424" s="2">
        <f t="shared" si="129"/>
        <v>7.4191002367797979E-2</v>
      </c>
      <c r="N424" s="63">
        <v>414</v>
      </c>
      <c r="O424" s="63">
        <v>751</v>
      </c>
      <c r="P424" s="63">
        <v>8</v>
      </c>
      <c r="Q424" s="63">
        <v>75</v>
      </c>
      <c r="R424" s="63">
        <v>17</v>
      </c>
      <c r="S424" s="63">
        <v>2</v>
      </c>
      <c r="T424" s="67"/>
      <c r="U424" s="63"/>
      <c r="V424" s="63"/>
      <c r="W424" s="63">
        <f t="shared" si="121"/>
        <v>0</v>
      </c>
      <c r="X424" s="63"/>
      <c r="Y424" s="63"/>
      <c r="Z424" s="63"/>
      <c r="AA424" s="63"/>
      <c r="AB424" s="63"/>
      <c r="AE424" s="8">
        <v>0</v>
      </c>
      <c r="AT424" t="str">
        <f t="shared" si="130"/>
        <v>Leeds</v>
      </c>
      <c r="AU424" t="s">
        <v>1118</v>
      </c>
      <c r="AV424">
        <v>2</v>
      </c>
      <c r="AX424" s="114">
        <v>23</v>
      </c>
      <c r="AY424" s="116">
        <v>1</v>
      </c>
      <c r="AZ424" s="116">
        <v>20</v>
      </c>
      <c r="BA424" s="120">
        <v>38565</v>
      </c>
      <c r="BB424" s="120">
        <f t="shared" si="131"/>
        <v>23001</v>
      </c>
      <c r="BC424" t="s">
        <v>1472</v>
      </c>
      <c r="BD424">
        <f t="shared" si="132"/>
        <v>2338565</v>
      </c>
      <c r="BE424" s="1">
        <v>32</v>
      </c>
      <c r="BI424">
        <v>43.43</v>
      </c>
      <c r="BJ424">
        <v>3.09</v>
      </c>
      <c r="BK424">
        <v>40.340000000000003</v>
      </c>
      <c r="BS424" s="63">
        <v>0</v>
      </c>
      <c r="CK424" s="1" t="s">
        <v>3976</v>
      </c>
    </row>
    <row r="425" spans="1:89" hidden="1" outlineLevel="1">
      <c r="A425" t="s">
        <v>2503</v>
      </c>
      <c r="B425" s="8" t="s">
        <v>1697</v>
      </c>
      <c r="C425" s="1">
        <f t="shared" si="122"/>
        <v>1551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 t="shared" si="123"/>
        <v>5</v>
      </c>
      <c r="G425" s="1">
        <f t="shared" si="124"/>
        <v>601</v>
      </c>
      <c r="H425" s="2">
        <f t="shared" si="125"/>
        <v>0.38749194068343007</v>
      </c>
      <c r="I425" s="6"/>
      <c r="J425" s="2">
        <f t="shared" si="126"/>
        <v>0.27337201805286909</v>
      </c>
      <c r="K425" s="2">
        <f t="shared" si="127"/>
        <v>0.66086395873629911</v>
      </c>
      <c r="L425" s="2">
        <f t="shared" si="128"/>
        <v>8.3816892327530628E-3</v>
      </c>
      <c r="M425" s="2">
        <f t="shared" si="129"/>
        <v>5.7382333978078681E-2</v>
      </c>
      <c r="N425" s="63">
        <v>424</v>
      </c>
      <c r="O425" s="63">
        <v>1025</v>
      </c>
      <c r="P425" s="63">
        <v>13</v>
      </c>
      <c r="Q425" s="63">
        <v>74</v>
      </c>
      <c r="R425" s="63">
        <v>15</v>
      </c>
      <c r="S425" s="63">
        <v>0</v>
      </c>
      <c r="T425" s="67"/>
      <c r="U425" s="63"/>
      <c r="V425" s="63"/>
      <c r="W425" s="63">
        <f t="shared" si="121"/>
        <v>0</v>
      </c>
      <c r="X425" s="63"/>
      <c r="Y425" s="63"/>
      <c r="Z425" s="63"/>
      <c r="AA425" s="63"/>
      <c r="AB425" s="63"/>
      <c r="AE425" s="8">
        <v>0</v>
      </c>
      <c r="AT425" t="str">
        <f t="shared" si="130"/>
        <v>Levant</v>
      </c>
      <c r="AU425" t="s">
        <v>2481</v>
      </c>
      <c r="AV425">
        <v>2</v>
      </c>
      <c r="AX425" s="114">
        <v>23</v>
      </c>
      <c r="AY425" s="116">
        <v>19</v>
      </c>
      <c r="AZ425" s="116">
        <v>185</v>
      </c>
      <c r="BA425" s="120">
        <v>38705</v>
      </c>
      <c r="BB425" s="120">
        <f t="shared" si="131"/>
        <v>23019</v>
      </c>
      <c r="BC425" t="s">
        <v>1472</v>
      </c>
      <c r="BD425">
        <f t="shared" si="132"/>
        <v>2338705</v>
      </c>
      <c r="BE425" s="1">
        <v>44</v>
      </c>
      <c r="BI425">
        <v>29.97</v>
      </c>
      <c r="BJ425">
        <v>0.01</v>
      </c>
      <c r="BK425">
        <v>29.97</v>
      </c>
      <c r="BS425" s="63">
        <v>0</v>
      </c>
      <c r="CK425" s="1" t="s">
        <v>3977</v>
      </c>
    </row>
    <row r="426" spans="1:89" hidden="1" outlineLevel="1">
      <c r="A426" t="s">
        <v>1989</v>
      </c>
      <c r="B426" s="8" t="s">
        <v>1697</v>
      </c>
      <c r="C426" s="1">
        <f t="shared" si="122"/>
        <v>16792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 t="shared" si="123"/>
        <v>5</v>
      </c>
      <c r="G426" s="1">
        <f t="shared" si="124"/>
        <v>886</v>
      </c>
      <c r="H426" s="2">
        <f t="shared" si="125"/>
        <v>5.2763220581229155E-2</v>
      </c>
      <c r="I426" s="6"/>
      <c r="J426" s="2">
        <f t="shared" si="126"/>
        <v>0.48963792282039065</v>
      </c>
      <c r="K426" s="2">
        <f t="shared" si="127"/>
        <v>0.43687470223916153</v>
      </c>
      <c r="L426" s="2">
        <f t="shared" si="128"/>
        <v>2.9180562172463078E-3</v>
      </c>
      <c r="M426" s="2">
        <f t="shared" si="129"/>
        <v>7.0569318723201518E-2</v>
      </c>
      <c r="N426" s="63">
        <v>8222</v>
      </c>
      <c r="O426" s="63">
        <v>7336</v>
      </c>
      <c r="P426" s="63">
        <v>49</v>
      </c>
      <c r="Q426" s="63">
        <v>944</v>
      </c>
      <c r="R426" s="63">
        <v>236</v>
      </c>
      <c r="S426" s="63">
        <v>4</v>
      </c>
      <c r="T426" s="67"/>
      <c r="U426" s="63"/>
      <c r="V426" s="63"/>
      <c r="W426" s="63">
        <f t="shared" si="121"/>
        <v>0</v>
      </c>
      <c r="X426" s="63"/>
      <c r="Y426" s="63"/>
      <c r="Z426" s="63"/>
      <c r="AA426" s="63"/>
      <c r="AB426" s="63"/>
      <c r="AE426" s="8">
        <v>1</v>
      </c>
      <c r="AT426" t="str">
        <f t="shared" si="130"/>
        <v>Lewiston</v>
      </c>
      <c r="AU426" t="s">
        <v>1118</v>
      </c>
      <c r="AV426">
        <v>2</v>
      </c>
      <c r="AX426" s="114">
        <v>23</v>
      </c>
      <c r="AY426" s="116">
        <v>1</v>
      </c>
      <c r="AZ426" s="116">
        <v>25</v>
      </c>
      <c r="BA426" s="120">
        <v>38740</v>
      </c>
      <c r="BB426" s="120">
        <f t="shared" si="131"/>
        <v>23001</v>
      </c>
      <c r="BC426" t="s">
        <v>1249</v>
      </c>
      <c r="BD426">
        <f t="shared" si="132"/>
        <v>2338740</v>
      </c>
      <c r="BE426" s="1">
        <v>465</v>
      </c>
      <c r="BI426">
        <v>35.19</v>
      </c>
      <c r="BJ426">
        <v>1.1000000000000001</v>
      </c>
      <c r="BK426">
        <v>34.090000000000003</v>
      </c>
      <c r="BS426" s="63">
        <v>0</v>
      </c>
      <c r="CK426" s="1" t="s">
        <v>3978</v>
      </c>
    </row>
    <row r="427" spans="1:89" hidden="1" outlineLevel="1">
      <c r="A427" t="s">
        <v>319</v>
      </c>
      <c r="B427" s="8" t="s">
        <v>1697</v>
      </c>
      <c r="C427" s="1">
        <f t="shared" si="122"/>
        <v>546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 t="shared" si="123"/>
        <v>5</v>
      </c>
      <c r="G427" s="1">
        <f t="shared" si="124"/>
        <v>34</v>
      </c>
      <c r="H427" s="2">
        <f t="shared" si="125"/>
        <v>6.2271062271062272E-2</v>
      </c>
      <c r="I427" s="6"/>
      <c r="J427" s="2">
        <f t="shared" si="126"/>
        <v>0.42673992673992672</v>
      </c>
      <c r="K427" s="2">
        <f t="shared" si="127"/>
        <v>0.48901098901098899</v>
      </c>
      <c r="L427" s="2">
        <f t="shared" si="128"/>
        <v>1.8315018315018315E-3</v>
      </c>
      <c r="M427" s="2">
        <f t="shared" si="129"/>
        <v>8.2417582417582402E-2</v>
      </c>
      <c r="N427" s="63">
        <v>233</v>
      </c>
      <c r="O427" s="63">
        <v>267</v>
      </c>
      <c r="P427" s="63">
        <v>1</v>
      </c>
      <c r="Q427" s="63">
        <v>31</v>
      </c>
      <c r="R427" s="63">
        <v>13</v>
      </c>
      <c r="S427" s="63">
        <v>1</v>
      </c>
      <c r="T427" s="67"/>
      <c r="U427" s="63"/>
      <c r="V427" s="63"/>
      <c r="W427" s="63">
        <f t="shared" si="121"/>
        <v>0</v>
      </c>
      <c r="X427" s="63"/>
      <c r="Y427" s="63"/>
      <c r="Z427" s="63"/>
      <c r="AA427" s="63"/>
      <c r="AB427" s="63"/>
      <c r="AE427" s="8">
        <v>0</v>
      </c>
      <c r="AT427" t="str">
        <f t="shared" si="130"/>
        <v>Liberty</v>
      </c>
      <c r="AU427" t="s">
        <v>217</v>
      </c>
      <c r="AV427">
        <v>2</v>
      </c>
      <c r="AX427" s="114">
        <v>23</v>
      </c>
      <c r="AY427" s="116">
        <v>27</v>
      </c>
      <c r="AZ427" s="116">
        <v>50</v>
      </c>
      <c r="BA427" s="120">
        <v>39055</v>
      </c>
      <c r="BB427" s="120">
        <f t="shared" si="131"/>
        <v>23027</v>
      </c>
      <c r="BC427" t="s">
        <v>1472</v>
      </c>
      <c r="BD427">
        <f t="shared" si="132"/>
        <v>2339055</v>
      </c>
      <c r="BE427" s="1">
        <v>20</v>
      </c>
      <c r="BI427">
        <v>28.31</v>
      </c>
      <c r="BJ427">
        <v>2.4</v>
      </c>
      <c r="BK427">
        <v>25.91</v>
      </c>
      <c r="BS427" s="63">
        <v>0</v>
      </c>
      <c r="CK427" s="1" t="s">
        <v>3979</v>
      </c>
    </row>
    <row r="428" spans="1:89" hidden="1" outlineLevel="1">
      <c r="A428" t="s">
        <v>2543</v>
      </c>
      <c r="B428" s="8" t="s">
        <v>1697</v>
      </c>
      <c r="C428" s="1">
        <f t="shared" si="122"/>
        <v>1615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 t="shared" si="123"/>
        <v>5</v>
      </c>
      <c r="G428" s="1">
        <f t="shared" si="124"/>
        <v>201</v>
      </c>
      <c r="H428" s="2">
        <f t="shared" si="125"/>
        <v>0.12445820433436533</v>
      </c>
      <c r="I428" s="6"/>
      <c r="J428" s="2">
        <f t="shared" si="126"/>
        <v>0.39752321981424149</v>
      </c>
      <c r="K428" s="2">
        <f t="shared" si="127"/>
        <v>0.52198142414860682</v>
      </c>
      <c r="L428" s="2">
        <f t="shared" si="128"/>
        <v>4.3343653250773996E-3</v>
      </c>
      <c r="M428" s="2">
        <f t="shared" si="129"/>
        <v>7.6160990712074231E-2</v>
      </c>
      <c r="N428" s="63">
        <v>642</v>
      </c>
      <c r="O428" s="63">
        <v>843</v>
      </c>
      <c r="P428" s="63">
        <v>7</v>
      </c>
      <c r="Q428" s="63">
        <v>87</v>
      </c>
      <c r="R428" s="63">
        <v>36</v>
      </c>
      <c r="S428" s="63">
        <v>0</v>
      </c>
      <c r="T428" s="67"/>
      <c r="U428" s="63"/>
      <c r="V428" s="63"/>
      <c r="W428" s="63">
        <f t="shared" si="121"/>
        <v>0</v>
      </c>
      <c r="X428" s="63"/>
      <c r="Y428" s="63"/>
      <c r="Z428" s="63"/>
      <c r="AA428" s="63"/>
      <c r="AB428" s="63"/>
      <c r="AE428" s="8">
        <v>0</v>
      </c>
      <c r="AT428" t="str">
        <f t="shared" si="130"/>
        <v>Limerick</v>
      </c>
      <c r="AU428" t="s">
        <v>925</v>
      </c>
      <c r="AV428">
        <v>1</v>
      </c>
      <c r="AX428" s="114">
        <v>23</v>
      </c>
      <c r="AY428" s="116">
        <v>31</v>
      </c>
      <c r="AZ428" s="116">
        <v>75</v>
      </c>
      <c r="BA428" s="120">
        <v>39195</v>
      </c>
      <c r="BB428" s="120">
        <f t="shared" si="131"/>
        <v>23031</v>
      </c>
      <c r="BC428" t="s">
        <v>1472</v>
      </c>
      <c r="BD428">
        <f t="shared" si="132"/>
        <v>2339195</v>
      </c>
      <c r="BE428" s="1">
        <v>57</v>
      </c>
      <c r="BI428">
        <v>28.24</v>
      </c>
      <c r="BJ428">
        <v>1.1000000000000001</v>
      </c>
      <c r="BK428">
        <v>27.14</v>
      </c>
      <c r="BS428" s="63">
        <v>0</v>
      </c>
      <c r="CK428" s="158" t="s">
        <v>3980</v>
      </c>
    </row>
    <row r="429" spans="1:89" hidden="1" outlineLevel="1">
      <c r="A429" t="s">
        <v>1335</v>
      </c>
      <c r="B429" s="8" t="s">
        <v>1697</v>
      </c>
      <c r="C429" s="1">
        <f t="shared" si="122"/>
        <v>789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 t="shared" si="123"/>
        <v>5</v>
      </c>
      <c r="G429" s="1">
        <f t="shared" si="124"/>
        <v>85</v>
      </c>
      <c r="H429" s="2">
        <f t="shared" si="125"/>
        <v>0.10773130544993663</v>
      </c>
      <c r="I429" s="6"/>
      <c r="J429" s="2">
        <f t="shared" si="126"/>
        <v>0.41191381495564006</v>
      </c>
      <c r="K429" s="2">
        <f t="shared" si="127"/>
        <v>0.51964512040557664</v>
      </c>
      <c r="L429" s="2">
        <f t="shared" si="128"/>
        <v>2.5348542458808617E-3</v>
      </c>
      <c r="M429" s="2">
        <f t="shared" si="129"/>
        <v>6.590621039290244E-2</v>
      </c>
      <c r="N429" s="63">
        <v>325</v>
      </c>
      <c r="O429" s="63">
        <v>410</v>
      </c>
      <c r="P429" s="63">
        <v>2</v>
      </c>
      <c r="Q429" s="63">
        <v>37</v>
      </c>
      <c r="R429" s="63">
        <v>15</v>
      </c>
      <c r="S429" s="63">
        <v>0</v>
      </c>
      <c r="T429" s="67"/>
      <c r="U429" s="63"/>
      <c r="V429" s="63"/>
      <c r="W429" s="63">
        <f t="shared" si="121"/>
        <v>0</v>
      </c>
      <c r="X429" s="63"/>
      <c r="Y429" s="63"/>
      <c r="Z429" s="63"/>
      <c r="AA429" s="63"/>
      <c r="AB429" s="63"/>
      <c r="AE429" s="8">
        <v>0</v>
      </c>
      <c r="AT429" t="str">
        <f t="shared" si="130"/>
        <v>Limestone</v>
      </c>
      <c r="AU429" t="s">
        <v>2830</v>
      </c>
      <c r="AV429">
        <v>2</v>
      </c>
      <c r="AX429" s="114">
        <v>23</v>
      </c>
      <c r="AY429" s="116">
        <v>3</v>
      </c>
      <c r="AZ429" s="116">
        <v>160</v>
      </c>
      <c r="BA429" s="120">
        <v>39300</v>
      </c>
      <c r="BB429" s="120">
        <f t="shared" si="131"/>
        <v>23003</v>
      </c>
      <c r="BC429" t="s">
        <v>1472</v>
      </c>
      <c r="BD429">
        <f t="shared" si="132"/>
        <v>2339300</v>
      </c>
      <c r="BE429" s="1">
        <v>23</v>
      </c>
      <c r="BI429">
        <v>40.71</v>
      </c>
      <c r="BJ429">
        <v>0.3</v>
      </c>
      <c r="BK429">
        <v>40.409999999999997</v>
      </c>
      <c r="BS429" s="63">
        <v>0</v>
      </c>
      <c r="CK429" s="1" t="s">
        <v>3981</v>
      </c>
    </row>
    <row r="430" spans="1:89" hidden="1" outlineLevel="1">
      <c r="A430" t="s">
        <v>3152</v>
      </c>
      <c r="B430" s="8" t="s">
        <v>1697</v>
      </c>
      <c r="C430" s="1">
        <f t="shared" si="122"/>
        <v>2036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 t="shared" si="123"/>
        <v>5</v>
      </c>
      <c r="G430" s="1">
        <f t="shared" si="124"/>
        <v>498</v>
      </c>
      <c r="H430" s="2">
        <f t="shared" si="125"/>
        <v>0.24459724950884087</v>
      </c>
      <c r="I430" s="6"/>
      <c r="J430" s="2">
        <f t="shared" si="126"/>
        <v>0.34233791748526521</v>
      </c>
      <c r="K430" s="2">
        <f t="shared" si="127"/>
        <v>0.58693516699410608</v>
      </c>
      <c r="L430" s="2">
        <f t="shared" si="128"/>
        <v>2.455795677799607E-3</v>
      </c>
      <c r="M430" s="2">
        <f t="shared" si="129"/>
        <v>6.8271119842829103E-2</v>
      </c>
      <c r="N430" s="63">
        <v>697</v>
      </c>
      <c r="O430" s="63">
        <v>1195</v>
      </c>
      <c r="P430" s="63">
        <v>5</v>
      </c>
      <c r="Q430" s="63">
        <v>103</v>
      </c>
      <c r="R430" s="63">
        <v>36</v>
      </c>
      <c r="S430" s="63">
        <v>0</v>
      </c>
      <c r="T430" s="67"/>
      <c r="U430" s="63"/>
      <c r="V430" s="63"/>
      <c r="W430" s="63">
        <f t="shared" ref="W430:W493" si="133">BS430</f>
        <v>0</v>
      </c>
      <c r="X430" s="63"/>
      <c r="Y430" s="63"/>
      <c r="Z430" s="63"/>
      <c r="AA430" s="63"/>
      <c r="AB430" s="63"/>
      <c r="AE430" s="8">
        <v>0</v>
      </c>
      <c r="AT430" t="str">
        <f t="shared" si="130"/>
        <v>Limington</v>
      </c>
      <c r="AU430" t="s">
        <v>925</v>
      </c>
      <c r="AV430">
        <v>1</v>
      </c>
      <c r="AX430" s="114">
        <v>23</v>
      </c>
      <c r="AY430" s="116">
        <v>31</v>
      </c>
      <c r="AZ430" s="116">
        <v>80</v>
      </c>
      <c r="BA430" s="120">
        <v>39405</v>
      </c>
      <c r="BB430" s="120">
        <f t="shared" si="131"/>
        <v>23031</v>
      </c>
      <c r="BC430" t="s">
        <v>1472</v>
      </c>
      <c r="BD430">
        <f t="shared" si="132"/>
        <v>2339405</v>
      </c>
      <c r="BE430" s="1">
        <v>58</v>
      </c>
      <c r="BI430">
        <v>43.28</v>
      </c>
      <c r="BJ430">
        <v>1.3</v>
      </c>
      <c r="BK430">
        <v>41.99</v>
      </c>
      <c r="BS430" s="63">
        <v>0</v>
      </c>
      <c r="CK430" s="1" t="s">
        <v>3982</v>
      </c>
    </row>
    <row r="431" spans="1:89" hidden="1" outlineLevel="1">
      <c r="A431" t="s">
        <v>1597</v>
      </c>
      <c r="B431" s="8" t="s">
        <v>1697</v>
      </c>
      <c r="C431" s="1">
        <f t="shared" si="122"/>
        <v>2444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 t="shared" si="123"/>
        <v>5</v>
      </c>
      <c r="G431" s="1">
        <f t="shared" si="124"/>
        <v>870</v>
      </c>
      <c r="H431" s="2">
        <f t="shared" si="125"/>
        <v>0.35597381342062195</v>
      </c>
      <c r="I431" s="6"/>
      <c r="J431" s="2">
        <f t="shared" si="126"/>
        <v>0.28805237315875615</v>
      </c>
      <c r="K431" s="2">
        <f t="shared" si="127"/>
        <v>0.64402618657937805</v>
      </c>
      <c r="L431" s="2">
        <f t="shared" si="128"/>
        <v>1.2274959083469722E-3</v>
      </c>
      <c r="M431" s="2">
        <f t="shared" si="129"/>
        <v>6.6693944353518886E-2</v>
      </c>
      <c r="N431" s="63">
        <v>704</v>
      </c>
      <c r="O431" s="63">
        <v>1574</v>
      </c>
      <c r="P431" s="63">
        <v>3</v>
      </c>
      <c r="Q431" s="63">
        <v>124</v>
      </c>
      <c r="R431" s="63">
        <v>39</v>
      </c>
      <c r="S431" s="63">
        <v>0</v>
      </c>
      <c r="T431" s="67"/>
      <c r="U431" s="63"/>
      <c r="V431" s="63"/>
      <c r="W431" s="63">
        <f t="shared" si="133"/>
        <v>0</v>
      </c>
      <c r="X431" s="63"/>
      <c r="Y431" s="63"/>
      <c r="Z431" s="63"/>
      <c r="AA431" s="63"/>
      <c r="AB431" s="63"/>
      <c r="AE431" s="8">
        <v>0</v>
      </c>
      <c r="AT431" t="str">
        <f t="shared" si="130"/>
        <v>Lincoln</v>
      </c>
      <c r="AU431" t="s">
        <v>2481</v>
      </c>
      <c r="AV431">
        <v>2</v>
      </c>
      <c r="AX431" s="114">
        <v>23</v>
      </c>
      <c r="AY431" s="116">
        <v>19</v>
      </c>
      <c r="AZ431" s="116">
        <v>190</v>
      </c>
      <c r="BA431" s="120">
        <v>39475</v>
      </c>
      <c r="BB431" s="120">
        <f t="shared" si="131"/>
        <v>23019</v>
      </c>
      <c r="BC431" t="s">
        <v>1472</v>
      </c>
      <c r="BD431">
        <f t="shared" si="132"/>
        <v>2339475</v>
      </c>
      <c r="BE431" s="1">
        <v>89</v>
      </c>
      <c r="BI431">
        <v>74.849999999999994</v>
      </c>
      <c r="BJ431">
        <v>6.93</v>
      </c>
      <c r="BK431">
        <v>67.91</v>
      </c>
      <c r="BS431" s="63">
        <v>0</v>
      </c>
      <c r="CK431" s="1" t="s">
        <v>3983</v>
      </c>
    </row>
    <row r="432" spans="1:89" hidden="1" outlineLevel="1">
      <c r="A432" t="s">
        <v>1597</v>
      </c>
      <c r="B432" s="8" t="s">
        <v>1697</v>
      </c>
      <c r="C432" s="1">
        <f t="shared" si="122"/>
        <v>29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 t="shared" si="123"/>
        <v>3</v>
      </c>
      <c r="G432" s="1">
        <f t="shared" si="124"/>
        <v>9</v>
      </c>
      <c r="H432" s="2">
        <f t="shared" si="125"/>
        <v>0.31034482758620691</v>
      </c>
      <c r="I432" s="6"/>
      <c r="J432" s="2">
        <f t="shared" si="126"/>
        <v>0.27586206896551724</v>
      </c>
      <c r="K432" s="2">
        <f t="shared" si="127"/>
        <v>0.58620689655172409</v>
      </c>
      <c r="L432" s="2">
        <f t="shared" si="128"/>
        <v>6.8965517241379309E-2</v>
      </c>
      <c r="M432" s="2">
        <f t="shared" si="129"/>
        <v>6.8965517241379365E-2</v>
      </c>
      <c r="N432" s="63">
        <v>8</v>
      </c>
      <c r="O432" s="63">
        <v>17</v>
      </c>
      <c r="P432" s="63">
        <v>2</v>
      </c>
      <c r="Q432" s="63">
        <v>1</v>
      </c>
      <c r="R432" s="63">
        <v>0</v>
      </c>
      <c r="S432" s="63">
        <v>0</v>
      </c>
      <c r="T432" s="67"/>
      <c r="U432" s="63"/>
      <c r="V432" s="63"/>
      <c r="W432" s="63">
        <f t="shared" si="133"/>
        <v>0</v>
      </c>
      <c r="X432" s="63"/>
      <c r="Y432" s="63"/>
      <c r="Z432" s="63"/>
      <c r="AA432" s="63"/>
      <c r="AB432" s="63"/>
      <c r="AE432" s="8">
        <v>1</v>
      </c>
      <c r="AT432" t="str">
        <f t="shared" si="130"/>
        <v>Lincoln</v>
      </c>
      <c r="AU432" t="s">
        <v>2383</v>
      </c>
      <c r="AV432">
        <v>2</v>
      </c>
      <c r="AX432" s="114">
        <v>23</v>
      </c>
      <c r="AY432" s="116">
        <v>17</v>
      </c>
      <c r="AZ432" s="116">
        <v>80</v>
      </c>
      <c r="BA432" s="120">
        <v>39422</v>
      </c>
      <c r="BB432" s="120">
        <f t="shared" si="131"/>
        <v>23017</v>
      </c>
      <c r="BC432" t="s">
        <v>3075</v>
      </c>
      <c r="BD432">
        <f t="shared" si="132"/>
        <v>2339422</v>
      </c>
      <c r="BE432" s="1">
        <v>0</v>
      </c>
      <c r="BI432">
        <v>36.85</v>
      </c>
      <c r="BJ432">
        <v>4.3600000000000003</v>
      </c>
      <c r="BK432">
        <v>32.49</v>
      </c>
      <c r="BS432" s="63">
        <v>0</v>
      </c>
      <c r="CK432" s="1" t="s">
        <v>3984</v>
      </c>
    </row>
    <row r="433" spans="1:89" hidden="1" outlineLevel="1">
      <c r="A433" t="s">
        <v>2909</v>
      </c>
      <c r="B433" s="8" t="s">
        <v>1697</v>
      </c>
      <c r="C433" s="1">
        <f t="shared" si="122"/>
        <v>1517</v>
      </c>
      <c r="D433" s="5">
        <f>IF(N433&gt;0, RANK(N433,(N433:P433,Q433:AE433)),0)</f>
        <v>1</v>
      </c>
      <c r="E433" s="5">
        <f>IF(O433&gt;0,RANK(O433,(N433:P433,Q433:AE433)),0)</f>
        <v>2</v>
      </c>
      <c r="F433" s="5">
        <f t="shared" si="123"/>
        <v>5</v>
      </c>
      <c r="G433" s="1">
        <f t="shared" si="124"/>
        <v>373</v>
      </c>
      <c r="H433" s="2">
        <f t="shared" si="125"/>
        <v>0.24588002636783124</v>
      </c>
      <c r="I433" s="6"/>
      <c r="J433" s="2">
        <f t="shared" si="126"/>
        <v>0.58206987475280159</v>
      </c>
      <c r="K433" s="2">
        <f t="shared" si="127"/>
        <v>0.33618984838497035</v>
      </c>
      <c r="L433" s="2">
        <f t="shared" si="128"/>
        <v>1.977587343441002E-3</v>
      </c>
      <c r="M433" s="2">
        <f t="shared" si="129"/>
        <v>7.9762689518787067E-2</v>
      </c>
      <c r="N433" s="63">
        <v>883</v>
      </c>
      <c r="O433" s="63">
        <v>510</v>
      </c>
      <c r="P433" s="63">
        <v>3</v>
      </c>
      <c r="Q433" s="63">
        <v>78</v>
      </c>
      <c r="R433" s="63">
        <v>43</v>
      </c>
      <c r="S433" s="63">
        <v>0</v>
      </c>
      <c r="T433" s="67"/>
      <c r="U433" s="63"/>
      <c r="V433" s="63"/>
      <c r="W433" s="63">
        <f t="shared" si="133"/>
        <v>0</v>
      </c>
      <c r="X433" s="63"/>
      <c r="Y433" s="63"/>
      <c r="Z433" s="63"/>
      <c r="AA433" s="63"/>
      <c r="AB433" s="63"/>
      <c r="AE433" s="8">
        <v>0</v>
      </c>
      <c r="AT433" t="str">
        <f t="shared" si="130"/>
        <v>Lincolnville</v>
      </c>
      <c r="AU433" t="s">
        <v>217</v>
      </c>
      <c r="AV433">
        <v>2</v>
      </c>
      <c r="AX433" s="114">
        <v>23</v>
      </c>
      <c r="AY433" s="116">
        <v>27</v>
      </c>
      <c r="AZ433" s="116">
        <v>55</v>
      </c>
      <c r="BA433" s="120">
        <v>39755</v>
      </c>
      <c r="BB433" s="120">
        <f t="shared" si="131"/>
        <v>23027</v>
      </c>
      <c r="BC433" t="s">
        <v>1472</v>
      </c>
      <c r="BD433">
        <f t="shared" si="132"/>
        <v>2339755</v>
      </c>
      <c r="BE433" s="1">
        <v>57</v>
      </c>
      <c r="BI433">
        <v>43.73</v>
      </c>
      <c r="BJ433">
        <v>6.36</v>
      </c>
      <c r="BK433">
        <v>37.369999999999997</v>
      </c>
      <c r="BS433" s="63">
        <v>0</v>
      </c>
      <c r="CK433" s="1" t="s">
        <v>3985</v>
      </c>
    </row>
    <row r="434" spans="1:89" hidden="1" outlineLevel="1">
      <c r="A434" t="s">
        <v>1775</v>
      </c>
      <c r="B434" s="8" t="s">
        <v>1697</v>
      </c>
      <c r="C434" s="1">
        <f t="shared" si="122"/>
        <v>466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 t="shared" si="123"/>
        <v>0</v>
      </c>
      <c r="G434" s="1">
        <f t="shared" si="124"/>
        <v>270</v>
      </c>
      <c r="H434" s="2">
        <f t="shared" si="125"/>
        <v>0.57939914163090134</v>
      </c>
      <c r="I434" s="6"/>
      <c r="J434" s="2">
        <f t="shared" si="126"/>
        <v>0.18884120171673821</v>
      </c>
      <c r="K434" s="2">
        <f t="shared" si="127"/>
        <v>0.76824034334763946</v>
      </c>
      <c r="L434" s="2">
        <f t="shared" si="128"/>
        <v>0</v>
      </c>
      <c r="M434" s="2">
        <f t="shared" si="129"/>
        <v>4.2918454935622297E-2</v>
      </c>
      <c r="N434" s="63">
        <v>88</v>
      </c>
      <c r="O434" s="63">
        <v>358</v>
      </c>
      <c r="P434" s="63">
        <v>0</v>
      </c>
      <c r="Q434" s="63">
        <v>17</v>
      </c>
      <c r="R434" s="63">
        <v>3</v>
      </c>
      <c r="S434" s="63">
        <v>0</v>
      </c>
      <c r="T434" s="67"/>
      <c r="U434" s="63"/>
      <c r="V434" s="63"/>
      <c r="W434" s="63">
        <f t="shared" si="133"/>
        <v>0</v>
      </c>
      <c r="X434" s="63"/>
      <c r="Y434" s="63"/>
      <c r="Z434" s="63"/>
      <c r="AA434" s="63"/>
      <c r="AB434" s="63"/>
      <c r="AE434" s="8">
        <v>0</v>
      </c>
      <c r="AT434" t="str">
        <f t="shared" si="130"/>
        <v>Linneus</v>
      </c>
      <c r="AU434" t="s">
        <v>2830</v>
      </c>
      <c r="AV434">
        <v>2</v>
      </c>
      <c r="AX434" s="114">
        <v>23</v>
      </c>
      <c r="AY434" s="116">
        <v>3</v>
      </c>
      <c r="AZ434" s="116">
        <v>165</v>
      </c>
      <c r="BA434" s="120">
        <v>39965</v>
      </c>
      <c r="BB434" s="120">
        <f t="shared" si="131"/>
        <v>23003</v>
      </c>
      <c r="BC434" t="s">
        <v>1472</v>
      </c>
      <c r="BD434">
        <f t="shared" si="132"/>
        <v>2339965</v>
      </c>
      <c r="BE434" s="1">
        <v>16</v>
      </c>
      <c r="BI434">
        <v>45.83</v>
      </c>
      <c r="BJ434">
        <v>1.28</v>
      </c>
      <c r="BK434">
        <v>44.56</v>
      </c>
      <c r="BS434" s="63">
        <v>0</v>
      </c>
      <c r="CK434" s="1" t="s">
        <v>3986</v>
      </c>
    </row>
    <row r="435" spans="1:89" hidden="1" outlineLevel="1">
      <c r="A435" t="s">
        <v>1510</v>
      </c>
      <c r="B435" s="8" t="s">
        <v>1697</v>
      </c>
      <c r="C435" s="1">
        <f t="shared" si="122"/>
        <v>4827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 t="shared" si="123"/>
        <v>5</v>
      </c>
      <c r="G435" s="1">
        <f t="shared" si="124"/>
        <v>1052</v>
      </c>
      <c r="H435" s="2">
        <f t="shared" si="125"/>
        <v>0.217940749948208</v>
      </c>
      <c r="I435" s="6"/>
      <c r="J435" s="2">
        <f t="shared" si="126"/>
        <v>0.35156411850010361</v>
      </c>
      <c r="K435" s="2">
        <f t="shared" si="127"/>
        <v>0.56950486844831161</v>
      </c>
      <c r="L435" s="2">
        <f t="shared" si="128"/>
        <v>2.90035218562254E-3</v>
      </c>
      <c r="M435" s="2">
        <f t="shared" si="129"/>
        <v>7.6030660865962246E-2</v>
      </c>
      <c r="N435" s="63">
        <v>1697</v>
      </c>
      <c r="O435" s="63">
        <v>2749</v>
      </c>
      <c r="P435" s="63">
        <v>14</v>
      </c>
      <c r="Q435" s="63">
        <v>281</v>
      </c>
      <c r="R435" s="63">
        <v>83</v>
      </c>
      <c r="S435" s="63">
        <v>3</v>
      </c>
      <c r="T435" s="67"/>
      <c r="U435" s="63"/>
      <c r="V435" s="63"/>
      <c r="W435" s="63">
        <f t="shared" si="133"/>
        <v>0</v>
      </c>
      <c r="X435" s="63"/>
      <c r="Y435" s="63"/>
      <c r="Z435" s="63"/>
      <c r="AA435" s="63"/>
      <c r="AB435" s="63"/>
      <c r="AE435" s="8">
        <v>0</v>
      </c>
      <c r="AT435" t="str">
        <f t="shared" si="130"/>
        <v>Lisbon</v>
      </c>
      <c r="AU435" t="s">
        <v>1118</v>
      </c>
      <c r="AV435">
        <v>2</v>
      </c>
      <c r="AX435" s="114">
        <v>23</v>
      </c>
      <c r="AY435" s="116">
        <v>1</v>
      </c>
      <c r="AZ435" s="116">
        <v>30</v>
      </c>
      <c r="BA435" s="120">
        <v>40035</v>
      </c>
      <c r="BB435" s="120">
        <f t="shared" si="131"/>
        <v>23001</v>
      </c>
      <c r="BC435" t="s">
        <v>1472</v>
      </c>
      <c r="BD435">
        <f t="shared" si="132"/>
        <v>2340035</v>
      </c>
      <c r="BE435" s="1">
        <v>119</v>
      </c>
      <c r="BI435">
        <v>24.16</v>
      </c>
      <c r="BJ435">
        <v>0.55000000000000004</v>
      </c>
      <c r="BK435">
        <v>23.61</v>
      </c>
      <c r="BS435" s="63">
        <v>0</v>
      </c>
      <c r="CK435" s="1" t="s">
        <v>3987</v>
      </c>
    </row>
    <row r="436" spans="1:89" hidden="1" outlineLevel="1">
      <c r="A436" t="s">
        <v>1276</v>
      </c>
      <c r="B436" s="8" t="s">
        <v>1697</v>
      </c>
      <c r="C436" s="1">
        <f t="shared" si="122"/>
        <v>2021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 t="shared" si="123"/>
        <v>5</v>
      </c>
      <c r="G436" s="1">
        <f t="shared" si="124"/>
        <v>455</v>
      </c>
      <c r="H436" s="2">
        <f t="shared" si="125"/>
        <v>0.22513607125185553</v>
      </c>
      <c r="I436" s="6"/>
      <c r="J436" s="2">
        <f t="shared" si="126"/>
        <v>0.34685799109351806</v>
      </c>
      <c r="K436" s="2">
        <f t="shared" si="127"/>
        <v>0.57199406234537353</v>
      </c>
      <c r="L436" s="2">
        <f t="shared" si="128"/>
        <v>5.4428500742206825E-3</v>
      </c>
      <c r="M436" s="2">
        <f t="shared" si="129"/>
        <v>7.5705096486887669E-2</v>
      </c>
      <c r="N436" s="63">
        <v>701</v>
      </c>
      <c r="O436" s="63">
        <v>1156</v>
      </c>
      <c r="P436" s="63">
        <v>11</v>
      </c>
      <c r="Q436" s="63">
        <v>109</v>
      </c>
      <c r="R436" s="63">
        <v>43</v>
      </c>
      <c r="S436" s="63">
        <v>1</v>
      </c>
      <c r="T436" s="67"/>
      <c r="U436" s="63"/>
      <c r="V436" s="63"/>
      <c r="W436" s="63">
        <f t="shared" si="133"/>
        <v>0</v>
      </c>
      <c r="X436" s="63"/>
      <c r="Y436" s="63"/>
      <c r="Z436" s="63"/>
      <c r="AA436" s="63"/>
      <c r="AB436" s="63"/>
      <c r="AE436" s="8">
        <v>0</v>
      </c>
      <c r="AT436" t="str">
        <f t="shared" si="130"/>
        <v>Litchfield</v>
      </c>
      <c r="AU436" t="s">
        <v>3007</v>
      </c>
      <c r="AV436">
        <v>2</v>
      </c>
      <c r="AX436" s="114">
        <v>23</v>
      </c>
      <c r="AY436" s="116">
        <v>11</v>
      </c>
      <c r="AZ436" s="116">
        <v>60</v>
      </c>
      <c r="BA436" s="120">
        <v>40175</v>
      </c>
      <c r="BB436" s="120">
        <f t="shared" si="131"/>
        <v>23011</v>
      </c>
      <c r="BC436" t="s">
        <v>1472</v>
      </c>
      <c r="BD436">
        <f t="shared" si="132"/>
        <v>2340175</v>
      </c>
      <c r="BE436" s="1">
        <v>64</v>
      </c>
      <c r="BI436">
        <v>39.69</v>
      </c>
      <c r="BJ436">
        <v>2.2599999999999998</v>
      </c>
      <c r="BK436">
        <v>37.43</v>
      </c>
      <c r="BS436" s="63">
        <v>0</v>
      </c>
      <c r="CK436" s="1" t="s">
        <v>3988</v>
      </c>
    </row>
    <row r="437" spans="1:89" hidden="1" outlineLevel="1">
      <c r="A437" t="s">
        <v>1781</v>
      </c>
      <c r="B437" s="8" t="s">
        <v>1697</v>
      </c>
      <c r="C437" s="1">
        <f t="shared" si="122"/>
        <v>494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 t="shared" si="123"/>
        <v>0</v>
      </c>
      <c r="G437" s="1">
        <f t="shared" si="124"/>
        <v>244</v>
      </c>
      <c r="H437" s="2">
        <f t="shared" si="125"/>
        <v>0.49392712550607287</v>
      </c>
      <c r="I437" s="6"/>
      <c r="J437" s="2">
        <f t="shared" si="126"/>
        <v>0.22672064777327935</v>
      </c>
      <c r="K437" s="2">
        <f t="shared" si="127"/>
        <v>0.72064777327935226</v>
      </c>
      <c r="L437" s="2">
        <f t="shared" si="128"/>
        <v>0</v>
      </c>
      <c r="M437" s="2">
        <f t="shared" si="129"/>
        <v>5.2631578947368363E-2</v>
      </c>
      <c r="N437" s="63">
        <v>112</v>
      </c>
      <c r="O437" s="63">
        <v>356</v>
      </c>
      <c r="P437" s="63">
        <v>0</v>
      </c>
      <c r="Q437" s="63">
        <v>19</v>
      </c>
      <c r="R437" s="63">
        <v>7</v>
      </c>
      <c r="S437" s="63">
        <v>0</v>
      </c>
      <c r="T437" s="67"/>
      <c r="U437" s="63"/>
      <c r="V437" s="63"/>
      <c r="W437" s="63">
        <f t="shared" si="133"/>
        <v>0</v>
      </c>
      <c r="X437" s="63"/>
      <c r="Y437" s="63"/>
      <c r="Z437" s="63"/>
      <c r="AA437" s="63"/>
      <c r="AB437" s="63"/>
      <c r="AE437" s="8">
        <v>0</v>
      </c>
      <c r="AT437" t="str">
        <f t="shared" si="130"/>
        <v>Littleton</v>
      </c>
      <c r="AU437" t="s">
        <v>2830</v>
      </c>
      <c r="AV437">
        <v>2</v>
      </c>
      <c r="AX437" s="114">
        <v>23</v>
      </c>
      <c r="AY437" s="116">
        <v>3</v>
      </c>
      <c r="AZ437" s="116">
        <v>170</v>
      </c>
      <c r="BA437" s="120">
        <v>40595</v>
      </c>
      <c r="BB437" s="120">
        <f t="shared" si="131"/>
        <v>23003</v>
      </c>
      <c r="BC437" t="s">
        <v>1472</v>
      </c>
      <c r="BD437">
        <f t="shared" si="132"/>
        <v>2340595</v>
      </c>
      <c r="BE437" s="1">
        <v>15</v>
      </c>
      <c r="BI437">
        <v>38.61</v>
      </c>
      <c r="BJ437">
        <v>0.19</v>
      </c>
      <c r="BK437">
        <v>38.42</v>
      </c>
      <c r="BS437" s="63">
        <v>0</v>
      </c>
      <c r="CK437" s="1" t="s">
        <v>3989</v>
      </c>
    </row>
    <row r="438" spans="1:89" hidden="1" outlineLevel="1">
      <c r="A438" t="s">
        <v>2329</v>
      </c>
      <c r="B438" s="8" t="s">
        <v>1697</v>
      </c>
      <c r="C438" s="1">
        <f t="shared" si="122"/>
        <v>1289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 t="shared" si="123"/>
        <v>4</v>
      </c>
      <c r="G438" s="1">
        <f t="shared" si="124"/>
        <v>233</v>
      </c>
      <c r="H438" s="2">
        <f t="shared" si="125"/>
        <v>0.18076027928626842</v>
      </c>
      <c r="I438" s="6"/>
      <c r="J438" s="2">
        <f t="shared" si="126"/>
        <v>0.36539953452288598</v>
      </c>
      <c r="K438" s="2">
        <f t="shared" si="127"/>
        <v>0.54615981380915435</v>
      </c>
      <c r="L438" s="2">
        <f t="shared" si="128"/>
        <v>2.1722265321955005E-2</v>
      </c>
      <c r="M438" s="2">
        <f t="shared" si="129"/>
        <v>6.671838634600466E-2</v>
      </c>
      <c r="N438" s="63">
        <v>471</v>
      </c>
      <c r="O438" s="63">
        <v>704</v>
      </c>
      <c r="P438" s="63">
        <v>28</v>
      </c>
      <c r="Q438" s="63">
        <v>64</v>
      </c>
      <c r="R438" s="63">
        <v>22</v>
      </c>
      <c r="S438" s="63">
        <v>0</v>
      </c>
      <c r="T438" s="67"/>
      <c r="U438" s="63"/>
      <c r="V438" s="63"/>
      <c r="W438" s="63">
        <f t="shared" si="133"/>
        <v>0</v>
      </c>
      <c r="X438" s="63"/>
      <c r="Y438" s="63"/>
      <c r="Z438" s="63"/>
      <c r="AA438" s="63"/>
      <c r="AB438" s="63"/>
      <c r="AE438" s="8">
        <v>0</v>
      </c>
      <c r="AT438" t="str">
        <f t="shared" si="130"/>
        <v>Livermore</v>
      </c>
      <c r="AU438" t="s">
        <v>1118</v>
      </c>
      <c r="AV438">
        <v>2</v>
      </c>
      <c r="AX438" s="114">
        <v>23</v>
      </c>
      <c r="AY438" s="116">
        <v>1</v>
      </c>
      <c r="AZ438" s="116">
        <v>35</v>
      </c>
      <c r="BA438" s="120">
        <v>40665</v>
      </c>
      <c r="BB438" s="120">
        <f t="shared" si="131"/>
        <v>23001</v>
      </c>
      <c r="BC438" t="s">
        <v>1472</v>
      </c>
      <c r="BD438">
        <f t="shared" si="132"/>
        <v>2340665</v>
      </c>
      <c r="BE438" s="1">
        <v>50</v>
      </c>
      <c r="BI438">
        <v>39.4</v>
      </c>
      <c r="BJ438">
        <v>1.71</v>
      </c>
      <c r="BK438">
        <v>37.69</v>
      </c>
      <c r="BS438" s="63">
        <v>0</v>
      </c>
      <c r="CK438" s="159" t="s">
        <v>3990</v>
      </c>
    </row>
    <row r="439" spans="1:89" hidden="1" outlineLevel="1">
      <c r="A439" t="s">
        <v>1884</v>
      </c>
      <c r="B439" s="8" t="s">
        <v>1697</v>
      </c>
      <c r="C439" s="1">
        <f t="shared" si="122"/>
        <v>1435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 t="shared" si="123"/>
        <v>0</v>
      </c>
      <c r="G439" s="1">
        <f t="shared" si="124"/>
        <v>178</v>
      </c>
      <c r="H439" s="2">
        <f t="shared" si="125"/>
        <v>0.1240418118466899</v>
      </c>
      <c r="I439" s="6"/>
      <c r="J439" s="2">
        <f t="shared" si="126"/>
        <v>0.38327526132404183</v>
      </c>
      <c r="K439" s="2">
        <f t="shared" si="127"/>
        <v>0.50731707317073171</v>
      </c>
      <c r="L439" s="2">
        <f t="shared" si="128"/>
        <v>0</v>
      </c>
      <c r="M439" s="2">
        <f t="shared" si="129"/>
        <v>0.10940766550522651</v>
      </c>
      <c r="N439" s="63">
        <v>550</v>
      </c>
      <c r="O439" s="63">
        <v>728</v>
      </c>
      <c r="P439" s="63">
        <v>0</v>
      </c>
      <c r="Q439" s="63">
        <v>114</v>
      </c>
      <c r="R439" s="63">
        <v>43</v>
      </c>
      <c r="S439" s="63">
        <v>0</v>
      </c>
      <c r="T439" s="67"/>
      <c r="U439" s="63"/>
      <c r="V439" s="63"/>
      <c r="W439" s="63">
        <f t="shared" si="133"/>
        <v>0</v>
      </c>
      <c r="X439" s="63"/>
      <c r="Y439" s="63"/>
      <c r="Z439" s="63"/>
      <c r="AA439" s="63"/>
      <c r="AB439" s="63"/>
      <c r="AE439" s="8">
        <v>0</v>
      </c>
      <c r="AT439" t="str">
        <f t="shared" si="130"/>
        <v>Livermore Falls</v>
      </c>
      <c r="AU439" t="s">
        <v>1118</v>
      </c>
      <c r="AV439">
        <v>2</v>
      </c>
      <c r="AX439" s="114">
        <v>23</v>
      </c>
      <c r="AY439" s="116">
        <v>1</v>
      </c>
      <c r="AZ439" s="116">
        <v>40</v>
      </c>
      <c r="BA439" s="120">
        <v>40770</v>
      </c>
      <c r="BB439" s="120">
        <f t="shared" si="131"/>
        <v>23001</v>
      </c>
      <c r="BC439" t="s">
        <v>1472</v>
      </c>
      <c r="BD439">
        <f t="shared" si="132"/>
        <v>2340770</v>
      </c>
      <c r="BE439" s="1">
        <v>51</v>
      </c>
      <c r="BI439">
        <v>20.43</v>
      </c>
      <c r="BJ439">
        <v>0.68</v>
      </c>
      <c r="BK439">
        <v>19.75</v>
      </c>
      <c r="BS439" s="63">
        <v>0</v>
      </c>
      <c r="CK439" s="1" t="s">
        <v>3991</v>
      </c>
    </row>
    <row r="440" spans="1:89" hidden="1" outlineLevel="1">
      <c r="A440" s="34" t="s">
        <v>2899</v>
      </c>
      <c r="B440" s="8" t="s">
        <v>1697</v>
      </c>
      <c r="C440" s="1">
        <f t="shared" si="122"/>
        <v>172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 t="shared" si="123"/>
        <v>4</v>
      </c>
      <c r="G440" s="1">
        <f t="shared" si="124"/>
        <v>57</v>
      </c>
      <c r="H440" s="2">
        <f t="shared" si="125"/>
        <v>0.33139534883720928</v>
      </c>
      <c r="I440" s="6"/>
      <c r="J440" s="2">
        <f t="shared" si="126"/>
        <v>0.63372093023255816</v>
      </c>
      <c r="K440" s="2">
        <f t="shared" si="127"/>
        <v>0.30232558139534882</v>
      </c>
      <c r="L440" s="2">
        <f t="shared" si="128"/>
        <v>1.1627906976744186E-2</v>
      </c>
      <c r="M440" s="2">
        <f t="shared" si="129"/>
        <v>5.232558139534884E-2</v>
      </c>
      <c r="N440" s="63">
        <v>109</v>
      </c>
      <c r="O440" s="63">
        <v>52</v>
      </c>
      <c r="P440" s="63">
        <v>2</v>
      </c>
      <c r="Q440" s="63">
        <v>7</v>
      </c>
      <c r="R440" s="63">
        <v>2</v>
      </c>
      <c r="S440" s="63">
        <v>0</v>
      </c>
      <c r="T440" s="67"/>
      <c r="U440" s="63"/>
      <c r="V440" s="63"/>
      <c r="W440" s="63">
        <f t="shared" si="133"/>
        <v>0</v>
      </c>
      <c r="X440" s="63"/>
      <c r="Y440" s="63"/>
      <c r="Z440" s="63"/>
      <c r="AA440" s="63"/>
      <c r="AB440" s="63"/>
      <c r="AE440" s="8">
        <v>0</v>
      </c>
      <c r="AT440" t="str">
        <f t="shared" si="130"/>
        <v>Long Island</v>
      </c>
      <c r="AU440" t="s">
        <v>1531</v>
      </c>
      <c r="AV440">
        <v>1</v>
      </c>
      <c r="AX440" s="114">
        <v>23</v>
      </c>
      <c r="AY440" s="116">
        <v>5</v>
      </c>
      <c r="AZ440" s="116">
        <v>63</v>
      </c>
      <c r="BA440" s="120">
        <v>41067</v>
      </c>
      <c r="BB440" s="120">
        <f t="shared" si="131"/>
        <v>23005</v>
      </c>
      <c r="BC440" t="s">
        <v>1472</v>
      </c>
      <c r="BD440">
        <f t="shared" si="132"/>
        <v>2341067</v>
      </c>
      <c r="BE440" s="1">
        <v>4</v>
      </c>
      <c r="BI440">
        <v>10.39</v>
      </c>
      <c r="BJ440">
        <v>8.9600000000000009</v>
      </c>
      <c r="BK440">
        <v>1.43</v>
      </c>
      <c r="BS440" s="63">
        <v>0</v>
      </c>
      <c r="CK440" s="1" t="s">
        <v>3992</v>
      </c>
    </row>
    <row r="441" spans="1:89" hidden="1" outlineLevel="1">
      <c r="A441" t="s">
        <v>2708</v>
      </c>
      <c r="B441" s="8" t="s">
        <v>1697</v>
      </c>
      <c r="C441" s="1">
        <f t="shared" si="122"/>
        <v>700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 t="shared" si="123"/>
        <v>0</v>
      </c>
      <c r="G441" s="1">
        <f t="shared" si="124"/>
        <v>22</v>
      </c>
      <c r="H441" s="2">
        <f t="shared" si="125"/>
        <v>3.1428571428571431E-2</v>
      </c>
      <c r="I441" s="6"/>
      <c r="J441" s="2">
        <f t="shared" si="126"/>
        <v>0.44714285714285712</v>
      </c>
      <c r="K441" s="2">
        <f t="shared" si="127"/>
        <v>0.47857142857142859</v>
      </c>
      <c r="L441" s="2">
        <f t="shared" si="128"/>
        <v>0</v>
      </c>
      <c r="M441" s="2">
        <f t="shared" si="129"/>
        <v>7.4285714285714344E-2</v>
      </c>
      <c r="N441" s="63">
        <v>313</v>
      </c>
      <c r="O441" s="63">
        <v>335</v>
      </c>
      <c r="P441" s="63">
        <v>0</v>
      </c>
      <c r="Q441" s="63">
        <v>44</v>
      </c>
      <c r="R441" s="63">
        <v>8</v>
      </c>
      <c r="S441" s="63">
        <v>0</v>
      </c>
      <c r="T441" s="67"/>
      <c r="U441" s="63"/>
      <c r="V441" s="63"/>
      <c r="W441" s="63">
        <f t="shared" si="133"/>
        <v>0</v>
      </c>
      <c r="X441" s="63"/>
      <c r="Y441" s="63"/>
      <c r="Z441" s="63"/>
      <c r="AA441" s="63"/>
      <c r="AB441" s="63"/>
      <c r="AE441" s="8">
        <v>0</v>
      </c>
      <c r="AT441" t="str">
        <f t="shared" si="130"/>
        <v>Lovell</v>
      </c>
      <c r="AU441" t="s">
        <v>2383</v>
      </c>
      <c r="AV441">
        <v>2</v>
      </c>
      <c r="AX441" s="114">
        <v>23</v>
      </c>
      <c r="AY441" s="116">
        <v>17</v>
      </c>
      <c r="AZ441" s="116">
        <v>85</v>
      </c>
      <c r="BA441" s="120">
        <v>41365</v>
      </c>
      <c r="BB441" s="120">
        <f t="shared" si="131"/>
        <v>23017</v>
      </c>
      <c r="BC441" t="s">
        <v>1472</v>
      </c>
      <c r="BD441">
        <f t="shared" si="132"/>
        <v>2341365</v>
      </c>
      <c r="BE441" s="1">
        <v>16</v>
      </c>
      <c r="BI441">
        <v>47.88</v>
      </c>
      <c r="BJ441">
        <v>4.7</v>
      </c>
      <c r="BK441">
        <v>43.17</v>
      </c>
      <c r="BS441" s="63">
        <v>0</v>
      </c>
      <c r="CK441" s="1" t="s">
        <v>3993</v>
      </c>
    </row>
    <row r="442" spans="1:89" hidden="1" outlineLevel="1">
      <c r="A442" t="s">
        <v>2854</v>
      </c>
      <c r="B442" s="8" t="s">
        <v>1697</v>
      </c>
      <c r="C442" s="1">
        <f t="shared" si="122"/>
        <v>230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 t="shared" si="123"/>
        <v>5</v>
      </c>
      <c r="G442" s="1">
        <f t="shared" si="124"/>
        <v>94</v>
      </c>
      <c r="H442" s="2">
        <f t="shared" si="125"/>
        <v>0.40869565217391307</v>
      </c>
      <c r="I442" s="6"/>
      <c r="J442" s="2">
        <f t="shared" si="126"/>
        <v>0.26521739130434785</v>
      </c>
      <c r="K442" s="2">
        <f t="shared" si="127"/>
        <v>0.67391304347826086</v>
      </c>
      <c r="L442" s="2">
        <f t="shared" si="128"/>
        <v>4.3478260869565218E-3</v>
      </c>
      <c r="M442" s="2">
        <f t="shared" si="129"/>
        <v>5.6521739130434762E-2</v>
      </c>
      <c r="N442" s="63">
        <v>61</v>
      </c>
      <c r="O442" s="63">
        <v>155</v>
      </c>
      <c r="P442" s="63">
        <v>1</v>
      </c>
      <c r="Q442" s="63">
        <v>4</v>
      </c>
      <c r="R442" s="63">
        <v>9</v>
      </c>
      <c r="S442" s="63">
        <v>0</v>
      </c>
      <c r="T442" s="67"/>
      <c r="U442" s="63"/>
      <c r="V442" s="63"/>
      <c r="W442" s="63">
        <f t="shared" si="133"/>
        <v>0</v>
      </c>
      <c r="X442" s="63"/>
      <c r="Y442" s="63"/>
      <c r="Z442" s="63"/>
      <c r="AA442" s="63"/>
      <c r="AB442" s="63"/>
      <c r="AE442" s="8">
        <v>0</v>
      </c>
      <c r="AT442" t="str">
        <f t="shared" si="130"/>
        <v>Lowell</v>
      </c>
      <c r="AU442" t="s">
        <v>2481</v>
      </c>
      <c r="AV442">
        <v>2</v>
      </c>
      <c r="AX442" s="114">
        <v>23</v>
      </c>
      <c r="AY442" s="116">
        <v>19</v>
      </c>
      <c r="AZ442" s="116">
        <v>195</v>
      </c>
      <c r="BA442" s="120">
        <v>41435</v>
      </c>
      <c r="BB442" s="120">
        <f t="shared" si="131"/>
        <v>23019</v>
      </c>
      <c r="BC442" t="s">
        <v>1472</v>
      </c>
      <c r="BD442">
        <f t="shared" si="132"/>
        <v>2341435</v>
      </c>
      <c r="BE442" s="1">
        <v>2</v>
      </c>
      <c r="BI442">
        <v>40.1</v>
      </c>
      <c r="BJ442">
        <v>1.91</v>
      </c>
      <c r="BK442">
        <v>38.19</v>
      </c>
      <c r="BS442" s="63">
        <v>0</v>
      </c>
      <c r="CK442" s="1" t="s">
        <v>3994</v>
      </c>
    </row>
    <row r="443" spans="1:89" hidden="1" outlineLevel="1">
      <c r="A443" t="s">
        <v>2701</v>
      </c>
      <c r="B443" s="8" t="s">
        <v>1697</v>
      </c>
      <c r="C443" s="1">
        <f t="shared" si="122"/>
        <v>778</v>
      </c>
      <c r="D443" s="5">
        <f>IF(N443&gt;0, RANK(N443,(N443:P443,Q443:AE443)),0)</f>
        <v>1</v>
      </c>
      <c r="E443" s="5">
        <f>IF(O443&gt;0,RANK(O443,(N443:P443,Q443:AE443)),0)</f>
        <v>2</v>
      </c>
      <c r="F443" s="5">
        <f t="shared" si="123"/>
        <v>0</v>
      </c>
      <c r="G443" s="1">
        <f t="shared" si="124"/>
        <v>15</v>
      </c>
      <c r="H443" s="2">
        <f t="shared" si="125"/>
        <v>1.9280205655526992E-2</v>
      </c>
      <c r="I443" s="6"/>
      <c r="J443" s="2">
        <f t="shared" si="126"/>
        <v>0.48071979434447298</v>
      </c>
      <c r="K443" s="2">
        <f t="shared" si="127"/>
        <v>0.46143958868894602</v>
      </c>
      <c r="L443" s="2">
        <f t="shared" si="128"/>
        <v>0</v>
      </c>
      <c r="M443" s="2">
        <f t="shared" si="129"/>
        <v>5.7840616966580993E-2</v>
      </c>
      <c r="N443" s="63">
        <v>374</v>
      </c>
      <c r="O443" s="63">
        <v>359</v>
      </c>
      <c r="P443" s="63">
        <v>0</v>
      </c>
      <c r="Q443" s="63">
        <v>26</v>
      </c>
      <c r="R443" s="63">
        <v>19</v>
      </c>
      <c r="S443" s="63">
        <v>0</v>
      </c>
      <c r="T443" s="67"/>
      <c r="U443" s="63"/>
      <c r="V443" s="63"/>
      <c r="W443" s="63">
        <f t="shared" si="133"/>
        <v>0</v>
      </c>
      <c r="X443" s="63"/>
      <c r="Y443" s="63"/>
      <c r="Z443" s="63"/>
      <c r="AA443" s="63"/>
      <c r="AB443" s="63"/>
      <c r="AE443" s="8">
        <v>0</v>
      </c>
      <c r="AT443" t="str">
        <f t="shared" si="130"/>
        <v>Lubec</v>
      </c>
      <c r="AU443" t="s">
        <v>692</v>
      </c>
      <c r="AV443">
        <v>2</v>
      </c>
      <c r="AX443" s="114">
        <v>23</v>
      </c>
      <c r="AY443" s="116">
        <v>29</v>
      </c>
      <c r="AZ443" s="116">
        <v>125</v>
      </c>
      <c r="BA443" s="120">
        <v>41610</v>
      </c>
      <c r="BB443" s="120">
        <f t="shared" si="131"/>
        <v>23029</v>
      </c>
      <c r="BC443" t="s">
        <v>1472</v>
      </c>
      <c r="BD443">
        <f t="shared" si="132"/>
        <v>2341610</v>
      </c>
      <c r="BE443" s="1">
        <v>45</v>
      </c>
      <c r="BI443">
        <v>78.86</v>
      </c>
      <c r="BJ443">
        <v>45.6</v>
      </c>
      <c r="BK443">
        <v>33.26</v>
      </c>
      <c r="BS443" s="63">
        <v>0</v>
      </c>
      <c r="CK443" s="1" t="s">
        <v>3995</v>
      </c>
    </row>
    <row r="444" spans="1:89" hidden="1" outlineLevel="1">
      <c r="A444" t="s">
        <v>2721</v>
      </c>
      <c r="B444" s="8" t="s">
        <v>1697</v>
      </c>
      <c r="C444" s="1">
        <f t="shared" si="122"/>
        <v>228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 t="shared" si="123"/>
        <v>0</v>
      </c>
      <c r="G444" s="1">
        <f t="shared" si="124"/>
        <v>75</v>
      </c>
      <c r="H444" s="2">
        <f t="shared" si="125"/>
        <v>0.32894736842105265</v>
      </c>
      <c r="I444" s="6"/>
      <c r="J444" s="2">
        <f t="shared" si="126"/>
        <v>0.28508771929824561</v>
      </c>
      <c r="K444" s="2">
        <f t="shared" si="127"/>
        <v>0.61403508771929827</v>
      </c>
      <c r="L444" s="2">
        <f t="shared" si="128"/>
        <v>0</v>
      </c>
      <c r="M444" s="2">
        <f t="shared" si="129"/>
        <v>0.10087719298245612</v>
      </c>
      <c r="N444" s="63">
        <v>65</v>
      </c>
      <c r="O444" s="63">
        <v>140</v>
      </c>
      <c r="P444" s="63">
        <v>0</v>
      </c>
      <c r="Q444" s="63">
        <v>19</v>
      </c>
      <c r="R444" s="63">
        <v>4</v>
      </c>
      <c r="S444" s="63">
        <v>0</v>
      </c>
      <c r="T444" s="67"/>
      <c r="U444" s="63"/>
      <c r="V444" s="63"/>
      <c r="W444" s="63">
        <f t="shared" si="133"/>
        <v>0</v>
      </c>
      <c r="X444" s="63"/>
      <c r="Y444" s="63"/>
      <c r="Z444" s="63"/>
      <c r="AA444" s="63"/>
      <c r="AB444" s="63"/>
      <c r="AE444" s="8">
        <v>0</v>
      </c>
      <c r="AT444" t="str">
        <f t="shared" si="130"/>
        <v>Ludlow</v>
      </c>
      <c r="AU444" t="s">
        <v>2830</v>
      </c>
      <c r="AV444">
        <v>2</v>
      </c>
      <c r="AX444" s="114">
        <v>23</v>
      </c>
      <c r="AY444" s="116">
        <v>3</v>
      </c>
      <c r="AZ444" s="116">
        <v>175</v>
      </c>
      <c r="BA444" s="120">
        <v>41715</v>
      </c>
      <c r="BB444" s="120">
        <f t="shared" si="131"/>
        <v>23003</v>
      </c>
      <c r="BC444" t="s">
        <v>1472</v>
      </c>
      <c r="BD444">
        <f t="shared" si="132"/>
        <v>2341715</v>
      </c>
      <c r="BE444" s="1">
        <v>6</v>
      </c>
      <c r="BI444">
        <v>21.98</v>
      </c>
      <c r="BJ444">
        <v>0.01</v>
      </c>
      <c r="BK444">
        <v>21.97</v>
      </c>
      <c r="BS444" s="63">
        <v>0</v>
      </c>
      <c r="CK444" s="1" t="s">
        <v>3996</v>
      </c>
    </row>
    <row r="445" spans="1:89" hidden="1" outlineLevel="1">
      <c r="A445" t="s">
        <v>1270</v>
      </c>
      <c r="B445" s="8" t="s">
        <v>1697</v>
      </c>
      <c r="C445" s="1">
        <f t="shared" si="122"/>
        <v>2539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 t="shared" si="123"/>
        <v>5</v>
      </c>
      <c r="G445" s="1">
        <f t="shared" si="124"/>
        <v>262</v>
      </c>
      <c r="H445" s="2">
        <f t="shared" si="125"/>
        <v>0.10319023237495077</v>
      </c>
      <c r="I445" s="6"/>
      <c r="J445" s="2">
        <f t="shared" si="126"/>
        <v>0.40882237101220953</v>
      </c>
      <c r="K445" s="2">
        <f t="shared" si="127"/>
        <v>0.51201260338716026</v>
      </c>
      <c r="L445" s="2">
        <f t="shared" si="128"/>
        <v>2.7569909413154787E-3</v>
      </c>
      <c r="M445" s="2">
        <f t="shared" si="129"/>
        <v>7.6408034659314727E-2</v>
      </c>
      <c r="N445" s="63">
        <v>1038</v>
      </c>
      <c r="O445" s="63">
        <v>1300</v>
      </c>
      <c r="P445" s="63">
        <v>7</v>
      </c>
      <c r="Q445" s="63">
        <v>132</v>
      </c>
      <c r="R445" s="63">
        <v>62</v>
      </c>
      <c r="S445" s="63">
        <v>0</v>
      </c>
      <c r="T445" s="67"/>
      <c r="U445" s="63"/>
      <c r="V445" s="63"/>
      <c r="W445" s="63">
        <f t="shared" si="133"/>
        <v>0</v>
      </c>
      <c r="X445" s="63"/>
      <c r="Y445" s="63"/>
      <c r="Z445" s="63"/>
      <c r="AA445" s="63"/>
      <c r="AB445" s="63"/>
      <c r="AE445" s="8">
        <v>0</v>
      </c>
      <c r="AT445" t="str">
        <f t="shared" si="130"/>
        <v>Lyman</v>
      </c>
      <c r="AU445" t="s">
        <v>925</v>
      </c>
      <c r="AV445">
        <v>1</v>
      </c>
      <c r="AX445" s="114">
        <v>23</v>
      </c>
      <c r="AY445" s="116">
        <v>31</v>
      </c>
      <c r="AZ445" s="116">
        <v>85</v>
      </c>
      <c r="BA445" s="120">
        <v>41750</v>
      </c>
      <c r="BB445" s="120">
        <f t="shared" si="131"/>
        <v>23031</v>
      </c>
      <c r="BC445" t="s">
        <v>1472</v>
      </c>
      <c r="BD445">
        <f t="shared" si="132"/>
        <v>2341750</v>
      </c>
      <c r="BE445" s="1">
        <v>78</v>
      </c>
      <c r="BI445">
        <v>40.43</v>
      </c>
      <c r="BJ445">
        <v>1.49</v>
      </c>
      <c r="BK445">
        <v>38.94</v>
      </c>
      <c r="BS445" s="63">
        <v>0</v>
      </c>
      <c r="CK445" s="1" t="s">
        <v>3997</v>
      </c>
    </row>
    <row r="446" spans="1:89" hidden="1" outlineLevel="1">
      <c r="A446" t="s">
        <v>3120</v>
      </c>
      <c r="B446" s="8" t="s">
        <v>1697</v>
      </c>
      <c r="C446" s="1">
        <f t="shared" si="122"/>
        <v>930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 t="shared" si="123"/>
        <v>5</v>
      </c>
      <c r="G446" s="1">
        <f t="shared" si="124"/>
        <v>67</v>
      </c>
      <c r="H446" s="2">
        <f t="shared" si="125"/>
        <v>7.2043010752688166E-2</v>
      </c>
      <c r="I446" s="6"/>
      <c r="J446" s="2">
        <f t="shared" si="126"/>
        <v>0.41612903225806452</v>
      </c>
      <c r="K446" s="2">
        <f t="shared" si="127"/>
        <v>0.48817204301075268</v>
      </c>
      <c r="L446" s="2">
        <f t="shared" si="128"/>
        <v>2.1505376344086021E-3</v>
      </c>
      <c r="M446" s="2">
        <f t="shared" si="129"/>
        <v>9.3548387096774197E-2</v>
      </c>
      <c r="N446" s="63">
        <v>387</v>
      </c>
      <c r="O446" s="63">
        <v>454</v>
      </c>
      <c r="P446" s="63">
        <v>2</v>
      </c>
      <c r="Q446" s="63">
        <v>56</v>
      </c>
      <c r="R446" s="63">
        <v>29</v>
      </c>
      <c r="S446" s="63">
        <v>2</v>
      </c>
      <c r="T446" s="67"/>
      <c r="U446" s="63"/>
      <c r="V446" s="63"/>
      <c r="W446" s="63">
        <f t="shared" si="133"/>
        <v>0</v>
      </c>
      <c r="X446" s="63"/>
      <c r="Y446" s="63"/>
      <c r="Z446" s="63"/>
      <c r="AA446" s="63"/>
      <c r="AB446" s="63"/>
      <c r="AE446" s="8">
        <v>0</v>
      </c>
      <c r="AT446" t="str">
        <f t="shared" si="130"/>
        <v>Machias</v>
      </c>
      <c r="AU446" t="s">
        <v>692</v>
      </c>
      <c r="AV446">
        <v>2</v>
      </c>
      <c r="AX446" s="114">
        <v>23</v>
      </c>
      <c r="AY446" s="116">
        <v>29</v>
      </c>
      <c r="AZ446" s="116">
        <v>130</v>
      </c>
      <c r="BA446" s="120">
        <v>41960</v>
      </c>
      <c r="BB446" s="120">
        <f t="shared" si="131"/>
        <v>23029</v>
      </c>
      <c r="BC446" t="s">
        <v>1472</v>
      </c>
      <c r="BD446">
        <f t="shared" si="132"/>
        <v>2341960</v>
      </c>
      <c r="BE446" s="1">
        <v>69</v>
      </c>
      <c r="BI446">
        <v>14.79</v>
      </c>
      <c r="BJ446">
        <v>0.9</v>
      </c>
      <c r="BK446">
        <v>13.89</v>
      </c>
      <c r="BS446" s="63">
        <v>0</v>
      </c>
      <c r="CK446" s="1" t="s">
        <v>3998</v>
      </c>
    </row>
    <row r="447" spans="1:89" hidden="1" outlineLevel="1">
      <c r="A447" t="s">
        <v>1540</v>
      </c>
      <c r="B447" s="8" t="s">
        <v>1697</v>
      </c>
      <c r="C447" s="1">
        <f t="shared" si="122"/>
        <v>485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 t="shared" si="123"/>
        <v>0</v>
      </c>
      <c r="G447" s="1">
        <f t="shared" si="124"/>
        <v>65</v>
      </c>
      <c r="H447" s="2">
        <f t="shared" si="125"/>
        <v>0.13402061855670103</v>
      </c>
      <c r="I447" s="6"/>
      <c r="J447" s="2">
        <f t="shared" si="126"/>
        <v>0.37938144329896906</v>
      </c>
      <c r="K447" s="2">
        <f t="shared" si="127"/>
        <v>0.51340206185567006</v>
      </c>
      <c r="L447" s="2">
        <f t="shared" si="128"/>
        <v>0</v>
      </c>
      <c r="M447" s="2">
        <f t="shared" si="129"/>
        <v>0.10721649484536089</v>
      </c>
      <c r="N447" s="63">
        <v>184</v>
      </c>
      <c r="O447" s="63">
        <v>249</v>
      </c>
      <c r="P447" s="63">
        <v>0</v>
      </c>
      <c r="Q447" s="63">
        <v>12</v>
      </c>
      <c r="R447" s="63">
        <v>38</v>
      </c>
      <c r="S447" s="63">
        <v>2</v>
      </c>
      <c r="T447" s="67"/>
      <c r="U447" s="63"/>
      <c r="V447" s="63"/>
      <c r="W447" s="63">
        <f t="shared" si="133"/>
        <v>0</v>
      </c>
      <c r="X447" s="63"/>
      <c r="Y447" s="63"/>
      <c r="Z447" s="63"/>
      <c r="AA447" s="63"/>
      <c r="AB447" s="63"/>
      <c r="AE447" s="8">
        <v>0</v>
      </c>
      <c r="AT447" t="str">
        <f t="shared" si="130"/>
        <v>Machiasport</v>
      </c>
      <c r="AU447" t="s">
        <v>692</v>
      </c>
      <c r="AV447">
        <v>2</v>
      </c>
      <c r="AX447" s="114">
        <v>23</v>
      </c>
      <c r="AY447" s="116">
        <v>29</v>
      </c>
      <c r="AZ447" s="116">
        <v>135</v>
      </c>
      <c r="BA447" s="120">
        <v>42100</v>
      </c>
      <c r="BB447" s="120">
        <f t="shared" si="131"/>
        <v>23029</v>
      </c>
      <c r="BC447" t="s">
        <v>1472</v>
      </c>
      <c r="BD447">
        <f t="shared" si="132"/>
        <v>2342100</v>
      </c>
      <c r="BE447" s="1">
        <v>21</v>
      </c>
      <c r="BI447">
        <v>62.27</v>
      </c>
      <c r="BJ447">
        <v>40.92</v>
      </c>
      <c r="BK447">
        <v>21.34</v>
      </c>
      <c r="BS447" s="63">
        <v>0</v>
      </c>
      <c r="CK447" s="1" t="s">
        <v>3999</v>
      </c>
    </row>
    <row r="448" spans="1:89" hidden="1" outlineLevel="1">
      <c r="A448" t="s">
        <v>749</v>
      </c>
      <c r="B448" s="8" t="s">
        <v>1697</v>
      </c>
      <c r="C448" s="1">
        <f t="shared" si="122"/>
        <v>44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 t="shared" si="123"/>
        <v>0</v>
      </c>
      <c r="G448" s="1">
        <f t="shared" si="124"/>
        <v>13</v>
      </c>
      <c r="H448" s="2">
        <f t="shared" si="125"/>
        <v>0.29545454545454547</v>
      </c>
      <c r="I448" s="6"/>
      <c r="J448" s="2">
        <f t="shared" si="126"/>
        <v>0.31818181818181818</v>
      </c>
      <c r="K448" s="2">
        <f t="shared" si="127"/>
        <v>0.61363636363636365</v>
      </c>
      <c r="L448" s="2">
        <f t="shared" si="128"/>
        <v>0</v>
      </c>
      <c r="M448" s="2">
        <f t="shared" si="129"/>
        <v>6.8181818181818232E-2</v>
      </c>
      <c r="N448" s="63">
        <v>14</v>
      </c>
      <c r="O448" s="63">
        <v>27</v>
      </c>
      <c r="P448" s="63">
        <v>0</v>
      </c>
      <c r="Q448" s="63">
        <v>2</v>
      </c>
      <c r="R448" s="63">
        <v>0</v>
      </c>
      <c r="S448" s="63">
        <v>1</v>
      </c>
      <c r="T448" s="67"/>
      <c r="U448" s="63"/>
      <c r="V448" s="63"/>
      <c r="W448" s="63">
        <f t="shared" si="133"/>
        <v>0</v>
      </c>
      <c r="X448" s="63"/>
      <c r="Y448" s="63"/>
      <c r="Z448" s="63"/>
      <c r="AA448" s="63"/>
      <c r="AB448" s="63"/>
      <c r="AE448" s="8">
        <v>0</v>
      </c>
      <c r="AT448" t="str">
        <f t="shared" si="130"/>
        <v>Macwahoc</v>
      </c>
      <c r="AU448" t="s">
        <v>2830</v>
      </c>
      <c r="AV448">
        <v>2</v>
      </c>
      <c r="AX448" s="114">
        <v>23</v>
      </c>
      <c r="AY448" s="116">
        <v>3</v>
      </c>
      <c r="AZ448" s="116">
        <v>180</v>
      </c>
      <c r="BA448" s="120">
        <v>42450</v>
      </c>
      <c r="BB448" s="120">
        <f t="shared" si="131"/>
        <v>23003</v>
      </c>
      <c r="BC448" t="s">
        <v>3075</v>
      </c>
      <c r="BD448">
        <f t="shared" si="132"/>
        <v>2342450</v>
      </c>
      <c r="BE448" s="1">
        <v>0</v>
      </c>
      <c r="BI448">
        <v>29.42</v>
      </c>
      <c r="BJ448">
        <v>0.16</v>
      </c>
      <c r="BK448">
        <v>29.26</v>
      </c>
      <c r="BS448" s="63">
        <v>0</v>
      </c>
      <c r="CK448" s="1" t="s">
        <v>4000</v>
      </c>
    </row>
    <row r="449" spans="1:89" hidden="1" outlineLevel="1">
      <c r="A449" t="s">
        <v>1857</v>
      </c>
      <c r="B449" s="8" t="s">
        <v>1697</v>
      </c>
      <c r="C449" s="1">
        <f t="shared" si="122"/>
        <v>2154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 t="shared" si="123"/>
        <v>5</v>
      </c>
      <c r="G449" s="1">
        <f t="shared" si="124"/>
        <v>333</v>
      </c>
      <c r="H449" s="2">
        <f t="shared" si="125"/>
        <v>0.15459610027855153</v>
      </c>
      <c r="I449" s="6"/>
      <c r="J449" s="2">
        <f t="shared" si="126"/>
        <v>0.5468895078922934</v>
      </c>
      <c r="K449" s="2">
        <f t="shared" si="127"/>
        <v>0.39229340761374187</v>
      </c>
      <c r="L449" s="2">
        <f t="shared" si="128"/>
        <v>4.6425255338904364E-4</v>
      </c>
      <c r="M449" s="2">
        <f t="shared" si="129"/>
        <v>6.0352831940575682E-2</v>
      </c>
      <c r="N449" s="63">
        <v>1178</v>
      </c>
      <c r="O449" s="63">
        <v>845</v>
      </c>
      <c r="P449" s="63">
        <v>1</v>
      </c>
      <c r="Q449" s="63">
        <v>94</v>
      </c>
      <c r="R449" s="63">
        <v>36</v>
      </c>
      <c r="S449" s="63">
        <v>0</v>
      </c>
      <c r="T449" s="67"/>
      <c r="U449" s="63"/>
      <c r="V449" s="63"/>
      <c r="W449" s="63">
        <f t="shared" si="133"/>
        <v>0</v>
      </c>
      <c r="X449" s="63"/>
      <c r="Y449" s="63"/>
      <c r="Z449" s="63"/>
      <c r="AA449" s="63"/>
      <c r="AB449" s="63"/>
      <c r="AE449" s="8">
        <v>0</v>
      </c>
      <c r="AT449" t="str">
        <f t="shared" si="130"/>
        <v>Madawaska</v>
      </c>
      <c r="AU449" t="s">
        <v>2830</v>
      </c>
      <c r="AV449">
        <v>2</v>
      </c>
      <c r="AX449" s="114">
        <v>23</v>
      </c>
      <c r="AY449" s="116">
        <v>3</v>
      </c>
      <c r="AZ449" s="116">
        <v>185</v>
      </c>
      <c r="BA449" s="120">
        <v>42520</v>
      </c>
      <c r="BB449" s="120">
        <f t="shared" si="131"/>
        <v>23003</v>
      </c>
      <c r="BC449" t="s">
        <v>1472</v>
      </c>
      <c r="BD449">
        <f t="shared" si="132"/>
        <v>2342520</v>
      </c>
      <c r="BE449" s="1">
        <v>92</v>
      </c>
      <c r="BI449">
        <v>56.46</v>
      </c>
      <c r="BJ449">
        <v>0.8</v>
      </c>
      <c r="BK449">
        <v>55.66</v>
      </c>
      <c r="BS449" s="63">
        <v>0</v>
      </c>
      <c r="CK449" s="1" t="s">
        <v>4001</v>
      </c>
    </row>
    <row r="450" spans="1:89" hidden="1" outlineLevel="1">
      <c r="A450" t="s">
        <v>34</v>
      </c>
      <c r="B450" s="8" t="s">
        <v>1697</v>
      </c>
      <c r="C450" s="1">
        <f t="shared" si="122"/>
        <v>106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 t="shared" si="123"/>
        <v>0</v>
      </c>
      <c r="G450" s="1">
        <f t="shared" si="124"/>
        <v>10</v>
      </c>
      <c r="H450" s="2">
        <f t="shared" si="125"/>
        <v>9.4339622641509441E-2</v>
      </c>
      <c r="I450" s="6"/>
      <c r="J450" s="2">
        <f t="shared" si="126"/>
        <v>0.53773584905660377</v>
      </c>
      <c r="K450" s="2">
        <f t="shared" si="127"/>
        <v>0.44339622641509435</v>
      </c>
      <c r="L450" s="2">
        <f t="shared" si="128"/>
        <v>0</v>
      </c>
      <c r="M450" s="2">
        <f t="shared" si="129"/>
        <v>1.8867924528301883E-2</v>
      </c>
      <c r="N450" s="63">
        <v>57</v>
      </c>
      <c r="O450" s="63">
        <v>47</v>
      </c>
      <c r="P450" s="63">
        <v>0</v>
      </c>
      <c r="Q450" s="63">
        <v>1</v>
      </c>
      <c r="R450" s="63">
        <v>1</v>
      </c>
      <c r="S450" s="63">
        <v>0</v>
      </c>
      <c r="T450" s="67"/>
      <c r="U450" s="63"/>
      <c r="V450" s="63"/>
      <c r="W450" s="63">
        <f t="shared" si="133"/>
        <v>0</v>
      </c>
      <c r="X450" s="63"/>
      <c r="Y450" s="63"/>
      <c r="Z450" s="63"/>
      <c r="AA450" s="63"/>
      <c r="AB450" s="63"/>
      <c r="AE450" s="8">
        <v>0</v>
      </c>
      <c r="AT450" t="str">
        <f t="shared" si="130"/>
        <v>Madawaska Lake</v>
      </c>
      <c r="AU450" t="s">
        <v>2830</v>
      </c>
      <c r="AV450">
        <v>2</v>
      </c>
      <c r="AX450" s="114">
        <v>23</v>
      </c>
      <c r="AY450" s="116">
        <v>3</v>
      </c>
      <c r="BA450" s="120">
        <v>42550</v>
      </c>
      <c r="BB450" s="120">
        <f t="shared" si="131"/>
        <v>23003</v>
      </c>
      <c r="BC450" t="s">
        <v>957</v>
      </c>
      <c r="BD450">
        <f t="shared" si="132"/>
        <v>2342550</v>
      </c>
      <c r="BE450" s="1">
        <v>2</v>
      </c>
      <c r="BS450" s="63">
        <v>0</v>
      </c>
      <c r="CK450" s="1" t="s">
        <v>4002</v>
      </c>
    </row>
    <row r="451" spans="1:89" hidden="1" outlineLevel="1">
      <c r="A451" t="s">
        <v>1650</v>
      </c>
      <c r="B451" s="8" t="s">
        <v>1697</v>
      </c>
      <c r="C451" s="1">
        <f t="shared" si="122"/>
        <v>2220</v>
      </c>
      <c r="D451" s="5">
        <f>IF(N451&gt;0, RANK(N451,(N451:P451,Q451:AE451)),0)</f>
        <v>2</v>
      </c>
      <c r="E451" s="5">
        <f>IF(O451&gt;0,RANK(O451,(N451:P451,Q451:AE451)),0)</f>
        <v>1</v>
      </c>
      <c r="F451" s="5">
        <f t="shared" si="123"/>
        <v>5</v>
      </c>
      <c r="G451" s="1">
        <f t="shared" si="124"/>
        <v>449</v>
      </c>
      <c r="H451" s="2">
        <f t="shared" si="125"/>
        <v>0.20225225225225224</v>
      </c>
      <c r="I451" s="6"/>
      <c r="J451" s="2">
        <f t="shared" si="126"/>
        <v>0.36621621621621619</v>
      </c>
      <c r="K451" s="2">
        <f t="shared" si="127"/>
        <v>0.56846846846846844</v>
      </c>
      <c r="L451" s="2">
        <f t="shared" si="128"/>
        <v>3.153153153153153E-3</v>
      </c>
      <c r="M451" s="2">
        <f t="shared" si="129"/>
        <v>6.216216216216227E-2</v>
      </c>
      <c r="N451" s="63">
        <v>813</v>
      </c>
      <c r="O451" s="63">
        <v>1262</v>
      </c>
      <c r="P451" s="63">
        <v>7</v>
      </c>
      <c r="Q451" s="63">
        <v>107</v>
      </c>
      <c r="R451" s="63">
        <v>30</v>
      </c>
      <c r="S451" s="63">
        <v>1</v>
      </c>
      <c r="T451" s="67"/>
      <c r="U451" s="63"/>
      <c r="V451" s="63"/>
      <c r="W451" s="63">
        <f t="shared" si="133"/>
        <v>0</v>
      </c>
      <c r="X451" s="63"/>
      <c r="Y451" s="63"/>
      <c r="Z451" s="63"/>
      <c r="AA451" s="63"/>
      <c r="AB451" s="63"/>
      <c r="AE451" s="8">
        <v>0</v>
      </c>
      <c r="AT451" t="str">
        <f t="shared" si="130"/>
        <v>Madison</v>
      </c>
      <c r="AU451" t="s">
        <v>1787</v>
      </c>
      <c r="AV451">
        <v>2</v>
      </c>
      <c r="AX451" s="114">
        <v>23</v>
      </c>
      <c r="AY451" s="116">
        <v>25</v>
      </c>
      <c r="AZ451" s="116">
        <v>85</v>
      </c>
      <c r="BA451" s="120">
        <v>42660</v>
      </c>
      <c r="BB451" s="120">
        <f t="shared" si="131"/>
        <v>23025</v>
      </c>
      <c r="BC451" t="s">
        <v>1472</v>
      </c>
      <c r="BD451">
        <f t="shared" si="132"/>
        <v>2342660</v>
      </c>
      <c r="BE451" s="1">
        <v>86</v>
      </c>
      <c r="BI451">
        <v>54.61</v>
      </c>
      <c r="BJ451">
        <v>2.85</v>
      </c>
      <c r="BK451">
        <v>51.76</v>
      </c>
      <c r="BS451" s="63">
        <v>0</v>
      </c>
      <c r="CK451" s="1" t="s">
        <v>4003</v>
      </c>
    </row>
    <row r="452" spans="1:89" hidden="1" outlineLevel="1">
      <c r="A452" t="s">
        <v>490</v>
      </c>
      <c r="B452" s="8" t="s">
        <v>1697</v>
      </c>
      <c r="C452" s="1">
        <f t="shared" si="122"/>
        <v>0</v>
      </c>
      <c r="D452" s="5">
        <f>IF(N452&gt;0, RANK(N452,(N452:P452,Q452:AE452)),0)</f>
        <v>0</v>
      </c>
      <c r="E452" s="5">
        <f>IF(O452&gt;0,RANK(O452,(N452:P452,Q452:AE452)),0)</f>
        <v>0</v>
      </c>
      <c r="F452" s="5">
        <f t="shared" si="123"/>
        <v>0</v>
      </c>
      <c r="G452" s="1">
        <f t="shared" si="124"/>
        <v>0</v>
      </c>
      <c r="H452" s="2">
        <f t="shared" si="125"/>
        <v>0</v>
      </c>
      <c r="I452" s="6"/>
      <c r="J452" s="2" t="str">
        <f t="shared" si="126"/>
        <v>-</v>
      </c>
      <c r="K452" s="2" t="str">
        <f t="shared" si="127"/>
        <v>-</v>
      </c>
      <c r="L452" s="2" t="str">
        <f t="shared" si="128"/>
        <v>-</v>
      </c>
      <c r="M452" s="2" t="str">
        <f t="shared" si="129"/>
        <v>-</v>
      </c>
      <c r="N452" s="63"/>
      <c r="O452" s="63"/>
      <c r="P452" s="63"/>
      <c r="Q452" s="63"/>
      <c r="R452" s="63"/>
      <c r="S452" s="63"/>
      <c r="T452" s="67"/>
      <c r="U452" s="63"/>
      <c r="V452" s="63"/>
      <c r="W452" s="63">
        <f t="shared" si="133"/>
        <v>0</v>
      </c>
      <c r="X452" s="63"/>
      <c r="Y452" s="63"/>
      <c r="Z452" s="63"/>
      <c r="AA452" s="63"/>
      <c r="AB452" s="63"/>
      <c r="AT452" t="str">
        <f t="shared" si="130"/>
        <v>Madrid</v>
      </c>
      <c r="AU452" t="s">
        <v>1138</v>
      </c>
      <c r="AV452">
        <v>2</v>
      </c>
      <c r="AX452" s="114">
        <v>23</v>
      </c>
      <c r="AY452" s="116">
        <v>7</v>
      </c>
      <c r="AZ452" s="116">
        <v>55</v>
      </c>
      <c r="BA452" s="120">
        <v>42765</v>
      </c>
      <c r="BB452" s="120">
        <f t="shared" si="131"/>
        <v>23007</v>
      </c>
      <c r="BC452" t="s">
        <v>957</v>
      </c>
      <c r="BD452">
        <f t="shared" si="132"/>
        <v>2342765</v>
      </c>
      <c r="BI452">
        <v>41.79</v>
      </c>
      <c r="BJ452">
        <v>0.06</v>
      </c>
      <c r="BK452">
        <v>41.73</v>
      </c>
      <c r="BS452" s="63"/>
      <c r="CK452" s="1"/>
    </row>
    <row r="453" spans="1:89" hidden="1" outlineLevel="1">
      <c r="A453" t="s">
        <v>1473</v>
      </c>
      <c r="B453" s="8" t="s">
        <v>1697</v>
      </c>
      <c r="C453" s="1">
        <f t="shared" si="122"/>
        <v>17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 t="shared" si="123"/>
        <v>0</v>
      </c>
      <c r="G453" s="1">
        <f t="shared" si="124"/>
        <v>13</v>
      </c>
      <c r="H453" s="2">
        <f t="shared" si="125"/>
        <v>0.76470588235294112</v>
      </c>
      <c r="I453" s="6"/>
      <c r="J453" s="2">
        <f t="shared" si="126"/>
        <v>0.11764705882352941</v>
      </c>
      <c r="K453" s="2">
        <f t="shared" si="127"/>
        <v>0.88235294117647056</v>
      </c>
      <c r="L453" s="2">
        <f t="shared" si="128"/>
        <v>0</v>
      </c>
      <c r="M453" s="2">
        <f t="shared" si="129"/>
        <v>0</v>
      </c>
      <c r="N453" s="63">
        <v>2</v>
      </c>
      <c r="O453" s="63">
        <v>15</v>
      </c>
      <c r="P453" s="63">
        <v>0</v>
      </c>
      <c r="Q453" s="63">
        <v>0</v>
      </c>
      <c r="R453" s="63">
        <v>0</v>
      </c>
      <c r="S453" s="63">
        <v>0</v>
      </c>
      <c r="T453" s="67"/>
      <c r="U453" s="63"/>
      <c r="V453" s="63"/>
      <c r="W453" s="63">
        <f t="shared" si="133"/>
        <v>0</v>
      </c>
      <c r="X453" s="63"/>
      <c r="Y453" s="63"/>
      <c r="Z453" s="63"/>
      <c r="AA453" s="63"/>
      <c r="AB453" s="63"/>
      <c r="AE453" s="8">
        <v>0</v>
      </c>
      <c r="AT453" t="str">
        <f t="shared" si="130"/>
        <v>Magalloway</v>
      </c>
      <c r="AU453" t="s">
        <v>2383</v>
      </c>
      <c r="AV453">
        <v>2</v>
      </c>
      <c r="AX453" s="114">
        <v>23</v>
      </c>
      <c r="AY453" s="116">
        <v>17</v>
      </c>
      <c r="AZ453" s="116">
        <v>90</v>
      </c>
      <c r="BA453" s="120">
        <v>42835</v>
      </c>
      <c r="BB453" s="120">
        <f t="shared" si="131"/>
        <v>23017</v>
      </c>
      <c r="BC453" t="s">
        <v>3075</v>
      </c>
      <c r="BD453">
        <f t="shared" si="132"/>
        <v>2342835</v>
      </c>
      <c r="BE453" s="1">
        <v>1</v>
      </c>
      <c r="BI453">
        <v>54.17</v>
      </c>
      <c r="BJ453">
        <v>5.78</v>
      </c>
      <c r="BK453">
        <v>48.39</v>
      </c>
      <c r="BS453" s="63">
        <v>0</v>
      </c>
      <c r="CK453" s="1" t="s">
        <v>4004</v>
      </c>
    </row>
    <row r="454" spans="1:89" hidden="1" outlineLevel="1">
      <c r="A454" t="s">
        <v>1983</v>
      </c>
      <c r="B454" s="8" t="s">
        <v>1697</v>
      </c>
      <c r="C454" s="1">
        <f t="shared" si="122"/>
        <v>1618</v>
      </c>
      <c r="D454" s="5">
        <f>IF(N454&gt;0, RANK(N454,(N454:P454,Q454:AE454)),0)</f>
        <v>2</v>
      </c>
      <c r="E454" s="5">
        <f>IF(O454&gt;0,RANK(O454,(N454:P454,Q454:AE454)),0)</f>
        <v>1</v>
      </c>
      <c r="F454" s="5">
        <f t="shared" si="123"/>
        <v>0</v>
      </c>
      <c r="G454" s="1">
        <f t="shared" si="124"/>
        <v>23</v>
      </c>
      <c r="H454" s="2">
        <f t="shared" si="125"/>
        <v>1.4215080346106305E-2</v>
      </c>
      <c r="I454" s="6"/>
      <c r="J454" s="2">
        <f t="shared" si="126"/>
        <v>0.46106304079110011</v>
      </c>
      <c r="K454" s="2">
        <f t="shared" si="127"/>
        <v>0.47527812113720641</v>
      </c>
      <c r="L454" s="2">
        <f t="shared" si="128"/>
        <v>0</v>
      </c>
      <c r="M454" s="2">
        <f t="shared" si="129"/>
        <v>6.3658838071693535E-2</v>
      </c>
      <c r="N454" s="63">
        <v>746</v>
      </c>
      <c r="O454" s="63">
        <v>769</v>
      </c>
      <c r="P454" s="63">
        <v>0</v>
      </c>
      <c r="Q454" s="63">
        <v>84</v>
      </c>
      <c r="R454" s="63">
        <v>19</v>
      </c>
      <c r="S454" s="63">
        <v>0</v>
      </c>
      <c r="T454" s="67"/>
      <c r="U454" s="63"/>
      <c r="V454" s="63"/>
      <c r="W454" s="63">
        <f t="shared" si="133"/>
        <v>0</v>
      </c>
      <c r="X454" s="63"/>
      <c r="Y454" s="63"/>
      <c r="Z454" s="63"/>
      <c r="AA454" s="63"/>
      <c r="AB454" s="63"/>
      <c r="AE454" s="8">
        <v>0</v>
      </c>
      <c r="AT454" t="str">
        <f t="shared" si="130"/>
        <v>Manchester</v>
      </c>
      <c r="AU454" t="s">
        <v>3007</v>
      </c>
      <c r="AV454">
        <v>1</v>
      </c>
      <c r="AX454" s="114">
        <v>23</v>
      </c>
      <c r="AY454" s="116">
        <v>11</v>
      </c>
      <c r="AZ454" s="116">
        <v>65</v>
      </c>
      <c r="BA454" s="120">
        <v>43080</v>
      </c>
      <c r="BB454" s="120">
        <f t="shared" si="131"/>
        <v>23011</v>
      </c>
      <c r="BC454" t="s">
        <v>1472</v>
      </c>
      <c r="BD454">
        <f t="shared" si="132"/>
        <v>2343080</v>
      </c>
      <c r="BE454" s="1">
        <v>61</v>
      </c>
      <c r="BI454">
        <v>22.42</v>
      </c>
      <c r="BJ454">
        <v>1.22</v>
      </c>
      <c r="BK454">
        <v>21.2</v>
      </c>
      <c r="BS454" s="63">
        <v>0</v>
      </c>
      <c r="CK454" s="1" t="s">
        <v>4005</v>
      </c>
    </row>
    <row r="455" spans="1:89" hidden="1" outlineLevel="1">
      <c r="A455" t="s">
        <v>1996</v>
      </c>
      <c r="B455" s="8" t="s">
        <v>1697</v>
      </c>
      <c r="C455" s="1">
        <f t="shared" si="122"/>
        <v>1124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 t="shared" si="123"/>
        <v>5</v>
      </c>
      <c r="G455" s="1">
        <f t="shared" si="124"/>
        <v>334</v>
      </c>
      <c r="H455" s="2">
        <f t="shared" si="125"/>
        <v>0.29715302491103202</v>
      </c>
      <c r="I455" s="6"/>
      <c r="J455" s="2">
        <f t="shared" si="126"/>
        <v>0.3193950177935943</v>
      </c>
      <c r="K455" s="2">
        <f t="shared" si="127"/>
        <v>0.61654804270462638</v>
      </c>
      <c r="L455" s="2">
        <f t="shared" si="128"/>
        <v>8.8967971530249106E-4</v>
      </c>
      <c r="M455" s="2">
        <f t="shared" si="129"/>
        <v>6.3167259786476887E-2</v>
      </c>
      <c r="N455" s="63">
        <v>359</v>
      </c>
      <c r="O455" s="63">
        <v>693</v>
      </c>
      <c r="P455" s="63">
        <v>1</v>
      </c>
      <c r="Q455" s="63">
        <v>57</v>
      </c>
      <c r="R455" s="63">
        <v>13</v>
      </c>
      <c r="S455" s="63">
        <v>1</v>
      </c>
      <c r="T455" s="67"/>
      <c r="U455" s="63"/>
      <c r="V455" s="63"/>
      <c r="W455" s="63">
        <f t="shared" si="133"/>
        <v>0</v>
      </c>
      <c r="X455" s="63"/>
      <c r="Y455" s="63"/>
      <c r="Z455" s="63"/>
      <c r="AA455" s="63"/>
      <c r="AB455" s="63"/>
      <c r="AE455" s="8">
        <v>0</v>
      </c>
      <c r="AT455" t="str">
        <f t="shared" si="130"/>
        <v>Mapleton</v>
      </c>
      <c r="AU455" t="s">
        <v>2830</v>
      </c>
      <c r="AV455">
        <v>2</v>
      </c>
      <c r="AX455" s="114">
        <v>23</v>
      </c>
      <c r="AY455" s="116">
        <v>3</v>
      </c>
      <c r="AZ455" s="116">
        <v>190</v>
      </c>
      <c r="BA455" s="120">
        <v>43255</v>
      </c>
      <c r="BB455" s="120">
        <f t="shared" si="131"/>
        <v>23003</v>
      </c>
      <c r="BC455" t="s">
        <v>1472</v>
      </c>
      <c r="BD455">
        <f t="shared" si="132"/>
        <v>2343255</v>
      </c>
      <c r="BE455" s="1">
        <v>31</v>
      </c>
      <c r="BI455">
        <v>34.42</v>
      </c>
      <c r="BJ455">
        <v>0.37</v>
      </c>
      <c r="BK455">
        <v>34.049999999999997</v>
      </c>
      <c r="BS455" s="63">
        <v>0</v>
      </c>
      <c r="CK455" s="1" t="s">
        <v>4006</v>
      </c>
    </row>
    <row r="456" spans="1:89" hidden="1" outlineLevel="1">
      <c r="A456" t="s">
        <v>2014</v>
      </c>
      <c r="B456" s="8" t="s">
        <v>1697</v>
      </c>
      <c r="C456" s="1">
        <f t="shared" si="122"/>
        <v>285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 t="shared" si="123"/>
        <v>4</v>
      </c>
      <c r="G456" s="1">
        <f t="shared" si="124"/>
        <v>74</v>
      </c>
      <c r="H456" s="2">
        <f t="shared" si="125"/>
        <v>0.25964912280701752</v>
      </c>
      <c r="I456" s="6"/>
      <c r="J456" s="2">
        <f t="shared" si="126"/>
        <v>0.31929824561403508</v>
      </c>
      <c r="K456" s="2">
        <f t="shared" si="127"/>
        <v>0.57894736842105265</v>
      </c>
      <c r="L456" s="2">
        <f t="shared" si="128"/>
        <v>1.7543859649122806E-2</v>
      </c>
      <c r="M456" s="2">
        <f t="shared" si="129"/>
        <v>8.4210526315789458E-2</v>
      </c>
      <c r="N456" s="63">
        <v>91</v>
      </c>
      <c r="O456" s="63">
        <v>165</v>
      </c>
      <c r="P456" s="63">
        <v>5</v>
      </c>
      <c r="Q456" s="63">
        <v>20</v>
      </c>
      <c r="R456" s="63">
        <v>4</v>
      </c>
      <c r="S456" s="63">
        <v>0</v>
      </c>
      <c r="T456" s="67"/>
      <c r="U456" s="63"/>
      <c r="V456" s="63"/>
      <c r="W456" s="63">
        <f t="shared" si="133"/>
        <v>0</v>
      </c>
      <c r="X456" s="63"/>
      <c r="Y456" s="63"/>
      <c r="Z456" s="63"/>
      <c r="AA456" s="63"/>
      <c r="AB456" s="63"/>
      <c r="AE456" s="8">
        <v>0</v>
      </c>
      <c r="AT456" t="str">
        <f t="shared" si="130"/>
        <v>Mariaville</v>
      </c>
      <c r="AU456" t="s">
        <v>597</v>
      </c>
      <c r="AV456">
        <v>2</v>
      </c>
      <c r="AX456" s="114">
        <v>23</v>
      </c>
      <c r="AY456" s="116">
        <v>9</v>
      </c>
      <c r="AZ456" s="116">
        <v>95</v>
      </c>
      <c r="BA456" s="120">
        <v>43430</v>
      </c>
      <c r="BB456" s="120">
        <f t="shared" si="131"/>
        <v>23009</v>
      </c>
      <c r="BC456" t="s">
        <v>1472</v>
      </c>
      <c r="BD456">
        <f t="shared" si="132"/>
        <v>2343430</v>
      </c>
      <c r="BE456" s="1">
        <v>7</v>
      </c>
      <c r="BI456">
        <v>47.16</v>
      </c>
      <c r="BJ456">
        <v>8.2100000000000009</v>
      </c>
      <c r="BK456">
        <v>38.950000000000003</v>
      </c>
      <c r="BS456" s="63">
        <v>0</v>
      </c>
      <c r="CK456" s="1" t="s">
        <v>4007</v>
      </c>
    </row>
    <row r="457" spans="1:89" hidden="1" outlineLevel="1">
      <c r="A457" t="s">
        <v>553</v>
      </c>
      <c r="B457" s="8" t="s">
        <v>1697</v>
      </c>
      <c r="C457" s="1">
        <f t="shared" si="122"/>
        <v>751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 t="shared" si="123"/>
        <v>5</v>
      </c>
      <c r="G457" s="1">
        <f t="shared" si="124"/>
        <v>325</v>
      </c>
      <c r="H457" s="2">
        <f t="shared" si="125"/>
        <v>0.43275632490013316</v>
      </c>
      <c r="I457" s="6"/>
      <c r="J457" s="2">
        <f t="shared" si="126"/>
        <v>0.2569906790945406</v>
      </c>
      <c r="K457" s="2">
        <f t="shared" si="127"/>
        <v>0.68974700399467381</v>
      </c>
      <c r="L457" s="2">
        <f t="shared" si="128"/>
        <v>5.3262316910785623E-3</v>
      </c>
      <c r="M457" s="2">
        <f t="shared" si="129"/>
        <v>4.7936085219706971E-2</v>
      </c>
      <c r="N457" s="63">
        <v>193</v>
      </c>
      <c r="O457" s="63">
        <v>518</v>
      </c>
      <c r="P457" s="63">
        <v>4</v>
      </c>
      <c r="Q457" s="63">
        <v>28</v>
      </c>
      <c r="R457" s="63">
        <v>8</v>
      </c>
      <c r="S457" s="63">
        <v>0</v>
      </c>
      <c r="T457" s="67"/>
      <c r="U457" s="63"/>
      <c r="V457" s="63"/>
      <c r="W457" s="63">
        <f t="shared" si="133"/>
        <v>0</v>
      </c>
      <c r="X457" s="63"/>
      <c r="Y457" s="63"/>
      <c r="Z457" s="63"/>
      <c r="AA457" s="63"/>
      <c r="AB457" s="63"/>
      <c r="AE457" s="8">
        <v>0</v>
      </c>
      <c r="AT457" t="str">
        <f t="shared" si="130"/>
        <v>Mars Hill</v>
      </c>
      <c r="AU457" t="s">
        <v>2830</v>
      </c>
      <c r="AV457">
        <v>2</v>
      </c>
      <c r="AX457" s="114">
        <v>23</v>
      </c>
      <c r="AY457" s="116">
        <v>3</v>
      </c>
      <c r="AZ457" s="116">
        <v>195</v>
      </c>
      <c r="BA457" s="120">
        <v>43710</v>
      </c>
      <c r="BB457" s="120">
        <f t="shared" si="131"/>
        <v>23003</v>
      </c>
      <c r="BC457" t="s">
        <v>1472</v>
      </c>
      <c r="BD457">
        <f t="shared" si="132"/>
        <v>2343710</v>
      </c>
      <c r="BE457" s="1">
        <v>31</v>
      </c>
      <c r="BI457">
        <v>35.19</v>
      </c>
      <c r="BJ457">
        <v>7.0000000000000007E-2</v>
      </c>
      <c r="BK457">
        <v>35.119999999999997</v>
      </c>
      <c r="BS457" s="63">
        <v>0</v>
      </c>
      <c r="CK457" s="1" t="s">
        <v>4008</v>
      </c>
    </row>
    <row r="458" spans="1:89" hidden="1" outlineLevel="1">
      <c r="A458" t="s">
        <v>1378</v>
      </c>
      <c r="B458" s="8" t="s">
        <v>1697</v>
      </c>
      <c r="C458" s="1">
        <f t="shared" si="122"/>
        <v>306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 t="shared" si="123"/>
        <v>5</v>
      </c>
      <c r="G458" s="1">
        <f t="shared" si="124"/>
        <v>84</v>
      </c>
      <c r="H458" s="2">
        <f t="shared" si="125"/>
        <v>0.27450980392156865</v>
      </c>
      <c r="I458" s="6"/>
      <c r="J458" s="2">
        <f t="shared" si="126"/>
        <v>0.33006535947712418</v>
      </c>
      <c r="K458" s="2">
        <f t="shared" si="127"/>
        <v>0.60457516339869277</v>
      </c>
      <c r="L458" s="2">
        <f t="shared" si="128"/>
        <v>3.2679738562091504E-3</v>
      </c>
      <c r="M458" s="2">
        <f t="shared" si="129"/>
        <v>6.2091503267973955E-2</v>
      </c>
      <c r="N458" s="63">
        <v>101</v>
      </c>
      <c r="O458" s="63">
        <v>185</v>
      </c>
      <c r="P458" s="63">
        <v>1</v>
      </c>
      <c r="Q458" s="63">
        <v>13</v>
      </c>
      <c r="R458" s="63">
        <v>6</v>
      </c>
      <c r="S458" s="63">
        <v>0</v>
      </c>
      <c r="T458" s="67"/>
      <c r="U458" s="63"/>
      <c r="V458" s="63"/>
      <c r="W458" s="63">
        <f t="shared" si="133"/>
        <v>0</v>
      </c>
      <c r="X458" s="63"/>
      <c r="Y458" s="63"/>
      <c r="Z458" s="63"/>
      <c r="AA458" s="63"/>
      <c r="AB458" s="63"/>
      <c r="AE458" s="8">
        <v>0</v>
      </c>
      <c r="AT458" t="str">
        <f t="shared" si="130"/>
        <v>Marshfield</v>
      </c>
      <c r="AU458" t="s">
        <v>692</v>
      </c>
      <c r="AV458">
        <v>2</v>
      </c>
      <c r="AX458" s="114">
        <v>23</v>
      </c>
      <c r="AY458" s="116">
        <v>29</v>
      </c>
      <c r="AZ458" s="116">
        <v>140</v>
      </c>
      <c r="BA458" s="120">
        <v>43640</v>
      </c>
      <c r="BB458" s="120">
        <f t="shared" si="131"/>
        <v>23029</v>
      </c>
      <c r="BC458" t="s">
        <v>1472</v>
      </c>
      <c r="BD458">
        <f t="shared" si="132"/>
        <v>2343640</v>
      </c>
      <c r="BE458" s="1">
        <v>11</v>
      </c>
      <c r="BI458">
        <v>17.600000000000001</v>
      </c>
      <c r="BJ458">
        <v>0.55000000000000004</v>
      </c>
      <c r="BK458">
        <v>17.05</v>
      </c>
      <c r="BS458" s="63">
        <v>0</v>
      </c>
      <c r="CK458" s="1" t="s">
        <v>4009</v>
      </c>
    </row>
    <row r="459" spans="1:89" hidden="1" outlineLevel="1">
      <c r="A459" t="s">
        <v>857</v>
      </c>
      <c r="B459" s="8" t="s">
        <v>1697</v>
      </c>
      <c r="C459" s="1">
        <f t="shared" si="122"/>
        <v>128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 t="shared" si="123"/>
        <v>0</v>
      </c>
      <c r="G459" s="1">
        <f t="shared" si="124"/>
        <v>35</v>
      </c>
      <c r="H459" s="2">
        <f t="shared" si="125"/>
        <v>0.2734375</v>
      </c>
      <c r="I459" s="6"/>
      <c r="J459" s="2">
        <f t="shared" si="126"/>
        <v>0.34375</v>
      </c>
      <c r="K459" s="2">
        <f t="shared" si="127"/>
        <v>0.6171875</v>
      </c>
      <c r="L459" s="2">
        <f t="shared" si="128"/>
        <v>0</v>
      </c>
      <c r="M459" s="2">
        <f t="shared" si="129"/>
        <v>3.90625E-2</v>
      </c>
      <c r="N459" s="63">
        <v>44</v>
      </c>
      <c r="O459" s="63">
        <v>79</v>
      </c>
      <c r="P459" s="63">
        <v>0</v>
      </c>
      <c r="Q459" s="63">
        <v>3</v>
      </c>
      <c r="R459" s="63">
        <v>2</v>
      </c>
      <c r="S459" s="63">
        <v>0</v>
      </c>
      <c r="T459" s="67"/>
      <c r="U459" s="63"/>
      <c r="V459" s="63"/>
      <c r="W459" s="63">
        <f t="shared" si="133"/>
        <v>0</v>
      </c>
      <c r="X459" s="63"/>
      <c r="Y459" s="63"/>
      <c r="Z459" s="63"/>
      <c r="AA459" s="63"/>
      <c r="AB459" s="63"/>
      <c r="AE459" s="8">
        <v>0</v>
      </c>
      <c r="AT459" t="str">
        <f t="shared" si="130"/>
        <v>Masardis</v>
      </c>
      <c r="AU459" t="s">
        <v>2830</v>
      </c>
      <c r="AV459">
        <v>2</v>
      </c>
      <c r="AX459" s="114">
        <v>23</v>
      </c>
      <c r="AY459" s="116">
        <v>3</v>
      </c>
      <c r="AZ459" s="116">
        <v>200</v>
      </c>
      <c r="BA459" s="120">
        <v>43990</v>
      </c>
      <c r="BB459" s="120">
        <f t="shared" si="131"/>
        <v>23003</v>
      </c>
      <c r="BC459" t="s">
        <v>1472</v>
      </c>
      <c r="BD459">
        <f t="shared" si="132"/>
        <v>2343990</v>
      </c>
      <c r="BE459" s="1">
        <v>2</v>
      </c>
      <c r="BI459">
        <v>39.89</v>
      </c>
      <c r="BJ459">
        <v>1.19</v>
      </c>
      <c r="BK459">
        <v>38.69</v>
      </c>
      <c r="BS459" s="63">
        <v>0</v>
      </c>
      <c r="CK459" s="1" t="s">
        <v>4010</v>
      </c>
    </row>
    <row r="460" spans="1:89" hidden="1" outlineLevel="1">
      <c r="A460" t="s">
        <v>1470</v>
      </c>
      <c r="B460" s="8" t="s">
        <v>1697</v>
      </c>
      <c r="C460" s="1">
        <f t="shared" si="122"/>
        <v>51</v>
      </c>
      <c r="D460" s="5">
        <f>IF(N460&gt;0, RANK(N460,(N460:P460,Q460:AE460)),0)</f>
        <v>1</v>
      </c>
      <c r="E460" s="5">
        <f>IF(O460&gt;0,RANK(O460,(N460:P460,Q460:AE460)),0)</f>
        <v>2</v>
      </c>
      <c r="F460" s="5">
        <f t="shared" si="123"/>
        <v>0</v>
      </c>
      <c r="G460" s="1">
        <f t="shared" si="124"/>
        <v>15</v>
      </c>
      <c r="H460" s="2">
        <f t="shared" si="125"/>
        <v>0.29411764705882354</v>
      </c>
      <c r="I460" s="6"/>
      <c r="J460" s="2">
        <f t="shared" si="126"/>
        <v>0.6470588235294118</v>
      </c>
      <c r="K460" s="2">
        <f t="shared" si="127"/>
        <v>0.35294117647058826</v>
      </c>
      <c r="L460" s="2">
        <f t="shared" si="128"/>
        <v>0</v>
      </c>
      <c r="M460" s="2">
        <f t="shared" si="129"/>
        <v>-5.5511151231257827E-17</v>
      </c>
      <c r="N460" s="63">
        <v>33</v>
      </c>
      <c r="O460" s="63">
        <v>18</v>
      </c>
      <c r="P460" s="63">
        <v>0</v>
      </c>
      <c r="Q460" s="63">
        <v>0</v>
      </c>
      <c r="R460" s="63">
        <v>0</v>
      </c>
      <c r="S460" s="63">
        <v>0</v>
      </c>
      <c r="T460" s="67"/>
      <c r="U460" s="63"/>
      <c r="V460" s="63"/>
      <c r="W460" s="63">
        <f t="shared" si="133"/>
        <v>0</v>
      </c>
      <c r="X460" s="63"/>
      <c r="Y460" s="63"/>
      <c r="Z460" s="63"/>
      <c r="AA460" s="63"/>
      <c r="AB460" s="63"/>
      <c r="AE460" s="8">
        <v>0</v>
      </c>
      <c r="AT460" t="str">
        <f t="shared" si="130"/>
        <v>Matinicus Isle</v>
      </c>
      <c r="AU460" t="s">
        <v>1729</v>
      </c>
      <c r="AV460">
        <v>1</v>
      </c>
      <c r="AX460" s="114">
        <v>23</v>
      </c>
      <c r="AY460" s="116">
        <v>13</v>
      </c>
      <c r="AZ460" s="116">
        <v>35</v>
      </c>
      <c r="BA460" s="120">
        <v>44165</v>
      </c>
      <c r="BB460" s="120">
        <f t="shared" si="131"/>
        <v>23013</v>
      </c>
      <c r="BC460" t="s">
        <v>3075</v>
      </c>
      <c r="BD460">
        <f t="shared" si="132"/>
        <v>2344165</v>
      </c>
      <c r="BE460" s="1">
        <v>2</v>
      </c>
      <c r="BI460">
        <v>106.5</v>
      </c>
      <c r="BJ460">
        <v>104.89</v>
      </c>
      <c r="BK460">
        <v>1.6</v>
      </c>
      <c r="BS460" s="63">
        <v>0</v>
      </c>
      <c r="CK460" s="1" t="s">
        <v>4011</v>
      </c>
    </row>
    <row r="461" spans="1:89" hidden="1" outlineLevel="1">
      <c r="A461" t="s">
        <v>3244</v>
      </c>
      <c r="B461" s="8" t="s">
        <v>1697</v>
      </c>
      <c r="C461" s="1">
        <f t="shared" si="122"/>
        <v>42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 t="shared" si="123"/>
        <v>0</v>
      </c>
      <c r="G461" s="1">
        <f t="shared" si="124"/>
        <v>39</v>
      </c>
      <c r="H461" s="2">
        <f t="shared" si="125"/>
        <v>0.9285714285714286</v>
      </c>
      <c r="I461" s="6"/>
      <c r="J461" s="2">
        <f t="shared" si="126"/>
        <v>2.3809523809523808E-2</v>
      </c>
      <c r="K461" s="2">
        <f t="shared" si="127"/>
        <v>0.95238095238095233</v>
      </c>
      <c r="L461" s="2">
        <f t="shared" si="128"/>
        <v>0</v>
      </c>
      <c r="M461" s="2">
        <f t="shared" si="129"/>
        <v>2.3809523809523836E-2</v>
      </c>
      <c r="N461" s="63">
        <v>1</v>
      </c>
      <c r="O461" s="63">
        <v>40</v>
      </c>
      <c r="P461" s="63">
        <v>0</v>
      </c>
      <c r="Q461" s="63">
        <v>1</v>
      </c>
      <c r="R461" s="63">
        <v>0</v>
      </c>
      <c r="S461" s="63">
        <v>0</v>
      </c>
      <c r="T461" s="67"/>
      <c r="U461" s="63"/>
      <c r="V461" s="63"/>
      <c r="W461" s="63">
        <f t="shared" si="133"/>
        <v>0</v>
      </c>
      <c r="X461" s="63"/>
      <c r="Y461" s="63"/>
      <c r="Z461" s="63"/>
      <c r="AA461" s="63"/>
      <c r="AB461" s="63"/>
      <c r="AE461" s="8">
        <v>0</v>
      </c>
      <c r="AT461" t="str">
        <f t="shared" si="130"/>
        <v>Mattamiscontis</v>
      </c>
      <c r="AU461" t="s">
        <v>2481</v>
      </c>
      <c r="AV461">
        <v>2</v>
      </c>
      <c r="AX461" s="114">
        <v>23</v>
      </c>
      <c r="AY461" s="116">
        <v>19</v>
      </c>
      <c r="BA461" s="142">
        <v>44250</v>
      </c>
      <c r="BB461" s="120">
        <f t="shared" si="131"/>
        <v>23019</v>
      </c>
      <c r="BC461" t="s">
        <v>957</v>
      </c>
      <c r="BD461">
        <f t="shared" si="132"/>
        <v>2344250</v>
      </c>
      <c r="BE461" s="1">
        <v>0</v>
      </c>
      <c r="BS461" s="63">
        <v>0</v>
      </c>
      <c r="CK461" s="1" t="s">
        <v>4012</v>
      </c>
    </row>
    <row r="462" spans="1:89" hidden="1" outlineLevel="1">
      <c r="A462" t="s">
        <v>1523</v>
      </c>
      <c r="B462" s="8" t="s">
        <v>1697</v>
      </c>
      <c r="C462" s="1">
        <f t="shared" si="122"/>
        <v>352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 t="shared" si="123"/>
        <v>5</v>
      </c>
      <c r="G462" s="1">
        <f t="shared" si="124"/>
        <v>117</v>
      </c>
      <c r="H462" s="2">
        <f t="shared" si="125"/>
        <v>0.33238636363636365</v>
      </c>
      <c r="I462" s="6"/>
      <c r="J462" s="2">
        <f t="shared" si="126"/>
        <v>0.29829545454545453</v>
      </c>
      <c r="K462" s="2">
        <f t="shared" si="127"/>
        <v>0.63068181818181823</v>
      </c>
      <c r="L462" s="2">
        <f t="shared" si="128"/>
        <v>2.840909090909091E-3</v>
      </c>
      <c r="M462" s="2">
        <f t="shared" si="129"/>
        <v>6.8181818181818094E-2</v>
      </c>
      <c r="N462" s="63">
        <v>105</v>
      </c>
      <c r="O462" s="63">
        <v>222</v>
      </c>
      <c r="P462" s="63">
        <v>1</v>
      </c>
      <c r="Q462" s="63">
        <v>17</v>
      </c>
      <c r="R462" s="63">
        <v>7</v>
      </c>
      <c r="S462" s="63">
        <v>0</v>
      </c>
      <c r="T462" s="67"/>
      <c r="U462" s="63"/>
      <c r="V462" s="63"/>
      <c r="W462" s="63">
        <f t="shared" si="133"/>
        <v>0</v>
      </c>
      <c r="X462" s="63"/>
      <c r="Y462" s="63"/>
      <c r="Z462" s="63"/>
      <c r="AA462" s="63"/>
      <c r="AB462" s="63"/>
      <c r="AE462" s="8">
        <v>0</v>
      </c>
      <c r="AT462" t="str">
        <f t="shared" si="130"/>
        <v>Mattawamkeag</v>
      </c>
      <c r="AU462" t="s">
        <v>2481</v>
      </c>
      <c r="AV462">
        <v>2</v>
      </c>
      <c r="AX462" s="114">
        <v>23</v>
      </c>
      <c r="AY462" s="116">
        <v>19</v>
      </c>
      <c r="AZ462" s="116">
        <v>200</v>
      </c>
      <c r="BA462" s="120">
        <v>44270</v>
      </c>
      <c r="BB462" s="120">
        <f t="shared" si="131"/>
        <v>23019</v>
      </c>
      <c r="BC462" t="s">
        <v>1472</v>
      </c>
      <c r="BD462">
        <f t="shared" si="132"/>
        <v>2344270</v>
      </c>
      <c r="BE462" s="1">
        <v>10</v>
      </c>
      <c r="BI462">
        <v>37.799999999999997</v>
      </c>
      <c r="BJ462">
        <v>0.37</v>
      </c>
      <c r="BK462">
        <v>37.43</v>
      </c>
      <c r="BS462" s="63">
        <v>0</v>
      </c>
      <c r="CK462" s="1" t="s">
        <v>4013</v>
      </c>
    </row>
    <row r="463" spans="1:89" hidden="1" outlineLevel="1">
      <c r="A463" t="s">
        <v>1164</v>
      </c>
      <c r="B463" s="8" t="s">
        <v>1697</v>
      </c>
      <c r="C463" s="1">
        <f t="shared" si="122"/>
        <v>58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 t="shared" si="123"/>
        <v>0</v>
      </c>
      <c r="G463" s="1">
        <f t="shared" si="124"/>
        <v>19</v>
      </c>
      <c r="H463" s="2">
        <f t="shared" si="125"/>
        <v>0.32758620689655171</v>
      </c>
      <c r="I463" s="6"/>
      <c r="J463" s="2">
        <f t="shared" si="126"/>
        <v>0.29310344827586204</v>
      </c>
      <c r="K463" s="2">
        <f t="shared" si="127"/>
        <v>0.62068965517241381</v>
      </c>
      <c r="L463" s="2">
        <f t="shared" si="128"/>
        <v>0</v>
      </c>
      <c r="M463" s="2">
        <f t="shared" si="129"/>
        <v>8.6206896551724088E-2</v>
      </c>
      <c r="N463" s="63">
        <v>17</v>
      </c>
      <c r="O463" s="63">
        <v>36</v>
      </c>
      <c r="P463" s="63">
        <v>0</v>
      </c>
      <c r="Q463" s="63">
        <v>3</v>
      </c>
      <c r="R463" s="63">
        <v>2</v>
      </c>
      <c r="S463" s="63">
        <v>0</v>
      </c>
      <c r="T463" s="67"/>
      <c r="U463" s="63"/>
      <c r="V463" s="63"/>
      <c r="W463" s="63">
        <f t="shared" si="133"/>
        <v>0</v>
      </c>
      <c r="X463" s="63"/>
      <c r="Y463" s="63"/>
      <c r="Z463" s="63"/>
      <c r="AA463" s="63"/>
      <c r="AB463" s="63"/>
      <c r="AE463" s="8">
        <v>0</v>
      </c>
      <c r="AT463" t="str">
        <f t="shared" si="130"/>
        <v>Maxfield</v>
      </c>
      <c r="AU463" t="s">
        <v>2481</v>
      </c>
      <c r="AV463">
        <v>2</v>
      </c>
      <c r="AX463" s="114">
        <v>23</v>
      </c>
      <c r="AY463" s="116">
        <v>19</v>
      </c>
      <c r="AZ463" s="116">
        <v>205</v>
      </c>
      <c r="BA463" s="120">
        <v>44340</v>
      </c>
      <c r="BB463" s="120">
        <f t="shared" si="131"/>
        <v>23019</v>
      </c>
      <c r="BC463" t="s">
        <v>1472</v>
      </c>
      <c r="BD463">
        <f t="shared" si="132"/>
        <v>2344340</v>
      </c>
      <c r="BE463" s="1">
        <v>0</v>
      </c>
      <c r="BI463">
        <v>19.37</v>
      </c>
      <c r="BJ463">
        <v>0.26</v>
      </c>
      <c r="BK463">
        <v>19.11</v>
      </c>
      <c r="BS463" s="63">
        <v>0</v>
      </c>
      <c r="CK463" s="1" t="s">
        <v>4014</v>
      </c>
    </row>
    <row r="464" spans="1:89" hidden="1" outlineLevel="1">
      <c r="A464" t="s">
        <v>1103</v>
      </c>
      <c r="B464" s="8" t="s">
        <v>1697</v>
      </c>
      <c r="C464" s="1">
        <f t="shared" si="122"/>
        <v>1532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 t="shared" si="123"/>
        <v>5</v>
      </c>
      <c r="G464" s="1">
        <f t="shared" si="124"/>
        <v>356</v>
      </c>
      <c r="H464" s="2">
        <f t="shared" si="125"/>
        <v>0.23237597911227154</v>
      </c>
      <c r="I464" s="6"/>
      <c r="J464" s="2">
        <f t="shared" si="126"/>
        <v>0.33616187989556134</v>
      </c>
      <c r="K464" s="2">
        <f t="shared" si="127"/>
        <v>0.56853785900783294</v>
      </c>
      <c r="L464" s="2">
        <f t="shared" si="128"/>
        <v>3.2637075718015664E-3</v>
      </c>
      <c r="M464" s="2">
        <f t="shared" si="129"/>
        <v>9.2036553524804152E-2</v>
      </c>
      <c r="N464" s="63">
        <v>515</v>
      </c>
      <c r="O464" s="63">
        <v>871</v>
      </c>
      <c r="P464" s="63">
        <v>5</v>
      </c>
      <c r="Q464" s="63">
        <v>117</v>
      </c>
      <c r="R464" s="63">
        <v>24</v>
      </c>
      <c r="S464" s="63">
        <v>0</v>
      </c>
      <c r="T464" s="67"/>
      <c r="U464" s="63"/>
      <c r="V464" s="63"/>
      <c r="W464" s="63">
        <f t="shared" si="133"/>
        <v>0</v>
      </c>
      <c r="X464" s="63"/>
      <c r="Y464" s="63"/>
      <c r="Z464" s="63"/>
      <c r="AA464" s="63"/>
      <c r="AB464" s="63"/>
      <c r="AE464" s="8">
        <v>0</v>
      </c>
      <c r="AT464" t="str">
        <f t="shared" si="130"/>
        <v>Mechanic Falls</v>
      </c>
      <c r="AU464" t="s">
        <v>1118</v>
      </c>
      <c r="AV464">
        <v>2</v>
      </c>
      <c r="AX464" s="114">
        <v>23</v>
      </c>
      <c r="AY464" s="116">
        <v>1</v>
      </c>
      <c r="AZ464" s="116">
        <v>45</v>
      </c>
      <c r="BA464" s="120">
        <v>44585</v>
      </c>
      <c r="BB464" s="120">
        <f t="shared" si="131"/>
        <v>23001</v>
      </c>
      <c r="BC464" t="s">
        <v>1472</v>
      </c>
      <c r="BD464">
        <f t="shared" si="132"/>
        <v>2344585</v>
      </c>
      <c r="BE464" s="1">
        <v>54</v>
      </c>
      <c r="BI464">
        <v>11.15</v>
      </c>
      <c r="BJ464">
        <v>0.03</v>
      </c>
      <c r="BK464">
        <v>11.12</v>
      </c>
      <c r="BS464" s="63">
        <v>0</v>
      </c>
      <c r="CK464" s="1" t="s">
        <v>4015</v>
      </c>
    </row>
    <row r="465" spans="1:89" hidden="1" outlineLevel="1">
      <c r="A465" t="s">
        <v>3180</v>
      </c>
      <c r="B465" s="8" t="s">
        <v>1697</v>
      </c>
      <c r="C465" s="1">
        <f t="shared" si="122"/>
        <v>98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 t="shared" si="123"/>
        <v>0</v>
      </c>
      <c r="G465" s="1">
        <f t="shared" si="124"/>
        <v>32</v>
      </c>
      <c r="H465" s="2">
        <f t="shared" si="125"/>
        <v>0.32653061224489793</v>
      </c>
      <c r="I465" s="6"/>
      <c r="J465" s="2">
        <f t="shared" si="126"/>
        <v>0.30612244897959184</v>
      </c>
      <c r="K465" s="2">
        <f t="shared" si="127"/>
        <v>0.63265306122448983</v>
      </c>
      <c r="L465" s="2">
        <f t="shared" si="128"/>
        <v>0</v>
      </c>
      <c r="M465" s="2">
        <f t="shared" si="129"/>
        <v>6.1224489795918324E-2</v>
      </c>
      <c r="N465" s="63">
        <v>30</v>
      </c>
      <c r="O465" s="63">
        <v>62</v>
      </c>
      <c r="P465" s="63">
        <v>0</v>
      </c>
      <c r="Q465" s="63">
        <v>5</v>
      </c>
      <c r="R465" s="63">
        <v>1</v>
      </c>
      <c r="S465" s="63">
        <v>0</v>
      </c>
      <c r="T465" s="67"/>
      <c r="U465" s="63"/>
      <c r="V465" s="63"/>
      <c r="W465" s="63">
        <f t="shared" si="133"/>
        <v>0</v>
      </c>
      <c r="X465" s="63"/>
      <c r="Y465" s="63"/>
      <c r="Z465" s="63"/>
      <c r="AA465" s="63"/>
      <c r="AB465" s="63"/>
      <c r="AE465" s="8">
        <v>0</v>
      </c>
      <c r="AT465" t="str">
        <f t="shared" si="130"/>
        <v>Meddybemps</v>
      </c>
      <c r="AU465" t="s">
        <v>692</v>
      </c>
      <c r="AV465">
        <v>2</v>
      </c>
      <c r="AX465" s="114">
        <v>23</v>
      </c>
      <c r="AY465" s="116">
        <v>29</v>
      </c>
      <c r="AZ465" s="116">
        <v>145</v>
      </c>
      <c r="BA465" s="120">
        <v>44760</v>
      </c>
      <c r="BB465" s="120">
        <f t="shared" si="131"/>
        <v>23029</v>
      </c>
      <c r="BC465" t="s">
        <v>1472</v>
      </c>
      <c r="BD465">
        <f t="shared" si="132"/>
        <v>2344760</v>
      </c>
      <c r="BE465" s="1">
        <v>7</v>
      </c>
      <c r="BI465">
        <v>16.79</v>
      </c>
      <c r="BJ465">
        <v>3.39</v>
      </c>
      <c r="BK465">
        <v>13.4</v>
      </c>
      <c r="BS465" s="63">
        <v>0</v>
      </c>
      <c r="CK465" s="1" t="s">
        <v>4016</v>
      </c>
    </row>
    <row r="466" spans="1:89" hidden="1" outlineLevel="1">
      <c r="A466" t="s">
        <v>1413</v>
      </c>
      <c r="B466" s="8" t="s">
        <v>1697</v>
      </c>
      <c r="C466" s="1">
        <f t="shared" si="122"/>
        <v>148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 t="shared" si="123"/>
        <v>0</v>
      </c>
      <c r="G466" s="1">
        <f t="shared" si="124"/>
        <v>52</v>
      </c>
      <c r="H466" s="2">
        <f t="shared" si="125"/>
        <v>0.35135135135135137</v>
      </c>
      <c r="I466" s="6"/>
      <c r="J466" s="2">
        <f t="shared" si="126"/>
        <v>0.29729729729729731</v>
      </c>
      <c r="K466" s="2">
        <f t="shared" si="127"/>
        <v>0.64864864864864868</v>
      </c>
      <c r="L466" s="2">
        <f t="shared" si="128"/>
        <v>0</v>
      </c>
      <c r="M466" s="2">
        <f t="shared" si="129"/>
        <v>5.4054054054053946E-2</v>
      </c>
      <c r="N466" s="63">
        <v>44</v>
      </c>
      <c r="O466" s="63">
        <v>96</v>
      </c>
      <c r="P466" s="63">
        <v>0</v>
      </c>
      <c r="Q466" s="63">
        <v>5</v>
      </c>
      <c r="R466" s="63">
        <v>3</v>
      </c>
      <c r="S466" s="63">
        <v>0</v>
      </c>
      <c r="T466" s="67"/>
      <c r="U466" s="63"/>
      <c r="V466" s="63"/>
      <c r="W466" s="63">
        <f t="shared" si="133"/>
        <v>0</v>
      </c>
      <c r="X466" s="63"/>
      <c r="Y466" s="63"/>
      <c r="Z466" s="63"/>
      <c r="AA466" s="63"/>
      <c r="AB466" s="63"/>
      <c r="AE466" s="8">
        <v>0</v>
      </c>
      <c r="AT466" t="str">
        <f t="shared" si="130"/>
        <v>Medford</v>
      </c>
      <c r="AU466" t="s">
        <v>1957</v>
      </c>
      <c r="AV466">
        <v>2</v>
      </c>
      <c r="AX466" s="114">
        <v>23</v>
      </c>
      <c r="AY466" s="116">
        <v>21</v>
      </c>
      <c r="AZ466" s="116">
        <v>62</v>
      </c>
      <c r="BA466" s="120">
        <v>44830</v>
      </c>
      <c r="BB466" s="120">
        <f t="shared" si="131"/>
        <v>23021</v>
      </c>
      <c r="BC466" t="s">
        <v>1472</v>
      </c>
      <c r="BD466">
        <f t="shared" si="132"/>
        <v>2344830</v>
      </c>
      <c r="BE466" s="1">
        <v>4</v>
      </c>
      <c r="BI466">
        <v>43.13</v>
      </c>
      <c r="BJ466">
        <v>0.75</v>
      </c>
      <c r="BK466">
        <v>42.39</v>
      </c>
      <c r="BS466" s="63">
        <v>0</v>
      </c>
      <c r="CK466" s="1" t="s">
        <v>4017</v>
      </c>
    </row>
    <row r="467" spans="1:89" hidden="1" outlineLevel="1">
      <c r="A467" t="s">
        <v>1207</v>
      </c>
      <c r="B467" s="8" t="s">
        <v>1697</v>
      </c>
      <c r="C467" s="1">
        <f t="shared" si="122"/>
        <v>737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 t="shared" si="123"/>
        <v>0</v>
      </c>
      <c r="G467" s="1">
        <f t="shared" si="124"/>
        <v>315</v>
      </c>
      <c r="H467" s="2">
        <f t="shared" si="125"/>
        <v>0.42740841248303935</v>
      </c>
      <c r="I467" s="6"/>
      <c r="J467" s="2">
        <f t="shared" si="126"/>
        <v>0.26187245590230662</v>
      </c>
      <c r="K467" s="2">
        <f t="shared" si="127"/>
        <v>0.68928086838534597</v>
      </c>
      <c r="L467" s="2">
        <f t="shared" si="128"/>
        <v>0</v>
      </c>
      <c r="M467" s="2">
        <f t="shared" si="129"/>
        <v>4.8846675712347354E-2</v>
      </c>
      <c r="N467" s="63">
        <v>193</v>
      </c>
      <c r="O467" s="63">
        <v>508</v>
      </c>
      <c r="P467" s="63">
        <v>0</v>
      </c>
      <c r="Q467" s="63">
        <v>23</v>
      </c>
      <c r="R467" s="63">
        <v>7</v>
      </c>
      <c r="S467" s="63">
        <v>0</v>
      </c>
      <c r="T467" s="67"/>
      <c r="U467" s="63"/>
      <c r="V467" s="63"/>
      <c r="W467" s="63">
        <f t="shared" si="133"/>
        <v>6</v>
      </c>
      <c r="X467" s="63"/>
      <c r="Y467" s="63"/>
      <c r="Z467" s="63"/>
      <c r="AA467" s="63"/>
      <c r="AB467" s="63"/>
      <c r="AE467" s="8">
        <v>0</v>
      </c>
      <c r="AT467" t="str">
        <f t="shared" si="130"/>
        <v>Medway</v>
      </c>
      <c r="AU467" t="s">
        <v>2481</v>
      </c>
      <c r="AV467">
        <v>2</v>
      </c>
      <c r="AX467" s="114">
        <v>23</v>
      </c>
      <c r="AY467" s="116">
        <v>19</v>
      </c>
      <c r="AZ467" s="116">
        <v>210</v>
      </c>
      <c r="BA467" s="120">
        <v>45005</v>
      </c>
      <c r="BB467" s="120">
        <f t="shared" si="131"/>
        <v>23019</v>
      </c>
      <c r="BC467" t="s">
        <v>1472</v>
      </c>
      <c r="BD467">
        <f t="shared" si="132"/>
        <v>2345005</v>
      </c>
      <c r="BE467" s="1">
        <v>14</v>
      </c>
      <c r="BI467">
        <v>41.74</v>
      </c>
      <c r="BJ467">
        <v>0.79</v>
      </c>
      <c r="BK467">
        <v>40.950000000000003</v>
      </c>
      <c r="BS467" s="63">
        <v>6</v>
      </c>
      <c r="CK467" s="1" t="s">
        <v>4018</v>
      </c>
    </row>
    <row r="468" spans="1:89" hidden="1" outlineLevel="1">
      <c r="A468" t="s">
        <v>449</v>
      </c>
      <c r="B468" s="8" t="s">
        <v>1697</v>
      </c>
      <c r="C468" s="1">
        <f t="shared" si="122"/>
        <v>408</v>
      </c>
      <c r="D468" s="5">
        <f>IF(N468&gt;0, RANK(N468,(N468:P468,Q468:AE468)),0)</f>
        <v>2</v>
      </c>
      <c r="E468" s="5">
        <f>IF(O468&gt;0,RANK(O468,(N468:P468,Q468:AE468)),0)</f>
        <v>1</v>
      </c>
      <c r="F468" s="5">
        <f t="shared" ref="F468:F499" si="134">IF(P468&gt;0,RANK(P468,(N468:AE468)),0)</f>
        <v>5</v>
      </c>
      <c r="G468" s="1">
        <f t="shared" ref="G468:G499" si="135">IF(C468&gt;0,MAX(N468:P468)-LARGE(N468:P468,2),0)</f>
        <v>67</v>
      </c>
      <c r="H468" s="2">
        <f t="shared" ref="H468:H499" si="136">IF(C468&gt;0,G468/C468,0)</f>
        <v>0.1642156862745098</v>
      </c>
      <c r="I468" s="6"/>
      <c r="J468" s="2">
        <f t="shared" ref="J468:J499" si="137">IF(C468=0,"-",N468/C468)</f>
        <v>0.38725490196078433</v>
      </c>
      <c r="K468" s="2">
        <f t="shared" ref="K468:K499" si="138">IF(C468=0,"-",O468/C468)</f>
        <v>0.55147058823529416</v>
      </c>
      <c r="L468" s="2">
        <f t="shared" ref="L468:L499" si="139">IF(C468=0,"-",P468/C468)</f>
        <v>2.4509803921568627E-3</v>
      </c>
      <c r="M468" s="2">
        <f t="shared" ref="M468:M499" si="140">IF(C468=0,"-",(1-J468-K468-L468))</f>
        <v>5.8823529411764712E-2</v>
      </c>
      <c r="N468" s="63">
        <v>158</v>
      </c>
      <c r="O468" s="63">
        <v>225</v>
      </c>
      <c r="P468" s="63">
        <v>1</v>
      </c>
      <c r="Q468" s="63">
        <v>16</v>
      </c>
      <c r="R468" s="63">
        <v>8</v>
      </c>
      <c r="S468" s="63">
        <v>0</v>
      </c>
      <c r="T468" s="67"/>
      <c r="U468" s="63"/>
      <c r="V468" s="63"/>
      <c r="W468" s="63">
        <f t="shared" si="133"/>
        <v>0</v>
      </c>
      <c r="X468" s="63"/>
      <c r="Y468" s="63"/>
      <c r="Z468" s="63"/>
      <c r="AA468" s="63"/>
      <c r="AB468" s="63"/>
      <c r="AE468" s="8">
        <v>0</v>
      </c>
      <c r="AT468" t="str">
        <f t="shared" si="130"/>
        <v>Mercer</v>
      </c>
      <c r="AU468" t="s">
        <v>1787</v>
      </c>
      <c r="AV468">
        <v>2</v>
      </c>
      <c r="AX468" s="114">
        <v>23</v>
      </c>
      <c r="AY468" s="116">
        <v>25</v>
      </c>
      <c r="AZ468" s="116">
        <v>90</v>
      </c>
      <c r="BA468" s="120">
        <v>45110</v>
      </c>
      <c r="BB468" s="120">
        <f t="shared" si="131"/>
        <v>23025</v>
      </c>
      <c r="BC468" t="s">
        <v>1472</v>
      </c>
      <c r="BD468">
        <f t="shared" si="132"/>
        <v>2345110</v>
      </c>
      <c r="BE468" s="1">
        <v>16</v>
      </c>
      <c r="BI468">
        <v>27.37</v>
      </c>
      <c r="BJ468">
        <v>0.66</v>
      </c>
      <c r="BK468">
        <v>26.71</v>
      </c>
      <c r="BS468" s="63">
        <v>0</v>
      </c>
      <c r="CK468" s="1" t="s">
        <v>4019</v>
      </c>
    </row>
    <row r="469" spans="1:89" hidden="1" outlineLevel="1">
      <c r="A469" t="s">
        <v>2164</v>
      </c>
      <c r="B469" s="8" t="s">
        <v>1697</v>
      </c>
      <c r="C469" s="1">
        <f t="shared" si="122"/>
        <v>133</v>
      </c>
      <c r="D469" s="5">
        <f>IF(N469&gt;0, RANK(N469,(N469:P469,Q469:AE469)),0)</f>
        <v>2</v>
      </c>
      <c r="E469" s="5">
        <f>IF(O469&gt;0,RANK(O469,(N469:P469,Q469:AE469)),0)</f>
        <v>1</v>
      </c>
      <c r="F469" s="5">
        <f t="shared" si="134"/>
        <v>0</v>
      </c>
      <c r="G469" s="1">
        <f t="shared" si="135"/>
        <v>45</v>
      </c>
      <c r="H469" s="2">
        <f t="shared" si="136"/>
        <v>0.33834586466165412</v>
      </c>
      <c r="I469" s="6"/>
      <c r="J469" s="2">
        <f t="shared" si="137"/>
        <v>0.2781954887218045</v>
      </c>
      <c r="K469" s="2">
        <f t="shared" si="138"/>
        <v>0.61654135338345861</v>
      </c>
      <c r="L469" s="2">
        <f t="shared" si="139"/>
        <v>0</v>
      </c>
      <c r="M469" s="2">
        <f t="shared" si="140"/>
        <v>0.10526315789473684</v>
      </c>
      <c r="N469" s="63">
        <v>37</v>
      </c>
      <c r="O469" s="63">
        <v>82</v>
      </c>
      <c r="P469" s="63">
        <v>0</v>
      </c>
      <c r="Q469" s="63">
        <v>11</v>
      </c>
      <c r="R469" s="63">
        <v>3</v>
      </c>
      <c r="S469" s="63">
        <v>0</v>
      </c>
      <c r="T469" s="67"/>
      <c r="U469" s="63"/>
      <c r="V469" s="63"/>
      <c r="W469" s="63">
        <f t="shared" si="133"/>
        <v>0</v>
      </c>
      <c r="X469" s="63"/>
      <c r="Y469" s="63"/>
      <c r="Z469" s="63"/>
      <c r="AA469" s="63"/>
      <c r="AB469" s="63"/>
      <c r="AE469" s="8">
        <v>0</v>
      </c>
      <c r="AT469" t="str">
        <f t="shared" si="130"/>
        <v>Merrill</v>
      </c>
      <c r="AU469" t="s">
        <v>2830</v>
      </c>
      <c r="AV469">
        <v>2</v>
      </c>
      <c r="AX469" s="114">
        <v>23</v>
      </c>
      <c r="AY469" s="116">
        <v>3</v>
      </c>
      <c r="AZ469" s="116">
        <v>205</v>
      </c>
      <c r="BA469" s="120">
        <v>45180</v>
      </c>
      <c r="BB469" s="120">
        <f t="shared" si="131"/>
        <v>23003</v>
      </c>
      <c r="BC469" t="s">
        <v>1472</v>
      </c>
      <c r="BD469">
        <f t="shared" si="132"/>
        <v>2345180</v>
      </c>
      <c r="BE469" s="1">
        <v>4</v>
      </c>
      <c r="BI469">
        <v>37.619999999999997</v>
      </c>
      <c r="BJ469">
        <v>0.03</v>
      </c>
      <c r="BK469">
        <v>37.590000000000003</v>
      </c>
      <c r="BS469" s="63">
        <v>0</v>
      </c>
      <c r="CK469" s="1" t="s">
        <v>4020</v>
      </c>
    </row>
    <row r="470" spans="1:89" hidden="1" outlineLevel="1">
      <c r="A470" t="s">
        <v>2210</v>
      </c>
      <c r="B470" s="8" t="s">
        <v>1697</v>
      </c>
      <c r="C470" s="1">
        <f t="shared" si="122"/>
        <v>1306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 t="shared" si="134"/>
        <v>5</v>
      </c>
      <c r="G470" s="1">
        <f t="shared" si="135"/>
        <v>103</v>
      </c>
      <c r="H470" s="2">
        <f t="shared" si="136"/>
        <v>7.8866768759571215E-2</v>
      </c>
      <c r="I470" s="6"/>
      <c r="J470" s="2">
        <f t="shared" si="137"/>
        <v>0.41653905053598778</v>
      </c>
      <c r="K470" s="2">
        <f t="shared" si="138"/>
        <v>0.49540581929555894</v>
      </c>
      <c r="L470" s="2">
        <f t="shared" si="139"/>
        <v>1.5313935681470138E-3</v>
      </c>
      <c r="M470" s="2">
        <f t="shared" si="140"/>
        <v>8.6523736600306225E-2</v>
      </c>
      <c r="N470" s="63">
        <v>544</v>
      </c>
      <c r="O470" s="63">
        <v>647</v>
      </c>
      <c r="P470" s="63">
        <v>2</v>
      </c>
      <c r="Q470" s="63">
        <v>85</v>
      </c>
      <c r="R470" s="63">
        <v>28</v>
      </c>
      <c r="S470" s="63">
        <v>0</v>
      </c>
      <c r="T470" s="67"/>
      <c r="U470" s="63"/>
      <c r="V470" s="63"/>
      <c r="W470" s="63">
        <f t="shared" si="133"/>
        <v>0</v>
      </c>
      <c r="X470" s="63"/>
      <c r="Y470" s="63"/>
      <c r="Z470" s="63"/>
      <c r="AA470" s="63"/>
      <c r="AB470" s="63"/>
      <c r="AE470" s="8">
        <v>0</v>
      </c>
      <c r="AT470" t="str">
        <f t="shared" si="130"/>
        <v>Mexico</v>
      </c>
      <c r="AU470" t="s">
        <v>2383</v>
      </c>
      <c r="AV470">
        <v>2</v>
      </c>
      <c r="AX470" s="114">
        <v>23</v>
      </c>
      <c r="AY470" s="116">
        <v>17</v>
      </c>
      <c r="AZ470" s="116">
        <v>95</v>
      </c>
      <c r="BA470" s="120">
        <v>45285</v>
      </c>
      <c r="BB470" s="120">
        <f t="shared" si="131"/>
        <v>23017</v>
      </c>
      <c r="BC470" t="s">
        <v>1472</v>
      </c>
      <c r="BD470">
        <f t="shared" si="132"/>
        <v>2345285</v>
      </c>
      <c r="BE470" s="1">
        <v>56</v>
      </c>
      <c r="BI470">
        <v>23.65</v>
      </c>
      <c r="BJ470">
        <v>0.22</v>
      </c>
      <c r="BK470">
        <v>23.43</v>
      </c>
      <c r="BS470" s="63">
        <v>0</v>
      </c>
      <c r="CK470" s="1" t="s">
        <v>4021</v>
      </c>
    </row>
    <row r="471" spans="1:89" hidden="1" outlineLevel="1">
      <c r="A471" t="s">
        <v>2375</v>
      </c>
      <c r="B471" s="8" t="s">
        <v>1697</v>
      </c>
      <c r="C471" s="1">
        <f t="shared" si="122"/>
        <v>669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 t="shared" si="134"/>
        <v>5</v>
      </c>
      <c r="G471" s="1">
        <f t="shared" si="135"/>
        <v>95</v>
      </c>
      <c r="H471" s="2">
        <f t="shared" si="136"/>
        <v>0.14200298953662183</v>
      </c>
      <c r="I471" s="6"/>
      <c r="J471" s="2">
        <f t="shared" si="137"/>
        <v>0.39760837070254113</v>
      </c>
      <c r="K471" s="2">
        <f t="shared" si="138"/>
        <v>0.5396113602391629</v>
      </c>
      <c r="L471" s="2">
        <f t="shared" si="139"/>
        <v>2.9895366218236174E-3</v>
      </c>
      <c r="M471" s="2">
        <f t="shared" si="140"/>
        <v>5.979073243647242E-2</v>
      </c>
      <c r="N471" s="63">
        <v>266</v>
      </c>
      <c r="O471" s="63">
        <v>361</v>
      </c>
      <c r="P471" s="63">
        <v>2</v>
      </c>
      <c r="Q471" s="63">
        <v>32</v>
      </c>
      <c r="R471" s="63">
        <v>8</v>
      </c>
      <c r="S471" s="63">
        <v>0</v>
      </c>
      <c r="T471" s="67"/>
      <c r="U471" s="63"/>
      <c r="V471" s="63"/>
      <c r="W471" s="63">
        <f t="shared" si="133"/>
        <v>0</v>
      </c>
      <c r="X471" s="63"/>
      <c r="Y471" s="63"/>
      <c r="Z471" s="63"/>
      <c r="AA471" s="63"/>
      <c r="AB471" s="63"/>
      <c r="AE471" s="8">
        <v>0</v>
      </c>
      <c r="AT471" t="str">
        <f t="shared" si="130"/>
        <v>Milbridge</v>
      </c>
      <c r="AU471" t="s">
        <v>692</v>
      </c>
      <c r="AV471">
        <v>2</v>
      </c>
      <c r="AX471" s="114">
        <v>23</v>
      </c>
      <c r="AY471" s="116">
        <v>29</v>
      </c>
      <c r="AZ471" s="116">
        <v>150</v>
      </c>
      <c r="BA471" s="120">
        <v>45600</v>
      </c>
      <c r="BB471" s="120">
        <f t="shared" si="131"/>
        <v>23029</v>
      </c>
      <c r="BC471" t="s">
        <v>1472</v>
      </c>
      <c r="BD471">
        <f t="shared" si="132"/>
        <v>2345600</v>
      </c>
      <c r="BE471" s="1">
        <v>26</v>
      </c>
      <c r="BI471">
        <v>57.42</v>
      </c>
      <c r="BJ471">
        <v>33.28</v>
      </c>
      <c r="BK471">
        <v>24.14</v>
      </c>
      <c r="BS471" s="63">
        <v>0</v>
      </c>
      <c r="CK471" s="1" t="s">
        <v>4022</v>
      </c>
    </row>
    <row r="472" spans="1:89" hidden="1" outlineLevel="1">
      <c r="A472" t="s">
        <v>139</v>
      </c>
      <c r="B472" s="8" t="s">
        <v>1697</v>
      </c>
      <c r="C472" s="1">
        <f t="shared" si="122"/>
        <v>1732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 t="shared" si="134"/>
        <v>0</v>
      </c>
      <c r="G472" s="1">
        <f t="shared" si="135"/>
        <v>26</v>
      </c>
      <c r="H472" s="2">
        <f t="shared" si="136"/>
        <v>1.5011547344110854E-2</v>
      </c>
      <c r="I472" s="6"/>
      <c r="J472" s="2">
        <f t="shared" si="137"/>
        <v>0.45207852193995379</v>
      </c>
      <c r="K472" s="2">
        <f t="shared" si="138"/>
        <v>0.46709006928406466</v>
      </c>
      <c r="L472" s="2">
        <f t="shared" si="139"/>
        <v>0</v>
      </c>
      <c r="M472" s="2">
        <f t="shared" si="140"/>
        <v>8.083140877598155E-2</v>
      </c>
      <c r="N472" s="63">
        <v>783</v>
      </c>
      <c r="O472" s="63">
        <v>809</v>
      </c>
      <c r="P472" s="63">
        <v>0</v>
      </c>
      <c r="Q472" s="63">
        <v>109</v>
      </c>
      <c r="R472" s="63">
        <v>31</v>
      </c>
      <c r="S472" s="63">
        <v>0</v>
      </c>
      <c r="T472" s="67"/>
      <c r="U472" s="63"/>
      <c r="V472" s="63"/>
      <c r="W472" s="63">
        <f t="shared" si="133"/>
        <v>0</v>
      </c>
      <c r="X472" s="63"/>
      <c r="Y472" s="63"/>
      <c r="Z472" s="63"/>
      <c r="AA472" s="63"/>
      <c r="AB472" s="63"/>
      <c r="AE472" s="8">
        <v>0</v>
      </c>
      <c r="AT472" t="str">
        <f t="shared" si="130"/>
        <v>Milford</v>
      </c>
      <c r="AU472" t="s">
        <v>2481</v>
      </c>
      <c r="AV472">
        <v>2</v>
      </c>
      <c r="AX472" s="114">
        <v>23</v>
      </c>
      <c r="AY472" s="116">
        <v>19</v>
      </c>
      <c r="AZ472" s="116">
        <v>215</v>
      </c>
      <c r="BA472" s="120">
        <v>45670</v>
      </c>
      <c r="BB472" s="120">
        <f t="shared" si="131"/>
        <v>23019</v>
      </c>
      <c r="BC472" t="s">
        <v>1472</v>
      </c>
      <c r="BD472">
        <f t="shared" si="132"/>
        <v>2345670</v>
      </c>
      <c r="BE472" s="1">
        <v>48</v>
      </c>
      <c r="BI472">
        <v>45.8</v>
      </c>
      <c r="BJ472">
        <v>0.2</v>
      </c>
      <c r="BK472">
        <v>45.6</v>
      </c>
      <c r="BS472" s="63">
        <v>0</v>
      </c>
      <c r="CK472" s="1" t="s">
        <v>4023</v>
      </c>
    </row>
    <row r="473" spans="1:89" hidden="1" outlineLevel="1">
      <c r="A473" t="s">
        <v>2069</v>
      </c>
      <c r="B473" s="8" t="s">
        <v>1697</v>
      </c>
      <c r="C473" s="1">
        <f t="shared" si="122"/>
        <v>2207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 t="shared" si="134"/>
        <v>0</v>
      </c>
      <c r="G473" s="1">
        <f t="shared" si="135"/>
        <v>248</v>
      </c>
      <c r="H473" s="2">
        <f t="shared" si="136"/>
        <v>0.11236973266878116</v>
      </c>
      <c r="I473" s="6"/>
      <c r="J473" s="2">
        <f t="shared" si="137"/>
        <v>0.41368373357498867</v>
      </c>
      <c r="K473" s="2">
        <f t="shared" si="138"/>
        <v>0.52605346624376981</v>
      </c>
      <c r="L473" s="2">
        <f t="shared" si="139"/>
        <v>0</v>
      </c>
      <c r="M473" s="2">
        <f t="shared" si="140"/>
        <v>6.0262800181241527E-2</v>
      </c>
      <c r="N473" s="63">
        <v>913</v>
      </c>
      <c r="O473" s="63">
        <v>1161</v>
      </c>
      <c r="P473" s="63">
        <v>0</v>
      </c>
      <c r="Q473" s="63">
        <v>101</v>
      </c>
      <c r="R473" s="63">
        <v>32</v>
      </c>
      <c r="S473" s="63">
        <v>0</v>
      </c>
      <c r="T473" s="67"/>
      <c r="U473" s="63"/>
      <c r="V473" s="63"/>
      <c r="W473" s="63">
        <f t="shared" si="133"/>
        <v>0</v>
      </c>
      <c r="X473" s="63"/>
      <c r="Y473" s="63"/>
      <c r="Z473" s="63"/>
      <c r="AA473" s="63"/>
      <c r="AB473" s="63"/>
      <c r="AE473" s="8">
        <v>0</v>
      </c>
      <c r="AT473" t="str">
        <f t="shared" si="130"/>
        <v>Millinocket</v>
      </c>
      <c r="AU473" t="s">
        <v>2481</v>
      </c>
      <c r="AV473">
        <v>2</v>
      </c>
      <c r="AX473" s="114">
        <v>23</v>
      </c>
      <c r="AY473" s="116">
        <v>19</v>
      </c>
      <c r="AZ473" s="116">
        <v>220</v>
      </c>
      <c r="BA473" s="120">
        <v>45810</v>
      </c>
      <c r="BB473" s="120">
        <f t="shared" si="131"/>
        <v>23019</v>
      </c>
      <c r="BC473" t="s">
        <v>1472</v>
      </c>
      <c r="BD473">
        <f t="shared" si="132"/>
        <v>2345810</v>
      </c>
      <c r="BE473" s="1">
        <v>78</v>
      </c>
      <c r="BI473">
        <v>18.3</v>
      </c>
      <c r="BJ473">
        <v>2.41</v>
      </c>
      <c r="BK473">
        <v>15.89</v>
      </c>
      <c r="BS473" s="63">
        <v>0</v>
      </c>
      <c r="CK473" s="1" t="s">
        <v>4024</v>
      </c>
    </row>
    <row r="474" spans="1:89" hidden="1" outlineLevel="1">
      <c r="A474" t="s">
        <v>3245</v>
      </c>
      <c r="B474" s="8" t="s">
        <v>1697</v>
      </c>
      <c r="C474" s="1">
        <f t="shared" si="122"/>
        <v>130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 t="shared" si="134"/>
        <v>0</v>
      </c>
      <c r="G474" s="1">
        <f t="shared" si="135"/>
        <v>1</v>
      </c>
      <c r="H474" s="2">
        <f t="shared" si="136"/>
        <v>7.6923076923076927E-3</v>
      </c>
      <c r="I474" s="6"/>
      <c r="J474" s="2">
        <f t="shared" si="137"/>
        <v>0.47692307692307695</v>
      </c>
      <c r="K474" s="2">
        <f t="shared" si="138"/>
        <v>0.48461538461538461</v>
      </c>
      <c r="L474" s="2">
        <f t="shared" si="139"/>
        <v>0</v>
      </c>
      <c r="M474" s="2">
        <f t="shared" si="140"/>
        <v>3.846153846153838E-2</v>
      </c>
      <c r="N474" s="63">
        <v>62</v>
      </c>
      <c r="O474" s="63">
        <v>63</v>
      </c>
      <c r="P474" s="63">
        <v>0</v>
      </c>
      <c r="Q474" s="63">
        <v>4</v>
      </c>
      <c r="R474" s="63">
        <v>1</v>
      </c>
      <c r="S474" s="63">
        <v>0</v>
      </c>
      <c r="T474" s="67"/>
      <c r="U474" s="63"/>
      <c r="V474" s="63"/>
      <c r="W474" s="63">
        <f t="shared" si="133"/>
        <v>0</v>
      </c>
      <c r="X474" s="63"/>
      <c r="Y474" s="63"/>
      <c r="Z474" s="63"/>
      <c r="AA474" s="63"/>
      <c r="AB474" s="63"/>
      <c r="AE474" s="8">
        <v>0</v>
      </c>
      <c r="AT474" t="str">
        <f t="shared" si="130"/>
        <v xml:space="preserve"> Millinocket Twps</v>
      </c>
      <c r="AU474" t="s">
        <v>2481</v>
      </c>
      <c r="AV474">
        <v>2</v>
      </c>
      <c r="AX474" s="114">
        <v>23</v>
      </c>
      <c r="AY474" s="116">
        <v>19</v>
      </c>
      <c r="BA474" s="142">
        <v>45811</v>
      </c>
      <c r="BB474" s="120">
        <f t="shared" si="131"/>
        <v>23019</v>
      </c>
      <c r="BC474" t="s">
        <v>957</v>
      </c>
      <c r="BD474">
        <f t="shared" si="132"/>
        <v>2345811</v>
      </c>
      <c r="BE474" s="1">
        <v>6</v>
      </c>
      <c r="BS474" s="63">
        <v>0</v>
      </c>
      <c r="CK474" s="1" t="s">
        <v>4025</v>
      </c>
    </row>
    <row r="475" spans="1:89" hidden="1" outlineLevel="1">
      <c r="A475" t="s">
        <v>3245</v>
      </c>
      <c r="B475" s="8" t="s">
        <v>1697</v>
      </c>
      <c r="C475" s="1">
        <f t="shared" si="122"/>
        <v>66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 t="shared" si="134"/>
        <v>0</v>
      </c>
      <c r="G475" s="1">
        <f t="shared" si="135"/>
        <v>38</v>
      </c>
      <c r="H475" s="2">
        <f t="shared" si="136"/>
        <v>0.5757575757575758</v>
      </c>
      <c r="I475" s="6"/>
      <c r="J475" s="2">
        <f t="shared" si="137"/>
        <v>0.21212121212121213</v>
      </c>
      <c r="K475" s="2">
        <f t="shared" si="138"/>
        <v>0.78787878787878785</v>
      </c>
      <c r="L475" s="2">
        <f t="shared" si="139"/>
        <v>0</v>
      </c>
      <c r="M475" s="2">
        <f t="shared" si="140"/>
        <v>0</v>
      </c>
      <c r="N475" s="63">
        <v>14</v>
      </c>
      <c r="O475" s="63">
        <v>52</v>
      </c>
      <c r="P475" s="63">
        <v>0</v>
      </c>
      <c r="Q475" s="63">
        <v>0</v>
      </c>
      <c r="R475" s="63">
        <v>0</v>
      </c>
      <c r="S475" s="63">
        <v>0</v>
      </c>
      <c r="T475" s="67"/>
      <c r="U475" s="63"/>
      <c r="V475" s="63"/>
      <c r="W475" s="63">
        <f t="shared" si="133"/>
        <v>0</v>
      </c>
      <c r="X475" s="63"/>
      <c r="Y475" s="63"/>
      <c r="Z475" s="63"/>
      <c r="AA475" s="63"/>
      <c r="AB475" s="63"/>
      <c r="AE475" s="8">
        <v>0</v>
      </c>
      <c r="AT475" t="str">
        <f t="shared" si="130"/>
        <v xml:space="preserve"> Millinocket Twps</v>
      </c>
      <c r="AU475" t="s">
        <v>1957</v>
      </c>
      <c r="AV475">
        <v>2</v>
      </c>
      <c r="AX475" s="114">
        <v>23</v>
      </c>
      <c r="AY475" s="116">
        <v>21</v>
      </c>
      <c r="BA475" s="142">
        <v>45812</v>
      </c>
      <c r="BB475" s="120">
        <f t="shared" si="131"/>
        <v>23021</v>
      </c>
      <c r="BC475" t="s">
        <v>957</v>
      </c>
      <c r="BD475">
        <f t="shared" si="132"/>
        <v>2345812</v>
      </c>
      <c r="BE475" s="1">
        <v>1</v>
      </c>
      <c r="BS475" s="63">
        <v>0</v>
      </c>
      <c r="CK475" s="1" t="s">
        <v>4026</v>
      </c>
    </row>
    <row r="476" spans="1:89" hidden="1" outlineLevel="1">
      <c r="A476" t="s">
        <v>2356</v>
      </c>
      <c r="B476" s="8" t="s">
        <v>1697</v>
      </c>
      <c r="C476" s="1">
        <f t="shared" si="122"/>
        <v>1164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 t="shared" si="134"/>
        <v>5</v>
      </c>
      <c r="G476" s="1">
        <f t="shared" si="135"/>
        <v>311</v>
      </c>
      <c r="H476" s="2">
        <f t="shared" si="136"/>
        <v>0.26718213058419243</v>
      </c>
      <c r="I476" s="6"/>
      <c r="J476" s="2">
        <f t="shared" si="137"/>
        <v>0.33075601374570446</v>
      </c>
      <c r="K476" s="2">
        <f t="shared" si="138"/>
        <v>0.59793814432989689</v>
      </c>
      <c r="L476" s="2">
        <f t="shared" si="139"/>
        <v>5.1546391752577319E-3</v>
      </c>
      <c r="M476" s="2">
        <f t="shared" si="140"/>
        <v>6.6151202749140978E-2</v>
      </c>
      <c r="N476" s="63">
        <v>385</v>
      </c>
      <c r="O476" s="63">
        <v>696</v>
      </c>
      <c r="P476" s="63">
        <v>6</v>
      </c>
      <c r="Q476" s="63">
        <v>55</v>
      </c>
      <c r="R476" s="63">
        <v>22</v>
      </c>
      <c r="S476" s="63">
        <v>0</v>
      </c>
      <c r="T476" s="67"/>
      <c r="U476" s="63"/>
      <c r="V476" s="63"/>
      <c r="W476" s="63">
        <f t="shared" si="133"/>
        <v>0</v>
      </c>
      <c r="X476" s="63"/>
      <c r="Y476" s="63"/>
      <c r="Z476" s="63"/>
      <c r="AA476" s="63"/>
      <c r="AB476" s="63"/>
      <c r="AE476" s="8">
        <v>0</v>
      </c>
      <c r="AT476" t="str">
        <f t="shared" si="130"/>
        <v>Milo</v>
      </c>
      <c r="AU476" t="s">
        <v>1957</v>
      </c>
      <c r="AV476">
        <v>2</v>
      </c>
      <c r="AX476" s="114">
        <v>23</v>
      </c>
      <c r="AY476" s="116">
        <v>21</v>
      </c>
      <c r="AZ476" s="116">
        <v>65</v>
      </c>
      <c r="BA476" s="120">
        <v>46020</v>
      </c>
      <c r="BB476" s="120">
        <f t="shared" si="131"/>
        <v>23021</v>
      </c>
      <c r="BC476" t="s">
        <v>1472</v>
      </c>
      <c r="BD476">
        <f t="shared" si="132"/>
        <v>2346020</v>
      </c>
      <c r="BE476" s="1">
        <v>75</v>
      </c>
      <c r="BI476">
        <v>33.549999999999997</v>
      </c>
      <c r="BJ476">
        <v>0.73</v>
      </c>
      <c r="BK476">
        <v>32.82</v>
      </c>
      <c r="BS476" s="63">
        <v>0</v>
      </c>
      <c r="CK476" s="1" t="s">
        <v>4027</v>
      </c>
    </row>
    <row r="477" spans="1:89" hidden="1" outlineLevel="1">
      <c r="A477" t="s">
        <v>735</v>
      </c>
      <c r="B477" s="8" t="s">
        <v>1697</v>
      </c>
      <c r="C477" s="1">
        <f t="shared" si="122"/>
        <v>85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 t="shared" si="134"/>
        <v>0</v>
      </c>
      <c r="G477" s="1">
        <f t="shared" si="135"/>
        <v>27</v>
      </c>
      <c r="H477" s="2">
        <f t="shared" si="136"/>
        <v>0.31764705882352939</v>
      </c>
      <c r="I477" s="6"/>
      <c r="J477" s="2">
        <f t="shared" si="137"/>
        <v>0.30588235294117649</v>
      </c>
      <c r="K477" s="2">
        <f t="shared" si="138"/>
        <v>0.62352941176470589</v>
      </c>
      <c r="L477" s="2">
        <f t="shared" si="139"/>
        <v>0</v>
      </c>
      <c r="M477" s="2">
        <f t="shared" si="140"/>
        <v>7.0588235294117618E-2</v>
      </c>
      <c r="N477" s="63">
        <v>26</v>
      </c>
      <c r="O477" s="63">
        <v>53</v>
      </c>
      <c r="P477" s="63">
        <v>0</v>
      </c>
      <c r="Q477" s="63">
        <v>4</v>
      </c>
      <c r="R477" s="63">
        <v>2</v>
      </c>
      <c r="S477" s="63">
        <v>0</v>
      </c>
      <c r="T477" s="67"/>
      <c r="U477" s="63"/>
      <c r="V477" s="63"/>
      <c r="W477" s="63">
        <f t="shared" si="133"/>
        <v>0</v>
      </c>
      <c r="X477" s="63"/>
      <c r="Y477" s="63"/>
      <c r="Z477" s="63"/>
      <c r="AA477" s="63"/>
      <c r="AB477" s="63"/>
      <c r="AE477" s="8">
        <v>0</v>
      </c>
      <c r="AT477" t="str">
        <f t="shared" si="130"/>
        <v>Milton</v>
      </c>
      <c r="AU477" t="s">
        <v>2383</v>
      </c>
      <c r="AV477">
        <v>2</v>
      </c>
      <c r="AX477" s="114">
        <v>23</v>
      </c>
      <c r="AY477" s="116">
        <v>17</v>
      </c>
      <c r="AZ477" s="116">
        <v>97</v>
      </c>
      <c r="BA477" s="120">
        <v>46105</v>
      </c>
      <c r="BB477" s="120">
        <f t="shared" si="131"/>
        <v>23017</v>
      </c>
      <c r="BC477" t="s">
        <v>957</v>
      </c>
      <c r="BD477">
        <f t="shared" si="132"/>
        <v>2346105</v>
      </c>
      <c r="BE477" s="1">
        <v>3</v>
      </c>
      <c r="BI477">
        <v>14.96</v>
      </c>
      <c r="BJ477">
        <v>0</v>
      </c>
      <c r="BK477">
        <v>14.96</v>
      </c>
      <c r="BS477" s="63">
        <v>0</v>
      </c>
      <c r="CK477" s="1" t="s">
        <v>4028</v>
      </c>
    </row>
    <row r="478" spans="1:89" hidden="1" outlineLevel="1">
      <c r="A478" t="s">
        <v>1825</v>
      </c>
      <c r="B478" s="8" t="s">
        <v>1697</v>
      </c>
      <c r="C478" s="1">
        <f t="shared" si="122"/>
        <v>1649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 t="shared" si="134"/>
        <v>5</v>
      </c>
      <c r="G478" s="1">
        <f t="shared" si="135"/>
        <v>442</v>
      </c>
      <c r="H478" s="2">
        <f t="shared" si="136"/>
        <v>0.26804123711340205</v>
      </c>
      <c r="I478" s="6"/>
      <c r="J478" s="2">
        <f t="shared" si="137"/>
        <v>0.32686476652516677</v>
      </c>
      <c r="K478" s="2">
        <f t="shared" si="138"/>
        <v>0.59490600363856883</v>
      </c>
      <c r="L478" s="2">
        <f t="shared" si="139"/>
        <v>4.2449969678593083E-3</v>
      </c>
      <c r="M478" s="2">
        <f t="shared" si="140"/>
        <v>7.398423286840515E-2</v>
      </c>
      <c r="N478" s="63">
        <v>539</v>
      </c>
      <c r="O478" s="63">
        <v>981</v>
      </c>
      <c r="P478" s="63">
        <v>7</v>
      </c>
      <c r="Q478" s="63">
        <v>100</v>
      </c>
      <c r="R478" s="63">
        <v>22</v>
      </c>
      <c r="S478" s="63">
        <v>0</v>
      </c>
      <c r="T478" s="67"/>
      <c r="U478" s="63"/>
      <c r="V478" s="63"/>
      <c r="W478" s="63">
        <f t="shared" si="133"/>
        <v>0</v>
      </c>
      <c r="X478" s="63"/>
      <c r="Y478" s="63"/>
      <c r="Z478" s="63"/>
      <c r="AA478" s="63"/>
      <c r="AB478" s="63"/>
      <c r="AE478" s="8">
        <v>0</v>
      </c>
      <c r="AT478" t="str">
        <f t="shared" si="130"/>
        <v>Minot</v>
      </c>
      <c r="AU478" t="s">
        <v>1118</v>
      </c>
      <c r="AV478">
        <v>2</v>
      </c>
      <c r="AX478" s="114">
        <v>23</v>
      </c>
      <c r="AY478" s="116">
        <v>1</v>
      </c>
      <c r="AZ478" s="116">
        <v>50</v>
      </c>
      <c r="BA478" s="120">
        <v>46160</v>
      </c>
      <c r="BB478" s="120">
        <f t="shared" si="131"/>
        <v>23001</v>
      </c>
      <c r="BC478" t="s">
        <v>1472</v>
      </c>
      <c r="BD478">
        <f t="shared" si="132"/>
        <v>2346160</v>
      </c>
      <c r="BE478" s="1">
        <v>34</v>
      </c>
      <c r="BI478">
        <v>29.9</v>
      </c>
      <c r="BJ478">
        <v>0.14000000000000001</v>
      </c>
      <c r="BK478">
        <v>29.76</v>
      </c>
      <c r="BS478" s="63">
        <v>0</v>
      </c>
      <c r="CK478" s="159" t="s">
        <v>4029</v>
      </c>
    </row>
    <row r="479" spans="1:89" hidden="1" outlineLevel="1">
      <c r="A479" t="s">
        <v>3715</v>
      </c>
      <c r="B479" s="8" t="s">
        <v>1697</v>
      </c>
      <c r="C479" s="1">
        <f>SUM(N479:AR479)</f>
        <v>48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IF(P479&gt;0,RANK(P479,(N479:AE479)),0)</f>
        <v>0</v>
      </c>
      <c r="G479" s="1">
        <f>IF(C479&gt;0,MAX(N479:P479)-LARGE(N479:P479,2),0)</f>
        <v>10</v>
      </c>
      <c r="H479" s="2">
        <f>IF(C479&gt;0,G479/C479,0)</f>
        <v>0.20833333333333334</v>
      </c>
      <c r="I479" s="6"/>
      <c r="J479" s="2">
        <f>IF(C479=0,"-",N479/C479)</f>
        <v>0.39583333333333331</v>
      </c>
      <c r="K479" s="2">
        <f>IF(C479=0,"-",O479/C479)</f>
        <v>0.60416666666666663</v>
      </c>
      <c r="L479" s="2">
        <f>IF(C479=0,"-",P479/C479)</f>
        <v>0</v>
      </c>
      <c r="M479" s="2">
        <f>IF(C479=0,"-",(1-J479-K479-L479))</f>
        <v>1.1102230246251565E-16</v>
      </c>
      <c r="N479" s="63">
        <v>19</v>
      </c>
      <c r="O479" s="63">
        <v>29</v>
      </c>
      <c r="P479" s="63">
        <v>0</v>
      </c>
      <c r="Q479" s="63">
        <v>0</v>
      </c>
      <c r="R479" s="63">
        <v>0</v>
      </c>
      <c r="S479" s="63">
        <v>0</v>
      </c>
      <c r="T479" s="67"/>
      <c r="U479" s="63"/>
      <c r="V479" s="63"/>
      <c r="W479" s="63">
        <f t="shared" si="133"/>
        <v>0</v>
      </c>
      <c r="X479" s="63"/>
      <c r="Y479" s="63"/>
      <c r="Z479" s="63"/>
      <c r="AA479" s="63"/>
      <c r="AB479" s="63"/>
      <c r="AE479" s="8">
        <v>0</v>
      </c>
      <c r="AT479" t="str">
        <f t="shared" si="130"/>
        <v>Molunkus</v>
      </c>
      <c r="AU479" t="s">
        <v>2830</v>
      </c>
      <c r="AV479">
        <v>2</v>
      </c>
      <c r="AX479" s="114">
        <v>23</v>
      </c>
      <c r="AY479" s="116">
        <v>3</v>
      </c>
      <c r="BA479" s="142">
        <v>46280</v>
      </c>
      <c r="BB479" s="120">
        <f t="shared" si="131"/>
        <v>23003</v>
      </c>
      <c r="BC479" t="s">
        <v>957</v>
      </c>
      <c r="BD479">
        <f t="shared" si="132"/>
        <v>2346280</v>
      </c>
      <c r="BE479" s="1">
        <v>0</v>
      </c>
      <c r="BS479" s="63">
        <v>0</v>
      </c>
      <c r="CK479" s="1" t="s">
        <v>4030</v>
      </c>
    </row>
    <row r="480" spans="1:89" hidden="1" outlineLevel="1">
      <c r="A480" t="s">
        <v>328</v>
      </c>
      <c r="B480" s="8" t="s">
        <v>1697</v>
      </c>
      <c r="C480" s="1">
        <f t="shared" si="122"/>
        <v>57</v>
      </c>
      <c r="D480" s="5">
        <f>IF(N480&gt;0, RANK(N480,(N480:P480,Q480:AE480)),0)</f>
        <v>1</v>
      </c>
      <c r="E480" s="5">
        <f>IF(O480&gt;0,RANK(O480,(N480:P480,Q480:AE480)),0)</f>
        <v>3</v>
      </c>
      <c r="F480" s="5">
        <f t="shared" si="134"/>
        <v>0</v>
      </c>
      <c r="G480" s="1">
        <f t="shared" si="135"/>
        <v>34</v>
      </c>
      <c r="H480" s="2">
        <f t="shared" si="136"/>
        <v>0.59649122807017541</v>
      </c>
      <c r="I480" s="6"/>
      <c r="J480" s="2">
        <f t="shared" si="137"/>
        <v>0.70175438596491224</v>
      </c>
      <c r="K480" s="2">
        <f t="shared" si="138"/>
        <v>0.10526315789473684</v>
      </c>
      <c r="L480" s="2">
        <f t="shared" si="139"/>
        <v>0</v>
      </c>
      <c r="M480" s="2">
        <f t="shared" si="140"/>
        <v>0.19298245614035092</v>
      </c>
      <c r="N480" s="63">
        <v>40</v>
      </c>
      <c r="O480" s="63">
        <v>6</v>
      </c>
      <c r="P480" s="63">
        <v>0</v>
      </c>
      <c r="Q480" s="63">
        <v>2</v>
      </c>
      <c r="R480" s="63">
        <v>9</v>
      </c>
      <c r="S480" s="63">
        <v>0</v>
      </c>
      <c r="T480" s="67"/>
      <c r="U480" s="63"/>
      <c r="V480" s="63"/>
      <c r="W480" s="63">
        <f t="shared" si="133"/>
        <v>0</v>
      </c>
      <c r="X480" s="63"/>
      <c r="Y480" s="63"/>
      <c r="Z480" s="63"/>
      <c r="AA480" s="63"/>
      <c r="AB480" s="63"/>
      <c r="AE480" s="8">
        <v>0</v>
      </c>
      <c r="AT480" t="str">
        <f t="shared" si="130"/>
        <v>Monhegan</v>
      </c>
      <c r="AU480" t="s">
        <v>1597</v>
      </c>
      <c r="AV480">
        <v>1</v>
      </c>
      <c r="AX480" s="114">
        <v>23</v>
      </c>
      <c r="AY480" s="116">
        <v>15</v>
      </c>
      <c r="AZ480" s="116">
        <v>55</v>
      </c>
      <c r="BA480" s="120">
        <v>46335</v>
      </c>
      <c r="BB480" s="120">
        <f t="shared" si="131"/>
        <v>23015</v>
      </c>
      <c r="BC480" t="s">
        <v>3075</v>
      </c>
      <c r="BD480">
        <f t="shared" si="132"/>
        <v>2346335</v>
      </c>
      <c r="BE480" s="1">
        <v>3</v>
      </c>
      <c r="BI480">
        <v>4.5199999999999996</v>
      </c>
      <c r="BJ480">
        <v>3.66</v>
      </c>
      <c r="BK480">
        <v>0.86</v>
      </c>
      <c r="BS480" s="63">
        <v>0</v>
      </c>
      <c r="CK480" s="1" t="s">
        <v>4031</v>
      </c>
    </row>
    <row r="481" spans="1:89" hidden="1" outlineLevel="1">
      <c r="A481" t="s">
        <v>2439</v>
      </c>
      <c r="B481" s="8" t="s">
        <v>1697</v>
      </c>
      <c r="C481" s="1">
        <f t="shared" si="122"/>
        <v>2347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 t="shared" si="134"/>
        <v>5</v>
      </c>
      <c r="G481" s="1">
        <f t="shared" si="135"/>
        <v>406</v>
      </c>
      <c r="H481" s="2">
        <f t="shared" si="136"/>
        <v>0.17298679164891351</v>
      </c>
      <c r="I481" s="6"/>
      <c r="J481" s="2">
        <f t="shared" si="137"/>
        <v>0.3685556028973157</v>
      </c>
      <c r="K481" s="2">
        <f t="shared" si="138"/>
        <v>0.54154239454622921</v>
      </c>
      <c r="L481" s="2">
        <f t="shared" si="139"/>
        <v>3.8346825734980826E-3</v>
      </c>
      <c r="M481" s="2">
        <f t="shared" si="140"/>
        <v>8.6067319982956997E-2</v>
      </c>
      <c r="N481" s="63">
        <v>865</v>
      </c>
      <c r="O481" s="63">
        <v>1271</v>
      </c>
      <c r="P481" s="63">
        <v>9</v>
      </c>
      <c r="Q481" s="63">
        <v>166</v>
      </c>
      <c r="R481" s="63">
        <v>36</v>
      </c>
      <c r="S481" s="63">
        <v>0</v>
      </c>
      <c r="T481" s="67"/>
      <c r="U481" s="63"/>
      <c r="V481" s="63"/>
      <c r="W481" s="63">
        <f t="shared" si="133"/>
        <v>0</v>
      </c>
      <c r="X481" s="63"/>
      <c r="Y481" s="63"/>
      <c r="Z481" s="63"/>
      <c r="AA481" s="63"/>
      <c r="AB481" s="63"/>
      <c r="AE481" s="8">
        <v>0</v>
      </c>
      <c r="AT481" t="str">
        <f t="shared" si="130"/>
        <v>Monmouth</v>
      </c>
      <c r="AU481" t="s">
        <v>3007</v>
      </c>
      <c r="AV481">
        <v>2</v>
      </c>
      <c r="AX481" s="114">
        <v>23</v>
      </c>
      <c r="AY481" s="116">
        <v>11</v>
      </c>
      <c r="AZ481" s="116">
        <v>70</v>
      </c>
      <c r="BA481" s="120">
        <v>46405</v>
      </c>
      <c r="BB481" s="120">
        <f t="shared" si="131"/>
        <v>23011</v>
      </c>
      <c r="BC481" t="s">
        <v>1472</v>
      </c>
      <c r="BD481">
        <f t="shared" si="132"/>
        <v>2346405</v>
      </c>
      <c r="BE481" s="1">
        <v>65</v>
      </c>
      <c r="BI481">
        <v>39.020000000000003</v>
      </c>
      <c r="BJ481">
        <v>4.92</v>
      </c>
      <c r="BK481">
        <v>34.11</v>
      </c>
      <c r="BS481" s="63">
        <v>0</v>
      </c>
      <c r="CK481" s="1" t="s">
        <v>4032</v>
      </c>
    </row>
    <row r="482" spans="1:89" hidden="1" outlineLevel="1">
      <c r="A482" t="s">
        <v>644</v>
      </c>
      <c r="B482" s="8" t="s">
        <v>1697</v>
      </c>
      <c r="C482" s="1">
        <f t="shared" si="122"/>
        <v>543</v>
      </c>
      <c r="D482" s="5">
        <f>IF(N482&gt;0, RANK(N482,(N482:P482,Q482:AE482)),0)</f>
        <v>1</v>
      </c>
      <c r="E482" s="5">
        <f>IF(O482&gt;0,RANK(O482,(N482:P482,Q482:AE482)),0)</f>
        <v>2</v>
      </c>
      <c r="F482" s="5">
        <f t="shared" si="134"/>
        <v>5</v>
      </c>
      <c r="G482" s="1">
        <f t="shared" si="135"/>
        <v>1</v>
      </c>
      <c r="H482" s="2">
        <f t="shared" si="136"/>
        <v>1.841620626151013E-3</v>
      </c>
      <c r="I482" s="6"/>
      <c r="J482" s="2">
        <f t="shared" si="137"/>
        <v>0.45488029465930019</v>
      </c>
      <c r="K482" s="2">
        <f t="shared" si="138"/>
        <v>0.45303867403314918</v>
      </c>
      <c r="L482" s="2">
        <f t="shared" si="139"/>
        <v>1.841620626151013E-3</v>
      </c>
      <c r="M482" s="2">
        <f t="shared" si="140"/>
        <v>9.0239410681399568E-2</v>
      </c>
      <c r="N482" s="63">
        <v>247</v>
      </c>
      <c r="O482" s="63">
        <v>246</v>
      </c>
      <c r="P482" s="63">
        <v>1</v>
      </c>
      <c r="Q482" s="63">
        <v>32</v>
      </c>
      <c r="R482" s="63">
        <v>17</v>
      </c>
      <c r="S482" s="63">
        <v>0</v>
      </c>
      <c r="T482" s="67"/>
      <c r="U482" s="63"/>
      <c r="V482" s="63"/>
      <c r="W482" s="63">
        <f t="shared" si="133"/>
        <v>0</v>
      </c>
      <c r="X482" s="63"/>
      <c r="Y482" s="63"/>
      <c r="Z482" s="63"/>
      <c r="AA482" s="63"/>
      <c r="AB482" s="63"/>
      <c r="AE482" s="8">
        <v>0</v>
      </c>
      <c r="AT482" t="str">
        <f t="shared" si="130"/>
        <v>Monroe</v>
      </c>
      <c r="AU482" t="s">
        <v>217</v>
      </c>
      <c r="AV482">
        <v>2</v>
      </c>
      <c r="AX482" s="114">
        <v>23</v>
      </c>
      <c r="AY482" s="116">
        <v>27</v>
      </c>
      <c r="AZ482" s="116">
        <v>60</v>
      </c>
      <c r="BA482" s="120">
        <v>46475</v>
      </c>
      <c r="BB482" s="120">
        <f t="shared" si="131"/>
        <v>23027</v>
      </c>
      <c r="BC482" t="s">
        <v>1472</v>
      </c>
      <c r="BD482">
        <f t="shared" si="132"/>
        <v>2346475</v>
      </c>
      <c r="BE482" s="1">
        <v>18</v>
      </c>
      <c r="BI482">
        <v>38.97</v>
      </c>
      <c r="BJ482">
        <v>0.15</v>
      </c>
      <c r="BK482">
        <v>38.82</v>
      </c>
      <c r="BS482" s="63">
        <v>0</v>
      </c>
      <c r="CK482" s="1" t="s">
        <v>4033</v>
      </c>
    </row>
    <row r="483" spans="1:89" hidden="1" outlineLevel="1">
      <c r="A483" t="s">
        <v>448</v>
      </c>
      <c r="B483" s="8" t="s">
        <v>1697</v>
      </c>
      <c r="C483" s="1">
        <f t="shared" ref="C483:C545" si="141">SUM(N483:AR483)</f>
        <v>441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 t="shared" si="134"/>
        <v>0</v>
      </c>
      <c r="G483" s="1">
        <f t="shared" si="135"/>
        <v>96</v>
      </c>
      <c r="H483" s="2">
        <f t="shared" si="136"/>
        <v>0.21768707482993196</v>
      </c>
      <c r="I483" s="6"/>
      <c r="J483" s="2">
        <f t="shared" si="137"/>
        <v>0.36054421768707484</v>
      </c>
      <c r="K483" s="2">
        <f t="shared" si="138"/>
        <v>0.57823129251700678</v>
      </c>
      <c r="L483" s="2">
        <f t="shared" si="139"/>
        <v>0</v>
      </c>
      <c r="M483" s="2">
        <f t="shared" si="140"/>
        <v>6.1224489795918435E-2</v>
      </c>
      <c r="N483" s="63">
        <v>159</v>
      </c>
      <c r="O483" s="63">
        <v>255</v>
      </c>
      <c r="P483" s="63">
        <v>0</v>
      </c>
      <c r="Q483" s="63">
        <v>17</v>
      </c>
      <c r="R483" s="63">
        <v>10</v>
      </c>
      <c r="S483" s="63">
        <v>0</v>
      </c>
      <c r="T483" s="67"/>
      <c r="U483" s="63"/>
      <c r="V483" s="63"/>
      <c r="W483" s="63">
        <f t="shared" si="133"/>
        <v>0</v>
      </c>
      <c r="X483" s="63"/>
      <c r="Y483" s="63"/>
      <c r="Z483" s="63"/>
      <c r="AA483" s="63"/>
      <c r="AB483" s="63"/>
      <c r="AE483" s="8">
        <v>0</v>
      </c>
      <c r="AT483" t="str">
        <f t="shared" ref="AT483:AT545" si="142">A483</f>
        <v>Monson</v>
      </c>
      <c r="AU483" t="s">
        <v>1957</v>
      </c>
      <c r="AV483">
        <v>2</v>
      </c>
      <c r="AX483" s="114">
        <v>23</v>
      </c>
      <c r="AY483" s="116">
        <v>21</v>
      </c>
      <c r="AZ483" s="116">
        <v>70</v>
      </c>
      <c r="BA483" s="120">
        <v>46580</v>
      </c>
      <c r="BB483" s="120">
        <f t="shared" ref="BB483:BB545" si="143">AX483*1000+AY483</f>
        <v>23021</v>
      </c>
      <c r="BC483" t="s">
        <v>1472</v>
      </c>
      <c r="BD483">
        <f t="shared" ref="BD483:BD545" si="144">AX483*100000+BA483</f>
        <v>2346580</v>
      </c>
      <c r="BE483" s="1">
        <v>17</v>
      </c>
      <c r="BI483">
        <v>49.25</v>
      </c>
      <c r="BJ483">
        <v>2.17</v>
      </c>
      <c r="BK483">
        <v>47.08</v>
      </c>
      <c r="BS483" s="63">
        <v>0</v>
      </c>
      <c r="CK483" s="1" t="s">
        <v>4034</v>
      </c>
    </row>
    <row r="484" spans="1:89" hidden="1" outlineLevel="1">
      <c r="A484" t="s">
        <v>862</v>
      </c>
      <c r="B484" s="8" t="s">
        <v>1697</v>
      </c>
      <c r="C484" s="1">
        <f t="shared" si="141"/>
        <v>408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 t="shared" si="134"/>
        <v>5</v>
      </c>
      <c r="G484" s="1">
        <f t="shared" si="135"/>
        <v>200</v>
      </c>
      <c r="H484" s="2">
        <f t="shared" si="136"/>
        <v>0.49019607843137253</v>
      </c>
      <c r="I484" s="6"/>
      <c r="J484" s="2">
        <f t="shared" si="137"/>
        <v>0.23529411764705882</v>
      </c>
      <c r="K484" s="2">
        <f t="shared" si="138"/>
        <v>0.72549019607843135</v>
      </c>
      <c r="L484" s="2">
        <f t="shared" si="139"/>
        <v>4.9019607843137254E-3</v>
      </c>
      <c r="M484" s="2">
        <f t="shared" si="140"/>
        <v>3.4313725490196054E-2</v>
      </c>
      <c r="N484" s="63">
        <v>96</v>
      </c>
      <c r="O484" s="63">
        <v>296</v>
      </c>
      <c r="P484" s="63">
        <v>2</v>
      </c>
      <c r="Q484" s="63">
        <v>8</v>
      </c>
      <c r="R484" s="63">
        <v>6</v>
      </c>
      <c r="S484" s="63">
        <v>0</v>
      </c>
      <c r="T484" s="67"/>
      <c r="U484" s="63"/>
      <c r="V484" s="63"/>
      <c r="W484" s="63">
        <f t="shared" si="133"/>
        <v>0</v>
      </c>
      <c r="X484" s="63"/>
      <c r="Y484" s="63"/>
      <c r="Z484" s="63"/>
      <c r="AA484" s="63"/>
      <c r="AB484" s="63"/>
      <c r="AE484" s="8">
        <v>0</v>
      </c>
      <c r="AT484" t="str">
        <f t="shared" si="142"/>
        <v>Monticello</v>
      </c>
      <c r="AU484" t="s">
        <v>2830</v>
      </c>
      <c r="AV484">
        <v>2</v>
      </c>
      <c r="AX484" s="114">
        <v>23</v>
      </c>
      <c r="AY484" s="116">
        <v>3</v>
      </c>
      <c r="AZ484" s="116">
        <v>210</v>
      </c>
      <c r="BA484" s="120">
        <v>46685</v>
      </c>
      <c r="BB484" s="120">
        <f t="shared" si="143"/>
        <v>23003</v>
      </c>
      <c r="BC484" t="s">
        <v>1472</v>
      </c>
      <c r="BD484">
        <f t="shared" si="144"/>
        <v>2346685</v>
      </c>
      <c r="BE484" s="1">
        <v>17</v>
      </c>
      <c r="BI484">
        <v>38.340000000000003</v>
      </c>
      <c r="BJ484">
        <v>0.17</v>
      </c>
      <c r="BK484">
        <v>38.18</v>
      </c>
      <c r="BS484" s="63">
        <v>0</v>
      </c>
      <c r="CK484" s="1" t="s">
        <v>4035</v>
      </c>
    </row>
    <row r="485" spans="1:89" hidden="1" outlineLevel="1">
      <c r="A485" t="s">
        <v>1576</v>
      </c>
      <c r="B485" s="8" t="s">
        <v>1697</v>
      </c>
      <c r="C485" s="1">
        <f t="shared" si="141"/>
        <v>627</v>
      </c>
      <c r="D485" s="5">
        <f>IF(N485&gt;0, RANK(N485,(N485:P485,Q485:AE485)),0)</f>
        <v>1</v>
      </c>
      <c r="E485" s="5">
        <f>IF(O485&gt;0,RANK(O485,(N485:P485,Q485:AE485)),0)</f>
        <v>2</v>
      </c>
      <c r="F485" s="5">
        <f t="shared" si="134"/>
        <v>5</v>
      </c>
      <c r="G485" s="1">
        <f t="shared" si="135"/>
        <v>9</v>
      </c>
      <c r="H485" s="2">
        <f t="shared" si="136"/>
        <v>1.4354066985645933E-2</v>
      </c>
      <c r="I485" s="6"/>
      <c r="J485" s="2">
        <f t="shared" si="137"/>
        <v>0.45933014354066987</v>
      </c>
      <c r="K485" s="2">
        <f t="shared" si="138"/>
        <v>0.44497607655502391</v>
      </c>
      <c r="L485" s="2">
        <f t="shared" si="139"/>
        <v>3.189792663476874E-3</v>
      </c>
      <c r="M485" s="2">
        <f t="shared" si="140"/>
        <v>9.2503987240829408E-2</v>
      </c>
      <c r="N485" s="63">
        <v>288</v>
      </c>
      <c r="O485" s="63">
        <v>279</v>
      </c>
      <c r="P485" s="63">
        <v>2</v>
      </c>
      <c r="Q485" s="63">
        <v>28</v>
      </c>
      <c r="R485" s="63">
        <v>30</v>
      </c>
      <c r="S485" s="63">
        <v>0</v>
      </c>
      <c r="T485" s="67"/>
      <c r="U485" s="63"/>
      <c r="V485" s="63"/>
      <c r="W485" s="63">
        <f t="shared" si="133"/>
        <v>0</v>
      </c>
      <c r="X485" s="63"/>
      <c r="Y485" s="63"/>
      <c r="Z485" s="63"/>
      <c r="AA485" s="63"/>
      <c r="AB485" s="63"/>
      <c r="AE485" s="8">
        <v>0</v>
      </c>
      <c r="AT485" t="str">
        <f t="shared" si="142"/>
        <v>Montville</v>
      </c>
      <c r="AU485" t="s">
        <v>217</v>
      </c>
      <c r="AV485">
        <v>2</v>
      </c>
      <c r="AX485" s="114">
        <v>23</v>
      </c>
      <c r="AY485" s="116">
        <v>27</v>
      </c>
      <c r="AZ485" s="116">
        <v>65</v>
      </c>
      <c r="BA485" s="120">
        <v>46790</v>
      </c>
      <c r="BB485" s="120">
        <f t="shared" si="143"/>
        <v>23027</v>
      </c>
      <c r="BC485" t="s">
        <v>1472</v>
      </c>
      <c r="BD485">
        <f t="shared" si="144"/>
        <v>2346790</v>
      </c>
      <c r="BE485" s="1">
        <v>20</v>
      </c>
      <c r="BI485">
        <v>43.12</v>
      </c>
      <c r="BJ485">
        <v>0.5</v>
      </c>
      <c r="BK485">
        <v>42.62</v>
      </c>
      <c r="BS485" s="63">
        <v>0</v>
      </c>
      <c r="CK485" s="158" t="s">
        <v>4036</v>
      </c>
    </row>
    <row r="486" spans="1:89" hidden="1" outlineLevel="1">
      <c r="A486" t="s">
        <v>1744</v>
      </c>
      <c r="B486" s="8" t="s">
        <v>1697</v>
      </c>
      <c r="C486" s="1">
        <f t="shared" si="141"/>
        <v>115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 t="shared" si="134"/>
        <v>0</v>
      </c>
      <c r="G486" s="1">
        <f t="shared" si="135"/>
        <v>79</v>
      </c>
      <c r="H486" s="2">
        <f t="shared" si="136"/>
        <v>0.68695652173913047</v>
      </c>
      <c r="I486" s="6"/>
      <c r="J486" s="2">
        <f t="shared" si="137"/>
        <v>0.13043478260869565</v>
      </c>
      <c r="K486" s="2">
        <f t="shared" si="138"/>
        <v>0.81739130434782614</v>
      </c>
      <c r="L486" s="2">
        <f t="shared" si="139"/>
        <v>0</v>
      </c>
      <c r="M486" s="2">
        <f t="shared" si="140"/>
        <v>5.2173913043478182E-2</v>
      </c>
      <c r="N486" s="63">
        <v>15</v>
      </c>
      <c r="O486" s="63">
        <v>94</v>
      </c>
      <c r="P486" s="63">
        <v>0</v>
      </c>
      <c r="Q486" s="63">
        <v>5</v>
      </c>
      <c r="R486" s="63">
        <v>1</v>
      </c>
      <c r="S486" s="63">
        <v>0</v>
      </c>
      <c r="T486" s="67"/>
      <c r="U486" s="63"/>
      <c r="V486" s="63"/>
      <c r="W486" s="63">
        <f t="shared" si="133"/>
        <v>0</v>
      </c>
      <c r="X486" s="63"/>
      <c r="Y486" s="63"/>
      <c r="Z486" s="63"/>
      <c r="AA486" s="63"/>
      <c r="AB486" s="63"/>
      <c r="AE486" s="8">
        <v>0</v>
      </c>
      <c r="AT486" t="str">
        <f t="shared" si="142"/>
        <v>Moose River</v>
      </c>
      <c r="AU486" t="s">
        <v>1787</v>
      </c>
      <c r="AV486">
        <v>2</v>
      </c>
      <c r="AX486" s="114">
        <v>23</v>
      </c>
      <c r="AY486" s="116">
        <v>25</v>
      </c>
      <c r="AZ486" s="116">
        <v>95</v>
      </c>
      <c r="BA486" s="120">
        <v>47140</v>
      </c>
      <c r="BB486" s="120">
        <f t="shared" si="143"/>
        <v>23025</v>
      </c>
      <c r="BC486" t="s">
        <v>1472</v>
      </c>
      <c r="BD486">
        <f t="shared" si="144"/>
        <v>2347140</v>
      </c>
      <c r="BE486" s="1">
        <v>4</v>
      </c>
      <c r="BI486">
        <v>41.12</v>
      </c>
      <c r="BJ486">
        <v>0.48</v>
      </c>
      <c r="BK486">
        <v>40.630000000000003</v>
      </c>
      <c r="BS486" s="63">
        <v>0</v>
      </c>
      <c r="CK486" s="1" t="s">
        <v>4037</v>
      </c>
    </row>
    <row r="487" spans="1:89" hidden="1" outlineLevel="1">
      <c r="A487" t="s">
        <v>329</v>
      </c>
      <c r="B487" s="8" t="s">
        <v>1697</v>
      </c>
      <c r="C487" s="1">
        <f t="shared" si="141"/>
        <v>27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 t="shared" si="134"/>
        <v>2</v>
      </c>
      <c r="G487" s="1">
        <f t="shared" si="135"/>
        <v>24</v>
      </c>
      <c r="H487" s="2">
        <f t="shared" si="136"/>
        <v>0.88888888888888884</v>
      </c>
      <c r="I487" s="6"/>
      <c r="J487" s="2">
        <f t="shared" si="137"/>
        <v>3.7037037037037035E-2</v>
      </c>
      <c r="K487" s="2">
        <f t="shared" si="138"/>
        <v>0.92592592592592593</v>
      </c>
      <c r="L487" s="2">
        <f t="shared" si="139"/>
        <v>3.7037037037037035E-2</v>
      </c>
      <c r="M487" s="2">
        <f t="shared" si="140"/>
        <v>5.5511151231257827E-17</v>
      </c>
      <c r="N487" s="63">
        <v>1</v>
      </c>
      <c r="O487" s="63">
        <v>25</v>
      </c>
      <c r="P487" s="63">
        <v>1</v>
      </c>
      <c r="Q487" s="63">
        <v>0</v>
      </c>
      <c r="R487" s="63">
        <v>0</v>
      </c>
      <c r="S487" s="63">
        <v>0</v>
      </c>
      <c r="T487" s="67"/>
      <c r="U487" s="63"/>
      <c r="V487" s="63"/>
      <c r="W487" s="63">
        <f t="shared" si="133"/>
        <v>0</v>
      </c>
      <c r="X487" s="63"/>
      <c r="Y487" s="63"/>
      <c r="Z487" s="63"/>
      <c r="AA487" s="63"/>
      <c r="AB487" s="63"/>
      <c r="AE487" s="8">
        <v>0</v>
      </c>
      <c r="AT487" t="str">
        <f t="shared" si="142"/>
        <v>Moro</v>
      </c>
      <c r="AU487" t="s">
        <v>2830</v>
      </c>
      <c r="AV487">
        <v>2</v>
      </c>
      <c r="AX487" s="114">
        <v>23</v>
      </c>
      <c r="AY487" s="116">
        <v>3</v>
      </c>
      <c r="AZ487" s="116">
        <v>215</v>
      </c>
      <c r="BA487" s="120">
        <v>47175</v>
      </c>
      <c r="BB487" s="120">
        <f t="shared" si="143"/>
        <v>23003</v>
      </c>
      <c r="BC487" t="s">
        <v>3075</v>
      </c>
      <c r="BD487">
        <f t="shared" si="144"/>
        <v>2347175</v>
      </c>
      <c r="BE487" s="1">
        <v>0</v>
      </c>
      <c r="BI487">
        <v>36.67</v>
      </c>
      <c r="BJ487">
        <v>1.1000000000000001</v>
      </c>
      <c r="BK487">
        <v>35.57</v>
      </c>
      <c r="BS487" s="63">
        <v>0</v>
      </c>
      <c r="CK487" s="1" t="s">
        <v>4038</v>
      </c>
    </row>
    <row r="488" spans="1:89" hidden="1" outlineLevel="1">
      <c r="A488" t="s">
        <v>2645</v>
      </c>
      <c r="B488" s="8" t="s">
        <v>1697</v>
      </c>
      <c r="C488" s="1">
        <f t="shared" si="141"/>
        <v>527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 t="shared" si="134"/>
        <v>5</v>
      </c>
      <c r="G488" s="1">
        <f t="shared" si="135"/>
        <v>104</v>
      </c>
      <c r="H488" s="2">
        <f t="shared" si="136"/>
        <v>0.19734345351043645</v>
      </c>
      <c r="I488" s="6"/>
      <c r="J488" s="2">
        <f t="shared" si="137"/>
        <v>0.36432637571157495</v>
      </c>
      <c r="K488" s="2">
        <f t="shared" si="138"/>
        <v>0.56166982922201136</v>
      </c>
      <c r="L488" s="2">
        <f t="shared" si="139"/>
        <v>5.6925996204933585E-3</v>
      </c>
      <c r="M488" s="2">
        <f t="shared" si="140"/>
        <v>6.8311195445920389E-2</v>
      </c>
      <c r="N488" s="63">
        <v>192</v>
      </c>
      <c r="O488" s="63">
        <v>296</v>
      </c>
      <c r="P488" s="63">
        <v>3</v>
      </c>
      <c r="Q488" s="63">
        <v>29</v>
      </c>
      <c r="R488" s="63">
        <v>6</v>
      </c>
      <c r="S488" s="63">
        <v>1</v>
      </c>
      <c r="T488" s="67"/>
      <c r="U488" s="63"/>
      <c r="V488" s="63"/>
      <c r="W488" s="63">
        <f t="shared" si="133"/>
        <v>0</v>
      </c>
      <c r="X488" s="63"/>
      <c r="Y488" s="63"/>
      <c r="Z488" s="63"/>
      <c r="AA488" s="63"/>
      <c r="AB488" s="63"/>
      <c r="AE488" s="8">
        <v>0</v>
      </c>
      <c r="AT488" t="str">
        <f t="shared" si="142"/>
        <v>Morrill</v>
      </c>
      <c r="AU488" t="s">
        <v>217</v>
      </c>
      <c r="AV488">
        <v>2</v>
      </c>
      <c r="AX488" s="114">
        <v>23</v>
      </c>
      <c r="AY488" s="116">
        <v>27</v>
      </c>
      <c r="AZ488" s="116">
        <v>70</v>
      </c>
      <c r="BA488" s="120">
        <v>47245</v>
      </c>
      <c r="BB488" s="120">
        <f t="shared" si="143"/>
        <v>23027</v>
      </c>
      <c r="BC488" t="s">
        <v>1472</v>
      </c>
      <c r="BD488">
        <f t="shared" si="144"/>
        <v>2347245</v>
      </c>
      <c r="BE488" s="1">
        <v>24</v>
      </c>
      <c r="BI488">
        <v>17.05</v>
      </c>
      <c r="BJ488">
        <v>0.49</v>
      </c>
      <c r="BK488">
        <v>16.559999999999999</v>
      </c>
      <c r="BS488" s="63">
        <v>0</v>
      </c>
      <c r="CK488" s="1" t="s">
        <v>4039</v>
      </c>
    </row>
    <row r="489" spans="1:89" hidden="1" outlineLevel="1">
      <c r="A489" t="s">
        <v>2311</v>
      </c>
      <c r="B489" s="8" t="s">
        <v>1697</v>
      </c>
      <c r="C489" s="1">
        <f t="shared" si="141"/>
        <v>254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 t="shared" si="134"/>
        <v>0</v>
      </c>
      <c r="G489" s="1">
        <f t="shared" si="135"/>
        <v>67</v>
      </c>
      <c r="H489" s="2">
        <f t="shared" si="136"/>
        <v>0.26377952755905509</v>
      </c>
      <c r="I489" s="6"/>
      <c r="J489" s="2">
        <f t="shared" si="137"/>
        <v>0.34645669291338582</v>
      </c>
      <c r="K489" s="2">
        <f t="shared" si="138"/>
        <v>0.61023622047244097</v>
      </c>
      <c r="L489" s="2">
        <f t="shared" si="139"/>
        <v>0</v>
      </c>
      <c r="M489" s="2">
        <f t="shared" si="140"/>
        <v>4.3307086614173151E-2</v>
      </c>
      <c r="N489" s="63">
        <v>88</v>
      </c>
      <c r="O489" s="63">
        <v>155</v>
      </c>
      <c r="P489" s="63">
        <v>0</v>
      </c>
      <c r="Q489" s="63">
        <v>3</v>
      </c>
      <c r="R489" s="63">
        <v>8</v>
      </c>
      <c r="S489" s="63">
        <v>0</v>
      </c>
      <c r="T489" s="67"/>
      <c r="U489" s="63"/>
      <c r="V489" s="63"/>
      <c r="W489" s="63">
        <f t="shared" si="133"/>
        <v>0</v>
      </c>
      <c r="X489" s="63"/>
      <c r="Y489" s="63"/>
      <c r="Z489" s="63"/>
      <c r="AA489" s="63"/>
      <c r="AB489" s="63"/>
      <c r="AE489" s="8">
        <v>0</v>
      </c>
      <c r="AT489" t="str">
        <f t="shared" si="142"/>
        <v>Moscow</v>
      </c>
      <c r="AU489" t="s">
        <v>1787</v>
      </c>
      <c r="AV489">
        <v>2</v>
      </c>
      <c r="AX489" s="114">
        <v>23</v>
      </c>
      <c r="AY489" s="116">
        <v>25</v>
      </c>
      <c r="AZ489" s="116">
        <v>100</v>
      </c>
      <c r="BA489" s="120">
        <v>47455</v>
      </c>
      <c r="BB489" s="120">
        <f t="shared" si="143"/>
        <v>23025</v>
      </c>
      <c r="BC489" t="s">
        <v>1472</v>
      </c>
      <c r="BD489">
        <f t="shared" si="144"/>
        <v>2347455</v>
      </c>
      <c r="BE489" s="1">
        <v>9</v>
      </c>
      <c r="BI489">
        <v>48.21</v>
      </c>
      <c r="BJ489">
        <v>2.4300000000000002</v>
      </c>
      <c r="BK489">
        <v>45.78</v>
      </c>
      <c r="BS489" s="63">
        <v>0</v>
      </c>
      <c r="CK489" s="1" t="s">
        <v>4040</v>
      </c>
    </row>
    <row r="490" spans="1:89" hidden="1" outlineLevel="1">
      <c r="A490" t="s">
        <v>242</v>
      </c>
      <c r="B490" s="8" t="s">
        <v>1697</v>
      </c>
      <c r="C490" s="1">
        <f t="shared" si="141"/>
        <v>100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 t="shared" si="134"/>
        <v>0</v>
      </c>
      <c r="G490" s="1">
        <f t="shared" si="135"/>
        <v>48</v>
      </c>
      <c r="H490" s="2">
        <f t="shared" si="136"/>
        <v>0.48</v>
      </c>
      <c r="I490" s="6"/>
      <c r="J490" s="2">
        <f t="shared" si="137"/>
        <v>0.23</v>
      </c>
      <c r="K490" s="2">
        <f t="shared" si="138"/>
        <v>0.71</v>
      </c>
      <c r="L490" s="2">
        <f t="shared" si="139"/>
        <v>0</v>
      </c>
      <c r="M490" s="2">
        <f t="shared" si="140"/>
        <v>6.0000000000000053E-2</v>
      </c>
      <c r="N490" s="63">
        <v>23</v>
      </c>
      <c r="O490" s="63">
        <v>71</v>
      </c>
      <c r="P490" s="63">
        <v>0</v>
      </c>
      <c r="Q490" s="63">
        <v>4</v>
      </c>
      <c r="R490" s="63">
        <v>2</v>
      </c>
      <c r="S490" s="63">
        <v>0</v>
      </c>
      <c r="T490" s="67"/>
      <c r="U490" s="63"/>
      <c r="V490" s="63"/>
      <c r="W490" s="63">
        <f t="shared" si="133"/>
        <v>0</v>
      </c>
      <c r="X490" s="63"/>
      <c r="Y490" s="63"/>
      <c r="Z490" s="63"/>
      <c r="AA490" s="63"/>
      <c r="AB490" s="63"/>
      <c r="AE490" s="8">
        <v>0</v>
      </c>
      <c r="AT490" t="str">
        <f t="shared" si="142"/>
        <v>Mount Chase</v>
      </c>
      <c r="AU490" t="s">
        <v>2481</v>
      </c>
      <c r="AV490">
        <v>2</v>
      </c>
      <c r="AX490" s="114">
        <v>23</v>
      </c>
      <c r="AY490" s="116">
        <v>19</v>
      </c>
      <c r="AZ490" s="116">
        <v>225</v>
      </c>
      <c r="BA490" s="120">
        <v>47560</v>
      </c>
      <c r="BB490" s="120">
        <f t="shared" si="143"/>
        <v>23019</v>
      </c>
      <c r="BC490" t="s">
        <v>1472</v>
      </c>
      <c r="BD490">
        <f t="shared" si="144"/>
        <v>2347560</v>
      </c>
      <c r="BE490" s="1">
        <v>7</v>
      </c>
      <c r="BI490">
        <v>37.409999999999997</v>
      </c>
      <c r="BJ490">
        <v>1.1100000000000001</v>
      </c>
      <c r="BK490">
        <v>36.29</v>
      </c>
      <c r="BS490" s="63">
        <v>0</v>
      </c>
      <c r="CK490" s="1" t="s">
        <v>4041</v>
      </c>
    </row>
    <row r="491" spans="1:89" hidden="1" outlineLevel="1">
      <c r="A491" t="s">
        <v>99</v>
      </c>
      <c r="B491" s="8" t="s">
        <v>1697</v>
      </c>
      <c r="C491" s="1">
        <f t="shared" si="141"/>
        <v>1388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 t="shared" si="134"/>
        <v>5</v>
      </c>
      <c r="G491" s="1">
        <f t="shared" si="135"/>
        <v>528</v>
      </c>
      <c r="H491" s="2">
        <f t="shared" si="136"/>
        <v>0.3804034582132565</v>
      </c>
      <c r="I491" s="6"/>
      <c r="J491" s="2">
        <f t="shared" si="137"/>
        <v>0.66066282420749278</v>
      </c>
      <c r="K491" s="2">
        <f t="shared" si="138"/>
        <v>0.28025936599423629</v>
      </c>
      <c r="L491" s="2">
        <f t="shared" si="139"/>
        <v>3.6023054755043226E-3</v>
      </c>
      <c r="M491" s="2">
        <f t="shared" si="140"/>
        <v>5.5475504322766607E-2</v>
      </c>
      <c r="N491" s="63">
        <v>917</v>
      </c>
      <c r="O491" s="63">
        <v>389</v>
      </c>
      <c r="P491" s="63">
        <v>5</v>
      </c>
      <c r="Q491" s="63">
        <v>54</v>
      </c>
      <c r="R491" s="63">
        <v>21</v>
      </c>
      <c r="S491" s="63">
        <v>2</v>
      </c>
      <c r="T491" s="67"/>
      <c r="U491" s="63"/>
      <c r="V491" s="63"/>
      <c r="W491" s="63">
        <f t="shared" si="133"/>
        <v>0</v>
      </c>
      <c r="X491" s="63"/>
      <c r="Y491" s="63"/>
      <c r="Z491" s="63"/>
      <c r="AA491" s="63"/>
      <c r="AB491" s="63"/>
      <c r="AE491" s="8">
        <v>0</v>
      </c>
      <c r="AT491" t="str">
        <f t="shared" si="142"/>
        <v>Mount Desert</v>
      </c>
      <c r="AU491" t="s">
        <v>597</v>
      </c>
      <c r="AV491">
        <v>2</v>
      </c>
      <c r="AX491" s="114">
        <v>23</v>
      </c>
      <c r="AY491" s="116">
        <v>9</v>
      </c>
      <c r="AZ491" s="116">
        <v>100</v>
      </c>
      <c r="BA491" s="120">
        <v>47630</v>
      </c>
      <c r="BB491" s="120">
        <f t="shared" si="143"/>
        <v>23009</v>
      </c>
      <c r="BC491" t="s">
        <v>1472</v>
      </c>
      <c r="BD491">
        <f t="shared" si="144"/>
        <v>2347630</v>
      </c>
      <c r="BE491" s="1">
        <v>48</v>
      </c>
      <c r="BI491">
        <v>55.22</v>
      </c>
      <c r="BJ491">
        <v>18.309999999999999</v>
      </c>
      <c r="BK491">
        <v>36.909999999999997</v>
      </c>
      <c r="BS491" s="63">
        <v>0</v>
      </c>
      <c r="CK491" s="1" t="s">
        <v>4042</v>
      </c>
    </row>
    <row r="492" spans="1:89" hidden="1" outlineLevel="1">
      <c r="A492" t="s">
        <v>1218</v>
      </c>
      <c r="B492" s="8" t="s">
        <v>1697</v>
      </c>
      <c r="C492" s="1">
        <f t="shared" si="141"/>
        <v>1024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 t="shared" si="134"/>
        <v>5</v>
      </c>
      <c r="G492" s="1">
        <f t="shared" si="135"/>
        <v>17</v>
      </c>
      <c r="H492" s="2">
        <f t="shared" si="136"/>
        <v>1.66015625E-2</v>
      </c>
      <c r="I492" s="6"/>
      <c r="J492" s="2">
        <f t="shared" si="137"/>
        <v>0.447265625</v>
      </c>
      <c r="K492" s="2">
        <f t="shared" si="138"/>
        <v>0.4638671875</v>
      </c>
      <c r="L492" s="2">
        <f t="shared" si="139"/>
        <v>9.765625E-4</v>
      </c>
      <c r="M492" s="2">
        <f t="shared" si="140"/>
        <v>8.7890625E-2</v>
      </c>
      <c r="N492" s="63">
        <v>458</v>
      </c>
      <c r="O492" s="63">
        <v>475</v>
      </c>
      <c r="P492" s="63">
        <v>1</v>
      </c>
      <c r="Q492" s="63">
        <v>63</v>
      </c>
      <c r="R492" s="63">
        <v>27</v>
      </c>
      <c r="S492" s="63">
        <v>0</v>
      </c>
      <c r="T492" s="67"/>
      <c r="U492" s="63"/>
      <c r="V492" s="63"/>
      <c r="W492" s="63">
        <f t="shared" si="133"/>
        <v>0</v>
      </c>
      <c r="X492" s="63"/>
      <c r="Y492" s="63"/>
      <c r="Z492" s="63"/>
      <c r="AA492" s="63"/>
      <c r="AB492" s="63"/>
      <c r="AE492" s="8">
        <v>0</v>
      </c>
      <c r="AT492" t="str">
        <f t="shared" si="142"/>
        <v>Mount Vernon</v>
      </c>
      <c r="AU492" t="s">
        <v>3007</v>
      </c>
      <c r="AV492">
        <v>2</v>
      </c>
      <c r="AX492" s="114">
        <v>23</v>
      </c>
      <c r="AY492" s="116">
        <v>11</v>
      </c>
      <c r="AZ492" s="116">
        <v>75</v>
      </c>
      <c r="BA492" s="120">
        <v>47770</v>
      </c>
      <c r="BB492" s="120">
        <f t="shared" si="143"/>
        <v>23011</v>
      </c>
      <c r="BC492" t="s">
        <v>1472</v>
      </c>
      <c r="BD492">
        <f t="shared" si="144"/>
        <v>2347770</v>
      </c>
      <c r="BE492" s="1">
        <v>40</v>
      </c>
      <c r="BI492">
        <v>43.42</v>
      </c>
      <c r="BJ492">
        <v>5.55</v>
      </c>
      <c r="BK492">
        <v>37.869999999999997</v>
      </c>
      <c r="BS492" s="63">
        <v>0</v>
      </c>
      <c r="CK492" s="1" t="s">
        <v>4043</v>
      </c>
    </row>
    <row r="493" spans="1:89" hidden="1" outlineLevel="1">
      <c r="A493" t="s">
        <v>2061</v>
      </c>
      <c r="B493" s="8" t="s">
        <v>1697</v>
      </c>
      <c r="C493" s="1">
        <f t="shared" si="141"/>
        <v>2260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 t="shared" si="134"/>
        <v>0</v>
      </c>
      <c r="G493" s="1">
        <f t="shared" si="135"/>
        <v>451</v>
      </c>
      <c r="H493" s="2">
        <f t="shared" si="136"/>
        <v>0.1995575221238938</v>
      </c>
      <c r="I493" s="6"/>
      <c r="J493" s="2">
        <f t="shared" si="137"/>
        <v>0.36548672566371682</v>
      </c>
      <c r="K493" s="2">
        <f t="shared" si="138"/>
        <v>0.56504424778761064</v>
      </c>
      <c r="L493" s="2">
        <f t="shared" si="139"/>
        <v>0</v>
      </c>
      <c r="M493" s="2">
        <f t="shared" si="140"/>
        <v>6.9469026548672486E-2</v>
      </c>
      <c r="N493" s="63">
        <v>826</v>
      </c>
      <c r="O493" s="63">
        <v>1277</v>
      </c>
      <c r="P493" s="63">
        <v>0</v>
      </c>
      <c r="Q493" s="63">
        <v>118</v>
      </c>
      <c r="R493" s="63">
        <v>39</v>
      </c>
      <c r="S493" s="63">
        <v>0</v>
      </c>
      <c r="T493" s="67"/>
      <c r="U493" s="63"/>
      <c r="V493" s="63"/>
      <c r="W493" s="63">
        <f t="shared" si="133"/>
        <v>0</v>
      </c>
      <c r="X493" s="63"/>
      <c r="Y493" s="63"/>
      <c r="Z493" s="63"/>
      <c r="AA493" s="63"/>
      <c r="AB493" s="63"/>
      <c r="AE493" s="8">
        <v>0</v>
      </c>
      <c r="AT493" t="str">
        <f t="shared" si="142"/>
        <v>Naples</v>
      </c>
      <c r="AU493" t="s">
        <v>1531</v>
      </c>
      <c r="AV493">
        <v>1</v>
      </c>
      <c r="AX493" s="114">
        <v>23</v>
      </c>
      <c r="AY493" s="116">
        <v>5</v>
      </c>
      <c r="AZ493" s="116">
        <v>65</v>
      </c>
      <c r="BA493" s="120">
        <v>48085</v>
      </c>
      <c r="BB493" s="120">
        <f t="shared" si="143"/>
        <v>23005</v>
      </c>
      <c r="BC493" t="s">
        <v>1472</v>
      </c>
      <c r="BD493">
        <f t="shared" si="144"/>
        <v>2348085</v>
      </c>
      <c r="BE493" s="1">
        <v>73</v>
      </c>
      <c r="BI493">
        <v>37.15</v>
      </c>
      <c r="BJ493">
        <v>5.35</v>
      </c>
      <c r="BK493">
        <v>31.8</v>
      </c>
      <c r="BS493" s="63">
        <v>0</v>
      </c>
      <c r="CK493" s="1" t="s">
        <v>4044</v>
      </c>
    </row>
    <row r="494" spans="1:89" hidden="1" outlineLevel="1">
      <c r="A494" t="s">
        <v>154</v>
      </c>
      <c r="B494" s="8" t="s">
        <v>1697</v>
      </c>
      <c r="C494" s="1">
        <f t="shared" si="141"/>
        <v>20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 t="shared" si="134"/>
        <v>0</v>
      </c>
      <c r="G494" s="1">
        <f t="shared" si="135"/>
        <v>5</v>
      </c>
      <c r="H494" s="2">
        <f t="shared" si="136"/>
        <v>0.25</v>
      </c>
      <c r="I494" s="6"/>
      <c r="J494" s="2">
        <f t="shared" si="137"/>
        <v>0.35</v>
      </c>
      <c r="K494" s="2">
        <f t="shared" si="138"/>
        <v>0.6</v>
      </c>
      <c r="L494" s="2">
        <f t="shared" si="139"/>
        <v>0</v>
      </c>
      <c r="M494" s="2">
        <f t="shared" si="140"/>
        <v>5.0000000000000044E-2</v>
      </c>
      <c r="N494" s="63">
        <v>7</v>
      </c>
      <c r="O494" s="63">
        <v>12</v>
      </c>
      <c r="P494" s="63">
        <v>0</v>
      </c>
      <c r="Q494" s="63">
        <v>1</v>
      </c>
      <c r="R494" s="63">
        <v>0</v>
      </c>
      <c r="S494" s="63">
        <v>0</v>
      </c>
      <c r="T494" s="67"/>
      <c r="U494" s="63"/>
      <c r="V494" s="63"/>
      <c r="W494" s="63">
        <f t="shared" ref="W494:W557" si="145">BS494</f>
        <v>0</v>
      </c>
      <c r="X494" s="63"/>
      <c r="Y494" s="63"/>
      <c r="Z494" s="63"/>
      <c r="AA494" s="63"/>
      <c r="AB494" s="63"/>
      <c r="AE494" s="8">
        <v>0</v>
      </c>
      <c r="AT494" t="str">
        <f t="shared" si="142"/>
        <v>Nashville</v>
      </c>
      <c r="AU494" t="s">
        <v>2830</v>
      </c>
      <c r="AV494">
        <v>2</v>
      </c>
      <c r="AX494" s="114">
        <v>23</v>
      </c>
      <c r="AY494" s="116">
        <v>3</v>
      </c>
      <c r="AZ494" s="116">
        <v>220</v>
      </c>
      <c r="BA494" s="120">
        <v>48120</v>
      </c>
      <c r="BB494" s="120">
        <f t="shared" si="143"/>
        <v>23003</v>
      </c>
      <c r="BC494" t="s">
        <v>3075</v>
      </c>
      <c r="BD494">
        <f t="shared" si="144"/>
        <v>2348120</v>
      </c>
      <c r="BE494" s="1">
        <v>0</v>
      </c>
      <c r="BI494">
        <v>35.51</v>
      </c>
      <c r="BJ494">
        <v>0.38</v>
      </c>
      <c r="BK494">
        <v>35.119999999999997</v>
      </c>
      <c r="BS494" s="63">
        <v>0</v>
      </c>
      <c r="CK494" s="1" t="s">
        <v>4045</v>
      </c>
    </row>
    <row r="495" spans="1:89" hidden="1" outlineLevel="1">
      <c r="A495" t="s">
        <v>2201</v>
      </c>
      <c r="B495" s="8" t="s">
        <v>1697</v>
      </c>
      <c r="C495" s="1">
        <f t="shared" si="141"/>
        <v>161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 t="shared" si="134"/>
        <v>0</v>
      </c>
      <c r="G495" s="1">
        <f t="shared" si="135"/>
        <v>17</v>
      </c>
      <c r="H495" s="2">
        <f t="shared" si="136"/>
        <v>0.10559006211180125</v>
      </c>
      <c r="I495" s="6"/>
      <c r="J495" s="2">
        <f t="shared" si="137"/>
        <v>0.42236024844720499</v>
      </c>
      <c r="K495" s="2">
        <f t="shared" si="138"/>
        <v>0.52795031055900621</v>
      </c>
      <c r="L495" s="2">
        <f t="shared" si="139"/>
        <v>0</v>
      </c>
      <c r="M495" s="2">
        <f t="shared" si="140"/>
        <v>4.9689440993788803E-2</v>
      </c>
      <c r="N495" s="63">
        <v>68</v>
      </c>
      <c r="O495" s="63">
        <v>85</v>
      </c>
      <c r="P495" s="63">
        <v>0</v>
      </c>
      <c r="Q495" s="63">
        <v>4</v>
      </c>
      <c r="R495" s="63">
        <v>4</v>
      </c>
      <c r="S495" s="63">
        <v>0</v>
      </c>
      <c r="T495" s="67"/>
      <c r="U495" s="63"/>
      <c r="V495" s="63"/>
      <c r="W495" s="63">
        <f t="shared" si="145"/>
        <v>0</v>
      </c>
      <c r="X495" s="63"/>
      <c r="Y495" s="63"/>
      <c r="Z495" s="63"/>
      <c r="AA495" s="63"/>
      <c r="AB495" s="63"/>
      <c r="AE495" s="8">
        <v>0</v>
      </c>
      <c r="AT495" t="str">
        <f t="shared" si="142"/>
        <v>New Canada</v>
      </c>
      <c r="AU495" t="s">
        <v>2830</v>
      </c>
      <c r="AV495">
        <v>2</v>
      </c>
      <c r="AX495" s="114">
        <v>23</v>
      </c>
      <c r="AY495" s="116">
        <v>3</v>
      </c>
      <c r="AZ495" s="116">
        <v>225</v>
      </c>
      <c r="BA495" s="120">
        <v>48575</v>
      </c>
      <c r="BB495" s="120">
        <f t="shared" si="143"/>
        <v>23003</v>
      </c>
      <c r="BC495" t="s">
        <v>1472</v>
      </c>
      <c r="BD495">
        <f t="shared" si="144"/>
        <v>2348575</v>
      </c>
      <c r="BE495" s="1">
        <v>3</v>
      </c>
      <c r="BI495">
        <v>36.43</v>
      </c>
      <c r="BJ495">
        <v>0.59</v>
      </c>
      <c r="BK495">
        <v>35.83</v>
      </c>
      <c r="BS495" s="63">
        <v>0</v>
      </c>
      <c r="CK495" s="1" t="s">
        <v>4046</v>
      </c>
    </row>
    <row r="496" spans="1:89" hidden="1" outlineLevel="1">
      <c r="A496" t="s">
        <v>2062</v>
      </c>
      <c r="B496" s="8" t="s">
        <v>1697</v>
      </c>
      <c r="C496" s="1">
        <f t="shared" si="141"/>
        <v>3254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 t="shared" si="134"/>
        <v>5</v>
      </c>
      <c r="G496" s="1">
        <f t="shared" si="135"/>
        <v>307</v>
      </c>
      <c r="H496" s="2">
        <f t="shared" si="136"/>
        <v>9.4345421020282733E-2</v>
      </c>
      <c r="I496" s="6"/>
      <c r="J496" s="2">
        <f t="shared" si="137"/>
        <v>0.41487400122925627</v>
      </c>
      <c r="K496" s="2">
        <f t="shared" si="138"/>
        <v>0.50921942224953898</v>
      </c>
      <c r="L496" s="2">
        <f t="shared" si="139"/>
        <v>4.9170251997541483E-3</v>
      </c>
      <c r="M496" s="2">
        <f t="shared" si="140"/>
        <v>7.0989551321450656E-2</v>
      </c>
      <c r="N496" s="63">
        <v>1350</v>
      </c>
      <c r="O496" s="63">
        <v>1657</v>
      </c>
      <c r="P496" s="63">
        <v>16</v>
      </c>
      <c r="Q496" s="63">
        <v>167</v>
      </c>
      <c r="R496" s="63">
        <v>61</v>
      </c>
      <c r="S496" s="63">
        <v>3</v>
      </c>
      <c r="T496" s="67"/>
      <c r="U496" s="63"/>
      <c r="V496" s="63"/>
      <c r="W496" s="63">
        <f t="shared" si="145"/>
        <v>0</v>
      </c>
      <c r="X496" s="63"/>
      <c r="Y496" s="63"/>
      <c r="Z496" s="63"/>
      <c r="AA496" s="63"/>
      <c r="AB496" s="63"/>
      <c r="AE496" s="8">
        <v>0</v>
      </c>
      <c r="AT496" t="str">
        <f t="shared" si="142"/>
        <v>New Gloucester</v>
      </c>
      <c r="AU496" t="s">
        <v>1531</v>
      </c>
      <c r="AV496">
        <v>1</v>
      </c>
      <c r="AX496" s="114">
        <v>23</v>
      </c>
      <c r="AY496" s="116">
        <v>5</v>
      </c>
      <c r="AZ496" s="116">
        <v>70</v>
      </c>
      <c r="BA496" s="120">
        <v>48820</v>
      </c>
      <c r="BB496" s="120">
        <f t="shared" si="143"/>
        <v>23005</v>
      </c>
      <c r="BC496" t="s">
        <v>1472</v>
      </c>
      <c r="BD496">
        <f t="shared" si="144"/>
        <v>2348820</v>
      </c>
      <c r="BE496" s="1">
        <v>110</v>
      </c>
      <c r="BI496">
        <v>47.78</v>
      </c>
      <c r="BJ496">
        <v>0.68</v>
      </c>
      <c r="BK496">
        <v>47.1</v>
      </c>
      <c r="BS496" s="63">
        <v>0</v>
      </c>
      <c r="CK496" s="1" t="s">
        <v>4047</v>
      </c>
    </row>
    <row r="497" spans="1:89" hidden="1" outlineLevel="1">
      <c r="A497" t="s">
        <v>2945</v>
      </c>
      <c r="B497" s="8" t="s">
        <v>1697</v>
      </c>
      <c r="C497" s="1">
        <f t="shared" si="141"/>
        <v>334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 t="shared" si="134"/>
        <v>0</v>
      </c>
      <c r="G497" s="1">
        <f t="shared" si="135"/>
        <v>127</v>
      </c>
      <c r="H497" s="2">
        <f t="shared" si="136"/>
        <v>0.38023952095808383</v>
      </c>
      <c r="I497" s="6"/>
      <c r="J497" s="2">
        <f t="shared" si="137"/>
        <v>0.29041916167664672</v>
      </c>
      <c r="K497" s="2">
        <f t="shared" si="138"/>
        <v>0.6706586826347305</v>
      </c>
      <c r="L497" s="2">
        <f t="shared" si="139"/>
        <v>0</v>
      </c>
      <c r="M497" s="2">
        <f t="shared" si="140"/>
        <v>3.8922155688622784E-2</v>
      </c>
      <c r="N497" s="63">
        <v>97</v>
      </c>
      <c r="O497" s="63">
        <v>224</v>
      </c>
      <c r="P497" s="63">
        <v>0</v>
      </c>
      <c r="Q497" s="63">
        <v>11</v>
      </c>
      <c r="R497" s="63">
        <v>2</v>
      </c>
      <c r="S497" s="63">
        <v>0</v>
      </c>
      <c r="T497" s="67"/>
      <c r="U497" s="63"/>
      <c r="V497" s="63"/>
      <c r="W497" s="63">
        <f t="shared" si="145"/>
        <v>0</v>
      </c>
      <c r="X497" s="63"/>
      <c r="Y497" s="63"/>
      <c r="Z497" s="63"/>
      <c r="AA497" s="63"/>
      <c r="AB497" s="63"/>
      <c r="AE497" s="8">
        <v>0</v>
      </c>
      <c r="AT497" t="str">
        <f t="shared" si="142"/>
        <v>New Limerick</v>
      </c>
      <c r="AU497" t="s">
        <v>2830</v>
      </c>
      <c r="AV497">
        <v>2</v>
      </c>
      <c r="AX497" s="114">
        <v>23</v>
      </c>
      <c r="AY497" s="116">
        <v>3</v>
      </c>
      <c r="AZ497" s="116">
        <v>230</v>
      </c>
      <c r="BA497" s="120">
        <v>48960</v>
      </c>
      <c r="BB497" s="120">
        <f t="shared" si="143"/>
        <v>23003</v>
      </c>
      <c r="BC497" t="s">
        <v>1472</v>
      </c>
      <c r="BD497">
        <f t="shared" si="144"/>
        <v>2348960</v>
      </c>
      <c r="BE497" s="1">
        <v>13</v>
      </c>
      <c r="BI497">
        <v>19.5</v>
      </c>
      <c r="BJ497">
        <v>1.03</v>
      </c>
      <c r="BK497">
        <v>18.47</v>
      </c>
      <c r="BS497" s="63">
        <v>0</v>
      </c>
      <c r="CK497" s="1" t="s">
        <v>4048</v>
      </c>
    </row>
    <row r="498" spans="1:89" hidden="1" outlineLevel="1">
      <c r="A498" t="s">
        <v>3202</v>
      </c>
      <c r="B498" s="8" t="s">
        <v>1697</v>
      </c>
      <c r="C498" s="1">
        <f t="shared" si="141"/>
        <v>429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 t="shared" si="134"/>
        <v>5</v>
      </c>
      <c r="G498" s="1">
        <f t="shared" si="135"/>
        <v>73</v>
      </c>
      <c r="H498" s="2">
        <f t="shared" si="136"/>
        <v>0.17016317016317017</v>
      </c>
      <c r="I498" s="6"/>
      <c r="J498" s="2">
        <f t="shared" si="137"/>
        <v>0.35664335664335667</v>
      </c>
      <c r="K498" s="2">
        <f t="shared" si="138"/>
        <v>0.52680652680652684</v>
      </c>
      <c r="L498" s="2">
        <f t="shared" si="139"/>
        <v>4.662004662004662E-3</v>
      </c>
      <c r="M498" s="2">
        <f t="shared" si="140"/>
        <v>0.11188811188811183</v>
      </c>
      <c r="N498" s="63">
        <v>153</v>
      </c>
      <c r="O498" s="63">
        <v>226</v>
      </c>
      <c r="P498" s="63">
        <v>2</v>
      </c>
      <c r="Q498" s="63">
        <v>29</v>
      </c>
      <c r="R498" s="63">
        <v>19</v>
      </c>
      <c r="S498" s="63">
        <v>0</v>
      </c>
      <c r="T498" s="67"/>
      <c r="U498" s="63"/>
      <c r="V498" s="63"/>
      <c r="W498" s="63">
        <f t="shared" si="145"/>
        <v>0</v>
      </c>
      <c r="X498" s="63"/>
      <c r="Y498" s="63"/>
      <c r="Z498" s="63"/>
      <c r="AA498" s="63"/>
      <c r="AB498" s="63"/>
      <c r="AE498" s="8">
        <v>0</v>
      </c>
      <c r="AT498" t="str">
        <f t="shared" si="142"/>
        <v>New Portland</v>
      </c>
      <c r="AU498" t="s">
        <v>1787</v>
      </c>
      <c r="AV498">
        <v>2</v>
      </c>
      <c r="AX498" s="114">
        <v>23</v>
      </c>
      <c r="AY498" s="116">
        <v>25</v>
      </c>
      <c r="AZ498" s="116">
        <v>105</v>
      </c>
      <c r="BA498" s="120">
        <v>49205</v>
      </c>
      <c r="BB498" s="120">
        <f t="shared" si="143"/>
        <v>23025</v>
      </c>
      <c r="BC498" t="s">
        <v>1472</v>
      </c>
      <c r="BD498">
        <f t="shared" si="144"/>
        <v>2349205</v>
      </c>
      <c r="BE498" s="1">
        <v>13</v>
      </c>
      <c r="BI498">
        <v>43.79</v>
      </c>
      <c r="BJ498">
        <v>0.35</v>
      </c>
      <c r="BK498">
        <v>43.44</v>
      </c>
      <c r="BS498" s="63">
        <v>0</v>
      </c>
      <c r="CK498" s="1" t="s">
        <v>4049</v>
      </c>
    </row>
    <row r="499" spans="1:89" hidden="1" outlineLevel="1">
      <c r="A499" t="s">
        <v>2793</v>
      </c>
      <c r="B499" s="8" t="s">
        <v>1697</v>
      </c>
      <c r="C499" s="1">
        <f t="shared" si="141"/>
        <v>911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 t="shared" si="134"/>
        <v>5</v>
      </c>
      <c r="G499" s="1">
        <f t="shared" si="135"/>
        <v>188</v>
      </c>
      <c r="H499" s="2">
        <f t="shared" si="136"/>
        <v>0.20636663007683864</v>
      </c>
      <c r="I499" s="6"/>
      <c r="J499" s="2">
        <f t="shared" si="137"/>
        <v>0.3402854006586169</v>
      </c>
      <c r="K499" s="2">
        <f t="shared" si="138"/>
        <v>0.54665203073545554</v>
      </c>
      <c r="L499" s="2">
        <f t="shared" si="139"/>
        <v>3.2930845225027441E-3</v>
      </c>
      <c r="M499" s="2">
        <f t="shared" si="140"/>
        <v>0.10976948408342482</v>
      </c>
      <c r="N499" s="63">
        <v>310</v>
      </c>
      <c r="O499" s="63">
        <v>498</v>
      </c>
      <c r="P499" s="63">
        <v>3</v>
      </c>
      <c r="Q499" s="63">
        <v>69</v>
      </c>
      <c r="R499" s="63">
        <v>31</v>
      </c>
      <c r="S499" s="63">
        <v>0</v>
      </c>
      <c r="T499" s="67"/>
      <c r="U499" s="63"/>
      <c r="V499" s="63"/>
      <c r="W499" s="63">
        <f t="shared" si="145"/>
        <v>0</v>
      </c>
      <c r="X499" s="63"/>
      <c r="Y499" s="63"/>
      <c r="Z499" s="63"/>
      <c r="AA499" s="63"/>
      <c r="AB499" s="63"/>
      <c r="AE499" s="8">
        <v>0</v>
      </c>
      <c r="AT499" t="str">
        <f t="shared" si="142"/>
        <v>New Sharon</v>
      </c>
      <c r="AU499" t="s">
        <v>1138</v>
      </c>
      <c r="AV499">
        <v>2</v>
      </c>
      <c r="AX499" s="114">
        <v>23</v>
      </c>
      <c r="AY499" s="116">
        <v>7</v>
      </c>
      <c r="AZ499" s="116">
        <v>60</v>
      </c>
      <c r="BA499" s="120">
        <v>49345</v>
      </c>
      <c r="BB499" s="120">
        <f t="shared" si="143"/>
        <v>23007</v>
      </c>
      <c r="BC499" t="s">
        <v>1472</v>
      </c>
      <c r="BD499">
        <f t="shared" si="144"/>
        <v>2349345</v>
      </c>
      <c r="BE499" s="1">
        <v>31</v>
      </c>
      <c r="BI499">
        <v>46.57</v>
      </c>
      <c r="BJ499">
        <v>0.62</v>
      </c>
      <c r="BK499">
        <v>45.95</v>
      </c>
      <c r="BS499" s="63">
        <v>0</v>
      </c>
      <c r="CK499" s="1" t="s">
        <v>4050</v>
      </c>
    </row>
    <row r="500" spans="1:89" hidden="1" outlineLevel="1">
      <c r="A500" t="s">
        <v>1557</v>
      </c>
      <c r="B500" s="8" t="s">
        <v>1697</v>
      </c>
      <c r="C500" s="1">
        <f t="shared" si="141"/>
        <v>366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 t="shared" ref="F500:F531" si="146">IF(P500&gt;0,RANK(P500,(N500:AE500)),0)</f>
        <v>5</v>
      </c>
      <c r="G500" s="1">
        <f t="shared" ref="G500:G531" si="147">IF(C500&gt;0,MAX(N500:P500)-LARGE(N500:P500,2),0)</f>
        <v>38</v>
      </c>
      <c r="H500" s="2">
        <f t="shared" ref="H500:H531" si="148">IF(C500&gt;0,G500/C500,0)</f>
        <v>0.10382513661202186</v>
      </c>
      <c r="I500" s="6"/>
      <c r="J500" s="2">
        <f t="shared" ref="J500:J531" si="149">IF(C500=0,"-",N500/C500)</f>
        <v>0.40163934426229508</v>
      </c>
      <c r="K500" s="2">
        <f t="shared" ref="K500:K531" si="150">IF(C500=0,"-",O500/C500)</f>
        <v>0.50546448087431695</v>
      </c>
      <c r="L500" s="2">
        <f t="shared" ref="L500:L531" si="151">IF(C500=0,"-",P500/C500)</f>
        <v>5.4644808743169399E-3</v>
      </c>
      <c r="M500" s="2">
        <f t="shared" ref="M500:M531" si="152">IF(C500=0,"-",(1-J500-K500-L500))</f>
        <v>8.7431693989071024E-2</v>
      </c>
      <c r="N500" s="63">
        <v>147</v>
      </c>
      <c r="O500" s="63">
        <v>185</v>
      </c>
      <c r="P500" s="63">
        <v>2</v>
      </c>
      <c r="Q500" s="63">
        <v>24</v>
      </c>
      <c r="R500" s="63">
        <v>8</v>
      </c>
      <c r="S500" s="63">
        <v>0</v>
      </c>
      <c r="T500" s="67"/>
      <c r="U500" s="63"/>
      <c r="V500" s="63"/>
      <c r="W500" s="63">
        <f t="shared" si="145"/>
        <v>0</v>
      </c>
      <c r="X500" s="63"/>
      <c r="Y500" s="63"/>
      <c r="Z500" s="63"/>
      <c r="AA500" s="63"/>
      <c r="AB500" s="63"/>
      <c r="AE500" s="8">
        <v>0</v>
      </c>
      <c r="AT500" t="str">
        <f t="shared" si="142"/>
        <v>New Sweden</v>
      </c>
      <c r="AU500" t="s">
        <v>2830</v>
      </c>
      <c r="AV500">
        <v>2</v>
      </c>
      <c r="AX500" s="114">
        <v>23</v>
      </c>
      <c r="AY500" s="116">
        <v>3</v>
      </c>
      <c r="AZ500" s="116">
        <v>235</v>
      </c>
      <c r="BA500" s="120">
        <v>49415</v>
      </c>
      <c r="BB500" s="120">
        <f t="shared" si="143"/>
        <v>23003</v>
      </c>
      <c r="BC500" t="s">
        <v>1472</v>
      </c>
      <c r="BD500">
        <f t="shared" si="144"/>
        <v>2349415</v>
      </c>
      <c r="BE500" s="1">
        <v>11</v>
      </c>
      <c r="BI500">
        <v>34.729999999999997</v>
      </c>
      <c r="BJ500">
        <v>0.03</v>
      </c>
      <c r="BK500">
        <v>34.700000000000003</v>
      </c>
      <c r="BS500" s="63">
        <v>0</v>
      </c>
      <c r="CK500" s="1" t="s">
        <v>4051</v>
      </c>
    </row>
    <row r="501" spans="1:89" hidden="1" outlineLevel="1">
      <c r="A501" t="s">
        <v>911</v>
      </c>
      <c r="B501" s="8" t="s">
        <v>1697</v>
      </c>
      <c r="C501" s="1">
        <f t="shared" si="141"/>
        <v>427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 t="shared" si="146"/>
        <v>5</v>
      </c>
      <c r="G501" s="1">
        <f t="shared" si="147"/>
        <v>126</v>
      </c>
      <c r="H501" s="2">
        <f t="shared" si="148"/>
        <v>0.29508196721311475</v>
      </c>
      <c r="I501" s="6"/>
      <c r="J501" s="2">
        <f t="shared" si="149"/>
        <v>0.3044496487119438</v>
      </c>
      <c r="K501" s="2">
        <f t="shared" si="150"/>
        <v>0.59953161592505855</v>
      </c>
      <c r="L501" s="2">
        <f t="shared" si="151"/>
        <v>1.1709601873536301E-2</v>
      </c>
      <c r="M501" s="2">
        <f t="shared" si="152"/>
        <v>8.4309133489461355E-2</v>
      </c>
      <c r="N501" s="63">
        <v>130</v>
      </c>
      <c r="O501" s="63">
        <v>256</v>
      </c>
      <c r="P501" s="63">
        <v>5</v>
      </c>
      <c r="Q501" s="63">
        <v>29</v>
      </c>
      <c r="R501" s="63">
        <v>7</v>
      </c>
      <c r="S501" s="63">
        <v>0</v>
      </c>
      <c r="T501" s="67"/>
      <c r="U501" s="63"/>
      <c r="V501" s="63"/>
      <c r="W501" s="63">
        <f t="shared" si="145"/>
        <v>0</v>
      </c>
      <c r="X501" s="63"/>
      <c r="Y501" s="63"/>
      <c r="Z501" s="63"/>
      <c r="AA501" s="63"/>
      <c r="AB501" s="63"/>
      <c r="AE501" s="8">
        <v>0</v>
      </c>
      <c r="AT501" t="str">
        <f t="shared" si="142"/>
        <v>New Vineyard</v>
      </c>
      <c r="AU501" t="s">
        <v>1138</v>
      </c>
      <c r="AV501">
        <v>2</v>
      </c>
      <c r="AX501" s="114">
        <v>23</v>
      </c>
      <c r="AY501" s="116">
        <v>7</v>
      </c>
      <c r="AZ501" s="116">
        <v>65</v>
      </c>
      <c r="BA501" s="120">
        <v>49520</v>
      </c>
      <c r="BB501" s="120">
        <f t="shared" si="143"/>
        <v>23007</v>
      </c>
      <c r="BC501" t="s">
        <v>1472</v>
      </c>
      <c r="BD501">
        <f t="shared" si="144"/>
        <v>2349520</v>
      </c>
      <c r="BE501" s="1">
        <v>23</v>
      </c>
      <c r="BI501">
        <v>36.380000000000003</v>
      </c>
      <c r="BJ501">
        <v>0.52</v>
      </c>
      <c r="BK501">
        <v>35.86</v>
      </c>
      <c r="BS501" s="63">
        <v>0</v>
      </c>
      <c r="CK501" s="1" t="s">
        <v>4052</v>
      </c>
    </row>
    <row r="502" spans="1:89" hidden="1" outlineLevel="1">
      <c r="A502" t="s">
        <v>2982</v>
      </c>
      <c r="B502" s="8" t="s">
        <v>1697</v>
      </c>
      <c r="C502" s="1">
        <f t="shared" si="141"/>
        <v>932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 t="shared" si="146"/>
        <v>5</v>
      </c>
      <c r="G502" s="1">
        <f t="shared" si="147"/>
        <v>218</v>
      </c>
      <c r="H502" s="2">
        <f t="shared" si="148"/>
        <v>0.23390557939914164</v>
      </c>
      <c r="I502" s="6"/>
      <c r="J502" s="2">
        <f t="shared" si="149"/>
        <v>0.35193133047210301</v>
      </c>
      <c r="K502" s="2">
        <f t="shared" si="150"/>
        <v>0.58583690987124459</v>
      </c>
      <c r="L502" s="2">
        <f t="shared" si="151"/>
        <v>3.2188841201716738E-3</v>
      </c>
      <c r="M502" s="2">
        <f t="shared" si="152"/>
        <v>5.901287553648072E-2</v>
      </c>
      <c r="N502" s="63">
        <v>328</v>
      </c>
      <c r="O502" s="63">
        <v>546</v>
      </c>
      <c r="P502" s="63">
        <v>3</v>
      </c>
      <c r="Q502" s="63">
        <v>41</v>
      </c>
      <c r="R502" s="63">
        <v>14</v>
      </c>
      <c r="S502" s="63">
        <v>0</v>
      </c>
      <c r="T502" s="67"/>
      <c r="U502" s="63"/>
      <c r="V502" s="63"/>
      <c r="W502" s="63">
        <f t="shared" si="145"/>
        <v>0</v>
      </c>
      <c r="X502" s="63"/>
      <c r="Y502" s="63"/>
      <c r="Z502" s="63"/>
      <c r="AA502" s="63"/>
      <c r="AB502" s="63"/>
      <c r="AE502" s="8">
        <v>0</v>
      </c>
      <c r="AT502" t="str">
        <f t="shared" si="142"/>
        <v>Newburgh</v>
      </c>
      <c r="AU502" t="s">
        <v>2481</v>
      </c>
      <c r="AV502">
        <v>2</v>
      </c>
      <c r="AX502" s="114">
        <v>23</v>
      </c>
      <c r="AY502" s="116">
        <v>19</v>
      </c>
      <c r="AZ502" s="116">
        <v>230</v>
      </c>
      <c r="BA502" s="120">
        <v>48505</v>
      </c>
      <c r="BB502" s="120">
        <f t="shared" si="143"/>
        <v>23019</v>
      </c>
      <c r="BC502" t="s">
        <v>1472</v>
      </c>
      <c r="BD502">
        <f t="shared" si="144"/>
        <v>2348505</v>
      </c>
      <c r="BE502" s="1">
        <v>34</v>
      </c>
      <c r="BI502">
        <v>30.95</v>
      </c>
      <c r="BJ502">
        <v>7.0000000000000007E-2</v>
      </c>
      <c r="BK502">
        <v>30.88</v>
      </c>
      <c r="BS502" s="63">
        <v>0</v>
      </c>
      <c r="CK502" s="1" t="s">
        <v>4053</v>
      </c>
    </row>
    <row r="503" spans="1:89" hidden="1" outlineLevel="1">
      <c r="A503" t="s">
        <v>1323</v>
      </c>
      <c r="B503" s="8" t="s">
        <v>1697</v>
      </c>
      <c r="C503" s="1">
        <f t="shared" si="141"/>
        <v>1228</v>
      </c>
      <c r="D503" s="5">
        <f>IF(N503&gt;0, RANK(N503,(N503:P503,Q503:AE503)),0)</f>
        <v>1</v>
      </c>
      <c r="E503" s="5">
        <f>IF(O503&gt;0,RANK(O503,(N503:P503,Q503:AE503)),0)</f>
        <v>2</v>
      </c>
      <c r="F503" s="5">
        <f t="shared" si="146"/>
        <v>5</v>
      </c>
      <c r="G503" s="1">
        <f t="shared" si="147"/>
        <v>406</v>
      </c>
      <c r="H503" s="2">
        <f t="shared" si="148"/>
        <v>0.3306188925081433</v>
      </c>
      <c r="I503" s="6"/>
      <c r="J503" s="2">
        <f t="shared" si="149"/>
        <v>0.64006514657980451</v>
      </c>
      <c r="K503" s="2">
        <f t="shared" si="150"/>
        <v>0.30944625407166126</v>
      </c>
      <c r="L503" s="2">
        <f t="shared" si="151"/>
        <v>2.4429967426710096E-3</v>
      </c>
      <c r="M503" s="2">
        <f t="shared" si="152"/>
        <v>4.8045602605863214E-2</v>
      </c>
      <c r="N503" s="63">
        <v>786</v>
      </c>
      <c r="O503" s="63">
        <v>380</v>
      </c>
      <c r="P503" s="63">
        <v>3</v>
      </c>
      <c r="Q503" s="63">
        <v>43</v>
      </c>
      <c r="R503" s="63">
        <v>15</v>
      </c>
      <c r="S503" s="63">
        <v>1</v>
      </c>
      <c r="T503" s="67"/>
      <c r="U503" s="63"/>
      <c r="V503" s="63"/>
      <c r="W503" s="63">
        <f t="shared" si="145"/>
        <v>0</v>
      </c>
      <c r="X503" s="63"/>
      <c r="Y503" s="63"/>
      <c r="Z503" s="63"/>
      <c r="AA503" s="63"/>
      <c r="AB503" s="63"/>
      <c r="AE503" s="8">
        <v>0</v>
      </c>
      <c r="AT503" t="str">
        <f t="shared" si="142"/>
        <v>Newcastle</v>
      </c>
      <c r="AU503" t="s">
        <v>1597</v>
      </c>
      <c r="AV503">
        <v>1</v>
      </c>
      <c r="AX503" s="114">
        <v>23</v>
      </c>
      <c r="AY503" s="116">
        <v>15</v>
      </c>
      <c r="AZ503" s="116">
        <v>60</v>
      </c>
      <c r="BA503" s="120">
        <v>48645</v>
      </c>
      <c r="BB503" s="120">
        <f t="shared" si="143"/>
        <v>23015</v>
      </c>
      <c r="BC503" t="s">
        <v>1472</v>
      </c>
      <c r="BD503">
        <f t="shared" si="144"/>
        <v>2348645</v>
      </c>
      <c r="BE503" s="1">
        <v>42</v>
      </c>
      <c r="BI503">
        <v>32.57</v>
      </c>
      <c r="BJ503">
        <v>3.59</v>
      </c>
      <c r="BK503">
        <v>28.98</v>
      </c>
      <c r="BS503" s="63">
        <v>0</v>
      </c>
      <c r="CK503" s="1" t="s">
        <v>4054</v>
      </c>
    </row>
    <row r="504" spans="1:89" hidden="1" outlineLevel="1">
      <c r="A504" t="s">
        <v>1871</v>
      </c>
      <c r="B504" s="8" t="s">
        <v>1697</v>
      </c>
      <c r="C504" s="1">
        <f t="shared" si="141"/>
        <v>843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 t="shared" si="146"/>
        <v>5</v>
      </c>
      <c r="G504" s="1">
        <f t="shared" si="147"/>
        <v>216</v>
      </c>
      <c r="H504" s="2">
        <f t="shared" si="148"/>
        <v>0.25622775800711745</v>
      </c>
      <c r="I504" s="6"/>
      <c r="J504" s="2">
        <f t="shared" si="149"/>
        <v>0.33807829181494664</v>
      </c>
      <c r="K504" s="2">
        <f t="shared" si="150"/>
        <v>0.59430604982206403</v>
      </c>
      <c r="L504" s="2">
        <f t="shared" si="151"/>
        <v>1.1862396204033216E-3</v>
      </c>
      <c r="M504" s="2">
        <f t="shared" si="152"/>
        <v>6.6429418742586011E-2</v>
      </c>
      <c r="N504" s="63">
        <v>285</v>
      </c>
      <c r="O504" s="63">
        <v>501</v>
      </c>
      <c r="P504" s="63">
        <v>1</v>
      </c>
      <c r="Q504" s="63">
        <v>43</v>
      </c>
      <c r="R504" s="63">
        <v>13</v>
      </c>
      <c r="S504" s="63">
        <v>0</v>
      </c>
      <c r="T504" s="67"/>
      <c r="U504" s="63"/>
      <c r="V504" s="63"/>
      <c r="W504" s="63">
        <f t="shared" si="145"/>
        <v>0</v>
      </c>
      <c r="X504" s="63"/>
      <c r="Y504" s="63"/>
      <c r="Z504" s="63"/>
      <c r="AA504" s="63"/>
      <c r="AB504" s="63"/>
      <c r="AE504" s="8">
        <v>0</v>
      </c>
      <c r="AT504" t="str">
        <f t="shared" si="142"/>
        <v>Newfield</v>
      </c>
      <c r="AU504" t="s">
        <v>925</v>
      </c>
      <c r="AV504">
        <v>1</v>
      </c>
      <c r="AX504" s="114">
        <v>23</v>
      </c>
      <c r="AY504" s="116">
        <v>31</v>
      </c>
      <c r="AZ504" s="116">
        <v>90</v>
      </c>
      <c r="BA504" s="120">
        <v>48750</v>
      </c>
      <c r="BB504" s="120">
        <f t="shared" si="143"/>
        <v>23031</v>
      </c>
      <c r="BC504" t="s">
        <v>1472</v>
      </c>
      <c r="BD504">
        <f t="shared" si="144"/>
        <v>2348750</v>
      </c>
      <c r="BE504" s="1">
        <v>29</v>
      </c>
      <c r="BI504">
        <v>33.47</v>
      </c>
      <c r="BJ504">
        <v>1.1499999999999999</v>
      </c>
      <c r="BK504">
        <v>32.31</v>
      </c>
      <c r="BS504" s="63">
        <v>0</v>
      </c>
      <c r="CK504" s="1" t="s">
        <v>4055</v>
      </c>
    </row>
    <row r="505" spans="1:89" hidden="1" outlineLevel="1">
      <c r="A505" t="s">
        <v>2009</v>
      </c>
      <c r="B505" s="8" t="s">
        <v>1697</v>
      </c>
      <c r="C505" s="1">
        <f t="shared" si="141"/>
        <v>1729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 t="shared" si="146"/>
        <v>5</v>
      </c>
      <c r="G505" s="1">
        <f t="shared" si="147"/>
        <v>450</v>
      </c>
      <c r="H505" s="2">
        <f t="shared" si="148"/>
        <v>0.26026604973973394</v>
      </c>
      <c r="I505" s="6"/>
      <c r="J505" s="2">
        <f t="shared" si="149"/>
        <v>0.33314054366685947</v>
      </c>
      <c r="K505" s="2">
        <f t="shared" si="150"/>
        <v>0.59340659340659341</v>
      </c>
      <c r="L505" s="2">
        <f t="shared" si="151"/>
        <v>5.7836899942163098E-3</v>
      </c>
      <c r="M505" s="2">
        <f t="shared" si="152"/>
        <v>6.7669172932330754E-2</v>
      </c>
      <c r="N505" s="63">
        <v>576</v>
      </c>
      <c r="O505" s="63">
        <v>1026</v>
      </c>
      <c r="P505" s="63">
        <v>10</v>
      </c>
      <c r="Q505" s="63">
        <v>86</v>
      </c>
      <c r="R505" s="63">
        <v>31</v>
      </c>
      <c r="S505" s="63">
        <v>0</v>
      </c>
      <c r="T505" s="67"/>
      <c r="U505" s="63"/>
      <c r="V505" s="63"/>
      <c r="W505" s="63">
        <f t="shared" si="145"/>
        <v>0</v>
      </c>
      <c r="X505" s="63"/>
      <c r="Y505" s="63"/>
      <c r="Z505" s="63"/>
      <c r="AA505" s="63"/>
      <c r="AB505" s="63"/>
      <c r="AE505" s="8">
        <v>0</v>
      </c>
      <c r="AT505" t="str">
        <f t="shared" si="142"/>
        <v>Newport</v>
      </c>
      <c r="AU505" t="s">
        <v>2481</v>
      </c>
      <c r="AV505">
        <v>2</v>
      </c>
      <c r="AX505" s="114">
        <v>23</v>
      </c>
      <c r="AY505" s="116">
        <v>19</v>
      </c>
      <c r="AZ505" s="116">
        <v>235</v>
      </c>
      <c r="BA505" s="120">
        <v>49065</v>
      </c>
      <c r="BB505" s="120">
        <f t="shared" si="143"/>
        <v>23019</v>
      </c>
      <c r="BC505" t="s">
        <v>1472</v>
      </c>
      <c r="BD505">
        <f t="shared" si="144"/>
        <v>2349065</v>
      </c>
      <c r="BE505" s="1">
        <v>41</v>
      </c>
      <c r="BI505">
        <v>36.99</v>
      </c>
      <c r="BJ505">
        <v>7.49</v>
      </c>
      <c r="BK505">
        <v>29.5</v>
      </c>
      <c r="BS505" s="63">
        <v>0</v>
      </c>
      <c r="CK505" s="1" t="s">
        <v>4056</v>
      </c>
    </row>
    <row r="506" spans="1:89" hidden="1" outlineLevel="1">
      <c r="A506" t="s">
        <v>2181</v>
      </c>
      <c r="B506" s="8" t="s">
        <v>1697</v>
      </c>
      <c r="C506" s="1">
        <f t="shared" si="141"/>
        <v>270</v>
      </c>
      <c r="D506" s="5">
        <f>IF(N506&gt;0, RANK(N506,(N506:P506,Q506:AE506)),0)</f>
        <v>1</v>
      </c>
      <c r="E506" s="5">
        <f>IF(O506&gt;0,RANK(O506,(N506:P506,Q506:AE506)),0)</f>
        <v>2</v>
      </c>
      <c r="F506" s="5">
        <f t="shared" si="146"/>
        <v>5</v>
      </c>
      <c r="G506" s="1">
        <f t="shared" si="147"/>
        <v>27</v>
      </c>
      <c r="H506" s="2">
        <f t="shared" si="148"/>
        <v>0.1</v>
      </c>
      <c r="I506" s="6"/>
      <c r="J506" s="2">
        <f t="shared" si="149"/>
        <v>0.50370370370370365</v>
      </c>
      <c r="K506" s="2">
        <f t="shared" si="150"/>
        <v>0.40370370370370373</v>
      </c>
      <c r="L506" s="2">
        <f t="shared" si="151"/>
        <v>3.7037037037037038E-3</v>
      </c>
      <c r="M506" s="2">
        <f t="shared" si="152"/>
        <v>8.8888888888888906E-2</v>
      </c>
      <c r="N506" s="63">
        <v>136</v>
      </c>
      <c r="O506" s="63">
        <v>109</v>
      </c>
      <c r="P506" s="63">
        <v>1</v>
      </c>
      <c r="Q506" s="63">
        <v>14</v>
      </c>
      <c r="R506" s="63">
        <v>10</v>
      </c>
      <c r="S506" s="63">
        <v>0</v>
      </c>
      <c r="T506" s="67"/>
      <c r="U506" s="63"/>
      <c r="V506" s="63"/>
      <c r="W506" s="63">
        <f t="shared" si="145"/>
        <v>0</v>
      </c>
      <c r="X506" s="63"/>
      <c r="Y506" s="63"/>
      <c r="Z506" s="63"/>
      <c r="AA506" s="63"/>
      <c r="AB506" s="63"/>
      <c r="AE506" s="8">
        <v>0</v>
      </c>
      <c r="AT506" t="str">
        <f t="shared" si="142"/>
        <v>Newry</v>
      </c>
      <c r="AU506" t="s">
        <v>2383</v>
      </c>
      <c r="AV506">
        <v>2</v>
      </c>
      <c r="AX506" s="114">
        <v>23</v>
      </c>
      <c r="AY506" s="116">
        <v>17</v>
      </c>
      <c r="AZ506" s="116">
        <v>100</v>
      </c>
      <c r="BA506" s="120">
        <v>49275</v>
      </c>
      <c r="BB506" s="120">
        <f t="shared" si="143"/>
        <v>23017</v>
      </c>
      <c r="BC506" t="s">
        <v>1472</v>
      </c>
      <c r="BD506">
        <f t="shared" si="144"/>
        <v>2349275</v>
      </c>
      <c r="BE506" s="1">
        <v>12</v>
      </c>
      <c r="BI506">
        <v>61.43</v>
      </c>
      <c r="BJ506">
        <v>0.03</v>
      </c>
      <c r="BK506">
        <v>61.4</v>
      </c>
      <c r="BS506" s="63">
        <v>0</v>
      </c>
      <c r="CK506" s="1" t="s">
        <v>4057</v>
      </c>
    </row>
    <row r="507" spans="1:89" hidden="1" outlineLevel="1">
      <c r="A507" t="s">
        <v>2993</v>
      </c>
      <c r="B507" s="8" t="s">
        <v>1697</v>
      </c>
      <c r="C507" s="1">
        <f t="shared" si="141"/>
        <v>1146</v>
      </c>
      <c r="D507" s="5">
        <f>IF(N507&gt;0, RANK(N507,(N507:P507,Q507:AE507)),0)</f>
        <v>1</v>
      </c>
      <c r="E507" s="5">
        <f>IF(O507&gt;0,RANK(O507,(N507:P507,Q507:AE507)),0)</f>
        <v>2</v>
      </c>
      <c r="F507" s="5">
        <f t="shared" si="146"/>
        <v>5</v>
      </c>
      <c r="G507" s="1">
        <f t="shared" si="147"/>
        <v>30</v>
      </c>
      <c r="H507" s="2">
        <f t="shared" si="148"/>
        <v>2.6178010471204188E-2</v>
      </c>
      <c r="I507" s="6"/>
      <c r="J507" s="2">
        <f t="shared" si="149"/>
        <v>0.4781849912739965</v>
      </c>
      <c r="K507" s="2">
        <f t="shared" si="150"/>
        <v>0.45200698080279234</v>
      </c>
      <c r="L507" s="2">
        <f t="shared" si="151"/>
        <v>6.9808027923211171E-3</v>
      </c>
      <c r="M507" s="2">
        <f t="shared" si="152"/>
        <v>6.2827225130890049E-2</v>
      </c>
      <c r="N507" s="63">
        <v>548</v>
      </c>
      <c r="O507" s="63">
        <v>518</v>
      </c>
      <c r="P507" s="63">
        <v>8</v>
      </c>
      <c r="Q507" s="63">
        <v>45</v>
      </c>
      <c r="R507" s="63">
        <v>26</v>
      </c>
      <c r="S507" s="63">
        <v>1</v>
      </c>
      <c r="T507" s="67"/>
      <c r="U507" s="63"/>
      <c r="V507" s="63"/>
      <c r="W507" s="63">
        <f t="shared" si="145"/>
        <v>0</v>
      </c>
      <c r="X507" s="63"/>
      <c r="Y507" s="63"/>
      <c r="Z507" s="63"/>
      <c r="AA507" s="63"/>
      <c r="AB507" s="63"/>
      <c r="AE507" s="8">
        <v>0</v>
      </c>
      <c r="AT507" t="str">
        <f t="shared" si="142"/>
        <v>Nobleboro</v>
      </c>
      <c r="AU507" t="s">
        <v>1597</v>
      </c>
      <c r="AV507">
        <v>1</v>
      </c>
      <c r="AX507" s="114">
        <v>23</v>
      </c>
      <c r="AY507" s="116">
        <v>15</v>
      </c>
      <c r="AZ507" s="116">
        <v>62</v>
      </c>
      <c r="BA507" s="120">
        <v>49660</v>
      </c>
      <c r="BB507" s="120">
        <f t="shared" si="143"/>
        <v>23015</v>
      </c>
      <c r="BC507" t="s">
        <v>1472</v>
      </c>
      <c r="BD507">
        <f t="shared" si="144"/>
        <v>2349660</v>
      </c>
      <c r="BE507" s="1">
        <v>30</v>
      </c>
      <c r="BI507">
        <v>23.33</v>
      </c>
      <c r="BJ507">
        <v>4.29</v>
      </c>
      <c r="BK507">
        <v>19.04</v>
      </c>
      <c r="BS507" s="63">
        <v>0</v>
      </c>
      <c r="CK507" s="1" t="s">
        <v>4058</v>
      </c>
    </row>
    <row r="508" spans="1:89" hidden="1" outlineLevel="1">
      <c r="A508" t="s">
        <v>3012</v>
      </c>
      <c r="B508" s="8" t="s">
        <v>1697</v>
      </c>
      <c r="C508" s="1">
        <f t="shared" si="141"/>
        <v>1788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 t="shared" si="146"/>
        <v>5</v>
      </c>
      <c r="G508" s="1">
        <f t="shared" si="147"/>
        <v>386</v>
      </c>
      <c r="H508" s="2">
        <f t="shared" si="148"/>
        <v>0.21588366890380314</v>
      </c>
      <c r="I508" s="6"/>
      <c r="J508" s="2">
        <f t="shared" si="149"/>
        <v>0.35570469798657717</v>
      </c>
      <c r="K508" s="2">
        <f t="shared" si="150"/>
        <v>0.57158836689038028</v>
      </c>
      <c r="L508" s="2">
        <f t="shared" si="151"/>
        <v>2.7964205816554811E-3</v>
      </c>
      <c r="M508" s="2">
        <f t="shared" si="152"/>
        <v>6.9910514541387012E-2</v>
      </c>
      <c r="N508" s="63">
        <v>636</v>
      </c>
      <c r="O508" s="63">
        <v>1022</v>
      </c>
      <c r="P508" s="63">
        <v>5</v>
      </c>
      <c r="Q508" s="63">
        <v>92</v>
      </c>
      <c r="R508" s="63">
        <v>32</v>
      </c>
      <c r="S508" s="63">
        <v>1</v>
      </c>
      <c r="T508" s="67"/>
      <c r="U508" s="63"/>
      <c r="V508" s="63"/>
      <c r="W508" s="63">
        <f t="shared" si="145"/>
        <v>0</v>
      </c>
      <c r="X508" s="63"/>
      <c r="Y508" s="63"/>
      <c r="Z508" s="63"/>
      <c r="AA508" s="63"/>
      <c r="AB508" s="63"/>
      <c r="AE508" s="8">
        <v>0</v>
      </c>
      <c r="AT508" t="str">
        <f t="shared" si="142"/>
        <v>Norridgewock</v>
      </c>
      <c r="AU508" t="s">
        <v>1787</v>
      </c>
      <c r="AV508">
        <v>2</v>
      </c>
      <c r="AX508" s="114">
        <v>23</v>
      </c>
      <c r="AY508" s="116">
        <v>25</v>
      </c>
      <c r="AZ508" s="116">
        <v>110</v>
      </c>
      <c r="BA508" s="120">
        <v>49835</v>
      </c>
      <c r="BB508" s="120">
        <f t="shared" si="143"/>
        <v>23025</v>
      </c>
      <c r="BC508" t="s">
        <v>1472</v>
      </c>
      <c r="BD508">
        <f t="shared" si="144"/>
        <v>2349835</v>
      </c>
      <c r="BE508" s="1">
        <v>52</v>
      </c>
      <c r="BI508">
        <v>51.11</v>
      </c>
      <c r="BJ508">
        <v>1.27</v>
      </c>
      <c r="BK508">
        <v>49.84</v>
      </c>
      <c r="BS508" s="63">
        <v>0</v>
      </c>
      <c r="CK508" s="1" t="s">
        <v>4059</v>
      </c>
    </row>
    <row r="509" spans="1:89" hidden="1" outlineLevel="1">
      <c r="A509" t="s">
        <v>2469</v>
      </c>
      <c r="B509" s="8" t="s">
        <v>1697</v>
      </c>
      <c r="C509" s="1">
        <f t="shared" si="141"/>
        <v>2814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 t="shared" si="146"/>
        <v>5</v>
      </c>
      <c r="G509" s="1">
        <f t="shared" si="147"/>
        <v>254</v>
      </c>
      <c r="H509" s="2">
        <f t="shared" si="148"/>
        <v>9.0262970859985789E-2</v>
      </c>
      <c r="I509" s="6"/>
      <c r="J509" s="2">
        <f t="shared" si="149"/>
        <v>0.41400142146410801</v>
      </c>
      <c r="K509" s="2">
        <f t="shared" si="150"/>
        <v>0.50426439232409381</v>
      </c>
      <c r="L509" s="2">
        <f t="shared" si="151"/>
        <v>2.1321961620469083E-3</v>
      </c>
      <c r="M509" s="2">
        <f t="shared" si="152"/>
        <v>7.960199004975127E-2</v>
      </c>
      <c r="N509" s="63">
        <v>1165</v>
      </c>
      <c r="O509" s="63">
        <v>1419</v>
      </c>
      <c r="P509" s="63">
        <v>6</v>
      </c>
      <c r="Q509" s="63">
        <v>153</v>
      </c>
      <c r="R509" s="63">
        <v>66</v>
      </c>
      <c r="S509" s="63">
        <v>5</v>
      </c>
      <c r="T509" s="67"/>
      <c r="U509" s="63"/>
      <c r="V509" s="63"/>
      <c r="W509" s="63">
        <f t="shared" si="145"/>
        <v>0</v>
      </c>
      <c r="X509" s="63"/>
      <c r="Y509" s="63"/>
      <c r="Z509" s="63"/>
      <c r="AA509" s="63"/>
      <c r="AB509" s="63"/>
      <c r="AE509" s="8">
        <v>0</v>
      </c>
      <c r="AT509" t="str">
        <f t="shared" si="142"/>
        <v>North Berwick</v>
      </c>
      <c r="AU509" t="s">
        <v>925</v>
      </c>
      <c r="AV509">
        <v>1</v>
      </c>
      <c r="AX509" s="114">
        <v>23</v>
      </c>
      <c r="AY509" s="116">
        <v>31</v>
      </c>
      <c r="AZ509" s="116">
        <v>95</v>
      </c>
      <c r="BA509" s="120">
        <v>50325</v>
      </c>
      <c r="BB509" s="120">
        <f t="shared" si="143"/>
        <v>23031</v>
      </c>
      <c r="BC509" t="s">
        <v>1472</v>
      </c>
      <c r="BD509">
        <f t="shared" si="144"/>
        <v>2350325</v>
      </c>
      <c r="BE509" s="1">
        <v>83</v>
      </c>
      <c r="BI509">
        <v>38.450000000000003</v>
      </c>
      <c r="BJ509">
        <v>0.14000000000000001</v>
      </c>
      <c r="BK509">
        <v>38.299999999999997</v>
      </c>
      <c r="BS509" s="63">
        <v>0</v>
      </c>
      <c r="CK509" s="1" t="s">
        <v>4060</v>
      </c>
    </row>
    <row r="510" spans="1:89" hidden="1" outlineLevel="1">
      <c r="A510" t="s">
        <v>2117</v>
      </c>
      <c r="B510" s="8" t="s">
        <v>1697</v>
      </c>
      <c r="C510" s="1">
        <f t="shared" si="141"/>
        <v>285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 t="shared" si="146"/>
        <v>0</v>
      </c>
      <c r="G510" s="1">
        <f t="shared" si="147"/>
        <v>122</v>
      </c>
      <c r="H510" s="2">
        <f t="shared" si="148"/>
        <v>0.42807017543859649</v>
      </c>
      <c r="I510" s="6"/>
      <c r="J510" s="2">
        <f t="shared" si="149"/>
        <v>0.66315789473684206</v>
      </c>
      <c r="K510" s="2">
        <f t="shared" si="150"/>
        <v>0.23508771929824562</v>
      </c>
      <c r="L510" s="2">
        <f t="shared" si="151"/>
        <v>0</v>
      </c>
      <c r="M510" s="2">
        <f t="shared" si="152"/>
        <v>0.10175438596491232</v>
      </c>
      <c r="N510" s="63">
        <v>189</v>
      </c>
      <c r="O510" s="63">
        <v>67</v>
      </c>
      <c r="P510" s="63">
        <v>0</v>
      </c>
      <c r="Q510" s="63">
        <v>18</v>
      </c>
      <c r="R510" s="63">
        <v>11</v>
      </c>
      <c r="S510" s="63">
        <v>0</v>
      </c>
      <c r="T510" s="67"/>
      <c r="U510" s="63"/>
      <c r="V510" s="63"/>
      <c r="W510" s="63">
        <f t="shared" si="145"/>
        <v>0</v>
      </c>
      <c r="X510" s="63"/>
      <c r="Y510" s="63"/>
      <c r="Z510" s="63"/>
      <c r="AA510" s="63"/>
      <c r="AB510" s="63"/>
      <c r="AE510" s="8">
        <v>0</v>
      </c>
      <c r="AT510" t="str">
        <f t="shared" si="142"/>
        <v>North Haven</v>
      </c>
      <c r="AU510" t="s">
        <v>1729</v>
      </c>
      <c r="AV510">
        <v>1</v>
      </c>
      <c r="AX510" s="114">
        <v>23</v>
      </c>
      <c r="AY510" s="116">
        <v>13</v>
      </c>
      <c r="AZ510" s="116">
        <v>40</v>
      </c>
      <c r="BA510" s="120">
        <v>51620</v>
      </c>
      <c r="BB510" s="120">
        <f t="shared" si="143"/>
        <v>23013</v>
      </c>
      <c r="BC510" t="s">
        <v>1472</v>
      </c>
      <c r="BD510">
        <f t="shared" si="144"/>
        <v>2351620</v>
      </c>
      <c r="BE510" s="1">
        <v>16</v>
      </c>
      <c r="BI510">
        <v>82.49</v>
      </c>
      <c r="BJ510">
        <v>70.849999999999994</v>
      </c>
      <c r="BK510">
        <v>11.64</v>
      </c>
      <c r="BS510" s="63">
        <v>0</v>
      </c>
      <c r="CK510" s="1" t="s">
        <v>4061</v>
      </c>
    </row>
    <row r="511" spans="1:89" hidden="1" outlineLevel="1">
      <c r="A511" t="s">
        <v>2293</v>
      </c>
      <c r="B511" s="8" t="s">
        <v>1697</v>
      </c>
      <c r="C511" s="1">
        <f t="shared" si="141"/>
        <v>2572</v>
      </c>
      <c r="D511" s="5">
        <f>IF(N511&gt;0, RANK(N511,(N511:P511,Q511:AE511)),0)</f>
        <v>1</v>
      </c>
      <c r="E511" s="5">
        <f>IF(O511&gt;0,RANK(O511,(N511:P511,Q511:AE511)),0)</f>
        <v>2</v>
      </c>
      <c r="F511" s="5">
        <f t="shared" si="146"/>
        <v>5</v>
      </c>
      <c r="G511" s="1">
        <f t="shared" si="147"/>
        <v>571</v>
      </c>
      <c r="H511" s="2">
        <f t="shared" si="148"/>
        <v>0.22200622083981336</v>
      </c>
      <c r="I511" s="6"/>
      <c r="J511" s="2">
        <f t="shared" si="149"/>
        <v>0.5804821150855366</v>
      </c>
      <c r="K511" s="2">
        <f t="shared" si="150"/>
        <v>0.35847589424572318</v>
      </c>
      <c r="L511" s="2">
        <f t="shared" si="151"/>
        <v>1.5552099533437014E-3</v>
      </c>
      <c r="M511" s="2">
        <f t="shared" si="152"/>
        <v>5.9486780715396516E-2</v>
      </c>
      <c r="N511" s="63">
        <v>1493</v>
      </c>
      <c r="O511" s="63">
        <v>922</v>
      </c>
      <c r="P511" s="63">
        <v>4</v>
      </c>
      <c r="Q511" s="63">
        <v>118</v>
      </c>
      <c r="R511" s="63">
        <v>35</v>
      </c>
      <c r="S511" s="63">
        <v>0</v>
      </c>
      <c r="T511" s="67"/>
      <c r="U511" s="63"/>
      <c r="V511" s="63"/>
      <c r="W511" s="63">
        <f t="shared" si="145"/>
        <v>0</v>
      </c>
      <c r="X511" s="63"/>
      <c r="Y511" s="63"/>
      <c r="Z511" s="63"/>
      <c r="AA511" s="63"/>
      <c r="AB511" s="63"/>
      <c r="AE511" s="8">
        <v>0</v>
      </c>
      <c r="AT511" t="str">
        <f t="shared" si="142"/>
        <v>North Yarmouth</v>
      </c>
      <c r="AU511" t="s">
        <v>1531</v>
      </c>
      <c r="AV511">
        <v>1</v>
      </c>
      <c r="AX511" s="114">
        <v>23</v>
      </c>
      <c r="AY511" s="116">
        <v>5</v>
      </c>
      <c r="AZ511" s="116">
        <v>75</v>
      </c>
      <c r="BA511" s="120">
        <v>53860</v>
      </c>
      <c r="BB511" s="120">
        <f t="shared" si="143"/>
        <v>23005</v>
      </c>
      <c r="BC511" t="s">
        <v>1472</v>
      </c>
      <c r="BD511">
        <f t="shared" si="144"/>
        <v>2353860</v>
      </c>
      <c r="BE511" s="1">
        <v>84</v>
      </c>
      <c r="BI511">
        <v>21.33</v>
      </c>
      <c r="BJ511">
        <v>0.19</v>
      </c>
      <c r="BK511">
        <v>21.14</v>
      </c>
      <c r="BS511" s="63">
        <v>0</v>
      </c>
      <c r="CK511" s="1" t="s">
        <v>4062</v>
      </c>
    </row>
    <row r="512" spans="1:89" hidden="1" outlineLevel="1">
      <c r="A512" t="s">
        <v>2829</v>
      </c>
      <c r="B512" s="8" t="s">
        <v>1697</v>
      </c>
      <c r="C512" s="1">
        <f t="shared" si="141"/>
        <v>107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 t="shared" si="146"/>
        <v>0</v>
      </c>
      <c r="G512" s="1">
        <f t="shared" si="147"/>
        <v>27</v>
      </c>
      <c r="H512" s="2">
        <f t="shared" si="148"/>
        <v>0.25233644859813081</v>
      </c>
      <c r="I512" s="6"/>
      <c r="J512" s="2">
        <f t="shared" si="149"/>
        <v>0.35514018691588783</v>
      </c>
      <c r="K512" s="2">
        <f t="shared" si="150"/>
        <v>0.60747663551401865</v>
      </c>
      <c r="L512" s="2">
        <f t="shared" si="151"/>
        <v>0</v>
      </c>
      <c r="M512" s="2">
        <f t="shared" si="152"/>
        <v>3.7383177570093462E-2</v>
      </c>
      <c r="N512" s="63">
        <v>38</v>
      </c>
      <c r="O512" s="63">
        <v>65</v>
      </c>
      <c r="P512" s="63">
        <v>0</v>
      </c>
      <c r="Q512" s="63">
        <v>2</v>
      </c>
      <c r="R512" s="63">
        <v>2</v>
      </c>
      <c r="S512" s="63">
        <v>0</v>
      </c>
      <c r="T512" s="67"/>
      <c r="U512" s="63"/>
      <c r="V512" s="63"/>
      <c r="W512" s="63">
        <f t="shared" si="145"/>
        <v>0</v>
      </c>
      <c r="X512" s="63"/>
      <c r="Y512" s="63"/>
      <c r="Z512" s="63"/>
      <c r="AA512" s="63"/>
      <c r="AB512" s="63"/>
      <c r="AE512" s="8">
        <v>0</v>
      </c>
      <c r="AT512" t="str">
        <f t="shared" si="142"/>
        <v>Northfield</v>
      </c>
      <c r="AU512" t="s">
        <v>692</v>
      </c>
      <c r="AV512">
        <v>2</v>
      </c>
      <c r="AX512" s="114">
        <v>23</v>
      </c>
      <c r="AY512" s="116">
        <v>29</v>
      </c>
      <c r="AZ512" s="116">
        <v>155</v>
      </c>
      <c r="BA512" s="120">
        <v>51375</v>
      </c>
      <c r="BB512" s="120">
        <f t="shared" si="143"/>
        <v>23029</v>
      </c>
      <c r="BC512" t="s">
        <v>1472</v>
      </c>
      <c r="BD512">
        <f t="shared" si="144"/>
        <v>2351375</v>
      </c>
      <c r="BE512" s="1">
        <v>1</v>
      </c>
      <c r="BI512">
        <v>45.98</v>
      </c>
      <c r="BJ512">
        <v>2.3199999999999998</v>
      </c>
      <c r="BK512">
        <v>43.66</v>
      </c>
      <c r="BS512" s="63">
        <v>0</v>
      </c>
      <c r="CK512" s="1" t="s">
        <v>4063</v>
      </c>
    </row>
    <row r="513" spans="1:89" hidden="1" outlineLevel="1">
      <c r="A513" t="s">
        <v>2765</v>
      </c>
      <c r="B513" s="8" t="s">
        <v>1697</v>
      </c>
      <c r="C513" s="1">
        <f t="shared" si="141"/>
        <v>1004</v>
      </c>
      <c r="D513" s="5">
        <f>IF(N513&gt;0, RANK(N513,(N513:P513,Q513:AE513)),0)</f>
        <v>1</v>
      </c>
      <c r="E513" s="5">
        <f>IF(O513&gt;0,RANK(O513,(N513:P513,Q513:AE513)),0)</f>
        <v>2</v>
      </c>
      <c r="F513" s="5">
        <f t="shared" si="146"/>
        <v>5</v>
      </c>
      <c r="G513" s="1">
        <f t="shared" si="147"/>
        <v>120</v>
      </c>
      <c r="H513" s="2">
        <f t="shared" si="148"/>
        <v>0.11952191235059761</v>
      </c>
      <c r="I513" s="6"/>
      <c r="J513" s="2">
        <f t="shared" si="149"/>
        <v>0.52589641434262946</v>
      </c>
      <c r="K513" s="2">
        <f t="shared" si="150"/>
        <v>0.4063745019920319</v>
      </c>
      <c r="L513" s="2">
        <f t="shared" si="151"/>
        <v>3.9840637450199202E-3</v>
      </c>
      <c r="M513" s="2">
        <f t="shared" si="152"/>
        <v>6.3745019920318724E-2</v>
      </c>
      <c r="N513" s="63">
        <v>528</v>
      </c>
      <c r="O513" s="63">
        <v>408</v>
      </c>
      <c r="P513" s="63">
        <v>4</v>
      </c>
      <c r="Q513" s="63">
        <v>48</v>
      </c>
      <c r="R513" s="63">
        <v>16</v>
      </c>
      <c r="S513" s="63">
        <v>0</v>
      </c>
      <c r="T513" s="67"/>
      <c r="U513" s="63"/>
      <c r="V513" s="63"/>
      <c r="W513" s="63">
        <f t="shared" si="145"/>
        <v>0</v>
      </c>
      <c r="X513" s="63"/>
      <c r="Y513" s="63"/>
      <c r="Z513" s="63"/>
      <c r="AA513" s="63"/>
      <c r="AB513" s="63"/>
      <c r="AE513" s="8">
        <v>0</v>
      </c>
      <c r="AT513" t="str">
        <f t="shared" si="142"/>
        <v>Northport</v>
      </c>
      <c r="AU513" t="s">
        <v>217</v>
      </c>
      <c r="AV513">
        <v>2</v>
      </c>
      <c r="AX513" s="114">
        <v>23</v>
      </c>
      <c r="AY513" s="116">
        <v>27</v>
      </c>
      <c r="AZ513" s="116">
        <v>75</v>
      </c>
      <c r="BA513" s="120">
        <v>52845</v>
      </c>
      <c r="BB513" s="120">
        <f t="shared" si="143"/>
        <v>23027</v>
      </c>
      <c r="BC513" t="s">
        <v>1472</v>
      </c>
      <c r="BD513">
        <f t="shared" si="144"/>
        <v>2352845</v>
      </c>
      <c r="BE513" s="1">
        <v>33</v>
      </c>
      <c r="BI513">
        <v>34.44</v>
      </c>
      <c r="BJ513">
        <v>10.78</v>
      </c>
      <c r="BK513">
        <v>23.66</v>
      </c>
      <c r="BS513" s="63">
        <v>0</v>
      </c>
      <c r="CK513" s="1" t="s">
        <v>4064</v>
      </c>
    </row>
    <row r="514" spans="1:89" hidden="1" outlineLevel="1">
      <c r="A514" t="s">
        <v>1977</v>
      </c>
      <c r="B514" s="8" t="s">
        <v>1697</v>
      </c>
      <c r="C514" s="1">
        <f t="shared" si="141"/>
        <v>2578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 t="shared" si="146"/>
        <v>5</v>
      </c>
      <c r="G514" s="1">
        <f t="shared" si="147"/>
        <v>257</v>
      </c>
      <c r="H514" s="2">
        <f t="shared" si="148"/>
        <v>9.9689681923972068E-2</v>
      </c>
      <c r="I514" s="6"/>
      <c r="J514" s="2">
        <f t="shared" si="149"/>
        <v>0.40961986035686576</v>
      </c>
      <c r="K514" s="2">
        <f t="shared" si="150"/>
        <v>0.50930954228083791</v>
      </c>
      <c r="L514" s="2">
        <f t="shared" si="151"/>
        <v>5.0426687354538403E-3</v>
      </c>
      <c r="M514" s="2">
        <f t="shared" si="152"/>
        <v>7.6027928626842545E-2</v>
      </c>
      <c r="N514" s="63">
        <v>1056</v>
      </c>
      <c r="O514" s="63">
        <v>1313</v>
      </c>
      <c r="P514" s="63">
        <v>13</v>
      </c>
      <c r="Q514" s="63">
        <v>152</v>
      </c>
      <c r="R514" s="63">
        <v>36</v>
      </c>
      <c r="S514" s="63">
        <v>8</v>
      </c>
      <c r="T514" s="67"/>
      <c r="U514" s="63"/>
      <c r="V514" s="63"/>
      <c r="W514" s="63">
        <f t="shared" si="145"/>
        <v>0</v>
      </c>
      <c r="X514" s="63"/>
      <c r="Y514" s="63"/>
      <c r="Z514" s="63"/>
      <c r="AA514" s="63"/>
      <c r="AB514" s="63"/>
      <c r="AE514" s="8">
        <v>0</v>
      </c>
      <c r="AT514" t="str">
        <f t="shared" si="142"/>
        <v>Norway</v>
      </c>
      <c r="AU514" t="s">
        <v>2383</v>
      </c>
      <c r="AV514">
        <v>2</v>
      </c>
      <c r="AX514" s="114">
        <v>23</v>
      </c>
      <c r="AY514" s="116">
        <v>17</v>
      </c>
      <c r="AZ514" s="116">
        <v>105</v>
      </c>
      <c r="BA514" s="120">
        <v>54000</v>
      </c>
      <c r="BB514" s="120">
        <f t="shared" si="143"/>
        <v>23017</v>
      </c>
      <c r="BC514" t="s">
        <v>1472</v>
      </c>
      <c r="BD514">
        <f t="shared" si="144"/>
        <v>2354000</v>
      </c>
      <c r="BE514" s="1">
        <v>115</v>
      </c>
      <c r="BI514">
        <v>47.48</v>
      </c>
      <c r="BJ514">
        <v>2.39</v>
      </c>
      <c r="BK514">
        <v>45.09</v>
      </c>
      <c r="BS514" s="63">
        <v>0</v>
      </c>
      <c r="CK514" s="1" t="s">
        <v>4065</v>
      </c>
    </row>
    <row r="515" spans="1:89" hidden="1" outlineLevel="1">
      <c r="A515" s="34" t="s">
        <v>1519</v>
      </c>
      <c r="B515" s="8" t="s">
        <v>1697</v>
      </c>
      <c r="C515" s="1">
        <f t="shared" si="141"/>
        <v>0</v>
      </c>
      <c r="D515" s="5">
        <f>IF(N515&gt;0, RANK(N515,(N515:P515,Q515:AE515)),0)</f>
        <v>0</v>
      </c>
      <c r="E515" s="5">
        <f>IF(O515&gt;0,RANK(O515,(N515:P515,Q515:AE515)),0)</f>
        <v>0</v>
      </c>
      <c r="F515" s="5">
        <f t="shared" si="146"/>
        <v>0</v>
      </c>
      <c r="G515" s="1">
        <f t="shared" si="147"/>
        <v>0</v>
      </c>
      <c r="H515" s="2">
        <f t="shared" si="148"/>
        <v>0</v>
      </c>
      <c r="I515" s="6"/>
      <c r="J515" s="2" t="str">
        <f t="shared" si="149"/>
        <v>-</v>
      </c>
      <c r="K515" s="2" t="str">
        <f t="shared" si="150"/>
        <v>-</v>
      </c>
      <c r="L515" s="2" t="str">
        <f t="shared" si="151"/>
        <v>-</v>
      </c>
      <c r="M515" s="2" t="str">
        <f t="shared" si="152"/>
        <v>-</v>
      </c>
      <c r="N515" s="63"/>
      <c r="O515" s="63"/>
      <c r="P515" s="63"/>
      <c r="Q515" s="63"/>
      <c r="R515" s="63"/>
      <c r="S515" s="63"/>
      <c r="T515" s="67"/>
      <c r="U515" s="63"/>
      <c r="V515" s="63"/>
      <c r="W515" s="63">
        <f t="shared" si="145"/>
        <v>0</v>
      </c>
      <c r="X515" s="63"/>
      <c r="Y515" s="63"/>
      <c r="Z515" s="63"/>
      <c r="AA515" s="63"/>
      <c r="AB515" s="63"/>
      <c r="AT515" t="str">
        <f t="shared" si="142"/>
        <v>No. 27</v>
      </c>
      <c r="AU515" t="s">
        <v>692</v>
      </c>
      <c r="AV515">
        <v>2</v>
      </c>
      <c r="AX515" s="114">
        <v>23</v>
      </c>
      <c r="AY515" s="116">
        <v>29</v>
      </c>
      <c r="BA515" s="120">
        <v>54300</v>
      </c>
      <c r="BB515" s="120">
        <f t="shared" si="143"/>
        <v>23029</v>
      </c>
      <c r="BC515" t="s">
        <v>957</v>
      </c>
      <c r="BD515">
        <f t="shared" si="144"/>
        <v>2354300</v>
      </c>
      <c r="BS515" s="63"/>
      <c r="CK515" s="1"/>
    </row>
    <row r="516" spans="1:89" hidden="1" outlineLevel="1">
      <c r="A516" t="s">
        <v>2746</v>
      </c>
      <c r="B516" s="8" t="s">
        <v>1697</v>
      </c>
      <c r="C516" s="1">
        <f t="shared" si="141"/>
        <v>381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 t="shared" si="146"/>
        <v>5</v>
      </c>
      <c r="G516" s="1">
        <f t="shared" si="147"/>
        <v>152</v>
      </c>
      <c r="H516" s="2">
        <f t="shared" si="148"/>
        <v>0.39895013123359579</v>
      </c>
      <c r="I516" s="6"/>
      <c r="J516" s="2">
        <f t="shared" si="149"/>
        <v>0.26771653543307089</v>
      </c>
      <c r="K516" s="2">
        <f t="shared" si="150"/>
        <v>0.66666666666666663</v>
      </c>
      <c r="L516" s="2">
        <f t="shared" si="151"/>
        <v>5.2493438320209973E-3</v>
      </c>
      <c r="M516" s="2">
        <f t="shared" si="152"/>
        <v>6.0367454068241538E-2</v>
      </c>
      <c r="N516" s="63">
        <v>102</v>
      </c>
      <c r="O516" s="63">
        <v>254</v>
      </c>
      <c r="P516" s="63">
        <v>2</v>
      </c>
      <c r="Q516" s="63">
        <v>16</v>
      </c>
      <c r="R516" s="63">
        <v>7</v>
      </c>
      <c r="S516" s="63">
        <v>0</v>
      </c>
      <c r="T516" s="67"/>
      <c r="U516" s="63"/>
      <c r="V516" s="63"/>
      <c r="W516" s="63">
        <f t="shared" si="145"/>
        <v>0</v>
      </c>
      <c r="X516" s="63"/>
      <c r="Y516" s="63"/>
      <c r="Z516" s="63"/>
      <c r="AA516" s="63"/>
      <c r="AB516" s="63"/>
      <c r="AE516" s="8">
        <v>0</v>
      </c>
      <c r="AT516" t="str">
        <f t="shared" si="142"/>
        <v>Oakfield</v>
      </c>
      <c r="AU516" t="s">
        <v>2830</v>
      </c>
      <c r="AV516">
        <v>2</v>
      </c>
      <c r="AX516" s="114">
        <v>23</v>
      </c>
      <c r="AY516" s="116">
        <v>3</v>
      </c>
      <c r="AZ516" s="116">
        <v>240</v>
      </c>
      <c r="BA516" s="120">
        <v>54385</v>
      </c>
      <c r="BB516" s="120">
        <f t="shared" si="143"/>
        <v>23003</v>
      </c>
      <c r="BC516" t="s">
        <v>1472</v>
      </c>
      <c r="BD516">
        <f t="shared" si="144"/>
        <v>2354385</v>
      </c>
      <c r="BE516" s="1">
        <v>11</v>
      </c>
      <c r="BI516">
        <v>36.090000000000003</v>
      </c>
      <c r="BJ516">
        <v>0.8</v>
      </c>
      <c r="BK516">
        <v>35.29</v>
      </c>
      <c r="BS516" s="63">
        <v>0</v>
      </c>
      <c r="CK516" s="1" t="s">
        <v>4066</v>
      </c>
    </row>
    <row r="517" spans="1:89" hidden="1" outlineLevel="1">
      <c r="A517" t="s">
        <v>2857</v>
      </c>
      <c r="B517" s="8" t="s">
        <v>1697</v>
      </c>
      <c r="C517" s="1">
        <f t="shared" si="141"/>
        <v>3464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 t="shared" si="146"/>
        <v>5</v>
      </c>
      <c r="G517" s="1">
        <f t="shared" si="147"/>
        <v>273</v>
      </c>
      <c r="H517" s="2">
        <f t="shared" si="148"/>
        <v>7.8810623556581985E-2</v>
      </c>
      <c r="I517" s="6"/>
      <c r="J517" s="2">
        <f t="shared" si="149"/>
        <v>0.41628175519630484</v>
      </c>
      <c r="K517" s="2">
        <f t="shared" si="150"/>
        <v>0.49509237875288686</v>
      </c>
      <c r="L517" s="2">
        <f t="shared" si="151"/>
        <v>3.1755196304849883E-3</v>
      </c>
      <c r="M517" s="2">
        <f t="shared" si="152"/>
        <v>8.5450346420323314E-2</v>
      </c>
      <c r="N517" s="63">
        <v>1442</v>
      </c>
      <c r="O517" s="63">
        <v>1715</v>
      </c>
      <c r="P517" s="63">
        <v>11</v>
      </c>
      <c r="Q517" s="63">
        <v>232</v>
      </c>
      <c r="R517" s="63">
        <v>64</v>
      </c>
      <c r="S517" s="63">
        <v>0</v>
      </c>
      <c r="T517" s="67"/>
      <c r="U517" s="63"/>
      <c r="V517" s="63"/>
      <c r="W517" s="63">
        <f t="shared" si="145"/>
        <v>0</v>
      </c>
      <c r="X517" s="63"/>
      <c r="Y517" s="63"/>
      <c r="Z517" s="63"/>
      <c r="AA517" s="63"/>
      <c r="AB517" s="63"/>
      <c r="AE517" s="8">
        <v>0</v>
      </c>
      <c r="AT517" t="str">
        <f t="shared" si="142"/>
        <v>Oakland</v>
      </c>
      <c r="AU517" t="s">
        <v>3007</v>
      </c>
      <c r="AV517">
        <v>2</v>
      </c>
      <c r="AX517" s="114">
        <v>23</v>
      </c>
      <c r="AY517" s="116">
        <v>11</v>
      </c>
      <c r="AZ517" s="116">
        <v>80</v>
      </c>
      <c r="BA517" s="120">
        <v>54560</v>
      </c>
      <c r="BB517" s="120">
        <f t="shared" si="143"/>
        <v>23011</v>
      </c>
      <c r="BC517" t="s">
        <v>1472</v>
      </c>
      <c r="BD517">
        <f t="shared" si="144"/>
        <v>2354560</v>
      </c>
      <c r="BE517" s="1">
        <v>132</v>
      </c>
      <c r="BI517">
        <v>28.21</v>
      </c>
      <c r="BJ517">
        <v>2.4700000000000002</v>
      </c>
      <c r="BK517">
        <v>25.74</v>
      </c>
      <c r="BS517" s="63">
        <v>0</v>
      </c>
      <c r="CK517" s="1" t="s">
        <v>4067</v>
      </c>
    </row>
    <row r="518" spans="1:89" hidden="1" outlineLevel="1">
      <c r="A518" t="s">
        <v>1792</v>
      </c>
      <c r="B518" s="8" t="s">
        <v>1697</v>
      </c>
      <c r="C518" s="1">
        <f t="shared" si="141"/>
        <v>884</v>
      </c>
      <c r="D518" s="5">
        <f>IF(N518&gt;0, RANK(N518,(N518:P518,Q518:AE518)),0)</f>
        <v>1</v>
      </c>
      <c r="E518" s="5">
        <f>IF(O518&gt;0,RANK(O518,(N518:P518,Q518:AE518)),0)</f>
        <v>2</v>
      </c>
      <c r="F518" s="5">
        <f t="shared" si="146"/>
        <v>0</v>
      </c>
      <c r="G518" s="1">
        <f t="shared" si="147"/>
        <v>278</v>
      </c>
      <c r="H518" s="2">
        <f t="shared" si="148"/>
        <v>0.31447963800904977</v>
      </c>
      <c r="I518" s="6"/>
      <c r="J518" s="2">
        <f t="shared" si="149"/>
        <v>0.63800904977375561</v>
      </c>
      <c r="K518" s="2">
        <f t="shared" si="150"/>
        <v>0.3235294117647059</v>
      </c>
      <c r="L518" s="2">
        <f t="shared" si="151"/>
        <v>0</v>
      </c>
      <c r="M518" s="2">
        <f t="shared" si="152"/>
        <v>3.8461538461538491E-2</v>
      </c>
      <c r="N518" s="63">
        <v>564</v>
      </c>
      <c r="O518" s="63">
        <v>286</v>
      </c>
      <c r="P518" s="63">
        <v>0</v>
      </c>
      <c r="Q518" s="63">
        <v>24</v>
      </c>
      <c r="R518" s="63">
        <v>10</v>
      </c>
      <c r="S518" s="63">
        <v>0</v>
      </c>
      <c r="T518" s="67"/>
      <c r="U518" s="63"/>
      <c r="V518" s="63"/>
      <c r="W518" s="63">
        <f t="shared" si="145"/>
        <v>0</v>
      </c>
      <c r="X518" s="63"/>
      <c r="Y518" s="63"/>
      <c r="Z518" s="63"/>
      <c r="AA518" s="63"/>
      <c r="AB518" s="63"/>
      <c r="AE518" s="8">
        <v>0</v>
      </c>
      <c r="AT518" t="str">
        <f t="shared" si="142"/>
        <v>Ogunquit</v>
      </c>
      <c r="AU518" t="s">
        <v>925</v>
      </c>
      <c r="AV518">
        <v>1</v>
      </c>
      <c r="AX518" s="114">
        <v>23</v>
      </c>
      <c r="AY518" s="116">
        <v>31</v>
      </c>
      <c r="AZ518" s="116">
        <v>97</v>
      </c>
      <c r="BA518" s="120">
        <v>54980</v>
      </c>
      <c r="BB518" s="120">
        <f t="shared" si="143"/>
        <v>23031</v>
      </c>
      <c r="BC518" t="s">
        <v>1472</v>
      </c>
      <c r="BD518">
        <f t="shared" si="144"/>
        <v>2354980</v>
      </c>
      <c r="BE518" s="1">
        <v>37</v>
      </c>
      <c r="BI518">
        <v>4.29</v>
      </c>
      <c r="BJ518">
        <v>0.19</v>
      </c>
      <c r="BK518">
        <v>4.0999999999999996</v>
      </c>
      <c r="BS518" s="63">
        <v>0</v>
      </c>
      <c r="CK518" s="1" t="s">
        <v>4068</v>
      </c>
    </row>
    <row r="519" spans="1:89" hidden="1" outlineLevel="1">
      <c r="A519" t="s">
        <v>2228</v>
      </c>
      <c r="B519" s="8" t="s">
        <v>1697</v>
      </c>
      <c r="C519" s="1">
        <f t="shared" si="141"/>
        <v>5437</v>
      </c>
      <c r="D519" s="5">
        <f>IF(N519&gt;0, RANK(N519,(N519:P519,Q519:AE519)),0)</f>
        <v>1</v>
      </c>
      <c r="E519" s="5">
        <f>IF(O519&gt;0,RANK(O519,(N519:P519,Q519:AE519)),0)</f>
        <v>2</v>
      </c>
      <c r="F519" s="5">
        <f t="shared" si="146"/>
        <v>6</v>
      </c>
      <c r="G519" s="1">
        <f t="shared" si="147"/>
        <v>831</v>
      </c>
      <c r="H519" s="2">
        <f t="shared" si="148"/>
        <v>0.15284164061063085</v>
      </c>
      <c r="I519" s="6"/>
      <c r="J519" s="2">
        <f t="shared" si="149"/>
        <v>0.54772852676108152</v>
      </c>
      <c r="K519" s="2">
        <f t="shared" si="150"/>
        <v>0.39488688615045059</v>
      </c>
      <c r="L519" s="2">
        <f t="shared" si="151"/>
        <v>1.839249586168843E-4</v>
      </c>
      <c r="M519" s="2">
        <f t="shared" si="152"/>
        <v>5.7200662129851004E-2</v>
      </c>
      <c r="N519" s="63">
        <v>2978</v>
      </c>
      <c r="O519" s="63">
        <v>2147</v>
      </c>
      <c r="P519" s="63">
        <v>1</v>
      </c>
      <c r="Q519" s="63">
        <v>223</v>
      </c>
      <c r="R519" s="63">
        <v>86</v>
      </c>
      <c r="S519" s="63">
        <v>2</v>
      </c>
      <c r="T519" s="67"/>
      <c r="U519" s="63"/>
      <c r="V519" s="63"/>
      <c r="W519" s="63">
        <f t="shared" si="145"/>
        <v>0</v>
      </c>
      <c r="X519" s="63"/>
      <c r="Y519" s="63"/>
      <c r="Z519" s="63"/>
      <c r="AA519" s="63"/>
      <c r="AB519" s="63"/>
      <c r="AE519" s="8">
        <v>0</v>
      </c>
      <c r="AT519" t="str">
        <f t="shared" si="142"/>
        <v>Old Orchard Beach</v>
      </c>
      <c r="AU519" t="s">
        <v>925</v>
      </c>
      <c r="AV519">
        <v>1</v>
      </c>
      <c r="AX519" s="114">
        <v>23</v>
      </c>
      <c r="AY519" s="116">
        <v>31</v>
      </c>
      <c r="AZ519" s="116">
        <v>100</v>
      </c>
      <c r="BA519" s="120">
        <v>55085</v>
      </c>
      <c r="BB519" s="120">
        <f t="shared" si="143"/>
        <v>23031</v>
      </c>
      <c r="BC519" t="s">
        <v>1472</v>
      </c>
      <c r="BD519">
        <f t="shared" si="144"/>
        <v>2355085</v>
      </c>
      <c r="BE519" s="1">
        <v>162</v>
      </c>
      <c r="BI519">
        <v>7.55</v>
      </c>
      <c r="BJ519">
        <v>0.1</v>
      </c>
      <c r="BK519">
        <v>7.45</v>
      </c>
      <c r="BS519" s="63">
        <v>0</v>
      </c>
      <c r="CK519" s="1" t="s">
        <v>4069</v>
      </c>
    </row>
    <row r="520" spans="1:89" hidden="1" outlineLevel="1">
      <c r="A520" t="s">
        <v>2109</v>
      </c>
      <c r="B520" s="8" t="s">
        <v>1697</v>
      </c>
      <c r="C520" s="1">
        <f t="shared" si="141"/>
        <v>3887</v>
      </c>
      <c r="D520" s="5">
        <f>IF(N520&gt;0, RANK(N520,(N520:P520,Q520:AE520)),0)</f>
        <v>1</v>
      </c>
      <c r="E520" s="5">
        <f>IF(O520&gt;0,RANK(O520,(N520:P520,Q520:AE520)),0)</f>
        <v>2</v>
      </c>
      <c r="F520" s="5">
        <f t="shared" si="146"/>
        <v>5</v>
      </c>
      <c r="G520" s="1">
        <f t="shared" si="147"/>
        <v>515</v>
      </c>
      <c r="H520" s="2">
        <f t="shared" si="148"/>
        <v>0.13249292513506561</v>
      </c>
      <c r="I520" s="6"/>
      <c r="J520" s="2">
        <f t="shared" si="149"/>
        <v>0.52199639825057886</v>
      </c>
      <c r="K520" s="2">
        <f t="shared" si="150"/>
        <v>0.38950347311551325</v>
      </c>
      <c r="L520" s="2">
        <f t="shared" si="151"/>
        <v>2.3154103421661951E-3</v>
      </c>
      <c r="M520" s="2">
        <f t="shared" si="152"/>
        <v>8.618471829174168E-2</v>
      </c>
      <c r="N520" s="63">
        <v>2029</v>
      </c>
      <c r="O520" s="63">
        <v>1514</v>
      </c>
      <c r="P520" s="63">
        <v>9</v>
      </c>
      <c r="Q520" s="63">
        <v>245</v>
      </c>
      <c r="R520" s="63">
        <v>90</v>
      </c>
      <c r="S520" s="63">
        <v>0</v>
      </c>
      <c r="T520" s="67"/>
      <c r="U520" s="63"/>
      <c r="V520" s="63"/>
      <c r="W520" s="63">
        <f t="shared" si="145"/>
        <v>0</v>
      </c>
      <c r="X520" s="63"/>
      <c r="Y520" s="63"/>
      <c r="Z520" s="63"/>
      <c r="AA520" s="63"/>
      <c r="AB520" s="63"/>
      <c r="AE520" s="8">
        <v>0</v>
      </c>
      <c r="AT520" t="str">
        <f t="shared" si="142"/>
        <v>Old Town</v>
      </c>
      <c r="AU520" t="s">
        <v>2481</v>
      </c>
      <c r="AV520">
        <v>2</v>
      </c>
      <c r="AX520" s="114">
        <v>23</v>
      </c>
      <c r="AY520" s="116">
        <v>19</v>
      </c>
      <c r="AZ520" s="116">
        <v>240</v>
      </c>
      <c r="BA520" s="120">
        <v>55225</v>
      </c>
      <c r="BB520" s="120">
        <f t="shared" si="143"/>
        <v>23019</v>
      </c>
      <c r="BC520" t="s">
        <v>1249</v>
      </c>
      <c r="BD520">
        <f t="shared" si="144"/>
        <v>2355225</v>
      </c>
      <c r="BE520" s="1">
        <v>128</v>
      </c>
      <c r="BI520">
        <v>42.67</v>
      </c>
      <c r="BJ520">
        <v>4.37</v>
      </c>
      <c r="BK520">
        <v>38.29</v>
      </c>
      <c r="BS520" s="63">
        <v>0</v>
      </c>
      <c r="CK520" s="1" t="s">
        <v>4070</v>
      </c>
    </row>
    <row r="521" spans="1:89" hidden="1" outlineLevel="1">
      <c r="A521" t="s">
        <v>2110</v>
      </c>
      <c r="B521" s="8" t="s">
        <v>1697</v>
      </c>
      <c r="C521" s="1">
        <f t="shared" si="141"/>
        <v>84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 t="shared" si="146"/>
        <v>0</v>
      </c>
      <c r="G521" s="1">
        <f t="shared" si="147"/>
        <v>56</v>
      </c>
      <c r="H521" s="2">
        <f t="shared" si="148"/>
        <v>0.66666666666666663</v>
      </c>
      <c r="I521" s="6"/>
      <c r="J521" s="2">
        <f t="shared" si="149"/>
        <v>0.15476190476190477</v>
      </c>
      <c r="K521" s="2">
        <f t="shared" si="150"/>
        <v>0.8214285714285714</v>
      </c>
      <c r="L521" s="2">
        <f t="shared" si="151"/>
        <v>0</v>
      </c>
      <c r="M521" s="2">
        <f t="shared" si="152"/>
        <v>2.3809523809523836E-2</v>
      </c>
      <c r="N521" s="63">
        <v>13</v>
      </c>
      <c r="O521" s="63">
        <v>69</v>
      </c>
      <c r="P521" s="63">
        <v>0</v>
      </c>
      <c r="Q521" s="63">
        <v>1</v>
      </c>
      <c r="R521" s="63">
        <v>1</v>
      </c>
      <c r="S521" s="63">
        <v>0</v>
      </c>
      <c r="T521" s="67"/>
      <c r="U521" s="63"/>
      <c r="V521" s="63"/>
      <c r="W521" s="63">
        <f t="shared" si="145"/>
        <v>0</v>
      </c>
      <c r="X521" s="63"/>
      <c r="Y521" s="63"/>
      <c r="Z521" s="63"/>
      <c r="AA521" s="63"/>
      <c r="AB521" s="63"/>
      <c r="AE521" s="8">
        <v>0</v>
      </c>
      <c r="AT521" t="str">
        <f t="shared" si="142"/>
        <v>Orient</v>
      </c>
      <c r="AU521" t="s">
        <v>2830</v>
      </c>
      <c r="AV521">
        <v>2</v>
      </c>
      <c r="AX521" s="114">
        <v>23</v>
      </c>
      <c r="AY521" s="116">
        <v>3</v>
      </c>
      <c r="AZ521" s="116">
        <v>245</v>
      </c>
      <c r="BA521" s="120">
        <v>55435</v>
      </c>
      <c r="BB521" s="120">
        <f t="shared" si="143"/>
        <v>23003</v>
      </c>
      <c r="BC521" t="s">
        <v>1472</v>
      </c>
      <c r="BD521">
        <f t="shared" si="144"/>
        <v>2355435</v>
      </c>
      <c r="BE521" s="1">
        <v>5</v>
      </c>
      <c r="BI521">
        <v>37.880000000000003</v>
      </c>
      <c r="BJ521">
        <v>2.12</v>
      </c>
      <c r="BK521">
        <v>35.770000000000003</v>
      </c>
      <c r="BS521" s="63">
        <v>0</v>
      </c>
      <c r="CK521" s="1" t="s">
        <v>4071</v>
      </c>
    </row>
    <row r="522" spans="1:89" hidden="1" outlineLevel="1">
      <c r="A522" t="s">
        <v>2805</v>
      </c>
      <c r="B522" s="8" t="s">
        <v>1697</v>
      </c>
      <c r="C522" s="1">
        <f t="shared" si="141"/>
        <v>1377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 t="shared" si="146"/>
        <v>0</v>
      </c>
      <c r="G522" s="1">
        <f t="shared" si="147"/>
        <v>28</v>
      </c>
      <c r="H522" s="2">
        <f t="shared" si="148"/>
        <v>2.0334059549745823E-2</v>
      </c>
      <c r="I522" s="6"/>
      <c r="J522" s="2">
        <f t="shared" si="149"/>
        <v>0.45243282498184462</v>
      </c>
      <c r="K522" s="2">
        <f t="shared" si="150"/>
        <v>0.47276688453159044</v>
      </c>
      <c r="L522" s="2">
        <f t="shared" si="151"/>
        <v>0</v>
      </c>
      <c r="M522" s="2">
        <f t="shared" si="152"/>
        <v>7.4800290486565002E-2</v>
      </c>
      <c r="N522" s="63">
        <v>623</v>
      </c>
      <c r="O522" s="63">
        <v>651</v>
      </c>
      <c r="P522" s="63">
        <v>0</v>
      </c>
      <c r="Q522" s="63">
        <v>72</v>
      </c>
      <c r="R522" s="63">
        <v>31</v>
      </c>
      <c r="S522" s="63">
        <v>0</v>
      </c>
      <c r="T522" s="67"/>
      <c r="U522" s="63"/>
      <c r="V522" s="63"/>
      <c r="W522" s="63">
        <f t="shared" si="145"/>
        <v>0</v>
      </c>
      <c r="X522" s="63"/>
      <c r="Y522" s="63"/>
      <c r="Z522" s="63"/>
      <c r="AA522" s="63"/>
      <c r="AB522" s="63"/>
      <c r="AE522" s="8">
        <v>0</v>
      </c>
      <c r="AT522" t="str">
        <f t="shared" si="142"/>
        <v>Orland</v>
      </c>
      <c r="AU522" t="s">
        <v>597</v>
      </c>
      <c r="AV522">
        <v>2</v>
      </c>
      <c r="AX522" s="114">
        <v>23</v>
      </c>
      <c r="AY522" s="116">
        <v>9</v>
      </c>
      <c r="AZ522" s="116">
        <v>105</v>
      </c>
      <c r="BA522" s="120">
        <v>55505</v>
      </c>
      <c r="BB522" s="120">
        <f t="shared" si="143"/>
        <v>23009</v>
      </c>
      <c r="BC522" t="s">
        <v>1472</v>
      </c>
      <c r="BD522">
        <f t="shared" si="144"/>
        <v>2355505</v>
      </c>
      <c r="BE522" s="1">
        <v>25</v>
      </c>
      <c r="BI522">
        <v>52.46</v>
      </c>
      <c r="BJ522">
        <v>5.6</v>
      </c>
      <c r="BK522">
        <v>46.87</v>
      </c>
      <c r="BS522" s="63">
        <v>0</v>
      </c>
      <c r="CK522" s="1" t="s">
        <v>4072</v>
      </c>
    </row>
    <row r="523" spans="1:89" hidden="1" outlineLevel="1">
      <c r="A523" t="s">
        <v>3246</v>
      </c>
      <c r="B523" s="8" t="s">
        <v>1697</v>
      </c>
      <c r="C523" s="1">
        <f t="shared" si="141"/>
        <v>0</v>
      </c>
      <c r="D523" s="5">
        <f>IF(N523&gt;0, RANK(N523,(N523:P523,Q523:AE523)),0)</f>
        <v>0</v>
      </c>
      <c r="E523" s="5">
        <f>IF(O523&gt;0,RANK(O523,(N523:P523,Q523:AE523)),0)</f>
        <v>0</v>
      </c>
      <c r="F523" s="5">
        <f t="shared" si="146"/>
        <v>0</v>
      </c>
      <c r="G523" s="1">
        <f t="shared" si="147"/>
        <v>0</v>
      </c>
      <c r="H523" s="2">
        <f t="shared" si="148"/>
        <v>0</v>
      </c>
      <c r="I523" s="6"/>
      <c r="J523" s="2" t="str">
        <f t="shared" si="149"/>
        <v>-</v>
      </c>
      <c r="K523" s="2" t="str">
        <f t="shared" si="150"/>
        <v>-</v>
      </c>
      <c r="L523" s="2" t="str">
        <f t="shared" si="151"/>
        <v>-</v>
      </c>
      <c r="M523" s="2" t="str">
        <f t="shared" si="152"/>
        <v>-</v>
      </c>
      <c r="N523" s="63"/>
      <c r="O523" s="63"/>
      <c r="P523" s="63"/>
      <c r="Q523" s="63"/>
      <c r="R523" s="63"/>
      <c r="S523" s="63"/>
      <c r="T523" s="67"/>
      <c r="U523" s="63"/>
      <c r="V523" s="63"/>
      <c r="W523" s="63">
        <f t="shared" si="145"/>
        <v>0</v>
      </c>
      <c r="X523" s="63"/>
      <c r="Y523" s="63"/>
      <c r="Z523" s="63"/>
      <c r="AA523" s="63"/>
      <c r="AB523" s="63"/>
      <c r="AT523" t="str">
        <f t="shared" si="142"/>
        <v>Orneville</v>
      </c>
      <c r="AU523" t="s">
        <v>1957</v>
      </c>
      <c r="AV523">
        <v>2</v>
      </c>
      <c r="AX523" s="114">
        <v>23</v>
      </c>
      <c r="AY523" s="116">
        <v>21</v>
      </c>
      <c r="BA523" s="142">
        <v>55550</v>
      </c>
      <c r="BB523" s="120">
        <f t="shared" si="143"/>
        <v>23021</v>
      </c>
      <c r="BC523" t="s">
        <v>957</v>
      </c>
      <c r="BD523">
        <f t="shared" si="144"/>
        <v>2355550</v>
      </c>
      <c r="BS523" s="63"/>
      <c r="CK523" s="1"/>
    </row>
    <row r="524" spans="1:89" hidden="1" outlineLevel="1">
      <c r="A524" t="s">
        <v>1363</v>
      </c>
      <c r="B524" s="8" t="s">
        <v>1697</v>
      </c>
      <c r="C524" s="1">
        <f t="shared" si="141"/>
        <v>5365</v>
      </c>
      <c r="D524" s="5">
        <f>IF(N524&gt;0, RANK(N524,(N524:P524,Q524:AE524)),0)</f>
        <v>1</v>
      </c>
      <c r="E524" s="5">
        <f>IF(O524&gt;0,RANK(O524,(N524:P524,Q524:AE524)),0)</f>
        <v>2</v>
      </c>
      <c r="F524" s="5">
        <f t="shared" si="146"/>
        <v>5</v>
      </c>
      <c r="G524" s="1">
        <f t="shared" si="147"/>
        <v>1975</v>
      </c>
      <c r="H524" s="2">
        <f t="shared" si="148"/>
        <v>0.36812674743709228</v>
      </c>
      <c r="I524" s="6"/>
      <c r="J524" s="2">
        <f t="shared" si="149"/>
        <v>0.63746505125815467</v>
      </c>
      <c r="K524" s="2">
        <f t="shared" si="150"/>
        <v>0.26933830382106244</v>
      </c>
      <c r="L524" s="2">
        <f t="shared" si="151"/>
        <v>3.9142590866728796E-3</v>
      </c>
      <c r="M524" s="2">
        <f t="shared" si="152"/>
        <v>8.9282385834110009E-2</v>
      </c>
      <c r="N524" s="63">
        <v>3420</v>
      </c>
      <c r="O524" s="63">
        <v>1445</v>
      </c>
      <c r="P524" s="63">
        <v>21</v>
      </c>
      <c r="Q524" s="63">
        <v>364</v>
      </c>
      <c r="R524" s="63">
        <v>115</v>
      </c>
      <c r="S524" s="63">
        <v>0</v>
      </c>
      <c r="T524" s="67"/>
      <c r="U524" s="63"/>
      <c r="V524" s="63"/>
      <c r="W524" s="63">
        <f t="shared" si="145"/>
        <v>0</v>
      </c>
      <c r="X524" s="63"/>
      <c r="Y524" s="63"/>
      <c r="Z524" s="63"/>
      <c r="AA524" s="63"/>
      <c r="AB524" s="63"/>
      <c r="AE524" s="8">
        <v>0</v>
      </c>
      <c r="AT524" t="str">
        <f t="shared" si="142"/>
        <v>Orono</v>
      </c>
      <c r="AU524" t="s">
        <v>2481</v>
      </c>
      <c r="AV524">
        <v>2</v>
      </c>
      <c r="AX524" s="114">
        <v>23</v>
      </c>
      <c r="AY524" s="116">
        <v>19</v>
      </c>
      <c r="AZ524" s="116">
        <v>245</v>
      </c>
      <c r="BA524" s="120">
        <v>55565</v>
      </c>
      <c r="BB524" s="120">
        <f t="shared" si="143"/>
        <v>23019</v>
      </c>
      <c r="BC524" t="s">
        <v>1472</v>
      </c>
      <c r="BD524">
        <f t="shared" si="144"/>
        <v>2355565</v>
      </c>
      <c r="BE524" s="1">
        <v>191</v>
      </c>
      <c r="BI524">
        <v>19.78</v>
      </c>
      <c r="BJ524">
        <v>1.57</v>
      </c>
      <c r="BK524">
        <v>18.21</v>
      </c>
      <c r="BS524" s="63">
        <v>0</v>
      </c>
      <c r="CK524" s="1" t="s">
        <v>4073</v>
      </c>
    </row>
    <row r="525" spans="1:89" hidden="1" outlineLevel="1">
      <c r="A525" t="s">
        <v>3031</v>
      </c>
      <c r="B525" s="8" t="s">
        <v>1697</v>
      </c>
      <c r="C525" s="1">
        <f t="shared" si="141"/>
        <v>2360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 t="shared" si="146"/>
        <v>5</v>
      </c>
      <c r="G525" s="1">
        <f t="shared" si="147"/>
        <v>444</v>
      </c>
      <c r="H525" s="2">
        <f t="shared" si="148"/>
        <v>0.18813559322033899</v>
      </c>
      <c r="I525" s="6"/>
      <c r="J525" s="2">
        <f t="shared" si="149"/>
        <v>0.36822033898305084</v>
      </c>
      <c r="K525" s="2">
        <f t="shared" si="150"/>
        <v>0.55635593220338986</v>
      </c>
      <c r="L525" s="2">
        <f t="shared" si="151"/>
        <v>3.8135593220338985E-3</v>
      </c>
      <c r="M525" s="2">
        <f t="shared" si="152"/>
        <v>7.1610169491525405E-2</v>
      </c>
      <c r="N525" s="63">
        <v>869</v>
      </c>
      <c r="O525" s="63">
        <v>1313</v>
      </c>
      <c r="P525" s="63">
        <v>9</v>
      </c>
      <c r="Q525" s="63">
        <v>131</v>
      </c>
      <c r="R525" s="63">
        <v>38</v>
      </c>
      <c r="S525" s="63">
        <v>0</v>
      </c>
      <c r="T525" s="67"/>
      <c r="U525" s="63"/>
      <c r="V525" s="63"/>
      <c r="W525" s="63">
        <f t="shared" si="145"/>
        <v>0</v>
      </c>
      <c r="X525" s="63"/>
      <c r="Y525" s="63"/>
      <c r="Z525" s="63"/>
      <c r="AA525" s="63"/>
      <c r="AB525" s="63"/>
      <c r="AE525" s="8">
        <v>0</v>
      </c>
      <c r="AT525" t="str">
        <f t="shared" si="142"/>
        <v>Orrington</v>
      </c>
      <c r="AU525" t="s">
        <v>2481</v>
      </c>
      <c r="AV525">
        <v>2</v>
      </c>
      <c r="AX525" s="114">
        <v>23</v>
      </c>
      <c r="AY525" s="116">
        <v>19</v>
      </c>
      <c r="AZ525" s="116">
        <v>250</v>
      </c>
      <c r="BA525" s="120">
        <v>55680</v>
      </c>
      <c r="BB525" s="120">
        <f t="shared" si="143"/>
        <v>23019</v>
      </c>
      <c r="BC525" t="s">
        <v>1472</v>
      </c>
      <c r="BD525">
        <f t="shared" si="144"/>
        <v>2355680</v>
      </c>
      <c r="BE525" s="1">
        <v>55</v>
      </c>
      <c r="BI525">
        <v>27.49</v>
      </c>
      <c r="BJ525">
        <v>2.1</v>
      </c>
      <c r="BK525">
        <v>25.39</v>
      </c>
      <c r="BS525" s="63">
        <v>0</v>
      </c>
      <c r="CK525" s="1" t="s">
        <v>4074</v>
      </c>
    </row>
    <row r="526" spans="1:89" hidden="1" outlineLevel="1">
      <c r="A526" t="s">
        <v>2684</v>
      </c>
      <c r="B526" s="8" t="s">
        <v>1697</v>
      </c>
      <c r="C526" s="1">
        <f t="shared" si="141"/>
        <v>41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 t="shared" si="146"/>
        <v>0</v>
      </c>
      <c r="G526" s="1">
        <f t="shared" si="147"/>
        <v>12</v>
      </c>
      <c r="H526" s="2">
        <f t="shared" si="148"/>
        <v>0.29268292682926828</v>
      </c>
      <c r="I526" s="6"/>
      <c r="J526" s="2">
        <f t="shared" si="149"/>
        <v>0.34146341463414637</v>
      </c>
      <c r="K526" s="2">
        <f t="shared" si="150"/>
        <v>0.63414634146341464</v>
      </c>
      <c r="L526" s="2">
        <f t="shared" si="151"/>
        <v>0</v>
      </c>
      <c r="M526" s="2">
        <f t="shared" si="152"/>
        <v>2.4390243902438935E-2</v>
      </c>
      <c r="N526" s="63">
        <v>14</v>
      </c>
      <c r="O526" s="63">
        <v>26</v>
      </c>
      <c r="P526" s="63">
        <v>0</v>
      </c>
      <c r="Q526" s="63">
        <v>1</v>
      </c>
      <c r="R526" s="63">
        <v>0</v>
      </c>
      <c r="S526" s="63">
        <v>0</v>
      </c>
      <c r="T526" s="67"/>
      <c r="U526" s="63"/>
      <c r="V526" s="63"/>
      <c r="W526" s="63">
        <f t="shared" si="145"/>
        <v>0</v>
      </c>
      <c r="X526" s="63"/>
      <c r="Y526" s="63"/>
      <c r="Z526" s="63"/>
      <c r="AA526" s="63"/>
      <c r="AB526" s="63"/>
      <c r="AE526" s="8">
        <v>0</v>
      </c>
      <c r="AT526" t="str">
        <f t="shared" si="142"/>
        <v>Osborn</v>
      </c>
      <c r="AU526" t="s">
        <v>597</v>
      </c>
      <c r="AV526">
        <v>2</v>
      </c>
      <c r="AX526" s="114">
        <v>23</v>
      </c>
      <c r="AY526" s="116">
        <v>9</v>
      </c>
      <c r="AZ526" s="116">
        <v>110</v>
      </c>
      <c r="BA526" s="120">
        <v>55855</v>
      </c>
      <c r="BB526" s="120">
        <f t="shared" si="143"/>
        <v>23009</v>
      </c>
      <c r="BC526" t="s">
        <v>1472</v>
      </c>
      <c r="BD526">
        <f t="shared" si="144"/>
        <v>2355855</v>
      </c>
      <c r="BE526" s="1">
        <v>0</v>
      </c>
      <c r="BI526">
        <v>38.4</v>
      </c>
      <c r="BJ526">
        <v>2.84</v>
      </c>
      <c r="BK526">
        <v>35.56</v>
      </c>
      <c r="BS526" s="63">
        <v>0</v>
      </c>
      <c r="CK526" s="1" t="s">
        <v>4075</v>
      </c>
    </row>
    <row r="527" spans="1:89" hidden="1" outlineLevel="1">
      <c r="A527" t="s">
        <v>3011</v>
      </c>
      <c r="B527" s="8" t="s">
        <v>1697</v>
      </c>
      <c r="C527" s="1">
        <f t="shared" si="141"/>
        <v>427</v>
      </c>
      <c r="D527" s="5">
        <f>IF(N527&gt;0, RANK(N527,(N527:P527,Q527:AE527)),0)</f>
        <v>2</v>
      </c>
      <c r="E527" s="5">
        <f>IF(O527&gt;0,RANK(O527,(N527:P527,Q527:AE527)),0)</f>
        <v>1</v>
      </c>
      <c r="F527" s="5">
        <f t="shared" si="146"/>
        <v>5</v>
      </c>
      <c r="G527" s="1">
        <f t="shared" si="147"/>
        <v>123</v>
      </c>
      <c r="H527" s="2">
        <f t="shared" si="148"/>
        <v>0.28805620608899296</v>
      </c>
      <c r="I527" s="6"/>
      <c r="J527" s="2">
        <f t="shared" si="149"/>
        <v>0.32084309133489464</v>
      </c>
      <c r="K527" s="2">
        <f t="shared" si="150"/>
        <v>0.6088992974238876</v>
      </c>
      <c r="L527" s="2">
        <f t="shared" si="151"/>
        <v>4.6838407494145199E-3</v>
      </c>
      <c r="M527" s="2">
        <f t="shared" si="152"/>
        <v>6.557377049180324E-2</v>
      </c>
      <c r="N527" s="63">
        <v>137</v>
      </c>
      <c r="O527" s="63">
        <v>260</v>
      </c>
      <c r="P527" s="63">
        <v>2</v>
      </c>
      <c r="Q527" s="63">
        <v>25</v>
      </c>
      <c r="R527" s="63">
        <v>3</v>
      </c>
      <c r="S527" s="63">
        <v>0</v>
      </c>
      <c r="T527" s="67"/>
      <c r="U527" s="63"/>
      <c r="V527" s="63"/>
      <c r="W527" s="63">
        <f t="shared" si="145"/>
        <v>0</v>
      </c>
      <c r="X527" s="63"/>
      <c r="Y527" s="63"/>
      <c r="Z527" s="63"/>
      <c r="AA527" s="63"/>
      <c r="AB527" s="63"/>
      <c r="AE527" s="8">
        <v>0</v>
      </c>
      <c r="AT527" t="str">
        <f t="shared" si="142"/>
        <v>Otis</v>
      </c>
      <c r="AU527" t="s">
        <v>597</v>
      </c>
      <c r="AV527">
        <v>2</v>
      </c>
      <c r="AX527" s="114">
        <v>23</v>
      </c>
      <c r="AY527" s="116">
        <v>9</v>
      </c>
      <c r="AZ527" s="116">
        <v>115</v>
      </c>
      <c r="BA527" s="120">
        <v>55890</v>
      </c>
      <c r="BB527" s="120">
        <f t="shared" si="143"/>
        <v>23009</v>
      </c>
      <c r="BC527" t="s">
        <v>1472</v>
      </c>
      <c r="BD527">
        <f t="shared" si="144"/>
        <v>2355890</v>
      </c>
      <c r="BE527" s="1">
        <v>22</v>
      </c>
      <c r="BI527">
        <v>28.78</v>
      </c>
      <c r="BJ527">
        <v>3.84</v>
      </c>
      <c r="BK527">
        <v>24.93</v>
      </c>
      <c r="BS527" s="63">
        <v>0</v>
      </c>
      <c r="CK527" s="1" t="s">
        <v>4076</v>
      </c>
    </row>
    <row r="528" spans="1:89" hidden="1" outlineLevel="1">
      <c r="A528" t="s">
        <v>1458</v>
      </c>
      <c r="B528" s="8" t="s">
        <v>1697</v>
      </c>
      <c r="C528" s="1">
        <f t="shared" si="141"/>
        <v>1065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 t="shared" si="146"/>
        <v>0</v>
      </c>
      <c r="G528" s="1">
        <f t="shared" si="147"/>
        <v>137</v>
      </c>
      <c r="H528" s="2">
        <f t="shared" si="148"/>
        <v>0.12863849765258217</v>
      </c>
      <c r="I528" s="6"/>
      <c r="J528" s="2">
        <f t="shared" si="149"/>
        <v>0.39718309859154932</v>
      </c>
      <c r="K528" s="2">
        <f t="shared" si="150"/>
        <v>0.5258215962441315</v>
      </c>
      <c r="L528" s="2">
        <f t="shared" si="151"/>
        <v>0</v>
      </c>
      <c r="M528" s="2">
        <f t="shared" si="152"/>
        <v>7.6995305164319183E-2</v>
      </c>
      <c r="N528" s="63">
        <v>423</v>
      </c>
      <c r="O528" s="63">
        <v>560</v>
      </c>
      <c r="P528" s="63">
        <v>0</v>
      </c>
      <c r="Q528" s="63">
        <v>60</v>
      </c>
      <c r="R528" s="63">
        <v>22</v>
      </c>
      <c r="S528" s="63">
        <v>0</v>
      </c>
      <c r="T528" s="67"/>
      <c r="U528" s="63"/>
      <c r="V528" s="63"/>
      <c r="W528" s="63">
        <f t="shared" si="145"/>
        <v>0</v>
      </c>
      <c r="X528" s="63"/>
      <c r="Y528" s="63"/>
      <c r="Z528" s="63"/>
      <c r="AA528" s="63"/>
      <c r="AB528" s="63"/>
      <c r="AE528" s="8">
        <v>0</v>
      </c>
      <c r="AT528" t="str">
        <f t="shared" si="142"/>
        <v>Otisfield</v>
      </c>
      <c r="AU528" t="s">
        <v>2383</v>
      </c>
      <c r="AV528">
        <v>2</v>
      </c>
      <c r="AX528" s="114">
        <v>23</v>
      </c>
      <c r="AY528" s="116">
        <v>17</v>
      </c>
      <c r="AZ528" s="116">
        <v>108</v>
      </c>
      <c r="BA528" s="120">
        <v>55960</v>
      </c>
      <c r="BB528" s="120">
        <f t="shared" si="143"/>
        <v>23017</v>
      </c>
      <c r="BC528" t="s">
        <v>1472</v>
      </c>
      <c r="BD528">
        <f t="shared" si="144"/>
        <v>2355960</v>
      </c>
      <c r="BE528" s="1">
        <v>29</v>
      </c>
      <c r="BI528">
        <v>44.29</v>
      </c>
      <c r="BJ528">
        <v>4.33</v>
      </c>
      <c r="BK528">
        <v>39.96</v>
      </c>
      <c r="BS528" s="63">
        <v>0</v>
      </c>
      <c r="CK528" s="1" t="s">
        <v>4077</v>
      </c>
    </row>
    <row r="529" spans="1:89" hidden="1" outlineLevel="1">
      <c r="A529" t="s">
        <v>2639</v>
      </c>
      <c r="B529" s="8" t="s">
        <v>1697</v>
      </c>
      <c r="C529" s="1">
        <f t="shared" si="141"/>
        <v>999</v>
      </c>
      <c r="D529" s="5">
        <f>IF(N529&gt;0, RANK(N529,(N529:P529,Q529:AE529)),0)</f>
        <v>1</v>
      </c>
      <c r="E529" s="5">
        <f>IF(O529&gt;0,RANK(O529,(N529:P529,Q529:AE529)),0)</f>
        <v>2</v>
      </c>
      <c r="F529" s="5">
        <f t="shared" si="146"/>
        <v>5</v>
      </c>
      <c r="G529" s="1">
        <f t="shared" si="147"/>
        <v>65</v>
      </c>
      <c r="H529" s="2">
        <f t="shared" si="148"/>
        <v>6.506506506506507E-2</v>
      </c>
      <c r="I529" s="6"/>
      <c r="J529" s="2">
        <f t="shared" si="149"/>
        <v>0.49649649649649652</v>
      </c>
      <c r="K529" s="2">
        <f t="shared" si="150"/>
        <v>0.43143143143143142</v>
      </c>
      <c r="L529" s="2">
        <f t="shared" si="151"/>
        <v>1.001001001001001E-3</v>
      </c>
      <c r="M529" s="2">
        <f t="shared" si="152"/>
        <v>7.1071071071071051E-2</v>
      </c>
      <c r="N529" s="63">
        <v>496</v>
      </c>
      <c r="O529" s="63">
        <v>431</v>
      </c>
      <c r="P529" s="63">
        <v>1</v>
      </c>
      <c r="Q529" s="63">
        <v>35</v>
      </c>
      <c r="R529" s="63">
        <v>36</v>
      </c>
      <c r="S529" s="63">
        <v>0</v>
      </c>
      <c r="T529" s="67"/>
      <c r="U529" s="63"/>
      <c r="V529" s="63"/>
      <c r="W529" s="63">
        <f t="shared" si="145"/>
        <v>0</v>
      </c>
      <c r="X529" s="63"/>
      <c r="Y529" s="63"/>
      <c r="Z529" s="63"/>
      <c r="AA529" s="63"/>
      <c r="AB529" s="63"/>
      <c r="AE529" s="8">
        <v>0</v>
      </c>
      <c r="AT529" t="str">
        <f t="shared" si="142"/>
        <v>Owl's Head</v>
      </c>
      <c r="AU529" t="s">
        <v>1729</v>
      </c>
      <c r="AV529">
        <v>1</v>
      </c>
      <c r="AX529" s="114">
        <v>23</v>
      </c>
      <c r="AY529" s="116">
        <v>13</v>
      </c>
      <c r="AZ529" s="116">
        <v>45</v>
      </c>
      <c r="BA529" s="120">
        <v>56135</v>
      </c>
      <c r="BB529" s="120">
        <f t="shared" si="143"/>
        <v>23013</v>
      </c>
      <c r="BC529" t="s">
        <v>1472</v>
      </c>
      <c r="BD529">
        <f t="shared" si="144"/>
        <v>2356135</v>
      </c>
      <c r="BE529" s="1">
        <v>39</v>
      </c>
      <c r="BI529">
        <v>19.600000000000001</v>
      </c>
      <c r="BJ529">
        <v>10.71</v>
      </c>
      <c r="BK529">
        <v>8.89</v>
      </c>
      <c r="BS529" s="63">
        <v>0</v>
      </c>
      <c r="CK529" s="1" t="s">
        <v>4078</v>
      </c>
    </row>
    <row r="530" spans="1:89" hidden="1" outlineLevel="1">
      <c r="A530" t="s">
        <v>116</v>
      </c>
      <c r="B530" s="8" t="s">
        <v>1697</v>
      </c>
      <c r="C530" s="1">
        <f t="shared" si="141"/>
        <v>37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 t="shared" si="146"/>
        <v>0</v>
      </c>
      <c r="G530" s="1">
        <f t="shared" si="147"/>
        <v>15</v>
      </c>
      <c r="H530" s="2">
        <f t="shared" si="148"/>
        <v>0.40540540540540543</v>
      </c>
      <c r="I530" s="6"/>
      <c r="J530" s="2">
        <f t="shared" si="149"/>
        <v>0.27027027027027029</v>
      </c>
      <c r="K530" s="2">
        <f t="shared" si="150"/>
        <v>0.67567567567567566</v>
      </c>
      <c r="L530" s="2">
        <f t="shared" si="151"/>
        <v>0</v>
      </c>
      <c r="M530" s="2">
        <f t="shared" si="152"/>
        <v>5.4054054054054057E-2</v>
      </c>
      <c r="N530" s="63">
        <v>10</v>
      </c>
      <c r="O530" s="63">
        <v>25</v>
      </c>
      <c r="P530" s="63">
        <v>0</v>
      </c>
      <c r="Q530" s="63">
        <v>1</v>
      </c>
      <c r="R530" s="63">
        <v>1</v>
      </c>
      <c r="S530" s="63">
        <v>0</v>
      </c>
      <c r="T530" s="67"/>
      <c r="U530" s="63"/>
      <c r="V530" s="63"/>
      <c r="W530" s="63">
        <f t="shared" si="145"/>
        <v>0</v>
      </c>
      <c r="X530" s="63"/>
      <c r="Y530" s="63"/>
      <c r="Z530" s="63"/>
      <c r="AA530" s="63"/>
      <c r="AB530" s="63"/>
      <c r="AE530" s="8">
        <v>0</v>
      </c>
      <c r="AT530" t="str">
        <f t="shared" si="142"/>
        <v>Oxbow</v>
      </c>
      <c r="AU530" t="s">
        <v>2830</v>
      </c>
      <c r="AV530">
        <v>2</v>
      </c>
      <c r="AX530" s="114">
        <v>23</v>
      </c>
      <c r="AY530" s="116">
        <v>3</v>
      </c>
      <c r="AZ530" s="116">
        <v>250</v>
      </c>
      <c r="BA530" s="120">
        <v>56205</v>
      </c>
      <c r="BB530" s="120">
        <f t="shared" si="143"/>
        <v>23003</v>
      </c>
      <c r="BC530" t="s">
        <v>3075</v>
      </c>
      <c r="BD530">
        <f t="shared" si="144"/>
        <v>2356205</v>
      </c>
      <c r="BE530" s="1">
        <v>1</v>
      </c>
      <c r="BI530">
        <v>38.24</v>
      </c>
      <c r="BJ530">
        <v>0.47</v>
      </c>
      <c r="BK530">
        <v>37.770000000000003</v>
      </c>
      <c r="BS530" s="63">
        <v>0</v>
      </c>
      <c r="CK530" s="1" t="s">
        <v>4079</v>
      </c>
    </row>
    <row r="531" spans="1:89" hidden="1" outlineLevel="1">
      <c r="A531" t="s">
        <v>2383</v>
      </c>
      <c r="B531" s="8" t="s">
        <v>1697</v>
      </c>
      <c r="C531" s="1">
        <f t="shared" si="141"/>
        <v>2160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 t="shared" si="146"/>
        <v>5</v>
      </c>
      <c r="G531" s="1">
        <f t="shared" si="147"/>
        <v>576</v>
      </c>
      <c r="H531" s="2">
        <f t="shared" si="148"/>
        <v>0.26666666666666666</v>
      </c>
      <c r="I531" s="6"/>
      <c r="J531" s="2">
        <f t="shared" si="149"/>
        <v>0.3212962962962963</v>
      </c>
      <c r="K531" s="2">
        <f t="shared" si="150"/>
        <v>0.58796296296296291</v>
      </c>
      <c r="L531" s="2">
        <f t="shared" si="151"/>
        <v>2.7777777777777779E-3</v>
      </c>
      <c r="M531" s="2">
        <f t="shared" si="152"/>
        <v>8.7962962962963007E-2</v>
      </c>
      <c r="N531" s="63">
        <v>694</v>
      </c>
      <c r="O531" s="63">
        <v>1270</v>
      </c>
      <c r="P531" s="63">
        <v>6</v>
      </c>
      <c r="Q531" s="63">
        <v>150</v>
      </c>
      <c r="R531" s="63">
        <v>39</v>
      </c>
      <c r="S531" s="63">
        <v>1</v>
      </c>
      <c r="T531" s="67"/>
      <c r="U531" s="63"/>
      <c r="V531" s="63"/>
      <c r="W531" s="63">
        <f t="shared" si="145"/>
        <v>0</v>
      </c>
      <c r="X531" s="63"/>
      <c r="Y531" s="63"/>
      <c r="Z531" s="63"/>
      <c r="AA531" s="63"/>
      <c r="AB531" s="63"/>
      <c r="AE531" s="8">
        <v>0</v>
      </c>
      <c r="AT531" t="str">
        <f t="shared" si="142"/>
        <v>Oxford</v>
      </c>
      <c r="AU531" t="s">
        <v>2383</v>
      </c>
      <c r="AV531">
        <v>2</v>
      </c>
      <c r="AX531" s="114">
        <v>23</v>
      </c>
      <c r="AY531" s="116">
        <v>17</v>
      </c>
      <c r="AZ531" s="116">
        <v>110</v>
      </c>
      <c r="BA531" s="120">
        <v>56310</v>
      </c>
      <c r="BB531" s="120">
        <f t="shared" si="143"/>
        <v>23017</v>
      </c>
      <c r="BC531" t="s">
        <v>1472</v>
      </c>
      <c r="BD531">
        <f t="shared" si="144"/>
        <v>2356310</v>
      </c>
      <c r="BE531" s="1">
        <v>70</v>
      </c>
      <c r="BI531">
        <v>41.85</v>
      </c>
      <c r="BJ531">
        <v>3.14</v>
      </c>
      <c r="BK531">
        <v>38.71</v>
      </c>
      <c r="BS531" s="63">
        <v>0</v>
      </c>
      <c r="CK531" s="1" t="s">
        <v>4080</v>
      </c>
    </row>
    <row r="532" spans="1:89" hidden="1" outlineLevel="1">
      <c r="A532" t="s">
        <v>473</v>
      </c>
      <c r="B532" s="8" t="s">
        <v>1697</v>
      </c>
      <c r="C532" s="1">
        <f t="shared" si="141"/>
        <v>859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 t="shared" ref="F532:F563" si="153">IF(P532&gt;0,RANK(P532,(N532:AE532)),0)</f>
        <v>5</v>
      </c>
      <c r="G532" s="1">
        <f t="shared" ref="G532:G565" si="154">IF(C532&gt;0,MAX(N532:P532)-LARGE(N532:P532,2),0)</f>
        <v>159</v>
      </c>
      <c r="H532" s="2">
        <f t="shared" ref="H532:H563" si="155">IF(C532&gt;0,G532/C532,0)</f>
        <v>0.1850989522700815</v>
      </c>
      <c r="I532" s="6"/>
      <c r="J532" s="2">
        <f t="shared" ref="J532:J565" si="156">IF(C532=0,"-",N532/C532)</f>
        <v>0.35855646100116412</v>
      </c>
      <c r="K532" s="2">
        <f t="shared" ref="K532:K565" si="157">IF(C532=0,"-",O532/C532)</f>
        <v>0.54365541327124567</v>
      </c>
      <c r="L532" s="2">
        <f t="shared" ref="L532:L565" si="158">IF(C532=0,"-",P532/C532)</f>
        <v>6.9848661233993014E-3</v>
      </c>
      <c r="M532" s="2">
        <f t="shared" ref="M532:M563" si="159">IF(C532=0,"-",(1-J532-K532-L532))</f>
        <v>9.0803259604190917E-2</v>
      </c>
      <c r="N532" s="63">
        <v>308</v>
      </c>
      <c r="O532" s="63">
        <v>467</v>
      </c>
      <c r="P532" s="63">
        <v>6</v>
      </c>
      <c r="Q532" s="63">
        <v>60</v>
      </c>
      <c r="R532" s="63">
        <v>18</v>
      </c>
      <c r="S532" s="63">
        <v>0</v>
      </c>
      <c r="T532" s="67"/>
      <c r="U532" s="63"/>
      <c r="V532" s="63"/>
      <c r="W532" s="63">
        <f t="shared" si="145"/>
        <v>0</v>
      </c>
      <c r="X532" s="63"/>
      <c r="Y532" s="63"/>
      <c r="Z532" s="63"/>
      <c r="AA532" s="63"/>
      <c r="AB532" s="63"/>
      <c r="AE532" s="8">
        <v>0</v>
      </c>
      <c r="AT532" t="str">
        <f t="shared" si="142"/>
        <v>Palermo</v>
      </c>
      <c r="AU532" t="s">
        <v>217</v>
      </c>
      <c r="AV532">
        <v>2</v>
      </c>
      <c r="AX532" s="114">
        <v>23</v>
      </c>
      <c r="AY532" s="116">
        <v>27</v>
      </c>
      <c r="AZ532" s="116">
        <v>80</v>
      </c>
      <c r="BA532" s="120">
        <v>56450</v>
      </c>
      <c r="BB532" s="120">
        <f t="shared" si="143"/>
        <v>23027</v>
      </c>
      <c r="BC532" t="s">
        <v>1472</v>
      </c>
      <c r="BD532">
        <f t="shared" si="144"/>
        <v>2356450</v>
      </c>
      <c r="BE532" s="1">
        <v>31</v>
      </c>
      <c r="BI532">
        <v>43.52</v>
      </c>
      <c r="BJ532">
        <v>2.97</v>
      </c>
      <c r="BK532">
        <v>40.549999999999997</v>
      </c>
      <c r="BS532" s="63">
        <v>0</v>
      </c>
      <c r="CK532" s="1" t="s">
        <v>4081</v>
      </c>
    </row>
    <row r="533" spans="1:89" hidden="1" outlineLevel="1">
      <c r="A533" t="s">
        <v>798</v>
      </c>
      <c r="B533" s="8" t="s">
        <v>1697</v>
      </c>
      <c r="C533" s="1">
        <f t="shared" si="141"/>
        <v>1072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 t="shared" si="153"/>
        <v>5</v>
      </c>
      <c r="G533" s="1">
        <f t="shared" si="154"/>
        <v>372</v>
      </c>
      <c r="H533" s="2">
        <f t="shared" si="155"/>
        <v>0.34701492537313433</v>
      </c>
      <c r="I533" s="6"/>
      <c r="J533" s="2">
        <f t="shared" si="156"/>
        <v>0.28824626865671643</v>
      </c>
      <c r="K533" s="2">
        <f t="shared" si="157"/>
        <v>0.63526119402985071</v>
      </c>
      <c r="L533" s="2">
        <f t="shared" si="158"/>
        <v>7.462686567164179E-3</v>
      </c>
      <c r="M533" s="2">
        <f t="shared" si="159"/>
        <v>6.9029850746268689E-2</v>
      </c>
      <c r="N533" s="63">
        <v>309</v>
      </c>
      <c r="O533" s="63">
        <v>681</v>
      </c>
      <c r="P533" s="63">
        <v>8</v>
      </c>
      <c r="Q533" s="63">
        <v>54</v>
      </c>
      <c r="R533" s="63">
        <v>20</v>
      </c>
      <c r="S533" s="63">
        <v>0</v>
      </c>
      <c r="T533" s="67"/>
      <c r="U533" s="63"/>
      <c r="V533" s="63"/>
      <c r="W533" s="63">
        <f t="shared" si="145"/>
        <v>0</v>
      </c>
      <c r="X533" s="63"/>
      <c r="Y533" s="63"/>
      <c r="Z533" s="63"/>
      <c r="AA533" s="63"/>
      <c r="AB533" s="63"/>
      <c r="AE533" s="8">
        <v>0</v>
      </c>
      <c r="AT533" t="str">
        <f t="shared" si="142"/>
        <v>Palmyra</v>
      </c>
      <c r="AU533" t="s">
        <v>1787</v>
      </c>
      <c r="AV533">
        <v>2</v>
      </c>
      <c r="AX533" s="114">
        <v>23</v>
      </c>
      <c r="AY533" s="116">
        <v>25</v>
      </c>
      <c r="AZ533" s="116">
        <v>115</v>
      </c>
      <c r="BA533" s="120">
        <v>56520</v>
      </c>
      <c r="BB533" s="120">
        <f t="shared" si="143"/>
        <v>23025</v>
      </c>
      <c r="BC533" t="s">
        <v>1472</v>
      </c>
      <c r="BD533">
        <f t="shared" si="144"/>
        <v>2356520</v>
      </c>
      <c r="BE533" s="1">
        <v>17</v>
      </c>
      <c r="BI533">
        <v>41.46</v>
      </c>
      <c r="BJ533">
        <v>1.27</v>
      </c>
      <c r="BK533">
        <v>40.200000000000003</v>
      </c>
      <c r="BS533" s="63">
        <v>0</v>
      </c>
      <c r="CK533" s="1" t="s">
        <v>4082</v>
      </c>
    </row>
    <row r="534" spans="1:89" hidden="1" outlineLevel="1">
      <c r="A534" t="s">
        <v>865</v>
      </c>
      <c r="B534" s="8" t="s">
        <v>1697</v>
      </c>
      <c r="C534" s="1">
        <f t="shared" si="141"/>
        <v>2654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 t="shared" si="153"/>
        <v>5</v>
      </c>
      <c r="G534" s="1">
        <f t="shared" si="154"/>
        <v>338</v>
      </c>
      <c r="H534" s="2">
        <f t="shared" si="155"/>
        <v>0.12735493594574226</v>
      </c>
      <c r="I534" s="6"/>
      <c r="J534" s="2">
        <f t="shared" si="156"/>
        <v>0.3896006028636021</v>
      </c>
      <c r="K534" s="2">
        <f t="shared" si="157"/>
        <v>0.51695553880934442</v>
      </c>
      <c r="L534" s="2">
        <f t="shared" si="158"/>
        <v>5.2750565184626974E-3</v>
      </c>
      <c r="M534" s="2">
        <f t="shared" si="159"/>
        <v>8.8168801808590783E-2</v>
      </c>
      <c r="N534" s="63">
        <v>1034</v>
      </c>
      <c r="O534" s="63">
        <v>1372</v>
      </c>
      <c r="P534" s="63">
        <v>14</v>
      </c>
      <c r="Q534" s="63">
        <v>177</v>
      </c>
      <c r="R534" s="63">
        <v>55</v>
      </c>
      <c r="S534" s="63">
        <v>2</v>
      </c>
      <c r="T534" s="67"/>
      <c r="U534" s="63"/>
      <c r="V534" s="63"/>
      <c r="W534" s="63">
        <f t="shared" si="145"/>
        <v>0</v>
      </c>
      <c r="X534" s="63"/>
      <c r="Y534" s="63"/>
      <c r="Z534" s="63"/>
      <c r="AA534" s="63"/>
      <c r="AB534" s="63"/>
      <c r="AE534" s="8">
        <v>0</v>
      </c>
      <c r="AT534" t="str">
        <f t="shared" si="142"/>
        <v>Paris</v>
      </c>
      <c r="AU534" t="s">
        <v>2383</v>
      </c>
      <c r="AV534">
        <v>2</v>
      </c>
      <c r="AX534" s="114">
        <v>23</v>
      </c>
      <c r="AY534" s="116">
        <v>17</v>
      </c>
      <c r="AZ534" s="116">
        <v>115</v>
      </c>
      <c r="BA534" s="120">
        <v>56625</v>
      </c>
      <c r="BB534" s="120">
        <f t="shared" si="143"/>
        <v>23017</v>
      </c>
      <c r="BC534" t="s">
        <v>1472</v>
      </c>
      <c r="BD534">
        <f t="shared" si="144"/>
        <v>2356625</v>
      </c>
      <c r="BE534" s="1">
        <v>98</v>
      </c>
      <c r="BI534">
        <v>40.97</v>
      </c>
      <c r="BJ534">
        <v>0.2</v>
      </c>
      <c r="BK534">
        <v>40.76</v>
      </c>
      <c r="BS534" s="63">
        <v>0</v>
      </c>
      <c r="CK534" s="1" t="s">
        <v>4083</v>
      </c>
    </row>
    <row r="535" spans="1:89" hidden="1" outlineLevel="1">
      <c r="A535" t="s">
        <v>1032</v>
      </c>
      <c r="B535" s="8" t="s">
        <v>1697</v>
      </c>
      <c r="C535" s="1">
        <f t="shared" si="141"/>
        <v>479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 t="shared" si="153"/>
        <v>4</v>
      </c>
      <c r="G535" s="1">
        <f t="shared" si="154"/>
        <v>132</v>
      </c>
      <c r="H535" s="2">
        <f t="shared" si="155"/>
        <v>0.27557411273486432</v>
      </c>
      <c r="I535" s="6"/>
      <c r="J535" s="2">
        <f t="shared" si="156"/>
        <v>0.31524008350730687</v>
      </c>
      <c r="K535" s="2">
        <f t="shared" si="157"/>
        <v>0.59081419624217124</v>
      </c>
      <c r="L535" s="2">
        <f t="shared" si="158"/>
        <v>6.2630480167014616E-3</v>
      </c>
      <c r="M535" s="2">
        <f t="shared" si="159"/>
        <v>8.768267223382048E-2</v>
      </c>
      <c r="N535" s="63">
        <v>151</v>
      </c>
      <c r="O535" s="63">
        <v>283</v>
      </c>
      <c r="P535" s="63">
        <v>3</v>
      </c>
      <c r="Q535" s="63">
        <v>38</v>
      </c>
      <c r="R535" s="63">
        <v>3</v>
      </c>
      <c r="S535" s="63">
        <v>1</v>
      </c>
      <c r="T535" s="67"/>
      <c r="U535" s="63"/>
      <c r="V535" s="63"/>
      <c r="W535" s="63">
        <f t="shared" si="145"/>
        <v>0</v>
      </c>
      <c r="X535" s="63"/>
      <c r="Y535" s="63"/>
      <c r="Z535" s="63"/>
      <c r="AA535" s="63"/>
      <c r="AB535" s="63"/>
      <c r="AE535" s="8">
        <v>0</v>
      </c>
      <c r="AT535" t="str">
        <f t="shared" si="142"/>
        <v>Parkman</v>
      </c>
      <c r="AU535" t="s">
        <v>1957</v>
      </c>
      <c r="AV535">
        <v>2</v>
      </c>
      <c r="AX535" s="114">
        <v>23</v>
      </c>
      <c r="AY535" s="116">
        <v>21</v>
      </c>
      <c r="AZ535" s="116">
        <v>75</v>
      </c>
      <c r="BA535" s="120">
        <v>56765</v>
      </c>
      <c r="BB535" s="120">
        <f t="shared" si="143"/>
        <v>23021</v>
      </c>
      <c r="BC535" t="s">
        <v>1472</v>
      </c>
      <c r="BD535">
        <f t="shared" si="144"/>
        <v>2356765</v>
      </c>
      <c r="BE535" s="1">
        <v>19</v>
      </c>
      <c r="BI535">
        <v>46.24</v>
      </c>
      <c r="BJ535">
        <v>0.71</v>
      </c>
      <c r="BK535">
        <v>45.52</v>
      </c>
      <c r="BS535" s="63">
        <v>0</v>
      </c>
      <c r="CK535" s="1" t="s">
        <v>4084</v>
      </c>
    </row>
    <row r="536" spans="1:89" hidden="1" outlineLevel="1">
      <c r="A536" t="s">
        <v>2809</v>
      </c>
      <c r="B536" s="8" t="s">
        <v>1697</v>
      </c>
      <c r="C536" s="1">
        <f t="shared" si="141"/>
        <v>1000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 t="shared" si="153"/>
        <v>0</v>
      </c>
      <c r="G536" s="1">
        <f t="shared" si="154"/>
        <v>185</v>
      </c>
      <c r="H536" s="2">
        <f t="shared" si="155"/>
        <v>0.185</v>
      </c>
      <c r="I536" s="6"/>
      <c r="J536" s="2">
        <f t="shared" si="156"/>
        <v>0.36699999999999999</v>
      </c>
      <c r="K536" s="2">
        <f t="shared" si="157"/>
        <v>0.55200000000000005</v>
      </c>
      <c r="L536" s="2">
        <f t="shared" si="158"/>
        <v>0</v>
      </c>
      <c r="M536" s="2">
        <f t="shared" si="159"/>
        <v>8.0999999999999961E-2</v>
      </c>
      <c r="N536" s="63">
        <v>367</v>
      </c>
      <c r="O536" s="63">
        <v>552</v>
      </c>
      <c r="P536" s="63">
        <v>0</v>
      </c>
      <c r="Q536" s="63">
        <v>59</v>
      </c>
      <c r="R536" s="63">
        <v>22</v>
      </c>
      <c r="S536" s="63">
        <v>0</v>
      </c>
      <c r="T536" s="67"/>
      <c r="U536" s="63"/>
      <c r="V536" s="63"/>
      <c r="W536" s="63">
        <f t="shared" si="145"/>
        <v>0</v>
      </c>
      <c r="X536" s="63"/>
      <c r="Y536" s="63"/>
      <c r="Z536" s="63"/>
      <c r="AA536" s="63"/>
      <c r="AB536" s="63"/>
      <c r="AE536" s="8">
        <v>0</v>
      </c>
      <c r="AT536" t="str">
        <f t="shared" si="142"/>
        <v>Parsonsfield</v>
      </c>
      <c r="AU536" t="s">
        <v>925</v>
      </c>
      <c r="AV536">
        <v>1</v>
      </c>
      <c r="AX536" s="114">
        <v>23</v>
      </c>
      <c r="AY536" s="116">
        <v>31</v>
      </c>
      <c r="AZ536" s="116">
        <v>105</v>
      </c>
      <c r="BA536" s="120">
        <v>56870</v>
      </c>
      <c r="BB536" s="120">
        <f t="shared" si="143"/>
        <v>23031</v>
      </c>
      <c r="BC536" t="s">
        <v>1472</v>
      </c>
      <c r="BD536">
        <f t="shared" si="144"/>
        <v>2356870</v>
      </c>
      <c r="BE536" s="1">
        <v>27</v>
      </c>
      <c r="BI536">
        <v>60.02</v>
      </c>
      <c r="BJ536">
        <v>1.07</v>
      </c>
      <c r="BK536">
        <v>58.96</v>
      </c>
      <c r="BS536" s="63">
        <v>0</v>
      </c>
      <c r="CK536" s="1" t="s">
        <v>4085</v>
      </c>
    </row>
    <row r="537" spans="1:89" hidden="1" outlineLevel="1">
      <c r="A537" t="s">
        <v>1481</v>
      </c>
      <c r="B537" s="8" t="s">
        <v>1697</v>
      </c>
      <c r="C537" s="1">
        <f t="shared" si="141"/>
        <v>216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 t="shared" si="153"/>
        <v>5</v>
      </c>
      <c r="G537" s="1">
        <f t="shared" si="154"/>
        <v>128</v>
      </c>
      <c r="H537" s="2">
        <f t="shared" si="155"/>
        <v>0.59259259259259256</v>
      </c>
      <c r="I537" s="6"/>
      <c r="J537" s="2">
        <f t="shared" si="156"/>
        <v>0.17129629629629631</v>
      </c>
      <c r="K537" s="2">
        <f t="shared" si="157"/>
        <v>0.76388888888888884</v>
      </c>
      <c r="L537" s="2">
        <f t="shared" si="158"/>
        <v>4.6296296296296294E-3</v>
      </c>
      <c r="M537" s="2">
        <f t="shared" si="159"/>
        <v>6.0185185185185251E-2</v>
      </c>
      <c r="N537" s="63">
        <v>37</v>
      </c>
      <c r="O537" s="63">
        <v>165</v>
      </c>
      <c r="P537" s="63">
        <v>1</v>
      </c>
      <c r="Q537" s="63">
        <v>10</v>
      </c>
      <c r="R537" s="63">
        <v>3</v>
      </c>
      <c r="S537" s="63">
        <v>0</v>
      </c>
      <c r="T537" s="67"/>
      <c r="U537" s="63"/>
      <c r="V537" s="63"/>
      <c r="W537" s="63">
        <f t="shared" si="145"/>
        <v>0</v>
      </c>
      <c r="X537" s="63"/>
      <c r="Y537" s="63"/>
      <c r="Z537" s="63"/>
      <c r="AA537" s="63"/>
      <c r="AB537" s="63"/>
      <c r="AE537" s="8">
        <v>0</v>
      </c>
      <c r="AT537" t="str">
        <f t="shared" si="142"/>
        <v>Passadumkeag</v>
      </c>
      <c r="AU537" t="s">
        <v>2481</v>
      </c>
      <c r="AV537">
        <v>2</v>
      </c>
      <c r="AX537" s="114">
        <v>23</v>
      </c>
      <c r="AY537" s="116">
        <v>19</v>
      </c>
      <c r="AZ537" s="116">
        <v>255</v>
      </c>
      <c r="BA537" s="120">
        <v>57045</v>
      </c>
      <c r="BB537" s="120">
        <f t="shared" si="143"/>
        <v>23019</v>
      </c>
      <c r="BC537" t="s">
        <v>1472</v>
      </c>
      <c r="BD537">
        <f t="shared" si="144"/>
        <v>2357045</v>
      </c>
      <c r="BE537" s="1">
        <v>8</v>
      </c>
      <c r="BI537">
        <v>23.11</v>
      </c>
      <c r="BJ537">
        <v>0.19</v>
      </c>
      <c r="BK537">
        <v>22.92</v>
      </c>
      <c r="BS537" s="63">
        <v>0</v>
      </c>
      <c r="CK537" s="1" t="s">
        <v>4086</v>
      </c>
    </row>
    <row r="538" spans="1:89" hidden="1" outlineLevel="1">
      <c r="A538" t="s">
        <v>1639</v>
      </c>
      <c r="B538" s="8" t="s">
        <v>1697</v>
      </c>
      <c r="C538" s="1">
        <f t="shared" si="141"/>
        <v>488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 t="shared" si="153"/>
        <v>5</v>
      </c>
      <c r="G538" s="1">
        <f t="shared" si="154"/>
        <v>184</v>
      </c>
      <c r="H538" s="2">
        <f t="shared" si="155"/>
        <v>0.37704918032786883</v>
      </c>
      <c r="I538" s="6"/>
      <c r="J538" s="2">
        <f t="shared" si="156"/>
        <v>0.28278688524590162</v>
      </c>
      <c r="K538" s="2">
        <f t="shared" si="157"/>
        <v>0.6598360655737705</v>
      </c>
      <c r="L538" s="2">
        <f t="shared" si="158"/>
        <v>2.0491803278688526E-3</v>
      </c>
      <c r="M538" s="2">
        <f t="shared" si="159"/>
        <v>5.5327868852458967E-2</v>
      </c>
      <c r="N538" s="63">
        <v>138</v>
      </c>
      <c r="O538" s="63">
        <v>322</v>
      </c>
      <c r="P538" s="63">
        <v>1</v>
      </c>
      <c r="Q538" s="63">
        <v>20</v>
      </c>
      <c r="R538" s="63">
        <v>7</v>
      </c>
      <c r="S538" s="63">
        <v>0</v>
      </c>
      <c r="T538" s="67"/>
      <c r="U538" s="63"/>
      <c r="V538" s="63"/>
      <c r="W538" s="63">
        <f t="shared" si="145"/>
        <v>0</v>
      </c>
      <c r="X538" s="63"/>
      <c r="Y538" s="63"/>
      <c r="Z538" s="63"/>
      <c r="AA538" s="63"/>
      <c r="AB538" s="63"/>
      <c r="AE538" s="8">
        <v>0</v>
      </c>
      <c r="AT538" t="str">
        <f t="shared" si="142"/>
        <v>Patten</v>
      </c>
      <c r="AU538" t="s">
        <v>2481</v>
      </c>
      <c r="AV538">
        <v>2</v>
      </c>
      <c r="AX538" s="114">
        <v>23</v>
      </c>
      <c r="AY538" s="116">
        <v>19</v>
      </c>
      <c r="AZ538" s="116">
        <v>260</v>
      </c>
      <c r="BA538" s="120">
        <v>57150</v>
      </c>
      <c r="BB538" s="120">
        <f t="shared" si="143"/>
        <v>23019</v>
      </c>
      <c r="BC538" t="s">
        <v>1472</v>
      </c>
      <c r="BD538">
        <f t="shared" si="144"/>
        <v>2357150</v>
      </c>
      <c r="BE538" s="1">
        <v>23</v>
      </c>
      <c r="BI538">
        <v>38.5</v>
      </c>
      <c r="BJ538">
        <v>0.06</v>
      </c>
      <c r="BK538">
        <v>38.43</v>
      </c>
      <c r="BS538" s="63">
        <v>0</v>
      </c>
      <c r="CK538" s="1" t="s">
        <v>4087</v>
      </c>
    </row>
    <row r="539" spans="1:89" hidden="1" outlineLevel="1">
      <c r="A539" t="s">
        <v>2104</v>
      </c>
      <c r="B539" s="8" t="s">
        <v>1697</v>
      </c>
      <c r="C539" s="1">
        <f t="shared" si="141"/>
        <v>491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 t="shared" si="153"/>
        <v>0</v>
      </c>
      <c r="G539" s="1">
        <f t="shared" si="154"/>
        <v>82</v>
      </c>
      <c r="H539" s="2">
        <f t="shared" si="155"/>
        <v>0.16700610997963339</v>
      </c>
      <c r="I539" s="6"/>
      <c r="J539" s="2">
        <f t="shared" si="156"/>
        <v>0.38900203665987781</v>
      </c>
      <c r="K539" s="2">
        <f t="shared" si="157"/>
        <v>0.55600814663951115</v>
      </c>
      <c r="L539" s="2">
        <f t="shared" si="158"/>
        <v>0</v>
      </c>
      <c r="M539" s="2">
        <f t="shared" si="159"/>
        <v>5.4989816700610983E-2</v>
      </c>
      <c r="N539" s="63">
        <v>191</v>
      </c>
      <c r="O539" s="63">
        <v>273</v>
      </c>
      <c r="P539" s="63">
        <v>0</v>
      </c>
      <c r="Q539" s="63">
        <v>15</v>
      </c>
      <c r="R539" s="63">
        <v>12</v>
      </c>
      <c r="S539" s="63">
        <v>0</v>
      </c>
      <c r="T539" s="67"/>
      <c r="U539" s="63"/>
      <c r="V539" s="63"/>
      <c r="W539" s="63">
        <f t="shared" si="145"/>
        <v>0</v>
      </c>
      <c r="X539" s="63"/>
      <c r="Y539" s="63"/>
      <c r="Z539" s="63"/>
      <c r="AA539" s="63"/>
      <c r="AB539" s="63"/>
      <c r="AE539" s="8">
        <v>0</v>
      </c>
      <c r="AT539" t="str">
        <f t="shared" si="142"/>
        <v>Pembroke</v>
      </c>
      <c r="AU539" t="s">
        <v>692</v>
      </c>
      <c r="AV539">
        <v>2</v>
      </c>
      <c r="AX539" s="114">
        <v>23</v>
      </c>
      <c r="AY539" s="116">
        <v>29</v>
      </c>
      <c r="AZ539" s="116">
        <v>160</v>
      </c>
      <c r="BA539" s="120">
        <v>57780</v>
      </c>
      <c r="BB539" s="120">
        <f t="shared" si="143"/>
        <v>23029</v>
      </c>
      <c r="BC539" t="s">
        <v>1472</v>
      </c>
      <c r="BD539">
        <f t="shared" si="144"/>
        <v>2357780</v>
      </c>
      <c r="BE539" s="1">
        <v>9</v>
      </c>
      <c r="BI539">
        <v>35.229999999999997</v>
      </c>
      <c r="BJ539">
        <v>7.81</v>
      </c>
      <c r="BK539">
        <v>27.42</v>
      </c>
      <c r="BS539" s="63">
        <v>0</v>
      </c>
      <c r="CK539" s="1" t="s">
        <v>4088</v>
      </c>
    </row>
    <row r="540" spans="1:89" hidden="1" outlineLevel="1">
      <c r="A540" t="s">
        <v>2481</v>
      </c>
      <c r="B540" s="8" t="s">
        <v>1697</v>
      </c>
      <c r="C540" s="1">
        <f t="shared" si="141"/>
        <v>786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 t="shared" si="153"/>
        <v>5</v>
      </c>
      <c r="G540" s="1">
        <f t="shared" si="154"/>
        <v>166</v>
      </c>
      <c r="H540" s="2">
        <f t="shared" si="155"/>
        <v>0.21119592875318066</v>
      </c>
      <c r="I540" s="6"/>
      <c r="J540" s="2">
        <f t="shared" si="156"/>
        <v>0.5661577608142494</v>
      </c>
      <c r="K540" s="2">
        <f t="shared" si="157"/>
        <v>0.35496183206106868</v>
      </c>
      <c r="L540" s="2">
        <f t="shared" si="158"/>
        <v>5.0890585241730284E-3</v>
      </c>
      <c r="M540" s="2">
        <f t="shared" si="159"/>
        <v>7.3791348600508885E-2</v>
      </c>
      <c r="N540" s="63">
        <v>445</v>
      </c>
      <c r="O540" s="63">
        <v>279</v>
      </c>
      <c r="P540" s="63">
        <v>4</v>
      </c>
      <c r="Q540" s="63">
        <v>29</v>
      </c>
      <c r="R540" s="63">
        <v>29</v>
      </c>
      <c r="S540" s="63">
        <v>0</v>
      </c>
      <c r="T540" s="67"/>
      <c r="U540" s="63"/>
      <c r="V540" s="63"/>
      <c r="W540" s="63">
        <f t="shared" si="145"/>
        <v>0</v>
      </c>
      <c r="X540" s="63"/>
      <c r="Y540" s="63"/>
      <c r="Z540" s="63"/>
      <c r="AA540" s="63"/>
      <c r="AB540" s="63"/>
      <c r="AE540" s="8">
        <v>0</v>
      </c>
      <c r="AT540" t="str">
        <f t="shared" si="142"/>
        <v>Penobscot</v>
      </c>
      <c r="AU540" t="s">
        <v>597</v>
      </c>
      <c r="AV540">
        <v>2</v>
      </c>
      <c r="AX540" s="114">
        <v>23</v>
      </c>
      <c r="AY540" s="116">
        <v>9</v>
      </c>
      <c r="AZ540" s="116">
        <v>120</v>
      </c>
      <c r="BA540" s="120">
        <v>57920</v>
      </c>
      <c r="BB540" s="120">
        <f t="shared" si="143"/>
        <v>23009</v>
      </c>
      <c r="BC540" t="s">
        <v>1472</v>
      </c>
      <c r="BD540">
        <f t="shared" si="144"/>
        <v>2357920</v>
      </c>
      <c r="BE540" s="1">
        <v>24</v>
      </c>
      <c r="BI540">
        <v>46.74</v>
      </c>
      <c r="BJ540">
        <v>6.89</v>
      </c>
      <c r="BK540">
        <v>39.840000000000003</v>
      </c>
      <c r="BS540" s="63">
        <v>0</v>
      </c>
      <c r="CK540" s="1" t="s">
        <v>4089</v>
      </c>
    </row>
    <row r="541" spans="1:89" hidden="1" outlineLevel="1">
      <c r="A541" s="34" t="s">
        <v>738</v>
      </c>
      <c r="B541" s="8" t="s">
        <v>1697</v>
      </c>
      <c r="C541" s="1">
        <f t="shared" si="141"/>
        <v>271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 t="shared" si="153"/>
        <v>0</v>
      </c>
      <c r="G541" s="1">
        <f t="shared" si="154"/>
        <v>155</v>
      </c>
      <c r="H541" s="2">
        <f t="shared" si="155"/>
        <v>0.5719557195571956</v>
      </c>
      <c r="I541" s="6"/>
      <c r="J541" s="2">
        <f t="shared" si="156"/>
        <v>0.73062730627306272</v>
      </c>
      <c r="K541" s="2">
        <f t="shared" si="157"/>
        <v>0.15867158671586715</v>
      </c>
      <c r="L541" s="2">
        <f t="shared" si="158"/>
        <v>0</v>
      </c>
      <c r="M541" s="2">
        <f t="shared" si="159"/>
        <v>0.11070110701107014</v>
      </c>
      <c r="N541" s="63">
        <v>198</v>
      </c>
      <c r="O541" s="63">
        <v>43</v>
      </c>
      <c r="P541" s="63">
        <v>0</v>
      </c>
      <c r="Q541" s="63">
        <v>10</v>
      </c>
      <c r="R541" s="63">
        <v>20</v>
      </c>
      <c r="S541" s="63">
        <v>0</v>
      </c>
      <c r="T541" s="67"/>
      <c r="U541" s="63"/>
      <c r="V541" s="63"/>
      <c r="W541" s="63">
        <f t="shared" si="145"/>
        <v>0</v>
      </c>
      <c r="X541" s="63"/>
      <c r="Y541" s="63"/>
      <c r="Z541" s="63"/>
      <c r="AA541" s="63"/>
      <c r="AB541" s="63"/>
      <c r="AE541" s="8">
        <v>0</v>
      </c>
      <c r="AT541" t="str">
        <f t="shared" si="142"/>
        <v>Penobscot Nation</v>
      </c>
      <c r="AU541" t="s">
        <v>2481</v>
      </c>
      <c r="AV541">
        <v>2</v>
      </c>
      <c r="AX541" s="114">
        <v>23</v>
      </c>
      <c r="AY541" s="116">
        <v>19</v>
      </c>
      <c r="BA541" s="120">
        <v>34400</v>
      </c>
      <c r="BB541" s="120">
        <f t="shared" si="143"/>
        <v>23019</v>
      </c>
      <c r="BC541" t="s">
        <v>3165</v>
      </c>
      <c r="BD541">
        <f t="shared" si="144"/>
        <v>2334400</v>
      </c>
      <c r="BE541" s="1">
        <v>13</v>
      </c>
      <c r="BS541" s="63">
        <v>0</v>
      </c>
      <c r="CK541" s="1" t="s">
        <v>4090</v>
      </c>
    </row>
    <row r="542" spans="1:89" hidden="1" outlineLevel="1">
      <c r="A542" t="s">
        <v>475</v>
      </c>
      <c r="B542" s="8" t="s">
        <v>1697</v>
      </c>
      <c r="C542" s="1">
        <f t="shared" si="141"/>
        <v>195</v>
      </c>
      <c r="D542" s="5">
        <f>IF(N542&gt;0, RANK(N542,(N542:P542,Q542:AE542)),0)</f>
        <v>2</v>
      </c>
      <c r="E542" s="5">
        <f>IF(O542&gt;0,RANK(O542,(N542:P542,Q542:AE542)),0)</f>
        <v>1</v>
      </c>
      <c r="F542" s="5">
        <f t="shared" si="153"/>
        <v>0</v>
      </c>
      <c r="G542" s="1">
        <f t="shared" si="154"/>
        <v>59</v>
      </c>
      <c r="H542" s="2">
        <f t="shared" si="155"/>
        <v>0.30256410256410254</v>
      </c>
      <c r="I542" s="6"/>
      <c r="J542" s="2">
        <f t="shared" si="156"/>
        <v>0.30769230769230771</v>
      </c>
      <c r="K542" s="2">
        <f t="shared" si="157"/>
        <v>0.61025641025641031</v>
      </c>
      <c r="L542" s="2">
        <f t="shared" si="158"/>
        <v>0</v>
      </c>
      <c r="M542" s="2">
        <f t="shared" si="159"/>
        <v>8.2051282051281982E-2</v>
      </c>
      <c r="N542" s="63">
        <v>60</v>
      </c>
      <c r="O542" s="63">
        <v>119</v>
      </c>
      <c r="P542" s="63">
        <v>0</v>
      </c>
      <c r="Q542" s="63">
        <v>9</v>
      </c>
      <c r="R542" s="63">
        <v>7</v>
      </c>
      <c r="S542" s="63">
        <v>0</v>
      </c>
      <c r="T542" s="67"/>
      <c r="U542" s="63"/>
      <c r="V542" s="63"/>
      <c r="W542" s="63">
        <f t="shared" si="145"/>
        <v>0</v>
      </c>
      <c r="X542" s="63"/>
      <c r="Y542" s="63"/>
      <c r="Z542" s="63"/>
      <c r="AA542" s="63"/>
      <c r="AB542" s="63"/>
      <c r="AE542" s="8">
        <v>0</v>
      </c>
      <c r="AT542" t="str">
        <f t="shared" si="142"/>
        <v>Perham</v>
      </c>
      <c r="AU542" t="s">
        <v>2830</v>
      </c>
      <c r="AV542">
        <v>2</v>
      </c>
      <c r="AX542" s="114">
        <v>23</v>
      </c>
      <c r="AY542" s="116">
        <v>3</v>
      </c>
      <c r="AZ542" s="116">
        <v>255</v>
      </c>
      <c r="BA542" s="120">
        <v>58060</v>
      </c>
      <c r="BB542" s="120">
        <f t="shared" si="143"/>
        <v>23003</v>
      </c>
      <c r="BC542" t="s">
        <v>1472</v>
      </c>
      <c r="BD542">
        <f t="shared" si="144"/>
        <v>2358060</v>
      </c>
      <c r="BE542" s="1">
        <v>12</v>
      </c>
      <c r="BI542">
        <v>36.65</v>
      </c>
      <c r="BJ542">
        <v>0.11</v>
      </c>
      <c r="BK542">
        <v>36.54</v>
      </c>
      <c r="BS542" s="63">
        <v>0</v>
      </c>
      <c r="CK542" s="1" t="s">
        <v>4091</v>
      </c>
    </row>
    <row r="543" spans="1:89" hidden="1" outlineLevel="1">
      <c r="A543" t="s">
        <v>51</v>
      </c>
      <c r="B543" s="8" t="s">
        <v>1697</v>
      </c>
      <c r="C543" s="1">
        <f t="shared" si="141"/>
        <v>13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 t="shared" si="153"/>
        <v>0</v>
      </c>
      <c r="G543" s="1">
        <f t="shared" si="154"/>
        <v>4</v>
      </c>
      <c r="H543" s="2">
        <f t="shared" si="155"/>
        <v>0.30769230769230771</v>
      </c>
      <c r="I543" s="6"/>
      <c r="J543" s="2">
        <f t="shared" si="156"/>
        <v>0.61538461538461542</v>
      </c>
      <c r="K543" s="2">
        <f t="shared" si="157"/>
        <v>0.30769230769230771</v>
      </c>
      <c r="L543" s="2">
        <f t="shared" si="158"/>
        <v>0</v>
      </c>
      <c r="M543" s="2">
        <f t="shared" si="159"/>
        <v>7.6923076923076872E-2</v>
      </c>
      <c r="N543" s="63">
        <v>8</v>
      </c>
      <c r="O543" s="63">
        <v>4</v>
      </c>
      <c r="P543" s="63">
        <v>0</v>
      </c>
      <c r="Q543" s="63">
        <v>1</v>
      </c>
      <c r="R543" s="63">
        <v>0</v>
      </c>
      <c r="S543" s="63">
        <v>0</v>
      </c>
      <c r="T543" s="67"/>
      <c r="U543" s="63"/>
      <c r="V543" s="63"/>
      <c r="W543" s="63">
        <f t="shared" si="145"/>
        <v>0</v>
      </c>
      <c r="X543" s="63"/>
      <c r="Y543" s="63"/>
      <c r="Z543" s="63"/>
      <c r="AA543" s="63"/>
      <c r="AB543" s="63"/>
      <c r="AE543" s="8">
        <v>0</v>
      </c>
      <c r="AT543" t="str">
        <f t="shared" si="142"/>
        <v>Perkins</v>
      </c>
      <c r="AU543" t="s">
        <v>1138</v>
      </c>
      <c r="AV543">
        <v>2</v>
      </c>
      <c r="AX543" s="114">
        <v>23</v>
      </c>
      <c r="AY543" s="116">
        <v>7</v>
      </c>
      <c r="BA543" s="120">
        <v>58100</v>
      </c>
      <c r="BB543" s="120">
        <f t="shared" si="143"/>
        <v>23007</v>
      </c>
      <c r="BC543" t="s">
        <v>957</v>
      </c>
      <c r="BD543">
        <f t="shared" si="144"/>
        <v>2358100</v>
      </c>
      <c r="BE543" s="1">
        <v>0</v>
      </c>
      <c r="BI543">
        <v>3.74</v>
      </c>
      <c r="BJ543">
        <v>1.51</v>
      </c>
      <c r="BK543">
        <v>2.23</v>
      </c>
      <c r="BS543" s="63">
        <v>0</v>
      </c>
      <c r="CK543" s="1" t="s">
        <v>4092</v>
      </c>
    </row>
    <row r="544" spans="1:89" hidden="1" outlineLevel="1">
      <c r="A544" t="s">
        <v>2118</v>
      </c>
      <c r="B544" s="8" t="s">
        <v>1697</v>
      </c>
      <c r="C544" s="1">
        <f t="shared" si="141"/>
        <v>459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 t="shared" si="153"/>
        <v>0</v>
      </c>
      <c r="G544" s="1">
        <f t="shared" si="154"/>
        <v>95</v>
      </c>
      <c r="H544" s="2">
        <f t="shared" si="155"/>
        <v>0.20697167755991286</v>
      </c>
      <c r="I544" s="6"/>
      <c r="J544" s="2">
        <f t="shared" si="156"/>
        <v>0.37254901960784315</v>
      </c>
      <c r="K544" s="2">
        <f t="shared" si="157"/>
        <v>0.579520697167756</v>
      </c>
      <c r="L544" s="2">
        <f t="shared" si="158"/>
        <v>0</v>
      </c>
      <c r="M544" s="2">
        <f t="shared" si="159"/>
        <v>4.7930283224400849E-2</v>
      </c>
      <c r="N544" s="63">
        <v>171</v>
      </c>
      <c r="O544" s="63">
        <v>266</v>
      </c>
      <c r="P544" s="63">
        <v>0</v>
      </c>
      <c r="Q544" s="63">
        <v>17</v>
      </c>
      <c r="R544" s="63">
        <v>5</v>
      </c>
      <c r="S544" s="63">
        <v>0</v>
      </c>
      <c r="T544" s="67"/>
      <c r="U544" s="63"/>
      <c r="V544" s="63"/>
      <c r="W544" s="63">
        <f t="shared" si="145"/>
        <v>0</v>
      </c>
      <c r="X544" s="63"/>
      <c r="Y544" s="63"/>
      <c r="Z544" s="63"/>
      <c r="AA544" s="63"/>
      <c r="AB544" s="63"/>
      <c r="AE544" s="8">
        <v>0</v>
      </c>
      <c r="AT544" t="str">
        <f t="shared" si="142"/>
        <v>Perry</v>
      </c>
      <c r="AU544" t="s">
        <v>692</v>
      </c>
      <c r="AV544">
        <v>2</v>
      </c>
      <c r="AX544" s="114">
        <v>23</v>
      </c>
      <c r="AY544" s="116">
        <v>29</v>
      </c>
      <c r="AZ544" s="116">
        <v>165</v>
      </c>
      <c r="BA544" s="120">
        <v>58165</v>
      </c>
      <c r="BB544" s="120">
        <f t="shared" si="143"/>
        <v>23029</v>
      </c>
      <c r="BC544" t="s">
        <v>1472</v>
      </c>
      <c r="BD544">
        <f t="shared" si="144"/>
        <v>2358165</v>
      </c>
      <c r="BE544" s="1">
        <v>12</v>
      </c>
      <c r="BI544">
        <v>42.6</v>
      </c>
      <c r="BJ544">
        <v>13.14</v>
      </c>
      <c r="BK544">
        <v>29.46</v>
      </c>
      <c r="BS544" s="63">
        <v>0</v>
      </c>
      <c r="CK544" s="1" t="s">
        <v>4093</v>
      </c>
    </row>
    <row r="545" spans="1:89" hidden="1" outlineLevel="1">
      <c r="A545" t="s">
        <v>3155</v>
      </c>
      <c r="B545" s="8" t="s">
        <v>1697</v>
      </c>
      <c r="C545" s="1">
        <f t="shared" si="141"/>
        <v>956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 t="shared" si="153"/>
        <v>4</v>
      </c>
      <c r="G545" s="1">
        <f t="shared" si="154"/>
        <v>226</v>
      </c>
      <c r="H545" s="2">
        <f t="shared" si="155"/>
        <v>0.23640167364016737</v>
      </c>
      <c r="I545" s="6"/>
      <c r="J545" s="2">
        <f t="shared" si="156"/>
        <v>0.33577405857740583</v>
      </c>
      <c r="K545" s="2">
        <f t="shared" si="157"/>
        <v>0.57217573221757323</v>
      </c>
      <c r="L545" s="2">
        <f t="shared" si="158"/>
        <v>1.5690376569037656E-2</v>
      </c>
      <c r="M545" s="2">
        <f t="shared" si="159"/>
        <v>7.6359832635983282E-2</v>
      </c>
      <c r="N545" s="63">
        <v>321</v>
      </c>
      <c r="O545" s="63">
        <v>547</v>
      </c>
      <c r="P545" s="63">
        <v>15</v>
      </c>
      <c r="Q545" s="63">
        <v>63</v>
      </c>
      <c r="R545" s="63">
        <v>10</v>
      </c>
      <c r="S545" s="63">
        <v>0</v>
      </c>
      <c r="T545" s="67"/>
      <c r="U545" s="63"/>
      <c r="V545" s="63"/>
      <c r="W545" s="63">
        <f t="shared" si="145"/>
        <v>0</v>
      </c>
      <c r="X545" s="63"/>
      <c r="Y545" s="63"/>
      <c r="Z545" s="63"/>
      <c r="AA545" s="63"/>
      <c r="AB545" s="63"/>
      <c r="AE545" s="8">
        <v>0</v>
      </c>
      <c r="AT545" t="str">
        <f t="shared" si="142"/>
        <v>Peru</v>
      </c>
      <c r="AU545" t="s">
        <v>2383</v>
      </c>
      <c r="AV545">
        <v>2</v>
      </c>
      <c r="AX545" s="114">
        <v>23</v>
      </c>
      <c r="AY545" s="116">
        <v>17</v>
      </c>
      <c r="AZ545" s="116">
        <v>120</v>
      </c>
      <c r="BA545" s="120">
        <v>58270</v>
      </c>
      <c r="BB545" s="120">
        <f t="shared" si="143"/>
        <v>23017</v>
      </c>
      <c r="BC545" t="s">
        <v>1472</v>
      </c>
      <c r="BD545">
        <f t="shared" si="144"/>
        <v>2358270</v>
      </c>
      <c r="BE545" s="1">
        <v>22</v>
      </c>
      <c r="BI545">
        <v>47.81</v>
      </c>
      <c r="BJ545">
        <v>0.9</v>
      </c>
      <c r="BK545">
        <v>46.91</v>
      </c>
      <c r="BS545" s="63">
        <v>0</v>
      </c>
      <c r="CK545" s="1" t="s">
        <v>4094</v>
      </c>
    </row>
    <row r="546" spans="1:89" hidden="1" outlineLevel="1">
      <c r="A546" t="s">
        <v>2486</v>
      </c>
      <c r="B546" s="8" t="s">
        <v>1697</v>
      </c>
      <c r="C546" s="1">
        <f t="shared" ref="C546:C608" si="160">SUM(N546:AR546)</f>
        <v>625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 t="shared" si="153"/>
        <v>5</v>
      </c>
      <c r="G546" s="1">
        <f t="shared" si="154"/>
        <v>114</v>
      </c>
      <c r="H546" s="2">
        <f t="shared" si="155"/>
        <v>0.18240000000000001</v>
      </c>
      <c r="I546" s="6"/>
      <c r="J546" s="2">
        <f t="shared" si="156"/>
        <v>0.36799999999999999</v>
      </c>
      <c r="K546" s="2">
        <f t="shared" si="157"/>
        <v>0.5504</v>
      </c>
      <c r="L546" s="2">
        <f t="shared" si="158"/>
        <v>4.7999999999999996E-3</v>
      </c>
      <c r="M546" s="2">
        <f t="shared" si="159"/>
        <v>7.6800000000000007E-2</v>
      </c>
      <c r="N546" s="63">
        <v>230</v>
      </c>
      <c r="O546" s="63">
        <v>344</v>
      </c>
      <c r="P546" s="63">
        <v>3</v>
      </c>
      <c r="Q546" s="63">
        <v>34</v>
      </c>
      <c r="R546" s="63">
        <v>14</v>
      </c>
      <c r="S546" s="63">
        <v>0</v>
      </c>
      <c r="T546" s="67"/>
      <c r="U546" s="63"/>
      <c r="V546" s="63"/>
      <c r="W546" s="63">
        <f t="shared" si="145"/>
        <v>0</v>
      </c>
      <c r="X546" s="63"/>
      <c r="Y546" s="63"/>
      <c r="Z546" s="63"/>
      <c r="AA546" s="63"/>
      <c r="AB546" s="63"/>
      <c r="AE546" s="8">
        <v>0</v>
      </c>
      <c r="AT546" t="str">
        <f t="shared" ref="AT546:AT594" si="161">A546</f>
        <v>Phillips</v>
      </c>
      <c r="AU546" t="s">
        <v>1138</v>
      </c>
      <c r="AV546">
        <v>2</v>
      </c>
      <c r="AX546" s="114">
        <v>23</v>
      </c>
      <c r="AY546" s="116">
        <v>7</v>
      </c>
      <c r="AZ546" s="116">
        <v>70</v>
      </c>
      <c r="BA546" s="120">
        <v>58445</v>
      </c>
      <c r="BB546" s="120">
        <f t="shared" ref="BB546:BB589" si="162">AX546*1000+AY546</f>
        <v>23007</v>
      </c>
      <c r="BC546" t="s">
        <v>1472</v>
      </c>
      <c r="BD546">
        <f t="shared" ref="BD546:BD567" si="163">AX546*100000+BA546</f>
        <v>2358445</v>
      </c>
      <c r="BE546" s="1">
        <v>24</v>
      </c>
      <c r="BI546">
        <v>51.1</v>
      </c>
      <c r="BJ546">
        <v>0.18</v>
      </c>
      <c r="BK546">
        <v>50.93</v>
      </c>
      <c r="BS546" s="63">
        <v>0</v>
      </c>
      <c r="CK546" s="1" t="s">
        <v>4095</v>
      </c>
    </row>
    <row r="547" spans="1:89" hidden="1" outlineLevel="1">
      <c r="A547" t="s">
        <v>806</v>
      </c>
      <c r="B547" s="8" t="s">
        <v>1697</v>
      </c>
      <c r="C547" s="1">
        <f t="shared" si="160"/>
        <v>1403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 t="shared" si="153"/>
        <v>0</v>
      </c>
      <c r="G547" s="1">
        <f t="shared" si="154"/>
        <v>75</v>
      </c>
      <c r="H547" s="2">
        <f t="shared" si="155"/>
        <v>5.345687811831789E-2</v>
      </c>
      <c r="I547" s="6"/>
      <c r="J547" s="2">
        <f t="shared" si="156"/>
        <v>0.43977191732002852</v>
      </c>
      <c r="K547" s="2">
        <f t="shared" si="157"/>
        <v>0.49322879543834641</v>
      </c>
      <c r="L547" s="2">
        <f t="shared" si="158"/>
        <v>0</v>
      </c>
      <c r="M547" s="2">
        <f t="shared" si="159"/>
        <v>6.6999287241625072E-2</v>
      </c>
      <c r="N547" s="63">
        <v>617</v>
      </c>
      <c r="O547" s="63">
        <v>692</v>
      </c>
      <c r="P547" s="63">
        <v>0</v>
      </c>
      <c r="Q547" s="63">
        <v>67</v>
      </c>
      <c r="R547" s="63">
        <v>27</v>
      </c>
      <c r="S547" s="63">
        <v>0</v>
      </c>
      <c r="T547" s="67"/>
      <c r="U547" s="63"/>
      <c r="V547" s="63"/>
      <c r="W547" s="63">
        <f t="shared" si="145"/>
        <v>0</v>
      </c>
      <c r="X547" s="63"/>
      <c r="Y547" s="63"/>
      <c r="Z547" s="63"/>
      <c r="AA547" s="63"/>
      <c r="AB547" s="63"/>
      <c r="AE547" s="8">
        <v>0</v>
      </c>
      <c r="AT547" t="str">
        <f t="shared" si="161"/>
        <v>Phippsburg</v>
      </c>
      <c r="AU547" t="s">
        <v>1283</v>
      </c>
      <c r="AV547">
        <v>1</v>
      </c>
      <c r="AX547" s="114">
        <v>23</v>
      </c>
      <c r="AY547" s="116">
        <v>23</v>
      </c>
      <c r="AZ547" s="116">
        <v>30</v>
      </c>
      <c r="BA547" s="120">
        <v>58515</v>
      </c>
      <c r="BB547" s="120">
        <f t="shared" si="162"/>
        <v>23023</v>
      </c>
      <c r="BC547" t="s">
        <v>1472</v>
      </c>
      <c r="BD547">
        <f t="shared" si="163"/>
        <v>2358515</v>
      </c>
      <c r="BE547" s="1">
        <v>37</v>
      </c>
      <c r="BI547">
        <v>43.92</v>
      </c>
      <c r="BJ547">
        <v>15.06</v>
      </c>
      <c r="BK547">
        <v>28.86</v>
      </c>
      <c r="BS547" s="63">
        <v>0</v>
      </c>
      <c r="CK547" s="1" t="s">
        <v>4096</v>
      </c>
    </row>
    <row r="548" spans="1:89" hidden="1" outlineLevel="1">
      <c r="A548" t="s">
        <v>3098</v>
      </c>
      <c r="B548" s="8" t="s">
        <v>1697</v>
      </c>
      <c r="C548" s="1">
        <f t="shared" si="160"/>
        <v>1927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 t="shared" si="153"/>
        <v>5</v>
      </c>
      <c r="G548" s="1">
        <f t="shared" si="154"/>
        <v>402</v>
      </c>
      <c r="H548" s="2">
        <f t="shared" si="155"/>
        <v>0.20861442656979762</v>
      </c>
      <c r="I548" s="6"/>
      <c r="J548" s="2">
        <f t="shared" si="156"/>
        <v>0.3476907109496627</v>
      </c>
      <c r="K548" s="2">
        <f t="shared" si="157"/>
        <v>0.55630513751946031</v>
      </c>
      <c r="L548" s="2">
        <f t="shared" si="158"/>
        <v>9.8598858329008825E-3</v>
      </c>
      <c r="M548" s="2">
        <f t="shared" si="159"/>
        <v>8.614426569797605E-2</v>
      </c>
      <c r="N548" s="63">
        <v>670</v>
      </c>
      <c r="O548" s="63">
        <v>1072</v>
      </c>
      <c r="P548" s="63">
        <v>19</v>
      </c>
      <c r="Q548" s="63">
        <v>126</v>
      </c>
      <c r="R548" s="63">
        <v>40</v>
      </c>
      <c r="S548" s="63">
        <v>0</v>
      </c>
      <c r="T548" s="67"/>
      <c r="U548" s="63"/>
      <c r="V548" s="63"/>
      <c r="W548" s="63">
        <f t="shared" si="145"/>
        <v>0</v>
      </c>
      <c r="X548" s="63"/>
      <c r="Y548" s="63"/>
      <c r="Z548" s="63"/>
      <c r="AA548" s="63"/>
      <c r="AB548" s="63"/>
      <c r="AE548" s="8">
        <v>0</v>
      </c>
      <c r="AT548" t="str">
        <f t="shared" si="161"/>
        <v>Pittsfield</v>
      </c>
      <c r="AU548" t="s">
        <v>1787</v>
      </c>
      <c r="AV548">
        <v>2</v>
      </c>
      <c r="AX548" s="114">
        <v>23</v>
      </c>
      <c r="AY548" s="116">
        <v>25</v>
      </c>
      <c r="AZ548" s="116">
        <v>120</v>
      </c>
      <c r="BA548" s="120">
        <v>59005</v>
      </c>
      <c r="BB548" s="120">
        <f t="shared" si="162"/>
        <v>23025</v>
      </c>
      <c r="BC548" t="s">
        <v>1472</v>
      </c>
      <c r="BD548">
        <f t="shared" si="163"/>
        <v>2359005</v>
      </c>
      <c r="BE548" s="1">
        <v>53</v>
      </c>
      <c r="BI548">
        <v>48.71</v>
      </c>
      <c r="BJ548">
        <v>0.55000000000000004</v>
      </c>
      <c r="BK548">
        <v>48.16</v>
      </c>
      <c r="BS548" s="63">
        <v>0</v>
      </c>
      <c r="CK548" s="1" t="s">
        <v>4097</v>
      </c>
    </row>
    <row r="549" spans="1:89" hidden="1" outlineLevel="1">
      <c r="A549" t="s">
        <v>998</v>
      </c>
      <c r="B549" s="8" t="s">
        <v>1697</v>
      </c>
      <c r="C549" s="1">
        <f t="shared" si="160"/>
        <v>1643</v>
      </c>
      <c r="D549" s="5">
        <f>IF(N549&gt;0, RANK(N549,(N549:P549,Q549:AE549)),0)</f>
        <v>2</v>
      </c>
      <c r="E549" s="5">
        <f>IF(O549&gt;0,RANK(O549,(N549:P549,Q549:AE549)),0)</f>
        <v>1</v>
      </c>
      <c r="F549" s="5">
        <f t="shared" si="153"/>
        <v>0</v>
      </c>
      <c r="G549" s="1">
        <f t="shared" si="154"/>
        <v>359</v>
      </c>
      <c r="H549" s="2">
        <f t="shared" si="155"/>
        <v>0.21850273889227023</v>
      </c>
      <c r="I549" s="6"/>
      <c r="J549" s="2">
        <f t="shared" si="156"/>
        <v>0.35118685331710287</v>
      </c>
      <c r="K549" s="2">
        <f t="shared" si="157"/>
        <v>0.5696895922093731</v>
      </c>
      <c r="L549" s="2">
        <f t="shared" si="158"/>
        <v>0</v>
      </c>
      <c r="M549" s="2">
        <f t="shared" si="159"/>
        <v>7.9123554473524038E-2</v>
      </c>
      <c r="N549" s="63">
        <v>577</v>
      </c>
      <c r="O549" s="63">
        <v>936</v>
      </c>
      <c r="P549" s="63">
        <v>0</v>
      </c>
      <c r="Q549" s="63">
        <v>101</v>
      </c>
      <c r="R549" s="63">
        <v>29</v>
      </c>
      <c r="S549" s="63">
        <v>0</v>
      </c>
      <c r="T549" s="67"/>
      <c r="U549" s="63"/>
      <c r="V549" s="63"/>
      <c r="W549" s="63">
        <f t="shared" si="145"/>
        <v>0</v>
      </c>
      <c r="X549" s="63"/>
      <c r="Y549" s="63"/>
      <c r="Z549" s="63"/>
      <c r="AA549" s="63"/>
      <c r="AB549" s="63"/>
      <c r="AE549" s="8">
        <v>0</v>
      </c>
      <c r="AT549" t="str">
        <f t="shared" si="161"/>
        <v>Pittston</v>
      </c>
      <c r="AU549" t="s">
        <v>3007</v>
      </c>
      <c r="AV549">
        <v>1</v>
      </c>
      <c r="AX549" s="114">
        <v>23</v>
      </c>
      <c r="AY549" s="116">
        <v>11</v>
      </c>
      <c r="AZ549" s="116">
        <v>85</v>
      </c>
      <c r="BA549" s="120">
        <v>59110</v>
      </c>
      <c r="BB549" s="120">
        <f t="shared" si="162"/>
        <v>23011</v>
      </c>
      <c r="BC549" t="s">
        <v>1472</v>
      </c>
      <c r="BD549">
        <f t="shared" si="163"/>
        <v>2359110</v>
      </c>
      <c r="BE549" s="1">
        <v>80</v>
      </c>
      <c r="BI549">
        <v>33.409999999999997</v>
      </c>
      <c r="BJ549">
        <v>1.25</v>
      </c>
      <c r="BK549">
        <v>32.159999999999997</v>
      </c>
      <c r="BS549" s="63">
        <v>0</v>
      </c>
      <c r="CK549" s="1" t="s">
        <v>4098</v>
      </c>
    </row>
    <row r="550" spans="1:89" hidden="1" outlineLevel="1">
      <c r="A550" t="s">
        <v>670</v>
      </c>
      <c r="B550" s="8" t="s">
        <v>1697</v>
      </c>
      <c r="C550" s="1">
        <f t="shared" si="160"/>
        <v>243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 t="shared" si="153"/>
        <v>0</v>
      </c>
      <c r="G550" s="1">
        <f t="shared" si="154"/>
        <v>115</v>
      </c>
      <c r="H550" s="2">
        <f t="shared" si="155"/>
        <v>0.47325102880658437</v>
      </c>
      <c r="I550" s="6"/>
      <c r="J550" s="2">
        <f t="shared" si="156"/>
        <v>0.66666666666666663</v>
      </c>
      <c r="K550" s="2">
        <f t="shared" si="157"/>
        <v>0.19341563786008231</v>
      </c>
      <c r="L550" s="2">
        <f t="shared" si="158"/>
        <v>0</v>
      </c>
      <c r="M550" s="2">
        <f t="shared" si="159"/>
        <v>0.13991769547325106</v>
      </c>
      <c r="N550" s="63">
        <v>162</v>
      </c>
      <c r="O550" s="63">
        <v>47</v>
      </c>
      <c r="P550" s="63">
        <v>0</v>
      </c>
      <c r="Q550" s="63">
        <v>15</v>
      </c>
      <c r="R550" s="63">
        <v>19</v>
      </c>
      <c r="S550" s="63">
        <v>0</v>
      </c>
      <c r="T550" s="67"/>
      <c r="U550" s="63"/>
      <c r="V550" s="63"/>
      <c r="W550" s="63">
        <f t="shared" si="145"/>
        <v>0</v>
      </c>
      <c r="X550" s="63"/>
      <c r="Y550" s="63"/>
      <c r="Z550" s="63"/>
      <c r="AA550" s="63"/>
      <c r="AB550" s="63"/>
      <c r="AE550" s="8">
        <v>0</v>
      </c>
      <c r="AT550" t="str">
        <f t="shared" si="161"/>
        <v>Pleasant Point</v>
      </c>
      <c r="AU550" t="s">
        <v>692</v>
      </c>
      <c r="AV550">
        <v>2</v>
      </c>
      <c r="AX550" s="114">
        <v>23</v>
      </c>
      <c r="AY550" s="116">
        <v>29</v>
      </c>
      <c r="BA550" s="120">
        <v>59600</v>
      </c>
      <c r="BB550" s="120">
        <f t="shared" si="162"/>
        <v>23029</v>
      </c>
      <c r="BC550" t="s">
        <v>3165</v>
      </c>
      <c r="BD550">
        <f t="shared" si="163"/>
        <v>2359600</v>
      </c>
      <c r="BE550" s="1">
        <v>12</v>
      </c>
      <c r="BS550" s="63">
        <v>0</v>
      </c>
      <c r="CK550" s="159" t="s">
        <v>4099</v>
      </c>
    </row>
    <row r="551" spans="1:89" hidden="1" outlineLevel="1">
      <c r="A551" t="s">
        <v>1347</v>
      </c>
      <c r="B551" s="8" t="s">
        <v>1697</v>
      </c>
      <c r="C551" s="1">
        <f t="shared" si="160"/>
        <v>49</v>
      </c>
      <c r="D551" s="5">
        <f>IF(N551&gt;0, RANK(N551,(N551:P551,Q551:AE551)),0)</f>
        <v>2</v>
      </c>
      <c r="E551" s="5">
        <f>IF(O551&gt;0,RANK(O551,(N551:P551,Q551:AE551)),0)</f>
        <v>1</v>
      </c>
      <c r="F551" s="5">
        <f t="shared" si="153"/>
        <v>4</v>
      </c>
      <c r="G551" s="1">
        <f t="shared" si="154"/>
        <v>22</v>
      </c>
      <c r="H551" s="2">
        <f t="shared" si="155"/>
        <v>0.44897959183673469</v>
      </c>
      <c r="I551" s="6"/>
      <c r="J551" s="2">
        <f t="shared" si="156"/>
        <v>0.22448979591836735</v>
      </c>
      <c r="K551" s="2">
        <f t="shared" si="157"/>
        <v>0.67346938775510201</v>
      </c>
      <c r="L551" s="2">
        <f t="shared" si="158"/>
        <v>2.0408163265306121E-2</v>
      </c>
      <c r="M551" s="2">
        <f t="shared" si="159"/>
        <v>8.1632653061224497E-2</v>
      </c>
      <c r="N551" s="63">
        <v>11</v>
      </c>
      <c r="O551" s="63">
        <v>33</v>
      </c>
      <c r="P551" s="63">
        <v>1</v>
      </c>
      <c r="Q551" s="63">
        <v>4</v>
      </c>
      <c r="R551" s="63">
        <v>0</v>
      </c>
      <c r="S551" s="63">
        <v>0</v>
      </c>
      <c r="T551" s="67"/>
      <c r="U551" s="63"/>
      <c r="V551" s="63"/>
      <c r="W551" s="63">
        <f t="shared" si="145"/>
        <v>0</v>
      </c>
      <c r="X551" s="63"/>
      <c r="Y551" s="63"/>
      <c r="Z551" s="63"/>
      <c r="AA551" s="63"/>
      <c r="AB551" s="63"/>
      <c r="AE551" s="8">
        <v>0</v>
      </c>
      <c r="AT551" t="str">
        <f t="shared" si="161"/>
        <v>Pleasant Ridge</v>
      </c>
      <c r="AU551" t="s">
        <v>1787</v>
      </c>
      <c r="AV551">
        <v>2</v>
      </c>
      <c r="AX551" s="114">
        <v>23</v>
      </c>
      <c r="AY551" s="116">
        <v>25</v>
      </c>
      <c r="AZ551" s="116">
        <v>125</v>
      </c>
      <c r="BA551" s="120">
        <v>59705</v>
      </c>
      <c r="BB551" s="120">
        <f t="shared" si="162"/>
        <v>23025</v>
      </c>
      <c r="BC551" t="s">
        <v>3075</v>
      </c>
      <c r="BD551">
        <f t="shared" si="163"/>
        <v>2359705</v>
      </c>
      <c r="BE551" s="1">
        <v>2</v>
      </c>
      <c r="BI551">
        <v>24.1</v>
      </c>
      <c r="BJ551">
        <v>2.0499999999999998</v>
      </c>
      <c r="BK551">
        <v>22.05</v>
      </c>
      <c r="BS551" s="63">
        <v>0</v>
      </c>
      <c r="CK551" s="1" t="s">
        <v>4100</v>
      </c>
    </row>
    <row r="552" spans="1:89" hidden="1" outlineLevel="1">
      <c r="A552" t="s">
        <v>231</v>
      </c>
      <c r="B552" s="8" t="s">
        <v>1697</v>
      </c>
      <c r="C552" s="1">
        <f t="shared" si="160"/>
        <v>724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 t="shared" si="153"/>
        <v>5</v>
      </c>
      <c r="G552" s="1">
        <f t="shared" si="154"/>
        <v>300</v>
      </c>
      <c r="H552" s="2">
        <f t="shared" si="155"/>
        <v>0.4143646408839779</v>
      </c>
      <c r="I552" s="6"/>
      <c r="J552" s="2">
        <f t="shared" si="156"/>
        <v>0.2541436464088398</v>
      </c>
      <c r="K552" s="2">
        <f t="shared" si="157"/>
        <v>0.66850828729281764</v>
      </c>
      <c r="L552" s="2">
        <f t="shared" si="158"/>
        <v>4.1436464088397788E-3</v>
      </c>
      <c r="M552" s="2">
        <f t="shared" si="159"/>
        <v>7.3204419889502784E-2</v>
      </c>
      <c r="N552" s="63">
        <v>184</v>
      </c>
      <c r="O552" s="63">
        <v>484</v>
      </c>
      <c r="P552" s="63">
        <v>3</v>
      </c>
      <c r="Q552" s="63">
        <v>42</v>
      </c>
      <c r="R552" s="63">
        <v>11</v>
      </c>
      <c r="S552" s="63">
        <v>0</v>
      </c>
      <c r="T552" s="67"/>
      <c r="U552" s="63"/>
      <c r="V552" s="63"/>
      <c r="W552" s="63">
        <f t="shared" si="145"/>
        <v>0</v>
      </c>
      <c r="X552" s="63"/>
      <c r="Y552" s="63"/>
      <c r="Z552" s="63"/>
      <c r="AA552" s="63"/>
      <c r="AB552" s="63"/>
      <c r="AE552" s="8">
        <v>0</v>
      </c>
      <c r="AT552" t="str">
        <f t="shared" si="161"/>
        <v>Plymouth</v>
      </c>
      <c r="AU552" t="s">
        <v>2481</v>
      </c>
      <c r="AV552">
        <v>2</v>
      </c>
      <c r="AX552" s="114">
        <v>23</v>
      </c>
      <c r="AY552" s="116">
        <v>19</v>
      </c>
      <c r="AZ552" s="116">
        <v>265</v>
      </c>
      <c r="BA552" s="120">
        <v>59950</v>
      </c>
      <c r="BB552" s="120">
        <f t="shared" si="162"/>
        <v>23019</v>
      </c>
      <c r="BC552" t="s">
        <v>1472</v>
      </c>
      <c r="BD552">
        <f t="shared" si="163"/>
        <v>2359950</v>
      </c>
      <c r="BE552" s="1">
        <v>24</v>
      </c>
      <c r="BI552">
        <v>31.26</v>
      </c>
      <c r="BJ552">
        <v>1.32</v>
      </c>
      <c r="BK552">
        <v>29.94</v>
      </c>
      <c r="BS552" s="63">
        <v>0</v>
      </c>
      <c r="CK552" s="1" t="s">
        <v>4101</v>
      </c>
    </row>
    <row r="553" spans="1:89" hidden="1" outlineLevel="1">
      <c r="A553" t="s">
        <v>695</v>
      </c>
      <c r="B553" s="8" t="s">
        <v>1697</v>
      </c>
      <c r="C553" s="1">
        <f t="shared" si="160"/>
        <v>3193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 t="shared" si="153"/>
        <v>5</v>
      </c>
      <c r="G553" s="1">
        <f t="shared" si="154"/>
        <v>441</v>
      </c>
      <c r="H553" s="2">
        <f t="shared" si="155"/>
        <v>0.13811462574381458</v>
      </c>
      <c r="I553" s="6"/>
      <c r="J553" s="2">
        <f t="shared" si="156"/>
        <v>0.3896022549326652</v>
      </c>
      <c r="K553" s="2">
        <f t="shared" si="157"/>
        <v>0.52771688067647982</v>
      </c>
      <c r="L553" s="2">
        <f t="shared" si="158"/>
        <v>2.192295646727216E-3</v>
      </c>
      <c r="M553" s="2">
        <f t="shared" si="159"/>
        <v>8.048856874412777E-2</v>
      </c>
      <c r="N553" s="63">
        <v>1244</v>
      </c>
      <c r="O553" s="63">
        <v>1685</v>
      </c>
      <c r="P553" s="63">
        <v>7</v>
      </c>
      <c r="Q553" s="63">
        <v>199</v>
      </c>
      <c r="R553" s="63">
        <v>58</v>
      </c>
      <c r="S553" s="63">
        <v>0</v>
      </c>
      <c r="T553" s="67"/>
      <c r="U553" s="63"/>
      <c r="V553" s="63"/>
      <c r="W553" s="63">
        <f t="shared" si="145"/>
        <v>0</v>
      </c>
      <c r="X553" s="63"/>
      <c r="Y553" s="63"/>
      <c r="Z553" s="63"/>
      <c r="AA553" s="63"/>
      <c r="AB553" s="63"/>
      <c r="AE553" s="8">
        <v>0</v>
      </c>
      <c r="AT553" t="str">
        <f t="shared" si="161"/>
        <v>Poland</v>
      </c>
      <c r="AU553" t="s">
        <v>1118</v>
      </c>
      <c r="AV553">
        <v>2</v>
      </c>
      <c r="AX553" s="114">
        <v>23</v>
      </c>
      <c r="AY553" s="116">
        <v>1</v>
      </c>
      <c r="AZ553" s="116">
        <v>55</v>
      </c>
      <c r="BA553" s="120">
        <v>60020</v>
      </c>
      <c r="BB553" s="120">
        <f t="shared" si="162"/>
        <v>23001</v>
      </c>
      <c r="BC553" t="s">
        <v>1472</v>
      </c>
      <c r="BD553">
        <f t="shared" si="163"/>
        <v>2360020</v>
      </c>
      <c r="BE553" s="1">
        <v>91</v>
      </c>
      <c r="BI553">
        <v>47.16</v>
      </c>
      <c r="BJ553">
        <v>4.8499999999999996</v>
      </c>
      <c r="BK553">
        <v>42.31</v>
      </c>
      <c r="BS553" s="63">
        <v>0</v>
      </c>
      <c r="CK553" s="1" t="s">
        <v>4102</v>
      </c>
    </row>
    <row r="554" spans="1:89" hidden="1" outlineLevel="1">
      <c r="A554" t="s">
        <v>2286</v>
      </c>
      <c r="B554" s="8" t="s">
        <v>1697</v>
      </c>
      <c r="C554" s="1">
        <f t="shared" si="160"/>
        <v>250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 t="shared" si="153"/>
        <v>0</v>
      </c>
      <c r="G554" s="1">
        <f t="shared" si="154"/>
        <v>65</v>
      </c>
      <c r="H554" s="2">
        <f t="shared" si="155"/>
        <v>0.26</v>
      </c>
      <c r="I554" s="6"/>
      <c r="J554" s="2">
        <f t="shared" si="156"/>
        <v>0.35199999999999998</v>
      </c>
      <c r="K554" s="2">
        <f t="shared" si="157"/>
        <v>0.61199999999999999</v>
      </c>
      <c r="L554" s="2">
        <f t="shared" si="158"/>
        <v>0</v>
      </c>
      <c r="M554" s="2">
        <f t="shared" si="159"/>
        <v>3.6000000000000032E-2</v>
      </c>
      <c r="N554" s="63">
        <v>88</v>
      </c>
      <c r="O554" s="63">
        <v>153</v>
      </c>
      <c r="P554" s="63">
        <v>0</v>
      </c>
      <c r="Q554" s="63">
        <v>6</v>
      </c>
      <c r="R554" s="63">
        <v>3</v>
      </c>
      <c r="S554" s="63">
        <v>0</v>
      </c>
      <c r="T554" s="67"/>
      <c r="U554" s="63"/>
      <c r="V554" s="63"/>
      <c r="W554" s="63">
        <f t="shared" si="145"/>
        <v>0</v>
      </c>
      <c r="X554" s="63"/>
      <c r="Y554" s="63"/>
      <c r="Z554" s="63"/>
      <c r="AA554" s="63"/>
      <c r="AB554" s="63"/>
      <c r="AE554" s="8">
        <v>0</v>
      </c>
      <c r="AT554" t="str">
        <f t="shared" si="161"/>
        <v>Portage Lake</v>
      </c>
      <c r="AU554" t="s">
        <v>2830</v>
      </c>
      <c r="AV554">
        <v>2</v>
      </c>
      <c r="AX554" s="114">
        <v>23</v>
      </c>
      <c r="AY554" s="116">
        <v>3</v>
      </c>
      <c r="AZ554" s="116">
        <v>260</v>
      </c>
      <c r="BA554" s="120">
        <v>60300</v>
      </c>
      <c r="BB554" s="120">
        <f t="shared" si="162"/>
        <v>23003</v>
      </c>
      <c r="BC554" t="s">
        <v>1472</v>
      </c>
      <c r="BD554">
        <f t="shared" si="163"/>
        <v>2360300</v>
      </c>
      <c r="BE554" s="1">
        <v>10</v>
      </c>
      <c r="BI554">
        <v>34.520000000000003</v>
      </c>
      <c r="BJ554">
        <v>3.8</v>
      </c>
      <c r="BK554">
        <v>30.72</v>
      </c>
      <c r="BS554" s="63">
        <v>0</v>
      </c>
      <c r="CK554" s="1" t="s">
        <v>4103</v>
      </c>
    </row>
    <row r="555" spans="1:89" hidden="1" outlineLevel="1">
      <c r="A555" t="s">
        <v>2231</v>
      </c>
      <c r="B555" s="8" t="s">
        <v>1697</v>
      </c>
      <c r="C555" s="1">
        <f t="shared" si="160"/>
        <v>797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 t="shared" si="153"/>
        <v>5</v>
      </c>
      <c r="G555" s="1">
        <f t="shared" si="154"/>
        <v>192</v>
      </c>
      <c r="H555" s="2">
        <f t="shared" si="155"/>
        <v>0.24090338770388958</v>
      </c>
      <c r="I555" s="6"/>
      <c r="J555" s="2">
        <f t="shared" si="156"/>
        <v>0.33877038895859474</v>
      </c>
      <c r="K555" s="2">
        <f t="shared" si="157"/>
        <v>0.57967377666248432</v>
      </c>
      <c r="L555" s="2">
        <f t="shared" si="158"/>
        <v>5.018820577164366E-3</v>
      </c>
      <c r="M555" s="2">
        <f t="shared" si="159"/>
        <v>7.6537013801756634E-2</v>
      </c>
      <c r="N555" s="63">
        <v>270</v>
      </c>
      <c r="O555" s="63">
        <v>462</v>
      </c>
      <c r="P555" s="63">
        <v>4</v>
      </c>
      <c r="Q555" s="63">
        <v>48</v>
      </c>
      <c r="R555" s="63">
        <v>10</v>
      </c>
      <c r="S555" s="63">
        <v>3</v>
      </c>
      <c r="T555" s="67"/>
      <c r="U555" s="63"/>
      <c r="V555" s="63"/>
      <c r="W555" s="63">
        <f t="shared" si="145"/>
        <v>0</v>
      </c>
      <c r="X555" s="63"/>
      <c r="Y555" s="63"/>
      <c r="Z555" s="63"/>
      <c r="AA555" s="63"/>
      <c r="AB555" s="63"/>
      <c r="AE555" s="8">
        <v>0</v>
      </c>
      <c r="AT555" t="str">
        <f t="shared" si="161"/>
        <v>Porter</v>
      </c>
      <c r="AU555" t="s">
        <v>2383</v>
      </c>
      <c r="AV555">
        <v>2</v>
      </c>
      <c r="AX555" s="114">
        <v>23</v>
      </c>
      <c r="AY555" s="116">
        <v>17</v>
      </c>
      <c r="AZ555" s="116">
        <v>125</v>
      </c>
      <c r="BA555" s="120">
        <v>60405</v>
      </c>
      <c r="BB555" s="120">
        <f t="shared" si="162"/>
        <v>23017</v>
      </c>
      <c r="BC555" t="s">
        <v>1472</v>
      </c>
      <c r="BD555">
        <f t="shared" si="163"/>
        <v>2360405</v>
      </c>
      <c r="BE555" s="1">
        <v>25</v>
      </c>
      <c r="BI555">
        <v>32.92</v>
      </c>
      <c r="BJ555">
        <v>1.43</v>
      </c>
      <c r="BK555">
        <v>31.49</v>
      </c>
      <c r="BS555" s="63">
        <v>0</v>
      </c>
      <c r="CK555" s="1" t="s">
        <v>4104</v>
      </c>
    </row>
    <row r="556" spans="1:89" hidden="1" outlineLevel="1">
      <c r="A556" t="s">
        <v>1298</v>
      </c>
      <c r="B556" s="8" t="s">
        <v>1697</v>
      </c>
      <c r="C556" s="1">
        <f t="shared" si="160"/>
        <v>37596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 t="shared" si="153"/>
        <v>5</v>
      </c>
      <c r="G556" s="1">
        <f t="shared" si="154"/>
        <v>21745</v>
      </c>
      <c r="H556" s="2">
        <f t="shared" si="155"/>
        <v>0.57838599851047989</v>
      </c>
      <c r="I556" s="6"/>
      <c r="J556" s="2">
        <f t="shared" si="156"/>
        <v>0.75896371954463238</v>
      </c>
      <c r="K556" s="2">
        <f t="shared" si="157"/>
        <v>0.18057772103415257</v>
      </c>
      <c r="L556" s="2">
        <f t="shared" si="158"/>
        <v>1.5427173103521651E-3</v>
      </c>
      <c r="M556" s="2">
        <f t="shared" si="159"/>
        <v>5.8915842110862891E-2</v>
      </c>
      <c r="N556" s="63">
        <v>28534</v>
      </c>
      <c r="O556" s="63">
        <v>6789</v>
      </c>
      <c r="P556" s="63">
        <v>58</v>
      </c>
      <c r="Q556" s="63">
        <v>1226</v>
      </c>
      <c r="R556" s="63">
        <v>987</v>
      </c>
      <c r="S556" s="63">
        <v>2</v>
      </c>
      <c r="T556" s="67"/>
      <c r="U556" s="63"/>
      <c r="V556" s="63"/>
      <c r="W556" s="63">
        <f t="shared" si="145"/>
        <v>0</v>
      </c>
      <c r="X556" s="63"/>
      <c r="Y556" s="63"/>
      <c r="Z556" s="63"/>
      <c r="AA556" s="63"/>
      <c r="AB556" s="63"/>
      <c r="AE556" s="8">
        <v>0</v>
      </c>
      <c r="AT556" t="str">
        <f t="shared" si="161"/>
        <v>Portland</v>
      </c>
      <c r="AU556" t="s">
        <v>1531</v>
      </c>
      <c r="AV556">
        <v>1</v>
      </c>
      <c r="AX556" s="114">
        <v>23</v>
      </c>
      <c r="AY556" s="116">
        <v>5</v>
      </c>
      <c r="AZ556" s="116">
        <v>85</v>
      </c>
      <c r="BA556" s="120">
        <v>60545</v>
      </c>
      <c r="BB556" s="120">
        <f t="shared" si="162"/>
        <v>23005</v>
      </c>
      <c r="BC556" t="s">
        <v>1249</v>
      </c>
      <c r="BD556">
        <f t="shared" si="163"/>
        <v>2360545</v>
      </c>
      <c r="BE556" s="1">
        <v>981</v>
      </c>
      <c r="BI556">
        <v>52.57</v>
      </c>
      <c r="BJ556">
        <v>31.36</v>
      </c>
      <c r="BK556">
        <v>21.21</v>
      </c>
      <c r="BS556" s="63">
        <v>0</v>
      </c>
      <c r="CK556" s="1" t="s">
        <v>4105</v>
      </c>
    </row>
    <row r="557" spans="1:89" hidden="1" outlineLevel="1">
      <c r="A557" t="s">
        <v>2225</v>
      </c>
      <c r="B557" s="8" t="s">
        <v>1697</v>
      </c>
      <c r="C557" s="1">
        <f t="shared" si="160"/>
        <v>1054</v>
      </c>
      <c r="D557" s="5">
        <f>IF(N557&gt;0, RANK(N557,(N557:P557,Q557:AE557)),0)</f>
        <v>1</v>
      </c>
      <c r="E557" s="5">
        <f>IF(O557&gt;0,RANK(O557,(N557:P557,Q557:AE557)),0)</f>
        <v>2</v>
      </c>
      <c r="F557" s="5">
        <f t="shared" si="153"/>
        <v>0</v>
      </c>
      <c r="G557" s="1">
        <f t="shared" si="154"/>
        <v>135</v>
      </c>
      <c r="H557" s="2">
        <f t="shared" si="155"/>
        <v>0.12808349146110057</v>
      </c>
      <c r="I557" s="6"/>
      <c r="J557" s="2">
        <f t="shared" si="156"/>
        <v>0.52751423149905119</v>
      </c>
      <c r="K557" s="2">
        <f t="shared" si="157"/>
        <v>0.39943074003795065</v>
      </c>
      <c r="L557" s="2">
        <f t="shared" si="158"/>
        <v>0</v>
      </c>
      <c r="M557" s="2">
        <f t="shared" si="159"/>
        <v>7.3055028462998162E-2</v>
      </c>
      <c r="N557" s="63">
        <v>556</v>
      </c>
      <c r="O557" s="63">
        <v>421</v>
      </c>
      <c r="P557" s="63">
        <v>0</v>
      </c>
      <c r="Q557" s="63">
        <v>60</v>
      </c>
      <c r="R557" s="63">
        <v>16</v>
      </c>
      <c r="S557" s="63">
        <v>1</v>
      </c>
      <c r="T557" s="67"/>
      <c r="U557" s="63"/>
      <c r="V557" s="63"/>
      <c r="W557" s="63">
        <f t="shared" si="145"/>
        <v>0</v>
      </c>
      <c r="X557" s="63"/>
      <c r="Y557" s="63"/>
      <c r="Z557" s="63"/>
      <c r="AA557" s="63"/>
      <c r="AB557" s="63"/>
      <c r="AE557" s="8">
        <v>0</v>
      </c>
      <c r="AT557" t="str">
        <f t="shared" si="161"/>
        <v>Pownal</v>
      </c>
      <c r="AU557" t="s">
        <v>1531</v>
      </c>
      <c r="AV557">
        <v>1</v>
      </c>
      <c r="AX557" s="114">
        <v>23</v>
      </c>
      <c r="AY557" s="116">
        <v>5</v>
      </c>
      <c r="AZ557" s="116">
        <v>90</v>
      </c>
      <c r="BA557" s="120">
        <v>60685</v>
      </c>
      <c r="BB557" s="120">
        <f t="shared" si="162"/>
        <v>23005</v>
      </c>
      <c r="BC557" t="s">
        <v>1472</v>
      </c>
      <c r="BD557">
        <f t="shared" si="163"/>
        <v>2360685</v>
      </c>
      <c r="BE557" s="1">
        <v>34</v>
      </c>
      <c r="BI557">
        <v>22.95</v>
      </c>
      <c r="BJ557">
        <v>0.02</v>
      </c>
      <c r="BK557">
        <v>22.94</v>
      </c>
      <c r="BS557" s="63">
        <v>0</v>
      </c>
      <c r="CK557" s="1" t="s">
        <v>4106</v>
      </c>
    </row>
    <row r="558" spans="1:89" hidden="1" outlineLevel="1">
      <c r="A558" s="34" t="s">
        <v>459</v>
      </c>
      <c r="B558" s="8" t="s">
        <v>1697</v>
      </c>
      <c r="C558" s="1">
        <f t="shared" si="160"/>
        <v>91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 t="shared" si="153"/>
        <v>0</v>
      </c>
      <c r="G558" s="1">
        <f t="shared" si="154"/>
        <v>52</v>
      </c>
      <c r="H558" s="2">
        <f t="shared" si="155"/>
        <v>0.5714285714285714</v>
      </c>
      <c r="I558" s="6"/>
      <c r="J558" s="2">
        <f t="shared" si="156"/>
        <v>0.19780219780219779</v>
      </c>
      <c r="K558" s="2">
        <f t="shared" si="157"/>
        <v>0.76923076923076927</v>
      </c>
      <c r="L558" s="2">
        <f t="shared" si="158"/>
        <v>0</v>
      </c>
      <c r="M558" s="2">
        <f t="shared" si="159"/>
        <v>3.2967032967032961E-2</v>
      </c>
      <c r="N558" s="63">
        <v>18</v>
      </c>
      <c r="O558" s="63">
        <v>70</v>
      </c>
      <c r="P558" s="63">
        <v>0</v>
      </c>
      <c r="Q558" s="63">
        <v>1</v>
      </c>
      <c r="R558" s="63">
        <v>2</v>
      </c>
      <c r="S558" s="63">
        <v>0</v>
      </c>
      <c r="T558" s="67"/>
      <c r="U558" s="63"/>
      <c r="V558" s="63"/>
      <c r="W558" s="63">
        <f t="shared" ref="W558:W621" si="164">BS558</f>
        <v>0</v>
      </c>
      <c r="X558" s="63"/>
      <c r="Y558" s="63"/>
      <c r="Z558" s="63"/>
      <c r="AA558" s="63"/>
      <c r="AB558" s="63"/>
      <c r="AE558" s="8">
        <v>0</v>
      </c>
      <c r="AT558" t="str">
        <f t="shared" si="161"/>
        <v>Prentiss</v>
      </c>
      <c r="AU558" t="s">
        <v>2481</v>
      </c>
      <c r="AV558">
        <v>2</v>
      </c>
      <c r="AX558" s="114">
        <v>23</v>
      </c>
      <c r="AY558" s="116">
        <v>19</v>
      </c>
      <c r="AZ558" s="116">
        <v>270</v>
      </c>
      <c r="BA558" s="120">
        <v>60790</v>
      </c>
      <c r="BB558" s="120">
        <f t="shared" si="162"/>
        <v>23019</v>
      </c>
      <c r="BC558" t="s">
        <v>957</v>
      </c>
      <c r="BD558">
        <f t="shared" si="163"/>
        <v>2360790</v>
      </c>
      <c r="BE558" s="1">
        <v>7</v>
      </c>
      <c r="BI558">
        <v>38.39</v>
      </c>
      <c r="BJ558">
        <v>0.04</v>
      </c>
      <c r="BK558">
        <v>38.35</v>
      </c>
      <c r="BS558" s="63">
        <v>0</v>
      </c>
      <c r="CK558" s="1" t="s">
        <v>4107</v>
      </c>
    </row>
    <row r="559" spans="1:89" hidden="1" outlineLevel="1">
      <c r="A559" t="s">
        <v>234</v>
      </c>
      <c r="B559" s="8" t="s">
        <v>1697</v>
      </c>
      <c r="C559" s="1">
        <f t="shared" si="160"/>
        <v>4267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 t="shared" si="153"/>
        <v>5</v>
      </c>
      <c r="G559" s="1">
        <f t="shared" si="154"/>
        <v>323</v>
      </c>
      <c r="H559" s="2">
        <f t="shared" si="155"/>
        <v>7.5697211155378488E-2</v>
      </c>
      <c r="I559" s="6"/>
      <c r="J559" s="2">
        <f t="shared" si="156"/>
        <v>0.41692055308179049</v>
      </c>
      <c r="K559" s="2">
        <f t="shared" si="157"/>
        <v>0.49261776423716896</v>
      </c>
      <c r="L559" s="2">
        <f t="shared" si="158"/>
        <v>6.3276306538551678E-3</v>
      </c>
      <c r="M559" s="2">
        <f t="shared" si="159"/>
        <v>8.4134052027185324E-2</v>
      </c>
      <c r="N559" s="63">
        <v>1779</v>
      </c>
      <c r="O559" s="63">
        <v>2102</v>
      </c>
      <c r="P559" s="63">
        <v>27</v>
      </c>
      <c r="Q559" s="63">
        <v>281</v>
      </c>
      <c r="R559" s="63">
        <v>78</v>
      </c>
      <c r="S559" s="63">
        <v>0</v>
      </c>
      <c r="T559" s="67"/>
      <c r="U559" s="63"/>
      <c r="V559" s="63"/>
      <c r="W559" s="63">
        <f t="shared" si="164"/>
        <v>0</v>
      </c>
      <c r="X559" s="63"/>
      <c r="Y559" s="63"/>
      <c r="Z559" s="63"/>
      <c r="AA559" s="63"/>
      <c r="AB559" s="63"/>
      <c r="AE559" s="8">
        <v>0</v>
      </c>
      <c r="AT559" t="str">
        <f t="shared" si="161"/>
        <v>Presque Isle</v>
      </c>
      <c r="AU559" t="s">
        <v>2830</v>
      </c>
      <c r="AV559">
        <v>2</v>
      </c>
      <c r="AX559" s="114">
        <v>23</v>
      </c>
      <c r="AY559" s="116">
        <v>3</v>
      </c>
      <c r="AZ559" s="116">
        <v>265</v>
      </c>
      <c r="BA559" s="120">
        <v>60825</v>
      </c>
      <c r="BB559" s="120">
        <f t="shared" si="162"/>
        <v>23003</v>
      </c>
      <c r="BC559" t="s">
        <v>1249</v>
      </c>
      <c r="BD559">
        <f t="shared" si="163"/>
        <v>2360825</v>
      </c>
      <c r="BE559" s="1">
        <v>158</v>
      </c>
      <c r="BI559">
        <v>77.55</v>
      </c>
      <c r="BJ559">
        <v>1.8</v>
      </c>
      <c r="BK559">
        <v>75.75</v>
      </c>
      <c r="BS559" s="63">
        <v>0</v>
      </c>
      <c r="CK559" s="1" t="s">
        <v>4108</v>
      </c>
    </row>
    <row r="560" spans="1:89" hidden="1" outlineLevel="1">
      <c r="A560" t="s">
        <v>2822</v>
      </c>
      <c r="B560" s="8" t="s">
        <v>1697</v>
      </c>
      <c r="C560" s="1">
        <f t="shared" si="160"/>
        <v>496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 t="shared" si="153"/>
        <v>5</v>
      </c>
      <c r="G560" s="1">
        <f t="shared" si="154"/>
        <v>211</v>
      </c>
      <c r="H560" s="2">
        <f t="shared" si="155"/>
        <v>0.42540322580645162</v>
      </c>
      <c r="I560" s="6"/>
      <c r="J560" s="2">
        <f t="shared" si="156"/>
        <v>0.23991935483870969</v>
      </c>
      <c r="K560" s="2">
        <f t="shared" si="157"/>
        <v>0.66532258064516125</v>
      </c>
      <c r="L560" s="2">
        <f t="shared" si="158"/>
        <v>2.0161290322580645E-3</v>
      </c>
      <c r="M560" s="2">
        <f t="shared" si="159"/>
        <v>9.2741935483870941E-2</v>
      </c>
      <c r="N560" s="63">
        <v>119</v>
      </c>
      <c r="O560" s="63">
        <v>330</v>
      </c>
      <c r="P560" s="63">
        <v>1</v>
      </c>
      <c r="Q560" s="63">
        <v>34</v>
      </c>
      <c r="R560" s="63">
        <v>12</v>
      </c>
      <c r="S560" s="63">
        <v>0</v>
      </c>
      <c r="T560" s="67"/>
      <c r="U560" s="63"/>
      <c r="V560" s="63"/>
      <c r="W560" s="63">
        <f t="shared" si="164"/>
        <v>0</v>
      </c>
      <c r="X560" s="63"/>
      <c r="Y560" s="63"/>
      <c r="Z560" s="63"/>
      <c r="AA560" s="63"/>
      <c r="AB560" s="63"/>
      <c r="AE560" s="8">
        <v>0</v>
      </c>
      <c r="AT560" t="str">
        <f t="shared" si="161"/>
        <v>Princeton</v>
      </c>
      <c r="AU560" t="s">
        <v>692</v>
      </c>
      <c r="AV560">
        <v>2</v>
      </c>
      <c r="AX560" s="114">
        <v>23</v>
      </c>
      <c r="AY560" s="116">
        <v>29</v>
      </c>
      <c r="AZ560" s="116">
        <v>180</v>
      </c>
      <c r="BA560" s="120">
        <v>61035</v>
      </c>
      <c r="BB560" s="120">
        <f t="shared" si="162"/>
        <v>23029</v>
      </c>
      <c r="BC560" t="s">
        <v>1472</v>
      </c>
      <c r="BD560">
        <f t="shared" si="163"/>
        <v>2361035</v>
      </c>
      <c r="BE560" s="1">
        <v>14</v>
      </c>
      <c r="BI560">
        <v>42.26</v>
      </c>
      <c r="BJ560">
        <v>5.24</v>
      </c>
      <c r="BK560">
        <v>37.01</v>
      </c>
      <c r="BS560" s="63">
        <v>0</v>
      </c>
      <c r="CK560" s="1" t="s">
        <v>4109</v>
      </c>
    </row>
    <row r="561" spans="1:89" hidden="1" outlineLevel="1">
      <c r="A561" t="s">
        <v>2360</v>
      </c>
      <c r="B561" s="8" t="s">
        <v>1697</v>
      </c>
      <c r="C561" s="1">
        <f t="shared" si="160"/>
        <v>405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 t="shared" si="153"/>
        <v>5</v>
      </c>
      <c r="G561" s="1">
        <f t="shared" si="154"/>
        <v>67</v>
      </c>
      <c r="H561" s="2">
        <f t="shared" si="155"/>
        <v>0.16543209876543211</v>
      </c>
      <c r="I561" s="6"/>
      <c r="J561" s="2">
        <f t="shared" si="156"/>
        <v>0.38765432098765434</v>
      </c>
      <c r="K561" s="2">
        <f t="shared" si="157"/>
        <v>0.55308641975308637</v>
      </c>
      <c r="L561" s="2">
        <f t="shared" si="158"/>
        <v>4.9382716049382715E-3</v>
      </c>
      <c r="M561" s="2">
        <f t="shared" si="159"/>
        <v>5.432098765432096E-2</v>
      </c>
      <c r="N561" s="63">
        <v>157</v>
      </c>
      <c r="O561" s="63">
        <v>224</v>
      </c>
      <c r="P561" s="63">
        <v>2</v>
      </c>
      <c r="Q561" s="63">
        <v>17</v>
      </c>
      <c r="R561" s="63">
        <v>5</v>
      </c>
      <c r="S561" s="63">
        <v>0</v>
      </c>
      <c r="T561" s="67"/>
      <c r="U561" s="63"/>
      <c r="V561" s="63"/>
      <c r="W561" s="63">
        <f t="shared" si="164"/>
        <v>0</v>
      </c>
      <c r="X561" s="63"/>
      <c r="Y561" s="63"/>
      <c r="Z561" s="63"/>
      <c r="AA561" s="63"/>
      <c r="AB561" s="63"/>
      <c r="AE561" s="8">
        <v>0</v>
      </c>
      <c r="AT561" t="str">
        <f t="shared" si="161"/>
        <v>Prospect</v>
      </c>
      <c r="AU561" t="s">
        <v>217</v>
      </c>
      <c r="AV561">
        <v>2</v>
      </c>
      <c r="AX561" s="114">
        <v>23</v>
      </c>
      <c r="AY561" s="116">
        <v>27</v>
      </c>
      <c r="AZ561" s="116">
        <v>85</v>
      </c>
      <c r="BA561" s="120">
        <v>61210</v>
      </c>
      <c r="BB561" s="120">
        <f t="shared" si="162"/>
        <v>23027</v>
      </c>
      <c r="BC561" t="s">
        <v>1472</v>
      </c>
      <c r="BD561">
        <f t="shared" si="163"/>
        <v>2361210</v>
      </c>
      <c r="BE561" s="1">
        <v>13</v>
      </c>
      <c r="BI561">
        <v>20.25</v>
      </c>
      <c r="BJ561">
        <v>2.15</v>
      </c>
      <c r="BK561">
        <v>18.100000000000001</v>
      </c>
      <c r="BS561" s="63">
        <v>0</v>
      </c>
      <c r="CK561" s="1" t="s">
        <v>4110</v>
      </c>
    </row>
    <row r="562" spans="1:89" hidden="1" outlineLevel="1">
      <c r="A562" t="s">
        <v>1460</v>
      </c>
      <c r="B562" s="8" t="s">
        <v>1697</v>
      </c>
      <c r="C562" s="1">
        <f t="shared" si="160"/>
        <v>982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 t="shared" si="153"/>
        <v>5</v>
      </c>
      <c r="G562" s="1">
        <f t="shared" si="154"/>
        <v>49</v>
      </c>
      <c r="H562" s="2">
        <f t="shared" si="155"/>
        <v>4.9898167006109981E-2</v>
      </c>
      <c r="I562" s="6"/>
      <c r="J562" s="2">
        <f t="shared" si="156"/>
        <v>0.43380855397148677</v>
      </c>
      <c r="K562" s="2">
        <f t="shared" si="157"/>
        <v>0.48370672097759676</v>
      </c>
      <c r="L562" s="2">
        <f t="shared" si="158"/>
        <v>4.0733197556008143E-3</v>
      </c>
      <c r="M562" s="2">
        <f t="shared" si="159"/>
        <v>7.8411405295315664E-2</v>
      </c>
      <c r="N562" s="63">
        <v>426</v>
      </c>
      <c r="O562" s="63">
        <v>475</v>
      </c>
      <c r="P562" s="63">
        <v>4</v>
      </c>
      <c r="Q562" s="63">
        <v>59</v>
      </c>
      <c r="R562" s="63">
        <v>18</v>
      </c>
      <c r="S562" s="63">
        <v>0</v>
      </c>
      <c r="T562" s="67"/>
      <c r="U562" s="63"/>
      <c r="V562" s="63"/>
      <c r="W562" s="63">
        <f t="shared" si="164"/>
        <v>0</v>
      </c>
      <c r="X562" s="63"/>
      <c r="Y562" s="63"/>
      <c r="Z562" s="63"/>
      <c r="AA562" s="63"/>
      <c r="AB562" s="63"/>
      <c r="AE562" s="8">
        <v>0</v>
      </c>
      <c r="AT562" t="str">
        <f t="shared" si="161"/>
        <v>Randolph</v>
      </c>
      <c r="AU562" t="s">
        <v>3007</v>
      </c>
      <c r="AV562">
        <v>2</v>
      </c>
      <c r="AX562" s="114">
        <v>23</v>
      </c>
      <c r="AY562" s="116">
        <v>11</v>
      </c>
      <c r="AZ562" s="116">
        <v>90</v>
      </c>
      <c r="BA562" s="120">
        <v>61700</v>
      </c>
      <c r="BB562" s="120">
        <f t="shared" si="162"/>
        <v>23011</v>
      </c>
      <c r="BC562" t="s">
        <v>1472</v>
      </c>
      <c r="BD562">
        <f t="shared" si="163"/>
        <v>2361700</v>
      </c>
      <c r="BE562" s="1">
        <v>36</v>
      </c>
      <c r="BI562">
        <v>2.23</v>
      </c>
      <c r="BJ562">
        <v>0.1</v>
      </c>
      <c r="BK562">
        <v>2.13</v>
      </c>
      <c r="BS562" s="63">
        <v>0</v>
      </c>
      <c r="CK562" s="1" t="s">
        <v>4111</v>
      </c>
    </row>
    <row r="563" spans="1:89" hidden="1" outlineLevel="1">
      <c r="A563" t="s">
        <v>850</v>
      </c>
      <c r="B563" s="8" t="s">
        <v>1697</v>
      </c>
      <c r="C563" s="1">
        <f t="shared" si="160"/>
        <v>720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 t="shared" si="153"/>
        <v>5</v>
      </c>
      <c r="G563" s="1">
        <f t="shared" si="154"/>
        <v>97</v>
      </c>
      <c r="H563" s="2">
        <f t="shared" si="155"/>
        <v>0.13472222222222222</v>
      </c>
      <c r="I563" s="6"/>
      <c r="J563" s="2">
        <f t="shared" si="156"/>
        <v>0.39861111111111114</v>
      </c>
      <c r="K563" s="2">
        <f t="shared" si="157"/>
        <v>0.53333333333333333</v>
      </c>
      <c r="L563" s="2">
        <f t="shared" si="158"/>
        <v>1.3888888888888889E-3</v>
      </c>
      <c r="M563" s="2">
        <f t="shared" si="159"/>
        <v>6.6666666666666652E-2</v>
      </c>
      <c r="N563" s="63">
        <v>287</v>
      </c>
      <c r="O563" s="63">
        <v>384</v>
      </c>
      <c r="P563" s="63">
        <v>1</v>
      </c>
      <c r="Q563" s="63">
        <v>37</v>
      </c>
      <c r="R563" s="63">
        <v>11</v>
      </c>
      <c r="S563" s="63">
        <v>0</v>
      </c>
      <c r="T563" s="67"/>
      <c r="U563" s="63"/>
      <c r="V563" s="63"/>
      <c r="W563" s="63">
        <f t="shared" si="164"/>
        <v>0</v>
      </c>
      <c r="X563" s="63"/>
      <c r="Y563" s="63"/>
      <c r="Z563" s="63"/>
      <c r="AA563" s="63"/>
      <c r="AB563" s="63"/>
      <c r="AE563" s="8">
        <v>0</v>
      </c>
      <c r="AT563" t="str">
        <f t="shared" si="161"/>
        <v>Rangeley</v>
      </c>
      <c r="AU563" t="s">
        <v>1138</v>
      </c>
      <c r="AV563">
        <v>2</v>
      </c>
      <c r="AX563" s="114">
        <v>23</v>
      </c>
      <c r="AY563" s="116">
        <v>7</v>
      </c>
      <c r="AZ563" s="116">
        <v>80</v>
      </c>
      <c r="BA563" s="120">
        <v>61840</v>
      </c>
      <c r="BB563" s="120">
        <f t="shared" si="162"/>
        <v>23007</v>
      </c>
      <c r="BC563" t="s">
        <v>1472</v>
      </c>
      <c r="BD563">
        <f t="shared" si="163"/>
        <v>2361840</v>
      </c>
      <c r="BE563" s="1">
        <v>23</v>
      </c>
      <c r="BI563">
        <v>55.73</v>
      </c>
      <c r="BJ563">
        <v>14.09</v>
      </c>
      <c r="BK563">
        <v>41.64</v>
      </c>
      <c r="BS563" s="63">
        <v>0</v>
      </c>
      <c r="CK563" s="1" t="s">
        <v>4112</v>
      </c>
    </row>
    <row r="564" spans="1:89" hidden="1" outlineLevel="1">
      <c r="A564" t="s">
        <v>850</v>
      </c>
      <c r="B564" s="8" t="s">
        <v>1697</v>
      </c>
      <c r="C564" s="1">
        <f t="shared" si="160"/>
        <v>156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 t="shared" ref="F564:F571" si="165">IF(P564&gt;0,RANK(P564,(N564:AE564)),0)</f>
        <v>0</v>
      </c>
      <c r="G564" s="1">
        <f t="shared" si="154"/>
        <v>46</v>
      </c>
      <c r="H564" s="2">
        <f t="shared" ref="H564:H588" si="166">IF(C564&gt;0,G564/C564,0)</f>
        <v>0.29487179487179488</v>
      </c>
      <c r="I564" s="6"/>
      <c r="J564" s="2">
        <f t="shared" si="156"/>
        <v>0.32692307692307693</v>
      </c>
      <c r="K564" s="2">
        <f t="shared" si="157"/>
        <v>0.62179487179487181</v>
      </c>
      <c r="L564" s="2">
        <f t="shared" si="158"/>
        <v>0</v>
      </c>
      <c r="M564" s="2">
        <f t="shared" ref="M564:M571" si="167">IF(C564=0,"-",(1-J564-K564-L564))</f>
        <v>5.1282051282051322E-2</v>
      </c>
      <c r="N564" s="63">
        <v>51</v>
      </c>
      <c r="O564" s="63">
        <v>97</v>
      </c>
      <c r="P564" s="63">
        <v>0</v>
      </c>
      <c r="Q564" s="63">
        <v>5</v>
      </c>
      <c r="R564" s="63">
        <v>3</v>
      </c>
      <c r="S564" s="63">
        <v>0</v>
      </c>
      <c r="T564" s="67"/>
      <c r="U564" s="63"/>
      <c r="V564" s="63"/>
      <c r="W564" s="63">
        <f t="shared" si="164"/>
        <v>0</v>
      </c>
      <c r="X564" s="63"/>
      <c r="Y564" s="63"/>
      <c r="Z564" s="63"/>
      <c r="AA564" s="63"/>
      <c r="AB564" s="63"/>
      <c r="AE564" s="8">
        <v>0</v>
      </c>
      <c r="AT564" t="str">
        <f t="shared" si="161"/>
        <v>Rangeley</v>
      </c>
      <c r="AU564" t="s">
        <v>1138</v>
      </c>
      <c r="AV564">
        <v>2</v>
      </c>
      <c r="AX564" s="114">
        <v>23</v>
      </c>
      <c r="AY564" s="116">
        <v>7</v>
      </c>
      <c r="AZ564" s="116">
        <v>75</v>
      </c>
      <c r="BA564" s="120">
        <v>61875</v>
      </c>
      <c r="BB564" s="120">
        <f t="shared" si="162"/>
        <v>23007</v>
      </c>
      <c r="BC564" t="s">
        <v>3075</v>
      </c>
      <c r="BD564">
        <f t="shared" si="163"/>
        <v>2361875</v>
      </c>
      <c r="BE564" s="1">
        <v>6</v>
      </c>
      <c r="BI564">
        <v>47.41</v>
      </c>
      <c r="BJ564">
        <v>6.72</v>
      </c>
      <c r="BK564">
        <v>40.69</v>
      </c>
      <c r="BS564" s="63">
        <v>0</v>
      </c>
      <c r="CK564" s="1" t="s">
        <v>4113</v>
      </c>
    </row>
    <row r="565" spans="1:89" hidden="1" outlineLevel="1">
      <c r="A565" t="s">
        <v>3017</v>
      </c>
      <c r="B565" s="8" t="s">
        <v>1697</v>
      </c>
      <c r="C565" s="1">
        <f t="shared" si="160"/>
        <v>2815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 t="shared" si="165"/>
        <v>5</v>
      </c>
      <c r="G565" s="1">
        <f t="shared" si="154"/>
        <v>118</v>
      </c>
      <c r="H565" s="2">
        <f t="shared" si="166"/>
        <v>4.191829484902309E-2</v>
      </c>
      <c r="I565" s="6"/>
      <c r="J565" s="2">
        <f t="shared" si="156"/>
        <v>0.4486678507992895</v>
      </c>
      <c r="K565" s="2">
        <f t="shared" si="157"/>
        <v>0.4905861456483126</v>
      </c>
      <c r="L565" s="2">
        <f t="shared" si="158"/>
        <v>1.0657193605683837E-3</v>
      </c>
      <c r="M565" s="2">
        <f t="shared" si="167"/>
        <v>5.9680284191829518E-2</v>
      </c>
      <c r="N565" s="63">
        <v>1263</v>
      </c>
      <c r="O565" s="63">
        <v>1381</v>
      </c>
      <c r="P565" s="63">
        <v>3</v>
      </c>
      <c r="Q565" s="63">
        <v>93</v>
      </c>
      <c r="R565" s="63">
        <v>74</v>
      </c>
      <c r="S565" s="63">
        <v>1</v>
      </c>
      <c r="T565" s="67"/>
      <c r="U565" s="63"/>
      <c r="V565" s="63"/>
      <c r="W565" s="63">
        <f t="shared" si="164"/>
        <v>0</v>
      </c>
      <c r="X565" s="63"/>
      <c r="Y565" s="63"/>
      <c r="Z565" s="63"/>
      <c r="AA565" s="63"/>
      <c r="AB565" s="63"/>
      <c r="AE565" s="8">
        <v>0</v>
      </c>
      <c r="AT565" t="str">
        <f t="shared" si="161"/>
        <v>Raymond</v>
      </c>
      <c r="AU565" t="s">
        <v>1531</v>
      </c>
      <c r="AV565">
        <v>1</v>
      </c>
      <c r="AX565" s="114">
        <v>23</v>
      </c>
      <c r="AY565" s="116">
        <v>5</v>
      </c>
      <c r="AZ565" s="116">
        <v>95</v>
      </c>
      <c r="BA565" s="120">
        <v>61945</v>
      </c>
      <c r="BB565" s="120">
        <f t="shared" si="162"/>
        <v>23005</v>
      </c>
      <c r="BC565" t="s">
        <v>1472</v>
      </c>
      <c r="BD565">
        <f t="shared" si="163"/>
        <v>2361945</v>
      </c>
      <c r="BE565" s="1">
        <v>83</v>
      </c>
      <c r="BI565">
        <v>46.24</v>
      </c>
      <c r="BJ565">
        <v>12.99</v>
      </c>
      <c r="BK565">
        <v>33.25</v>
      </c>
      <c r="BS565" s="63">
        <v>0</v>
      </c>
      <c r="CK565" s="1" t="s">
        <v>4114</v>
      </c>
    </row>
    <row r="566" spans="1:89" hidden="1" outlineLevel="1">
      <c r="A566" t="s">
        <v>1456</v>
      </c>
      <c r="B566" s="8" t="s">
        <v>1697</v>
      </c>
      <c r="C566" s="1">
        <f t="shared" si="160"/>
        <v>1621</v>
      </c>
      <c r="D566" s="5">
        <f>IF(N566&gt;0, RANK(N566,(N566:P566,Q566:AE566)),0)</f>
        <v>1</v>
      </c>
      <c r="E566" s="5">
        <f>IF(O566&gt;0,RANK(O566,(N566:P566,Q566:AE566)),0)</f>
        <v>2</v>
      </c>
      <c r="F566" s="5">
        <f t="shared" si="165"/>
        <v>5</v>
      </c>
      <c r="G566" s="1">
        <f t="shared" ref="G566:G629" si="168">IF(C566&gt;0,MAX(N566:P566)-LARGE(N566:P566,2),0)</f>
        <v>83</v>
      </c>
      <c r="H566" s="2">
        <f t="shared" si="166"/>
        <v>5.1202961135101789E-2</v>
      </c>
      <c r="I566" s="6"/>
      <c r="J566" s="2">
        <f t="shared" ref="J566:J629" si="169">IF(C566=0,"-",N566/C566)</f>
        <v>0.48920419494139422</v>
      </c>
      <c r="K566" s="2">
        <f t="shared" ref="K566:K629" si="170">IF(C566=0,"-",O566/C566)</f>
        <v>0.43800123380629241</v>
      </c>
      <c r="L566" s="2">
        <f t="shared" ref="L566:L629" si="171">IF(C566=0,"-",P566/C566)</f>
        <v>2.4676125848241827E-3</v>
      </c>
      <c r="M566" s="2">
        <f t="shared" si="167"/>
        <v>7.0326958667489184E-2</v>
      </c>
      <c r="N566" s="63">
        <v>793</v>
      </c>
      <c r="O566" s="63">
        <v>710</v>
      </c>
      <c r="P566" s="63">
        <v>4</v>
      </c>
      <c r="Q566" s="63">
        <v>84</v>
      </c>
      <c r="R566" s="63">
        <v>29</v>
      </c>
      <c r="S566" s="63">
        <v>1</v>
      </c>
      <c r="T566" s="67"/>
      <c r="U566" s="63"/>
      <c r="V566" s="63"/>
      <c r="W566" s="63">
        <f t="shared" si="164"/>
        <v>0</v>
      </c>
      <c r="X566" s="63"/>
      <c r="Y566" s="63"/>
      <c r="Z566" s="63"/>
      <c r="AA566" s="63"/>
      <c r="AB566" s="63"/>
      <c r="AE566" s="8">
        <v>0</v>
      </c>
      <c r="AT566" t="str">
        <f t="shared" si="161"/>
        <v>Readfield</v>
      </c>
      <c r="AU566" t="s">
        <v>3007</v>
      </c>
      <c r="AV566">
        <v>1</v>
      </c>
      <c r="AX566" s="114">
        <v>23</v>
      </c>
      <c r="AY566" s="116">
        <v>11</v>
      </c>
      <c r="AZ566" s="116">
        <v>95</v>
      </c>
      <c r="BA566" s="120">
        <v>62190</v>
      </c>
      <c r="BB566" s="120">
        <f t="shared" si="162"/>
        <v>23011</v>
      </c>
      <c r="BC566" t="s">
        <v>1472</v>
      </c>
      <c r="BD566">
        <f t="shared" si="163"/>
        <v>2362190</v>
      </c>
      <c r="BE566" s="1">
        <v>45</v>
      </c>
      <c r="BI566">
        <v>31.11</v>
      </c>
      <c r="BJ566">
        <v>1.89</v>
      </c>
      <c r="BK566">
        <v>29.22</v>
      </c>
      <c r="BS566" s="63">
        <v>0</v>
      </c>
      <c r="CK566" s="1" t="s">
        <v>4115</v>
      </c>
    </row>
    <row r="567" spans="1:89" hidden="1" outlineLevel="1">
      <c r="A567" t="s">
        <v>802</v>
      </c>
      <c r="B567" s="8" t="s">
        <v>1697</v>
      </c>
      <c r="C567" s="1">
        <f t="shared" si="160"/>
        <v>78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 t="shared" si="165"/>
        <v>0</v>
      </c>
      <c r="G567" s="1">
        <f t="shared" si="168"/>
        <v>47</v>
      </c>
      <c r="H567" s="2">
        <f t="shared" si="166"/>
        <v>0.60256410256410253</v>
      </c>
      <c r="I567" s="6"/>
      <c r="J567" s="2">
        <f t="shared" si="169"/>
        <v>0.17948717948717949</v>
      </c>
      <c r="K567" s="2">
        <f t="shared" si="170"/>
        <v>0.78205128205128205</v>
      </c>
      <c r="L567" s="2">
        <f t="shared" si="171"/>
        <v>0</v>
      </c>
      <c r="M567" s="2">
        <f t="shared" si="167"/>
        <v>3.8461538461538436E-2</v>
      </c>
      <c r="N567" s="63">
        <v>14</v>
      </c>
      <c r="O567" s="63">
        <v>61</v>
      </c>
      <c r="P567" s="63">
        <v>0</v>
      </c>
      <c r="Q567" s="63">
        <v>0</v>
      </c>
      <c r="R567" s="63">
        <v>3</v>
      </c>
      <c r="S567" s="63">
        <v>0</v>
      </c>
      <c r="T567" s="67"/>
      <c r="U567" s="63"/>
      <c r="V567" s="63"/>
      <c r="W567" s="63">
        <f t="shared" si="164"/>
        <v>0</v>
      </c>
      <c r="X567" s="63"/>
      <c r="Y567" s="63"/>
      <c r="Z567" s="63"/>
      <c r="AA567" s="63"/>
      <c r="AB567" s="63"/>
      <c r="AE567" s="8">
        <v>0</v>
      </c>
      <c r="AT567" t="str">
        <f t="shared" si="161"/>
        <v>Reed</v>
      </c>
      <c r="AU567" t="s">
        <v>2830</v>
      </c>
      <c r="AV567">
        <v>2</v>
      </c>
      <c r="AX567" s="114">
        <v>23</v>
      </c>
      <c r="AY567" s="116">
        <v>3</v>
      </c>
      <c r="AZ567" s="116">
        <v>270</v>
      </c>
      <c r="BA567" s="120">
        <v>62400</v>
      </c>
      <c r="BB567" s="120">
        <f t="shared" si="162"/>
        <v>23003</v>
      </c>
      <c r="BC567" t="s">
        <v>3075</v>
      </c>
      <c r="BD567">
        <f t="shared" si="163"/>
        <v>2362400</v>
      </c>
      <c r="BE567" s="1">
        <v>1</v>
      </c>
      <c r="BI567">
        <v>59.57</v>
      </c>
      <c r="BJ567">
        <v>0.21</v>
      </c>
      <c r="BK567">
        <v>59.36</v>
      </c>
      <c r="BS567" s="63">
        <v>0</v>
      </c>
      <c r="CK567" s="1" t="s">
        <v>4116</v>
      </c>
    </row>
    <row r="568" spans="1:89" hidden="1" outlineLevel="1">
      <c r="A568" t="s">
        <v>1881</v>
      </c>
      <c r="B568" s="8" t="s">
        <v>1697</v>
      </c>
      <c r="C568" s="1">
        <f t="shared" si="160"/>
        <v>1862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 t="shared" si="165"/>
        <v>0</v>
      </c>
      <c r="G568" s="1">
        <f t="shared" si="168"/>
        <v>228</v>
      </c>
      <c r="H568" s="2">
        <f t="shared" si="166"/>
        <v>0.12244897959183673</v>
      </c>
      <c r="I568" s="6"/>
      <c r="J568" s="2">
        <f t="shared" si="169"/>
        <v>0.3936627282491944</v>
      </c>
      <c r="K568" s="2">
        <f t="shared" si="170"/>
        <v>0.51611170784103111</v>
      </c>
      <c r="L568" s="2">
        <f t="shared" si="171"/>
        <v>0</v>
      </c>
      <c r="M568" s="2">
        <f t="shared" si="167"/>
        <v>9.0225563909774431E-2</v>
      </c>
      <c r="N568" s="63">
        <v>733</v>
      </c>
      <c r="O568" s="63">
        <v>961</v>
      </c>
      <c r="P568" s="63">
        <v>0</v>
      </c>
      <c r="Q568" s="63">
        <v>115</v>
      </c>
      <c r="R568" s="63">
        <v>53</v>
      </c>
      <c r="S568" s="63">
        <v>0</v>
      </c>
      <c r="T568" s="67"/>
      <c r="U568" s="63"/>
      <c r="V568" s="63"/>
      <c r="W568" s="63">
        <f t="shared" si="164"/>
        <v>0</v>
      </c>
      <c r="X568" s="63"/>
      <c r="Y568" s="63"/>
      <c r="Z568" s="63"/>
      <c r="AA568" s="63"/>
      <c r="AB568" s="63"/>
      <c r="AE568" s="8">
        <v>0</v>
      </c>
      <c r="AT568" t="str">
        <f t="shared" si="161"/>
        <v>Richmond</v>
      </c>
      <c r="AU568" t="s">
        <v>1283</v>
      </c>
      <c r="AV568">
        <v>1</v>
      </c>
      <c r="AX568" s="114">
        <v>23</v>
      </c>
      <c r="AY568" s="116">
        <v>23</v>
      </c>
      <c r="AZ568" s="116">
        <v>35</v>
      </c>
      <c r="BA568" s="120">
        <v>62645</v>
      </c>
      <c r="BB568" s="120">
        <f t="shared" si="162"/>
        <v>23023</v>
      </c>
      <c r="BC568" t="s">
        <v>1472</v>
      </c>
      <c r="BD568">
        <f t="shared" ref="BD568:BD630" si="172">AX568*100000+BA568</f>
        <v>2362645</v>
      </c>
      <c r="BE568" s="1">
        <v>77</v>
      </c>
      <c r="BI568">
        <v>31.58</v>
      </c>
      <c r="BJ568">
        <v>1.17</v>
      </c>
      <c r="BK568">
        <v>30.4</v>
      </c>
      <c r="BS568" s="63">
        <v>0</v>
      </c>
      <c r="CK568" s="1" t="s">
        <v>4117</v>
      </c>
    </row>
    <row r="569" spans="1:89" hidden="1" outlineLevel="1">
      <c r="A569" t="s">
        <v>3169</v>
      </c>
      <c r="B569" s="8" t="s">
        <v>1697</v>
      </c>
      <c r="C569" s="1">
        <f t="shared" si="160"/>
        <v>260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 t="shared" si="165"/>
        <v>0</v>
      </c>
      <c r="G569" s="1">
        <f t="shared" si="168"/>
        <v>83</v>
      </c>
      <c r="H569" s="2">
        <f t="shared" si="166"/>
        <v>0.31923076923076921</v>
      </c>
      <c r="I569" s="6"/>
      <c r="J569" s="2">
        <f t="shared" si="169"/>
        <v>0.27692307692307694</v>
      </c>
      <c r="K569" s="2">
        <f t="shared" si="170"/>
        <v>0.59615384615384615</v>
      </c>
      <c r="L569" s="2">
        <f t="shared" si="171"/>
        <v>0</v>
      </c>
      <c r="M569" s="2">
        <f t="shared" si="167"/>
        <v>0.12692307692307692</v>
      </c>
      <c r="N569" s="63">
        <v>72</v>
      </c>
      <c r="O569" s="63">
        <v>155</v>
      </c>
      <c r="P569" s="63">
        <v>0</v>
      </c>
      <c r="Q569" s="63">
        <v>12</v>
      </c>
      <c r="R569" s="63">
        <v>21</v>
      </c>
      <c r="S569" s="63">
        <v>0</v>
      </c>
      <c r="T569" s="67"/>
      <c r="U569" s="63"/>
      <c r="V569" s="63"/>
      <c r="W569" s="63">
        <f t="shared" si="164"/>
        <v>0</v>
      </c>
      <c r="X569" s="63"/>
      <c r="Y569" s="63"/>
      <c r="Z569" s="63"/>
      <c r="AA569" s="63"/>
      <c r="AB569" s="63"/>
      <c r="AE569" s="8">
        <v>0</v>
      </c>
      <c r="AT569" t="str">
        <f t="shared" si="161"/>
        <v>Ripley</v>
      </c>
      <c r="AU569" t="s">
        <v>1787</v>
      </c>
      <c r="AV569">
        <v>2</v>
      </c>
      <c r="AX569" s="114">
        <v>23</v>
      </c>
      <c r="AY569" s="116">
        <v>25</v>
      </c>
      <c r="AZ569" s="116">
        <v>130</v>
      </c>
      <c r="BA569" s="120">
        <v>62995</v>
      </c>
      <c r="BB569" s="120">
        <f t="shared" si="162"/>
        <v>23025</v>
      </c>
      <c r="BC569" t="s">
        <v>1472</v>
      </c>
      <c r="BD569">
        <f t="shared" si="172"/>
        <v>2362995</v>
      </c>
      <c r="BE569" s="1">
        <v>9</v>
      </c>
      <c r="BI569">
        <v>24.95</v>
      </c>
      <c r="BJ569">
        <v>0.41</v>
      </c>
      <c r="BK569">
        <v>24.55</v>
      </c>
      <c r="BS569" s="63">
        <v>0</v>
      </c>
      <c r="CK569" s="1" t="s">
        <v>4118</v>
      </c>
    </row>
    <row r="570" spans="1:89" hidden="1" outlineLevel="1">
      <c r="A570" t="s">
        <v>2183</v>
      </c>
      <c r="B570" s="8" t="s">
        <v>1697</v>
      </c>
      <c r="C570" s="1">
        <f t="shared" si="160"/>
        <v>321</v>
      </c>
      <c r="D570" s="5">
        <f>IF(N570&gt;0, RANK(N570,(N570:P570,Q570:AE570)),0)</f>
        <v>2</v>
      </c>
      <c r="E570" s="5">
        <f>IF(O570&gt;0,RANK(O570,(N570:P570,Q570:AE570)),0)</f>
        <v>1</v>
      </c>
      <c r="F570" s="5">
        <f t="shared" si="165"/>
        <v>5</v>
      </c>
      <c r="G570" s="1">
        <f t="shared" si="168"/>
        <v>69</v>
      </c>
      <c r="H570" s="2">
        <f t="shared" si="166"/>
        <v>0.21495327102803738</v>
      </c>
      <c r="I570" s="6"/>
      <c r="J570" s="2">
        <f t="shared" si="169"/>
        <v>0.35514018691588783</v>
      </c>
      <c r="K570" s="2">
        <f t="shared" si="170"/>
        <v>0.57009345794392519</v>
      </c>
      <c r="L570" s="2">
        <f t="shared" si="171"/>
        <v>6.2305295950155761E-3</v>
      </c>
      <c r="M570" s="2">
        <f t="shared" si="167"/>
        <v>6.8535825545171347E-2</v>
      </c>
      <c r="N570" s="63">
        <v>114</v>
      </c>
      <c r="O570" s="63">
        <v>183</v>
      </c>
      <c r="P570" s="63">
        <v>2</v>
      </c>
      <c r="Q570" s="63">
        <v>13</v>
      </c>
      <c r="R570" s="63">
        <v>9</v>
      </c>
      <c r="S570" s="63">
        <v>0</v>
      </c>
      <c r="T570" s="67"/>
      <c r="U570" s="63"/>
      <c r="V570" s="63"/>
      <c r="W570" s="63">
        <f t="shared" si="164"/>
        <v>0</v>
      </c>
      <c r="X570" s="63"/>
      <c r="Y570" s="63"/>
      <c r="Z570" s="63"/>
      <c r="AA570" s="63"/>
      <c r="AB570" s="63"/>
      <c r="AE570" s="8">
        <v>0</v>
      </c>
      <c r="AT570" t="str">
        <f t="shared" si="161"/>
        <v>Robbinston</v>
      </c>
      <c r="AU570" t="s">
        <v>692</v>
      </c>
      <c r="AV570">
        <v>2</v>
      </c>
      <c r="AX570" s="114">
        <v>23</v>
      </c>
      <c r="AY570" s="116">
        <v>29</v>
      </c>
      <c r="AZ570" s="116">
        <v>185</v>
      </c>
      <c r="BA570" s="120">
        <v>63275</v>
      </c>
      <c r="BB570" s="120">
        <f t="shared" si="162"/>
        <v>23029</v>
      </c>
      <c r="BC570" t="s">
        <v>1472</v>
      </c>
      <c r="BD570">
        <f t="shared" si="172"/>
        <v>2363275</v>
      </c>
      <c r="BE570" s="1">
        <v>9</v>
      </c>
      <c r="BI570">
        <v>33.71</v>
      </c>
      <c r="BJ570">
        <v>5.53</v>
      </c>
      <c r="BK570">
        <v>28.18</v>
      </c>
      <c r="BS570" s="63">
        <v>0</v>
      </c>
      <c r="CK570" s="1" t="s">
        <v>4119</v>
      </c>
    </row>
    <row r="571" spans="1:89" hidden="1" outlineLevel="1">
      <c r="A571" t="s">
        <v>535</v>
      </c>
      <c r="B571" s="8" t="s">
        <v>1697</v>
      </c>
      <c r="C571" s="1">
        <f t="shared" si="160"/>
        <v>3501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 t="shared" si="165"/>
        <v>5</v>
      </c>
      <c r="G571" s="1">
        <f t="shared" si="168"/>
        <v>815</v>
      </c>
      <c r="H571" s="2">
        <f t="shared" si="166"/>
        <v>0.23279063124821481</v>
      </c>
      <c r="I571" s="6"/>
      <c r="J571" s="2">
        <f t="shared" si="169"/>
        <v>0.57812053698943155</v>
      </c>
      <c r="K571" s="2">
        <f t="shared" si="170"/>
        <v>0.3453299057412168</v>
      </c>
      <c r="L571" s="2">
        <f t="shared" si="171"/>
        <v>3.7132247929163096E-3</v>
      </c>
      <c r="M571" s="2">
        <f t="shared" si="167"/>
        <v>7.2836332476435339E-2</v>
      </c>
      <c r="N571" s="63">
        <v>2024</v>
      </c>
      <c r="O571" s="63">
        <v>1209</v>
      </c>
      <c r="P571" s="63">
        <v>13</v>
      </c>
      <c r="Q571" s="63">
        <v>147</v>
      </c>
      <c r="R571" s="63">
        <v>105</v>
      </c>
      <c r="S571" s="63">
        <v>3</v>
      </c>
      <c r="T571" s="67"/>
      <c r="U571" s="63"/>
      <c r="V571" s="63"/>
      <c r="W571" s="63">
        <f t="shared" si="164"/>
        <v>0</v>
      </c>
      <c r="X571" s="63"/>
      <c r="Y571" s="63"/>
      <c r="Z571" s="63"/>
      <c r="AA571" s="63"/>
      <c r="AB571" s="63"/>
      <c r="AE571" s="8">
        <v>0</v>
      </c>
      <c r="AT571" t="str">
        <f t="shared" si="161"/>
        <v>Rockland</v>
      </c>
      <c r="AU571" t="s">
        <v>1729</v>
      </c>
      <c r="AV571">
        <v>1</v>
      </c>
      <c r="AX571" s="114">
        <v>23</v>
      </c>
      <c r="AY571" s="116">
        <v>13</v>
      </c>
      <c r="AZ571" s="116">
        <v>50</v>
      </c>
      <c r="BA571" s="120">
        <v>63590</v>
      </c>
      <c r="BB571" s="120">
        <f t="shared" si="162"/>
        <v>23013</v>
      </c>
      <c r="BC571" t="s">
        <v>1249</v>
      </c>
      <c r="BD571">
        <f t="shared" si="172"/>
        <v>2363590</v>
      </c>
      <c r="BE571" s="1">
        <v>149</v>
      </c>
      <c r="BI571">
        <v>15.1</v>
      </c>
      <c r="BJ571">
        <v>2.19</v>
      </c>
      <c r="BK571">
        <v>12.91</v>
      </c>
      <c r="BS571" s="63">
        <v>0</v>
      </c>
      <c r="CK571" s="1" t="s">
        <v>4120</v>
      </c>
    </row>
    <row r="572" spans="1:89" hidden="1" outlineLevel="1">
      <c r="A572" t="s">
        <v>2350</v>
      </c>
      <c r="B572" s="8" t="s">
        <v>1697</v>
      </c>
      <c r="C572" s="1">
        <f t="shared" si="160"/>
        <v>2276</v>
      </c>
      <c r="D572" s="5">
        <f>IF(N572&gt;0, RANK(N572,(N572:P572,Q572:AE572)),0)</f>
        <v>1</v>
      </c>
      <c r="E572" s="5">
        <f>IF(O572&gt;0,RANK(O572,(N572:P572,Q572:AE572)),0)</f>
        <v>2</v>
      </c>
      <c r="F572" s="5">
        <f t="shared" ref="F572:F647" si="173">IF(P572&gt;0,RANK(P572,(N572:AE572)),0)</f>
        <v>5</v>
      </c>
      <c r="G572" s="1">
        <f t="shared" si="168"/>
        <v>641</v>
      </c>
      <c r="H572" s="2">
        <f t="shared" si="166"/>
        <v>0.28163444639718804</v>
      </c>
      <c r="I572" s="6"/>
      <c r="J572" s="2">
        <f t="shared" si="169"/>
        <v>0.60676625659050965</v>
      </c>
      <c r="K572" s="2">
        <f t="shared" si="170"/>
        <v>0.3251318101933216</v>
      </c>
      <c r="L572" s="2">
        <f t="shared" si="171"/>
        <v>5.7117750439367315E-3</v>
      </c>
      <c r="M572" s="2">
        <f t="shared" ref="M572:M647" si="174">IF(C572=0,"-",(1-J572-K572-L572))</f>
        <v>6.2390158172232021E-2</v>
      </c>
      <c r="N572" s="63">
        <v>1381</v>
      </c>
      <c r="O572" s="63">
        <v>740</v>
      </c>
      <c r="P572" s="63">
        <v>13</v>
      </c>
      <c r="Q572" s="63">
        <v>107</v>
      </c>
      <c r="R572" s="63">
        <v>35</v>
      </c>
      <c r="S572" s="63">
        <v>0</v>
      </c>
      <c r="T572" s="67"/>
      <c r="U572" s="63"/>
      <c r="V572" s="63"/>
      <c r="W572" s="63">
        <f t="shared" si="164"/>
        <v>0</v>
      </c>
      <c r="X572" s="63"/>
      <c r="Y572" s="63"/>
      <c r="Z572" s="63"/>
      <c r="AA572" s="63"/>
      <c r="AB572" s="63"/>
      <c r="AE572" s="8">
        <v>0</v>
      </c>
      <c r="AT572" t="str">
        <f t="shared" si="161"/>
        <v>Rockport</v>
      </c>
      <c r="AU572" t="s">
        <v>1729</v>
      </c>
      <c r="AV572">
        <v>1</v>
      </c>
      <c r="AX572" s="114">
        <v>23</v>
      </c>
      <c r="AY572" s="116">
        <v>13</v>
      </c>
      <c r="AZ572" s="116">
        <v>55</v>
      </c>
      <c r="BA572" s="120">
        <v>63660</v>
      </c>
      <c r="BB572" s="120">
        <f t="shared" si="162"/>
        <v>23013</v>
      </c>
      <c r="BC572" t="s">
        <v>1472</v>
      </c>
      <c r="BD572">
        <f t="shared" si="172"/>
        <v>2363660</v>
      </c>
      <c r="BE572" s="1">
        <v>86</v>
      </c>
      <c r="BI572">
        <v>34.14</v>
      </c>
      <c r="BJ572">
        <v>12.43</v>
      </c>
      <c r="BK572">
        <v>21.71</v>
      </c>
      <c r="BS572" s="63">
        <v>0</v>
      </c>
      <c r="CK572" s="1" t="s">
        <v>4121</v>
      </c>
    </row>
    <row r="573" spans="1:89" hidden="1" outlineLevel="1">
      <c r="A573" t="s">
        <v>996</v>
      </c>
      <c r="B573" s="8" t="s">
        <v>1697</v>
      </c>
      <c r="C573" s="1">
        <f t="shared" si="160"/>
        <v>218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 t="shared" si="173"/>
        <v>0</v>
      </c>
      <c r="G573" s="1">
        <f t="shared" si="168"/>
        <v>99</v>
      </c>
      <c r="H573" s="2">
        <f t="shared" si="166"/>
        <v>0.45412844036697247</v>
      </c>
      <c r="I573" s="6"/>
      <c r="J573" s="2">
        <f t="shared" si="169"/>
        <v>0.26146788990825687</v>
      </c>
      <c r="K573" s="2">
        <f t="shared" si="170"/>
        <v>0.7155963302752294</v>
      </c>
      <c r="L573" s="2">
        <f t="shared" si="171"/>
        <v>0</v>
      </c>
      <c r="M573" s="2">
        <f t="shared" si="174"/>
        <v>2.2935779816513735E-2</v>
      </c>
      <c r="N573" s="63">
        <v>57</v>
      </c>
      <c r="O573" s="63">
        <v>156</v>
      </c>
      <c r="P573" s="63">
        <v>0</v>
      </c>
      <c r="Q573" s="63">
        <v>4</v>
      </c>
      <c r="R573" s="63">
        <v>1</v>
      </c>
      <c r="S573" s="63">
        <v>0</v>
      </c>
      <c r="T573" s="67"/>
      <c r="U573" s="63"/>
      <c r="V573" s="63"/>
      <c r="W573" s="63">
        <f t="shared" si="164"/>
        <v>0</v>
      </c>
      <c r="X573" s="63"/>
      <c r="Y573" s="63"/>
      <c r="Z573" s="63"/>
      <c r="AA573" s="63"/>
      <c r="AB573" s="63"/>
      <c r="AE573" s="8">
        <v>0</v>
      </c>
      <c r="AT573" t="str">
        <f t="shared" si="161"/>
        <v>Rockwood</v>
      </c>
      <c r="AU573" t="s">
        <v>1787</v>
      </c>
      <c r="AV573">
        <v>2</v>
      </c>
      <c r="AX573" s="114">
        <v>23</v>
      </c>
      <c r="AY573" s="116">
        <v>25</v>
      </c>
      <c r="BA573" s="120">
        <v>63700</v>
      </c>
      <c r="BB573" s="120">
        <f t="shared" si="162"/>
        <v>23025</v>
      </c>
      <c r="BC573" t="s">
        <v>957</v>
      </c>
      <c r="BD573">
        <f t="shared" si="172"/>
        <v>2363700</v>
      </c>
      <c r="BE573" s="1">
        <v>6</v>
      </c>
      <c r="BS573" s="63">
        <v>0</v>
      </c>
      <c r="CK573" s="1" t="s">
        <v>4122</v>
      </c>
    </row>
    <row r="574" spans="1:89" hidden="1" outlineLevel="1">
      <c r="A574" t="s">
        <v>1912</v>
      </c>
      <c r="B574" s="8" t="s">
        <v>1697</v>
      </c>
      <c r="C574" s="1">
        <f t="shared" si="160"/>
        <v>594</v>
      </c>
      <c r="D574" s="5">
        <f>IF(N574&gt;0, RANK(N574,(N574:P574,Q574:AE574)),0)</f>
        <v>1</v>
      </c>
      <c r="E574" s="5">
        <f>IF(O574&gt;0,RANK(O574,(N574:P574,Q574:AE574)),0)</f>
        <v>2</v>
      </c>
      <c r="F574" s="5">
        <f t="shared" si="173"/>
        <v>0</v>
      </c>
      <c r="G574" s="1">
        <f t="shared" si="168"/>
        <v>14</v>
      </c>
      <c r="H574" s="2">
        <f t="shared" si="166"/>
        <v>2.3569023569023569E-2</v>
      </c>
      <c r="I574" s="6"/>
      <c r="J574" s="2">
        <f t="shared" si="169"/>
        <v>0.47474747474747475</v>
      </c>
      <c r="K574" s="2">
        <f t="shared" si="170"/>
        <v>0.45117845117845118</v>
      </c>
      <c r="L574" s="2">
        <f t="shared" si="171"/>
        <v>0</v>
      </c>
      <c r="M574" s="2">
        <f t="shared" si="174"/>
        <v>7.4074074074074125E-2</v>
      </c>
      <c r="N574" s="63">
        <v>282</v>
      </c>
      <c r="O574" s="63">
        <v>268</v>
      </c>
      <c r="P574" s="63">
        <v>0</v>
      </c>
      <c r="Q574" s="63">
        <v>28</v>
      </c>
      <c r="R574" s="63">
        <v>16</v>
      </c>
      <c r="S574" s="63">
        <v>0</v>
      </c>
      <c r="T574" s="67"/>
      <c r="U574" s="63"/>
      <c r="V574" s="63"/>
      <c r="W574" s="63">
        <f t="shared" si="164"/>
        <v>0</v>
      </c>
      <c r="X574" s="63"/>
      <c r="Y574" s="63"/>
      <c r="Z574" s="63"/>
      <c r="AA574" s="63"/>
      <c r="AB574" s="63"/>
      <c r="AE574" s="8">
        <v>0</v>
      </c>
      <c r="AT574" t="str">
        <f t="shared" si="161"/>
        <v>Rome</v>
      </c>
      <c r="AU574" t="s">
        <v>3007</v>
      </c>
      <c r="AV574">
        <v>2</v>
      </c>
      <c r="AX574" s="114">
        <v>23</v>
      </c>
      <c r="AY574" s="116">
        <v>11</v>
      </c>
      <c r="AZ574" s="116">
        <v>100</v>
      </c>
      <c r="BA574" s="120">
        <v>63835</v>
      </c>
      <c r="BB574" s="120">
        <f t="shared" si="162"/>
        <v>23011</v>
      </c>
      <c r="BC574" t="s">
        <v>1472</v>
      </c>
      <c r="BD574">
        <f t="shared" si="172"/>
        <v>2363835</v>
      </c>
      <c r="BE574" s="1">
        <v>28</v>
      </c>
      <c r="BI574">
        <v>31.74</v>
      </c>
      <c r="BJ574">
        <v>6.31</v>
      </c>
      <c r="BK574">
        <v>25.42</v>
      </c>
      <c r="BS574" s="63">
        <v>0</v>
      </c>
      <c r="CK574" s="159" t="s">
        <v>4123</v>
      </c>
    </row>
    <row r="575" spans="1:89" hidden="1" outlineLevel="1">
      <c r="A575" t="s">
        <v>2504</v>
      </c>
      <c r="B575" s="8" t="s">
        <v>1697</v>
      </c>
      <c r="C575" s="1">
        <f t="shared" si="160"/>
        <v>167</v>
      </c>
      <c r="D575" s="5">
        <f>IF(N575&gt;0, RANK(N575,(N575:P575,Q575:AE575)),0)</f>
        <v>1</v>
      </c>
      <c r="E575" s="5">
        <f>IF(O575&gt;0,RANK(O575,(N575:P575,Q575:AE575)),0)</f>
        <v>2</v>
      </c>
      <c r="F575" s="5">
        <f t="shared" si="173"/>
        <v>0</v>
      </c>
      <c r="G575" s="1">
        <f t="shared" si="168"/>
        <v>18</v>
      </c>
      <c r="H575" s="2">
        <f t="shared" si="166"/>
        <v>0.10778443113772455</v>
      </c>
      <c r="I575" s="6"/>
      <c r="J575" s="2">
        <f t="shared" si="169"/>
        <v>0.53892215568862278</v>
      </c>
      <c r="K575" s="2">
        <f t="shared" si="170"/>
        <v>0.43113772455089822</v>
      </c>
      <c r="L575" s="2">
        <f t="shared" si="171"/>
        <v>0</v>
      </c>
      <c r="M575" s="2">
        <f t="shared" si="174"/>
        <v>2.9940119760479E-2</v>
      </c>
      <c r="N575" s="63">
        <v>90</v>
      </c>
      <c r="O575" s="63">
        <v>72</v>
      </c>
      <c r="P575" s="63">
        <v>0</v>
      </c>
      <c r="Q575" s="63">
        <v>4</v>
      </c>
      <c r="R575" s="63">
        <v>1</v>
      </c>
      <c r="S575" s="63">
        <v>0</v>
      </c>
      <c r="T575" s="67"/>
      <c r="U575" s="63"/>
      <c r="V575" s="63"/>
      <c r="W575" s="63">
        <f t="shared" si="164"/>
        <v>0</v>
      </c>
      <c r="X575" s="63"/>
      <c r="Y575" s="63"/>
      <c r="Z575" s="63"/>
      <c r="AA575" s="63"/>
      <c r="AB575" s="63"/>
      <c r="AE575" s="8">
        <v>0</v>
      </c>
      <c r="AT575" t="str">
        <f t="shared" si="161"/>
        <v>Roque Bluffs</v>
      </c>
      <c r="AU575" t="s">
        <v>692</v>
      </c>
      <c r="AV575">
        <v>2</v>
      </c>
      <c r="AX575" s="114">
        <v>23</v>
      </c>
      <c r="AY575" s="116">
        <v>29</v>
      </c>
      <c r="AZ575" s="116">
        <v>190</v>
      </c>
      <c r="BA575" s="120">
        <v>63940</v>
      </c>
      <c r="BB575" s="120">
        <f t="shared" si="162"/>
        <v>23029</v>
      </c>
      <c r="BC575" t="s">
        <v>1472</v>
      </c>
      <c r="BD575">
        <f t="shared" si="172"/>
        <v>2363940</v>
      </c>
      <c r="BE575" s="1">
        <v>6</v>
      </c>
      <c r="BI575">
        <v>19.54</v>
      </c>
      <c r="BJ575">
        <v>8.8800000000000008</v>
      </c>
      <c r="BK575">
        <v>10.65</v>
      </c>
      <c r="BS575" s="63">
        <v>0</v>
      </c>
      <c r="CK575" s="1" t="s">
        <v>4124</v>
      </c>
    </row>
    <row r="576" spans="1:89" hidden="1" outlineLevel="1">
      <c r="A576" t="s">
        <v>2718</v>
      </c>
      <c r="B576" s="8" t="s">
        <v>1697</v>
      </c>
      <c r="C576" s="1">
        <f t="shared" si="160"/>
        <v>240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 t="shared" si="173"/>
        <v>0</v>
      </c>
      <c r="G576" s="1">
        <f t="shared" si="168"/>
        <v>67</v>
      </c>
      <c r="H576" s="2">
        <f t="shared" si="166"/>
        <v>0.27916666666666667</v>
      </c>
      <c r="I576" s="6"/>
      <c r="J576" s="2">
        <f t="shared" si="169"/>
        <v>0.31666666666666665</v>
      </c>
      <c r="K576" s="2">
        <f t="shared" si="170"/>
        <v>0.59583333333333333</v>
      </c>
      <c r="L576" s="2">
        <f t="shared" si="171"/>
        <v>0</v>
      </c>
      <c r="M576" s="2">
        <f t="shared" si="174"/>
        <v>8.7500000000000022E-2</v>
      </c>
      <c r="N576" s="63">
        <v>76</v>
      </c>
      <c r="O576" s="63">
        <v>143</v>
      </c>
      <c r="P576" s="63">
        <v>0</v>
      </c>
      <c r="Q576" s="63">
        <v>17</v>
      </c>
      <c r="R576" s="63">
        <v>4</v>
      </c>
      <c r="S576" s="63">
        <v>0</v>
      </c>
      <c r="T576" s="67"/>
      <c r="U576" s="63"/>
      <c r="V576" s="63"/>
      <c r="W576" s="63">
        <f t="shared" si="164"/>
        <v>0</v>
      </c>
      <c r="X576" s="63"/>
      <c r="Y576" s="63"/>
      <c r="Z576" s="63"/>
      <c r="AA576" s="63"/>
      <c r="AB576" s="63"/>
      <c r="AE576" s="8">
        <v>0</v>
      </c>
      <c r="AT576" t="str">
        <f t="shared" si="161"/>
        <v>Roxbury</v>
      </c>
      <c r="AU576" t="s">
        <v>2383</v>
      </c>
      <c r="AV576">
        <v>2</v>
      </c>
      <c r="AX576" s="114">
        <v>23</v>
      </c>
      <c r="AY576" s="116">
        <v>17</v>
      </c>
      <c r="AZ576" s="116">
        <v>130</v>
      </c>
      <c r="BA576" s="120">
        <v>64185</v>
      </c>
      <c r="BB576" s="120">
        <f t="shared" si="162"/>
        <v>23017</v>
      </c>
      <c r="BC576" t="s">
        <v>1472</v>
      </c>
      <c r="BD576">
        <f t="shared" si="172"/>
        <v>2364185</v>
      </c>
      <c r="BE576" s="1">
        <v>9</v>
      </c>
      <c r="BI576">
        <v>44.08</v>
      </c>
      <c r="BJ576">
        <v>1.21</v>
      </c>
      <c r="BK576">
        <v>42.88</v>
      </c>
      <c r="BS576" s="63">
        <v>0</v>
      </c>
      <c r="CK576" s="1" t="s">
        <v>4125</v>
      </c>
    </row>
    <row r="577" spans="1:89" hidden="1" outlineLevel="1">
      <c r="A577" t="s">
        <v>3177</v>
      </c>
      <c r="B577" s="8" t="s">
        <v>1697</v>
      </c>
      <c r="C577" s="1">
        <f t="shared" si="160"/>
        <v>2793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 t="shared" si="173"/>
        <v>5</v>
      </c>
      <c r="G577" s="1">
        <f t="shared" si="168"/>
        <v>263</v>
      </c>
      <c r="H577" s="2">
        <f t="shared" si="166"/>
        <v>9.4163981382026501E-2</v>
      </c>
      <c r="I577" s="6"/>
      <c r="J577" s="2">
        <f t="shared" si="169"/>
        <v>0.4070891514500537</v>
      </c>
      <c r="K577" s="2">
        <f t="shared" si="170"/>
        <v>0.50125313283208017</v>
      </c>
      <c r="L577" s="2">
        <f t="shared" si="171"/>
        <v>2.1482277121374865E-3</v>
      </c>
      <c r="M577" s="2">
        <f t="shared" si="174"/>
        <v>8.9509488005728693E-2</v>
      </c>
      <c r="N577" s="63">
        <v>1137</v>
      </c>
      <c r="O577" s="63">
        <v>1400</v>
      </c>
      <c r="P577" s="63">
        <v>6</v>
      </c>
      <c r="Q577" s="63">
        <v>182</v>
      </c>
      <c r="R577" s="63">
        <v>67</v>
      </c>
      <c r="S577" s="63">
        <v>1</v>
      </c>
      <c r="T577" s="67"/>
      <c r="U577" s="63"/>
      <c r="V577" s="63"/>
      <c r="W577" s="63">
        <f t="shared" si="164"/>
        <v>0</v>
      </c>
      <c r="X577" s="63"/>
      <c r="Y577" s="63"/>
      <c r="Z577" s="63"/>
      <c r="AA577" s="63"/>
      <c r="AB577" s="63"/>
      <c r="AE577" s="8">
        <v>0</v>
      </c>
      <c r="AT577" t="str">
        <f t="shared" si="161"/>
        <v>Rumford</v>
      </c>
      <c r="AU577" t="s">
        <v>2383</v>
      </c>
      <c r="AV577">
        <v>2</v>
      </c>
      <c r="AX577" s="114">
        <v>23</v>
      </c>
      <c r="AY577" s="116">
        <v>17</v>
      </c>
      <c r="AZ577" s="116">
        <v>135</v>
      </c>
      <c r="BA577" s="120">
        <v>64290</v>
      </c>
      <c r="BB577" s="120">
        <f t="shared" si="162"/>
        <v>23017</v>
      </c>
      <c r="BC577" t="s">
        <v>1472</v>
      </c>
      <c r="BD577">
        <f t="shared" si="172"/>
        <v>2364290</v>
      </c>
      <c r="BE577" s="1">
        <v>131</v>
      </c>
      <c r="BI577">
        <v>69.86</v>
      </c>
      <c r="BJ577">
        <v>1.25</v>
      </c>
      <c r="BK577">
        <v>68.61</v>
      </c>
      <c r="BS577" s="63">
        <v>0</v>
      </c>
      <c r="CK577" s="1" t="s">
        <v>4126</v>
      </c>
    </row>
    <row r="578" spans="1:89" hidden="1" outlineLevel="1">
      <c r="A578" t="s">
        <v>3178</v>
      </c>
      <c r="B578" s="8" t="s">
        <v>1697</v>
      </c>
      <c r="C578" s="1">
        <f t="shared" si="160"/>
        <v>2768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 t="shared" si="173"/>
        <v>0</v>
      </c>
      <c r="G578" s="1">
        <f t="shared" si="168"/>
        <v>836</v>
      </c>
      <c r="H578" s="2">
        <f t="shared" si="166"/>
        <v>0.30202312138728321</v>
      </c>
      <c r="I578" s="6"/>
      <c r="J578" s="2">
        <f t="shared" si="169"/>
        <v>0.3125</v>
      </c>
      <c r="K578" s="2">
        <f t="shared" si="170"/>
        <v>0.61452312138728327</v>
      </c>
      <c r="L578" s="2">
        <f t="shared" si="171"/>
        <v>0</v>
      </c>
      <c r="M578" s="2">
        <f t="shared" si="174"/>
        <v>7.2976878612716733E-2</v>
      </c>
      <c r="N578" s="63">
        <v>865</v>
      </c>
      <c r="O578" s="63">
        <v>1701</v>
      </c>
      <c r="P578" s="63">
        <v>0</v>
      </c>
      <c r="Q578" s="63">
        <v>152</v>
      </c>
      <c r="R578" s="63">
        <v>50</v>
      </c>
      <c r="S578" s="63">
        <v>0</v>
      </c>
      <c r="T578" s="67"/>
      <c r="U578" s="63"/>
      <c r="V578" s="63"/>
      <c r="W578" s="63">
        <f t="shared" si="164"/>
        <v>0</v>
      </c>
      <c r="X578" s="63"/>
      <c r="Y578" s="63"/>
      <c r="Z578" s="63"/>
      <c r="AA578" s="63"/>
      <c r="AB578" s="63"/>
      <c r="AE578" s="8">
        <v>0</v>
      </c>
      <c r="AT578" t="str">
        <f t="shared" si="161"/>
        <v>Sabattus</v>
      </c>
      <c r="AU578" t="s">
        <v>1118</v>
      </c>
      <c r="AV578">
        <v>2</v>
      </c>
      <c r="AX578" s="114">
        <v>23</v>
      </c>
      <c r="AY578" s="116">
        <v>1</v>
      </c>
      <c r="AZ578" s="116">
        <v>57</v>
      </c>
      <c r="BA578" s="120">
        <v>64570</v>
      </c>
      <c r="BB578" s="120">
        <f t="shared" si="162"/>
        <v>23001</v>
      </c>
      <c r="BC578" t="s">
        <v>1472</v>
      </c>
      <c r="BD578">
        <f t="shared" si="172"/>
        <v>2364570</v>
      </c>
      <c r="BE578" s="1">
        <v>82</v>
      </c>
      <c r="BI578">
        <v>26.75</v>
      </c>
      <c r="BJ578">
        <v>1.1100000000000001</v>
      </c>
      <c r="BK578">
        <v>25.63</v>
      </c>
      <c r="BS578" s="63">
        <v>0</v>
      </c>
      <c r="CK578" s="1" t="s">
        <v>4127</v>
      </c>
    </row>
    <row r="579" spans="1:89" hidden="1" outlineLevel="1">
      <c r="A579" t="s">
        <v>2442</v>
      </c>
      <c r="B579" s="8" t="s">
        <v>1697</v>
      </c>
      <c r="C579" s="1">
        <f t="shared" si="160"/>
        <v>10656</v>
      </c>
      <c r="D579" s="5">
        <f>IF(N579&gt;0, RANK(N579,(N579:P579,Q579:AE579)),0)</f>
        <v>1</v>
      </c>
      <c r="E579" s="5">
        <f>IF(O579&gt;0,RANK(O579,(N579:P579,Q579:AE579)),0)</f>
        <v>2</v>
      </c>
      <c r="F579" s="5">
        <f t="shared" si="173"/>
        <v>5</v>
      </c>
      <c r="G579" s="1">
        <f t="shared" si="168"/>
        <v>1835</v>
      </c>
      <c r="H579" s="2">
        <f t="shared" si="166"/>
        <v>0.17220345345345345</v>
      </c>
      <c r="I579" s="6"/>
      <c r="J579" s="2">
        <f t="shared" si="169"/>
        <v>0.55386636636636633</v>
      </c>
      <c r="K579" s="2">
        <f t="shared" si="170"/>
        <v>0.38166291291291293</v>
      </c>
      <c r="L579" s="2">
        <f t="shared" si="171"/>
        <v>1.0322822822822822E-3</v>
      </c>
      <c r="M579" s="2">
        <f t="shared" si="174"/>
        <v>6.3438438438438466E-2</v>
      </c>
      <c r="N579" s="63">
        <v>5902</v>
      </c>
      <c r="O579" s="63">
        <v>4067</v>
      </c>
      <c r="P579" s="63">
        <v>11</v>
      </c>
      <c r="Q579" s="63">
        <v>487</v>
      </c>
      <c r="R579" s="63">
        <v>189</v>
      </c>
      <c r="S579" s="63">
        <v>0</v>
      </c>
      <c r="T579" s="67"/>
      <c r="U579" s="63"/>
      <c r="V579" s="63"/>
      <c r="W579" s="63">
        <f t="shared" si="164"/>
        <v>0</v>
      </c>
      <c r="X579" s="63"/>
      <c r="Y579" s="63"/>
      <c r="Z579" s="63"/>
      <c r="AA579" s="63"/>
      <c r="AB579" s="63"/>
      <c r="AE579" s="8">
        <v>0</v>
      </c>
      <c r="AT579" t="str">
        <f t="shared" si="161"/>
        <v>Saco</v>
      </c>
      <c r="AU579" t="s">
        <v>925</v>
      </c>
      <c r="AV579">
        <v>1</v>
      </c>
      <c r="AX579" s="114">
        <v>23</v>
      </c>
      <c r="AY579" s="116">
        <v>31</v>
      </c>
      <c r="AZ579" s="116">
        <v>110</v>
      </c>
      <c r="BA579" s="120">
        <v>64675</v>
      </c>
      <c r="BB579" s="120">
        <f t="shared" si="162"/>
        <v>23031</v>
      </c>
      <c r="BC579" t="s">
        <v>1249</v>
      </c>
      <c r="BD579">
        <f t="shared" si="172"/>
        <v>2364675</v>
      </c>
      <c r="BE579" s="1">
        <v>355</v>
      </c>
      <c r="BI579">
        <v>39.35</v>
      </c>
      <c r="BJ579">
        <v>0.87</v>
      </c>
      <c r="BK579">
        <v>38.479999999999997</v>
      </c>
      <c r="BS579" s="63">
        <v>0</v>
      </c>
      <c r="CK579" s="1" t="s">
        <v>4128</v>
      </c>
    </row>
    <row r="580" spans="1:89" hidden="1" outlineLevel="1">
      <c r="A580" t="s">
        <v>2102</v>
      </c>
      <c r="B580" s="8" t="s">
        <v>1697</v>
      </c>
      <c r="C580" s="1">
        <f t="shared" si="160"/>
        <v>572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 t="shared" si="173"/>
        <v>5</v>
      </c>
      <c r="G580" s="1">
        <f t="shared" si="168"/>
        <v>21</v>
      </c>
      <c r="H580" s="2">
        <f t="shared" si="166"/>
        <v>3.6713286713286712E-2</v>
      </c>
      <c r="I580" s="6"/>
      <c r="J580" s="2">
        <f t="shared" si="169"/>
        <v>0.45104895104895104</v>
      </c>
      <c r="K580" s="2">
        <f t="shared" si="170"/>
        <v>0.48776223776223776</v>
      </c>
      <c r="L580" s="2">
        <f t="shared" si="171"/>
        <v>1.7482517482517483E-3</v>
      </c>
      <c r="M580" s="2">
        <f t="shared" si="174"/>
        <v>5.9440559440559447E-2</v>
      </c>
      <c r="N580" s="63">
        <v>258</v>
      </c>
      <c r="O580" s="63">
        <v>279</v>
      </c>
      <c r="P580" s="63">
        <v>1</v>
      </c>
      <c r="Q580" s="63">
        <v>28</v>
      </c>
      <c r="R580" s="63">
        <v>6</v>
      </c>
      <c r="S580" s="63">
        <v>0</v>
      </c>
      <c r="T580" s="67"/>
      <c r="U580" s="63"/>
      <c r="V580" s="63"/>
      <c r="W580" s="63">
        <f t="shared" si="164"/>
        <v>0</v>
      </c>
      <c r="X580" s="63"/>
      <c r="Y580" s="63"/>
      <c r="Z580" s="63"/>
      <c r="AA580" s="63"/>
      <c r="AB580" s="63"/>
      <c r="AE580" s="8">
        <v>0</v>
      </c>
      <c r="AT580" t="str">
        <f t="shared" si="161"/>
        <v>St. Agatha</v>
      </c>
      <c r="AU580" t="s">
        <v>2830</v>
      </c>
      <c r="AV580">
        <v>2</v>
      </c>
      <c r="AX580" s="114">
        <v>23</v>
      </c>
      <c r="AY580" s="116">
        <v>3</v>
      </c>
      <c r="AZ580" s="116">
        <v>275</v>
      </c>
      <c r="BA580" s="120">
        <v>64780</v>
      </c>
      <c r="BB580" s="120">
        <f t="shared" si="162"/>
        <v>23003</v>
      </c>
      <c r="BC580" t="s">
        <v>1472</v>
      </c>
      <c r="BD580">
        <f t="shared" si="172"/>
        <v>2364780</v>
      </c>
      <c r="BE580" s="1">
        <v>14</v>
      </c>
      <c r="BI580">
        <v>34.9</v>
      </c>
      <c r="BJ580">
        <v>5.38</v>
      </c>
      <c r="BK580">
        <v>29.51</v>
      </c>
      <c r="BS580" s="63">
        <v>0</v>
      </c>
      <c r="CK580" s="1" t="s">
        <v>4129</v>
      </c>
    </row>
    <row r="581" spans="1:89" hidden="1" outlineLevel="1">
      <c r="A581" t="s">
        <v>1342</v>
      </c>
      <c r="B581" s="8" t="s">
        <v>1697</v>
      </c>
      <c r="C581" s="1">
        <f t="shared" si="160"/>
        <v>1136</v>
      </c>
      <c r="D581" s="5">
        <f>IF(N581&gt;0, RANK(N581,(N581:P581,Q581:AE581)),0)</f>
        <v>2</v>
      </c>
      <c r="E581" s="5">
        <f>IF(O581&gt;0,RANK(O581,(N581:P581,Q581:AE581)),0)</f>
        <v>1</v>
      </c>
      <c r="F581" s="5">
        <f t="shared" si="173"/>
        <v>5</v>
      </c>
      <c r="G581" s="1">
        <f t="shared" si="168"/>
        <v>486</v>
      </c>
      <c r="H581" s="2">
        <f t="shared" si="166"/>
        <v>0.42781690140845069</v>
      </c>
      <c r="I581" s="6"/>
      <c r="J581" s="2">
        <f t="shared" si="169"/>
        <v>0.24823943661971831</v>
      </c>
      <c r="K581" s="2">
        <f t="shared" si="170"/>
        <v>0.676056338028169</v>
      </c>
      <c r="L581" s="2">
        <f t="shared" si="171"/>
        <v>6.1619718309859151E-3</v>
      </c>
      <c r="M581" s="2">
        <f t="shared" si="174"/>
        <v>6.9542253521126821E-2</v>
      </c>
      <c r="N581" s="63">
        <v>282</v>
      </c>
      <c r="O581" s="63">
        <v>768</v>
      </c>
      <c r="P581" s="63">
        <v>7</v>
      </c>
      <c r="Q581" s="63">
        <v>52</v>
      </c>
      <c r="R581" s="63">
        <v>27</v>
      </c>
      <c r="S581" s="63">
        <v>0</v>
      </c>
      <c r="T581" s="67"/>
      <c r="U581" s="63"/>
      <c r="V581" s="63"/>
      <c r="W581" s="63">
        <f t="shared" si="164"/>
        <v>0</v>
      </c>
      <c r="X581" s="63"/>
      <c r="Y581" s="63"/>
      <c r="Z581" s="63"/>
      <c r="AA581" s="63"/>
      <c r="AB581" s="63"/>
      <c r="AE581" s="8">
        <v>0</v>
      </c>
      <c r="AT581" t="str">
        <f t="shared" si="161"/>
        <v>St. Albans</v>
      </c>
      <c r="AU581" t="s">
        <v>1787</v>
      </c>
      <c r="AV581">
        <v>2</v>
      </c>
      <c r="AX581" s="114">
        <v>23</v>
      </c>
      <c r="AY581" s="116">
        <v>25</v>
      </c>
      <c r="AZ581" s="116">
        <v>135</v>
      </c>
      <c r="BA581" s="120">
        <v>64850</v>
      </c>
      <c r="BB581" s="120">
        <f t="shared" si="162"/>
        <v>23025</v>
      </c>
      <c r="BC581" t="s">
        <v>1472</v>
      </c>
      <c r="BD581">
        <f t="shared" si="172"/>
        <v>2364850</v>
      </c>
      <c r="BE581" s="1">
        <v>27</v>
      </c>
      <c r="BI581">
        <v>47.16</v>
      </c>
      <c r="BJ581">
        <v>2.31</v>
      </c>
      <c r="BK581">
        <v>44.85</v>
      </c>
      <c r="BS581" s="63">
        <v>0</v>
      </c>
      <c r="CK581" s="1" t="s">
        <v>4130</v>
      </c>
    </row>
    <row r="582" spans="1:89" hidden="1" outlineLevel="1">
      <c r="A582" t="s">
        <v>2762</v>
      </c>
      <c r="B582" s="8" t="s">
        <v>1697</v>
      </c>
      <c r="C582" s="1">
        <f t="shared" si="160"/>
        <v>237</v>
      </c>
      <c r="D582" s="5">
        <f>IF(N582&gt;0, RANK(N582,(N582:P582,Q582:AE582)),0)</f>
        <v>1</v>
      </c>
      <c r="E582" s="5">
        <f>IF(O582&gt;0,RANK(O582,(N582:P582,Q582:AE582)),0)</f>
        <v>2</v>
      </c>
      <c r="F582" s="5">
        <f t="shared" si="173"/>
        <v>5</v>
      </c>
      <c r="G582" s="1">
        <f t="shared" si="168"/>
        <v>31</v>
      </c>
      <c r="H582" s="2">
        <f t="shared" si="166"/>
        <v>0.13080168776371309</v>
      </c>
      <c r="I582" s="6"/>
      <c r="J582" s="2">
        <f t="shared" si="169"/>
        <v>0.53586497890295359</v>
      </c>
      <c r="K582" s="2">
        <f t="shared" si="170"/>
        <v>0.4050632911392405</v>
      </c>
      <c r="L582" s="2">
        <f t="shared" si="171"/>
        <v>4.2194092827004216E-3</v>
      </c>
      <c r="M582" s="2">
        <f t="shared" si="174"/>
        <v>5.4852320675105488E-2</v>
      </c>
      <c r="N582" s="63">
        <v>127</v>
      </c>
      <c r="O582" s="63">
        <v>96</v>
      </c>
      <c r="P582" s="63">
        <v>1</v>
      </c>
      <c r="Q582" s="63">
        <v>10</v>
      </c>
      <c r="R582" s="63">
        <v>3</v>
      </c>
      <c r="S582" s="63">
        <v>0</v>
      </c>
      <c r="T582" s="67"/>
      <c r="U582" s="63"/>
      <c r="V582" s="63"/>
      <c r="W582" s="63">
        <f t="shared" si="164"/>
        <v>0</v>
      </c>
      <c r="X582" s="63"/>
      <c r="Y582" s="63"/>
      <c r="Z582" s="63"/>
      <c r="AA582" s="63"/>
      <c r="AB582" s="63"/>
      <c r="AE582" s="8">
        <v>0</v>
      </c>
      <c r="AT582" t="str">
        <f t="shared" si="161"/>
        <v>St. Francis</v>
      </c>
      <c r="AU582" t="s">
        <v>2830</v>
      </c>
      <c r="AV582">
        <v>2</v>
      </c>
      <c r="AX582" s="114">
        <v>23</v>
      </c>
      <c r="AY582" s="116">
        <v>3</v>
      </c>
      <c r="AZ582" s="116">
        <v>280</v>
      </c>
      <c r="BA582" s="120">
        <v>65025</v>
      </c>
      <c r="BB582" s="120">
        <f t="shared" si="162"/>
        <v>23003</v>
      </c>
      <c r="BC582" t="s">
        <v>1472</v>
      </c>
      <c r="BD582">
        <f t="shared" si="172"/>
        <v>2365025</v>
      </c>
      <c r="BE582" s="1">
        <v>9</v>
      </c>
      <c r="BI582">
        <v>30.41</v>
      </c>
      <c r="BJ582">
        <v>0.6</v>
      </c>
      <c r="BK582">
        <v>29.81</v>
      </c>
      <c r="BS582" s="63">
        <v>0</v>
      </c>
      <c r="CK582" s="1" t="s">
        <v>4131</v>
      </c>
    </row>
    <row r="583" spans="1:89" hidden="1" outlineLevel="1">
      <c r="A583" t="s">
        <v>1223</v>
      </c>
      <c r="B583" s="8" t="s">
        <v>1697</v>
      </c>
      <c r="C583" s="1">
        <f t="shared" si="160"/>
        <v>1636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 t="shared" si="173"/>
        <v>5</v>
      </c>
      <c r="G583" s="1">
        <f t="shared" si="168"/>
        <v>309</v>
      </c>
      <c r="H583" s="2">
        <f t="shared" si="166"/>
        <v>0.18887530562347188</v>
      </c>
      <c r="I583" s="6"/>
      <c r="J583" s="2">
        <f t="shared" si="169"/>
        <v>0.56845965770171147</v>
      </c>
      <c r="K583" s="2">
        <f t="shared" si="170"/>
        <v>0.3795843520782396</v>
      </c>
      <c r="L583" s="2">
        <f t="shared" si="171"/>
        <v>3.667481662591687E-3</v>
      </c>
      <c r="M583" s="2">
        <f t="shared" si="174"/>
        <v>4.8288508557457241E-2</v>
      </c>
      <c r="N583" s="63">
        <v>930</v>
      </c>
      <c r="O583" s="63">
        <v>621</v>
      </c>
      <c r="P583" s="63">
        <v>6</v>
      </c>
      <c r="Q583" s="63">
        <v>47</v>
      </c>
      <c r="R583" s="63">
        <v>29</v>
      </c>
      <c r="S583" s="63">
        <v>2</v>
      </c>
      <c r="T583" s="67"/>
      <c r="U583" s="63"/>
      <c r="V583" s="63"/>
      <c r="W583" s="63">
        <f t="shared" si="164"/>
        <v>0</v>
      </c>
      <c r="X583" s="63"/>
      <c r="Y583" s="63"/>
      <c r="Z583" s="63"/>
      <c r="AA583" s="63"/>
      <c r="AB583" s="63"/>
      <c r="AE583" s="8">
        <v>1</v>
      </c>
      <c r="AT583" t="str">
        <f t="shared" si="161"/>
        <v>St. George</v>
      </c>
      <c r="AU583" t="s">
        <v>1729</v>
      </c>
      <c r="AV583">
        <v>1</v>
      </c>
      <c r="AX583" s="114">
        <v>23</v>
      </c>
      <c r="AY583" s="116">
        <v>13</v>
      </c>
      <c r="AZ583" s="116">
        <v>60</v>
      </c>
      <c r="BA583" s="120">
        <v>65130</v>
      </c>
      <c r="BB583" s="120">
        <f t="shared" si="162"/>
        <v>23013</v>
      </c>
      <c r="BC583" t="s">
        <v>1472</v>
      </c>
      <c r="BD583">
        <f t="shared" si="172"/>
        <v>2365130</v>
      </c>
      <c r="BE583" s="1">
        <v>53</v>
      </c>
      <c r="BI583">
        <v>158.46</v>
      </c>
      <c r="BJ583">
        <v>132.88</v>
      </c>
      <c r="BK583">
        <v>25.58</v>
      </c>
      <c r="BS583" s="63">
        <v>0</v>
      </c>
      <c r="CK583" s="1" t="s">
        <v>4132</v>
      </c>
    </row>
    <row r="584" spans="1:89" hidden="1" outlineLevel="1">
      <c r="A584" t="s">
        <v>152</v>
      </c>
      <c r="B584" s="8" t="s">
        <v>1697</v>
      </c>
      <c r="C584" s="1">
        <f t="shared" si="160"/>
        <v>162</v>
      </c>
      <c r="D584" s="5">
        <f>IF(N584&gt;0, RANK(N584,(N584:P584,Q584:AE584)),0)</f>
        <v>2</v>
      </c>
      <c r="E584" s="5">
        <f>IF(O584&gt;0,RANK(O584,(N584:P584,Q584:AE584)),0)</f>
        <v>1</v>
      </c>
      <c r="F584" s="5">
        <f t="shared" si="173"/>
        <v>0</v>
      </c>
      <c r="G584" s="1">
        <f t="shared" si="168"/>
        <v>34</v>
      </c>
      <c r="H584" s="2">
        <f t="shared" si="166"/>
        <v>0.20987654320987653</v>
      </c>
      <c r="I584" s="6"/>
      <c r="J584" s="2">
        <f t="shared" si="169"/>
        <v>0.35802469135802467</v>
      </c>
      <c r="K584" s="2">
        <f t="shared" si="170"/>
        <v>0.5679012345679012</v>
      </c>
      <c r="L584" s="2">
        <f t="shared" si="171"/>
        <v>0</v>
      </c>
      <c r="M584" s="2">
        <f t="shared" si="174"/>
        <v>7.407407407407407E-2</v>
      </c>
      <c r="N584" s="63">
        <v>58</v>
      </c>
      <c r="O584" s="63">
        <v>92</v>
      </c>
      <c r="P584" s="63">
        <v>0</v>
      </c>
      <c r="Q584" s="63">
        <v>9</v>
      </c>
      <c r="R584" s="63">
        <v>3</v>
      </c>
      <c r="S584" s="63">
        <v>0</v>
      </c>
      <c r="T584" s="67"/>
      <c r="U584" s="63"/>
      <c r="V584" s="63"/>
      <c r="W584" s="63">
        <f t="shared" si="164"/>
        <v>0</v>
      </c>
      <c r="X584" s="63"/>
      <c r="Y584" s="63"/>
      <c r="Z584" s="63"/>
      <c r="AA584" s="63"/>
      <c r="AB584" s="63"/>
      <c r="AE584" s="8">
        <v>0</v>
      </c>
      <c r="AT584" t="str">
        <f t="shared" si="161"/>
        <v>St. John</v>
      </c>
      <c r="AU584" t="s">
        <v>2830</v>
      </c>
      <c r="AV584">
        <v>2</v>
      </c>
      <c r="AX584" s="114">
        <v>23</v>
      </c>
      <c r="AY584" s="116">
        <v>3</v>
      </c>
      <c r="AZ584" s="116">
        <v>285</v>
      </c>
      <c r="BA584" s="120">
        <v>65200</v>
      </c>
      <c r="BB584" s="120">
        <f t="shared" si="162"/>
        <v>23003</v>
      </c>
      <c r="BC584" t="s">
        <v>3075</v>
      </c>
      <c r="BD584">
        <f t="shared" si="172"/>
        <v>2365200</v>
      </c>
      <c r="BE584" s="1">
        <v>5</v>
      </c>
      <c r="BI584">
        <v>51.78</v>
      </c>
      <c r="BJ584">
        <v>1.45</v>
      </c>
      <c r="BK584">
        <v>50.33</v>
      </c>
      <c r="BS584" s="63">
        <v>0</v>
      </c>
      <c r="CK584" s="1" t="s">
        <v>4133</v>
      </c>
    </row>
    <row r="585" spans="1:89" hidden="1" outlineLevel="1">
      <c r="A585" t="s">
        <v>1662</v>
      </c>
      <c r="B585" s="8" t="s">
        <v>1697</v>
      </c>
      <c r="C585" s="1">
        <f t="shared" si="160"/>
        <v>91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 t="shared" si="173"/>
        <v>0</v>
      </c>
      <c r="G585" s="1">
        <f t="shared" si="168"/>
        <v>5</v>
      </c>
      <c r="H585" s="2">
        <f t="shared" si="166"/>
        <v>5.4945054945054944E-2</v>
      </c>
      <c r="I585" s="6"/>
      <c r="J585" s="2">
        <f t="shared" si="169"/>
        <v>0.49450549450549453</v>
      </c>
      <c r="K585" s="2">
        <f t="shared" si="170"/>
        <v>0.43956043956043955</v>
      </c>
      <c r="L585" s="2">
        <f t="shared" si="171"/>
        <v>0</v>
      </c>
      <c r="M585" s="2">
        <f t="shared" si="174"/>
        <v>6.5934065934065922E-2</v>
      </c>
      <c r="N585" s="63">
        <v>45</v>
      </c>
      <c r="O585" s="63">
        <v>40</v>
      </c>
      <c r="P585" s="63">
        <v>0</v>
      </c>
      <c r="Q585" s="63">
        <v>1</v>
      </c>
      <c r="R585" s="63">
        <v>5</v>
      </c>
      <c r="S585" s="63">
        <v>0</v>
      </c>
      <c r="T585" s="67"/>
      <c r="U585" s="63"/>
      <c r="V585" s="63"/>
      <c r="W585" s="63">
        <f t="shared" si="164"/>
        <v>0</v>
      </c>
      <c r="X585" s="63"/>
      <c r="Y585" s="63"/>
      <c r="Z585" s="63"/>
      <c r="AA585" s="63"/>
      <c r="AB585" s="63"/>
      <c r="AE585" s="8">
        <v>0</v>
      </c>
      <c r="AT585" t="str">
        <f t="shared" si="161"/>
        <v>Sandy River</v>
      </c>
      <c r="AU585" t="s">
        <v>1138</v>
      </c>
      <c r="AV585">
        <v>2</v>
      </c>
      <c r="AX585" s="114">
        <v>23</v>
      </c>
      <c r="AY585" s="116">
        <v>7</v>
      </c>
      <c r="AZ585" s="116">
        <v>85</v>
      </c>
      <c r="BA585" s="120">
        <v>65655</v>
      </c>
      <c r="BB585" s="120">
        <f t="shared" si="162"/>
        <v>23007</v>
      </c>
      <c r="BC585" t="s">
        <v>3075</v>
      </c>
      <c r="BD585">
        <f t="shared" si="172"/>
        <v>2365655</v>
      </c>
      <c r="BE585" s="1">
        <v>2</v>
      </c>
      <c r="BI585">
        <v>35.270000000000003</v>
      </c>
      <c r="BJ585">
        <v>1.1599999999999999</v>
      </c>
      <c r="BK585">
        <v>34.1</v>
      </c>
      <c r="BS585" s="63">
        <v>0</v>
      </c>
      <c r="CK585" s="159" t="s">
        <v>4134</v>
      </c>
    </row>
    <row r="586" spans="1:89" hidden="1" outlineLevel="1">
      <c r="A586" t="s">
        <v>1988</v>
      </c>
      <c r="B586" s="8" t="s">
        <v>1697</v>
      </c>
      <c r="C586" s="1">
        <f t="shared" si="160"/>
        <v>10003</v>
      </c>
      <c r="D586" s="5">
        <f>IF(N586&gt;0, RANK(N586,(N586:P586,Q586:AE586)),0)</f>
        <v>2</v>
      </c>
      <c r="E586" s="5">
        <f>IF(O586&gt;0,RANK(O586,(N586:P586,Q586:AE586)),0)</f>
        <v>1</v>
      </c>
      <c r="F586" s="5">
        <f t="shared" si="173"/>
        <v>5</v>
      </c>
      <c r="G586" s="1">
        <f t="shared" si="168"/>
        <v>297</v>
      </c>
      <c r="H586" s="2">
        <f t="shared" si="166"/>
        <v>2.9691092672198341E-2</v>
      </c>
      <c r="I586" s="6"/>
      <c r="J586" s="2">
        <f t="shared" si="169"/>
        <v>0.44456663001099672</v>
      </c>
      <c r="K586" s="2">
        <f t="shared" si="170"/>
        <v>0.47425772268319505</v>
      </c>
      <c r="L586" s="2">
        <f t="shared" si="171"/>
        <v>2.599220233929821E-3</v>
      </c>
      <c r="M586" s="2">
        <f t="shared" si="174"/>
        <v>7.857642707187841E-2</v>
      </c>
      <c r="N586" s="63">
        <v>4447</v>
      </c>
      <c r="O586" s="63">
        <v>4744</v>
      </c>
      <c r="P586" s="63">
        <v>26</v>
      </c>
      <c r="Q586" s="63">
        <v>555</v>
      </c>
      <c r="R586" s="63">
        <v>231</v>
      </c>
      <c r="S586" s="63">
        <v>0</v>
      </c>
      <c r="T586" s="67"/>
      <c r="U586" s="63"/>
      <c r="V586" s="63"/>
      <c r="W586" s="63">
        <f t="shared" si="164"/>
        <v>0</v>
      </c>
      <c r="X586" s="63"/>
      <c r="Y586" s="63"/>
      <c r="Z586" s="63"/>
      <c r="AA586" s="63"/>
      <c r="AB586" s="63"/>
      <c r="AE586" s="8">
        <v>0</v>
      </c>
      <c r="AT586" t="str">
        <f t="shared" si="161"/>
        <v>Sanford</v>
      </c>
      <c r="AU586" t="s">
        <v>925</v>
      </c>
      <c r="AV586">
        <v>1</v>
      </c>
      <c r="AX586" s="114">
        <v>23</v>
      </c>
      <c r="AY586" s="116">
        <v>31</v>
      </c>
      <c r="AZ586" s="116">
        <v>115</v>
      </c>
      <c r="BA586" s="120">
        <v>65760</v>
      </c>
      <c r="BB586" s="120">
        <f t="shared" si="162"/>
        <v>23031</v>
      </c>
      <c r="BC586" t="s">
        <v>1472</v>
      </c>
      <c r="BD586">
        <f t="shared" si="172"/>
        <v>2365760</v>
      </c>
      <c r="BE586" s="1">
        <v>359</v>
      </c>
      <c r="BI586">
        <v>48.72</v>
      </c>
      <c r="BJ586">
        <v>0.92</v>
      </c>
      <c r="BK586">
        <v>47.8</v>
      </c>
      <c r="BS586" s="63">
        <v>0</v>
      </c>
      <c r="CK586" s="1" t="s">
        <v>4135</v>
      </c>
    </row>
    <row r="587" spans="1:89" hidden="1" outlineLevel="1">
      <c r="A587" t="s">
        <v>2480</v>
      </c>
      <c r="B587" s="8" t="s">
        <v>1697</v>
      </c>
      <c r="C587" s="1">
        <f t="shared" si="160"/>
        <v>712</v>
      </c>
      <c r="D587" s="5">
        <f>IF(N587&gt;0, RANK(N587,(N587:P587,Q587:AE587)),0)</f>
        <v>2</v>
      </c>
      <c r="E587" s="5">
        <f>IF(O587&gt;0,RANK(O587,(N587:P587,Q587:AE587)),0)</f>
        <v>1</v>
      </c>
      <c r="F587" s="5">
        <f t="shared" si="173"/>
        <v>0</v>
      </c>
      <c r="G587" s="1">
        <f t="shared" si="168"/>
        <v>246</v>
      </c>
      <c r="H587" s="2">
        <f t="shared" si="166"/>
        <v>0.3455056179775281</v>
      </c>
      <c r="I587" s="6"/>
      <c r="J587" s="2">
        <f t="shared" si="169"/>
        <v>0.29353932584269665</v>
      </c>
      <c r="K587" s="2">
        <f t="shared" si="170"/>
        <v>0.6390449438202247</v>
      </c>
      <c r="L587" s="2">
        <f t="shared" si="171"/>
        <v>0</v>
      </c>
      <c r="M587" s="2">
        <f t="shared" si="174"/>
        <v>6.7415730337078705E-2</v>
      </c>
      <c r="N587" s="63">
        <v>209</v>
      </c>
      <c r="O587" s="63">
        <v>455</v>
      </c>
      <c r="P587" s="63">
        <v>0</v>
      </c>
      <c r="Q587" s="63">
        <v>32</v>
      </c>
      <c r="R587" s="63">
        <v>16</v>
      </c>
      <c r="S587" s="63">
        <v>0</v>
      </c>
      <c r="T587" s="67"/>
      <c r="U587" s="63"/>
      <c r="V587" s="63"/>
      <c r="W587" s="63">
        <f t="shared" si="164"/>
        <v>0</v>
      </c>
      <c r="X587" s="63"/>
      <c r="Y587" s="63"/>
      <c r="Z587" s="63"/>
      <c r="AA587" s="63"/>
      <c r="AB587" s="63"/>
      <c r="AE587" s="8">
        <v>0</v>
      </c>
      <c r="AT587" t="str">
        <f t="shared" si="161"/>
        <v>Sangerville</v>
      </c>
      <c r="AU587" t="s">
        <v>1957</v>
      </c>
      <c r="AV587">
        <v>2</v>
      </c>
      <c r="AX587" s="114">
        <v>23</v>
      </c>
      <c r="AY587" s="116">
        <v>21</v>
      </c>
      <c r="AZ587" s="116">
        <v>80</v>
      </c>
      <c r="BA587" s="120">
        <v>65865</v>
      </c>
      <c r="BB587" s="120">
        <f t="shared" si="162"/>
        <v>23021</v>
      </c>
      <c r="BC587" t="s">
        <v>1472</v>
      </c>
      <c r="BD587">
        <f t="shared" si="172"/>
        <v>2365865</v>
      </c>
      <c r="BE587" s="1">
        <v>19</v>
      </c>
      <c r="BI587">
        <v>39.700000000000003</v>
      </c>
      <c r="BJ587">
        <v>1.1499999999999999</v>
      </c>
      <c r="BK587">
        <v>38.54</v>
      </c>
      <c r="BS587" s="63">
        <v>0</v>
      </c>
      <c r="CK587" s="1" t="s">
        <v>4136</v>
      </c>
    </row>
    <row r="588" spans="1:89" hidden="1" outlineLevel="1">
      <c r="A588" t="s">
        <v>2515</v>
      </c>
      <c r="B588" s="8" t="s">
        <v>1697</v>
      </c>
      <c r="C588" s="1">
        <f t="shared" si="160"/>
        <v>12575</v>
      </c>
      <c r="D588" s="5">
        <f>IF(N588&gt;0, RANK(N588,(N588:P588,Q588:AE588)),0)</f>
        <v>1</v>
      </c>
      <c r="E588" s="5">
        <f>IF(O588&gt;0,RANK(O588,(N588:P588,Q588:AE588)),0)</f>
        <v>2</v>
      </c>
      <c r="F588" s="5">
        <f t="shared" si="173"/>
        <v>5</v>
      </c>
      <c r="G588" s="1">
        <f t="shared" si="168"/>
        <v>1975</v>
      </c>
      <c r="H588" s="2">
        <f t="shared" si="166"/>
        <v>0.15705765407554673</v>
      </c>
      <c r="I588" s="6"/>
      <c r="J588" s="2">
        <f t="shared" si="169"/>
        <v>0.54815109343936386</v>
      </c>
      <c r="K588" s="2">
        <f t="shared" si="170"/>
        <v>0.39109343936381707</v>
      </c>
      <c r="L588" s="2">
        <f t="shared" si="171"/>
        <v>3.1013916500994038E-3</v>
      </c>
      <c r="M588" s="2">
        <f t="shared" si="174"/>
        <v>5.7654075546719662E-2</v>
      </c>
      <c r="N588" s="63">
        <v>6893</v>
      </c>
      <c r="O588" s="63">
        <v>4918</v>
      </c>
      <c r="P588" s="63">
        <v>39</v>
      </c>
      <c r="Q588" s="63">
        <v>533</v>
      </c>
      <c r="R588" s="63">
        <v>191</v>
      </c>
      <c r="S588" s="63">
        <v>0</v>
      </c>
      <c r="T588" s="67"/>
      <c r="U588" s="63"/>
      <c r="V588" s="63"/>
      <c r="W588" s="63">
        <f t="shared" si="164"/>
        <v>0</v>
      </c>
      <c r="X588" s="63"/>
      <c r="Y588" s="63"/>
      <c r="Z588" s="63"/>
      <c r="AA588" s="63"/>
      <c r="AB588" s="63"/>
      <c r="AE588" s="8">
        <v>1</v>
      </c>
      <c r="AT588" t="str">
        <f t="shared" si="161"/>
        <v>Scarborough</v>
      </c>
      <c r="AU588" t="s">
        <v>1531</v>
      </c>
      <c r="AV588">
        <v>1</v>
      </c>
      <c r="AX588" s="114">
        <v>23</v>
      </c>
      <c r="AY588" s="116">
        <v>5</v>
      </c>
      <c r="AZ588" s="116">
        <v>100</v>
      </c>
      <c r="BA588" s="120">
        <v>66145</v>
      </c>
      <c r="BB588" s="120">
        <f t="shared" si="162"/>
        <v>23005</v>
      </c>
      <c r="BC588" t="s">
        <v>1472</v>
      </c>
      <c r="BD588">
        <f t="shared" si="172"/>
        <v>2366145</v>
      </c>
      <c r="BE588" s="1">
        <v>419</v>
      </c>
      <c r="BI588">
        <v>55.32</v>
      </c>
      <c r="BJ588">
        <v>7.61</v>
      </c>
      <c r="BK588">
        <v>47.71</v>
      </c>
      <c r="BS588" s="63">
        <v>0</v>
      </c>
      <c r="CK588" s="1" t="s">
        <v>4137</v>
      </c>
    </row>
    <row r="589" spans="1:89" hidden="1" outlineLevel="1">
      <c r="A589" t="s">
        <v>2999</v>
      </c>
      <c r="B589" s="8" t="s">
        <v>1697</v>
      </c>
      <c r="C589" s="1">
        <f t="shared" si="160"/>
        <v>832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 t="shared" si="173"/>
        <v>5</v>
      </c>
      <c r="G589" s="1">
        <f t="shared" si="168"/>
        <v>20</v>
      </c>
      <c r="H589" s="2">
        <f t="shared" ref="H589:H661" si="175">IF(C589&gt;0,G589/C589,0)</f>
        <v>2.403846153846154E-2</v>
      </c>
      <c r="I589" s="6"/>
      <c r="J589" s="2">
        <f t="shared" si="169"/>
        <v>0.44471153846153844</v>
      </c>
      <c r="K589" s="2">
        <f t="shared" si="170"/>
        <v>0.46875</v>
      </c>
      <c r="L589" s="2">
        <f t="shared" si="171"/>
        <v>4.807692307692308E-3</v>
      </c>
      <c r="M589" s="2">
        <f t="shared" si="174"/>
        <v>8.173076923076926E-2</v>
      </c>
      <c r="N589" s="63">
        <v>370</v>
      </c>
      <c r="O589" s="63">
        <v>390</v>
      </c>
      <c r="P589" s="63">
        <v>4</v>
      </c>
      <c r="Q589" s="63">
        <v>45</v>
      </c>
      <c r="R589" s="63">
        <v>23</v>
      </c>
      <c r="S589" s="63">
        <v>0</v>
      </c>
      <c r="T589" s="67"/>
      <c r="U589" s="63"/>
      <c r="V589" s="63"/>
      <c r="W589" s="63">
        <f t="shared" si="164"/>
        <v>0</v>
      </c>
      <c r="X589" s="63"/>
      <c r="Y589" s="63"/>
      <c r="Z589" s="63"/>
      <c r="AA589" s="63"/>
      <c r="AB589" s="63"/>
      <c r="AE589" s="8">
        <v>0</v>
      </c>
      <c r="AT589" t="str">
        <f t="shared" si="161"/>
        <v>Searsmont</v>
      </c>
      <c r="AU589" t="s">
        <v>217</v>
      </c>
      <c r="AV589">
        <v>2</v>
      </c>
      <c r="AX589" s="114">
        <v>23</v>
      </c>
      <c r="AY589" s="116">
        <v>27</v>
      </c>
      <c r="AZ589" s="116">
        <v>90</v>
      </c>
      <c r="BA589" s="120">
        <v>66565</v>
      </c>
      <c r="BB589" s="120">
        <f t="shared" si="162"/>
        <v>23027</v>
      </c>
      <c r="BC589" t="s">
        <v>1472</v>
      </c>
      <c r="BD589">
        <f t="shared" si="172"/>
        <v>2366565</v>
      </c>
      <c r="BE589" s="1">
        <v>21</v>
      </c>
      <c r="BI589">
        <v>39.200000000000003</v>
      </c>
      <c r="BJ589">
        <v>1.41</v>
      </c>
      <c r="BK589">
        <v>37.79</v>
      </c>
      <c r="BS589" s="63">
        <v>0</v>
      </c>
      <c r="CK589" s="1" t="s">
        <v>4138</v>
      </c>
    </row>
    <row r="590" spans="1:89" hidden="1" outlineLevel="1">
      <c r="A590" t="s">
        <v>2577</v>
      </c>
      <c r="B590" s="8" t="s">
        <v>1697</v>
      </c>
      <c r="C590" s="1">
        <f t="shared" si="160"/>
        <v>1516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 t="shared" si="173"/>
        <v>5</v>
      </c>
      <c r="G590" s="1">
        <f t="shared" si="168"/>
        <v>21</v>
      </c>
      <c r="H590" s="2">
        <f t="shared" si="175"/>
        <v>1.3852242744063324E-2</v>
      </c>
      <c r="I590" s="6"/>
      <c r="J590" s="2">
        <f t="shared" si="169"/>
        <v>0.45448548812664907</v>
      </c>
      <c r="K590" s="2">
        <f t="shared" si="170"/>
        <v>0.4683377308707124</v>
      </c>
      <c r="L590" s="2">
        <f t="shared" si="171"/>
        <v>1.9788918205804751E-3</v>
      </c>
      <c r="M590" s="2">
        <f t="shared" si="174"/>
        <v>7.5197889182057998E-2</v>
      </c>
      <c r="N590" s="63">
        <v>689</v>
      </c>
      <c r="O590" s="63">
        <v>710</v>
      </c>
      <c r="P590" s="63">
        <v>3</v>
      </c>
      <c r="Q590" s="63">
        <v>78</v>
      </c>
      <c r="R590" s="63">
        <v>36</v>
      </c>
      <c r="S590" s="63">
        <v>0</v>
      </c>
      <c r="T590" s="67"/>
      <c r="U590" s="63"/>
      <c r="V590" s="63"/>
      <c r="W590" s="63">
        <f t="shared" si="164"/>
        <v>0</v>
      </c>
      <c r="X590" s="63"/>
      <c r="Y590" s="63"/>
      <c r="Z590" s="63"/>
      <c r="AA590" s="63"/>
      <c r="AB590" s="63"/>
      <c r="AE590" s="8">
        <v>0</v>
      </c>
      <c r="AT590" t="str">
        <f t="shared" si="161"/>
        <v>Searsport</v>
      </c>
      <c r="AU590" t="s">
        <v>217</v>
      </c>
      <c r="AV590">
        <v>2</v>
      </c>
      <c r="AX590" s="114">
        <v>23</v>
      </c>
      <c r="AY590" s="116">
        <v>27</v>
      </c>
      <c r="AZ590" s="116">
        <v>95</v>
      </c>
      <c r="BA590" s="120">
        <v>66635</v>
      </c>
      <c r="BB590" s="120">
        <f t="shared" ref="BB590:BB664" si="176">AX590*1000+AY590</f>
        <v>23027</v>
      </c>
      <c r="BC590" t="s">
        <v>1472</v>
      </c>
      <c r="BD590">
        <f t="shared" si="172"/>
        <v>2366635</v>
      </c>
      <c r="BE590" s="1">
        <v>54</v>
      </c>
      <c r="BI590">
        <v>42.94</v>
      </c>
      <c r="BJ590">
        <v>14.35</v>
      </c>
      <c r="BK590">
        <v>28.6</v>
      </c>
      <c r="BS590" s="63">
        <v>0</v>
      </c>
      <c r="CK590" s="1" t="s">
        <v>4139</v>
      </c>
    </row>
    <row r="591" spans="1:89" hidden="1" outlineLevel="1">
      <c r="A591" t="s">
        <v>2290</v>
      </c>
      <c r="B591" s="8" t="s">
        <v>1697</v>
      </c>
      <c r="C591" s="1">
        <f t="shared" si="160"/>
        <v>1111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 t="shared" si="173"/>
        <v>5</v>
      </c>
      <c r="G591" s="1">
        <f t="shared" si="168"/>
        <v>179</v>
      </c>
      <c r="H591" s="2">
        <f t="shared" si="175"/>
        <v>0.16111611161116113</v>
      </c>
      <c r="I591" s="6"/>
      <c r="J591" s="2">
        <f t="shared" si="169"/>
        <v>0.37893789378937892</v>
      </c>
      <c r="K591" s="2">
        <f t="shared" si="170"/>
        <v>0.54005400540054005</v>
      </c>
      <c r="L591" s="2">
        <f t="shared" si="171"/>
        <v>3.6003600360036002E-3</v>
      </c>
      <c r="M591" s="2">
        <f t="shared" si="174"/>
        <v>7.740774077407743E-2</v>
      </c>
      <c r="N591" s="63">
        <v>421</v>
      </c>
      <c r="O591" s="63">
        <v>600</v>
      </c>
      <c r="P591" s="63">
        <v>4</v>
      </c>
      <c r="Q591" s="63">
        <v>64</v>
      </c>
      <c r="R591" s="63">
        <v>20</v>
      </c>
      <c r="S591" s="63">
        <v>2</v>
      </c>
      <c r="T591" s="67"/>
      <c r="U591" s="63"/>
      <c r="V591" s="63"/>
      <c r="W591" s="63">
        <f t="shared" si="164"/>
        <v>0</v>
      </c>
      <c r="X591" s="63"/>
      <c r="Y591" s="63"/>
      <c r="Z591" s="63"/>
      <c r="AA591" s="63"/>
      <c r="AB591" s="63"/>
      <c r="AE591" s="8">
        <v>0</v>
      </c>
      <c r="AT591" t="str">
        <f t="shared" si="161"/>
        <v>Sebago</v>
      </c>
      <c r="AU591" t="s">
        <v>1531</v>
      </c>
      <c r="AV591">
        <v>1</v>
      </c>
      <c r="AX591" s="114">
        <v>23</v>
      </c>
      <c r="AY591" s="116">
        <v>5</v>
      </c>
      <c r="AZ591" s="116">
        <v>105</v>
      </c>
      <c r="BA591" s="120">
        <v>66775</v>
      </c>
      <c r="BB591" s="120">
        <f t="shared" si="176"/>
        <v>23005</v>
      </c>
      <c r="BC591" t="s">
        <v>1472</v>
      </c>
      <c r="BD591">
        <f t="shared" si="172"/>
        <v>2366775</v>
      </c>
      <c r="BE591" s="1">
        <v>21</v>
      </c>
      <c r="BI591">
        <v>46.1</v>
      </c>
      <c r="BJ591">
        <v>13.31</v>
      </c>
      <c r="BK591">
        <v>32.78</v>
      </c>
      <c r="BS591" s="63">
        <v>0</v>
      </c>
      <c r="CK591" s="1" t="s">
        <v>4140</v>
      </c>
    </row>
    <row r="592" spans="1:89" hidden="1" outlineLevel="1">
      <c r="A592" t="s">
        <v>1311</v>
      </c>
      <c r="B592" s="8" t="s">
        <v>1697</v>
      </c>
      <c r="C592" s="1">
        <f t="shared" si="160"/>
        <v>383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 t="shared" si="173"/>
        <v>0</v>
      </c>
      <c r="G592" s="1">
        <f t="shared" si="168"/>
        <v>155</v>
      </c>
      <c r="H592" s="2">
        <f t="shared" si="175"/>
        <v>0.40469973890339428</v>
      </c>
      <c r="I592" s="6"/>
      <c r="J592" s="2">
        <f t="shared" si="169"/>
        <v>0.26631853785900783</v>
      </c>
      <c r="K592" s="2">
        <f t="shared" si="170"/>
        <v>0.67101827676240211</v>
      </c>
      <c r="L592" s="2">
        <f t="shared" si="171"/>
        <v>0</v>
      </c>
      <c r="M592" s="2">
        <f t="shared" si="174"/>
        <v>6.2663185378590058E-2</v>
      </c>
      <c r="N592" s="63">
        <v>102</v>
      </c>
      <c r="O592" s="63">
        <v>257</v>
      </c>
      <c r="P592" s="63">
        <v>0</v>
      </c>
      <c r="Q592" s="63">
        <v>18</v>
      </c>
      <c r="R592" s="63">
        <v>6</v>
      </c>
      <c r="S592" s="63">
        <v>0</v>
      </c>
      <c r="T592" s="67"/>
      <c r="U592" s="63"/>
      <c r="V592" s="63"/>
      <c r="W592" s="63">
        <f t="shared" si="164"/>
        <v>0</v>
      </c>
      <c r="X592" s="63"/>
      <c r="Y592" s="63"/>
      <c r="Z592" s="63"/>
      <c r="AA592" s="63"/>
      <c r="AB592" s="63"/>
      <c r="AE592" s="8">
        <v>0</v>
      </c>
      <c r="AT592" t="str">
        <f t="shared" si="161"/>
        <v>Sebec</v>
      </c>
      <c r="AU592" t="s">
        <v>1957</v>
      </c>
      <c r="AV592">
        <v>2</v>
      </c>
      <c r="AX592" s="114">
        <v>23</v>
      </c>
      <c r="AY592" s="116">
        <v>21</v>
      </c>
      <c r="AZ592" s="116">
        <v>85</v>
      </c>
      <c r="BA592" s="120">
        <v>66950</v>
      </c>
      <c r="BB592" s="120">
        <f t="shared" si="176"/>
        <v>23021</v>
      </c>
      <c r="BC592" t="s">
        <v>1472</v>
      </c>
      <c r="BD592">
        <f t="shared" si="172"/>
        <v>2366950</v>
      </c>
      <c r="BE592" s="1">
        <v>12</v>
      </c>
      <c r="BI592">
        <v>37.979999999999997</v>
      </c>
      <c r="BJ592">
        <v>0.98</v>
      </c>
      <c r="BK592">
        <v>37</v>
      </c>
      <c r="BS592" s="63">
        <v>0</v>
      </c>
      <c r="CK592" s="1" t="s">
        <v>4141</v>
      </c>
    </row>
    <row r="593" spans="1:89" hidden="1" outlineLevel="1">
      <c r="A593" t="s">
        <v>1663</v>
      </c>
      <c r="B593" s="8" t="s">
        <v>1697</v>
      </c>
      <c r="C593" s="1">
        <f t="shared" si="160"/>
        <v>34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 t="shared" si="173"/>
        <v>0</v>
      </c>
      <c r="G593" s="1">
        <f t="shared" si="168"/>
        <v>4</v>
      </c>
      <c r="H593" s="2">
        <f t="shared" si="175"/>
        <v>0.11764705882352941</v>
      </c>
      <c r="I593" s="6"/>
      <c r="J593" s="2">
        <f t="shared" si="169"/>
        <v>0.44117647058823528</v>
      </c>
      <c r="K593" s="2">
        <f t="shared" si="170"/>
        <v>0.55882352941176472</v>
      </c>
      <c r="L593" s="2">
        <f t="shared" si="171"/>
        <v>0</v>
      </c>
      <c r="M593" s="2">
        <f t="shared" si="174"/>
        <v>0</v>
      </c>
      <c r="N593" s="63">
        <v>15</v>
      </c>
      <c r="O593" s="63">
        <v>19</v>
      </c>
      <c r="P593" s="63">
        <v>0</v>
      </c>
      <c r="Q593" s="63">
        <v>0</v>
      </c>
      <c r="R593" s="63">
        <v>0</v>
      </c>
      <c r="S593" s="63">
        <v>0</v>
      </c>
      <c r="T593" s="67"/>
      <c r="U593" s="63"/>
      <c r="V593" s="63"/>
      <c r="W593" s="63">
        <f t="shared" si="164"/>
        <v>0</v>
      </c>
      <c r="X593" s="63"/>
      <c r="Y593" s="63"/>
      <c r="Z593" s="63"/>
      <c r="AA593" s="63"/>
      <c r="AB593" s="63"/>
      <c r="AE593" s="8">
        <v>0</v>
      </c>
      <c r="AT593" t="str">
        <f t="shared" si="161"/>
        <v>Seboeis</v>
      </c>
      <c r="AU593" t="s">
        <v>2481</v>
      </c>
      <c r="AV593">
        <v>2</v>
      </c>
      <c r="AX593" s="114">
        <v>23</v>
      </c>
      <c r="AY593" s="116">
        <v>19</v>
      </c>
      <c r="AZ593" s="116">
        <v>275</v>
      </c>
      <c r="BA593" s="120">
        <v>67160</v>
      </c>
      <c r="BB593" s="120">
        <f t="shared" si="176"/>
        <v>23019</v>
      </c>
      <c r="BC593" t="s">
        <v>3075</v>
      </c>
      <c r="BD593">
        <f t="shared" si="172"/>
        <v>2367160</v>
      </c>
      <c r="BE593" s="1">
        <v>1</v>
      </c>
      <c r="BI593">
        <v>41.72</v>
      </c>
      <c r="BJ593">
        <v>1.72</v>
      </c>
      <c r="BK593">
        <v>40</v>
      </c>
      <c r="BS593" s="63">
        <v>0</v>
      </c>
      <c r="CK593" s="1" t="s">
        <v>4142</v>
      </c>
    </row>
    <row r="594" spans="1:89" hidden="1" outlineLevel="1">
      <c r="A594" t="s">
        <v>2832</v>
      </c>
      <c r="B594" s="8" t="s">
        <v>1697</v>
      </c>
      <c r="C594" s="1">
        <f t="shared" si="160"/>
        <v>734</v>
      </c>
      <c r="D594" s="5">
        <f>IF(N594&gt;0, RANK(N594,(N594:P594,Q594:AE594)),0)</f>
        <v>1</v>
      </c>
      <c r="E594" s="5">
        <f>IF(O594&gt;0,RANK(O594,(N594:P594,Q594:AE594)),0)</f>
        <v>2</v>
      </c>
      <c r="F594" s="5">
        <f t="shared" si="173"/>
        <v>5</v>
      </c>
      <c r="G594" s="1">
        <f t="shared" si="168"/>
        <v>110</v>
      </c>
      <c r="H594" s="2">
        <f t="shared" si="175"/>
        <v>0.14986376021798364</v>
      </c>
      <c r="I594" s="6"/>
      <c r="J594" s="2">
        <f t="shared" si="169"/>
        <v>0.54087193460490468</v>
      </c>
      <c r="K594" s="2">
        <f t="shared" si="170"/>
        <v>0.39100817438692098</v>
      </c>
      <c r="L594" s="2">
        <f t="shared" si="171"/>
        <v>1.3623978201634877E-3</v>
      </c>
      <c r="M594" s="2">
        <f t="shared" si="174"/>
        <v>6.6757493188010844E-2</v>
      </c>
      <c r="N594" s="63">
        <v>397</v>
      </c>
      <c r="O594" s="63">
        <v>287</v>
      </c>
      <c r="P594" s="63">
        <v>1</v>
      </c>
      <c r="Q594" s="63">
        <v>33</v>
      </c>
      <c r="R594" s="63">
        <v>16</v>
      </c>
      <c r="S594" s="63">
        <v>0</v>
      </c>
      <c r="T594" s="67"/>
      <c r="U594" s="63"/>
      <c r="V594" s="63"/>
      <c r="W594" s="63">
        <f t="shared" si="164"/>
        <v>0</v>
      </c>
      <c r="X594" s="63"/>
      <c r="Y594" s="63"/>
      <c r="Z594" s="63"/>
      <c r="AA594" s="63"/>
      <c r="AB594" s="63"/>
      <c r="AE594" s="8">
        <v>0</v>
      </c>
      <c r="AT594" t="str">
        <f t="shared" si="161"/>
        <v>Sedgwick</v>
      </c>
      <c r="AU594" t="s">
        <v>597</v>
      </c>
      <c r="AV594">
        <v>2</v>
      </c>
      <c r="AX594" s="114">
        <v>23</v>
      </c>
      <c r="AY594" s="116">
        <v>9</v>
      </c>
      <c r="AZ594" s="116">
        <v>130</v>
      </c>
      <c r="BA594" s="120">
        <v>67300</v>
      </c>
      <c r="BB594" s="120">
        <f t="shared" si="176"/>
        <v>23009</v>
      </c>
      <c r="BC594" t="s">
        <v>1472</v>
      </c>
      <c r="BD594">
        <f t="shared" si="172"/>
        <v>2367300</v>
      </c>
      <c r="BE594" s="1">
        <v>29</v>
      </c>
      <c r="BI594">
        <v>31.08</v>
      </c>
      <c r="BJ594">
        <v>4.0599999999999996</v>
      </c>
      <c r="BK594">
        <v>27.02</v>
      </c>
      <c r="BS594" s="63">
        <v>0</v>
      </c>
      <c r="CK594" s="1" t="s">
        <v>4143</v>
      </c>
    </row>
    <row r="595" spans="1:89" hidden="1" outlineLevel="1">
      <c r="A595" t="s">
        <v>2029</v>
      </c>
      <c r="B595" s="8" t="s">
        <v>1697</v>
      </c>
      <c r="C595" s="1">
        <f t="shared" si="160"/>
        <v>1533</v>
      </c>
      <c r="D595" s="5">
        <f>IF(N595&gt;0, RANK(N595,(N595:P595,Q595:AE595)),0)</f>
        <v>2</v>
      </c>
      <c r="E595" s="5">
        <f>IF(O595&gt;0,RANK(O595,(N595:P595,Q595:AE595)),0)</f>
        <v>1</v>
      </c>
      <c r="F595" s="5">
        <f t="shared" si="173"/>
        <v>5</v>
      </c>
      <c r="G595" s="1">
        <f t="shared" si="168"/>
        <v>340</v>
      </c>
      <c r="H595" s="2">
        <f t="shared" si="175"/>
        <v>0.2217873450750163</v>
      </c>
      <c r="I595" s="6"/>
      <c r="J595" s="2">
        <f t="shared" si="169"/>
        <v>0.34833659491193736</v>
      </c>
      <c r="K595" s="2">
        <f t="shared" si="170"/>
        <v>0.57012393998695365</v>
      </c>
      <c r="L595" s="2">
        <f t="shared" si="171"/>
        <v>6.5231572080887146E-4</v>
      </c>
      <c r="M595" s="2">
        <f t="shared" si="174"/>
        <v>8.0887149380300116E-2</v>
      </c>
      <c r="N595" s="63">
        <v>534</v>
      </c>
      <c r="O595" s="63">
        <v>874</v>
      </c>
      <c r="P595" s="63">
        <v>1</v>
      </c>
      <c r="Q595" s="63">
        <v>89</v>
      </c>
      <c r="R595" s="63">
        <v>35</v>
      </c>
      <c r="S595" s="63">
        <v>0</v>
      </c>
      <c r="T595" s="67"/>
      <c r="U595" s="63"/>
      <c r="V595" s="63"/>
      <c r="W595" s="63">
        <f t="shared" si="164"/>
        <v>0</v>
      </c>
      <c r="X595" s="63"/>
      <c r="Y595" s="63"/>
      <c r="Z595" s="63"/>
      <c r="AA595" s="63"/>
      <c r="AB595" s="63"/>
      <c r="AE595" s="8">
        <v>0</v>
      </c>
      <c r="AT595" t="str">
        <f t="shared" ref="AT595:AT661" si="177">A595</f>
        <v>Shapleigh</v>
      </c>
      <c r="AU595" t="s">
        <v>925</v>
      </c>
      <c r="AV595">
        <v>1</v>
      </c>
      <c r="AX595" s="114">
        <v>23</v>
      </c>
      <c r="AY595" s="116">
        <v>31</v>
      </c>
      <c r="AZ595" s="116">
        <v>120</v>
      </c>
      <c r="BA595" s="120">
        <v>67475</v>
      </c>
      <c r="BB595" s="120">
        <f t="shared" si="176"/>
        <v>23031</v>
      </c>
      <c r="BC595" t="s">
        <v>1472</v>
      </c>
      <c r="BD595">
        <f t="shared" si="172"/>
        <v>2367475</v>
      </c>
      <c r="BE595" s="1">
        <v>35</v>
      </c>
      <c r="BI595">
        <v>41.24</v>
      </c>
      <c r="BJ595">
        <v>2.4300000000000002</v>
      </c>
      <c r="BK595">
        <v>38.81</v>
      </c>
      <c r="BS595" s="63">
        <v>0</v>
      </c>
      <c r="CK595" s="1" t="s">
        <v>4144</v>
      </c>
    </row>
    <row r="596" spans="1:89" hidden="1" outlineLevel="1">
      <c r="A596" t="s">
        <v>2877</v>
      </c>
      <c r="B596" s="8" t="s">
        <v>1697</v>
      </c>
      <c r="C596" s="1">
        <f t="shared" si="160"/>
        <v>634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 t="shared" si="173"/>
        <v>0</v>
      </c>
      <c r="G596" s="1">
        <f t="shared" si="168"/>
        <v>326</v>
      </c>
      <c r="H596" s="2">
        <f t="shared" si="175"/>
        <v>0.51419558359621453</v>
      </c>
      <c r="I596" s="6"/>
      <c r="J596" s="2">
        <f t="shared" si="169"/>
        <v>0.22239747634069401</v>
      </c>
      <c r="K596" s="2">
        <f t="shared" si="170"/>
        <v>0.73659305993690849</v>
      </c>
      <c r="L596" s="2">
        <f t="shared" si="171"/>
        <v>0</v>
      </c>
      <c r="M596" s="2">
        <f t="shared" si="174"/>
        <v>4.1009463722397554E-2</v>
      </c>
      <c r="N596" s="63">
        <v>141</v>
      </c>
      <c r="O596" s="63">
        <v>467</v>
      </c>
      <c r="P596" s="63">
        <v>0</v>
      </c>
      <c r="Q596" s="63">
        <v>20</v>
      </c>
      <c r="R596" s="63">
        <v>6</v>
      </c>
      <c r="S596" s="63">
        <v>0</v>
      </c>
      <c r="T596" s="67"/>
      <c r="U596" s="63"/>
      <c r="V596" s="63"/>
      <c r="W596" s="63">
        <f t="shared" si="164"/>
        <v>0</v>
      </c>
      <c r="X596" s="63"/>
      <c r="Y596" s="63"/>
      <c r="Z596" s="63"/>
      <c r="AA596" s="63"/>
      <c r="AB596" s="63"/>
      <c r="AE596" s="8">
        <v>0</v>
      </c>
      <c r="AT596" t="str">
        <f t="shared" si="177"/>
        <v>Sherman</v>
      </c>
      <c r="AU596" t="s">
        <v>2830</v>
      </c>
      <c r="AV596">
        <v>2</v>
      </c>
      <c r="AX596" s="114">
        <v>23</v>
      </c>
      <c r="AY596" s="116">
        <v>3</v>
      </c>
      <c r="AZ596" s="116">
        <v>290</v>
      </c>
      <c r="BA596" s="120">
        <v>67790</v>
      </c>
      <c r="BB596" s="120">
        <f t="shared" si="176"/>
        <v>23003</v>
      </c>
      <c r="BC596" t="s">
        <v>1472</v>
      </c>
      <c r="BD596">
        <f t="shared" si="172"/>
        <v>2367790</v>
      </c>
      <c r="BE596" s="1">
        <v>13</v>
      </c>
      <c r="BI596">
        <v>40.81</v>
      </c>
      <c r="BJ596">
        <v>0.49</v>
      </c>
      <c r="BK596">
        <v>40.32</v>
      </c>
      <c r="BS596" s="63">
        <v>0</v>
      </c>
      <c r="CK596" s="1" t="s">
        <v>4145</v>
      </c>
    </row>
    <row r="597" spans="1:89" hidden="1" outlineLevel="1">
      <c r="A597" t="s">
        <v>1351</v>
      </c>
      <c r="B597" s="8" t="s">
        <v>1697</v>
      </c>
      <c r="C597" s="1">
        <f t="shared" si="160"/>
        <v>145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 t="shared" si="173"/>
        <v>0</v>
      </c>
      <c r="G597" s="1">
        <f t="shared" si="168"/>
        <v>50</v>
      </c>
      <c r="H597" s="2">
        <f t="shared" si="175"/>
        <v>0.34482758620689657</v>
      </c>
      <c r="I597" s="6"/>
      <c r="J597" s="2">
        <f t="shared" si="169"/>
        <v>0.29655172413793102</v>
      </c>
      <c r="K597" s="2">
        <f t="shared" si="170"/>
        <v>0.64137931034482754</v>
      </c>
      <c r="L597" s="2">
        <f t="shared" si="171"/>
        <v>0</v>
      </c>
      <c r="M597" s="2">
        <f t="shared" si="174"/>
        <v>6.2068965517241503E-2</v>
      </c>
      <c r="N597" s="63">
        <v>43</v>
      </c>
      <c r="O597" s="63">
        <v>93</v>
      </c>
      <c r="P597" s="63">
        <v>0</v>
      </c>
      <c r="Q597" s="63">
        <v>8</v>
      </c>
      <c r="R597" s="63">
        <v>1</v>
      </c>
      <c r="S597" s="63">
        <v>0</v>
      </c>
      <c r="T597" s="67"/>
      <c r="U597" s="63"/>
      <c r="V597" s="63"/>
      <c r="W597" s="63">
        <f t="shared" si="164"/>
        <v>0</v>
      </c>
      <c r="X597" s="63"/>
      <c r="Y597" s="63"/>
      <c r="Z597" s="63"/>
      <c r="AA597" s="63"/>
      <c r="AB597" s="63"/>
      <c r="AE597" s="8">
        <v>0</v>
      </c>
      <c r="AT597" t="str">
        <f t="shared" si="177"/>
        <v>Shirley</v>
      </c>
      <c r="AU597" t="s">
        <v>1957</v>
      </c>
      <c r="AV597">
        <v>2</v>
      </c>
      <c r="AX597" s="114">
        <v>23</v>
      </c>
      <c r="AY597" s="116">
        <v>21</v>
      </c>
      <c r="AZ597" s="116">
        <v>90</v>
      </c>
      <c r="BA597" s="120">
        <v>68140</v>
      </c>
      <c r="BB597" s="120">
        <f t="shared" si="176"/>
        <v>23021</v>
      </c>
      <c r="BC597" t="s">
        <v>1472</v>
      </c>
      <c r="BD597">
        <f t="shared" si="172"/>
        <v>2368140</v>
      </c>
      <c r="BE597" s="1">
        <v>5</v>
      </c>
      <c r="BI597">
        <v>53.78</v>
      </c>
      <c r="BJ597">
        <v>0.87</v>
      </c>
      <c r="BK597">
        <v>52.9</v>
      </c>
      <c r="BS597" s="63">
        <v>0</v>
      </c>
      <c r="CK597" s="1" t="s">
        <v>4146</v>
      </c>
    </row>
    <row r="598" spans="1:89" hidden="1" outlineLevel="1">
      <c r="A598" t="s">
        <v>1630</v>
      </c>
      <c r="B598" s="8" t="s">
        <v>1697</v>
      </c>
      <c r="C598" s="1">
        <f t="shared" si="160"/>
        <v>2576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 t="shared" si="173"/>
        <v>5</v>
      </c>
      <c r="G598" s="1">
        <f t="shared" si="168"/>
        <v>472</v>
      </c>
      <c r="H598" s="2">
        <f t="shared" si="175"/>
        <v>0.18322981366459629</v>
      </c>
      <c r="I598" s="6"/>
      <c r="J598" s="2">
        <f t="shared" si="169"/>
        <v>0.36451863354037267</v>
      </c>
      <c r="K598" s="2">
        <f t="shared" si="170"/>
        <v>0.54774844720496896</v>
      </c>
      <c r="L598" s="2">
        <f t="shared" si="171"/>
        <v>6.2111801242236021E-3</v>
      </c>
      <c r="M598" s="2">
        <f t="shared" si="174"/>
        <v>8.1521739130434714E-2</v>
      </c>
      <c r="N598" s="63">
        <v>939</v>
      </c>
      <c r="O598" s="63">
        <v>1411</v>
      </c>
      <c r="P598" s="63">
        <v>16</v>
      </c>
      <c r="Q598" s="63">
        <v>160</v>
      </c>
      <c r="R598" s="63">
        <v>46</v>
      </c>
      <c r="S598" s="63">
        <v>4</v>
      </c>
      <c r="T598" s="67"/>
      <c r="U598" s="63"/>
      <c r="V598" s="63"/>
      <c r="W598" s="63">
        <f t="shared" si="164"/>
        <v>0</v>
      </c>
      <c r="X598" s="63"/>
      <c r="Y598" s="63"/>
      <c r="Z598" s="63"/>
      <c r="AA598" s="63"/>
      <c r="AB598" s="63"/>
      <c r="AE598" s="8">
        <v>0</v>
      </c>
      <c r="AT598" t="str">
        <f t="shared" si="177"/>
        <v>Sidney</v>
      </c>
      <c r="AU598" t="s">
        <v>3007</v>
      </c>
      <c r="AV598">
        <v>2</v>
      </c>
      <c r="AX598" s="114">
        <v>23</v>
      </c>
      <c r="AY598" s="116">
        <v>11</v>
      </c>
      <c r="AZ598" s="116">
        <v>105</v>
      </c>
      <c r="BA598" s="120">
        <v>68385</v>
      </c>
      <c r="BB598" s="120">
        <f t="shared" si="176"/>
        <v>23011</v>
      </c>
      <c r="BC598" t="s">
        <v>1472</v>
      </c>
      <c r="BD598">
        <f t="shared" si="172"/>
        <v>2368385</v>
      </c>
      <c r="BE598" s="1">
        <v>90</v>
      </c>
      <c r="BI598">
        <v>45.53</v>
      </c>
      <c r="BJ598">
        <v>3.3</v>
      </c>
      <c r="BK598">
        <v>42.23</v>
      </c>
      <c r="BS598" s="63">
        <v>0</v>
      </c>
      <c r="CK598" s="1" t="s">
        <v>4147</v>
      </c>
    </row>
    <row r="599" spans="1:89" hidden="1" outlineLevel="1">
      <c r="A599" t="s">
        <v>1946</v>
      </c>
      <c r="B599" s="8" t="s">
        <v>1697</v>
      </c>
      <c r="C599" s="1">
        <f t="shared" si="160"/>
        <v>4002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 t="shared" si="173"/>
        <v>5</v>
      </c>
      <c r="G599" s="1">
        <f t="shared" si="168"/>
        <v>372</v>
      </c>
      <c r="H599" s="2">
        <f t="shared" si="175"/>
        <v>9.2953523238380811E-2</v>
      </c>
      <c r="I599" s="6"/>
      <c r="J599" s="2">
        <f t="shared" si="169"/>
        <v>0.41829085457271364</v>
      </c>
      <c r="K599" s="2">
        <f t="shared" si="170"/>
        <v>0.51124437781109444</v>
      </c>
      <c r="L599" s="2">
        <f t="shared" si="171"/>
        <v>9.9950024987506244E-4</v>
      </c>
      <c r="M599" s="2">
        <f t="shared" si="174"/>
        <v>6.9465267366316849E-2</v>
      </c>
      <c r="N599" s="63">
        <v>1674</v>
      </c>
      <c r="O599" s="63">
        <v>2046</v>
      </c>
      <c r="P599" s="63">
        <v>4</v>
      </c>
      <c r="Q599" s="63">
        <v>211</v>
      </c>
      <c r="R599" s="63">
        <v>67</v>
      </c>
      <c r="S599" s="63">
        <v>0</v>
      </c>
      <c r="T599" s="67"/>
      <c r="U599" s="63"/>
      <c r="V599" s="63"/>
      <c r="W599" s="63">
        <f t="shared" si="164"/>
        <v>0</v>
      </c>
      <c r="X599" s="63"/>
      <c r="Y599" s="63"/>
      <c r="Z599" s="63"/>
      <c r="AA599" s="63"/>
      <c r="AB599" s="63"/>
      <c r="AE599" s="8">
        <v>0</v>
      </c>
      <c r="AT599" t="str">
        <f t="shared" si="177"/>
        <v>Skowhegan</v>
      </c>
      <c r="AU599" t="s">
        <v>1787</v>
      </c>
      <c r="AV599">
        <v>2</v>
      </c>
      <c r="AX599" s="114">
        <v>23</v>
      </c>
      <c r="AY599" s="116">
        <v>25</v>
      </c>
      <c r="AZ599" s="116">
        <v>140</v>
      </c>
      <c r="BA599" s="120">
        <v>68910</v>
      </c>
      <c r="BB599" s="120">
        <f t="shared" si="176"/>
        <v>23025</v>
      </c>
      <c r="BC599" t="s">
        <v>1472</v>
      </c>
      <c r="BD599">
        <f t="shared" si="172"/>
        <v>2368910</v>
      </c>
      <c r="BE599" s="1">
        <v>153</v>
      </c>
      <c r="BI599">
        <v>60.58</v>
      </c>
      <c r="BJ599">
        <v>1.6</v>
      </c>
      <c r="BK599">
        <v>58.98</v>
      </c>
      <c r="BS599" s="63">
        <v>0</v>
      </c>
      <c r="CK599" s="1" t="s">
        <v>4148</v>
      </c>
    </row>
    <row r="600" spans="1:89" hidden="1" outlineLevel="1">
      <c r="A600" t="s">
        <v>572</v>
      </c>
      <c r="B600" s="8" t="s">
        <v>1697</v>
      </c>
      <c r="C600" s="1">
        <f t="shared" si="160"/>
        <v>605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 t="shared" si="173"/>
        <v>0</v>
      </c>
      <c r="G600" s="1">
        <f t="shared" si="168"/>
        <v>75</v>
      </c>
      <c r="H600" s="2">
        <f t="shared" si="175"/>
        <v>0.12396694214876033</v>
      </c>
      <c r="I600" s="6"/>
      <c r="J600" s="2">
        <f t="shared" si="169"/>
        <v>0.40330578512396692</v>
      </c>
      <c r="K600" s="2">
        <f t="shared" si="170"/>
        <v>0.52727272727272723</v>
      </c>
      <c r="L600" s="2">
        <f t="shared" si="171"/>
        <v>0</v>
      </c>
      <c r="M600" s="2">
        <f t="shared" si="174"/>
        <v>6.9421487603305798E-2</v>
      </c>
      <c r="N600" s="63">
        <v>244</v>
      </c>
      <c r="O600" s="63">
        <v>319</v>
      </c>
      <c r="P600" s="63">
        <v>0</v>
      </c>
      <c r="Q600" s="63">
        <v>29</v>
      </c>
      <c r="R600" s="63">
        <v>13</v>
      </c>
      <c r="S600" s="63">
        <v>0</v>
      </c>
      <c r="T600" s="67"/>
      <c r="U600" s="63"/>
      <c r="V600" s="63"/>
      <c r="W600" s="63">
        <f t="shared" si="164"/>
        <v>0</v>
      </c>
      <c r="X600" s="63"/>
      <c r="Y600" s="63"/>
      <c r="Z600" s="63"/>
      <c r="AA600" s="63"/>
      <c r="AB600" s="63"/>
      <c r="AE600" s="8">
        <v>0</v>
      </c>
      <c r="AT600" t="str">
        <f t="shared" si="177"/>
        <v>Smithfield</v>
      </c>
      <c r="AU600" t="s">
        <v>1787</v>
      </c>
      <c r="AV600">
        <v>2</v>
      </c>
      <c r="AX600" s="114">
        <v>23</v>
      </c>
      <c r="AY600" s="116">
        <v>25</v>
      </c>
      <c r="AZ600" s="116">
        <v>145</v>
      </c>
      <c r="BA600" s="120">
        <v>69155</v>
      </c>
      <c r="BB600" s="120">
        <f t="shared" si="176"/>
        <v>23025</v>
      </c>
      <c r="BC600" t="s">
        <v>1472</v>
      </c>
      <c r="BD600">
        <f t="shared" si="172"/>
        <v>2369155</v>
      </c>
      <c r="BE600" s="1">
        <v>19</v>
      </c>
      <c r="BI600">
        <v>24.73</v>
      </c>
      <c r="BJ600">
        <v>4.84</v>
      </c>
      <c r="BK600">
        <v>19.89</v>
      </c>
      <c r="BS600" s="63">
        <v>0</v>
      </c>
      <c r="CK600" s="1" t="s">
        <v>4149</v>
      </c>
    </row>
    <row r="601" spans="1:89" hidden="1" outlineLevel="1">
      <c r="A601" t="s">
        <v>2450</v>
      </c>
      <c r="B601" s="8" t="s">
        <v>1697</v>
      </c>
      <c r="C601" s="1">
        <f t="shared" si="160"/>
        <v>145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 t="shared" si="173"/>
        <v>0</v>
      </c>
      <c r="G601" s="1">
        <f t="shared" si="168"/>
        <v>61</v>
      </c>
      <c r="H601" s="2">
        <f t="shared" si="175"/>
        <v>0.4206896551724138</v>
      </c>
      <c r="I601" s="6"/>
      <c r="J601" s="2">
        <f t="shared" si="169"/>
        <v>0.2620689655172414</v>
      </c>
      <c r="K601" s="2">
        <f t="shared" si="170"/>
        <v>0.6827586206896552</v>
      </c>
      <c r="L601" s="2">
        <f t="shared" si="171"/>
        <v>0</v>
      </c>
      <c r="M601" s="2">
        <f t="shared" si="174"/>
        <v>5.5172413793103336E-2</v>
      </c>
      <c r="N601" s="63">
        <v>38</v>
      </c>
      <c r="O601" s="63">
        <v>99</v>
      </c>
      <c r="P601" s="63">
        <v>0</v>
      </c>
      <c r="Q601" s="63">
        <v>4</v>
      </c>
      <c r="R601" s="63">
        <v>4</v>
      </c>
      <c r="S601" s="63">
        <v>0</v>
      </c>
      <c r="T601" s="67"/>
      <c r="U601" s="63"/>
      <c r="V601" s="63"/>
      <c r="W601" s="63">
        <f t="shared" si="164"/>
        <v>0</v>
      </c>
      <c r="X601" s="63"/>
      <c r="Y601" s="63"/>
      <c r="Z601" s="63"/>
      <c r="AA601" s="63"/>
      <c r="AB601" s="63"/>
      <c r="AE601" s="8">
        <v>0</v>
      </c>
      <c r="AT601" t="str">
        <f t="shared" si="177"/>
        <v>Smyrna</v>
      </c>
      <c r="AU601" t="s">
        <v>2830</v>
      </c>
      <c r="AV601">
        <v>2</v>
      </c>
      <c r="AX601" s="114">
        <v>23</v>
      </c>
      <c r="AY601" s="116">
        <v>3</v>
      </c>
      <c r="AZ601" s="116">
        <v>295</v>
      </c>
      <c r="BA601" s="120">
        <v>69260</v>
      </c>
      <c r="BB601" s="120">
        <f t="shared" si="176"/>
        <v>23003</v>
      </c>
      <c r="BC601" t="s">
        <v>1472</v>
      </c>
      <c r="BD601">
        <f t="shared" si="172"/>
        <v>2369260</v>
      </c>
      <c r="BE601" s="1">
        <v>8</v>
      </c>
      <c r="BI601">
        <v>35.26</v>
      </c>
      <c r="BJ601">
        <v>0.09</v>
      </c>
      <c r="BK601">
        <v>35.17</v>
      </c>
      <c r="BS601" s="63">
        <v>0</v>
      </c>
      <c r="CK601" s="1" t="s">
        <v>4150</v>
      </c>
    </row>
    <row r="602" spans="1:89" hidden="1" outlineLevel="1">
      <c r="A602" t="s">
        <v>2613</v>
      </c>
      <c r="B602" s="8" t="s">
        <v>1697</v>
      </c>
      <c r="C602" s="1">
        <f t="shared" si="160"/>
        <v>589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 t="shared" si="173"/>
        <v>5</v>
      </c>
      <c r="G602" s="1">
        <f t="shared" si="168"/>
        <v>83</v>
      </c>
      <c r="H602" s="2">
        <f t="shared" si="175"/>
        <v>0.14091680814940577</v>
      </c>
      <c r="I602" s="6"/>
      <c r="J602" s="2">
        <f t="shared" si="169"/>
        <v>0.39558573853989815</v>
      </c>
      <c r="K602" s="2">
        <f t="shared" si="170"/>
        <v>0.53650254668930386</v>
      </c>
      <c r="L602" s="2">
        <f t="shared" si="171"/>
        <v>1.697792869269949E-3</v>
      </c>
      <c r="M602" s="2">
        <f t="shared" si="174"/>
        <v>6.6213921901527986E-2</v>
      </c>
      <c r="N602" s="63">
        <v>233</v>
      </c>
      <c r="O602" s="63">
        <v>316</v>
      </c>
      <c r="P602" s="63">
        <v>1</v>
      </c>
      <c r="Q602" s="63">
        <v>22</v>
      </c>
      <c r="R602" s="63">
        <v>16</v>
      </c>
      <c r="S602" s="63">
        <v>1</v>
      </c>
      <c r="T602" s="67"/>
      <c r="U602" s="63"/>
      <c r="V602" s="63"/>
      <c r="W602" s="63">
        <f t="shared" si="164"/>
        <v>0</v>
      </c>
      <c r="X602" s="63"/>
      <c r="Y602" s="63"/>
      <c r="Z602" s="63"/>
      <c r="AA602" s="63"/>
      <c r="AB602" s="63"/>
      <c r="AE602" s="8">
        <v>0</v>
      </c>
      <c r="AT602" t="str">
        <f t="shared" si="177"/>
        <v>Solon</v>
      </c>
      <c r="AU602" t="s">
        <v>1787</v>
      </c>
      <c r="AV602">
        <v>2</v>
      </c>
      <c r="AX602" s="114">
        <v>23</v>
      </c>
      <c r="AY602" s="116">
        <v>25</v>
      </c>
      <c r="AZ602" s="116">
        <v>150</v>
      </c>
      <c r="BA602" s="120">
        <v>69505</v>
      </c>
      <c r="BB602" s="120">
        <f t="shared" si="176"/>
        <v>23025</v>
      </c>
      <c r="BC602" t="s">
        <v>1472</v>
      </c>
      <c r="BD602">
        <f t="shared" si="172"/>
        <v>2369505</v>
      </c>
      <c r="BE602" s="1">
        <v>18</v>
      </c>
      <c r="BI602">
        <v>40.99</v>
      </c>
      <c r="BJ602">
        <v>1.08</v>
      </c>
      <c r="BK602">
        <v>39.909999999999997</v>
      </c>
      <c r="BS602" s="63">
        <v>0</v>
      </c>
      <c r="CK602" s="1" t="s">
        <v>4151</v>
      </c>
    </row>
    <row r="603" spans="1:89" hidden="1" outlineLevel="1">
      <c r="A603" t="s">
        <v>2440</v>
      </c>
      <c r="B603" s="8" t="s">
        <v>1697</v>
      </c>
      <c r="C603" s="1">
        <f t="shared" si="160"/>
        <v>337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 t="shared" si="173"/>
        <v>5</v>
      </c>
      <c r="G603" s="1">
        <f t="shared" si="168"/>
        <v>96</v>
      </c>
      <c r="H603" s="2">
        <f t="shared" si="175"/>
        <v>0.28486646884272998</v>
      </c>
      <c r="I603" s="6"/>
      <c r="J603" s="2">
        <f t="shared" si="169"/>
        <v>0.29970326409495551</v>
      </c>
      <c r="K603" s="2">
        <f t="shared" si="170"/>
        <v>0.58456973293768544</v>
      </c>
      <c r="L603" s="2">
        <f t="shared" si="171"/>
        <v>5.9347181008902079E-3</v>
      </c>
      <c r="M603" s="2">
        <f t="shared" si="174"/>
        <v>0.10979228486646884</v>
      </c>
      <c r="N603" s="63">
        <v>101</v>
      </c>
      <c r="O603" s="63">
        <v>197</v>
      </c>
      <c r="P603" s="63">
        <v>2</v>
      </c>
      <c r="Q603" s="63">
        <v>29</v>
      </c>
      <c r="R603" s="63">
        <v>8</v>
      </c>
      <c r="S603" s="63">
        <v>0</v>
      </c>
      <c r="T603" s="67"/>
      <c r="U603" s="63"/>
      <c r="V603" s="63"/>
      <c r="W603" s="63">
        <f t="shared" si="164"/>
        <v>0</v>
      </c>
      <c r="X603" s="63"/>
      <c r="Y603" s="63"/>
      <c r="Z603" s="63"/>
      <c r="AA603" s="63"/>
      <c r="AB603" s="63"/>
      <c r="AE603" s="8">
        <v>0</v>
      </c>
      <c r="AT603" t="str">
        <f t="shared" si="177"/>
        <v>Somerville</v>
      </c>
      <c r="AU603" t="s">
        <v>1597</v>
      </c>
      <c r="AV603">
        <v>1</v>
      </c>
      <c r="AX603" s="114">
        <v>23</v>
      </c>
      <c r="AY603" s="116">
        <v>15</v>
      </c>
      <c r="AZ603" s="116">
        <v>70</v>
      </c>
      <c r="BA603" s="120">
        <v>69645</v>
      </c>
      <c r="BB603" s="120">
        <f t="shared" si="176"/>
        <v>23015</v>
      </c>
      <c r="BC603" t="s">
        <v>1472</v>
      </c>
      <c r="BD603">
        <f t="shared" si="172"/>
        <v>2369645</v>
      </c>
      <c r="BE603" s="1">
        <v>9</v>
      </c>
      <c r="BI603">
        <v>22.74</v>
      </c>
      <c r="BJ603">
        <v>0.87</v>
      </c>
      <c r="BK603">
        <v>21.87</v>
      </c>
      <c r="BS603" s="63">
        <v>0</v>
      </c>
      <c r="CK603" s="1" t="s">
        <v>4152</v>
      </c>
    </row>
    <row r="604" spans="1:89" hidden="1" outlineLevel="1">
      <c r="A604" t="s">
        <v>1387</v>
      </c>
      <c r="B604" s="8" t="s">
        <v>1697</v>
      </c>
      <c r="C604" s="1">
        <f t="shared" si="160"/>
        <v>202</v>
      </c>
      <c r="D604" s="5">
        <f>IF(N604&gt;0, RANK(N604,(N604:P604,Q604:AE604)),0)</f>
        <v>1</v>
      </c>
      <c r="E604" s="5">
        <f>IF(O604&gt;0,RANK(O604,(N604:P604,Q604:AE604)),0)</f>
        <v>2</v>
      </c>
      <c r="F604" s="5">
        <f t="shared" si="173"/>
        <v>5</v>
      </c>
      <c r="G604" s="1">
        <f t="shared" si="168"/>
        <v>12</v>
      </c>
      <c r="H604" s="2">
        <f t="shared" si="175"/>
        <v>5.9405940594059403E-2</v>
      </c>
      <c r="I604" s="6"/>
      <c r="J604" s="2">
        <f t="shared" si="169"/>
        <v>0.49009900990099009</v>
      </c>
      <c r="K604" s="2">
        <f t="shared" si="170"/>
        <v>0.43069306930693069</v>
      </c>
      <c r="L604" s="2">
        <f t="shared" si="171"/>
        <v>4.9504950495049506E-3</v>
      </c>
      <c r="M604" s="2">
        <f t="shared" si="174"/>
        <v>7.4257425742574268E-2</v>
      </c>
      <c r="N604" s="63">
        <v>99</v>
      </c>
      <c r="O604" s="63">
        <v>87</v>
      </c>
      <c r="P604" s="63">
        <v>1</v>
      </c>
      <c r="Q604" s="63">
        <v>11</v>
      </c>
      <c r="R604" s="63">
        <v>4</v>
      </c>
      <c r="S604" s="63">
        <v>0</v>
      </c>
      <c r="T604" s="67"/>
      <c r="U604" s="63"/>
      <c r="V604" s="63"/>
      <c r="W604" s="63">
        <f t="shared" si="164"/>
        <v>0</v>
      </c>
      <c r="X604" s="63"/>
      <c r="Y604" s="63"/>
      <c r="Z604" s="63"/>
      <c r="AA604" s="63"/>
      <c r="AB604" s="63"/>
      <c r="AE604" s="8">
        <v>0</v>
      </c>
      <c r="AT604" t="str">
        <f t="shared" si="177"/>
        <v>Sorrento</v>
      </c>
      <c r="AU604" t="s">
        <v>597</v>
      </c>
      <c r="AV604">
        <v>2</v>
      </c>
      <c r="AX604" s="114">
        <v>23</v>
      </c>
      <c r="AY604" s="116">
        <v>9</v>
      </c>
      <c r="AZ604" s="116">
        <v>135</v>
      </c>
      <c r="BA604" s="120">
        <v>69750</v>
      </c>
      <c r="BB604" s="120">
        <f t="shared" si="176"/>
        <v>23009</v>
      </c>
      <c r="BC604" t="s">
        <v>1472</v>
      </c>
      <c r="BD604">
        <f t="shared" si="172"/>
        <v>2369750</v>
      </c>
      <c r="BE604" s="1">
        <v>8</v>
      </c>
      <c r="BI604">
        <v>14.84</v>
      </c>
      <c r="BJ604">
        <v>10.85</v>
      </c>
      <c r="BK604">
        <v>3.99</v>
      </c>
      <c r="BS604" s="63">
        <v>0</v>
      </c>
      <c r="CK604" s="1" t="s">
        <v>4153</v>
      </c>
    </row>
    <row r="605" spans="1:89" hidden="1" outlineLevel="1">
      <c r="A605" t="s">
        <v>2873</v>
      </c>
      <c r="B605" s="8" t="s">
        <v>1697</v>
      </c>
      <c r="C605" s="1">
        <f t="shared" si="160"/>
        <v>4148</v>
      </c>
      <c r="D605" s="5">
        <f>IF(N605&gt;0, RANK(N605,(N605:P605,Q605:AE605)),0)</f>
        <v>1</v>
      </c>
      <c r="E605" s="5">
        <f>IF(O605&gt;0,RANK(O605,(N605:P605,Q605:AE605)),0)</f>
        <v>2</v>
      </c>
      <c r="F605" s="5">
        <f t="shared" si="173"/>
        <v>6</v>
      </c>
      <c r="G605" s="1">
        <f t="shared" si="168"/>
        <v>611</v>
      </c>
      <c r="H605" s="2">
        <f t="shared" si="175"/>
        <v>0.14729990356798456</v>
      </c>
      <c r="I605" s="6"/>
      <c r="J605" s="2">
        <f t="shared" si="169"/>
        <v>0.53688524590163933</v>
      </c>
      <c r="K605" s="2">
        <f t="shared" si="170"/>
        <v>0.38958534233365477</v>
      </c>
      <c r="L605" s="2">
        <f t="shared" si="171"/>
        <v>1.2054001928640309E-3</v>
      </c>
      <c r="M605" s="2">
        <f t="shared" si="174"/>
        <v>7.2324011571841873E-2</v>
      </c>
      <c r="N605" s="63">
        <v>2227</v>
      </c>
      <c r="O605" s="63">
        <v>1616</v>
      </c>
      <c r="P605" s="63">
        <v>5</v>
      </c>
      <c r="Q605" s="63">
        <v>223</v>
      </c>
      <c r="R605" s="63">
        <v>70</v>
      </c>
      <c r="S605" s="63">
        <v>6</v>
      </c>
      <c r="T605" s="67"/>
      <c r="U605" s="63"/>
      <c r="V605" s="63"/>
      <c r="W605" s="63">
        <f t="shared" si="164"/>
        <v>0</v>
      </c>
      <c r="X605" s="63"/>
      <c r="Y605" s="63"/>
      <c r="Z605" s="63"/>
      <c r="AA605" s="63"/>
      <c r="AB605" s="63"/>
      <c r="AE605" s="8">
        <v>1</v>
      </c>
      <c r="AT605" t="str">
        <f t="shared" si="177"/>
        <v>South Berwick</v>
      </c>
      <c r="AU605" t="s">
        <v>925</v>
      </c>
      <c r="AV605">
        <v>1</v>
      </c>
      <c r="AX605" s="114">
        <v>23</v>
      </c>
      <c r="AY605" s="116">
        <v>31</v>
      </c>
      <c r="AZ605" s="116">
        <v>125</v>
      </c>
      <c r="BA605" s="120">
        <v>70030</v>
      </c>
      <c r="BB605" s="120">
        <f t="shared" si="176"/>
        <v>23031</v>
      </c>
      <c r="BC605" t="s">
        <v>1472</v>
      </c>
      <c r="BD605">
        <f t="shared" si="172"/>
        <v>2370030</v>
      </c>
      <c r="BE605" s="1">
        <v>117</v>
      </c>
      <c r="BI605">
        <v>32.67</v>
      </c>
      <c r="BJ605">
        <v>0.52</v>
      </c>
      <c r="BK605">
        <v>32.15</v>
      </c>
      <c r="BS605" s="63">
        <v>0</v>
      </c>
      <c r="CK605" s="1" t="s">
        <v>4154</v>
      </c>
    </row>
    <row r="606" spans="1:89" hidden="1" outlineLevel="1">
      <c r="A606" t="s">
        <v>1810</v>
      </c>
      <c r="B606" s="8" t="s">
        <v>1697</v>
      </c>
      <c r="C606" s="1">
        <f t="shared" si="160"/>
        <v>614</v>
      </c>
      <c r="D606" s="5">
        <f>IF(N606&gt;0, RANK(N606,(N606:P606,Q606:AE606)),0)</f>
        <v>1</v>
      </c>
      <c r="E606" s="5">
        <f>IF(O606&gt;0,RANK(O606,(N606:P606,Q606:AE606)),0)</f>
        <v>2</v>
      </c>
      <c r="F606" s="5">
        <f t="shared" si="173"/>
        <v>0</v>
      </c>
      <c r="G606" s="1">
        <f t="shared" si="168"/>
        <v>103</v>
      </c>
      <c r="H606" s="2">
        <f t="shared" si="175"/>
        <v>0.16775244299674266</v>
      </c>
      <c r="I606" s="6"/>
      <c r="J606" s="2">
        <f t="shared" si="169"/>
        <v>0.54071661237785018</v>
      </c>
      <c r="K606" s="2">
        <f t="shared" si="170"/>
        <v>0.37296416938110749</v>
      </c>
      <c r="L606" s="2">
        <f t="shared" si="171"/>
        <v>0</v>
      </c>
      <c r="M606" s="2">
        <f t="shared" si="174"/>
        <v>8.6319218241042328E-2</v>
      </c>
      <c r="N606" s="63">
        <v>332</v>
      </c>
      <c r="O606" s="63">
        <v>229</v>
      </c>
      <c r="P606" s="63">
        <v>0</v>
      </c>
      <c r="Q606" s="63">
        <v>40</v>
      </c>
      <c r="R606" s="63">
        <v>13</v>
      </c>
      <c r="S606" s="63">
        <v>0</v>
      </c>
      <c r="T606" s="67"/>
      <c r="U606" s="63"/>
      <c r="V606" s="63"/>
      <c r="W606" s="63">
        <f t="shared" si="164"/>
        <v>0</v>
      </c>
      <c r="X606" s="63"/>
      <c r="Y606" s="63"/>
      <c r="Z606" s="63"/>
      <c r="AA606" s="63"/>
      <c r="AB606" s="63"/>
      <c r="AE606" s="8">
        <v>0</v>
      </c>
      <c r="AT606" t="str">
        <f t="shared" si="177"/>
        <v>South Bristol</v>
      </c>
      <c r="AU606" t="s">
        <v>1597</v>
      </c>
      <c r="AV606">
        <v>1</v>
      </c>
      <c r="AX606" s="114">
        <v>23</v>
      </c>
      <c r="AY606" s="116">
        <v>15</v>
      </c>
      <c r="AZ606" s="116">
        <v>75</v>
      </c>
      <c r="BA606" s="120">
        <v>70240</v>
      </c>
      <c r="BB606" s="120">
        <f t="shared" si="176"/>
        <v>23015</v>
      </c>
      <c r="BC606" t="s">
        <v>1472</v>
      </c>
      <c r="BD606">
        <f t="shared" si="172"/>
        <v>2370240</v>
      </c>
      <c r="BE606" s="1">
        <v>16</v>
      </c>
      <c r="BI606">
        <v>23.64</v>
      </c>
      <c r="BJ606">
        <v>10.45</v>
      </c>
      <c r="BK606">
        <v>13.19</v>
      </c>
      <c r="BS606" s="63">
        <v>0</v>
      </c>
      <c r="CK606" s="1" t="s">
        <v>4155</v>
      </c>
    </row>
    <row r="607" spans="1:89" hidden="1" outlineLevel="1">
      <c r="A607" t="s">
        <v>2902</v>
      </c>
      <c r="B607" s="8" t="s">
        <v>1697</v>
      </c>
      <c r="C607" s="1">
        <f t="shared" si="160"/>
        <v>14708</v>
      </c>
      <c r="D607" s="5">
        <f>IF(N607&gt;0, RANK(N607,(N607:P607,Q607:AE607)),0)</f>
        <v>1</v>
      </c>
      <c r="E607" s="5">
        <f>IF(O607&gt;0,RANK(O607,(N607:P607,Q607:AE607)),0)</f>
        <v>2</v>
      </c>
      <c r="F607" s="5">
        <f t="shared" si="173"/>
        <v>5</v>
      </c>
      <c r="G607" s="1">
        <f t="shared" si="168"/>
        <v>5969</v>
      </c>
      <c r="H607" s="2">
        <f t="shared" si="175"/>
        <v>0.4058335599673647</v>
      </c>
      <c r="I607" s="6"/>
      <c r="J607" s="2">
        <f t="shared" si="169"/>
        <v>0.6743948871362524</v>
      </c>
      <c r="K607" s="2">
        <f t="shared" si="170"/>
        <v>0.2685613271688877</v>
      </c>
      <c r="L607" s="2">
        <f t="shared" si="171"/>
        <v>1.1558335599673648E-3</v>
      </c>
      <c r="M607" s="2">
        <f t="shared" si="174"/>
        <v>5.5887952134892539E-2</v>
      </c>
      <c r="N607" s="63">
        <v>9919</v>
      </c>
      <c r="O607" s="63">
        <v>3950</v>
      </c>
      <c r="P607" s="63">
        <v>17</v>
      </c>
      <c r="Q607" s="63">
        <v>526</v>
      </c>
      <c r="R607" s="63">
        <v>291</v>
      </c>
      <c r="S607" s="63">
        <v>4</v>
      </c>
      <c r="T607" s="67"/>
      <c r="U607" s="63"/>
      <c r="V607" s="63"/>
      <c r="W607" s="63">
        <f t="shared" si="164"/>
        <v>0</v>
      </c>
      <c r="X607" s="63"/>
      <c r="Y607" s="63"/>
      <c r="Z607" s="63"/>
      <c r="AA607" s="63"/>
      <c r="AB607" s="63"/>
      <c r="AE607" s="8">
        <v>1</v>
      </c>
      <c r="AT607" t="str">
        <f t="shared" si="177"/>
        <v>South Portland</v>
      </c>
      <c r="AU607" t="s">
        <v>1531</v>
      </c>
      <c r="AV607">
        <v>1</v>
      </c>
      <c r="AX607" s="114">
        <v>23</v>
      </c>
      <c r="AY607" s="116">
        <v>5</v>
      </c>
      <c r="AZ607" s="116">
        <v>110</v>
      </c>
      <c r="BA607" s="120">
        <v>71990</v>
      </c>
      <c r="BB607" s="120">
        <f t="shared" si="176"/>
        <v>23005</v>
      </c>
      <c r="BC607" t="s">
        <v>1249</v>
      </c>
      <c r="BD607">
        <f t="shared" si="172"/>
        <v>2371990</v>
      </c>
      <c r="BE607" s="1">
        <v>397</v>
      </c>
      <c r="BI607">
        <v>14.3</v>
      </c>
      <c r="BJ607">
        <v>2.31</v>
      </c>
      <c r="BK607">
        <v>11.99</v>
      </c>
      <c r="BS607" s="63">
        <v>0</v>
      </c>
      <c r="CK607" s="1" t="s">
        <v>4156</v>
      </c>
    </row>
    <row r="608" spans="1:89" hidden="1" outlineLevel="1">
      <c r="A608" t="s">
        <v>1281</v>
      </c>
      <c r="B608" s="8" t="s">
        <v>1697</v>
      </c>
      <c r="C608" s="1">
        <f t="shared" si="160"/>
        <v>890</v>
      </c>
      <c r="D608" s="5">
        <f>IF(N608&gt;0, RANK(N608,(N608:P608,Q608:AE608)),0)</f>
        <v>1</v>
      </c>
      <c r="E608" s="5">
        <f>IF(O608&gt;0,RANK(O608,(N608:P608,Q608:AE608)),0)</f>
        <v>2</v>
      </c>
      <c r="F608" s="5">
        <f t="shared" si="173"/>
        <v>0</v>
      </c>
      <c r="G608" s="1">
        <f t="shared" si="168"/>
        <v>62</v>
      </c>
      <c r="H608" s="2">
        <f t="shared" si="175"/>
        <v>6.9662921348314602E-2</v>
      </c>
      <c r="I608" s="6"/>
      <c r="J608" s="2">
        <f t="shared" si="169"/>
        <v>0.5</v>
      </c>
      <c r="K608" s="2">
        <f t="shared" si="170"/>
        <v>0.43033707865168541</v>
      </c>
      <c r="L608" s="2">
        <f t="shared" si="171"/>
        <v>0</v>
      </c>
      <c r="M608" s="2">
        <f t="shared" si="174"/>
        <v>6.9662921348314588E-2</v>
      </c>
      <c r="N608" s="63">
        <v>445</v>
      </c>
      <c r="O608" s="63">
        <v>383</v>
      </c>
      <c r="P608" s="63">
        <v>0</v>
      </c>
      <c r="Q608" s="63">
        <v>46</v>
      </c>
      <c r="R608" s="63">
        <v>13</v>
      </c>
      <c r="S608" s="63">
        <v>3</v>
      </c>
      <c r="T608" s="67"/>
      <c r="U608" s="63"/>
      <c r="V608" s="63"/>
      <c r="W608" s="63">
        <f t="shared" si="164"/>
        <v>0</v>
      </c>
      <c r="X608" s="63"/>
      <c r="Y608" s="63"/>
      <c r="Z608" s="63"/>
      <c r="AA608" s="63"/>
      <c r="AB608" s="63"/>
      <c r="AE608" s="8">
        <v>0</v>
      </c>
      <c r="AT608" t="str">
        <f t="shared" si="177"/>
        <v>South Thomaston</v>
      </c>
      <c r="AU608" t="s">
        <v>1729</v>
      </c>
      <c r="AV608">
        <v>1</v>
      </c>
      <c r="AX608" s="114">
        <v>23</v>
      </c>
      <c r="AY608" s="116">
        <v>13</v>
      </c>
      <c r="AZ608" s="116">
        <v>65</v>
      </c>
      <c r="BA608" s="120">
        <v>72585</v>
      </c>
      <c r="BB608" s="120">
        <f t="shared" si="176"/>
        <v>23013</v>
      </c>
      <c r="BC608" t="s">
        <v>1472</v>
      </c>
      <c r="BD608">
        <f t="shared" si="172"/>
        <v>2372585</v>
      </c>
      <c r="BE608" s="1">
        <v>36</v>
      </c>
      <c r="BI608">
        <v>17.489999999999998</v>
      </c>
      <c r="BJ608">
        <v>6.55</v>
      </c>
      <c r="BK608">
        <v>10.94</v>
      </c>
      <c r="BS608" s="63">
        <v>0</v>
      </c>
      <c r="CK608" s="1" t="s">
        <v>4157</v>
      </c>
    </row>
    <row r="609" spans="1:89" hidden="1" outlineLevel="1">
      <c r="A609" t="s">
        <v>3110</v>
      </c>
      <c r="B609" s="8" t="s">
        <v>1697</v>
      </c>
      <c r="C609" s="1">
        <f t="shared" ref="C609:C676" si="178">SUM(N609:AR609)</f>
        <v>420</v>
      </c>
      <c r="D609" s="5">
        <f>IF(N609&gt;0, RANK(N609,(N609:P609,Q609:AE609)),0)</f>
        <v>1</v>
      </c>
      <c r="E609" s="5">
        <f>IF(O609&gt;0,RANK(O609,(N609:P609,Q609:AE609)),0)</f>
        <v>2</v>
      </c>
      <c r="F609" s="5">
        <f t="shared" si="173"/>
        <v>0</v>
      </c>
      <c r="G609" s="1">
        <f t="shared" si="168"/>
        <v>39</v>
      </c>
      <c r="H609" s="2">
        <f t="shared" si="175"/>
        <v>9.285714285714286E-2</v>
      </c>
      <c r="I609" s="6"/>
      <c r="J609" s="2">
        <f t="shared" si="169"/>
        <v>0.51904761904761909</v>
      </c>
      <c r="K609" s="2">
        <f t="shared" si="170"/>
        <v>0.42619047619047618</v>
      </c>
      <c r="L609" s="2">
        <f t="shared" si="171"/>
        <v>0</v>
      </c>
      <c r="M609" s="2">
        <f t="shared" si="174"/>
        <v>5.4761904761904734E-2</v>
      </c>
      <c r="N609" s="63">
        <v>218</v>
      </c>
      <c r="O609" s="63">
        <v>179</v>
      </c>
      <c r="P609" s="63">
        <v>0</v>
      </c>
      <c r="Q609" s="63">
        <v>18</v>
      </c>
      <c r="R609" s="63">
        <v>5</v>
      </c>
      <c r="S609" s="63">
        <v>0</v>
      </c>
      <c r="T609" s="67"/>
      <c r="U609" s="63"/>
      <c r="V609" s="63"/>
      <c r="W609" s="63">
        <f t="shared" si="164"/>
        <v>0</v>
      </c>
      <c r="X609" s="63"/>
      <c r="Y609" s="63"/>
      <c r="Z609" s="63"/>
      <c r="AA609" s="63"/>
      <c r="AB609" s="63"/>
      <c r="AE609" s="8">
        <v>0</v>
      </c>
      <c r="AT609" t="str">
        <f t="shared" si="177"/>
        <v>Southport</v>
      </c>
      <c r="AU609" t="s">
        <v>1597</v>
      </c>
      <c r="AV609">
        <v>1</v>
      </c>
      <c r="AX609" s="114">
        <v>23</v>
      </c>
      <c r="AY609" s="116">
        <v>15</v>
      </c>
      <c r="AZ609" s="116">
        <v>80</v>
      </c>
      <c r="BA609" s="120">
        <v>71955</v>
      </c>
      <c r="BB609" s="120">
        <f t="shared" si="176"/>
        <v>23015</v>
      </c>
      <c r="BC609" t="s">
        <v>1472</v>
      </c>
      <c r="BD609">
        <f t="shared" si="172"/>
        <v>2371955</v>
      </c>
      <c r="BE609" s="1">
        <v>11</v>
      </c>
      <c r="BI609">
        <v>13.9</v>
      </c>
      <c r="BJ609">
        <v>8.51</v>
      </c>
      <c r="BK609">
        <v>5.39</v>
      </c>
      <c r="BS609" s="63">
        <v>0</v>
      </c>
      <c r="CK609" s="1" t="s">
        <v>4158</v>
      </c>
    </row>
    <row r="610" spans="1:89" hidden="1" outlineLevel="1">
      <c r="A610" t="s">
        <v>1613</v>
      </c>
      <c r="B610" s="8" t="s">
        <v>1697</v>
      </c>
      <c r="C610" s="1">
        <f t="shared" si="178"/>
        <v>1096</v>
      </c>
      <c r="D610" s="5">
        <f>IF(N610&gt;0, RANK(N610,(N610:P610,Q610:AE610)),0)</f>
        <v>1</v>
      </c>
      <c r="E610" s="5">
        <f>IF(O610&gt;0,RANK(O610,(N610:P610,Q610:AE610)),0)</f>
        <v>2</v>
      </c>
      <c r="F610" s="5">
        <f t="shared" si="173"/>
        <v>5</v>
      </c>
      <c r="G610" s="1">
        <f t="shared" si="168"/>
        <v>246</v>
      </c>
      <c r="H610" s="2">
        <f t="shared" si="175"/>
        <v>0.22445255474452555</v>
      </c>
      <c r="I610" s="6"/>
      <c r="J610" s="2">
        <f t="shared" si="169"/>
        <v>0.58941605839416056</v>
      </c>
      <c r="K610" s="2">
        <f t="shared" si="170"/>
        <v>0.36496350364963503</v>
      </c>
      <c r="L610" s="2">
        <f t="shared" si="171"/>
        <v>3.6496350364963502E-3</v>
      </c>
      <c r="M610" s="2">
        <f t="shared" si="174"/>
        <v>4.1970802919708054E-2</v>
      </c>
      <c r="N610" s="63">
        <v>646</v>
      </c>
      <c r="O610" s="63">
        <v>400</v>
      </c>
      <c r="P610" s="63">
        <v>4</v>
      </c>
      <c r="Q610" s="63">
        <v>31</v>
      </c>
      <c r="R610" s="63">
        <v>15</v>
      </c>
      <c r="S610" s="63">
        <v>0</v>
      </c>
      <c r="T610" s="67"/>
      <c r="U610" s="63"/>
      <c r="V610" s="63"/>
      <c r="W610" s="63">
        <f t="shared" si="164"/>
        <v>0</v>
      </c>
      <c r="X610" s="63"/>
      <c r="Y610" s="63"/>
      <c r="Z610" s="63"/>
      <c r="AA610" s="63"/>
      <c r="AB610" s="63"/>
      <c r="AE610" s="8">
        <v>0</v>
      </c>
      <c r="AT610" t="str">
        <f t="shared" si="177"/>
        <v>Southwest Harbor</v>
      </c>
      <c r="AU610" t="s">
        <v>597</v>
      </c>
      <c r="AV610">
        <v>2</v>
      </c>
      <c r="AX610" s="114">
        <v>23</v>
      </c>
      <c r="AY610" s="116">
        <v>9</v>
      </c>
      <c r="AZ610" s="116">
        <v>140</v>
      </c>
      <c r="BA610" s="120">
        <v>72865</v>
      </c>
      <c r="BB610" s="120">
        <f t="shared" si="176"/>
        <v>23009</v>
      </c>
      <c r="BC610" t="s">
        <v>1472</v>
      </c>
      <c r="BD610">
        <f t="shared" si="172"/>
        <v>2372865</v>
      </c>
      <c r="BE610" s="1">
        <v>39</v>
      </c>
      <c r="BI610">
        <v>22.65</v>
      </c>
      <c r="BJ610">
        <v>9.14</v>
      </c>
      <c r="BK610">
        <v>13.5</v>
      </c>
      <c r="BS610" s="63">
        <v>0</v>
      </c>
      <c r="CK610" s="1" t="s">
        <v>4159</v>
      </c>
    </row>
    <row r="611" spans="1:89" hidden="1" outlineLevel="1">
      <c r="A611" t="s">
        <v>3247</v>
      </c>
      <c r="B611" s="8" t="s">
        <v>1697</v>
      </c>
      <c r="C611" s="1">
        <f t="shared" si="178"/>
        <v>0</v>
      </c>
      <c r="D611" s="5">
        <f>IF(N611&gt;0, RANK(N611,(N611:P611,Q611:AE611)),0)</f>
        <v>0</v>
      </c>
      <c r="E611" s="5">
        <f>IF(O611&gt;0,RANK(O611,(N611:P611,Q611:AE611)),0)</f>
        <v>0</v>
      </c>
      <c r="F611" s="5">
        <f>IF(P611&gt;0,RANK(P611,(N611:AE611)),0)</f>
        <v>0</v>
      </c>
      <c r="G611" s="1">
        <f>IF(C611&gt;0,MAX(N611:P611)-LARGE(N611:P611,2),0)</f>
        <v>0</v>
      </c>
      <c r="H611" s="2">
        <f>IF(C611&gt;0,G611/C611,0)</f>
        <v>0</v>
      </c>
      <c r="I611" s="6"/>
      <c r="J611" s="2" t="str">
        <f>IF(C611=0,"-",N611/C611)</f>
        <v>-</v>
      </c>
      <c r="K611" s="2" t="str">
        <f>IF(C611=0,"-",O611/C611)</f>
        <v>-</v>
      </c>
      <c r="L611" s="2" t="str">
        <f>IF(C611=0,"-",P611/C611)</f>
        <v>-</v>
      </c>
      <c r="M611" s="2" t="str">
        <f>IF(C611=0,"-",(1-J611-K611-L611))</f>
        <v>-</v>
      </c>
      <c r="N611" s="63"/>
      <c r="O611" s="63"/>
      <c r="P611" s="63"/>
      <c r="Q611" s="63"/>
      <c r="R611" s="63"/>
      <c r="S611" s="63"/>
      <c r="T611" s="67"/>
      <c r="U611" s="63"/>
      <c r="V611" s="63"/>
      <c r="W611" s="63">
        <f t="shared" si="164"/>
        <v>0</v>
      </c>
      <c r="X611" s="63"/>
      <c r="Y611" s="63"/>
      <c r="Z611" s="63"/>
      <c r="AA611" s="63"/>
      <c r="AB611" s="63"/>
      <c r="AT611" t="str">
        <f t="shared" si="177"/>
        <v>Spring Lake</v>
      </c>
      <c r="AU611" t="s">
        <v>1787</v>
      </c>
      <c r="AV611">
        <v>2</v>
      </c>
      <c r="AX611" s="114">
        <v>23</v>
      </c>
      <c r="AY611" s="116">
        <v>25</v>
      </c>
      <c r="BA611" s="142">
        <v>73200</v>
      </c>
      <c r="BB611" s="120">
        <f t="shared" si="176"/>
        <v>23025</v>
      </c>
      <c r="BC611" t="s">
        <v>957</v>
      </c>
      <c r="BD611">
        <f t="shared" si="172"/>
        <v>2373200</v>
      </c>
      <c r="BS611" s="63"/>
      <c r="CK611" s="1"/>
    </row>
    <row r="612" spans="1:89" hidden="1" outlineLevel="1">
      <c r="A612" t="s">
        <v>1995</v>
      </c>
      <c r="B612" s="8" t="s">
        <v>1697</v>
      </c>
      <c r="C612" s="1">
        <f t="shared" si="178"/>
        <v>172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 t="shared" si="173"/>
        <v>0</v>
      </c>
      <c r="G612" s="1">
        <f t="shared" si="168"/>
        <v>96</v>
      </c>
      <c r="H612" s="2">
        <f t="shared" si="175"/>
        <v>0.55813953488372092</v>
      </c>
      <c r="I612" s="6"/>
      <c r="J612" s="2">
        <f t="shared" si="169"/>
        <v>0.19767441860465115</v>
      </c>
      <c r="K612" s="2">
        <f t="shared" si="170"/>
        <v>0.7558139534883721</v>
      </c>
      <c r="L612" s="2">
        <f t="shared" si="171"/>
        <v>0</v>
      </c>
      <c r="M612" s="2">
        <f t="shared" si="174"/>
        <v>4.6511627906976716E-2</v>
      </c>
      <c r="N612" s="63">
        <v>34</v>
      </c>
      <c r="O612" s="63">
        <v>130</v>
      </c>
      <c r="P612" s="63">
        <v>0</v>
      </c>
      <c r="Q612" s="63">
        <v>7</v>
      </c>
      <c r="R612" s="63">
        <v>1</v>
      </c>
      <c r="S612" s="63">
        <v>0</v>
      </c>
      <c r="T612" s="67"/>
      <c r="U612" s="63"/>
      <c r="V612" s="63"/>
      <c r="W612" s="63">
        <f t="shared" si="164"/>
        <v>0</v>
      </c>
      <c r="X612" s="63"/>
      <c r="Y612" s="63"/>
      <c r="Z612" s="63"/>
      <c r="AA612" s="63"/>
      <c r="AB612" s="63"/>
      <c r="AE612" s="8">
        <v>0</v>
      </c>
      <c r="AT612" t="str">
        <f t="shared" si="177"/>
        <v>Springfield</v>
      </c>
      <c r="AU612" t="s">
        <v>2481</v>
      </c>
      <c r="AV612">
        <v>2</v>
      </c>
      <c r="AX612" s="114">
        <v>23</v>
      </c>
      <c r="AY612" s="116">
        <v>19</v>
      </c>
      <c r="AZ612" s="116">
        <v>280</v>
      </c>
      <c r="BA612" s="120">
        <v>73250</v>
      </c>
      <c r="BB612" s="120">
        <f t="shared" si="176"/>
        <v>23019</v>
      </c>
      <c r="BC612" t="s">
        <v>1472</v>
      </c>
      <c r="BD612">
        <f t="shared" si="172"/>
        <v>2373250</v>
      </c>
      <c r="BE612" s="1">
        <v>6</v>
      </c>
      <c r="BI612">
        <v>38.43</v>
      </c>
      <c r="BJ612">
        <v>0.04</v>
      </c>
      <c r="BK612">
        <v>38.39</v>
      </c>
      <c r="BS612" s="63">
        <v>0</v>
      </c>
      <c r="CK612" s="1" t="s">
        <v>4160</v>
      </c>
    </row>
    <row r="613" spans="1:89" hidden="1" outlineLevel="1">
      <c r="A613" t="s">
        <v>1289</v>
      </c>
      <c r="B613" s="8" t="s">
        <v>1697</v>
      </c>
      <c r="C613" s="1">
        <f t="shared" si="178"/>
        <v>191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 t="shared" si="173"/>
        <v>0</v>
      </c>
      <c r="G613" s="1">
        <f t="shared" si="168"/>
        <v>113</v>
      </c>
      <c r="H613" s="2">
        <f t="shared" si="175"/>
        <v>0.59162303664921467</v>
      </c>
      <c r="I613" s="6"/>
      <c r="J613" s="2">
        <f t="shared" si="169"/>
        <v>0.18324607329842932</v>
      </c>
      <c r="K613" s="2">
        <f t="shared" si="170"/>
        <v>0.77486910994764402</v>
      </c>
      <c r="L613" s="2">
        <f t="shared" si="171"/>
        <v>0</v>
      </c>
      <c r="M613" s="2">
        <f t="shared" si="174"/>
        <v>4.1884816753926635E-2</v>
      </c>
      <c r="N613" s="63">
        <v>35</v>
      </c>
      <c r="O613" s="63">
        <v>148</v>
      </c>
      <c r="P613" s="63">
        <v>0</v>
      </c>
      <c r="Q613" s="63">
        <v>3</v>
      </c>
      <c r="R613" s="63">
        <v>5</v>
      </c>
      <c r="S613" s="63">
        <v>0</v>
      </c>
      <c r="T613" s="67"/>
      <c r="U613" s="63"/>
      <c r="V613" s="63"/>
      <c r="W613" s="63">
        <f t="shared" si="164"/>
        <v>0</v>
      </c>
      <c r="X613" s="63"/>
      <c r="Y613" s="63"/>
      <c r="Z613" s="63"/>
      <c r="AA613" s="63"/>
      <c r="AB613" s="63"/>
      <c r="AE613" s="8">
        <v>0</v>
      </c>
      <c r="AT613" t="str">
        <f t="shared" si="177"/>
        <v>Stacyville</v>
      </c>
      <c r="AU613" t="s">
        <v>2481</v>
      </c>
      <c r="AV613">
        <v>2</v>
      </c>
      <c r="AX613" s="114">
        <v>23</v>
      </c>
      <c r="AY613" s="116">
        <v>19</v>
      </c>
      <c r="AZ613" s="116">
        <v>285</v>
      </c>
      <c r="BA613" s="120">
        <v>73600</v>
      </c>
      <c r="BB613" s="120">
        <f t="shared" si="176"/>
        <v>23019</v>
      </c>
      <c r="BC613" t="s">
        <v>1472</v>
      </c>
      <c r="BD613">
        <f t="shared" si="172"/>
        <v>2373600</v>
      </c>
      <c r="BE613" s="1">
        <v>8</v>
      </c>
      <c r="BI613">
        <v>39.950000000000003</v>
      </c>
      <c r="BJ613">
        <v>0.01</v>
      </c>
      <c r="BK613">
        <v>39.93</v>
      </c>
      <c r="BS613" s="63">
        <v>0</v>
      </c>
      <c r="CK613" s="1" t="s">
        <v>4161</v>
      </c>
    </row>
    <row r="614" spans="1:89" hidden="1" outlineLevel="1">
      <c r="A614" t="s">
        <v>579</v>
      </c>
      <c r="B614" s="8" t="s">
        <v>1697</v>
      </c>
      <c r="C614" s="1">
        <f t="shared" si="178"/>
        <v>5392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 t="shared" si="173"/>
        <v>5</v>
      </c>
      <c r="G614" s="1">
        <f t="shared" si="168"/>
        <v>729</v>
      </c>
      <c r="H614" s="2">
        <f t="shared" si="175"/>
        <v>0.13520029673590506</v>
      </c>
      <c r="I614" s="6"/>
      <c r="J614" s="2">
        <f t="shared" si="169"/>
        <v>0.39762611275964393</v>
      </c>
      <c r="K614" s="2">
        <f t="shared" si="170"/>
        <v>0.53282640949554894</v>
      </c>
      <c r="L614" s="2">
        <f t="shared" si="171"/>
        <v>2.7818991097922851E-3</v>
      </c>
      <c r="M614" s="2">
        <f t="shared" si="174"/>
        <v>6.6765578635014894E-2</v>
      </c>
      <c r="N614" s="63">
        <v>2144</v>
      </c>
      <c r="O614" s="63">
        <v>2873</v>
      </c>
      <c r="P614" s="63">
        <v>15</v>
      </c>
      <c r="Q614" s="63">
        <v>280</v>
      </c>
      <c r="R614" s="63">
        <v>80</v>
      </c>
      <c r="S614" s="63">
        <v>0</v>
      </c>
      <c r="T614" s="67"/>
      <c r="U614" s="63"/>
      <c r="V614" s="63"/>
      <c r="W614" s="63">
        <f t="shared" si="164"/>
        <v>0</v>
      </c>
      <c r="X614" s="63"/>
      <c r="Y614" s="63"/>
      <c r="Z614" s="63"/>
      <c r="AA614" s="63"/>
      <c r="AB614" s="63"/>
      <c r="AE614" s="8">
        <v>0</v>
      </c>
      <c r="AT614" t="str">
        <f t="shared" si="177"/>
        <v>Standish</v>
      </c>
      <c r="AU614" t="s">
        <v>1531</v>
      </c>
      <c r="AV614">
        <v>1</v>
      </c>
      <c r="AX614" s="114">
        <v>23</v>
      </c>
      <c r="AY614" s="116">
        <v>5</v>
      </c>
      <c r="AZ614" s="116">
        <v>115</v>
      </c>
      <c r="BA614" s="120">
        <v>73670</v>
      </c>
      <c r="BB614" s="120">
        <f t="shared" si="176"/>
        <v>23005</v>
      </c>
      <c r="BC614" t="s">
        <v>1472</v>
      </c>
      <c r="BD614">
        <f t="shared" si="172"/>
        <v>2373670</v>
      </c>
      <c r="BE614" s="1">
        <v>163</v>
      </c>
      <c r="BI614">
        <v>83.69</v>
      </c>
      <c r="BJ614">
        <v>24.62</v>
      </c>
      <c r="BK614">
        <v>59.07</v>
      </c>
      <c r="BS614" s="63">
        <v>0</v>
      </c>
      <c r="CK614" s="1" t="s">
        <v>4162</v>
      </c>
    </row>
    <row r="615" spans="1:89" hidden="1" outlineLevel="1">
      <c r="A615" t="s">
        <v>1511</v>
      </c>
      <c r="B615" s="8" t="s">
        <v>1697</v>
      </c>
      <c r="C615" s="1">
        <f t="shared" si="178"/>
        <v>341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 t="shared" si="173"/>
        <v>5</v>
      </c>
      <c r="G615" s="1">
        <f t="shared" si="168"/>
        <v>60</v>
      </c>
      <c r="H615" s="2">
        <f t="shared" si="175"/>
        <v>0.17595307917888564</v>
      </c>
      <c r="I615" s="6"/>
      <c r="J615" s="2">
        <f t="shared" si="169"/>
        <v>0.35777126099706746</v>
      </c>
      <c r="K615" s="2">
        <f t="shared" si="170"/>
        <v>0.53372434017595305</v>
      </c>
      <c r="L615" s="2">
        <f t="shared" si="171"/>
        <v>2.0527859237536656E-2</v>
      </c>
      <c r="M615" s="2">
        <f t="shared" si="174"/>
        <v>8.7976539589442834E-2</v>
      </c>
      <c r="N615" s="63">
        <v>122</v>
      </c>
      <c r="O615" s="63">
        <v>182</v>
      </c>
      <c r="P615" s="63">
        <v>7</v>
      </c>
      <c r="Q615" s="63">
        <v>15</v>
      </c>
      <c r="R615" s="63">
        <v>14</v>
      </c>
      <c r="S615" s="63">
        <v>1</v>
      </c>
      <c r="T615" s="67"/>
      <c r="U615" s="63"/>
      <c r="V615" s="63"/>
      <c r="W615" s="63">
        <f t="shared" si="164"/>
        <v>0</v>
      </c>
      <c r="X615" s="63"/>
      <c r="Y615" s="63"/>
      <c r="Z615" s="63"/>
      <c r="AA615" s="63"/>
      <c r="AB615" s="63"/>
      <c r="AE615" s="8">
        <v>0</v>
      </c>
      <c r="AT615" t="str">
        <f t="shared" si="177"/>
        <v>Starks</v>
      </c>
      <c r="AU615" t="s">
        <v>1787</v>
      </c>
      <c r="AV615">
        <v>2</v>
      </c>
      <c r="AX615" s="114">
        <v>23</v>
      </c>
      <c r="AY615" s="116">
        <v>25</v>
      </c>
      <c r="AZ615" s="116">
        <v>155</v>
      </c>
      <c r="BA615" s="120">
        <v>73845</v>
      </c>
      <c r="BB615" s="120">
        <f t="shared" si="176"/>
        <v>23025</v>
      </c>
      <c r="BC615" t="s">
        <v>1472</v>
      </c>
      <c r="BD615">
        <f t="shared" si="172"/>
        <v>2373845</v>
      </c>
      <c r="BE615" s="1">
        <v>16</v>
      </c>
      <c r="BI615">
        <v>31.88</v>
      </c>
      <c r="BJ615">
        <v>0.52</v>
      </c>
      <c r="BK615">
        <v>31.36</v>
      </c>
      <c r="BS615" s="63">
        <v>0</v>
      </c>
      <c r="CK615" s="1" t="s">
        <v>4163</v>
      </c>
    </row>
    <row r="616" spans="1:89" hidden="1" outlineLevel="1">
      <c r="A616" t="s">
        <v>2454</v>
      </c>
      <c r="B616" s="8" t="s">
        <v>1697</v>
      </c>
      <c r="C616" s="1">
        <f t="shared" si="178"/>
        <v>709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 t="shared" si="173"/>
        <v>5</v>
      </c>
      <c r="G616" s="1">
        <f t="shared" si="168"/>
        <v>227</v>
      </c>
      <c r="H616" s="2">
        <f t="shared" si="175"/>
        <v>0.32016925246826516</v>
      </c>
      <c r="I616" s="6"/>
      <c r="J616" s="2">
        <f t="shared" si="169"/>
        <v>0.29055007052186177</v>
      </c>
      <c r="K616" s="2">
        <f t="shared" si="170"/>
        <v>0.61071932299012699</v>
      </c>
      <c r="L616" s="2">
        <f t="shared" si="171"/>
        <v>1.4104372355430183E-3</v>
      </c>
      <c r="M616" s="2">
        <f t="shared" si="174"/>
        <v>9.7320169252468225E-2</v>
      </c>
      <c r="N616" s="63">
        <v>206</v>
      </c>
      <c r="O616" s="63">
        <v>433</v>
      </c>
      <c r="P616" s="63">
        <v>1</v>
      </c>
      <c r="Q616" s="63">
        <v>52</v>
      </c>
      <c r="R616" s="63">
        <v>17</v>
      </c>
      <c r="S616" s="63">
        <v>0</v>
      </c>
      <c r="T616" s="67"/>
      <c r="U616" s="63"/>
      <c r="V616" s="63"/>
      <c r="W616" s="63">
        <f t="shared" si="164"/>
        <v>0</v>
      </c>
      <c r="X616" s="63"/>
      <c r="Y616" s="63"/>
      <c r="Z616" s="63"/>
      <c r="AA616" s="63"/>
      <c r="AB616" s="63"/>
      <c r="AE616" s="8">
        <v>0</v>
      </c>
      <c r="AT616" t="str">
        <f t="shared" si="177"/>
        <v>Stetson</v>
      </c>
      <c r="AU616" t="s">
        <v>2481</v>
      </c>
      <c r="AV616">
        <v>2</v>
      </c>
      <c r="AX616" s="114">
        <v>23</v>
      </c>
      <c r="AY616" s="116">
        <v>19</v>
      </c>
      <c r="AZ616" s="116">
        <v>290</v>
      </c>
      <c r="BA616" s="120">
        <v>74055</v>
      </c>
      <c r="BB616" s="120">
        <f t="shared" si="176"/>
        <v>23019</v>
      </c>
      <c r="BC616" t="s">
        <v>1472</v>
      </c>
      <c r="BD616">
        <f t="shared" si="172"/>
        <v>2374055</v>
      </c>
      <c r="BE616" s="1">
        <v>23</v>
      </c>
      <c r="BI616">
        <v>36.630000000000003</v>
      </c>
      <c r="BJ616">
        <v>1.75</v>
      </c>
      <c r="BK616">
        <v>34.880000000000003</v>
      </c>
      <c r="BS616" s="63">
        <v>0</v>
      </c>
      <c r="CK616" s="1" t="s">
        <v>4164</v>
      </c>
    </row>
    <row r="617" spans="1:89" hidden="1" outlineLevel="1">
      <c r="A617" t="s">
        <v>161</v>
      </c>
      <c r="B617" s="8" t="s">
        <v>1697</v>
      </c>
      <c r="C617" s="1">
        <f t="shared" si="178"/>
        <v>618</v>
      </c>
      <c r="D617" s="5">
        <f>IF(N617&gt;0, RANK(N617,(N617:P617,Q617:AE617)),0)</f>
        <v>2</v>
      </c>
      <c r="E617" s="5">
        <f>IF(O617&gt;0,RANK(O617,(N617:P617,Q617:AE617)),0)</f>
        <v>1</v>
      </c>
      <c r="F617" s="5">
        <f t="shared" si="173"/>
        <v>0</v>
      </c>
      <c r="G617" s="1">
        <f t="shared" si="168"/>
        <v>169</v>
      </c>
      <c r="H617" s="2">
        <f t="shared" si="175"/>
        <v>0.27346278317152106</v>
      </c>
      <c r="I617" s="6"/>
      <c r="J617" s="2">
        <f t="shared" si="169"/>
        <v>0.32200647249190939</v>
      </c>
      <c r="K617" s="2">
        <f t="shared" si="170"/>
        <v>0.59546925566343045</v>
      </c>
      <c r="L617" s="2">
        <f t="shared" si="171"/>
        <v>0</v>
      </c>
      <c r="M617" s="2">
        <f t="shared" si="174"/>
        <v>8.2524271844660158E-2</v>
      </c>
      <c r="N617" s="63">
        <v>199</v>
      </c>
      <c r="O617" s="63">
        <v>368</v>
      </c>
      <c r="P617" s="63">
        <v>0</v>
      </c>
      <c r="Q617" s="63">
        <v>38</v>
      </c>
      <c r="R617" s="63">
        <v>13</v>
      </c>
      <c r="S617" s="63">
        <v>0</v>
      </c>
      <c r="T617" s="67"/>
      <c r="U617" s="63"/>
      <c r="V617" s="63"/>
      <c r="W617" s="63">
        <f t="shared" si="164"/>
        <v>0</v>
      </c>
      <c r="X617" s="63"/>
      <c r="Y617" s="63"/>
      <c r="Z617" s="63"/>
      <c r="AA617" s="63"/>
      <c r="AB617" s="63"/>
      <c r="AE617" s="8">
        <v>0</v>
      </c>
      <c r="AT617" t="str">
        <f t="shared" si="177"/>
        <v>Steuben</v>
      </c>
      <c r="AU617" t="s">
        <v>692</v>
      </c>
      <c r="AV617">
        <v>2</v>
      </c>
      <c r="AX617" s="114">
        <v>23</v>
      </c>
      <c r="AY617" s="116">
        <v>29</v>
      </c>
      <c r="AZ617" s="116">
        <v>195</v>
      </c>
      <c r="BA617" s="120">
        <v>74125</v>
      </c>
      <c r="BB617" s="120">
        <f t="shared" si="176"/>
        <v>23029</v>
      </c>
      <c r="BC617" t="s">
        <v>1472</v>
      </c>
      <c r="BD617">
        <f t="shared" si="172"/>
        <v>2374125</v>
      </c>
      <c r="BE617" s="1">
        <v>22</v>
      </c>
      <c r="BI617">
        <v>74.78</v>
      </c>
      <c r="BJ617">
        <v>31.79</v>
      </c>
      <c r="BK617">
        <v>42.99</v>
      </c>
      <c r="BS617" s="63">
        <v>0</v>
      </c>
      <c r="CK617" s="1" t="s">
        <v>4165</v>
      </c>
    </row>
    <row r="618" spans="1:89" hidden="1" outlineLevel="1">
      <c r="A618" t="s">
        <v>1966</v>
      </c>
      <c r="B618" s="8" t="s">
        <v>1697</v>
      </c>
      <c r="C618" s="1">
        <f t="shared" si="178"/>
        <v>152</v>
      </c>
      <c r="D618" s="5">
        <f>IF(N618&gt;0, RANK(N618,(N618:P618,Q618:AE618)),0)</f>
        <v>1</v>
      </c>
      <c r="E618" s="5">
        <f>IF(O618&gt;0,RANK(O618,(N618:P618,Q618:AE618)),0)</f>
        <v>2</v>
      </c>
      <c r="F618" s="5">
        <f t="shared" si="173"/>
        <v>0</v>
      </c>
      <c r="G618" s="1">
        <f t="shared" si="168"/>
        <v>14</v>
      </c>
      <c r="H618" s="2">
        <f t="shared" si="175"/>
        <v>9.2105263157894732E-2</v>
      </c>
      <c r="I618" s="6"/>
      <c r="J618" s="2">
        <f t="shared" si="169"/>
        <v>0.44078947368421051</v>
      </c>
      <c r="K618" s="2">
        <f t="shared" si="170"/>
        <v>0.34868421052631576</v>
      </c>
      <c r="L618" s="2">
        <f t="shared" si="171"/>
        <v>0</v>
      </c>
      <c r="M618" s="2">
        <f t="shared" si="174"/>
        <v>0.21052631578947373</v>
      </c>
      <c r="N618" s="63">
        <v>67</v>
      </c>
      <c r="O618" s="63">
        <v>53</v>
      </c>
      <c r="P618" s="63">
        <v>0</v>
      </c>
      <c r="Q618" s="63">
        <v>7</v>
      </c>
      <c r="R618" s="63">
        <v>25</v>
      </c>
      <c r="S618" s="63">
        <v>0</v>
      </c>
      <c r="T618" s="67"/>
      <c r="U618" s="63"/>
      <c r="V618" s="63"/>
      <c r="W618" s="63">
        <f t="shared" si="164"/>
        <v>0</v>
      </c>
      <c r="X618" s="63"/>
      <c r="Y618" s="63"/>
      <c r="Z618" s="63"/>
      <c r="AA618" s="63"/>
      <c r="AB618" s="63"/>
      <c r="AE618" s="8">
        <v>0</v>
      </c>
      <c r="AT618" t="str">
        <f t="shared" si="177"/>
        <v>Stockholm</v>
      </c>
      <c r="AU618" t="s">
        <v>2830</v>
      </c>
      <c r="AV618">
        <v>2</v>
      </c>
      <c r="AX618" s="114">
        <v>23</v>
      </c>
      <c r="AY618" s="116">
        <v>3</v>
      </c>
      <c r="AZ618" s="116">
        <v>300</v>
      </c>
      <c r="BA618" s="120">
        <v>74405</v>
      </c>
      <c r="BB618" s="120">
        <f t="shared" si="176"/>
        <v>23003</v>
      </c>
      <c r="BC618" t="s">
        <v>1472</v>
      </c>
      <c r="BD618">
        <f t="shared" si="172"/>
        <v>2374405</v>
      </c>
      <c r="BE618" s="1">
        <v>5</v>
      </c>
      <c r="BI618">
        <v>34.659999999999997</v>
      </c>
      <c r="BJ618">
        <v>7.0000000000000007E-2</v>
      </c>
      <c r="BK618">
        <v>34.590000000000003</v>
      </c>
      <c r="BS618" s="63">
        <v>0</v>
      </c>
      <c r="CK618" s="1" t="s">
        <v>4166</v>
      </c>
    </row>
    <row r="619" spans="1:89" hidden="1" outlineLevel="1">
      <c r="A619" t="s">
        <v>3112</v>
      </c>
      <c r="B619" s="8" t="s">
        <v>1697</v>
      </c>
      <c r="C619" s="1">
        <f t="shared" si="178"/>
        <v>988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 t="shared" si="173"/>
        <v>5</v>
      </c>
      <c r="G619" s="1">
        <f t="shared" si="168"/>
        <v>26</v>
      </c>
      <c r="H619" s="2">
        <f t="shared" si="175"/>
        <v>2.6315789473684209E-2</v>
      </c>
      <c r="I619" s="6"/>
      <c r="J619" s="2">
        <f t="shared" si="169"/>
        <v>0.45040485829959515</v>
      </c>
      <c r="K619" s="2">
        <f t="shared" si="170"/>
        <v>0.47672064777327933</v>
      </c>
      <c r="L619" s="2">
        <f t="shared" si="171"/>
        <v>1.0121457489878543E-3</v>
      </c>
      <c r="M619" s="2">
        <f t="shared" si="174"/>
        <v>7.1862348178137622E-2</v>
      </c>
      <c r="N619" s="63">
        <v>445</v>
      </c>
      <c r="O619" s="63">
        <v>471</v>
      </c>
      <c r="P619" s="63">
        <v>1</v>
      </c>
      <c r="Q619" s="63">
        <v>43</v>
      </c>
      <c r="R619" s="63">
        <v>28</v>
      </c>
      <c r="S619" s="63">
        <v>0</v>
      </c>
      <c r="T619" s="67"/>
      <c r="U619" s="63"/>
      <c r="V619" s="63"/>
      <c r="W619" s="63">
        <f t="shared" si="164"/>
        <v>0</v>
      </c>
      <c r="X619" s="63"/>
      <c r="Y619" s="63"/>
      <c r="Z619" s="63"/>
      <c r="AA619" s="63"/>
      <c r="AB619" s="63"/>
      <c r="AE619" s="8">
        <v>0</v>
      </c>
      <c r="AT619" t="str">
        <f t="shared" si="177"/>
        <v>Stockton Springs</v>
      </c>
      <c r="AU619" t="s">
        <v>217</v>
      </c>
      <c r="AV619">
        <v>2</v>
      </c>
      <c r="AX619" s="114">
        <v>23</v>
      </c>
      <c r="AY619" s="116">
        <v>27</v>
      </c>
      <c r="AZ619" s="116">
        <v>100</v>
      </c>
      <c r="BA619" s="120">
        <v>74475</v>
      </c>
      <c r="BB619" s="120">
        <f t="shared" si="176"/>
        <v>23027</v>
      </c>
      <c r="BC619" t="s">
        <v>1472</v>
      </c>
      <c r="BD619">
        <f t="shared" si="172"/>
        <v>2374475</v>
      </c>
      <c r="BE619" s="1">
        <v>33</v>
      </c>
      <c r="BI619">
        <v>29.89</v>
      </c>
      <c r="BJ619">
        <v>10.3</v>
      </c>
      <c r="BK619">
        <v>19.579999999999998</v>
      </c>
      <c r="BS619" s="63">
        <v>0</v>
      </c>
      <c r="CK619" s="1" t="s">
        <v>4167</v>
      </c>
    </row>
    <row r="620" spans="1:89" hidden="1" outlineLevel="1">
      <c r="A620" t="s">
        <v>2107</v>
      </c>
      <c r="B620" s="8" t="s">
        <v>1697</v>
      </c>
      <c r="C620" s="1">
        <f t="shared" si="178"/>
        <v>172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 t="shared" si="173"/>
        <v>4</v>
      </c>
      <c r="G620" s="1">
        <f t="shared" si="168"/>
        <v>12</v>
      </c>
      <c r="H620" s="2">
        <f t="shared" si="175"/>
        <v>6.9767441860465115E-2</v>
      </c>
      <c r="I620" s="6"/>
      <c r="J620" s="2">
        <f t="shared" si="169"/>
        <v>0.44767441860465118</v>
      </c>
      <c r="K620" s="2">
        <f t="shared" si="170"/>
        <v>0.51744186046511631</v>
      </c>
      <c r="L620" s="2">
        <f t="shared" si="171"/>
        <v>5.8139534883720929E-3</v>
      </c>
      <c r="M620" s="2">
        <f t="shared" si="174"/>
        <v>2.9069767441860416E-2</v>
      </c>
      <c r="N620" s="63">
        <v>77</v>
      </c>
      <c r="O620" s="63">
        <v>89</v>
      </c>
      <c r="P620" s="63">
        <v>1</v>
      </c>
      <c r="Q620" s="63">
        <v>5</v>
      </c>
      <c r="R620" s="63">
        <v>0</v>
      </c>
      <c r="S620" s="63">
        <v>0</v>
      </c>
      <c r="T620" s="67"/>
      <c r="U620" s="63"/>
      <c r="V620" s="63"/>
      <c r="W620" s="63">
        <f t="shared" si="164"/>
        <v>0</v>
      </c>
      <c r="X620" s="63"/>
      <c r="Y620" s="63"/>
      <c r="Z620" s="63"/>
      <c r="AA620" s="63"/>
      <c r="AB620" s="63"/>
      <c r="AE620" s="8">
        <v>0</v>
      </c>
      <c r="AT620" t="str">
        <f t="shared" si="177"/>
        <v>Stoneham</v>
      </c>
      <c r="AU620" t="s">
        <v>2383</v>
      </c>
      <c r="AV620">
        <v>2</v>
      </c>
      <c r="AX620" s="114">
        <v>23</v>
      </c>
      <c r="AY620" s="116">
        <v>17</v>
      </c>
      <c r="AZ620" s="116">
        <v>140</v>
      </c>
      <c r="BA620" s="120">
        <v>74510</v>
      </c>
      <c r="BB620" s="120">
        <f t="shared" si="176"/>
        <v>23017</v>
      </c>
      <c r="BC620" t="s">
        <v>1472</v>
      </c>
      <c r="BD620">
        <f t="shared" si="172"/>
        <v>2374510</v>
      </c>
      <c r="BE620" s="1">
        <v>4</v>
      </c>
      <c r="BI620">
        <v>36.69</v>
      </c>
      <c r="BJ620">
        <v>0.98</v>
      </c>
      <c r="BK620">
        <v>35.71</v>
      </c>
      <c r="BS620" s="63">
        <v>0</v>
      </c>
      <c r="CK620" s="1" t="s">
        <v>4168</v>
      </c>
    </row>
    <row r="621" spans="1:89" hidden="1" outlineLevel="1">
      <c r="A621" t="s">
        <v>1070</v>
      </c>
      <c r="B621" s="8" t="s">
        <v>1697</v>
      </c>
      <c r="C621" s="1">
        <f t="shared" si="178"/>
        <v>597</v>
      </c>
      <c r="D621" s="5">
        <f>IF(N621&gt;0, RANK(N621,(N621:P621,Q621:AE621)),0)</f>
        <v>1</v>
      </c>
      <c r="E621" s="5">
        <f>IF(O621&gt;0,RANK(O621,(N621:P621,Q621:AE621)),0)</f>
        <v>2</v>
      </c>
      <c r="F621" s="5">
        <f t="shared" si="173"/>
        <v>0</v>
      </c>
      <c r="G621" s="1">
        <f t="shared" si="168"/>
        <v>136</v>
      </c>
      <c r="H621" s="2">
        <f t="shared" si="175"/>
        <v>0.22780569514237856</v>
      </c>
      <c r="I621" s="6"/>
      <c r="J621" s="2">
        <f t="shared" si="169"/>
        <v>0.58626465661641536</v>
      </c>
      <c r="K621" s="2">
        <f t="shared" si="170"/>
        <v>0.35845896147403683</v>
      </c>
      <c r="L621" s="2">
        <f t="shared" si="171"/>
        <v>0</v>
      </c>
      <c r="M621" s="2">
        <f t="shared" si="174"/>
        <v>5.5276381909547811E-2</v>
      </c>
      <c r="N621" s="63">
        <v>350</v>
      </c>
      <c r="O621" s="63">
        <v>214</v>
      </c>
      <c r="P621" s="63">
        <v>0</v>
      </c>
      <c r="Q621" s="63">
        <v>19</v>
      </c>
      <c r="R621" s="63">
        <v>14</v>
      </c>
      <c r="S621" s="63">
        <v>0</v>
      </c>
      <c r="T621" s="67"/>
      <c r="U621" s="63"/>
      <c r="V621" s="63"/>
      <c r="W621" s="63">
        <f t="shared" si="164"/>
        <v>0</v>
      </c>
      <c r="X621" s="63"/>
      <c r="Y621" s="63"/>
      <c r="Z621" s="63"/>
      <c r="AA621" s="63"/>
      <c r="AB621" s="63"/>
      <c r="AE621" s="8">
        <v>0</v>
      </c>
      <c r="AT621" t="str">
        <f t="shared" si="177"/>
        <v>Stonington</v>
      </c>
      <c r="AU621" t="s">
        <v>597</v>
      </c>
      <c r="AV621">
        <v>2</v>
      </c>
      <c r="AX621" s="114">
        <v>23</v>
      </c>
      <c r="AY621" s="116">
        <v>9</v>
      </c>
      <c r="AZ621" s="116">
        <v>145</v>
      </c>
      <c r="BA621" s="120">
        <v>74580</v>
      </c>
      <c r="BB621" s="120">
        <f t="shared" si="176"/>
        <v>23009</v>
      </c>
      <c r="BC621" t="s">
        <v>1472</v>
      </c>
      <c r="BD621">
        <f t="shared" si="172"/>
        <v>2374580</v>
      </c>
      <c r="BE621" s="1">
        <v>14</v>
      </c>
      <c r="BI621">
        <v>37.82</v>
      </c>
      <c r="BJ621">
        <v>28.02</v>
      </c>
      <c r="BK621">
        <v>9.8000000000000007</v>
      </c>
      <c r="BS621" s="63">
        <v>0</v>
      </c>
      <c r="CK621" s="1" t="s">
        <v>4169</v>
      </c>
    </row>
    <row r="622" spans="1:89" hidden="1" outlineLevel="1">
      <c r="A622" t="s">
        <v>1064</v>
      </c>
      <c r="B622" s="8" t="s">
        <v>1697</v>
      </c>
      <c r="C622" s="1">
        <f t="shared" si="178"/>
        <v>213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 t="shared" si="173"/>
        <v>0</v>
      </c>
      <c r="G622" s="1">
        <f t="shared" si="168"/>
        <v>1</v>
      </c>
      <c r="H622" s="2">
        <f t="shared" si="175"/>
        <v>4.6948356807511738E-3</v>
      </c>
      <c r="I622" s="6"/>
      <c r="J622" s="2">
        <f t="shared" si="169"/>
        <v>0.45539906103286387</v>
      </c>
      <c r="K622" s="2">
        <f t="shared" si="170"/>
        <v>0.460093896713615</v>
      </c>
      <c r="L622" s="2">
        <f t="shared" si="171"/>
        <v>0</v>
      </c>
      <c r="M622" s="2">
        <f t="shared" si="174"/>
        <v>8.4507042253521125E-2</v>
      </c>
      <c r="N622" s="63">
        <v>97</v>
      </c>
      <c r="O622" s="63">
        <v>98</v>
      </c>
      <c r="P622" s="63">
        <v>0</v>
      </c>
      <c r="Q622" s="63">
        <v>15</v>
      </c>
      <c r="R622" s="63">
        <v>3</v>
      </c>
      <c r="S622" s="63">
        <v>0</v>
      </c>
      <c r="T622" s="67"/>
      <c r="U622" s="63"/>
      <c r="V622" s="63"/>
      <c r="W622" s="63">
        <f t="shared" ref="W622:W640" si="179">BS622</f>
        <v>0</v>
      </c>
      <c r="X622" s="63"/>
      <c r="Y622" s="63"/>
      <c r="Z622" s="63"/>
      <c r="AA622" s="63"/>
      <c r="AB622" s="63"/>
      <c r="AE622" s="8">
        <v>0</v>
      </c>
      <c r="AT622" t="str">
        <f t="shared" si="177"/>
        <v>Stow</v>
      </c>
      <c r="AU622" t="s">
        <v>2383</v>
      </c>
      <c r="AV622">
        <v>2</v>
      </c>
      <c r="AX622" s="114">
        <v>23</v>
      </c>
      <c r="AY622" s="116">
        <v>17</v>
      </c>
      <c r="AZ622" s="116">
        <v>145</v>
      </c>
      <c r="BA622" s="120">
        <v>74685</v>
      </c>
      <c r="BB622" s="120">
        <f t="shared" si="176"/>
        <v>23017</v>
      </c>
      <c r="BC622" t="s">
        <v>1472</v>
      </c>
      <c r="BD622">
        <f t="shared" si="172"/>
        <v>2374685</v>
      </c>
      <c r="BE622" s="1">
        <v>14</v>
      </c>
      <c r="BI622">
        <v>24.5</v>
      </c>
      <c r="BJ622">
        <v>0.1</v>
      </c>
      <c r="BK622">
        <v>24.4</v>
      </c>
      <c r="BS622" s="63">
        <v>0</v>
      </c>
      <c r="CK622" s="1" t="s">
        <v>4170</v>
      </c>
    </row>
    <row r="623" spans="1:89" hidden="1" outlineLevel="1">
      <c r="A623" t="s">
        <v>1607</v>
      </c>
      <c r="B623" s="8" t="s">
        <v>1697</v>
      </c>
      <c r="C623" s="1">
        <f t="shared" si="178"/>
        <v>753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 t="shared" si="173"/>
        <v>5</v>
      </c>
      <c r="G623" s="1">
        <f t="shared" si="168"/>
        <v>235</v>
      </c>
      <c r="H623" s="2">
        <f t="shared" si="175"/>
        <v>0.31208499335989376</v>
      </c>
      <c r="I623" s="6"/>
      <c r="J623" s="2">
        <f t="shared" si="169"/>
        <v>0.29880478087649404</v>
      </c>
      <c r="K623" s="2">
        <f t="shared" si="170"/>
        <v>0.61088977423638779</v>
      </c>
      <c r="L623" s="2">
        <f t="shared" si="171"/>
        <v>1.3280212483399733E-3</v>
      </c>
      <c r="M623" s="2">
        <f t="shared" si="174"/>
        <v>8.8977423638778252E-2</v>
      </c>
      <c r="N623" s="63">
        <v>225</v>
      </c>
      <c r="O623" s="63">
        <v>460</v>
      </c>
      <c r="P623" s="63">
        <v>1</v>
      </c>
      <c r="Q623" s="63">
        <v>54</v>
      </c>
      <c r="R623" s="63">
        <v>13</v>
      </c>
      <c r="S623" s="63">
        <v>0</v>
      </c>
      <c r="T623" s="67"/>
      <c r="U623" s="63"/>
      <c r="V623" s="63"/>
      <c r="W623" s="63">
        <f t="shared" si="179"/>
        <v>0</v>
      </c>
      <c r="X623" s="63"/>
      <c r="Y623" s="63"/>
      <c r="Z623" s="63"/>
      <c r="AA623" s="63"/>
      <c r="AB623" s="63"/>
      <c r="AE623" s="8">
        <v>0</v>
      </c>
      <c r="AT623" t="str">
        <f t="shared" si="177"/>
        <v>Strong</v>
      </c>
      <c r="AU623" t="s">
        <v>1138</v>
      </c>
      <c r="AV623">
        <v>2</v>
      </c>
      <c r="AX623" s="114">
        <v>23</v>
      </c>
      <c r="AY623" s="116">
        <v>7</v>
      </c>
      <c r="AZ623" s="116">
        <v>90</v>
      </c>
      <c r="BA623" s="120">
        <v>74825</v>
      </c>
      <c r="BB623" s="120">
        <f t="shared" si="176"/>
        <v>23007</v>
      </c>
      <c r="BC623" t="s">
        <v>1472</v>
      </c>
      <c r="BD623">
        <f t="shared" si="172"/>
        <v>2374825</v>
      </c>
      <c r="BE623" s="1">
        <v>27</v>
      </c>
      <c r="BI623">
        <v>29.28</v>
      </c>
      <c r="BJ623">
        <v>0.55000000000000004</v>
      </c>
      <c r="BK623">
        <v>28.73</v>
      </c>
      <c r="BS623" s="63">
        <v>0</v>
      </c>
      <c r="CK623" s="159" t="s">
        <v>4171</v>
      </c>
    </row>
    <row r="624" spans="1:89" hidden="1" outlineLevel="1">
      <c r="A624" t="s">
        <v>1040</v>
      </c>
      <c r="B624" s="8" t="s">
        <v>1697</v>
      </c>
      <c r="C624" s="1">
        <f t="shared" si="178"/>
        <v>650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 t="shared" si="173"/>
        <v>0</v>
      </c>
      <c r="G624" s="1">
        <f t="shared" si="168"/>
        <v>15</v>
      </c>
      <c r="H624" s="2">
        <f t="shared" si="175"/>
        <v>2.3076923076923078E-2</v>
      </c>
      <c r="I624" s="6"/>
      <c r="J624" s="2">
        <f t="shared" si="169"/>
        <v>0.43846153846153846</v>
      </c>
      <c r="K624" s="2">
        <f t="shared" si="170"/>
        <v>0.46153846153846156</v>
      </c>
      <c r="L624" s="2">
        <f t="shared" si="171"/>
        <v>0</v>
      </c>
      <c r="M624" s="2">
        <f t="shared" si="174"/>
        <v>9.9999999999999978E-2</v>
      </c>
      <c r="N624" s="63">
        <v>285</v>
      </c>
      <c r="O624" s="63">
        <v>300</v>
      </c>
      <c r="P624" s="63">
        <v>0</v>
      </c>
      <c r="Q624" s="63">
        <v>51</v>
      </c>
      <c r="R624" s="63">
        <v>14</v>
      </c>
      <c r="S624" s="63">
        <v>0</v>
      </c>
      <c r="T624" s="67"/>
      <c r="U624" s="63"/>
      <c r="V624" s="63"/>
      <c r="W624" s="63">
        <f t="shared" si="179"/>
        <v>0</v>
      </c>
      <c r="X624" s="63"/>
      <c r="Y624" s="63"/>
      <c r="Z624" s="63"/>
      <c r="AA624" s="63"/>
      <c r="AB624" s="63"/>
      <c r="AE624" s="8">
        <v>0</v>
      </c>
      <c r="AT624" t="str">
        <f t="shared" si="177"/>
        <v>Sullivan</v>
      </c>
      <c r="AU624" t="s">
        <v>597</v>
      </c>
      <c r="AV624">
        <v>2</v>
      </c>
      <c r="AX624" s="114">
        <v>23</v>
      </c>
      <c r="AY624" s="116">
        <v>9</v>
      </c>
      <c r="AZ624" s="116">
        <v>150</v>
      </c>
      <c r="BA624" s="120">
        <v>74965</v>
      </c>
      <c r="BB624" s="120">
        <f t="shared" si="176"/>
        <v>23009</v>
      </c>
      <c r="BC624" t="s">
        <v>1472</v>
      </c>
      <c r="BD624">
        <f t="shared" si="172"/>
        <v>2374965</v>
      </c>
      <c r="BE624" s="1">
        <v>27</v>
      </c>
      <c r="BI624">
        <v>29.57</v>
      </c>
      <c r="BJ624">
        <v>2.99</v>
      </c>
      <c r="BK624">
        <v>26.58</v>
      </c>
      <c r="BS624" s="63">
        <v>0</v>
      </c>
      <c r="CK624" s="1" t="s">
        <v>4172</v>
      </c>
    </row>
    <row r="625" spans="1:89" hidden="1" outlineLevel="1">
      <c r="A625" t="s">
        <v>3170</v>
      </c>
      <c r="B625" s="8" t="s">
        <v>1697</v>
      </c>
      <c r="C625" s="1">
        <f t="shared" si="178"/>
        <v>530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 t="shared" si="173"/>
        <v>5</v>
      </c>
      <c r="G625" s="1">
        <f t="shared" si="168"/>
        <v>112</v>
      </c>
      <c r="H625" s="2">
        <f t="shared" si="175"/>
        <v>0.21132075471698114</v>
      </c>
      <c r="I625" s="6"/>
      <c r="J625" s="2">
        <f t="shared" si="169"/>
        <v>0.35283018867924526</v>
      </c>
      <c r="K625" s="2">
        <f t="shared" si="170"/>
        <v>0.5641509433962264</v>
      </c>
      <c r="L625" s="2">
        <f t="shared" si="171"/>
        <v>5.6603773584905656E-3</v>
      </c>
      <c r="M625" s="2">
        <f t="shared" si="174"/>
        <v>7.7358490566037719E-2</v>
      </c>
      <c r="N625" s="63">
        <v>187</v>
      </c>
      <c r="O625" s="63">
        <v>299</v>
      </c>
      <c r="P625" s="63">
        <v>3</v>
      </c>
      <c r="Q625" s="63">
        <v>28</v>
      </c>
      <c r="R625" s="63">
        <v>13</v>
      </c>
      <c r="S625" s="63">
        <v>0</v>
      </c>
      <c r="T625" s="67"/>
      <c r="U625" s="63"/>
      <c r="V625" s="63"/>
      <c r="W625" s="63">
        <f t="shared" si="179"/>
        <v>0</v>
      </c>
      <c r="X625" s="63"/>
      <c r="Y625" s="63"/>
      <c r="Z625" s="63"/>
      <c r="AA625" s="63"/>
      <c r="AB625" s="63"/>
      <c r="AE625" s="8">
        <v>0</v>
      </c>
      <c r="AT625" t="str">
        <f t="shared" si="177"/>
        <v>Sumner</v>
      </c>
      <c r="AU625" t="s">
        <v>2383</v>
      </c>
      <c r="AV625">
        <v>2</v>
      </c>
      <c r="AX625" s="114">
        <v>23</v>
      </c>
      <c r="AY625" s="116">
        <v>17</v>
      </c>
      <c r="AZ625" s="116">
        <v>150</v>
      </c>
      <c r="BA625" s="120">
        <v>75035</v>
      </c>
      <c r="BB625" s="120">
        <f t="shared" si="176"/>
        <v>23017</v>
      </c>
      <c r="BC625" t="s">
        <v>1472</v>
      </c>
      <c r="BD625">
        <f t="shared" si="172"/>
        <v>2375035</v>
      </c>
      <c r="BE625" s="1">
        <v>29</v>
      </c>
      <c r="BI625">
        <v>44.79</v>
      </c>
      <c r="BJ625">
        <v>0.57999999999999996</v>
      </c>
      <c r="BK625">
        <v>44.21</v>
      </c>
      <c r="BS625" s="63">
        <v>0</v>
      </c>
      <c r="CK625" s="1" t="s">
        <v>4173</v>
      </c>
    </row>
    <row r="626" spans="1:89" hidden="1" outlineLevel="1">
      <c r="A626" t="s">
        <v>1469</v>
      </c>
      <c r="B626" s="8" t="s">
        <v>1697</v>
      </c>
      <c r="C626" s="1">
        <f t="shared" si="178"/>
        <v>981</v>
      </c>
      <c r="D626" s="5">
        <f>IF(N626&gt;0, RANK(N626,(N626:P626,Q626:AE626)),0)</f>
        <v>1</v>
      </c>
      <c r="E626" s="5">
        <f>IF(O626&gt;0,RANK(O626,(N626:P626,Q626:AE626)),0)</f>
        <v>2</v>
      </c>
      <c r="F626" s="5">
        <f t="shared" si="173"/>
        <v>5</v>
      </c>
      <c r="G626" s="1">
        <f t="shared" si="168"/>
        <v>72</v>
      </c>
      <c r="H626" s="2">
        <f t="shared" si="175"/>
        <v>7.3394495412844041E-2</v>
      </c>
      <c r="I626" s="6"/>
      <c r="J626" s="2">
        <f t="shared" si="169"/>
        <v>0.49949031600407745</v>
      </c>
      <c r="K626" s="2">
        <f t="shared" si="170"/>
        <v>0.42609582059123341</v>
      </c>
      <c r="L626" s="2">
        <f t="shared" si="171"/>
        <v>2.0387359836901123E-3</v>
      </c>
      <c r="M626" s="2">
        <f t="shared" si="174"/>
        <v>7.2375127420999025E-2</v>
      </c>
      <c r="N626" s="63">
        <v>490</v>
      </c>
      <c r="O626" s="63">
        <v>418</v>
      </c>
      <c r="P626" s="63">
        <v>2</v>
      </c>
      <c r="Q626" s="63">
        <v>46</v>
      </c>
      <c r="R626" s="63">
        <v>25</v>
      </c>
      <c r="S626" s="63">
        <v>0</v>
      </c>
      <c r="T626" s="67"/>
      <c r="U626" s="63"/>
      <c r="V626" s="63"/>
      <c r="W626" s="63">
        <f t="shared" si="179"/>
        <v>0</v>
      </c>
      <c r="X626" s="63"/>
      <c r="Y626" s="63"/>
      <c r="Z626" s="63"/>
      <c r="AA626" s="63"/>
      <c r="AB626" s="63"/>
      <c r="AE626" s="8">
        <v>0</v>
      </c>
      <c r="AT626" t="str">
        <f t="shared" si="177"/>
        <v>Surry</v>
      </c>
      <c r="AU626" t="s">
        <v>597</v>
      </c>
      <c r="AV626">
        <v>2</v>
      </c>
      <c r="AX626" s="114">
        <v>23</v>
      </c>
      <c r="AY626" s="116">
        <v>9</v>
      </c>
      <c r="AZ626" s="116">
        <v>155</v>
      </c>
      <c r="BA626" s="120">
        <v>75280</v>
      </c>
      <c r="BB626" s="120">
        <f t="shared" si="176"/>
        <v>23009</v>
      </c>
      <c r="BC626" t="s">
        <v>1472</v>
      </c>
      <c r="BD626">
        <f t="shared" si="172"/>
        <v>2375280</v>
      </c>
      <c r="BE626" s="1">
        <v>35</v>
      </c>
      <c r="BI626">
        <v>51.37</v>
      </c>
      <c r="BJ626">
        <v>14.13</v>
      </c>
      <c r="BK626">
        <v>37.24</v>
      </c>
      <c r="BS626" s="63">
        <v>0</v>
      </c>
      <c r="CK626" s="1" t="s">
        <v>4174</v>
      </c>
    </row>
    <row r="627" spans="1:89" hidden="1" outlineLevel="1">
      <c r="A627" t="s">
        <v>964</v>
      </c>
      <c r="B627" s="8" t="s">
        <v>1697</v>
      </c>
      <c r="C627" s="1">
        <f t="shared" si="178"/>
        <v>249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 t="shared" si="173"/>
        <v>5</v>
      </c>
      <c r="G627" s="1">
        <f t="shared" si="168"/>
        <v>20</v>
      </c>
      <c r="H627" s="2">
        <f t="shared" si="175"/>
        <v>8.0321285140562249E-2</v>
      </c>
      <c r="I627" s="6"/>
      <c r="J627" s="2">
        <f t="shared" si="169"/>
        <v>0.40963855421686746</v>
      </c>
      <c r="K627" s="2">
        <f t="shared" si="170"/>
        <v>0.48995983935742971</v>
      </c>
      <c r="L627" s="2">
        <f t="shared" si="171"/>
        <v>1.6064257028112448E-2</v>
      </c>
      <c r="M627" s="2">
        <f t="shared" si="174"/>
        <v>8.4337349397590383E-2</v>
      </c>
      <c r="N627" s="63">
        <v>102</v>
      </c>
      <c r="O627" s="63">
        <v>122</v>
      </c>
      <c r="P627" s="63">
        <v>4</v>
      </c>
      <c r="Q627" s="63">
        <v>13</v>
      </c>
      <c r="R627" s="63">
        <v>8</v>
      </c>
      <c r="S627" s="63">
        <v>0</v>
      </c>
      <c r="T627" s="67"/>
      <c r="U627" s="63"/>
      <c r="V627" s="63"/>
      <c r="W627" s="63">
        <f t="shared" si="179"/>
        <v>0</v>
      </c>
      <c r="X627" s="63"/>
      <c r="Y627" s="63"/>
      <c r="Z627" s="63"/>
      <c r="AA627" s="63"/>
      <c r="AB627" s="63"/>
      <c r="AE627" s="8">
        <v>0</v>
      </c>
      <c r="AT627" t="str">
        <f t="shared" si="177"/>
        <v>Swan's Island</v>
      </c>
      <c r="AU627" t="s">
        <v>597</v>
      </c>
      <c r="AV627">
        <v>2</v>
      </c>
      <c r="AX627" s="114">
        <v>23</v>
      </c>
      <c r="AY627" s="116">
        <v>9</v>
      </c>
      <c r="AZ627" s="116">
        <v>160</v>
      </c>
      <c r="BA627" s="120">
        <v>75455</v>
      </c>
      <c r="BB627" s="120">
        <f t="shared" si="176"/>
        <v>23009</v>
      </c>
      <c r="BC627" t="s">
        <v>1472</v>
      </c>
      <c r="BD627">
        <f t="shared" si="172"/>
        <v>2375455</v>
      </c>
      <c r="BE627" s="1">
        <v>5</v>
      </c>
      <c r="BI627">
        <v>82.39</v>
      </c>
      <c r="BJ627">
        <v>68.44</v>
      </c>
      <c r="BK627">
        <v>13.95</v>
      </c>
      <c r="BS627" s="63">
        <v>0</v>
      </c>
      <c r="CK627" s="1" t="s">
        <v>4175</v>
      </c>
    </row>
    <row r="628" spans="1:89" hidden="1" outlineLevel="1">
      <c r="A628" t="s">
        <v>756</v>
      </c>
      <c r="B628" s="8" t="s">
        <v>1697</v>
      </c>
      <c r="C628" s="1">
        <f t="shared" si="178"/>
        <v>767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 t="shared" si="173"/>
        <v>5</v>
      </c>
      <c r="G628" s="1">
        <f t="shared" si="168"/>
        <v>118</v>
      </c>
      <c r="H628" s="2">
        <f t="shared" si="175"/>
        <v>0.15384615384615385</v>
      </c>
      <c r="I628" s="6"/>
      <c r="J628" s="2">
        <f t="shared" si="169"/>
        <v>0.3728813559322034</v>
      </c>
      <c r="K628" s="2">
        <f t="shared" si="170"/>
        <v>0.52672750977835725</v>
      </c>
      <c r="L628" s="2">
        <f t="shared" si="171"/>
        <v>5.2151238591916557E-3</v>
      </c>
      <c r="M628" s="2">
        <f t="shared" si="174"/>
        <v>9.5176010430247704E-2</v>
      </c>
      <c r="N628" s="63">
        <v>286</v>
      </c>
      <c r="O628" s="63">
        <v>404</v>
      </c>
      <c r="P628" s="63">
        <v>4</v>
      </c>
      <c r="Q628" s="63">
        <v>49</v>
      </c>
      <c r="R628" s="63">
        <v>24</v>
      </c>
      <c r="S628" s="63">
        <v>0</v>
      </c>
      <c r="T628" s="67"/>
      <c r="U628" s="63"/>
      <c r="V628" s="63"/>
      <c r="W628" s="63">
        <f t="shared" si="179"/>
        <v>0</v>
      </c>
      <c r="X628" s="63"/>
      <c r="Y628" s="63"/>
      <c r="Z628" s="63"/>
      <c r="AA628" s="63"/>
      <c r="AB628" s="63"/>
      <c r="AE628" s="8">
        <v>0</v>
      </c>
      <c r="AT628" t="str">
        <f t="shared" si="177"/>
        <v>Swanville</v>
      </c>
      <c r="AU628" t="s">
        <v>217</v>
      </c>
      <c r="AV628">
        <v>2</v>
      </c>
      <c r="AX628" s="114">
        <v>23</v>
      </c>
      <c r="AY628" s="116">
        <v>27</v>
      </c>
      <c r="AZ628" s="116">
        <v>105</v>
      </c>
      <c r="BA628" s="120">
        <v>75525</v>
      </c>
      <c r="BB628" s="120">
        <f t="shared" si="176"/>
        <v>23027</v>
      </c>
      <c r="BC628" t="s">
        <v>1472</v>
      </c>
      <c r="BD628">
        <f t="shared" si="172"/>
        <v>2375525</v>
      </c>
      <c r="BE628" s="1">
        <v>32</v>
      </c>
      <c r="BI628">
        <v>21.64</v>
      </c>
      <c r="BJ628">
        <v>1.89</v>
      </c>
      <c r="BK628">
        <v>19.760000000000002</v>
      </c>
      <c r="BS628" s="63">
        <v>0</v>
      </c>
      <c r="CK628" s="1" t="s">
        <v>4176</v>
      </c>
    </row>
    <row r="629" spans="1:89" hidden="1" outlineLevel="1">
      <c r="A629" t="s">
        <v>1620</v>
      </c>
      <c r="B629" s="8" t="s">
        <v>1697</v>
      </c>
      <c r="C629" s="1">
        <f t="shared" si="178"/>
        <v>248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 t="shared" si="173"/>
        <v>0</v>
      </c>
      <c r="G629" s="1">
        <f t="shared" si="168"/>
        <v>1</v>
      </c>
      <c r="H629" s="2">
        <f t="shared" si="175"/>
        <v>4.0322580645161289E-3</v>
      </c>
      <c r="I629" s="6"/>
      <c r="J629" s="2">
        <f t="shared" si="169"/>
        <v>0.46370967741935482</v>
      </c>
      <c r="K629" s="2">
        <f t="shared" si="170"/>
        <v>0.46774193548387094</v>
      </c>
      <c r="L629" s="2">
        <f t="shared" si="171"/>
        <v>0</v>
      </c>
      <c r="M629" s="2">
        <f t="shared" si="174"/>
        <v>6.8548387096774299E-2</v>
      </c>
      <c r="N629" s="63">
        <v>115</v>
      </c>
      <c r="O629" s="63">
        <v>116</v>
      </c>
      <c r="P629" s="63">
        <v>0</v>
      </c>
      <c r="Q629" s="63">
        <v>14</v>
      </c>
      <c r="R629" s="63">
        <v>3</v>
      </c>
      <c r="S629" s="63">
        <v>0</v>
      </c>
      <c r="T629" s="67"/>
      <c r="U629" s="63"/>
      <c r="V629" s="63"/>
      <c r="W629" s="63">
        <f t="shared" si="179"/>
        <v>0</v>
      </c>
      <c r="X629" s="63"/>
      <c r="Y629" s="63"/>
      <c r="Z629" s="63"/>
      <c r="AA629" s="63"/>
      <c r="AB629" s="63"/>
      <c r="AE629" s="8">
        <v>0</v>
      </c>
      <c r="AT629" t="str">
        <f t="shared" si="177"/>
        <v>Sweden</v>
      </c>
      <c r="AU629" t="s">
        <v>2383</v>
      </c>
      <c r="AV629">
        <v>2</v>
      </c>
      <c r="AX629" s="114">
        <v>23</v>
      </c>
      <c r="AY629" s="116">
        <v>17</v>
      </c>
      <c r="AZ629" s="116">
        <v>155</v>
      </c>
      <c r="BA629" s="120">
        <v>75595</v>
      </c>
      <c r="BB629" s="120">
        <f t="shared" si="176"/>
        <v>23017</v>
      </c>
      <c r="BC629" t="s">
        <v>1472</v>
      </c>
      <c r="BD629">
        <f t="shared" si="172"/>
        <v>2375595</v>
      </c>
      <c r="BE629" s="1">
        <v>8</v>
      </c>
      <c r="BI629">
        <v>29.69</v>
      </c>
      <c r="BJ629">
        <v>0.93</v>
      </c>
      <c r="BK629">
        <v>28.75</v>
      </c>
      <c r="BS629" s="63">
        <v>0</v>
      </c>
      <c r="CK629" s="1" t="s">
        <v>4177</v>
      </c>
    </row>
    <row r="630" spans="1:89" hidden="1" outlineLevel="1">
      <c r="A630" t="s">
        <v>3260</v>
      </c>
      <c r="B630" s="8" t="s">
        <v>1697</v>
      </c>
      <c r="C630" s="1">
        <f t="shared" si="178"/>
        <v>0</v>
      </c>
      <c r="D630" s="5">
        <f>IF(N630&gt;0, RANK(N630,(N630:P630,Q630:AE630)),0)</f>
        <v>0</v>
      </c>
      <c r="E630" s="5">
        <f>IF(O630&gt;0,RANK(O630,(N630:P630,Q630:AE630)),0)</f>
        <v>0</v>
      </c>
      <c r="F630" s="5">
        <f>IF(P630&gt;0,RANK(P630,(N630:AE630)),0)</f>
        <v>0</v>
      </c>
      <c r="G630" s="1">
        <f t="shared" ref="G630:G705" si="180">IF(C630&gt;0,MAX(N630:P630)-LARGE(N630:P630,2),0)</f>
        <v>0</v>
      </c>
      <c r="H630" s="2">
        <f t="shared" si="175"/>
        <v>0</v>
      </c>
      <c r="I630" s="6"/>
      <c r="J630" s="2" t="str">
        <f t="shared" ref="J630:J705" si="181">IF(C630=0,"-",N630/C630)</f>
        <v>-</v>
      </c>
      <c r="K630" s="2" t="str">
        <f t="shared" ref="K630:K705" si="182">IF(C630=0,"-",O630/C630)</f>
        <v>-</v>
      </c>
      <c r="L630" s="2" t="str">
        <f t="shared" ref="L630:L705" si="183">IF(C630=0,"-",P630/C630)</f>
        <v>-</v>
      </c>
      <c r="M630" s="2" t="str">
        <f>IF(C630=0,"-",(1-J630-K630-L630))</f>
        <v>-</v>
      </c>
      <c r="N630" s="63"/>
      <c r="O630" s="63"/>
      <c r="P630" s="63"/>
      <c r="Q630" s="63"/>
      <c r="R630" s="63"/>
      <c r="S630" s="63"/>
      <c r="T630" s="67"/>
      <c r="U630" s="63"/>
      <c r="V630" s="63"/>
      <c r="W630" s="63">
        <f t="shared" si="179"/>
        <v>0</v>
      </c>
      <c r="X630" s="63"/>
      <c r="Y630" s="63"/>
      <c r="Z630" s="63"/>
      <c r="AA630" s="63"/>
      <c r="AB630" s="63"/>
      <c r="AT630" t="str">
        <f t="shared" ref="AT630:AT641" si="184">A630</f>
        <v>T1 R9 WELS</v>
      </c>
      <c r="AU630" t="s">
        <v>1957</v>
      </c>
      <c r="AV630">
        <v>2</v>
      </c>
      <c r="AX630" s="114">
        <v>23</v>
      </c>
      <c r="AY630" s="116">
        <v>21</v>
      </c>
      <c r="BA630" s="120">
        <v>75619</v>
      </c>
      <c r="BB630" s="120">
        <f t="shared" si="176"/>
        <v>23021</v>
      </c>
      <c r="BC630" t="s">
        <v>957</v>
      </c>
      <c r="BD630">
        <f t="shared" si="172"/>
        <v>2375619</v>
      </c>
      <c r="BS630" s="63"/>
      <c r="CK630" s="1"/>
    </row>
    <row r="631" spans="1:89" hidden="1" outlineLevel="1">
      <c r="A631" t="s">
        <v>2140</v>
      </c>
      <c r="B631" s="8" t="s">
        <v>1697</v>
      </c>
      <c r="C631" s="1">
        <f t="shared" si="178"/>
        <v>6</v>
      </c>
      <c r="D631" s="5">
        <f>IF(N631&gt;0, RANK(N631,(N631:P631,Q631:AE631)),0)</f>
        <v>1</v>
      </c>
      <c r="E631" s="5">
        <f>IF(O631&gt;0,RANK(O631,(N631:P631,Q631:AE631)),0)</f>
        <v>1</v>
      </c>
      <c r="F631" s="5">
        <f>IF(P631&gt;0,RANK(P631,(N631:AE631)),0)</f>
        <v>0</v>
      </c>
      <c r="G631" s="1">
        <f>IF(C631&gt;0,MAX(N631:P631)-LARGE(N631:P631,2),0)</f>
        <v>0</v>
      </c>
      <c r="H631" s="2">
        <f>IF(C631&gt;0,G631/C631,0)</f>
        <v>0</v>
      </c>
      <c r="I631" s="6"/>
      <c r="J631" s="2">
        <f>IF(C631=0,"-",N631/C631)</f>
        <v>0.5</v>
      </c>
      <c r="K631" s="2">
        <f>IF(C631=0,"-",O631/C631)</f>
        <v>0.5</v>
      </c>
      <c r="L631" s="2">
        <f>IF(C631=0,"-",P631/C631)</f>
        <v>0</v>
      </c>
      <c r="M631" s="2">
        <f>IF(C631=0,"-",(1-J631-K631-L631))</f>
        <v>0</v>
      </c>
      <c r="N631" s="63">
        <v>3</v>
      </c>
      <c r="O631" s="63">
        <v>3</v>
      </c>
      <c r="P631" s="63">
        <v>0</v>
      </c>
      <c r="Q631" s="63">
        <v>0</v>
      </c>
      <c r="R631" s="63">
        <v>0</v>
      </c>
      <c r="S631" s="63">
        <v>0</v>
      </c>
      <c r="T631" s="67"/>
      <c r="U631" s="63"/>
      <c r="V631" s="63"/>
      <c r="W631" s="63">
        <f t="shared" si="179"/>
        <v>0</v>
      </c>
      <c r="X631" s="63"/>
      <c r="Y631" s="63"/>
      <c r="Z631" s="63"/>
      <c r="AA631" s="63"/>
      <c r="AB631" s="63"/>
      <c r="AE631" s="8">
        <v>0</v>
      </c>
      <c r="AT631" t="str">
        <f t="shared" si="184"/>
        <v>T3 ND</v>
      </c>
      <c r="AU631" t="s">
        <v>597</v>
      </c>
      <c r="AV631">
        <v>2</v>
      </c>
      <c r="AX631" s="114">
        <v>23</v>
      </c>
      <c r="AY631" s="116">
        <v>9</v>
      </c>
      <c r="BA631" s="120">
        <v>75630</v>
      </c>
      <c r="BB631" s="120">
        <f t="shared" ref="BB631:BB641" si="185">AX631*1000+AY631</f>
        <v>23009</v>
      </c>
      <c r="BC631" t="s">
        <v>957</v>
      </c>
      <c r="BD631">
        <f t="shared" ref="BD631:BD641" si="186">AX631*100000+BA631</f>
        <v>2375630</v>
      </c>
      <c r="BE631" s="1">
        <v>0</v>
      </c>
      <c r="BS631" s="63">
        <v>0</v>
      </c>
      <c r="CK631" s="1" t="s">
        <v>4178</v>
      </c>
    </row>
    <row r="632" spans="1:89" hidden="1" outlineLevel="1">
      <c r="A632" t="s">
        <v>3720</v>
      </c>
      <c r="B632" s="8" t="s">
        <v>1697</v>
      </c>
      <c r="C632" s="1">
        <f t="shared" ref="C632:C640" si="187">SUM(N632:AR632)</f>
        <v>1</v>
      </c>
      <c r="D632" s="5">
        <f>IF(N632&gt;0, RANK(N632,(N632:P632,Q632:AE632)),0)</f>
        <v>1</v>
      </c>
      <c r="E632" s="5">
        <f>IF(O632&gt;0,RANK(O632,(N632:P632,Q632:AE632)),0)</f>
        <v>0</v>
      </c>
      <c r="F632" s="5">
        <f t="shared" ref="F632:F640" si="188">IF(P632&gt;0,RANK(P632,(N632:AE632)),0)</f>
        <v>0</v>
      </c>
      <c r="G632" s="1">
        <f t="shared" ref="G632:G640" si="189">IF(C632&gt;0,MAX(N632:P632)-LARGE(N632:P632,2),0)</f>
        <v>1</v>
      </c>
      <c r="H632" s="2">
        <f t="shared" ref="H632:H640" si="190">IF(C632&gt;0,G632/C632,0)</f>
        <v>1</v>
      </c>
      <c r="I632" s="6"/>
      <c r="J632" s="2">
        <f t="shared" ref="J632:J640" si="191">IF(C632=0,"-",N632/C632)</f>
        <v>1</v>
      </c>
      <c r="K632" s="2">
        <f t="shared" ref="K632:K640" si="192">IF(C632=0,"-",O632/C632)</f>
        <v>0</v>
      </c>
      <c r="L632" s="2">
        <f t="shared" ref="L632:L640" si="193">IF(C632=0,"-",P632/C632)</f>
        <v>0</v>
      </c>
      <c r="M632" s="2">
        <f t="shared" ref="M632:M640" si="194">IF(C632=0,"-",(1-J632-K632-L632))</f>
        <v>0</v>
      </c>
      <c r="N632" s="63">
        <v>1</v>
      </c>
      <c r="O632" s="63">
        <v>0</v>
      </c>
      <c r="P632" s="63">
        <v>0</v>
      </c>
      <c r="Q632" s="63">
        <v>0</v>
      </c>
      <c r="R632" s="63">
        <v>0</v>
      </c>
      <c r="S632" s="63">
        <v>0</v>
      </c>
      <c r="T632" s="67"/>
      <c r="U632" s="63"/>
      <c r="V632" s="63"/>
      <c r="W632" s="63">
        <f t="shared" si="179"/>
        <v>0</v>
      </c>
      <c r="X632" s="63"/>
      <c r="Y632" s="63"/>
      <c r="Z632" s="63"/>
      <c r="AA632" s="63"/>
      <c r="AB632" s="63"/>
      <c r="AE632" s="8">
        <v>0</v>
      </c>
      <c r="AT632" t="str">
        <f t="shared" si="184"/>
        <v>T4 R3</v>
      </c>
      <c r="AU632" t="s">
        <v>2830</v>
      </c>
      <c r="AV632">
        <v>2</v>
      </c>
      <c r="AX632" s="114">
        <v>23</v>
      </c>
      <c r="AY632" s="116">
        <v>3</v>
      </c>
      <c r="BA632" s="142">
        <v>90403</v>
      </c>
      <c r="BB632" s="120">
        <f t="shared" si="185"/>
        <v>23003</v>
      </c>
      <c r="BC632" t="s">
        <v>957</v>
      </c>
      <c r="BD632">
        <f t="shared" si="186"/>
        <v>2390403</v>
      </c>
      <c r="BE632" s="1">
        <v>0</v>
      </c>
      <c r="BS632" s="63">
        <v>0</v>
      </c>
      <c r="CK632" s="1" t="s">
        <v>4179</v>
      </c>
    </row>
    <row r="633" spans="1:89" hidden="1" outlineLevel="1">
      <c r="A633" t="s">
        <v>3248</v>
      </c>
      <c r="B633" s="8" t="s">
        <v>1697</v>
      </c>
      <c r="C633" s="1">
        <f t="shared" si="187"/>
        <v>5</v>
      </c>
      <c r="D633" s="5">
        <f>IF(N633&gt;0, RANK(N633,(N633:P633,Q633:AE633)),0)</f>
        <v>0</v>
      </c>
      <c r="E633" s="5">
        <f>IF(O633&gt;0,RANK(O633,(N633:P633,Q633:AE633)),0)</f>
        <v>0</v>
      </c>
      <c r="F633" s="5">
        <f t="shared" si="188"/>
        <v>0</v>
      </c>
      <c r="G633" s="1">
        <f t="shared" si="189"/>
        <v>0</v>
      </c>
      <c r="H633" s="2">
        <f t="shared" si="190"/>
        <v>0</v>
      </c>
      <c r="I633" s="6"/>
      <c r="J633" s="2">
        <f t="shared" si="191"/>
        <v>0</v>
      </c>
      <c r="K633" s="2">
        <f t="shared" si="192"/>
        <v>0</v>
      </c>
      <c r="L633" s="2">
        <f t="shared" si="193"/>
        <v>0</v>
      </c>
      <c r="M633" s="2">
        <f t="shared" si="194"/>
        <v>1</v>
      </c>
      <c r="N633" s="63">
        <v>0</v>
      </c>
      <c r="O633" s="63">
        <v>0</v>
      </c>
      <c r="P633" s="63">
        <v>0</v>
      </c>
      <c r="Q633" s="63">
        <v>2</v>
      </c>
      <c r="R633" s="63">
        <v>3</v>
      </c>
      <c r="S633" s="63">
        <v>0</v>
      </c>
      <c r="T633" s="67"/>
      <c r="U633" s="63"/>
      <c r="V633" s="63"/>
      <c r="W633" s="63">
        <f t="shared" si="179"/>
        <v>0</v>
      </c>
      <c r="X633" s="63"/>
      <c r="Y633" s="63"/>
      <c r="Z633" s="63"/>
      <c r="AA633" s="63"/>
      <c r="AB633" s="63"/>
      <c r="AE633" s="8">
        <v>0</v>
      </c>
      <c r="AT633" t="str">
        <f t="shared" si="184"/>
        <v>T7 SD</v>
      </c>
      <c r="AU633" t="s">
        <v>597</v>
      </c>
      <c r="AV633">
        <v>2</v>
      </c>
      <c r="AX633" s="114">
        <v>23</v>
      </c>
      <c r="AY633" s="116">
        <v>9</v>
      </c>
      <c r="BA633" s="142">
        <v>75670</v>
      </c>
      <c r="BB633" s="120">
        <f t="shared" si="185"/>
        <v>23009</v>
      </c>
      <c r="BC633" t="s">
        <v>957</v>
      </c>
      <c r="BD633">
        <f t="shared" si="186"/>
        <v>2375670</v>
      </c>
      <c r="BE633" s="1">
        <v>0</v>
      </c>
      <c r="BS633" s="63">
        <v>0</v>
      </c>
      <c r="CK633" s="1" t="s">
        <v>4180</v>
      </c>
    </row>
    <row r="634" spans="1:89" hidden="1" outlineLevel="1">
      <c r="A634" t="s">
        <v>3721</v>
      </c>
      <c r="B634" s="8" t="s">
        <v>1697</v>
      </c>
      <c r="C634" s="1">
        <f t="shared" si="187"/>
        <v>1</v>
      </c>
      <c r="D634" s="5">
        <f>IF(N634&gt;0, RANK(N634,(N634:P634,Q634:AE634)),0)</f>
        <v>0</v>
      </c>
      <c r="E634" s="5">
        <f>IF(O634&gt;0,RANK(O634,(N634:P634,Q634:AE634)),0)</f>
        <v>1</v>
      </c>
      <c r="F634" s="5">
        <f t="shared" si="188"/>
        <v>0</v>
      </c>
      <c r="G634" s="1">
        <f t="shared" si="189"/>
        <v>1</v>
      </c>
      <c r="H634" s="2">
        <f t="shared" si="190"/>
        <v>1</v>
      </c>
      <c r="I634" s="6"/>
      <c r="J634" s="2">
        <f t="shared" si="191"/>
        <v>0</v>
      </c>
      <c r="K634" s="2">
        <f t="shared" si="192"/>
        <v>1</v>
      </c>
      <c r="L634" s="2">
        <f t="shared" si="193"/>
        <v>0</v>
      </c>
      <c r="M634" s="2">
        <f t="shared" si="194"/>
        <v>0</v>
      </c>
      <c r="N634" s="63">
        <v>0</v>
      </c>
      <c r="O634" s="63">
        <v>1</v>
      </c>
      <c r="P634" s="63">
        <v>0</v>
      </c>
      <c r="Q634" s="63">
        <v>0</v>
      </c>
      <c r="R634" s="63">
        <v>0</v>
      </c>
      <c r="S634" s="63">
        <v>0</v>
      </c>
      <c r="T634" s="67"/>
      <c r="U634" s="63"/>
      <c r="V634" s="63"/>
      <c r="W634" s="63">
        <f t="shared" si="179"/>
        <v>0</v>
      </c>
      <c r="X634" s="63"/>
      <c r="Y634" s="63"/>
      <c r="Z634" s="63"/>
      <c r="AA634" s="63"/>
      <c r="AB634" s="63"/>
      <c r="AE634" s="8">
        <v>0</v>
      </c>
      <c r="AT634" t="str">
        <f t="shared" si="184"/>
        <v>T10 R15 WELS</v>
      </c>
      <c r="AU634" t="s">
        <v>1957</v>
      </c>
      <c r="AV634">
        <v>2</v>
      </c>
      <c r="AX634" s="114">
        <v>23</v>
      </c>
      <c r="AY634" s="116">
        <v>21</v>
      </c>
      <c r="BA634" s="142">
        <v>91015</v>
      </c>
      <c r="BB634" s="120">
        <f t="shared" si="185"/>
        <v>23021</v>
      </c>
      <c r="BC634" t="s">
        <v>957</v>
      </c>
      <c r="BD634">
        <f t="shared" si="186"/>
        <v>2391015</v>
      </c>
      <c r="BE634" s="1">
        <v>0</v>
      </c>
      <c r="BS634" s="63">
        <v>0</v>
      </c>
      <c r="CK634" s="1" t="s">
        <v>4181</v>
      </c>
    </row>
    <row r="635" spans="1:89" hidden="1" outlineLevel="1">
      <c r="A635" t="s">
        <v>3249</v>
      </c>
      <c r="B635" s="8" t="s">
        <v>1697</v>
      </c>
      <c r="C635" s="1">
        <f t="shared" si="187"/>
        <v>14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 t="shared" si="188"/>
        <v>0</v>
      </c>
      <c r="G635" s="1">
        <f t="shared" si="189"/>
        <v>6</v>
      </c>
      <c r="H635" s="2">
        <f t="shared" si="190"/>
        <v>0.42857142857142855</v>
      </c>
      <c r="I635" s="6"/>
      <c r="J635" s="2">
        <f t="shared" si="191"/>
        <v>0.2857142857142857</v>
      </c>
      <c r="K635" s="2">
        <f t="shared" si="192"/>
        <v>0.7142857142857143</v>
      </c>
      <c r="L635" s="2">
        <f t="shared" si="193"/>
        <v>0</v>
      </c>
      <c r="M635" s="2">
        <f t="shared" si="194"/>
        <v>0</v>
      </c>
      <c r="N635" s="63">
        <v>4</v>
      </c>
      <c r="O635" s="63">
        <v>10</v>
      </c>
      <c r="P635" s="63">
        <v>0</v>
      </c>
      <c r="Q635" s="63">
        <v>0</v>
      </c>
      <c r="R635" s="63">
        <v>0</v>
      </c>
      <c r="S635" s="63">
        <v>0</v>
      </c>
      <c r="T635" s="67"/>
      <c r="U635" s="63"/>
      <c r="V635" s="63"/>
      <c r="W635" s="63">
        <f t="shared" si="179"/>
        <v>0</v>
      </c>
      <c r="X635" s="63"/>
      <c r="Y635" s="63"/>
      <c r="Z635" s="63"/>
      <c r="AA635" s="63"/>
      <c r="AB635" s="63"/>
      <c r="AE635" s="8">
        <v>0</v>
      </c>
      <c r="AT635" t="str">
        <f t="shared" si="184"/>
        <v>T10 SD</v>
      </c>
      <c r="AU635" t="s">
        <v>597</v>
      </c>
      <c r="AV635">
        <v>2</v>
      </c>
      <c r="AX635" s="114">
        <v>23</v>
      </c>
      <c r="AY635" s="116">
        <v>9</v>
      </c>
      <c r="BA635" s="142">
        <v>93010</v>
      </c>
      <c r="BB635" s="120">
        <f t="shared" si="185"/>
        <v>23009</v>
      </c>
      <c r="BC635" t="s">
        <v>957</v>
      </c>
      <c r="BD635">
        <f t="shared" si="186"/>
        <v>2393010</v>
      </c>
      <c r="BE635" s="1">
        <v>0</v>
      </c>
      <c r="BS635" s="63">
        <v>0</v>
      </c>
      <c r="CK635" s="1" t="s">
        <v>4182</v>
      </c>
    </row>
    <row r="636" spans="1:89" hidden="1" outlineLevel="1">
      <c r="A636" s="34" t="s">
        <v>3261</v>
      </c>
      <c r="B636" s="8" t="s">
        <v>1697</v>
      </c>
      <c r="C636" s="1">
        <f t="shared" si="187"/>
        <v>23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 t="shared" si="188"/>
        <v>0</v>
      </c>
      <c r="G636" s="1">
        <f t="shared" si="189"/>
        <v>8</v>
      </c>
      <c r="H636" s="2">
        <f t="shared" si="190"/>
        <v>0.34782608695652173</v>
      </c>
      <c r="I636" s="6"/>
      <c r="J636" s="2">
        <f t="shared" si="191"/>
        <v>0.30434782608695654</v>
      </c>
      <c r="K636" s="2">
        <f t="shared" si="192"/>
        <v>0.65217391304347827</v>
      </c>
      <c r="L636" s="2">
        <f t="shared" si="193"/>
        <v>0</v>
      </c>
      <c r="M636" s="2">
        <f t="shared" si="194"/>
        <v>4.3478260869565188E-2</v>
      </c>
      <c r="N636" s="63">
        <v>7</v>
      </c>
      <c r="O636" s="63">
        <v>15</v>
      </c>
      <c r="P636" s="63">
        <v>0</v>
      </c>
      <c r="Q636" s="63">
        <v>0</v>
      </c>
      <c r="R636" s="63">
        <v>1</v>
      </c>
      <c r="S636" s="63">
        <v>0</v>
      </c>
      <c r="T636" s="67"/>
      <c r="U636" s="63"/>
      <c r="V636" s="63"/>
      <c r="W636" s="63">
        <f t="shared" si="179"/>
        <v>0</v>
      </c>
      <c r="X636" s="63"/>
      <c r="Y636" s="63"/>
      <c r="Z636" s="63"/>
      <c r="AA636" s="63"/>
      <c r="AB636" s="63"/>
      <c r="AE636" s="8">
        <v>0</v>
      </c>
      <c r="AT636" t="str">
        <f t="shared" si="184"/>
        <v>T11 R4 WELS</v>
      </c>
      <c r="AU636" t="s">
        <v>2830</v>
      </c>
      <c r="AV636">
        <v>2</v>
      </c>
      <c r="AX636" s="114">
        <v>23</v>
      </c>
      <c r="AY636" s="116">
        <v>3</v>
      </c>
      <c r="BA636" s="142">
        <v>91104</v>
      </c>
      <c r="BB636" s="120">
        <f t="shared" si="185"/>
        <v>23003</v>
      </c>
      <c r="BC636" t="s">
        <v>957</v>
      </c>
      <c r="BD636">
        <f t="shared" si="186"/>
        <v>2391104</v>
      </c>
      <c r="BE636" s="1">
        <v>1</v>
      </c>
      <c r="BS636" s="63">
        <v>0</v>
      </c>
      <c r="CK636" s="1" t="s">
        <v>4183</v>
      </c>
    </row>
    <row r="637" spans="1:89" hidden="1" outlineLevel="1">
      <c r="A637" s="34" t="s">
        <v>3262</v>
      </c>
      <c r="B637" s="8" t="s">
        <v>1697</v>
      </c>
      <c r="C637" s="1">
        <f t="shared" si="187"/>
        <v>8</v>
      </c>
      <c r="D637" s="5">
        <f>IF(N637&gt;0, RANK(N637,(N637:P637,Q637:AE637)),0)</f>
        <v>0</v>
      </c>
      <c r="E637" s="5">
        <f>IF(O637&gt;0,RANK(O637,(N637:P637,Q637:AE637)),0)</f>
        <v>1</v>
      </c>
      <c r="F637" s="5">
        <f t="shared" si="188"/>
        <v>0</v>
      </c>
      <c r="G637" s="1">
        <f t="shared" si="189"/>
        <v>7</v>
      </c>
      <c r="H637" s="2">
        <f t="shared" si="190"/>
        <v>0.875</v>
      </c>
      <c r="I637" s="6"/>
      <c r="J637" s="2">
        <f t="shared" si="191"/>
        <v>0</v>
      </c>
      <c r="K637" s="2">
        <f t="shared" si="192"/>
        <v>0.875</v>
      </c>
      <c r="L637" s="2">
        <f t="shared" si="193"/>
        <v>0</v>
      </c>
      <c r="M637" s="2">
        <f t="shared" si="194"/>
        <v>0.125</v>
      </c>
      <c r="N637" s="63">
        <v>0</v>
      </c>
      <c r="O637" s="63">
        <v>7</v>
      </c>
      <c r="P637" s="63">
        <v>0</v>
      </c>
      <c r="Q637" s="63">
        <v>1</v>
      </c>
      <c r="R637" s="63">
        <v>0</v>
      </c>
      <c r="S637" s="63">
        <v>0</v>
      </c>
      <c r="T637" s="67"/>
      <c r="U637" s="63"/>
      <c r="V637" s="63"/>
      <c r="W637" s="63">
        <f t="shared" si="179"/>
        <v>0</v>
      </c>
      <c r="X637" s="63"/>
      <c r="Y637" s="63"/>
      <c r="Z637" s="63"/>
      <c r="AA637" s="63"/>
      <c r="AB637" s="63"/>
      <c r="AE637" s="8">
        <v>0</v>
      </c>
      <c r="AT637" t="str">
        <f t="shared" si="184"/>
        <v>T15 R6 WELS</v>
      </c>
      <c r="AU637" t="s">
        <v>2830</v>
      </c>
      <c r="AV637">
        <v>2</v>
      </c>
      <c r="AX637" s="114">
        <v>23</v>
      </c>
      <c r="AY637" s="116">
        <v>3</v>
      </c>
      <c r="BA637" s="142">
        <v>91506</v>
      </c>
      <c r="BB637" s="120">
        <f t="shared" si="185"/>
        <v>23003</v>
      </c>
      <c r="BC637" t="s">
        <v>957</v>
      </c>
      <c r="BD637">
        <f t="shared" si="186"/>
        <v>2391506</v>
      </c>
      <c r="BE637" s="1">
        <v>1</v>
      </c>
      <c r="BS637" s="63">
        <v>0</v>
      </c>
      <c r="CK637" s="1" t="s">
        <v>4184</v>
      </c>
    </row>
    <row r="638" spans="1:89" hidden="1" outlineLevel="1">
      <c r="A638" s="34" t="s">
        <v>3263</v>
      </c>
      <c r="B638" s="8" t="s">
        <v>1697</v>
      </c>
      <c r="C638" s="1">
        <f t="shared" si="187"/>
        <v>0</v>
      </c>
      <c r="D638" s="5">
        <f>IF(N638&gt;0, RANK(N638,(N638:P638,Q638:AE638)),0)</f>
        <v>0</v>
      </c>
      <c r="E638" s="5">
        <f>IF(O638&gt;0,RANK(O638,(N638:P638,Q638:AE638)),0)</f>
        <v>0</v>
      </c>
      <c r="F638" s="5">
        <f t="shared" si="188"/>
        <v>0</v>
      </c>
      <c r="G638" s="1">
        <f t="shared" si="189"/>
        <v>0</v>
      </c>
      <c r="H638" s="2">
        <f t="shared" si="190"/>
        <v>0</v>
      </c>
      <c r="I638" s="6"/>
      <c r="J638" s="2" t="str">
        <f t="shared" si="191"/>
        <v>-</v>
      </c>
      <c r="K638" s="2" t="str">
        <f t="shared" si="192"/>
        <v>-</v>
      </c>
      <c r="L638" s="2" t="str">
        <f t="shared" si="193"/>
        <v>-</v>
      </c>
      <c r="M638" s="2" t="str">
        <f t="shared" si="194"/>
        <v>-</v>
      </c>
      <c r="N638" s="63"/>
      <c r="O638" s="63"/>
      <c r="P638" s="63"/>
      <c r="Q638" s="63"/>
      <c r="R638" s="63"/>
      <c r="S638" s="63"/>
      <c r="T638" s="67"/>
      <c r="U638" s="63"/>
      <c r="V638" s="63"/>
      <c r="W638" s="63">
        <f t="shared" si="179"/>
        <v>0</v>
      </c>
      <c r="X638" s="63"/>
      <c r="Y638" s="63"/>
      <c r="Z638" s="63"/>
      <c r="AA638" s="63"/>
      <c r="AB638" s="63"/>
      <c r="AT638" t="str">
        <f t="shared" si="184"/>
        <v>T15 R9 WELS</v>
      </c>
      <c r="AU638" t="s">
        <v>2830</v>
      </c>
      <c r="AV638">
        <v>2</v>
      </c>
      <c r="AX638" s="114">
        <v>23</v>
      </c>
      <c r="AY638" s="116">
        <v>3</v>
      </c>
      <c r="BA638" s="142">
        <v>91509</v>
      </c>
      <c r="BB638" s="120">
        <f t="shared" si="185"/>
        <v>23003</v>
      </c>
      <c r="BC638" t="s">
        <v>957</v>
      </c>
      <c r="BD638">
        <f t="shared" si="186"/>
        <v>2391509</v>
      </c>
      <c r="BS638" s="63"/>
      <c r="CK638" s="1"/>
    </row>
    <row r="639" spans="1:89" hidden="1" outlineLevel="1">
      <c r="A639" s="34" t="s">
        <v>3723</v>
      </c>
      <c r="B639" s="8" t="s">
        <v>1697</v>
      </c>
      <c r="C639" s="1">
        <f>SUM(N639:AR639)</f>
        <v>22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IF(P639&gt;0,RANK(P639,(N639:AE639)),0)</f>
        <v>0</v>
      </c>
      <c r="G639" s="1">
        <f>IF(C639&gt;0,MAX(N639:P639)-LARGE(N639:P639,2),0)</f>
        <v>4</v>
      </c>
      <c r="H639" s="2">
        <f>IF(C639&gt;0,G639/C639,0)</f>
        <v>0.18181818181818182</v>
      </c>
      <c r="I639" s="6"/>
      <c r="J639" s="2">
        <f>IF(C639=0,"-",N639/C639)</f>
        <v>0.36363636363636365</v>
      </c>
      <c r="K639" s="2">
        <f>IF(C639=0,"-",O639/C639)</f>
        <v>0.54545454545454541</v>
      </c>
      <c r="L639" s="2">
        <f>IF(C639=0,"-",P639/C639)</f>
        <v>0</v>
      </c>
      <c r="M639" s="2">
        <f>IF(C639=0,"-",(1-J639-K639-L639))</f>
        <v>9.0909090909090939E-2</v>
      </c>
      <c r="N639" s="63">
        <v>8</v>
      </c>
      <c r="O639" s="63">
        <v>12</v>
      </c>
      <c r="P639" s="63">
        <v>0</v>
      </c>
      <c r="Q639" s="63">
        <v>2</v>
      </c>
      <c r="R639" s="63">
        <v>0</v>
      </c>
      <c r="S639" s="63">
        <v>0</v>
      </c>
      <c r="T639" s="67"/>
      <c r="U639" s="63"/>
      <c r="V639" s="63"/>
      <c r="W639" s="63">
        <f t="shared" si="179"/>
        <v>0</v>
      </c>
      <c r="X639" s="63"/>
      <c r="Y639" s="63"/>
      <c r="Z639" s="63"/>
      <c r="AA639" s="63"/>
      <c r="AB639" s="63"/>
      <c r="AE639" s="8">
        <v>0</v>
      </c>
      <c r="AT639" t="str">
        <f t="shared" si="184"/>
        <v>T17 R3 Van Buren Cove</v>
      </c>
      <c r="AU639" t="s">
        <v>2830</v>
      </c>
      <c r="AV639">
        <v>2</v>
      </c>
      <c r="AX639" s="114">
        <v>23</v>
      </c>
      <c r="AY639" s="116">
        <v>3</v>
      </c>
      <c r="BA639" s="142">
        <v>91703</v>
      </c>
      <c r="BB639" s="120">
        <f t="shared" si="185"/>
        <v>23003</v>
      </c>
      <c r="BC639" t="s">
        <v>957</v>
      </c>
      <c r="BD639">
        <f t="shared" si="186"/>
        <v>2391703</v>
      </c>
      <c r="BE639" s="1">
        <v>2</v>
      </c>
      <c r="BS639" s="63">
        <v>0</v>
      </c>
      <c r="CK639" s="1" t="s">
        <v>4185</v>
      </c>
    </row>
    <row r="640" spans="1:89" hidden="1" outlineLevel="1">
      <c r="A640" s="34" t="s">
        <v>3722</v>
      </c>
      <c r="B640" s="8" t="s">
        <v>1697</v>
      </c>
      <c r="C640" s="1">
        <f t="shared" si="187"/>
        <v>5</v>
      </c>
      <c r="D640" s="5">
        <f>IF(N640&gt;0, RANK(N640,(N640:P640,Q640:AE640)),0)</f>
        <v>0</v>
      </c>
      <c r="E640" s="5">
        <f>IF(O640&gt;0,RANK(O640,(N640:P640,Q640:AE640)),0)</f>
        <v>1</v>
      </c>
      <c r="F640" s="5">
        <f t="shared" si="188"/>
        <v>0</v>
      </c>
      <c r="G640" s="1">
        <f t="shared" si="189"/>
        <v>5</v>
      </c>
      <c r="H640" s="2">
        <f t="shared" si="190"/>
        <v>1</v>
      </c>
      <c r="I640" s="6"/>
      <c r="J640" s="2">
        <f t="shared" si="191"/>
        <v>0</v>
      </c>
      <c r="K640" s="2">
        <f t="shared" si="192"/>
        <v>1</v>
      </c>
      <c r="L640" s="2">
        <f t="shared" si="193"/>
        <v>0</v>
      </c>
      <c r="M640" s="2">
        <f t="shared" si="194"/>
        <v>0</v>
      </c>
      <c r="N640" s="63">
        <v>0</v>
      </c>
      <c r="O640" s="63">
        <v>5</v>
      </c>
      <c r="P640" s="63">
        <v>0</v>
      </c>
      <c r="Q640" s="63">
        <v>0</v>
      </c>
      <c r="R640" s="63">
        <v>0</v>
      </c>
      <c r="S640" s="63">
        <v>0</v>
      </c>
      <c r="T640" s="67"/>
      <c r="U640" s="63"/>
      <c r="V640" s="63"/>
      <c r="W640" s="63">
        <f t="shared" si="179"/>
        <v>0</v>
      </c>
      <c r="X640" s="63"/>
      <c r="Y640" s="63"/>
      <c r="Z640" s="63"/>
      <c r="AA640" s="63"/>
      <c r="AB640" s="63"/>
      <c r="AE640" s="8">
        <v>0</v>
      </c>
      <c r="AT640" t="str">
        <f t="shared" si="184"/>
        <v>T22 MD</v>
      </c>
      <c r="AU640" t="s">
        <v>597</v>
      </c>
      <c r="AV640">
        <v>2</v>
      </c>
      <c r="AX640" s="114">
        <v>23</v>
      </c>
      <c r="AY640" s="116">
        <v>9</v>
      </c>
      <c r="BA640" s="142">
        <v>93022</v>
      </c>
      <c r="BB640" s="120">
        <f t="shared" si="185"/>
        <v>23009</v>
      </c>
      <c r="BC640" t="s">
        <v>957</v>
      </c>
      <c r="BD640">
        <f t="shared" si="186"/>
        <v>2393022</v>
      </c>
      <c r="BE640" s="1">
        <v>0</v>
      </c>
      <c r="BS640" s="63">
        <v>0</v>
      </c>
      <c r="CK640" s="1" t="s">
        <v>4186</v>
      </c>
    </row>
    <row r="641" spans="1:89" hidden="1" outlineLevel="1">
      <c r="A641" s="34" t="s">
        <v>3724</v>
      </c>
      <c r="B641" s="8"/>
      <c r="C641" s="1"/>
      <c r="D641" s="5"/>
      <c r="E641" s="5"/>
      <c r="F641" s="5"/>
      <c r="G641" s="1"/>
      <c r="I641" s="6"/>
      <c r="J641" s="2"/>
      <c r="K641" s="2"/>
      <c r="L641" s="2"/>
      <c r="M641" s="2"/>
      <c r="N641" s="63">
        <v>0</v>
      </c>
      <c r="O641" s="63">
        <v>3</v>
      </c>
      <c r="P641" s="63">
        <v>0</v>
      </c>
      <c r="Q641" s="63">
        <v>0</v>
      </c>
      <c r="R641" s="63">
        <v>0</v>
      </c>
      <c r="S641" s="63">
        <v>0</v>
      </c>
      <c r="T641" s="67"/>
      <c r="U641" s="63"/>
      <c r="V641" s="63"/>
      <c r="W641" s="63"/>
      <c r="X641" s="63"/>
      <c r="Y641" s="63"/>
      <c r="Z641" s="63"/>
      <c r="AA641" s="63"/>
      <c r="AB641" s="63"/>
      <c r="AE641" s="8">
        <v>0</v>
      </c>
      <c r="AT641" t="str">
        <f t="shared" si="184"/>
        <v>T26 ED BPP</v>
      </c>
      <c r="AU641" t="s">
        <v>692</v>
      </c>
      <c r="AV641">
        <v>2</v>
      </c>
      <c r="AX641" s="114">
        <v>23</v>
      </c>
      <c r="AY641" s="116">
        <v>29</v>
      </c>
      <c r="BA641" s="142">
        <v>93026</v>
      </c>
      <c r="BB641" s="120">
        <f t="shared" si="185"/>
        <v>23029</v>
      </c>
      <c r="BC641" t="s">
        <v>957</v>
      </c>
      <c r="BD641">
        <f t="shared" si="186"/>
        <v>2393026</v>
      </c>
      <c r="BE641" s="1">
        <v>0</v>
      </c>
      <c r="BS641" s="63">
        <v>0</v>
      </c>
      <c r="CK641" s="1" t="s">
        <v>4187</v>
      </c>
    </row>
    <row r="642" spans="1:89" hidden="1" outlineLevel="1">
      <c r="A642" t="s">
        <v>2368</v>
      </c>
      <c r="B642" s="8" t="s">
        <v>1697</v>
      </c>
      <c r="C642" s="1">
        <f t="shared" si="178"/>
        <v>37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 t="shared" si="173"/>
        <v>0</v>
      </c>
      <c r="G642" s="1">
        <f t="shared" si="180"/>
        <v>9</v>
      </c>
      <c r="H642" s="2">
        <f t="shared" si="175"/>
        <v>0.24324324324324326</v>
      </c>
      <c r="I642" s="6"/>
      <c r="J642" s="2">
        <f t="shared" si="181"/>
        <v>0.35135135135135137</v>
      </c>
      <c r="K642" s="2">
        <f t="shared" si="182"/>
        <v>0.59459459459459463</v>
      </c>
      <c r="L642" s="2">
        <f t="shared" si="183"/>
        <v>0</v>
      </c>
      <c r="M642" s="2">
        <f t="shared" si="174"/>
        <v>5.4054054054054057E-2</v>
      </c>
      <c r="N642" s="63">
        <v>13</v>
      </c>
      <c r="O642" s="63">
        <v>22</v>
      </c>
      <c r="P642" s="63">
        <v>0</v>
      </c>
      <c r="Q642" s="63">
        <v>2</v>
      </c>
      <c r="R642" s="63">
        <v>0</v>
      </c>
      <c r="S642" s="63">
        <v>0</v>
      </c>
      <c r="T642" s="67"/>
      <c r="U642" s="63"/>
      <c r="V642" s="63"/>
      <c r="W642" s="63">
        <f t="shared" ref="W642:W673" si="195">BS642</f>
        <v>0</v>
      </c>
      <c r="X642" s="63"/>
      <c r="Y642" s="63"/>
      <c r="Z642" s="63"/>
      <c r="AA642" s="63"/>
      <c r="AB642" s="63"/>
      <c r="AE642" s="8">
        <v>0</v>
      </c>
      <c r="AT642" t="str">
        <f t="shared" si="177"/>
        <v>Talmadge</v>
      </c>
      <c r="AU642" t="s">
        <v>692</v>
      </c>
      <c r="AV642">
        <v>2</v>
      </c>
      <c r="AX642" s="114">
        <v>23</v>
      </c>
      <c r="AY642" s="116">
        <v>29</v>
      </c>
      <c r="AZ642" s="116">
        <v>200</v>
      </c>
      <c r="BA642" s="120">
        <v>75770</v>
      </c>
      <c r="BB642" s="120">
        <f t="shared" si="176"/>
        <v>23029</v>
      </c>
      <c r="BC642" t="s">
        <v>1472</v>
      </c>
      <c r="BD642">
        <f t="shared" ref="BD642:BD721" si="196">AX642*100000+BA642</f>
        <v>2375770</v>
      </c>
      <c r="BE642" s="1">
        <v>3</v>
      </c>
      <c r="BI642">
        <v>38.9</v>
      </c>
      <c r="BJ642">
        <v>1.19</v>
      </c>
      <c r="BK642">
        <v>37.71</v>
      </c>
      <c r="BS642" s="63">
        <v>0</v>
      </c>
      <c r="CK642" s="1" t="s">
        <v>4188</v>
      </c>
    </row>
    <row r="643" spans="1:89" hidden="1" outlineLevel="1">
      <c r="A643" t="s">
        <v>3264</v>
      </c>
      <c r="B643" s="8" t="s">
        <v>1697</v>
      </c>
      <c r="C643" s="1">
        <f t="shared" si="178"/>
        <v>4</v>
      </c>
      <c r="D643" s="5">
        <f>IF(N643&gt;0, RANK(N643,(N643:P643,Q643:AE643)),0)</f>
        <v>1</v>
      </c>
      <c r="E643" s="5">
        <f>IF(O643&gt;0,RANK(O643,(N643:P643,Q643:AE643)),0)</f>
        <v>0</v>
      </c>
      <c r="F643" s="5">
        <f>IF(P643&gt;0,RANK(P643,(N643:AE643)),0)</f>
        <v>0</v>
      </c>
      <c r="G643" s="1">
        <f>IF(C643&gt;0,MAX(N643:P643)-LARGE(N643:P643,2),0)</f>
        <v>4</v>
      </c>
      <c r="H643" s="2">
        <f>IF(C643&gt;0,G643/C643,0)</f>
        <v>1</v>
      </c>
      <c r="I643" s="6"/>
      <c r="J643" s="2">
        <f>IF(C643=0,"-",N643/C643)</f>
        <v>1</v>
      </c>
      <c r="K643" s="2">
        <f>IF(C643=0,"-",O643/C643)</f>
        <v>0</v>
      </c>
      <c r="L643" s="2">
        <f>IF(C643=0,"-",P643/C643)</f>
        <v>0</v>
      </c>
      <c r="M643" s="2">
        <f>IF(C643=0,"-",(1-J643-K643-L643))</f>
        <v>0</v>
      </c>
      <c r="N643" s="63">
        <v>4</v>
      </c>
      <c r="O643" s="63">
        <v>0</v>
      </c>
      <c r="P643" s="63">
        <v>0</v>
      </c>
      <c r="Q643" s="63">
        <v>0</v>
      </c>
      <c r="R643" s="63">
        <v>0</v>
      </c>
      <c r="S643" s="63">
        <v>0</v>
      </c>
      <c r="T643" s="67"/>
      <c r="U643" s="63"/>
      <c r="V643" s="63"/>
      <c r="W643" s="63">
        <f t="shared" si="195"/>
        <v>0</v>
      </c>
      <c r="X643" s="63"/>
      <c r="Y643" s="63"/>
      <c r="Z643" s="63"/>
      <c r="AA643" s="63"/>
      <c r="AB643" s="63"/>
      <c r="AE643" s="8">
        <v>0</v>
      </c>
      <c r="AT643" t="str">
        <f t="shared" si="177"/>
        <v>TD R2 WELS</v>
      </c>
      <c r="AU643" t="s">
        <v>2830</v>
      </c>
      <c r="AV643">
        <v>2</v>
      </c>
      <c r="AX643" s="114">
        <v>23</v>
      </c>
      <c r="AY643" s="116">
        <v>3</v>
      </c>
      <c r="BA643" s="142">
        <v>89702</v>
      </c>
      <c r="BB643" s="120">
        <f t="shared" si="176"/>
        <v>23003</v>
      </c>
      <c r="BC643" t="s">
        <v>957</v>
      </c>
      <c r="BD643">
        <f t="shared" si="196"/>
        <v>2389702</v>
      </c>
      <c r="BE643" s="1">
        <v>0</v>
      </c>
      <c r="BS643" s="63">
        <v>0</v>
      </c>
      <c r="CK643" s="1" t="s">
        <v>4189</v>
      </c>
    </row>
    <row r="644" spans="1:89" hidden="1" outlineLevel="1">
      <c r="A644" t="s">
        <v>3210</v>
      </c>
      <c r="B644" s="8" t="s">
        <v>1697</v>
      </c>
      <c r="C644" s="1">
        <f t="shared" si="178"/>
        <v>321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 t="shared" si="173"/>
        <v>0</v>
      </c>
      <c r="G644" s="1">
        <f t="shared" si="180"/>
        <v>8</v>
      </c>
      <c r="H644" s="2">
        <f t="shared" si="175"/>
        <v>2.4922118380062305E-2</v>
      </c>
      <c r="I644" s="6"/>
      <c r="J644" s="2">
        <f t="shared" si="181"/>
        <v>0.47975077881619937</v>
      </c>
      <c r="K644" s="2">
        <f t="shared" si="182"/>
        <v>0.45482866043613707</v>
      </c>
      <c r="L644" s="2">
        <f t="shared" si="183"/>
        <v>0</v>
      </c>
      <c r="M644" s="2">
        <f t="shared" si="174"/>
        <v>6.5420560747663503E-2</v>
      </c>
      <c r="N644" s="63">
        <v>154</v>
      </c>
      <c r="O644" s="63">
        <v>146</v>
      </c>
      <c r="P644" s="63">
        <v>0</v>
      </c>
      <c r="Q644" s="63">
        <v>15</v>
      </c>
      <c r="R644" s="63">
        <v>6</v>
      </c>
      <c r="S644" s="63">
        <v>0</v>
      </c>
      <c r="T644" s="67"/>
      <c r="U644" s="63"/>
      <c r="V644" s="63"/>
      <c r="W644" s="63">
        <f t="shared" si="195"/>
        <v>0</v>
      </c>
      <c r="X644" s="63"/>
      <c r="Y644" s="63"/>
      <c r="Z644" s="63"/>
      <c r="AA644" s="63"/>
      <c r="AB644" s="63"/>
      <c r="AE644" s="8">
        <v>0</v>
      </c>
      <c r="AT644" t="str">
        <f t="shared" si="177"/>
        <v>Temple</v>
      </c>
      <c r="AU644" t="s">
        <v>1138</v>
      </c>
      <c r="AV644">
        <v>2</v>
      </c>
      <c r="AX644" s="114">
        <v>23</v>
      </c>
      <c r="AY644" s="116">
        <v>7</v>
      </c>
      <c r="AZ644" s="116">
        <v>95</v>
      </c>
      <c r="BA644" s="120">
        <v>75980</v>
      </c>
      <c r="BB644" s="120">
        <f t="shared" si="176"/>
        <v>23007</v>
      </c>
      <c r="BC644" t="s">
        <v>1472</v>
      </c>
      <c r="BD644">
        <f t="shared" si="196"/>
        <v>2375980</v>
      </c>
      <c r="BE644" s="1">
        <v>7</v>
      </c>
      <c r="BI644">
        <v>35.78</v>
      </c>
      <c r="BJ644">
        <v>0.22</v>
      </c>
      <c r="BK644">
        <v>35.56</v>
      </c>
      <c r="BS644" s="63">
        <v>0</v>
      </c>
      <c r="CK644" s="1" t="s">
        <v>4190</v>
      </c>
    </row>
    <row r="645" spans="1:89" hidden="1" outlineLevel="1">
      <c r="A645" t="s">
        <v>1664</v>
      </c>
      <c r="B645" s="8" t="s">
        <v>1697</v>
      </c>
      <c r="C645" s="1">
        <f t="shared" si="178"/>
        <v>40</v>
      </c>
      <c r="D645" s="5">
        <f>IF(N645&gt;0, RANK(N645,(N645:P645,Q645:AE645)),0)</f>
        <v>3</v>
      </c>
      <c r="E645" s="5">
        <f>IF(O645&gt;0,RANK(O645,(N645:P645,Q645:AE645)),0)</f>
        <v>1</v>
      </c>
      <c r="F645" s="5">
        <f t="shared" si="173"/>
        <v>0</v>
      </c>
      <c r="G645" s="1">
        <f t="shared" si="180"/>
        <v>12</v>
      </c>
      <c r="H645" s="2">
        <f t="shared" si="175"/>
        <v>0.3</v>
      </c>
      <c r="I645" s="6"/>
      <c r="J645" s="2">
        <f t="shared" si="181"/>
        <v>0.22500000000000001</v>
      </c>
      <c r="K645" s="2">
        <f t="shared" si="182"/>
        <v>0.52500000000000002</v>
      </c>
      <c r="L645" s="2">
        <f t="shared" si="183"/>
        <v>0</v>
      </c>
      <c r="M645" s="2">
        <f t="shared" si="174"/>
        <v>0.25</v>
      </c>
      <c r="N645" s="63">
        <v>9</v>
      </c>
      <c r="O645" s="63">
        <v>21</v>
      </c>
      <c r="P645" s="63">
        <v>0</v>
      </c>
      <c r="Q645" s="63">
        <v>10</v>
      </c>
      <c r="R645" s="63">
        <v>0</v>
      </c>
      <c r="S645" s="63">
        <v>0</v>
      </c>
      <c r="T645" s="67"/>
      <c r="U645" s="63"/>
      <c r="V645" s="63"/>
      <c r="W645" s="63">
        <f t="shared" si="195"/>
        <v>0</v>
      </c>
      <c r="X645" s="63"/>
      <c r="Y645" s="63"/>
      <c r="Z645" s="63"/>
      <c r="AA645" s="63"/>
      <c r="AB645" s="63"/>
      <c r="AE645" s="8">
        <v>0</v>
      </c>
      <c r="AT645" t="str">
        <f t="shared" si="177"/>
        <v>The Forks</v>
      </c>
      <c r="AU645" t="s">
        <v>1787</v>
      </c>
      <c r="AV645">
        <v>2</v>
      </c>
      <c r="AX645" s="114">
        <v>23</v>
      </c>
      <c r="AY645" s="116">
        <v>25</v>
      </c>
      <c r="AZ645" s="116">
        <v>160</v>
      </c>
      <c r="BA645" s="120">
        <v>76190</v>
      </c>
      <c r="BB645" s="120">
        <f t="shared" si="176"/>
        <v>23025</v>
      </c>
      <c r="BC645" t="s">
        <v>3075</v>
      </c>
      <c r="BD645">
        <f t="shared" si="196"/>
        <v>2376190</v>
      </c>
      <c r="BE645" s="1">
        <v>4</v>
      </c>
      <c r="BI645">
        <v>41.47</v>
      </c>
      <c r="BJ645">
        <v>1.85</v>
      </c>
      <c r="BK645">
        <v>39.619999999999997</v>
      </c>
      <c r="BS645" s="63">
        <v>0</v>
      </c>
      <c r="CK645" s="1" t="s">
        <v>4191</v>
      </c>
    </row>
    <row r="646" spans="1:89" hidden="1" outlineLevel="1">
      <c r="A646" t="s">
        <v>2522</v>
      </c>
      <c r="B646" s="8" t="s">
        <v>1697</v>
      </c>
      <c r="C646" s="1">
        <f t="shared" si="178"/>
        <v>1467</v>
      </c>
      <c r="D646" s="5">
        <f>IF(N646&gt;0, RANK(N646,(N646:P646,Q646:AE646)),0)</f>
        <v>1</v>
      </c>
      <c r="E646" s="5">
        <f>IF(O646&gt;0,RANK(O646,(N646:P646,Q646:AE646)),0)</f>
        <v>2</v>
      </c>
      <c r="F646" s="5">
        <f t="shared" si="173"/>
        <v>0</v>
      </c>
      <c r="G646" s="1">
        <f t="shared" si="180"/>
        <v>204</v>
      </c>
      <c r="H646" s="2">
        <f t="shared" si="175"/>
        <v>0.13905930470347649</v>
      </c>
      <c r="I646" s="6"/>
      <c r="J646" s="2">
        <f t="shared" si="181"/>
        <v>0.53510565780504427</v>
      </c>
      <c r="K646" s="2">
        <f t="shared" si="182"/>
        <v>0.39604635310156783</v>
      </c>
      <c r="L646" s="2">
        <f t="shared" si="183"/>
        <v>0</v>
      </c>
      <c r="M646" s="2">
        <f t="shared" si="174"/>
        <v>6.8847989093387907E-2</v>
      </c>
      <c r="N646" s="63">
        <v>785</v>
      </c>
      <c r="O646" s="63">
        <v>581</v>
      </c>
      <c r="P646" s="63">
        <v>0</v>
      </c>
      <c r="Q646" s="63">
        <v>63</v>
      </c>
      <c r="R646" s="63">
        <v>38</v>
      </c>
      <c r="S646" s="63">
        <v>0</v>
      </c>
      <c r="T646" s="67"/>
      <c r="U646" s="63"/>
      <c r="V646" s="63"/>
      <c r="W646" s="63">
        <f t="shared" si="195"/>
        <v>0</v>
      </c>
      <c r="X646" s="63"/>
      <c r="Y646" s="63"/>
      <c r="Z646" s="63"/>
      <c r="AA646" s="63"/>
      <c r="AB646" s="63"/>
      <c r="AE646" s="8">
        <v>0</v>
      </c>
      <c r="AT646" t="str">
        <f t="shared" si="177"/>
        <v>Thomaston</v>
      </c>
      <c r="AU646" t="s">
        <v>1729</v>
      </c>
      <c r="AV646">
        <v>1</v>
      </c>
      <c r="AX646" s="114">
        <v>23</v>
      </c>
      <c r="AY646" s="116">
        <v>13</v>
      </c>
      <c r="AZ646" s="116">
        <v>70</v>
      </c>
      <c r="BA646" s="120">
        <v>76365</v>
      </c>
      <c r="BB646" s="120">
        <f t="shared" si="176"/>
        <v>23013</v>
      </c>
      <c r="BC646" t="s">
        <v>1472</v>
      </c>
      <c r="BD646">
        <f t="shared" si="196"/>
        <v>2376365</v>
      </c>
      <c r="BE646" s="1">
        <v>49</v>
      </c>
      <c r="BI646">
        <v>11.54</v>
      </c>
      <c r="BJ646">
        <v>0.62</v>
      </c>
      <c r="BK646">
        <v>10.92</v>
      </c>
      <c r="BS646" s="63">
        <v>0</v>
      </c>
      <c r="CK646" s="1" t="s">
        <v>4192</v>
      </c>
    </row>
    <row r="647" spans="1:89" hidden="1" outlineLevel="1">
      <c r="A647" t="s">
        <v>2614</v>
      </c>
      <c r="B647" s="8" t="s">
        <v>1697</v>
      </c>
      <c r="C647" s="1">
        <f t="shared" si="178"/>
        <v>429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 t="shared" si="173"/>
        <v>5</v>
      </c>
      <c r="G647" s="1">
        <f t="shared" si="180"/>
        <v>2</v>
      </c>
      <c r="H647" s="2">
        <f t="shared" si="175"/>
        <v>4.662004662004662E-3</v>
      </c>
      <c r="I647" s="6"/>
      <c r="J647" s="2">
        <f t="shared" si="181"/>
        <v>0.44055944055944057</v>
      </c>
      <c r="K647" s="2">
        <f t="shared" si="182"/>
        <v>0.44522144522144524</v>
      </c>
      <c r="L647" s="2">
        <f t="shared" si="183"/>
        <v>6.993006993006993E-3</v>
      </c>
      <c r="M647" s="2">
        <f t="shared" si="174"/>
        <v>0.10722610722610713</v>
      </c>
      <c r="N647" s="63">
        <v>189</v>
      </c>
      <c r="O647" s="63">
        <v>191</v>
      </c>
      <c r="P647" s="63">
        <v>3</v>
      </c>
      <c r="Q647" s="63">
        <v>24</v>
      </c>
      <c r="R647" s="63">
        <v>19</v>
      </c>
      <c r="S647" s="63">
        <v>0</v>
      </c>
      <c r="T647" s="67"/>
      <c r="U647" s="63"/>
      <c r="V647" s="63"/>
      <c r="W647" s="63">
        <f t="shared" si="195"/>
        <v>0</v>
      </c>
      <c r="X647" s="63"/>
      <c r="Y647" s="63"/>
      <c r="Z647" s="63"/>
      <c r="AA647" s="63"/>
      <c r="AB647" s="63"/>
      <c r="AE647" s="8">
        <v>3</v>
      </c>
      <c r="AT647" t="str">
        <f t="shared" si="177"/>
        <v>Thorndike</v>
      </c>
      <c r="AU647" t="s">
        <v>217</v>
      </c>
      <c r="AV647">
        <v>2</v>
      </c>
      <c r="AX647" s="114">
        <v>23</v>
      </c>
      <c r="AY647" s="116">
        <v>27</v>
      </c>
      <c r="AZ647" s="116">
        <v>110</v>
      </c>
      <c r="BA647" s="120">
        <v>76610</v>
      </c>
      <c r="BB647" s="120">
        <f t="shared" si="176"/>
        <v>23027</v>
      </c>
      <c r="BC647" t="s">
        <v>1472</v>
      </c>
      <c r="BD647">
        <f t="shared" si="196"/>
        <v>2376610</v>
      </c>
      <c r="BE647" s="1">
        <v>13</v>
      </c>
      <c r="BI647">
        <v>25.28</v>
      </c>
      <c r="BJ647">
        <v>0</v>
      </c>
      <c r="BK647">
        <v>25.28</v>
      </c>
      <c r="BS647" s="63">
        <v>0</v>
      </c>
      <c r="CK647" s="1" t="s">
        <v>4193</v>
      </c>
    </row>
    <row r="648" spans="1:89" hidden="1" outlineLevel="1">
      <c r="A648" t="s">
        <v>900</v>
      </c>
      <c r="B648" s="8" t="s">
        <v>1697</v>
      </c>
      <c r="C648" s="1">
        <f t="shared" si="178"/>
        <v>120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 t="shared" ref="F648:F705" si="197">IF(P648&gt;0,RANK(P648,(N648:AE648)),0)</f>
        <v>0</v>
      </c>
      <c r="G648" s="1">
        <f t="shared" si="180"/>
        <v>75</v>
      </c>
      <c r="H648" s="2">
        <f t="shared" si="175"/>
        <v>0.625</v>
      </c>
      <c r="I648" s="6"/>
      <c r="J648" s="2">
        <f t="shared" si="181"/>
        <v>0.16666666666666666</v>
      </c>
      <c r="K648" s="2">
        <f t="shared" si="182"/>
        <v>0.79166666666666663</v>
      </c>
      <c r="L648" s="2">
        <f t="shared" si="183"/>
        <v>0</v>
      </c>
      <c r="M648" s="2">
        <f t="shared" ref="M648:M705" si="198">IF(C648=0,"-",(1-J648-K648-L648))</f>
        <v>4.1666666666666741E-2</v>
      </c>
      <c r="N648" s="63">
        <v>20</v>
      </c>
      <c r="O648" s="63">
        <v>95</v>
      </c>
      <c r="P648" s="63">
        <v>0</v>
      </c>
      <c r="Q648" s="63">
        <v>2</v>
      </c>
      <c r="R648" s="63">
        <v>3</v>
      </c>
      <c r="S648" s="63">
        <v>0</v>
      </c>
      <c r="T648" s="67"/>
      <c r="U648" s="63"/>
      <c r="V648" s="63"/>
      <c r="W648" s="63">
        <f t="shared" si="195"/>
        <v>0</v>
      </c>
      <c r="X648" s="63"/>
      <c r="Y648" s="63"/>
      <c r="Z648" s="63"/>
      <c r="AA648" s="63"/>
      <c r="AB648" s="63"/>
      <c r="AE648" s="8">
        <v>0</v>
      </c>
      <c r="AT648" t="str">
        <f t="shared" si="177"/>
        <v>Topsfield</v>
      </c>
      <c r="AU648" t="s">
        <v>692</v>
      </c>
      <c r="AV648">
        <v>2</v>
      </c>
      <c r="AX648" s="114">
        <v>23</v>
      </c>
      <c r="AY648" s="116">
        <v>29</v>
      </c>
      <c r="AZ648" s="116">
        <v>202</v>
      </c>
      <c r="BA648" s="120">
        <v>76895</v>
      </c>
      <c r="BB648" s="120">
        <f t="shared" si="176"/>
        <v>23029</v>
      </c>
      <c r="BC648" t="s">
        <v>1472</v>
      </c>
      <c r="BD648">
        <f t="shared" si="196"/>
        <v>2376895</v>
      </c>
      <c r="BE648" s="1">
        <v>1</v>
      </c>
      <c r="BI648">
        <v>55.08</v>
      </c>
      <c r="BJ648">
        <v>4.3600000000000003</v>
      </c>
      <c r="BK648">
        <v>50.72</v>
      </c>
      <c r="BS648" s="63">
        <v>0</v>
      </c>
      <c r="CK648" s="1" t="s">
        <v>4194</v>
      </c>
    </row>
    <row r="649" spans="1:89" hidden="1" outlineLevel="1">
      <c r="A649" t="s">
        <v>977</v>
      </c>
      <c r="B649" s="8" t="s">
        <v>1697</v>
      </c>
      <c r="C649" s="1">
        <f t="shared" si="178"/>
        <v>5889</v>
      </c>
      <c r="D649" s="5">
        <f>IF(N649&gt;0, RANK(N649,(N649:P649,Q649:AE649)),0)</f>
        <v>1</v>
      </c>
      <c r="E649" s="5">
        <f>IF(O649&gt;0,RANK(O649,(N649:P649,Q649:AE649)),0)</f>
        <v>2</v>
      </c>
      <c r="F649" s="5">
        <f t="shared" si="197"/>
        <v>5</v>
      </c>
      <c r="G649" s="1">
        <f t="shared" si="180"/>
        <v>781</v>
      </c>
      <c r="H649" s="2">
        <f t="shared" si="175"/>
        <v>0.13262013924265581</v>
      </c>
      <c r="I649" s="6"/>
      <c r="J649" s="2">
        <f t="shared" si="181"/>
        <v>0.52793343521820346</v>
      </c>
      <c r="K649" s="2">
        <f t="shared" si="182"/>
        <v>0.39531329597554765</v>
      </c>
      <c r="L649" s="2">
        <f t="shared" si="183"/>
        <v>1.0188487009679063E-3</v>
      </c>
      <c r="M649" s="2">
        <f t="shared" si="198"/>
        <v>7.5734420105280975E-2</v>
      </c>
      <c r="N649" s="63">
        <v>3109</v>
      </c>
      <c r="O649" s="63">
        <v>2328</v>
      </c>
      <c r="P649" s="63">
        <v>6</v>
      </c>
      <c r="Q649" s="63">
        <v>354</v>
      </c>
      <c r="R649" s="63">
        <v>91</v>
      </c>
      <c r="S649" s="63">
        <v>0</v>
      </c>
      <c r="T649" s="67"/>
      <c r="U649" s="63"/>
      <c r="V649" s="63"/>
      <c r="W649" s="63">
        <f t="shared" si="195"/>
        <v>0</v>
      </c>
      <c r="X649" s="63"/>
      <c r="Y649" s="63"/>
      <c r="Z649" s="63"/>
      <c r="AA649" s="63"/>
      <c r="AB649" s="63"/>
      <c r="AE649" s="8">
        <v>1</v>
      </c>
      <c r="AT649" t="str">
        <f t="shared" si="177"/>
        <v>Topsham</v>
      </c>
      <c r="AU649" t="s">
        <v>1283</v>
      </c>
      <c r="AV649">
        <v>1</v>
      </c>
      <c r="AX649" s="114">
        <v>23</v>
      </c>
      <c r="AY649" s="116">
        <v>23</v>
      </c>
      <c r="AZ649" s="116">
        <v>40</v>
      </c>
      <c r="BA649" s="120">
        <v>76960</v>
      </c>
      <c r="BB649" s="120">
        <f t="shared" si="176"/>
        <v>23023</v>
      </c>
      <c r="BC649" t="s">
        <v>1472</v>
      </c>
      <c r="BD649">
        <f t="shared" si="196"/>
        <v>2376960</v>
      </c>
      <c r="BE649" s="1">
        <v>216</v>
      </c>
      <c r="BI649">
        <v>35.43</v>
      </c>
      <c r="BJ649">
        <v>3.41</v>
      </c>
      <c r="BK649">
        <v>32.020000000000003</v>
      </c>
      <c r="BS649" s="63">
        <v>0</v>
      </c>
      <c r="CK649" s="159" t="s">
        <v>4195</v>
      </c>
    </row>
    <row r="650" spans="1:89" hidden="1" outlineLevel="1">
      <c r="A650" t="s">
        <v>1261</v>
      </c>
      <c r="B650" s="8" t="s">
        <v>1697</v>
      </c>
      <c r="C650" s="1">
        <f t="shared" si="178"/>
        <v>922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 t="shared" si="197"/>
        <v>5</v>
      </c>
      <c r="G650" s="1">
        <f t="shared" si="180"/>
        <v>96</v>
      </c>
      <c r="H650" s="2">
        <f t="shared" si="175"/>
        <v>0.10412147505422993</v>
      </c>
      <c r="I650" s="6"/>
      <c r="J650" s="2">
        <f t="shared" si="181"/>
        <v>0.51735357917570501</v>
      </c>
      <c r="K650" s="2">
        <f t="shared" si="182"/>
        <v>0.41323210412147504</v>
      </c>
      <c r="L650" s="2">
        <f t="shared" si="183"/>
        <v>1.0845986984815619E-3</v>
      </c>
      <c r="M650" s="2">
        <f t="shared" si="198"/>
        <v>6.8329718004338388E-2</v>
      </c>
      <c r="N650" s="63">
        <v>477</v>
      </c>
      <c r="O650" s="63">
        <v>381</v>
      </c>
      <c r="P650" s="63">
        <v>1</v>
      </c>
      <c r="Q650" s="63">
        <v>44</v>
      </c>
      <c r="R650" s="63">
        <v>19</v>
      </c>
      <c r="S650" s="63">
        <v>0</v>
      </c>
      <c r="T650" s="67"/>
      <c r="U650" s="63"/>
      <c r="V650" s="63"/>
      <c r="W650" s="63">
        <f t="shared" si="195"/>
        <v>0</v>
      </c>
      <c r="X650" s="63"/>
      <c r="Y650" s="63"/>
      <c r="Z650" s="63"/>
      <c r="AA650" s="63"/>
      <c r="AB650" s="63"/>
      <c r="AE650" s="8">
        <v>0</v>
      </c>
      <c r="AT650" t="str">
        <f t="shared" si="177"/>
        <v>Tremont</v>
      </c>
      <c r="AU650" t="s">
        <v>597</v>
      </c>
      <c r="AV650">
        <v>2</v>
      </c>
      <c r="AX650" s="114">
        <v>23</v>
      </c>
      <c r="AY650" s="116">
        <v>9</v>
      </c>
      <c r="AZ650" s="116">
        <v>165</v>
      </c>
      <c r="BA650" s="120">
        <v>77345</v>
      </c>
      <c r="BB650" s="120">
        <f t="shared" si="176"/>
        <v>23009</v>
      </c>
      <c r="BC650" t="s">
        <v>1472</v>
      </c>
      <c r="BD650">
        <f t="shared" si="196"/>
        <v>2377345</v>
      </c>
      <c r="BE650" s="1">
        <v>21</v>
      </c>
      <c r="BI650">
        <v>52.39</v>
      </c>
      <c r="BJ650">
        <v>35.54</v>
      </c>
      <c r="BK650">
        <v>16.86</v>
      </c>
      <c r="BS650" s="63">
        <v>0</v>
      </c>
      <c r="CK650" s="1" t="s">
        <v>4196</v>
      </c>
    </row>
    <row r="651" spans="1:89" hidden="1" outlineLevel="1">
      <c r="A651" t="s">
        <v>2716</v>
      </c>
      <c r="B651" s="8" t="s">
        <v>1697</v>
      </c>
      <c r="C651" s="1">
        <f t="shared" si="178"/>
        <v>854</v>
      </c>
      <c r="D651" s="5">
        <f>IF(N651&gt;0, RANK(N651,(N651:P651,Q651:AE651)),0)</f>
        <v>1</v>
      </c>
      <c r="E651" s="5">
        <f>IF(O651&gt;0,RANK(O651,(N651:P651,Q651:AE651)),0)</f>
        <v>2</v>
      </c>
      <c r="F651" s="5">
        <f t="shared" si="197"/>
        <v>5</v>
      </c>
      <c r="G651" s="1">
        <f t="shared" si="180"/>
        <v>2</v>
      </c>
      <c r="H651" s="2">
        <f t="shared" si="175"/>
        <v>2.34192037470726E-3</v>
      </c>
      <c r="I651" s="6"/>
      <c r="J651" s="2">
        <f t="shared" si="181"/>
        <v>0.46604215456674475</v>
      </c>
      <c r="K651" s="2">
        <f t="shared" si="182"/>
        <v>0.46370023419203749</v>
      </c>
      <c r="L651" s="2">
        <f t="shared" si="183"/>
        <v>2.34192037470726E-3</v>
      </c>
      <c r="M651" s="2">
        <f t="shared" si="198"/>
        <v>6.7915690866510448E-2</v>
      </c>
      <c r="N651" s="63">
        <v>398</v>
      </c>
      <c r="O651" s="63">
        <v>396</v>
      </c>
      <c r="P651" s="63">
        <v>2</v>
      </c>
      <c r="Q651" s="63">
        <v>42</v>
      </c>
      <c r="R651" s="63">
        <v>15</v>
      </c>
      <c r="S651" s="63">
        <v>1</v>
      </c>
      <c r="T651" s="67"/>
      <c r="U651" s="63"/>
      <c r="V651" s="63"/>
      <c r="W651" s="63">
        <f t="shared" si="195"/>
        <v>0</v>
      </c>
      <c r="X651" s="63"/>
      <c r="Y651" s="63"/>
      <c r="Z651" s="63"/>
      <c r="AA651" s="63"/>
      <c r="AB651" s="63"/>
      <c r="AE651" s="8">
        <v>0</v>
      </c>
      <c r="AT651" t="str">
        <f t="shared" si="177"/>
        <v>Trenton</v>
      </c>
      <c r="AU651" t="s">
        <v>597</v>
      </c>
      <c r="AV651">
        <v>2</v>
      </c>
      <c r="AX651" s="114">
        <v>23</v>
      </c>
      <c r="AY651" s="116">
        <v>9</v>
      </c>
      <c r="AZ651" s="116">
        <v>170</v>
      </c>
      <c r="BA651" s="120">
        <v>77415</v>
      </c>
      <c r="BB651" s="120">
        <f t="shared" si="176"/>
        <v>23009</v>
      </c>
      <c r="BC651" t="s">
        <v>1472</v>
      </c>
      <c r="BD651">
        <f t="shared" si="196"/>
        <v>2377415</v>
      </c>
      <c r="BE651" s="1">
        <v>24</v>
      </c>
      <c r="BI651">
        <v>28.45</v>
      </c>
      <c r="BJ651">
        <v>10.26</v>
      </c>
      <c r="BK651">
        <v>18.190000000000001</v>
      </c>
      <c r="BS651" s="63">
        <v>0</v>
      </c>
      <c r="CK651" s="1" t="s">
        <v>4197</v>
      </c>
    </row>
    <row r="652" spans="1:89" hidden="1" outlineLevel="1">
      <c r="A652" t="s">
        <v>98</v>
      </c>
      <c r="B652" s="8" t="s">
        <v>1697</v>
      </c>
      <c r="C652" s="1">
        <f t="shared" si="178"/>
        <v>556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 t="shared" si="197"/>
        <v>5</v>
      </c>
      <c r="G652" s="1">
        <f t="shared" si="180"/>
        <v>72</v>
      </c>
      <c r="H652" s="2">
        <f t="shared" si="175"/>
        <v>0.12949640287769784</v>
      </c>
      <c r="I652" s="6"/>
      <c r="J652" s="2">
        <f t="shared" si="181"/>
        <v>0.38848920863309355</v>
      </c>
      <c r="K652" s="2">
        <f t="shared" si="182"/>
        <v>0.51798561151079137</v>
      </c>
      <c r="L652" s="2">
        <f t="shared" si="183"/>
        <v>3.5971223021582736E-3</v>
      </c>
      <c r="M652" s="2">
        <f t="shared" si="198"/>
        <v>8.9928057553956803E-2</v>
      </c>
      <c r="N652" s="63">
        <v>216</v>
      </c>
      <c r="O652" s="63">
        <v>288</v>
      </c>
      <c r="P652" s="63">
        <v>2</v>
      </c>
      <c r="Q652" s="63">
        <v>33</v>
      </c>
      <c r="R652" s="63">
        <v>16</v>
      </c>
      <c r="S652" s="63">
        <v>1</v>
      </c>
      <c r="T652" s="67"/>
      <c r="U652" s="63"/>
      <c r="V652" s="63"/>
      <c r="W652" s="63">
        <f t="shared" si="195"/>
        <v>0</v>
      </c>
      <c r="X652" s="63"/>
      <c r="Y652" s="63"/>
      <c r="Z652" s="63"/>
      <c r="AA652" s="63"/>
      <c r="AB652" s="63"/>
      <c r="AE652" s="8">
        <v>0</v>
      </c>
      <c r="AT652" t="str">
        <f t="shared" si="177"/>
        <v>Troy</v>
      </c>
      <c r="AU652" t="s">
        <v>217</v>
      </c>
      <c r="AV652">
        <v>2</v>
      </c>
      <c r="AX652" s="114">
        <v>23</v>
      </c>
      <c r="AY652" s="116">
        <v>27</v>
      </c>
      <c r="AZ652" s="116">
        <v>115</v>
      </c>
      <c r="BA652" s="120">
        <v>77625</v>
      </c>
      <c r="BB652" s="120">
        <f t="shared" si="176"/>
        <v>23027</v>
      </c>
      <c r="BC652" t="s">
        <v>1472</v>
      </c>
      <c r="BD652">
        <f t="shared" si="196"/>
        <v>2377625</v>
      </c>
      <c r="BE652" s="1">
        <v>18</v>
      </c>
      <c r="BI652">
        <v>35.51</v>
      </c>
      <c r="BJ652">
        <v>0.7</v>
      </c>
      <c r="BK652">
        <v>34.82</v>
      </c>
      <c r="BS652" s="63">
        <v>0</v>
      </c>
      <c r="CK652" s="1" t="s">
        <v>4198</v>
      </c>
    </row>
    <row r="653" spans="1:89" hidden="1" outlineLevel="1">
      <c r="A653" t="s">
        <v>1681</v>
      </c>
      <c r="B653" s="8" t="s">
        <v>1697</v>
      </c>
      <c r="C653" s="1">
        <f t="shared" si="178"/>
        <v>3300</v>
      </c>
      <c r="D653" s="5">
        <f>IF(N653&gt;0, RANK(N653,(N653:P653,Q653:AE653)),0)</f>
        <v>2</v>
      </c>
      <c r="E653" s="5">
        <f>IF(O653&gt;0,RANK(O653,(N653:P653,Q653:AE653)),0)</f>
        <v>1</v>
      </c>
      <c r="F653" s="5">
        <f t="shared" si="197"/>
        <v>5</v>
      </c>
      <c r="G653" s="1">
        <f t="shared" si="180"/>
        <v>927</v>
      </c>
      <c r="H653" s="2">
        <f t="shared" si="175"/>
        <v>0.28090909090909089</v>
      </c>
      <c r="I653" s="6"/>
      <c r="J653" s="2">
        <f t="shared" si="181"/>
        <v>0.32818181818181819</v>
      </c>
      <c r="K653" s="2">
        <f t="shared" si="182"/>
        <v>0.60909090909090913</v>
      </c>
      <c r="L653" s="2">
        <f t="shared" si="183"/>
        <v>2.7272727272727275E-3</v>
      </c>
      <c r="M653" s="2">
        <f t="shared" si="198"/>
        <v>6.0000000000000012E-2</v>
      </c>
      <c r="N653" s="63">
        <v>1083</v>
      </c>
      <c r="O653" s="63">
        <v>2010</v>
      </c>
      <c r="P653" s="63">
        <v>9</v>
      </c>
      <c r="Q653" s="63">
        <v>149</v>
      </c>
      <c r="R653" s="63">
        <v>46</v>
      </c>
      <c r="S653" s="63">
        <v>3</v>
      </c>
      <c r="T653" s="67"/>
      <c r="U653" s="63"/>
      <c r="V653" s="63"/>
      <c r="W653" s="63">
        <f t="shared" si="195"/>
        <v>0</v>
      </c>
      <c r="X653" s="63"/>
      <c r="Y653" s="63"/>
      <c r="Z653" s="63"/>
      <c r="AA653" s="63"/>
      <c r="AB653" s="63"/>
      <c r="AE653" s="8">
        <v>0</v>
      </c>
      <c r="AT653" t="str">
        <f t="shared" si="177"/>
        <v>Turner</v>
      </c>
      <c r="AU653" t="s">
        <v>1118</v>
      </c>
      <c r="AV653">
        <v>2</v>
      </c>
      <c r="AX653" s="114">
        <v>23</v>
      </c>
      <c r="AY653" s="116">
        <v>1</v>
      </c>
      <c r="AZ653" s="116">
        <v>60</v>
      </c>
      <c r="BA653" s="120">
        <v>77800</v>
      </c>
      <c r="BB653" s="120">
        <f t="shared" si="176"/>
        <v>23001</v>
      </c>
      <c r="BC653" t="s">
        <v>1472</v>
      </c>
      <c r="BD653">
        <f t="shared" si="196"/>
        <v>2377800</v>
      </c>
      <c r="BE653" s="1">
        <v>83</v>
      </c>
      <c r="BI653">
        <v>62.69</v>
      </c>
      <c r="BJ653">
        <v>3.12</v>
      </c>
      <c r="BK653">
        <v>59.57</v>
      </c>
      <c r="BS653" s="63">
        <v>0</v>
      </c>
      <c r="CK653" s="1" t="s">
        <v>4199</v>
      </c>
    </row>
    <row r="654" spans="1:89" hidden="1" outlineLevel="1">
      <c r="A654" t="s">
        <v>1513</v>
      </c>
      <c r="B654" s="8" t="s">
        <v>1697</v>
      </c>
      <c r="C654" s="1">
        <f t="shared" si="178"/>
        <v>1338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 t="shared" si="197"/>
        <v>5</v>
      </c>
      <c r="G654" s="1">
        <f t="shared" si="180"/>
        <v>83</v>
      </c>
      <c r="H654" s="2">
        <f t="shared" si="175"/>
        <v>6.2032884902840063E-2</v>
      </c>
      <c r="I654" s="6"/>
      <c r="J654" s="2">
        <f t="shared" si="181"/>
        <v>0.4349775784753363</v>
      </c>
      <c r="K654" s="2">
        <f t="shared" si="182"/>
        <v>0.49701046337817639</v>
      </c>
      <c r="L654" s="2">
        <f t="shared" si="183"/>
        <v>3.7369207772795215E-3</v>
      </c>
      <c r="M654" s="2">
        <f t="shared" si="198"/>
        <v>6.4275037369207838E-2</v>
      </c>
      <c r="N654" s="63">
        <v>582</v>
      </c>
      <c r="O654" s="63">
        <v>665</v>
      </c>
      <c r="P654" s="63">
        <v>5</v>
      </c>
      <c r="Q654" s="63">
        <v>59</v>
      </c>
      <c r="R654" s="63">
        <v>27</v>
      </c>
      <c r="S654" s="63">
        <v>0</v>
      </c>
      <c r="T654" s="67"/>
      <c r="U654" s="63"/>
      <c r="V654" s="63"/>
      <c r="W654" s="63">
        <f t="shared" si="195"/>
        <v>0</v>
      </c>
      <c r="X654" s="63"/>
      <c r="Y654" s="63"/>
      <c r="Z654" s="63"/>
      <c r="AA654" s="63"/>
      <c r="AB654" s="63"/>
      <c r="AE654" s="8">
        <v>0</v>
      </c>
      <c r="AT654" t="str">
        <f t="shared" si="177"/>
        <v>Union</v>
      </c>
      <c r="AU654" t="s">
        <v>1729</v>
      </c>
      <c r="AV654">
        <v>1</v>
      </c>
      <c r="AX654" s="114">
        <v>23</v>
      </c>
      <c r="AY654" s="116">
        <v>13</v>
      </c>
      <c r="AZ654" s="116">
        <v>75</v>
      </c>
      <c r="BA654" s="120">
        <v>78115</v>
      </c>
      <c r="BB654" s="120">
        <f t="shared" si="176"/>
        <v>23013</v>
      </c>
      <c r="BC654" t="s">
        <v>1472</v>
      </c>
      <c r="BD654">
        <f t="shared" si="196"/>
        <v>2378115</v>
      </c>
      <c r="BE654" s="1">
        <v>31</v>
      </c>
      <c r="BI654">
        <v>34.46</v>
      </c>
      <c r="BJ654">
        <v>2.37</v>
      </c>
      <c r="BK654">
        <v>32.090000000000003</v>
      </c>
      <c r="BS654" s="63">
        <v>0</v>
      </c>
      <c r="CK654" s="1" t="s">
        <v>4200</v>
      </c>
    </row>
    <row r="655" spans="1:89" hidden="1" outlineLevel="1">
      <c r="A655" t="s">
        <v>3116</v>
      </c>
      <c r="B655" s="8" t="s">
        <v>1697</v>
      </c>
      <c r="C655" s="1">
        <f t="shared" si="178"/>
        <v>1038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 t="shared" si="197"/>
        <v>0</v>
      </c>
      <c r="G655" s="1">
        <f t="shared" si="180"/>
        <v>26</v>
      </c>
      <c r="H655" s="2">
        <f t="shared" si="175"/>
        <v>2.5048169556840076E-2</v>
      </c>
      <c r="I655" s="6"/>
      <c r="J655" s="2">
        <f t="shared" si="181"/>
        <v>0.43159922928709055</v>
      </c>
      <c r="K655" s="2">
        <f t="shared" si="182"/>
        <v>0.45664739884393063</v>
      </c>
      <c r="L655" s="2">
        <f t="shared" si="183"/>
        <v>0</v>
      </c>
      <c r="M655" s="2">
        <f t="shared" si="198"/>
        <v>0.11175337186897888</v>
      </c>
      <c r="N655" s="63">
        <v>448</v>
      </c>
      <c r="O655" s="63">
        <v>474</v>
      </c>
      <c r="P655" s="63">
        <v>0</v>
      </c>
      <c r="Q655" s="63">
        <v>70</v>
      </c>
      <c r="R655" s="63">
        <v>44</v>
      </c>
      <c r="S655" s="63">
        <v>2</v>
      </c>
      <c r="T655" s="67"/>
      <c r="U655" s="63"/>
      <c r="V655" s="63"/>
      <c r="W655" s="63">
        <f t="shared" si="195"/>
        <v>0</v>
      </c>
      <c r="X655" s="63"/>
      <c r="Y655" s="63"/>
      <c r="Z655" s="63"/>
      <c r="AA655" s="63"/>
      <c r="AB655" s="63"/>
      <c r="AE655" s="8">
        <v>0</v>
      </c>
      <c r="AT655" t="str">
        <f t="shared" si="177"/>
        <v>Unity</v>
      </c>
      <c r="AU655" t="s">
        <v>217</v>
      </c>
      <c r="AV655">
        <v>2</v>
      </c>
      <c r="AX655" s="114">
        <v>23</v>
      </c>
      <c r="AY655" s="116">
        <v>27</v>
      </c>
      <c r="AZ655" s="116">
        <v>120</v>
      </c>
      <c r="BA655" s="120">
        <v>78255</v>
      </c>
      <c r="BB655" s="120">
        <f t="shared" si="176"/>
        <v>23027</v>
      </c>
      <c r="BC655" t="s">
        <v>1472</v>
      </c>
      <c r="BD655">
        <f t="shared" si="196"/>
        <v>2378255</v>
      </c>
      <c r="BE655" s="1">
        <v>32</v>
      </c>
      <c r="BI655">
        <v>41.83</v>
      </c>
      <c r="BJ655">
        <v>2.2799999999999998</v>
      </c>
      <c r="BK655">
        <v>39.549999999999997</v>
      </c>
      <c r="BS655" s="63">
        <v>0</v>
      </c>
      <c r="CK655" s="1" t="s">
        <v>4201</v>
      </c>
    </row>
    <row r="656" spans="1:89" hidden="1" outlineLevel="1">
      <c r="A656" t="s">
        <v>2020</v>
      </c>
      <c r="B656" s="8" t="s">
        <v>1697</v>
      </c>
      <c r="C656" s="1">
        <f t="shared" si="178"/>
        <v>56</v>
      </c>
      <c r="D656" s="5">
        <f>IF(N656&gt;0, RANK(N656,(N656:P656,Q656:AE656)),0)</f>
        <v>2</v>
      </c>
      <c r="E656" s="5">
        <f>IF(O656&gt;0,RANK(O656,(N656:P656,Q656:AE656)),0)</f>
        <v>1</v>
      </c>
      <c r="F656" s="5">
        <f t="shared" si="197"/>
        <v>0</v>
      </c>
      <c r="G656" s="1">
        <f t="shared" si="180"/>
        <v>26</v>
      </c>
      <c r="H656" s="2">
        <f t="shared" si="175"/>
        <v>0.4642857142857143</v>
      </c>
      <c r="I656" s="6"/>
      <c r="J656" s="2">
        <f t="shared" si="181"/>
        <v>0.23214285714285715</v>
      </c>
      <c r="K656" s="2">
        <f t="shared" si="182"/>
        <v>0.6964285714285714</v>
      </c>
      <c r="L656" s="2">
        <f t="shared" si="183"/>
        <v>0</v>
      </c>
      <c r="M656" s="2">
        <f t="shared" si="198"/>
        <v>7.1428571428571397E-2</v>
      </c>
      <c r="N656" s="63">
        <v>13</v>
      </c>
      <c r="O656" s="63">
        <v>39</v>
      </c>
      <c r="P656" s="63">
        <v>0</v>
      </c>
      <c r="Q656" s="63">
        <v>3</v>
      </c>
      <c r="R656" s="63">
        <v>1</v>
      </c>
      <c r="S656" s="63">
        <v>0</v>
      </c>
      <c r="T656" s="67"/>
      <c r="U656" s="63"/>
      <c r="V656" s="63"/>
      <c r="W656" s="63">
        <f t="shared" si="195"/>
        <v>0</v>
      </c>
      <c r="X656" s="63"/>
      <c r="Y656" s="63"/>
      <c r="Z656" s="63"/>
      <c r="AA656" s="63"/>
      <c r="AB656" s="63"/>
      <c r="AE656" s="8">
        <v>0</v>
      </c>
      <c r="AT656" t="str">
        <f t="shared" si="177"/>
        <v>Upton</v>
      </c>
      <c r="AU656" t="s">
        <v>2383</v>
      </c>
      <c r="AV656">
        <v>2</v>
      </c>
      <c r="AX656" s="114">
        <v>23</v>
      </c>
      <c r="AY656" s="116">
        <v>17</v>
      </c>
      <c r="AZ656" s="116">
        <v>160</v>
      </c>
      <c r="BA656" s="120">
        <v>78465</v>
      </c>
      <c r="BB656" s="120">
        <f t="shared" si="176"/>
        <v>23017</v>
      </c>
      <c r="BC656" t="s">
        <v>1472</v>
      </c>
      <c r="BD656">
        <f t="shared" si="196"/>
        <v>2378465</v>
      </c>
      <c r="BE656" s="1">
        <v>4</v>
      </c>
      <c r="BI656">
        <v>42.03</v>
      </c>
      <c r="BJ656">
        <v>2.2000000000000002</v>
      </c>
      <c r="BK656">
        <v>39.83</v>
      </c>
      <c r="BS656" s="63">
        <v>0</v>
      </c>
      <c r="CK656" s="1" t="s">
        <v>4202</v>
      </c>
    </row>
    <row r="657" spans="1:89" hidden="1" outlineLevel="1">
      <c r="A657" t="s">
        <v>1598</v>
      </c>
      <c r="B657" s="8" t="s">
        <v>1697</v>
      </c>
      <c r="C657" s="1">
        <f t="shared" si="178"/>
        <v>932</v>
      </c>
      <c r="D657" s="5">
        <f>IF(N657&gt;0, RANK(N657,(N657:P657,Q657:AE657)),0)</f>
        <v>1</v>
      </c>
      <c r="E657" s="5">
        <f>IF(O657&gt;0,RANK(O657,(N657:P657,Q657:AE657)),0)</f>
        <v>2</v>
      </c>
      <c r="F657" s="5">
        <f t="shared" si="197"/>
        <v>5</v>
      </c>
      <c r="G657" s="1">
        <f t="shared" si="180"/>
        <v>110</v>
      </c>
      <c r="H657" s="2">
        <f t="shared" si="175"/>
        <v>0.11802575107296137</v>
      </c>
      <c r="I657" s="6"/>
      <c r="J657" s="2">
        <f t="shared" si="181"/>
        <v>0.53755364806866957</v>
      </c>
      <c r="K657" s="2">
        <f t="shared" si="182"/>
        <v>0.41952789699570814</v>
      </c>
      <c r="L657" s="2">
        <f t="shared" si="183"/>
        <v>2.1459227467811159E-3</v>
      </c>
      <c r="M657" s="2">
        <f t="shared" si="198"/>
        <v>4.0772532188841179E-2</v>
      </c>
      <c r="N657" s="63">
        <v>501</v>
      </c>
      <c r="O657" s="63">
        <v>391</v>
      </c>
      <c r="P657" s="63">
        <v>2</v>
      </c>
      <c r="Q657" s="63">
        <v>27</v>
      </c>
      <c r="R657" s="63">
        <v>11</v>
      </c>
      <c r="S657" s="63">
        <v>0</v>
      </c>
      <c r="T657" s="67"/>
      <c r="U657" s="63"/>
      <c r="V657" s="63"/>
      <c r="W657" s="63">
        <f t="shared" si="195"/>
        <v>0</v>
      </c>
      <c r="X657" s="63"/>
      <c r="Y657" s="63"/>
      <c r="Z657" s="63"/>
      <c r="AA657" s="63"/>
      <c r="AB657" s="63"/>
      <c r="AE657" s="8">
        <v>0</v>
      </c>
      <c r="AT657" t="str">
        <f t="shared" si="177"/>
        <v>Van Buren</v>
      </c>
      <c r="AU657" t="s">
        <v>2830</v>
      </c>
      <c r="AV657">
        <v>2</v>
      </c>
      <c r="AX657" s="114">
        <v>23</v>
      </c>
      <c r="AY657" s="116">
        <v>3</v>
      </c>
      <c r="AZ657" s="116">
        <v>305</v>
      </c>
      <c r="BA657" s="120">
        <v>78570</v>
      </c>
      <c r="BB657" s="120">
        <f t="shared" si="176"/>
        <v>23003</v>
      </c>
      <c r="BC657" t="s">
        <v>1472</v>
      </c>
      <c r="BD657">
        <f t="shared" si="196"/>
        <v>2378570</v>
      </c>
      <c r="BE657" s="1">
        <v>32</v>
      </c>
      <c r="BI657">
        <v>35.15</v>
      </c>
      <c r="BJ657">
        <v>1.2</v>
      </c>
      <c r="BK657">
        <v>33.950000000000003</v>
      </c>
      <c r="BS657" s="63">
        <v>0</v>
      </c>
      <c r="CK657" s="1" t="s">
        <v>4203</v>
      </c>
    </row>
    <row r="658" spans="1:89" hidden="1" outlineLevel="1">
      <c r="A658" t="s">
        <v>2570</v>
      </c>
      <c r="B658" s="8" t="s">
        <v>1697</v>
      </c>
      <c r="C658" s="1">
        <f t="shared" si="178"/>
        <v>93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 t="shared" si="197"/>
        <v>0</v>
      </c>
      <c r="G658" s="1">
        <f t="shared" si="180"/>
        <v>29</v>
      </c>
      <c r="H658" s="2">
        <f t="shared" si="175"/>
        <v>0.31182795698924731</v>
      </c>
      <c r="I658" s="6"/>
      <c r="J658" s="2">
        <f t="shared" si="181"/>
        <v>0.30107526881720431</v>
      </c>
      <c r="K658" s="2">
        <f t="shared" si="182"/>
        <v>0.61290322580645162</v>
      </c>
      <c r="L658" s="2">
        <f t="shared" si="183"/>
        <v>0</v>
      </c>
      <c r="M658" s="2">
        <f t="shared" si="198"/>
        <v>8.6021505376344121E-2</v>
      </c>
      <c r="N658" s="63">
        <v>28</v>
      </c>
      <c r="O658" s="63">
        <v>57</v>
      </c>
      <c r="P658" s="63">
        <v>0</v>
      </c>
      <c r="Q658" s="63">
        <v>5</v>
      </c>
      <c r="R658" s="63">
        <v>3</v>
      </c>
      <c r="S658" s="63">
        <v>0</v>
      </c>
      <c r="T658" s="67"/>
      <c r="U658" s="63"/>
      <c r="V658" s="63"/>
      <c r="W658" s="63">
        <f t="shared" si="195"/>
        <v>0</v>
      </c>
      <c r="X658" s="63"/>
      <c r="Y658" s="63"/>
      <c r="Z658" s="63"/>
      <c r="AA658" s="63"/>
      <c r="AB658" s="63"/>
      <c r="AE658" s="8">
        <v>0</v>
      </c>
      <c r="AT658" t="str">
        <f t="shared" si="177"/>
        <v>Vanceboro</v>
      </c>
      <c r="AU658" t="s">
        <v>692</v>
      </c>
      <c r="AV658">
        <v>2</v>
      </c>
      <c r="AX658" s="114">
        <v>23</v>
      </c>
      <c r="AY658" s="116">
        <v>29</v>
      </c>
      <c r="AZ658" s="116">
        <v>205</v>
      </c>
      <c r="BA658" s="120">
        <v>78675</v>
      </c>
      <c r="BB658" s="120">
        <f t="shared" si="176"/>
        <v>23029</v>
      </c>
      <c r="BC658" t="s">
        <v>1472</v>
      </c>
      <c r="BD658">
        <f t="shared" si="196"/>
        <v>2378675</v>
      </c>
      <c r="BE658" s="1">
        <v>2</v>
      </c>
      <c r="BI658">
        <v>22.62</v>
      </c>
      <c r="BJ658">
        <v>2.1800000000000002</v>
      </c>
      <c r="BK658">
        <v>20.440000000000001</v>
      </c>
      <c r="BS658" s="63">
        <v>0</v>
      </c>
      <c r="CK658" s="1" t="s">
        <v>4204</v>
      </c>
    </row>
    <row r="659" spans="1:89" hidden="1" outlineLevel="1">
      <c r="A659" t="s">
        <v>2511</v>
      </c>
      <c r="B659" s="8" t="s">
        <v>1697</v>
      </c>
      <c r="C659" s="1">
        <f t="shared" si="178"/>
        <v>2402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 t="shared" si="197"/>
        <v>5</v>
      </c>
      <c r="G659" s="1">
        <f t="shared" si="180"/>
        <v>431</v>
      </c>
      <c r="H659" s="2">
        <f t="shared" si="175"/>
        <v>0.17943380516236471</v>
      </c>
      <c r="I659" s="6"/>
      <c r="J659" s="2">
        <f t="shared" si="181"/>
        <v>0.37635303913405493</v>
      </c>
      <c r="K659" s="2">
        <f t="shared" si="182"/>
        <v>0.55578684429641967</v>
      </c>
      <c r="L659" s="2">
        <f t="shared" si="183"/>
        <v>1.2489592006661116E-3</v>
      </c>
      <c r="M659" s="2">
        <f t="shared" si="198"/>
        <v>6.6611157368859281E-2</v>
      </c>
      <c r="N659" s="63">
        <v>904</v>
      </c>
      <c r="O659" s="63">
        <v>1335</v>
      </c>
      <c r="P659" s="63">
        <v>3</v>
      </c>
      <c r="Q659" s="63">
        <v>126</v>
      </c>
      <c r="R659" s="63">
        <v>34</v>
      </c>
      <c r="S659" s="63">
        <v>0</v>
      </c>
      <c r="T659" s="67"/>
      <c r="U659" s="63"/>
      <c r="V659" s="63"/>
      <c r="W659" s="63">
        <f t="shared" si="195"/>
        <v>0</v>
      </c>
      <c r="X659" s="63"/>
      <c r="Y659" s="63"/>
      <c r="Z659" s="63"/>
      <c r="AA659" s="63"/>
      <c r="AB659" s="63"/>
      <c r="AE659" s="8">
        <v>0</v>
      </c>
      <c r="AT659" t="str">
        <f t="shared" si="177"/>
        <v>Vassalboro</v>
      </c>
      <c r="AU659" t="s">
        <v>3007</v>
      </c>
      <c r="AV659">
        <v>1</v>
      </c>
      <c r="AX659" s="114">
        <v>23</v>
      </c>
      <c r="AY659" s="116">
        <v>11</v>
      </c>
      <c r="AZ659" s="116">
        <v>110</v>
      </c>
      <c r="BA659" s="120">
        <v>78745</v>
      </c>
      <c r="BB659" s="120">
        <f t="shared" si="176"/>
        <v>23011</v>
      </c>
      <c r="BC659" t="s">
        <v>1472</v>
      </c>
      <c r="BD659">
        <f t="shared" si="196"/>
        <v>2378745</v>
      </c>
      <c r="BE659" s="1">
        <v>78</v>
      </c>
      <c r="BI659">
        <v>47.78</v>
      </c>
      <c r="BJ659">
        <v>3.51</v>
      </c>
      <c r="BK659">
        <v>44.27</v>
      </c>
      <c r="BS659" s="63">
        <v>0</v>
      </c>
      <c r="CK659" s="1" t="s">
        <v>4205</v>
      </c>
    </row>
    <row r="660" spans="1:89" hidden="1" outlineLevel="1">
      <c r="A660" t="s">
        <v>1634</v>
      </c>
      <c r="B660" s="8" t="s">
        <v>1697</v>
      </c>
      <c r="C660" s="1">
        <f t="shared" si="178"/>
        <v>1126</v>
      </c>
      <c r="D660" s="5">
        <f>IF(N660&gt;0, RANK(N660,(N660:P660,Q660:AE660)),0)</f>
        <v>1</v>
      </c>
      <c r="E660" s="5">
        <f>IF(O660&gt;0,RANK(O660,(N660:P660,Q660:AE660)),0)</f>
        <v>2</v>
      </c>
      <c r="F660" s="5">
        <f t="shared" si="197"/>
        <v>5</v>
      </c>
      <c r="G660" s="1">
        <f t="shared" si="180"/>
        <v>73</v>
      </c>
      <c r="H660" s="2">
        <f t="shared" si="175"/>
        <v>6.4831261101243334E-2</v>
      </c>
      <c r="I660" s="6"/>
      <c r="J660" s="2">
        <f t="shared" si="181"/>
        <v>0.49378330373001778</v>
      </c>
      <c r="K660" s="2">
        <f t="shared" si="182"/>
        <v>0.4289520426287744</v>
      </c>
      <c r="L660" s="2">
        <f t="shared" si="183"/>
        <v>8.8809946714031966E-3</v>
      </c>
      <c r="M660" s="2">
        <f t="shared" si="198"/>
        <v>6.8383658969804625E-2</v>
      </c>
      <c r="N660" s="63">
        <v>556</v>
      </c>
      <c r="O660" s="63">
        <v>483</v>
      </c>
      <c r="P660" s="63">
        <v>10</v>
      </c>
      <c r="Q660" s="63">
        <v>53</v>
      </c>
      <c r="R660" s="63">
        <v>24</v>
      </c>
      <c r="S660" s="63">
        <v>0</v>
      </c>
      <c r="T660" s="67"/>
      <c r="U660" s="63"/>
      <c r="V660" s="63"/>
      <c r="W660" s="63">
        <f t="shared" si="195"/>
        <v>0</v>
      </c>
      <c r="X660" s="63"/>
      <c r="Y660" s="63"/>
      <c r="Z660" s="63"/>
      <c r="AA660" s="63"/>
      <c r="AB660" s="63"/>
      <c r="AE660" s="8">
        <v>0</v>
      </c>
      <c r="AT660" t="str">
        <f t="shared" si="177"/>
        <v>Veazie</v>
      </c>
      <c r="AU660" t="s">
        <v>2481</v>
      </c>
      <c r="AV660">
        <v>2</v>
      </c>
      <c r="AX660" s="114">
        <v>23</v>
      </c>
      <c r="AY660" s="116">
        <v>19</v>
      </c>
      <c r="AZ660" s="116">
        <v>295</v>
      </c>
      <c r="BA660" s="120">
        <v>78780</v>
      </c>
      <c r="BB660" s="120">
        <f t="shared" si="176"/>
        <v>23019</v>
      </c>
      <c r="BC660" t="s">
        <v>1472</v>
      </c>
      <c r="BD660">
        <f t="shared" si="196"/>
        <v>2378780</v>
      </c>
      <c r="BE660" s="1">
        <v>42</v>
      </c>
      <c r="BI660">
        <v>3.12</v>
      </c>
      <c r="BJ660">
        <v>0.19</v>
      </c>
      <c r="BK660">
        <v>2.92</v>
      </c>
      <c r="BS660" s="63">
        <v>0</v>
      </c>
      <c r="CK660" s="1" t="s">
        <v>4206</v>
      </c>
    </row>
    <row r="661" spans="1:89" hidden="1" outlineLevel="1">
      <c r="A661" t="s">
        <v>324</v>
      </c>
      <c r="B661" s="8" t="s">
        <v>1697</v>
      </c>
      <c r="C661" s="1">
        <f t="shared" si="178"/>
        <v>310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 t="shared" si="197"/>
        <v>4</v>
      </c>
      <c r="G661" s="1">
        <f t="shared" si="180"/>
        <v>42</v>
      </c>
      <c r="H661" s="2">
        <f t="shared" si="175"/>
        <v>0.13548387096774195</v>
      </c>
      <c r="I661" s="6"/>
      <c r="J661" s="2">
        <f t="shared" si="181"/>
        <v>0.3935483870967742</v>
      </c>
      <c r="K661" s="2">
        <f t="shared" si="182"/>
        <v>0.52903225806451615</v>
      </c>
      <c r="L661" s="2">
        <f t="shared" si="183"/>
        <v>9.6774193548387101E-3</v>
      </c>
      <c r="M661" s="2">
        <f t="shared" si="198"/>
        <v>6.7741935483870946E-2</v>
      </c>
      <c r="N661" s="63">
        <v>122</v>
      </c>
      <c r="O661" s="63">
        <v>164</v>
      </c>
      <c r="P661" s="63">
        <v>3</v>
      </c>
      <c r="Q661" s="63">
        <v>19</v>
      </c>
      <c r="R661" s="63">
        <v>2</v>
      </c>
      <c r="S661" s="63">
        <v>0</v>
      </c>
      <c r="T661" s="67"/>
      <c r="U661" s="63"/>
      <c r="V661" s="63"/>
      <c r="W661" s="63">
        <f t="shared" si="195"/>
        <v>0</v>
      </c>
      <c r="X661" s="63"/>
      <c r="Y661" s="63"/>
      <c r="Z661" s="63"/>
      <c r="AA661" s="63"/>
      <c r="AB661" s="63"/>
      <c r="AE661" s="8">
        <v>0</v>
      </c>
      <c r="AT661" t="str">
        <f t="shared" si="177"/>
        <v>Verona Island</v>
      </c>
      <c r="AU661" t="s">
        <v>597</v>
      </c>
      <c r="AV661">
        <v>2</v>
      </c>
      <c r="AX661" s="114">
        <v>23</v>
      </c>
      <c r="AY661" s="116">
        <v>9</v>
      </c>
      <c r="AZ661" s="116">
        <v>175</v>
      </c>
      <c r="BA661" s="120">
        <v>78920</v>
      </c>
      <c r="BB661" s="120">
        <f t="shared" si="176"/>
        <v>23009</v>
      </c>
      <c r="BC661" t="s">
        <v>1472</v>
      </c>
      <c r="BD661">
        <f t="shared" si="196"/>
        <v>2378920</v>
      </c>
      <c r="BE661" s="1">
        <v>4</v>
      </c>
      <c r="BI661">
        <v>8.7200000000000006</v>
      </c>
      <c r="BJ661">
        <v>2.4900000000000002</v>
      </c>
      <c r="BK661">
        <v>6.23</v>
      </c>
      <c r="BS661" s="63">
        <v>0</v>
      </c>
      <c r="CK661" s="1" t="s">
        <v>4207</v>
      </c>
    </row>
    <row r="662" spans="1:89" hidden="1" outlineLevel="1">
      <c r="A662" t="s">
        <v>2277</v>
      </c>
      <c r="B662" s="8" t="s">
        <v>1697</v>
      </c>
      <c r="C662" s="1">
        <f t="shared" si="178"/>
        <v>385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 t="shared" si="197"/>
        <v>0</v>
      </c>
      <c r="G662" s="1">
        <f t="shared" si="180"/>
        <v>38</v>
      </c>
      <c r="H662" s="2">
        <f t="shared" ref="H662:H735" si="199">IF(C662&gt;0,G662/C662,0)</f>
        <v>9.8701298701298706E-2</v>
      </c>
      <c r="I662" s="6"/>
      <c r="J662" s="2">
        <f t="shared" si="181"/>
        <v>0.40779220779220782</v>
      </c>
      <c r="K662" s="2">
        <f t="shared" si="182"/>
        <v>0.50649350649350644</v>
      </c>
      <c r="L662" s="2">
        <f t="shared" si="183"/>
        <v>0</v>
      </c>
      <c r="M662" s="2">
        <f t="shared" si="198"/>
        <v>8.5714285714285743E-2</v>
      </c>
      <c r="N662" s="63">
        <v>157</v>
      </c>
      <c r="O662" s="63">
        <v>195</v>
      </c>
      <c r="P662" s="63">
        <v>0</v>
      </c>
      <c r="Q662" s="63">
        <v>25</v>
      </c>
      <c r="R662" s="63">
        <v>8</v>
      </c>
      <c r="S662" s="63">
        <v>0</v>
      </c>
      <c r="T662" s="67"/>
      <c r="U662" s="63"/>
      <c r="V662" s="63"/>
      <c r="W662" s="63">
        <f t="shared" si="195"/>
        <v>0</v>
      </c>
      <c r="X662" s="63"/>
      <c r="Y662" s="63"/>
      <c r="Z662" s="63"/>
      <c r="AA662" s="63"/>
      <c r="AB662" s="63"/>
      <c r="AE662" s="8">
        <v>0</v>
      </c>
      <c r="AT662" t="str">
        <f t="shared" ref="AT662:AT736" si="200">A662</f>
        <v>Vienna</v>
      </c>
      <c r="AU662" t="s">
        <v>3007</v>
      </c>
      <c r="AV662">
        <v>2</v>
      </c>
      <c r="AX662" s="114">
        <v>23</v>
      </c>
      <c r="AY662" s="116">
        <v>11</v>
      </c>
      <c r="AZ662" s="116">
        <v>115</v>
      </c>
      <c r="BA662" s="120">
        <v>79025</v>
      </c>
      <c r="BB662" s="120">
        <f t="shared" si="176"/>
        <v>23011</v>
      </c>
      <c r="BC662" t="s">
        <v>1472</v>
      </c>
      <c r="BD662">
        <f t="shared" si="196"/>
        <v>2379025</v>
      </c>
      <c r="BE662" s="1">
        <v>11</v>
      </c>
      <c r="BI662">
        <v>25.37</v>
      </c>
      <c r="BJ662">
        <v>1.2</v>
      </c>
      <c r="BK662">
        <v>24.17</v>
      </c>
      <c r="BS662" s="63">
        <v>0</v>
      </c>
      <c r="CK662" s="1" t="s">
        <v>4208</v>
      </c>
    </row>
    <row r="663" spans="1:89" hidden="1" outlineLevel="1">
      <c r="A663" t="s">
        <v>1024</v>
      </c>
      <c r="B663" s="8" t="s">
        <v>1697</v>
      </c>
      <c r="C663" s="1">
        <f t="shared" si="178"/>
        <v>763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 t="shared" si="197"/>
        <v>0</v>
      </c>
      <c r="G663" s="1">
        <f t="shared" si="180"/>
        <v>199</v>
      </c>
      <c r="H663" s="2">
        <f t="shared" si="199"/>
        <v>0.26081258191349932</v>
      </c>
      <c r="I663" s="6"/>
      <c r="J663" s="2">
        <f t="shared" si="181"/>
        <v>0.58715596330275233</v>
      </c>
      <c r="K663" s="2">
        <f t="shared" si="182"/>
        <v>0.32634338138925295</v>
      </c>
      <c r="L663" s="2">
        <f t="shared" si="183"/>
        <v>0</v>
      </c>
      <c r="M663" s="2">
        <f t="shared" si="198"/>
        <v>8.6500655307994723E-2</v>
      </c>
      <c r="N663" s="63">
        <v>448</v>
      </c>
      <c r="O663" s="63">
        <v>249</v>
      </c>
      <c r="P663" s="63">
        <v>0</v>
      </c>
      <c r="Q663" s="63">
        <v>34</v>
      </c>
      <c r="R663" s="63">
        <v>32</v>
      </c>
      <c r="S663" s="63">
        <v>0</v>
      </c>
      <c r="T663" s="67"/>
      <c r="U663" s="63"/>
      <c r="V663" s="63"/>
      <c r="W663" s="63">
        <f t="shared" si="195"/>
        <v>0</v>
      </c>
      <c r="X663" s="63"/>
      <c r="Y663" s="63"/>
      <c r="Z663" s="63"/>
      <c r="AA663" s="63"/>
      <c r="AB663" s="63"/>
      <c r="AE663" s="8">
        <v>0</v>
      </c>
      <c r="AT663" t="str">
        <f t="shared" si="200"/>
        <v>Vinalhaven</v>
      </c>
      <c r="AU663" t="s">
        <v>1729</v>
      </c>
      <c r="AV663">
        <v>1</v>
      </c>
      <c r="AX663" s="114">
        <v>23</v>
      </c>
      <c r="AY663" s="116">
        <v>13</v>
      </c>
      <c r="AZ663" s="116">
        <v>80</v>
      </c>
      <c r="BA663" s="120">
        <v>79130</v>
      </c>
      <c r="BB663" s="120">
        <f t="shared" si="176"/>
        <v>23013</v>
      </c>
      <c r="BC663" t="s">
        <v>1472</v>
      </c>
      <c r="BD663">
        <f t="shared" si="196"/>
        <v>2379130</v>
      </c>
      <c r="BE663" s="1">
        <v>24</v>
      </c>
      <c r="BI663">
        <v>192.77</v>
      </c>
      <c r="BJ663">
        <v>167.46</v>
      </c>
      <c r="BK663">
        <v>25.31</v>
      </c>
      <c r="BS663" s="63">
        <v>0</v>
      </c>
      <c r="CK663" s="1" t="s">
        <v>4209</v>
      </c>
    </row>
    <row r="664" spans="1:89" hidden="1" outlineLevel="1">
      <c r="A664" t="s">
        <v>949</v>
      </c>
      <c r="B664" s="8" t="s">
        <v>1697</v>
      </c>
      <c r="C664" s="1">
        <f t="shared" si="178"/>
        <v>142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 t="shared" si="197"/>
        <v>0</v>
      </c>
      <c r="G664" s="1">
        <f t="shared" si="180"/>
        <v>45</v>
      </c>
      <c r="H664" s="2">
        <f t="shared" si="199"/>
        <v>0.31690140845070425</v>
      </c>
      <c r="I664" s="6"/>
      <c r="J664" s="2">
        <f t="shared" si="181"/>
        <v>0.28873239436619719</v>
      </c>
      <c r="K664" s="2">
        <f t="shared" si="182"/>
        <v>0.60563380281690138</v>
      </c>
      <c r="L664" s="2">
        <f t="shared" si="183"/>
        <v>0</v>
      </c>
      <c r="M664" s="2">
        <f t="shared" si="198"/>
        <v>0.10563380281690138</v>
      </c>
      <c r="N664" s="63">
        <v>41</v>
      </c>
      <c r="O664" s="63">
        <v>86</v>
      </c>
      <c r="P664" s="63">
        <v>0</v>
      </c>
      <c r="Q664" s="63">
        <v>11</v>
      </c>
      <c r="R664" s="63">
        <v>4</v>
      </c>
      <c r="S664" s="63">
        <v>0</v>
      </c>
      <c r="T664" s="67"/>
      <c r="U664" s="63"/>
      <c r="V664" s="63"/>
      <c r="W664" s="63">
        <f t="shared" si="195"/>
        <v>0</v>
      </c>
      <c r="X664" s="63"/>
      <c r="Y664" s="63"/>
      <c r="Z664" s="63"/>
      <c r="AA664" s="63"/>
      <c r="AB664" s="63"/>
      <c r="AE664" s="8">
        <v>0</v>
      </c>
      <c r="AT664" t="str">
        <f t="shared" si="200"/>
        <v>Wade</v>
      </c>
      <c r="AU664" t="s">
        <v>2830</v>
      </c>
      <c r="AV664">
        <v>2</v>
      </c>
      <c r="AX664" s="114">
        <v>23</v>
      </c>
      <c r="AY664" s="116">
        <v>3</v>
      </c>
      <c r="AZ664" s="116">
        <v>310</v>
      </c>
      <c r="BA664" s="120">
        <v>79270</v>
      </c>
      <c r="BB664" s="120">
        <f t="shared" si="176"/>
        <v>23003</v>
      </c>
      <c r="BC664" t="s">
        <v>1472</v>
      </c>
      <c r="BD664">
        <f t="shared" si="196"/>
        <v>2379270</v>
      </c>
      <c r="BE664" s="1">
        <v>4</v>
      </c>
      <c r="BI664">
        <v>36.42</v>
      </c>
      <c r="BJ664">
        <v>0.28000000000000003</v>
      </c>
      <c r="BK664">
        <v>36.14</v>
      </c>
      <c r="BS664" s="63">
        <v>0</v>
      </c>
      <c r="CK664" s="1" t="s">
        <v>4210</v>
      </c>
    </row>
    <row r="665" spans="1:89" hidden="1" outlineLevel="1">
      <c r="A665" t="s">
        <v>228</v>
      </c>
      <c r="B665" s="8" t="s">
        <v>1697</v>
      </c>
      <c r="C665" s="1">
        <f t="shared" si="178"/>
        <v>51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 t="shared" si="197"/>
        <v>0</v>
      </c>
      <c r="G665" s="1">
        <f t="shared" si="180"/>
        <v>22</v>
      </c>
      <c r="H665" s="2">
        <f t="shared" si="199"/>
        <v>0.43137254901960786</v>
      </c>
      <c r="I665" s="6"/>
      <c r="J665" s="2">
        <f t="shared" si="181"/>
        <v>0.23529411764705882</v>
      </c>
      <c r="K665" s="2">
        <f t="shared" si="182"/>
        <v>0.66666666666666663</v>
      </c>
      <c r="L665" s="2">
        <f t="shared" si="183"/>
        <v>0</v>
      </c>
      <c r="M665" s="2">
        <f t="shared" si="198"/>
        <v>9.8039215686274495E-2</v>
      </c>
      <c r="N665" s="63">
        <v>12</v>
      </c>
      <c r="O665" s="63">
        <v>34</v>
      </c>
      <c r="P665" s="63">
        <v>0</v>
      </c>
      <c r="Q665" s="63">
        <v>5</v>
      </c>
      <c r="R665" s="63">
        <v>0</v>
      </c>
      <c r="S665" s="63">
        <v>0</v>
      </c>
      <c r="T665" s="67"/>
      <c r="U665" s="63"/>
      <c r="V665" s="63"/>
      <c r="W665" s="63">
        <f t="shared" si="195"/>
        <v>0</v>
      </c>
      <c r="X665" s="63"/>
      <c r="Y665" s="63"/>
      <c r="Z665" s="63"/>
      <c r="AA665" s="63"/>
      <c r="AB665" s="63"/>
      <c r="AE665" s="8">
        <v>0</v>
      </c>
      <c r="AT665" t="str">
        <f t="shared" si="200"/>
        <v>Waite</v>
      </c>
      <c r="AU665" t="s">
        <v>692</v>
      </c>
      <c r="AV665">
        <v>2</v>
      </c>
      <c r="AX665" s="114">
        <v>23</v>
      </c>
      <c r="AY665" s="116">
        <v>29</v>
      </c>
      <c r="AZ665" s="116">
        <v>210</v>
      </c>
      <c r="BA665" s="120">
        <v>79375</v>
      </c>
      <c r="BB665" s="120">
        <f t="shared" ref="BB665:BB738" si="201">AX665*1000+AY665</f>
        <v>23029</v>
      </c>
      <c r="BC665" t="s">
        <v>1472</v>
      </c>
      <c r="BD665">
        <f t="shared" si="196"/>
        <v>2379375</v>
      </c>
      <c r="BE665" s="1">
        <v>0</v>
      </c>
      <c r="BI665">
        <v>43.18</v>
      </c>
      <c r="BJ665">
        <v>0.06</v>
      </c>
      <c r="BK665">
        <v>43.12</v>
      </c>
      <c r="BS665" s="63">
        <v>0</v>
      </c>
      <c r="CK665" s="1" t="s">
        <v>4211</v>
      </c>
    </row>
    <row r="666" spans="1:89" hidden="1" outlineLevel="1">
      <c r="A666" t="s">
        <v>217</v>
      </c>
      <c r="B666" s="8" t="s">
        <v>1697</v>
      </c>
      <c r="C666" s="1">
        <f t="shared" si="178"/>
        <v>475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 t="shared" si="197"/>
        <v>0</v>
      </c>
      <c r="G666" s="1">
        <f t="shared" si="180"/>
        <v>52</v>
      </c>
      <c r="H666" s="2">
        <f t="shared" si="199"/>
        <v>0.10947368421052632</v>
      </c>
      <c r="I666" s="6"/>
      <c r="J666" s="2">
        <f t="shared" si="181"/>
        <v>0.40421052631578946</v>
      </c>
      <c r="K666" s="2">
        <f t="shared" si="182"/>
        <v>0.51368421052631574</v>
      </c>
      <c r="L666" s="2">
        <f t="shared" si="183"/>
        <v>0</v>
      </c>
      <c r="M666" s="2">
        <f t="shared" si="198"/>
        <v>8.2105263157894792E-2</v>
      </c>
      <c r="N666" s="63">
        <v>192</v>
      </c>
      <c r="O666" s="63">
        <v>244</v>
      </c>
      <c r="P666" s="63">
        <v>0</v>
      </c>
      <c r="Q666" s="63">
        <v>18</v>
      </c>
      <c r="R666" s="63">
        <v>21</v>
      </c>
      <c r="S666" s="63">
        <v>0</v>
      </c>
      <c r="T666" s="67"/>
      <c r="U666" s="63"/>
      <c r="V666" s="63"/>
      <c r="W666" s="63">
        <f t="shared" si="195"/>
        <v>0</v>
      </c>
      <c r="X666" s="63"/>
      <c r="Y666" s="63"/>
      <c r="Z666" s="63"/>
      <c r="AA666" s="63"/>
      <c r="AB666" s="63"/>
      <c r="AE666" s="8">
        <v>0</v>
      </c>
      <c r="AT666" t="str">
        <f t="shared" si="200"/>
        <v>Waldo</v>
      </c>
      <c r="AU666" t="s">
        <v>217</v>
      </c>
      <c r="AV666">
        <v>2</v>
      </c>
      <c r="AX666" s="114">
        <v>23</v>
      </c>
      <c r="AY666" s="116">
        <v>27</v>
      </c>
      <c r="AZ666" s="116">
        <v>125</v>
      </c>
      <c r="BA666" s="120">
        <v>79480</v>
      </c>
      <c r="BB666" s="120">
        <f t="shared" si="201"/>
        <v>23027</v>
      </c>
      <c r="BC666" t="s">
        <v>1472</v>
      </c>
      <c r="BD666">
        <f t="shared" si="196"/>
        <v>2379480</v>
      </c>
      <c r="BE666" s="1">
        <v>14</v>
      </c>
      <c r="BI666">
        <v>19.41</v>
      </c>
      <c r="BJ666">
        <v>0.01</v>
      </c>
      <c r="BK666">
        <v>19.41</v>
      </c>
      <c r="BS666" s="63">
        <v>0</v>
      </c>
      <c r="CK666" s="1" t="s">
        <v>4212</v>
      </c>
    </row>
    <row r="667" spans="1:89" hidden="1" outlineLevel="1">
      <c r="A667" t="s">
        <v>452</v>
      </c>
      <c r="B667" s="8" t="s">
        <v>1697</v>
      </c>
      <c r="C667" s="1">
        <f t="shared" si="178"/>
        <v>2729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 t="shared" si="197"/>
        <v>5</v>
      </c>
      <c r="G667" s="1">
        <f t="shared" si="180"/>
        <v>276</v>
      </c>
      <c r="H667" s="2">
        <f t="shared" si="199"/>
        <v>0.10113594723341883</v>
      </c>
      <c r="I667" s="6"/>
      <c r="J667" s="2">
        <f t="shared" si="181"/>
        <v>0.41517039208501283</v>
      </c>
      <c r="K667" s="2">
        <f t="shared" si="182"/>
        <v>0.51630633931843162</v>
      </c>
      <c r="L667" s="2">
        <f t="shared" si="183"/>
        <v>5.496518871381458E-3</v>
      </c>
      <c r="M667" s="2">
        <f t="shared" si="198"/>
        <v>6.3026749725174094E-2</v>
      </c>
      <c r="N667" s="63">
        <v>1133</v>
      </c>
      <c r="O667" s="63">
        <v>1409</v>
      </c>
      <c r="P667" s="63">
        <v>15</v>
      </c>
      <c r="Q667" s="63">
        <v>123</v>
      </c>
      <c r="R667" s="63">
        <v>46</v>
      </c>
      <c r="S667" s="63">
        <v>3</v>
      </c>
      <c r="T667" s="67"/>
      <c r="U667" s="63"/>
      <c r="V667" s="63"/>
      <c r="W667" s="63">
        <f t="shared" si="195"/>
        <v>0</v>
      </c>
      <c r="X667" s="63"/>
      <c r="Y667" s="63"/>
      <c r="Z667" s="63"/>
      <c r="AA667" s="63"/>
      <c r="AB667" s="63"/>
      <c r="AE667" s="8">
        <v>0</v>
      </c>
      <c r="AT667" t="str">
        <f t="shared" si="200"/>
        <v>Waldoboro</v>
      </c>
      <c r="AU667" t="s">
        <v>1597</v>
      </c>
      <c r="AV667">
        <v>1</v>
      </c>
      <c r="AX667" s="114">
        <v>23</v>
      </c>
      <c r="AY667" s="116">
        <v>15</v>
      </c>
      <c r="AZ667" s="116">
        <v>85</v>
      </c>
      <c r="BA667" s="120">
        <v>79550</v>
      </c>
      <c r="BB667" s="120">
        <f t="shared" si="201"/>
        <v>23015</v>
      </c>
      <c r="BC667" t="s">
        <v>1472</v>
      </c>
      <c r="BD667">
        <f t="shared" si="196"/>
        <v>2379550</v>
      </c>
      <c r="BE667" s="1">
        <v>105</v>
      </c>
      <c r="BI667">
        <v>78.819999999999993</v>
      </c>
      <c r="BJ667">
        <v>7.63</v>
      </c>
      <c r="BK667">
        <v>71.19</v>
      </c>
      <c r="BS667" s="63">
        <v>0</v>
      </c>
      <c r="CK667" s="1" t="s">
        <v>4213</v>
      </c>
    </row>
    <row r="668" spans="1:89" hidden="1" outlineLevel="1">
      <c r="A668" t="s">
        <v>2769</v>
      </c>
      <c r="B668" s="8" t="s">
        <v>1697</v>
      </c>
      <c r="C668" s="1">
        <f t="shared" si="178"/>
        <v>873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 t="shared" si="197"/>
        <v>5</v>
      </c>
      <c r="G668" s="1">
        <f t="shared" si="180"/>
        <v>359</v>
      </c>
      <c r="H668" s="2">
        <f t="shared" si="199"/>
        <v>0.41122565864833904</v>
      </c>
      <c r="I668" s="6"/>
      <c r="J668" s="2">
        <f t="shared" si="181"/>
        <v>0.25085910652920962</v>
      </c>
      <c r="K668" s="2">
        <f t="shared" si="182"/>
        <v>0.66208476517754866</v>
      </c>
      <c r="L668" s="2">
        <f t="shared" si="183"/>
        <v>3.4364261168384879E-3</v>
      </c>
      <c r="M668" s="2">
        <f t="shared" si="198"/>
        <v>8.3619702176403229E-2</v>
      </c>
      <c r="N668" s="63">
        <v>219</v>
      </c>
      <c r="O668" s="63">
        <v>578</v>
      </c>
      <c r="P668" s="63">
        <v>3</v>
      </c>
      <c r="Q668" s="63">
        <v>64</v>
      </c>
      <c r="R668" s="63">
        <v>6</v>
      </c>
      <c r="S668" s="63">
        <v>3</v>
      </c>
      <c r="T668" s="67"/>
      <c r="U668" s="63"/>
      <c r="V668" s="63"/>
      <c r="W668" s="63">
        <f t="shared" si="195"/>
        <v>0</v>
      </c>
      <c r="X668" s="63"/>
      <c r="Y668" s="63"/>
      <c r="Z668" s="63"/>
      <c r="AA668" s="63"/>
      <c r="AB668" s="63"/>
      <c r="AE668" s="8">
        <v>0</v>
      </c>
      <c r="AT668" t="str">
        <f t="shared" si="200"/>
        <v>Wales</v>
      </c>
      <c r="AU668" t="s">
        <v>1118</v>
      </c>
      <c r="AV668">
        <v>2</v>
      </c>
      <c r="AX668" s="114">
        <v>23</v>
      </c>
      <c r="AY668" s="116">
        <v>1</v>
      </c>
      <c r="AZ668" s="116">
        <v>65</v>
      </c>
      <c r="BA668" s="120">
        <v>79585</v>
      </c>
      <c r="BB668" s="120">
        <f t="shared" si="201"/>
        <v>23001</v>
      </c>
      <c r="BC668" t="s">
        <v>1472</v>
      </c>
      <c r="BD668">
        <f t="shared" si="196"/>
        <v>2379585</v>
      </c>
      <c r="BE668" s="1">
        <v>18</v>
      </c>
      <c r="BI668">
        <v>17.09</v>
      </c>
      <c r="BJ668">
        <v>0.96</v>
      </c>
      <c r="BK668">
        <v>16.13</v>
      </c>
      <c r="BS668" s="63">
        <v>0</v>
      </c>
      <c r="CK668" s="1" t="s">
        <v>4214</v>
      </c>
    </row>
    <row r="669" spans="1:89" hidden="1" outlineLevel="1">
      <c r="A669" t="s">
        <v>481</v>
      </c>
      <c r="B669" s="8" t="s">
        <v>1697</v>
      </c>
      <c r="C669" s="1">
        <f t="shared" si="178"/>
        <v>291</v>
      </c>
      <c r="D669" s="5">
        <f>IF(N669&gt;0, RANK(N669,(N669:P669,Q669:AE669)),0)</f>
        <v>1</v>
      </c>
      <c r="E669" s="5">
        <f>IF(O669&gt;0,RANK(O669,(N669:P669,Q669:AE669)),0)</f>
        <v>2</v>
      </c>
      <c r="F669" s="5">
        <f t="shared" si="197"/>
        <v>0</v>
      </c>
      <c r="G669" s="1">
        <f t="shared" si="180"/>
        <v>27</v>
      </c>
      <c r="H669" s="2">
        <f t="shared" si="199"/>
        <v>9.2783505154639179E-2</v>
      </c>
      <c r="I669" s="6"/>
      <c r="J669" s="2">
        <f t="shared" si="181"/>
        <v>0.52920962199312716</v>
      </c>
      <c r="K669" s="2">
        <f t="shared" si="182"/>
        <v>0.43642611683848798</v>
      </c>
      <c r="L669" s="2">
        <f t="shared" si="183"/>
        <v>0</v>
      </c>
      <c r="M669" s="2">
        <f t="shared" si="198"/>
        <v>3.4364261168384869E-2</v>
      </c>
      <c r="N669" s="63">
        <v>154</v>
      </c>
      <c r="O669" s="63">
        <v>127</v>
      </c>
      <c r="P669" s="63">
        <v>0</v>
      </c>
      <c r="Q669" s="63">
        <v>9</v>
      </c>
      <c r="R669" s="63">
        <v>1</v>
      </c>
      <c r="S669" s="63">
        <v>0</v>
      </c>
      <c r="T669" s="67"/>
      <c r="U669" s="63"/>
      <c r="V669" s="63"/>
      <c r="W669" s="63">
        <f t="shared" si="195"/>
        <v>0</v>
      </c>
      <c r="X669" s="63"/>
      <c r="Y669" s="63"/>
      <c r="Z669" s="63"/>
      <c r="AA669" s="63"/>
      <c r="AB669" s="63"/>
      <c r="AE669" s="8">
        <v>0</v>
      </c>
      <c r="AT669" t="str">
        <f t="shared" si="200"/>
        <v>Wallagrass</v>
      </c>
      <c r="AU669" t="s">
        <v>2830</v>
      </c>
      <c r="AV669">
        <v>2</v>
      </c>
      <c r="AX669" s="114">
        <v>23</v>
      </c>
      <c r="AY669" s="116">
        <v>3</v>
      </c>
      <c r="AZ669" s="116">
        <v>315</v>
      </c>
      <c r="BA669" s="120">
        <v>79865</v>
      </c>
      <c r="BB669" s="120">
        <f t="shared" si="201"/>
        <v>23003</v>
      </c>
      <c r="BC669" t="s">
        <v>1472</v>
      </c>
      <c r="BD669">
        <f t="shared" si="196"/>
        <v>2379865</v>
      </c>
      <c r="BE669" s="1">
        <v>10</v>
      </c>
      <c r="BI669">
        <v>40.450000000000003</v>
      </c>
      <c r="BJ669">
        <v>0.68</v>
      </c>
      <c r="BK669">
        <v>39.76</v>
      </c>
      <c r="BS669" s="63">
        <v>0</v>
      </c>
      <c r="CK669" s="1" t="s">
        <v>4215</v>
      </c>
    </row>
    <row r="670" spans="1:89" hidden="1" outlineLevel="1">
      <c r="A670" t="s">
        <v>858</v>
      </c>
      <c r="B670" s="8" t="s">
        <v>1697</v>
      </c>
      <c r="C670" s="1">
        <f t="shared" si="178"/>
        <v>208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 t="shared" si="197"/>
        <v>5</v>
      </c>
      <c r="G670" s="1">
        <f t="shared" si="180"/>
        <v>93</v>
      </c>
      <c r="H670" s="2">
        <f t="shared" si="199"/>
        <v>0.44711538461538464</v>
      </c>
      <c r="I670" s="6"/>
      <c r="J670" s="2">
        <f t="shared" si="181"/>
        <v>0.23076923076923078</v>
      </c>
      <c r="K670" s="2">
        <f t="shared" si="182"/>
        <v>0.67788461538461542</v>
      </c>
      <c r="L670" s="2">
        <f t="shared" si="183"/>
        <v>4.807692307692308E-3</v>
      </c>
      <c r="M670" s="2">
        <f t="shared" si="198"/>
        <v>8.6538461538461439E-2</v>
      </c>
      <c r="N670" s="63">
        <v>48</v>
      </c>
      <c r="O670" s="63">
        <v>141</v>
      </c>
      <c r="P670" s="63">
        <v>1</v>
      </c>
      <c r="Q670" s="63">
        <v>15</v>
      </c>
      <c r="R670" s="63">
        <v>3</v>
      </c>
      <c r="S670" s="63">
        <v>0</v>
      </c>
      <c r="T670" s="67"/>
      <c r="U670" s="63"/>
      <c r="V670" s="63"/>
      <c r="W670" s="63">
        <f t="shared" si="195"/>
        <v>0</v>
      </c>
      <c r="X670" s="63"/>
      <c r="Y670" s="63"/>
      <c r="Z670" s="63"/>
      <c r="AA670" s="63"/>
      <c r="AB670" s="63"/>
      <c r="AE670" s="8">
        <v>0</v>
      </c>
      <c r="AT670" t="str">
        <f t="shared" si="200"/>
        <v>Waltham</v>
      </c>
      <c r="AU670" t="s">
        <v>597</v>
      </c>
      <c r="AV670">
        <v>2</v>
      </c>
      <c r="AX670" s="114">
        <v>23</v>
      </c>
      <c r="AY670" s="116">
        <v>9</v>
      </c>
      <c r="AZ670" s="116">
        <v>180</v>
      </c>
      <c r="BA670" s="120">
        <v>80040</v>
      </c>
      <c r="BB670" s="120">
        <f t="shared" si="201"/>
        <v>23009</v>
      </c>
      <c r="BC670" t="s">
        <v>1472</v>
      </c>
      <c r="BD670">
        <f t="shared" si="196"/>
        <v>2380040</v>
      </c>
      <c r="BE670" s="1">
        <v>2</v>
      </c>
      <c r="BI670">
        <v>32.99</v>
      </c>
      <c r="BJ670">
        <v>3.28</v>
      </c>
      <c r="BK670">
        <v>29.71</v>
      </c>
      <c r="BS670" s="63">
        <v>0</v>
      </c>
      <c r="CK670" s="1" t="s">
        <v>4216</v>
      </c>
    </row>
    <row r="671" spans="1:89" hidden="1" outlineLevel="1">
      <c r="A671" t="s">
        <v>422</v>
      </c>
      <c r="B671" s="8" t="s">
        <v>1697</v>
      </c>
      <c r="C671" s="1">
        <f t="shared" si="178"/>
        <v>2105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 t="shared" si="197"/>
        <v>5</v>
      </c>
      <c r="G671" s="1">
        <f t="shared" si="180"/>
        <v>416</v>
      </c>
      <c r="H671" s="2">
        <f t="shared" si="199"/>
        <v>0.19762470308788599</v>
      </c>
      <c r="I671" s="6"/>
      <c r="J671" s="2">
        <f t="shared" si="181"/>
        <v>0.36342042755344417</v>
      </c>
      <c r="K671" s="2">
        <f t="shared" si="182"/>
        <v>0.56104513064133021</v>
      </c>
      <c r="L671" s="2">
        <f t="shared" si="183"/>
        <v>2.3752969121140144E-3</v>
      </c>
      <c r="M671" s="2">
        <f t="shared" si="198"/>
        <v>7.3159144893111608E-2</v>
      </c>
      <c r="N671" s="63">
        <v>765</v>
      </c>
      <c r="O671" s="63">
        <v>1181</v>
      </c>
      <c r="P671" s="63">
        <v>5</v>
      </c>
      <c r="Q671" s="63">
        <v>109</v>
      </c>
      <c r="R671" s="63">
        <v>45</v>
      </c>
      <c r="S671" s="63">
        <v>0</v>
      </c>
      <c r="T671" s="67"/>
      <c r="U671" s="63"/>
      <c r="V671" s="63"/>
      <c r="W671" s="63">
        <f t="shared" si="195"/>
        <v>0</v>
      </c>
      <c r="X671" s="63"/>
      <c r="Y671" s="63"/>
      <c r="Z671" s="63"/>
      <c r="AA671" s="63"/>
      <c r="AB671" s="63"/>
      <c r="AE671" s="8">
        <v>0</v>
      </c>
      <c r="AT671" t="str">
        <f t="shared" si="200"/>
        <v>Warren</v>
      </c>
      <c r="AU671" t="s">
        <v>1729</v>
      </c>
      <c r="AV671">
        <v>1</v>
      </c>
      <c r="AX671" s="114">
        <v>23</v>
      </c>
      <c r="AY671" s="116">
        <v>13</v>
      </c>
      <c r="AZ671" s="116">
        <v>85</v>
      </c>
      <c r="BA671" s="120">
        <v>80215</v>
      </c>
      <c r="BB671" s="120">
        <f t="shared" si="201"/>
        <v>23013</v>
      </c>
      <c r="BC671" t="s">
        <v>1472</v>
      </c>
      <c r="BD671">
        <f t="shared" si="196"/>
        <v>2380215</v>
      </c>
      <c r="BE671" s="1">
        <v>48</v>
      </c>
      <c r="BI671">
        <v>48.68</v>
      </c>
      <c r="BJ671">
        <v>2.2999999999999998</v>
      </c>
      <c r="BK671">
        <v>46.38</v>
      </c>
      <c r="BS671" s="63">
        <v>0</v>
      </c>
      <c r="CK671" s="1" t="s">
        <v>4217</v>
      </c>
    </row>
    <row r="672" spans="1:89" hidden="1" outlineLevel="1">
      <c r="A672" t="s">
        <v>110</v>
      </c>
      <c r="B672" s="8" t="s">
        <v>1697</v>
      </c>
      <c r="C672" s="1">
        <f t="shared" si="178"/>
        <v>825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 t="shared" si="197"/>
        <v>5</v>
      </c>
      <c r="G672" s="1">
        <f t="shared" si="180"/>
        <v>198</v>
      </c>
      <c r="H672" s="2">
        <f t="shared" si="199"/>
        <v>0.24</v>
      </c>
      <c r="I672" s="6"/>
      <c r="J672" s="2">
        <f t="shared" si="181"/>
        <v>0.34424242424242424</v>
      </c>
      <c r="K672" s="2">
        <f t="shared" si="182"/>
        <v>0.58424242424242423</v>
      </c>
      <c r="L672" s="2">
        <f t="shared" si="183"/>
        <v>7.2727272727272727E-3</v>
      </c>
      <c r="M672" s="2">
        <f t="shared" si="198"/>
        <v>6.4242424242424254E-2</v>
      </c>
      <c r="N672" s="63">
        <v>284</v>
      </c>
      <c r="O672" s="63">
        <v>482</v>
      </c>
      <c r="P672" s="63">
        <v>6</v>
      </c>
      <c r="Q672" s="63">
        <v>45</v>
      </c>
      <c r="R672" s="63">
        <v>7</v>
      </c>
      <c r="S672" s="63">
        <v>0</v>
      </c>
      <c r="T672" s="67"/>
      <c r="U672" s="63"/>
      <c r="V672" s="63"/>
      <c r="W672" s="63">
        <f t="shared" si="195"/>
        <v>0</v>
      </c>
      <c r="X672" s="63"/>
      <c r="Y672" s="63"/>
      <c r="Z672" s="63"/>
      <c r="AA672" s="63"/>
      <c r="AB672" s="63"/>
      <c r="AE672" s="8">
        <v>1</v>
      </c>
      <c r="AT672" t="str">
        <f t="shared" si="200"/>
        <v>Washburn</v>
      </c>
      <c r="AU672" t="s">
        <v>2830</v>
      </c>
      <c r="AV672">
        <v>2</v>
      </c>
      <c r="AX672" s="114">
        <v>23</v>
      </c>
      <c r="AY672" s="116">
        <v>3</v>
      </c>
      <c r="AZ672" s="116">
        <v>320</v>
      </c>
      <c r="BA672" s="120">
        <v>80285</v>
      </c>
      <c r="BB672" s="120">
        <f t="shared" si="201"/>
        <v>23003</v>
      </c>
      <c r="BC672" t="s">
        <v>1472</v>
      </c>
      <c r="BD672">
        <f t="shared" si="196"/>
        <v>2380285</v>
      </c>
      <c r="BE672" s="1">
        <v>39</v>
      </c>
      <c r="BI672">
        <v>34.94</v>
      </c>
      <c r="BJ672">
        <v>0.7</v>
      </c>
      <c r="BK672">
        <v>34.24</v>
      </c>
      <c r="BS672" s="63">
        <v>0</v>
      </c>
      <c r="CK672" s="1" t="s">
        <v>4218</v>
      </c>
    </row>
    <row r="673" spans="1:89" hidden="1" outlineLevel="1">
      <c r="A673" t="s">
        <v>692</v>
      </c>
      <c r="B673" s="8" t="s">
        <v>1697</v>
      </c>
      <c r="C673" s="1">
        <f>SUM(N673:AR673)</f>
        <v>17</v>
      </c>
      <c r="D673" s="5">
        <f>IF(N673&gt;0, RANK(N673,(N673:P673,Q673:AE673)),0)</f>
        <v>2</v>
      </c>
      <c r="E673" s="5">
        <f>IF(O673&gt;0,RANK(O673,(N673:P673,Q673:AE673)),0)</f>
        <v>1</v>
      </c>
      <c r="F673" s="5">
        <f t="shared" si="197"/>
        <v>0</v>
      </c>
      <c r="G673" s="1">
        <f t="shared" si="180"/>
        <v>2</v>
      </c>
      <c r="H673" s="2">
        <f t="shared" si="199"/>
        <v>0.11764705882352941</v>
      </c>
      <c r="I673" s="6"/>
      <c r="J673" s="2">
        <f t="shared" si="181"/>
        <v>0.41176470588235292</v>
      </c>
      <c r="K673" s="2">
        <f t="shared" si="182"/>
        <v>0.52941176470588236</v>
      </c>
      <c r="L673" s="2">
        <f t="shared" si="183"/>
        <v>0</v>
      </c>
      <c r="M673" s="2">
        <f t="shared" si="198"/>
        <v>5.8823529411764719E-2</v>
      </c>
      <c r="N673" s="63">
        <v>7</v>
      </c>
      <c r="O673" s="63">
        <v>9</v>
      </c>
      <c r="P673" s="63">
        <v>0</v>
      </c>
      <c r="Q673" s="63">
        <v>1</v>
      </c>
      <c r="R673" s="63">
        <v>0</v>
      </c>
      <c r="S673" s="63">
        <v>0</v>
      </c>
      <c r="T673" s="67"/>
      <c r="U673" s="63"/>
      <c r="V673" s="63"/>
      <c r="W673" s="63">
        <f t="shared" si="195"/>
        <v>0</v>
      </c>
      <c r="X673" s="63"/>
      <c r="Y673" s="63"/>
      <c r="Z673" s="63"/>
      <c r="AA673" s="63"/>
      <c r="AB673" s="63"/>
      <c r="AE673" s="8">
        <v>0</v>
      </c>
      <c r="AT673" t="str">
        <f t="shared" si="200"/>
        <v>Washington</v>
      </c>
      <c r="AU673" t="s">
        <v>1138</v>
      </c>
      <c r="AV673">
        <v>2</v>
      </c>
      <c r="AX673" s="114">
        <v>23</v>
      </c>
      <c r="AY673" s="116">
        <v>7</v>
      </c>
      <c r="BA673" s="142">
        <v>80420</v>
      </c>
      <c r="BB673" s="120">
        <f t="shared" si="201"/>
        <v>23007</v>
      </c>
      <c r="BC673" t="s">
        <v>957</v>
      </c>
      <c r="BD673">
        <f t="shared" si="196"/>
        <v>2380420</v>
      </c>
      <c r="BE673" s="1">
        <v>0</v>
      </c>
      <c r="BS673" s="63">
        <v>0</v>
      </c>
      <c r="CK673" s="1" t="s">
        <v>4219</v>
      </c>
    </row>
    <row r="674" spans="1:89" hidden="1" outlineLevel="1">
      <c r="A674" t="s">
        <v>692</v>
      </c>
      <c r="B674" s="8" t="s">
        <v>1697</v>
      </c>
      <c r="C674" s="1">
        <f t="shared" si="178"/>
        <v>920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 t="shared" si="197"/>
        <v>5</v>
      </c>
      <c r="G674" s="1">
        <f t="shared" si="180"/>
        <v>184</v>
      </c>
      <c r="H674" s="2">
        <f t="shared" si="199"/>
        <v>0.2</v>
      </c>
      <c r="I674" s="6"/>
      <c r="J674" s="2">
        <f t="shared" si="181"/>
        <v>0.35108695652173916</v>
      </c>
      <c r="K674" s="2">
        <f t="shared" si="182"/>
        <v>0.55108695652173911</v>
      </c>
      <c r="L674" s="2">
        <f t="shared" si="183"/>
        <v>4.3478260869565218E-3</v>
      </c>
      <c r="M674" s="2">
        <f t="shared" si="198"/>
        <v>9.3478260869565205E-2</v>
      </c>
      <c r="N674" s="63">
        <v>323</v>
      </c>
      <c r="O674" s="63">
        <v>507</v>
      </c>
      <c r="P674" s="63">
        <v>4</v>
      </c>
      <c r="Q674" s="63">
        <v>50</v>
      </c>
      <c r="R674" s="63">
        <v>36</v>
      </c>
      <c r="S674" s="63">
        <v>0</v>
      </c>
      <c r="T674" s="67"/>
      <c r="U674" s="63"/>
      <c r="V674" s="63"/>
      <c r="W674" s="63">
        <f t="shared" ref="W674:W705" si="202">BS674</f>
        <v>0</v>
      </c>
      <c r="X674" s="63"/>
      <c r="Y674" s="63"/>
      <c r="Z674" s="63"/>
      <c r="AA674" s="63"/>
      <c r="AB674" s="63"/>
      <c r="AE674" s="8">
        <v>0</v>
      </c>
      <c r="AT674" t="str">
        <f t="shared" si="200"/>
        <v>Washington</v>
      </c>
      <c r="AU674" t="s">
        <v>1729</v>
      </c>
      <c r="AV674">
        <v>1</v>
      </c>
      <c r="AX674" s="114">
        <v>23</v>
      </c>
      <c r="AY674" s="116">
        <v>13</v>
      </c>
      <c r="AZ674" s="116">
        <v>90</v>
      </c>
      <c r="BA674" s="120">
        <v>80425</v>
      </c>
      <c r="BB674" s="120">
        <f t="shared" si="201"/>
        <v>23013</v>
      </c>
      <c r="BC674" t="s">
        <v>1472</v>
      </c>
      <c r="BD674">
        <f t="shared" si="196"/>
        <v>2380425</v>
      </c>
      <c r="BE674" s="1">
        <v>30</v>
      </c>
      <c r="BI674">
        <v>39.19</v>
      </c>
      <c r="BJ674">
        <v>1.19</v>
      </c>
      <c r="BK674">
        <v>37.99</v>
      </c>
      <c r="BS674" s="63">
        <v>0</v>
      </c>
      <c r="CK674" s="1" t="s">
        <v>4220</v>
      </c>
    </row>
    <row r="675" spans="1:89" hidden="1" outlineLevel="1">
      <c r="A675" t="s">
        <v>158</v>
      </c>
      <c r="B675" s="8" t="s">
        <v>1697</v>
      </c>
      <c r="C675" s="1">
        <f t="shared" si="178"/>
        <v>3880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 t="shared" si="197"/>
        <v>5</v>
      </c>
      <c r="G675" s="1">
        <f t="shared" si="180"/>
        <v>816</v>
      </c>
      <c r="H675" s="2">
        <f t="shared" si="199"/>
        <v>0.21030927835051547</v>
      </c>
      <c r="I675" s="6"/>
      <c r="J675" s="2">
        <f t="shared" si="181"/>
        <v>0.35386597938144332</v>
      </c>
      <c r="K675" s="2">
        <f t="shared" si="182"/>
        <v>0.56417525773195876</v>
      </c>
      <c r="L675" s="2">
        <f t="shared" si="183"/>
        <v>1.288659793814433E-3</v>
      </c>
      <c r="M675" s="2">
        <f t="shared" si="198"/>
        <v>8.0670103092783441E-2</v>
      </c>
      <c r="N675" s="63">
        <v>1373</v>
      </c>
      <c r="O675" s="63">
        <v>2189</v>
      </c>
      <c r="P675" s="63">
        <v>5</v>
      </c>
      <c r="Q675" s="63">
        <v>231</v>
      </c>
      <c r="R675" s="63">
        <v>82</v>
      </c>
      <c r="S675" s="63">
        <v>0</v>
      </c>
      <c r="T675" s="67"/>
      <c r="U675" s="63"/>
      <c r="V675" s="63"/>
      <c r="W675" s="63">
        <f t="shared" si="202"/>
        <v>0</v>
      </c>
      <c r="X675" s="63"/>
      <c r="Y675" s="63"/>
      <c r="Z675" s="63"/>
      <c r="AA675" s="63"/>
      <c r="AB675" s="63"/>
      <c r="AE675" s="8">
        <v>0</v>
      </c>
      <c r="AT675" t="str">
        <f t="shared" si="200"/>
        <v>Waterboro</v>
      </c>
      <c r="AU675" t="s">
        <v>925</v>
      </c>
      <c r="AV675">
        <v>1</v>
      </c>
      <c r="AX675" s="114">
        <v>23</v>
      </c>
      <c r="AY675" s="116">
        <v>31</v>
      </c>
      <c r="AZ675" s="116">
        <v>130</v>
      </c>
      <c r="BA675" s="120">
        <v>80530</v>
      </c>
      <c r="BB675" s="120">
        <f t="shared" si="201"/>
        <v>23031</v>
      </c>
      <c r="BC675" t="s">
        <v>1472</v>
      </c>
      <c r="BD675">
        <f t="shared" si="196"/>
        <v>2380530</v>
      </c>
      <c r="BE675" s="1">
        <v>120</v>
      </c>
      <c r="BI675">
        <v>57.38</v>
      </c>
      <c r="BJ675">
        <v>1.84</v>
      </c>
      <c r="BK675">
        <v>55.53</v>
      </c>
      <c r="BS675" s="63">
        <v>0</v>
      </c>
      <c r="CK675" s="1" t="s">
        <v>4221</v>
      </c>
    </row>
    <row r="676" spans="1:89" hidden="1" outlineLevel="1">
      <c r="A676" t="s">
        <v>1058</v>
      </c>
      <c r="B676" s="8" t="s">
        <v>1697</v>
      </c>
      <c r="C676" s="1">
        <f t="shared" si="178"/>
        <v>910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 t="shared" si="197"/>
        <v>0</v>
      </c>
      <c r="G676" s="1">
        <f t="shared" si="180"/>
        <v>155</v>
      </c>
      <c r="H676" s="2">
        <f t="shared" si="199"/>
        <v>0.17032967032967034</v>
      </c>
      <c r="I676" s="6"/>
      <c r="J676" s="2">
        <f t="shared" si="181"/>
        <v>0.37142857142857144</v>
      </c>
      <c r="K676" s="2">
        <f t="shared" si="182"/>
        <v>0.54175824175824172</v>
      </c>
      <c r="L676" s="2">
        <f t="shared" si="183"/>
        <v>0</v>
      </c>
      <c r="M676" s="2">
        <f t="shared" si="198"/>
        <v>8.6813186813186838E-2</v>
      </c>
      <c r="N676" s="63">
        <v>338</v>
      </c>
      <c r="O676" s="63">
        <v>493</v>
      </c>
      <c r="P676" s="63">
        <v>0</v>
      </c>
      <c r="Q676" s="63">
        <v>59</v>
      </c>
      <c r="R676" s="63">
        <v>20</v>
      </c>
      <c r="S676" s="63">
        <v>0</v>
      </c>
      <c r="T676" s="67"/>
      <c r="U676" s="63"/>
      <c r="V676" s="63"/>
      <c r="W676" s="63">
        <f t="shared" si="202"/>
        <v>0</v>
      </c>
      <c r="X676" s="63"/>
      <c r="Y676" s="63"/>
      <c r="Z676" s="63"/>
      <c r="AA676" s="63"/>
      <c r="AB676" s="63"/>
      <c r="AE676" s="8">
        <v>0</v>
      </c>
      <c r="AT676" t="str">
        <f t="shared" si="200"/>
        <v>Waterford</v>
      </c>
      <c r="AU676" t="s">
        <v>2383</v>
      </c>
      <c r="AV676">
        <v>2</v>
      </c>
      <c r="AX676" s="114">
        <v>23</v>
      </c>
      <c r="AY676" s="116">
        <v>17</v>
      </c>
      <c r="AZ676" s="116">
        <v>165</v>
      </c>
      <c r="BA676" s="120">
        <v>80635</v>
      </c>
      <c r="BB676" s="120">
        <f t="shared" si="201"/>
        <v>23017</v>
      </c>
      <c r="BC676" t="s">
        <v>1472</v>
      </c>
      <c r="BD676">
        <f t="shared" si="196"/>
        <v>2380635</v>
      </c>
      <c r="BE676" s="1">
        <v>37</v>
      </c>
      <c r="BI676">
        <v>53.12</v>
      </c>
      <c r="BJ676">
        <v>2.65</v>
      </c>
      <c r="BK676">
        <v>50.48</v>
      </c>
      <c r="BS676" s="63">
        <v>0</v>
      </c>
      <c r="CK676" s="1" t="s">
        <v>4222</v>
      </c>
    </row>
    <row r="677" spans="1:89" hidden="1" outlineLevel="1">
      <c r="A677" t="s">
        <v>421</v>
      </c>
      <c r="B677" s="8" t="s">
        <v>1697</v>
      </c>
      <c r="C677" s="1">
        <f t="shared" ref="C677:C722" si="203">SUM(N677:AR677)</f>
        <v>7186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 t="shared" si="197"/>
        <v>5</v>
      </c>
      <c r="G677" s="1">
        <f t="shared" si="180"/>
        <v>1747</v>
      </c>
      <c r="H677" s="2">
        <f t="shared" si="199"/>
        <v>0.24311160590036182</v>
      </c>
      <c r="I677" s="6"/>
      <c r="J677" s="2">
        <f t="shared" si="181"/>
        <v>0.58043417756749238</v>
      </c>
      <c r="K677" s="2">
        <f t="shared" si="182"/>
        <v>0.33732257166713053</v>
      </c>
      <c r="L677" s="2">
        <f t="shared" si="183"/>
        <v>3.4789869190091846E-3</v>
      </c>
      <c r="M677" s="2">
        <f t="shared" si="198"/>
        <v>7.8764263846367893E-2</v>
      </c>
      <c r="N677" s="63">
        <v>4171</v>
      </c>
      <c r="O677" s="63">
        <v>2424</v>
      </c>
      <c r="P677" s="63">
        <v>25</v>
      </c>
      <c r="Q677" s="63">
        <v>412</v>
      </c>
      <c r="R677" s="63">
        <v>152</v>
      </c>
      <c r="S677" s="63">
        <v>2</v>
      </c>
      <c r="T677" s="67"/>
      <c r="U677" s="63"/>
      <c r="V677" s="63"/>
      <c r="W677" s="63">
        <f t="shared" si="202"/>
        <v>0</v>
      </c>
      <c r="X677" s="63"/>
      <c r="Y677" s="63"/>
      <c r="Z677" s="63"/>
      <c r="AA677" s="63"/>
      <c r="AB677" s="63"/>
      <c r="AE677" s="8">
        <v>0</v>
      </c>
      <c r="AT677" t="str">
        <f t="shared" si="200"/>
        <v>Waterville</v>
      </c>
      <c r="AU677" t="s">
        <v>3007</v>
      </c>
      <c r="AV677">
        <v>1</v>
      </c>
      <c r="AX677" s="114">
        <v>23</v>
      </c>
      <c r="AY677" s="116">
        <v>11</v>
      </c>
      <c r="AZ677" s="116">
        <v>120</v>
      </c>
      <c r="BA677" s="120">
        <v>80740</v>
      </c>
      <c r="BB677" s="120">
        <f t="shared" si="201"/>
        <v>23011</v>
      </c>
      <c r="BC677" t="s">
        <v>1249</v>
      </c>
      <c r="BD677">
        <f t="shared" si="196"/>
        <v>2380740</v>
      </c>
      <c r="BE677" s="1">
        <v>247</v>
      </c>
      <c r="BI677">
        <v>14.05</v>
      </c>
      <c r="BJ677">
        <v>0.47</v>
      </c>
      <c r="BK677">
        <v>13.59</v>
      </c>
      <c r="BS677" s="63">
        <v>0</v>
      </c>
      <c r="CK677" s="1" t="s">
        <v>4223</v>
      </c>
    </row>
    <row r="678" spans="1:89" hidden="1" outlineLevel="1">
      <c r="A678" t="s">
        <v>423</v>
      </c>
      <c r="B678" s="8" t="s">
        <v>1697</v>
      </c>
      <c r="C678" s="1">
        <f t="shared" si="203"/>
        <v>802</v>
      </c>
      <c r="D678" s="5">
        <f>IF(N678&gt;0, RANK(N678,(N678:P678,Q678:AE678)),0)</f>
        <v>1</v>
      </c>
      <c r="E678" s="5">
        <f>IF(O678&gt;0,RANK(O678,(N678:P678,Q678:AE678)),0)</f>
        <v>2</v>
      </c>
      <c r="F678" s="5">
        <f t="shared" si="197"/>
        <v>0</v>
      </c>
      <c r="G678" s="1">
        <f t="shared" si="180"/>
        <v>103</v>
      </c>
      <c r="H678" s="2">
        <f t="shared" si="199"/>
        <v>0.128428927680798</v>
      </c>
      <c r="I678" s="6"/>
      <c r="J678" s="2">
        <f t="shared" si="181"/>
        <v>0.52867830423940154</v>
      </c>
      <c r="K678" s="2">
        <f t="shared" si="182"/>
        <v>0.40024937655860349</v>
      </c>
      <c r="L678" s="2">
        <f t="shared" si="183"/>
        <v>0</v>
      </c>
      <c r="M678" s="2">
        <f t="shared" si="198"/>
        <v>7.1072319201994971E-2</v>
      </c>
      <c r="N678" s="63">
        <v>424</v>
      </c>
      <c r="O678" s="63">
        <v>321</v>
      </c>
      <c r="P678" s="63">
        <v>0</v>
      </c>
      <c r="Q678" s="63">
        <v>42</v>
      </c>
      <c r="R678" s="63">
        <v>15</v>
      </c>
      <c r="S678" s="63">
        <v>0</v>
      </c>
      <c r="T678" s="67"/>
      <c r="U678" s="63"/>
      <c r="V678" s="63"/>
      <c r="W678" s="63">
        <f t="shared" si="202"/>
        <v>0</v>
      </c>
      <c r="X678" s="63"/>
      <c r="Y678" s="63"/>
      <c r="Z678" s="63"/>
      <c r="AA678" s="63"/>
      <c r="AB678" s="63"/>
      <c r="AE678" s="8">
        <v>0</v>
      </c>
      <c r="AT678" t="str">
        <f t="shared" si="200"/>
        <v>Wayne</v>
      </c>
      <c r="AU678" t="s">
        <v>3007</v>
      </c>
      <c r="AV678">
        <v>2</v>
      </c>
      <c r="AX678" s="114">
        <v>23</v>
      </c>
      <c r="AY678" s="116">
        <v>11</v>
      </c>
      <c r="AZ678" s="116">
        <v>125</v>
      </c>
      <c r="BA678" s="120">
        <v>80880</v>
      </c>
      <c r="BB678" s="120">
        <f t="shared" si="201"/>
        <v>23011</v>
      </c>
      <c r="BC678" t="s">
        <v>1472</v>
      </c>
      <c r="BD678">
        <f t="shared" si="196"/>
        <v>2380880</v>
      </c>
      <c r="BE678" s="1">
        <v>13</v>
      </c>
      <c r="BI678">
        <v>25.61</v>
      </c>
      <c r="BJ678">
        <v>6.39</v>
      </c>
      <c r="BK678">
        <v>19.22</v>
      </c>
      <c r="BS678" s="63">
        <v>0</v>
      </c>
      <c r="CK678" s="1" t="s">
        <v>4224</v>
      </c>
    </row>
    <row r="679" spans="1:89" hidden="1" outlineLevel="1">
      <c r="A679" t="s">
        <v>697</v>
      </c>
      <c r="B679" s="8" t="s">
        <v>1697</v>
      </c>
      <c r="C679" s="1">
        <f t="shared" si="203"/>
        <v>32</v>
      </c>
      <c r="D679" s="5">
        <f>IF(N679&gt;0, RANK(N679,(N679:P679,Q679:AE679)),0)</f>
        <v>2</v>
      </c>
      <c r="E679" s="5">
        <f>IF(O679&gt;0,RANK(O679,(N679:P679,Q679:AE679)),0)</f>
        <v>1</v>
      </c>
      <c r="F679" s="5">
        <f t="shared" si="197"/>
        <v>0</v>
      </c>
      <c r="G679" s="1">
        <f t="shared" si="180"/>
        <v>21</v>
      </c>
      <c r="H679" s="2">
        <f t="shared" si="199"/>
        <v>0.65625</v>
      </c>
      <c r="I679" s="6"/>
      <c r="J679" s="2">
        <f t="shared" si="181"/>
        <v>0.15625</v>
      </c>
      <c r="K679" s="2">
        <f t="shared" si="182"/>
        <v>0.8125</v>
      </c>
      <c r="L679" s="2">
        <f t="shared" si="183"/>
        <v>0</v>
      </c>
      <c r="M679" s="2">
        <f t="shared" si="198"/>
        <v>3.125E-2</v>
      </c>
      <c r="N679" s="63">
        <v>5</v>
      </c>
      <c r="O679" s="63">
        <v>26</v>
      </c>
      <c r="P679" s="63">
        <v>0</v>
      </c>
      <c r="Q679" s="63">
        <v>1</v>
      </c>
      <c r="R679" s="63">
        <v>0</v>
      </c>
      <c r="S679" s="63">
        <v>0</v>
      </c>
      <c r="T679" s="67"/>
      <c r="U679" s="63"/>
      <c r="V679" s="63"/>
      <c r="W679" s="63">
        <f t="shared" si="202"/>
        <v>0</v>
      </c>
      <c r="X679" s="63"/>
      <c r="Y679" s="63"/>
      <c r="Z679" s="63"/>
      <c r="AA679" s="63"/>
      <c r="AB679" s="63"/>
      <c r="AE679" s="8">
        <v>0</v>
      </c>
      <c r="AT679" t="str">
        <f t="shared" si="200"/>
        <v>Webster</v>
      </c>
      <c r="AU679" t="s">
        <v>2481</v>
      </c>
      <c r="AV679">
        <v>2</v>
      </c>
      <c r="AX679" s="114">
        <v>23</v>
      </c>
      <c r="AY679" s="116">
        <v>19</v>
      </c>
      <c r="AZ679" s="116">
        <v>300</v>
      </c>
      <c r="BA679" s="120">
        <v>81055</v>
      </c>
      <c r="BB679" s="120">
        <f t="shared" si="201"/>
        <v>23019</v>
      </c>
      <c r="BC679" t="s">
        <v>3075</v>
      </c>
      <c r="BD679">
        <f t="shared" si="196"/>
        <v>2381055</v>
      </c>
      <c r="BE679" s="1">
        <v>0</v>
      </c>
      <c r="BI679">
        <v>36.92</v>
      </c>
      <c r="BJ679">
        <v>0.08</v>
      </c>
      <c r="BK679">
        <v>36.840000000000003</v>
      </c>
      <c r="BS679" s="63">
        <v>0</v>
      </c>
      <c r="CK679" s="1" t="s">
        <v>4225</v>
      </c>
    </row>
    <row r="680" spans="1:89" hidden="1" outlineLevel="1">
      <c r="A680" t="s">
        <v>769</v>
      </c>
      <c r="B680" s="8" t="s">
        <v>1697</v>
      </c>
      <c r="C680" s="1">
        <f t="shared" si="203"/>
        <v>275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 t="shared" si="197"/>
        <v>0</v>
      </c>
      <c r="G680" s="1">
        <f t="shared" si="180"/>
        <v>39</v>
      </c>
      <c r="H680" s="2">
        <f t="shared" si="199"/>
        <v>0.14181818181818182</v>
      </c>
      <c r="I680" s="6"/>
      <c r="J680" s="2">
        <f t="shared" si="181"/>
        <v>0.39636363636363636</v>
      </c>
      <c r="K680" s="2">
        <f t="shared" si="182"/>
        <v>0.53818181818181821</v>
      </c>
      <c r="L680" s="2">
        <f t="shared" si="183"/>
        <v>0</v>
      </c>
      <c r="M680" s="2">
        <f t="shared" si="198"/>
        <v>6.5454545454545432E-2</v>
      </c>
      <c r="N680" s="63">
        <v>109</v>
      </c>
      <c r="O680" s="63">
        <v>148</v>
      </c>
      <c r="P680" s="63">
        <v>0</v>
      </c>
      <c r="Q680" s="63">
        <v>17</v>
      </c>
      <c r="R680" s="63">
        <v>1</v>
      </c>
      <c r="S680" s="63">
        <v>0</v>
      </c>
      <c r="T680" s="67"/>
      <c r="U680" s="63"/>
      <c r="V680" s="63"/>
      <c r="W680" s="63">
        <f t="shared" si="202"/>
        <v>0</v>
      </c>
      <c r="X680" s="63"/>
      <c r="Y680" s="63"/>
      <c r="Z680" s="63"/>
      <c r="AA680" s="63"/>
      <c r="AB680" s="63"/>
      <c r="AE680" s="8">
        <v>0</v>
      </c>
      <c r="AT680" t="str">
        <f t="shared" si="200"/>
        <v>Weld</v>
      </c>
      <c r="AU680" t="s">
        <v>1138</v>
      </c>
      <c r="AV680">
        <v>2</v>
      </c>
      <c r="AX680" s="114">
        <v>23</v>
      </c>
      <c r="AY680" s="116">
        <v>7</v>
      </c>
      <c r="AZ680" s="116">
        <v>100</v>
      </c>
      <c r="BA680" s="120">
        <v>81300</v>
      </c>
      <c r="BB680" s="120">
        <f t="shared" si="201"/>
        <v>23007</v>
      </c>
      <c r="BC680" t="s">
        <v>1472</v>
      </c>
      <c r="BD680">
        <f t="shared" si="196"/>
        <v>2381300</v>
      </c>
      <c r="BE680" s="1">
        <v>13</v>
      </c>
      <c r="BI680">
        <v>63</v>
      </c>
      <c r="BJ680">
        <v>3.39</v>
      </c>
      <c r="BK680">
        <v>59.61</v>
      </c>
      <c r="BS680" s="63">
        <v>0</v>
      </c>
      <c r="CK680" s="1" t="s">
        <v>4226</v>
      </c>
    </row>
    <row r="681" spans="1:89" hidden="1" outlineLevel="1">
      <c r="A681" t="s">
        <v>811</v>
      </c>
      <c r="B681" s="8" t="s">
        <v>1697</v>
      </c>
      <c r="C681" s="1">
        <f t="shared" si="203"/>
        <v>117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 t="shared" si="197"/>
        <v>0</v>
      </c>
      <c r="G681" s="1">
        <f t="shared" si="180"/>
        <v>14</v>
      </c>
      <c r="H681" s="2">
        <f t="shared" si="199"/>
        <v>0.11965811965811966</v>
      </c>
      <c r="I681" s="6"/>
      <c r="J681" s="2">
        <f t="shared" si="181"/>
        <v>0.41025641025641024</v>
      </c>
      <c r="K681" s="2">
        <f t="shared" si="182"/>
        <v>0.52991452991452992</v>
      </c>
      <c r="L681" s="2">
        <f t="shared" si="183"/>
        <v>0</v>
      </c>
      <c r="M681" s="2">
        <f t="shared" si="198"/>
        <v>5.9829059829059839E-2</v>
      </c>
      <c r="N681" s="63">
        <v>48</v>
      </c>
      <c r="O681" s="63">
        <v>62</v>
      </c>
      <c r="P681" s="63">
        <v>0</v>
      </c>
      <c r="Q681" s="63">
        <v>5</v>
      </c>
      <c r="R681" s="63">
        <v>2</v>
      </c>
      <c r="S681" s="63">
        <v>0</v>
      </c>
      <c r="T681" s="67"/>
      <c r="U681" s="63"/>
      <c r="V681" s="63"/>
      <c r="W681" s="63">
        <f t="shared" si="202"/>
        <v>0</v>
      </c>
      <c r="X681" s="63"/>
      <c r="Y681" s="63"/>
      <c r="Z681" s="63"/>
      <c r="AA681" s="63"/>
      <c r="AB681" s="63"/>
      <c r="AE681" s="8">
        <v>0</v>
      </c>
      <c r="AT681" t="str">
        <f t="shared" si="200"/>
        <v>Wellington</v>
      </c>
      <c r="AU681" t="s">
        <v>1957</v>
      </c>
      <c r="AV681">
        <v>2</v>
      </c>
      <c r="AX681" s="114">
        <v>23</v>
      </c>
      <c r="AY681" s="116">
        <v>21</v>
      </c>
      <c r="AZ681" s="116">
        <v>95</v>
      </c>
      <c r="BA681" s="120">
        <v>81405</v>
      </c>
      <c r="BB681" s="120">
        <f t="shared" si="201"/>
        <v>23021</v>
      </c>
      <c r="BC681" t="s">
        <v>1472</v>
      </c>
      <c r="BD681">
        <f t="shared" si="196"/>
        <v>2381405</v>
      </c>
      <c r="BE681" s="1">
        <v>3</v>
      </c>
      <c r="BI681">
        <v>39.94</v>
      </c>
      <c r="BJ681">
        <v>0.04</v>
      </c>
      <c r="BK681">
        <v>39.9</v>
      </c>
      <c r="BS681" s="63">
        <v>0</v>
      </c>
      <c r="CK681" s="1" t="s">
        <v>4227</v>
      </c>
    </row>
    <row r="682" spans="1:89" hidden="1" outlineLevel="1">
      <c r="A682" t="s">
        <v>720</v>
      </c>
      <c r="B682" s="8" t="s">
        <v>1697</v>
      </c>
      <c r="C682" s="1">
        <f t="shared" si="203"/>
        <v>6522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 t="shared" si="197"/>
        <v>5</v>
      </c>
      <c r="G682" s="1">
        <f t="shared" si="180"/>
        <v>468</v>
      </c>
      <c r="H682" s="2">
        <f t="shared" si="199"/>
        <v>7.1757129714811407E-2</v>
      </c>
      <c r="I682" s="6"/>
      <c r="J682" s="2">
        <f t="shared" si="181"/>
        <v>0.50214658080343455</v>
      </c>
      <c r="K682" s="2">
        <f t="shared" si="182"/>
        <v>0.43038945108862314</v>
      </c>
      <c r="L682" s="2">
        <f t="shared" si="183"/>
        <v>2.4532352039251764E-3</v>
      </c>
      <c r="M682" s="2">
        <f t="shared" si="198"/>
        <v>6.5010732904017127E-2</v>
      </c>
      <c r="N682" s="63">
        <v>3275</v>
      </c>
      <c r="O682" s="63">
        <v>2807</v>
      </c>
      <c r="P682" s="63">
        <v>16</v>
      </c>
      <c r="Q682" s="63">
        <v>334</v>
      </c>
      <c r="R682" s="63">
        <v>86</v>
      </c>
      <c r="S682" s="63">
        <v>3</v>
      </c>
      <c r="T682" s="67"/>
      <c r="U682" s="63"/>
      <c r="V682" s="63"/>
      <c r="W682" s="63">
        <f t="shared" si="202"/>
        <v>0</v>
      </c>
      <c r="X682" s="63"/>
      <c r="Y682" s="63"/>
      <c r="Z682" s="63"/>
      <c r="AA682" s="63"/>
      <c r="AB682" s="63"/>
      <c r="AE682" s="8">
        <v>1</v>
      </c>
      <c r="AT682" t="str">
        <f t="shared" si="200"/>
        <v>Wells</v>
      </c>
      <c r="AU682" t="s">
        <v>925</v>
      </c>
      <c r="AV682">
        <v>1</v>
      </c>
      <c r="AX682" s="114">
        <v>23</v>
      </c>
      <c r="AY682" s="116">
        <v>31</v>
      </c>
      <c r="AZ682" s="116">
        <v>135</v>
      </c>
      <c r="BA682" s="120">
        <v>81475</v>
      </c>
      <c r="BB682" s="120">
        <f t="shared" si="201"/>
        <v>23031</v>
      </c>
      <c r="BC682" t="s">
        <v>1472</v>
      </c>
      <c r="BD682">
        <f t="shared" si="196"/>
        <v>2381475</v>
      </c>
      <c r="BE682" s="1">
        <v>271</v>
      </c>
      <c r="BI682">
        <v>58.16</v>
      </c>
      <c r="BJ682">
        <v>0.51</v>
      </c>
      <c r="BK682">
        <v>57.64</v>
      </c>
      <c r="BS682" s="63">
        <v>0</v>
      </c>
      <c r="CK682" s="1" t="s">
        <v>4228</v>
      </c>
    </row>
    <row r="683" spans="1:89" hidden="1" outlineLevel="1">
      <c r="A683" t="s">
        <v>906</v>
      </c>
      <c r="B683" s="8" t="s">
        <v>1697</v>
      </c>
      <c r="C683" s="1">
        <f t="shared" si="203"/>
        <v>76</v>
      </c>
      <c r="D683" s="5">
        <f>IF(N683&gt;0, RANK(N683,(N683:P683,Q683:AE683)),0)</f>
        <v>2</v>
      </c>
      <c r="E683" s="5">
        <f>IF(O683&gt;0,RANK(O683,(N683:P683,Q683:AE683)),0)</f>
        <v>1</v>
      </c>
      <c r="F683" s="5">
        <f t="shared" si="197"/>
        <v>0</v>
      </c>
      <c r="G683" s="1">
        <f t="shared" si="180"/>
        <v>17</v>
      </c>
      <c r="H683" s="2">
        <f t="shared" si="199"/>
        <v>0.22368421052631579</v>
      </c>
      <c r="I683" s="6"/>
      <c r="J683" s="2">
        <f t="shared" si="181"/>
        <v>0.35526315789473684</v>
      </c>
      <c r="K683" s="2">
        <f t="shared" si="182"/>
        <v>0.57894736842105265</v>
      </c>
      <c r="L683" s="2">
        <f t="shared" si="183"/>
        <v>0</v>
      </c>
      <c r="M683" s="2">
        <f t="shared" si="198"/>
        <v>6.5789473684210509E-2</v>
      </c>
      <c r="N683" s="63">
        <v>27</v>
      </c>
      <c r="O683" s="63">
        <v>44</v>
      </c>
      <c r="P683" s="63">
        <v>0</v>
      </c>
      <c r="Q683" s="63">
        <v>3</v>
      </c>
      <c r="R683" s="63">
        <v>2</v>
      </c>
      <c r="S683" s="63">
        <v>0</v>
      </c>
      <c r="T683" s="67"/>
      <c r="U683" s="63"/>
      <c r="V683" s="63"/>
      <c r="W683" s="63">
        <f t="shared" si="202"/>
        <v>0</v>
      </c>
      <c r="X683" s="63"/>
      <c r="Y683" s="63"/>
      <c r="Z683" s="63"/>
      <c r="AA683" s="63"/>
      <c r="AB683" s="63"/>
      <c r="AE683" s="8">
        <v>0</v>
      </c>
      <c r="AT683" t="str">
        <f t="shared" si="200"/>
        <v>Wesley</v>
      </c>
      <c r="AU683" t="s">
        <v>692</v>
      </c>
      <c r="AV683">
        <v>2</v>
      </c>
      <c r="AX683" s="114">
        <v>23</v>
      </c>
      <c r="AY683" s="116">
        <v>29</v>
      </c>
      <c r="AZ683" s="116">
        <v>215</v>
      </c>
      <c r="BA683" s="120">
        <v>81685</v>
      </c>
      <c r="BB683" s="120">
        <f t="shared" si="201"/>
        <v>23029</v>
      </c>
      <c r="BC683" t="s">
        <v>1472</v>
      </c>
      <c r="BD683">
        <f t="shared" si="196"/>
        <v>2381685</v>
      </c>
      <c r="BE683" s="1">
        <v>7</v>
      </c>
      <c r="BI683">
        <v>50.87</v>
      </c>
      <c r="BJ683">
        <v>0.77</v>
      </c>
      <c r="BK683">
        <v>50.1</v>
      </c>
      <c r="BS683" s="63">
        <v>0</v>
      </c>
      <c r="CK683" s="1" t="s">
        <v>4229</v>
      </c>
    </row>
    <row r="684" spans="1:89" hidden="1" outlineLevel="1">
      <c r="A684" t="s">
        <v>2597</v>
      </c>
      <c r="B684" s="8" t="s">
        <v>1697</v>
      </c>
      <c r="C684" s="1">
        <f t="shared" si="203"/>
        <v>1206</v>
      </c>
      <c r="D684" s="5">
        <f>IF(N684&gt;0, RANK(N684,(N684:P684,Q684:AE684)),0)</f>
        <v>1</v>
      </c>
      <c r="E684" s="5">
        <f>IF(O684&gt;0,RANK(O684,(N684:P684,Q684:AE684)),0)</f>
        <v>2</v>
      </c>
      <c r="F684" s="5">
        <f t="shared" si="197"/>
        <v>0</v>
      </c>
      <c r="G684" s="1">
        <f t="shared" si="180"/>
        <v>10</v>
      </c>
      <c r="H684" s="2">
        <f t="shared" si="199"/>
        <v>8.291873963515755E-3</v>
      </c>
      <c r="I684" s="6"/>
      <c r="J684" s="2">
        <f t="shared" si="181"/>
        <v>0.47429519071310117</v>
      </c>
      <c r="K684" s="2">
        <f t="shared" si="182"/>
        <v>0.46600331674958539</v>
      </c>
      <c r="L684" s="2">
        <f t="shared" si="183"/>
        <v>0</v>
      </c>
      <c r="M684" s="2">
        <f t="shared" si="198"/>
        <v>5.9701492537313383E-2</v>
      </c>
      <c r="N684" s="63">
        <v>572</v>
      </c>
      <c r="O684" s="63">
        <v>562</v>
      </c>
      <c r="P684" s="63">
        <v>0</v>
      </c>
      <c r="Q684" s="63">
        <v>51</v>
      </c>
      <c r="R684" s="63">
        <v>20</v>
      </c>
      <c r="S684" s="63">
        <v>1</v>
      </c>
      <c r="T684" s="67"/>
      <c r="U684" s="63"/>
      <c r="V684" s="63"/>
      <c r="W684" s="63">
        <f t="shared" si="202"/>
        <v>0</v>
      </c>
      <c r="X684" s="63"/>
      <c r="Y684" s="63"/>
      <c r="Z684" s="63"/>
      <c r="AA684" s="63"/>
      <c r="AB684" s="63"/>
      <c r="AE684" s="8">
        <v>0</v>
      </c>
      <c r="AT684" t="str">
        <f t="shared" si="200"/>
        <v>West Bath</v>
      </c>
      <c r="AU684" t="s">
        <v>1283</v>
      </c>
      <c r="AV684">
        <v>1</v>
      </c>
      <c r="AX684" s="114">
        <v>23</v>
      </c>
      <c r="AY684" s="116">
        <v>23</v>
      </c>
      <c r="AZ684" s="116">
        <v>45</v>
      </c>
      <c r="BA684" s="120">
        <v>81930</v>
      </c>
      <c r="BB684" s="120">
        <f t="shared" si="201"/>
        <v>23023</v>
      </c>
      <c r="BC684" t="s">
        <v>1472</v>
      </c>
      <c r="BD684">
        <f t="shared" si="196"/>
        <v>2381930</v>
      </c>
      <c r="BE684" s="1">
        <v>51</v>
      </c>
      <c r="BI684">
        <v>14.98</v>
      </c>
      <c r="BJ684">
        <v>3.17</v>
      </c>
      <c r="BK684">
        <v>11.81</v>
      </c>
      <c r="BS684" s="63">
        <v>0</v>
      </c>
      <c r="CK684" s="1" t="s">
        <v>4230</v>
      </c>
    </row>
    <row r="685" spans="1:89" hidden="1" outlineLevel="1">
      <c r="A685" t="s">
        <v>1135</v>
      </c>
      <c r="B685" s="8" t="s">
        <v>1697</v>
      </c>
      <c r="C685" s="1">
        <f t="shared" si="203"/>
        <v>49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 t="shared" si="197"/>
        <v>0</v>
      </c>
      <c r="G685" s="1">
        <f t="shared" si="180"/>
        <v>16</v>
      </c>
      <c r="H685" s="2">
        <f t="shared" si="199"/>
        <v>0.32653061224489793</v>
      </c>
      <c r="I685" s="6"/>
      <c r="J685" s="2">
        <f t="shared" si="181"/>
        <v>0.30612244897959184</v>
      </c>
      <c r="K685" s="2">
        <f t="shared" si="182"/>
        <v>0.63265306122448983</v>
      </c>
      <c r="L685" s="2">
        <f t="shared" si="183"/>
        <v>0</v>
      </c>
      <c r="M685" s="2">
        <f t="shared" si="198"/>
        <v>6.1224489795918324E-2</v>
      </c>
      <c r="N685" s="63">
        <v>15</v>
      </c>
      <c r="O685" s="63">
        <v>31</v>
      </c>
      <c r="P685" s="63">
        <v>0</v>
      </c>
      <c r="Q685" s="63">
        <v>3</v>
      </c>
      <c r="R685" s="63">
        <v>0</v>
      </c>
      <c r="S685" s="63">
        <v>0</v>
      </c>
      <c r="T685" s="67"/>
      <c r="U685" s="63"/>
      <c r="V685" s="63"/>
      <c r="W685" s="63">
        <f t="shared" si="202"/>
        <v>0</v>
      </c>
      <c r="X685" s="63"/>
      <c r="Y685" s="63"/>
      <c r="Z685" s="63"/>
      <c r="AA685" s="63"/>
      <c r="AB685" s="63"/>
      <c r="AE685" s="8">
        <v>0</v>
      </c>
      <c r="AT685" t="str">
        <f t="shared" si="200"/>
        <v>West Forks</v>
      </c>
      <c r="AU685" t="s">
        <v>1787</v>
      </c>
      <c r="AV685">
        <v>2</v>
      </c>
      <c r="AX685" s="114">
        <v>23</v>
      </c>
      <c r="AY685" s="116">
        <v>25</v>
      </c>
      <c r="AZ685" s="116">
        <v>165</v>
      </c>
      <c r="BA685" s="120">
        <v>82840</v>
      </c>
      <c r="BB685" s="120">
        <f t="shared" si="201"/>
        <v>23025</v>
      </c>
      <c r="BC685" t="s">
        <v>3075</v>
      </c>
      <c r="BD685">
        <f t="shared" si="196"/>
        <v>2382840</v>
      </c>
      <c r="BE685" s="1">
        <v>0</v>
      </c>
      <c r="BI685">
        <v>49.42</v>
      </c>
      <c r="BJ685">
        <v>0.55000000000000004</v>
      </c>
      <c r="BK685">
        <v>48.87</v>
      </c>
      <c r="BS685" s="63">
        <v>0</v>
      </c>
      <c r="CK685" s="1" t="s">
        <v>4231</v>
      </c>
    </row>
    <row r="686" spans="1:89" hidden="1" outlineLevel="1">
      <c r="A686" t="s">
        <v>1990</v>
      </c>
      <c r="B686" s="8" t="s">
        <v>1697</v>
      </c>
      <c r="C686" s="1">
        <f t="shared" si="203"/>
        <v>2148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 t="shared" si="197"/>
        <v>5</v>
      </c>
      <c r="G686" s="1">
        <f t="shared" si="180"/>
        <v>394</v>
      </c>
      <c r="H686" s="2">
        <f t="shared" si="199"/>
        <v>0.18342644320297952</v>
      </c>
      <c r="I686" s="6"/>
      <c r="J686" s="2">
        <f t="shared" si="181"/>
        <v>0.36871508379888268</v>
      </c>
      <c r="K686" s="2">
        <f t="shared" si="182"/>
        <v>0.55214152700186214</v>
      </c>
      <c r="L686" s="2">
        <f t="shared" si="183"/>
        <v>3.2588454376163874E-3</v>
      </c>
      <c r="M686" s="2">
        <f t="shared" si="198"/>
        <v>7.5884543761638848E-2</v>
      </c>
      <c r="N686" s="63">
        <v>792</v>
      </c>
      <c r="O686" s="63">
        <v>1186</v>
      </c>
      <c r="P686" s="63">
        <v>7</v>
      </c>
      <c r="Q686" s="63">
        <v>121</v>
      </c>
      <c r="R686" s="63">
        <v>41</v>
      </c>
      <c r="S686" s="63">
        <v>1</v>
      </c>
      <c r="T686" s="67"/>
      <c r="U686" s="63"/>
      <c r="V686" s="63"/>
      <c r="W686" s="63">
        <f t="shared" si="202"/>
        <v>0</v>
      </c>
      <c r="X686" s="63"/>
      <c r="Y686" s="63"/>
      <c r="Z686" s="63"/>
      <c r="AA686" s="63"/>
      <c r="AB686" s="63"/>
      <c r="AE686" s="8">
        <v>0</v>
      </c>
      <c r="AT686" t="str">
        <f t="shared" si="200"/>
        <v>West Gardiner</v>
      </c>
      <c r="AU686" t="s">
        <v>3007</v>
      </c>
      <c r="AV686">
        <v>2</v>
      </c>
      <c r="AX686" s="114">
        <v>23</v>
      </c>
      <c r="AY686" s="116">
        <v>11</v>
      </c>
      <c r="AZ686" s="116">
        <v>130</v>
      </c>
      <c r="BA686" s="120">
        <v>82945</v>
      </c>
      <c r="BB686" s="120">
        <f t="shared" si="201"/>
        <v>23011</v>
      </c>
      <c r="BC686" t="s">
        <v>1472</v>
      </c>
      <c r="BD686">
        <f t="shared" si="196"/>
        <v>2382945</v>
      </c>
      <c r="BE686" s="1">
        <v>61</v>
      </c>
      <c r="BI686">
        <v>27.06</v>
      </c>
      <c r="BJ686">
        <v>2.42</v>
      </c>
      <c r="BK686">
        <v>24.64</v>
      </c>
      <c r="BS686" s="63">
        <v>0</v>
      </c>
      <c r="CK686" s="1" t="s">
        <v>4232</v>
      </c>
    </row>
    <row r="687" spans="1:89" hidden="1" outlineLevel="1">
      <c r="A687" t="s">
        <v>1508</v>
      </c>
      <c r="B687" s="8" t="s">
        <v>1697</v>
      </c>
      <c r="C687" s="1">
        <f t="shared" si="203"/>
        <v>984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 t="shared" si="197"/>
        <v>5</v>
      </c>
      <c r="G687" s="1">
        <f t="shared" si="180"/>
        <v>204</v>
      </c>
      <c r="H687" s="2">
        <f t="shared" si="199"/>
        <v>0.2073170731707317</v>
      </c>
      <c r="I687" s="6"/>
      <c r="J687" s="2">
        <f t="shared" si="181"/>
        <v>0.34552845528455284</v>
      </c>
      <c r="K687" s="2">
        <f t="shared" si="182"/>
        <v>0.55284552845528456</v>
      </c>
      <c r="L687" s="2">
        <f t="shared" si="183"/>
        <v>2.0325203252032522E-3</v>
      </c>
      <c r="M687" s="2">
        <f t="shared" si="198"/>
        <v>9.9593495934959406E-2</v>
      </c>
      <c r="N687" s="63">
        <v>340</v>
      </c>
      <c r="O687" s="63">
        <v>544</v>
      </c>
      <c r="P687" s="63">
        <v>2</v>
      </c>
      <c r="Q687" s="63">
        <v>77</v>
      </c>
      <c r="R687" s="63">
        <v>21</v>
      </c>
      <c r="S687" s="63">
        <v>0</v>
      </c>
      <c r="T687" s="67"/>
      <c r="U687" s="63"/>
      <c r="V687" s="63"/>
      <c r="W687" s="63">
        <f t="shared" si="202"/>
        <v>0</v>
      </c>
      <c r="X687" s="63"/>
      <c r="Y687" s="63"/>
      <c r="Z687" s="63"/>
      <c r="AA687" s="63"/>
      <c r="AB687" s="63"/>
      <c r="AE687" s="8">
        <v>0</v>
      </c>
      <c r="AT687" t="str">
        <f t="shared" si="200"/>
        <v>West Paris</v>
      </c>
      <c r="AU687" t="s">
        <v>2383</v>
      </c>
      <c r="AV687">
        <v>2</v>
      </c>
      <c r="AX687" s="114">
        <v>23</v>
      </c>
      <c r="AY687" s="116">
        <v>17</v>
      </c>
      <c r="AZ687" s="116">
        <v>170</v>
      </c>
      <c r="BA687" s="120">
        <v>83890</v>
      </c>
      <c r="BB687" s="120">
        <f t="shared" si="201"/>
        <v>23017</v>
      </c>
      <c r="BC687" t="s">
        <v>1472</v>
      </c>
      <c r="BD687">
        <f t="shared" si="196"/>
        <v>2383890</v>
      </c>
      <c r="BE687" s="1">
        <v>31</v>
      </c>
      <c r="BI687">
        <v>24.4</v>
      </c>
      <c r="BJ687">
        <v>0.16</v>
      </c>
      <c r="BK687">
        <v>24.25</v>
      </c>
      <c r="BS687" s="63">
        <v>0</v>
      </c>
      <c r="CK687" s="1" t="s">
        <v>4233</v>
      </c>
    </row>
    <row r="688" spans="1:89" hidden="1" outlineLevel="1">
      <c r="A688" t="s">
        <v>464</v>
      </c>
      <c r="B688" s="8" t="s">
        <v>1697</v>
      </c>
      <c r="C688" s="1">
        <f t="shared" si="203"/>
        <v>9708</v>
      </c>
      <c r="D688" s="5">
        <f>IF(N688&gt;0, RANK(N688,(N688:P688,Q688:AE688)),0)</f>
        <v>1</v>
      </c>
      <c r="E688" s="5">
        <f>IF(O688&gt;0,RANK(O688,(N688:P688,Q688:AE688)),0)</f>
        <v>2</v>
      </c>
      <c r="F688" s="5">
        <f t="shared" si="197"/>
        <v>5</v>
      </c>
      <c r="G688" s="1">
        <f t="shared" si="180"/>
        <v>1858</v>
      </c>
      <c r="H688" s="2">
        <f t="shared" si="199"/>
        <v>0.19138854552946025</v>
      </c>
      <c r="I688" s="6"/>
      <c r="J688" s="2">
        <f t="shared" si="181"/>
        <v>0.55943551709929951</v>
      </c>
      <c r="K688" s="2">
        <f t="shared" si="182"/>
        <v>0.36804697156983929</v>
      </c>
      <c r="L688" s="2">
        <f t="shared" si="183"/>
        <v>6.1804697156983925E-4</v>
      </c>
      <c r="M688" s="2">
        <f t="shared" si="198"/>
        <v>7.1899464359291371E-2</v>
      </c>
      <c r="N688" s="63">
        <v>5431</v>
      </c>
      <c r="O688" s="63">
        <v>3573</v>
      </c>
      <c r="P688" s="63">
        <v>6</v>
      </c>
      <c r="Q688" s="63">
        <v>493</v>
      </c>
      <c r="R688" s="63">
        <v>200</v>
      </c>
      <c r="S688" s="63">
        <v>5</v>
      </c>
      <c r="T688" s="67"/>
      <c r="U688" s="63"/>
      <c r="V688" s="63"/>
      <c r="W688" s="63">
        <f t="shared" si="202"/>
        <v>0</v>
      </c>
      <c r="X688" s="63"/>
      <c r="Y688" s="63"/>
      <c r="Z688" s="63"/>
      <c r="AA688" s="63"/>
      <c r="AB688" s="63"/>
      <c r="AE688" s="8">
        <v>0</v>
      </c>
      <c r="AT688" t="str">
        <f t="shared" si="200"/>
        <v>Westbrook</v>
      </c>
      <c r="AU688" t="s">
        <v>1531</v>
      </c>
      <c r="AV688">
        <v>1</v>
      </c>
      <c r="AX688" s="114">
        <v>23</v>
      </c>
      <c r="AY688" s="116">
        <v>5</v>
      </c>
      <c r="AZ688" s="116">
        <v>120</v>
      </c>
      <c r="BA688" s="120">
        <v>82105</v>
      </c>
      <c r="BB688" s="120">
        <f t="shared" si="201"/>
        <v>23005</v>
      </c>
      <c r="BC688" t="s">
        <v>1249</v>
      </c>
      <c r="BD688">
        <f t="shared" si="196"/>
        <v>2382105</v>
      </c>
      <c r="BE688" s="1">
        <v>312</v>
      </c>
      <c r="BI688">
        <v>17.059999999999999</v>
      </c>
      <c r="BJ688">
        <v>0.2</v>
      </c>
      <c r="BK688">
        <v>16.87</v>
      </c>
      <c r="BS688" s="63">
        <v>0</v>
      </c>
      <c r="CK688" s="1" t="s">
        <v>4234</v>
      </c>
    </row>
    <row r="689" spans="1:89" hidden="1" outlineLevel="1">
      <c r="A689" t="s">
        <v>3061</v>
      </c>
      <c r="B689" s="8" t="s">
        <v>1697</v>
      </c>
      <c r="C689" s="1">
        <f t="shared" si="203"/>
        <v>246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 t="shared" si="197"/>
        <v>0</v>
      </c>
      <c r="G689" s="1">
        <f t="shared" si="180"/>
        <v>61</v>
      </c>
      <c r="H689" s="2">
        <f t="shared" si="199"/>
        <v>0.24796747967479674</v>
      </c>
      <c r="I689" s="6"/>
      <c r="J689" s="2">
        <f t="shared" si="181"/>
        <v>0.34552845528455284</v>
      </c>
      <c r="K689" s="2">
        <f t="shared" si="182"/>
        <v>0.5934959349593496</v>
      </c>
      <c r="L689" s="2">
        <f t="shared" si="183"/>
        <v>0</v>
      </c>
      <c r="M689" s="2">
        <f t="shared" si="198"/>
        <v>6.0975609756097615E-2</v>
      </c>
      <c r="N689" s="63">
        <v>85</v>
      </c>
      <c r="O689" s="63">
        <v>146</v>
      </c>
      <c r="P689" s="63">
        <v>0</v>
      </c>
      <c r="Q689" s="63">
        <v>13</v>
      </c>
      <c r="R689" s="63">
        <v>1</v>
      </c>
      <c r="S689" s="63">
        <v>1</v>
      </c>
      <c r="T689" s="67"/>
      <c r="U689" s="63"/>
      <c r="V689" s="63"/>
      <c r="W689" s="63">
        <f t="shared" si="202"/>
        <v>0</v>
      </c>
      <c r="X689" s="63"/>
      <c r="Y689" s="63"/>
      <c r="Z689" s="63"/>
      <c r="AA689" s="63"/>
      <c r="AB689" s="63"/>
      <c r="AE689" s="8">
        <v>0</v>
      </c>
      <c r="AT689" t="str">
        <f t="shared" si="200"/>
        <v>Westfield</v>
      </c>
      <c r="AU689" t="s">
        <v>2830</v>
      </c>
      <c r="AV689">
        <v>2</v>
      </c>
      <c r="AX689" s="114">
        <v>23</v>
      </c>
      <c r="AY689" s="116">
        <v>3</v>
      </c>
      <c r="AZ689" s="116">
        <v>325</v>
      </c>
      <c r="BA689" s="120">
        <v>82770</v>
      </c>
      <c r="BB689" s="120">
        <f t="shared" si="201"/>
        <v>23003</v>
      </c>
      <c r="BC689" t="s">
        <v>1472</v>
      </c>
      <c r="BD689">
        <f t="shared" si="196"/>
        <v>2382770</v>
      </c>
      <c r="BE689" s="1">
        <v>12</v>
      </c>
      <c r="BI689">
        <v>40.33</v>
      </c>
      <c r="BJ689">
        <v>0.04</v>
      </c>
      <c r="BK689">
        <v>40.299999999999997</v>
      </c>
      <c r="BS689" s="63">
        <v>0</v>
      </c>
      <c r="CK689" s="1" t="s">
        <v>4235</v>
      </c>
    </row>
    <row r="690" spans="1:89" hidden="1" outlineLevel="1">
      <c r="A690" t="s">
        <v>3196</v>
      </c>
      <c r="B690" s="8" t="s">
        <v>1697</v>
      </c>
      <c r="C690" s="1">
        <f t="shared" si="203"/>
        <v>49</v>
      </c>
      <c r="D690" s="5">
        <f>IF(N690&gt;0, RANK(N690,(N690:P690,Q690:AE690)),0)</f>
        <v>1</v>
      </c>
      <c r="E690" s="5">
        <f>IF(O690&gt;0,RANK(O690,(N690:P690,Q690:AE690)),0)</f>
        <v>1</v>
      </c>
      <c r="F690" s="5">
        <f t="shared" si="197"/>
        <v>0</v>
      </c>
      <c r="G690" s="1">
        <f t="shared" si="180"/>
        <v>0</v>
      </c>
      <c r="H690" s="2">
        <f t="shared" si="199"/>
        <v>0</v>
      </c>
      <c r="I690" s="6"/>
      <c r="J690" s="2">
        <f t="shared" si="181"/>
        <v>0.48979591836734693</v>
      </c>
      <c r="K690" s="2">
        <f t="shared" si="182"/>
        <v>0.48979591836734693</v>
      </c>
      <c r="L690" s="2">
        <f t="shared" si="183"/>
        <v>0</v>
      </c>
      <c r="M690" s="2">
        <f t="shared" si="198"/>
        <v>2.0408163265306145E-2</v>
      </c>
      <c r="N690" s="63">
        <v>24</v>
      </c>
      <c r="O690" s="63">
        <v>24</v>
      </c>
      <c r="P690" s="63">
        <v>0</v>
      </c>
      <c r="Q690" s="63">
        <v>0</v>
      </c>
      <c r="R690" s="63">
        <v>1</v>
      </c>
      <c r="S690" s="63">
        <v>0</v>
      </c>
      <c r="T690" s="67"/>
      <c r="U690" s="63"/>
      <c r="V690" s="63"/>
      <c r="W690" s="63">
        <f t="shared" si="202"/>
        <v>0</v>
      </c>
      <c r="X690" s="63"/>
      <c r="Y690" s="63"/>
      <c r="Z690" s="63"/>
      <c r="AA690" s="63"/>
      <c r="AB690" s="63"/>
      <c r="AE690" s="8">
        <v>0</v>
      </c>
      <c r="AT690" t="str">
        <f t="shared" si="200"/>
        <v>Westmanland</v>
      </c>
      <c r="AU690" t="s">
        <v>2830</v>
      </c>
      <c r="AV690">
        <v>2</v>
      </c>
      <c r="AX690" s="114">
        <v>23</v>
      </c>
      <c r="AY690" s="116">
        <v>3</v>
      </c>
      <c r="AZ690" s="116">
        <v>330</v>
      </c>
      <c r="BA690" s="120">
        <v>83540</v>
      </c>
      <c r="BB690" s="120">
        <f t="shared" si="201"/>
        <v>23003</v>
      </c>
      <c r="BC690" t="s">
        <v>1472</v>
      </c>
      <c r="BD690">
        <f t="shared" si="196"/>
        <v>2383540</v>
      </c>
      <c r="BE690" s="1">
        <v>0</v>
      </c>
      <c r="BI690">
        <v>36.57</v>
      </c>
      <c r="BJ690">
        <v>0.91</v>
      </c>
      <c r="BK690">
        <v>35.67</v>
      </c>
      <c r="BS690" s="63">
        <v>0</v>
      </c>
      <c r="CK690" s="1" t="s">
        <v>4236</v>
      </c>
    </row>
    <row r="691" spans="1:89" hidden="1" outlineLevel="1">
      <c r="A691" t="s">
        <v>1430</v>
      </c>
      <c r="B691" s="8" t="s">
        <v>1697</v>
      </c>
      <c r="C691" s="1">
        <f t="shared" si="203"/>
        <v>180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 t="shared" si="197"/>
        <v>0</v>
      </c>
      <c r="G691" s="1">
        <f t="shared" si="180"/>
        <v>66</v>
      </c>
      <c r="H691" s="2">
        <f t="shared" si="199"/>
        <v>0.36666666666666664</v>
      </c>
      <c r="I691" s="6"/>
      <c r="J691" s="2">
        <f t="shared" si="181"/>
        <v>0.30555555555555558</v>
      </c>
      <c r="K691" s="2">
        <f t="shared" si="182"/>
        <v>0.67222222222222228</v>
      </c>
      <c r="L691" s="2">
        <f t="shared" si="183"/>
        <v>0</v>
      </c>
      <c r="M691" s="2">
        <f t="shared" si="198"/>
        <v>2.2222222222222143E-2</v>
      </c>
      <c r="N691" s="63">
        <v>55</v>
      </c>
      <c r="O691" s="63">
        <v>121</v>
      </c>
      <c r="P691" s="63">
        <v>0</v>
      </c>
      <c r="Q691" s="63">
        <v>1</v>
      </c>
      <c r="R691" s="63">
        <v>3</v>
      </c>
      <c r="S691" s="63">
        <v>0</v>
      </c>
      <c r="T691" s="67"/>
      <c r="U691" s="63"/>
      <c r="V691" s="63"/>
      <c r="W691" s="63">
        <f t="shared" si="202"/>
        <v>0</v>
      </c>
      <c r="X691" s="63"/>
      <c r="Y691" s="63"/>
      <c r="Z691" s="63"/>
      <c r="AA691" s="63"/>
      <c r="AB691" s="63"/>
      <c r="AE691" s="8">
        <v>0</v>
      </c>
      <c r="AT691" t="str">
        <f t="shared" si="200"/>
        <v>Weston</v>
      </c>
      <c r="AU691" t="s">
        <v>2830</v>
      </c>
      <c r="AV691">
        <v>2</v>
      </c>
      <c r="AX691" s="114">
        <v>23</v>
      </c>
      <c r="AY691" s="116">
        <v>3</v>
      </c>
      <c r="AZ691" s="116">
        <v>335</v>
      </c>
      <c r="BA691" s="120">
        <v>83785</v>
      </c>
      <c r="BB691" s="120">
        <f t="shared" si="201"/>
        <v>23003</v>
      </c>
      <c r="BC691" t="s">
        <v>1472</v>
      </c>
      <c r="BD691">
        <f t="shared" si="196"/>
        <v>2383785</v>
      </c>
      <c r="BE691" s="1">
        <v>5</v>
      </c>
      <c r="BI691">
        <v>40.35</v>
      </c>
      <c r="BJ691">
        <v>9.8699999999999992</v>
      </c>
      <c r="BK691">
        <v>30.48</v>
      </c>
      <c r="BS691" s="63">
        <v>0</v>
      </c>
      <c r="CK691" s="1" t="s">
        <v>4237</v>
      </c>
    </row>
    <row r="692" spans="1:89" hidden="1" outlineLevel="1">
      <c r="A692" t="s">
        <v>569</v>
      </c>
      <c r="B692" s="8" t="s">
        <v>1697</v>
      </c>
      <c r="C692" s="1">
        <f t="shared" si="203"/>
        <v>502</v>
      </c>
      <c r="D692" s="5">
        <f>IF(N692&gt;0, RANK(N692,(N692:P692,Q692:AE692)),0)</f>
        <v>1</v>
      </c>
      <c r="E692" s="5">
        <f>IF(O692&gt;0,RANK(O692,(N692:P692,Q692:AE692)),0)</f>
        <v>2</v>
      </c>
      <c r="F692" s="5">
        <f t="shared" si="197"/>
        <v>5</v>
      </c>
      <c r="G692" s="1">
        <f t="shared" si="180"/>
        <v>22</v>
      </c>
      <c r="H692" s="2">
        <f t="shared" si="199"/>
        <v>4.3824701195219126E-2</v>
      </c>
      <c r="I692" s="6"/>
      <c r="J692" s="2">
        <f t="shared" si="181"/>
        <v>0.48007968127490042</v>
      </c>
      <c r="K692" s="2">
        <f t="shared" si="182"/>
        <v>0.43625498007968128</v>
      </c>
      <c r="L692" s="2">
        <f t="shared" si="183"/>
        <v>1.9920318725099601E-3</v>
      </c>
      <c r="M692" s="2">
        <f t="shared" si="198"/>
        <v>8.167330677290835E-2</v>
      </c>
      <c r="N692" s="63">
        <v>241</v>
      </c>
      <c r="O692" s="63">
        <v>219</v>
      </c>
      <c r="P692" s="63">
        <v>1</v>
      </c>
      <c r="Q692" s="63">
        <v>29</v>
      </c>
      <c r="R692" s="63">
        <v>12</v>
      </c>
      <c r="S692" s="63">
        <v>0</v>
      </c>
      <c r="T692" s="67"/>
      <c r="U692" s="63"/>
      <c r="V692" s="63"/>
      <c r="W692" s="63">
        <f t="shared" si="202"/>
        <v>0</v>
      </c>
      <c r="X692" s="63"/>
      <c r="Y692" s="63"/>
      <c r="Z692" s="63"/>
      <c r="AA692" s="63"/>
      <c r="AB692" s="63"/>
      <c r="AE692" s="8">
        <v>0</v>
      </c>
      <c r="AT692" t="str">
        <f t="shared" si="200"/>
        <v>Westport Island</v>
      </c>
      <c r="AU692" t="s">
        <v>1597</v>
      </c>
      <c r="AV692">
        <v>1</v>
      </c>
      <c r="AX692" s="114">
        <v>23</v>
      </c>
      <c r="AY692" s="116">
        <v>15</v>
      </c>
      <c r="AZ692" s="116">
        <v>92</v>
      </c>
      <c r="BA692" s="120">
        <v>84135</v>
      </c>
      <c r="BB692" s="120">
        <f t="shared" si="201"/>
        <v>23015</v>
      </c>
      <c r="BC692" t="s">
        <v>1472</v>
      </c>
      <c r="BD692">
        <f t="shared" si="196"/>
        <v>2384135</v>
      </c>
      <c r="BE692" s="1">
        <v>14</v>
      </c>
      <c r="BI692">
        <v>14.2</v>
      </c>
      <c r="BJ692">
        <v>5.46</v>
      </c>
      <c r="BK692">
        <v>8.74</v>
      </c>
      <c r="BS692" s="63">
        <v>0</v>
      </c>
      <c r="CK692" s="1" t="s">
        <v>4238</v>
      </c>
    </row>
    <row r="693" spans="1:89" hidden="1" outlineLevel="1">
      <c r="A693" t="s">
        <v>931</v>
      </c>
      <c r="B693" s="8" t="s">
        <v>1697</v>
      </c>
      <c r="C693" s="1">
        <f t="shared" si="203"/>
        <v>1394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 t="shared" si="197"/>
        <v>5</v>
      </c>
      <c r="G693" s="1">
        <f t="shared" si="180"/>
        <v>82</v>
      </c>
      <c r="H693" s="2">
        <f t="shared" si="199"/>
        <v>5.8823529411764705E-2</v>
      </c>
      <c r="I693" s="6"/>
      <c r="J693" s="2">
        <f t="shared" si="181"/>
        <v>0.43400286944045913</v>
      </c>
      <c r="K693" s="2">
        <f t="shared" si="182"/>
        <v>0.49282639885222379</v>
      </c>
      <c r="L693" s="2">
        <f t="shared" si="183"/>
        <v>1.4347202295552368E-3</v>
      </c>
      <c r="M693" s="2">
        <f t="shared" si="198"/>
        <v>7.1736011477761791E-2</v>
      </c>
      <c r="N693" s="63">
        <v>605</v>
      </c>
      <c r="O693" s="63">
        <v>687</v>
      </c>
      <c r="P693" s="63">
        <v>2</v>
      </c>
      <c r="Q693" s="63">
        <v>62</v>
      </c>
      <c r="R693" s="63">
        <v>38</v>
      </c>
      <c r="S693" s="63">
        <v>0</v>
      </c>
      <c r="T693" s="67"/>
      <c r="U693" s="63"/>
      <c r="V693" s="63"/>
      <c r="W693" s="63">
        <f t="shared" si="202"/>
        <v>0</v>
      </c>
      <c r="X693" s="63"/>
      <c r="Y693" s="63"/>
      <c r="Z693" s="63"/>
      <c r="AA693" s="63"/>
      <c r="AB693" s="63"/>
      <c r="AE693" s="8">
        <v>0</v>
      </c>
      <c r="AT693" t="str">
        <f t="shared" si="200"/>
        <v>Whitefield</v>
      </c>
      <c r="AU693" t="s">
        <v>1597</v>
      </c>
      <c r="AV693">
        <v>1</v>
      </c>
      <c r="AX693" s="114">
        <v>23</v>
      </c>
      <c r="AY693" s="116">
        <v>15</v>
      </c>
      <c r="AZ693" s="116">
        <v>95</v>
      </c>
      <c r="BA693" s="120">
        <v>85010</v>
      </c>
      <c r="BB693" s="120">
        <f t="shared" si="201"/>
        <v>23015</v>
      </c>
      <c r="BC693" t="s">
        <v>1472</v>
      </c>
      <c r="BD693">
        <f t="shared" si="196"/>
        <v>2385010</v>
      </c>
      <c r="BE693" s="1">
        <v>37</v>
      </c>
      <c r="BI693">
        <v>47.54</v>
      </c>
      <c r="BJ693">
        <v>0.7</v>
      </c>
      <c r="BK693">
        <v>46.84</v>
      </c>
      <c r="BS693" s="63">
        <v>0</v>
      </c>
      <c r="CK693" s="1" t="s">
        <v>4239</v>
      </c>
    </row>
    <row r="694" spans="1:89" hidden="1" outlineLevel="1">
      <c r="A694" t="s">
        <v>2476</v>
      </c>
      <c r="B694" s="8" t="s">
        <v>1697</v>
      </c>
      <c r="C694" s="1">
        <f t="shared" si="203"/>
        <v>323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 t="shared" si="197"/>
        <v>5</v>
      </c>
      <c r="G694" s="1">
        <f t="shared" si="180"/>
        <v>29</v>
      </c>
      <c r="H694" s="2">
        <f t="shared" si="199"/>
        <v>8.9783281733746126E-2</v>
      </c>
      <c r="I694" s="6"/>
      <c r="J694" s="2">
        <f t="shared" si="181"/>
        <v>0.43034055727554177</v>
      </c>
      <c r="K694" s="2">
        <f t="shared" si="182"/>
        <v>0.52012383900928794</v>
      </c>
      <c r="L694" s="2">
        <f t="shared" si="183"/>
        <v>6.1919504643962852E-3</v>
      </c>
      <c r="M694" s="2">
        <f t="shared" si="198"/>
        <v>4.3343653250774009E-2</v>
      </c>
      <c r="N694" s="63">
        <v>139</v>
      </c>
      <c r="O694" s="63">
        <v>168</v>
      </c>
      <c r="P694" s="63">
        <v>2</v>
      </c>
      <c r="Q694" s="63">
        <v>10</v>
      </c>
      <c r="R694" s="63">
        <v>4</v>
      </c>
      <c r="S694" s="63">
        <v>0</v>
      </c>
      <c r="T694" s="67"/>
      <c r="U694" s="63"/>
      <c r="V694" s="63"/>
      <c r="W694" s="63">
        <f t="shared" si="202"/>
        <v>0</v>
      </c>
      <c r="X694" s="63"/>
      <c r="Y694" s="63"/>
      <c r="Z694" s="63"/>
      <c r="AA694" s="63"/>
      <c r="AB694" s="63"/>
      <c r="AE694" s="8">
        <v>0</v>
      </c>
      <c r="AT694" t="str">
        <f t="shared" si="200"/>
        <v>Whiting</v>
      </c>
      <c r="AU694" t="s">
        <v>692</v>
      </c>
      <c r="AV694">
        <v>2</v>
      </c>
      <c r="AX694" s="114">
        <v>23</v>
      </c>
      <c r="AY694" s="116">
        <v>29</v>
      </c>
      <c r="AZ694" s="116">
        <v>220</v>
      </c>
      <c r="BA694" s="120">
        <v>85185</v>
      </c>
      <c r="BB694" s="120">
        <f t="shared" si="201"/>
        <v>23029</v>
      </c>
      <c r="BC694" t="s">
        <v>1472</v>
      </c>
      <c r="BD694">
        <f t="shared" si="196"/>
        <v>2385185</v>
      </c>
      <c r="BE694" s="1">
        <v>12</v>
      </c>
      <c r="BI694">
        <v>52.11</v>
      </c>
      <c r="BJ694">
        <v>5.34</v>
      </c>
      <c r="BK694">
        <v>46.77</v>
      </c>
      <c r="BS694" s="63">
        <v>0</v>
      </c>
      <c r="CK694" s="1" t="s">
        <v>4240</v>
      </c>
    </row>
    <row r="695" spans="1:89" hidden="1" outlineLevel="1">
      <c r="A695" t="s">
        <v>605</v>
      </c>
      <c r="B695" s="8" t="s">
        <v>1697</v>
      </c>
      <c r="C695" s="1">
        <f t="shared" si="203"/>
        <v>109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 t="shared" si="197"/>
        <v>0</v>
      </c>
      <c r="G695" s="1">
        <f t="shared" si="180"/>
        <v>15</v>
      </c>
      <c r="H695" s="2">
        <f t="shared" si="199"/>
        <v>0.13761467889908258</v>
      </c>
      <c r="I695" s="6"/>
      <c r="J695" s="2">
        <f t="shared" si="181"/>
        <v>0.37614678899082571</v>
      </c>
      <c r="K695" s="2">
        <f t="shared" si="182"/>
        <v>0.51376146788990829</v>
      </c>
      <c r="L695" s="2">
        <f t="shared" si="183"/>
        <v>0</v>
      </c>
      <c r="M695" s="2">
        <f t="shared" si="198"/>
        <v>0.11009174311926606</v>
      </c>
      <c r="N695" s="63">
        <v>41</v>
      </c>
      <c r="O695" s="63">
        <v>56</v>
      </c>
      <c r="P695" s="63">
        <v>0</v>
      </c>
      <c r="Q695" s="63">
        <v>10</v>
      </c>
      <c r="R695" s="63">
        <v>2</v>
      </c>
      <c r="S695" s="63">
        <v>0</v>
      </c>
      <c r="T695" s="67"/>
      <c r="U695" s="63"/>
      <c r="V695" s="63"/>
      <c r="W695" s="63">
        <f t="shared" si="202"/>
        <v>0</v>
      </c>
      <c r="X695" s="63"/>
      <c r="Y695" s="63"/>
      <c r="Z695" s="63"/>
      <c r="AA695" s="63"/>
      <c r="AB695" s="63"/>
      <c r="AE695" s="8">
        <v>0</v>
      </c>
      <c r="AT695" t="str">
        <f t="shared" si="200"/>
        <v>Whitneyville</v>
      </c>
      <c r="AU695" t="s">
        <v>692</v>
      </c>
      <c r="AV695">
        <v>2</v>
      </c>
      <c r="AX695" s="114">
        <v>23</v>
      </c>
      <c r="AY695" s="116">
        <v>29</v>
      </c>
      <c r="AZ695" s="116">
        <v>225</v>
      </c>
      <c r="BA695" s="120">
        <v>85290</v>
      </c>
      <c r="BB695" s="120">
        <f t="shared" si="201"/>
        <v>23029</v>
      </c>
      <c r="BC695" t="s">
        <v>1472</v>
      </c>
      <c r="BD695">
        <f t="shared" si="196"/>
        <v>2385290</v>
      </c>
      <c r="BE695" s="1">
        <v>6</v>
      </c>
      <c r="BI695">
        <v>14.62</v>
      </c>
      <c r="BJ695">
        <v>0.31</v>
      </c>
      <c r="BK695">
        <v>14.31</v>
      </c>
      <c r="BS695" s="63">
        <v>0</v>
      </c>
      <c r="CK695" s="1" t="s">
        <v>4241</v>
      </c>
    </row>
    <row r="696" spans="1:89" hidden="1" outlineLevel="1">
      <c r="A696" t="s">
        <v>1886</v>
      </c>
      <c r="B696" s="8" t="s">
        <v>1697</v>
      </c>
      <c r="C696" s="1">
        <f t="shared" si="203"/>
        <v>84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 t="shared" si="197"/>
        <v>4</v>
      </c>
      <c r="G696" s="1">
        <f t="shared" si="180"/>
        <v>38</v>
      </c>
      <c r="H696" s="2">
        <f t="shared" si="199"/>
        <v>0.45238095238095238</v>
      </c>
      <c r="I696" s="6"/>
      <c r="J696" s="2">
        <f t="shared" si="181"/>
        <v>0.23809523809523808</v>
      </c>
      <c r="K696" s="2">
        <f t="shared" si="182"/>
        <v>0.69047619047619047</v>
      </c>
      <c r="L696" s="2">
        <f t="shared" si="183"/>
        <v>2.3809523809523808E-2</v>
      </c>
      <c r="M696" s="2">
        <f t="shared" si="198"/>
        <v>4.7619047619047589E-2</v>
      </c>
      <c r="N696" s="63">
        <v>20</v>
      </c>
      <c r="O696" s="63">
        <v>58</v>
      </c>
      <c r="P696" s="63">
        <v>2</v>
      </c>
      <c r="Q696" s="63">
        <v>4</v>
      </c>
      <c r="R696" s="63">
        <v>0</v>
      </c>
      <c r="S696" s="63">
        <v>0</v>
      </c>
      <c r="T696" s="67"/>
      <c r="U696" s="63"/>
      <c r="V696" s="63"/>
      <c r="W696" s="63">
        <f t="shared" si="202"/>
        <v>0</v>
      </c>
      <c r="X696" s="63"/>
      <c r="Y696" s="63"/>
      <c r="Z696" s="63"/>
      <c r="AA696" s="63"/>
      <c r="AB696" s="63"/>
      <c r="AE696" s="8">
        <v>0</v>
      </c>
      <c r="AT696" t="str">
        <f t="shared" si="200"/>
        <v>Willimantic</v>
      </c>
      <c r="AU696" t="s">
        <v>1957</v>
      </c>
      <c r="AV696">
        <v>2</v>
      </c>
      <c r="AX696" s="114">
        <v>23</v>
      </c>
      <c r="AY696" s="116">
        <v>21</v>
      </c>
      <c r="AZ696" s="116">
        <v>100</v>
      </c>
      <c r="BA696" s="120">
        <v>85710</v>
      </c>
      <c r="BB696" s="120">
        <f t="shared" si="201"/>
        <v>23021</v>
      </c>
      <c r="BC696" t="s">
        <v>1472</v>
      </c>
      <c r="BD696">
        <f t="shared" si="196"/>
        <v>2385710</v>
      </c>
      <c r="BE696" s="1">
        <v>4</v>
      </c>
      <c r="BI696">
        <v>48.1</v>
      </c>
      <c r="BJ696">
        <v>4.55</v>
      </c>
      <c r="BK696">
        <v>43.55</v>
      </c>
      <c r="BS696" s="63">
        <v>0</v>
      </c>
      <c r="CK696" s="1" t="s">
        <v>4242</v>
      </c>
    </row>
    <row r="697" spans="1:89" hidden="1" outlineLevel="1">
      <c r="A697" t="s">
        <v>2075</v>
      </c>
      <c r="B697" s="8" t="s">
        <v>1697</v>
      </c>
      <c r="C697" s="1">
        <f t="shared" si="203"/>
        <v>2155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 t="shared" si="197"/>
        <v>4</v>
      </c>
      <c r="G697" s="1">
        <f t="shared" si="180"/>
        <v>194</v>
      </c>
      <c r="H697" s="2">
        <f t="shared" si="199"/>
        <v>9.0023201856148496E-2</v>
      </c>
      <c r="I697" s="6"/>
      <c r="J697" s="2">
        <f t="shared" si="181"/>
        <v>0.40464037122969837</v>
      </c>
      <c r="K697" s="2">
        <f t="shared" si="182"/>
        <v>0.49466357308584685</v>
      </c>
      <c r="L697" s="2">
        <f t="shared" si="183"/>
        <v>1.4849187935034803E-2</v>
      </c>
      <c r="M697" s="2">
        <f t="shared" si="198"/>
        <v>8.5846867749419922E-2</v>
      </c>
      <c r="N697" s="63">
        <v>872</v>
      </c>
      <c r="O697" s="63">
        <v>1066</v>
      </c>
      <c r="P697" s="63">
        <v>32</v>
      </c>
      <c r="Q697" s="63">
        <v>155</v>
      </c>
      <c r="R697" s="63">
        <v>30</v>
      </c>
      <c r="S697" s="63">
        <v>0</v>
      </c>
      <c r="T697" s="67"/>
      <c r="U697" s="63"/>
      <c r="V697" s="63"/>
      <c r="W697" s="63">
        <f t="shared" si="202"/>
        <v>0</v>
      </c>
      <c r="X697" s="63"/>
      <c r="Y697" s="63"/>
      <c r="Z697" s="63"/>
      <c r="AA697" s="63"/>
      <c r="AB697" s="63"/>
      <c r="AE697" s="8">
        <v>0</v>
      </c>
      <c r="AT697" t="str">
        <f t="shared" si="200"/>
        <v>Wilton</v>
      </c>
      <c r="AU697" t="s">
        <v>1138</v>
      </c>
      <c r="AV697">
        <v>2</v>
      </c>
      <c r="AX697" s="114">
        <v>23</v>
      </c>
      <c r="AY697" s="116">
        <v>7</v>
      </c>
      <c r="AZ697" s="116">
        <v>105</v>
      </c>
      <c r="BA697" s="120">
        <v>85850</v>
      </c>
      <c r="BB697" s="120">
        <f t="shared" si="201"/>
        <v>23007</v>
      </c>
      <c r="BC697" t="s">
        <v>1472</v>
      </c>
      <c r="BD697">
        <f t="shared" si="196"/>
        <v>2385850</v>
      </c>
      <c r="BE697" s="1">
        <v>73</v>
      </c>
      <c r="BI697">
        <v>42.82</v>
      </c>
      <c r="BJ697">
        <v>1.56</v>
      </c>
      <c r="BK697">
        <v>41.26</v>
      </c>
      <c r="BS697" s="63">
        <v>0</v>
      </c>
      <c r="CK697" s="1" t="s">
        <v>4243</v>
      </c>
    </row>
    <row r="698" spans="1:89" ht="14" hidden="1" outlineLevel="1">
      <c r="A698" t="s">
        <v>2129</v>
      </c>
      <c r="B698" s="8" t="s">
        <v>1697</v>
      </c>
      <c r="C698" s="1">
        <f t="shared" si="203"/>
        <v>9881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 t="shared" si="197"/>
        <v>5</v>
      </c>
      <c r="G698" s="1">
        <f t="shared" si="180"/>
        <v>552</v>
      </c>
      <c r="H698" s="2">
        <f t="shared" si="199"/>
        <v>5.5864791013055359E-2</v>
      </c>
      <c r="I698" s="6"/>
      <c r="J698" s="2">
        <f t="shared" si="181"/>
        <v>0.43598826029754073</v>
      </c>
      <c r="K698" s="2">
        <f t="shared" si="182"/>
        <v>0.49185305131059609</v>
      </c>
      <c r="L698" s="2">
        <f t="shared" si="183"/>
        <v>2.7325169517255338E-3</v>
      </c>
      <c r="M698" s="2">
        <f t="shared" si="198"/>
        <v>6.9426171440137699E-2</v>
      </c>
      <c r="N698" s="63">
        <v>4308</v>
      </c>
      <c r="O698" s="63">
        <v>4860</v>
      </c>
      <c r="P698" s="63">
        <v>27</v>
      </c>
      <c r="Q698" s="63">
        <v>517</v>
      </c>
      <c r="R698" s="63">
        <v>169</v>
      </c>
      <c r="S698" s="63">
        <v>0</v>
      </c>
      <c r="T698" s="67"/>
      <c r="U698" s="63"/>
      <c r="V698" s="63"/>
      <c r="W698" s="63">
        <f t="shared" si="202"/>
        <v>0</v>
      </c>
      <c r="X698" s="63"/>
      <c r="Y698" s="63"/>
      <c r="Z698" s="63"/>
      <c r="AA698" s="63"/>
      <c r="AB698" s="63"/>
      <c r="AE698" s="8">
        <v>0</v>
      </c>
      <c r="AT698" t="str">
        <f t="shared" si="200"/>
        <v>Windham</v>
      </c>
      <c r="AU698" t="s">
        <v>1531</v>
      </c>
      <c r="AV698">
        <v>1</v>
      </c>
      <c r="AX698" s="114">
        <v>23</v>
      </c>
      <c r="AY698" s="116">
        <v>5</v>
      </c>
      <c r="AZ698" s="116">
        <v>125</v>
      </c>
      <c r="BA698" s="120">
        <v>86025</v>
      </c>
      <c r="BB698" s="120">
        <f t="shared" si="201"/>
        <v>23005</v>
      </c>
      <c r="BC698" t="s">
        <v>1472</v>
      </c>
      <c r="BD698">
        <f t="shared" si="196"/>
        <v>2386025</v>
      </c>
      <c r="BE698" s="1">
        <v>259</v>
      </c>
      <c r="BI698">
        <v>50.28</v>
      </c>
      <c r="BJ698">
        <v>3.6</v>
      </c>
      <c r="BK698">
        <v>46.68</v>
      </c>
      <c r="BS698" s="63">
        <v>0</v>
      </c>
      <c r="CK698" s="160" t="s">
        <v>4244</v>
      </c>
    </row>
    <row r="699" spans="1:89" hidden="1" outlineLevel="1">
      <c r="A699" t="s">
        <v>2282</v>
      </c>
      <c r="B699" s="8" t="s">
        <v>1697</v>
      </c>
      <c r="C699" s="1">
        <f t="shared" si="203"/>
        <v>1346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 t="shared" si="197"/>
        <v>5</v>
      </c>
      <c r="G699" s="1">
        <f t="shared" si="180"/>
        <v>407</v>
      </c>
      <c r="H699" s="2">
        <f t="shared" si="199"/>
        <v>0.30237741456166417</v>
      </c>
      <c r="I699" s="6"/>
      <c r="J699" s="2">
        <f t="shared" si="181"/>
        <v>0.30163447251114411</v>
      </c>
      <c r="K699" s="2">
        <f t="shared" si="182"/>
        <v>0.60401188707280828</v>
      </c>
      <c r="L699" s="2">
        <f t="shared" si="183"/>
        <v>4.4576523031203564E-3</v>
      </c>
      <c r="M699" s="2">
        <f t="shared" si="198"/>
        <v>8.9895988112927191E-2</v>
      </c>
      <c r="N699" s="63">
        <v>406</v>
      </c>
      <c r="O699" s="63">
        <v>813</v>
      </c>
      <c r="P699" s="63">
        <v>6</v>
      </c>
      <c r="Q699" s="63">
        <v>90</v>
      </c>
      <c r="R699" s="63">
        <v>31</v>
      </c>
      <c r="S699" s="63">
        <v>0</v>
      </c>
      <c r="T699" s="67"/>
      <c r="U699" s="63"/>
      <c r="V699" s="63"/>
      <c r="W699" s="63">
        <f t="shared" si="202"/>
        <v>0</v>
      </c>
      <c r="X699" s="63"/>
      <c r="Y699" s="63"/>
      <c r="Z699" s="63"/>
      <c r="AA699" s="63"/>
      <c r="AB699" s="63"/>
      <c r="AE699" s="8">
        <v>0</v>
      </c>
      <c r="AT699" t="str">
        <f t="shared" si="200"/>
        <v>Windsor</v>
      </c>
      <c r="AU699" t="s">
        <v>3007</v>
      </c>
      <c r="AV699">
        <v>1</v>
      </c>
      <c r="AX699" s="114">
        <v>23</v>
      </c>
      <c r="AY699" s="116">
        <v>11</v>
      </c>
      <c r="AZ699" s="116">
        <v>135</v>
      </c>
      <c r="BA699" s="120">
        <v>86165</v>
      </c>
      <c r="BB699" s="120">
        <f t="shared" si="201"/>
        <v>23011</v>
      </c>
      <c r="BC699" t="s">
        <v>1472</v>
      </c>
      <c r="BD699">
        <f t="shared" si="196"/>
        <v>2386165</v>
      </c>
      <c r="BE699" s="1">
        <v>42</v>
      </c>
      <c r="BI699">
        <v>35.58</v>
      </c>
      <c r="BJ699">
        <v>0.93</v>
      </c>
      <c r="BK699">
        <v>34.65</v>
      </c>
      <c r="BS699" s="63">
        <v>0</v>
      </c>
      <c r="CK699" s="159" t="s">
        <v>4245</v>
      </c>
    </row>
    <row r="700" spans="1:89" hidden="1" outlineLevel="1">
      <c r="A700" t="s">
        <v>1442</v>
      </c>
      <c r="B700" s="8" t="s">
        <v>1697</v>
      </c>
      <c r="C700" s="1">
        <f t="shared" si="203"/>
        <v>194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 t="shared" si="197"/>
        <v>0</v>
      </c>
      <c r="G700" s="1">
        <f t="shared" si="180"/>
        <v>115</v>
      </c>
      <c r="H700" s="2">
        <f t="shared" si="199"/>
        <v>0.59278350515463918</v>
      </c>
      <c r="I700" s="6"/>
      <c r="J700" s="2">
        <f t="shared" si="181"/>
        <v>0.18556701030927836</v>
      </c>
      <c r="K700" s="2">
        <f t="shared" si="182"/>
        <v>0.77835051546391754</v>
      </c>
      <c r="L700" s="2">
        <f t="shared" si="183"/>
        <v>0</v>
      </c>
      <c r="M700" s="2">
        <f t="shared" si="198"/>
        <v>3.6082474226804107E-2</v>
      </c>
      <c r="N700" s="63">
        <v>36</v>
      </c>
      <c r="O700" s="63">
        <v>151</v>
      </c>
      <c r="P700" s="63">
        <v>0</v>
      </c>
      <c r="Q700" s="63">
        <v>4</v>
      </c>
      <c r="R700" s="63">
        <v>3</v>
      </c>
      <c r="S700" s="63">
        <v>0</v>
      </c>
      <c r="T700" s="67"/>
      <c r="U700" s="63"/>
      <c r="V700" s="63"/>
      <c r="W700" s="63">
        <f t="shared" si="202"/>
        <v>0</v>
      </c>
      <c r="X700" s="63"/>
      <c r="Y700" s="63"/>
      <c r="Z700" s="63"/>
      <c r="AA700" s="63"/>
      <c r="AB700" s="63"/>
      <c r="AE700" s="8">
        <v>0</v>
      </c>
      <c r="AT700" t="str">
        <f t="shared" si="200"/>
        <v>Winn</v>
      </c>
      <c r="AU700" t="s">
        <v>2481</v>
      </c>
      <c r="AV700">
        <v>2</v>
      </c>
      <c r="AX700" s="114">
        <v>23</v>
      </c>
      <c r="AY700" s="116">
        <v>19</v>
      </c>
      <c r="AZ700" s="116">
        <v>305</v>
      </c>
      <c r="BA700" s="120">
        <v>86305</v>
      </c>
      <c r="BB700" s="120">
        <f t="shared" si="201"/>
        <v>23019</v>
      </c>
      <c r="BC700" t="s">
        <v>1472</v>
      </c>
      <c r="BD700">
        <f t="shared" si="196"/>
        <v>2386305</v>
      </c>
      <c r="BE700" s="1">
        <v>7</v>
      </c>
      <c r="BI700">
        <v>44.27</v>
      </c>
      <c r="BJ700">
        <v>0.14000000000000001</v>
      </c>
      <c r="BK700">
        <v>44.13</v>
      </c>
      <c r="BS700" s="63">
        <v>0</v>
      </c>
      <c r="CK700" s="1" t="s">
        <v>4246</v>
      </c>
    </row>
    <row r="701" spans="1:89" hidden="1" outlineLevel="1">
      <c r="A701" t="s">
        <v>1336</v>
      </c>
      <c r="B701" s="8" t="s">
        <v>1697</v>
      </c>
      <c r="C701" s="1">
        <f t="shared" si="203"/>
        <v>4253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 t="shared" si="197"/>
        <v>5</v>
      </c>
      <c r="G701" s="1">
        <f t="shared" si="180"/>
        <v>275</v>
      </c>
      <c r="H701" s="2">
        <f t="shared" si="199"/>
        <v>6.4660239830707733E-2</v>
      </c>
      <c r="I701" s="6"/>
      <c r="J701" s="2">
        <f t="shared" si="181"/>
        <v>0.42910886433106044</v>
      </c>
      <c r="K701" s="2">
        <f t="shared" si="182"/>
        <v>0.49376910416176817</v>
      </c>
      <c r="L701" s="2">
        <f t="shared" si="183"/>
        <v>1.1756407241946861E-3</v>
      </c>
      <c r="M701" s="2">
        <f t="shared" si="198"/>
        <v>7.5946390782976714E-2</v>
      </c>
      <c r="N701" s="63">
        <v>1825</v>
      </c>
      <c r="O701" s="63">
        <v>2100</v>
      </c>
      <c r="P701" s="63">
        <v>5</v>
      </c>
      <c r="Q701" s="63">
        <v>255</v>
      </c>
      <c r="R701" s="63">
        <v>68</v>
      </c>
      <c r="S701" s="63">
        <v>0</v>
      </c>
      <c r="T701" s="67"/>
      <c r="U701" s="63"/>
      <c r="V701" s="63"/>
      <c r="W701" s="63">
        <f t="shared" si="202"/>
        <v>0</v>
      </c>
      <c r="X701" s="63"/>
      <c r="Y701" s="63"/>
      <c r="Z701" s="63"/>
      <c r="AA701" s="63"/>
      <c r="AB701" s="63"/>
      <c r="AE701" s="8">
        <v>0</v>
      </c>
      <c r="AT701" t="str">
        <f t="shared" si="200"/>
        <v>Winslow</v>
      </c>
      <c r="AU701" t="s">
        <v>3007</v>
      </c>
      <c r="AV701">
        <v>1</v>
      </c>
      <c r="AX701" s="114">
        <v>23</v>
      </c>
      <c r="AY701" s="116">
        <v>11</v>
      </c>
      <c r="AZ701" s="116">
        <v>140</v>
      </c>
      <c r="BA701" s="120">
        <v>86515</v>
      </c>
      <c r="BB701" s="120">
        <f t="shared" si="201"/>
        <v>23011</v>
      </c>
      <c r="BC701" t="s">
        <v>1472</v>
      </c>
      <c r="BD701">
        <f t="shared" si="196"/>
        <v>2386515</v>
      </c>
      <c r="BE701" s="1">
        <v>153</v>
      </c>
      <c r="BI701">
        <v>38.72</v>
      </c>
      <c r="BJ701">
        <v>1.87</v>
      </c>
      <c r="BK701">
        <v>36.85</v>
      </c>
      <c r="BS701" s="63">
        <v>0</v>
      </c>
      <c r="CK701" s="1" t="s">
        <v>4247</v>
      </c>
    </row>
    <row r="702" spans="1:89" hidden="1" outlineLevel="1">
      <c r="A702" t="s">
        <v>2912</v>
      </c>
      <c r="B702" s="8" t="s">
        <v>1697</v>
      </c>
      <c r="C702" s="1">
        <f t="shared" si="203"/>
        <v>299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 t="shared" si="197"/>
        <v>0</v>
      </c>
      <c r="G702" s="1">
        <f t="shared" si="180"/>
        <v>40</v>
      </c>
      <c r="H702" s="2">
        <f t="shared" si="199"/>
        <v>0.13377926421404682</v>
      </c>
      <c r="I702" s="6"/>
      <c r="J702" s="2">
        <f t="shared" si="181"/>
        <v>0.3779264214046823</v>
      </c>
      <c r="K702" s="2">
        <f t="shared" si="182"/>
        <v>0.51170568561872909</v>
      </c>
      <c r="L702" s="2">
        <f t="shared" si="183"/>
        <v>0</v>
      </c>
      <c r="M702" s="2">
        <f t="shared" si="198"/>
        <v>0.11036789297658867</v>
      </c>
      <c r="N702" s="63">
        <v>113</v>
      </c>
      <c r="O702" s="63">
        <v>153</v>
      </c>
      <c r="P702" s="63">
        <v>0</v>
      </c>
      <c r="Q702" s="63">
        <v>25</v>
      </c>
      <c r="R702" s="63">
        <v>8</v>
      </c>
      <c r="S702" s="63">
        <v>0</v>
      </c>
      <c r="T702" s="67"/>
      <c r="U702" s="63"/>
      <c r="V702" s="63"/>
      <c r="W702" s="63">
        <f t="shared" si="202"/>
        <v>0</v>
      </c>
      <c r="X702" s="63"/>
      <c r="Y702" s="63"/>
      <c r="Z702" s="63"/>
      <c r="AA702" s="63"/>
      <c r="AB702" s="63"/>
      <c r="AE702" s="8">
        <v>0</v>
      </c>
      <c r="AT702" t="str">
        <f t="shared" si="200"/>
        <v>Winter Harbor</v>
      </c>
      <c r="AU702" t="s">
        <v>597</v>
      </c>
      <c r="AV702">
        <v>2</v>
      </c>
      <c r="AX702" s="114">
        <v>23</v>
      </c>
      <c r="AY702" s="116">
        <v>9</v>
      </c>
      <c r="AZ702" s="116">
        <v>185</v>
      </c>
      <c r="BA702" s="120">
        <v>86655</v>
      </c>
      <c r="BB702" s="120">
        <f t="shared" si="201"/>
        <v>23009</v>
      </c>
      <c r="BC702" t="s">
        <v>1472</v>
      </c>
      <c r="BD702">
        <f t="shared" si="196"/>
        <v>2386655</v>
      </c>
      <c r="BE702" s="1">
        <v>11</v>
      </c>
      <c r="BI702">
        <v>65.7</v>
      </c>
      <c r="BJ702">
        <v>51.33</v>
      </c>
      <c r="BK702">
        <v>14.37</v>
      </c>
      <c r="BS702" s="63">
        <v>0</v>
      </c>
      <c r="CK702" s="1" t="s">
        <v>4248</v>
      </c>
    </row>
    <row r="703" spans="1:89" hidden="1" outlineLevel="1">
      <c r="A703" t="s">
        <v>137</v>
      </c>
      <c r="B703" s="8" t="s">
        <v>1697</v>
      </c>
      <c r="C703" s="1">
        <f t="shared" si="203"/>
        <v>2153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 t="shared" si="197"/>
        <v>5</v>
      </c>
      <c r="G703" s="1">
        <f t="shared" si="180"/>
        <v>243</v>
      </c>
      <c r="H703" s="2">
        <f t="shared" si="199"/>
        <v>0.11286576869484441</v>
      </c>
      <c r="I703" s="6"/>
      <c r="J703" s="2">
        <f t="shared" si="181"/>
        <v>0.40222944728286114</v>
      </c>
      <c r="K703" s="2">
        <f t="shared" si="182"/>
        <v>0.51509521597770558</v>
      </c>
      <c r="L703" s="2">
        <f t="shared" si="183"/>
        <v>2.3223409196470044E-3</v>
      </c>
      <c r="M703" s="2">
        <f t="shared" si="198"/>
        <v>8.0352995819786277E-2</v>
      </c>
      <c r="N703" s="63">
        <v>866</v>
      </c>
      <c r="O703" s="63">
        <v>1109</v>
      </c>
      <c r="P703" s="63">
        <v>5</v>
      </c>
      <c r="Q703" s="63">
        <v>135</v>
      </c>
      <c r="R703" s="63">
        <v>35</v>
      </c>
      <c r="S703" s="63">
        <v>3</v>
      </c>
      <c r="T703" s="67"/>
      <c r="U703" s="63"/>
      <c r="V703" s="63"/>
      <c r="W703" s="63">
        <f t="shared" si="202"/>
        <v>0</v>
      </c>
      <c r="X703" s="63"/>
      <c r="Y703" s="63"/>
      <c r="Z703" s="63"/>
      <c r="AA703" s="63"/>
      <c r="AB703" s="63"/>
      <c r="AE703" s="8">
        <v>0</v>
      </c>
      <c r="AT703" t="str">
        <f t="shared" si="200"/>
        <v>Winterport</v>
      </c>
      <c r="AU703" t="s">
        <v>217</v>
      </c>
      <c r="AV703">
        <v>2</v>
      </c>
      <c r="AX703" s="114">
        <v>23</v>
      </c>
      <c r="AY703" s="116">
        <v>27</v>
      </c>
      <c r="AZ703" s="116">
        <v>130</v>
      </c>
      <c r="BA703" s="120">
        <v>86760</v>
      </c>
      <c r="BB703" s="120">
        <f t="shared" si="201"/>
        <v>23027</v>
      </c>
      <c r="BC703" t="s">
        <v>1472</v>
      </c>
      <c r="BD703">
        <f t="shared" si="196"/>
        <v>2386760</v>
      </c>
      <c r="BE703" s="1">
        <v>77</v>
      </c>
      <c r="BI703">
        <v>37.11</v>
      </c>
      <c r="BJ703">
        <v>1.51</v>
      </c>
      <c r="BK703">
        <v>35.590000000000003</v>
      </c>
      <c r="BS703" s="63">
        <v>0</v>
      </c>
      <c r="CK703" s="1" t="s">
        <v>4249</v>
      </c>
    </row>
    <row r="704" spans="1:89" hidden="1" outlineLevel="1">
      <c r="A704" t="s">
        <v>247</v>
      </c>
      <c r="B704" s="8" t="s">
        <v>1697</v>
      </c>
      <c r="C704" s="1">
        <f t="shared" si="203"/>
        <v>133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 t="shared" si="197"/>
        <v>0</v>
      </c>
      <c r="G704" s="1">
        <f t="shared" si="180"/>
        <v>20</v>
      </c>
      <c r="H704" s="2">
        <f t="shared" si="199"/>
        <v>0.15037593984962405</v>
      </c>
      <c r="I704" s="6"/>
      <c r="J704" s="2">
        <f t="shared" si="181"/>
        <v>0.39849624060150374</v>
      </c>
      <c r="K704" s="2">
        <f t="shared" si="182"/>
        <v>0.54887218045112784</v>
      </c>
      <c r="L704" s="2">
        <f t="shared" si="183"/>
        <v>0</v>
      </c>
      <c r="M704" s="2">
        <f t="shared" si="198"/>
        <v>5.2631578947368363E-2</v>
      </c>
      <c r="N704" s="63">
        <v>53</v>
      </c>
      <c r="O704" s="63">
        <v>73</v>
      </c>
      <c r="P704" s="63">
        <v>0</v>
      </c>
      <c r="Q704" s="63">
        <v>5</v>
      </c>
      <c r="R704" s="63">
        <v>2</v>
      </c>
      <c r="S704" s="63">
        <v>0</v>
      </c>
      <c r="T704" s="67"/>
      <c r="U704" s="63"/>
      <c r="V704" s="63"/>
      <c r="W704" s="63">
        <f t="shared" si="202"/>
        <v>0</v>
      </c>
      <c r="X704" s="63"/>
      <c r="Y704" s="63"/>
      <c r="Z704" s="63"/>
      <c r="AA704" s="63"/>
      <c r="AB704" s="63"/>
      <c r="AE704" s="8">
        <v>0</v>
      </c>
      <c r="AT704" t="str">
        <f t="shared" si="200"/>
        <v>Winterville</v>
      </c>
      <c r="AU704" t="s">
        <v>2830</v>
      </c>
      <c r="AV704">
        <v>2</v>
      </c>
      <c r="AX704" s="114">
        <v>23</v>
      </c>
      <c r="AY704" s="116">
        <v>3</v>
      </c>
      <c r="AZ704" s="116">
        <v>340</v>
      </c>
      <c r="BA704" s="120">
        <v>86865</v>
      </c>
      <c r="BB704" s="120">
        <f t="shared" si="201"/>
        <v>23003</v>
      </c>
      <c r="BC704" t="s">
        <v>3075</v>
      </c>
      <c r="BD704">
        <f t="shared" si="196"/>
        <v>2386865</v>
      </c>
      <c r="BE704" s="1">
        <v>5</v>
      </c>
      <c r="BI704">
        <v>39.11</v>
      </c>
      <c r="BJ704">
        <v>3.41</v>
      </c>
      <c r="BK704">
        <v>35.700000000000003</v>
      </c>
      <c r="BS704" s="63">
        <v>0</v>
      </c>
      <c r="CK704" s="1" t="s">
        <v>4250</v>
      </c>
    </row>
    <row r="705" spans="1:89" hidden="1" outlineLevel="1">
      <c r="A705" t="s">
        <v>1321</v>
      </c>
      <c r="B705" s="8" t="s">
        <v>1697</v>
      </c>
      <c r="C705" s="1">
        <f t="shared" si="203"/>
        <v>3591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 t="shared" si="197"/>
        <v>5</v>
      </c>
      <c r="G705" s="1">
        <f t="shared" si="180"/>
        <v>81</v>
      </c>
      <c r="H705" s="2">
        <f t="shared" si="199"/>
        <v>2.2556390977443608E-2</v>
      </c>
      <c r="I705" s="6"/>
      <c r="J705" s="2">
        <f t="shared" si="181"/>
        <v>0.46867167919799496</v>
      </c>
      <c r="K705" s="2">
        <f t="shared" si="182"/>
        <v>0.44611528822055135</v>
      </c>
      <c r="L705" s="2">
        <f t="shared" si="183"/>
        <v>3.3416875522138678E-3</v>
      </c>
      <c r="M705" s="2">
        <f t="shared" si="198"/>
        <v>8.1871345029239762E-2</v>
      </c>
      <c r="N705" s="63">
        <v>1683</v>
      </c>
      <c r="O705" s="63">
        <v>1602</v>
      </c>
      <c r="P705" s="63">
        <v>12</v>
      </c>
      <c r="Q705" s="63">
        <v>208</v>
      </c>
      <c r="R705" s="63">
        <v>86</v>
      </c>
      <c r="S705" s="63">
        <v>0</v>
      </c>
      <c r="T705" s="67"/>
      <c r="U705" s="63"/>
      <c r="V705" s="63"/>
      <c r="W705" s="63">
        <f t="shared" si="202"/>
        <v>0</v>
      </c>
      <c r="X705" s="63"/>
      <c r="Y705" s="63"/>
      <c r="Z705" s="63"/>
      <c r="AA705" s="63"/>
      <c r="AB705" s="63"/>
      <c r="AE705" s="8">
        <v>0</v>
      </c>
      <c r="AT705" t="str">
        <f t="shared" si="200"/>
        <v>Winthrop</v>
      </c>
      <c r="AU705" t="s">
        <v>3007</v>
      </c>
      <c r="AV705">
        <v>1</v>
      </c>
      <c r="AX705" s="114">
        <v>23</v>
      </c>
      <c r="AY705" s="116">
        <v>11</v>
      </c>
      <c r="AZ705" s="116">
        <v>145</v>
      </c>
      <c r="BA705" s="120">
        <v>86970</v>
      </c>
      <c r="BB705" s="120">
        <f t="shared" si="201"/>
        <v>23011</v>
      </c>
      <c r="BC705" t="s">
        <v>1472</v>
      </c>
      <c r="BD705">
        <f t="shared" si="196"/>
        <v>2386970</v>
      </c>
      <c r="BE705" s="1">
        <v>117</v>
      </c>
      <c r="BI705">
        <v>37.950000000000003</v>
      </c>
      <c r="BJ705">
        <v>6.71</v>
      </c>
      <c r="BK705">
        <v>31.24</v>
      </c>
      <c r="BS705" s="63">
        <v>0</v>
      </c>
      <c r="CK705" s="1" t="s">
        <v>4251</v>
      </c>
    </row>
    <row r="706" spans="1:89" hidden="1" outlineLevel="1">
      <c r="A706" t="s">
        <v>2291</v>
      </c>
      <c r="B706" s="8" t="s">
        <v>1697</v>
      </c>
      <c r="C706" s="1">
        <f t="shared" si="203"/>
        <v>2173</v>
      </c>
      <c r="D706" s="5">
        <f>IF(N706&gt;0, RANK(N706,(N706:P706,Q706:AE706)),0)</f>
        <v>2</v>
      </c>
      <c r="E706" s="5">
        <f>IF(O706&gt;0,RANK(O706,(N706:P706,Q706:AE706)),0)</f>
        <v>1</v>
      </c>
      <c r="F706" s="5">
        <f t="shared" ref="F706:F722" si="204">IF(P706&gt;0,RANK(P706,(N706:AE706)),0)</f>
        <v>0</v>
      </c>
      <c r="G706" s="1">
        <f t="shared" ref="G706:G722" si="205">IF(C706&gt;0,MAX(N706:P706)-LARGE(N706:P706,2),0)</f>
        <v>300</v>
      </c>
      <c r="H706" s="2">
        <f t="shared" si="199"/>
        <v>0.13805798435342845</v>
      </c>
      <c r="I706" s="6"/>
      <c r="J706" s="2">
        <f t="shared" ref="J706:J722" si="206">IF(C706=0,"-",N706/C706)</f>
        <v>0.39760699493787388</v>
      </c>
      <c r="K706" s="2">
        <f t="shared" ref="K706:K722" si="207">IF(C706=0,"-",O706/C706)</f>
        <v>0.5356649792913023</v>
      </c>
      <c r="L706" s="2">
        <f t="shared" ref="L706:L722" si="208">IF(C706=0,"-",P706/C706)</f>
        <v>0</v>
      </c>
      <c r="M706" s="2">
        <f t="shared" ref="M706:M722" si="209">IF(C706=0,"-",(1-J706-K706-L706))</f>
        <v>6.6728025770823818E-2</v>
      </c>
      <c r="N706" s="63">
        <v>864</v>
      </c>
      <c r="O706" s="63">
        <v>1164</v>
      </c>
      <c r="P706" s="63">
        <v>0</v>
      </c>
      <c r="Q706" s="63">
        <v>105</v>
      </c>
      <c r="R706" s="63">
        <v>39</v>
      </c>
      <c r="S706" s="63">
        <v>1</v>
      </c>
      <c r="T706" s="67"/>
      <c r="U706" s="63"/>
      <c r="V706" s="63"/>
      <c r="W706" s="63">
        <f t="shared" ref="W706:W721" si="210">BS706</f>
        <v>0</v>
      </c>
      <c r="X706" s="63"/>
      <c r="Y706" s="63"/>
      <c r="Z706" s="63"/>
      <c r="AA706" s="63"/>
      <c r="AB706" s="63"/>
      <c r="AE706" s="8">
        <v>0</v>
      </c>
      <c r="AT706" t="str">
        <f t="shared" si="200"/>
        <v>Wiscasset</v>
      </c>
      <c r="AU706" t="s">
        <v>1597</v>
      </c>
      <c r="AV706">
        <v>1</v>
      </c>
      <c r="AX706" s="114">
        <v>23</v>
      </c>
      <c r="AY706" s="116">
        <v>15</v>
      </c>
      <c r="AZ706" s="116">
        <v>100</v>
      </c>
      <c r="BA706" s="120">
        <v>87075</v>
      </c>
      <c r="BB706" s="120">
        <f t="shared" si="201"/>
        <v>23015</v>
      </c>
      <c r="BC706" t="s">
        <v>1472</v>
      </c>
      <c r="BD706">
        <f t="shared" si="196"/>
        <v>2387075</v>
      </c>
      <c r="BE706" s="1">
        <v>78</v>
      </c>
      <c r="BI706">
        <v>27.71</v>
      </c>
      <c r="BJ706">
        <v>3.12</v>
      </c>
      <c r="BK706">
        <v>24.59</v>
      </c>
      <c r="BS706" s="63">
        <v>0</v>
      </c>
      <c r="CK706" s="1" t="s">
        <v>4252</v>
      </c>
    </row>
    <row r="707" spans="1:89" hidden="1" outlineLevel="1">
      <c r="A707" t="s">
        <v>1949</v>
      </c>
      <c r="B707" s="8" t="s">
        <v>1697</v>
      </c>
      <c r="C707" s="1">
        <f t="shared" si="203"/>
        <v>662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 t="shared" si="204"/>
        <v>0</v>
      </c>
      <c r="G707" s="1">
        <f t="shared" si="205"/>
        <v>161</v>
      </c>
      <c r="H707" s="2">
        <f t="shared" si="199"/>
        <v>0.243202416918429</v>
      </c>
      <c r="I707" s="6"/>
      <c r="J707" s="2">
        <f t="shared" si="206"/>
        <v>0.34894259818731116</v>
      </c>
      <c r="K707" s="2">
        <f t="shared" si="207"/>
        <v>0.59214501510574014</v>
      </c>
      <c r="L707" s="2">
        <f t="shared" si="208"/>
        <v>0</v>
      </c>
      <c r="M707" s="2">
        <f t="shared" si="209"/>
        <v>5.8912386706948761E-2</v>
      </c>
      <c r="N707" s="63">
        <v>231</v>
      </c>
      <c r="O707" s="63">
        <v>392</v>
      </c>
      <c r="P707" s="63">
        <v>0</v>
      </c>
      <c r="Q707" s="63">
        <v>33</v>
      </c>
      <c r="R707" s="63">
        <v>6</v>
      </c>
      <c r="S707" s="63">
        <v>0</v>
      </c>
      <c r="T707" s="67"/>
      <c r="U707" s="63"/>
      <c r="V707" s="63"/>
      <c r="W707" s="63">
        <f t="shared" si="210"/>
        <v>0</v>
      </c>
      <c r="X707" s="63"/>
      <c r="Y707" s="63"/>
      <c r="Z707" s="63"/>
      <c r="AA707" s="63"/>
      <c r="AB707" s="63"/>
      <c r="AE707" s="8">
        <v>0</v>
      </c>
      <c r="AT707" t="str">
        <f t="shared" si="200"/>
        <v>Woodland</v>
      </c>
      <c r="AU707" t="s">
        <v>2830</v>
      </c>
      <c r="AV707">
        <v>2</v>
      </c>
      <c r="AX707" s="114">
        <v>23</v>
      </c>
      <c r="AY707" s="116">
        <v>3</v>
      </c>
      <c r="AZ707" s="116">
        <v>345</v>
      </c>
      <c r="BA707" s="120">
        <v>87215</v>
      </c>
      <c r="BB707" s="120">
        <f t="shared" si="201"/>
        <v>23003</v>
      </c>
      <c r="BC707" t="s">
        <v>1472</v>
      </c>
      <c r="BD707">
        <f t="shared" si="196"/>
        <v>2387215</v>
      </c>
      <c r="BE707" s="1">
        <v>24</v>
      </c>
      <c r="BI707">
        <v>35.270000000000003</v>
      </c>
      <c r="BJ707">
        <v>0</v>
      </c>
      <c r="BK707">
        <v>35.270000000000003</v>
      </c>
      <c r="BS707" s="63">
        <v>0</v>
      </c>
      <c r="CK707" s="1" t="s">
        <v>4253</v>
      </c>
    </row>
    <row r="708" spans="1:89" hidden="1" outlineLevel="1">
      <c r="A708" t="s">
        <v>1709</v>
      </c>
      <c r="B708" s="8" t="s">
        <v>1697</v>
      </c>
      <c r="C708" s="1">
        <f t="shared" si="203"/>
        <v>759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 t="shared" si="204"/>
        <v>5</v>
      </c>
      <c r="G708" s="1">
        <f t="shared" si="205"/>
        <v>130</v>
      </c>
      <c r="H708" s="2">
        <f t="shared" si="199"/>
        <v>0.17127799736495389</v>
      </c>
      <c r="I708" s="6"/>
      <c r="J708" s="2">
        <f t="shared" si="206"/>
        <v>0.36100131752305664</v>
      </c>
      <c r="K708" s="2">
        <f t="shared" si="207"/>
        <v>0.5322793148880105</v>
      </c>
      <c r="L708" s="2">
        <f t="shared" si="208"/>
        <v>1.4492753623188406E-2</v>
      </c>
      <c r="M708" s="2">
        <f t="shared" si="209"/>
        <v>9.2226613965744456E-2</v>
      </c>
      <c r="N708" s="63">
        <v>274</v>
      </c>
      <c r="O708" s="63">
        <v>404</v>
      </c>
      <c r="P708" s="63">
        <v>11</v>
      </c>
      <c r="Q708" s="63">
        <v>54</v>
      </c>
      <c r="R708" s="63">
        <v>16</v>
      </c>
      <c r="S708" s="63">
        <v>0</v>
      </c>
      <c r="T708" s="67"/>
      <c r="U708" s="63"/>
      <c r="V708" s="63"/>
      <c r="W708" s="63">
        <f t="shared" si="210"/>
        <v>0</v>
      </c>
      <c r="X708" s="63"/>
      <c r="Y708" s="63"/>
      <c r="Z708" s="63"/>
      <c r="AA708" s="63"/>
      <c r="AB708" s="63"/>
      <c r="AE708" s="8">
        <v>0</v>
      </c>
      <c r="AT708" t="str">
        <f t="shared" si="200"/>
        <v>Woodstock</v>
      </c>
      <c r="AU708" t="s">
        <v>2383</v>
      </c>
      <c r="AV708">
        <v>2</v>
      </c>
      <c r="AX708" s="114">
        <v>23</v>
      </c>
      <c r="AY708" s="116">
        <v>17</v>
      </c>
      <c r="AZ708" s="116">
        <v>175</v>
      </c>
      <c r="BA708" s="120">
        <v>87355</v>
      </c>
      <c r="BB708" s="120">
        <f t="shared" si="201"/>
        <v>23017</v>
      </c>
      <c r="BC708" t="s">
        <v>1472</v>
      </c>
      <c r="BD708">
        <f t="shared" si="196"/>
        <v>2387355</v>
      </c>
      <c r="BE708" s="1">
        <v>37</v>
      </c>
      <c r="BI708">
        <v>46.85</v>
      </c>
      <c r="BJ708">
        <v>1.1499999999999999</v>
      </c>
      <c r="BK708">
        <v>45.7</v>
      </c>
      <c r="BS708" s="63">
        <v>0</v>
      </c>
      <c r="CK708" s="1" t="s">
        <v>4254</v>
      </c>
    </row>
    <row r="709" spans="1:89" hidden="1" outlineLevel="1">
      <c r="A709" t="s">
        <v>1920</v>
      </c>
      <c r="B709" s="8" t="s">
        <v>1697</v>
      </c>
      <c r="C709" s="1">
        <f t="shared" si="203"/>
        <v>130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 t="shared" si="204"/>
        <v>0</v>
      </c>
      <c r="G709" s="1">
        <f t="shared" si="205"/>
        <v>76</v>
      </c>
      <c r="H709" s="2">
        <f t="shared" si="199"/>
        <v>0.58461538461538465</v>
      </c>
      <c r="I709" s="6"/>
      <c r="J709" s="2">
        <f t="shared" si="206"/>
        <v>0.17692307692307693</v>
      </c>
      <c r="K709" s="2">
        <f t="shared" si="207"/>
        <v>0.7615384615384615</v>
      </c>
      <c r="L709" s="2">
        <f t="shared" si="208"/>
        <v>0</v>
      </c>
      <c r="M709" s="2">
        <f t="shared" si="209"/>
        <v>6.1538461538461542E-2</v>
      </c>
      <c r="N709" s="63">
        <v>23</v>
      </c>
      <c r="O709" s="63">
        <v>99</v>
      </c>
      <c r="P709" s="63">
        <v>0</v>
      </c>
      <c r="Q709" s="63">
        <v>7</v>
      </c>
      <c r="R709" s="63">
        <v>1</v>
      </c>
      <c r="S709" s="63">
        <v>0</v>
      </c>
      <c r="T709" s="67"/>
      <c r="U709" s="63"/>
      <c r="V709" s="63"/>
      <c r="W709" s="63">
        <f t="shared" si="210"/>
        <v>0</v>
      </c>
      <c r="X709" s="63"/>
      <c r="Y709" s="63"/>
      <c r="Z709" s="63"/>
      <c r="AA709" s="63"/>
      <c r="AB709" s="63"/>
      <c r="AE709" s="8">
        <v>0</v>
      </c>
      <c r="AT709" t="str">
        <f t="shared" si="200"/>
        <v>Woodville</v>
      </c>
      <c r="AU709" t="s">
        <v>2481</v>
      </c>
      <c r="AV709">
        <v>2</v>
      </c>
      <c r="AX709" s="114">
        <v>23</v>
      </c>
      <c r="AY709" s="116">
        <v>19</v>
      </c>
      <c r="AZ709" s="116">
        <v>310</v>
      </c>
      <c r="BA709" s="120">
        <v>87390</v>
      </c>
      <c r="BB709" s="120">
        <f t="shared" si="201"/>
        <v>23019</v>
      </c>
      <c r="BC709" t="s">
        <v>1472</v>
      </c>
      <c r="BD709">
        <f t="shared" si="196"/>
        <v>2387390</v>
      </c>
      <c r="BE709" s="1">
        <v>1</v>
      </c>
      <c r="BI709">
        <v>42.93</v>
      </c>
      <c r="BJ709">
        <v>0</v>
      </c>
      <c r="BK709">
        <v>42.93</v>
      </c>
      <c r="BS709" s="63">
        <v>0</v>
      </c>
      <c r="CK709" s="1" t="s">
        <v>4255</v>
      </c>
    </row>
    <row r="710" spans="1:89" hidden="1" outlineLevel="1">
      <c r="A710" t="s">
        <v>1520</v>
      </c>
      <c r="B710" s="8" t="s">
        <v>1697</v>
      </c>
      <c r="C710" s="1">
        <f t="shared" si="203"/>
        <v>1969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 t="shared" si="204"/>
        <v>5</v>
      </c>
      <c r="G710" s="1">
        <f t="shared" si="205"/>
        <v>174</v>
      </c>
      <c r="H710" s="2">
        <f t="shared" si="199"/>
        <v>8.836973082783138E-2</v>
      </c>
      <c r="I710" s="6"/>
      <c r="J710" s="2">
        <f t="shared" si="206"/>
        <v>0.42001015744032505</v>
      </c>
      <c r="K710" s="2">
        <f t="shared" si="207"/>
        <v>0.50837988826815639</v>
      </c>
      <c r="L710" s="2">
        <f t="shared" si="208"/>
        <v>2.0314880650076179E-3</v>
      </c>
      <c r="M710" s="2">
        <f t="shared" si="209"/>
        <v>6.9578466226510996E-2</v>
      </c>
      <c r="N710" s="63">
        <v>827</v>
      </c>
      <c r="O710" s="63">
        <v>1001</v>
      </c>
      <c r="P710" s="63">
        <v>4</v>
      </c>
      <c r="Q710" s="63">
        <v>111</v>
      </c>
      <c r="R710" s="63">
        <v>26</v>
      </c>
      <c r="S710" s="63">
        <v>0</v>
      </c>
      <c r="T710" s="67"/>
      <c r="U710" s="63"/>
      <c r="V710" s="63"/>
      <c r="W710" s="63">
        <f t="shared" si="210"/>
        <v>0</v>
      </c>
      <c r="X710" s="63"/>
      <c r="Y710" s="63"/>
      <c r="Z710" s="63"/>
      <c r="AA710" s="63"/>
      <c r="AB710" s="63"/>
      <c r="AE710" s="8">
        <v>0</v>
      </c>
      <c r="AT710" t="str">
        <f t="shared" si="200"/>
        <v>Woolwich</v>
      </c>
      <c r="AU710" t="s">
        <v>1283</v>
      </c>
      <c r="AV710">
        <v>1</v>
      </c>
      <c r="AX710" s="114">
        <v>23</v>
      </c>
      <c r="AY710" s="116">
        <v>23</v>
      </c>
      <c r="AZ710" s="116">
        <v>50</v>
      </c>
      <c r="BA710" s="120">
        <v>87460</v>
      </c>
      <c r="BB710" s="120">
        <f t="shared" si="201"/>
        <v>23023</v>
      </c>
      <c r="BC710" t="s">
        <v>1472</v>
      </c>
      <c r="BD710">
        <f t="shared" si="196"/>
        <v>2387460</v>
      </c>
      <c r="BE710" s="1">
        <v>54</v>
      </c>
      <c r="BI710">
        <v>41.65</v>
      </c>
      <c r="BJ710">
        <v>6.6</v>
      </c>
      <c r="BK710">
        <v>35.049999999999997</v>
      </c>
      <c r="BS710" s="63">
        <v>0</v>
      </c>
      <c r="CK710" s="1" t="s">
        <v>4256</v>
      </c>
    </row>
    <row r="711" spans="1:89" hidden="1" outlineLevel="1">
      <c r="A711" t="s">
        <v>2039</v>
      </c>
      <c r="B711" s="8" t="s">
        <v>1697</v>
      </c>
      <c r="C711" s="1">
        <f>SUM(N711:AR711)</f>
        <v>30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 t="shared" si="204"/>
        <v>0</v>
      </c>
      <c r="G711" s="1">
        <f t="shared" si="205"/>
        <v>7</v>
      </c>
      <c r="H711" s="2">
        <f>IF(C711&gt;0,G711/C711,0)</f>
        <v>0.23333333333333334</v>
      </c>
      <c r="I711" s="6"/>
      <c r="J711" s="2">
        <f t="shared" si="206"/>
        <v>0.33333333333333331</v>
      </c>
      <c r="K711" s="2">
        <f t="shared" si="207"/>
        <v>0.56666666666666665</v>
      </c>
      <c r="L711" s="2">
        <f t="shared" si="208"/>
        <v>0</v>
      </c>
      <c r="M711" s="2">
        <f t="shared" si="209"/>
        <v>0.10000000000000009</v>
      </c>
      <c r="N711" s="63">
        <v>10</v>
      </c>
      <c r="O711" s="63">
        <v>17</v>
      </c>
      <c r="P711" s="63">
        <v>0</v>
      </c>
      <c r="Q711" s="63">
        <v>0</v>
      </c>
      <c r="R711" s="63">
        <v>3</v>
      </c>
      <c r="S711" s="63">
        <v>0</v>
      </c>
      <c r="T711" s="67"/>
      <c r="U711" s="63"/>
      <c r="V711" s="63"/>
      <c r="W711" s="63">
        <f t="shared" si="210"/>
        <v>0</v>
      </c>
      <c r="X711" s="63"/>
      <c r="Y711" s="63"/>
      <c r="Z711" s="63"/>
      <c r="AA711" s="63"/>
      <c r="AB711" s="63"/>
      <c r="AE711" s="8">
        <v>0</v>
      </c>
      <c r="AT711" t="str">
        <f>A711</f>
        <v>Wyman</v>
      </c>
      <c r="AU711" t="s">
        <v>1138</v>
      </c>
      <c r="AV711">
        <v>2</v>
      </c>
      <c r="AX711" s="114">
        <v>23</v>
      </c>
      <c r="AY711" s="116">
        <v>7</v>
      </c>
      <c r="BA711" s="142">
        <v>87680</v>
      </c>
      <c r="BB711" s="120">
        <f>AX711*1000+AY711</f>
        <v>23007</v>
      </c>
      <c r="BC711" t="s">
        <v>957</v>
      </c>
      <c r="BD711">
        <f>AX711*100000+BA711</f>
        <v>2387680</v>
      </c>
      <c r="BE711" s="1">
        <v>3</v>
      </c>
      <c r="BS711" s="63">
        <v>0</v>
      </c>
      <c r="CK711" s="1" t="s">
        <v>4257</v>
      </c>
    </row>
    <row r="712" spans="1:89" hidden="1" outlineLevel="1">
      <c r="A712" t="s">
        <v>3211</v>
      </c>
      <c r="B712" s="8" t="s">
        <v>1697</v>
      </c>
      <c r="C712" s="1">
        <f t="shared" si="203"/>
        <v>5520</v>
      </c>
      <c r="D712" s="5">
        <f>IF(N712&gt;0, RANK(N712,(N712:P712,Q712:AE712)),0)</f>
        <v>1</v>
      </c>
      <c r="E712" s="5">
        <f>IF(O712&gt;0,RANK(O712,(N712:P712,Q712:AE712)),0)</f>
        <v>2</v>
      </c>
      <c r="F712" s="5">
        <f t="shared" si="204"/>
        <v>5</v>
      </c>
      <c r="G712" s="1">
        <f t="shared" si="205"/>
        <v>2202</v>
      </c>
      <c r="H712" s="2">
        <f t="shared" si="199"/>
        <v>0.39891304347826084</v>
      </c>
      <c r="I712" s="6"/>
      <c r="J712" s="2">
        <f t="shared" si="206"/>
        <v>0.67119565217391308</v>
      </c>
      <c r="K712" s="2">
        <f t="shared" si="207"/>
        <v>0.27228260869565218</v>
      </c>
      <c r="L712" s="2">
        <f t="shared" si="208"/>
        <v>9.0579710144927537E-4</v>
      </c>
      <c r="M712" s="2">
        <f t="shared" si="209"/>
        <v>5.5615942028985461E-2</v>
      </c>
      <c r="N712" s="63">
        <v>3705</v>
      </c>
      <c r="O712" s="63">
        <v>1503</v>
      </c>
      <c r="P712" s="63">
        <v>5</v>
      </c>
      <c r="Q712" s="63">
        <v>236</v>
      </c>
      <c r="R712" s="63">
        <v>71</v>
      </c>
      <c r="S712" s="63">
        <v>0</v>
      </c>
      <c r="T712" s="67"/>
      <c r="U712" s="63"/>
      <c r="V712" s="63"/>
      <c r="W712" s="63">
        <f t="shared" si="210"/>
        <v>0</v>
      </c>
      <c r="X712" s="63"/>
      <c r="Y712" s="63"/>
      <c r="Z712" s="63"/>
      <c r="AA712" s="63"/>
      <c r="AB712" s="63"/>
      <c r="AE712" s="8">
        <v>0</v>
      </c>
      <c r="AT712" t="str">
        <f t="shared" si="200"/>
        <v>Yarmouth</v>
      </c>
      <c r="AU712" t="s">
        <v>1531</v>
      </c>
      <c r="AV712">
        <v>1</v>
      </c>
      <c r="AX712" s="114">
        <v>23</v>
      </c>
      <c r="AY712" s="116">
        <v>5</v>
      </c>
      <c r="AZ712" s="116">
        <v>130</v>
      </c>
      <c r="BA712" s="120">
        <v>87845</v>
      </c>
      <c r="BB712" s="120">
        <f t="shared" si="201"/>
        <v>23005</v>
      </c>
      <c r="BC712" t="s">
        <v>1472</v>
      </c>
      <c r="BD712">
        <f t="shared" si="196"/>
        <v>2387845</v>
      </c>
      <c r="BE712" s="1">
        <v>205</v>
      </c>
      <c r="BI712">
        <v>22.78</v>
      </c>
      <c r="BJ712">
        <v>9.44</v>
      </c>
      <c r="BK712">
        <v>13.34</v>
      </c>
      <c r="BS712" s="63">
        <v>0</v>
      </c>
      <c r="CK712" s="1" t="s">
        <v>4258</v>
      </c>
    </row>
    <row r="713" spans="1:89" hidden="1" outlineLevel="1">
      <c r="A713" t="s">
        <v>925</v>
      </c>
      <c r="B713" s="8" t="s">
        <v>1697</v>
      </c>
      <c r="C713" s="1">
        <f t="shared" si="203"/>
        <v>8691</v>
      </c>
      <c r="D713" s="5">
        <f>IF(N713&gt;0, RANK(N713,(N713:P713,Q713:AE713)),0)</f>
        <v>1</v>
      </c>
      <c r="E713" s="5">
        <f>IF(O713&gt;0,RANK(O713,(N713:P713,Q713:AE713)),0)</f>
        <v>2</v>
      </c>
      <c r="F713" s="5">
        <f>IF(P713&gt;0,RANK(P713,(N713:AE713)),0)</f>
        <v>5</v>
      </c>
      <c r="G713" s="1">
        <f>IF(C713&gt;0,MAX(N713:P713)-LARGE(N713:P713,2),0)</f>
        <v>1669</v>
      </c>
      <c r="H713" s="2">
        <f>IF(C713&gt;0,G713/C713,0)</f>
        <v>0.1920377401910022</v>
      </c>
      <c r="I713" s="6"/>
      <c r="J713" s="2">
        <f>IF(C713=0,"-",N713/C713)</f>
        <v>0.56713841905419404</v>
      </c>
      <c r="K713" s="2">
        <f>IF(C713=0,"-",O713/C713)</f>
        <v>0.37510067886319182</v>
      </c>
      <c r="L713" s="2">
        <f>IF(C713=0,"-",P713/C713)</f>
        <v>2.1861696007363942E-3</v>
      </c>
      <c r="M713" s="2">
        <f>IF(C713=0,"-",(1-J713-K713-L713))</f>
        <v>5.5574732481877748E-2</v>
      </c>
      <c r="N713" s="63">
        <v>4929</v>
      </c>
      <c r="O713" s="63">
        <v>3260</v>
      </c>
      <c r="P713" s="63">
        <v>19</v>
      </c>
      <c r="Q713" s="63">
        <v>374</v>
      </c>
      <c r="R713" s="63">
        <v>109</v>
      </c>
      <c r="S713" s="63">
        <v>0</v>
      </c>
      <c r="T713" s="67"/>
      <c r="U713" s="63"/>
      <c r="V713" s="63"/>
      <c r="W713" s="63">
        <f t="shared" si="210"/>
        <v>0</v>
      </c>
      <c r="X713" s="63"/>
      <c r="Y713" s="63"/>
      <c r="Z713" s="63"/>
      <c r="AA713" s="63"/>
      <c r="AB713" s="63"/>
      <c r="AE713" s="8">
        <v>0</v>
      </c>
      <c r="AT713" t="str">
        <f>A713</f>
        <v>York</v>
      </c>
      <c r="AU713" t="s">
        <v>925</v>
      </c>
      <c r="AV713">
        <v>1</v>
      </c>
      <c r="AX713" s="114">
        <v>23</v>
      </c>
      <c r="AY713" s="116">
        <v>31</v>
      </c>
      <c r="AZ713" s="116">
        <v>140</v>
      </c>
      <c r="BA713" s="120">
        <v>87985</v>
      </c>
      <c r="BB713" s="120">
        <f t="shared" ref="BB713:BB720" si="211">AX713*1000+AY713</f>
        <v>23031</v>
      </c>
      <c r="BC713" t="s">
        <v>1472</v>
      </c>
      <c r="BD713">
        <f>AX713*100000+BA713</f>
        <v>2387985</v>
      </c>
      <c r="BE713" s="1">
        <v>337</v>
      </c>
      <c r="BI713">
        <v>57.7</v>
      </c>
      <c r="BJ713">
        <v>2.78</v>
      </c>
      <c r="BK713">
        <v>54.91</v>
      </c>
      <c r="BS713" s="63">
        <v>0</v>
      </c>
      <c r="CK713" s="1" t="s">
        <v>4259</v>
      </c>
    </row>
    <row r="714" spans="1:89" hidden="1" outlineLevel="1">
      <c r="A714" t="s">
        <v>3725</v>
      </c>
      <c r="B714" s="8" t="s">
        <v>1697</v>
      </c>
      <c r="C714" s="1">
        <f t="shared" ref="C714:C721" si="212">SUM(N714:AR714)</f>
        <v>100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 t="shared" ref="F714:F721" si="213">IF(P714&gt;0,RANK(P714,(N714:AE714)),0)</f>
        <v>0</v>
      </c>
      <c r="G714" s="1">
        <f t="shared" ref="G714:G721" si="214">IF(C714&gt;0,MAX(N714:P714)-LARGE(N714:P714,2),0)</f>
        <v>23</v>
      </c>
      <c r="H714" s="2">
        <f t="shared" ref="H714:H721" si="215">IF(C714&gt;0,G714/C714,0)</f>
        <v>0.23</v>
      </c>
      <c r="I714" s="6"/>
      <c r="J714" s="2">
        <f t="shared" ref="J714:J721" si="216">IF(C714=0,"-",N714/C714)</f>
        <v>0.32</v>
      </c>
      <c r="K714" s="2">
        <f t="shared" ref="K714:K721" si="217">IF(C714=0,"-",O714/C714)</f>
        <v>0.55000000000000004</v>
      </c>
      <c r="L714" s="2">
        <f t="shared" ref="L714:L721" si="218">IF(C714=0,"-",P714/C714)</f>
        <v>0</v>
      </c>
      <c r="M714" s="2">
        <f t="shared" ref="M714:M721" si="219">IF(C714=0,"-",(1-J714-K714-L714))</f>
        <v>0.12999999999999989</v>
      </c>
      <c r="N714" s="63">
        <v>32</v>
      </c>
      <c r="O714" s="63">
        <v>55</v>
      </c>
      <c r="P714" s="63">
        <v>0</v>
      </c>
      <c r="Q714" s="63">
        <v>11</v>
      </c>
      <c r="R714" s="63">
        <v>2</v>
      </c>
      <c r="S714" s="63">
        <v>0</v>
      </c>
      <c r="T714" s="67"/>
      <c r="U714" s="63"/>
      <c r="V714" s="63"/>
      <c r="W714" s="63">
        <f t="shared" si="210"/>
        <v>0</v>
      </c>
      <c r="X714" s="63"/>
      <c r="Y714" s="63"/>
      <c r="Z714" s="63"/>
      <c r="AA714" s="63"/>
      <c r="AB714" s="63"/>
      <c r="AE714" s="8">
        <v>0</v>
      </c>
      <c r="AT714" t="str">
        <f t="shared" ref="AT714:AT720" si="220">A714</f>
        <v xml:space="preserve">Barnard Twp/Ebeemee Twp/T4 R9 Nwp/Williamsburg Twp                                                                                                    </v>
      </c>
      <c r="AU714" t="s">
        <v>1957</v>
      </c>
      <c r="AV714">
        <v>2</v>
      </c>
      <c r="AX714" s="114">
        <v>23</v>
      </c>
      <c r="AY714" s="116">
        <v>21</v>
      </c>
      <c r="BA714" s="120">
        <v>99901</v>
      </c>
      <c r="BB714" s="120">
        <f t="shared" si="211"/>
        <v>23021</v>
      </c>
      <c r="BC714" t="s">
        <v>957</v>
      </c>
      <c r="BD714">
        <f t="shared" ref="BD714:BD720" si="221">AX714*100000+BA714</f>
        <v>2399901</v>
      </c>
      <c r="BE714" s="1">
        <v>4</v>
      </c>
      <c r="BS714" s="63">
        <v>0</v>
      </c>
      <c r="CK714" s="1" t="s">
        <v>4260</v>
      </c>
    </row>
    <row r="715" spans="1:89" hidden="1" outlineLevel="1">
      <c r="A715" t="s">
        <v>3726</v>
      </c>
      <c r="B715" s="8" t="s">
        <v>1697</v>
      </c>
      <c r="C715" s="1">
        <f t="shared" si="212"/>
        <v>31</v>
      </c>
      <c r="D715" s="5">
        <f>IF(N715&gt;0, RANK(N715,(N715:P715,Q715:AE715)),0)</f>
        <v>2</v>
      </c>
      <c r="E715" s="5">
        <f>IF(O715&gt;0,RANK(O715,(N715:P715,Q715:AE715)),0)</f>
        <v>1</v>
      </c>
      <c r="F715" s="5">
        <f t="shared" si="213"/>
        <v>0</v>
      </c>
      <c r="G715" s="1">
        <f t="shared" si="214"/>
        <v>5</v>
      </c>
      <c r="H715" s="2">
        <f t="shared" si="215"/>
        <v>0.16129032258064516</v>
      </c>
      <c r="I715" s="6"/>
      <c r="J715" s="2">
        <f t="shared" si="216"/>
        <v>0.38709677419354838</v>
      </c>
      <c r="K715" s="2">
        <f t="shared" si="217"/>
        <v>0.54838709677419351</v>
      </c>
      <c r="L715" s="2">
        <f t="shared" si="218"/>
        <v>0</v>
      </c>
      <c r="M715" s="2">
        <f t="shared" si="219"/>
        <v>6.4516129032258118E-2</v>
      </c>
      <c r="N715" s="63">
        <v>12</v>
      </c>
      <c r="O715" s="63">
        <v>17</v>
      </c>
      <c r="P715" s="63">
        <v>0</v>
      </c>
      <c r="Q715" s="63">
        <v>2</v>
      </c>
      <c r="R715" s="63">
        <v>0</v>
      </c>
      <c r="S715" s="63">
        <v>0</v>
      </c>
      <c r="T715" s="67"/>
      <c r="U715" s="63"/>
      <c r="V715" s="63"/>
      <c r="W715" s="63">
        <f t="shared" si="210"/>
        <v>0</v>
      </c>
      <c r="X715" s="63"/>
      <c r="Y715" s="63"/>
      <c r="Z715" s="63"/>
      <c r="AA715" s="63"/>
      <c r="AB715" s="63"/>
      <c r="AE715" s="8">
        <v>0</v>
      </c>
      <c r="AT715" t="str">
        <f t="shared" si="220"/>
        <v xml:space="preserve">Berry Twp/Cathance Twp/Marion Twp                                                                                                                     </v>
      </c>
      <c r="AU715" t="s">
        <v>692</v>
      </c>
      <c r="AV715">
        <v>2</v>
      </c>
      <c r="AX715" s="114">
        <v>23</v>
      </c>
      <c r="AY715" s="116">
        <v>29</v>
      </c>
      <c r="BA715" s="120">
        <v>99902</v>
      </c>
      <c r="BB715" s="120">
        <f t="shared" si="211"/>
        <v>23029</v>
      </c>
      <c r="BC715" t="s">
        <v>957</v>
      </c>
      <c r="BD715">
        <f t="shared" si="221"/>
        <v>2399902</v>
      </c>
      <c r="BE715" s="1">
        <v>2</v>
      </c>
      <c r="BS715" s="63">
        <v>0</v>
      </c>
      <c r="CK715" s="1" t="s">
        <v>4261</v>
      </c>
    </row>
    <row r="716" spans="1:89" hidden="1" outlineLevel="1">
      <c r="A716" t="s">
        <v>3727</v>
      </c>
      <c r="B716" s="8" t="s">
        <v>1697</v>
      </c>
      <c r="C716" s="1">
        <f t="shared" si="212"/>
        <v>2</v>
      </c>
      <c r="D716" s="5">
        <f>IF(N716&gt;0, RANK(N716,(N716:P716,Q716:AE716)),0)</f>
        <v>0</v>
      </c>
      <c r="E716" s="5">
        <f>IF(O716&gt;0,RANK(O716,(N716:P716,Q716:AE716)),0)</f>
        <v>1</v>
      </c>
      <c r="F716" s="5">
        <f t="shared" si="213"/>
        <v>0</v>
      </c>
      <c r="G716" s="1">
        <f t="shared" si="214"/>
        <v>2</v>
      </c>
      <c r="H716" s="2">
        <f t="shared" si="215"/>
        <v>1</v>
      </c>
      <c r="I716" s="6"/>
      <c r="J716" s="2">
        <f t="shared" si="216"/>
        <v>0</v>
      </c>
      <c r="K716" s="2">
        <f t="shared" si="217"/>
        <v>1</v>
      </c>
      <c r="L716" s="2">
        <f t="shared" si="218"/>
        <v>0</v>
      </c>
      <c r="M716" s="2">
        <f t="shared" si="219"/>
        <v>0</v>
      </c>
      <c r="N716" s="63">
        <v>0</v>
      </c>
      <c r="O716" s="63">
        <v>2</v>
      </c>
      <c r="P716" s="63">
        <v>0</v>
      </c>
      <c r="Q716" s="63">
        <v>0</v>
      </c>
      <c r="R716" s="63">
        <v>0</v>
      </c>
      <c r="S716" s="63">
        <v>0</v>
      </c>
      <c r="T716" s="67"/>
      <c r="U716" s="63"/>
      <c r="V716" s="63"/>
      <c r="W716" s="63">
        <f t="shared" si="210"/>
        <v>0</v>
      </c>
      <c r="X716" s="63"/>
      <c r="Y716" s="63"/>
      <c r="Z716" s="63"/>
      <c r="AA716" s="63"/>
      <c r="AB716" s="63"/>
      <c r="AE716" s="8">
        <v>0</v>
      </c>
      <c r="AT716" t="str">
        <f t="shared" si="220"/>
        <v xml:space="preserve">Big Twenty Twp/T15 R15 Wels                                                                                                                           </v>
      </c>
      <c r="AU716" t="s">
        <v>2830</v>
      </c>
      <c r="AV716">
        <v>2</v>
      </c>
      <c r="AX716" s="114">
        <v>23</v>
      </c>
      <c r="AY716" s="116">
        <v>3</v>
      </c>
      <c r="BA716" s="120">
        <v>99003</v>
      </c>
      <c r="BB716" s="120">
        <f t="shared" si="211"/>
        <v>23003</v>
      </c>
      <c r="BC716" t="s">
        <v>957</v>
      </c>
      <c r="BD716">
        <f t="shared" si="221"/>
        <v>2399003</v>
      </c>
      <c r="BE716" s="1">
        <v>0</v>
      </c>
      <c r="BS716" s="63">
        <v>0</v>
      </c>
      <c r="CK716" s="1" t="s">
        <v>4262</v>
      </c>
    </row>
    <row r="717" spans="1:89" hidden="1" outlineLevel="1">
      <c r="A717" t="s">
        <v>3728</v>
      </c>
      <c r="B717" s="8" t="s">
        <v>1697</v>
      </c>
      <c r="C717" s="1">
        <f t="shared" si="212"/>
        <v>24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 t="shared" si="213"/>
        <v>0</v>
      </c>
      <c r="G717" s="1">
        <f t="shared" si="214"/>
        <v>14</v>
      </c>
      <c r="H717" s="2">
        <f t="shared" si="215"/>
        <v>0.58333333333333337</v>
      </c>
      <c r="I717" s="6"/>
      <c r="J717" s="2">
        <f t="shared" si="216"/>
        <v>0.16666666666666666</v>
      </c>
      <c r="K717" s="2">
        <f t="shared" si="217"/>
        <v>0.75</v>
      </c>
      <c r="L717" s="2">
        <f t="shared" si="218"/>
        <v>0</v>
      </c>
      <c r="M717" s="2">
        <f t="shared" si="219"/>
        <v>8.333333333333337E-2</v>
      </c>
      <c r="N717" s="63">
        <v>4</v>
      </c>
      <c r="O717" s="63">
        <v>18</v>
      </c>
      <c r="P717" s="63">
        <v>0</v>
      </c>
      <c r="Q717" s="63">
        <v>2</v>
      </c>
      <c r="R717" s="63">
        <v>0</v>
      </c>
      <c r="S717" s="63">
        <v>0</v>
      </c>
      <c r="T717" s="67"/>
      <c r="U717" s="63"/>
      <c r="V717" s="63"/>
      <c r="W717" s="63">
        <f t="shared" si="210"/>
        <v>0</v>
      </c>
      <c r="X717" s="63"/>
      <c r="Y717" s="63"/>
      <c r="Z717" s="63"/>
      <c r="AA717" s="63"/>
      <c r="AB717" s="63"/>
      <c r="AE717" s="8">
        <v>0</v>
      </c>
      <c r="AT717" t="str">
        <f t="shared" si="220"/>
        <v xml:space="preserve">Grindstone/Herseytown/Soldiertown Twp                                                                                                                 </v>
      </c>
      <c r="AU717" t="s">
        <v>2481</v>
      </c>
      <c r="AV717">
        <v>2</v>
      </c>
      <c r="AX717" s="114">
        <v>23</v>
      </c>
      <c r="AY717" s="116">
        <v>19</v>
      </c>
      <c r="BA717" s="120">
        <v>99905</v>
      </c>
      <c r="BB717" s="120">
        <f t="shared" si="211"/>
        <v>23019</v>
      </c>
      <c r="BC717" t="s">
        <v>957</v>
      </c>
      <c r="BD717">
        <f t="shared" si="221"/>
        <v>2399905</v>
      </c>
      <c r="BE717" s="1">
        <v>1</v>
      </c>
      <c r="BS717" s="63">
        <v>0</v>
      </c>
      <c r="CK717" s="1" t="s">
        <v>4263</v>
      </c>
    </row>
    <row r="718" spans="1:89" hidden="1" outlineLevel="1">
      <c r="A718" t="s">
        <v>3729</v>
      </c>
      <c r="B718" s="8" t="s">
        <v>1697</v>
      </c>
      <c r="C718" s="1">
        <f t="shared" si="212"/>
        <v>21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 t="shared" si="213"/>
        <v>0</v>
      </c>
      <c r="G718" s="1">
        <f t="shared" si="214"/>
        <v>10</v>
      </c>
      <c r="H718" s="2">
        <f t="shared" si="215"/>
        <v>0.47619047619047616</v>
      </c>
      <c r="I718" s="6"/>
      <c r="J718" s="2">
        <f t="shared" si="216"/>
        <v>0.19047619047619047</v>
      </c>
      <c r="K718" s="2">
        <f t="shared" si="217"/>
        <v>0.66666666666666663</v>
      </c>
      <c r="L718" s="2">
        <f t="shared" si="218"/>
        <v>0</v>
      </c>
      <c r="M718" s="2">
        <f t="shared" si="219"/>
        <v>0.1428571428571429</v>
      </c>
      <c r="N718" s="63">
        <v>4</v>
      </c>
      <c r="O718" s="63">
        <v>14</v>
      </c>
      <c r="P718" s="63">
        <v>0</v>
      </c>
      <c r="Q718" s="63">
        <v>2</v>
      </c>
      <c r="R718" s="63">
        <v>1</v>
      </c>
      <c r="S718" s="63">
        <v>0</v>
      </c>
      <c r="T718" s="67"/>
      <c r="U718" s="63"/>
      <c r="V718" s="63"/>
      <c r="W718" s="63">
        <f t="shared" si="210"/>
        <v>0</v>
      </c>
      <c r="X718" s="63"/>
      <c r="Y718" s="63"/>
      <c r="Z718" s="63"/>
      <c r="AA718" s="63"/>
      <c r="AB718" s="63"/>
      <c r="AE718" s="8">
        <v>0</v>
      </c>
      <c r="AT718" t="str">
        <f t="shared" si="220"/>
        <v xml:space="preserve">Lexington Twp/Spring Lake Twp                                                                                                                         </v>
      </c>
      <c r="AU718" t="s">
        <v>1787</v>
      </c>
      <c r="AV718">
        <v>2</v>
      </c>
      <c r="AX718" s="114">
        <v>23</v>
      </c>
      <c r="AY718" s="116">
        <v>25</v>
      </c>
      <c r="BA718" s="120">
        <v>99906</v>
      </c>
      <c r="BB718" s="120">
        <f t="shared" si="211"/>
        <v>23025</v>
      </c>
      <c r="BC718" t="s">
        <v>957</v>
      </c>
      <c r="BD718">
        <f t="shared" si="221"/>
        <v>2399906</v>
      </c>
      <c r="BE718" s="1">
        <v>0</v>
      </c>
      <c r="BS718" s="63">
        <v>0</v>
      </c>
      <c r="CK718" s="1" t="s">
        <v>4264</v>
      </c>
    </row>
    <row r="719" spans="1:89" hidden="1" outlineLevel="1">
      <c r="A719" t="s">
        <v>3730</v>
      </c>
      <c r="B719" s="8" t="s">
        <v>1697</v>
      </c>
      <c r="C719" s="1">
        <f t="shared" si="212"/>
        <v>12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 t="shared" si="213"/>
        <v>0</v>
      </c>
      <c r="G719" s="1">
        <f t="shared" si="214"/>
        <v>4</v>
      </c>
      <c r="H719" s="2">
        <f t="shared" si="215"/>
        <v>0.33333333333333331</v>
      </c>
      <c r="I719" s="6"/>
      <c r="J719" s="2">
        <f t="shared" si="216"/>
        <v>0.33333333333333331</v>
      </c>
      <c r="K719" s="2">
        <f t="shared" si="217"/>
        <v>0.66666666666666663</v>
      </c>
      <c r="L719" s="2">
        <f t="shared" si="218"/>
        <v>0</v>
      </c>
      <c r="M719" s="2">
        <f t="shared" si="219"/>
        <v>1.1102230246251565E-16</v>
      </c>
      <c r="N719" s="63">
        <v>4</v>
      </c>
      <c r="O719" s="63">
        <v>8</v>
      </c>
      <c r="P719" s="63">
        <v>0</v>
      </c>
      <c r="Q719" s="63">
        <v>0</v>
      </c>
      <c r="R719" s="63">
        <v>0</v>
      </c>
      <c r="S719" s="63">
        <v>0</v>
      </c>
      <c r="T719" s="67"/>
      <c r="U719" s="63"/>
      <c r="V719" s="63"/>
      <c r="W719" s="63">
        <f t="shared" si="210"/>
        <v>0</v>
      </c>
      <c r="X719" s="63"/>
      <c r="Y719" s="63"/>
      <c r="Z719" s="63"/>
      <c r="AA719" s="63"/>
      <c r="AB719" s="63"/>
      <c r="AE719" s="8">
        <v>0</v>
      </c>
      <c r="AT719" t="str">
        <f t="shared" si="220"/>
        <v xml:space="preserve">T5 R7 Twp/T5 R8 Twp/T6 R8 Twps                                                                                                                        </v>
      </c>
      <c r="AU719" t="s">
        <v>2481</v>
      </c>
      <c r="AV719">
        <v>2</v>
      </c>
      <c r="AX719" s="114">
        <v>23</v>
      </c>
      <c r="AY719" s="116">
        <v>19</v>
      </c>
      <c r="BA719" s="120">
        <v>99908</v>
      </c>
      <c r="BB719" s="120">
        <f t="shared" si="211"/>
        <v>23019</v>
      </c>
      <c r="BC719" t="s">
        <v>957</v>
      </c>
      <c r="BD719">
        <f t="shared" si="221"/>
        <v>2399908</v>
      </c>
      <c r="BE719" s="1">
        <v>0</v>
      </c>
      <c r="BS719" s="63">
        <v>0</v>
      </c>
      <c r="CK719" s="1" t="s">
        <v>4265</v>
      </c>
    </row>
    <row r="720" spans="1:89" hidden="1" outlineLevel="1">
      <c r="A720" t="s">
        <v>3731</v>
      </c>
      <c r="B720" s="8" t="s">
        <v>1697</v>
      </c>
      <c r="C720" s="1">
        <f t="shared" si="212"/>
        <v>3</v>
      </c>
      <c r="D720" s="5">
        <f>IF(N720&gt;0, RANK(N720,(N720:P720,Q720:AE720)),0)</f>
        <v>1</v>
      </c>
      <c r="E720" s="5">
        <f>IF(O720&gt;0,RANK(O720,(N720:P720,Q720:AE720)),0)</f>
        <v>2</v>
      </c>
      <c r="F720" s="5">
        <f t="shared" si="213"/>
        <v>0</v>
      </c>
      <c r="G720" s="1">
        <f t="shared" si="214"/>
        <v>1</v>
      </c>
      <c r="H720" s="2">
        <f t="shared" si="215"/>
        <v>0.33333333333333331</v>
      </c>
      <c r="I720" s="6"/>
      <c r="J720" s="2">
        <f t="shared" si="216"/>
        <v>0.66666666666666663</v>
      </c>
      <c r="K720" s="2">
        <f t="shared" si="217"/>
        <v>0.33333333333333331</v>
      </c>
      <c r="L720" s="2">
        <f t="shared" si="218"/>
        <v>0</v>
      </c>
      <c r="M720" s="2">
        <f t="shared" si="219"/>
        <v>5.5511151231257827E-17</v>
      </c>
      <c r="N720" s="63">
        <v>2</v>
      </c>
      <c r="O720" s="63">
        <v>1</v>
      </c>
      <c r="P720" s="63">
        <v>0</v>
      </c>
      <c r="Q720" s="63">
        <v>0</v>
      </c>
      <c r="R720" s="63">
        <v>0</v>
      </c>
      <c r="S720" s="63">
        <v>0</v>
      </c>
      <c r="T720" s="67"/>
      <c r="U720" s="63"/>
      <c r="V720" s="63"/>
      <c r="W720" s="63">
        <f t="shared" si="210"/>
        <v>0</v>
      </c>
      <c r="X720" s="63"/>
      <c r="Y720" s="63"/>
      <c r="Z720" s="63"/>
      <c r="AA720" s="63"/>
      <c r="AB720" s="63"/>
      <c r="AE720" s="8">
        <v>0</v>
      </c>
      <c r="AT720" t="str">
        <f t="shared" si="220"/>
        <v xml:space="preserve">T12/R13 Wels/T9 R8 Wels                                                                                                                               </v>
      </c>
      <c r="AU720" t="s">
        <v>2830</v>
      </c>
      <c r="AV720">
        <v>2</v>
      </c>
      <c r="AX720" s="114">
        <v>23</v>
      </c>
      <c r="AY720" s="116">
        <v>3</v>
      </c>
      <c r="BA720" s="120">
        <v>99909</v>
      </c>
      <c r="BB720" s="120">
        <f t="shared" si="211"/>
        <v>23003</v>
      </c>
      <c r="BC720" t="s">
        <v>957</v>
      </c>
      <c r="BD720">
        <f t="shared" si="221"/>
        <v>2399909</v>
      </c>
      <c r="BE720" s="1">
        <v>0</v>
      </c>
      <c r="BS720" s="63">
        <v>0</v>
      </c>
      <c r="CK720" s="1" t="s">
        <v>4266</v>
      </c>
    </row>
    <row r="721" spans="1:71" hidden="1" outlineLevel="1">
      <c r="A721" t="s">
        <v>2703</v>
      </c>
      <c r="B721" s="8" t="s">
        <v>1697</v>
      </c>
      <c r="C721" s="1">
        <f t="shared" si="212"/>
        <v>3986</v>
      </c>
      <c r="D721" s="5">
        <f>IF(N721&gt;0, RANK(N721,(N721:P721,Q721:AE721)),0)</f>
        <v>1</v>
      </c>
      <c r="E721" s="5">
        <f>IF(O721&gt;0,RANK(O721,(N721:P721,Q721:AE721)),0)</f>
        <v>2</v>
      </c>
      <c r="F721" s="5">
        <f t="shared" si="213"/>
        <v>5</v>
      </c>
      <c r="G721" s="1">
        <f t="shared" si="214"/>
        <v>2369</v>
      </c>
      <c r="H721" s="2">
        <f t="shared" si="215"/>
        <v>0.59433015554440538</v>
      </c>
      <c r="I721" s="6"/>
      <c r="J721" s="2">
        <f t="shared" si="216"/>
        <v>0.75689914701455097</v>
      </c>
      <c r="K721" s="2">
        <f t="shared" si="217"/>
        <v>0.1625689914701455</v>
      </c>
      <c r="L721" s="2">
        <f t="shared" si="218"/>
        <v>3.5122930255895636E-3</v>
      </c>
      <c r="M721" s="2">
        <f t="shared" si="219"/>
        <v>7.7019568489713974E-2</v>
      </c>
      <c r="N721" s="63">
        <v>3017</v>
      </c>
      <c r="O721" s="63">
        <v>648</v>
      </c>
      <c r="P721" s="63">
        <v>14</v>
      </c>
      <c r="Q721" s="63">
        <v>203</v>
      </c>
      <c r="R721" s="63">
        <v>101</v>
      </c>
      <c r="S721" s="63">
        <v>2</v>
      </c>
      <c r="T721" s="67"/>
      <c r="U721" s="63"/>
      <c r="V721" s="63"/>
      <c r="W721" s="63">
        <f t="shared" si="210"/>
        <v>1</v>
      </c>
      <c r="X721" s="63"/>
      <c r="Y721" s="63"/>
      <c r="Z721" s="63"/>
      <c r="AA721" s="63"/>
      <c r="AB721" s="63"/>
      <c r="AE721" s="128">
        <v>0</v>
      </c>
      <c r="AT721" t="str">
        <f t="shared" si="200"/>
        <v>Overseas</v>
      </c>
      <c r="AU721" t="s">
        <v>2703</v>
      </c>
      <c r="AV721">
        <v>0</v>
      </c>
      <c r="AX721" s="114">
        <v>23</v>
      </c>
      <c r="AY721" s="116">
        <v>99</v>
      </c>
      <c r="BA721" s="120">
        <v>99000</v>
      </c>
      <c r="BB721" s="120">
        <f t="shared" si="201"/>
        <v>23099</v>
      </c>
      <c r="BC721" t="s">
        <v>3251</v>
      </c>
      <c r="BD721">
        <f t="shared" si="196"/>
        <v>2399000</v>
      </c>
      <c r="BE721" s="1">
        <v>63</v>
      </c>
      <c r="BI721">
        <v>57.7</v>
      </c>
      <c r="BJ721">
        <v>2.78</v>
      </c>
      <c r="BK721">
        <v>54.91</v>
      </c>
      <c r="BS721" s="63">
        <v>1</v>
      </c>
    </row>
    <row r="722" spans="1:71" collapsed="1">
      <c r="A722" s="8" t="s">
        <v>3172</v>
      </c>
      <c r="B722" s="8" t="s">
        <v>544</v>
      </c>
      <c r="C722" s="1">
        <f t="shared" si="203"/>
        <v>747927</v>
      </c>
      <c r="D722" s="5">
        <f>IF(N722&gt;0, RANK(N722,(N722:P722,Q722:AE722)),0)</f>
        <v>1</v>
      </c>
      <c r="E722" s="5">
        <f>IF(O722&gt;0,RANK(O722,(N722:P722,Q722:AE722)),0)</f>
        <v>2</v>
      </c>
      <c r="F722" s="5">
        <f t="shared" si="204"/>
        <v>5</v>
      </c>
      <c r="G722" s="1">
        <f t="shared" si="205"/>
        <v>22142</v>
      </c>
      <c r="H722" s="2">
        <f t="shared" si="199"/>
        <v>2.9604493486663806E-2</v>
      </c>
      <c r="I722" s="6"/>
      <c r="J722" s="2">
        <f t="shared" si="206"/>
        <v>0.47830202680208095</v>
      </c>
      <c r="K722" s="2">
        <f t="shared" si="207"/>
        <v>0.44869753331541712</v>
      </c>
      <c r="L722" s="2">
        <f t="shared" si="208"/>
        <v>2.5229734987505465E-3</v>
      </c>
      <c r="M722" s="2">
        <f t="shared" si="209"/>
        <v>7.0477466383751325E-2</v>
      </c>
      <c r="N722" s="63">
        <f t="shared" ref="N722:S722" si="222">SUM(N174:N721)</f>
        <v>357735</v>
      </c>
      <c r="O722" s="63">
        <f t="shared" si="222"/>
        <v>335593</v>
      </c>
      <c r="P722" s="63">
        <f t="shared" si="222"/>
        <v>1887</v>
      </c>
      <c r="Q722" s="63">
        <f t="shared" si="222"/>
        <v>38105</v>
      </c>
      <c r="R722" s="63">
        <f t="shared" si="222"/>
        <v>14251</v>
      </c>
      <c r="S722" s="63">
        <f t="shared" si="222"/>
        <v>333</v>
      </c>
      <c r="T722" s="63"/>
      <c r="U722" s="63"/>
      <c r="V722" s="63"/>
      <c r="W722" s="63">
        <f>SUM(W174:W721)</f>
        <v>7</v>
      </c>
      <c r="X722" s="1"/>
      <c r="Y722" s="63"/>
      <c r="Z722" s="63"/>
      <c r="AA722" s="63"/>
      <c r="AB722" s="63"/>
      <c r="AE722" s="63">
        <f>SUM(AE174:AE721)</f>
        <v>16</v>
      </c>
      <c r="AJ722" s="1"/>
      <c r="AL722" s="1"/>
      <c r="AM722" s="1"/>
      <c r="AN722" s="1"/>
      <c r="AO722" s="1"/>
      <c r="AP722" s="1"/>
      <c r="AQ722" s="1"/>
      <c r="AR722" s="1"/>
      <c r="AT722" t="str">
        <f t="shared" si="200"/>
        <v>Maine</v>
      </c>
      <c r="AX722" s="114">
        <v>23</v>
      </c>
      <c r="BB722" s="114">
        <v>23</v>
      </c>
      <c r="BC722" t="s">
        <v>711</v>
      </c>
      <c r="BD722" s="114">
        <v>23</v>
      </c>
      <c r="BE722" s="1">
        <f>SUM(BE174:BE721)</f>
        <v>23965</v>
      </c>
      <c r="BF722" s="1">
        <f>SUM(BF174:BF721)</f>
        <v>0</v>
      </c>
      <c r="BI722">
        <v>35384.65</v>
      </c>
      <c r="BJ722">
        <v>4523.1000000000004</v>
      </c>
      <c r="BK722">
        <v>30861.55</v>
      </c>
      <c r="BS722" s="63">
        <f>SUM(BS174:BS721)</f>
        <v>7</v>
      </c>
    </row>
    <row r="723" spans="1:71" s="65" customFormat="1">
      <c r="A723" s="8"/>
      <c r="B723" s="8"/>
      <c r="C723" s="1"/>
      <c r="D723" s="5"/>
      <c r="E723" s="5"/>
      <c r="F723" s="5"/>
      <c r="G723" s="1"/>
      <c r="H723" s="2"/>
      <c r="I723" s="14"/>
      <c r="J723" s="2"/>
      <c r="K723" s="2"/>
      <c r="L723" s="2"/>
      <c r="M723" s="2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8"/>
      <c r="AD723" s="8"/>
      <c r="AE723" s="8"/>
      <c r="AF723" s="8"/>
      <c r="AG723" s="8"/>
      <c r="AH723" s="8"/>
      <c r="AI723" s="8"/>
      <c r="AJ723" s="8"/>
      <c r="AT723"/>
      <c r="AV723" s="8"/>
      <c r="AX723" s="114"/>
      <c r="AY723" s="116"/>
      <c r="AZ723" s="116"/>
      <c r="BA723" s="120"/>
      <c r="BB723" s="120"/>
      <c r="BD723"/>
      <c r="BE723" s="66"/>
      <c r="BF723" s="66"/>
      <c r="BG723" s="1"/>
      <c r="BQ723" s="65" t="s">
        <v>4295</v>
      </c>
      <c r="BS723" s="128" t="s">
        <v>4294</v>
      </c>
    </row>
    <row r="724" spans="1:71" hidden="1" outlineLevel="1">
      <c r="A724" s="64" t="s">
        <v>2180</v>
      </c>
      <c r="B724" s="8" t="s">
        <v>1320</v>
      </c>
      <c r="C724" s="1">
        <f t="shared" ref="C724:C787" si="223">SUM(N724:AR724)</f>
        <v>8752</v>
      </c>
      <c r="D724" s="5">
        <f>IF(N724&gt;0, RANK(N724,(N724:P724,Q724:AE724)),0)</f>
        <v>1</v>
      </c>
      <c r="E724" s="5">
        <f>IF(O724&gt;0,RANK(O724,(N724:P724,Q724:AE724)),0)</f>
        <v>2</v>
      </c>
      <c r="F724" s="5">
        <f t="shared" ref="F724:F787" si="224">IF(P724&gt;0,RANK(P724,(N724:AE724)),0)</f>
        <v>0</v>
      </c>
      <c r="G724" s="1">
        <f t="shared" ref="G724:G787" si="225">IF(C724&gt;0,MAX(N724:P724)-LARGE(N724:P724,2),0)</f>
        <v>98</v>
      </c>
      <c r="H724" s="2">
        <f t="shared" si="199"/>
        <v>1.1197440585009141E-2</v>
      </c>
      <c r="I724" s="6"/>
      <c r="J724" s="2">
        <f t="shared" ref="J724:J787" si="226">IF(C724=0,"-",N724/C724)</f>
        <v>0.47017824497257771</v>
      </c>
      <c r="K724" s="2">
        <f t="shared" ref="K724:K787" si="227">IF(C724=0,"-",O724/C724)</f>
        <v>0.45898080438756855</v>
      </c>
      <c r="L724" s="2">
        <f t="shared" ref="L724:L787" si="228">IF(C724=0,"-",P724/C724)</f>
        <v>0</v>
      </c>
      <c r="M724" s="2">
        <f t="shared" ref="M724:M787" si="229">IF(C724=0,"-",(1-J724-K724-L724))</f>
        <v>7.0840950639853684E-2</v>
      </c>
      <c r="N724" s="63">
        <v>4115</v>
      </c>
      <c r="O724" s="63">
        <v>4017</v>
      </c>
      <c r="P724" s="63">
        <v>0</v>
      </c>
      <c r="Q724" s="63">
        <v>417</v>
      </c>
      <c r="R724" s="63">
        <v>102</v>
      </c>
      <c r="S724" s="63"/>
      <c r="T724" s="63"/>
      <c r="U724" s="63"/>
      <c r="V724" s="63"/>
      <c r="W724" s="63">
        <f t="shared" ref="W724:W787" si="230">SUM(BQ724:BS724)</f>
        <v>101</v>
      </c>
      <c r="X724" s="63"/>
      <c r="Y724" s="63"/>
      <c r="Z724" s="63"/>
      <c r="AA724" s="63">
        <v>0</v>
      </c>
      <c r="AB724" s="63"/>
      <c r="AE724" s="8">
        <v>0</v>
      </c>
      <c r="AT724" t="str">
        <f t="shared" si="200"/>
        <v>Abington</v>
      </c>
      <c r="AU724" t="s">
        <v>231</v>
      </c>
      <c r="AV724">
        <v>8</v>
      </c>
      <c r="AX724" s="114">
        <v>25</v>
      </c>
      <c r="AY724" s="116">
        <v>23</v>
      </c>
      <c r="AZ724" s="116">
        <v>5</v>
      </c>
      <c r="BA724" s="120">
        <v>170</v>
      </c>
      <c r="BB724" s="120">
        <f t="shared" si="201"/>
        <v>25023</v>
      </c>
      <c r="BC724" t="s">
        <v>1472</v>
      </c>
      <c r="BD724">
        <f t="shared" ref="BD724:BD787" si="231">AX724*100000+BA724</f>
        <v>2500170</v>
      </c>
      <c r="BE724" s="66">
        <v>160</v>
      </c>
      <c r="BF724" s="66"/>
      <c r="BI724">
        <v>10.17</v>
      </c>
      <c r="BJ724">
        <v>0.22</v>
      </c>
      <c r="BK724">
        <v>9.94</v>
      </c>
      <c r="BQ724">
        <v>101</v>
      </c>
      <c r="BS724">
        <v>0</v>
      </c>
    </row>
    <row r="725" spans="1:71" hidden="1" outlineLevel="1">
      <c r="A725" s="64" t="s">
        <v>2032</v>
      </c>
      <c r="B725" s="8" t="s">
        <v>1320</v>
      </c>
      <c r="C725" s="1">
        <f t="shared" si="223"/>
        <v>12783</v>
      </c>
      <c r="D725" s="5">
        <f>IF(N725&gt;0, RANK(N725,(N725:P725,Q725:AE725)),0)</f>
        <v>1</v>
      </c>
      <c r="E725" s="5">
        <f>IF(O725&gt;0,RANK(O725,(N725:P725,Q725:AE725)),0)</f>
        <v>2</v>
      </c>
      <c r="F725" s="5">
        <f t="shared" si="224"/>
        <v>6</v>
      </c>
      <c r="G725" s="1">
        <f t="shared" si="225"/>
        <v>6643</v>
      </c>
      <c r="H725" s="2">
        <f t="shared" si="199"/>
        <v>0.51967456778533994</v>
      </c>
      <c r="I725" s="6"/>
      <c r="J725" s="2">
        <f t="shared" si="226"/>
        <v>0.71954940154893221</v>
      </c>
      <c r="K725" s="2">
        <f t="shared" si="227"/>
        <v>0.19987483376359227</v>
      </c>
      <c r="L725" s="2">
        <f t="shared" si="228"/>
        <v>3.1291559101932253E-3</v>
      </c>
      <c r="M725" s="2">
        <f t="shared" si="229"/>
        <v>7.7446608777282294E-2</v>
      </c>
      <c r="N725" s="63">
        <v>9198</v>
      </c>
      <c r="O725" s="63">
        <v>2555</v>
      </c>
      <c r="P725" s="63">
        <v>40</v>
      </c>
      <c r="Q725" s="63">
        <v>552</v>
      </c>
      <c r="R725" s="63">
        <v>208</v>
      </c>
      <c r="S725" s="63"/>
      <c r="T725" s="63"/>
      <c r="U725" s="63"/>
      <c r="V725" s="63"/>
      <c r="W725" s="63">
        <f t="shared" si="230"/>
        <v>230</v>
      </c>
      <c r="X725" s="63"/>
      <c r="Y725" s="63"/>
      <c r="Z725" s="63"/>
      <c r="AA725" s="63">
        <v>0</v>
      </c>
      <c r="AB725" s="63"/>
      <c r="AE725" s="8">
        <v>0</v>
      </c>
      <c r="AT725" t="str">
        <f t="shared" si="200"/>
        <v>Acton</v>
      </c>
      <c r="AU725" t="s">
        <v>503</v>
      </c>
      <c r="AV725">
        <v>3</v>
      </c>
      <c r="AX725" s="114">
        <v>25</v>
      </c>
      <c r="AY725" s="116">
        <v>17</v>
      </c>
      <c r="AZ725" s="116">
        <v>5</v>
      </c>
      <c r="BA725" s="120">
        <v>380</v>
      </c>
      <c r="BB725" s="120">
        <f t="shared" si="201"/>
        <v>25017</v>
      </c>
      <c r="BC725" t="s">
        <v>1472</v>
      </c>
      <c r="BD725">
        <f t="shared" si="231"/>
        <v>2500380</v>
      </c>
      <c r="BE725" s="66">
        <v>184</v>
      </c>
      <c r="BF725" s="66"/>
      <c r="BI725">
        <v>20.28</v>
      </c>
      <c r="BJ725">
        <v>0.31</v>
      </c>
      <c r="BK725">
        <v>19.97</v>
      </c>
      <c r="BQ725">
        <v>230</v>
      </c>
      <c r="BS725">
        <v>0</v>
      </c>
    </row>
    <row r="726" spans="1:71" hidden="1" outlineLevel="1">
      <c r="A726" s="64" t="s">
        <v>2772</v>
      </c>
      <c r="B726" s="8" t="s">
        <v>1320</v>
      </c>
      <c r="C726" s="1">
        <f t="shared" si="223"/>
        <v>5566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 t="shared" si="224"/>
        <v>6</v>
      </c>
      <c r="G726" s="1">
        <f t="shared" si="225"/>
        <v>433</v>
      </c>
      <c r="H726" s="2">
        <f t="shared" si="199"/>
        <v>7.7793747754222056E-2</v>
      </c>
      <c r="I726" s="6"/>
      <c r="J726" s="2">
        <f t="shared" si="226"/>
        <v>0.43136902623068629</v>
      </c>
      <c r="K726" s="2">
        <f t="shared" si="227"/>
        <v>0.50916277398490839</v>
      </c>
      <c r="L726" s="2">
        <f t="shared" si="228"/>
        <v>8.9831117499101685E-4</v>
      </c>
      <c r="M726" s="2">
        <f t="shared" si="229"/>
        <v>5.8569888609414304E-2</v>
      </c>
      <c r="N726" s="63">
        <v>2401</v>
      </c>
      <c r="O726" s="63">
        <v>2834</v>
      </c>
      <c r="P726" s="63">
        <v>5</v>
      </c>
      <c r="Q726" s="63">
        <v>174</v>
      </c>
      <c r="R726" s="63">
        <v>87</v>
      </c>
      <c r="S726" s="63"/>
      <c r="T726" s="63"/>
      <c r="U726" s="63"/>
      <c r="V726" s="63"/>
      <c r="W726" s="63">
        <f t="shared" si="230"/>
        <v>65</v>
      </c>
      <c r="X726" s="63"/>
      <c r="Y726" s="63"/>
      <c r="Z726" s="63"/>
      <c r="AA726" s="63">
        <v>0</v>
      </c>
      <c r="AB726" s="63"/>
      <c r="AE726" s="8">
        <v>0</v>
      </c>
      <c r="AT726" t="str">
        <f t="shared" si="200"/>
        <v>Acushnet</v>
      </c>
      <c r="AU726" t="s">
        <v>2215</v>
      </c>
      <c r="AV726">
        <v>9</v>
      </c>
      <c r="AX726" s="114">
        <v>25</v>
      </c>
      <c r="AY726" s="116">
        <v>5</v>
      </c>
      <c r="AZ726" s="116">
        <v>5</v>
      </c>
      <c r="BA726" s="120">
        <v>520</v>
      </c>
      <c r="BB726" s="120">
        <f t="shared" si="201"/>
        <v>25005</v>
      </c>
      <c r="BC726" t="s">
        <v>1472</v>
      </c>
      <c r="BD726">
        <f t="shared" si="231"/>
        <v>2500520</v>
      </c>
      <c r="BE726" s="66">
        <v>106</v>
      </c>
      <c r="BF726" s="66"/>
      <c r="BI726">
        <v>18.920000000000002</v>
      </c>
      <c r="BJ726">
        <v>0.46</v>
      </c>
      <c r="BK726">
        <v>18.45</v>
      </c>
      <c r="BQ726">
        <v>65</v>
      </c>
      <c r="BS726">
        <v>0</v>
      </c>
    </row>
    <row r="727" spans="1:71" hidden="1" outlineLevel="1">
      <c r="A727" s="64" t="s">
        <v>1026</v>
      </c>
      <c r="B727" s="8" t="s">
        <v>1320</v>
      </c>
      <c r="C727" s="1">
        <f t="shared" si="223"/>
        <v>4021</v>
      </c>
      <c r="D727" s="5">
        <f>IF(N727&gt;0, RANK(N727,(N727:P727,Q727:AE727)),0)</f>
        <v>1</v>
      </c>
      <c r="E727" s="5">
        <f>IF(O727&gt;0,RANK(O727,(N727:P727,Q727:AE727)),0)</f>
        <v>2</v>
      </c>
      <c r="F727" s="5">
        <f t="shared" si="224"/>
        <v>6</v>
      </c>
      <c r="G727" s="1">
        <f t="shared" si="225"/>
        <v>1128</v>
      </c>
      <c r="H727" s="2">
        <f t="shared" si="199"/>
        <v>0.28052723203183288</v>
      </c>
      <c r="I727" s="6"/>
      <c r="J727" s="2">
        <f t="shared" si="226"/>
        <v>0.60009947774185524</v>
      </c>
      <c r="K727" s="2">
        <f t="shared" si="227"/>
        <v>0.31957224571002241</v>
      </c>
      <c r="L727" s="2">
        <f t="shared" si="228"/>
        <v>2.7356379010196469E-3</v>
      </c>
      <c r="M727" s="2">
        <f t="shared" si="229"/>
        <v>7.759263864710271E-2</v>
      </c>
      <c r="N727" s="63">
        <v>2413</v>
      </c>
      <c r="O727" s="63">
        <v>1285</v>
      </c>
      <c r="P727" s="63">
        <v>11</v>
      </c>
      <c r="Q727" s="63">
        <v>189</v>
      </c>
      <c r="R727" s="63">
        <v>80</v>
      </c>
      <c r="S727" s="63"/>
      <c r="T727" s="63"/>
      <c r="U727" s="63"/>
      <c r="V727" s="63"/>
      <c r="W727" s="63">
        <f t="shared" si="230"/>
        <v>43</v>
      </c>
      <c r="X727" s="63"/>
      <c r="Y727" s="63"/>
      <c r="Z727" s="63"/>
      <c r="AA727" s="63">
        <v>0</v>
      </c>
      <c r="AB727" s="63"/>
      <c r="AE727" s="8">
        <v>0</v>
      </c>
      <c r="AT727" t="str">
        <f t="shared" si="200"/>
        <v>Adams</v>
      </c>
      <c r="AU727" t="s">
        <v>2313</v>
      </c>
      <c r="AV727">
        <v>1</v>
      </c>
      <c r="AX727" s="114">
        <v>25</v>
      </c>
      <c r="AY727" s="116">
        <v>3</v>
      </c>
      <c r="AZ727" s="116">
        <v>5</v>
      </c>
      <c r="BA727" s="120">
        <v>555</v>
      </c>
      <c r="BB727" s="120">
        <f t="shared" si="201"/>
        <v>25003</v>
      </c>
      <c r="BC727" t="s">
        <v>1472</v>
      </c>
      <c r="BD727">
        <f t="shared" si="231"/>
        <v>2500555</v>
      </c>
      <c r="BE727" s="66">
        <v>59</v>
      </c>
      <c r="BF727" s="66"/>
      <c r="BI727">
        <v>22.94</v>
      </c>
      <c r="BJ727">
        <v>0</v>
      </c>
      <c r="BK727">
        <v>22.94</v>
      </c>
      <c r="BQ727">
        <v>43</v>
      </c>
      <c r="BS727">
        <v>0</v>
      </c>
    </row>
    <row r="728" spans="1:71" hidden="1" outlineLevel="1">
      <c r="A728" s="64" t="s">
        <v>2184</v>
      </c>
      <c r="B728" s="8" t="s">
        <v>1320</v>
      </c>
      <c r="C728" s="1">
        <f t="shared" si="223"/>
        <v>14685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 t="shared" si="224"/>
        <v>6</v>
      </c>
      <c r="G728" s="1">
        <f t="shared" si="225"/>
        <v>1213</v>
      </c>
      <c r="H728" s="2">
        <f t="shared" si="199"/>
        <v>8.2601293837248888E-2</v>
      </c>
      <c r="I728" s="6"/>
      <c r="J728" s="2">
        <f t="shared" si="226"/>
        <v>0.42274429690160026</v>
      </c>
      <c r="K728" s="2">
        <f t="shared" si="227"/>
        <v>0.50534559073884922</v>
      </c>
      <c r="L728" s="2">
        <f t="shared" si="228"/>
        <v>6.1287027579162408E-4</v>
      </c>
      <c r="M728" s="2">
        <f t="shared" si="229"/>
        <v>7.1297242083758955E-2</v>
      </c>
      <c r="N728" s="63">
        <v>6208</v>
      </c>
      <c r="O728" s="63">
        <v>7421</v>
      </c>
      <c r="P728" s="63">
        <v>9</v>
      </c>
      <c r="Q728" s="63">
        <v>651</v>
      </c>
      <c r="R728" s="63">
        <v>208</v>
      </c>
      <c r="S728" s="63"/>
      <c r="T728" s="63"/>
      <c r="U728" s="63"/>
      <c r="V728" s="63"/>
      <c r="W728" s="63">
        <f t="shared" si="230"/>
        <v>188</v>
      </c>
      <c r="X728" s="63"/>
      <c r="Y728" s="63"/>
      <c r="Z728" s="63"/>
      <c r="AA728" s="63">
        <v>0</v>
      </c>
      <c r="AB728" s="63"/>
      <c r="AE728" s="8">
        <v>0</v>
      </c>
      <c r="AT728" t="str">
        <f t="shared" si="200"/>
        <v>Agawam</v>
      </c>
      <c r="AU728" t="s">
        <v>2852</v>
      </c>
      <c r="AV728">
        <v>1</v>
      </c>
      <c r="AX728" s="114">
        <v>25</v>
      </c>
      <c r="AY728" s="116">
        <v>13</v>
      </c>
      <c r="AZ728" s="116">
        <v>5</v>
      </c>
      <c r="BA728" s="120">
        <v>765</v>
      </c>
      <c r="BB728" s="120">
        <f t="shared" si="201"/>
        <v>25013</v>
      </c>
      <c r="BC728" t="s">
        <v>1249</v>
      </c>
      <c r="BD728">
        <f t="shared" si="231"/>
        <v>2500765</v>
      </c>
      <c r="BE728" s="66">
        <v>192</v>
      </c>
      <c r="BF728" s="66"/>
      <c r="BI728">
        <v>24.23</v>
      </c>
      <c r="BJ728">
        <v>0.99</v>
      </c>
      <c r="BK728">
        <v>23.24</v>
      </c>
      <c r="BQ728">
        <v>188</v>
      </c>
      <c r="BS728">
        <v>0</v>
      </c>
    </row>
    <row r="729" spans="1:71" hidden="1" outlineLevel="1">
      <c r="A729" s="64" t="s">
        <v>3023</v>
      </c>
      <c r="B729" s="8" t="s">
        <v>1320</v>
      </c>
      <c r="C729" s="1">
        <f t="shared" si="223"/>
        <v>299</v>
      </c>
      <c r="D729" s="5">
        <f>IF(N729&gt;0, RANK(N729,(N729:P729,Q729:AE729)),0)</f>
        <v>1</v>
      </c>
      <c r="E729" s="5">
        <f>IF(O729&gt;0,RANK(O729,(N729:P729,Q729:AE729)),0)</f>
        <v>2</v>
      </c>
      <c r="F729" s="5">
        <f t="shared" si="224"/>
        <v>0</v>
      </c>
      <c r="G729" s="1">
        <f t="shared" si="225"/>
        <v>174</v>
      </c>
      <c r="H729" s="2">
        <f t="shared" si="199"/>
        <v>0.58193979933110362</v>
      </c>
      <c r="I729" s="6"/>
      <c r="J729" s="2">
        <f t="shared" si="226"/>
        <v>0.7558528428093646</v>
      </c>
      <c r="K729" s="2">
        <f t="shared" si="227"/>
        <v>0.17391304347826086</v>
      </c>
      <c r="L729" s="2">
        <f t="shared" si="228"/>
        <v>0</v>
      </c>
      <c r="M729" s="2">
        <f t="shared" si="229"/>
        <v>7.0234113712374535E-2</v>
      </c>
      <c r="N729" s="63">
        <v>226</v>
      </c>
      <c r="O729" s="63">
        <v>52</v>
      </c>
      <c r="P729" s="63">
        <v>0</v>
      </c>
      <c r="Q729" s="63">
        <v>8</v>
      </c>
      <c r="R729" s="63">
        <v>8</v>
      </c>
      <c r="S729" s="63"/>
      <c r="T729" s="63"/>
      <c r="U729" s="63"/>
      <c r="V729" s="63"/>
      <c r="W729" s="63">
        <f t="shared" si="230"/>
        <v>5</v>
      </c>
      <c r="X729" s="63"/>
      <c r="Y729" s="63"/>
      <c r="Z729" s="63"/>
      <c r="AA729" s="63">
        <v>0</v>
      </c>
      <c r="AB729" s="63"/>
      <c r="AE729" s="8">
        <v>0</v>
      </c>
      <c r="AT729" t="str">
        <f t="shared" si="200"/>
        <v>Alford</v>
      </c>
      <c r="AU729" t="s">
        <v>2313</v>
      </c>
      <c r="AV729">
        <v>1</v>
      </c>
      <c r="AX729" s="114">
        <v>25</v>
      </c>
      <c r="AY729" s="116">
        <v>3</v>
      </c>
      <c r="AZ729" s="116">
        <v>10</v>
      </c>
      <c r="BA729" s="120">
        <v>975</v>
      </c>
      <c r="BB729" s="120">
        <f t="shared" si="201"/>
        <v>25003</v>
      </c>
      <c r="BC729" t="s">
        <v>1472</v>
      </c>
      <c r="BD729">
        <f t="shared" si="231"/>
        <v>2500975</v>
      </c>
      <c r="BE729" s="66">
        <v>8</v>
      </c>
      <c r="BF729" s="66"/>
      <c r="BI729">
        <v>11.56</v>
      </c>
      <c r="BJ729">
        <v>0</v>
      </c>
      <c r="BK729">
        <v>11.56</v>
      </c>
      <c r="BQ729">
        <v>5</v>
      </c>
      <c r="BS729">
        <v>0</v>
      </c>
    </row>
    <row r="730" spans="1:71" hidden="1" outlineLevel="1">
      <c r="A730" s="64" t="s">
        <v>1211</v>
      </c>
      <c r="B730" s="8" t="s">
        <v>1320</v>
      </c>
      <c r="C730" s="1">
        <f t="shared" si="223"/>
        <v>9241</v>
      </c>
      <c r="D730" s="5">
        <f>IF(N730&gt;0, RANK(N730,(N730:P730,Q730:AE730)),0)</f>
        <v>1</v>
      </c>
      <c r="E730" s="5">
        <f>IF(O730&gt;0,RANK(O730,(N730:P730,Q730:AE730)),0)</f>
        <v>2</v>
      </c>
      <c r="F730" s="5">
        <f t="shared" si="224"/>
        <v>6</v>
      </c>
      <c r="G730" s="1">
        <f t="shared" si="225"/>
        <v>1943</v>
      </c>
      <c r="H730" s="2">
        <f t="shared" si="199"/>
        <v>0.21025863001839629</v>
      </c>
      <c r="I730" s="6"/>
      <c r="J730" s="2">
        <f t="shared" si="226"/>
        <v>0.55989611513905424</v>
      </c>
      <c r="K730" s="2">
        <f t="shared" si="227"/>
        <v>0.34963748512065795</v>
      </c>
      <c r="L730" s="2">
        <f t="shared" si="228"/>
        <v>1.4067741586408398E-3</v>
      </c>
      <c r="M730" s="2">
        <f t="shared" si="229"/>
        <v>8.905962558164697E-2</v>
      </c>
      <c r="N730" s="63">
        <v>5174</v>
      </c>
      <c r="O730" s="63">
        <v>3231</v>
      </c>
      <c r="P730" s="63">
        <v>13</v>
      </c>
      <c r="Q730" s="63">
        <v>527</v>
      </c>
      <c r="R730" s="63">
        <v>151</v>
      </c>
      <c r="S730" s="63"/>
      <c r="T730" s="63"/>
      <c r="U730" s="63"/>
      <c r="V730" s="63"/>
      <c r="W730" s="63">
        <f t="shared" si="230"/>
        <v>145</v>
      </c>
      <c r="X730" s="63"/>
      <c r="Y730" s="63"/>
      <c r="Z730" s="63"/>
      <c r="AA730" s="63">
        <v>0</v>
      </c>
      <c r="AB730" s="63"/>
      <c r="AE730" s="8">
        <v>0</v>
      </c>
      <c r="AT730" t="str">
        <f t="shared" si="200"/>
        <v>Amesbury</v>
      </c>
      <c r="AU730" t="s">
        <v>842</v>
      </c>
      <c r="AV730">
        <v>6</v>
      </c>
      <c r="AX730" s="114">
        <v>25</v>
      </c>
      <c r="AY730" s="116">
        <v>9</v>
      </c>
      <c r="AZ730" s="116">
        <v>5</v>
      </c>
      <c r="BA730" s="120">
        <v>1185</v>
      </c>
      <c r="BB730" s="120">
        <f t="shared" si="201"/>
        <v>25009</v>
      </c>
      <c r="BC730" t="s">
        <v>1249</v>
      </c>
      <c r="BD730">
        <f t="shared" si="231"/>
        <v>2501185</v>
      </c>
      <c r="BE730" s="66">
        <v>161</v>
      </c>
      <c r="BF730" s="66"/>
      <c r="BI730">
        <v>13.65</v>
      </c>
      <c r="BJ730">
        <v>1.24</v>
      </c>
      <c r="BK730">
        <v>12.4</v>
      </c>
      <c r="BQ730">
        <v>145</v>
      </c>
      <c r="BS730">
        <v>0</v>
      </c>
    </row>
    <row r="731" spans="1:71" hidden="1" outlineLevel="1">
      <c r="A731" s="64" t="s">
        <v>2474</v>
      </c>
      <c r="B731" s="8" t="s">
        <v>1320</v>
      </c>
      <c r="C731" s="1">
        <f t="shared" si="223"/>
        <v>14927</v>
      </c>
      <c r="D731" s="5">
        <f>IF(N731&gt;0, RANK(N731,(N731:P731,Q731:AE731)),0)</f>
        <v>1</v>
      </c>
      <c r="E731" s="5">
        <f>IF(O731&gt;0,RANK(O731,(N731:P731,Q731:AE731)),0)</f>
        <v>2</v>
      </c>
      <c r="F731" s="5">
        <f t="shared" si="224"/>
        <v>6</v>
      </c>
      <c r="G731" s="1">
        <f t="shared" si="225"/>
        <v>11109</v>
      </c>
      <c r="H731" s="2">
        <f t="shared" si="199"/>
        <v>0.74422187981510013</v>
      </c>
      <c r="I731" s="6"/>
      <c r="J731" s="2">
        <f t="shared" si="226"/>
        <v>0.82782876666443361</v>
      </c>
      <c r="K731" s="2">
        <f t="shared" si="227"/>
        <v>8.3606886849333428E-2</v>
      </c>
      <c r="L731" s="2">
        <f t="shared" si="228"/>
        <v>7.3691967575534268E-4</v>
      </c>
      <c r="M731" s="2">
        <f t="shared" si="229"/>
        <v>8.7827426810477616E-2</v>
      </c>
      <c r="N731" s="63">
        <v>12357</v>
      </c>
      <c r="O731" s="63">
        <v>1248</v>
      </c>
      <c r="P731" s="63">
        <v>11</v>
      </c>
      <c r="Q731" s="63">
        <v>445</v>
      </c>
      <c r="R731" s="63">
        <v>613</v>
      </c>
      <c r="S731" s="63"/>
      <c r="T731" s="63"/>
      <c r="U731" s="63"/>
      <c r="V731" s="63"/>
      <c r="W731" s="63">
        <f t="shared" si="230"/>
        <v>253</v>
      </c>
      <c r="X731" s="63"/>
      <c r="Y731" s="63"/>
      <c r="Z731" s="63"/>
      <c r="AA731" s="63">
        <v>0</v>
      </c>
      <c r="AB731" s="63"/>
      <c r="AE731" s="8">
        <v>0</v>
      </c>
      <c r="AT731" t="str">
        <f t="shared" si="200"/>
        <v>Amherst</v>
      </c>
      <c r="AU731" t="s">
        <v>2176</v>
      </c>
      <c r="AV731">
        <v>2</v>
      </c>
      <c r="AX731" s="114">
        <v>25</v>
      </c>
      <c r="AY731" s="116">
        <v>15</v>
      </c>
      <c r="AZ731" s="116">
        <v>5</v>
      </c>
      <c r="BA731" s="120">
        <v>1325</v>
      </c>
      <c r="BB731" s="120">
        <f t="shared" si="201"/>
        <v>25015</v>
      </c>
      <c r="BC731" t="s">
        <v>1472</v>
      </c>
      <c r="BD731">
        <f t="shared" si="231"/>
        <v>2501325</v>
      </c>
      <c r="BE731" s="66">
        <v>139</v>
      </c>
      <c r="BF731" s="66"/>
      <c r="BI731">
        <v>27.76</v>
      </c>
      <c r="BJ731">
        <v>0.04</v>
      </c>
      <c r="BK731">
        <v>27.72</v>
      </c>
      <c r="BQ731">
        <v>253</v>
      </c>
      <c r="BS731">
        <v>0</v>
      </c>
    </row>
    <row r="732" spans="1:71" hidden="1" outlineLevel="1">
      <c r="A732" s="64" t="s">
        <v>772</v>
      </c>
      <c r="B732" s="8" t="s">
        <v>1320</v>
      </c>
      <c r="C732" s="1">
        <f t="shared" si="223"/>
        <v>19219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 t="shared" si="224"/>
        <v>6</v>
      </c>
      <c r="G732" s="1">
        <f t="shared" si="225"/>
        <v>4700</v>
      </c>
      <c r="H732" s="2">
        <f t="shared" si="199"/>
        <v>0.24454966439460951</v>
      </c>
      <c r="I732" s="6"/>
      <c r="J732" s="2">
        <f t="shared" si="226"/>
        <v>0.58390134762474633</v>
      </c>
      <c r="K732" s="2">
        <f t="shared" si="227"/>
        <v>0.33935168323013687</v>
      </c>
      <c r="L732" s="2">
        <f t="shared" si="228"/>
        <v>2.237369269993236E-3</v>
      </c>
      <c r="M732" s="2">
        <f t="shared" si="229"/>
        <v>7.4509599875123567E-2</v>
      </c>
      <c r="N732" s="63">
        <v>11222</v>
      </c>
      <c r="O732" s="63">
        <v>6522</v>
      </c>
      <c r="P732" s="63">
        <v>43</v>
      </c>
      <c r="Q732" s="63">
        <v>895</v>
      </c>
      <c r="R732" s="63">
        <v>202</v>
      </c>
      <c r="S732" s="63"/>
      <c r="T732" s="63"/>
      <c r="U732" s="63"/>
      <c r="V732" s="63"/>
      <c r="W732" s="63">
        <f t="shared" si="230"/>
        <v>335</v>
      </c>
      <c r="X732" s="63"/>
      <c r="Y732" s="63"/>
      <c r="Z732" s="63"/>
      <c r="AA732" s="63">
        <v>0</v>
      </c>
      <c r="AB732" s="63"/>
      <c r="AE732" s="8">
        <v>0</v>
      </c>
      <c r="AT732" t="str">
        <f t="shared" si="200"/>
        <v>Andover</v>
      </c>
      <c r="AU732" t="s">
        <v>842</v>
      </c>
      <c r="AX732" s="114">
        <v>25</v>
      </c>
      <c r="AY732" s="116">
        <v>9</v>
      </c>
      <c r="AZ732" s="116">
        <v>10</v>
      </c>
      <c r="BA732" s="120">
        <v>1465</v>
      </c>
      <c r="BB732" s="120">
        <f t="shared" si="201"/>
        <v>25009</v>
      </c>
      <c r="BC732" t="s">
        <v>1472</v>
      </c>
      <c r="BD732">
        <f t="shared" si="231"/>
        <v>2501465</v>
      </c>
      <c r="BE732" s="66">
        <v>353</v>
      </c>
      <c r="BF732" s="66"/>
      <c r="BI732">
        <v>32.119999999999997</v>
      </c>
      <c r="BJ732">
        <v>1.1200000000000001</v>
      </c>
      <c r="BK732">
        <v>31.01</v>
      </c>
      <c r="BQ732">
        <v>335</v>
      </c>
      <c r="BS732">
        <v>0</v>
      </c>
    </row>
    <row r="733" spans="1:71" hidden="1" outlineLevel="1">
      <c r="A733" s="64" t="s">
        <v>691</v>
      </c>
      <c r="B733" s="8" t="s">
        <v>1320</v>
      </c>
      <c r="C733" s="1">
        <f t="shared" si="223"/>
        <v>284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 t="shared" si="224"/>
        <v>0</v>
      </c>
      <c r="G733" s="1">
        <f t="shared" si="225"/>
        <v>198</v>
      </c>
      <c r="H733" s="2">
        <f t="shared" si="199"/>
        <v>0.69718309859154926</v>
      </c>
      <c r="I733" s="6"/>
      <c r="J733" s="2">
        <f t="shared" si="226"/>
        <v>0.81690140845070425</v>
      </c>
      <c r="K733" s="2">
        <f t="shared" si="227"/>
        <v>0.11971830985915492</v>
      </c>
      <c r="L733" s="2">
        <f t="shared" si="228"/>
        <v>0</v>
      </c>
      <c r="M733" s="2">
        <f t="shared" si="229"/>
        <v>6.338028169014083E-2</v>
      </c>
      <c r="N733" s="63">
        <v>232</v>
      </c>
      <c r="O733" s="63">
        <v>34</v>
      </c>
      <c r="P733" s="63">
        <v>0</v>
      </c>
      <c r="Q733" s="63">
        <v>6</v>
      </c>
      <c r="R733" s="63">
        <v>7</v>
      </c>
      <c r="S733" s="63"/>
      <c r="T733" s="63"/>
      <c r="U733" s="63"/>
      <c r="V733" s="63"/>
      <c r="W733" s="63">
        <f t="shared" si="230"/>
        <v>5</v>
      </c>
      <c r="X733" s="63"/>
      <c r="Y733" s="63"/>
      <c r="Z733" s="63"/>
      <c r="AA733" s="63">
        <v>0</v>
      </c>
      <c r="AB733" s="63"/>
      <c r="AE733" s="8">
        <v>0</v>
      </c>
      <c r="AT733" t="str">
        <f>A733</f>
        <v>Aquinnah</v>
      </c>
      <c r="AU733" t="s">
        <v>3032</v>
      </c>
      <c r="AV733">
        <v>9</v>
      </c>
      <c r="AX733" s="114">
        <v>25</v>
      </c>
      <c r="AY733" s="116">
        <v>7</v>
      </c>
      <c r="AZ733" s="116">
        <v>3</v>
      </c>
      <c r="BA733" s="120">
        <v>1585</v>
      </c>
      <c r="BB733" s="120">
        <f t="shared" si="201"/>
        <v>25007</v>
      </c>
      <c r="BC733" t="s">
        <v>1472</v>
      </c>
      <c r="BD733">
        <f t="shared" si="231"/>
        <v>2501585</v>
      </c>
      <c r="BE733" s="66">
        <v>3</v>
      </c>
      <c r="BF733" s="66"/>
      <c r="BI733">
        <v>40.770000000000003</v>
      </c>
      <c r="BJ733">
        <v>35.409999999999997</v>
      </c>
      <c r="BK733">
        <v>5.36</v>
      </c>
      <c r="BQ733">
        <v>5</v>
      </c>
      <c r="BS733">
        <v>0</v>
      </c>
    </row>
    <row r="734" spans="1:71" hidden="1" outlineLevel="1">
      <c r="A734" s="64" t="s">
        <v>1818</v>
      </c>
      <c r="B734" s="8" t="s">
        <v>1320</v>
      </c>
      <c r="C734" s="1">
        <f t="shared" si="223"/>
        <v>26861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 t="shared" si="224"/>
        <v>6</v>
      </c>
      <c r="G734" s="1">
        <f t="shared" si="225"/>
        <v>15887</v>
      </c>
      <c r="H734" s="2">
        <f t="shared" si="199"/>
        <v>0.59145229142623135</v>
      </c>
      <c r="I734" s="6"/>
      <c r="J734" s="2">
        <f t="shared" si="226"/>
        <v>0.76464018465433159</v>
      </c>
      <c r="K734" s="2">
        <f t="shared" si="227"/>
        <v>0.17318789322810021</v>
      </c>
      <c r="L734" s="2">
        <f t="shared" si="228"/>
        <v>1.8986634898179517E-3</v>
      </c>
      <c r="M734" s="2">
        <f t="shared" si="229"/>
        <v>6.0273258627750244E-2</v>
      </c>
      <c r="N734" s="63">
        <v>20539</v>
      </c>
      <c r="O734" s="63">
        <v>4652</v>
      </c>
      <c r="P734" s="63">
        <v>51</v>
      </c>
      <c r="Q734" s="63">
        <v>732</v>
      </c>
      <c r="R734" s="63">
        <v>457</v>
      </c>
      <c r="S734" s="63"/>
      <c r="T734" s="63"/>
      <c r="U734" s="63"/>
      <c r="V734" s="63"/>
      <c r="W734" s="63">
        <f t="shared" si="230"/>
        <v>430</v>
      </c>
      <c r="X734" s="63"/>
      <c r="Y734" s="63"/>
      <c r="Z734" s="63"/>
      <c r="AA734" s="63">
        <v>0</v>
      </c>
      <c r="AB734" s="63"/>
      <c r="AE734" s="8">
        <v>0</v>
      </c>
      <c r="AT734" t="str">
        <f t="shared" si="200"/>
        <v>Arlington</v>
      </c>
      <c r="AU734" t="s">
        <v>503</v>
      </c>
      <c r="AV734">
        <v>5</v>
      </c>
      <c r="AX734" s="114">
        <v>25</v>
      </c>
      <c r="AY734" s="116">
        <v>17</v>
      </c>
      <c r="AZ734" s="116">
        <v>10</v>
      </c>
      <c r="BA734" s="120">
        <v>1605</v>
      </c>
      <c r="BB734" s="120">
        <f t="shared" si="201"/>
        <v>25017</v>
      </c>
      <c r="BC734" t="s">
        <v>1472</v>
      </c>
      <c r="BD734">
        <f t="shared" si="231"/>
        <v>2501605</v>
      </c>
      <c r="BE734" s="66">
        <v>410</v>
      </c>
      <c r="BF734" s="66"/>
      <c r="BI734">
        <v>5.51</v>
      </c>
      <c r="BJ734">
        <v>0.33</v>
      </c>
      <c r="BK734">
        <v>5.18</v>
      </c>
      <c r="BQ734">
        <v>430</v>
      </c>
      <c r="BS734">
        <v>0</v>
      </c>
    </row>
    <row r="735" spans="1:71" hidden="1" outlineLevel="1">
      <c r="A735" s="64" t="s">
        <v>1212</v>
      </c>
      <c r="B735" s="8" t="s">
        <v>1320</v>
      </c>
      <c r="C735" s="1">
        <f t="shared" si="223"/>
        <v>3352</v>
      </c>
      <c r="D735" s="5">
        <f>IF(N735&gt;0, RANK(N735,(N735:P735,Q735:AE735)),0)</f>
        <v>2</v>
      </c>
      <c r="E735" s="5">
        <f>IF(O735&gt;0,RANK(O735,(N735:P735,Q735:AE735)),0)</f>
        <v>1</v>
      </c>
      <c r="F735" s="5">
        <f t="shared" si="224"/>
        <v>6</v>
      </c>
      <c r="G735" s="1">
        <f t="shared" si="225"/>
        <v>83</v>
      </c>
      <c r="H735" s="2">
        <f t="shared" si="199"/>
        <v>2.4761336515513127E-2</v>
      </c>
      <c r="I735" s="6"/>
      <c r="J735" s="2">
        <f t="shared" si="226"/>
        <v>0.42929594272076371</v>
      </c>
      <c r="K735" s="2">
        <f t="shared" si="227"/>
        <v>0.45405727923627687</v>
      </c>
      <c r="L735" s="2">
        <f t="shared" si="228"/>
        <v>8.949880668257757E-4</v>
      </c>
      <c r="M735" s="2">
        <f t="shared" si="229"/>
        <v>0.1157517899761337</v>
      </c>
      <c r="N735" s="63">
        <v>1439</v>
      </c>
      <c r="O735" s="63">
        <v>1522</v>
      </c>
      <c r="P735" s="63">
        <v>3</v>
      </c>
      <c r="Q735" s="63">
        <v>247</v>
      </c>
      <c r="R735" s="63">
        <v>66</v>
      </c>
      <c r="S735" s="63"/>
      <c r="T735" s="63"/>
      <c r="U735" s="63"/>
      <c r="V735" s="63"/>
      <c r="W735" s="63">
        <f t="shared" si="230"/>
        <v>75</v>
      </c>
      <c r="X735" s="63"/>
      <c r="Y735" s="63"/>
      <c r="Z735" s="63"/>
      <c r="AA735" s="63">
        <v>0</v>
      </c>
      <c r="AB735" s="63"/>
      <c r="AE735" s="8">
        <v>0</v>
      </c>
      <c r="AT735" t="str">
        <f t="shared" si="200"/>
        <v>Ashburnham</v>
      </c>
      <c r="AU735" s="8" t="s">
        <v>1774</v>
      </c>
      <c r="AV735">
        <v>3</v>
      </c>
      <c r="AX735" s="114">
        <v>25</v>
      </c>
      <c r="AY735" s="116">
        <v>27</v>
      </c>
      <c r="AZ735" s="116">
        <v>5</v>
      </c>
      <c r="BA735" s="120">
        <v>1885</v>
      </c>
      <c r="BB735" s="120">
        <f t="shared" si="201"/>
        <v>25027</v>
      </c>
      <c r="BC735" t="s">
        <v>1472</v>
      </c>
      <c r="BD735">
        <f t="shared" si="231"/>
        <v>2501885</v>
      </c>
      <c r="BE735" s="66">
        <v>47</v>
      </c>
      <c r="BF735" s="66"/>
      <c r="BI735">
        <v>41</v>
      </c>
      <c r="BJ735">
        <v>2.33</v>
      </c>
      <c r="BK735">
        <v>38.67</v>
      </c>
      <c r="BQ735">
        <v>75</v>
      </c>
      <c r="BS735">
        <v>0</v>
      </c>
    </row>
    <row r="736" spans="1:71" hidden="1" outlineLevel="1">
      <c r="A736" s="64" t="s">
        <v>2688</v>
      </c>
      <c r="B736" s="8" t="s">
        <v>1320</v>
      </c>
      <c r="C736" s="1">
        <f t="shared" si="223"/>
        <v>1891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 t="shared" si="224"/>
        <v>6</v>
      </c>
      <c r="G736" s="1">
        <f t="shared" si="225"/>
        <v>252</v>
      </c>
      <c r="H736" s="2">
        <f t="shared" ref="H736:H799" si="232">IF(C736&gt;0,G736/C736,0)</f>
        <v>0.13326282390269698</v>
      </c>
      <c r="I736" s="6"/>
      <c r="J736" s="2">
        <f t="shared" si="226"/>
        <v>0.38180856689582232</v>
      </c>
      <c r="K736" s="2">
        <f t="shared" si="227"/>
        <v>0.51507139079851927</v>
      </c>
      <c r="L736" s="2">
        <f t="shared" si="228"/>
        <v>5.2882072977260709E-4</v>
      </c>
      <c r="M736" s="2">
        <f t="shared" si="229"/>
        <v>0.10259122157588581</v>
      </c>
      <c r="N736" s="63">
        <v>722</v>
      </c>
      <c r="O736" s="63">
        <v>974</v>
      </c>
      <c r="P736" s="63">
        <v>1</v>
      </c>
      <c r="Q736" s="63">
        <v>129</v>
      </c>
      <c r="R736" s="63">
        <v>45</v>
      </c>
      <c r="S736" s="63"/>
      <c r="T736" s="63"/>
      <c r="U736" s="63"/>
      <c r="V736" s="63"/>
      <c r="W736" s="63">
        <f t="shared" si="230"/>
        <v>20</v>
      </c>
      <c r="X736" s="63"/>
      <c r="Y736" s="63"/>
      <c r="Z736" s="63"/>
      <c r="AA736" s="63">
        <v>0</v>
      </c>
      <c r="AB736" s="63"/>
      <c r="AE736" s="8">
        <v>0</v>
      </c>
      <c r="AT736" t="str">
        <f t="shared" si="200"/>
        <v>Ashby</v>
      </c>
      <c r="AU736" t="s">
        <v>503</v>
      </c>
      <c r="AV736">
        <v>3</v>
      </c>
      <c r="AX736" s="114">
        <v>25</v>
      </c>
      <c r="AY736" s="116">
        <v>17</v>
      </c>
      <c r="AZ736" s="116">
        <v>15</v>
      </c>
      <c r="BA736" s="120">
        <v>1955</v>
      </c>
      <c r="BB736" s="120">
        <f t="shared" si="201"/>
        <v>25017</v>
      </c>
      <c r="BC736" t="s">
        <v>1472</v>
      </c>
      <c r="BD736">
        <f t="shared" si="231"/>
        <v>2501955</v>
      </c>
      <c r="BE736" s="66">
        <v>42</v>
      </c>
      <c r="BF736" s="66"/>
      <c r="BI736">
        <v>24.17</v>
      </c>
      <c r="BJ736">
        <v>0.37</v>
      </c>
      <c r="BK736">
        <v>23.8</v>
      </c>
      <c r="BQ736">
        <v>20</v>
      </c>
      <c r="BS736">
        <v>0</v>
      </c>
    </row>
    <row r="737" spans="1:71" hidden="1" outlineLevel="1">
      <c r="A737" s="64" t="s">
        <v>2702</v>
      </c>
      <c r="B737" s="8" t="s">
        <v>1320</v>
      </c>
      <c r="C737" s="1">
        <f t="shared" si="223"/>
        <v>1132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 t="shared" si="224"/>
        <v>6</v>
      </c>
      <c r="G737" s="1">
        <f t="shared" si="225"/>
        <v>652</v>
      </c>
      <c r="H737" s="2">
        <f t="shared" si="232"/>
        <v>0.57597173144876324</v>
      </c>
      <c r="I737" s="6"/>
      <c r="J737" s="2">
        <f t="shared" si="226"/>
        <v>0.7385159010600707</v>
      </c>
      <c r="K737" s="2">
        <f t="shared" si="227"/>
        <v>0.16254416961130741</v>
      </c>
      <c r="L737" s="2">
        <f t="shared" si="228"/>
        <v>1.7667844522968198E-3</v>
      </c>
      <c r="M737" s="2">
        <f t="shared" si="229"/>
        <v>9.7173144876325071E-2</v>
      </c>
      <c r="N737" s="63">
        <v>836</v>
      </c>
      <c r="O737" s="63">
        <v>184</v>
      </c>
      <c r="P737" s="63">
        <v>2</v>
      </c>
      <c r="Q737" s="63">
        <v>52</v>
      </c>
      <c r="R737" s="63">
        <v>44</v>
      </c>
      <c r="S737" s="63"/>
      <c r="T737" s="63"/>
      <c r="U737" s="63"/>
      <c r="V737" s="63"/>
      <c r="W737" s="63">
        <f t="shared" si="230"/>
        <v>2</v>
      </c>
      <c r="X737" s="63"/>
      <c r="Y737" s="63"/>
      <c r="Z737" s="63"/>
      <c r="AA737" s="63">
        <v>12</v>
      </c>
      <c r="AB737" s="63"/>
      <c r="AE737" s="8">
        <v>0</v>
      </c>
      <c r="AT737" t="str">
        <f t="shared" ref="AT737:AT800" si="233">A737</f>
        <v>Ashfield</v>
      </c>
      <c r="AU737" t="s">
        <v>1138</v>
      </c>
      <c r="AV737">
        <v>1</v>
      </c>
      <c r="AX737" s="114">
        <v>25</v>
      </c>
      <c r="AY737" s="116">
        <v>11</v>
      </c>
      <c r="AZ737" s="116">
        <v>5</v>
      </c>
      <c r="BA737" s="120">
        <v>2095</v>
      </c>
      <c r="BB737" s="120">
        <f t="shared" si="201"/>
        <v>25011</v>
      </c>
      <c r="BC737" t="s">
        <v>1472</v>
      </c>
      <c r="BD737">
        <f t="shared" si="231"/>
        <v>2502095</v>
      </c>
      <c r="BE737" s="66">
        <v>23</v>
      </c>
      <c r="BF737" s="66"/>
      <c r="BI737">
        <v>40.42</v>
      </c>
      <c r="BJ737">
        <v>0.12</v>
      </c>
      <c r="BK737">
        <v>40.299999999999997</v>
      </c>
      <c r="BQ737">
        <v>2</v>
      </c>
      <c r="BS737">
        <v>0</v>
      </c>
    </row>
    <row r="738" spans="1:71" hidden="1" outlineLevel="1">
      <c r="A738" s="64" t="s">
        <v>196</v>
      </c>
      <c r="B738" s="8" t="s">
        <v>1320</v>
      </c>
      <c r="C738" s="1">
        <f t="shared" si="223"/>
        <v>9014</v>
      </c>
      <c r="D738" s="5">
        <f>IF(N738&gt;0, RANK(N738,(N738:P738,Q738:AE738)),0)</f>
        <v>1</v>
      </c>
      <c r="E738" s="5">
        <f>IF(O738&gt;0,RANK(O738,(N738:P738,Q738:AE738)),0)</f>
        <v>2</v>
      </c>
      <c r="F738" s="5">
        <f t="shared" si="224"/>
        <v>0</v>
      </c>
      <c r="G738" s="1">
        <f t="shared" si="225"/>
        <v>2916</v>
      </c>
      <c r="H738" s="2">
        <f t="shared" si="232"/>
        <v>0.32349678278233857</v>
      </c>
      <c r="I738" s="6"/>
      <c r="J738" s="2">
        <f t="shared" si="226"/>
        <v>0.6305746616374529</v>
      </c>
      <c r="K738" s="2">
        <f t="shared" si="227"/>
        <v>0.30707787885511428</v>
      </c>
      <c r="L738" s="2">
        <f t="shared" si="228"/>
        <v>0</v>
      </c>
      <c r="M738" s="2">
        <f t="shared" si="229"/>
        <v>6.2347459507432812E-2</v>
      </c>
      <c r="N738" s="63">
        <v>5684</v>
      </c>
      <c r="O738" s="63">
        <v>2768</v>
      </c>
      <c r="P738" s="63">
        <v>0</v>
      </c>
      <c r="Q738" s="63">
        <v>457</v>
      </c>
      <c r="R738" s="63">
        <v>105</v>
      </c>
      <c r="S738" s="63"/>
      <c r="T738" s="63"/>
      <c r="U738" s="63"/>
      <c r="V738" s="63"/>
      <c r="W738" s="63">
        <f t="shared" si="230"/>
        <v>0</v>
      </c>
      <c r="X738" s="63"/>
      <c r="Y738" s="63"/>
      <c r="Z738" s="63"/>
      <c r="AA738" s="63">
        <v>0</v>
      </c>
      <c r="AB738" s="63"/>
      <c r="AE738" s="8">
        <v>0</v>
      </c>
      <c r="AT738" t="str">
        <f t="shared" si="233"/>
        <v>Ashland</v>
      </c>
      <c r="AU738" t="s">
        <v>503</v>
      </c>
      <c r="AV738">
        <v>5</v>
      </c>
      <c r="AX738" s="114">
        <v>25</v>
      </c>
      <c r="AY738" s="116">
        <v>17</v>
      </c>
      <c r="AZ738" s="116">
        <v>20</v>
      </c>
      <c r="BA738" s="120">
        <v>2130</v>
      </c>
      <c r="BB738" s="120">
        <f t="shared" si="201"/>
        <v>25017</v>
      </c>
      <c r="BC738" t="s">
        <v>1472</v>
      </c>
      <c r="BD738">
        <f t="shared" si="231"/>
        <v>2502130</v>
      </c>
      <c r="BE738" s="66">
        <v>312</v>
      </c>
      <c r="BF738" s="66"/>
      <c r="BI738">
        <v>12.92</v>
      </c>
      <c r="BJ738">
        <v>0.48</v>
      </c>
      <c r="BK738">
        <v>12.44</v>
      </c>
      <c r="BQ738">
        <v>0</v>
      </c>
      <c r="BS738">
        <v>0</v>
      </c>
    </row>
    <row r="739" spans="1:71" hidden="1" outlineLevel="1">
      <c r="A739" s="64" t="s">
        <v>1356</v>
      </c>
      <c r="B739" s="8" t="s">
        <v>1320</v>
      </c>
      <c r="C739" s="1">
        <f t="shared" si="223"/>
        <v>4990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 t="shared" si="224"/>
        <v>0</v>
      </c>
      <c r="G739" s="1">
        <f t="shared" si="225"/>
        <v>259</v>
      </c>
      <c r="H739" s="2">
        <f t="shared" si="232"/>
        <v>5.190380761523046E-2</v>
      </c>
      <c r="I739" s="6"/>
      <c r="J739" s="2">
        <f t="shared" si="226"/>
        <v>0.4160320641282565</v>
      </c>
      <c r="K739" s="2">
        <f t="shared" si="227"/>
        <v>0.467935871743487</v>
      </c>
      <c r="L739" s="2">
        <f t="shared" si="228"/>
        <v>0</v>
      </c>
      <c r="M739" s="2">
        <f t="shared" si="229"/>
        <v>0.11603206412825656</v>
      </c>
      <c r="N739" s="63">
        <v>2076</v>
      </c>
      <c r="O739" s="63">
        <v>2335</v>
      </c>
      <c r="P739" s="63">
        <v>0</v>
      </c>
      <c r="Q739" s="63">
        <v>328</v>
      </c>
      <c r="R739" s="63">
        <v>116</v>
      </c>
      <c r="S739" s="63"/>
      <c r="T739" s="63"/>
      <c r="U739" s="63"/>
      <c r="V739" s="63"/>
      <c r="W739" s="63">
        <f t="shared" si="230"/>
        <v>135</v>
      </c>
      <c r="X739" s="63"/>
      <c r="Y739" s="63"/>
      <c r="Z739" s="63"/>
      <c r="AA739" s="63">
        <v>0</v>
      </c>
      <c r="AB739" s="63"/>
      <c r="AE739" s="8">
        <v>0</v>
      </c>
      <c r="AT739" t="str">
        <f t="shared" si="233"/>
        <v>Athol</v>
      </c>
      <c r="AU739" s="8" t="s">
        <v>1774</v>
      </c>
      <c r="AV739">
        <v>2</v>
      </c>
      <c r="AX739" s="114">
        <v>25</v>
      </c>
      <c r="AY739" s="116">
        <v>27</v>
      </c>
      <c r="AZ739" s="116">
        <v>10</v>
      </c>
      <c r="BA739" s="120">
        <v>2480</v>
      </c>
      <c r="BB739" s="120">
        <f t="shared" ref="BB739:BB802" si="234">AX739*1000+AY739</f>
        <v>25027</v>
      </c>
      <c r="BC739" t="s">
        <v>1472</v>
      </c>
      <c r="BD739">
        <f t="shared" si="231"/>
        <v>2502480</v>
      </c>
      <c r="BE739" s="66">
        <v>66</v>
      </c>
      <c r="BF739" s="66"/>
      <c r="BI739">
        <v>33.39</v>
      </c>
      <c r="BJ739">
        <v>0.82</v>
      </c>
      <c r="BK739">
        <v>32.57</v>
      </c>
      <c r="BQ739">
        <v>135</v>
      </c>
      <c r="BS739">
        <v>0</v>
      </c>
    </row>
    <row r="740" spans="1:71" hidden="1" outlineLevel="1">
      <c r="A740" s="64" t="s">
        <v>1623</v>
      </c>
      <c r="B740" s="8" t="s">
        <v>1320</v>
      </c>
      <c r="C740" s="1">
        <f t="shared" si="223"/>
        <v>20572</v>
      </c>
      <c r="D740" s="5">
        <f>IF(N740&gt;0, RANK(N740,(N740:P740,Q740:AE740)),0)</f>
        <v>1</v>
      </c>
      <c r="E740" s="5">
        <f>IF(O740&gt;0,RANK(O740,(N740:P740,Q740:AE740)),0)</f>
        <v>2</v>
      </c>
      <c r="F740" s="5">
        <f t="shared" si="224"/>
        <v>0</v>
      </c>
      <c r="G740" s="1">
        <f t="shared" si="225"/>
        <v>1947</v>
      </c>
      <c r="H740" s="2">
        <f t="shared" si="232"/>
        <v>9.4643204355434565E-2</v>
      </c>
      <c r="I740" s="6"/>
      <c r="J740" s="2">
        <f t="shared" si="226"/>
        <v>0.51127746451487455</v>
      </c>
      <c r="K740" s="2">
        <f t="shared" si="227"/>
        <v>0.41663426015944</v>
      </c>
      <c r="L740" s="2">
        <f t="shared" si="228"/>
        <v>0</v>
      </c>
      <c r="M740" s="2">
        <f t="shared" si="229"/>
        <v>7.2088275325685458E-2</v>
      </c>
      <c r="N740" s="63">
        <v>10518</v>
      </c>
      <c r="O740" s="63">
        <v>8571</v>
      </c>
      <c r="P740" s="63">
        <v>0</v>
      </c>
      <c r="Q740" s="63">
        <v>1032</v>
      </c>
      <c r="R740" s="63">
        <v>321</v>
      </c>
      <c r="S740" s="63"/>
      <c r="T740" s="63"/>
      <c r="U740" s="63"/>
      <c r="V740" s="63"/>
      <c r="W740" s="63">
        <f t="shared" si="230"/>
        <v>130</v>
      </c>
      <c r="X740" s="63"/>
      <c r="Y740" s="63"/>
      <c r="Z740" s="63"/>
      <c r="AA740" s="63">
        <v>0</v>
      </c>
      <c r="AB740" s="63"/>
      <c r="AE740" s="8">
        <v>0</v>
      </c>
      <c r="AT740" t="str">
        <f t="shared" si="233"/>
        <v>Attleboro</v>
      </c>
      <c r="AU740" t="s">
        <v>2215</v>
      </c>
      <c r="AV740">
        <v>4</v>
      </c>
      <c r="AX740" s="114">
        <v>25</v>
      </c>
      <c r="AY740" s="116">
        <v>5</v>
      </c>
      <c r="AZ740" s="116">
        <v>10</v>
      </c>
      <c r="BA740" s="120">
        <v>2690</v>
      </c>
      <c r="BB740" s="120">
        <f t="shared" si="234"/>
        <v>25005</v>
      </c>
      <c r="BC740" t="s">
        <v>1249</v>
      </c>
      <c r="BD740">
        <f t="shared" si="231"/>
        <v>2502690</v>
      </c>
      <c r="BE740" s="66">
        <v>309</v>
      </c>
      <c r="BF740" s="66"/>
      <c r="BI740">
        <v>28.28</v>
      </c>
      <c r="BJ740">
        <v>0.77</v>
      </c>
      <c r="BK740">
        <v>27.51</v>
      </c>
      <c r="BQ740">
        <v>130</v>
      </c>
      <c r="BS740">
        <v>0</v>
      </c>
    </row>
    <row r="741" spans="1:71" hidden="1" outlineLevel="1">
      <c r="A741" s="64" t="s">
        <v>1343</v>
      </c>
      <c r="B741" s="8" t="s">
        <v>1320</v>
      </c>
      <c r="C741" s="1">
        <f t="shared" si="223"/>
        <v>9298</v>
      </c>
      <c r="D741" s="5">
        <f>IF(N741&gt;0, RANK(N741,(N741:P741,Q741:AE741)),0)</f>
        <v>1</v>
      </c>
      <c r="E741" s="5">
        <f>IF(O741&gt;0,RANK(O741,(N741:P741,Q741:AE741)),0)</f>
        <v>2</v>
      </c>
      <c r="F741" s="5">
        <f t="shared" si="224"/>
        <v>6</v>
      </c>
      <c r="G741" s="1">
        <f t="shared" si="225"/>
        <v>496</v>
      </c>
      <c r="H741" s="2">
        <f t="shared" si="232"/>
        <v>5.3344805334480536E-2</v>
      </c>
      <c r="I741" s="6"/>
      <c r="J741" s="2">
        <f t="shared" si="226"/>
        <v>0.48354484835448486</v>
      </c>
      <c r="K741" s="2">
        <f t="shared" si="227"/>
        <v>0.43020004302000431</v>
      </c>
      <c r="L741" s="2">
        <f t="shared" si="228"/>
        <v>2.2585502258550224E-3</v>
      </c>
      <c r="M741" s="2">
        <f t="shared" si="229"/>
        <v>8.3996558399655807E-2</v>
      </c>
      <c r="N741" s="63">
        <v>4496</v>
      </c>
      <c r="O741" s="63">
        <v>4000</v>
      </c>
      <c r="P741" s="63">
        <v>21</v>
      </c>
      <c r="Q741" s="63">
        <v>553</v>
      </c>
      <c r="R741" s="63">
        <v>92</v>
      </c>
      <c r="S741" s="63"/>
      <c r="T741" s="63"/>
      <c r="U741" s="63"/>
      <c r="V741" s="63"/>
      <c r="W741" s="63">
        <f t="shared" si="230"/>
        <v>136</v>
      </c>
      <c r="X741" s="63"/>
      <c r="Y741" s="63"/>
      <c r="Z741" s="63"/>
      <c r="AA741" s="63">
        <v>0</v>
      </c>
      <c r="AB741" s="63"/>
      <c r="AE741" s="8">
        <v>0</v>
      </c>
      <c r="AT741" t="str">
        <f t="shared" si="233"/>
        <v>Auburn</v>
      </c>
      <c r="AU741" s="8" t="s">
        <v>1774</v>
      </c>
      <c r="AV741">
        <v>2</v>
      </c>
      <c r="AX741" s="114">
        <v>25</v>
      </c>
      <c r="AY741" s="116">
        <v>27</v>
      </c>
      <c r="AZ741" s="116">
        <v>15</v>
      </c>
      <c r="BA741" s="120">
        <v>2760</v>
      </c>
      <c r="BB741" s="120">
        <f t="shared" si="234"/>
        <v>25027</v>
      </c>
      <c r="BC741" t="s">
        <v>1472</v>
      </c>
      <c r="BD741">
        <f t="shared" si="231"/>
        <v>2502760</v>
      </c>
      <c r="BE741" s="66">
        <v>157</v>
      </c>
      <c r="BF741" s="66"/>
      <c r="BI741">
        <v>16.399999999999999</v>
      </c>
      <c r="BJ741">
        <v>1.04</v>
      </c>
      <c r="BK741">
        <v>15.36</v>
      </c>
      <c r="BQ741">
        <v>136</v>
      </c>
      <c r="BS741">
        <v>0</v>
      </c>
    </row>
    <row r="742" spans="1:71" hidden="1" outlineLevel="1">
      <c r="A742" s="64" t="s">
        <v>244</v>
      </c>
      <c r="B742" s="8" t="s">
        <v>1320</v>
      </c>
      <c r="C742" s="1">
        <f t="shared" si="223"/>
        <v>2458</v>
      </c>
      <c r="D742" s="5">
        <f>IF(N742&gt;0, RANK(N742,(N742:P742,Q742:AE742)),0)</f>
        <v>1</v>
      </c>
      <c r="E742" s="5">
        <f>IF(O742&gt;0,RANK(O742,(N742:P742,Q742:AE742)),0)</f>
        <v>2</v>
      </c>
      <c r="F742" s="5">
        <f t="shared" si="224"/>
        <v>6</v>
      </c>
      <c r="G742" s="1">
        <f t="shared" si="225"/>
        <v>186</v>
      </c>
      <c r="H742" s="2">
        <f t="shared" si="232"/>
        <v>7.5671277461350689E-2</v>
      </c>
      <c r="I742" s="6"/>
      <c r="J742" s="2">
        <f t="shared" si="226"/>
        <v>0.51017087062652566</v>
      </c>
      <c r="K742" s="2">
        <f t="shared" si="227"/>
        <v>0.43449959316517495</v>
      </c>
      <c r="L742" s="2">
        <f t="shared" si="228"/>
        <v>4.0683482506102521E-4</v>
      </c>
      <c r="M742" s="2">
        <f t="shared" si="229"/>
        <v>5.4922701383238362E-2</v>
      </c>
      <c r="N742" s="63">
        <v>1254</v>
      </c>
      <c r="O742" s="63">
        <v>1068</v>
      </c>
      <c r="P742" s="63">
        <v>1</v>
      </c>
      <c r="Q742" s="63">
        <v>79</v>
      </c>
      <c r="R742" s="63">
        <v>40</v>
      </c>
      <c r="S742" s="63"/>
      <c r="T742" s="63"/>
      <c r="U742" s="63"/>
      <c r="V742" s="63"/>
      <c r="W742" s="63">
        <f t="shared" si="230"/>
        <v>16</v>
      </c>
      <c r="X742" s="63"/>
      <c r="Y742" s="63"/>
      <c r="Z742" s="63"/>
      <c r="AA742" s="63">
        <v>0</v>
      </c>
      <c r="AB742" s="63"/>
      <c r="AE742" s="8">
        <v>0</v>
      </c>
      <c r="AT742" t="str">
        <f t="shared" si="233"/>
        <v>Avon</v>
      </c>
      <c r="AU742" t="s">
        <v>753</v>
      </c>
      <c r="AV742">
        <v>8</v>
      </c>
      <c r="AX742" s="114">
        <v>25</v>
      </c>
      <c r="AY742" s="116">
        <v>21</v>
      </c>
      <c r="AZ742" s="116">
        <v>5</v>
      </c>
      <c r="BA742" s="120">
        <v>2935</v>
      </c>
      <c r="BB742" s="120">
        <f t="shared" si="234"/>
        <v>25021</v>
      </c>
      <c r="BC742" t="s">
        <v>1472</v>
      </c>
      <c r="BD742">
        <f t="shared" si="231"/>
        <v>2502935</v>
      </c>
      <c r="BE742" s="66">
        <v>54</v>
      </c>
      <c r="BF742" s="66"/>
      <c r="BI742">
        <v>4.57</v>
      </c>
      <c r="BJ742">
        <v>0.19</v>
      </c>
      <c r="BK742">
        <v>4.38</v>
      </c>
      <c r="BQ742">
        <v>16</v>
      </c>
      <c r="BS742">
        <v>0</v>
      </c>
    </row>
    <row r="743" spans="1:71" hidden="1" outlineLevel="1">
      <c r="A743" s="64" t="s">
        <v>1292</v>
      </c>
      <c r="B743" s="8" t="s">
        <v>1320</v>
      </c>
      <c r="C743" s="1">
        <f t="shared" si="223"/>
        <v>4135</v>
      </c>
      <c r="D743" s="5">
        <f>IF(N743&gt;0, RANK(N743,(N743:P743,Q743:AE743)),0)</f>
        <v>1</v>
      </c>
      <c r="E743" s="5">
        <f>IF(O743&gt;0,RANK(O743,(N743:P743,Q743:AE743)),0)</f>
        <v>2</v>
      </c>
      <c r="F743" s="5">
        <f t="shared" si="224"/>
        <v>0</v>
      </c>
      <c r="G743" s="1">
        <f t="shared" si="225"/>
        <v>664</v>
      </c>
      <c r="H743" s="2">
        <f t="shared" si="232"/>
        <v>0.16058041112454655</v>
      </c>
      <c r="I743" s="6"/>
      <c r="J743" s="2">
        <f t="shared" si="226"/>
        <v>0.52285368802902055</v>
      </c>
      <c r="K743" s="2">
        <f t="shared" si="227"/>
        <v>0.36227327690447403</v>
      </c>
      <c r="L743" s="2">
        <f t="shared" si="228"/>
        <v>0</v>
      </c>
      <c r="M743" s="2">
        <f t="shared" si="229"/>
        <v>0.11487303506650542</v>
      </c>
      <c r="N743" s="63">
        <v>2162</v>
      </c>
      <c r="O743" s="63">
        <v>1498</v>
      </c>
      <c r="P743" s="63">
        <v>0</v>
      </c>
      <c r="Q743" s="63">
        <v>292</v>
      </c>
      <c r="R743" s="63">
        <v>65</v>
      </c>
      <c r="S743" s="63"/>
      <c r="T743" s="63"/>
      <c r="U743" s="63"/>
      <c r="V743" s="63"/>
      <c r="W743" s="63">
        <f t="shared" si="230"/>
        <v>118</v>
      </c>
      <c r="X743" s="63"/>
      <c r="Y743" s="63"/>
      <c r="Z743" s="63"/>
      <c r="AA743" s="63">
        <v>0</v>
      </c>
      <c r="AB743" s="63"/>
      <c r="AE743" s="8">
        <v>0</v>
      </c>
      <c r="AT743" t="str">
        <f t="shared" si="233"/>
        <v>Ayer</v>
      </c>
      <c r="AU743" t="s">
        <v>503</v>
      </c>
      <c r="AV743">
        <v>3</v>
      </c>
      <c r="AX743" s="114">
        <v>25</v>
      </c>
      <c r="AY743" s="116">
        <v>17</v>
      </c>
      <c r="AZ743" s="116">
        <v>25</v>
      </c>
      <c r="BA743" s="120">
        <v>3005</v>
      </c>
      <c r="BB743" s="120">
        <f t="shared" si="234"/>
        <v>25017</v>
      </c>
      <c r="BC743" t="s">
        <v>1472</v>
      </c>
      <c r="BD743">
        <f t="shared" si="231"/>
        <v>2503005</v>
      </c>
      <c r="BE743" s="66">
        <v>41</v>
      </c>
      <c r="BF743" s="66"/>
      <c r="BI743">
        <v>9.57</v>
      </c>
      <c r="BJ743">
        <v>0.55000000000000004</v>
      </c>
      <c r="BK743">
        <v>9.02</v>
      </c>
      <c r="BQ743">
        <v>118</v>
      </c>
      <c r="BS743">
        <v>0</v>
      </c>
    </row>
    <row r="744" spans="1:71" hidden="1" outlineLevel="1">
      <c r="A744" s="64" t="s">
        <v>2411</v>
      </c>
      <c r="B744" s="8" t="s">
        <v>1320</v>
      </c>
      <c r="C744" s="1">
        <f t="shared" si="223"/>
        <v>26029</v>
      </c>
      <c r="D744" s="5">
        <f>IF(N744&gt;0, RANK(N744,(N744:P744,Q744:AE744)),0)</f>
        <v>1</v>
      </c>
      <c r="E744" s="5">
        <f>IF(O744&gt;0,RANK(O744,(N744:P744,Q744:AE744)),0)</f>
        <v>2</v>
      </c>
      <c r="F744" s="5">
        <f t="shared" si="224"/>
        <v>6</v>
      </c>
      <c r="G744" s="1">
        <f t="shared" si="225"/>
        <v>1810</v>
      </c>
      <c r="H744" s="2">
        <f t="shared" si="232"/>
        <v>6.9537823197203114E-2</v>
      </c>
      <c r="I744" s="6"/>
      <c r="J744" s="2">
        <f t="shared" si="226"/>
        <v>0.4996350224749318</v>
      </c>
      <c r="K744" s="2">
        <f t="shared" si="227"/>
        <v>0.43009719927772871</v>
      </c>
      <c r="L744" s="2">
        <f t="shared" si="228"/>
        <v>1.728840908217757E-3</v>
      </c>
      <c r="M744" s="2">
        <f t="shared" si="229"/>
        <v>6.853893733912178E-2</v>
      </c>
      <c r="N744" s="63">
        <v>13005</v>
      </c>
      <c r="O744" s="63">
        <v>11195</v>
      </c>
      <c r="P744" s="63">
        <v>45</v>
      </c>
      <c r="Q744" s="63">
        <v>1049</v>
      </c>
      <c r="R744" s="63">
        <v>348</v>
      </c>
      <c r="S744" s="63"/>
      <c r="T744" s="63"/>
      <c r="U744" s="63"/>
      <c r="V744" s="63"/>
      <c r="W744" s="63">
        <f t="shared" si="230"/>
        <v>387</v>
      </c>
      <c r="X744" s="63"/>
      <c r="Y744" s="63"/>
      <c r="Z744" s="63"/>
      <c r="AA744" s="63">
        <v>0</v>
      </c>
      <c r="AB744" s="63"/>
      <c r="AE744" s="8">
        <v>0</v>
      </c>
      <c r="AT744" t="str">
        <f t="shared" si="233"/>
        <v>Barnstable</v>
      </c>
      <c r="AU744" t="s">
        <v>2411</v>
      </c>
      <c r="AV744">
        <v>9</v>
      </c>
      <c r="AX744" s="114">
        <v>25</v>
      </c>
      <c r="AY744" s="116">
        <v>1</v>
      </c>
      <c r="AZ744" s="116">
        <v>5</v>
      </c>
      <c r="BA744" s="120">
        <v>3600</v>
      </c>
      <c r="BB744" s="120">
        <f t="shared" si="234"/>
        <v>25001</v>
      </c>
      <c r="BC744" t="s">
        <v>1249</v>
      </c>
      <c r="BD744">
        <f t="shared" si="231"/>
        <v>2503600</v>
      </c>
      <c r="BE744" s="66">
        <v>351</v>
      </c>
      <c r="BF744" s="66"/>
      <c r="BI744">
        <v>76.25</v>
      </c>
      <c r="BJ744">
        <v>16.21</v>
      </c>
      <c r="BK744">
        <v>60.04</v>
      </c>
      <c r="BQ744">
        <v>387</v>
      </c>
      <c r="BS744">
        <v>0</v>
      </c>
    </row>
    <row r="745" spans="1:71" hidden="1" outlineLevel="1">
      <c r="A745" s="64" t="s">
        <v>921</v>
      </c>
      <c r="B745" s="8" t="s">
        <v>1320</v>
      </c>
      <c r="C745" s="1">
        <f t="shared" si="223"/>
        <v>2901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 t="shared" si="224"/>
        <v>6</v>
      </c>
      <c r="G745" s="1">
        <f t="shared" si="225"/>
        <v>228</v>
      </c>
      <c r="H745" s="2">
        <f t="shared" si="232"/>
        <v>7.8593588417786964E-2</v>
      </c>
      <c r="I745" s="6"/>
      <c r="J745" s="2">
        <f t="shared" si="226"/>
        <v>0.41399517407790415</v>
      </c>
      <c r="K745" s="2">
        <f t="shared" si="227"/>
        <v>0.49258876249569117</v>
      </c>
      <c r="L745" s="2">
        <f t="shared" si="228"/>
        <v>2.4129610479145121E-3</v>
      </c>
      <c r="M745" s="2">
        <f t="shared" si="229"/>
        <v>9.1003102378490117E-2</v>
      </c>
      <c r="N745" s="63">
        <v>1201</v>
      </c>
      <c r="O745" s="63">
        <v>1429</v>
      </c>
      <c r="P745" s="63">
        <v>7</v>
      </c>
      <c r="Q745" s="63">
        <v>164</v>
      </c>
      <c r="R745" s="63">
        <v>58</v>
      </c>
      <c r="S745" s="63"/>
      <c r="T745" s="63"/>
      <c r="U745" s="63"/>
      <c r="V745" s="63"/>
      <c r="W745" s="63">
        <f t="shared" si="230"/>
        <v>42</v>
      </c>
      <c r="X745" s="63"/>
      <c r="Y745" s="63"/>
      <c r="Z745" s="63"/>
      <c r="AA745" s="63">
        <v>0</v>
      </c>
      <c r="AB745" s="63"/>
      <c r="AE745" s="8">
        <v>0</v>
      </c>
      <c r="AT745" t="str">
        <f t="shared" si="233"/>
        <v>Barre</v>
      </c>
      <c r="AU745" s="8" t="s">
        <v>1774</v>
      </c>
      <c r="AV745">
        <v>2</v>
      </c>
      <c r="AX745" s="114">
        <v>25</v>
      </c>
      <c r="AY745" s="116">
        <v>27</v>
      </c>
      <c r="AZ745" s="116">
        <v>20</v>
      </c>
      <c r="BA745" s="120">
        <v>3740</v>
      </c>
      <c r="BB745" s="120">
        <f t="shared" si="234"/>
        <v>25027</v>
      </c>
      <c r="BC745" t="s">
        <v>1472</v>
      </c>
      <c r="BD745">
        <f t="shared" si="231"/>
        <v>2503740</v>
      </c>
      <c r="BE745" s="66">
        <v>35</v>
      </c>
      <c r="BF745" s="66"/>
      <c r="BI745">
        <v>44.61</v>
      </c>
      <c r="BJ745">
        <v>0.28000000000000003</v>
      </c>
      <c r="BK745">
        <v>44.33</v>
      </c>
      <c r="BQ745">
        <v>42</v>
      </c>
      <c r="BS745">
        <v>0</v>
      </c>
    </row>
    <row r="746" spans="1:71" hidden="1" outlineLevel="1">
      <c r="A746" s="64" t="s">
        <v>3094</v>
      </c>
      <c r="B746" s="8" t="s">
        <v>1320</v>
      </c>
      <c r="C746" s="1">
        <f t="shared" si="223"/>
        <v>1029</v>
      </c>
      <c r="D746" s="5">
        <f>IF(N746&gt;0, RANK(N746,(N746:P746,Q746:AE746)),0)</f>
        <v>1</v>
      </c>
      <c r="E746" s="5">
        <f>IF(O746&gt;0,RANK(O746,(N746:P746,Q746:AE746)),0)</f>
        <v>2</v>
      </c>
      <c r="F746" s="5">
        <f t="shared" si="224"/>
        <v>6</v>
      </c>
      <c r="G746" s="1">
        <f t="shared" si="225"/>
        <v>203</v>
      </c>
      <c r="H746" s="2">
        <f t="shared" si="232"/>
        <v>0.19727891156462585</v>
      </c>
      <c r="I746" s="6"/>
      <c r="J746" s="2">
        <f t="shared" si="226"/>
        <v>0.55490767735665691</v>
      </c>
      <c r="K746" s="2">
        <f t="shared" si="227"/>
        <v>0.35762876579203112</v>
      </c>
      <c r="L746" s="2">
        <f t="shared" si="228"/>
        <v>5.8309037900874635E-3</v>
      </c>
      <c r="M746" s="2">
        <f t="shared" si="229"/>
        <v>8.1632653061224497E-2</v>
      </c>
      <c r="N746" s="63">
        <v>571</v>
      </c>
      <c r="O746" s="63">
        <v>368</v>
      </c>
      <c r="P746" s="63">
        <v>6</v>
      </c>
      <c r="Q746" s="63">
        <v>37</v>
      </c>
      <c r="R746" s="63">
        <v>25</v>
      </c>
      <c r="S746" s="63"/>
      <c r="T746" s="63"/>
      <c r="U746" s="63"/>
      <c r="V746" s="63"/>
      <c r="W746" s="63">
        <f t="shared" si="230"/>
        <v>22</v>
      </c>
      <c r="X746" s="63"/>
      <c r="Y746" s="63"/>
      <c r="Z746" s="63"/>
      <c r="AA746" s="63">
        <v>0</v>
      </c>
      <c r="AB746" s="63"/>
      <c r="AE746" s="8">
        <v>0</v>
      </c>
      <c r="AT746" t="str">
        <f t="shared" si="233"/>
        <v>Becket</v>
      </c>
      <c r="AU746" t="s">
        <v>2313</v>
      </c>
      <c r="AV746">
        <v>1</v>
      </c>
      <c r="AX746" s="114">
        <v>25</v>
      </c>
      <c r="AY746" s="116">
        <v>3</v>
      </c>
      <c r="AZ746" s="116">
        <v>15</v>
      </c>
      <c r="BA746" s="120">
        <v>4545</v>
      </c>
      <c r="BB746" s="120">
        <f t="shared" si="234"/>
        <v>25003</v>
      </c>
      <c r="BC746" t="s">
        <v>1472</v>
      </c>
      <c r="BD746">
        <f t="shared" si="231"/>
        <v>2504545</v>
      </c>
      <c r="BE746" s="66">
        <v>18</v>
      </c>
      <c r="BF746" s="66"/>
      <c r="BI746">
        <v>47.76</v>
      </c>
      <c r="BJ746">
        <v>1.49</v>
      </c>
      <c r="BK746">
        <v>46.26</v>
      </c>
      <c r="BQ746">
        <v>22</v>
      </c>
      <c r="BS746">
        <v>0</v>
      </c>
    </row>
    <row r="747" spans="1:71" hidden="1" outlineLevel="1">
      <c r="A747" s="64" t="s">
        <v>1766</v>
      </c>
      <c r="B747" s="8" t="s">
        <v>1320</v>
      </c>
      <c r="C747" s="1">
        <f t="shared" si="223"/>
        <v>7954</v>
      </c>
      <c r="D747" s="5">
        <f>IF(N747&gt;0, RANK(N747,(N747:P747,Q747:AE747)),0)</f>
        <v>1</v>
      </c>
      <c r="E747" s="5">
        <f>IF(O747&gt;0,RANK(O747,(N747:P747,Q747:AE747)),0)</f>
        <v>2</v>
      </c>
      <c r="F747" s="5">
        <f t="shared" si="224"/>
        <v>0</v>
      </c>
      <c r="G747" s="1">
        <f t="shared" si="225"/>
        <v>2874</v>
      </c>
      <c r="H747" s="2">
        <f t="shared" si="232"/>
        <v>0.36132763389489564</v>
      </c>
      <c r="I747" s="6"/>
      <c r="J747" s="2">
        <f t="shared" si="226"/>
        <v>0.63930098063867236</v>
      </c>
      <c r="K747" s="2">
        <f t="shared" si="227"/>
        <v>0.27797334674377672</v>
      </c>
      <c r="L747" s="2">
        <f t="shared" si="228"/>
        <v>0</v>
      </c>
      <c r="M747" s="2">
        <f t="shared" si="229"/>
        <v>8.2725672617550927E-2</v>
      </c>
      <c r="N747" s="63">
        <v>5085</v>
      </c>
      <c r="O747" s="63">
        <v>2211</v>
      </c>
      <c r="P747" s="63">
        <v>0</v>
      </c>
      <c r="Q747" s="63">
        <v>404</v>
      </c>
      <c r="R747" s="63">
        <v>92</v>
      </c>
      <c r="S747" s="63"/>
      <c r="T747" s="63"/>
      <c r="U747" s="63"/>
      <c r="V747" s="63"/>
      <c r="W747" s="63">
        <f t="shared" si="230"/>
        <v>162</v>
      </c>
      <c r="X747" s="63"/>
      <c r="Y747" s="63"/>
      <c r="Z747" s="63"/>
      <c r="AA747" s="63">
        <v>0</v>
      </c>
      <c r="AB747" s="63"/>
      <c r="AE747" s="8">
        <v>0</v>
      </c>
      <c r="AT747" t="str">
        <f t="shared" si="233"/>
        <v>Bedford</v>
      </c>
      <c r="AU747" t="s">
        <v>503</v>
      </c>
      <c r="AV747">
        <v>6</v>
      </c>
      <c r="AX747" s="114">
        <v>25</v>
      </c>
      <c r="AY747" s="116">
        <v>17</v>
      </c>
      <c r="AZ747" s="116">
        <v>30</v>
      </c>
      <c r="BA747" s="120">
        <v>4615</v>
      </c>
      <c r="BB747" s="120">
        <f t="shared" si="234"/>
        <v>25017</v>
      </c>
      <c r="BC747" t="s">
        <v>1472</v>
      </c>
      <c r="BD747">
        <f t="shared" si="231"/>
        <v>2504615</v>
      </c>
      <c r="BE747" s="66">
        <v>112</v>
      </c>
      <c r="BF747" s="66"/>
      <c r="BI747">
        <v>13.87</v>
      </c>
      <c r="BJ747">
        <v>0.13</v>
      </c>
      <c r="BK747">
        <v>13.74</v>
      </c>
      <c r="BQ747">
        <v>162</v>
      </c>
      <c r="BS747">
        <v>0</v>
      </c>
    </row>
    <row r="748" spans="1:71" hidden="1" outlineLevel="1">
      <c r="A748" s="64" t="s">
        <v>2018</v>
      </c>
      <c r="B748" s="8" t="s">
        <v>1320</v>
      </c>
      <c r="C748" s="1">
        <f t="shared" si="223"/>
        <v>8236</v>
      </c>
      <c r="D748" s="5">
        <f>IF(N748&gt;0, RANK(N748,(N748:P748,Q748:AE748)),0)</f>
        <v>1</v>
      </c>
      <c r="E748" s="5">
        <f>IF(O748&gt;0,RANK(O748,(N748:P748,Q748:AE748)),0)</f>
        <v>2</v>
      </c>
      <c r="F748" s="5">
        <f t="shared" si="224"/>
        <v>0</v>
      </c>
      <c r="G748" s="1">
        <f t="shared" si="225"/>
        <v>1255</v>
      </c>
      <c r="H748" s="2">
        <f t="shared" si="232"/>
        <v>0.15237979601748422</v>
      </c>
      <c r="I748" s="6"/>
      <c r="J748" s="2">
        <f t="shared" si="226"/>
        <v>0.53521126760563376</v>
      </c>
      <c r="K748" s="2">
        <f t="shared" si="227"/>
        <v>0.38283147158814956</v>
      </c>
      <c r="L748" s="2">
        <f t="shared" si="228"/>
        <v>0</v>
      </c>
      <c r="M748" s="2">
        <f t="shared" si="229"/>
        <v>8.1957260806216681E-2</v>
      </c>
      <c r="N748" s="63">
        <v>4408</v>
      </c>
      <c r="O748" s="63">
        <v>3153</v>
      </c>
      <c r="P748" s="63">
        <v>0</v>
      </c>
      <c r="Q748" s="63">
        <v>392</v>
      </c>
      <c r="R748" s="63">
        <v>192</v>
      </c>
      <c r="S748" s="63"/>
      <c r="T748" s="63"/>
      <c r="U748" s="63"/>
      <c r="V748" s="63"/>
      <c r="W748" s="63">
        <f t="shared" si="230"/>
        <v>91</v>
      </c>
      <c r="X748" s="63"/>
      <c r="Y748" s="63"/>
      <c r="Z748" s="63"/>
      <c r="AA748" s="63">
        <v>0</v>
      </c>
      <c r="AB748" s="63"/>
      <c r="AE748" s="8">
        <v>0</v>
      </c>
      <c r="AT748" t="str">
        <f t="shared" si="233"/>
        <v>Belchertown</v>
      </c>
      <c r="AU748" t="s">
        <v>2176</v>
      </c>
      <c r="AV748">
        <v>2</v>
      </c>
      <c r="AX748" s="114">
        <v>25</v>
      </c>
      <c r="AY748" s="116">
        <v>15</v>
      </c>
      <c r="AZ748" s="116">
        <v>10</v>
      </c>
      <c r="BA748" s="120">
        <v>4825</v>
      </c>
      <c r="BB748" s="120">
        <f t="shared" si="234"/>
        <v>25015</v>
      </c>
      <c r="BC748" t="s">
        <v>1472</v>
      </c>
      <c r="BD748">
        <f t="shared" si="231"/>
        <v>2504825</v>
      </c>
      <c r="BE748" s="66">
        <v>182</v>
      </c>
      <c r="BF748" s="66"/>
      <c r="BI748">
        <v>55.36</v>
      </c>
      <c r="BJ748">
        <v>2.64</v>
      </c>
      <c r="BK748">
        <v>52.73</v>
      </c>
      <c r="BQ748">
        <v>91</v>
      </c>
      <c r="BS748">
        <v>0</v>
      </c>
    </row>
    <row r="749" spans="1:71" hidden="1" outlineLevel="1">
      <c r="A749" s="64" t="s">
        <v>1636</v>
      </c>
      <c r="B749" s="8" t="s">
        <v>1320</v>
      </c>
      <c r="C749" s="1">
        <f t="shared" si="223"/>
        <v>8868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 t="shared" si="224"/>
        <v>0</v>
      </c>
      <c r="G749" s="1">
        <f t="shared" si="225"/>
        <v>26</v>
      </c>
      <c r="H749" s="2">
        <f t="shared" si="232"/>
        <v>2.9318899413622013E-3</v>
      </c>
      <c r="I749" s="6"/>
      <c r="J749" s="2">
        <f t="shared" si="226"/>
        <v>0.4547812359043753</v>
      </c>
      <c r="K749" s="2">
        <f t="shared" si="227"/>
        <v>0.45771312584573748</v>
      </c>
      <c r="L749" s="2">
        <f t="shared" si="228"/>
        <v>0</v>
      </c>
      <c r="M749" s="2">
        <f t="shared" si="229"/>
        <v>8.7505638249887274E-2</v>
      </c>
      <c r="N749" s="63">
        <v>4033</v>
      </c>
      <c r="O749" s="63">
        <v>4059</v>
      </c>
      <c r="P749" s="63">
        <v>0</v>
      </c>
      <c r="Q749" s="63">
        <v>502</v>
      </c>
      <c r="R749" s="63">
        <v>100</v>
      </c>
      <c r="S749" s="63"/>
      <c r="T749" s="63"/>
      <c r="U749" s="63"/>
      <c r="V749" s="63"/>
      <c r="W749" s="63">
        <f t="shared" si="230"/>
        <v>174</v>
      </c>
      <c r="X749" s="63"/>
      <c r="Y749" s="63"/>
      <c r="Z749" s="63"/>
      <c r="AA749" s="63">
        <v>0</v>
      </c>
      <c r="AB749" s="63"/>
      <c r="AE749" s="8">
        <v>0</v>
      </c>
      <c r="AT749" t="str">
        <f t="shared" si="233"/>
        <v>Bellingham</v>
      </c>
      <c r="AU749" t="s">
        <v>753</v>
      </c>
      <c r="AX749" s="114">
        <v>25</v>
      </c>
      <c r="AY749" s="116">
        <v>21</v>
      </c>
      <c r="AZ749" s="116">
        <v>10</v>
      </c>
      <c r="BA749" s="120">
        <v>4930</v>
      </c>
      <c r="BB749" s="120">
        <f t="shared" si="234"/>
        <v>25021</v>
      </c>
      <c r="BC749" t="s">
        <v>1472</v>
      </c>
      <c r="BD749">
        <f t="shared" si="231"/>
        <v>2504930</v>
      </c>
      <c r="BE749" s="66">
        <v>114</v>
      </c>
      <c r="BF749" s="66"/>
      <c r="BI749">
        <v>18.989999999999998</v>
      </c>
      <c r="BJ749">
        <v>0.49</v>
      </c>
      <c r="BK749">
        <v>18.5</v>
      </c>
      <c r="BQ749">
        <v>174</v>
      </c>
      <c r="BS749">
        <v>0</v>
      </c>
    </row>
    <row r="750" spans="1:71" hidden="1" outlineLevel="1">
      <c r="A750" s="64" t="s">
        <v>899</v>
      </c>
      <c r="B750" s="8" t="s">
        <v>1320</v>
      </c>
      <c r="C750" s="1">
        <f t="shared" si="223"/>
        <v>14475</v>
      </c>
      <c r="D750" s="5">
        <f>IF(N750&gt;0, RANK(N750,(N750:P750,Q750:AE750)),0)</f>
        <v>1</v>
      </c>
      <c r="E750" s="5">
        <f>IF(O750&gt;0,RANK(O750,(N750:P750,Q750:AE750)),0)</f>
        <v>2</v>
      </c>
      <c r="F750" s="5">
        <f t="shared" si="224"/>
        <v>6</v>
      </c>
      <c r="G750" s="1">
        <f t="shared" si="225"/>
        <v>7146</v>
      </c>
      <c r="H750" s="2">
        <f t="shared" si="232"/>
        <v>0.49367875647668391</v>
      </c>
      <c r="I750" s="6"/>
      <c r="J750" s="2">
        <f t="shared" si="226"/>
        <v>0.70825561312607943</v>
      </c>
      <c r="K750" s="2">
        <f t="shared" si="227"/>
        <v>0.21457685664939552</v>
      </c>
      <c r="L750" s="2">
        <f t="shared" si="228"/>
        <v>4.7668393782383418E-3</v>
      </c>
      <c r="M750" s="2">
        <f t="shared" si="229"/>
        <v>7.2400690846286711E-2</v>
      </c>
      <c r="N750" s="63">
        <v>10252</v>
      </c>
      <c r="O750" s="63">
        <v>3106</v>
      </c>
      <c r="P750" s="63">
        <v>69</v>
      </c>
      <c r="Q750" s="63">
        <v>561</v>
      </c>
      <c r="R750" s="63">
        <v>237</v>
      </c>
      <c r="S750" s="63"/>
      <c r="T750" s="63"/>
      <c r="U750" s="63"/>
      <c r="V750" s="63"/>
      <c r="W750" s="63">
        <f t="shared" si="230"/>
        <v>250</v>
      </c>
      <c r="X750" s="63"/>
      <c r="Y750" s="63"/>
      <c r="Z750" s="63"/>
      <c r="AA750" s="63">
        <v>0</v>
      </c>
      <c r="AB750" s="63"/>
      <c r="AE750" s="8">
        <v>0</v>
      </c>
      <c r="AT750" t="str">
        <f t="shared" si="233"/>
        <v>Belmont</v>
      </c>
      <c r="AU750" t="s">
        <v>503</v>
      </c>
      <c r="AV750">
        <v>5</v>
      </c>
      <c r="AX750" s="114">
        <v>25</v>
      </c>
      <c r="AY750" s="116">
        <v>17</v>
      </c>
      <c r="AZ750" s="116">
        <v>35</v>
      </c>
      <c r="BA750" s="120">
        <v>5070</v>
      </c>
      <c r="BB750" s="120">
        <f t="shared" si="234"/>
        <v>25017</v>
      </c>
      <c r="BC750" t="s">
        <v>1472</v>
      </c>
      <c r="BD750">
        <f t="shared" si="231"/>
        <v>2505070</v>
      </c>
      <c r="BE750" s="66">
        <v>216</v>
      </c>
      <c r="BF750" s="66"/>
      <c r="BI750">
        <v>4.71</v>
      </c>
      <c r="BJ750">
        <v>0.05</v>
      </c>
      <c r="BK750">
        <v>4.66</v>
      </c>
      <c r="BQ750">
        <v>250</v>
      </c>
      <c r="BS750">
        <v>0</v>
      </c>
    </row>
    <row r="751" spans="1:71" hidden="1" outlineLevel="1">
      <c r="A751" s="64" t="s">
        <v>1309</v>
      </c>
      <c r="B751" s="8" t="s">
        <v>1320</v>
      </c>
      <c r="C751" s="1">
        <f t="shared" si="223"/>
        <v>3637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 t="shared" si="224"/>
        <v>0</v>
      </c>
      <c r="G751" s="1">
        <f t="shared" si="225"/>
        <v>471</v>
      </c>
      <c r="H751" s="2">
        <f t="shared" si="232"/>
        <v>0.12950233709100908</v>
      </c>
      <c r="I751" s="6"/>
      <c r="J751" s="2">
        <f t="shared" si="226"/>
        <v>0.40005499037668407</v>
      </c>
      <c r="K751" s="2">
        <f t="shared" si="227"/>
        <v>0.52955732746769313</v>
      </c>
      <c r="L751" s="2">
        <f t="shared" si="228"/>
        <v>0</v>
      </c>
      <c r="M751" s="2">
        <f t="shared" si="229"/>
        <v>7.0387682155622744E-2</v>
      </c>
      <c r="N751" s="63">
        <v>1455</v>
      </c>
      <c r="O751" s="63">
        <v>1926</v>
      </c>
      <c r="P751" s="63">
        <v>0</v>
      </c>
      <c r="Q751" s="63">
        <v>149</v>
      </c>
      <c r="R751" s="63">
        <v>51</v>
      </c>
      <c r="S751" s="63"/>
      <c r="T751" s="63"/>
      <c r="U751" s="63"/>
      <c r="V751" s="63"/>
      <c r="W751" s="63">
        <f t="shared" si="230"/>
        <v>56</v>
      </c>
      <c r="X751" s="63"/>
      <c r="Y751" s="63"/>
      <c r="Z751" s="63"/>
      <c r="AA751" s="63">
        <v>0</v>
      </c>
      <c r="AB751" s="63"/>
      <c r="AE751" s="8">
        <v>0</v>
      </c>
      <c r="AT751" t="str">
        <f t="shared" si="233"/>
        <v>Berkley</v>
      </c>
      <c r="AU751" t="s">
        <v>2215</v>
      </c>
      <c r="AV751">
        <v>4</v>
      </c>
      <c r="AX751" s="114">
        <v>25</v>
      </c>
      <c r="AY751" s="116">
        <v>5</v>
      </c>
      <c r="AZ751" s="116">
        <v>15</v>
      </c>
      <c r="BA751" s="120">
        <v>5280</v>
      </c>
      <c r="BB751" s="120">
        <f t="shared" si="234"/>
        <v>25005</v>
      </c>
      <c r="BC751" t="s">
        <v>1472</v>
      </c>
      <c r="BD751">
        <f t="shared" si="231"/>
        <v>2505280</v>
      </c>
      <c r="BE751" s="66">
        <v>42</v>
      </c>
      <c r="BF751" s="66"/>
      <c r="BI751">
        <v>17.36</v>
      </c>
      <c r="BJ751">
        <v>0.82</v>
      </c>
      <c r="BK751">
        <v>16.54</v>
      </c>
      <c r="BQ751">
        <v>56</v>
      </c>
      <c r="BS751">
        <v>0</v>
      </c>
    </row>
    <row r="752" spans="1:71" hidden="1" outlineLevel="1">
      <c r="A752" s="64" t="s">
        <v>364</v>
      </c>
      <c r="B752" s="8" t="s">
        <v>1320</v>
      </c>
      <c r="C752" s="1">
        <f t="shared" si="223"/>
        <v>1939</v>
      </c>
      <c r="D752" s="5">
        <f>IF(N752&gt;0, RANK(N752,(N752:P752,Q752:AE752)),0)</f>
        <v>1</v>
      </c>
      <c r="E752" s="5">
        <f>IF(O752&gt;0,RANK(O752,(N752:P752,Q752:AE752)),0)</f>
        <v>2</v>
      </c>
      <c r="F752" s="5">
        <f t="shared" si="224"/>
        <v>6</v>
      </c>
      <c r="G752" s="1">
        <f t="shared" si="225"/>
        <v>264</v>
      </c>
      <c r="H752" s="2">
        <f t="shared" si="232"/>
        <v>0.13615265600825169</v>
      </c>
      <c r="I752" s="6"/>
      <c r="J752" s="2">
        <f t="shared" si="226"/>
        <v>0.52037132542547704</v>
      </c>
      <c r="K752" s="2">
        <f t="shared" si="227"/>
        <v>0.38421866941722538</v>
      </c>
      <c r="L752" s="2">
        <f t="shared" si="228"/>
        <v>1.5471892728210418E-3</v>
      </c>
      <c r="M752" s="2">
        <f t="shared" si="229"/>
        <v>9.3862815884476536E-2</v>
      </c>
      <c r="N752" s="63">
        <v>1009</v>
      </c>
      <c r="O752" s="63">
        <v>745</v>
      </c>
      <c r="P752" s="63">
        <v>3</v>
      </c>
      <c r="Q752" s="63">
        <v>124</v>
      </c>
      <c r="R752" s="63">
        <v>38</v>
      </c>
      <c r="S752" s="63"/>
      <c r="T752" s="63"/>
      <c r="U752" s="63"/>
      <c r="V752" s="63"/>
      <c r="W752" s="63">
        <f t="shared" si="230"/>
        <v>20</v>
      </c>
      <c r="X752" s="63"/>
      <c r="Y752" s="63"/>
      <c r="Z752" s="63"/>
      <c r="AA752" s="63">
        <v>0</v>
      </c>
      <c r="AB752" s="63"/>
      <c r="AE752" s="8">
        <v>0</v>
      </c>
      <c r="AT752" t="str">
        <f t="shared" si="233"/>
        <v>Berlin</v>
      </c>
      <c r="AU752" s="8" t="s">
        <v>1774</v>
      </c>
      <c r="AV752">
        <v>3</v>
      </c>
      <c r="AX752" s="114">
        <v>25</v>
      </c>
      <c r="AY752" s="116">
        <v>27</v>
      </c>
      <c r="AZ752" s="116">
        <v>25</v>
      </c>
      <c r="BA752" s="120">
        <v>5490</v>
      </c>
      <c r="BB752" s="120">
        <f t="shared" si="234"/>
        <v>25027</v>
      </c>
      <c r="BC752" t="s">
        <v>1472</v>
      </c>
      <c r="BD752">
        <f t="shared" si="231"/>
        <v>2505490</v>
      </c>
      <c r="BE752" s="66">
        <v>27</v>
      </c>
      <c r="BF752" s="66"/>
      <c r="BI752">
        <v>13.09</v>
      </c>
      <c r="BJ752">
        <v>0.16</v>
      </c>
      <c r="BK752">
        <v>12.93</v>
      </c>
      <c r="BQ752">
        <v>20</v>
      </c>
      <c r="BS752">
        <v>0</v>
      </c>
    </row>
    <row r="753" spans="1:71" hidden="1" outlineLevel="1">
      <c r="A753" s="64" t="s">
        <v>2361</v>
      </c>
      <c r="B753" s="8" t="s">
        <v>1320</v>
      </c>
      <c r="C753" s="1">
        <f t="shared" si="223"/>
        <v>1228</v>
      </c>
      <c r="D753" s="5">
        <f>IF(N753&gt;0, RANK(N753,(N753:P753,Q753:AE753)),0)</f>
        <v>1</v>
      </c>
      <c r="E753" s="5">
        <f>IF(O753&gt;0,RANK(O753,(N753:P753,Q753:AE753)),0)</f>
        <v>2</v>
      </c>
      <c r="F753" s="5">
        <f t="shared" si="224"/>
        <v>0</v>
      </c>
      <c r="G753" s="1">
        <f t="shared" si="225"/>
        <v>329</v>
      </c>
      <c r="H753" s="2">
        <f t="shared" si="232"/>
        <v>0.26791530944625408</v>
      </c>
      <c r="I753" s="6"/>
      <c r="J753" s="2">
        <f t="shared" si="226"/>
        <v>0.57899022801302935</v>
      </c>
      <c r="K753" s="2">
        <f t="shared" si="227"/>
        <v>0.31107491856677527</v>
      </c>
      <c r="L753" s="2">
        <f t="shared" si="228"/>
        <v>0</v>
      </c>
      <c r="M753" s="2">
        <f t="shared" si="229"/>
        <v>0.10993485342019538</v>
      </c>
      <c r="N753" s="63">
        <v>711</v>
      </c>
      <c r="O753" s="63">
        <v>382</v>
      </c>
      <c r="P753" s="63">
        <v>0</v>
      </c>
      <c r="Q753" s="63">
        <v>81</v>
      </c>
      <c r="R753" s="63">
        <v>27</v>
      </c>
      <c r="S753" s="63"/>
      <c r="T753" s="63"/>
      <c r="U753" s="63"/>
      <c r="V753" s="63"/>
      <c r="W753" s="63">
        <f t="shared" si="230"/>
        <v>27</v>
      </c>
      <c r="X753" s="63"/>
      <c r="Y753" s="63"/>
      <c r="Z753" s="63"/>
      <c r="AA753" s="63">
        <v>0</v>
      </c>
      <c r="AB753" s="63"/>
      <c r="AE753" s="8">
        <v>0</v>
      </c>
      <c r="AT753" t="str">
        <f t="shared" si="233"/>
        <v>Bernardston</v>
      </c>
      <c r="AU753" t="s">
        <v>1138</v>
      </c>
      <c r="AV753">
        <v>1</v>
      </c>
      <c r="AX753" s="114">
        <v>25</v>
      </c>
      <c r="AY753" s="116">
        <v>11</v>
      </c>
      <c r="AZ753" s="116">
        <v>10</v>
      </c>
      <c r="BA753" s="120">
        <v>5560</v>
      </c>
      <c r="BB753" s="120">
        <f t="shared" si="234"/>
        <v>25011</v>
      </c>
      <c r="BC753" t="s">
        <v>1472</v>
      </c>
      <c r="BD753">
        <f t="shared" si="231"/>
        <v>2505560</v>
      </c>
      <c r="BE753" s="66">
        <v>16</v>
      </c>
      <c r="BF753" s="66"/>
      <c r="BI753">
        <v>23.41</v>
      </c>
      <c r="BJ753">
        <v>0</v>
      </c>
      <c r="BK753">
        <v>23.41</v>
      </c>
      <c r="BQ753">
        <v>27</v>
      </c>
      <c r="BS753">
        <v>0</v>
      </c>
    </row>
    <row r="754" spans="1:71" hidden="1" outlineLevel="1">
      <c r="A754" s="64" t="s">
        <v>2346</v>
      </c>
      <c r="B754" s="8" t="s">
        <v>1320</v>
      </c>
      <c r="C754" s="1">
        <f t="shared" si="223"/>
        <v>21951</v>
      </c>
      <c r="D754" s="5">
        <f>IF(N754&gt;0, RANK(N754,(N754:P754,Q754:AE754)),0)</f>
        <v>1</v>
      </c>
      <c r="E754" s="5">
        <f>IF(O754&gt;0,RANK(O754,(N754:P754,Q754:AE754)),0)</f>
        <v>2</v>
      </c>
      <c r="F754" s="5">
        <f t="shared" si="224"/>
        <v>6</v>
      </c>
      <c r="G754" s="1">
        <f t="shared" si="225"/>
        <v>6281</v>
      </c>
      <c r="H754" s="2">
        <f t="shared" si="232"/>
        <v>0.28613730581750263</v>
      </c>
      <c r="I754" s="6"/>
      <c r="J754" s="2">
        <f t="shared" si="226"/>
        <v>0.60065600656006557</v>
      </c>
      <c r="K754" s="2">
        <f t="shared" si="227"/>
        <v>0.314518700742563</v>
      </c>
      <c r="L754" s="2">
        <f t="shared" si="228"/>
        <v>3.1433647669810031E-3</v>
      </c>
      <c r="M754" s="2">
        <f t="shared" si="229"/>
        <v>8.1681927930390433E-2</v>
      </c>
      <c r="N754" s="63">
        <v>13185</v>
      </c>
      <c r="O754" s="63">
        <v>6904</v>
      </c>
      <c r="P754" s="63">
        <v>69</v>
      </c>
      <c r="Q754" s="63">
        <v>1142</v>
      </c>
      <c r="R754" s="63">
        <v>332</v>
      </c>
      <c r="S754" s="63"/>
      <c r="T754" s="63"/>
      <c r="U754" s="63"/>
      <c r="V754" s="63"/>
      <c r="W754" s="63">
        <f t="shared" si="230"/>
        <v>319</v>
      </c>
      <c r="X754" s="63"/>
      <c r="Y754" s="63"/>
      <c r="Z754" s="63"/>
      <c r="AA754" s="63">
        <v>0</v>
      </c>
      <c r="AB754" s="63"/>
      <c r="AE754" s="8">
        <v>0</v>
      </c>
      <c r="AT754" t="str">
        <f t="shared" si="233"/>
        <v>Beverly</v>
      </c>
      <c r="AU754" t="s">
        <v>842</v>
      </c>
      <c r="AV754">
        <v>6</v>
      </c>
      <c r="AX754" s="114">
        <v>25</v>
      </c>
      <c r="AY754" s="116">
        <v>9</v>
      </c>
      <c r="AZ754" s="116">
        <v>15</v>
      </c>
      <c r="BA754" s="120">
        <v>5595</v>
      </c>
      <c r="BB754" s="120">
        <f t="shared" si="234"/>
        <v>25009</v>
      </c>
      <c r="BC754" t="s">
        <v>1249</v>
      </c>
      <c r="BD754">
        <f t="shared" si="231"/>
        <v>2505595</v>
      </c>
      <c r="BE754" s="66">
        <v>462</v>
      </c>
      <c r="BF754" s="66"/>
      <c r="BI754">
        <v>22.74</v>
      </c>
      <c r="BJ754">
        <v>6.14</v>
      </c>
      <c r="BK754">
        <v>16.600000000000001</v>
      </c>
      <c r="BQ754">
        <v>319</v>
      </c>
      <c r="BS754">
        <v>0</v>
      </c>
    </row>
    <row r="755" spans="1:71" hidden="1" outlineLevel="1">
      <c r="A755" s="64" t="s">
        <v>2802</v>
      </c>
      <c r="B755" s="8" t="s">
        <v>1320</v>
      </c>
      <c r="C755" s="1">
        <f t="shared" si="223"/>
        <v>22082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 t="shared" si="224"/>
        <v>0</v>
      </c>
      <c r="G755" s="1">
        <f t="shared" si="225"/>
        <v>219</v>
      </c>
      <c r="H755" s="2">
        <f t="shared" si="232"/>
        <v>9.9175799293542248E-3</v>
      </c>
      <c r="I755" s="6"/>
      <c r="J755" s="2">
        <f t="shared" si="226"/>
        <v>0.45738610633094828</v>
      </c>
      <c r="K755" s="2">
        <f t="shared" si="227"/>
        <v>0.4673036862603025</v>
      </c>
      <c r="L755" s="2">
        <f t="shared" si="228"/>
        <v>0</v>
      </c>
      <c r="M755" s="2">
        <f t="shared" si="229"/>
        <v>7.5310207408749164E-2</v>
      </c>
      <c r="N755" s="63">
        <v>10100</v>
      </c>
      <c r="O755" s="63">
        <v>10319</v>
      </c>
      <c r="P755" s="63">
        <v>0</v>
      </c>
      <c r="Q755" s="63">
        <v>976</v>
      </c>
      <c r="R755" s="63">
        <v>264</v>
      </c>
      <c r="S755" s="63"/>
      <c r="T755" s="63"/>
      <c r="U755" s="63"/>
      <c r="V755" s="63"/>
      <c r="W755" s="63">
        <f t="shared" si="230"/>
        <v>423</v>
      </c>
      <c r="X755" s="63"/>
      <c r="Y755" s="63"/>
      <c r="Z755" s="63"/>
      <c r="AA755" s="63">
        <v>0</v>
      </c>
      <c r="AB755" s="63"/>
      <c r="AE755" s="8">
        <v>0</v>
      </c>
      <c r="AT755" t="str">
        <f t="shared" si="233"/>
        <v>Billerica</v>
      </c>
      <c r="AU755" t="s">
        <v>503</v>
      </c>
      <c r="AV755">
        <v>6</v>
      </c>
      <c r="AX755" s="114">
        <v>25</v>
      </c>
      <c r="AY755" s="116">
        <v>17</v>
      </c>
      <c r="AZ755" s="116">
        <v>40</v>
      </c>
      <c r="BA755" s="120">
        <v>5805</v>
      </c>
      <c r="BB755" s="120">
        <f t="shared" si="234"/>
        <v>25017</v>
      </c>
      <c r="BC755" t="s">
        <v>1472</v>
      </c>
      <c r="BD755">
        <f t="shared" si="231"/>
        <v>2505805</v>
      </c>
      <c r="BE755" s="66">
        <v>276</v>
      </c>
      <c r="BF755" s="66"/>
      <c r="BI755">
        <v>26.38</v>
      </c>
      <c r="BJ755">
        <v>0.5</v>
      </c>
      <c r="BK755">
        <v>25.89</v>
      </c>
      <c r="BQ755">
        <v>423</v>
      </c>
      <c r="BS755">
        <v>0</v>
      </c>
    </row>
    <row r="756" spans="1:71" hidden="1" outlineLevel="1">
      <c r="A756" s="64" t="s">
        <v>2612</v>
      </c>
      <c r="B756" s="8" t="s">
        <v>1320</v>
      </c>
      <c r="C756" s="1">
        <f t="shared" si="223"/>
        <v>4545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 t="shared" si="224"/>
        <v>6</v>
      </c>
      <c r="G756" s="1">
        <f t="shared" si="225"/>
        <v>477</v>
      </c>
      <c r="H756" s="2">
        <f t="shared" si="232"/>
        <v>0.10495049504950495</v>
      </c>
      <c r="I756" s="6"/>
      <c r="J756" s="2">
        <f t="shared" si="226"/>
        <v>0.40704070407040704</v>
      </c>
      <c r="K756" s="2">
        <f t="shared" si="227"/>
        <v>0.51199119911991198</v>
      </c>
      <c r="L756" s="2">
        <f t="shared" si="228"/>
        <v>1.3201320132013201E-3</v>
      </c>
      <c r="M756" s="2">
        <f t="shared" si="229"/>
        <v>7.9647964796479662E-2</v>
      </c>
      <c r="N756" s="63">
        <v>1850</v>
      </c>
      <c r="O756" s="63">
        <v>2327</v>
      </c>
      <c r="P756" s="63">
        <v>6</v>
      </c>
      <c r="Q756" s="63">
        <v>254</v>
      </c>
      <c r="R756" s="63">
        <v>59</v>
      </c>
      <c r="S756" s="63"/>
      <c r="T756" s="63"/>
      <c r="U756" s="63"/>
      <c r="V756" s="63"/>
      <c r="W756" s="63">
        <f t="shared" si="230"/>
        <v>49</v>
      </c>
      <c r="X756" s="63"/>
      <c r="Y756" s="63"/>
      <c r="Z756" s="63"/>
      <c r="AA756" s="63">
        <v>0</v>
      </c>
      <c r="AB756" s="63"/>
      <c r="AE756" s="8">
        <v>0</v>
      </c>
      <c r="AT756" t="str">
        <f t="shared" si="233"/>
        <v>Blackstone</v>
      </c>
      <c r="AU756" s="8" t="s">
        <v>1774</v>
      </c>
      <c r="AV756">
        <v>2</v>
      </c>
      <c r="AX756" s="114">
        <v>25</v>
      </c>
      <c r="AY756" s="116">
        <v>27</v>
      </c>
      <c r="AZ756" s="116">
        <v>30</v>
      </c>
      <c r="BA756" s="120">
        <v>6015</v>
      </c>
      <c r="BB756" s="120">
        <f t="shared" si="234"/>
        <v>25027</v>
      </c>
      <c r="BC756" t="s">
        <v>1472</v>
      </c>
      <c r="BD756">
        <f t="shared" si="231"/>
        <v>2506015</v>
      </c>
      <c r="BE756" s="66">
        <v>78</v>
      </c>
      <c r="BF756" s="66"/>
      <c r="BI756">
        <v>11.23</v>
      </c>
      <c r="BJ756">
        <v>0.33</v>
      </c>
      <c r="BK756">
        <v>10.9</v>
      </c>
      <c r="BQ756">
        <v>49</v>
      </c>
      <c r="BS756">
        <v>0</v>
      </c>
    </row>
    <row r="757" spans="1:71" hidden="1" outlineLevel="1">
      <c r="A757" s="64" t="s">
        <v>2825</v>
      </c>
      <c r="B757" s="8" t="s">
        <v>1320</v>
      </c>
      <c r="C757" s="1">
        <f t="shared" si="223"/>
        <v>707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 t="shared" si="224"/>
        <v>6</v>
      </c>
      <c r="G757" s="1">
        <f t="shared" si="225"/>
        <v>149</v>
      </c>
      <c r="H757" s="2">
        <f t="shared" si="232"/>
        <v>0.21074964639321075</v>
      </c>
      <c r="I757" s="6"/>
      <c r="J757" s="2">
        <f t="shared" si="226"/>
        <v>0.36209335219236211</v>
      </c>
      <c r="K757" s="2">
        <f t="shared" si="227"/>
        <v>0.57284299858557286</v>
      </c>
      <c r="L757" s="2">
        <f t="shared" si="228"/>
        <v>2.828854314002829E-3</v>
      </c>
      <c r="M757" s="2">
        <f t="shared" si="229"/>
        <v>6.2234794908062149E-2</v>
      </c>
      <c r="N757" s="63">
        <v>256</v>
      </c>
      <c r="O757" s="63">
        <v>405</v>
      </c>
      <c r="P757" s="63">
        <v>2</v>
      </c>
      <c r="Q757" s="63">
        <v>28</v>
      </c>
      <c r="R757" s="63">
        <v>8</v>
      </c>
      <c r="S757" s="63"/>
      <c r="T757" s="63"/>
      <c r="U757" s="63"/>
      <c r="V757" s="63"/>
      <c r="W757" s="63">
        <f t="shared" si="230"/>
        <v>8</v>
      </c>
      <c r="X757" s="63"/>
      <c r="Y757" s="63"/>
      <c r="Z757" s="63"/>
      <c r="AA757" s="63">
        <v>0</v>
      </c>
      <c r="AB757" s="63"/>
      <c r="AE757" s="8">
        <v>0</v>
      </c>
      <c r="AT757" t="str">
        <f t="shared" si="233"/>
        <v>Blandford</v>
      </c>
      <c r="AU757" t="s">
        <v>2852</v>
      </c>
      <c r="AV757">
        <v>1</v>
      </c>
      <c r="AX757" s="114">
        <v>25</v>
      </c>
      <c r="AY757" s="116">
        <v>13</v>
      </c>
      <c r="AZ757" s="116">
        <v>10</v>
      </c>
      <c r="BA757" s="120">
        <v>6085</v>
      </c>
      <c r="BB757" s="120">
        <f t="shared" si="234"/>
        <v>25013</v>
      </c>
      <c r="BC757" t="s">
        <v>1472</v>
      </c>
      <c r="BD757">
        <f t="shared" si="231"/>
        <v>2506085</v>
      </c>
      <c r="BE757" s="66">
        <v>10</v>
      </c>
      <c r="BF757" s="66"/>
      <c r="BI757">
        <v>53.55</v>
      </c>
      <c r="BJ757">
        <v>1.81</v>
      </c>
      <c r="BK757">
        <v>51.74</v>
      </c>
      <c r="BQ757">
        <v>8</v>
      </c>
      <c r="BS757">
        <v>0</v>
      </c>
    </row>
    <row r="758" spans="1:71" hidden="1" outlineLevel="1">
      <c r="A758" s="64" t="s">
        <v>55</v>
      </c>
      <c r="B758" s="8" t="s">
        <v>1320</v>
      </c>
      <c r="C758" s="1">
        <f t="shared" si="223"/>
        <v>3292</v>
      </c>
      <c r="D758" s="5">
        <f>IF(N758&gt;0, RANK(N758,(N758:P758,Q758:AE758)),0)</f>
        <v>1</v>
      </c>
      <c r="E758" s="5">
        <f>IF(O758&gt;0,RANK(O758,(N758:P758,Q758:AE758)),0)</f>
        <v>2</v>
      </c>
      <c r="F758" s="5">
        <f t="shared" si="224"/>
        <v>6</v>
      </c>
      <c r="G758" s="1">
        <f t="shared" si="225"/>
        <v>855</v>
      </c>
      <c r="H758" s="2">
        <f t="shared" si="232"/>
        <v>0.25972053462940464</v>
      </c>
      <c r="I758" s="6"/>
      <c r="J758" s="2">
        <f t="shared" si="226"/>
        <v>0.57442284325637905</v>
      </c>
      <c r="K758" s="2">
        <f t="shared" si="227"/>
        <v>0.31470230862697446</v>
      </c>
      <c r="L758" s="2">
        <f t="shared" si="228"/>
        <v>4.2527339003645198E-3</v>
      </c>
      <c r="M758" s="2">
        <f t="shared" si="229"/>
        <v>0.10662211421628198</v>
      </c>
      <c r="N758" s="63">
        <v>1891</v>
      </c>
      <c r="O758" s="63">
        <v>1036</v>
      </c>
      <c r="P758" s="63">
        <v>14</v>
      </c>
      <c r="Q758" s="63">
        <v>230</v>
      </c>
      <c r="R758" s="63">
        <v>54</v>
      </c>
      <c r="S758" s="63"/>
      <c r="T758" s="63"/>
      <c r="U758" s="63"/>
      <c r="V758" s="63"/>
      <c r="W758" s="63">
        <f t="shared" si="230"/>
        <v>67</v>
      </c>
      <c r="X758" s="63"/>
      <c r="Y758" s="63"/>
      <c r="Z758" s="63"/>
      <c r="AA758" s="63">
        <v>0</v>
      </c>
      <c r="AB758" s="63"/>
      <c r="AE758" s="8">
        <v>0</v>
      </c>
      <c r="AT758" t="str">
        <f t="shared" si="233"/>
        <v>Bolton</v>
      </c>
      <c r="AU758" s="8" t="s">
        <v>1774</v>
      </c>
      <c r="AV758">
        <v>3</v>
      </c>
      <c r="AX758" s="114">
        <v>25</v>
      </c>
      <c r="AY758" s="116">
        <v>27</v>
      </c>
      <c r="AZ758" s="116">
        <v>35</v>
      </c>
      <c r="BA758" s="120">
        <v>6365</v>
      </c>
      <c r="BB758" s="120">
        <f t="shared" si="234"/>
        <v>25027</v>
      </c>
      <c r="BC758" t="s">
        <v>1472</v>
      </c>
      <c r="BD758">
        <f t="shared" si="231"/>
        <v>2506365</v>
      </c>
      <c r="BE758" s="66">
        <v>53</v>
      </c>
      <c r="BF758" s="66"/>
      <c r="BI758">
        <v>20</v>
      </c>
      <c r="BJ758">
        <v>7.0000000000000007E-2</v>
      </c>
      <c r="BK758">
        <v>19.93</v>
      </c>
      <c r="BQ758">
        <v>67</v>
      </c>
      <c r="BS758">
        <v>0</v>
      </c>
    </row>
    <row r="759" spans="1:71" hidden="1" outlineLevel="1">
      <c r="A759" s="64" t="s">
        <v>3067</v>
      </c>
      <c r="B759" s="8" t="s">
        <v>1320</v>
      </c>
      <c r="C759" s="1">
        <f t="shared" si="223"/>
        <v>274429</v>
      </c>
      <c r="D759" s="5">
        <f>IF(N759&gt;0, RANK(N759,(N759:P759,Q759:AE759)),0)</f>
        <v>1</v>
      </c>
      <c r="E759" s="5">
        <f>IF(O759&gt;0,RANK(O759,(N759:P759,Q759:AE759)),0)</f>
        <v>2</v>
      </c>
      <c r="F759" s="5">
        <f t="shared" si="224"/>
        <v>6</v>
      </c>
      <c r="G759" s="1">
        <f t="shared" si="225"/>
        <v>183006</v>
      </c>
      <c r="H759" s="2">
        <f t="shared" si="232"/>
        <v>0.6668610095871792</v>
      </c>
      <c r="I759" s="6"/>
      <c r="J759" s="2">
        <f t="shared" si="226"/>
        <v>0.80564736234144352</v>
      </c>
      <c r="K759" s="2">
        <f t="shared" si="227"/>
        <v>0.13878635275426432</v>
      </c>
      <c r="L759" s="2">
        <f t="shared" si="228"/>
        <v>3.8625655451865508E-4</v>
      </c>
      <c r="M759" s="2">
        <f t="shared" si="229"/>
        <v>5.5180028349773508E-2</v>
      </c>
      <c r="N759" s="63">
        <v>221093</v>
      </c>
      <c r="O759" s="63">
        <v>38087</v>
      </c>
      <c r="P759" s="63">
        <v>106</v>
      </c>
      <c r="Q759" s="63">
        <v>7025</v>
      </c>
      <c r="R759" s="63">
        <v>3969</v>
      </c>
      <c r="S759" s="63"/>
      <c r="T759" s="63"/>
      <c r="U759" s="63"/>
      <c r="V759" s="63"/>
      <c r="W759" s="63">
        <f t="shared" si="230"/>
        <v>4147</v>
      </c>
      <c r="X759" s="63"/>
      <c r="Y759" s="63"/>
      <c r="Z759" s="63"/>
      <c r="AA759" s="63">
        <v>2</v>
      </c>
      <c r="AB759" s="63"/>
      <c r="AE759" s="8">
        <v>0</v>
      </c>
      <c r="AT759" t="str">
        <f t="shared" si="233"/>
        <v>Boston</v>
      </c>
      <c r="AU759" t="s">
        <v>1468</v>
      </c>
      <c r="AX759" s="114">
        <v>25</v>
      </c>
      <c r="AY759" s="116">
        <v>25</v>
      </c>
      <c r="AZ759" s="116">
        <v>5</v>
      </c>
      <c r="BA759" s="120">
        <v>7000</v>
      </c>
      <c r="BB759" s="120">
        <f t="shared" si="234"/>
        <v>25025</v>
      </c>
      <c r="BC759" t="s">
        <v>1249</v>
      </c>
      <c r="BD759">
        <f t="shared" si="231"/>
        <v>2507000</v>
      </c>
      <c r="BE759" s="66">
        <v>2937</v>
      </c>
      <c r="BF759" s="66"/>
      <c r="BI759">
        <v>89.63</v>
      </c>
      <c r="BJ759">
        <v>41.21</v>
      </c>
      <c r="BK759">
        <v>48.43</v>
      </c>
      <c r="BQ759">
        <v>4147</v>
      </c>
      <c r="BS759">
        <v>0</v>
      </c>
    </row>
    <row r="760" spans="1:71" hidden="1" outlineLevel="1">
      <c r="A760" s="64" t="s">
        <v>3069</v>
      </c>
      <c r="B760" s="8" t="s">
        <v>1320</v>
      </c>
      <c r="C760" s="1">
        <f t="shared" si="223"/>
        <v>10866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 t="shared" si="224"/>
        <v>6</v>
      </c>
      <c r="G760" s="1">
        <f t="shared" si="225"/>
        <v>291</v>
      </c>
      <c r="H760" s="2">
        <f t="shared" si="232"/>
        <v>2.6780784097183877E-2</v>
      </c>
      <c r="I760" s="6"/>
      <c r="J760" s="2">
        <f t="shared" si="226"/>
        <v>0.4518682127737898</v>
      </c>
      <c r="K760" s="2">
        <f t="shared" si="227"/>
        <v>0.47864899687097368</v>
      </c>
      <c r="L760" s="2">
        <f t="shared" si="228"/>
        <v>3.6812074360390208E-4</v>
      </c>
      <c r="M760" s="2">
        <f t="shared" si="229"/>
        <v>6.9114669611632568E-2</v>
      </c>
      <c r="N760" s="63">
        <v>4910</v>
      </c>
      <c r="O760" s="63">
        <v>5201</v>
      </c>
      <c r="P760" s="63">
        <v>4</v>
      </c>
      <c r="Q760" s="63">
        <v>442</v>
      </c>
      <c r="R760" s="63">
        <v>129</v>
      </c>
      <c r="S760" s="63"/>
      <c r="T760" s="63"/>
      <c r="U760" s="63"/>
      <c r="V760" s="63"/>
      <c r="W760" s="63">
        <f t="shared" si="230"/>
        <v>180</v>
      </c>
      <c r="X760" s="63"/>
      <c r="Y760" s="63"/>
      <c r="Z760" s="63"/>
      <c r="AA760" s="63">
        <v>0</v>
      </c>
      <c r="AB760" s="63"/>
      <c r="AE760" s="8">
        <v>0</v>
      </c>
      <c r="AT760" t="str">
        <f t="shared" si="233"/>
        <v>Bourne</v>
      </c>
      <c r="AU760" t="s">
        <v>2411</v>
      </c>
      <c r="AV760">
        <v>9</v>
      </c>
      <c r="AX760" s="114">
        <v>25</v>
      </c>
      <c r="AY760" s="116">
        <v>1</v>
      </c>
      <c r="AZ760" s="116">
        <v>10</v>
      </c>
      <c r="BA760" s="120">
        <v>7175</v>
      </c>
      <c r="BB760" s="120">
        <f t="shared" si="234"/>
        <v>25001</v>
      </c>
      <c r="BC760" t="s">
        <v>1472</v>
      </c>
      <c r="BD760">
        <f t="shared" si="231"/>
        <v>2507175</v>
      </c>
      <c r="BE760" s="66">
        <v>169</v>
      </c>
      <c r="BF760" s="66"/>
      <c r="BI760">
        <v>52.81</v>
      </c>
      <c r="BJ760">
        <v>11.9</v>
      </c>
      <c r="BK760">
        <v>40.909999999999997</v>
      </c>
      <c r="BQ760">
        <v>180</v>
      </c>
      <c r="BS760">
        <v>0</v>
      </c>
    </row>
    <row r="761" spans="1:71" hidden="1" outlineLevel="1">
      <c r="A761" s="64" t="s">
        <v>2744</v>
      </c>
      <c r="B761" s="8" t="s">
        <v>1320</v>
      </c>
      <c r="C761" s="1">
        <f t="shared" si="223"/>
        <v>3026</v>
      </c>
      <c r="D761" s="5">
        <f>IF(N761&gt;0, RANK(N761,(N761:P761,Q761:AE761)),0)</f>
        <v>1</v>
      </c>
      <c r="E761" s="5">
        <f>IF(O761&gt;0,RANK(O761,(N761:P761,Q761:AE761)),0)</f>
        <v>2</v>
      </c>
      <c r="F761" s="5">
        <f t="shared" si="224"/>
        <v>6</v>
      </c>
      <c r="G761" s="1">
        <f t="shared" si="225"/>
        <v>1231</v>
      </c>
      <c r="H761" s="2">
        <f t="shared" si="232"/>
        <v>0.4068076668869795</v>
      </c>
      <c r="I761" s="6"/>
      <c r="J761" s="2">
        <f t="shared" si="226"/>
        <v>0.65664243225380037</v>
      </c>
      <c r="K761" s="2">
        <f t="shared" si="227"/>
        <v>0.24983476536682089</v>
      </c>
      <c r="L761" s="2">
        <f t="shared" si="228"/>
        <v>5.9484467944481163E-3</v>
      </c>
      <c r="M761" s="2">
        <f t="shared" si="229"/>
        <v>8.7574355584930624E-2</v>
      </c>
      <c r="N761" s="63">
        <v>1987</v>
      </c>
      <c r="O761" s="63">
        <v>756</v>
      </c>
      <c r="P761" s="63">
        <v>18</v>
      </c>
      <c r="Q761" s="63">
        <v>159</v>
      </c>
      <c r="R761" s="63">
        <v>36</v>
      </c>
      <c r="S761" s="63"/>
      <c r="T761" s="63"/>
      <c r="U761" s="63"/>
      <c r="V761" s="63"/>
      <c r="W761" s="63">
        <f t="shared" si="230"/>
        <v>70</v>
      </c>
      <c r="X761" s="63"/>
      <c r="Y761" s="63"/>
      <c r="Z761" s="63"/>
      <c r="AA761" s="63">
        <v>0</v>
      </c>
      <c r="AB761" s="63"/>
      <c r="AE761" s="8">
        <v>0</v>
      </c>
      <c r="AT761" t="str">
        <f t="shared" si="233"/>
        <v>Boxborough</v>
      </c>
      <c r="AU761" t="s">
        <v>503</v>
      </c>
      <c r="AV761">
        <v>3</v>
      </c>
      <c r="AX761" s="114">
        <v>25</v>
      </c>
      <c r="AY761" s="116">
        <v>17</v>
      </c>
      <c r="AZ761" s="116">
        <v>45</v>
      </c>
      <c r="BA761" s="120">
        <v>7350</v>
      </c>
      <c r="BB761" s="120">
        <f t="shared" si="234"/>
        <v>25017</v>
      </c>
      <c r="BC761" t="s">
        <v>1472</v>
      </c>
      <c r="BD761">
        <f t="shared" si="231"/>
        <v>2507350</v>
      </c>
      <c r="BE761" s="66">
        <v>43</v>
      </c>
      <c r="BF761" s="66"/>
      <c r="BI761">
        <v>10.41</v>
      </c>
      <c r="BJ761">
        <v>0.05</v>
      </c>
      <c r="BK761">
        <v>10.36</v>
      </c>
      <c r="BQ761">
        <v>70</v>
      </c>
      <c r="BS761">
        <v>0</v>
      </c>
    </row>
    <row r="762" spans="1:71" hidden="1" outlineLevel="1">
      <c r="A762" s="64" t="s">
        <v>1277</v>
      </c>
      <c r="B762" s="8" t="s">
        <v>1320</v>
      </c>
      <c r="C762" s="1">
        <f t="shared" si="223"/>
        <v>5120</v>
      </c>
      <c r="D762" s="5">
        <f>IF(N762&gt;0, RANK(N762,(N762:P762,Q762:AE762)),0)</f>
        <v>1</v>
      </c>
      <c r="E762" s="5">
        <f>IF(O762&gt;0,RANK(O762,(N762:P762,Q762:AE762)),0)</f>
        <v>2</v>
      </c>
      <c r="F762" s="5">
        <f t="shared" si="224"/>
        <v>0</v>
      </c>
      <c r="G762" s="1">
        <f t="shared" si="225"/>
        <v>260</v>
      </c>
      <c r="H762" s="2">
        <f t="shared" si="232"/>
        <v>5.078125E-2</v>
      </c>
      <c r="I762" s="6"/>
      <c r="J762" s="2">
        <f t="shared" si="226"/>
        <v>0.47929687500000001</v>
      </c>
      <c r="K762" s="2">
        <f t="shared" si="227"/>
        <v>0.42851562500000001</v>
      </c>
      <c r="L762" s="2">
        <f t="shared" si="228"/>
        <v>0</v>
      </c>
      <c r="M762" s="2">
        <f t="shared" si="229"/>
        <v>9.2187500000000033E-2</v>
      </c>
      <c r="N762" s="63">
        <v>2454</v>
      </c>
      <c r="O762" s="63">
        <v>2194</v>
      </c>
      <c r="P762" s="63">
        <v>0</v>
      </c>
      <c r="Q762" s="63">
        <v>297</v>
      </c>
      <c r="R762" s="63">
        <v>35</v>
      </c>
      <c r="S762" s="63"/>
      <c r="T762" s="63"/>
      <c r="U762" s="63"/>
      <c r="V762" s="63"/>
      <c r="W762" s="63">
        <f t="shared" si="230"/>
        <v>140</v>
      </c>
      <c r="X762" s="63"/>
      <c r="Y762" s="63"/>
      <c r="Z762" s="63"/>
      <c r="AA762" s="63">
        <v>0</v>
      </c>
      <c r="AB762" s="63"/>
      <c r="AE762" s="8">
        <v>0</v>
      </c>
      <c r="AT762" t="str">
        <f t="shared" si="233"/>
        <v>Boxford</v>
      </c>
      <c r="AU762" t="s">
        <v>842</v>
      </c>
      <c r="AV762">
        <v>6</v>
      </c>
      <c r="AX762" s="114">
        <v>25</v>
      </c>
      <c r="AY762" s="116">
        <v>9</v>
      </c>
      <c r="AZ762" s="116">
        <v>20</v>
      </c>
      <c r="BA762" s="120">
        <v>7420</v>
      </c>
      <c r="BB762" s="120">
        <f t="shared" si="234"/>
        <v>25009</v>
      </c>
      <c r="BC762" t="s">
        <v>1472</v>
      </c>
      <c r="BD762">
        <f t="shared" si="231"/>
        <v>2507420</v>
      </c>
      <c r="BE762" s="66">
        <v>88</v>
      </c>
      <c r="BF762" s="66"/>
      <c r="BI762">
        <v>24.57</v>
      </c>
      <c r="BJ762">
        <v>0.59</v>
      </c>
      <c r="BK762">
        <v>23.97</v>
      </c>
      <c r="BQ762">
        <v>140</v>
      </c>
      <c r="BS762">
        <v>0</v>
      </c>
    </row>
    <row r="763" spans="1:71" hidden="1" outlineLevel="1">
      <c r="A763" s="64" t="s">
        <v>2124</v>
      </c>
      <c r="B763" s="8" t="s">
        <v>1320</v>
      </c>
      <c r="C763" s="1">
        <f t="shared" si="223"/>
        <v>2816</v>
      </c>
      <c r="D763" s="5">
        <f>IF(N763&gt;0, RANK(N763,(N763:P763,Q763:AE763)),0)</f>
        <v>1</v>
      </c>
      <c r="E763" s="5">
        <f>IF(O763&gt;0,RANK(O763,(N763:P763,Q763:AE763)),0)</f>
        <v>2</v>
      </c>
      <c r="F763" s="5">
        <f t="shared" si="224"/>
        <v>0</v>
      </c>
      <c r="G763" s="1">
        <f t="shared" si="225"/>
        <v>299</v>
      </c>
      <c r="H763" s="2">
        <f t="shared" si="232"/>
        <v>0.10617897727272728</v>
      </c>
      <c r="I763" s="6"/>
      <c r="J763" s="2">
        <f t="shared" si="226"/>
        <v>0.50568181818181823</v>
      </c>
      <c r="K763" s="2">
        <f t="shared" si="227"/>
        <v>0.39950284090909088</v>
      </c>
      <c r="L763" s="2">
        <f t="shared" si="228"/>
        <v>0</v>
      </c>
      <c r="M763" s="2">
        <f t="shared" si="229"/>
        <v>9.4815340909090884E-2</v>
      </c>
      <c r="N763" s="63">
        <v>1424</v>
      </c>
      <c r="O763" s="63">
        <v>1125</v>
      </c>
      <c r="P763" s="63">
        <v>0</v>
      </c>
      <c r="Q763" s="63">
        <v>176</v>
      </c>
      <c r="R763" s="63">
        <v>35</v>
      </c>
      <c r="S763" s="63"/>
      <c r="T763" s="63"/>
      <c r="U763" s="63"/>
      <c r="V763" s="63"/>
      <c r="W763" s="63">
        <f t="shared" si="230"/>
        <v>56</v>
      </c>
      <c r="X763" s="63"/>
      <c r="Y763" s="63"/>
      <c r="Z763" s="63"/>
      <c r="AA763" s="63">
        <v>0</v>
      </c>
      <c r="AB763" s="63"/>
      <c r="AE763" s="8">
        <v>0</v>
      </c>
      <c r="AT763" t="str">
        <f t="shared" si="233"/>
        <v>Boylston</v>
      </c>
      <c r="AU763" s="8" t="s">
        <v>1774</v>
      </c>
      <c r="AV763">
        <v>2</v>
      </c>
      <c r="AX763" s="114">
        <v>25</v>
      </c>
      <c r="AY763" s="116">
        <v>27</v>
      </c>
      <c r="AZ763" s="116">
        <v>40</v>
      </c>
      <c r="BA763" s="120">
        <v>7525</v>
      </c>
      <c r="BB763" s="120">
        <f t="shared" si="234"/>
        <v>25027</v>
      </c>
      <c r="BC763" t="s">
        <v>1472</v>
      </c>
      <c r="BD763">
        <f t="shared" si="231"/>
        <v>2507525</v>
      </c>
      <c r="BE763" s="66">
        <v>45</v>
      </c>
      <c r="BF763" s="66"/>
      <c r="BI763">
        <v>19.68</v>
      </c>
      <c r="BJ763">
        <v>3.64</v>
      </c>
      <c r="BK763">
        <v>16.03</v>
      </c>
      <c r="BQ763">
        <v>56</v>
      </c>
      <c r="BS763">
        <v>0</v>
      </c>
    </row>
    <row r="764" spans="1:71" hidden="1" outlineLevel="1">
      <c r="A764" s="64" t="s">
        <v>240</v>
      </c>
      <c r="B764" s="8" t="s">
        <v>1320</v>
      </c>
      <c r="C764" s="1">
        <f t="shared" si="223"/>
        <v>20265</v>
      </c>
      <c r="D764" s="5">
        <f>IF(N764&gt;0, RANK(N764,(N764:P764,Q764:AE764)),0)</f>
        <v>1</v>
      </c>
      <c r="E764" s="5">
        <f>IF(O764&gt;0,RANK(O764,(N764:P764,Q764:AE764)),0)</f>
        <v>2</v>
      </c>
      <c r="F764" s="5">
        <f t="shared" si="224"/>
        <v>6</v>
      </c>
      <c r="G764" s="1">
        <f t="shared" si="225"/>
        <v>2042</v>
      </c>
      <c r="H764" s="2">
        <f t="shared" si="232"/>
        <v>0.10076486553170491</v>
      </c>
      <c r="I764" s="6"/>
      <c r="J764" s="2">
        <f t="shared" si="226"/>
        <v>0.51660498396249688</v>
      </c>
      <c r="K764" s="2">
        <f t="shared" si="227"/>
        <v>0.41584011843079199</v>
      </c>
      <c r="L764" s="2">
        <f t="shared" si="228"/>
        <v>4.9346163335800639E-5</v>
      </c>
      <c r="M764" s="2">
        <f t="shared" si="229"/>
        <v>6.7505551443375333E-2</v>
      </c>
      <c r="N764" s="63">
        <v>10469</v>
      </c>
      <c r="O764" s="63">
        <v>8427</v>
      </c>
      <c r="P764" s="63">
        <v>1</v>
      </c>
      <c r="Q764" s="63">
        <v>766</v>
      </c>
      <c r="R764" s="63">
        <v>216</v>
      </c>
      <c r="S764" s="63"/>
      <c r="T764" s="63"/>
      <c r="U764" s="63"/>
      <c r="V764" s="63"/>
      <c r="W764" s="63">
        <f t="shared" si="230"/>
        <v>386</v>
      </c>
      <c r="X764" s="63"/>
      <c r="Y764" s="63"/>
      <c r="Z764" s="63"/>
      <c r="AA764" s="63">
        <v>0</v>
      </c>
      <c r="AB764" s="63"/>
      <c r="AE764" s="8">
        <v>0</v>
      </c>
      <c r="AT764" t="str">
        <f t="shared" si="233"/>
        <v>Braintree</v>
      </c>
      <c r="AU764" t="s">
        <v>753</v>
      </c>
      <c r="AV764">
        <v>8</v>
      </c>
      <c r="AX764" s="114">
        <v>25</v>
      </c>
      <c r="AY764" s="116">
        <v>21</v>
      </c>
      <c r="AZ764" s="116">
        <v>15</v>
      </c>
      <c r="BA764" s="120">
        <v>7665</v>
      </c>
      <c r="BB764" s="120">
        <f t="shared" si="234"/>
        <v>25021</v>
      </c>
      <c r="BC764" t="s">
        <v>1472</v>
      </c>
      <c r="BD764">
        <f t="shared" si="231"/>
        <v>2507665</v>
      </c>
      <c r="BE764" s="66">
        <v>361</v>
      </c>
      <c r="BF764" s="66"/>
      <c r="BI764">
        <v>14.52</v>
      </c>
      <c r="BJ764">
        <v>0.63</v>
      </c>
      <c r="BK764">
        <v>13.9</v>
      </c>
      <c r="BQ764">
        <v>386</v>
      </c>
      <c r="BS764">
        <v>0</v>
      </c>
    </row>
    <row r="765" spans="1:71" hidden="1" outlineLevel="1">
      <c r="A765" s="64" t="s">
        <v>1779</v>
      </c>
      <c r="B765" s="8" t="s">
        <v>1320</v>
      </c>
      <c r="C765" s="1">
        <f t="shared" si="223"/>
        <v>6687</v>
      </c>
      <c r="D765" s="5">
        <f>IF(N765&gt;0, RANK(N765,(N765:P765,Q765:AE765)),0)</f>
        <v>1</v>
      </c>
      <c r="E765" s="5">
        <f>IF(O765&gt;0,RANK(O765,(N765:P765,Q765:AE765)),0)</f>
        <v>2</v>
      </c>
      <c r="F765" s="5">
        <f t="shared" si="224"/>
        <v>0</v>
      </c>
      <c r="G765" s="1">
        <f t="shared" si="225"/>
        <v>1443</v>
      </c>
      <c r="H765" s="2">
        <f t="shared" si="232"/>
        <v>0.2157918349035442</v>
      </c>
      <c r="I765" s="6"/>
      <c r="J765" s="2">
        <f t="shared" si="226"/>
        <v>0.5702108568864962</v>
      </c>
      <c r="K765" s="2">
        <f t="shared" si="227"/>
        <v>0.354419021982952</v>
      </c>
      <c r="L765" s="2">
        <f t="shared" si="228"/>
        <v>0</v>
      </c>
      <c r="M765" s="2">
        <f t="shared" si="229"/>
        <v>7.5370121130551804E-2</v>
      </c>
      <c r="N765" s="63">
        <v>3813</v>
      </c>
      <c r="O765" s="63">
        <v>2370</v>
      </c>
      <c r="P765" s="63">
        <v>0</v>
      </c>
      <c r="Q765" s="63">
        <v>297</v>
      </c>
      <c r="R765" s="63">
        <v>112</v>
      </c>
      <c r="S765" s="63"/>
      <c r="T765" s="63"/>
      <c r="U765" s="63"/>
      <c r="V765" s="63"/>
      <c r="W765" s="63">
        <f t="shared" si="230"/>
        <v>95</v>
      </c>
      <c r="X765" s="63"/>
      <c r="Y765" s="63"/>
      <c r="Z765" s="63"/>
      <c r="AA765" s="63">
        <v>0</v>
      </c>
      <c r="AB765" s="63"/>
      <c r="AE765" s="8">
        <v>0</v>
      </c>
      <c r="AT765" t="str">
        <f t="shared" si="233"/>
        <v>Brewster</v>
      </c>
      <c r="AU765" t="s">
        <v>2411</v>
      </c>
      <c r="AV765">
        <v>9</v>
      </c>
      <c r="AX765" s="114">
        <v>25</v>
      </c>
      <c r="AY765" s="116">
        <v>1</v>
      </c>
      <c r="AZ765" s="116">
        <v>15</v>
      </c>
      <c r="BA765" s="120">
        <v>7980</v>
      </c>
      <c r="BB765" s="120">
        <f t="shared" si="234"/>
        <v>25001</v>
      </c>
      <c r="BC765" t="s">
        <v>1472</v>
      </c>
      <c r="BD765">
        <f t="shared" si="231"/>
        <v>2507980</v>
      </c>
      <c r="BE765" s="66">
        <v>128</v>
      </c>
      <c r="BF765" s="66"/>
      <c r="BI765">
        <v>25.46</v>
      </c>
      <c r="BJ765">
        <v>2.4700000000000002</v>
      </c>
      <c r="BK765">
        <v>22.98</v>
      </c>
      <c r="BQ765">
        <v>95</v>
      </c>
      <c r="BS765">
        <v>0</v>
      </c>
    </row>
    <row r="766" spans="1:71" hidden="1" outlineLevel="1">
      <c r="A766" s="64" t="s">
        <v>804</v>
      </c>
      <c r="B766" s="8" t="s">
        <v>1320</v>
      </c>
      <c r="C766" s="1">
        <f t="shared" si="223"/>
        <v>12990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 t="shared" si="224"/>
        <v>0</v>
      </c>
      <c r="G766" s="1">
        <f t="shared" si="225"/>
        <v>543</v>
      </c>
      <c r="H766" s="2">
        <f t="shared" si="232"/>
        <v>4.1801385681293303E-2</v>
      </c>
      <c r="I766" s="6"/>
      <c r="J766" s="2">
        <f t="shared" si="226"/>
        <v>0.44018475750577368</v>
      </c>
      <c r="K766" s="2">
        <f t="shared" si="227"/>
        <v>0.48198614318706695</v>
      </c>
      <c r="L766" s="2">
        <f t="shared" si="228"/>
        <v>0</v>
      </c>
      <c r="M766" s="2">
        <f t="shared" si="229"/>
        <v>7.7829099307159366E-2</v>
      </c>
      <c r="N766" s="63">
        <v>5718</v>
      </c>
      <c r="O766" s="63">
        <v>6261</v>
      </c>
      <c r="P766" s="63">
        <v>0</v>
      </c>
      <c r="Q766" s="63">
        <v>624</v>
      </c>
      <c r="R766" s="63">
        <v>167</v>
      </c>
      <c r="S766" s="63"/>
      <c r="T766" s="63"/>
      <c r="U766" s="63"/>
      <c r="V766" s="63"/>
      <c r="W766" s="63">
        <f t="shared" si="230"/>
        <v>220</v>
      </c>
      <c r="X766" s="63"/>
      <c r="Y766" s="63"/>
      <c r="Z766" s="63"/>
      <c r="AA766" s="63">
        <v>0</v>
      </c>
      <c r="AB766" s="63"/>
      <c r="AE766" s="8">
        <v>0</v>
      </c>
      <c r="AT766" t="str">
        <f t="shared" si="233"/>
        <v>Bridgewater</v>
      </c>
      <c r="AU766" t="s">
        <v>231</v>
      </c>
      <c r="AV766">
        <v>8</v>
      </c>
      <c r="AX766" s="114">
        <v>25</v>
      </c>
      <c r="AY766" s="116">
        <v>23</v>
      </c>
      <c r="AZ766" s="116">
        <v>10</v>
      </c>
      <c r="BA766" s="120">
        <v>8085</v>
      </c>
      <c r="BB766" s="120">
        <f t="shared" si="234"/>
        <v>25023</v>
      </c>
      <c r="BC766" t="s">
        <v>1472</v>
      </c>
      <c r="BD766">
        <f t="shared" si="231"/>
        <v>2508085</v>
      </c>
      <c r="BE766" s="66">
        <v>150</v>
      </c>
      <c r="BF766" s="66"/>
      <c r="BI766">
        <v>28.23</v>
      </c>
      <c r="BJ766">
        <v>0.74</v>
      </c>
      <c r="BK766">
        <v>27.49</v>
      </c>
      <c r="BQ766">
        <v>220</v>
      </c>
      <c r="BS766">
        <v>0</v>
      </c>
    </row>
    <row r="767" spans="1:71" hidden="1" outlineLevel="1">
      <c r="A767" s="64" t="s">
        <v>3036</v>
      </c>
      <c r="B767" s="8" t="s">
        <v>1320</v>
      </c>
      <c r="C767" s="1">
        <f t="shared" si="223"/>
        <v>2078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 t="shared" si="224"/>
        <v>6</v>
      </c>
      <c r="G767" s="1">
        <f t="shared" si="225"/>
        <v>320</v>
      </c>
      <c r="H767" s="2">
        <f t="shared" si="232"/>
        <v>0.15399422521655437</v>
      </c>
      <c r="I767" s="6"/>
      <c r="J767" s="2">
        <f t="shared" si="226"/>
        <v>0.38161693936477381</v>
      </c>
      <c r="K767" s="2">
        <f t="shared" si="227"/>
        <v>0.53561116458132818</v>
      </c>
      <c r="L767" s="2">
        <f t="shared" si="228"/>
        <v>2.406159769008662E-3</v>
      </c>
      <c r="M767" s="2">
        <f t="shared" si="229"/>
        <v>8.0365736284889341E-2</v>
      </c>
      <c r="N767" s="63">
        <v>793</v>
      </c>
      <c r="O767" s="63">
        <v>1113</v>
      </c>
      <c r="P767" s="63">
        <v>5</v>
      </c>
      <c r="Q767" s="63">
        <v>117</v>
      </c>
      <c r="R767" s="63">
        <v>34</v>
      </c>
      <c r="S767" s="63"/>
      <c r="T767" s="63"/>
      <c r="U767" s="63"/>
      <c r="V767" s="63"/>
      <c r="W767" s="63">
        <f t="shared" si="230"/>
        <v>16</v>
      </c>
      <c r="X767" s="63"/>
      <c r="Y767" s="63"/>
      <c r="Z767" s="63"/>
      <c r="AA767" s="63">
        <v>0</v>
      </c>
      <c r="AB767" s="63"/>
      <c r="AE767" s="8">
        <v>0</v>
      </c>
      <c r="AT767" t="str">
        <f t="shared" si="233"/>
        <v>Brimfield</v>
      </c>
      <c r="AU767" t="s">
        <v>2852</v>
      </c>
      <c r="AV767">
        <v>1</v>
      </c>
      <c r="AX767" s="114">
        <v>25</v>
      </c>
      <c r="AY767" s="116">
        <v>13</v>
      </c>
      <c r="AZ767" s="116">
        <v>15</v>
      </c>
      <c r="BA767" s="120">
        <v>8470</v>
      </c>
      <c r="BB767" s="120">
        <f t="shared" si="234"/>
        <v>25013</v>
      </c>
      <c r="BC767" t="s">
        <v>1472</v>
      </c>
      <c r="BD767">
        <f t="shared" si="231"/>
        <v>2508470</v>
      </c>
      <c r="BE767" s="66">
        <v>48</v>
      </c>
      <c r="BF767" s="66"/>
      <c r="BI767">
        <v>35.21</v>
      </c>
      <c r="BJ767">
        <v>0.51</v>
      </c>
      <c r="BK767">
        <v>34.71</v>
      </c>
      <c r="BQ767">
        <v>16</v>
      </c>
      <c r="BS767">
        <v>0</v>
      </c>
    </row>
    <row r="768" spans="1:71" hidden="1" outlineLevel="1">
      <c r="A768" s="64" t="s">
        <v>2192</v>
      </c>
      <c r="B768" s="8" t="s">
        <v>1320</v>
      </c>
      <c r="C768" s="1">
        <f t="shared" si="223"/>
        <v>36039</v>
      </c>
      <c r="D768" s="5">
        <f>IF(N768&gt;0, RANK(N768,(N768:P768,Q768:AE768)),0)</f>
        <v>1</v>
      </c>
      <c r="E768" s="5">
        <f>IF(O768&gt;0,RANK(O768,(N768:P768,Q768:AE768)),0)</f>
        <v>2</v>
      </c>
      <c r="F768" s="5">
        <f t="shared" si="224"/>
        <v>0</v>
      </c>
      <c r="G768" s="1">
        <f t="shared" si="225"/>
        <v>16792</v>
      </c>
      <c r="H768" s="2">
        <f t="shared" si="232"/>
        <v>0.46593967646161105</v>
      </c>
      <c r="I768" s="6"/>
      <c r="J768" s="2">
        <f t="shared" si="226"/>
        <v>0.7101473403812536</v>
      </c>
      <c r="K768" s="2">
        <f t="shared" si="227"/>
        <v>0.2442076639196426</v>
      </c>
      <c r="L768" s="2">
        <f t="shared" si="228"/>
        <v>0</v>
      </c>
      <c r="M768" s="2">
        <f t="shared" si="229"/>
        <v>4.5644995699103796E-2</v>
      </c>
      <c r="N768" s="63">
        <v>25593</v>
      </c>
      <c r="O768" s="63">
        <v>8801</v>
      </c>
      <c r="P768" s="63">
        <v>0</v>
      </c>
      <c r="Q768" s="63">
        <v>920</v>
      </c>
      <c r="R768" s="63">
        <v>388</v>
      </c>
      <c r="S768" s="63"/>
      <c r="T768" s="63"/>
      <c r="U768" s="63"/>
      <c r="V768" s="63"/>
      <c r="W768" s="63">
        <f t="shared" si="230"/>
        <v>337</v>
      </c>
      <c r="X768" s="63"/>
      <c r="Y768" s="63"/>
      <c r="Z768" s="63"/>
      <c r="AA768" s="63">
        <v>0</v>
      </c>
      <c r="AB768" s="63"/>
      <c r="AE768" s="8">
        <v>0</v>
      </c>
      <c r="AT768" t="str">
        <f t="shared" si="233"/>
        <v>Brockton</v>
      </c>
      <c r="AU768" t="s">
        <v>231</v>
      </c>
      <c r="AV768">
        <v>8</v>
      </c>
      <c r="AX768" s="114">
        <v>25</v>
      </c>
      <c r="AY768" s="116">
        <v>23</v>
      </c>
      <c r="AZ768" s="116">
        <v>15</v>
      </c>
      <c r="BA768" s="120">
        <v>9000</v>
      </c>
      <c r="BB768" s="120">
        <f t="shared" si="234"/>
        <v>25023</v>
      </c>
      <c r="BC768" t="s">
        <v>1249</v>
      </c>
      <c r="BD768">
        <f t="shared" si="231"/>
        <v>2509000</v>
      </c>
      <c r="BE768" s="66">
        <v>446</v>
      </c>
      <c r="BF768" s="66"/>
      <c r="BI768">
        <v>21.59</v>
      </c>
      <c r="BJ768">
        <v>0.12</v>
      </c>
      <c r="BK768">
        <v>21.47</v>
      </c>
      <c r="BQ768">
        <v>337</v>
      </c>
      <c r="BS768">
        <v>0</v>
      </c>
    </row>
    <row r="769" spans="1:71" hidden="1" outlineLevel="1">
      <c r="A769" s="64" t="s">
        <v>914</v>
      </c>
      <c r="B769" s="8" t="s">
        <v>1320</v>
      </c>
      <c r="C769" s="1">
        <f t="shared" si="223"/>
        <v>1802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 t="shared" si="224"/>
        <v>0</v>
      </c>
      <c r="G769" s="1">
        <f t="shared" si="225"/>
        <v>228</v>
      </c>
      <c r="H769" s="2">
        <f t="shared" si="232"/>
        <v>0.12652608213096558</v>
      </c>
      <c r="I769" s="6"/>
      <c r="J769" s="2">
        <f t="shared" si="226"/>
        <v>0.39289678135405104</v>
      </c>
      <c r="K769" s="2">
        <f t="shared" si="227"/>
        <v>0.51942286348501665</v>
      </c>
      <c r="L769" s="2">
        <f t="shared" si="228"/>
        <v>0</v>
      </c>
      <c r="M769" s="2">
        <f t="shared" si="229"/>
        <v>8.7680355160932311E-2</v>
      </c>
      <c r="N769" s="63">
        <v>708</v>
      </c>
      <c r="O769" s="63">
        <v>936</v>
      </c>
      <c r="P769" s="63">
        <v>0</v>
      </c>
      <c r="Q769" s="63">
        <v>102</v>
      </c>
      <c r="R769" s="63">
        <v>27</v>
      </c>
      <c r="S769" s="63"/>
      <c r="T769" s="63"/>
      <c r="U769" s="63"/>
      <c r="V769" s="63"/>
      <c r="W769" s="63">
        <f t="shared" si="230"/>
        <v>29</v>
      </c>
      <c r="X769" s="63"/>
      <c r="Y769" s="63"/>
      <c r="Z769" s="63"/>
      <c r="AA769" s="63">
        <v>0</v>
      </c>
      <c r="AB769" s="63"/>
      <c r="AE769" s="8">
        <v>0</v>
      </c>
      <c r="AT769" t="str">
        <f t="shared" si="233"/>
        <v>Brookfield</v>
      </c>
      <c r="AU769" s="8" t="s">
        <v>1774</v>
      </c>
      <c r="AV769">
        <v>1</v>
      </c>
      <c r="AX769" s="114">
        <v>25</v>
      </c>
      <c r="AY769" s="116">
        <v>27</v>
      </c>
      <c r="AZ769" s="116">
        <v>45</v>
      </c>
      <c r="BA769" s="120">
        <v>9105</v>
      </c>
      <c r="BB769" s="120">
        <f t="shared" si="234"/>
        <v>25027</v>
      </c>
      <c r="BC769" t="s">
        <v>1472</v>
      </c>
      <c r="BD769">
        <f t="shared" si="231"/>
        <v>2509105</v>
      </c>
      <c r="BE769" s="66">
        <v>25</v>
      </c>
      <c r="BF769" s="66"/>
      <c r="BI769">
        <v>16.57</v>
      </c>
      <c r="BJ769">
        <v>1.05</v>
      </c>
      <c r="BK769">
        <v>15.52</v>
      </c>
      <c r="BQ769">
        <v>29</v>
      </c>
      <c r="BS769">
        <v>0</v>
      </c>
    </row>
    <row r="770" spans="1:71" hidden="1" outlineLevel="1">
      <c r="A770" s="64" t="s">
        <v>1559</v>
      </c>
      <c r="B770" s="8" t="s">
        <v>1320</v>
      </c>
      <c r="C770" s="1">
        <f t="shared" si="223"/>
        <v>29359</v>
      </c>
      <c r="D770" s="5">
        <f>IF(N770&gt;0, RANK(N770,(N770:P770,Q770:AE770)),0)</f>
        <v>1</v>
      </c>
      <c r="E770" s="5">
        <f>IF(O770&gt;0,RANK(O770,(N770:P770,Q770:AE770)),0)</f>
        <v>2</v>
      </c>
      <c r="F770" s="5">
        <f t="shared" si="224"/>
        <v>6</v>
      </c>
      <c r="G770" s="1">
        <f t="shared" si="225"/>
        <v>21408</v>
      </c>
      <c r="H770" s="2">
        <f t="shared" si="232"/>
        <v>0.72918014918764262</v>
      </c>
      <c r="I770" s="6"/>
      <c r="J770" s="2">
        <f t="shared" si="226"/>
        <v>0.83732415954221873</v>
      </c>
      <c r="K770" s="2">
        <f t="shared" si="227"/>
        <v>0.1081440103545761</v>
      </c>
      <c r="L770" s="2">
        <f t="shared" si="228"/>
        <v>1.9755441261623354E-3</v>
      </c>
      <c r="M770" s="2">
        <f t="shared" si="229"/>
        <v>5.2556285977042837E-2</v>
      </c>
      <c r="N770" s="63">
        <v>24583</v>
      </c>
      <c r="O770" s="63">
        <v>3175</v>
      </c>
      <c r="P770" s="63">
        <v>58</v>
      </c>
      <c r="Q770" s="63">
        <v>731</v>
      </c>
      <c r="R770" s="63">
        <v>398</v>
      </c>
      <c r="S770" s="63"/>
      <c r="T770" s="63"/>
      <c r="U770" s="63"/>
      <c r="V770" s="63"/>
      <c r="W770" s="63">
        <f t="shared" si="230"/>
        <v>414</v>
      </c>
      <c r="X770" s="63"/>
      <c r="Y770" s="63"/>
      <c r="Z770" s="63"/>
      <c r="AA770" s="63">
        <v>0</v>
      </c>
      <c r="AB770" s="63"/>
      <c r="AE770" s="8">
        <v>0</v>
      </c>
      <c r="AT770" t="str">
        <f t="shared" si="233"/>
        <v>Brookline</v>
      </c>
      <c r="AU770" t="s">
        <v>753</v>
      </c>
      <c r="AV770">
        <v>4</v>
      </c>
      <c r="AX770" s="114">
        <v>25</v>
      </c>
      <c r="AY770" s="116">
        <v>21</v>
      </c>
      <c r="AZ770" s="116">
        <v>20</v>
      </c>
      <c r="BA770" s="120">
        <v>9175</v>
      </c>
      <c r="BB770" s="120">
        <f t="shared" si="234"/>
        <v>25021</v>
      </c>
      <c r="BC770" t="s">
        <v>1472</v>
      </c>
      <c r="BD770">
        <f t="shared" si="231"/>
        <v>2509175</v>
      </c>
      <c r="BE770" s="66">
        <v>321</v>
      </c>
      <c r="BF770" s="66"/>
      <c r="BI770">
        <v>6.82</v>
      </c>
      <c r="BJ770">
        <v>0.03</v>
      </c>
      <c r="BK770">
        <v>6.79</v>
      </c>
      <c r="BQ770">
        <v>414</v>
      </c>
      <c r="BS770">
        <v>0</v>
      </c>
    </row>
    <row r="771" spans="1:71" hidden="1" outlineLevel="1">
      <c r="A771" s="64" t="s">
        <v>2671</v>
      </c>
      <c r="B771" s="8" t="s">
        <v>1320</v>
      </c>
      <c r="C771" s="1">
        <f t="shared" si="223"/>
        <v>1041</v>
      </c>
      <c r="D771" s="5">
        <f>IF(N771&gt;0, RANK(N771,(N771:P771,Q771:AE771)),0)</f>
        <v>1</v>
      </c>
      <c r="E771" s="5">
        <f>IF(O771&gt;0,RANK(O771,(N771:P771,Q771:AE771)),0)</f>
        <v>2</v>
      </c>
      <c r="F771" s="5">
        <f t="shared" si="224"/>
        <v>0</v>
      </c>
      <c r="G771" s="1">
        <f t="shared" si="225"/>
        <v>473</v>
      </c>
      <c r="H771" s="2">
        <f t="shared" si="232"/>
        <v>0.45437079731027857</v>
      </c>
      <c r="I771" s="6"/>
      <c r="J771" s="2">
        <f t="shared" si="226"/>
        <v>0.67531219980787704</v>
      </c>
      <c r="K771" s="2">
        <f t="shared" si="227"/>
        <v>0.22094140249759847</v>
      </c>
      <c r="L771" s="2">
        <f t="shared" si="228"/>
        <v>0</v>
      </c>
      <c r="M771" s="2">
        <f t="shared" si="229"/>
        <v>0.10374639769452448</v>
      </c>
      <c r="N771" s="63">
        <v>703</v>
      </c>
      <c r="O771" s="63">
        <v>230</v>
      </c>
      <c r="P771" s="63">
        <v>0</v>
      </c>
      <c r="Q771" s="63">
        <v>53</v>
      </c>
      <c r="R771" s="63">
        <v>39</v>
      </c>
      <c r="S771" s="63"/>
      <c r="T771" s="63"/>
      <c r="U771" s="63"/>
      <c r="V771" s="63"/>
      <c r="W771" s="63">
        <f t="shared" si="230"/>
        <v>16</v>
      </c>
      <c r="X771" s="63"/>
      <c r="Y771" s="63"/>
      <c r="Z771" s="63"/>
      <c r="AA771" s="63">
        <v>0</v>
      </c>
      <c r="AB771" s="63"/>
      <c r="AE771" s="8">
        <v>0</v>
      </c>
      <c r="AT771" t="str">
        <f t="shared" si="233"/>
        <v>Buckland</v>
      </c>
      <c r="AU771" t="s">
        <v>1138</v>
      </c>
      <c r="AV771">
        <v>1</v>
      </c>
      <c r="AX771" s="114">
        <v>25</v>
      </c>
      <c r="AY771" s="116">
        <v>11</v>
      </c>
      <c r="AZ771" s="116">
        <v>15</v>
      </c>
      <c r="BA771" s="120">
        <v>9595</v>
      </c>
      <c r="BB771" s="120">
        <f t="shared" si="234"/>
        <v>25011</v>
      </c>
      <c r="BC771" t="s">
        <v>1472</v>
      </c>
      <c r="BD771">
        <f t="shared" si="231"/>
        <v>2509595</v>
      </c>
      <c r="BE771" s="66">
        <v>26</v>
      </c>
      <c r="BF771" s="66"/>
      <c r="BI771">
        <v>19.75</v>
      </c>
      <c r="BJ771">
        <v>0.19</v>
      </c>
      <c r="BK771">
        <v>19.559999999999999</v>
      </c>
      <c r="BQ771">
        <v>16</v>
      </c>
      <c r="BS771">
        <v>0</v>
      </c>
    </row>
    <row r="772" spans="1:71" hidden="1" outlineLevel="1">
      <c r="A772" s="64" t="s">
        <v>2562</v>
      </c>
      <c r="B772" s="8" t="s">
        <v>1320</v>
      </c>
      <c r="C772" s="1">
        <f t="shared" si="223"/>
        <v>13977</v>
      </c>
      <c r="D772" s="5">
        <f>IF(N772&gt;0, RANK(N772,(N772:P772,Q772:AE772)),0)</f>
        <v>1</v>
      </c>
      <c r="E772" s="5">
        <f>IF(O772&gt;0,RANK(O772,(N772:P772,Q772:AE772)),0)</f>
        <v>2</v>
      </c>
      <c r="F772" s="5">
        <f t="shared" si="224"/>
        <v>6</v>
      </c>
      <c r="G772" s="1">
        <f t="shared" si="225"/>
        <v>2199</v>
      </c>
      <c r="H772" s="2">
        <f t="shared" si="232"/>
        <v>0.15732989911998282</v>
      </c>
      <c r="I772" s="6"/>
      <c r="J772" s="2">
        <f t="shared" si="226"/>
        <v>0.5461114688416685</v>
      </c>
      <c r="K772" s="2">
        <f t="shared" si="227"/>
        <v>0.38878156972168565</v>
      </c>
      <c r="L772" s="2">
        <f t="shared" si="228"/>
        <v>1.8601988981898833E-3</v>
      </c>
      <c r="M772" s="2">
        <f t="shared" si="229"/>
        <v>6.3246762538455972E-2</v>
      </c>
      <c r="N772" s="63">
        <v>7633</v>
      </c>
      <c r="O772" s="63">
        <v>5434</v>
      </c>
      <c r="P772" s="63">
        <v>26</v>
      </c>
      <c r="Q772" s="63">
        <v>558</v>
      </c>
      <c r="R772" s="63">
        <v>123</v>
      </c>
      <c r="S772" s="63"/>
      <c r="T772" s="63"/>
      <c r="U772" s="63"/>
      <c r="V772" s="63"/>
      <c r="W772" s="63">
        <f t="shared" si="230"/>
        <v>203</v>
      </c>
      <c r="X772" s="63"/>
      <c r="Y772" s="63"/>
      <c r="Z772" s="63"/>
      <c r="AA772" s="63">
        <v>0</v>
      </c>
      <c r="AB772" s="63"/>
      <c r="AE772" s="8">
        <v>0</v>
      </c>
      <c r="AT772" t="str">
        <f t="shared" si="233"/>
        <v>Burlington</v>
      </c>
      <c r="AU772" t="s">
        <v>503</v>
      </c>
      <c r="AV772">
        <v>6</v>
      </c>
      <c r="AX772" s="114">
        <v>25</v>
      </c>
      <c r="AY772" s="116">
        <v>17</v>
      </c>
      <c r="AZ772" s="116">
        <v>50</v>
      </c>
      <c r="BA772" s="120">
        <v>9840</v>
      </c>
      <c r="BB772" s="120">
        <f t="shared" si="234"/>
        <v>25017</v>
      </c>
      <c r="BC772" t="s">
        <v>1472</v>
      </c>
      <c r="BD772">
        <f t="shared" si="231"/>
        <v>2509840</v>
      </c>
      <c r="BE772" s="66">
        <v>242</v>
      </c>
      <c r="BF772" s="66"/>
      <c r="BI772">
        <v>11.88</v>
      </c>
      <c r="BJ772">
        <v>7.0000000000000007E-2</v>
      </c>
      <c r="BK772">
        <v>11.81</v>
      </c>
      <c r="BQ772">
        <v>203</v>
      </c>
      <c r="BS772">
        <v>0</v>
      </c>
    </row>
    <row r="773" spans="1:71" hidden="1" outlineLevel="1">
      <c r="A773" s="64" t="s">
        <v>2563</v>
      </c>
      <c r="B773" s="8" t="s">
        <v>1320</v>
      </c>
      <c r="C773" s="1">
        <f t="shared" si="223"/>
        <v>52948</v>
      </c>
      <c r="D773" s="5">
        <f>IF(N773&gt;0, RANK(N773,(N773:P773,Q773:AE773)),0)</f>
        <v>1</v>
      </c>
      <c r="E773" s="5">
        <f>IF(O773&gt;0,RANK(O773,(N773:P773,Q773:AE773)),0)</f>
        <v>2</v>
      </c>
      <c r="F773" s="5">
        <f t="shared" si="224"/>
        <v>6</v>
      </c>
      <c r="G773" s="1">
        <f t="shared" si="225"/>
        <v>43240</v>
      </c>
      <c r="H773" s="2">
        <f t="shared" si="232"/>
        <v>0.81665029840598324</v>
      </c>
      <c r="I773" s="6"/>
      <c r="J773" s="2">
        <f t="shared" si="226"/>
        <v>0.87940998715721086</v>
      </c>
      <c r="K773" s="2">
        <f t="shared" si="227"/>
        <v>6.2759688751227616E-2</v>
      </c>
      <c r="L773" s="2">
        <f t="shared" si="228"/>
        <v>2.5874442849588277E-3</v>
      </c>
      <c r="M773" s="2">
        <f t="shared" si="229"/>
        <v>5.5242879806602696E-2</v>
      </c>
      <c r="N773" s="63">
        <v>46563</v>
      </c>
      <c r="O773" s="63">
        <v>3323</v>
      </c>
      <c r="P773" s="63">
        <v>137</v>
      </c>
      <c r="Q773" s="63">
        <v>1213</v>
      </c>
      <c r="R773" s="63">
        <v>1032</v>
      </c>
      <c r="S773" s="63"/>
      <c r="T773" s="63"/>
      <c r="U773" s="63"/>
      <c r="V773" s="63"/>
      <c r="W773" s="63">
        <f t="shared" si="230"/>
        <v>675</v>
      </c>
      <c r="X773" s="63"/>
      <c r="Y773" s="63"/>
      <c r="Z773" s="63"/>
      <c r="AA773" s="63">
        <v>0</v>
      </c>
      <c r="AB773" s="63"/>
      <c r="AE773" s="8">
        <v>5</v>
      </c>
      <c r="AT773" t="str">
        <f t="shared" si="233"/>
        <v>Cambridge</v>
      </c>
      <c r="AU773" t="s">
        <v>503</v>
      </c>
      <c r="AX773" s="114">
        <v>25</v>
      </c>
      <c r="AY773" s="116">
        <v>17</v>
      </c>
      <c r="AZ773" s="116">
        <v>55</v>
      </c>
      <c r="BA773" s="120">
        <v>11000</v>
      </c>
      <c r="BB773" s="120">
        <f t="shared" si="234"/>
        <v>25017</v>
      </c>
      <c r="BC773" t="s">
        <v>1249</v>
      </c>
      <c r="BD773">
        <f t="shared" si="231"/>
        <v>2511000</v>
      </c>
      <c r="BE773" s="66">
        <v>334</v>
      </c>
      <c r="BF773" s="66"/>
      <c r="BI773">
        <v>7.13</v>
      </c>
      <c r="BJ773">
        <v>0.7</v>
      </c>
      <c r="BK773">
        <v>6.43</v>
      </c>
      <c r="BQ773">
        <v>675</v>
      </c>
      <c r="BS773">
        <v>0</v>
      </c>
    </row>
    <row r="774" spans="1:71" hidden="1" outlineLevel="1">
      <c r="A774" s="64" t="s">
        <v>2913</v>
      </c>
      <c r="B774" s="8" t="s">
        <v>1320</v>
      </c>
      <c r="C774" s="1">
        <f t="shared" si="223"/>
        <v>12885</v>
      </c>
      <c r="D774" s="5">
        <f>IF(N774&gt;0, RANK(N774,(N774:P774,Q774:AE774)),0)</f>
        <v>1</v>
      </c>
      <c r="E774" s="5">
        <f>IF(O774&gt;0,RANK(O774,(N774:P774,Q774:AE774)),0)</f>
        <v>2</v>
      </c>
      <c r="F774" s="5">
        <f t="shared" si="224"/>
        <v>6</v>
      </c>
      <c r="G774" s="1">
        <f t="shared" si="225"/>
        <v>2577</v>
      </c>
      <c r="H774" s="2">
        <f t="shared" si="232"/>
        <v>0.2</v>
      </c>
      <c r="I774" s="6"/>
      <c r="J774" s="2">
        <f t="shared" si="226"/>
        <v>0.56717112922002333</v>
      </c>
      <c r="K774" s="2">
        <f t="shared" si="227"/>
        <v>0.36717112922002326</v>
      </c>
      <c r="L774" s="2">
        <f t="shared" si="228"/>
        <v>3.1043849437330229E-4</v>
      </c>
      <c r="M774" s="2">
        <f t="shared" si="229"/>
        <v>6.5347303065580106E-2</v>
      </c>
      <c r="N774" s="63">
        <v>7308</v>
      </c>
      <c r="O774" s="63">
        <v>4731</v>
      </c>
      <c r="P774" s="63">
        <v>4</v>
      </c>
      <c r="Q774" s="63">
        <v>574</v>
      </c>
      <c r="R774" s="63">
        <v>109</v>
      </c>
      <c r="S774" s="63"/>
      <c r="T774" s="63"/>
      <c r="U774" s="63"/>
      <c r="V774" s="63"/>
      <c r="W774" s="63">
        <f t="shared" si="230"/>
        <v>159</v>
      </c>
      <c r="X774" s="63"/>
      <c r="Y774" s="63"/>
      <c r="Z774" s="63"/>
      <c r="AA774" s="63">
        <v>0</v>
      </c>
      <c r="AB774" s="63"/>
      <c r="AE774" s="8">
        <v>0</v>
      </c>
      <c r="AT774" t="str">
        <f t="shared" si="233"/>
        <v>Canton</v>
      </c>
      <c r="AU774" t="s">
        <v>753</v>
      </c>
      <c r="AV774">
        <v>8</v>
      </c>
      <c r="AX774" s="114">
        <v>25</v>
      </c>
      <c r="AY774" s="116">
        <v>21</v>
      </c>
      <c r="AZ774" s="116">
        <v>25</v>
      </c>
      <c r="BA774" s="120">
        <v>11315</v>
      </c>
      <c r="BB774" s="120">
        <f t="shared" si="234"/>
        <v>25021</v>
      </c>
      <c r="BC774" t="s">
        <v>1472</v>
      </c>
      <c r="BD774">
        <f t="shared" si="231"/>
        <v>2511315</v>
      </c>
      <c r="BE774" s="66">
        <v>285</v>
      </c>
      <c r="BF774" s="66"/>
      <c r="BI774">
        <v>19.579999999999998</v>
      </c>
      <c r="BJ774">
        <v>0.64</v>
      </c>
      <c r="BK774">
        <v>18.93</v>
      </c>
      <c r="BQ774">
        <v>159</v>
      </c>
      <c r="BS774">
        <v>0</v>
      </c>
    </row>
    <row r="775" spans="1:71" hidden="1" outlineLevel="1">
      <c r="A775" s="64" t="s">
        <v>507</v>
      </c>
      <c r="B775" s="8" t="s">
        <v>1320</v>
      </c>
      <c r="C775" s="1">
        <f t="shared" si="223"/>
        <v>3336</v>
      </c>
      <c r="D775" s="5">
        <f>IF(N775&gt;0, RANK(N775,(N775:P775,Q775:AE775)),0)</f>
        <v>1</v>
      </c>
      <c r="E775" s="5">
        <f>IF(O775&gt;0,RANK(O775,(N775:P775,Q775:AE775)),0)</f>
        <v>2</v>
      </c>
      <c r="F775" s="5">
        <f t="shared" si="224"/>
        <v>6</v>
      </c>
      <c r="G775" s="1">
        <f t="shared" si="225"/>
        <v>1570</v>
      </c>
      <c r="H775" s="2">
        <f t="shared" si="232"/>
        <v>0.47062350119904078</v>
      </c>
      <c r="I775" s="6"/>
      <c r="J775" s="2">
        <f t="shared" si="226"/>
        <v>0.69004796163069548</v>
      </c>
      <c r="K775" s="2">
        <f t="shared" si="227"/>
        <v>0.21942446043165467</v>
      </c>
      <c r="L775" s="2">
        <f t="shared" si="228"/>
        <v>9.2925659472422057E-3</v>
      </c>
      <c r="M775" s="2">
        <f t="shared" si="229"/>
        <v>8.1235011990407641E-2</v>
      </c>
      <c r="N775" s="63">
        <v>2302</v>
      </c>
      <c r="O775" s="63">
        <v>732</v>
      </c>
      <c r="P775" s="63">
        <v>31</v>
      </c>
      <c r="Q775" s="63">
        <v>192</v>
      </c>
      <c r="R775" s="63">
        <v>43</v>
      </c>
      <c r="S775" s="63"/>
      <c r="T775" s="63"/>
      <c r="U775" s="63"/>
      <c r="V775" s="63"/>
      <c r="W775" s="63">
        <f t="shared" si="230"/>
        <v>36</v>
      </c>
      <c r="X775" s="63"/>
      <c r="Y775" s="63"/>
      <c r="Z775" s="63"/>
      <c r="AA775" s="63">
        <v>0</v>
      </c>
      <c r="AB775" s="63"/>
      <c r="AE775" s="8">
        <v>0</v>
      </c>
      <c r="AT775" t="str">
        <f t="shared" si="233"/>
        <v>Carlisle</v>
      </c>
      <c r="AU775" t="s">
        <v>503</v>
      </c>
      <c r="AV775">
        <v>3</v>
      </c>
      <c r="AX775" s="114">
        <v>25</v>
      </c>
      <c r="AY775" s="116">
        <v>17</v>
      </c>
      <c r="AZ775" s="116">
        <v>60</v>
      </c>
      <c r="BA775" s="120">
        <v>11525</v>
      </c>
      <c r="BB775" s="120">
        <f t="shared" si="234"/>
        <v>25017</v>
      </c>
      <c r="BC775" t="s">
        <v>1472</v>
      </c>
      <c r="BD775">
        <f t="shared" si="231"/>
        <v>2511525</v>
      </c>
      <c r="BE775" s="66">
        <v>55</v>
      </c>
      <c r="BF775" s="66"/>
      <c r="BI775">
        <v>15.53</v>
      </c>
      <c r="BJ775">
        <v>0.17</v>
      </c>
      <c r="BK775">
        <v>15.36</v>
      </c>
      <c r="BQ775">
        <v>36</v>
      </c>
      <c r="BS775">
        <v>0</v>
      </c>
    </row>
    <row r="776" spans="1:71" hidden="1" outlineLevel="1">
      <c r="A776" s="64" t="s">
        <v>79</v>
      </c>
      <c r="B776" s="8" t="s">
        <v>1320</v>
      </c>
      <c r="C776" s="1">
        <f t="shared" si="223"/>
        <v>6278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 t="shared" si="224"/>
        <v>6</v>
      </c>
      <c r="G776" s="1">
        <f t="shared" si="225"/>
        <v>677</v>
      </c>
      <c r="H776" s="2">
        <f t="shared" si="232"/>
        <v>0.1078368907295317</v>
      </c>
      <c r="I776" s="6"/>
      <c r="J776" s="2">
        <f t="shared" si="226"/>
        <v>0.40283529786556227</v>
      </c>
      <c r="K776" s="2">
        <f t="shared" si="227"/>
        <v>0.510672188595094</v>
      </c>
      <c r="L776" s="2">
        <f t="shared" si="228"/>
        <v>7.9643198470850593E-4</v>
      </c>
      <c r="M776" s="2">
        <f t="shared" si="229"/>
        <v>8.569608155463522E-2</v>
      </c>
      <c r="N776" s="63">
        <v>2529</v>
      </c>
      <c r="O776" s="63">
        <v>3206</v>
      </c>
      <c r="P776" s="63">
        <v>5</v>
      </c>
      <c r="Q776" s="63">
        <v>364</v>
      </c>
      <c r="R776" s="63">
        <v>72</v>
      </c>
      <c r="S776" s="63"/>
      <c r="T776" s="63"/>
      <c r="U776" s="63"/>
      <c r="V776" s="63"/>
      <c r="W776" s="63">
        <f t="shared" si="230"/>
        <v>102</v>
      </c>
      <c r="X776" s="63"/>
      <c r="Y776" s="63"/>
      <c r="Z776" s="63"/>
      <c r="AA776" s="63">
        <v>0</v>
      </c>
      <c r="AB776" s="63"/>
      <c r="AE776" s="8">
        <v>0</v>
      </c>
      <c r="AT776" t="str">
        <f t="shared" si="233"/>
        <v>Carver</v>
      </c>
      <c r="AU776" t="s">
        <v>231</v>
      </c>
      <c r="AV776">
        <v>9</v>
      </c>
      <c r="AX776" s="114">
        <v>25</v>
      </c>
      <c r="AY776" s="116">
        <v>23</v>
      </c>
      <c r="AZ776" s="116">
        <v>20</v>
      </c>
      <c r="BA776" s="120">
        <v>11665</v>
      </c>
      <c r="BB776" s="120">
        <f t="shared" si="234"/>
        <v>25023</v>
      </c>
      <c r="BC776" t="s">
        <v>1472</v>
      </c>
      <c r="BD776">
        <f t="shared" si="231"/>
        <v>2511665</v>
      </c>
      <c r="BE776" s="66">
        <v>89</v>
      </c>
      <c r="BF776" s="66"/>
      <c r="BI776">
        <v>39.81</v>
      </c>
      <c r="BJ776">
        <v>2.2599999999999998</v>
      </c>
      <c r="BK776">
        <v>37.549999999999997</v>
      </c>
      <c r="BQ776">
        <v>102</v>
      </c>
      <c r="BS776">
        <v>0</v>
      </c>
    </row>
    <row r="777" spans="1:71" hidden="1" outlineLevel="1">
      <c r="A777" s="64" t="s">
        <v>1436</v>
      </c>
      <c r="B777" s="8" t="s">
        <v>1320</v>
      </c>
      <c r="C777" s="1">
        <f t="shared" si="223"/>
        <v>700</v>
      </c>
      <c r="D777" s="5">
        <f>IF(N777&gt;0, RANK(N777,(N777:P777,Q777:AE777)),0)</f>
        <v>1</v>
      </c>
      <c r="E777" s="5">
        <f>IF(O777&gt;0,RANK(O777,(N777:P777,Q777:AE777)),0)</f>
        <v>2</v>
      </c>
      <c r="F777" s="5">
        <f t="shared" si="224"/>
        <v>0</v>
      </c>
      <c r="G777" s="1">
        <f t="shared" si="225"/>
        <v>179</v>
      </c>
      <c r="H777" s="2">
        <f t="shared" si="232"/>
        <v>0.25571428571428573</v>
      </c>
      <c r="I777" s="6"/>
      <c r="J777" s="2">
        <f t="shared" si="226"/>
        <v>0.58142857142857141</v>
      </c>
      <c r="K777" s="2">
        <f t="shared" si="227"/>
        <v>0.32571428571428573</v>
      </c>
      <c r="L777" s="2">
        <f t="shared" si="228"/>
        <v>0</v>
      </c>
      <c r="M777" s="2">
        <f t="shared" si="229"/>
        <v>9.285714285714286E-2</v>
      </c>
      <c r="N777" s="63">
        <v>407</v>
      </c>
      <c r="O777" s="63">
        <v>228</v>
      </c>
      <c r="P777" s="63">
        <v>0</v>
      </c>
      <c r="Q777" s="63">
        <v>40</v>
      </c>
      <c r="R777" s="63">
        <v>25</v>
      </c>
      <c r="S777" s="63"/>
      <c r="T777" s="63"/>
      <c r="U777" s="63"/>
      <c r="V777" s="63"/>
      <c r="W777" s="63">
        <f t="shared" si="230"/>
        <v>0</v>
      </c>
      <c r="X777" s="63"/>
      <c r="Y777" s="63"/>
      <c r="Z777" s="63"/>
      <c r="AA777" s="63">
        <v>0</v>
      </c>
      <c r="AB777" s="63"/>
      <c r="AE777" s="8">
        <v>0</v>
      </c>
      <c r="AT777" t="str">
        <f t="shared" si="233"/>
        <v>Charlemont</v>
      </c>
      <c r="AU777" t="s">
        <v>1138</v>
      </c>
      <c r="AV777">
        <v>1</v>
      </c>
      <c r="AX777" s="114">
        <v>25</v>
      </c>
      <c r="AY777" s="116">
        <v>11</v>
      </c>
      <c r="AZ777" s="116">
        <v>20</v>
      </c>
      <c r="BA777" s="120">
        <v>12505</v>
      </c>
      <c r="BB777" s="120">
        <f t="shared" si="234"/>
        <v>25011</v>
      </c>
      <c r="BC777" t="s">
        <v>1472</v>
      </c>
      <c r="BD777">
        <f t="shared" si="231"/>
        <v>2512505</v>
      </c>
      <c r="BE777" s="66">
        <v>35</v>
      </c>
      <c r="BF777" s="66"/>
      <c r="BI777">
        <v>26.36</v>
      </c>
      <c r="BJ777">
        <v>0.26</v>
      </c>
      <c r="BK777">
        <v>26.1</v>
      </c>
      <c r="BQ777">
        <v>0</v>
      </c>
      <c r="BS777">
        <v>0</v>
      </c>
    </row>
    <row r="778" spans="1:71" hidden="1" outlineLevel="1">
      <c r="A778" s="64" t="s">
        <v>359</v>
      </c>
      <c r="B778" s="8" t="s">
        <v>1320</v>
      </c>
      <c r="C778" s="1">
        <f t="shared" si="223"/>
        <v>7227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 t="shared" si="224"/>
        <v>6</v>
      </c>
      <c r="G778" s="1">
        <f t="shared" si="225"/>
        <v>1147</v>
      </c>
      <c r="H778" s="2">
        <f t="shared" si="232"/>
        <v>0.15871039158710393</v>
      </c>
      <c r="I778" s="6"/>
      <c r="J778" s="2">
        <f t="shared" si="226"/>
        <v>0.37484433374844334</v>
      </c>
      <c r="K778" s="2">
        <f t="shared" si="227"/>
        <v>0.53355472533554726</v>
      </c>
      <c r="L778" s="2">
        <f t="shared" si="228"/>
        <v>3.0441400304414001E-3</v>
      </c>
      <c r="M778" s="2">
        <f t="shared" si="229"/>
        <v>8.8556800885568054E-2</v>
      </c>
      <c r="N778" s="63">
        <v>2709</v>
      </c>
      <c r="O778" s="63">
        <v>3856</v>
      </c>
      <c r="P778" s="63">
        <v>22</v>
      </c>
      <c r="Q778" s="63">
        <v>461</v>
      </c>
      <c r="R778" s="63">
        <v>99</v>
      </c>
      <c r="S778" s="63"/>
      <c r="T778" s="63"/>
      <c r="U778" s="63"/>
      <c r="V778" s="63"/>
      <c r="W778" s="63">
        <f t="shared" si="230"/>
        <v>80</v>
      </c>
      <c r="X778" s="63"/>
      <c r="Y778" s="63"/>
      <c r="Z778" s="63"/>
      <c r="AA778" s="63">
        <v>0</v>
      </c>
      <c r="AB778" s="63"/>
      <c r="AE778" s="8">
        <v>0</v>
      </c>
      <c r="AT778" t="str">
        <f t="shared" si="233"/>
        <v>Charlton</v>
      </c>
      <c r="AU778" s="8" t="s">
        <v>1774</v>
      </c>
      <c r="AV778">
        <v>1</v>
      </c>
      <c r="AX778" s="114">
        <v>25</v>
      </c>
      <c r="AY778" s="116">
        <v>27</v>
      </c>
      <c r="AZ778" s="116">
        <v>50</v>
      </c>
      <c r="BA778" s="120">
        <v>12715</v>
      </c>
      <c r="BB778" s="120">
        <f t="shared" si="234"/>
        <v>25027</v>
      </c>
      <c r="BC778" t="s">
        <v>1472</v>
      </c>
      <c r="BD778">
        <f t="shared" si="231"/>
        <v>2512715</v>
      </c>
      <c r="BE778" s="66">
        <v>114</v>
      </c>
      <c r="BF778" s="66"/>
      <c r="BI778">
        <v>43.77</v>
      </c>
      <c r="BJ778">
        <v>1.25</v>
      </c>
      <c r="BK778">
        <v>42.53</v>
      </c>
      <c r="BQ778">
        <v>80</v>
      </c>
      <c r="BS778">
        <v>0</v>
      </c>
    </row>
    <row r="779" spans="1:71" hidden="1" outlineLevel="1">
      <c r="A779" s="64" t="s">
        <v>261</v>
      </c>
      <c r="B779" s="8" t="s">
        <v>1320</v>
      </c>
      <c r="C779" s="1">
        <f t="shared" si="223"/>
        <v>4564</v>
      </c>
      <c r="D779" s="5">
        <f>IF(N779&gt;0, RANK(N779,(N779:P779,Q779:AE779)),0)</f>
        <v>1</v>
      </c>
      <c r="E779" s="5">
        <f>IF(O779&gt;0,RANK(O779,(N779:P779,Q779:AE779)),0)</f>
        <v>2</v>
      </c>
      <c r="F779" s="5">
        <f t="shared" si="224"/>
        <v>6</v>
      </c>
      <c r="G779" s="1">
        <f t="shared" si="225"/>
        <v>602</v>
      </c>
      <c r="H779" s="2">
        <f t="shared" si="232"/>
        <v>0.13190184049079753</v>
      </c>
      <c r="I779" s="6"/>
      <c r="J779" s="2">
        <f t="shared" si="226"/>
        <v>0.52541630148992113</v>
      </c>
      <c r="K779" s="2">
        <f t="shared" si="227"/>
        <v>0.39351446099912357</v>
      </c>
      <c r="L779" s="2">
        <f t="shared" si="228"/>
        <v>1.5337423312883436E-3</v>
      </c>
      <c r="M779" s="2">
        <f t="shared" si="229"/>
        <v>7.9535495179666946E-2</v>
      </c>
      <c r="N779" s="63">
        <v>2398</v>
      </c>
      <c r="O779" s="63">
        <v>1796</v>
      </c>
      <c r="P779" s="63">
        <v>7</v>
      </c>
      <c r="Q779" s="63">
        <v>216</v>
      </c>
      <c r="R779" s="63">
        <v>68</v>
      </c>
      <c r="S779" s="63"/>
      <c r="T779" s="63"/>
      <c r="U779" s="63"/>
      <c r="V779" s="63"/>
      <c r="W779" s="63">
        <f t="shared" si="230"/>
        <v>79</v>
      </c>
      <c r="X779" s="63"/>
      <c r="Y779" s="63"/>
      <c r="Z779" s="63"/>
      <c r="AA779" s="63">
        <v>0</v>
      </c>
      <c r="AB779" s="63"/>
      <c r="AE779" s="8">
        <v>0</v>
      </c>
      <c r="AT779" t="str">
        <f t="shared" si="233"/>
        <v>Chatham</v>
      </c>
      <c r="AU779" t="s">
        <v>2411</v>
      </c>
      <c r="AV779">
        <v>9</v>
      </c>
      <c r="AX779" s="114">
        <v>25</v>
      </c>
      <c r="AY779" s="116">
        <v>1</v>
      </c>
      <c r="AZ779" s="116">
        <v>20</v>
      </c>
      <c r="BA779" s="120">
        <v>12995</v>
      </c>
      <c r="BB779" s="120">
        <f t="shared" si="234"/>
        <v>25001</v>
      </c>
      <c r="BC779" t="s">
        <v>1472</v>
      </c>
      <c r="BD779">
        <f t="shared" si="231"/>
        <v>2512995</v>
      </c>
      <c r="BE779" s="66">
        <v>79</v>
      </c>
      <c r="BF779" s="66"/>
      <c r="BI779">
        <v>24.41</v>
      </c>
      <c r="BJ779">
        <v>8.19</v>
      </c>
      <c r="BK779">
        <v>16.22</v>
      </c>
      <c r="BQ779">
        <v>79</v>
      </c>
      <c r="BS779">
        <v>0</v>
      </c>
    </row>
    <row r="780" spans="1:71" hidden="1" outlineLevel="1">
      <c r="A780" s="64" t="s">
        <v>2944</v>
      </c>
      <c r="B780" s="8" t="s">
        <v>1320</v>
      </c>
      <c r="C780" s="1">
        <f t="shared" si="223"/>
        <v>20141</v>
      </c>
      <c r="D780" s="5">
        <f>IF(N780&gt;0, RANK(N780,(N780:P780,Q780:AE780)),0)</f>
        <v>1</v>
      </c>
      <c r="E780" s="5">
        <f>IF(O780&gt;0,RANK(O780,(N780:P780,Q780:AE780)),0)</f>
        <v>2</v>
      </c>
      <c r="F780" s="5">
        <f t="shared" si="224"/>
        <v>0</v>
      </c>
      <c r="G780" s="1">
        <f t="shared" si="225"/>
        <v>3044</v>
      </c>
      <c r="H780" s="2">
        <f t="shared" si="232"/>
        <v>0.15113450176257384</v>
      </c>
      <c r="I780" s="6"/>
      <c r="J780" s="2">
        <f t="shared" si="226"/>
        <v>0.53150290452311211</v>
      </c>
      <c r="K780" s="2">
        <f t="shared" si="227"/>
        <v>0.38036840276053818</v>
      </c>
      <c r="L780" s="2">
        <f t="shared" si="228"/>
        <v>0</v>
      </c>
      <c r="M780" s="2">
        <f t="shared" si="229"/>
        <v>8.812869271634971E-2</v>
      </c>
      <c r="N780" s="63">
        <v>10705</v>
      </c>
      <c r="O780" s="63">
        <v>7661</v>
      </c>
      <c r="P780" s="63">
        <v>0</v>
      </c>
      <c r="Q780" s="63">
        <v>1093</v>
      </c>
      <c r="R780" s="63">
        <v>237</v>
      </c>
      <c r="S780" s="63"/>
      <c r="T780" s="63"/>
      <c r="U780" s="63"/>
      <c r="V780" s="63"/>
      <c r="W780" s="63">
        <f t="shared" si="230"/>
        <v>445</v>
      </c>
      <c r="X780" s="63"/>
      <c r="Y780" s="63"/>
      <c r="Z780" s="63"/>
      <c r="AA780" s="63">
        <v>0</v>
      </c>
      <c r="AB780" s="63"/>
      <c r="AE780" s="8">
        <v>0</v>
      </c>
      <c r="AT780" t="str">
        <f t="shared" si="233"/>
        <v>Chelmsford</v>
      </c>
      <c r="AU780" t="s">
        <v>503</v>
      </c>
      <c r="AV780">
        <v>3</v>
      </c>
      <c r="AX780" s="114">
        <v>25</v>
      </c>
      <c r="AY780" s="116">
        <v>17</v>
      </c>
      <c r="AZ780" s="116">
        <v>65</v>
      </c>
      <c r="BA780" s="120">
        <v>13135</v>
      </c>
      <c r="BB780" s="120">
        <f t="shared" si="234"/>
        <v>25017</v>
      </c>
      <c r="BC780" t="s">
        <v>1472</v>
      </c>
      <c r="BD780">
        <f t="shared" si="231"/>
        <v>2513135</v>
      </c>
      <c r="BE780" s="66">
        <v>301</v>
      </c>
      <c r="BF780" s="66"/>
      <c r="BI780">
        <v>23.18</v>
      </c>
      <c r="BJ780">
        <v>0.53</v>
      </c>
      <c r="BK780">
        <v>22.65</v>
      </c>
      <c r="BQ780">
        <v>445</v>
      </c>
      <c r="BS780">
        <v>0</v>
      </c>
    </row>
    <row r="781" spans="1:71" hidden="1" outlineLevel="1">
      <c r="A781" s="64" t="s">
        <v>1006</v>
      </c>
      <c r="B781" s="8" t="s">
        <v>1320</v>
      </c>
      <c r="C781" s="1">
        <f t="shared" si="223"/>
        <v>9438</v>
      </c>
      <c r="D781" s="5">
        <f>IF(N781&gt;0, RANK(N781,(N781:P781,Q781:AE781)),0)</f>
        <v>1</v>
      </c>
      <c r="E781" s="5">
        <f>IF(O781&gt;0,RANK(O781,(N781:P781,Q781:AE781)),0)</f>
        <v>2</v>
      </c>
      <c r="F781" s="5">
        <f t="shared" si="224"/>
        <v>0</v>
      </c>
      <c r="G781" s="1">
        <f t="shared" si="225"/>
        <v>5913</v>
      </c>
      <c r="H781" s="2">
        <f t="shared" si="232"/>
        <v>0.62650985378258106</v>
      </c>
      <c r="I781" s="6"/>
      <c r="J781" s="2">
        <f t="shared" si="226"/>
        <v>0.79465988556897649</v>
      </c>
      <c r="K781" s="2">
        <f t="shared" si="227"/>
        <v>0.16815003178639543</v>
      </c>
      <c r="L781" s="2">
        <f t="shared" si="228"/>
        <v>0</v>
      </c>
      <c r="M781" s="2">
        <f t="shared" si="229"/>
        <v>3.7190082644628086E-2</v>
      </c>
      <c r="N781" s="63">
        <v>7500</v>
      </c>
      <c r="O781" s="63">
        <v>1587</v>
      </c>
      <c r="P781" s="63">
        <v>0</v>
      </c>
      <c r="Q781" s="63">
        <v>207</v>
      </c>
      <c r="R781" s="63">
        <v>127</v>
      </c>
      <c r="S781" s="63"/>
      <c r="T781" s="63"/>
      <c r="U781" s="63"/>
      <c r="V781" s="63"/>
      <c r="W781" s="63">
        <f t="shared" si="230"/>
        <v>17</v>
      </c>
      <c r="X781" s="63"/>
      <c r="Y781" s="63"/>
      <c r="Z781" s="63"/>
      <c r="AA781" s="63">
        <v>0</v>
      </c>
      <c r="AB781" s="63"/>
      <c r="AE781" s="8">
        <v>0</v>
      </c>
      <c r="AT781" t="str">
        <f t="shared" si="233"/>
        <v>Chelsea</v>
      </c>
      <c r="AU781" t="s">
        <v>1468</v>
      </c>
      <c r="AV781">
        <v>7</v>
      </c>
      <c r="AX781" s="114">
        <v>25</v>
      </c>
      <c r="AY781" s="116">
        <v>25</v>
      </c>
      <c r="AZ781" s="116">
        <v>10</v>
      </c>
      <c r="BA781" s="120">
        <v>13205</v>
      </c>
      <c r="BB781" s="120">
        <f t="shared" si="234"/>
        <v>25025</v>
      </c>
      <c r="BC781" t="s">
        <v>1249</v>
      </c>
      <c r="BD781">
        <f t="shared" si="231"/>
        <v>2513205</v>
      </c>
      <c r="BE781" s="66">
        <v>595</v>
      </c>
      <c r="BF781" s="66"/>
      <c r="BI781">
        <v>2.48</v>
      </c>
      <c r="BJ781">
        <v>0.28999999999999998</v>
      </c>
      <c r="BK781">
        <v>2.19</v>
      </c>
      <c r="BQ781">
        <v>17</v>
      </c>
      <c r="BS781">
        <v>0</v>
      </c>
    </row>
    <row r="782" spans="1:71" hidden="1" outlineLevel="1">
      <c r="A782" s="64" t="s">
        <v>1463</v>
      </c>
      <c r="B782" s="8" t="s">
        <v>1320</v>
      </c>
      <c r="C782" s="1">
        <f t="shared" si="223"/>
        <v>1864</v>
      </c>
      <c r="D782" s="5">
        <f>IF(N782&gt;0, RANK(N782,(N782:P782,Q782:AE782)),0)</f>
        <v>1</v>
      </c>
      <c r="E782" s="5">
        <f>IF(O782&gt;0,RANK(O782,(N782:P782,Q782:AE782)),0)</f>
        <v>2</v>
      </c>
      <c r="F782" s="5">
        <f t="shared" si="224"/>
        <v>0</v>
      </c>
      <c r="G782" s="1">
        <f t="shared" si="225"/>
        <v>237</v>
      </c>
      <c r="H782" s="2">
        <f t="shared" si="232"/>
        <v>0.1271459227467811</v>
      </c>
      <c r="I782" s="6"/>
      <c r="J782" s="2">
        <f t="shared" si="226"/>
        <v>0.52467811158798283</v>
      </c>
      <c r="K782" s="2">
        <f t="shared" si="227"/>
        <v>0.39753218884120173</v>
      </c>
      <c r="L782" s="2">
        <f t="shared" si="228"/>
        <v>0</v>
      </c>
      <c r="M782" s="2">
        <f t="shared" si="229"/>
        <v>7.778969957081544E-2</v>
      </c>
      <c r="N782" s="63">
        <v>978</v>
      </c>
      <c r="O782" s="63">
        <v>741</v>
      </c>
      <c r="P782" s="63">
        <v>0</v>
      </c>
      <c r="Q782" s="63">
        <v>83</v>
      </c>
      <c r="R782" s="63">
        <v>30</v>
      </c>
      <c r="S782" s="63"/>
      <c r="T782" s="63"/>
      <c r="U782" s="63"/>
      <c r="V782" s="63"/>
      <c r="W782" s="63">
        <f t="shared" si="230"/>
        <v>32</v>
      </c>
      <c r="X782" s="63"/>
      <c r="Y782" s="63"/>
      <c r="Z782" s="63"/>
      <c r="AA782" s="63">
        <v>0</v>
      </c>
      <c r="AB782" s="63"/>
      <c r="AE782" s="8">
        <v>0</v>
      </c>
      <c r="AT782" t="str">
        <f t="shared" si="233"/>
        <v>Cheshire</v>
      </c>
      <c r="AU782" t="s">
        <v>2313</v>
      </c>
      <c r="AV782">
        <v>1</v>
      </c>
      <c r="AX782" s="114">
        <v>25</v>
      </c>
      <c r="AY782" s="116">
        <v>3</v>
      </c>
      <c r="AZ782" s="116">
        <v>20</v>
      </c>
      <c r="BA782" s="120">
        <v>13345</v>
      </c>
      <c r="BB782" s="120">
        <f t="shared" si="234"/>
        <v>25003</v>
      </c>
      <c r="BC782" t="s">
        <v>1472</v>
      </c>
      <c r="BD782">
        <f t="shared" si="231"/>
        <v>2513345</v>
      </c>
      <c r="BE782" s="66">
        <v>27</v>
      </c>
      <c r="BF782" s="66"/>
      <c r="BI782">
        <v>27.55</v>
      </c>
      <c r="BJ782">
        <v>0.61</v>
      </c>
      <c r="BK782">
        <v>26.94</v>
      </c>
      <c r="BQ782">
        <v>32</v>
      </c>
      <c r="BS782">
        <v>0</v>
      </c>
    </row>
    <row r="783" spans="1:71" hidden="1" outlineLevel="1">
      <c r="A783" s="64" t="s">
        <v>357</v>
      </c>
      <c r="B783" s="8" t="s">
        <v>1320</v>
      </c>
      <c r="C783" s="1">
        <f t="shared" si="223"/>
        <v>683</v>
      </c>
      <c r="D783" s="5">
        <f>IF(N783&gt;0, RANK(N783,(N783:P783,Q783:AE783)),0)</f>
        <v>2</v>
      </c>
      <c r="E783" s="5">
        <f>IF(O783&gt;0,RANK(O783,(N783:P783,Q783:AE783)),0)</f>
        <v>1</v>
      </c>
      <c r="F783" s="5">
        <f t="shared" si="224"/>
        <v>6</v>
      </c>
      <c r="G783" s="1">
        <f t="shared" si="225"/>
        <v>134</v>
      </c>
      <c r="H783" s="2">
        <f t="shared" si="232"/>
        <v>0.19619326500732065</v>
      </c>
      <c r="I783" s="6"/>
      <c r="J783" s="2">
        <f t="shared" si="226"/>
        <v>0.34846266471449489</v>
      </c>
      <c r="K783" s="2">
        <f t="shared" si="227"/>
        <v>0.54465592972181553</v>
      </c>
      <c r="L783" s="2">
        <f t="shared" si="228"/>
        <v>2.9282576866764276E-3</v>
      </c>
      <c r="M783" s="2">
        <f t="shared" si="229"/>
        <v>0.10395314787701321</v>
      </c>
      <c r="N783" s="63">
        <v>238</v>
      </c>
      <c r="O783" s="63">
        <v>372</v>
      </c>
      <c r="P783" s="63">
        <v>2</v>
      </c>
      <c r="Q783" s="63">
        <v>55</v>
      </c>
      <c r="R783" s="63">
        <v>13</v>
      </c>
      <c r="S783" s="63"/>
      <c r="T783" s="63"/>
      <c r="U783" s="63"/>
      <c r="V783" s="63"/>
      <c r="W783" s="63">
        <f t="shared" si="230"/>
        <v>3</v>
      </c>
      <c r="X783" s="63"/>
      <c r="Y783" s="63"/>
      <c r="Z783" s="63"/>
      <c r="AA783" s="63">
        <v>0</v>
      </c>
      <c r="AB783" s="63"/>
      <c r="AE783" s="8">
        <v>0</v>
      </c>
      <c r="AT783" t="str">
        <f t="shared" si="233"/>
        <v>Chester</v>
      </c>
      <c r="AU783" t="s">
        <v>2852</v>
      </c>
      <c r="AV783">
        <v>1</v>
      </c>
      <c r="AX783" s="114">
        <v>25</v>
      </c>
      <c r="AY783" s="116">
        <v>13</v>
      </c>
      <c r="AZ783" s="116">
        <v>20</v>
      </c>
      <c r="BA783" s="120">
        <v>13485</v>
      </c>
      <c r="BB783" s="120">
        <f t="shared" si="234"/>
        <v>25013</v>
      </c>
      <c r="BC783" t="s">
        <v>1472</v>
      </c>
      <c r="BD783">
        <f t="shared" si="231"/>
        <v>2513485</v>
      </c>
      <c r="BE783" s="66">
        <v>13</v>
      </c>
      <c r="BF783" s="66"/>
      <c r="BI783">
        <v>37.130000000000003</v>
      </c>
      <c r="BJ783">
        <v>0.4</v>
      </c>
      <c r="BK783">
        <v>36.729999999999997</v>
      </c>
      <c r="BQ783">
        <v>3</v>
      </c>
      <c r="BS783">
        <v>0</v>
      </c>
    </row>
    <row r="784" spans="1:71" hidden="1" outlineLevel="1">
      <c r="A784" s="64" t="s">
        <v>3091</v>
      </c>
      <c r="B784" s="8" t="s">
        <v>1320</v>
      </c>
      <c r="C784" s="1">
        <f t="shared" si="223"/>
        <v>750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 t="shared" si="224"/>
        <v>6</v>
      </c>
      <c r="G784" s="1">
        <f t="shared" si="225"/>
        <v>131</v>
      </c>
      <c r="H784" s="2">
        <f t="shared" si="232"/>
        <v>0.17466666666666666</v>
      </c>
      <c r="I784" s="6"/>
      <c r="J784" s="2">
        <f t="shared" si="226"/>
        <v>0.53066666666666662</v>
      </c>
      <c r="K784" s="2">
        <f t="shared" si="227"/>
        <v>0.35599999999999998</v>
      </c>
      <c r="L784" s="2">
        <f t="shared" si="228"/>
        <v>2.6666666666666666E-3</v>
      </c>
      <c r="M784" s="2">
        <f t="shared" si="229"/>
        <v>0.11066666666666673</v>
      </c>
      <c r="N784" s="63">
        <v>398</v>
      </c>
      <c r="O784" s="63">
        <v>267</v>
      </c>
      <c r="P784" s="63">
        <v>2</v>
      </c>
      <c r="Q784" s="63">
        <v>39</v>
      </c>
      <c r="R784" s="63">
        <v>39</v>
      </c>
      <c r="S784" s="63"/>
      <c r="T784" s="63"/>
      <c r="U784" s="63"/>
      <c r="V784" s="63"/>
      <c r="W784" s="63">
        <f t="shared" si="230"/>
        <v>5</v>
      </c>
      <c r="X784" s="63"/>
      <c r="Y784" s="63"/>
      <c r="Z784" s="63"/>
      <c r="AA784" s="63">
        <v>0</v>
      </c>
      <c r="AB784" s="63"/>
      <c r="AE784" s="8">
        <v>0</v>
      </c>
      <c r="AT784" t="str">
        <f t="shared" si="233"/>
        <v>Chesterfield</v>
      </c>
      <c r="AU784" t="s">
        <v>2176</v>
      </c>
      <c r="AV784">
        <v>1</v>
      </c>
      <c r="AX784" s="114">
        <v>25</v>
      </c>
      <c r="AY784" s="116">
        <v>15</v>
      </c>
      <c r="AZ784" s="116">
        <v>15</v>
      </c>
      <c r="BA784" s="120">
        <v>13590</v>
      </c>
      <c r="BB784" s="120">
        <f t="shared" si="234"/>
        <v>25015</v>
      </c>
      <c r="BC784" t="s">
        <v>1472</v>
      </c>
      <c r="BD784">
        <f t="shared" si="231"/>
        <v>2513590</v>
      </c>
      <c r="BE784" s="66">
        <v>18</v>
      </c>
      <c r="BF784" s="66"/>
      <c r="BI784">
        <v>31.29</v>
      </c>
      <c r="BJ784">
        <v>0.19</v>
      </c>
      <c r="BK784">
        <v>31.1</v>
      </c>
      <c r="BQ784">
        <v>5</v>
      </c>
      <c r="BS784">
        <v>0</v>
      </c>
    </row>
    <row r="785" spans="1:71" hidden="1" outlineLevel="1">
      <c r="A785" s="64" t="s">
        <v>455</v>
      </c>
      <c r="B785" s="8" t="s">
        <v>1320</v>
      </c>
      <c r="C785" s="1">
        <f t="shared" si="223"/>
        <v>24156</v>
      </c>
      <c r="D785" s="5">
        <f>IF(N785&gt;0, RANK(N785,(N785:P785,Q785:AE785)),0)</f>
        <v>1</v>
      </c>
      <c r="E785" s="5">
        <f>IF(O785&gt;0,RANK(O785,(N785:P785,Q785:AE785)),0)</f>
        <v>2</v>
      </c>
      <c r="F785" s="5">
        <f t="shared" si="224"/>
        <v>0</v>
      </c>
      <c r="G785" s="1">
        <f t="shared" si="225"/>
        <v>2497</v>
      </c>
      <c r="H785" s="2">
        <f t="shared" si="232"/>
        <v>0.10336976320582877</v>
      </c>
      <c r="I785" s="6"/>
      <c r="J785" s="2">
        <f t="shared" si="226"/>
        <v>0.5107633714191091</v>
      </c>
      <c r="K785" s="2">
        <f t="shared" si="227"/>
        <v>0.40739360821328036</v>
      </c>
      <c r="L785" s="2">
        <f t="shared" si="228"/>
        <v>0</v>
      </c>
      <c r="M785" s="2">
        <f t="shared" si="229"/>
        <v>8.1843020367610542E-2</v>
      </c>
      <c r="N785" s="63">
        <v>12338</v>
      </c>
      <c r="O785" s="63">
        <v>9841</v>
      </c>
      <c r="P785" s="63">
        <v>0</v>
      </c>
      <c r="Q785" s="63">
        <v>1046</v>
      </c>
      <c r="R785" s="63">
        <v>472</v>
      </c>
      <c r="S785" s="63"/>
      <c r="T785" s="63"/>
      <c r="U785" s="63"/>
      <c r="V785" s="63"/>
      <c r="W785" s="63">
        <f t="shared" si="230"/>
        <v>459</v>
      </c>
      <c r="X785" s="63"/>
      <c r="Y785" s="63"/>
      <c r="Z785" s="63"/>
      <c r="AA785" s="63">
        <v>0</v>
      </c>
      <c r="AB785" s="63"/>
      <c r="AE785" s="8">
        <v>0</v>
      </c>
      <c r="AT785" t="str">
        <f t="shared" si="233"/>
        <v>Chicopee</v>
      </c>
      <c r="AU785" t="s">
        <v>2852</v>
      </c>
      <c r="AV785">
        <v>1</v>
      </c>
      <c r="AX785" s="114">
        <v>25</v>
      </c>
      <c r="AY785" s="116">
        <v>13</v>
      </c>
      <c r="AZ785" s="116">
        <v>25</v>
      </c>
      <c r="BA785" s="120">
        <v>13660</v>
      </c>
      <c r="BB785" s="120">
        <f t="shared" si="234"/>
        <v>25013</v>
      </c>
      <c r="BC785" t="s">
        <v>1249</v>
      </c>
      <c r="BD785">
        <f t="shared" si="231"/>
        <v>2513660</v>
      </c>
      <c r="BE785" s="66">
        <v>385</v>
      </c>
      <c r="BF785" s="66"/>
      <c r="BI785">
        <v>23.9</v>
      </c>
      <c r="BJ785">
        <v>1.03</v>
      </c>
      <c r="BK785">
        <v>22.87</v>
      </c>
      <c r="BQ785">
        <v>459</v>
      </c>
      <c r="BS785">
        <v>0</v>
      </c>
    </row>
    <row r="786" spans="1:71" hidden="1" outlineLevel="1">
      <c r="A786" s="64" t="s">
        <v>2335</v>
      </c>
      <c r="B786" s="8" t="s">
        <v>1320</v>
      </c>
      <c r="C786" s="1">
        <f t="shared" si="223"/>
        <v>775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 t="shared" si="224"/>
        <v>0</v>
      </c>
      <c r="G786" s="1">
        <f t="shared" si="225"/>
        <v>523</v>
      </c>
      <c r="H786" s="2">
        <f t="shared" si="232"/>
        <v>0.67483870967741932</v>
      </c>
      <c r="I786" s="6"/>
      <c r="J786" s="2">
        <f t="shared" si="226"/>
        <v>0.79612903225806453</v>
      </c>
      <c r="K786" s="2">
        <f t="shared" si="227"/>
        <v>0.12129032258064516</v>
      </c>
      <c r="L786" s="2">
        <f t="shared" si="228"/>
        <v>0</v>
      </c>
      <c r="M786" s="2">
        <f t="shared" si="229"/>
        <v>8.2580645161290309E-2</v>
      </c>
      <c r="N786" s="63">
        <v>617</v>
      </c>
      <c r="O786" s="63">
        <v>94</v>
      </c>
      <c r="P786" s="63">
        <v>0</v>
      </c>
      <c r="Q786" s="63">
        <v>30</v>
      </c>
      <c r="R786" s="63">
        <v>23</v>
      </c>
      <c r="S786" s="63"/>
      <c r="T786" s="63"/>
      <c r="U786" s="63"/>
      <c r="V786" s="63"/>
      <c r="W786" s="63">
        <f t="shared" si="230"/>
        <v>11</v>
      </c>
      <c r="X786" s="63"/>
      <c r="Y786" s="63"/>
      <c r="Z786" s="63"/>
      <c r="AA786" s="63">
        <v>0</v>
      </c>
      <c r="AB786" s="63"/>
      <c r="AE786" s="8">
        <v>0</v>
      </c>
      <c r="AT786" t="str">
        <f t="shared" si="233"/>
        <v>Chilmark</v>
      </c>
      <c r="AU786" t="s">
        <v>3032</v>
      </c>
      <c r="AV786">
        <v>9</v>
      </c>
      <c r="AX786" s="114">
        <v>25</v>
      </c>
      <c r="AY786" s="116">
        <v>7</v>
      </c>
      <c r="AZ786" s="116">
        <v>5</v>
      </c>
      <c r="BA786" s="120">
        <v>13800</v>
      </c>
      <c r="BB786" s="120">
        <f t="shared" si="234"/>
        <v>25007</v>
      </c>
      <c r="BC786" t="s">
        <v>1472</v>
      </c>
      <c r="BD786">
        <f t="shared" si="231"/>
        <v>2513800</v>
      </c>
      <c r="BE786" s="66">
        <v>13</v>
      </c>
      <c r="BF786" s="66"/>
      <c r="BI786">
        <v>100.42</v>
      </c>
      <c r="BJ786">
        <v>81.28</v>
      </c>
      <c r="BK786">
        <v>19.14</v>
      </c>
      <c r="BQ786">
        <v>11</v>
      </c>
      <c r="BS786">
        <v>0</v>
      </c>
    </row>
    <row r="787" spans="1:71" hidden="1" outlineLevel="1">
      <c r="A787" s="64" t="s">
        <v>1116</v>
      </c>
      <c r="B787" s="8" t="s">
        <v>1320</v>
      </c>
      <c r="C787" s="1">
        <f t="shared" si="223"/>
        <v>885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 t="shared" si="224"/>
        <v>6</v>
      </c>
      <c r="G787" s="1">
        <f t="shared" si="225"/>
        <v>183</v>
      </c>
      <c r="H787" s="2">
        <f t="shared" si="232"/>
        <v>0.20677966101694914</v>
      </c>
      <c r="I787" s="6"/>
      <c r="J787" s="2">
        <f t="shared" si="226"/>
        <v>0.57627118644067798</v>
      </c>
      <c r="K787" s="2">
        <f t="shared" si="227"/>
        <v>0.36949152542372882</v>
      </c>
      <c r="L787" s="2">
        <f t="shared" si="228"/>
        <v>2.2598870056497176E-3</v>
      </c>
      <c r="M787" s="2">
        <f t="shared" si="229"/>
        <v>5.1977401129943479E-2</v>
      </c>
      <c r="N787" s="63">
        <v>510</v>
      </c>
      <c r="O787" s="63">
        <v>327</v>
      </c>
      <c r="P787" s="63">
        <v>2</v>
      </c>
      <c r="Q787" s="63">
        <v>29</v>
      </c>
      <c r="R787" s="63">
        <v>12</v>
      </c>
      <c r="S787" s="63"/>
      <c r="T787" s="63"/>
      <c r="U787" s="63"/>
      <c r="V787" s="63"/>
      <c r="W787" s="63">
        <f t="shared" si="230"/>
        <v>5</v>
      </c>
      <c r="X787" s="63"/>
      <c r="Y787" s="63"/>
      <c r="Z787" s="63"/>
      <c r="AA787" s="63">
        <v>0</v>
      </c>
      <c r="AB787" s="63"/>
      <c r="AE787" s="8">
        <v>0</v>
      </c>
      <c r="AT787" t="str">
        <f t="shared" si="233"/>
        <v>Clarksburg</v>
      </c>
      <c r="AU787" t="s">
        <v>2313</v>
      </c>
      <c r="AV787">
        <v>1</v>
      </c>
      <c r="AX787" s="114">
        <v>25</v>
      </c>
      <c r="AY787" s="116">
        <v>3</v>
      </c>
      <c r="AZ787" s="116">
        <v>25</v>
      </c>
      <c r="BA787" s="120">
        <v>14010</v>
      </c>
      <c r="BB787" s="120">
        <f t="shared" si="234"/>
        <v>25003</v>
      </c>
      <c r="BC787" t="s">
        <v>1472</v>
      </c>
      <c r="BD787">
        <f t="shared" si="231"/>
        <v>2514010</v>
      </c>
      <c r="BE787" s="66">
        <v>11</v>
      </c>
      <c r="BF787" s="66"/>
      <c r="BI787">
        <v>12.84</v>
      </c>
      <c r="BJ787">
        <v>0.08</v>
      </c>
      <c r="BK787">
        <v>12.76</v>
      </c>
      <c r="BQ787">
        <v>5</v>
      </c>
      <c r="BS787">
        <v>0</v>
      </c>
    </row>
    <row r="788" spans="1:71" hidden="1" outlineLevel="1">
      <c r="A788" s="64" t="s">
        <v>1285</v>
      </c>
      <c r="B788" s="8" t="s">
        <v>1320</v>
      </c>
      <c r="C788" s="1">
        <f t="shared" ref="C788:C851" si="235">SUM(N788:AR788)</f>
        <v>7151</v>
      </c>
      <c r="D788" s="5">
        <f>IF(N788&gt;0, RANK(N788,(N788:P788,Q788:AE788)),0)</f>
        <v>1</v>
      </c>
      <c r="E788" s="5">
        <f>IF(O788&gt;0,RANK(O788,(N788:P788,Q788:AE788)),0)</f>
        <v>2</v>
      </c>
      <c r="F788" s="5">
        <f t="shared" ref="F788:F851" si="236">IF(P788&gt;0,RANK(P788,(N788:AE788)),0)</f>
        <v>0</v>
      </c>
      <c r="G788" s="1">
        <f t="shared" ref="G788:G851" si="237">IF(C788&gt;0,MAX(N788:P788)-LARGE(N788:P788,2),0)</f>
        <v>1019</v>
      </c>
      <c r="H788" s="2">
        <f t="shared" si="232"/>
        <v>0.1424975527898196</v>
      </c>
      <c r="I788" s="6"/>
      <c r="J788" s="2">
        <f t="shared" ref="J788:J851" si="238">IF(C788=0,"-",N788/C788)</f>
        <v>0.52677947140260106</v>
      </c>
      <c r="K788" s="2">
        <f t="shared" ref="K788:K851" si="239">IF(C788=0,"-",O788/C788)</f>
        <v>0.38428191861278144</v>
      </c>
      <c r="L788" s="2">
        <f t="shared" ref="L788:L851" si="240">IF(C788=0,"-",P788/C788)</f>
        <v>0</v>
      </c>
      <c r="M788" s="2">
        <f t="shared" ref="M788:M851" si="241">IF(C788=0,"-",(1-J788-K788-L788))</f>
        <v>8.89386099846175E-2</v>
      </c>
      <c r="N788" s="63">
        <v>3767</v>
      </c>
      <c r="O788" s="63">
        <v>2748</v>
      </c>
      <c r="P788" s="63">
        <v>0</v>
      </c>
      <c r="Q788" s="63">
        <v>396</v>
      </c>
      <c r="R788" s="63">
        <v>100</v>
      </c>
      <c r="S788" s="63"/>
      <c r="T788" s="63"/>
      <c r="U788" s="63"/>
      <c r="V788" s="63"/>
      <c r="W788" s="63">
        <f t="shared" ref="W788:W851" si="242">SUM(BQ788:BS788)</f>
        <v>140</v>
      </c>
      <c r="X788" s="63"/>
      <c r="Y788" s="63"/>
      <c r="Z788" s="63"/>
      <c r="AA788" s="63">
        <v>0</v>
      </c>
      <c r="AB788" s="63"/>
      <c r="AE788" s="8">
        <v>0</v>
      </c>
      <c r="AT788" t="str">
        <f t="shared" si="233"/>
        <v>Clinton</v>
      </c>
      <c r="AU788" s="8" t="s">
        <v>1774</v>
      </c>
      <c r="AV788">
        <v>3</v>
      </c>
      <c r="AX788" s="114">
        <v>25</v>
      </c>
      <c r="AY788" s="116">
        <v>27</v>
      </c>
      <c r="AZ788" s="116">
        <v>55</v>
      </c>
      <c r="BA788" s="120">
        <v>14395</v>
      </c>
      <c r="BB788" s="120">
        <f t="shared" si="234"/>
        <v>25027</v>
      </c>
      <c r="BC788" t="s">
        <v>1472</v>
      </c>
      <c r="BD788">
        <f t="shared" ref="BD788:BD851" si="243">AX788*100000+BA788</f>
        <v>2514395</v>
      </c>
      <c r="BE788" s="66">
        <v>86</v>
      </c>
      <c r="BF788" s="66"/>
      <c r="BI788">
        <v>7.3</v>
      </c>
      <c r="BJ788">
        <v>1.59</v>
      </c>
      <c r="BK788">
        <v>5.7</v>
      </c>
      <c r="BQ788">
        <v>140</v>
      </c>
      <c r="BS788">
        <v>0</v>
      </c>
    </row>
    <row r="789" spans="1:71" hidden="1" outlineLevel="1">
      <c r="A789" s="64" t="s">
        <v>2532</v>
      </c>
      <c r="B789" s="8" t="s">
        <v>1320</v>
      </c>
      <c r="C789" s="1">
        <f t="shared" si="235"/>
        <v>4950</v>
      </c>
      <c r="D789" s="5">
        <f>IF(N789&gt;0, RANK(N789,(N789:P789,Q789:AE789)),0)</f>
        <v>1</v>
      </c>
      <c r="E789" s="5">
        <f>IF(O789&gt;0,RANK(O789,(N789:P789,Q789:AE789)),0)</f>
        <v>2</v>
      </c>
      <c r="F789" s="5">
        <f t="shared" si="236"/>
        <v>6</v>
      </c>
      <c r="G789" s="1">
        <f t="shared" si="237"/>
        <v>1266</v>
      </c>
      <c r="H789" s="2">
        <f t="shared" si="232"/>
        <v>0.25575757575757574</v>
      </c>
      <c r="I789" s="6"/>
      <c r="J789" s="2">
        <f t="shared" si="238"/>
        <v>0.58484848484848484</v>
      </c>
      <c r="K789" s="2">
        <f t="shared" si="239"/>
        <v>0.3290909090909091</v>
      </c>
      <c r="L789" s="2">
        <f t="shared" si="240"/>
        <v>1.4141414141414141E-3</v>
      </c>
      <c r="M789" s="2">
        <f t="shared" si="241"/>
        <v>8.464646464646465E-2</v>
      </c>
      <c r="N789" s="63">
        <v>2895</v>
      </c>
      <c r="O789" s="63">
        <v>1629</v>
      </c>
      <c r="P789" s="63">
        <v>7</v>
      </c>
      <c r="Q789" s="63">
        <v>244</v>
      </c>
      <c r="R789" s="63">
        <v>46</v>
      </c>
      <c r="S789" s="63"/>
      <c r="T789" s="63"/>
      <c r="U789" s="63"/>
      <c r="V789" s="63"/>
      <c r="W789" s="63">
        <f t="shared" si="242"/>
        <v>129</v>
      </c>
      <c r="X789" s="63"/>
      <c r="Y789" s="63"/>
      <c r="Z789" s="63"/>
      <c r="AA789" s="63">
        <v>0</v>
      </c>
      <c r="AB789" s="63"/>
      <c r="AE789" s="8">
        <v>0</v>
      </c>
      <c r="AT789" t="str">
        <f t="shared" si="233"/>
        <v>Cohasset</v>
      </c>
      <c r="AU789" t="s">
        <v>753</v>
      </c>
      <c r="AV789">
        <v>8</v>
      </c>
      <c r="AX789" s="114">
        <v>25</v>
      </c>
      <c r="AY789" s="116">
        <v>21</v>
      </c>
      <c r="AZ789" s="116">
        <v>30</v>
      </c>
      <c r="BA789" s="120">
        <v>14640</v>
      </c>
      <c r="BB789" s="120">
        <f t="shared" si="234"/>
        <v>25021</v>
      </c>
      <c r="BC789" t="s">
        <v>1472</v>
      </c>
      <c r="BD789">
        <f t="shared" si="243"/>
        <v>2514640</v>
      </c>
      <c r="BE789" s="66">
        <v>90</v>
      </c>
      <c r="BF789" s="66"/>
      <c r="BI789">
        <v>31.46</v>
      </c>
      <c r="BJ789">
        <v>21.57</v>
      </c>
      <c r="BK789">
        <v>9.89</v>
      </c>
      <c r="BQ789">
        <v>129</v>
      </c>
      <c r="BS789">
        <v>0</v>
      </c>
    </row>
    <row r="790" spans="1:71" hidden="1" outlineLevel="1">
      <c r="A790" s="64" t="s">
        <v>531</v>
      </c>
      <c r="B790" s="8" t="s">
        <v>1320</v>
      </c>
      <c r="C790" s="1">
        <f t="shared" si="235"/>
        <v>892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 t="shared" si="236"/>
        <v>5</v>
      </c>
      <c r="G790" s="1">
        <f t="shared" si="237"/>
        <v>256</v>
      </c>
      <c r="H790" s="2">
        <f t="shared" si="232"/>
        <v>0.28699551569506726</v>
      </c>
      <c r="I790" s="6"/>
      <c r="J790" s="2">
        <f t="shared" si="238"/>
        <v>0.57511210762331844</v>
      </c>
      <c r="K790" s="2">
        <f t="shared" si="239"/>
        <v>0.28811659192825112</v>
      </c>
      <c r="L790" s="2">
        <f t="shared" si="240"/>
        <v>1.1210762331838565E-3</v>
      </c>
      <c r="M790" s="2">
        <f t="shared" si="241"/>
        <v>0.13565022421524658</v>
      </c>
      <c r="N790" s="63">
        <v>513</v>
      </c>
      <c r="O790" s="63">
        <v>257</v>
      </c>
      <c r="P790" s="63">
        <v>1</v>
      </c>
      <c r="Q790" s="63">
        <v>59</v>
      </c>
      <c r="R790" s="63">
        <v>62</v>
      </c>
      <c r="S790" s="63"/>
      <c r="T790" s="63"/>
      <c r="U790" s="63"/>
      <c r="V790" s="63"/>
      <c r="W790" s="63">
        <f t="shared" si="242"/>
        <v>0</v>
      </c>
      <c r="X790" s="63"/>
      <c r="Y790" s="63"/>
      <c r="Z790" s="63"/>
      <c r="AA790" s="63">
        <v>0</v>
      </c>
      <c r="AB790" s="63"/>
      <c r="AE790" s="8">
        <v>0</v>
      </c>
      <c r="AT790" t="str">
        <f t="shared" si="233"/>
        <v>Colrain</v>
      </c>
      <c r="AU790" t="s">
        <v>1138</v>
      </c>
      <c r="AV790">
        <v>1</v>
      </c>
      <c r="AX790" s="114">
        <v>25</v>
      </c>
      <c r="AY790" s="116">
        <v>11</v>
      </c>
      <c r="AZ790" s="116">
        <v>25</v>
      </c>
      <c r="BA790" s="120">
        <v>14885</v>
      </c>
      <c r="BB790" s="120">
        <f t="shared" si="234"/>
        <v>25011</v>
      </c>
      <c r="BC790" t="s">
        <v>1472</v>
      </c>
      <c r="BD790">
        <f t="shared" si="243"/>
        <v>2514885</v>
      </c>
      <c r="BE790" s="66">
        <v>42</v>
      </c>
      <c r="BF790" s="66"/>
      <c r="BI790">
        <v>43.45</v>
      </c>
      <c r="BJ790">
        <v>7.0000000000000007E-2</v>
      </c>
      <c r="BK790">
        <v>43.38</v>
      </c>
      <c r="BQ790">
        <v>0</v>
      </c>
      <c r="BS790">
        <v>0</v>
      </c>
    </row>
    <row r="791" spans="1:71" hidden="1" outlineLevel="1">
      <c r="A791" s="64" t="s">
        <v>2695</v>
      </c>
      <c r="B791" s="8" t="s">
        <v>1320</v>
      </c>
      <c r="C791" s="1">
        <f t="shared" si="235"/>
        <v>11242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 t="shared" si="236"/>
        <v>6</v>
      </c>
      <c r="G791" s="1">
        <f t="shared" si="237"/>
        <v>6509</v>
      </c>
      <c r="H791" s="2">
        <f t="shared" si="232"/>
        <v>0.57898950364703794</v>
      </c>
      <c r="I791" s="6"/>
      <c r="J791" s="2">
        <f t="shared" si="238"/>
        <v>0.75253513609677991</v>
      </c>
      <c r="K791" s="2">
        <f t="shared" si="239"/>
        <v>0.17354563244974203</v>
      </c>
      <c r="L791" s="2">
        <f t="shared" si="240"/>
        <v>1.779042874933286E-3</v>
      </c>
      <c r="M791" s="2">
        <f t="shared" si="241"/>
        <v>7.2140188578544776E-2</v>
      </c>
      <c r="N791" s="63">
        <v>8460</v>
      </c>
      <c r="O791" s="63">
        <v>1951</v>
      </c>
      <c r="P791" s="63">
        <v>20</v>
      </c>
      <c r="Q791" s="63">
        <v>503</v>
      </c>
      <c r="R791" s="63">
        <v>150</v>
      </c>
      <c r="S791" s="63"/>
      <c r="T791" s="63"/>
      <c r="U791" s="63"/>
      <c r="V791" s="63"/>
      <c r="W791" s="63">
        <f t="shared" si="242"/>
        <v>158</v>
      </c>
      <c r="X791" s="63"/>
      <c r="Y791" s="63"/>
      <c r="Z791" s="63"/>
      <c r="AA791" s="63">
        <v>0</v>
      </c>
      <c r="AB791" s="63"/>
      <c r="AE791" s="8">
        <v>0</v>
      </c>
      <c r="AT791" t="str">
        <f t="shared" si="233"/>
        <v>Concord</v>
      </c>
      <c r="AU791" t="s">
        <v>503</v>
      </c>
      <c r="AV791">
        <v>3</v>
      </c>
      <c r="AX791" s="114">
        <v>25</v>
      </c>
      <c r="AY791" s="116">
        <v>17</v>
      </c>
      <c r="AZ791" s="116">
        <v>70</v>
      </c>
      <c r="BA791" s="120">
        <v>15060</v>
      </c>
      <c r="BB791" s="120">
        <f t="shared" si="234"/>
        <v>25017</v>
      </c>
      <c r="BC791" t="s">
        <v>1472</v>
      </c>
      <c r="BD791">
        <f t="shared" si="243"/>
        <v>2515060</v>
      </c>
      <c r="BE791" s="66">
        <v>205</v>
      </c>
      <c r="BF791" s="66"/>
      <c r="BI791">
        <v>25.89</v>
      </c>
      <c r="BJ791">
        <v>0.97</v>
      </c>
      <c r="BK791">
        <v>24.92</v>
      </c>
      <c r="BQ791">
        <v>158</v>
      </c>
      <c r="BS791">
        <v>0</v>
      </c>
    </row>
    <row r="792" spans="1:71" hidden="1" outlineLevel="1">
      <c r="A792" s="64" t="s">
        <v>2457</v>
      </c>
      <c r="B792" s="8" t="s">
        <v>1320</v>
      </c>
      <c r="C792" s="1">
        <f t="shared" si="235"/>
        <v>1222</v>
      </c>
      <c r="D792" s="5">
        <f>IF(N792&gt;0, RANK(N792,(N792:P792,Q792:AE792)),0)</f>
        <v>1</v>
      </c>
      <c r="E792" s="5">
        <f>IF(O792&gt;0,RANK(O792,(N792:P792,Q792:AE792)),0)</f>
        <v>2</v>
      </c>
      <c r="F792" s="5">
        <f t="shared" si="236"/>
        <v>0</v>
      </c>
      <c r="G792" s="1">
        <f t="shared" si="237"/>
        <v>616</v>
      </c>
      <c r="H792" s="2">
        <f t="shared" si="232"/>
        <v>0.50409165302782322</v>
      </c>
      <c r="I792" s="6"/>
      <c r="J792" s="2">
        <f t="shared" si="238"/>
        <v>0.70785597381342058</v>
      </c>
      <c r="K792" s="2">
        <f t="shared" si="239"/>
        <v>0.20376432078559739</v>
      </c>
      <c r="L792" s="2">
        <f t="shared" si="240"/>
        <v>0</v>
      </c>
      <c r="M792" s="2">
        <f t="shared" si="241"/>
        <v>8.8379705400982028E-2</v>
      </c>
      <c r="N792" s="63">
        <v>865</v>
      </c>
      <c r="O792" s="63">
        <v>249</v>
      </c>
      <c r="P792" s="63">
        <v>0</v>
      </c>
      <c r="Q792" s="63">
        <v>47</v>
      </c>
      <c r="R792" s="63">
        <v>39</v>
      </c>
      <c r="S792" s="63"/>
      <c r="T792" s="63"/>
      <c r="U792" s="63"/>
      <c r="V792" s="63"/>
      <c r="W792" s="63">
        <f t="shared" si="242"/>
        <v>22</v>
      </c>
      <c r="X792" s="63"/>
      <c r="Y792" s="63"/>
      <c r="Z792" s="63"/>
      <c r="AA792" s="63">
        <v>0</v>
      </c>
      <c r="AB792" s="63"/>
      <c r="AE792" s="8">
        <v>0</v>
      </c>
      <c r="AT792" t="str">
        <f t="shared" si="233"/>
        <v>Conway</v>
      </c>
      <c r="AU792" t="s">
        <v>1138</v>
      </c>
      <c r="AV792">
        <v>1</v>
      </c>
      <c r="AX792" s="114">
        <v>25</v>
      </c>
      <c r="AY792" s="116">
        <v>11</v>
      </c>
      <c r="AZ792" s="116">
        <v>30</v>
      </c>
      <c r="BA792" s="120">
        <v>15200</v>
      </c>
      <c r="BB792" s="120">
        <f t="shared" si="234"/>
        <v>25011</v>
      </c>
      <c r="BC792" t="s">
        <v>1472</v>
      </c>
      <c r="BD792">
        <f t="shared" si="243"/>
        <v>2515200</v>
      </c>
      <c r="BE792" s="66">
        <v>13</v>
      </c>
      <c r="BF792" s="66"/>
      <c r="BI792">
        <v>37.82</v>
      </c>
      <c r="BJ792">
        <v>0.11</v>
      </c>
      <c r="BK792">
        <v>37.71</v>
      </c>
      <c r="BQ792">
        <v>22</v>
      </c>
      <c r="BS792">
        <v>0</v>
      </c>
    </row>
    <row r="793" spans="1:71" hidden="1" outlineLevel="1">
      <c r="A793" s="64" t="s">
        <v>765</v>
      </c>
      <c r="B793" s="8" t="s">
        <v>1320</v>
      </c>
      <c r="C793" s="1">
        <f t="shared" si="235"/>
        <v>558</v>
      </c>
      <c r="D793" s="5">
        <f>IF(N793&gt;0, RANK(N793,(N793:P793,Q793:AE793)),0)</f>
        <v>1</v>
      </c>
      <c r="E793" s="5">
        <f>IF(O793&gt;0,RANK(O793,(N793:P793,Q793:AE793)),0)</f>
        <v>2</v>
      </c>
      <c r="F793" s="5">
        <f t="shared" si="236"/>
        <v>0</v>
      </c>
      <c r="G793" s="1">
        <f t="shared" si="237"/>
        <v>178</v>
      </c>
      <c r="H793" s="2">
        <f t="shared" si="232"/>
        <v>0.31899641577060933</v>
      </c>
      <c r="I793" s="6"/>
      <c r="J793" s="2">
        <f t="shared" si="238"/>
        <v>0.59856630824372759</v>
      </c>
      <c r="K793" s="2">
        <f t="shared" si="239"/>
        <v>0.27956989247311825</v>
      </c>
      <c r="L793" s="2">
        <f t="shared" si="240"/>
        <v>0</v>
      </c>
      <c r="M793" s="2">
        <f t="shared" si="241"/>
        <v>0.12186379928315416</v>
      </c>
      <c r="N793" s="63">
        <v>334</v>
      </c>
      <c r="O793" s="63">
        <v>156</v>
      </c>
      <c r="P793" s="63">
        <v>0</v>
      </c>
      <c r="Q793" s="63">
        <v>31</v>
      </c>
      <c r="R793" s="63">
        <v>33</v>
      </c>
      <c r="S793" s="63"/>
      <c r="T793" s="63"/>
      <c r="U793" s="63"/>
      <c r="V793" s="63"/>
      <c r="W793" s="63">
        <f t="shared" si="242"/>
        <v>4</v>
      </c>
      <c r="X793" s="63"/>
      <c r="Y793" s="63"/>
      <c r="Z793" s="63"/>
      <c r="AA793" s="63">
        <v>0</v>
      </c>
      <c r="AB793" s="63"/>
      <c r="AE793" s="8">
        <v>0</v>
      </c>
      <c r="AT793" t="str">
        <f t="shared" si="233"/>
        <v>Cummington</v>
      </c>
      <c r="AU793" t="s">
        <v>2176</v>
      </c>
      <c r="AV793">
        <v>1</v>
      </c>
      <c r="AX793" s="114">
        <v>25</v>
      </c>
      <c r="AY793" s="116">
        <v>15</v>
      </c>
      <c r="AZ793" s="116">
        <v>20</v>
      </c>
      <c r="BA793" s="120">
        <v>16040</v>
      </c>
      <c r="BB793" s="120">
        <f t="shared" si="234"/>
        <v>25015</v>
      </c>
      <c r="BC793" t="s">
        <v>1472</v>
      </c>
      <c r="BD793">
        <f t="shared" si="243"/>
        <v>2516040</v>
      </c>
      <c r="BE793" s="66">
        <v>9</v>
      </c>
      <c r="BF793" s="66"/>
      <c r="BI793">
        <v>23.05</v>
      </c>
      <c r="BJ793">
        <v>0</v>
      </c>
      <c r="BK793">
        <v>23.05</v>
      </c>
      <c r="BQ793">
        <v>4</v>
      </c>
      <c r="BS793">
        <v>0</v>
      </c>
    </row>
    <row r="794" spans="1:71" hidden="1" outlineLevel="1">
      <c r="A794" s="64" t="s">
        <v>1809</v>
      </c>
      <c r="B794" s="8" t="s">
        <v>1320</v>
      </c>
      <c r="C794" s="1">
        <f t="shared" si="235"/>
        <v>3444</v>
      </c>
      <c r="D794" s="5">
        <f>IF(N794&gt;0, RANK(N794,(N794:P794,Q794:AE794)),0)</f>
        <v>1</v>
      </c>
      <c r="E794" s="5">
        <f>IF(O794&gt;0,RANK(O794,(N794:P794,Q794:AE794)),0)</f>
        <v>2</v>
      </c>
      <c r="F794" s="5">
        <f t="shared" si="236"/>
        <v>0</v>
      </c>
      <c r="G794" s="1">
        <f t="shared" si="237"/>
        <v>1250</v>
      </c>
      <c r="H794" s="2">
        <f t="shared" si="232"/>
        <v>0.36295005807200931</v>
      </c>
      <c r="I794" s="6"/>
      <c r="J794" s="2">
        <f t="shared" si="238"/>
        <v>0.63588850174216027</v>
      </c>
      <c r="K794" s="2">
        <f t="shared" si="239"/>
        <v>0.27293844367015097</v>
      </c>
      <c r="L794" s="2">
        <f t="shared" si="240"/>
        <v>0</v>
      </c>
      <c r="M794" s="2">
        <f t="shared" si="241"/>
        <v>9.1173054587688762E-2</v>
      </c>
      <c r="N794" s="63">
        <v>2190</v>
      </c>
      <c r="O794" s="63">
        <v>940</v>
      </c>
      <c r="P794" s="63">
        <v>0</v>
      </c>
      <c r="Q794" s="63">
        <v>166</v>
      </c>
      <c r="R794" s="63">
        <v>83</v>
      </c>
      <c r="S794" s="63"/>
      <c r="T794" s="63"/>
      <c r="U794" s="63"/>
      <c r="V794" s="63"/>
      <c r="W794" s="63">
        <f t="shared" si="242"/>
        <v>65</v>
      </c>
      <c r="X794" s="63"/>
      <c r="Y794" s="63"/>
      <c r="Z794" s="63"/>
      <c r="AA794" s="63">
        <v>0</v>
      </c>
      <c r="AB794" s="63"/>
      <c r="AE794" s="8">
        <v>0</v>
      </c>
      <c r="AT794" t="str">
        <f t="shared" si="233"/>
        <v>Dalton</v>
      </c>
      <c r="AU794" t="s">
        <v>2313</v>
      </c>
      <c r="AV794">
        <v>1</v>
      </c>
      <c r="AX794" s="114">
        <v>25</v>
      </c>
      <c r="AY794" s="116">
        <v>3</v>
      </c>
      <c r="AZ794" s="116">
        <v>30</v>
      </c>
      <c r="BA794" s="120">
        <v>16180</v>
      </c>
      <c r="BB794" s="120">
        <f t="shared" si="234"/>
        <v>25003</v>
      </c>
      <c r="BC794" t="s">
        <v>1472</v>
      </c>
      <c r="BD794">
        <f t="shared" si="243"/>
        <v>2516180</v>
      </c>
      <c r="BE794" s="66">
        <v>39</v>
      </c>
      <c r="BF794" s="66"/>
      <c r="BI794">
        <v>21.85</v>
      </c>
      <c r="BJ794">
        <v>0.04</v>
      </c>
      <c r="BK794">
        <v>21.81</v>
      </c>
      <c r="BQ794">
        <v>65</v>
      </c>
      <c r="BS794">
        <v>0</v>
      </c>
    </row>
    <row r="795" spans="1:71" hidden="1" outlineLevel="1">
      <c r="A795" s="64" t="s">
        <v>2072</v>
      </c>
      <c r="B795" s="8" t="s">
        <v>1320</v>
      </c>
      <c r="C795" s="1">
        <f t="shared" si="235"/>
        <v>15404</v>
      </c>
      <c r="D795" s="5">
        <f>IF(N795&gt;0, RANK(N795,(N795:P795,Q795:AE795)),0)</f>
        <v>1</v>
      </c>
      <c r="E795" s="5">
        <f>IF(O795&gt;0,RANK(O795,(N795:P795,Q795:AE795)),0)</f>
        <v>2</v>
      </c>
      <c r="F795" s="5">
        <f t="shared" si="236"/>
        <v>6</v>
      </c>
      <c r="G795" s="1">
        <f t="shared" si="237"/>
        <v>1268</v>
      </c>
      <c r="H795" s="2">
        <f t="shared" si="232"/>
        <v>8.2316281485328491E-2</v>
      </c>
      <c r="I795" s="6"/>
      <c r="J795" s="2">
        <f t="shared" si="238"/>
        <v>0.50324591015320697</v>
      </c>
      <c r="K795" s="2">
        <f t="shared" si="239"/>
        <v>0.42092962866787847</v>
      </c>
      <c r="L795" s="2">
        <f t="shared" si="240"/>
        <v>1.3632822643469228E-3</v>
      </c>
      <c r="M795" s="2">
        <f t="shared" si="241"/>
        <v>7.4461178914567633E-2</v>
      </c>
      <c r="N795" s="63">
        <v>7752</v>
      </c>
      <c r="O795" s="63">
        <v>6484</v>
      </c>
      <c r="P795" s="63">
        <v>21</v>
      </c>
      <c r="Q795" s="63">
        <v>691</v>
      </c>
      <c r="R795" s="63">
        <v>179</v>
      </c>
      <c r="S795" s="63"/>
      <c r="T795" s="63"/>
      <c r="U795" s="63"/>
      <c r="V795" s="63"/>
      <c r="W795" s="63">
        <f t="shared" si="242"/>
        <v>277</v>
      </c>
      <c r="X795" s="63"/>
      <c r="Y795" s="63"/>
      <c r="Z795" s="63"/>
      <c r="AA795" s="63">
        <v>0</v>
      </c>
      <c r="AB795" s="63"/>
      <c r="AE795" s="8">
        <v>0</v>
      </c>
      <c r="AT795" t="str">
        <f t="shared" si="233"/>
        <v>Danvers</v>
      </c>
      <c r="AU795" t="s">
        <v>842</v>
      </c>
      <c r="AV795">
        <v>6</v>
      </c>
      <c r="AX795" s="114">
        <v>25</v>
      </c>
      <c r="AY795" s="116">
        <v>9</v>
      </c>
      <c r="AZ795" s="116">
        <v>25</v>
      </c>
      <c r="BA795" s="120">
        <v>16250</v>
      </c>
      <c r="BB795" s="120">
        <f t="shared" si="234"/>
        <v>25009</v>
      </c>
      <c r="BC795" t="s">
        <v>1472</v>
      </c>
      <c r="BD795">
        <f t="shared" si="243"/>
        <v>2516250</v>
      </c>
      <c r="BE795" s="66">
        <v>202</v>
      </c>
      <c r="BF795" s="66"/>
      <c r="BI795">
        <v>14.09</v>
      </c>
      <c r="BJ795">
        <v>0.81</v>
      </c>
      <c r="BK795">
        <v>13.28</v>
      </c>
      <c r="BQ795">
        <v>277</v>
      </c>
      <c r="BS795">
        <v>0</v>
      </c>
    </row>
    <row r="796" spans="1:71" hidden="1" outlineLevel="1">
      <c r="A796" s="64" t="s">
        <v>897</v>
      </c>
      <c r="B796" s="8" t="s">
        <v>1320</v>
      </c>
      <c r="C796" s="1">
        <f t="shared" si="235"/>
        <v>16424</v>
      </c>
      <c r="D796" s="5">
        <f>IF(N796&gt;0, RANK(N796,(N796:P796,Q796:AE796)),0)</f>
        <v>1</v>
      </c>
      <c r="E796" s="5">
        <f>IF(O796&gt;0,RANK(O796,(N796:P796,Q796:AE796)),0)</f>
        <v>2</v>
      </c>
      <c r="F796" s="5">
        <f t="shared" si="236"/>
        <v>6</v>
      </c>
      <c r="G796" s="1">
        <f t="shared" si="237"/>
        <v>1848</v>
      </c>
      <c r="H796" s="2">
        <f t="shared" si="232"/>
        <v>0.11251826595226498</v>
      </c>
      <c r="I796" s="6"/>
      <c r="J796" s="2">
        <f t="shared" si="238"/>
        <v>0.52277155382367269</v>
      </c>
      <c r="K796" s="2">
        <f t="shared" si="239"/>
        <v>0.41025328787140769</v>
      </c>
      <c r="L796" s="2">
        <f t="shared" si="240"/>
        <v>8.524111056989771E-4</v>
      </c>
      <c r="M796" s="2">
        <f t="shared" si="241"/>
        <v>6.6122747199220649E-2</v>
      </c>
      <c r="N796" s="63">
        <v>8586</v>
      </c>
      <c r="O796" s="63">
        <v>6738</v>
      </c>
      <c r="P796" s="63">
        <v>14</v>
      </c>
      <c r="Q796" s="63">
        <v>610</v>
      </c>
      <c r="R796" s="63">
        <v>235</v>
      </c>
      <c r="S796" s="63"/>
      <c r="T796" s="63"/>
      <c r="U796" s="63"/>
      <c r="V796" s="63"/>
      <c r="W796" s="63">
        <f t="shared" si="242"/>
        <v>241</v>
      </c>
      <c r="X796" s="63"/>
      <c r="Y796" s="63"/>
      <c r="Z796" s="63"/>
      <c r="AA796" s="63">
        <v>0</v>
      </c>
      <c r="AB796" s="63"/>
      <c r="AE796" s="8">
        <v>0</v>
      </c>
      <c r="AT796" t="str">
        <f t="shared" si="233"/>
        <v>Dartmouth</v>
      </c>
      <c r="AU796" t="s">
        <v>2215</v>
      </c>
      <c r="AV796">
        <v>9</v>
      </c>
      <c r="AX796" s="114">
        <v>25</v>
      </c>
      <c r="AY796" s="116">
        <v>5</v>
      </c>
      <c r="AZ796" s="116">
        <v>20</v>
      </c>
      <c r="BA796" s="120">
        <v>16425</v>
      </c>
      <c r="BB796" s="120">
        <f t="shared" si="234"/>
        <v>25005</v>
      </c>
      <c r="BC796" t="s">
        <v>1472</v>
      </c>
      <c r="BD796">
        <f t="shared" si="243"/>
        <v>2516425</v>
      </c>
      <c r="BE796" s="66">
        <v>179</v>
      </c>
      <c r="BF796" s="66"/>
      <c r="BI796">
        <v>97.82</v>
      </c>
      <c r="BJ796">
        <v>36.25</v>
      </c>
      <c r="BK796">
        <v>61.57</v>
      </c>
      <c r="BQ796">
        <v>241</v>
      </c>
      <c r="BS796">
        <v>0</v>
      </c>
    </row>
    <row r="797" spans="1:71" hidden="1" outlineLevel="1">
      <c r="A797" s="64" t="s">
        <v>685</v>
      </c>
      <c r="B797" s="8" t="s">
        <v>1320</v>
      </c>
      <c r="C797" s="1">
        <f t="shared" si="235"/>
        <v>14427</v>
      </c>
      <c r="D797" s="5">
        <f>IF(N797&gt;0, RANK(N797,(N797:P797,Q797:AE797)),0)</f>
        <v>1</v>
      </c>
      <c r="E797" s="5">
        <f>IF(O797&gt;0,RANK(O797,(N797:P797,Q797:AE797)),0)</f>
        <v>2</v>
      </c>
      <c r="F797" s="5">
        <f t="shared" si="236"/>
        <v>6</v>
      </c>
      <c r="G797" s="1">
        <f t="shared" si="237"/>
        <v>3843</v>
      </c>
      <c r="H797" s="2">
        <f t="shared" si="232"/>
        <v>0.26637554585152839</v>
      </c>
      <c r="I797" s="6"/>
      <c r="J797" s="2">
        <f t="shared" si="238"/>
        <v>0.59756013031122202</v>
      </c>
      <c r="K797" s="2">
        <f t="shared" si="239"/>
        <v>0.33118458445969362</v>
      </c>
      <c r="L797" s="2">
        <f t="shared" si="240"/>
        <v>6.9314479794829146E-5</v>
      </c>
      <c r="M797" s="2">
        <f t="shared" si="241"/>
        <v>7.1185970749289534E-2</v>
      </c>
      <c r="N797" s="63">
        <v>8621</v>
      </c>
      <c r="O797" s="63">
        <v>4778</v>
      </c>
      <c r="P797" s="63">
        <v>1</v>
      </c>
      <c r="Q797" s="63">
        <v>570</v>
      </c>
      <c r="R797" s="63">
        <v>149</v>
      </c>
      <c r="S797" s="63"/>
      <c r="T797" s="63"/>
      <c r="U797" s="63"/>
      <c r="V797" s="63"/>
      <c r="W797" s="63">
        <f t="shared" si="242"/>
        <v>308</v>
      </c>
      <c r="X797" s="63"/>
      <c r="Y797" s="63"/>
      <c r="Z797" s="63"/>
      <c r="AA797" s="63">
        <v>0</v>
      </c>
      <c r="AB797" s="63"/>
      <c r="AE797" s="8">
        <v>0</v>
      </c>
      <c r="AT797" t="str">
        <f t="shared" si="233"/>
        <v>Dedham</v>
      </c>
      <c r="AU797" t="s">
        <v>753</v>
      </c>
      <c r="AV797">
        <v>8</v>
      </c>
      <c r="AX797" s="114">
        <v>25</v>
      </c>
      <c r="AY797" s="116">
        <v>21</v>
      </c>
      <c r="AZ797" s="116">
        <v>35</v>
      </c>
      <c r="BA797" s="120">
        <v>16495</v>
      </c>
      <c r="BB797" s="120">
        <f t="shared" si="234"/>
        <v>25021</v>
      </c>
      <c r="BC797" t="s">
        <v>1472</v>
      </c>
      <c r="BD797">
        <f t="shared" si="243"/>
        <v>2516495</v>
      </c>
      <c r="BE797" s="66">
        <v>199</v>
      </c>
      <c r="BF797" s="66"/>
      <c r="BI797">
        <v>10.64</v>
      </c>
      <c r="BJ797">
        <v>0.19</v>
      </c>
      <c r="BK797">
        <v>10.45</v>
      </c>
      <c r="BQ797">
        <v>308</v>
      </c>
      <c r="BS797">
        <v>0</v>
      </c>
    </row>
    <row r="798" spans="1:71" hidden="1" outlineLevel="1">
      <c r="A798" s="64" t="s">
        <v>1115</v>
      </c>
      <c r="B798" s="8" t="s">
        <v>1320</v>
      </c>
      <c r="C798" s="1">
        <f t="shared" si="235"/>
        <v>3046</v>
      </c>
      <c r="D798" s="5">
        <f>IF(N798&gt;0, RANK(N798,(N798:P798,Q798:AE798)),0)</f>
        <v>1</v>
      </c>
      <c r="E798" s="5">
        <f>IF(O798&gt;0,RANK(O798,(N798:P798,Q798:AE798)),0)</f>
        <v>2</v>
      </c>
      <c r="F798" s="5">
        <f t="shared" si="236"/>
        <v>6</v>
      </c>
      <c r="G798" s="1">
        <f t="shared" si="237"/>
        <v>1191</v>
      </c>
      <c r="H798" s="2">
        <f t="shared" si="232"/>
        <v>0.39100459619172684</v>
      </c>
      <c r="I798" s="6"/>
      <c r="J798" s="2">
        <f t="shared" si="238"/>
        <v>0.64609323703217336</v>
      </c>
      <c r="K798" s="2">
        <f t="shared" si="239"/>
        <v>0.25508864084044647</v>
      </c>
      <c r="L798" s="2">
        <f t="shared" si="240"/>
        <v>9.8489822718319099E-4</v>
      </c>
      <c r="M798" s="2">
        <f t="shared" si="241"/>
        <v>9.7833223900196983E-2</v>
      </c>
      <c r="N798" s="63">
        <v>1968</v>
      </c>
      <c r="O798" s="63">
        <v>777</v>
      </c>
      <c r="P798" s="63">
        <v>3</v>
      </c>
      <c r="Q798" s="63">
        <v>161</v>
      </c>
      <c r="R798" s="63">
        <v>75</v>
      </c>
      <c r="S798" s="63"/>
      <c r="T798" s="63"/>
      <c r="U798" s="63"/>
      <c r="V798" s="63"/>
      <c r="W798" s="63">
        <f t="shared" si="242"/>
        <v>62</v>
      </c>
      <c r="X798" s="63"/>
      <c r="Y798" s="63"/>
      <c r="Z798" s="63"/>
      <c r="AA798" s="63">
        <v>0</v>
      </c>
      <c r="AB798" s="63"/>
      <c r="AE798" s="8">
        <v>0</v>
      </c>
      <c r="AT798" t="str">
        <f t="shared" si="233"/>
        <v>Deerfield</v>
      </c>
      <c r="AU798" t="s">
        <v>1138</v>
      </c>
      <c r="AV798">
        <v>2</v>
      </c>
      <c r="AX798" s="114">
        <v>25</v>
      </c>
      <c r="AY798" s="116">
        <v>11</v>
      </c>
      <c r="AZ798" s="116">
        <v>35</v>
      </c>
      <c r="BA798" s="120">
        <v>16670</v>
      </c>
      <c r="BB798" s="120">
        <f t="shared" si="234"/>
        <v>25011</v>
      </c>
      <c r="BC798" t="s">
        <v>1472</v>
      </c>
      <c r="BD798">
        <f t="shared" si="243"/>
        <v>2516670</v>
      </c>
      <c r="BE798" s="66">
        <v>49</v>
      </c>
      <c r="BF798" s="66"/>
      <c r="BI798">
        <v>33.36</v>
      </c>
      <c r="BJ798">
        <v>1.06</v>
      </c>
      <c r="BK798">
        <v>32.29</v>
      </c>
      <c r="BQ798">
        <v>62</v>
      </c>
      <c r="BS798">
        <v>0</v>
      </c>
    </row>
    <row r="799" spans="1:71" hidden="1" outlineLevel="1">
      <c r="A799" s="64" t="s">
        <v>615</v>
      </c>
      <c r="B799" s="8" t="s">
        <v>1320</v>
      </c>
      <c r="C799" s="1">
        <f t="shared" si="235"/>
        <v>9296</v>
      </c>
      <c r="D799" s="5">
        <f>IF(N799&gt;0, RANK(N799,(N799:P799,Q799:AE799)),0)</f>
        <v>1</v>
      </c>
      <c r="E799" s="5">
        <f>IF(O799&gt;0,RANK(O799,(N799:P799,Q799:AE799)),0)</f>
        <v>2</v>
      </c>
      <c r="F799" s="5">
        <f t="shared" si="236"/>
        <v>0</v>
      </c>
      <c r="G799" s="1">
        <f t="shared" si="237"/>
        <v>1136</v>
      </c>
      <c r="H799" s="2">
        <f t="shared" si="232"/>
        <v>0.12220309810671257</v>
      </c>
      <c r="I799" s="6"/>
      <c r="J799" s="2">
        <f t="shared" si="238"/>
        <v>0.52570998278829606</v>
      </c>
      <c r="K799" s="2">
        <f t="shared" si="239"/>
        <v>0.40350688468158347</v>
      </c>
      <c r="L799" s="2">
        <f t="shared" si="240"/>
        <v>0</v>
      </c>
      <c r="M799" s="2">
        <f t="shared" si="241"/>
        <v>7.0783132530120474E-2</v>
      </c>
      <c r="N799" s="63">
        <v>4887</v>
      </c>
      <c r="O799" s="63">
        <v>3751</v>
      </c>
      <c r="P799" s="63">
        <v>0</v>
      </c>
      <c r="Q799" s="63">
        <v>372</v>
      </c>
      <c r="R799" s="63">
        <v>138</v>
      </c>
      <c r="S799" s="63"/>
      <c r="T799" s="63"/>
      <c r="U799" s="63"/>
      <c r="V799" s="63"/>
      <c r="W799" s="63">
        <f t="shared" si="242"/>
        <v>148</v>
      </c>
      <c r="X799" s="63"/>
      <c r="Y799" s="63"/>
      <c r="Z799" s="63"/>
      <c r="AA799" s="63">
        <v>0</v>
      </c>
      <c r="AB799" s="63"/>
      <c r="AE799" s="8">
        <v>0</v>
      </c>
      <c r="AT799" t="str">
        <f t="shared" si="233"/>
        <v>Dennis</v>
      </c>
      <c r="AU799" t="s">
        <v>2411</v>
      </c>
      <c r="AV799">
        <v>9</v>
      </c>
      <c r="AX799" s="114">
        <v>25</v>
      </c>
      <c r="AY799" s="116">
        <v>1</v>
      </c>
      <c r="AZ799" s="116">
        <v>25</v>
      </c>
      <c r="BA799" s="120">
        <v>16775</v>
      </c>
      <c r="BB799" s="120">
        <f t="shared" si="234"/>
        <v>25001</v>
      </c>
      <c r="BC799" t="s">
        <v>1472</v>
      </c>
      <c r="BD799">
        <f t="shared" si="243"/>
        <v>2516775</v>
      </c>
      <c r="BE799" s="66">
        <v>136</v>
      </c>
      <c r="BF799" s="66"/>
      <c r="BI799">
        <v>22.23</v>
      </c>
      <c r="BJ799">
        <v>1.64</v>
      </c>
      <c r="BK799">
        <v>20.6</v>
      </c>
      <c r="BQ799">
        <v>148</v>
      </c>
      <c r="BS799">
        <v>0</v>
      </c>
    </row>
    <row r="800" spans="1:71" hidden="1" outlineLevel="1">
      <c r="A800" s="64" t="s">
        <v>777</v>
      </c>
      <c r="B800" s="8" t="s">
        <v>1320</v>
      </c>
      <c r="C800" s="1">
        <f t="shared" si="235"/>
        <v>4069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 t="shared" si="236"/>
        <v>0</v>
      </c>
      <c r="G800" s="1">
        <f t="shared" si="237"/>
        <v>547</v>
      </c>
      <c r="H800" s="2">
        <f t="shared" ref="H800:H863" si="244">IF(C800&gt;0,G800/C800,0)</f>
        <v>0.13443106414352421</v>
      </c>
      <c r="I800" s="6"/>
      <c r="J800" s="2">
        <f t="shared" si="238"/>
        <v>0.39370852789383143</v>
      </c>
      <c r="K800" s="2">
        <f t="shared" si="239"/>
        <v>0.52813959203735561</v>
      </c>
      <c r="L800" s="2">
        <f t="shared" si="240"/>
        <v>0</v>
      </c>
      <c r="M800" s="2">
        <f t="shared" si="241"/>
        <v>7.8151880068812907E-2</v>
      </c>
      <c r="N800" s="63">
        <v>1602</v>
      </c>
      <c r="O800" s="63">
        <v>2149</v>
      </c>
      <c r="P800" s="63">
        <v>0</v>
      </c>
      <c r="Q800" s="63">
        <v>172</v>
      </c>
      <c r="R800" s="63">
        <v>67</v>
      </c>
      <c r="S800" s="63"/>
      <c r="T800" s="63"/>
      <c r="U800" s="63"/>
      <c r="V800" s="63"/>
      <c r="W800" s="63">
        <f t="shared" si="242"/>
        <v>79</v>
      </c>
      <c r="X800" s="63"/>
      <c r="Y800" s="63"/>
      <c r="Z800" s="63"/>
      <c r="AA800" s="63">
        <v>0</v>
      </c>
      <c r="AB800" s="63"/>
      <c r="AE800" s="8">
        <v>0</v>
      </c>
      <c r="AT800" t="str">
        <f t="shared" si="233"/>
        <v>Dighton</v>
      </c>
      <c r="AU800" t="s">
        <v>2215</v>
      </c>
      <c r="AV800">
        <v>4</v>
      </c>
      <c r="AX800" s="114">
        <v>25</v>
      </c>
      <c r="AY800" s="116">
        <v>5</v>
      </c>
      <c r="AZ800" s="116">
        <v>25</v>
      </c>
      <c r="BA800" s="120">
        <v>16950</v>
      </c>
      <c r="BB800" s="120">
        <f t="shared" si="234"/>
        <v>25005</v>
      </c>
      <c r="BC800" t="s">
        <v>1472</v>
      </c>
      <c r="BD800">
        <f t="shared" si="243"/>
        <v>2516950</v>
      </c>
      <c r="BE800" s="66">
        <v>53</v>
      </c>
      <c r="BF800" s="66"/>
      <c r="BI800">
        <v>22.85</v>
      </c>
      <c r="BJ800">
        <v>0.47</v>
      </c>
      <c r="BK800">
        <v>22.38</v>
      </c>
      <c r="BQ800">
        <v>79</v>
      </c>
      <c r="BS800">
        <v>0</v>
      </c>
    </row>
    <row r="801" spans="1:71" hidden="1" outlineLevel="1">
      <c r="A801" s="64" t="s">
        <v>1148</v>
      </c>
      <c r="B801" s="8" t="s">
        <v>1320</v>
      </c>
      <c r="C801" s="1">
        <f t="shared" si="235"/>
        <v>4828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 t="shared" si="236"/>
        <v>0</v>
      </c>
      <c r="G801" s="1">
        <f t="shared" si="237"/>
        <v>905</v>
      </c>
      <c r="H801" s="2">
        <f t="shared" si="244"/>
        <v>0.18744821872410936</v>
      </c>
      <c r="I801" s="6"/>
      <c r="J801" s="2">
        <f t="shared" si="238"/>
        <v>0.36868268434134216</v>
      </c>
      <c r="K801" s="2">
        <f t="shared" si="239"/>
        <v>0.55613090306545154</v>
      </c>
      <c r="L801" s="2">
        <f t="shared" si="240"/>
        <v>0</v>
      </c>
      <c r="M801" s="2">
        <f t="shared" si="241"/>
        <v>7.5186412593206242E-2</v>
      </c>
      <c r="N801" s="63">
        <v>1780</v>
      </c>
      <c r="O801" s="63">
        <v>2685</v>
      </c>
      <c r="P801" s="63">
        <v>0</v>
      </c>
      <c r="Q801" s="63">
        <v>299</v>
      </c>
      <c r="R801" s="63">
        <v>64</v>
      </c>
      <c r="S801" s="63"/>
      <c r="T801" s="63"/>
      <c r="U801" s="63"/>
      <c r="V801" s="63"/>
      <c r="W801" s="63">
        <f t="shared" si="242"/>
        <v>0</v>
      </c>
      <c r="X801" s="63"/>
      <c r="Y801" s="63"/>
      <c r="Z801" s="63"/>
      <c r="AA801" s="63">
        <v>0</v>
      </c>
      <c r="AB801" s="63"/>
      <c r="AE801" s="8">
        <v>0</v>
      </c>
      <c r="AT801" t="str">
        <f t="shared" ref="AT801:AT863" si="245">A801</f>
        <v>Douglas</v>
      </c>
      <c r="AU801" s="8" t="s">
        <v>1774</v>
      </c>
      <c r="AV801">
        <v>2</v>
      </c>
      <c r="AX801" s="114">
        <v>25</v>
      </c>
      <c r="AY801" s="116">
        <v>27</v>
      </c>
      <c r="AZ801" s="116">
        <v>60</v>
      </c>
      <c r="BA801" s="120">
        <v>17300</v>
      </c>
      <c r="BB801" s="120">
        <f t="shared" si="234"/>
        <v>25027</v>
      </c>
      <c r="BC801" t="s">
        <v>1472</v>
      </c>
      <c r="BD801">
        <f t="shared" si="243"/>
        <v>2517300</v>
      </c>
      <c r="BE801" s="66">
        <v>147</v>
      </c>
      <c r="BF801" s="66"/>
      <c r="BI801">
        <v>37.71</v>
      </c>
      <c r="BJ801">
        <v>1.34</v>
      </c>
      <c r="BK801">
        <v>36.369999999999997</v>
      </c>
      <c r="BQ801">
        <v>0</v>
      </c>
      <c r="BS801">
        <v>0</v>
      </c>
    </row>
    <row r="802" spans="1:71" hidden="1" outlineLevel="1">
      <c r="A802" s="64" t="s">
        <v>3085</v>
      </c>
      <c r="B802" s="8" t="s">
        <v>1320</v>
      </c>
      <c r="C802" s="1">
        <f t="shared" si="235"/>
        <v>3606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 t="shared" si="236"/>
        <v>0</v>
      </c>
      <c r="G802" s="1">
        <f t="shared" si="237"/>
        <v>926</v>
      </c>
      <c r="H802" s="2">
        <f t="shared" si="244"/>
        <v>0.25679423183582917</v>
      </c>
      <c r="I802" s="6"/>
      <c r="J802" s="2">
        <f t="shared" si="238"/>
        <v>0.57210205213533005</v>
      </c>
      <c r="K802" s="2">
        <f t="shared" si="239"/>
        <v>0.31530782029950083</v>
      </c>
      <c r="L802" s="2">
        <f t="shared" si="240"/>
        <v>0</v>
      </c>
      <c r="M802" s="2">
        <f t="shared" si="241"/>
        <v>0.11259012756516912</v>
      </c>
      <c r="N802" s="63">
        <v>2063</v>
      </c>
      <c r="O802" s="63">
        <v>1137</v>
      </c>
      <c r="P802" s="63">
        <v>0</v>
      </c>
      <c r="Q802" s="63">
        <v>266</v>
      </c>
      <c r="R802" s="63">
        <v>29</v>
      </c>
      <c r="S802" s="63"/>
      <c r="T802" s="63"/>
      <c r="U802" s="63"/>
      <c r="V802" s="63"/>
      <c r="W802" s="63">
        <f t="shared" si="242"/>
        <v>111</v>
      </c>
      <c r="X802" s="63"/>
      <c r="Y802" s="63"/>
      <c r="Z802" s="63"/>
      <c r="AA802" s="63">
        <v>0</v>
      </c>
      <c r="AB802" s="63"/>
      <c r="AE802" s="8">
        <v>0</v>
      </c>
      <c r="AT802" t="str">
        <f t="shared" si="245"/>
        <v>Dover</v>
      </c>
      <c r="AU802" t="s">
        <v>753</v>
      </c>
      <c r="AV802">
        <v>4</v>
      </c>
      <c r="AX802" s="114">
        <v>25</v>
      </c>
      <c r="AY802" s="116">
        <v>21</v>
      </c>
      <c r="AZ802" s="116">
        <v>40</v>
      </c>
      <c r="BA802" s="120">
        <v>17405</v>
      </c>
      <c r="BB802" s="120">
        <f t="shared" si="234"/>
        <v>25021</v>
      </c>
      <c r="BC802" t="s">
        <v>1472</v>
      </c>
      <c r="BD802">
        <f t="shared" si="243"/>
        <v>2517405</v>
      </c>
      <c r="BE802" s="66">
        <v>66</v>
      </c>
      <c r="BF802" s="66"/>
      <c r="BI802">
        <v>15.41</v>
      </c>
      <c r="BJ802">
        <v>0.08</v>
      </c>
      <c r="BK802">
        <v>15.33</v>
      </c>
      <c r="BQ802">
        <v>111</v>
      </c>
      <c r="BS802">
        <v>0</v>
      </c>
    </row>
    <row r="803" spans="1:71" hidden="1" outlineLevel="1">
      <c r="A803" s="64" t="s">
        <v>302</v>
      </c>
      <c r="B803" s="8" t="s">
        <v>1320</v>
      </c>
      <c r="C803" s="1">
        <f t="shared" si="235"/>
        <v>15972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 t="shared" si="236"/>
        <v>0</v>
      </c>
      <c r="G803" s="1">
        <f t="shared" si="237"/>
        <v>1674</v>
      </c>
      <c r="H803" s="2">
        <f t="shared" si="244"/>
        <v>0.1048084147257701</v>
      </c>
      <c r="I803" s="6"/>
      <c r="J803" s="2">
        <f t="shared" si="238"/>
        <v>0.41604057099924868</v>
      </c>
      <c r="K803" s="2">
        <f t="shared" si="239"/>
        <v>0.52084898572501881</v>
      </c>
      <c r="L803" s="2">
        <f t="shared" si="240"/>
        <v>0</v>
      </c>
      <c r="M803" s="2">
        <f t="shared" si="241"/>
        <v>6.3110443275732453E-2</v>
      </c>
      <c r="N803" s="63">
        <v>6645</v>
      </c>
      <c r="O803" s="63">
        <v>8319</v>
      </c>
      <c r="P803" s="63">
        <v>0</v>
      </c>
      <c r="Q803" s="63">
        <v>821</v>
      </c>
      <c r="R803" s="63">
        <v>187</v>
      </c>
      <c r="S803" s="63"/>
      <c r="T803" s="63"/>
      <c r="U803" s="63"/>
      <c r="V803" s="63"/>
      <c r="W803" s="63">
        <f t="shared" si="242"/>
        <v>0</v>
      </c>
      <c r="X803" s="63"/>
      <c r="Y803" s="63"/>
      <c r="Z803" s="63"/>
      <c r="AA803" s="63">
        <v>0</v>
      </c>
      <c r="AB803" s="63"/>
      <c r="AE803" s="8">
        <v>0</v>
      </c>
      <c r="AT803" t="str">
        <f t="shared" si="245"/>
        <v>Dracut</v>
      </c>
      <c r="AU803" t="s">
        <v>503</v>
      </c>
      <c r="AV803">
        <v>3</v>
      </c>
      <c r="AX803" s="114">
        <v>25</v>
      </c>
      <c r="AY803" s="116">
        <v>17</v>
      </c>
      <c r="AZ803" s="116">
        <v>75</v>
      </c>
      <c r="BA803" s="120">
        <v>17475</v>
      </c>
      <c r="BB803" s="120">
        <f t="shared" ref="BB803:BB866" si="246">AX803*1000+AY803</f>
        <v>25017</v>
      </c>
      <c r="BC803" t="s">
        <v>1472</v>
      </c>
      <c r="BD803">
        <f t="shared" si="243"/>
        <v>2517475</v>
      </c>
      <c r="BE803" s="66">
        <v>465</v>
      </c>
      <c r="BF803" s="66"/>
      <c r="BI803">
        <v>21.36</v>
      </c>
      <c r="BJ803">
        <v>0.46</v>
      </c>
      <c r="BK803">
        <v>20.9</v>
      </c>
      <c r="BQ803">
        <v>0</v>
      </c>
      <c r="BS803">
        <v>0</v>
      </c>
    </row>
    <row r="804" spans="1:71" hidden="1" outlineLevel="1">
      <c r="A804" s="64" t="s">
        <v>3045</v>
      </c>
      <c r="B804" s="8" t="s">
        <v>1320</v>
      </c>
      <c r="C804" s="1">
        <f t="shared" si="235"/>
        <v>5420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 t="shared" si="236"/>
        <v>6</v>
      </c>
      <c r="G804" s="1">
        <f t="shared" si="237"/>
        <v>758</v>
      </c>
      <c r="H804" s="2">
        <f t="shared" si="244"/>
        <v>0.13985239852398523</v>
      </c>
      <c r="I804" s="6"/>
      <c r="J804" s="2">
        <f t="shared" si="238"/>
        <v>0.38985239852398523</v>
      </c>
      <c r="K804" s="2">
        <f t="shared" si="239"/>
        <v>0.52970479704797047</v>
      </c>
      <c r="L804" s="2">
        <f t="shared" si="240"/>
        <v>2.3985239852398524E-3</v>
      </c>
      <c r="M804" s="2">
        <f t="shared" si="241"/>
        <v>7.8044280442804453E-2</v>
      </c>
      <c r="N804" s="63">
        <v>2113</v>
      </c>
      <c r="O804" s="63">
        <v>2871</v>
      </c>
      <c r="P804" s="63">
        <v>13</v>
      </c>
      <c r="Q804" s="63">
        <v>295</v>
      </c>
      <c r="R804" s="63">
        <v>69</v>
      </c>
      <c r="S804" s="63"/>
      <c r="T804" s="63"/>
      <c r="U804" s="63"/>
      <c r="V804" s="63"/>
      <c r="W804" s="63">
        <f t="shared" si="242"/>
        <v>59</v>
      </c>
      <c r="X804" s="63"/>
      <c r="Y804" s="63"/>
      <c r="Z804" s="63"/>
      <c r="AA804" s="63">
        <v>0</v>
      </c>
      <c r="AB804" s="63"/>
      <c r="AE804" s="8">
        <v>0</v>
      </c>
      <c r="AT804" t="str">
        <f t="shared" si="245"/>
        <v>Dudley</v>
      </c>
      <c r="AU804" s="8" t="s">
        <v>1774</v>
      </c>
      <c r="AV804">
        <v>1</v>
      </c>
      <c r="AX804" s="114">
        <v>25</v>
      </c>
      <c r="AY804" s="116">
        <v>27</v>
      </c>
      <c r="AZ804" s="116">
        <v>65</v>
      </c>
      <c r="BA804" s="120">
        <v>17685</v>
      </c>
      <c r="BB804" s="120">
        <f t="shared" si="246"/>
        <v>25027</v>
      </c>
      <c r="BC804" t="s">
        <v>1472</v>
      </c>
      <c r="BD804">
        <f t="shared" si="243"/>
        <v>2517685</v>
      </c>
      <c r="BE804" s="66">
        <v>67</v>
      </c>
      <c r="BF804" s="66"/>
      <c r="BI804">
        <v>22.06</v>
      </c>
      <c r="BJ804">
        <v>1.01</v>
      </c>
      <c r="BK804">
        <v>21.05</v>
      </c>
      <c r="BQ804">
        <v>59</v>
      </c>
      <c r="BS804">
        <v>0</v>
      </c>
    </row>
    <row r="805" spans="1:71" hidden="1" outlineLevel="1">
      <c r="A805" s="64" t="s">
        <v>2198</v>
      </c>
      <c r="B805" s="8" t="s">
        <v>1320</v>
      </c>
      <c r="C805" s="1">
        <f t="shared" si="235"/>
        <v>1995</v>
      </c>
      <c r="D805" s="5">
        <f>IF(N805&gt;0, RANK(N805,(N805:P805,Q805:AE805)),0)</f>
        <v>1</v>
      </c>
      <c r="E805" s="5">
        <f>IF(O805&gt;0,RANK(O805,(N805:P805,Q805:AE805)),0)</f>
        <v>2</v>
      </c>
      <c r="F805" s="5">
        <f t="shared" si="236"/>
        <v>6</v>
      </c>
      <c r="G805" s="1">
        <f t="shared" si="237"/>
        <v>117</v>
      </c>
      <c r="H805" s="2">
        <f t="shared" si="244"/>
        <v>5.8646616541353384E-2</v>
      </c>
      <c r="I805" s="6"/>
      <c r="J805" s="2">
        <f t="shared" si="238"/>
        <v>0.47819548872180451</v>
      </c>
      <c r="K805" s="2">
        <f t="shared" si="239"/>
        <v>0.41954887218045112</v>
      </c>
      <c r="L805" s="2">
        <f t="shared" si="240"/>
        <v>2.5062656641604009E-3</v>
      </c>
      <c r="M805" s="2">
        <f t="shared" si="241"/>
        <v>9.9749373433583977E-2</v>
      </c>
      <c r="N805" s="63">
        <v>954</v>
      </c>
      <c r="O805" s="63">
        <v>837</v>
      </c>
      <c r="P805" s="63">
        <v>5</v>
      </c>
      <c r="Q805" s="63">
        <v>140</v>
      </c>
      <c r="R805" s="63">
        <v>26</v>
      </c>
      <c r="S805" s="63"/>
      <c r="T805" s="63"/>
      <c r="U805" s="63"/>
      <c r="V805" s="63"/>
      <c r="W805" s="63">
        <f t="shared" si="242"/>
        <v>33</v>
      </c>
      <c r="X805" s="63"/>
      <c r="Y805" s="63"/>
      <c r="Z805" s="63"/>
      <c r="AA805" s="63">
        <v>0</v>
      </c>
      <c r="AB805" s="63"/>
      <c r="AE805" s="8">
        <v>0</v>
      </c>
      <c r="AT805" t="str">
        <f t="shared" si="245"/>
        <v>Dunstable</v>
      </c>
      <c r="AU805" t="s">
        <v>503</v>
      </c>
      <c r="AV805">
        <v>3</v>
      </c>
      <c r="AX805" s="114">
        <v>25</v>
      </c>
      <c r="AY805" s="116">
        <v>17</v>
      </c>
      <c r="AZ805" s="116">
        <v>80</v>
      </c>
      <c r="BA805" s="120">
        <v>17825</v>
      </c>
      <c r="BB805" s="120">
        <f t="shared" si="246"/>
        <v>25017</v>
      </c>
      <c r="BC805" t="s">
        <v>1472</v>
      </c>
      <c r="BD805">
        <f t="shared" si="243"/>
        <v>2517825</v>
      </c>
      <c r="BE805" s="66">
        <v>40</v>
      </c>
      <c r="BF805" s="66"/>
      <c r="BI805">
        <v>16.739999999999998</v>
      </c>
      <c r="BJ805">
        <v>0.19</v>
      </c>
      <c r="BK805">
        <v>16.55</v>
      </c>
      <c r="BQ805">
        <v>33</v>
      </c>
      <c r="BS805">
        <v>0</v>
      </c>
    </row>
    <row r="806" spans="1:71" hidden="1" outlineLevel="1">
      <c r="A806" s="64" t="s">
        <v>2986</v>
      </c>
      <c r="B806" s="8" t="s">
        <v>1320</v>
      </c>
      <c r="C806" s="1">
        <f t="shared" si="235"/>
        <v>9947</v>
      </c>
      <c r="D806" s="5">
        <f>IF(N806&gt;0, RANK(N806,(N806:P806,Q806:AE806)),0)</f>
        <v>1</v>
      </c>
      <c r="E806" s="5">
        <f>IF(O806&gt;0,RANK(O806,(N806:P806,Q806:AE806)),0)</f>
        <v>2</v>
      </c>
      <c r="F806" s="5">
        <f t="shared" si="236"/>
        <v>0</v>
      </c>
      <c r="G806" s="1">
        <f t="shared" si="237"/>
        <v>1249</v>
      </c>
      <c r="H806" s="2">
        <f t="shared" si="244"/>
        <v>0.12556549713481452</v>
      </c>
      <c r="I806" s="6"/>
      <c r="J806" s="2">
        <f t="shared" si="238"/>
        <v>0.51643711671860859</v>
      </c>
      <c r="K806" s="2">
        <f t="shared" si="239"/>
        <v>0.39087161958379413</v>
      </c>
      <c r="L806" s="2">
        <f t="shared" si="240"/>
        <v>0</v>
      </c>
      <c r="M806" s="2">
        <f t="shared" si="241"/>
        <v>9.2691263697597281E-2</v>
      </c>
      <c r="N806" s="63">
        <v>5137</v>
      </c>
      <c r="O806" s="63">
        <v>3888</v>
      </c>
      <c r="P806" s="63">
        <v>0</v>
      </c>
      <c r="Q806" s="63">
        <v>531</v>
      </c>
      <c r="R806" s="63">
        <v>112</v>
      </c>
      <c r="S806" s="63"/>
      <c r="T806" s="63"/>
      <c r="U806" s="63"/>
      <c r="V806" s="63"/>
      <c r="W806" s="63">
        <f t="shared" si="242"/>
        <v>279</v>
      </c>
      <c r="X806" s="63"/>
      <c r="Y806" s="63"/>
      <c r="Z806" s="63"/>
      <c r="AA806" s="63">
        <v>0</v>
      </c>
      <c r="AB806" s="63"/>
      <c r="AE806" s="8">
        <v>0</v>
      </c>
      <c r="AT806" t="str">
        <f t="shared" si="245"/>
        <v>Duxbury</v>
      </c>
      <c r="AU806" t="s">
        <v>231</v>
      </c>
      <c r="AV806">
        <v>9</v>
      </c>
      <c r="AX806" s="114">
        <v>25</v>
      </c>
      <c r="AY806" s="116">
        <v>23</v>
      </c>
      <c r="AZ806" s="116">
        <v>25</v>
      </c>
      <c r="BA806" s="120">
        <v>17895</v>
      </c>
      <c r="BB806" s="120">
        <f t="shared" si="246"/>
        <v>25023</v>
      </c>
      <c r="BC806" t="s">
        <v>1472</v>
      </c>
      <c r="BD806">
        <f t="shared" si="243"/>
        <v>2517895</v>
      </c>
      <c r="BE806" s="66">
        <v>149</v>
      </c>
      <c r="BF806" s="66"/>
      <c r="BI806">
        <v>37.619999999999997</v>
      </c>
      <c r="BJ806">
        <v>13.87</v>
      </c>
      <c r="BK806">
        <v>23.75</v>
      </c>
      <c r="BQ806">
        <v>279</v>
      </c>
      <c r="BS806">
        <v>0</v>
      </c>
    </row>
    <row r="807" spans="1:71" hidden="1" outlineLevel="1">
      <c r="A807" s="64" t="s">
        <v>2264</v>
      </c>
      <c r="B807" s="8" t="s">
        <v>1320</v>
      </c>
      <c r="C807" s="1">
        <f t="shared" si="235"/>
        <v>7894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 t="shared" si="236"/>
        <v>6</v>
      </c>
      <c r="G807" s="1">
        <f t="shared" si="237"/>
        <v>899</v>
      </c>
      <c r="H807" s="2">
        <f t="shared" si="244"/>
        <v>0.11388396250316696</v>
      </c>
      <c r="I807" s="6"/>
      <c r="J807" s="2">
        <f t="shared" si="238"/>
        <v>0.40207752723587536</v>
      </c>
      <c r="K807" s="2">
        <f t="shared" si="239"/>
        <v>0.51596148973904232</v>
      </c>
      <c r="L807" s="2">
        <f t="shared" si="240"/>
        <v>6.3339244996199646E-4</v>
      </c>
      <c r="M807" s="2">
        <f t="shared" si="241"/>
        <v>8.1327590575120262E-2</v>
      </c>
      <c r="N807" s="63">
        <v>3174</v>
      </c>
      <c r="O807" s="63">
        <v>4073</v>
      </c>
      <c r="P807" s="63">
        <v>5</v>
      </c>
      <c r="Q807" s="63">
        <v>430</v>
      </c>
      <c r="R807" s="63">
        <v>86</v>
      </c>
      <c r="S807" s="63"/>
      <c r="T807" s="63"/>
      <c r="U807" s="63"/>
      <c r="V807" s="63"/>
      <c r="W807" s="63">
        <f t="shared" si="242"/>
        <v>126</v>
      </c>
      <c r="X807" s="63"/>
      <c r="Y807" s="63"/>
      <c r="Z807" s="63"/>
      <c r="AA807" s="63">
        <v>0</v>
      </c>
      <c r="AB807" s="63"/>
      <c r="AE807" s="8">
        <v>0</v>
      </c>
      <c r="AT807" t="str">
        <f t="shared" si="245"/>
        <v>East Bridgewater</v>
      </c>
      <c r="AU807" t="s">
        <v>231</v>
      </c>
      <c r="AV807">
        <v>8</v>
      </c>
      <c r="AX807" s="114">
        <v>25</v>
      </c>
      <c r="AY807" s="116">
        <v>23</v>
      </c>
      <c r="AZ807" s="116">
        <v>30</v>
      </c>
      <c r="BA807" s="120">
        <v>18455</v>
      </c>
      <c r="BB807" s="120">
        <f t="shared" si="246"/>
        <v>25023</v>
      </c>
      <c r="BC807" t="s">
        <v>1472</v>
      </c>
      <c r="BD807">
        <f t="shared" si="243"/>
        <v>2518455</v>
      </c>
      <c r="BE807" s="66">
        <v>121</v>
      </c>
      <c r="BF807" s="66"/>
      <c r="BI807">
        <v>17.5</v>
      </c>
      <c r="BJ807">
        <v>0.26</v>
      </c>
      <c r="BK807">
        <v>17.239999999999998</v>
      </c>
      <c r="BQ807">
        <v>126</v>
      </c>
      <c r="BS807">
        <v>0</v>
      </c>
    </row>
    <row r="808" spans="1:71" hidden="1" outlineLevel="1">
      <c r="A808" s="64" t="s">
        <v>2741</v>
      </c>
      <c r="B808" s="8" t="s">
        <v>1320</v>
      </c>
      <c r="C808" s="1">
        <f t="shared" si="235"/>
        <v>1196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 t="shared" si="236"/>
        <v>0</v>
      </c>
      <c r="G808" s="1">
        <f t="shared" si="237"/>
        <v>247</v>
      </c>
      <c r="H808" s="2">
        <f t="shared" si="244"/>
        <v>0.20652173913043478</v>
      </c>
      <c r="I808" s="6"/>
      <c r="J808" s="2">
        <f t="shared" si="238"/>
        <v>0.34866220735785952</v>
      </c>
      <c r="K808" s="2">
        <f t="shared" si="239"/>
        <v>0.55518394648829428</v>
      </c>
      <c r="L808" s="2">
        <f t="shared" si="240"/>
        <v>0</v>
      </c>
      <c r="M808" s="2">
        <f t="shared" si="241"/>
        <v>9.6153846153846145E-2</v>
      </c>
      <c r="N808" s="63">
        <v>417</v>
      </c>
      <c r="O808" s="63">
        <v>664</v>
      </c>
      <c r="P808" s="63">
        <v>0</v>
      </c>
      <c r="Q808" s="63">
        <v>65</v>
      </c>
      <c r="R808" s="63">
        <v>18</v>
      </c>
      <c r="S808" s="63"/>
      <c r="T808" s="63"/>
      <c r="U808" s="63"/>
      <c r="V808" s="63"/>
      <c r="W808" s="63">
        <f t="shared" si="242"/>
        <v>32</v>
      </c>
      <c r="X808" s="63"/>
      <c r="Y808" s="63"/>
      <c r="Z808" s="63"/>
      <c r="AA808" s="63">
        <v>0</v>
      </c>
      <c r="AB808" s="63"/>
      <c r="AE808" s="8">
        <v>0</v>
      </c>
      <c r="AT808" t="str">
        <f t="shared" si="245"/>
        <v>East Brookfield</v>
      </c>
      <c r="AU808" s="8" t="s">
        <v>1774</v>
      </c>
      <c r="AV808">
        <v>1</v>
      </c>
      <c r="AX808" s="114">
        <v>25</v>
      </c>
      <c r="AY808" s="116">
        <v>27</v>
      </c>
      <c r="AZ808" s="116">
        <v>70</v>
      </c>
      <c r="BA808" s="120">
        <v>18560</v>
      </c>
      <c r="BB808" s="120">
        <f t="shared" si="246"/>
        <v>25027</v>
      </c>
      <c r="BC808" t="s">
        <v>1472</v>
      </c>
      <c r="BD808">
        <f t="shared" si="243"/>
        <v>2518560</v>
      </c>
      <c r="BE808" s="66">
        <v>21</v>
      </c>
      <c r="BF808" s="66"/>
      <c r="BI808">
        <v>10.38</v>
      </c>
      <c r="BJ808">
        <v>0.53</v>
      </c>
      <c r="BK808">
        <v>9.84</v>
      </c>
      <c r="BQ808">
        <v>32</v>
      </c>
      <c r="BS808">
        <v>0</v>
      </c>
    </row>
    <row r="809" spans="1:71" hidden="1" outlineLevel="1">
      <c r="A809" s="64" t="s">
        <v>1902</v>
      </c>
      <c r="B809" s="8" t="s">
        <v>1320</v>
      </c>
      <c r="C809" s="1">
        <f t="shared" si="235"/>
        <v>9212</v>
      </c>
      <c r="D809" s="5">
        <f>IF(N809&gt;0, RANK(N809,(N809:P809,Q809:AE809)),0)</f>
        <v>2</v>
      </c>
      <c r="E809" s="5">
        <f>IF(O809&gt;0,RANK(O809,(N809:P809,Q809:AE809)),0)</f>
        <v>1</v>
      </c>
      <c r="F809" s="5">
        <f t="shared" si="236"/>
        <v>0</v>
      </c>
      <c r="G809" s="1">
        <f t="shared" si="237"/>
        <v>352</v>
      </c>
      <c r="H809" s="2">
        <f t="shared" si="244"/>
        <v>3.8211029092488059E-2</v>
      </c>
      <c r="I809" s="6"/>
      <c r="J809" s="2">
        <f t="shared" si="238"/>
        <v>0.44387755102040816</v>
      </c>
      <c r="K809" s="2">
        <f t="shared" si="239"/>
        <v>0.48208858011289624</v>
      </c>
      <c r="L809" s="2">
        <f t="shared" si="240"/>
        <v>0</v>
      </c>
      <c r="M809" s="2">
        <f t="shared" si="241"/>
        <v>7.4033868866695607E-2</v>
      </c>
      <c r="N809" s="63">
        <v>4089</v>
      </c>
      <c r="O809" s="63">
        <v>4441</v>
      </c>
      <c r="P809" s="63">
        <v>0</v>
      </c>
      <c r="Q809" s="63">
        <v>402</v>
      </c>
      <c r="R809" s="63">
        <v>115</v>
      </c>
      <c r="S809" s="63"/>
      <c r="T809" s="63"/>
      <c r="U809" s="63"/>
      <c r="V809" s="63"/>
      <c r="W809" s="63">
        <f t="shared" si="242"/>
        <v>165</v>
      </c>
      <c r="X809" s="63"/>
      <c r="Y809" s="63"/>
      <c r="Z809" s="63"/>
      <c r="AA809" s="63">
        <v>0</v>
      </c>
      <c r="AB809" s="63"/>
      <c r="AE809" s="8">
        <v>0</v>
      </c>
      <c r="AT809" t="str">
        <f t="shared" si="245"/>
        <v>East Longmeadow</v>
      </c>
      <c r="AU809" t="s">
        <v>2852</v>
      </c>
      <c r="AV809">
        <v>1</v>
      </c>
      <c r="AX809" s="114">
        <v>25</v>
      </c>
      <c r="AY809" s="116">
        <v>13</v>
      </c>
      <c r="AZ809" s="116">
        <v>30</v>
      </c>
      <c r="BA809" s="120">
        <v>19645</v>
      </c>
      <c r="BB809" s="120">
        <f t="shared" si="246"/>
        <v>25013</v>
      </c>
      <c r="BC809" t="s">
        <v>1472</v>
      </c>
      <c r="BD809">
        <f t="shared" si="243"/>
        <v>2519645</v>
      </c>
      <c r="BE809" s="66">
        <v>123</v>
      </c>
      <c r="BF809" s="66"/>
      <c r="BI809">
        <v>13.01</v>
      </c>
      <c r="BJ809">
        <v>0.04</v>
      </c>
      <c r="BK809">
        <v>12.97</v>
      </c>
      <c r="BQ809">
        <v>165</v>
      </c>
      <c r="BS809">
        <v>0</v>
      </c>
    </row>
    <row r="810" spans="1:71" hidden="1" outlineLevel="1">
      <c r="A810" s="64" t="s">
        <v>1371</v>
      </c>
      <c r="B810" s="8" t="s">
        <v>1320</v>
      </c>
      <c r="C810" s="1">
        <f t="shared" si="235"/>
        <v>3652</v>
      </c>
      <c r="D810" s="5">
        <f>IF(N810&gt;0, RANK(N810,(N810:P810,Q810:AE810)),0)</f>
        <v>1</v>
      </c>
      <c r="E810" s="5">
        <f>IF(O810&gt;0,RANK(O810,(N810:P810,Q810:AE810)),0)</f>
        <v>2</v>
      </c>
      <c r="F810" s="5">
        <f t="shared" si="236"/>
        <v>0</v>
      </c>
      <c r="G810" s="1">
        <f t="shared" si="237"/>
        <v>1004</v>
      </c>
      <c r="H810" s="2">
        <f t="shared" si="244"/>
        <v>0.27491785323110624</v>
      </c>
      <c r="I810" s="6"/>
      <c r="J810" s="2">
        <f t="shared" si="238"/>
        <v>0.60323110624315446</v>
      </c>
      <c r="K810" s="2">
        <f t="shared" si="239"/>
        <v>0.32831325301204817</v>
      </c>
      <c r="L810" s="2">
        <f t="shared" si="240"/>
        <v>0</v>
      </c>
      <c r="M810" s="2">
        <f t="shared" si="241"/>
        <v>6.8455640744797375E-2</v>
      </c>
      <c r="N810" s="63">
        <v>2203</v>
      </c>
      <c r="O810" s="63">
        <v>1199</v>
      </c>
      <c r="P810" s="63">
        <v>0</v>
      </c>
      <c r="Q810" s="63">
        <v>134</v>
      </c>
      <c r="R810" s="63">
        <v>61</v>
      </c>
      <c r="S810" s="63"/>
      <c r="T810" s="63"/>
      <c r="U810" s="63"/>
      <c r="V810" s="63"/>
      <c r="W810" s="63">
        <f t="shared" si="242"/>
        <v>55</v>
      </c>
      <c r="X810" s="63"/>
      <c r="Y810" s="63"/>
      <c r="Z810" s="63"/>
      <c r="AA810" s="63">
        <v>0</v>
      </c>
      <c r="AB810" s="63"/>
      <c r="AE810" s="8">
        <v>0</v>
      </c>
      <c r="AT810" t="str">
        <f t="shared" si="245"/>
        <v>Eastham</v>
      </c>
      <c r="AU810" t="s">
        <v>2411</v>
      </c>
      <c r="AV810">
        <v>9</v>
      </c>
      <c r="AX810" s="114">
        <v>25</v>
      </c>
      <c r="AY810" s="116">
        <v>1</v>
      </c>
      <c r="AZ810" s="116">
        <v>30</v>
      </c>
      <c r="BA810" s="120">
        <v>19295</v>
      </c>
      <c r="BB810" s="120">
        <f t="shared" si="246"/>
        <v>25001</v>
      </c>
      <c r="BC810" t="s">
        <v>1472</v>
      </c>
      <c r="BD810">
        <f t="shared" si="243"/>
        <v>2519295</v>
      </c>
      <c r="BE810" s="66">
        <v>50</v>
      </c>
      <c r="BF810" s="66"/>
      <c r="BI810">
        <v>27.25</v>
      </c>
      <c r="BJ810">
        <v>13.26</v>
      </c>
      <c r="BK810">
        <v>13.99</v>
      </c>
      <c r="BQ810">
        <v>55</v>
      </c>
      <c r="BS810">
        <v>0</v>
      </c>
    </row>
    <row r="811" spans="1:71" hidden="1" outlineLevel="1">
      <c r="A811" s="64" t="s">
        <v>2125</v>
      </c>
      <c r="B811" s="8" t="s">
        <v>1320</v>
      </c>
      <c r="C811" s="1">
        <f t="shared" si="235"/>
        <v>9649</v>
      </c>
      <c r="D811" s="5">
        <f>IF(N811&gt;0, RANK(N811,(N811:P811,Q811:AE811)),0)</f>
        <v>1</v>
      </c>
      <c r="E811" s="5">
        <f>IF(O811&gt;0,RANK(O811,(N811:P811,Q811:AE811)),0)</f>
        <v>2</v>
      </c>
      <c r="F811" s="5">
        <f t="shared" si="236"/>
        <v>6</v>
      </c>
      <c r="G811" s="1">
        <f t="shared" si="237"/>
        <v>3614</v>
      </c>
      <c r="H811" s="2">
        <f t="shared" si="244"/>
        <v>0.37454658513835631</v>
      </c>
      <c r="I811" s="6"/>
      <c r="J811" s="2">
        <f t="shared" si="238"/>
        <v>0.64390092237537566</v>
      </c>
      <c r="K811" s="2">
        <f t="shared" si="239"/>
        <v>0.2693543372370194</v>
      </c>
      <c r="L811" s="2">
        <f t="shared" si="240"/>
        <v>1.2436521919369883E-3</v>
      </c>
      <c r="M811" s="2">
        <f t="shared" si="241"/>
        <v>8.5501088195667943E-2</v>
      </c>
      <c r="N811" s="63">
        <v>6213</v>
      </c>
      <c r="O811" s="63">
        <v>2599</v>
      </c>
      <c r="P811" s="63">
        <v>12</v>
      </c>
      <c r="Q811" s="63">
        <v>367</v>
      </c>
      <c r="R811" s="63">
        <v>305</v>
      </c>
      <c r="S811" s="63"/>
      <c r="T811" s="63"/>
      <c r="U811" s="63"/>
      <c r="V811" s="63"/>
      <c r="W811" s="63">
        <f t="shared" si="242"/>
        <v>152</v>
      </c>
      <c r="X811" s="63"/>
      <c r="Y811" s="63"/>
      <c r="Z811" s="63"/>
      <c r="AA811" s="63">
        <v>1</v>
      </c>
      <c r="AB811" s="63"/>
      <c r="AE811" s="8">
        <v>0</v>
      </c>
      <c r="AT811" t="str">
        <f t="shared" si="245"/>
        <v>Easthampton</v>
      </c>
      <c r="AU811" t="s">
        <v>2176</v>
      </c>
      <c r="AV811">
        <v>1</v>
      </c>
      <c r="AX811" s="114">
        <v>25</v>
      </c>
      <c r="AY811" s="116">
        <v>15</v>
      </c>
      <c r="AZ811" s="116">
        <v>25</v>
      </c>
      <c r="BA811" s="120">
        <v>19330</v>
      </c>
      <c r="BB811" s="120">
        <f t="shared" si="246"/>
        <v>25015</v>
      </c>
      <c r="BC811" t="s">
        <v>1249</v>
      </c>
      <c r="BD811">
        <f t="shared" si="243"/>
        <v>2519330</v>
      </c>
      <c r="BE811" s="66">
        <v>147</v>
      </c>
      <c r="BF811" s="66"/>
      <c r="BI811">
        <v>13.6</v>
      </c>
      <c r="BJ811">
        <v>0.19</v>
      </c>
      <c r="BK811">
        <v>13.42</v>
      </c>
      <c r="BQ811">
        <v>152</v>
      </c>
      <c r="BS811">
        <v>0</v>
      </c>
    </row>
    <row r="812" spans="1:71" hidden="1" outlineLevel="1">
      <c r="A812" s="64" t="s">
        <v>2524</v>
      </c>
      <c r="B812" s="8" t="s">
        <v>1320</v>
      </c>
      <c r="C812" s="1">
        <f t="shared" si="235"/>
        <v>12684</v>
      </c>
      <c r="D812" s="5">
        <f>IF(N812&gt;0, RANK(N812,(N812:P812,Q812:AE812)),0)</f>
        <v>1</v>
      </c>
      <c r="E812" s="5">
        <f>IF(O812&gt;0,RANK(O812,(N812:P812,Q812:AE812)),0)</f>
        <v>2</v>
      </c>
      <c r="F812" s="5">
        <f t="shared" si="236"/>
        <v>6</v>
      </c>
      <c r="G812" s="1">
        <f t="shared" si="237"/>
        <v>1325</v>
      </c>
      <c r="H812" s="2">
        <f t="shared" si="244"/>
        <v>0.10446231472721539</v>
      </c>
      <c r="I812" s="6"/>
      <c r="J812" s="2">
        <f t="shared" si="238"/>
        <v>0.51687164932198049</v>
      </c>
      <c r="K812" s="2">
        <f t="shared" si="239"/>
        <v>0.41240933459476503</v>
      </c>
      <c r="L812" s="2">
        <f t="shared" si="240"/>
        <v>1.8921475875118259E-3</v>
      </c>
      <c r="M812" s="2">
        <f t="shared" si="241"/>
        <v>6.8826868495742655E-2</v>
      </c>
      <c r="N812" s="63">
        <v>6556</v>
      </c>
      <c r="O812" s="63">
        <v>5231</v>
      </c>
      <c r="P812" s="63">
        <v>24</v>
      </c>
      <c r="Q812" s="63">
        <v>623</v>
      </c>
      <c r="R812" s="63">
        <v>134</v>
      </c>
      <c r="S812" s="63"/>
      <c r="T812" s="63"/>
      <c r="U812" s="63"/>
      <c r="V812" s="63"/>
      <c r="W812" s="63">
        <f t="shared" si="242"/>
        <v>116</v>
      </c>
      <c r="X812" s="63"/>
      <c r="Y812" s="63"/>
      <c r="Z812" s="63"/>
      <c r="AA812" s="63">
        <v>0</v>
      </c>
      <c r="AB812" s="63"/>
      <c r="AE812" s="8">
        <v>0</v>
      </c>
      <c r="AT812" t="str">
        <f t="shared" si="245"/>
        <v>Easton</v>
      </c>
      <c r="AU812" t="s">
        <v>2215</v>
      </c>
      <c r="AV812">
        <v>4</v>
      </c>
      <c r="AX812" s="114">
        <v>25</v>
      </c>
      <c r="AY812" s="116">
        <v>5</v>
      </c>
      <c r="AZ812" s="116">
        <v>30</v>
      </c>
      <c r="BA812" s="120">
        <v>20100</v>
      </c>
      <c r="BB812" s="120">
        <f t="shared" si="246"/>
        <v>25005</v>
      </c>
      <c r="BC812" t="s">
        <v>1472</v>
      </c>
      <c r="BD812">
        <f t="shared" si="243"/>
        <v>2520100</v>
      </c>
      <c r="BE812" s="66">
        <v>327</v>
      </c>
      <c r="BF812" s="66"/>
      <c r="BI812">
        <v>29.17</v>
      </c>
      <c r="BJ812">
        <v>0.74</v>
      </c>
      <c r="BK812">
        <v>28.44</v>
      </c>
      <c r="BQ812">
        <v>116</v>
      </c>
      <c r="BS812">
        <v>0</v>
      </c>
    </row>
    <row r="813" spans="1:71" hidden="1" outlineLevel="1">
      <c r="A813" s="64" t="s">
        <v>1872</v>
      </c>
      <c r="B813" s="8" t="s">
        <v>1320</v>
      </c>
      <c r="C813" s="1">
        <f t="shared" si="235"/>
        <v>2758</v>
      </c>
      <c r="D813" s="5">
        <f>IF(N813&gt;0, RANK(N813,(N813:P813,Q813:AE813)),0)</f>
        <v>1</v>
      </c>
      <c r="E813" s="5">
        <f>IF(O813&gt;0,RANK(O813,(N813:P813,Q813:AE813)),0)</f>
        <v>2</v>
      </c>
      <c r="F813" s="5">
        <f t="shared" si="236"/>
        <v>0</v>
      </c>
      <c r="G813" s="1">
        <f t="shared" si="237"/>
        <v>1008</v>
      </c>
      <c r="H813" s="2">
        <f t="shared" si="244"/>
        <v>0.36548223350253806</v>
      </c>
      <c r="I813" s="6"/>
      <c r="J813" s="2">
        <f t="shared" si="238"/>
        <v>0.6479332849891225</v>
      </c>
      <c r="K813" s="2">
        <f t="shared" si="239"/>
        <v>0.2824510514865845</v>
      </c>
      <c r="L813" s="2">
        <f t="shared" si="240"/>
        <v>0</v>
      </c>
      <c r="M813" s="2">
        <f t="shared" si="241"/>
        <v>6.9615663524292992E-2</v>
      </c>
      <c r="N813" s="63">
        <v>1787</v>
      </c>
      <c r="O813" s="63">
        <v>779</v>
      </c>
      <c r="P813" s="63">
        <v>0</v>
      </c>
      <c r="Q813" s="63">
        <v>99</v>
      </c>
      <c r="R813" s="63">
        <v>53</v>
      </c>
      <c r="S813" s="63"/>
      <c r="T813" s="63"/>
      <c r="U813" s="63"/>
      <c r="V813" s="63"/>
      <c r="W813" s="63">
        <f t="shared" si="242"/>
        <v>40</v>
      </c>
      <c r="X813" s="63"/>
      <c r="Y813" s="63"/>
      <c r="Z813" s="63"/>
      <c r="AA813" s="63">
        <v>0</v>
      </c>
      <c r="AB813" s="63"/>
      <c r="AE813" s="8">
        <v>0</v>
      </c>
      <c r="AT813" t="str">
        <f t="shared" si="245"/>
        <v>Edgartown</v>
      </c>
      <c r="AU813" t="s">
        <v>3032</v>
      </c>
      <c r="AV813">
        <v>9</v>
      </c>
      <c r="AX813" s="114">
        <v>25</v>
      </c>
      <c r="AY813" s="116">
        <v>7</v>
      </c>
      <c r="AZ813" s="116">
        <v>10</v>
      </c>
      <c r="BA813" s="120">
        <v>21150</v>
      </c>
      <c r="BB813" s="120">
        <f t="shared" si="246"/>
        <v>25007</v>
      </c>
      <c r="BC813" t="s">
        <v>1472</v>
      </c>
      <c r="BD813">
        <f t="shared" si="243"/>
        <v>2521150</v>
      </c>
      <c r="BE813" s="66">
        <v>52</v>
      </c>
      <c r="BF813" s="66"/>
      <c r="BI813">
        <v>122.74</v>
      </c>
      <c r="BJ813">
        <v>95.75</v>
      </c>
      <c r="BK813">
        <v>26.99</v>
      </c>
      <c r="BQ813">
        <v>40</v>
      </c>
      <c r="BS813">
        <v>0</v>
      </c>
    </row>
    <row r="814" spans="1:71" hidden="1" outlineLevel="1">
      <c r="A814" s="64" t="s">
        <v>2981</v>
      </c>
      <c r="B814" s="8" t="s">
        <v>1320</v>
      </c>
      <c r="C814" s="1">
        <f t="shared" si="235"/>
        <v>832</v>
      </c>
      <c r="D814" s="5">
        <f>IF(N814&gt;0, RANK(N814,(N814:P814,Q814:AE814)),0)</f>
        <v>1</v>
      </c>
      <c r="E814" s="5">
        <f>IF(O814&gt;0,RANK(O814,(N814:P814,Q814:AE814)),0)</f>
        <v>2</v>
      </c>
      <c r="F814" s="5">
        <f t="shared" si="236"/>
        <v>0</v>
      </c>
      <c r="G814" s="1">
        <f t="shared" si="237"/>
        <v>474</v>
      </c>
      <c r="H814" s="2">
        <f t="shared" si="244"/>
        <v>0.56971153846153844</v>
      </c>
      <c r="I814" s="6"/>
      <c r="J814" s="2">
        <f t="shared" si="238"/>
        <v>0.74639423076923073</v>
      </c>
      <c r="K814" s="2">
        <f t="shared" si="239"/>
        <v>0.17668269230769232</v>
      </c>
      <c r="L814" s="2">
        <f t="shared" si="240"/>
        <v>0</v>
      </c>
      <c r="M814" s="2">
        <f t="shared" si="241"/>
        <v>7.6923076923076955E-2</v>
      </c>
      <c r="N814" s="63">
        <v>621</v>
      </c>
      <c r="O814" s="63">
        <v>147</v>
      </c>
      <c r="P814" s="63">
        <v>0</v>
      </c>
      <c r="Q814" s="63">
        <v>30</v>
      </c>
      <c r="R814" s="63">
        <v>30</v>
      </c>
      <c r="S814" s="63"/>
      <c r="T814" s="63"/>
      <c r="U814" s="63"/>
      <c r="V814" s="63"/>
      <c r="W814" s="63">
        <f t="shared" si="242"/>
        <v>4</v>
      </c>
      <c r="X814" s="63"/>
      <c r="Y814" s="63"/>
      <c r="Z814" s="63"/>
      <c r="AA814" s="63">
        <v>0</v>
      </c>
      <c r="AB814" s="63"/>
      <c r="AE814" s="8">
        <v>0</v>
      </c>
      <c r="AT814" t="str">
        <f t="shared" si="245"/>
        <v>Egremont</v>
      </c>
      <c r="AU814" t="s">
        <v>2313</v>
      </c>
      <c r="AV814">
        <v>1</v>
      </c>
      <c r="AX814" s="114">
        <v>25</v>
      </c>
      <c r="AY814" s="116">
        <v>3</v>
      </c>
      <c r="AZ814" s="116">
        <v>35</v>
      </c>
      <c r="BA814" s="120">
        <v>21360</v>
      </c>
      <c r="BB814" s="120">
        <f t="shared" si="246"/>
        <v>25003</v>
      </c>
      <c r="BC814" t="s">
        <v>1472</v>
      </c>
      <c r="BD814">
        <f t="shared" si="243"/>
        <v>2521360</v>
      </c>
      <c r="BE814" s="66">
        <v>13</v>
      </c>
      <c r="BF814" s="66"/>
      <c r="BI814">
        <v>18.95</v>
      </c>
      <c r="BJ814">
        <v>0.12</v>
      </c>
      <c r="BK814">
        <v>18.84</v>
      </c>
      <c r="BQ814">
        <v>4</v>
      </c>
      <c r="BS814">
        <v>0</v>
      </c>
    </row>
    <row r="815" spans="1:71" hidden="1" outlineLevel="1">
      <c r="A815" s="64" t="s">
        <v>2297</v>
      </c>
      <c r="B815" s="8" t="s">
        <v>1320</v>
      </c>
      <c r="C815" s="1">
        <f t="shared" si="235"/>
        <v>822</v>
      </c>
      <c r="D815" s="5">
        <f>IF(N815&gt;0, RANK(N815,(N815:P815,Q815:AE815)),0)</f>
        <v>1</v>
      </c>
      <c r="E815" s="5">
        <f>IF(O815&gt;0,RANK(O815,(N815:P815,Q815:AE815)),0)</f>
        <v>2</v>
      </c>
      <c r="F815" s="5">
        <f t="shared" si="236"/>
        <v>0</v>
      </c>
      <c r="G815" s="1">
        <f t="shared" si="237"/>
        <v>120</v>
      </c>
      <c r="H815" s="2">
        <f t="shared" si="244"/>
        <v>0.145985401459854</v>
      </c>
      <c r="I815" s="6"/>
      <c r="J815" s="2">
        <f t="shared" si="238"/>
        <v>0.51094890510948909</v>
      </c>
      <c r="K815" s="2">
        <f t="shared" si="239"/>
        <v>0.36496350364963503</v>
      </c>
      <c r="L815" s="2">
        <f t="shared" si="240"/>
        <v>0</v>
      </c>
      <c r="M815" s="2">
        <f t="shared" si="241"/>
        <v>0.12408759124087587</v>
      </c>
      <c r="N815" s="63">
        <v>420</v>
      </c>
      <c r="O815" s="63">
        <v>300</v>
      </c>
      <c r="P815" s="63">
        <v>0</v>
      </c>
      <c r="Q815" s="63">
        <v>59</v>
      </c>
      <c r="R815" s="63">
        <v>32</v>
      </c>
      <c r="S815" s="63"/>
      <c r="T815" s="63"/>
      <c r="U815" s="63"/>
      <c r="V815" s="63"/>
      <c r="W815" s="63">
        <f t="shared" si="242"/>
        <v>11</v>
      </c>
      <c r="X815" s="63"/>
      <c r="Y815" s="63"/>
      <c r="Z815" s="63"/>
      <c r="AA815" s="63">
        <v>0</v>
      </c>
      <c r="AB815" s="63"/>
      <c r="AE815" s="8">
        <v>0</v>
      </c>
      <c r="AT815" t="str">
        <f t="shared" si="245"/>
        <v>Erving</v>
      </c>
      <c r="AU815" t="s">
        <v>1138</v>
      </c>
      <c r="AV815">
        <v>2</v>
      </c>
      <c r="AX815" s="114">
        <v>25</v>
      </c>
      <c r="AY815" s="116">
        <v>11</v>
      </c>
      <c r="AZ815" s="116">
        <v>40</v>
      </c>
      <c r="BA815" s="120">
        <v>21780</v>
      </c>
      <c r="BB815" s="120">
        <f t="shared" si="246"/>
        <v>25011</v>
      </c>
      <c r="BC815" t="s">
        <v>1472</v>
      </c>
      <c r="BD815">
        <f t="shared" si="243"/>
        <v>2521780</v>
      </c>
      <c r="BE815" s="66">
        <v>12</v>
      </c>
      <c r="BF815" s="66"/>
      <c r="BI815">
        <v>14.39</v>
      </c>
      <c r="BJ815">
        <v>0.52</v>
      </c>
      <c r="BK815">
        <v>13.87</v>
      </c>
      <c r="BQ815">
        <v>11</v>
      </c>
      <c r="BS815">
        <v>0</v>
      </c>
    </row>
    <row r="816" spans="1:71" hidden="1" outlineLevel="1">
      <c r="A816" s="64" t="s">
        <v>842</v>
      </c>
      <c r="B816" s="8" t="s">
        <v>1320</v>
      </c>
      <c r="C816" s="1">
        <f t="shared" si="235"/>
        <v>2270</v>
      </c>
      <c r="D816" s="5">
        <f>IF(N816&gt;0, RANK(N816,(N816:P816,Q816:AE816)),0)</f>
        <v>1</v>
      </c>
      <c r="E816" s="5">
        <f>IF(O816&gt;0,RANK(O816,(N816:P816,Q816:AE816)),0)</f>
        <v>2</v>
      </c>
      <c r="F816" s="5">
        <f t="shared" si="236"/>
        <v>0</v>
      </c>
      <c r="G816" s="1">
        <f t="shared" si="237"/>
        <v>514</v>
      </c>
      <c r="H816" s="2">
        <f t="shared" si="244"/>
        <v>0.226431718061674</v>
      </c>
      <c r="I816" s="6"/>
      <c r="J816" s="2">
        <f t="shared" si="238"/>
        <v>0.56035242290748899</v>
      </c>
      <c r="K816" s="2">
        <f t="shared" si="239"/>
        <v>0.33392070484581499</v>
      </c>
      <c r="L816" s="2">
        <f t="shared" si="240"/>
        <v>0</v>
      </c>
      <c r="M816" s="2">
        <f t="shared" si="241"/>
        <v>0.10572687224669602</v>
      </c>
      <c r="N816" s="63">
        <v>1272</v>
      </c>
      <c r="O816" s="63">
        <v>758</v>
      </c>
      <c r="P816" s="63">
        <v>0</v>
      </c>
      <c r="Q816" s="63">
        <v>166</v>
      </c>
      <c r="R816" s="63">
        <v>34</v>
      </c>
      <c r="S816" s="63"/>
      <c r="T816" s="63"/>
      <c r="U816" s="63"/>
      <c r="V816" s="63"/>
      <c r="W816" s="63">
        <f t="shared" si="242"/>
        <v>40</v>
      </c>
      <c r="X816" s="63"/>
      <c r="Y816" s="63"/>
      <c r="Z816" s="63"/>
      <c r="AA816" s="63">
        <v>0</v>
      </c>
      <c r="AB816" s="63"/>
      <c r="AE816" s="8">
        <v>0</v>
      </c>
      <c r="AT816" t="str">
        <f t="shared" si="245"/>
        <v>Essex</v>
      </c>
      <c r="AU816" t="s">
        <v>842</v>
      </c>
      <c r="AV816">
        <v>6</v>
      </c>
      <c r="AX816" s="114">
        <v>25</v>
      </c>
      <c r="AY816" s="116">
        <v>9</v>
      </c>
      <c r="AZ816" s="116">
        <v>30</v>
      </c>
      <c r="BA816" s="120">
        <v>21850</v>
      </c>
      <c r="BB816" s="120">
        <f t="shared" si="246"/>
        <v>25009</v>
      </c>
      <c r="BC816" t="s">
        <v>1472</v>
      </c>
      <c r="BD816">
        <f t="shared" si="243"/>
        <v>2521850</v>
      </c>
      <c r="BE816" s="66">
        <v>34</v>
      </c>
      <c r="BF816" s="66"/>
      <c r="BI816">
        <v>15.94</v>
      </c>
      <c r="BJ816">
        <v>1.78</v>
      </c>
      <c r="BK816">
        <v>14.16</v>
      </c>
      <c r="BQ816">
        <v>40</v>
      </c>
      <c r="BS816">
        <v>0</v>
      </c>
    </row>
    <row r="817" spans="1:71" hidden="1" outlineLevel="1">
      <c r="A817" s="64" t="s">
        <v>1986</v>
      </c>
      <c r="B817" s="8" t="s">
        <v>1320</v>
      </c>
      <c r="C817" s="1">
        <f t="shared" si="235"/>
        <v>14060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 t="shared" si="236"/>
        <v>0</v>
      </c>
      <c r="G817" s="1">
        <f t="shared" si="237"/>
        <v>5521</v>
      </c>
      <c r="H817" s="2">
        <f t="shared" si="244"/>
        <v>0.39267425320056898</v>
      </c>
      <c r="I817" s="6"/>
      <c r="J817" s="2">
        <f t="shared" si="238"/>
        <v>0.67290184921763874</v>
      </c>
      <c r="K817" s="2">
        <f t="shared" si="239"/>
        <v>0.2802275960170697</v>
      </c>
      <c r="L817" s="2">
        <f t="shared" si="240"/>
        <v>0</v>
      </c>
      <c r="M817" s="2">
        <f t="shared" si="241"/>
        <v>4.6870554765291561E-2</v>
      </c>
      <c r="N817" s="63">
        <v>9461</v>
      </c>
      <c r="O817" s="63">
        <v>3940</v>
      </c>
      <c r="P817" s="63">
        <v>0</v>
      </c>
      <c r="Q817" s="63">
        <v>309</v>
      </c>
      <c r="R817" s="63">
        <v>165</v>
      </c>
      <c r="S817" s="63"/>
      <c r="T817" s="63"/>
      <c r="U817" s="63"/>
      <c r="V817" s="63"/>
      <c r="W817" s="63">
        <f t="shared" si="242"/>
        <v>185</v>
      </c>
      <c r="X817" s="63"/>
      <c r="Y817" s="63"/>
      <c r="Z817" s="63"/>
      <c r="AA817" s="63">
        <v>0</v>
      </c>
      <c r="AB817" s="63"/>
      <c r="AE817" s="8">
        <v>0</v>
      </c>
      <c r="AT817" t="str">
        <f t="shared" si="245"/>
        <v>Everett</v>
      </c>
      <c r="AU817" t="s">
        <v>503</v>
      </c>
      <c r="AV817">
        <v>7</v>
      </c>
      <c r="AX817" s="114">
        <v>25</v>
      </c>
      <c r="AY817" s="116">
        <v>17</v>
      </c>
      <c r="AZ817" s="116">
        <v>85</v>
      </c>
      <c r="BA817" s="120">
        <v>21990</v>
      </c>
      <c r="BB817" s="120">
        <f t="shared" si="246"/>
        <v>25017</v>
      </c>
      <c r="BC817" t="s">
        <v>1249</v>
      </c>
      <c r="BD817">
        <f t="shared" si="243"/>
        <v>2521990</v>
      </c>
      <c r="BE817" s="66">
        <v>163</v>
      </c>
      <c r="BF817" s="66"/>
      <c r="BI817">
        <v>3.67</v>
      </c>
      <c r="BJ817">
        <v>0.28000000000000003</v>
      </c>
      <c r="BK817">
        <v>3.38</v>
      </c>
      <c r="BQ817">
        <v>185</v>
      </c>
      <c r="BS817">
        <v>0</v>
      </c>
    </row>
    <row r="818" spans="1:71" hidden="1" outlineLevel="1">
      <c r="A818" s="64" t="s">
        <v>1887</v>
      </c>
      <c r="B818" s="8" t="s">
        <v>1320</v>
      </c>
      <c r="C818" s="1">
        <f t="shared" si="235"/>
        <v>8656</v>
      </c>
      <c r="D818" s="5">
        <f>IF(N818&gt;0, RANK(N818,(N818:P818,Q818:AE818)),0)</f>
        <v>1</v>
      </c>
      <c r="E818" s="5">
        <f>IF(O818&gt;0,RANK(O818,(N818:P818,Q818:AE818)),0)</f>
        <v>2</v>
      </c>
      <c r="F818" s="5">
        <f t="shared" si="236"/>
        <v>0</v>
      </c>
      <c r="G818" s="1">
        <f t="shared" si="237"/>
        <v>440</v>
      </c>
      <c r="H818" s="2">
        <f t="shared" si="244"/>
        <v>5.0831792975970423E-2</v>
      </c>
      <c r="I818" s="6"/>
      <c r="J818" s="2">
        <f t="shared" si="238"/>
        <v>0.49260628465804068</v>
      </c>
      <c r="K818" s="2">
        <f t="shared" si="239"/>
        <v>0.44177449168207023</v>
      </c>
      <c r="L818" s="2">
        <f t="shared" si="240"/>
        <v>0</v>
      </c>
      <c r="M818" s="2">
        <f t="shared" si="241"/>
        <v>6.5619223659889092E-2</v>
      </c>
      <c r="N818" s="63">
        <v>4264</v>
      </c>
      <c r="O818" s="63">
        <v>3824</v>
      </c>
      <c r="P818" s="63">
        <v>0</v>
      </c>
      <c r="Q818" s="63">
        <v>317</v>
      </c>
      <c r="R818" s="63">
        <v>133</v>
      </c>
      <c r="S818" s="63"/>
      <c r="T818" s="63"/>
      <c r="U818" s="63"/>
      <c r="V818" s="63"/>
      <c r="W818" s="63">
        <f t="shared" si="242"/>
        <v>118</v>
      </c>
      <c r="X818" s="63"/>
      <c r="Y818" s="63"/>
      <c r="Z818" s="63"/>
      <c r="AA818" s="63">
        <v>0</v>
      </c>
      <c r="AB818" s="63"/>
      <c r="AE818" s="8">
        <v>0</v>
      </c>
      <c r="AT818" t="str">
        <f t="shared" si="245"/>
        <v>Fairhaven</v>
      </c>
      <c r="AU818" t="s">
        <v>2215</v>
      </c>
      <c r="AV818">
        <v>9</v>
      </c>
      <c r="AX818" s="114">
        <v>25</v>
      </c>
      <c r="AY818" s="116">
        <v>5</v>
      </c>
      <c r="AZ818" s="116">
        <v>35</v>
      </c>
      <c r="BA818" s="120">
        <v>22130</v>
      </c>
      <c r="BB818" s="120">
        <f t="shared" si="246"/>
        <v>25005</v>
      </c>
      <c r="BC818" t="s">
        <v>1472</v>
      </c>
      <c r="BD818">
        <f t="shared" si="243"/>
        <v>2522130</v>
      </c>
      <c r="BE818" s="66">
        <v>97</v>
      </c>
      <c r="BF818" s="66"/>
      <c r="BI818">
        <v>14.1</v>
      </c>
      <c r="BJ818">
        <v>1.7</v>
      </c>
      <c r="BK818">
        <v>12.4</v>
      </c>
      <c r="BQ818">
        <v>118</v>
      </c>
      <c r="BS818">
        <v>0</v>
      </c>
    </row>
    <row r="819" spans="1:71" hidden="1" outlineLevel="1">
      <c r="A819" s="64" t="s">
        <v>3043</v>
      </c>
      <c r="B819" s="8" t="s">
        <v>1320</v>
      </c>
      <c r="C819" s="1">
        <f t="shared" si="235"/>
        <v>29998</v>
      </c>
      <c r="D819" s="5">
        <f>IF(N819&gt;0, RANK(N819,(N819:P819,Q819:AE819)),0)</f>
        <v>1</v>
      </c>
      <c r="E819" s="5">
        <f>IF(O819&gt;0,RANK(O819,(N819:P819,Q819:AE819)),0)</f>
        <v>2</v>
      </c>
      <c r="F819" s="5">
        <f t="shared" si="236"/>
        <v>6</v>
      </c>
      <c r="G819" s="1">
        <f t="shared" si="237"/>
        <v>6617</v>
      </c>
      <c r="H819" s="2">
        <f t="shared" si="244"/>
        <v>0.22058137209147277</v>
      </c>
      <c r="I819" s="6"/>
      <c r="J819" s="2">
        <f t="shared" si="238"/>
        <v>0.58227215147676514</v>
      </c>
      <c r="K819" s="2">
        <f t="shared" si="239"/>
        <v>0.36169077938529237</v>
      </c>
      <c r="L819" s="2">
        <f t="shared" si="240"/>
        <v>1.6667777851856789E-4</v>
      </c>
      <c r="M819" s="2">
        <f t="shared" si="241"/>
        <v>5.587039135942392E-2</v>
      </c>
      <c r="N819" s="63">
        <v>17467</v>
      </c>
      <c r="O819" s="63">
        <v>10850</v>
      </c>
      <c r="P819" s="63">
        <v>5</v>
      </c>
      <c r="Q819" s="63">
        <v>943</v>
      </c>
      <c r="R819" s="63">
        <v>501</v>
      </c>
      <c r="S819" s="63"/>
      <c r="T819" s="63"/>
      <c r="U819" s="63"/>
      <c r="V819" s="63"/>
      <c r="W819" s="63">
        <f t="shared" si="242"/>
        <v>232</v>
      </c>
      <c r="X819" s="63"/>
      <c r="Y819" s="63"/>
      <c r="Z819" s="63"/>
      <c r="AA819" s="63">
        <v>0</v>
      </c>
      <c r="AB819" s="63"/>
      <c r="AE819" s="8">
        <v>0</v>
      </c>
      <c r="AT819" t="str">
        <f t="shared" si="245"/>
        <v>Fall River</v>
      </c>
      <c r="AU819" t="s">
        <v>2215</v>
      </c>
      <c r="AX819" s="114">
        <v>25</v>
      </c>
      <c r="AY819" s="116">
        <v>5</v>
      </c>
      <c r="AZ819" s="116">
        <v>40</v>
      </c>
      <c r="BA819" s="120">
        <v>23000</v>
      </c>
      <c r="BB819" s="120">
        <f t="shared" si="246"/>
        <v>25005</v>
      </c>
      <c r="BC819" t="s">
        <v>1249</v>
      </c>
      <c r="BD819">
        <f t="shared" si="243"/>
        <v>2523000</v>
      </c>
      <c r="BE819" s="66">
        <v>825</v>
      </c>
      <c r="BF819" s="66"/>
      <c r="BI819">
        <v>38.22</v>
      </c>
      <c r="BJ819">
        <v>7.2</v>
      </c>
      <c r="BK819">
        <v>31.02</v>
      </c>
      <c r="BQ819">
        <v>232</v>
      </c>
      <c r="BS819">
        <v>0</v>
      </c>
    </row>
    <row r="820" spans="1:71" hidden="1" outlineLevel="1">
      <c r="A820" s="64" t="s">
        <v>1524</v>
      </c>
      <c r="B820" s="8" t="s">
        <v>1320</v>
      </c>
      <c r="C820" s="1">
        <f t="shared" si="235"/>
        <v>19946</v>
      </c>
      <c r="D820" s="5">
        <f>IF(N820&gt;0, RANK(N820,(N820:P820,Q820:AE820)),0)</f>
        <v>1</v>
      </c>
      <c r="E820" s="5">
        <f>IF(O820&gt;0,RANK(O820,(N820:P820,Q820:AE820)),0)</f>
        <v>2</v>
      </c>
      <c r="F820" s="5">
        <f t="shared" si="236"/>
        <v>6</v>
      </c>
      <c r="G820" s="1">
        <f t="shared" si="237"/>
        <v>4302</v>
      </c>
      <c r="H820" s="2">
        <f t="shared" si="244"/>
        <v>0.21568234232427555</v>
      </c>
      <c r="I820" s="6"/>
      <c r="J820" s="2">
        <f t="shared" si="238"/>
        <v>0.57490223603730073</v>
      </c>
      <c r="K820" s="2">
        <f t="shared" si="239"/>
        <v>0.35921989371302515</v>
      </c>
      <c r="L820" s="2">
        <f t="shared" si="240"/>
        <v>7.0189511681540155E-4</v>
      </c>
      <c r="M820" s="2">
        <f t="shared" si="241"/>
        <v>6.5175975132858721E-2</v>
      </c>
      <c r="N820" s="63">
        <v>11467</v>
      </c>
      <c r="O820" s="63">
        <v>7165</v>
      </c>
      <c r="P820" s="63">
        <v>14</v>
      </c>
      <c r="Q820" s="63">
        <v>728</v>
      </c>
      <c r="R820" s="63">
        <v>273</v>
      </c>
      <c r="S820" s="63"/>
      <c r="T820" s="63"/>
      <c r="U820" s="63"/>
      <c r="V820" s="63"/>
      <c r="W820" s="63">
        <f t="shared" si="242"/>
        <v>299</v>
      </c>
      <c r="X820" s="63"/>
      <c r="Y820" s="63"/>
      <c r="Z820" s="63"/>
      <c r="AA820" s="63">
        <v>0</v>
      </c>
      <c r="AB820" s="63"/>
      <c r="AE820" s="8">
        <v>0</v>
      </c>
      <c r="AT820" t="str">
        <f t="shared" si="245"/>
        <v>Falmouth</v>
      </c>
      <c r="AU820" t="s">
        <v>2411</v>
      </c>
      <c r="AV820">
        <v>9</v>
      </c>
      <c r="AX820" s="114">
        <v>25</v>
      </c>
      <c r="AY820" s="116">
        <v>1</v>
      </c>
      <c r="AZ820" s="116">
        <v>35</v>
      </c>
      <c r="BA820" s="120">
        <v>23105</v>
      </c>
      <c r="BB820" s="120">
        <f t="shared" si="246"/>
        <v>25001</v>
      </c>
      <c r="BC820" t="s">
        <v>1472</v>
      </c>
      <c r="BD820">
        <f t="shared" si="243"/>
        <v>2523105</v>
      </c>
      <c r="BE820" s="66">
        <v>328</v>
      </c>
      <c r="BF820" s="66"/>
      <c r="BI820">
        <v>54.43</v>
      </c>
      <c r="BJ820">
        <v>10.18</v>
      </c>
      <c r="BK820">
        <v>44.24</v>
      </c>
      <c r="BQ820">
        <v>299</v>
      </c>
      <c r="BS820">
        <v>0</v>
      </c>
    </row>
    <row r="821" spans="1:71" hidden="1" outlineLevel="1">
      <c r="A821" s="64" t="s">
        <v>3058</v>
      </c>
      <c r="B821" s="8" t="s">
        <v>1320</v>
      </c>
      <c r="C821" s="1">
        <f t="shared" si="235"/>
        <v>15411</v>
      </c>
      <c r="D821" s="5">
        <f>IF(N821&gt;0, RANK(N821,(N821:P821,Q821:AE821)),0)</f>
        <v>1</v>
      </c>
      <c r="E821" s="5">
        <f>IF(O821&gt;0,RANK(O821,(N821:P821,Q821:AE821)),0)</f>
        <v>2</v>
      </c>
      <c r="F821" s="5">
        <f t="shared" si="236"/>
        <v>6</v>
      </c>
      <c r="G821" s="1">
        <f t="shared" si="237"/>
        <v>3003</v>
      </c>
      <c r="H821" s="2">
        <f t="shared" si="244"/>
        <v>0.19486081370449679</v>
      </c>
      <c r="I821" s="6"/>
      <c r="J821" s="2">
        <f t="shared" si="238"/>
        <v>0.55739406917137113</v>
      </c>
      <c r="K821" s="2">
        <f t="shared" si="239"/>
        <v>0.36253325546687432</v>
      </c>
      <c r="L821" s="2">
        <f t="shared" si="240"/>
        <v>6.4888715852313278E-5</v>
      </c>
      <c r="M821" s="2">
        <f t="shared" si="241"/>
        <v>8.0007786645902246E-2</v>
      </c>
      <c r="N821" s="63">
        <v>8590</v>
      </c>
      <c r="O821" s="63">
        <v>5587</v>
      </c>
      <c r="P821" s="63">
        <v>1</v>
      </c>
      <c r="Q821" s="63">
        <v>812</v>
      </c>
      <c r="R821" s="63">
        <v>259</v>
      </c>
      <c r="S821" s="63"/>
      <c r="T821" s="63"/>
      <c r="U821" s="63"/>
      <c r="V821" s="63"/>
      <c r="W821" s="63">
        <f t="shared" si="242"/>
        <v>162</v>
      </c>
      <c r="X821" s="63"/>
      <c r="Y821" s="63"/>
      <c r="Z821" s="63"/>
      <c r="AA821" s="63">
        <v>0</v>
      </c>
      <c r="AB821" s="63"/>
      <c r="AE821" s="8">
        <v>0</v>
      </c>
      <c r="AT821" t="str">
        <f t="shared" si="245"/>
        <v>Fitchburg</v>
      </c>
      <c r="AU821" s="8" t="s">
        <v>1774</v>
      </c>
      <c r="AV821">
        <v>3</v>
      </c>
      <c r="AX821" s="114">
        <v>25</v>
      </c>
      <c r="AY821" s="116">
        <v>27</v>
      </c>
      <c r="AZ821" s="116">
        <v>75</v>
      </c>
      <c r="BA821" s="120">
        <v>23875</v>
      </c>
      <c r="BB821" s="120">
        <f t="shared" si="246"/>
        <v>25027</v>
      </c>
      <c r="BC821" t="s">
        <v>1249</v>
      </c>
      <c r="BD821">
        <f t="shared" si="243"/>
        <v>2523875</v>
      </c>
      <c r="BE821" s="66">
        <v>268</v>
      </c>
      <c r="BF821" s="66"/>
      <c r="BI821">
        <v>28.06</v>
      </c>
      <c r="BJ821">
        <v>0.3</v>
      </c>
      <c r="BK821">
        <v>27.76</v>
      </c>
      <c r="BQ821">
        <v>162</v>
      </c>
      <c r="BS821">
        <v>0</v>
      </c>
    </row>
    <row r="822" spans="1:71" hidden="1" outlineLevel="1">
      <c r="A822" s="64" t="s">
        <v>1533</v>
      </c>
      <c r="B822" s="8" t="s">
        <v>1320</v>
      </c>
      <c r="C822" s="1">
        <f t="shared" si="235"/>
        <v>397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 t="shared" si="236"/>
        <v>0</v>
      </c>
      <c r="G822" s="1">
        <f t="shared" si="237"/>
        <v>21</v>
      </c>
      <c r="H822" s="2">
        <f t="shared" si="244"/>
        <v>5.2896725440806043E-2</v>
      </c>
      <c r="I822" s="6"/>
      <c r="J822" s="2">
        <f t="shared" si="238"/>
        <v>0.48110831234256929</v>
      </c>
      <c r="K822" s="2">
        <f t="shared" si="239"/>
        <v>0.4282115869017632</v>
      </c>
      <c r="L822" s="2">
        <f t="shared" si="240"/>
        <v>0</v>
      </c>
      <c r="M822" s="2">
        <f t="shared" si="241"/>
        <v>9.068010075566757E-2</v>
      </c>
      <c r="N822" s="63">
        <v>191</v>
      </c>
      <c r="O822" s="63">
        <v>170</v>
      </c>
      <c r="P822" s="63">
        <v>0</v>
      </c>
      <c r="Q822" s="63">
        <v>17</v>
      </c>
      <c r="R822" s="63">
        <v>11</v>
      </c>
      <c r="S822" s="63"/>
      <c r="T822" s="63"/>
      <c r="U822" s="63"/>
      <c r="V822" s="63"/>
      <c r="W822" s="63">
        <f t="shared" si="242"/>
        <v>8</v>
      </c>
      <c r="X822" s="63"/>
      <c r="Y822" s="63"/>
      <c r="Z822" s="63"/>
      <c r="AA822" s="63">
        <v>0</v>
      </c>
      <c r="AB822" s="63"/>
      <c r="AE822" s="8">
        <v>0</v>
      </c>
      <c r="AT822" t="str">
        <f t="shared" si="245"/>
        <v>Florida</v>
      </c>
      <c r="AU822" t="s">
        <v>2313</v>
      </c>
      <c r="AV822">
        <v>1</v>
      </c>
      <c r="AX822" s="114">
        <v>25</v>
      </c>
      <c r="AY822" s="116">
        <v>3</v>
      </c>
      <c r="AZ822" s="116">
        <v>40</v>
      </c>
      <c r="BA822" s="120">
        <v>24120</v>
      </c>
      <c r="BB822" s="120">
        <f t="shared" si="246"/>
        <v>25003</v>
      </c>
      <c r="BC822" t="s">
        <v>1472</v>
      </c>
      <c r="BD822">
        <f t="shared" si="243"/>
        <v>2524120</v>
      </c>
      <c r="BE822" s="66">
        <v>3</v>
      </c>
      <c r="BF822" s="66"/>
      <c r="BI822">
        <v>24.56</v>
      </c>
      <c r="BJ822">
        <v>0.2</v>
      </c>
      <c r="BK822">
        <v>24.36</v>
      </c>
      <c r="BQ822">
        <v>8</v>
      </c>
      <c r="BS822">
        <v>0</v>
      </c>
    </row>
    <row r="823" spans="1:71" hidden="1" outlineLevel="1">
      <c r="A823" s="64" t="s">
        <v>2179</v>
      </c>
      <c r="B823" s="8" t="s">
        <v>1320</v>
      </c>
      <c r="C823" s="1">
        <f t="shared" si="235"/>
        <v>10150</v>
      </c>
      <c r="D823" s="5">
        <f>IF(N823&gt;0, RANK(N823,(N823:P823,Q823:AE823)),0)</f>
        <v>1</v>
      </c>
      <c r="E823" s="5">
        <f>IF(O823&gt;0,RANK(O823,(N823:P823,Q823:AE823)),0)</f>
        <v>2</v>
      </c>
      <c r="F823" s="5">
        <f t="shared" si="236"/>
        <v>6</v>
      </c>
      <c r="G823" s="1">
        <f t="shared" si="237"/>
        <v>971</v>
      </c>
      <c r="H823" s="2">
        <f t="shared" si="244"/>
        <v>9.566502463054187E-2</v>
      </c>
      <c r="I823" s="6"/>
      <c r="J823" s="2">
        <f t="shared" si="238"/>
        <v>0.50561576354679805</v>
      </c>
      <c r="K823" s="2">
        <f t="shared" si="239"/>
        <v>0.40995073891625616</v>
      </c>
      <c r="L823" s="2">
        <f t="shared" si="240"/>
        <v>1.7733990147783252E-3</v>
      </c>
      <c r="M823" s="2">
        <f t="shared" si="241"/>
        <v>8.2660098522167463E-2</v>
      </c>
      <c r="N823" s="63">
        <v>5132</v>
      </c>
      <c r="O823" s="63">
        <v>4161</v>
      </c>
      <c r="P823" s="63">
        <v>18</v>
      </c>
      <c r="Q823" s="63">
        <v>580</v>
      </c>
      <c r="R823" s="63">
        <v>95</v>
      </c>
      <c r="S823" s="63"/>
      <c r="T823" s="63"/>
      <c r="U823" s="63"/>
      <c r="V823" s="63"/>
      <c r="W823" s="63">
        <f t="shared" si="242"/>
        <v>164</v>
      </c>
      <c r="X823" s="63"/>
      <c r="Y823" s="63"/>
      <c r="Z823" s="63"/>
      <c r="AA823" s="63">
        <v>0</v>
      </c>
      <c r="AB823" s="63"/>
      <c r="AE823" s="8">
        <v>0</v>
      </c>
      <c r="AT823" t="str">
        <f t="shared" si="245"/>
        <v>Foxborough</v>
      </c>
      <c r="AU823" t="s">
        <v>753</v>
      </c>
      <c r="AV823">
        <v>4</v>
      </c>
      <c r="AX823" s="114">
        <v>25</v>
      </c>
      <c r="AY823" s="116">
        <v>21</v>
      </c>
      <c r="AZ823" s="116">
        <v>45</v>
      </c>
      <c r="BA823" s="120">
        <v>24820</v>
      </c>
      <c r="BB823" s="120">
        <f t="shared" si="246"/>
        <v>25021</v>
      </c>
      <c r="BC823" t="s">
        <v>1472</v>
      </c>
      <c r="BD823">
        <f t="shared" si="243"/>
        <v>2524820</v>
      </c>
      <c r="BE823" s="66">
        <v>194</v>
      </c>
      <c r="BF823" s="66"/>
      <c r="BI823">
        <v>20.89</v>
      </c>
      <c r="BJ823">
        <v>0.81</v>
      </c>
      <c r="BK823">
        <v>20.079999999999998</v>
      </c>
      <c r="BQ823">
        <v>164</v>
      </c>
      <c r="BS823">
        <v>0</v>
      </c>
    </row>
    <row r="824" spans="1:71" hidden="1" outlineLevel="1">
      <c r="A824" s="64" t="s">
        <v>2675</v>
      </c>
      <c r="B824" s="8" t="s">
        <v>1320</v>
      </c>
      <c r="C824" s="1">
        <f t="shared" si="235"/>
        <v>29705</v>
      </c>
      <c r="D824" s="5">
        <f>IF(N824&gt;0, RANK(N824,(N824:P824,Q824:AE824)),0)</f>
        <v>1</v>
      </c>
      <c r="E824" s="5">
        <f>IF(O824&gt;0,RANK(O824,(N824:P824,Q824:AE824)),0)</f>
        <v>2</v>
      </c>
      <c r="F824" s="5">
        <f t="shared" si="236"/>
        <v>0</v>
      </c>
      <c r="G824" s="1">
        <f t="shared" si="237"/>
        <v>13457</v>
      </c>
      <c r="H824" s="2">
        <f t="shared" si="244"/>
        <v>0.45302137687258037</v>
      </c>
      <c r="I824" s="6"/>
      <c r="J824" s="2">
        <f t="shared" si="238"/>
        <v>0.69079279582561859</v>
      </c>
      <c r="K824" s="2">
        <f t="shared" si="239"/>
        <v>0.23777141895303822</v>
      </c>
      <c r="L824" s="2">
        <f t="shared" si="240"/>
        <v>0</v>
      </c>
      <c r="M824" s="2">
        <f t="shared" si="241"/>
        <v>7.1435785221343195E-2</v>
      </c>
      <c r="N824" s="63">
        <v>20520</v>
      </c>
      <c r="O824" s="63">
        <v>7063</v>
      </c>
      <c r="P824" s="63">
        <v>0</v>
      </c>
      <c r="Q824" s="63">
        <v>1196</v>
      </c>
      <c r="R824" s="63">
        <v>347</v>
      </c>
      <c r="S824" s="63"/>
      <c r="T824" s="63"/>
      <c r="U824" s="63"/>
      <c r="V824" s="63"/>
      <c r="W824" s="63">
        <f t="shared" si="242"/>
        <v>579</v>
      </c>
      <c r="X824" s="63"/>
      <c r="Y824" s="63"/>
      <c r="Z824" s="63"/>
      <c r="AA824" s="63">
        <v>0</v>
      </c>
      <c r="AB824" s="63"/>
      <c r="AE824" s="8">
        <v>0</v>
      </c>
      <c r="AT824" t="str">
        <f t="shared" si="245"/>
        <v>Framingham</v>
      </c>
      <c r="AU824" t="s">
        <v>503</v>
      </c>
      <c r="AV824">
        <v>5</v>
      </c>
      <c r="AX824" s="114">
        <v>25</v>
      </c>
      <c r="AY824" s="116">
        <v>17</v>
      </c>
      <c r="AZ824" s="116">
        <v>90</v>
      </c>
      <c r="BA824" s="120">
        <v>24925</v>
      </c>
      <c r="BB824" s="120">
        <f t="shared" si="246"/>
        <v>25017</v>
      </c>
      <c r="BC824" t="s">
        <v>1472</v>
      </c>
      <c r="BD824">
        <f t="shared" si="243"/>
        <v>2524925</v>
      </c>
      <c r="BE824" s="66">
        <v>323</v>
      </c>
      <c r="BF824" s="66"/>
      <c r="BI824">
        <v>26.44</v>
      </c>
      <c r="BJ824">
        <v>1.32</v>
      </c>
      <c r="BK824">
        <v>25.12</v>
      </c>
      <c r="BQ824">
        <v>579</v>
      </c>
      <c r="BS824">
        <v>0</v>
      </c>
    </row>
    <row r="825" spans="1:71" hidden="1" outlineLevel="1">
      <c r="A825" s="64" t="s">
        <v>1138</v>
      </c>
      <c r="B825" s="8" t="s">
        <v>1320</v>
      </c>
      <c r="C825" s="1">
        <f t="shared" si="235"/>
        <v>18149</v>
      </c>
      <c r="D825" s="5">
        <f>IF(N825&gt;0, RANK(N825,(N825:P825,Q825:AE825)),0)</f>
        <v>1</v>
      </c>
      <c r="E825" s="5">
        <f>IF(O825&gt;0,RANK(O825,(N825:P825,Q825:AE825)),0)</f>
        <v>2</v>
      </c>
      <c r="F825" s="5">
        <f t="shared" si="236"/>
        <v>0</v>
      </c>
      <c r="G825" s="1">
        <f t="shared" si="237"/>
        <v>2531</v>
      </c>
      <c r="H825" s="2">
        <f t="shared" si="244"/>
        <v>0.13945671937847814</v>
      </c>
      <c r="I825" s="6"/>
      <c r="J825" s="2">
        <f t="shared" si="238"/>
        <v>0.5249325031682186</v>
      </c>
      <c r="K825" s="2">
        <f t="shared" si="239"/>
        <v>0.38547578378974046</v>
      </c>
      <c r="L825" s="2">
        <f t="shared" si="240"/>
        <v>0</v>
      </c>
      <c r="M825" s="2">
        <f t="shared" si="241"/>
        <v>8.9591713042040944E-2</v>
      </c>
      <c r="N825" s="63">
        <v>9527</v>
      </c>
      <c r="O825" s="63">
        <v>6996</v>
      </c>
      <c r="P825" s="63">
        <v>0</v>
      </c>
      <c r="Q825" s="63">
        <v>988</v>
      </c>
      <c r="R825" s="63">
        <v>172</v>
      </c>
      <c r="S825" s="63"/>
      <c r="T825" s="63"/>
      <c r="U825" s="63"/>
      <c r="V825" s="63"/>
      <c r="W825" s="63">
        <f t="shared" si="242"/>
        <v>466</v>
      </c>
      <c r="X825" s="63"/>
      <c r="Y825" s="63"/>
      <c r="Z825" s="63"/>
      <c r="AA825" s="63">
        <v>0</v>
      </c>
      <c r="AB825" s="63"/>
      <c r="AE825" s="8">
        <v>0</v>
      </c>
      <c r="AT825" t="str">
        <f t="shared" si="245"/>
        <v>Franklin</v>
      </c>
      <c r="AU825" t="s">
        <v>753</v>
      </c>
      <c r="AV825">
        <v>4</v>
      </c>
      <c r="AX825" s="114">
        <v>25</v>
      </c>
      <c r="AY825" s="116">
        <v>21</v>
      </c>
      <c r="AZ825" s="116">
        <v>50</v>
      </c>
      <c r="BA825" s="120">
        <v>25100</v>
      </c>
      <c r="BB825" s="120">
        <f t="shared" si="246"/>
        <v>25021</v>
      </c>
      <c r="BC825" t="s">
        <v>1249</v>
      </c>
      <c r="BD825">
        <f t="shared" si="243"/>
        <v>2525100</v>
      </c>
      <c r="BE825" s="66">
        <v>284</v>
      </c>
      <c r="BF825" s="66"/>
      <c r="BI825">
        <v>27.01</v>
      </c>
      <c r="BJ825">
        <v>0.27</v>
      </c>
      <c r="BK825">
        <v>26.74</v>
      </c>
      <c r="BQ825">
        <v>466</v>
      </c>
      <c r="BS825">
        <v>0</v>
      </c>
    </row>
    <row r="826" spans="1:71" hidden="1" outlineLevel="1">
      <c r="A826" s="64" t="s">
        <v>953</v>
      </c>
      <c r="B826" s="8" t="s">
        <v>1320</v>
      </c>
      <c r="C826" s="1">
        <f t="shared" si="235"/>
        <v>5019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 t="shared" si="236"/>
        <v>6</v>
      </c>
      <c r="G826" s="1">
        <f t="shared" si="237"/>
        <v>614</v>
      </c>
      <c r="H826" s="2">
        <f t="shared" si="244"/>
        <v>0.12233512651922694</v>
      </c>
      <c r="I826" s="6"/>
      <c r="J826" s="2">
        <f t="shared" si="238"/>
        <v>0.40545925483163975</v>
      </c>
      <c r="K826" s="2">
        <f t="shared" si="239"/>
        <v>0.52779438135086676</v>
      </c>
      <c r="L826" s="2">
        <f t="shared" si="240"/>
        <v>3.984857541342897E-4</v>
      </c>
      <c r="M826" s="2">
        <f t="shared" si="241"/>
        <v>6.634787806335915E-2</v>
      </c>
      <c r="N826" s="63">
        <v>2035</v>
      </c>
      <c r="O826" s="63">
        <v>2649</v>
      </c>
      <c r="P826" s="63">
        <v>2</v>
      </c>
      <c r="Q826" s="63">
        <v>178</v>
      </c>
      <c r="R826" s="63">
        <v>68</v>
      </c>
      <c r="S826" s="63"/>
      <c r="T826" s="63"/>
      <c r="U826" s="63"/>
      <c r="V826" s="63"/>
      <c r="W826" s="63">
        <f t="shared" si="242"/>
        <v>87</v>
      </c>
      <c r="X826" s="63"/>
      <c r="Y826" s="63"/>
      <c r="Z826" s="63"/>
      <c r="AA826" s="63">
        <v>0</v>
      </c>
      <c r="AB826" s="63"/>
      <c r="AE826" s="8">
        <v>0</v>
      </c>
      <c r="AT826" t="str">
        <f t="shared" si="245"/>
        <v>Freetown</v>
      </c>
      <c r="AU826" t="s">
        <v>2215</v>
      </c>
      <c r="AV826">
        <v>4</v>
      </c>
      <c r="AX826" s="114">
        <v>25</v>
      </c>
      <c r="AY826" s="116">
        <v>5</v>
      </c>
      <c r="AZ826" s="116">
        <v>45</v>
      </c>
      <c r="BA826" s="120">
        <v>25240</v>
      </c>
      <c r="BB826" s="120">
        <f t="shared" si="246"/>
        <v>25005</v>
      </c>
      <c r="BC826" t="s">
        <v>1472</v>
      </c>
      <c r="BD826">
        <f t="shared" si="243"/>
        <v>2525240</v>
      </c>
      <c r="BE826" s="66">
        <v>58</v>
      </c>
      <c r="BF826" s="66"/>
      <c r="BI826">
        <v>38.299999999999997</v>
      </c>
      <c r="BJ826">
        <v>1.69</v>
      </c>
      <c r="BK826">
        <v>36.61</v>
      </c>
      <c r="BQ826">
        <v>87</v>
      </c>
      <c r="BS826">
        <v>0</v>
      </c>
    </row>
    <row r="827" spans="1:71" hidden="1" outlineLevel="1">
      <c r="A827" s="64" t="s">
        <v>1085</v>
      </c>
      <c r="B827" s="8" t="s">
        <v>1320</v>
      </c>
      <c r="C827" s="1">
        <f t="shared" si="235"/>
        <v>8637</v>
      </c>
      <c r="D827" s="5">
        <f>IF(N827&gt;0, RANK(N827,(N827:P827,Q827:AE827)),0)</f>
        <v>1</v>
      </c>
      <c r="E827" s="5">
        <f>IF(O827&gt;0,RANK(O827,(N827:P827,Q827:AE827)),0)</f>
        <v>2</v>
      </c>
      <c r="F827" s="5">
        <f t="shared" si="236"/>
        <v>6</v>
      </c>
      <c r="G827" s="1">
        <f t="shared" si="237"/>
        <v>654</v>
      </c>
      <c r="H827" s="2">
        <f t="shared" si="244"/>
        <v>7.5720736366794023E-2</v>
      </c>
      <c r="I827" s="6"/>
      <c r="J827" s="2">
        <f t="shared" si="238"/>
        <v>0.48581683454903324</v>
      </c>
      <c r="K827" s="2">
        <f t="shared" si="239"/>
        <v>0.41009609818223919</v>
      </c>
      <c r="L827" s="2">
        <f t="shared" si="240"/>
        <v>8.1046659719810122E-4</v>
      </c>
      <c r="M827" s="2">
        <f t="shared" si="241"/>
        <v>0.10327660067152947</v>
      </c>
      <c r="N827" s="63">
        <v>4196</v>
      </c>
      <c r="O827" s="63">
        <v>3542</v>
      </c>
      <c r="P827" s="63">
        <v>7</v>
      </c>
      <c r="Q827" s="63">
        <v>590</v>
      </c>
      <c r="R827" s="63">
        <v>157</v>
      </c>
      <c r="S827" s="63"/>
      <c r="T827" s="63"/>
      <c r="U827" s="63"/>
      <c r="V827" s="63"/>
      <c r="W827" s="63">
        <f t="shared" si="242"/>
        <v>145</v>
      </c>
      <c r="X827" s="63"/>
      <c r="Y827" s="63"/>
      <c r="Z827" s="63"/>
      <c r="AA827" s="63">
        <v>0</v>
      </c>
      <c r="AB827" s="63"/>
      <c r="AE827" s="8">
        <v>0</v>
      </c>
      <c r="AT827" t="str">
        <f t="shared" si="245"/>
        <v>Gardner</v>
      </c>
      <c r="AU827" s="8" t="s">
        <v>1774</v>
      </c>
      <c r="AV827">
        <v>3</v>
      </c>
      <c r="AX827" s="114">
        <v>25</v>
      </c>
      <c r="AY827" s="116">
        <v>27</v>
      </c>
      <c r="AZ827" s="116">
        <v>80</v>
      </c>
      <c r="BA827" s="120">
        <v>25485</v>
      </c>
      <c r="BB827" s="120">
        <f t="shared" si="246"/>
        <v>25027</v>
      </c>
      <c r="BC827" t="s">
        <v>1249</v>
      </c>
      <c r="BD827">
        <f t="shared" si="243"/>
        <v>2525485</v>
      </c>
      <c r="BE827" s="66">
        <v>125</v>
      </c>
      <c r="BF827" s="66"/>
      <c r="BI827">
        <v>23</v>
      </c>
      <c r="BJ827">
        <v>0.81</v>
      </c>
      <c r="BK827">
        <v>22.19</v>
      </c>
      <c r="BQ827">
        <v>145</v>
      </c>
      <c r="BS827">
        <v>0</v>
      </c>
    </row>
    <row r="828" spans="1:71" hidden="1" outlineLevel="1">
      <c r="A828" s="64" t="s">
        <v>445</v>
      </c>
      <c r="B828" s="8" t="s">
        <v>1320</v>
      </c>
      <c r="C828" s="1">
        <f t="shared" si="235"/>
        <v>5042</v>
      </c>
      <c r="D828" s="5">
        <f>IF(N828&gt;0, RANK(N828,(N828:P828,Q828:AE828)),0)</f>
        <v>1</v>
      </c>
      <c r="E828" s="5">
        <f>IF(O828&gt;0,RANK(O828,(N828:P828,Q828:AE828)),0)</f>
        <v>2</v>
      </c>
      <c r="F828" s="5">
        <f t="shared" si="236"/>
        <v>6</v>
      </c>
      <c r="G828" s="1">
        <f t="shared" si="237"/>
        <v>119</v>
      </c>
      <c r="H828" s="2">
        <f t="shared" si="244"/>
        <v>2.3601745339151131E-2</v>
      </c>
      <c r="I828" s="6"/>
      <c r="J828" s="2">
        <f t="shared" si="238"/>
        <v>0.46548988496628324</v>
      </c>
      <c r="K828" s="2">
        <f t="shared" si="239"/>
        <v>0.44188813962713208</v>
      </c>
      <c r="L828" s="2">
        <f t="shared" si="240"/>
        <v>2.1816739389131298E-3</v>
      </c>
      <c r="M828" s="2">
        <f t="shared" si="241"/>
        <v>9.0440301467671597E-2</v>
      </c>
      <c r="N828" s="63">
        <v>2347</v>
      </c>
      <c r="O828" s="63">
        <v>2228</v>
      </c>
      <c r="P828" s="63">
        <v>11</v>
      </c>
      <c r="Q828" s="63">
        <v>331</v>
      </c>
      <c r="R828" s="63">
        <v>49</v>
      </c>
      <c r="S828" s="63"/>
      <c r="T828" s="63"/>
      <c r="U828" s="63"/>
      <c r="V828" s="63"/>
      <c r="W828" s="63">
        <f t="shared" si="242"/>
        <v>76</v>
      </c>
      <c r="X828" s="63"/>
      <c r="Y828" s="63"/>
      <c r="Z828" s="63"/>
      <c r="AA828" s="63">
        <v>0</v>
      </c>
      <c r="AB828" s="63"/>
      <c r="AE828" s="8">
        <v>0</v>
      </c>
      <c r="AT828" t="str">
        <f t="shared" si="245"/>
        <v>Georgetown</v>
      </c>
      <c r="AU828" t="s">
        <v>842</v>
      </c>
      <c r="AV828">
        <v>6</v>
      </c>
      <c r="AX828" s="114">
        <v>25</v>
      </c>
      <c r="AY828" s="116">
        <v>9</v>
      </c>
      <c r="AZ828" s="116">
        <v>35</v>
      </c>
      <c r="BA828" s="120">
        <v>25625</v>
      </c>
      <c r="BB828" s="120">
        <f t="shared" si="246"/>
        <v>25009</v>
      </c>
      <c r="BC828" t="s">
        <v>1472</v>
      </c>
      <c r="BD828">
        <f t="shared" si="243"/>
        <v>2525625</v>
      </c>
      <c r="BE828" s="66">
        <v>60</v>
      </c>
      <c r="BF828" s="66"/>
      <c r="BI828">
        <v>13.17</v>
      </c>
      <c r="BJ828">
        <v>0.23</v>
      </c>
      <c r="BK828">
        <v>12.94</v>
      </c>
      <c r="BQ828">
        <v>76</v>
      </c>
      <c r="BS828">
        <v>0</v>
      </c>
    </row>
    <row r="829" spans="1:71" hidden="1" outlineLevel="1">
      <c r="A829" s="64" t="s">
        <v>2773</v>
      </c>
      <c r="B829" s="8" t="s">
        <v>1320</v>
      </c>
      <c r="C829" s="1">
        <f t="shared" si="235"/>
        <v>948</v>
      </c>
      <c r="D829" s="5">
        <f>IF(N829&gt;0, RANK(N829,(N829:P829,Q829:AE829)),0)</f>
        <v>1</v>
      </c>
      <c r="E829" s="5">
        <f>IF(O829&gt;0,RANK(O829,(N829:P829,Q829:AE829)),0)</f>
        <v>2</v>
      </c>
      <c r="F829" s="5">
        <f t="shared" si="236"/>
        <v>0</v>
      </c>
      <c r="G829" s="1">
        <f t="shared" si="237"/>
        <v>320</v>
      </c>
      <c r="H829" s="2">
        <f t="shared" si="244"/>
        <v>0.33755274261603374</v>
      </c>
      <c r="I829" s="6"/>
      <c r="J829" s="2">
        <f t="shared" si="238"/>
        <v>0.61075949367088611</v>
      </c>
      <c r="K829" s="2">
        <f t="shared" si="239"/>
        <v>0.27320675105485231</v>
      </c>
      <c r="L829" s="2">
        <f t="shared" si="240"/>
        <v>0</v>
      </c>
      <c r="M829" s="2">
        <f t="shared" si="241"/>
        <v>0.11603375527426157</v>
      </c>
      <c r="N829" s="63">
        <v>579</v>
      </c>
      <c r="O829" s="63">
        <v>259</v>
      </c>
      <c r="P829" s="63">
        <v>0</v>
      </c>
      <c r="Q829" s="63">
        <v>57</v>
      </c>
      <c r="R829" s="63">
        <v>32</v>
      </c>
      <c r="S829" s="63"/>
      <c r="T829" s="63"/>
      <c r="U829" s="63"/>
      <c r="V829" s="63"/>
      <c r="W829" s="63">
        <f t="shared" si="242"/>
        <v>21</v>
      </c>
      <c r="X829" s="63"/>
      <c r="Y829" s="63"/>
      <c r="Z829" s="63"/>
      <c r="AA829" s="63">
        <v>0</v>
      </c>
      <c r="AB829" s="63"/>
      <c r="AE829" s="8">
        <v>0</v>
      </c>
      <c r="AT829" t="str">
        <f t="shared" si="245"/>
        <v>Gill</v>
      </c>
      <c r="AU829" t="s">
        <v>1138</v>
      </c>
      <c r="AV829">
        <v>2</v>
      </c>
      <c r="AX829" s="114">
        <v>25</v>
      </c>
      <c r="AY829" s="116">
        <v>11</v>
      </c>
      <c r="AZ829" s="116">
        <v>45</v>
      </c>
      <c r="BA829" s="120">
        <v>25730</v>
      </c>
      <c r="BB829" s="120">
        <f t="shared" si="246"/>
        <v>25011</v>
      </c>
      <c r="BC829" t="s">
        <v>1472</v>
      </c>
      <c r="BD829">
        <f t="shared" si="243"/>
        <v>2525730</v>
      </c>
      <c r="BE829" s="66">
        <v>5</v>
      </c>
      <c r="BF829" s="66"/>
      <c r="BI829">
        <v>14.82</v>
      </c>
      <c r="BJ829">
        <v>0.84</v>
      </c>
      <c r="BK829">
        <v>13.98</v>
      </c>
      <c r="BQ829">
        <v>21</v>
      </c>
      <c r="BS829">
        <v>0</v>
      </c>
    </row>
    <row r="830" spans="1:71" hidden="1" outlineLevel="1">
      <c r="A830" s="64" t="s">
        <v>2438</v>
      </c>
      <c r="B830" s="8" t="s">
        <v>1320</v>
      </c>
      <c r="C830" s="1">
        <f t="shared" si="235"/>
        <v>16461</v>
      </c>
      <c r="D830" s="5">
        <f>IF(N830&gt;0, RANK(N830,(N830:P830,Q830:AE830)),0)</f>
        <v>1</v>
      </c>
      <c r="E830" s="5">
        <f>IF(O830&gt;0,RANK(O830,(N830:P830,Q830:AE830)),0)</f>
        <v>2</v>
      </c>
      <c r="F830" s="5">
        <f t="shared" si="236"/>
        <v>6</v>
      </c>
      <c r="G830" s="1">
        <f t="shared" si="237"/>
        <v>4453</v>
      </c>
      <c r="H830" s="2">
        <f t="shared" si="244"/>
        <v>0.27051819452038151</v>
      </c>
      <c r="I830" s="6"/>
      <c r="J830" s="2">
        <f t="shared" si="238"/>
        <v>0.59583257396269973</v>
      </c>
      <c r="K830" s="2">
        <f t="shared" si="239"/>
        <v>0.32531437944231822</v>
      </c>
      <c r="L830" s="2">
        <f t="shared" si="240"/>
        <v>1.1542433631006623E-3</v>
      </c>
      <c r="M830" s="2">
        <f t="shared" si="241"/>
        <v>7.7698803231881386E-2</v>
      </c>
      <c r="N830" s="63">
        <v>9808</v>
      </c>
      <c r="O830" s="63">
        <v>5355</v>
      </c>
      <c r="P830" s="63">
        <v>19</v>
      </c>
      <c r="Q830" s="63">
        <v>696</v>
      </c>
      <c r="R830" s="63">
        <v>280</v>
      </c>
      <c r="S830" s="63"/>
      <c r="T830" s="63"/>
      <c r="U830" s="63"/>
      <c r="V830" s="63"/>
      <c r="W830" s="63">
        <f t="shared" si="242"/>
        <v>303</v>
      </c>
      <c r="X830" s="63"/>
      <c r="Y830" s="63"/>
      <c r="Z830" s="63"/>
      <c r="AA830" s="63">
        <v>0</v>
      </c>
      <c r="AB830" s="63"/>
      <c r="AE830" s="8">
        <v>0</v>
      </c>
      <c r="AT830" t="str">
        <f t="shared" si="245"/>
        <v>Gloucester</v>
      </c>
      <c r="AU830" t="s">
        <v>842</v>
      </c>
      <c r="AV830">
        <v>6</v>
      </c>
      <c r="AX830" s="114">
        <v>25</v>
      </c>
      <c r="AY830" s="116">
        <v>9</v>
      </c>
      <c r="AZ830" s="116">
        <v>40</v>
      </c>
      <c r="BA830" s="120">
        <v>26150</v>
      </c>
      <c r="BB830" s="120">
        <f t="shared" si="246"/>
        <v>25009</v>
      </c>
      <c r="BC830" t="s">
        <v>1249</v>
      </c>
      <c r="BD830">
        <f t="shared" si="243"/>
        <v>2526150</v>
      </c>
      <c r="BE830" s="66">
        <v>247</v>
      </c>
      <c r="BF830" s="66"/>
      <c r="BI830">
        <v>41.5</v>
      </c>
      <c r="BJ830">
        <v>15.53</v>
      </c>
      <c r="BK830">
        <v>25.96</v>
      </c>
      <c r="BQ830">
        <v>303</v>
      </c>
      <c r="BS830">
        <v>0</v>
      </c>
    </row>
    <row r="831" spans="1:71" hidden="1" outlineLevel="1">
      <c r="A831" s="64" t="s">
        <v>592</v>
      </c>
      <c r="B831" s="8" t="s">
        <v>1320</v>
      </c>
      <c r="C831" s="1">
        <f t="shared" si="235"/>
        <v>625</v>
      </c>
      <c r="D831" s="5">
        <f>IF(N831&gt;0, RANK(N831,(N831:P831,Q831:AE831)),0)</f>
        <v>1</v>
      </c>
      <c r="E831" s="5">
        <f>IF(O831&gt;0,RANK(O831,(N831:P831,Q831:AE831)),0)</f>
        <v>2</v>
      </c>
      <c r="F831" s="5">
        <f t="shared" si="236"/>
        <v>0</v>
      </c>
      <c r="G831" s="1">
        <f t="shared" si="237"/>
        <v>151</v>
      </c>
      <c r="H831" s="2">
        <f t="shared" si="244"/>
        <v>0.24160000000000001</v>
      </c>
      <c r="I831" s="6"/>
      <c r="J831" s="2">
        <f t="shared" si="238"/>
        <v>0.58240000000000003</v>
      </c>
      <c r="K831" s="2">
        <f t="shared" si="239"/>
        <v>0.34079999999999999</v>
      </c>
      <c r="L831" s="2">
        <f t="shared" si="240"/>
        <v>0</v>
      </c>
      <c r="M831" s="2">
        <f t="shared" si="241"/>
        <v>7.6799999999999979E-2</v>
      </c>
      <c r="N831" s="63">
        <v>364</v>
      </c>
      <c r="O831" s="63">
        <v>213</v>
      </c>
      <c r="P831" s="63">
        <v>0</v>
      </c>
      <c r="Q831" s="63">
        <v>28</v>
      </c>
      <c r="R831" s="63">
        <v>15</v>
      </c>
      <c r="S831" s="63"/>
      <c r="T831" s="63"/>
      <c r="U831" s="63"/>
      <c r="V831" s="63"/>
      <c r="W831" s="63">
        <f t="shared" si="242"/>
        <v>5</v>
      </c>
      <c r="X831" s="63"/>
      <c r="Y831" s="63"/>
      <c r="Z831" s="63"/>
      <c r="AA831" s="63">
        <v>0</v>
      </c>
      <c r="AB831" s="63"/>
      <c r="AE831" s="8">
        <v>0</v>
      </c>
      <c r="AT831" t="str">
        <f t="shared" si="245"/>
        <v>Goshen</v>
      </c>
      <c r="AU831" t="s">
        <v>2176</v>
      </c>
      <c r="AV831">
        <v>1</v>
      </c>
      <c r="AX831" s="114">
        <v>25</v>
      </c>
      <c r="AY831" s="116">
        <v>15</v>
      </c>
      <c r="AZ831" s="116">
        <v>30</v>
      </c>
      <c r="BA831" s="120">
        <v>26290</v>
      </c>
      <c r="BB831" s="120">
        <f t="shared" si="246"/>
        <v>25015</v>
      </c>
      <c r="BC831" t="s">
        <v>1472</v>
      </c>
      <c r="BD831">
        <f t="shared" si="243"/>
        <v>2526290</v>
      </c>
      <c r="BE831" s="66">
        <v>13</v>
      </c>
      <c r="BF831" s="66"/>
      <c r="BI831">
        <v>17.72</v>
      </c>
      <c r="BJ831">
        <v>0.35</v>
      </c>
      <c r="BK831">
        <v>17.37</v>
      </c>
      <c r="BQ831">
        <v>5</v>
      </c>
      <c r="BS831">
        <v>0</v>
      </c>
    </row>
    <row r="832" spans="1:71" hidden="1" outlineLevel="1">
      <c r="A832" s="64" t="s">
        <v>1979</v>
      </c>
      <c r="B832" s="8" t="s">
        <v>1320</v>
      </c>
      <c r="C832" s="1">
        <f t="shared" si="235"/>
        <v>68</v>
      </c>
      <c r="D832" s="5">
        <f>IF(N832&gt;0, RANK(N832,(N832:P832,Q832:AE832)),0)</f>
        <v>1</v>
      </c>
      <c r="E832" s="5">
        <f>IF(O832&gt;0,RANK(O832,(N832:P832,Q832:AE832)),0)</f>
        <v>2</v>
      </c>
      <c r="F832" s="5">
        <f t="shared" si="236"/>
        <v>0</v>
      </c>
      <c r="G832" s="1">
        <f t="shared" si="237"/>
        <v>9</v>
      </c>
      <c r="H832" s="2">
        <f t="shared" si="244"/>
        <v>0.13235294117647059</v>
      </c>
      <c r="I832" s="6"/>
      <c r="J832" s="2">
        <f t="shared" si="238"/>
        <v>0.52941176470588236</v>
      </c>
      <c r="K832" s="2">
        <f t="shared" si="239"/>
        <v>0.39705882352941174</v>
      </c>
      <c r="L832" s="2">
        <f t="shared" si="240"/>
        <v>0</v>
      </c>
      <c r="M832" s="2">
        <f t="shared" si="241"/>
        <v>7.3529411764705899E-2</v>
      </c>
      <c r="N832" s="63">
        <v>36</v>
      </c>
      <c r="O832" s="63">
        <v>27</v>
      </c>
      <c r="P832" s="63">
        <v>0</v>
      </c>
      <c r="Q832" s="63">
        <v>2</v>
      </c>
      <c r="R832" s="63">
        <v>0</v>
      </c>
      <c r="S832" s="63"/>
      <c r="T832" s="63"/>
      <c r="U832" s="63"/>
      <c r="V832" s="63"/>
      <c r="W832" s="63">
        <f t="shared" si="242"/>
        <v>3</v>
      </c>
      <c r="X832" s="63"/>
      <c r="Y832" s="63"/>
      <c r="Z832" s="63"/>
      <c r="AA832" s="63">
        <v>0</v>
      </c>
      <c r="AB832" s="63"/>
      <c r="AE832" s="8">
        <v>0</v>
      </c>
      <c r="AT832" t="str">
        <f t="shared" si="245"/>
        <v>Gosnold</v>
      </c>
      <c r="AU832" t="s">
        <v>3032</v>
      </c>
      <c r="AV832">
        <v>9</v>
      </c>
      <c r="AX832" s="114">
        <v>25</v>
      </c>
      <c r="AY832" s="116">
        <v>7</v>
      </c>
      <c r="AZ832" s="116">
        <v>20</v>
      </c>
      <c r="BA832" s="120">
        <v>26325</v>
      </c>
      <c r="BB832" s="120">
        <f t="shared" si="246"/>
        <v>25007</v>
      </c>
      <c r="BC832" t="s">
        <v>1472</v>
      </c>
      <c r="BD832">
        <f t="shared" si="243"/>
        <v>2526325</v>
      </c>
      <c r="BE832" s="66">
        <v>3</v>
      </c>
      <c r="BF832" s="66"/>
      <c r="BI832">
        <v>140.16</v>
      </c>
      <c r="BJ832">
        <v>126.82</v>
      </c>
      <c r="BK832">
        <v>13.34</v>
      </c>
      <c r="BQ832">
        <v>3</v>
      </c>
      <c r="BS832">
        <v>0</v>
      </c>
    </row>
    <row r="833" spans="1:71" hidden="1" outlineLevel="1">
      <c r="A833" s="64" t="s">
        <v>2260</v>
      </c>
      <c r="B833" s="8" t="s">
        <v>1320</v>
      </c>
      <c r="C833" s="1">
        <f t="shared" si="235"/>
        <v>10121</v>
      </c>
      <c r="D833" s="5">
        <f>IF(N833&gt;0, RANK(N833,(N833:P833,Q833:AE833)),0)</f>
        <v>1</v>
      </c>
      <c r="E833" s="5">
        <f>IF(O833&gt;0,RANK(O833,(N833:P833,Q833:AE833)),0)</f>
        <v>2</v>
      </c>
      <c r="F833" s="5">
        <f t="shared" si="236"/>
        <v>6</v>
      </c>
      <c r="G833" s="1">
        <f t="shared" si="237"/>
        <v>1489</v>
      </c>
      <c r="H833" s="2">
        <f t="shared" si="244"/>
        <v>0.14711984981721174</v>
      </c>
      <c r="I833" s="6"/>
      <c r="J833" s="2">
        <f t="shared" si="238"/>
        <v>0.53077759114711986</v>
      </c>
      <c r="K833" s="2">
        <f t="shared" si="239"/>
        <v>0.3836577413299081</v>
      </c>
      <c r="L833" s="2">
        <f t="shared" si="240"/>
        <v>3.1617429107795672E-3</v>
      </c>
      <c r="M833" s="2">
        <f t="shared" si="241"/>
        <v>8.2402924612192466E-2</v>
      </c>
      <c r="N833" s="63">
        <v>5372</v>
      </c>
      <c r="O833" s="63">
        <v>3883</v>
      </c>
      <c r="P833" s="63">
        <v>32</v>
      </c>
      <c r="Q833" s="63">
        <v>586</v>
      </c>
      <c r="R833" s="63">
        <v>130</v>
      </c>
      <c r="S833" s="63"/>
      <c r="T833" s="63"/>
      <c r="U833" s="63"/>
      <c r="V833" s="63"/>
      <c r="W833" s="63">
        <f t="shared" si="242"/>
        <v>118</v>
      </c>
      <c r="X833" s="63"/>
      <c r="Y833" s="63"/>
      <c r="Z833" s="63"/>
      <c r="AA833" s="63">
        <v>0</v>
      </c>
      <c r="AB833" s="63"/>
      <c r="AE833" s="8">
        <v>0</v>
      </c>
      <c r="AT833" t="str">
        <f t="shared" si="245"/>
        <v>Grafton</v>
      </c>
      <c r="AU833" s="8" t="s">
        <v>1774</v>
      </c>
      <c r="AV833">
        <v>2</v>
      </c>
      <c r="AX833" s="114">
        <v>25</v>
      </c>
      <c r="AY833" s="116">
        <v>27</v>
      </c>
      <c r="AZ833" s="116">
        <v>85</v>
      </c>
      <c r="BA833" s="120">
        <v>26430</v>
      </c>
      <c r="BB833" s="120">
        <f t="shared" si="246"/>
        <v>25027</v>
      </c>
      <c r="BC833" t="s">
        <v>1472</v>
      </c>
      <c r="BD833">
        <f t="shared" si="243"/>
        <v>2526430</v>
      </c>
      <c r="BE833" s="66">
        <v>166</v>
      </c>
      <c r="BF833" s="66"/>
      <c r="BI833">
        <v>23.27</v>
      </c>
      <c r="BJ833">
        <v>0.53</v>
      </c>
      <c r="BK833">
        <v>22.74</v>
      </c>
      <c r="BQ833">
        <v>118</v>
      </c>
      <c r="BS833">
        <v>0</v>
      </c>
    </row>
    <row r="834" spans="1:71" hidden="1" outlineLevel="1">
      <c r="A834" s="64" t="s">
        <v>2453</v>
      </c>
      <c r="B834" s="8" t="s">
        <v>1320</v>
      </c>
      <c r="C834" s="1">
        <f t="shared" si="235"/>
        <v>3642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 t="shared" si="236"/>
        <v>6</v>
      </c>
      <c r="G834" s="1">
        <f t="shared" si="237"/>
        <v>48</v>
      </c>
      <c r="H834" s="2">
        <f t="shared" si="244"/>
        <v>1.3179571663920923E-2</v>
      </c>
      <c r="I834" s="6"/>
      <c r="J834" s="2">
        <f t="shared" si="238"/>
        <v>0.45332235035694673</v>
      </c>
      <c r="K834" s="2">
        <f t="shared" si="239"/>
        <v>0.46650192202086765</v>
      </c>
      <c r="L834" s="2">
        <f t="shared" si="240"/>
        <v>5.4914881933003845E-4</v>
      </c>
      <c r="M834" s="2">
        <f t="shared" si="241"/>
        <v>7.9626578802855522E-2</v>
      </c>
      <c r="N834" s="63">
        <v>1651</v>
      </c>
      <c r="O834" s="63">
        <v>1699</v>
      </c>
      <c r="P834" s="63">
        <v>2</v>
      </c>
      <c r="Q834" s="63">
        <v>173</v>
      </c>
      <c r="R834" s="63">
        <v>93</v>
      </c>
      <c r="S834" s="63"/>
      <c r="T834" s="63"/>
      <c r="U834" s="63"/>
      <c r="V834" s="63"/>
      <c r="W834" s="63">
        <f t="shared" si="242"/>
        <v>24</v>
      </c>
      <c r="X834" s="63"/>
      <c r="Y834" s="63"/>
      <c r="Z834" s="63"/>
      <c r="AA834" s="63">
        <v>0</v>
      </c>
      <c r="AB834" s="63"/>
      <c r="AE834" s="8">
        <v>0</v>
      </c>
      <c r="AT834" t="str">
        <f t="shared" si="245"/>
        <v>Granby</v>
      </c>
      <c r="AU834" t="s">
        <v>2176</v>
      </c>
      <c r="AV834">
        <v>1</v>
      </c>
      <c r="AX834" s="114">
        <v>25</v>
      </c>
      <c r="AY834" s="116">
        <v>15</v>
      </c>
      <c r="AZ834" s="116">
        <v>35</v>
      </c>
      <c r="BA834" s="120">
        <v>26535</v>
      </c>
      <c r="BB834" s="120">
        <f t="shared" si="246"/>
        <v>25015</v>
      </c>
      <c r="BC834" t="s">
        <v>1472</v>
      </c>
      <c r="BD834">
        <f t="shared" si="243"/>
        <v>2526535</v>
      </c>
      <c r="BE834" s="66">
        <v>99</v>
      </c>
      <c r="BF834" s="66"/>
      <c r="BI834">
        <v>28.07</v>
      </c>
      <c r="BJ834">
        <v>0.2</v>
      </c>
      <c r="BK834">
        <v>27.86</v>
      </c>
      <c r="BQ834">
        <v>24</v>
      </c>
      <c r="BS834">
        <v>0</v>
      </c>
    </row>
    <row r="835" spans="1:71" hidden="1" outlineLevel="1">
      <c r="A835" s="64" t="s">
        <v>866</v>
      </c>
      <c r="B835" s="8" t="s">
        <v>1320</v>
      </c>
      <c r="C835" s="1">
        <f t="shared" si="235"/>
        <v>958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 t="shared" si="236"/>
        <v>0</v>
      </c>
      <c r="G835" s="1">
        <f t="shared" si="237"/>
        <v>213</v>
      </c>
      <c r="H835" s="2">
        <f t="shared" si="244"/>
        <v>0.22233820459290188</v>
      </c>
      <c r="I835" s="6"/>
      <c r="J835" s="2">
        <f t="shared" si="238"/>
        <v>0.34968684759916491</v>
      </c>
      <c r="K835" s="2">
        <f t="shared" si="239"/>
        <v>0.57202505219206679</v>
      </c>
      <c r="L835" s="2">
        <f t="shared" si="240"/>
        <v>0</v>
      </c>
      <c r="M835" s="2">
        <f t="shared" si="241"/>
        <v>7.8288100208768308E-2</v>
      </c>
      <c r="N835" s="63">
        <v>335</v>
      </c>
      <c r="O835" s="63">
        <v>548</v>
      </c>
      <c r="P835" s="63">
        <v>0</v>
      </c>
      <c r="Q835" s="63">
        <v>55</v>
      </c>
      <c r="R835" s="63">
        <v>20</v>
      </c>
      <c r="S835" s="63"/>
      <c r="T835" s="63"/>
      <c r="U835" s="63"/>
      <c r="V835" s="63"/>
      <c r="W835" s="63">
        <f t="shared" si="242"/>
        <v>0</v>
      </c>
      <c r="X835" s="63"/>
      <c r="Y835" s="63"/>
      <c r="Z835" s="63"/>
      <c r="AA835" s="63">
        <v>0</v>
      </c>
      <c r="AB835" s="63"/>
      <c r="AE835" s="8">
        <v>0</v>
      </c>
      <c r="AT835" t="str">
        <f t="shared" si="245"/>
        <v>Granville</v>
      </c>
      <c r="AU835" t="s">
        <v>2852</v>
      </c>
      <c r="AV835">
        <v>1</v>
      </c>
      <c r="AX835" s="114">
        <v>25</v>
      </c>
      <c r="AY835" s="116">
        <v>13</v>
      </c>
      <c r="AZ835" s="116">
        <v>35</v>
      </c>
      <c r="BA835" s="120">
        <v>26675</v>
      </c>
      <c r="BB835" s="120">
        <f t="shared" si="246"/>
        <v>25013</v>
      </c>
      <c r="BC835" t="s">
        <v>1472</v>
      </c>
      <c r="BD835">
        <f t="shared" si="243"/>
        <v>2526675</v>
      </c>
      <c r="BE835" s="66">
        <v>28</v>
      </c>
      <c r="BF835" s="66"/>
      <c r="BI835">
        <v>42.96</v>
      </c>
      <c r="BJ835">
        <v>0.73</v>
      </c>
      <c r="BK835">
        <v>42.24</v>
      </c>
      <c r="BQ835">
        <v>0</v>
      </c>
      <c r="BS835">
        <v>0</v>
      </c>
    </row>
    <row r="836" spans="1:71" hidden="1" outlineLevel="1">
      <c r="A836" s="64" t="s">
        <v>2136</v>
      </c>
      <c r="B836" s="8" t="s">
        <v>1320</v>
      </c>
      <c r="C836" s="1">
        <f t="shared" si="235"/>
        <v>3729</v>
      </c>
      <c r="D836" s="5">
        <f>IF(N836&gt;0, RANK(N836,(N836:P836,Q836:AE836)),0)</f>
        <v>1</v>
      </c>
      <c r="E836" s="5">
        <f>IF(O836&gt;0,RANK(O836,(N836:P836,Q836:AE836)),0)</f>
        <v>2</v>
      </c>
      <c r="F836" s="5">
        <f t="shared" si="236"/>
        <v>0</v>
      </c>
      <c r="G836" s="1">
        <f t="shared" si="237"/>
        <v>2300</v>
      </c>
      <c r="H836" s="2">
        <f t="shared" si="244"/>
        <v>0.61678734245105926</v>
      </c>
      <c r="I836" s="6"/>
      <c r="J836" s="2">
        <f t="shared" si="238"/>
        <v>0.77232502011263071</v>
      </c>
      <c r="K836" s="2">
        <f t="shared" si="239"/>
        <v>0.15553767766157148</v>
      </c>
      <c r="L836" s="2">
        <f t="shared" si="240"/>
        <v>0</v>
      </c>
      <c r="M836" s="2">
        <f t="shared" si="241"/>
        <v>7.2137302225797811E-2</v>
      </c>
      <c r="N836" s="63">
        <v>2880</v>
      </c>
      <c r="O836" s="63">
        <v>580</v>
      </c>
      <c r="P836" s="63">
        <v>0</v>
      </c>
      <c r="Q836" s="63">
        <v>103</v>
      </c>
      <c r="R836" s="63">
        <v>128</v>
      </c>
      <c r="S836" s="63"/>
      <c r="T836" s="63"/>
      <c r="U836" s="63"/>
      <c r="V836" s="63"/>
      <c r="W836" s="63">
        <f t="shared" si="242"/>
        <v>38</v>
      </c>
      <c r="X836" s="63"/>
      <c r="Y836" s="63"/>
      <c r="Z836" s="63"/>
      <c r="AA836" s="63">
        <v>0</v>
      </c>
      <c r="AB836" s="63"/>
      <c r="AE836" s="8">
        <v>0</v>
      </c>
      <c r="AT836" t="str">
        <f t="shared" si="245"/>
        <v>Great Barrington</v>
      </c>
      <c r="AU836" t="s">
        <v>2313</v>
      </c>
      <c r="AV836">
        <v>1</v>
      </c>
      <c r="AX836" s="114">
        <v>25</v>
      </c>
      <c r="AY836" s="116">
        <v>3</v>
      </c>
      <c r="AZ836" s="116">
        <v>45</v>
      </c>
      <c r="BA836" s="120">
        <v>26815</v>
      </c>
      <c r="BB836" s="120">
        <f t="shared" si="246"/>
        <v>25003</v>
      </c>
      <c r="BC836" t="s">
        <v>1472</v>
      </c>
      <c r="BD836">
        <f t="shared" si="243"/>
        <v>2526815</v>
      </c>
      <c r="BE836" s="66">
        <v>35</v>
      </c>
      <c r="BF836" s="66"/>
      <c r="BI836">
        <v>45.7</v>
      </c>
      <c r="BJ836">
        <v>0.51</v>
      </c>
      <c r="BK836">
        <v>45.18</v>
      </c>
      <c r="BQ836">
        <v>38</v>
      </c>
      <c r="BS836">
        <v>0</v>
      </c>
    </row>
    <row r="837" spans="1:71" hidden="1" outlineLevel="1">
      <c r="A837" s="64" t="s">
        <v>2137</v>
      </c>
      <c r="B837" s="8" t="s">
        <v>1320</v>
      </c>
      <c r="C837" s="1">
        <f t="shared" si="235"/>
        <v>8532</v>
      </c>
      <c r="D837" s="5">
        <f>IF(N837&gt;0, RANK(N837,(N837:P837,Q837:AE837)),0)</f>
        <v>1</v>
      </c>
      <c r="E837" s="5">
        <f>IF(O837&gt;0,RANK(O837,(N837:P837,Q837:AE837)),0)</f>
        <v>2</v>
      </c>
      <c r="F837" s="5">
        <f t="shared" si="236"/>
        <v>0</v>
      </c>
      <c r="G837" s="1">
        <f t="shared" si="237"/>
        <v>3476</v>
      </c>
      <c r="H837" s="2">
        <f t="shared" si="244"/>
        <v>0.40740740740740738</v>
      </c>
      <c r="I837" s="6"/>
      <c r="J837" s="2">
        <f t="shared" si="238"/>
        <v>0.65330520393811531</v>
      </c>
      <c r="K837" s="2">
        <f t="shared" si="239"/>
        <v>0.24589779653070792</v>
      </c>
      <c r="L837" s="2">
        <f t="shared" si="240"/>
        <v>0</v>
      </c>
      <c r="M837" s="2">
        <f t="shared" si="241"/>
        <v>0.10079699953117677</v>
      </c>
      <c r="N837" s="63">
        <v>5574</v>
      </c>
      <c r="O837" s="63">
        <v>2098</v>
      </c>
      <c r="P837" s="63">
        <v>0</v>
      </c>
      <c r="Q837" s="63">
        <v>372</v>
      </c>
      <c r="R837" s="63">
        <v>309</v>
      </c>
      <c r="S837" s="63"/>
      <c r="T837" s="63"/>
      <c r="U837" s="63"/>
      <c r="V837" s="63"/>
      <c r="W837" s="63">
        <f t="shared" si="242"/>
        <v>179</v>
      </c>
      <c r="X837" s="63"/>
      <c r="Y837" s="63"/>
      <c r="Z837" s="63"/>
      <c r="AA837" s="63">
        <v>0</v>
      </c>
      <c r="AB837" s="63"/>
      <c r="AE837" s="8">
        <v>0</v>
      </c>
      <c r="AT837" t="str">
        <f t="shared" si="245"/>
        <v>Greenfield</v>
      </c>
      <c r="AU837" t="s">
        <v>1138</v>
      </c>
      <c r="AV837">
        <v>2</v>
      </c>
      <c r="AX837" s="114">
        <v>25</v>
      </c>
      <c r="AY837" s="116">
        <v>11</v>
      </c>
      <c r="AZ837" s="116">
        <v>50</v>
      </c>
      <c r="BA837" s="120">
        <v>27025</v>
      </c>
      <c r="BB837" s="120">
        <f t="shared" si="246"/>
        <v>25011</v>
      </c>
      <c r="BC837" t="s">
        <v>1249</v>
      </c>
      <c r="BD837">
        <f t="shared" si="243"/>
        <v>2527025</v>
      </c>
      <c r="BE837" s="66">
        <v>165</v>
      </c>
      <c r="BF837" s="66"/>
      <c r="BI837">
        <v>21.92</v>
      </c>
      <c r="BJ837">
        <v>0.19</v>
      </c>
      <c r="BK837">
        <v>21.73</v>
      </c>
      <c r="BQ837">
        <v>179</v>
      </c>
      <c r="BS837">
        <v>0</v>
      </c>
    </row>
    <row r="838" spans="1:71" hidden="1" outlineLevel="1">
      <c r="A838" s="64" t="s">
        <v>2482</v>
      </c>
      <c r="B838" s="8" t="s">
        <v>1320</v>
      </c>
      <c r="C838" s="1">
        <f t="shared" si="235"/>
        <v>6694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 t="shared" si="236"/>
        <v>6</v>
      </c>
      <c r="G838" s="1">
        <f t="shared" si="237"/>
        <v>1779</v>
      </c>
      <c r="H838" s="2">
        <f t="shared" si="244"/>
        <v>0.26576038243202871</v>
      </c>
      <c r="I838" s="6"/>
      <c r="J838" s="2">
        <f t="shared" si="238"/>
        <v>0.5851508813863161</v>
      </c>
      <c r="K838" s="2">
        <f t="shared" si="239"/>
        <v>0.31939049895428739</v>
      </c>
      <c r="L838" s="2">
        <f t="shared" si="240"/>
        <v>2.987750224081267E-3</v>
      </c>
      <c r="M838" s="2">
        <f t="shared" si="241"/>
        <v>9.2470869435315239E-2</v>
      </c>
      <c r="N838" s="63">
        <v>3917</v>
      </c>
      <c r="O838" s="63">
        <v>2138</v>
      </c>
      <c r="P838" s="63">
        <v>20</v>
      </c>
      <c r="Q838" s="63">
        <v>400</v>
      </c>
      <c r="R838" s="63">
        <v>96</v>
      </c>
      <c r="S838" s="63"/>
      <c r="T838" s="63"/>
      <c r="U838" s="63"/>
      <c r="V838" s="63"/>
      <c r="W838" s="63">
        <f t="shared" si="242"/>
        <v>123</v>
      </c>
      <c r="X838" s="63"/>
      <c r="Y838" s="63"/>
      <c r="Z838" s="63"/>
      <c r="AA838" s="63">
        <v>0</v>
      </c>
      <c r="AB838" s="63"/>
      <c r="AE838" s="8">
        <v>0</v>
      </c>
      <c r="AT838" t="str">
        <f t="shared" si="245"/>
        <v>Groton</v>
      </c>
      <c r="AU838" t="s">
        <v>503</v>
      </c>
      <c r="AV838">
        <v>3</v>
      </c>
      <c r="AX838" s="114">
        <v>25</v>
      </c>
      <c r="AY838" s="116">
        <v>17</v>
      </c>
      <c r="AZ838" s="116">
        <v>95</v>
      </c>
      <c r="BA838" s="120">
        <v>27480</v>
      </c>
      <c r="BB838" s="120">
        <f t="shared" si="246"/>
        <v>25017</v>
      </c>
      <c r="BC838" t="s">
        <v>1472</v>
      </c>
      <c r="BD838">
        <f t="shared" si="243"/>
        <v>2527480</v>
      </c>
      <c r="BE838" s="66">
        <v>118</v>
      </c>
      <c r="BF838" s="66"/>
      <c r="BI838">
        <v>33.71</v>
      </c>
      <c r="BJ838">
        <v>0.94</v>
      </c>
      <c r="BK838">
        <v>32.770000000000003</v>
      </c>
      <c r="BQ838">
        <v>123</v>
      </c>
      <c r="BS838">
        <v>0</v>
      </c>
    </row>
    <row r="839" spans="1:71" hidden="1" outlineLevel="1">
      <c r="A839" s="64" t="s">
        <v>2149</v>
      </c>
      <c r="B839" s="8" t="s">
        <v>1320</v>
      </c>
      <c r="C839" s="1">
        <f t="shared" si="235"/>
        <v>4074</v>
      </c>
      <c r="D839" s="5">
        <f>IF(N839&gt;0, RANK(N839,(N839:P839,Q839:AE839)),0)</f>
        <v>2</v>
      </c>
      <c r="E839" s="5">
        <f>IF(O839&gt;0,RANK(O839,(N839:P839,Q839:AE839)),0)</f>
        <v>1</v>
      </c>
      <c r="F839" s="5">
        <f t="shared" si="236"/>
        <v>0</v>
      </c>
      <c r="G839" s="1">
        <f t="shared" si="237"/>
        <v>112</v>
      </c>
      <c r="H839" s="2">
        <f t="shared" si="244"/>
        <v>2.7491408934707903E-2</v>
      </c>
      <c r="I839" s="6"/>
      <c r="J839" s="2">
        <f t="shared" si="238"/>
        <v>0.44722631320569467</v>
      </c>
      <c r="K839" s="2">
        <f t="shared" si="239"/>
        <v>0.47471772214040253</v>
      </c>
      <c r="L839" s="2">
        <f t="shared" si="240"/>
        <v>0</v>
      </c>
      <c r="M839" s="2">
        <f t="shared" si="241"/>
        <v>7.8055964653902854E-2</v>
      </c>
      <c r="N839" s="63">
        <v>1822</v>
      </c>
      <c r="O839" s="63">
        <v>1934</v>
      </c>
      <c r="P839" s="63">
        <v>0</v>
      </c>
      <c r="Q839" s="63">
        <v>190</v>
      </c>
      <c r="R839" s="63">
        <v>52</v>
      </c>
      <c r="S839" s="63"/>
      <c r="T839" s="63"/>
      <c r="U839" s="63"/>
      <c r="V839" s="63"/>
      <c r="W839" s="63">
        <f t="shared" si="242"/>
        <v>76</v>
      </c>
      <c r="X839" s="63"/>
      <c r="Y839" s="63"/>
      <c r="Z839" s="63"/>
      <c r="AA839" s="63">
        <v>0</v>
      </c>
      <c r="AB839" s="63"/>
      <c r="AE839" s="8">
        <v>0</v>
      </c>
      <c r="AT839" t="str">
        <f t="shared" si="245"/>
        <v>Groveland</v>
      </c>
      <c r="AU839" t="s">
        <v>842</v>
      </c>
      <c r="AV839">
        <v>6</v>
      </c>
      <c r="AX839" s="114">
        <v>25</v>
      </c>
      <c r="AY839" s="116">
        <v>9</v>
      </c>
      <c r="AZ839" s="116">
        <v>45</v>
      </c>
      <c r="BA839" s="120">
        <v>27620</v>
      </c>
      <c r="BB839" s="120">
        <f t="shared" si="246"/>
        <v>25009</v>
      </c>
      <c r="BC839" t="s">
        <v>1472</v>
      </c>
      <c r="BD839">
        <f t="shared" si="243"/>
        <v>2527620</v>
      </c>
      <c r="BE839" s="66">
        <v>51</v>
      </c>
      <c r="BF839" s="66"/>
      <c r="BI839">
        <v>9.41</v>
      </c>
      <c r="BJ839">
        <v>0.47</v>
      </c>
      <c r="BK839">
        <v>8.94</v>
      </c>
      <c r="BQ839">
        <v>76</v>
      </c>
      <c r="BS839">
        <v>0</v>
      </c>
    </row>
    <row r="840" spans="1:71" hidden="1" outlineLevel="1">
      <c r="A840" s="64" t="s">
        <v>2148</v>
      </c>
      <c r="B840" s="8" t="s">
        <v>1320</v>
      </c>
      <c r="C840" s="1">
        <f t="shared" si="235"/>
        <v>3259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 t="shared" si="236"/>
        <v>6</v>
      </c>
      <c r="G840" s="1">
        <f t="shared" si="237"/>
        <v>1282</v>
      </c>
      <c r="H840" s="2">
        <f t="shared" si="244"/>
        <v>0.39337220006136853</v>
      </c>
      <c r="I840" s="6"/>
      <c r="J840" s="2">
        <f t="shared" si="238"/>
        <v>0.65940472537588213</v>
      </c>
      <c r="K840" s="2">
        <f t="shared" si="239"/>
        <v>0.26603252531451366</v>
      </c>
      <c r="L840" s="2">
        <f t="shared" si="240"/>
        <v>1.5342129487572874E-3</v>
      </c>
      <c r="M840" s="2">
        <f t="shared" si="241"/>
        <v>7.3028536360846927E-2</v>
      </c>
      <c r="N840" s="63">
        <v>2149</v>
      </c>
      <c r="O840" s="63">
        <v>867</v>
      </c>
      <c r="P840" s="63">
        <v>5</v>
      </c>
      <c r="Q840" s="63">
        <v>105</v>
      </c>
      <c r="R840" s="63">
        <v>98</v>
      </c>
      <c r="S840" s="63"/>
      <c r="T840" s="63"/>
      <c r="U840" s="63"/>
      <c r="V840" s="63"/>
      <c r="W840" s="63">
        <f t="shared" si="242"/>
        <v>35</v>
      </c>
      <c r="X840" s="63"/>
      <c r="Y840" s="63"/>
      <c r="Z840" s="63"/>
      <c r="AA840" s="63">
        <v>0</v>
      </c>
      <c r="AB840" s="63"/>
      <c r="AE840" s="8">
        <v>0</v>
      </c>
      <c r="AT840" t="str">
        <f t="shared" si="245"/>
        <v>Hadley</v>
      </c>
      <c r="AU840" t="s">
        <v>2176</v>
      </c>
      <c r="AV840">
        <v>2</v>
      </c>
      <c r="AX840" s="114">
        <v>25</v>
      </c>
      <c r="AY840" s="116">
        <v>15</v>
      </c>
      <c r="AZ840" s="116">
        <v>40</v>
      </c>
      <c r="BA840" s="120">
        <v>27690</v>
      </c>
      <c r="BB840" s="120">
        <f t="shared" si="246"/>
        <v>25015</v>
      </c>
      <c r="BC840" t="s">
        <v>1472</v>
      </c>
      <c r="BD840">
        <f t="shared" si="243"/>
        <v>2527690</v>
      </c>
      <c r="BE840" s="66">
        <v>54</v>
      </c>
      <c r="BF840" s="66"/>
      <c r="BI840">
        <v>24.72</v>
      </c>
      <c r="BJ840">
        <v>1.42</v>
      </c>
      <c r="BK840">
        <v>23.31</v>
      </c>
      <c r="BQ840">
        <v>35</v>
      </c>
      <c r="BS840">
        <v>0</v>
      </c>
    </row>
    <row r="841" spans="1:71" hidden="1" outlineLevel="1">
      <c r="A841" s="64" t="s">
        <v>391</v>
      </c>
      <c r="B841" s="8" t="s">
        <v>1320</v>
      </c>
      <c r="C841" s="1">
        <f t="shared" si="235"/>
        <v>4471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 t="shared" si="236"/>
        <v>0</v>
      </c>
      <c r="G841" s="1">
        <f t="shared" si="237"/>
        <v>518</v>
      </c>
      <c r="H841" s="2">
        <f t="shared" si="244"/>
        <v>0.1158577499440841</v>
      </c>
      <c r="I841" s="6"/>
      <c r="J841" s="2">
        <f t="shared" si="238"/>
        <v>0.4012525162156117</v>
      </c>
      <c r="K841" s="2">
        <f t="shared" si="239"/>
        <v>0.5171102661596958</v>
      </c>
      <c r="L841" s="2">
        <f t="shared" si="240"/>
        <v>0</v>
      </c>
      <c r="M841" s="2">
        <f t="shared" si="241"/>
        <v>8.1637217624692449E-2</v>
      </c>
      <c r="N841" s="63">
        <v>1794</v>
      </c>
      <c r="O841" s="63">
        <v>2312</v>
      </c>
      <c r="P841" s="63">
        <v>0</v>
      </c>
      <c r="Q841" s="63">
        <v>228</v>
      </c>
      <c r="R841" s="63">
        <v>58</v>
      </c>
      <c r="S841" s="63"/>
      <c r="T841" s="63"/>
      <c r="U841" s="63"/>
      <c r="V841" s="63"/>
      <c r="W841" s="63">
        <f t="shared" si="242"/>
        <v>79</v>
      </c>
      <c r="X841" s="63"/>
      <c r="Y841" s="63"/>
      <c r="Z841" s="63"/>
      <c r="AA841" s="63">
        <v>0</v>
      </c>
      <c r="AB841" s="63"/>
      <c r="AE841" s="8">
        <v>0</v>
      </c>
      <c r="AT841" t="str">
        <f t="shared" si="245"/>
        <v>Halifax</v>
      </c>
      <c r="AU841" t="s">
        <v>231</v>
      </c>
      <c r="AV841">
        <v>9</v>
      </c>
      <c r="AX841" s="114">
        <v>25</v>
      </c>
      <c r="AY841" s="116">
        <v>23</v>
      </c>
      <c r="AZ841" s="116">
        <v>35</v>
      </c>
      <c r="BA841" s="120">
        <v>27795</v>
      </c>
      <c r="BB841" s="120">
        <f t="shared" si="246"/>
        <v>25023</v>
      </c>
      <c r="BC841" t="s">
        <v>1472</v>
      </c>
      <c r="BD841">
        <f t="shared" si="243"/>
        <v>2527795</v>
      </c>
      <c r="BE841" s="66">
        <v>48</v>
      </c>
      <c r="BF841" s="66"/>
      <c r="BI841">
        <v>17.329999999999998</v>
      </c>
      <c r="BJ841">
        <v>1.18</v>
      </c>
      <c r="BK841">
        <v>16.149999999999999</v>
      </c>
      <c r="BQ841">
        <v>79</v>
      </c>
      <c r="BS841">
        <v>0</v>
      </c>
    </row>
    <row r="842" spans="1:71" hidden="1" outlineLevel="1">
      <c r="A842" s="64" t="s">
        <v>2646</v>
      </c>
      <c r="B842" s="8" t="s">
        <v>1320</v>
      </c>
      <c r="C842" s="1">
        <f t="shared" si="235"/>
        <v>4692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 t="shared" si="236"/>
        <v>6</v>
      </c>
      <c r="G842" s="1">
        <f t="shared" si="237"/>
        <v>1155</v>
      </c>
      <c r="H842" s="2">
        <f t="shared" si="244"/>
        <v>0.24616368286445012</v>
      </c>
      <c r="I842" s="6"/>
      <c r="J842" s="2">
        <f t="shared" si="238"/>
        <v>0.5607416879795396</v>
      </c>
      <c r="K842" s="2">
        <f t="shared" si="239"/>
        <v>0.31457800511508949</v>
      </c>
      <c r="L842" s="2">
        <f t="shared" si="240"/>
        <v>2.1312872975277068E-3</v>
      </c>
      <c r="M842" s="2">
        <f t="shared" si="241"/>
        <v>0.1225490196078432</v>
      </c>
      <c r="N842" s="63">
        <v>2631</v>
      </c>
      <c r="O842" s="63">
        <v>1476</v>
      </c>
      <c r="P842" s="63">
        <v>10</v>
      </c>
      <c r="Q842" s="63">
        <v>318</v>
      </c>
      <c r="R842" s="63">
        <v>69</v>
      </c>
      <c r="S842" s="63"/>
      <c r="T842" s="63"/>
      <c r="U842" s="63"/>
      <c r="V842" s="63"/>
      <c r="W842" s="63">
        <f t="shared" si="242"/>
        <v>188</v>
      </c>
      <c r="X842" s="63"/>
      <c r="Y842" s="63"/>
      <c r="Z842" s="63"/>
      <c r="AA842" s="63">
        <v>0</v>
      </c>
      <c r="AB842" s="63"/>
      <c r="AE842" s="8">
        <v>0</v>
      </c>
      <c r="AT842" t="str">
        <f t="shared" si="245"/>
        <v>Hamilton</v>
      </c>
      <c r="AU842" t="s">
        <v>842</v>
      </c>
      <c r="AV842">
        <v>6</v>
      </c>
      <c r="AX842" s="114">
        <v>25</v>
      </c>
      <c r="AY842" s="116">
        <v>9</v>
      </c>
      <c r="AZ842" s="116">
        <v>50</v>
      </c>
      <c r="BA842" s="120">
        <v>27900</v>
      </c>
      <c r="BB842" s="120">
        <f t="shared" si="246"/>
        <v>25009</v>
      </c>
      <c r="BC842" t="s">
        <v>1472</v>
      </c>
      <c r="BD842">
        <f t="shared" si="243"/>
        <v>2527900</v>
      </c>
      <c r="BE842" s="66">
        <v>70</v>
      </c>
      <c r="BF842" s="66"/>
      <c r="BI842">
        <v>14.94</v>
      </c>
      <c r="BJ842">
        <v>0.34</v>
      </c>
      <c r="BK842">
        <v>14.6</v>
      </c>
      <c r="BQ842">
        <v>188</v>
      </c>
      <c r="BS842">
        <v>0</v>
      </c>
    </row>
    <row r="843" spans="1:71" hidden="1" outlineLevel="1">
      <c r="A843" s="64" t="s">
        <v>2852</v>
      </c>
      <c r="B843" s="8" t="s">
        <v>1320</v>
      </c>
      <c r="C843" s="1">
        <f t="shared" si="235"/>
        <v>3036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 t="shared" si="236"/>
        <v>0</v>
      </c>
      <c r="G843" s="1">
        <f t="shared" si="237"/>
        <v>457</v>
      </c>
      <c r="H843" s="2">
        <f t="shared" si="244"/>
        <v>0.15052700922266141</v>
      </c>
      <c r="I843" s="6"/>
      <c r="J843" s="2">
        <f t="shared" si="238"/>
        <v>0.39130434782608697</v>
      </c>
      <c r="K843" s="2">
        <f t="shared" si="239"/>
        <v>0.54183135704874841</v>
      </c>
      <c r="L843" s="2">
        <f t="shared" si="240"/>
        <v>0</v>
      </c>
      <c r="M843" s="2">
        <f t="shared" si="241"/>
        <v>6.6864295125164674E-2</v>
      </c>
      <c r="N843" s="63">
        <v>1188</v>
      </c>
      <c r="O843" s="63">
        <v>1645</v>
      </c>
      <c r="P843" s="63">
        <v>0</v>
      </c>
      <c r="Q843" s="63">
        <v>154</v>
      </c>
      <c r="R843" s="63">
        <v>37</v>
      </c>
      <c r="S843" s="63"/>
      <c r="T843" s="63"/>
      <c r="U843" s="63"/>
      <c r="V843" s="63"/>
      <c r="W843" s="63">
        <f t="shared" si="242"/>
        <v>12</v>
      </c>
      <c r="X843" s="63"/>
      <c r="Y843" s="63"/>
      <c r="Z843" s="63"/>
      <c r="AA843" s="63">
        <v>0</v>
      </c>
      <c r="AB843" s="63"/>
      <c r="AE843" s="8">
        <v>0</v>
      </c>
      <c r="AT843" t="str">
        <f t="shared" si="245"/>
        <v>Hampden</v>
      </c>
      <c r="AU843" t="s">
        <v>2852</v>
      </c>
      <c r="AV843">
        <v>1</v>
      </c>
      <c r="AX843" s="114">
        <v>25</v>
      </c>
      <c r="AY843" s="116">
        <v>13</v>
      </c>
      <c r="AZ843" s="116">
        <v>40</v>
      </c>
      <c r="BA843" s="120">
        <v>28075</v>
      </c>
      <c r="BB843" s="120">
        <f t="shared" si="246"/>
        <v>25013</v>
      </c>
      <c r="BC843" t="s">
        <v>1472</v>
      </c>
      <c r="BD843">
        <f t="shared" si="243"/>
        <v>2528075</v>
      </c>
      <c r="BE843" s="66">
        <v>81</v>
      </c>
      <c r="BF843" s="66"/>
      <c r="BI843">
        <v>19.649999999999999</v>
      </c>
      <c r="BJ843">
        <v>0.01</v>
      </c>
      <c r="BK843">
        <v>19.64</v>
      </c>
      <c r="BQ843">
        <v>12</v>
      </c>
      <c r="BS843">
        <v>0</v>
      </c>
    </row>
    <row r="844" spans="1:71" hidden="1" outlineLevel="1">
      <c r="A844" s="64" t="s">
        <v>597</v>
      </c>
      <c r="B844" s="8" t="s">
        <v>1320</v>
      </c>
      <c r="C844" s="1">
        <f t="shared" si="235"/>
        <v>390</v>
      </c>
      <c r="D844" s="5">
        <f>IF(N844&gt;0, RANK(N844,(N844:P844,Q844:AE844)),0)</f>
        <v>1</v>
      </c>
      <c r="E844" s="5">
        <f>IF(O844&gt;0,RANK(O844,(N844:P844,Q844:AE844)),0)</f>
        <v>2</v>
      </c>
      <c r="F844" s="5">
        <f t="shared" si="236"/>
        <v>6</v>
      </c>
      <c r="G844" s="1">
        <f t="shared" si="237"/>
        <v>30</v>
      </c>
      <c r="H844" s="2">
        <f t="shared" si="244"/>
        <v>7.6923076923076927E-2</v>
      </c>
      <c r="I844" s="6"/>
      <c r="J844" s="2">
        <f t="shared" si="238"/>
        <v>0.48461538461538461</v>
      </c>
      <c r="K844" s="2">
        <f t="shared" si="239"/>
        <v>0.40769230769230769</v>
      </c>
      <c r="L844" s="2">
        <f t="shared" si="240"/>
        <v>5.1282051282051282E-3</v>
      </c>
      <c r="M844" s="2">
        <f t="shared" si="241"/>
        <v>0.10256410256410252</v>
      </c>
      <c r="N844" s="63">
        <v>189</v>
      </c>
      <c r="O844" s="63">
        <v>159</v>
      </c>
      <c r="P844" s="63">
        <v>2</v>
      </c>
      <c r="Q844" s="63">
        <v>24</v>
      </c>
      <c r="R844" s="63">
        <v>9</v>
      </c>
      <c r="S844" s="63"/>
      <c r="T844" s="63"/>
      <c r="U844" s="63"/>
      <c r="V844" s="63"/>
      <c r="W844" s="63">
        <f t="shared" si="242"/>
        <v>7</v>
      </c>
      <c r="X844" s="63"/>
      <c r="Y844" s="63"/>
      <c r="Z844" s="63"/>
      <c r="AA844" s="63">
        <v>0</v>
      </c>
      <c r="AB844" s="63"/>
      <c r="AE844" s="8">
        <v>0</v>
      </c>
      <c r="AT844" t="str">
        <f t="shared" si="245"/>
        <v>Hancock</v>
      </c>
      <c r="AU844" t="s">
        <v>2313</v>
      </c>
      <c r="AV844">
        <v>1</v>
      </c>
      <c r="AX844" s="114">
        <v>25</v>
      </c>
      <c r="AY844" s="116">
        <v>3</v>
      </c>
      <c r="AZ844" s="116">
        <v>50</v>
      </c>
      <c r="BA844" s="120">
        <v>28180</v>
      </c>
      <c r="BB844" s="120">
        <f t="shared" si="246"/>
        <v>25003</v>
      </c>
      <c r="BC844" t="s">
        <v>1472</v>
      </c>
      <c r="BD844">
        <f t="shared" si="243"/>
        <v>2528180</v>
      </c>
      <c r="BE844" s="66">
        <v>7</v>
      </c>
      <c r="BF844" s="66"/>
      <c r="BI844">
        <v>35.76</v>
      </c>
      <c r="BJ844">
        <v>0.03</v>
      </c>
      <c r="BK844">
        <v>35.729999999999997</v>
      </c>
      <c r="BQ844">
        <v>7</v>
      </c>
      <c r="BS844">
        <v>0</v>
      </c>
    </row>
    <row r="845" spans="1:71" hidden="1" outlineLevel="1">
      <c r="A845" s="64" t="s">
        <v>693</v>
      </c>
      <c r="B845" s="8" t="s">
        <v>1320</v>
      </c>
      <c r="C845" s="1">
        <f t="shared" si="235"/>
        <v>8666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 t="shared" si="236"/>
        <v>6</v>
      </c>
      <c r="G845" s="1">
        <f t="shared" si="237"/>
        <v>517</v>
      </c>
      <c r="H845" s="2">
        <f t="shared" si="244"/>
        <v>5.9658435264251096E-2</v>
      </c>
      <c r="I845" s="6"/>
      <c r="J845" s="2">
        <f t="shared" si="238"/>
        <v>0.43272559427648283</v>
      </c>
      <c r="K845" s="2">
        <f t="shared" si="239"/>
        <v>0.4923840295407339</v>
      </c>
      <c r="L845" s="2">
        <f t="shared" si="240"/>
        <v>1.3847219016847449E-3</v>
      </c>
      <c r="M845" s="2">
        <f t="shared" si="241"/>
        <v>7.3505654281098523E-2</v>
      </c>
      <c r="N845" s="63">
        <v>3750</v>
      </c>
      <c r="O845" s="63">
        <v>4267</v>
      </c>
      <c r="P845" s="63">
        <v>12</v>
      </c>
      <c r="Q845" s="63">
        <v>400</v>
      </c>
      <c r="R845" s="63">
        <v>71</v>
      </c>
      <c r="S845" s="63"/>
      <c r="T845" s="63"/>
      <c r="U845" s="63"/>
      <c r="V845" s="63"/>
      <c r="W845" s="63">
        <f t="shared" si="242"/>
        <v>166</v>
      </c>
      <c r="X845" s="63"/>
      <c r="Y845" s="63"/>
      <c r="Z845" s="63"/>
      <c r="AA845" s="63">
        <v>0</v>
      </c>
      <c r="AB845" s="63"/>
      <c r="AE845" s="8">
        <v>0</v>
      </c>
      <c r="AT845" t="str">
        <f t="shared" si="245"/>
        <v>Hanover</v>
      </c>
      <c r="AU845" t="s">
        <v>231</v>
      </c>
      <c r="AV845">
        <v>9</v>
      </c>
      <c r="AX845" s="114">
        <v>25</v>
      </c>
      <c r="AY845" s="116">
        <v>23</v>
      </c>
      <c r="AZ845" s="116">
        <v>40</v>
      </c>
      <c r="BA845" s="120">
        <v>28285</v>
      </c>
      <c r="BB845" s="120">
        <f t="shared" si="246"/>
        <v>25023</v>
      </c>
      <c r="BC845" t="s">
        <v>1472</v>
      </c>
      <c r="BD845">
        <f t="shared" si="243"/>
        <v>2528285</v>
      </c>
      <c r="BE845" s="66">
        <v>172</v>
      </c>
      <c r="BF845" s="66"/>
      <c r="BI845">
        <v>15.72</v>
      </c>
      <c r="BJ845">
        <v>0.11</v>
      </c>
      <c r="BK845">
        <v>15.61</v>
      </c>
      <c r="BQ845">
        <v>166</v>
      </c>
      <c r="BS845">
        <v>0</v>
      </c>
    </row>
    <row r="846" spans="1:71" hidden="1" outlineLevel="1">
      <c r="A846" s="64" t="s">
        <v>1783</v>
      </c>
      <c r="B846" s="8" t="s">
        <v>1320</v>
      </c>
      <c r="C846" s="1">
        <f t="shared" si="235"/>
        <v>6031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 t="shared" si="236"/>
        <v>6</v>
      </c>
      <c r="G846" s="1">
        <f t="shared" si="237"/>
        <v>692</v>
      </c>
      <c r="H846" s="2">
        <f t="shared" si="244"/>
        <v>0.11474050737854419</v>
      </c>
      <c r="I846" s="6"/>
      <c r="J846" s="2">
        <f t="shared" si="238"/>
        <v>0.40324987564251369</v>
      </c>
      <c r="K846" s="2">
        <f t="shared" si="239"/>
        <v>0.51799038302105782</v>
      </c>
      <c r="L846" s="2">
        <f t="shared" si="240"/>
        <v>2.9845796716962362E-3</v>
      </c>
      <c r="M846" s="2">
        <f t="shared" si="241"/>
        <v>7.5775161664732249E-2</v>
      </c>
      <c r="N846" s="63">
        <v>2432</v>
      </c>
      <c r="O846" s="63">
        <v>3124</v>
      </c>
      <c r="P846" s="63">
        <v>18</v>
      </c>
      <c r="Q846" s="63">
        <v>329</v>
      </c>
      <c r="R846" s="63">
        <v>58</v>
      </c>
      <c r="S846" s="63"/>
      <c r="T846" s="63"/>
      <c r="U846" s="63"/>
      <c r="V846" s="63"/>
      <c r="W846" s="63">
        <f t="shared" si="242"/>
        <v>70</v>
      </c>
      <c r="X846" s="63"/>
      <c r="Y846" s="63"/>
      <c r="Z846" s="63"/>
      <c r="AA846" s="63">
        <v>0</v>
      </c>
      <c r="AB846" s="63"/>
      <c r="AE846" s="8">
        <v>0</v>
      </c>
      <c r="AT846" t="str">
        <f t="shared" si="245"/>
        <v>Hanson</v>
      </c>
      <c r="AU846" t="s">
        <v>231</v>
      </c>
      <c r="AV846">
        <v>9</v>
      </c>
      <c r="AX846" s="114">
        <v>25</v>
      </c>
      <c r="AY846" s="116">
        <v>23</v>
      </c>
      <c r="AZ846" s="116">
        <v>45</v>
      </c>
      <c r="BA846" s="120">
        <v>28495</v>
      </c>
      <c r="BB846" s="120">
        <f t="shared" si="246"/>
        <v>25023</v>
      </c>
      <c r="BC846" t="s">
        <v>1472</v>
      </c>
      <c r="BD846">
        <f t="shared" si="243"/>
        <v>2528495</v>
      </c>
      <c r="BE846" s="66">
        <v>127</v>
      </c>
      <c r="BF846" s="66"/>
      <c r="BI846">
        <v>15.67</v>
      </c>
      <c r="BJ846">
        <v>0.66</v>
      </c>
      <c r="BK846">
        <v>15.01</v>
      </c>
      <c r="BQ846">
        <v>70</v>
      </c>
      <c r="BS846">
        <v>0</v>
      </c>
    </row>
    <row r="847" spans="1:71" hidden="1" outlineLevel="1">
      <c r="A847" s="64" t="s">
        <v>2990</v>
      </c>
      <c r="B847" s="8" t="s">
        <v>1320</v>
      </c>
      <c r="C847" s="1">
        <f t="shared" si="235"/>
        <v>1405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 t="shared" si="236"/>
        <v>6</v>
      </c>
      <c r="G847" s="1">
        <f t="shared" si="237"/>
        <v>141</v>
      </c>
      <c r="H847" s="2">
        <f t="shared" si="244"/>
        <v>0.100355871886121</v>
      </c>
      <c r="I847" s="6"/>
      <c r="J847" s="2">
        <f t="shared" si="238"/>
        <v>0.40427046263345195</v>
      </c>
      <c r="K847" s="2">
        <f t="shared" si="239"/>
        <v>0.50462633451957295</v>
      </c>
      <c r="L847" s="2">
        <f t="shared" si="240"/>
        <v>1.4234875444839859E-3</v>
      </c>
      <c r="M847" s="2">
        <f t="shared" si="241"/>
        <v>8.9679715302491164E-2</v>
      </c>
      <c r="N847" s="63">
        <v>568</v>
      </c>
      <c r="O847" s="63">
        <v>709</v>
      </c>
      <c r="P847" s="63">
        <v>2</v>
      </c>
      <c r="Q847" s="63">
        <v>77</v>
      </c>
      <c r="R847" s="63">
        <v>28</v>
      </c>
      <c r="S847" s="63"/>
      <c r="T847" s="63"/>
      <c r="U847" s="63"/>
      <c r="V847" s="63"/>
      <c r="W847" s="63">
        <f t="shared" si="242"/>
        <v>21</v>
      </c>
      <c r="X847" s="63"/>
      <c r="Y847" s="63"/>
      <c r="Z847" s="63"/>
      <c r="AA847" s="63">
        <v>0</v>
      </c>
      <c r="AB847" s="63"/>
      <c r="AE847" s="8">
        <v>0</v>
      </c>
      <c r="AT847" t="str">
        <f t="shared" si="245"/>
        <v>Hardwick</v>
      </c>
      <c r="AU847" s="8" t="s">
        <v>1774</v>
      </c>
      <c r="AV847">
        <v>2</v>
      </c>
      <c r="AX847" s="114">
        <v>25</v>
      </c>
      <c r="AY847" s="116">
        <v>27</v>
      </c>
      <c r="AZ847" s="116">
        <v>90</v>
      </c>
      <c r="BA847" s="120">
        <v>28740</v>
      </c>
      <c r="BB847" s="120">
        <f t="shared" si="246"/>
        <v>25027</v>
      </c>
      <c r="BC847" t="s">
        <v>1472</v>
      </c>
      <c r="BD847">
        <f t="shared" si="243"/>
        <v>2528740</v>
      </c>
      <c r="BE847" s="66">
        <v>16</v>
      </c>
      <c r="BF847" s="66"/>
      <c r="BI847">
        <v>40.840000000000003</v>
      </c>
      <c r="BJ847">
        <v>2.25</v>
      </c>
      <c r="BK847">
        <v>38.590000000000003</v>
      </c>
      <c r="BQ847">
        <v>21</v>
      </c>
      <c r="BS847">
        <v>0</v>
      </c>
    </row>
    <row r="848" spans="1:71" hidden="1" outlineLevel="1">
      <c r="A848" s="64" t="s">
        <v>2500</v>
      </c>
      <c r="B848" s="8" t="s">
        <v>1320</v>
      </c>
      <c r="C848" s="1">
        <f t="shared" si="235"/>
        <v>3713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 t="shared" si="236"/>
        <v>6</v>
      </c>
      <c r="G848" s="1">
        <f t="shared" si="237"/>
        <v>1626</v>
      </c>
      <c r="H848" s="2">
        <f t="shared" si="244"/>
        <v>0.4379208187449502</v>
      </c>
      <c r="I848" s="6"/>
      <c r="J848" s="2">
        <f t="shared" si="238"/>
        <v>0.67734985187180174</v>
      </c>
      <c r="K848" s="2">
        <f t="shared" si="239"/>
        <v>0.2394290331268516</v>
      </c>
      <c r="L848" s="2">
        <f t="shared" si="240"/>
        <v>5.3864799353622406E-4</v>
      </c>
      <c r="M848" s="2">
        <f t="shared" si="241"/>
        <v>8.2682467007810428E-2</v>
      </c>
      <c r="N848" s="63">
        <v>2515</v>
      </c>
      <c r="O848" s="63">
        <v>889</v>
      </c>
      <c r="P848" s="63">
        <v>2</v>
      </c>
      <c r="Q848" s="63">
        <v>182</v>
      </c>
      <c r="R848" s="63">
        <v>50</v>
      </c>
      <c r="S848" s="63"/>
      <c r="T848" s="63"/>
      <c r="U848" s="63"/>
      <c r="V848" s="63"/>
      <c r="W848" s="63">
        <f t="shared" si="242"/>
        <v>75</v>
      </c>
      <c r="X848" s="63"/>
      <c r="Y848" s="63"/>
      <c r="Z848" s="63"/>
      <c r="AA848" s="63">
        <v>0</v>
      </c>
      <c r="AB848" s="63"/>
      <c r="AE848" s="8">
        <v>0</v>
      </c>
      <c r="AT848" t="str">
        <f t="shared" si="245"/>
        <v>Harvard</v>
      </c>
      <c r="AU848" s="8" t="s">
        <v>1774</v>
      </c>
      <c r="AV848">
        <v>3</v>
      </c>
      <c r="AX848" s="114">
        <v>25</v>
      </c>
      <c r="AY848" s="116">
        <v>27</v>
      </c>
      <c r="AZ848" s="116">
        <v>95</v>
      </c>
      <c r="BA848" s="120">
        <v>28950</v>
      </c>
      <c r="BB848" s="120">
        <f t="shared" si="246"/>
        <v>25027</v>
      </c>
      <c r="BC848" t="s">
        <v>1472</v>
      </c>
      <c r="BD848">
        <f t="shared" si="243"/>
        <v>2528950</v>
      </c>
      <c r="BE848" s="66">
        <v>63</v>
      </c>
      <c r="BF848" s="66"/>
      <c r="BI848">
        <v>26.97</v>
      </c>
      <c r="BJ848">
        <v>0.61</v>
      </c>
      <c r="BK848">
        <v>26.36</v>
      </c>
      <c r="BQ848">
        <v>75</v>
      </c>
      <c r="BS848">
        <v>0</v>
      </c>
    </row>
    <row r="849" spans="1:71" hidden="1" outlineLevel="1">
      <c r="A849" s="64" t="s">
        <v>2747</v>
      </c>
      <c r="B849" s="8" t="s">
        <v>1320</v>
      </c>
      <c r="C849" s="1">
        <f t="shared" si="235"/>
        <v>8451</v>
      </c>
      <c r="D849" s="5">
        <f>IF(N849&gt;0, RANK(N849,(N849:P849,Q849:AE849)),0)</f>
        <v>1</v>
      </c>
      <c r="E849" s="5">
        <f>IF(O849&gt;0,RANK(O849,(N849:P849,Q849:AE849)),0)</f>
        <v>2</v>
      </c>
      <c r="F849" s="5">
        <f t="shared" si="236"/>
        <v>0</v>
      </c>
      <c r="G849" s="1">
        <f t="shared" si="237"/>
        <v>1266</v>
      </c>
      <c r="H849" s="2">
        <f t="shared" si="244"/>
        <v>0.14980475683351083</v>
      </c>
      <c r="I849" s="6"/>
      <c r="J849" s="2">
        <f t="shared" si="238"/>
        <v>0.5395811146609869</v>
      </c>
      <c r="K849" s="2">
        <f t="shared" si="239"/>
        <v>0.38977635782747605</v>
      </c>
      <c r="L849" s="2">
        <f t="shared" si="240"/>
        <v>0</v>
      </c>
      <c r="M849" s="2">
        <f t="shared" si="241"/>
        <v>7.0642527511537045E-2</v>
      </c>
      <c r="N849" s="63">
        <v>4560</v>
      </c>
      <c r="O849" s="63">
        <v>3294</v>
      </c>
      <c r="P849" s="63">
        <v>0</v>
      </c>
      <c r="Q849" s="63">
        <v>340</v>
      </c>
      <c r="R849" s="63">
        <v>132</v>
      </c>
      <c r="S849" s="63"/>
      <c r="T849" s="63"/>
      <c r="U849" s="63"/>
      <c r="V849" s="63"/>
      <c r="W849" s="63">
        <f t="shared" si="242"/>
        <v>125</v>
      </c>
      <c r="X849" s="63"/>
      <c r="Y849" s="63"/>
      <c r="Z849" s="63"/>
      <c r="AA849" s="63">
        <v>0</v>
      </c>
      <c r="AB849" s="63"/>
      <c r="AE849" s="8">
        <v>0</v>
      </c>
      <c r="AT849" t="str">
        <f t="shared" si="245"/>
        <v>Harwich</v>
      </c>
      <c r="AU849" t="s">
        <v>2411</v>
      </c>
      <c r="AV849">
        <v>9</v>
      </c>
      <c r="AX849" s="114">
        <v>25</v>
      </c>
      <c r="AY849" s="116">
        <v>1</v>
      </c>
      <c r="AZ849" s="116">
        <v>40</v>
      </c>
      <c r="BA849" s="120">
        <v>29020</v>
      </c>
      <c r="BB849" s="120">
        <f t="shared" si="246"/>
        <v>25001</v>
      </c>
      <c r="BC849" t="s">
        <v>1472</v>
      </c>
      <c r="BD849">
        <f t="shared" si="243"/>
        <v>2529020</v>
      </c>
      <c r="BE849" s="66">
        <v>121</v>
      </c>
      <c r="BF849" s="66"/>
      <c r="BI849">
        <v>33.15</v>
      </c>
      <c r="BJ849">
        <v>12.11</v>
      </c>
      <c r="BK849">
        <v>21.04</v>
      </c>
      <c r="BQ849">
        <v>125</v>
      </c>
      <c r="BS849">
        <v>0</v>
      </c>
    </row>
    <row r="850" spans="1:71" hidden="1" outlineLevel="1">
      <c r="A850" s="64" t="s">
        <v>1812</v>
      </c>
      <c r="B850" s="8" t="s">
        <v>1320</v>
      </c>
      <c r="C850" s="1">
        <f t="shared" si="235"/>
        <v>2121</v>
      </c>
      <c r="D850" s="5">
        <f>IF(N850&gt;0, RANK(N850,(N850:P850,Q850:AE850)),0)</f>
        <v>1</v>
      </c>
      <c r="E850" s="5">
        <f>IF(O850&gt;0,RANK(O850,(N850:P850,Q850:AE850)),0)</f>
        <v>2</v>
      </c>
      <c r="F850" s="5">
        <f t="shared" si="236"/>
        <v>0</v>
      </c>
      <c r="G850" s="1">
        <f t="shared" si="237"/>
        <v>624</v>
      </c>
      <c r="H850" s="2">
        <f t="shared" si="244"/>
        <v>0.2942008486562942</v>
      </c>
      <c r="I850" s="6"/>
      <c r="J850" s="2">
        <f t="shared" si="238"/>
        <v>0.6053748231966054</v>
      </c>
      <c r="K850" s="2">
        <f t="shared" si="239"/>
        <v>0.31117397454031115</v>
      </c>
      <c r="L850" s="2">
        <f t="shared" si="240"/>
        <v>0</v>
      </c>
      <c r="M850" s="2">
        <f t="shared" si="241"/>
        <v>8.3451202263083446E-2</v>
      </c>
      <c r="N850" s="63">
        <v>1284</v>
      </c>
      <c r="O850" s="63">
        <v>660</v>
      </c>
      <c r="P850" s="63">
        <v>0</v>
      </c>
      <c r="Q850" s="63">
        <v>77</v>
      </c>
      <c r="R850" s="63">
        <v>61</v>
      </c>
      <c r="S850" s="63"/>
      <c r="T850" s="63"/>
      <c r="U850" s="63"/>
      <c r="V850" s="63"/>
      <c r="W850" s="63">
        <f t="shared" si="242"/>
        <v>39</v>
      </c>
      <c r="X850" s="63"/>
      <c r="Y850" s="63"/>
      <c r="Z850" s="63"/>
      <c r="AA850" s="63">
        <v>0</v>
      </c>
      <c r="AB850" s="63"/>
      <c r="AE850" s="8">
        <v>0</v>
      </c>
      <c r="AT850" t="str">
        <f t="shared" si="245"/>
        <v>Hatfield</v>
      </c>
      <c r="AU850" t="s">
        <v>2176</v>
      </c>
      <c r="AV850">
        <v>2</v>
      </c>
      <c r="AX850" s="114">
        <v>25</v>
      </c>
      <c r="AY850" s="116">
        <v>15</v>
      </c>
      <c r="AZ850" s="116">
        <v>45</v>
      </c>
      <c r="BA850" s="120">
        <v>29265</v>
      </c>
      <c r="BB850" s="120">
        <f t="shared" si="246"/>
        <v>25015</v>
      </c>
      <c r="BC850" t="s">
        <v>1472</v>
      </c>
      <c r="BD850">
        <f t="shared" si="243"/>
        <v>2529265</v>
      </c>
      <c r="BE850" s="66">
        <v>31</v>
      </c>
      <c r="BF850" s="66"/>
      <c r="BI850">
        <v>16.82</v>
      </c>
      <c r="BJ850">
        <v>0.81</v>
      </c>
      <c r="BK850">
        <v>16.02</v>
      </c>
      <c r="BQ850">
        <v>39</v>
      </c>
      <c r="BS850">
        <v>0</v>
      </c>
    </row>
    <row r="851" spans="1:71" hidden="1" outlineLevel="1">
      <c r="A851" s="64" t="s">
        <v>1461</v>
      </c>
      <c r="B851" s="8" t="s">
        <v>1320</v>
      </c>
      <c r="C851" s="1">
        <f t="shared" si="235"/>
        <v>29773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 t="shared" si="236"/>
        <v>6</v>
      </c>
      <c r="G851" s="1">
        <f t="shared" si="237"/>
        <v>3357</v>
      </c>
      <c r="H851" s="2">
        <f t="shared" si="244"/>
        <v>0.11275316561985692</v>
      </c>
      <c r="I851" s="6"/>
      <c r="J851" s="2">
        <f t="shared" si="238"/>
        <v>0.51748228260504481</v>
      </c>
      <c r="K851" s="2">
        <f t="shared" si="239"/>
        <v>0.40472911698518793</v>
      </c>
      <c r="L851" s="2">
        <f t="shared" si="240"/>
        <v>7.7251200752359518E-4</v>
      </c>
      <c r="M851" s="2">
        <f t="shared" si="241"/>
        <v>7.7016088402243665E-2</v>
      </c>
      <c r="N851" s="63">
        <v>15407</v>
      </c>
      <c r="O851" s="63">
        <v>12050</v>
      </c>
      <c r="P851" s="63">
        <v>23</v>
      </c>
      <c r="Q851" s="63">
        <v>1343</v>
      </c>
      <c r="R851" s="63">
        <v>418</v>
      </c>
      <c r="S851" s="63"/>
      <c r="T851" s="63"/>
      <c r="U851" s="63"/>
      <c r="V851" s="63"/>
      <c r="W851" s="63">
        <f t="shared" si="242"/>
        <v>532</v>
      </c>
      <c r="X851" s="63"/>
      <c r="Y851" s="63"/>
      <c r="Z851" s="63"/>
      <c r="AA851" s="63">
        <v>0</v>
      </c>
      <c r="AB851" s="63"/>
      <c r="AE851" s="8">
        <v>0</v>
      </c>
      <c r="AT851" t="str">
        <f t="shared" si="245"/>
        <v>Haverhill</v>
      </c>
      <c r="AU851" t="s">
        <v>842</v>
      </c>
      <c r="AV851">
        <v>3</v>
      </c>
      <c r="AX851" s="114">
        <v>25</v>
      </c>
      <c r="AY851" s="116">
        <v>9</v>
      </c>
      <c r="AZ851" s="116">
        <v>55</v>
      </c>
      <c r="BA851" s="120">
        <v>29405</v>
      </c>
      <c r="BB851" s="120">
        <f t="shared" si="246"/>
        <v>25009</v>
      </c>
      <c r="BC851" t="s">
        <v>1249</v>
      </c>
      <c r="BD851">
        <f t="shared" si="243"/>
        <v>2529405</v>
      </c>
      <c r="BE851" s="66">
        <v>356</v>
      </c>
      <c r="BF851" s="66"/>
      <c r="BI851">
        <v>35.630000000000003</v>
      </c>
      <c r="BJ851">
        <v>2.31</v>
      </c>
      <c r="BK851">
        <v>33.33</v>
      </c>
      <c r="BQ851">
        <v>532</v>
      </c>
      <c r="BS851">
        <v>0</v>
      </c>
    </row>
    <row r="852" spans="1:71" hidden="1" outlineLevel="1">
      <c r="A852" s="64" t="s">
        <v>580</v>
      </c>
      <c r="B852" s="8" t="s">
        <v>1320</v>
      </c>
      <c r="C852" s="1">
        <f t="shared" ref="C852:C915" si="247">SUM(N852:AR852)</f>
        <v>205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 t="shared" ref="F852:F915" si="248">IF(P852&gt;0,RANK(P852,(N852:AE852)),0)</f>
        <v>6</v>
      </c>
      <c r="G852" s="1">
        <f t="shared" ref="G852:G915" si="249">IF(C852&gt;0,MAX(N852:P852)-LARGE(N852:P852,2),0)</f>
        <v>38</v>
      </c>
      <c r="H852" s="2">
        <f t="shared" si="244"/>
        <v>0.18536585365853658</v>
      </c>
      <c r="I852" s="6"/>
      <c r="J852" s="2">
        <f t="shared" ref="J852:J915" si="250">IF(C852=0,"-",N852/C852)</f>
        <v>0.51219512195121952</v>
      </c>
      <c r="K852" s="2">
        <f t="shared" ref="K852:K915" si="251">IF(C852=0,"-",O852/C852)</f>
        <v>0.32682926829268294</v>
      </c>
      <c r="L852" s="2">
        <f t="shared" ref="L852:L915" si="252">IF(C852=0,"-",P852/C852)</f>
        <v>9.7560975609756097E-3</v>
      </c>
      <c r="M852" s="2">
        <f t="shared" ref="M852:M915" si="253">IF(C852=0,"-",(1-J852-K852-L852))</f>
        <v>0.15121951219512192</v>
      </c>
      <c r="N852" s="63">
        <v>105</v>
      </c>
      <c r="O852" s="63">
        <v>67</v>
      </c>
      <c r="P852" s="63">
        <v>2</v>
      </c>
      <c r="Q852" s="63">
        <v>14</v>
      </c>
      <c r="R852" s="63">
        <v>7</v>
      </c>
      <c r="S852" s="63"/>
      <c r="T852" s="63"/>
      <c r="U852" s="63"/>
      <c r="V852" s="63"/>
      <c r="W852" s="63">
        <f t="shared" ref="W852:W915" si="254">SUM(BQ852:BS852)</f>
        <v>10</v>
      </c>
      <c r="X852" s="63"/>
      <c r="Y852" s="63"/>
      <c r="Z852" s="63"/>
      <c r="AA852" s="63">
        <v>0</v>
      </c>
      <c r="AB852" s="63"/>
      <c r="AE852" s="8">
        <v>0</v>
      </c>
      <c r="AT852" t="str">
        <f t="shared" si="245"/>
        <v>Hawley</v>
      </c>
      <c r="AU852" t="s">
        <v>1138</v>
      </c>
      <c r="AV852">
        <v>1</v>
      </c>
      <c r="AX852" s="114">
        <v>25</v>
      </c>
      <c r="AY852" s="116">
        <v>11</v>
      </c>
      <c r="AZ852" s="116">
        <v>55</v>
      </c>
      <c r="BA852" s="120">
        <v>29475</v>
      </c>
      <c r="BB852" s="120">
        <f t="shared" si="246"/>
        <v>25011</v>
      </c>
      <c r="BC852" t="s">
        <v>1472</v>
      </c>
      <c r="BD852">
        <f t="shared" ref="BD852:BD915" si="255">AX852*100000+BA852</f>
        <v>2529475</v>
      </c>
      <c r="BE852" s="66">
        <v>1</v>
      </c>
      <c r="BF852" s="66"/>
      <c r="BI852">
        <v>30.88</v>
      </c>
      <c r="BJ852">
        <v>0.02</v>
      </c>
      <c r="BK852">
        <v>30.86</v>
      </c>
      <c r="BQ852">
        <v>10</v>
      </c>
      <c r="BS852">
        <v>0</v>
      </c>
    </row>
    <row r="853" spans="1:71" hidden="1" outlineLevel="1">
      <c r="A853" s="64" t="s">
        <v>2017</v>
      </c>
      <c r="B853" s="8" t="s">
        <v>1320</v>
      </c>
      <c r="C853" s="1">
        <f t="shared" si="247"/>
        <v>448</v>
      </c>
      <c r="D853" s="5">
        <f>IF(N853&gt;0, RANK(N853,(N853:P853,Q853:AE853)),0)</f>
        <v>1</v>
      </c>
      <c r="E853" s="5">
        <f>IF(O853&gt;0,RANK(O853,(N853:P853,Q853:AE853)),0)</f>
        <v>2</v>
      </c>
      <c r="F853" s="5">
        <f t="shared" si="248"/>
        <v>0</v>
      </c>
      <c r="G853" s="1">
        <f t="shared" si="249"/>
        <v>79</v>
      </c>
      <c r="H853" s="2">
        <f t="shared" si="244"/>
        <v>0.17633928571428573</v>
      </c>
      <c r="I853" s="6"/>
      <c r="J853" s="2">
        <f t="shared" si="250"/>
        <v>0.5446428571428571</v>
      </c>
      <c r="K853" s="2">
        <f t="shared" si="251"/>
        <v>0.36830357142857145</v>
      </c>
      <c r="L853" s="2">
        <f t="shared" si="252"/>
        <v>0</v>
      </c>
      <c r="M853" s="2">
        <f t="shared" si="253"/>
        <v>8.7053571428571452E-2</v>
      </c>
      <c r="N853" s="63">
        <v>244</v>
      </c>
      <c r="O853" s="63">
        <v>165</v>
      </c>
      <c r="P853" s="63">
        <v>0</v>
      </c>
      <c r="Q853" s="63">
        <v>24</v>
      </c>
      <c r="R853" s="63">
        <v>12</v>
      </c>
      <c r="S853" s="63"/>
      <c r="T853" s="63"/>
      <c r="U853" s="63"/>
      <c r="V853" s="63"/>
      <c r="W853" s="63">
        <f t="shared" si="254"/>
        <v>3</v>
      </c>
      <c r="X853" s="63"/>
      <c r="Y853" s="63"/>
      <c r="Z853" s="63"/>
      <c r="AA853" s="63">
        <v>0</v>
      </c>
      <c r="AB853" s="63"/>
      <c r="AE853" s="8">
        <v>0</v>
      </c>
      <c r="AT853" t="str">
        <f t="shared" si="245"/>
        <v>Heath</v>
      </c>
      <c r="AU853" t="s">
        <v>1138</v>
      </c>
      <c r="AV853">
        <v>1</v>
      </c>
      <c r="AX853" s="114">
        <v>25</v>
      </c>
      <c r="AY853" s="116">
        <v>11</v>
      </c>
      <c r="AZ853" s="116">
        <v>60</v>
      </c>
      <c r="BA853" s="120">
        <v>29650</v>
      </c>
      <c r="BB853" s="120">
        <f t="shared" si="246"/>
        <v>25011</v>
      </c>
      <c r="BC853" t="s">
        <v>1472</v>
      </c>
      <c r="BD853">
        <f t="shared" si="255"/>
        <v>2529650</v>
      </c>
      <c r="BE853" s="66">
        <v>11</v>
      </c>
      <c r="BF853" s="66"/>
      <c r="BI853">
        <v>24.92</v>
      </c>
      <c r="BJ853">
        <v>0.02</v>
      </c>
      <c r="BK853">
        <v>24.9</v>
      </c>
      <c r="BQ853">
        <v>3</v>
      </c>
      <c r="BS853">
        <v>0</v>
      </c>
    </row>
    <row r="854" spans="1:71" hidden="1" outlineLevel="1">
      <c r="A854" s="64" t="s">
        <v>2470</v>
      </c>
      <c r="B854" s="8" t="s">
        <v>1320</v>
      </c>
      <c r="C854" s="1">
        <f t="shared" si="247"/>
        <v>14561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 t="shared" si="248"/>
        <v>6</v>
      </c>
      <c r="G854" s="1">
        <f t="shared" si="249"/>
        <v>3700</v>
      </c>
      <c r="H854" s="2">
        <f t="shared" si="244"/>
        <v>0.25410342696243388</v>
      </c>
      <c r="I854" s="6"/>
      <c r="J854" s="2">
        <f t="shared" si="250"/>
        <v>0.58443788201359792</v>
      </c>
      <c r="K854" s="2">
        <f t="shared" si="251"/>
        <v>0.33033445505116404</v>
      </c>
      <c r="L854" s="2">
        <f t="shared" si="252"/>
        <v>1.922944852688689E-3</v>
      </c>
      <c r="M854" s="2">
        <f t="shared" si="253"/>
        <v>8.3304718082549342E-2</v>
      </c>
      <c r="N854" s="63">
        <v>8510</v>
      </c>
      <c r="O854" s="63">
        <v>4810</v>
      </c>
      <c r="P854" s="63">
        <v>28</v>
      </c>
      <c r="Q854" s="63">
        <v>691</v>
      </c>
      <c r="R854" s="63">
        <v>142</v>
      </c>
      <c r="S854" s="63"/>
      <c r="T854" s="63"/>
      <c r="U854" s="63"/>
      <c r="V854" s="63"/>
      <c r="W854" s="63">
        <f t="shared" si="254"/>
        <v>380</v>
      </c>
      <c r="X854" s="63"/>
      <c r="Y854" s="63"/>
      <c r="Z854" s="63"/>
      <c r="AA854" s="63">
        <v>0</v>
      </c>
      <c r="AB854" s="63"/>
      <c r="AE854" s="8">
        <v>0</v>
      </c>
      <c r="AT854" t="str">
        <f t="shared" si="245"/>
        <v>Hingham</v>
      </c>
      <c r="AU854" t="s">
        <v>231</v>
      </c>
      <c r="AV854">
        <v>8</v>
      </c>
      <c r="AX854" s="114">
        <v>25</v>
      </c>
      <c r="AY854" s="116">
        <v>23</v>
      </c>
      <c r="AZ854" s="116">
        <v>50</v>
      </c>
      <c r="BA854" s="120">
        <v>30210</v>
      </c>
      <c r="BB854" s="120">
        <f t="shared" si="246"/>
        <v>25023</v>
      </c>
      <c r="BC854" t="s">
        <v>1472</v>
      </c>
      <c r="BD854">
        <f t="shared" si="255"/>
        <v>2530210</v>
      </c>
      <c r="BE854" s="66">
        <v>294</v>
      </c>
      <c r="BF854" s="66"/>
      <c r="BI854">
        <v>25.04</v>
      </c>
      <c r="BJ854">
        <v>2.57</v>
      </c>
      <c r="BK854">
        <v>22.47</v>
      </c>
      <c r="BQ854">
        <v>380</v>
      </c>
      <c r="BS854">
        <v>0</v>
      </c>
    </row>
    <row r="855" spans="1:71" hidden="1" outlineLevel="1">
      <c r="A855" s="64" t="s">
        <v>1671</v>
      </c>
      <c r="B855" s="8" t="s">
        <v>1320</v>
      </c>
      <c r="C855" s="1">
        <f t="shared" si="247"/>
        <v>1112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 t="shared" si="248"/>
        <v>0</v>
      </c>
      <c r="G855" s="1">
        <f t="shared" si="249"/>
        <v>203</v>
      </c>
      <c r="H855" s="2">
        <f t="shared" si="244"/>
        <v>0.18255395683453238</v>
      </c>
      <c r="I855" s="6"/>
      <c r="J855" s="2">
        <f t="shared" si="250"/>
        <v>0.54496402877697847</v>
      </c>
      <c r="K855" s="2">
        <f t="shared" si="251"/>
        <v>0.36241007194244607</v>
      </c>
      <c r="L855" s="2">
        <f t="shared" si="252"/>
        <v>0</v>
      </c>
      <c r="M855" s="2">
        <f t="shared" si="253"/>
        <v>9.2625899280575463E-2</v>
      </c>
      <c r="N855" s="63">
        <v>606</v>
      </c>
      <c r="O855" s="63">
        <v>403</v>
      </c>
      <c r="P855" s="63">
        <v>0</v>
      </c>
      <c r="Q855" s="63">
        <v>55</v>
      </c>
      <c r="R855" s="63">
        <v>37</v>
      </c>
      <c r="S855" s="63"/>
      <c r="T855" s="63"/>
      <c r="U855" s="63"/>
      <c r="V855" s="63"/>
      <c r="W855" s="63">
        <f t="shared" si="254"/>
        <v>11</v>
      </c>
      <c r="X855" s="63"/>
      <c r="Y855" s="63"/>
      <c r="Z855" s="63"/>
      <c r="AA855" s="63">
        <v>0</v>
      </c>
      <c r="AB855" s="63"/>
      <c r="AE855" s="8">
        <v>0</v>
      </c>
      <c r="AT855" t="str">
        <f t="shared" si="245"/>
        <v>Hinsdale</v>
      </c>
      <c r="AU855" t="s">
        <v>2313</v>
      </c>
      <c r="AV855">
        <v>1</v>
      </c>
      <c r="AX855" s="114">
        <v>25</v>
      </c>
      <c r="AY855" s="116">
        <v>3</v>
      </c>
      <c r="AZ855" s="116">
        <v>55</v>
      </c>
      <c r="BA855" s="120">
        <v>30315</v>
      </c>
      <c r="BB855" s="120">
        <f t="shared" si="246"/>
        <v>25003</v>
      </c>
      <c r="BC855" t="s">
        <v>1472</v>
      </c>
      <c r="BD855">
        <f t="shared" si="255"/>
        <v>2530315</v>
      </c>
      <c r="BE855" s="66">
        <v>24</v>
      </c>
      <c r="BF855" s="66"/>
      <c r="BI855">
        <v>21.7</v>
      </c>
      <c r="BJ855">
        <v>0.86</v>
      </c>
      <c r="BK855">
        <v>20.84</v>
      </c>
      <c r="BQ855">
        <v>11</v>
      </c>
      <c r="BS855">
        <v>0</v>
      </c>
    </row>
    <row r="856" spans="1:71" hidden="1" outlineLevel="1">
      <c r="A856" s="64" t="s">
        <v>450</v>
      </c>
      <c r="B856" s="8" t="s">
        <v>1320</v>
      </c>
      <c r="C856" s="1">
        <f t="shared" si="247"/>
        <v>5716</v>
      </c>
      <c r="D856" s="5">
        <f>IF(N856&gt;0, RANK(N856,(N856:P856,Q856:AE856)),0)</f>
        <v>1</v>
      </c>
      <c r="E856" s="5">
        <f>IF(O856&gt;0,RANK(O856,(N856:P856,Q856:AE856)),0)</f>
        <v>2</v>
      </c>
      <c r="F856" s="5">
        <f t="shared" si="248"/>
        <v>0</v>
      </c>
      <c r="G856" s="1">
        <f t="shared" si="249"/>
        <v>527</v>
      </c>
      <c r="H856" s="2">
        <f t="shared" si="244"/>
        <v>9.2197340797760666E-2</v>
      </c>
      <c r="I856" s="6"/>
      <c r="J856" s="2">
        <f t="shared" si="250"/>
        <v>0.50944716585024497</v>
      </c>
      <c r="K856" s="2">
        <f t="shared" si="251"/>
        <v>0.41724982505248426</v>
      </c>
      <c r="L856" s="2">
        <f t="shared" si="252"/>
        <v>0</v>
      </c>
      <c r="M856" s="2">
        <f t="shared" si="253"/>
        <v>7.3303009097270777E-2</v>
      </c>
      <c r="N856" s="63">
        <v>2912</v>
      </c>
      <c r="O856" s="63">
        <v>2385</v>
      </c>
      <c r="P856" s="63">
        <v>0</v>
      </c>
      <c r="Q856" s="63">
        <v>248</v>
      </c>
      <c r="R856" s="63">
        <v>90</v>
      </c>
      <c r="S856" s="63"/>
      <c r="T856" s="63"/>
      <c r="U856" s="63"/>
      <c r="V856" s="63"/>
      <c r="W856" s="63">
        <f t="shared" si="254"/>
        <v>81</v>
      </c>
      <c r="X856" s="63"/>
      <c r="Y856" s="63"/>
      <c r="Z856" s="63"/>
      <c r="AA856" s="63">
        <v>0</v>
      </c>
      <c r="AB856" s="63"/>
      <c r="AE856" s="8">
        <v>0</v>
      </c>
      <c r="AT856" t="str">
        <f t="shared" si="245"/>
        <v>Holbrook</v>
      </c>
      <c r="AU856" t="s">
        <v>753</v>
      </c>
      <c r="AV856">
        <v>8</v>
      </c>
      <c r="AX856" s="114">
        <v>25</v>
      </c>
      <c r="AY856" s="116">
        <v>21</v>
      </c>
      <c r="AZ856" s="116">
        <v>55</v>
      </c>
      <c r="BA856" s="120">
        <v>30455</v>
      </c>
      <c r="BB856" s="120">
        <f t="shared" si="246"/>
        <v>25021</v>
      </c>
      <c r="BC856" t="s">
        <v>1472</v>
      </c>
      <c r="BD856">
        <f t="shared" si="255"/>
        <v>2530455</v>
      </c>
      <c r="BE856" s="66">
        <v>83</v>
      </c>
      <c r="BF856" s="66"/>
      <c r="BI856">
        <v>7.41</v>
      </c>
      <c r="BJ856">
        <v>0.05</v>
      </c>
      <c r="BK856">
        <v>7.35</v>
      </c>
      <c r="BQ856">
        <v>81</v>
      </c>
      <c r="BS856">
        <v>0</v>
      </c>
    </row>
    <row r="857" spans="1:71" hidden="1" outlineLevel="1">
      <c r="A857" s="64" t="s">
        <v>1789</v>
      </c>
      <c r="B857" s="8" t="s">
        <v>1320</v>
      </c>
      <c r="C857" s="1">
        <f t="shared" si="247"/>
        <v>11244</v>
      </c>
      <c r="D857" s="5">
        <f>IF(N857&gt;0, RANK(N857,(N857:P857,Q857:AE857)),0)</f>
        <v>1</v>
      </c>
      <c r="E857" s="5">
        <f>IF(O857&gt;0,RANK(O857,(N857:P857,Q857:AE857)),0)</f>
        <v>2</v>
      </c>
      <c r="F857" s="5">
        <f t="shared" si="248"/>
        <v>6</v>
      </c>
      <c r="G857" s="1">
        <f t="shared" si="249"/>
        <v>993</v>
      </c>
      <c r="H857" s="2">
        <f t="shared" si="244"/>
        <v>8.8313767342582714E-2</v>
      </c>
      <c r="I857" s="6"/>
      <c r="J857" s="2">
        <f t="shared" si="250"/>
        <v>0.49848808253290644</v>
      </c>
      <c r="K857" s="2">
        <f t="shared" si="251"/>
        <v>0.41017431519032371</v>
      </c>
      <c r="L857" s="2">
        <f t="shared" si="252"/>
        <v>3.5574528637495554E-3</v>
      </c>
      <c r="M857" s="2">
        <f t="shared" si="253"/>
        <v>8.7780149413020286E-2</v>
      </c>
      <c r="N857" s="63">
        <v>5605</v>
      </c>
      <c r="O857" s="63">
        <v>4612</v>
      </c>
      <c r="P857" s="63">
        <v>40</v>
      </c>
      <c r="Q857" s="63">
        <v>661</v>
      </c>
      <c r="R857" s="63">
        <v>149</v>
      </c>
      <c r="S857" s="63"/>
      <c r="T857" s="63"/>
      <c r="U857" s="63"/>
      <c r="V857" s="63"/>
      <c r="W857" s="63">
        <f t="shared" si="254"/>
        <v>177</v>
      </c>
      <c r="X857" s="63"/>
      <c r="Y857" s="63"/>
      <c r="Z857" s="63"/>
      <c r="AA857" s="63">
        <v>0</v>
      </c>
      <c r="AB857" s="63"/>
      <c r="AE857" s="8">
        <v>0</v>
      </c>
      <c r="AT857" t="str">
        <f t="shared" si="245"/>
        <v>Holden</v>
      </c>
      <c r="AU857" s="8" t="s">
        <v>1774</v>
      </c>
      <c r="AV857">
        <v>2</v>
      </c>
      <c r="AX857" s="114">
        <v>25</v>
      </c>
      <c r="AY857" s="116">
        <v>27</v>
      </c>
      <c r="AZ857" s="116">
        <v>100</v>
      </c>
      <c r="BA857" s="120">
        <v>30560</v>
      </c>
      <c r="BB857" s="120">
        <f t="shared" si="246"/>
        <v>25027</v>
      </c>
      <c r="BC857" t="s">
        <v>1472</v>
      </c>
      <c r="BD857">
        <f t="shared" si="255"/>
        <v>2530560</v>
      </c>
      <c r="BE857" s="66">
        <v>196</v>
      </c>
      <c r="BF857" s="66"/>
      <c r="BI857">
        <v>36.22</v>
      </c>
      <c r="BJ857">
        <v>1.23</v>
      </c>
      <c r="BK857">
        <v>34.99</v>
      </c>
      <c r="BQ857">
        <v>177</v>
      </c>
      <c r="BS857">
        <v>0</v>
      </c>
    </row>
    <row r="858" spans="1:71" hidden="1" outlineLevel="1">
      <c r="A858" s="64" t="s">
        <v>3101</v>
      </c>
      <c r="B858" s="8" t="s">
        <v>1320</v>
      </c>
      <c r="C858" s="1">
        <f t="shared" si="247"/>
        <v>1348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 t="shared" si="248"/>
        <v>0</v>
      </c>
      <c r="G858" s="1">
        <f t="shared" si="249"/>
        <v>245</v>
      </c>
      <c r="H858" s="2">
        <f t="shared" si="244"/>
        <v>0.18175074183976261</v>
      </c>
      <c r="I858" s="6"/>
      <c r="J858" s="2">
        <f t="shared" si="250"/>
        <v>0.35237388724035607</v>
      </c>
      <c r="K858" s="2">
        <f t="shared" si="251"/>
        <v>0.53412462908011871</v>
      </c>
      <c r="L858" s="2">
        <f t="shared" si="252"/>
        <v>0</v>
      </c>
      <c r="M858" s="2">
        <f t="shared" si="253"/>
        <v>0.11350148367952517</v>
      </c>
      <c r="N858" s="63">
        <v>475</v>
      </c>
      <c r="O858" s="63">
        <v>720</v>
      </c>
      <c r="P858" s="63">
        <v>0</v>
      </c>
      <c r="Q858" s="63">
        <v>106</v>
      </c>
      <c r="R858" s="63">
        <v>33</v>
      </c>
      <c r="S858" s="63"/>
      <c r="T858" s="63"/>
      <c r="U858" s="63"/>
      <c r="V858" s="63"/>
      <c r="W858" s="63">
        <f t="shared" si="254"/>
        <v>14</v>
      </c>
      <c r="X858" s="63"/>
      <c r="Y858" s="63"/>
      <c r="Z858" s="63"/>
      <c r="AA858" s="63">
        <v>0</v>
      </c>
      <c r="AB858" s="63"/>
      <c r="AE858" s="8">
        <v>0</v>
      </c>
      <c r="AT858" t="str">
        <f t="shared" si="245"/>
        <v>Holland</v>
      </c>
      <c r="AU858" t="s">
        <v>2852</v>
      </c>
      <c r="AV858">
        <v>1</v>
      </c>
      <c r="AX858" s="114">
        <v>25</v>
      </c>
      <c r="AY858" s="116">
        <v>13</v>
      </c>
      <c r="AZ858" s="116">
        <v>45</v>
      </c>
      <c r="BA858" s="120">
        <v>30665</v>
      </c>
      <c r="BB858" s="120">
        <f t="shared" si="246"/>
        <v>25013</v>
      </c>
      <c r="BC858" t="s">
        <v>1472</v>
      </c>
      <c r="BD858">
        <f t="shared" si="255"/>
        <v>2530665</v>
      </c>
      <c r="BE858" s="66">
        <v>33</v>
      </c>
      <c r="BF858" s="66"/>
      <c r="BI858">
        <v>13.1</v>
      </c>
      <c r="BJ858">
        <v>0.7</v>
      </c>
      <c r="BK858">
        <v>12.39</v>
      </c>
      <c r="BQ858">
        <v>14</v>
      </c>
      <c r="BS858">
        <v>0</v>
      </c>
    </row>
    <row r="859" spans="1:71" hidden="1" outlineLevel="1">
      <c r="A859" s="64" t="s">
        <v>1905</v>
      </c>
      <c r="B859" s="8" t="s">
        <v>1320</v>
      </c>
      <c r="C859" s="1">
        <f t="shared" si="247"/>
        <v>8635</v>
      </c>
      <c r="D859" s="5">
        <f>IF(N859&gt;0, RANK(N859,(N859:P859,Q859:AE859)),0)</f>
        <v>1</v>
      </c>
      <c r="E859" s="5">
        <f>IF(O859&gt;0,RANK(O859,(N859:P859,Q859:AE859)),0)</f>
        <v>2</v>
      </c>
      <c r="F859" s="5">
        <f t="shared" si="248"/>
        <v>0</v>
      </c>
      <c r="G859" s="1">
        <f t="shared" si="249"/>
        <v>2728</v>
      </c>
      <c r="H859" s="2">
        <f t="shared" si="244"/>
        <v>0.31592356687898088</v>
      </c>
      <c r="I859" s="6"/>
      <c r="J859" s="2">
        <f t="shared" si="250"/>
        <v>0.61273885350318469</v>
      </c>
      <c r="K859" s="2">
        <f t="shared" si="251"/>
        <v>0.29681528662420381</v>
      </c>
      <c r="L859" s="2">
        <f t="shared" si="252"/>
        <v>0</v>
      </c>
      <c r="M859" s="2">
        <f t="shared" si="253"/>
        <v>9.04458598726115E-2</v>
      </c>
      <c r="N859" s="63">
        <v>5291</v>
      </c>
      <c r="O859" s="63">
        <v>2563</v>
      </c>
      <c r="P859" s="63">
        <v>0</v>
      </c>
      <c r="Q859" s="63">
        <v>458</v>
      </c>
      <c r="R859" s="63">
        <v>92</v>
      </c>
      <c r="S859" s="63"/>
      <c r="T859" s="63"/>
      <c r="U859" s="63"/>
      <c r="V859" s="63"/>
      <c r="W859" s="63">
        <f t="shared" si="254"/>
        <v>231</v>
      </c>
      <c r="X859" s="63"/>
      <c r="Y859" s="63"/>
      <c r="Z859" s="63"/>
      <c r="AA859" s="63">
        <v>0</v>
      </c>
      <c r="AB859" s="63"/>
      <c r="AE859" s="8">
        <v>0</v>
      </c>
      <c r="AT859" t="str">
        <f t="shared" si="245"/>
        <v>Holliston</v>
      </c>
      <c r="AU859" t="s">
        <v>503</v>
      </c>
      <c r="AV859">
        <v>5</v>
      </c>
      <c r="AX859" s="114">
        <v>25</v>
      </c>
      <c r="AY859" s="116">
        <v>17</v>
      </c>
      <c r="AZ859" s="116">
        <v>100</v>
      </c>
      <c r="BA859" s="120">
        <v>30700</v>
      </c>
      <c r="BB859" s="120">
        <f t="shared" si="246"/>
        <v>25017</v>
      </c>
      <c r="BC859" t="s">
        <v>1472</v>
      </c>
      <c r="BD859">
        <f t="shared" si="255"/>
        <v>2530700</v>
      </c>
      <c r="BE859" s="66">
        <v>132</v>
      </c>
      <c r="BF859" s="66"/>
      <c r="BI859">
        <v>19.04</v>
      </c>
      <c r="BJ859">
        <v>0.33</v>
      </c>
      <c r="BK859">
        <v>18.71</v>
      </c>
      <c r="BQ859">
        <v>231</v>
      </c>
      <c r="BS859">
        <v>0</v>
      </c>
    </row>
    <row r="860" spans="1:71" hidden="1" outlineLevel="1">
      <c r="A860" s="64" t="s">
        <v>1906</v>
      </c>
      <c r="B860" s="8" t="s">
        <v>1320</v>
      </c>
      <c r="C860" s="1">
        <f t="shared" si="247"/>
        <v>16728</v>
      </c>
      <c r="D860" s="5">
        <f>IF(N860&gt;0, RANK(N860,(N860:P860,Q860:AE860)),0)</f>
        <v>1</v>
      </c>
      <c r="E860" s="5">
        <f>IF(O860&gt;0,RANK(O860,(N860:P860,Q860:AE860)),0)</f>
        <v>2</v>
      </c>
      <c r="F860" s="5">
        <f t="shared" si="248"/>
        <v>0</v>
      </c>
      <c r="G860" s="1">
        <f t="shared" si="249"/>
        <v>7634</v>
      </c>
      <c r="H860" s="2">
        <f t="shared" si="244"/>
        <v>0.45636059301769488</v>
      </c>
      <c r="I860" s="6"/>
      <c r="J860" s="2">
        <f t="shared" si="250"/>
        <v>0.69679579148732662</v>
      </c>
      <c r="K860" s="2">
        <f t="shared" si="251"/>
        <v>0.24043519846963177</v>
      </c>
      <c r="L860" s="2">
        <f t="shared" si="252"/>
        <v>0</v>
      </c>
      <c r="M860" s="2">
        <f t="shared" si="253"/>
        <v>6.2769010043041612E-2</v>
      </c>
      <c r="N860" s="63">
        <v>11656</v>
      </c>
      <c r="O860" s="63">
        <v>4022</v>
      </c>
      <c r="P860" s="63">
        <v>0</v>
      </c>
      <c r="Q860" s="63">
        <v>509</v>
      </c>
      <c r="R860" s="63">
        <v>392</v>
      </c>
      <c r="S860" s="63"/>
      <c r="T860" s="63"/>
      <c r="U860" s="63"/>
      <c r="V860" s="63"/>
      <c r="W860" s="63">
        <f t="shared" si="254"/>
        <v>149</v>
      </c>
      <c r="X860" s="63"/>
      <c r="Y860" s="63"/>
      <c r="Z860" s="63"/>
      <c r="AA860" s="63">
        <v>0</v>
      </c>
      <c r="AB860" s="63"/>
      <c r="AE860" s="8">
        <v>0</v>
      </c>
      <c r="AT860" t="str">
        <f t="shared" si="245"/>
        <v>Holyoke</v>
      </c>
      <c r="AU860" t="s">
        <v>2852</v>
      </c>
      <c r="AV860">
        <v>1</v>
      </c>
      <c r="AX860" s="114">
        <v>25</v>
      </c>
      <c r="AY860" s="116">
        <v>13</v>
      </c>
      <c r="AZ860" s="116">
        <v>50</v>
      </c>
      <c r="BA860" s="120">
        <v>30840</v>
      </c>
      <c r="BB860" s="120">
        <f t="shared" si="246"/>
        <v>25013</v>
      </c>
      <c r="BC860" t="s">
        <v>1249</v>
      </c>
      <c r="BD860">
        <f t="shared" si="255"/>
        <v>2530840</v>
      </c>
      <c r="BE860" s="66">
        <v>311</v>
      </c>
      <c r="BF860" s="66"/>
      <c r="BI860">
        <v>22.82</v>
      </c>
      <c r="BJ860">
        <v>1.53</v>
      </c>
      <c r="BK860">
        <v>21.29</v>
      </c>
      <c r="BQ860">
        <v>149</v>
      </c>
      <c r="BS860">
        <v>0</v>
      </c>
    </row>
    <row r="861" spans="1:71" hidden="1" outlineLevel="1">
      <c r="A861" s="64" t="s">
        <v>2757</v>
      </c>
      <c r="B861" s="8" t="s">
        <v>1320</v>
      </c>
      <c r="C861" s="1">
        <f t="shared" si="247"/>
        <v>3456</v>
      </c>
      <c r="D861" s="5">
        <f>IF(N861&gt;0, RANK(N861,(N861:P861,Q861:AE861)),0)</f>
        <v>1</v>
      </c>
      <c r="E861" s="5">
        <f>IF(O861&gt;0,RANK(O861,(N861:P861,Q861:AE861)),0)</f>
        <v>2</v>
      </c>
      <c r="F861" s="5">
        <f t="shared" si="248"/>
        <v>0</v>
      </c>
      <c r="G861" s="1">
        <f t="shared" si="249"/>
        <v>384</v>
      </c>
      <c r="H861" s="2">
        <f t="shared" si="244"/>
        <v>0.1111111111111111</v>
      </c>
      <c r="I861" s="6"/>
      <c r="J861" s="2">
        <f t="shared" si="250"/>
        <v>0.50896990740740744</v>
      </c>
      <c r="K861" s="2">
        <f t="shared" si="251"/>
        <v>0.39785879629629628</v>
      </c>
      <c r="L861" s="2">
        <f t="shared" si="252"/>
        <v>0</v>
      </c>
      <c r="M861" s="2">
        <f t="shared" si="253"/>
        <v>9.317129629629628E-2</v>
      </c>
      <c r="N861" s="63">
        <v>1759</v>
      </c>
      <c r="O861" s="63">
        <v>1375</v>
      </c>
      <c r="P861" s="63">
        <v>0</v>
      </c>
      <c r="Q861" s="63">
        <v>197</v>
      </c>
      <c r="R861" s="63">
        <v>49</v>
      </c>
      <c r="S861" s="63"/>
      <c r="T861" s="63"/>
      <c r="U861" s="63"/>
      <c r="V861" s="63"/>
      <c r="W861" s="63">
        <f t="shared" si="254"/>
        <v>76</v>
      </c>
      <c r="X861" s="63"/>
      <c r="Y861" s="63"/>
      <c r="Z861" s="63"/>
      <c r="AA861" s="63">
        <v>0</v>
      </c>
      <c r="AB861" s="63"/>
      <c r="AE861" s="8">
        <v>0</v>
      </c>
      <c r="AT861" t="str">
        <f t="shared" si="245"/>
        <v>Hopedale</v>
      </c>
      <c r="AU861" s="8" t="s">
        <v>1774</v>
      </c>
      <c r="AV861">
        <v>4</v>
      </c>
      <c r="AX861" s="114">
        <v>25</v>
      </c>
      <c r="AY861" s="116">
        <v>27</v>
      </c>
      <c r="AZ861" s="116">
        <v>105</v>
      </c>
      <c r="BA861" s="120">
        <v>30945</v>
      </c>
      <c r="BB861" s="120">
        <f t="shared" si="246"/>
        <v>25027</v>
      </c>
      <c r="BC861" t="s">
        <v>1472</v>
      </c>
      <c r="BD861">
        <f t="shared" si="255"/>
        <v>2530945</v>
      </c>
      <c r="BE861" s="66">
        <v>55</v>
      </c>
      <c r="BF861" s="66"/>
      <c r="BI861">
        <v>5.32</v>
      </c>
      <c r="BJ861">
        <v>0.17</v>
      </c>
      <c r="BK861">
        <v>5.16</v>
      </c>
      <c r="BQ861">
        <v>76</v>
      </c>
      <c r="BS861">
        <v>0</v>
      </c>
    </row>
    <row r="862" spans="1:71" hidden="1" outlineLevel="1">
      <c r="A862" s="64" t="s">
        <v>574</v>
      </c>
      <c r="B862" s="8" t="s">
        <v>1320</v>
      </c>
      <c r="C862" s="1">
        <f t="shared" si="247"/>
        <v>9177</v>
      </c>
      <c r="D862" s="5">
        <f>IF(N862&gt;0, RANK(N862,(N862:P862,Q862:AE862)),0)</f>
        <v>1</v>
      </c>
      <c r="E862" s="5">
        <f>IF(O862&gt;0,RANK(O862,(N862:P862,Q862:AE862)),0)</f>
        <v>2</v>
      </c>
      <c r="F862" s="5">
        <f t="shared" si="248"/>
        <v>6</v>
      </c>
      <c r="G862" s="1">
        <f t="shared" si="249"/>
        <v>2447</v>
      </c>
      <c r="H862" s="2">
        <f t="shared" si="244"/>
        <v>0.2666448730521957</v>
      </c>
      <c r="I862" s="6"/>
      <c r="J862" s="2">
        <f t="shared" si="250"/>
        <v>0.58385093167701863</v>
      </c>
      <c r="K862" s="2">
        <f t="shared" si="251"/>
        <v>0.31720605862482293</v>
      </c>
      <c r="L862" s="2">
        <f t="shared" si="252"/>
        <v>3.2690421706440013E-3</v>
      </c>
      <c r="M862" s="2">
        <f t="shared" si="253"/>
        <v>9.5673967527514447E-2</v>
      </c>
      <c r="N862" s="63">
        <v>5358</v>
      </c>
      <c r="O862" s="63">
        <v>2911</v>
      </c>
      <c r="P862" s="63">
        <v>30</v>
      </c>
      <c r="Q862" s="63">
        <v>560</v>
      </c>
      <c r="R862" s="63">
        <v>100</v>
      </c>
      <c r="S862" s="63"/>
      <c r="T862" s="63"/>
      <c r="U862" s="63"/>
      <c r="V862" s="63"/>
      <c r="W862" s="63">
        <f t="shared" si="254"/>
        <v>218</v>
      </c>
      <c r="X862" s="63"/>
      <c r="Y862" s="63"/>
      <c r="Z862" s="63"/>
      <c r="AA862" s="63">
        <v>0</v>
      </c>
      <c r="AB862" s="63"/>
      <c r="AE862" s="8">
        <v>0</v>
      </c>
      <c r="AT862" t="str">
        <f t="shared" si="245"/>
        <v>Hopkinton</v>
      </c>
      <c r="AU862" t="s">
        <v>503</v>
      </c>
      <c r="AV862">
        <v>4</v>
      </c>
      <c r="AX862" s="114">
        <v>25</v>
      </c>
      <c r="AY862" s="116">
        <v>17</v>
      </c>
      <c r="AZ862" s="116">
        <v>105</v>
      </c>
      <c r="BA862" s="120">
        <v>31085</v>
      </c>
      <c r="BB862" s="120">
        <f t="shared" si="246"/>
        <v>25017</v>
      </c>
      <c r="BC862" t="s">
        <v>1472</v>
      </c>
      <c r="BD862">
        <f t="shared" si="255"/>
        <v>2531085</v>
      </c>
      <c r="BE862" s="66">
        <v>159</v>
      </c>
      <c r="BF862" s="66"/>
      <c r="BI862">
        <v>28.16</v>
      </c>
      <c r="BJ862">
        <v>1.61</v>
      </c>
      <c r="BK862">
        <v>26.56</v>
      </c>
      <c r="BQ862">
        <v>218</v>
      </c>
      <c r="BS862">
        <v>0</v>
      </c>
    </row>
    <row r="863" spans="1:71" hidden="1" outlineLevel="1">
      <c r="A863" s="64" t="s">
        <v>2232</v>
      </c>
      <c r="B863" s="8" t="s">
        <v>1320</v>
      </c>
      <c r="C863" s="1">
        <f t="shared" si="247"/>
        <v>2698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 t="shared" si="248"/>
        <v>0</v>
      </c>
      <c r="G863" s="1">
        <f t="shared" si="249"/>
        <v>336</v>
      </c>
      <c r="H863" s="2">
        <f t="shared" si="244"/>
        <v>0.12453669384729429</v>
      </c>
      <c r="I863" s="6"/>
      <c r="J863" s="2">
        <f t="shared" si="250"/>
        <v>0.38547071905114899</v>
      </c>
      <c r="K863" s="2">
        <f t="shared" si="251"/>
        <v>0.51000741289844331</v>
      </c>
      <c r="L863" s="2">
        <f t="shared" si="252"/>
        <v>0</v>
      </c>
      <c r="M863" s="2">
        <f t="shared" si="253"/>
        <v>0.10452186805040764</v>
      </c>
      <c r="N863" s="63">
        <v>1040</v>
      </c>
      <c r="O863" s="63">
        <v>1376</v>
      </c>
      <c r="P863" s="63">
        <v>0</v>
      </c>
      <c r="Q863" s="63">
        <v>203</v>
      </c>
      <c r="R863" s="63">
        <v>36</v>
      </c>
      <c r="S863" s="63"/>
      <c r="T863" s="63"/>
      <c r="U863" s="63"/>
      <c r="V863" s="63"/>
      <c r="W863" s="63">
        <f t="shared" si="254"/>
        <v>43</v>
      </c>
      <c r="X863" s="63"/>
      <c r="Y863" s="63"/>
      <c r="Z863" s="63"/>
      <c r="AA863" s="63">
        <v>0</v>
      </c>
      <c r="AB863" s="63"/>
      <c r="AE863" s="8">
        <v>0</v>
      </c>
      <c r="AT863" t="str">
        <f t="shared" si="245"/>
        <v>Hubbardston</v>
      </c>
      <c r="AU863" s="8" t="s">
        <v>1774</v>
      </c>
      <c r="AV863">
        <v>2</v>
      </c>
      <c r="AX863" s="114">
        <v>25</v>
      </c>
      <c r="AY863" s="116">
        <v>27</v>
      </c>
      <c r="AZ863" s="116">
        <v>110</v>
      </c>
      <c r="BA863" s="120">
        <v>31435</v>
      </c>
      <c r="BB863" s="120">
        <f t="shared" si="246"/>
        <v>25027</v>
      </c>
      <c r="BC863" t="s">
        <v>1472</v>
      </c>
      <c r="BD863">
        <f t="shared" si="255"/>
        <v>2531435</v>
      </c>
      <c r="BE863" s="66">
        <v>67</v>
      </c>
      <c r="BF863" s="66"/>
      <c r="BI863">
        <v>41.95</v>
      </c>
      <c r="BJ863">
        <v>0.92</v>
      </c>
      <c r="BK863">
        <v>41.03</v>
      </c>
      <c r="BQ863">
        <v>43</v>
      </c>
      <c r="BS863">
        <v>0</v>
      </c>
    </row>
    <row r="864" spans="1:71" hidden="1" outlineLevel="1">
      <c r="A864" s="64" t="s">
        <v>2101</v>
      </c>
      <c r="B864" s="8" t="s">
        <v>1320</v>
      </c>
      <c r="C864" s="1">
        <f t="shared" si="247"/>
        <v>10737</v>
      </c>
      <c r="D864" s="5">
        <f>IF(N864&gt;0, RANK(N864,(N864:P864,Q864:AE864)),0)</f>
        <v>1</v>
      </c>
      <c r="E864" s="5">
        <f>IF(O864&gt;0,RANK(O864,(N864:P864,Q864:AE864)),0)</f>
        <v>2</v>
      </c>
      <c r="F864" s="5">
        <f t="shared" si="248"/>
        <v>6</v>
      </c>
      <c r="G864" s="1">
        <f t="shared" si="249"/>
        <v>2253</v>
      </c>
      <c r="H864" s="2">
        <f t="shared" ref="H864:H927" si="256">IF(C864&gt;0,G864/C864,0)</f>
        <v>0.20983514948309584</v>
      </c>
      <c r="I864" s="6"/>
      <c r="J864" s="2">
        <f t="shared" si="250"/>
        <v>0.56142311632672071</v>
      </c>
      <c r="K864" s="2">
        <f t="shared" si="251"/>
        <v>0.35158796684362487</v>
      </c>
      <c r="L864" s="2">
        <f t="shared" si="252"/>
        <v>1.0244947378224829E-3</v>
      </c>
      <c r="M864" s="2">
        <f t="shared" si="253"/>
        <v>8.5964422091831943E-2</v>
      </c>
      <c r="N864" s="63">
        <v>6028</v>
      </c>
      <c r="O864" s="63">
        <v>3775</v>
      </c>
      <c r="P864" s="63">
        <v>11</v>
      </c>
      <c r="Q864" s="63">
        <v>599</v>
      </c>
      <c r="R864" s="63">
        <v>118</v>
      </c>
      <c r="S864" s="63"/>
      <c r="T864" s="63"/>
      <c r="U864" s="63"/>
      <c r="V864" s="63"/>
      <c r="W864" s="63">
        <f t="shared" si="254"/>
        <v>206</v>
      </c>
      <c r="X864" s="63"/>
      <c r="Y864" s="63"/>
      <c r="Z864" s="63"/>
      <c r="AA864" s="63">
        <v>0</v>
      </c>
      <c r="AB864" s="63"/>
      <c r="AE864" s="8">
        <v>0</v>
      </c>
      <c r="AT864" t="str">
        <f t="shared" ref="AT864:AT927" si="257">A864</f>
        <v>Hudson</v>
      </c>
      <c r="AU864" t="s">
        <v>503</v>
      </c>
      <c r="AV864">
        <v>3</v>
      </c>
      <c r="AX864" s="114">
        <v>25</v>
      </c>
      <c r="AY864" s="116">
        <v>17</v>
      </c>
      <c r="AZ864" s="116">
        <v>110</v>
      </c>
      <c r="BA864" s="120">
        <v>31540</v>
      </c>
      <c r="BB864" s="120">
        <f t="shared" si="246"/>
        <v>25017</v>
      </c>
      <c r="BC864" t="s">
        <v>1472</v>
      </c>
      <c r="BD864">
        <f t="shared" si="255"/>
        <v>2531540</v>
      </c>
      <c r="BE864" s="66">
        <v>128</v>
      </c>
      <c r="BF864" s="66"/>
      <c r="BI864">
        <v>11.84</v>
      </c>
      <c r="BJ864">
        <v>0.34</v>
      </c>
      <c r="BK864">
        <v>11.5</v>
      </c>
      <c r="BQ864">
        <v>206</v>
      </c>
      <c r="BS864">
        <v>0</v>
      </c>
    </row>
    <row r="865" spans="1:71" hidden="1" outlineLevel="1">
      <c r="A865" s="64" t="s">
        <v>647</v>
      </c>
      <c r="B865" s="8" t="s">
        <v>1320</v>
      </c>
      <c r="C865" s="1">
        <f t="shared" si="247"/>
        <v>6458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 t="shared" si="248"/>
        <v>0</v>
      </c>
      <c r="G865" s="1">
        <f t="shared" si="249"/>
        <v>1332</v>
      </c>
      <c r="H865" s="2">
        <f t="shared" si="256"/>
        <v>0.20625580675131619</v>
      </c>
      <c r="I865" s="6"/>
      <c r="J865" s="2">
        <f t="shared" si="250"/>
        <v>0.57107463611025089</v>
      </c>
      <c r="K865" s="2">
        <f t="shared" si="251"/>
        <v>0.36481882935893467</v>
      </c>
      <c r="L865" s="2">
        <f t="shared" si="252"/>
        <v>0</v>
      </c>
      <c r="M865" s="2">
        <f t="shared" si="253"/>
        <v>6.4106534530814441E-2</v>
      </c>
      <c r="N865" s="63">
        <v>3688</v>
      </c>
      <c r="O865" s="63">
        <v>2356</v>
      </c>
      <c r="P865" s="63">
        <v>0</v>
      </c>
      <c r="Q865" s="63">
        <v>253</v>
      </c>
      <c r="R865" s="63">
        <v>66</v>
      </c>
      <c r="S865" s="63"/>
      <c r="T865" s="63"/>
      <c r="U865" s="63"/>
      <c r="V865" s="63"/>
      <c r="W865" s="63">
        <f t="shared" si="254"/>
        <v>95</v>
      </c>
      <c r="X865" s="63"/>
      <c r="Y865" s="63"/>
      <c r="Z865" s="63"/>
      <c r="AA865" s="63">
        <v>0</v>
      </c>
      <c r="AB865" s="63"/>
      <c r="AE865" s="8">
        <v>0</v>
      </c>
      <c r="AT865" t="str">
        <f t="shared" si="257"/>
        <v>Hull</v>
      </c>
      <c r="AU865" t="s">
        <v>231</v>
      </c>
      <c r="AV865">
        <v>8</v>
      </c>
      <c r="AX865" s="114">
        <v>25</v>
      </c>
      <c r="AY865" s="116">
        <v>23</v>
      </c>
      <c r="AZ865" s="116">
        <v>55</v>
      </c>
      <c r="BA865" s="120">
        <v>31645</v>
      </c>
      <c r="BB865" s="120">
        <f t="shared" si="246"/>
        <v>25023</v>
      </c>
      <c r="BC865" t="s">
        <v>1472</v>
      </c>
      <c r="BD865">
        <f t="shared" si="255"/>
        <v>2531645</v>
      </c>
      <c r="BE865" s="66">
        <v>85</v>
      </c>
      <c r="BF865" s="66"/>
      <c r="BI865">
        <v>28.21</v>
      </c>
      <c r="BJ865">
        <v>25.18</v>
      </c>
      <c r="BK865">
        <v>3.03</v>
      </c>
      <c r="BQ865">
        <v>95</v>
      </c>
      <c r="BS865">
        <v>0</v>
      </c>
    </row>
    <row r="866" spans="1:71" hidden="1" outlineLevel="1">
      <c r="A866" s="64" t="s">
        <v>2844</v>
      </c>
      <c r="B866" s="8" t="s">
        <v>1320</v>
      </c>
      <c r="C866" s="1">
        <f t="shared" si="247"/>
        <v>1184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 t="shared" si="248"/>
        <v>6</v>
      </c>
      <c r="G866" s="1">
        <f t="shared" si="249"/>
        <v>151</v>
      </c>
      <c r="H866" s="2">
        <f t="shared" si="256"/>
        <v>0.12753378378378377</v>
      </c>
      <c r="I866" s="6"/>
      <c r="J866" s="2">
        <f t="shared" si="250"/>
        <v>0.38851351351351349</v>
      </c>
      <c r="K866" s="2">
        <f t="shared" si="251"/>
        <v>0.51604729729729726</v>
      </c>
      <c r="L866" s="2">
        <f t="shared" si="252"/>
        <v>8.4459459459459464E-4</v>
      </c>
      <c r="M866" s="2">
        <f t="shared" si="253"/>
        <v>9.4594594594594655E-2</v>
      </c>
      <c r="N866" s="63">
        <v>460</v>
      </c>
      <c r="O866" s="63">
        <v>611</v>
      </c>
      <c r="P866" s="63">
        <v>1</v>
      </c>
      <c r="Q866" s="63">
        <v>71</v>
      </c>
      <c r="R866" s="63">
        <v>35</v>
      </c>
      <c r="S866" s="63"/>
      <c r="T866" s="63"/>
      <c r="U866" s="63"/>
      <c r="V866" s="63"/>
      <c r="W866" s="63">
        <f t="shared" si="254"/>
        <v>6</v>
      </c>
      <c r="X866" s="63"/>
      <c r="Y866" s="63"/>
      <c r="Z866" s="63"/>
      <c r="AA866" s="63">
        <v>0</v>
      </c>
      <c r="AB866" s="63"/>
      <c r="AE866" s="8">
        <v>0</v>
      </c>
      <c r="AT866" t="str">
        <f t="shared" si="257"/>
        <v>Huntington</v>
      </c>
      <c r="AU866" t="s">
        <v>2176</v>
      </c>
      <c r="AV866">
        <v>1</v>
      </c>
      <c r="AX866" s="114">
        <v>25</v>
      </c>
      <c r="AY866" s="116">
        <v>15</v>
      </c>
      <c r="AZ866" s="116">
        <v>50</v>
      </c>
      <c r="BA866" s="120">
        <v>31785</v>
      </c>
      <c r="BB866" s="120">
        <f t="shared" si="246"/>
        <v>25015</v>
      </c>
      <c r="BC866" t="s">
        <v>1472</v>
      </c>
      <c r="BD866">
        <f t="shared" si="255"/>
        <v>2531785</v>
      </c>
      <c r="BE866" s="66">
        <v>17</v>
      </c>
      <c r="BF866" s="66"/>
      <c r="BI866">
        <v>26.91</v>
      </c>
      <c r="BJ866">
        <v>0.27</v>
      </c>
      <c r="BK866">
        <v>26.64</v>
      </c>
      <c r="BQ866">
        <v>6</v>
      </c>
      <c r="BS866">
        <v>0</v>
      </c>
    </row>
    <row r="867" spans="1:71" hidden="1" outlineLevel="1">
      <c r="A867" s="64" t="s">
        <v>2510</v>
      </c>
      <c r="B867" s="8" t="s">
        <v>1320</v>
      </c>
      <c r="C867" s="1">
        <f t="shared" si="247"/>
        <v>8554</v>
      </c>
      <c r="D867" s="5">
        <f>IF(N867&gt;0, RANK(N867,(N867:P867,Q867:AE867)),0)</f>
        <v>1</v>
      </c>
      <c r="E867" s="5">
        <f>IF(O867&gt;0,RANK(O867,(N867:P867,Q867:AE867)),0)</f>
        <v>2</v>
      </c>
      <c r="F867" s="5">
        <f t="shared" si="248"/>
        <v>5</v>
      </c>
      <c r="G867" s="1">
        <f t="shared" si="249"/>
        <v>1926</v>
      </c>
      <c r="H867" s="2">
        <f t="shared" si="256"/>
        <v>0.22515782090250175</v>
      </c>
      <c r="I867" s="6"/>
      <c r="J867" s="2">
        <f t="shared" si="250"/>
        <v>0.57739069441197099</v>
      </c>
      <c r="K867" s="2">
        <f t="shared" si="251"/>
        <v>0.35223287350946925</v>
      </c>
      <c r="L867" s="2">
        <f t="shared" si="252"/>
        <v>5.8452186111760578E-4</v>
      </c>
      <c r="M867" s="2">
        <f t="shared" si="253"/>
        <v>6.9791910217442146E-2</v>
      </c>
      <c r="N867" s="63">
        <v>4939</v>
      </c>
      <c r="O867" s="63">
        <v>3013</v>
      </c>
      <c r="P867" s="63">
        <v>5</v>
      </c>
      <c r="Q867" s="63">
        <v>459</v>
      </c>
      <c r="R867" s="63">
        <v>138</v>
      </c>
      <c r="S867" s="63"/>
      <c r="T867" s="63"/>
      <c r="U867" s="63"/>
      <c r="V867" s="63"/>
      <c r="W867" s="63">
        <f t="shared" si="254"/>
        <v>0</v>
      </c>
      <c r="X867" s="63"/>
      <c r="Y867" s="63"/>
      <c r="Z867" s="63"/>
      <c r="AA867" s="63">
        <v>0</v>
      </c>
      <c r="AB867" s="63"/>
      <c r="AE867" s="8">
        <v>0</v>
      </c>
      <c r="AT867" t="str">
        <f t="shared" si="257"/>
        <v>Ipswich</v>
      </c>
      <c r="AU867" t="s">
        <v>842</v>
      </c>
      <c r="AV867">
        <v>6</v>
      </c>
      <c r="AX867" s="114">
        <v>25</v>
      </c>
      <c r="AY867" s="116">
        <v>9</v>
      </c>
      <c r="AZ867" s="116">
        <v>60</v>
      </c>
      <c r="BA867" s="120">
        <v>32310</v>
      </c>
      <c r="BB867" s="120">
        <f t="shared" ref="BB867:BB930" si="258">AX867*1000+AY867</f>
        <v>25009</v>
      </c>
      <c r="BC867" t="s">
        <v>1472</v>
      </c>
      <c r="BD867">
        <f t="shared" si="255"/>
        <v>2532310</v>
      </c>
      <c r="BE867" s="66">
        <v>292</v>
      </c>
      <c r="BF867" s="66"/>
      <c r="BI867">
        <v>42.14</v>
      </c>
      <c r="BJ867">
        <v>9.56</v>
      </c>
      <c r="BK867">
        <v>32.58</v>
      </c>
      <c r="BQ867">
        <v>0</v>
      </c>
      <c r="BS867">
        <v>0</v>
      </c>
    </row>
    <row r="868" spans="1:71" hidden="1" outlineLevel="1">
      <c r="A868" s="64" t="s">
        <v>1132</v>
      </c>
      <c r="B868" s="8" t="s">
        <v>1320</v>
      </c>
      <c r="C868" s="1">
        <f t="shared" si="247"/>
        <v>7617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 t="shared" si="248"/>
        <v>6</v>
      </c>
      <c r="G868" s="1">
        <f t="shared" si="249"/>
        <v>108</v>
      </c>
      <c r="H868" s="2">
        <f t="shared" si="256"/>
        <v>1.4178810555336747E-2</v>
      </c>
      <c r="I868" s="6"/>
      <c r="J868" s="2">
        <f t="shared" si="250"/>
        <v>0.45569121701457266</v>
      </c>
      <c r="K868" s="2">
        <f t="shared" si="251"/>
        <v>0.46987002756990942</v>
      </c>
      <c r="L868" s="2">
        <f t="shared" si="252"/>
        <v>1.1815675462780622E-3</v>
      </c>
      <c r="M868" s="2">
        <f t="shared" si="253"/>
        <v>7.3257187869239918E-2</v>
      </c>
      <c r="N868" s="63">
        <v>3471</v>
      </c>
      <c r="O868" s="63">
        <v>3579</v>
      </c>
      <c r="P868" s="63">
        <v>9</v>
      </c>
      <c r="Q868" s="63">
        <v>381</v>
      </c>
      <c r="R868" s="63">
        <v>84</v>
      </c>
      <c r="S868" s="63"/>
      <c r="T868" s="63"/>
      <c r="U868" s="63"/>
      <c r="V868" s="63"/>
      <c r="W868" s="63">
        <f t="shared" si="254"/>
        <v>92</v>
      </c>
      <c r="X868" s="63"/>
      <c r="Y868" s="63"/>
      <c r="Z868" s="63"/>
      <c r="AA868" s="63">
        <v>0</v>
      </c>
      <c r="AB868" s="63"/>
      <c r="AE868" s="8">
        <v>1</v>
      </c>
      <c r="AT868" t="str">
        <f t="shared" si="257"/>
        <v>Kingston</v>
      </c>
      <c r="AU868" t="s">
        <v>231</v>
      </c>
      <c r="AV868">
        <v>9</v>
      </c>
      <c r="AX868" s="114">
        <v>25</v>
      </c>
      <c r="AY868" s="116">
        <v>23</v>
      </c>
      <c r="AZ868" s="116">
        <v>60</v>
      </c>
      <c r="BA868" s="120">
        <v>33220</v>
      </c>
      <c r="BB868" s="120">
        <f t="shared" si="258"/>
        <v>25023</v>
      </c>
      <c r="BC868" t="s">
        <v>1472</v>
      </c>
      <c r="BD868">
        <f t="shared" si="255"/>
        <v>2533220</v>
      </c>
      <c r="BE868" s="66">
        <v>117</v>
      </c>
      <c r="BF868" s="66"/>
      <c r="BI868">
        <v>20.39</v>
      </c>
      <c r="BJ868">
        <v>1.86</v>
      </c>
      <c r="BK868">
        <v>18.53</v>
      </c>
      <c r="BQ868">
        <v>92</v>
      </c>
      <c r="BS868">
        <v>0</v>
      </c>
    </row>
    <row r="869" spans="1:71" hidden="1" outlineLevel="1">
      <c r="A869" s="64" t="s">
        <v>2022</v>
      </c>
      <c r="B869" s="8" t="s">
        <v>1320</v>
      </c>
      <c r="C869" s="1">
        <f t="shared" si="247"/>
        <v>6378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 t="shared" si="248"/>
        <v>6</v>
      </c>
      <c r="G869" s="1">
        <f t="shared" si="249"/>
        <v>908</v>
      </c>
      <c r="H869" s="2">
        <f t="shared" si="256"/>
        <v>0.14236437754782064</v>
      </c>
      <c r="I869" s="6"/>
      <c r="J869" s="2">
        <f t="shared" si="250"/>
        <v>0.38664158043273755</v>
      </c>
      <c r="K869" s="2">
        <f t="shared" si="251"/>
        <v>0.52900595798055816</v>
      </c>
      <c r="L869" s="2">
        <f t="shared" si="252"/>
        <v>2.6654123549702102E-3</v>
      </c>
      <c r="M869" s="2">
        <f t="shared" si="253"/>
        <v>8.1687049231734074E-2</v>
      </c>
      <c r="N869" s="63">
        <v>2466</v>
      </c>
      <c r="O869" s="63">
        <v>3374</v>
      </c>
      <c r="P869" s="63">
        <v>17</v>
      </c>
      <c r="Q869" s="63">
        <v>315</v>
      </c>
      <c r="R869" s="63">
        <v>86</v>
      </c>
      <c r="S869" s="63"/>
      <c r="T869" s="63"/>
      <c r="U869" s="63"/>
      <c r="V869" s="63"/>
      <c r="W869" s="63">
        <f t="shared" si="254"/>
        <v>120</v>
      </c>
      <c r="X869" s="63"/>
      <c r="Y869" s="63"/>
      <c r="Z869" s="63"/>
      <c r="AA869" s="63">
        <v>0</v>
      </c>
      <c r="AB869" s="63"/>
      <c r="AE869" s="8">
        <v>0</v>
      </c>
      <c r="AT869" t="str">
        <f t="shared" si="257"/>
        <v>Lakeville</v>
      </c>
      <c r="AU869" t="s">
        <v>231</v>
      </c>
      <c r="AV869">
        <v>4</v>
      </c>
      <c r="AX869" s="114">
        <v>25</v>
      </c>
      <c r="AY869" s="116">
        <v>23</v>
      </c>
      <c r="AZ869" s="116">
        <v>65</v>
      </c>
      <c r="BA869" s="120">
        <v>33920</v>
      </c>
      <c r="BB869" s="120">
        <f t="shared" si="258"/>
        <v>25023</v>
      </c>
      <c r="BC869" t="s">
        <v>1472</v>
      </c>
      <c r="BD869">
        <f t="shared" si="255"/>
        <v>2533920</v>
      </c>
      <c r="BE869" s="66">
        <v>126</v>
      </c>
      <c r="BF869" s="66"/>
      <c r="BI869">
        <v>36.14</v>
      </c>
      <c r="BJ869">
        <v>6.24</v>
      </c>
      <c r="BK869">
        <v>29.9</v>
      </c>
      <c r="BQ869">
        <v>120</v>
      </c>
      <c r="BS869">
        <v>0</v>
      </c>
    </row>
    <row r="870" spans="1:71" hidden="1" outlineLevel="1">
      <c r="A870" s="64" t="s">
        <v>1061</v>
      </c>
      <c r="B870" s="8" t="s">
        <v>1320</v>
      </c>
      <c r="C870" s="1">
        <f t="shared" si="247"/>
        <v>3937</v>
      </c>
      <c r="D870" s="5">
        <f>IF(N870&gt;0, RANK(N870,(N870:P870,Q870:AE870)),0)</f>
        <v>1</v>
      </c>
      <c r="E870" s="5">
        <f>IF(O870&gt;0,RANK(O870,(N870:P870,Q870:AE870)),0)</f>
        <v>2</v>
      </c>
      <c r="F870" s="5">
        <f t="shared" si="248"/>
        <v>6</v>
      </c>
      <c r="G870" s="1">
        <f t="shared" si="249"/>
        <v>199</v>
      </c>
      <c r="H870" s="2">
        <f t="shared" si="256"/>
        <v>5.0546101092202186E-2</v>
      </c>
      <c r="I870" s="6"/>
      <c r="J870" s="2">
        <f t="shared" si="250"/>
        <v>0.46990093980187958</v>
      </c>
      <c r="K870" s="2">
        <f t="shared" si="251"/>
        <v>0.41935483870967744</v>
      </c>
      <c r="L870" s="2">
        <f t="shared" si="252"/>
        <v>1.7780035560071121E-3</v>
      </c>
      <c r="M870" s="2">
        <f t="shared" si="253"/>
        <v>0.10896621793243581</v>
      </c>
      <c r="N870" s="63">
        <v>1850</v>
      </c>
      <c r="O870" s="63">
        <v>1651</v>
      </c>
      <c r="P870" s="63">
        <v>7</v>
      </c>
      <c r="Q870" s="63">
        <v>284</v>
      </c>
      <c r="R870" s="63">
        <v>59</v>
      </c>
      <c r="S870" s="63"/>
      <c r="T870" s="63"/>
      <c r="U870" s="63"/>
      <c r="V870" s="63"/>
      <c r="W870" s="63">
        <f t="shared" si="254"/>
        <v>86</v>
      </c>
      <c r="X870" s="63"/>
      <c r="Y870" s="63"/>
      <c r="Z870" s="63"/>
      <c r="AA870" s="63">
        <v>0</v>
      </c>
      <c r="AB870" s="63"/>
      <c r="AE870" s="8">
        <v>0</v>
      </c>
      <c r="AT870" t="str">
        <f t="shared" si="257"/>
        <v>Lancaster</v>
      </c>
      <c r="AU870" s="8" t="s">
        <v>1774</v>
      </c>
      <c r="AV870">
        <v>3</v>
      </c>
      <c r="AX870" s="114">
        <v>25</v>
      </c>
      <c r="AY870" s="116">
        <v>27</v>
      </c>
      <c r="AZ870" s="116">
        <v>115</v>
      </c>
      <c r="BA870" s="120">
        <v>34165</v>
      </c>
      <c r="BB870" s="120">
        <f t="shared" si="258"/>
        <v>25027</v>
      </c>
      <c r="BC870" t="s">
        <v>1472</v>
      </c>
      <c r="BD870">
        <f t="shared" si="255"/>
        <v>2534165</v>
      </c>
      <c r="BE870" s="66">
        <v>72</v>
      </c>
      <c r="BF870" s="66"/>
      <c r="BI870">
        <v>28.19</v>
      </c>
      <c r="BJ870">
        <v>0.52</v>
      </c>
      <c r="BK870">
        <v>27.68</v>
      </c>
      <c r="BQ870">
        <v>86</v>
      </c>
      <c r="BS870">
        <v>0</v>
      </c>
    </row>
    <row r="871" spans="1:71" hidden="1" outlineLevel="1">
      <c r="A871" s="64" t="s">
        <v>1793</v>
      </c>
      <c r="B871" s="8" t="s">
        <v>1320</v>
      </c>
      <c r="C871" s="1">
        <f t="shared" si="247"/>
        <v>1731</v>
      </c>
      <c r="D871" s="5">
        <f>IF(N871&gt;0, RANK(N871,(N871:P871,Q871:AE871)),0)</f>
        <v>1</v>
      </c>
      <c r="E871" s="5">
        <f>IF(O871&gt;0,RANK(O871,(N871:P871,Q871:AE871)),0)</f>
        <v>2</v>
      </c>
      <c r="F871" s="5">
        <f t="shared" si="248"/>
        <v>6</v>
      </c>
      <c r="G871" s="1">
        <f t="shared" si="249"/>
        <v>401</v>
      </c>
      <c r="H871" s="2">
        <f t="shared" si="256"/>
        <v>0.2316580011554015</v>
      </c>
      <c r="I871" s="6"/>
      <c r="J871" s="2">
        <f t="shared" si="250"/>
        <v>0.57654534950895431</v>
      </c>
      <c r="K871" s="2">
        <f t="shared" si="251"/>
        <v>0.34488734835355284</v>
      </c>
      <c r="L871" s="2">
        <f t="shared" si="252"/>
        <v>2.8885037550548816E-3</v>
      </c>
      <c r="M871" s="2">
        <f t="shared" si="253"/>
        <v>7.5678798382437976E-2</v>
      </c>
      <c r="N871" s="63">
        <v>998</v>
      </c>
      <c r="O871" s="63">
        <v>597</v>
      </c>
      <c r="P871" s="63">
        <v>5</v>
      </c>
      <c r="Q871" s="63">
        <v>77</v>
      </c>
      <c r="R871" s="63">
        <v>32</v>
      </c>
      <c r="S871" s="63"/>
      <c r="T871" s="63"/>
      <c r="U871" s="63"/>
      <c r="V871" s="63"/>
      <c r="W871" s="63">
        <f t="shared" si="254"/>
        <v>22</v>
      </c>
      <c r="X871" s="63"/>
      <c r="Y871" s="63"/>
      <c r="Z871" s="63"/>
      <c r="AA871" s="63">
        <v>0</v>
      </c>
      <c r="AB871" s="63"/>
      <c r="AE871" s="8">
        <v>0</v>
      </c>
      <c r="AT871" t="str">
        <f t="shared" si="257"/>
        <v>Lanesborough</v>
      </c>
      <c r="AU871" t="s">
        <v>2313</v>
      </c>
      <c r="AV871">
        <v>1</v>
      </c>
      <c r="AX871" s="114">
        <v>25</v>
      </c>
      <c r="AY871" s="116">
        <v>3</v>
      </c>
      <c r="AZ871" s="116">
        <v>60</v>
      </c>
      <c r="BA871" s="120">
        <v>34340</v>
      </c>
      <c r="BB871" s="120">
        <f t="shared" si="258"/>
        <v>25003</v>
      </c>
      <c r="BC871" t="s">
        <v>1472</v>
      </c>
      <c r="BD871">
        <f t="shared" si="255"/>
        <v>2534340</v>
      </c>
      <c r="BE871" s="66">
        <v>16</v>
      </c>
      <c r="BF871" s="66"/>
      <c r="BI871">
        <v>29.74</v>
      </c>
      <c r="BJ871">
        <v>0.7</v>
      </c>
      <c r="BK871">
        <v>29.04</v>
      </c>
      <c r="BQ871">
        <v>22</v>
      </c>
      <c r="BS871">
        <v>0</v>
      </c>
    </row>
    <row r="872" spans="1:71" hidden="1" outlineLevel="1">
      <c r="A872" s="64" t="s">
        <v>548</v>
      </c>
      <c r="B872" s="8" t="s">
        <v>1320</v>
      </c>
      <c r="C872" s="1">
        <f t="shared" si="247"/>
        <v>24271</v>
      </c>
      <c r="D872" s="5">
        <f>IF(N872&gt;0, RANK(N872,(N872:P872,Q872:AE872)),0)</f>
        <v>1</v>
      </c>
      <c r="E872" s="5">
        <f>IF(O872&gt;0,RANK(O872,(N872:P872,Q872:AE872)),0)</f>
        <v>2</v>
      </c>
      <c r="F872" s="5">
        <f t="shared" si="248"/>
        <v>0</v>
      </c>
      <c r="G872" s="1">
        <f t="shared" si="249"/>
        <v>16317</v>
      </c>
      <c r="H872" s="2">
        <f t="shared" si="256"/>
        <v>0.67228379547608252</v>
      </c>
      <c r="I872" s="6"/>
      <c r="J872" s="2">
        <f t="shared" si="250"/>
        <v>0.817930863994067</v>
      </c>
      <c r="K872" s="2">
        <f t="shared" si="251"/>
        <v>0.14564706851798442</v>
      </c>
      <c r="L872" s="2">
        <f t="shared" si="252"/>
        <v>0</v>
      </c>
      <c r="M872" s="2">
        <f t="shared" si="253"/>
        <v>3.6422067487948573E-2</v>
      </c>
      <c r="N872" s="63">
        <v>19852</v>
      </c>
      <c r="O872" s="63">
        <v>3535</v>
      </c>
      <c r="P872" s="63">
        <v>0</v>
      </c>
      <c r="Q872" s="63">
        <v>476</v>
      </c>
      <c r="R872" s="63">
        <v>220</v>
      </c>
      <c r="S872" s="63"/>
      <c r="T872" s="63"/>
      <c r="U872" s="63"/>
      <c r="V872" s="63"/>
      <c r="W872" s="63">
        <f t="shared" si="254"/>
        <v>188</v>
      </c>
      <c r="X872" s="63"/>
      <c r="Y872" s="63"/>
      <c r="Z872" s="63"/>
      <c r="AA872" s="63">
        <v>0</v>
      </c>
      <c r="AB872" s="63"/>
      <c r="AE872" s="8">
        <v>0</v>
      </c>
      <c r="AT872" t="str">
        <f t="shared" si="257"/>
        <v>Lawrence</v>
      </c>
      <c r="AU872" t="s">
        <v>842</v>
      </c>
      <c r="AV872">
        <v>3</v>
      </c>
      <c r="AX872" s="114">
        <v>25</v>
      </c>
      <c r="AY872" s="116">
        <v>9</v>
      </c>
      <c r="AZ872" s="116">
        <v>65</v>
      </c>
      <c r="BA872" s="120">
        <v>34550</v>
      </c>
      <c r="BB872" s="120">
        <f t="shared" si="258"/>
        <v>25009</v>
      </c>
      <c r="BC872" t="s">
        <v>1249</v>
      </c>
      <c r="BD872">
        <f t="shared" si="255"/>
        <v>2534550</v>
      </c>
      <c r="BE872" s="66">
        <v>266</v>
      </c>
      <c r="BF872" s="66"/>
      <c r="BI872">
        <v>7.41</v>
      </c>
      <c r="BJ872">
        <v>0.45</v>
      </c>
      <c r="BK872">
        <v>6.96</v>
      </c>
      <c r="BQ872">
        <v>188</v>
      </c>
      <c r="BS872">
        <v>0</v>
      </c>
    </row>
    <row r="873" spans="1:71" hidden="1" outlineLevel="1">
      <c r="A873" s="64" t="s">
        <v>97</v>
      </c>
      <c r="B873" s="8" t="s">
        <v>1320</v>
      </c>
      <c r="C873" s="1">
        <f t="shared" si="247"/>
        <v>3034</v>
      </c>
      <c r="D873" s="5">
        <f>IF(N873&gt;0, RANK(N873,(N873:P873,Q873:AE873)),0)</f>
        <v>1</v>
      </c>
      <c r="E873" s="5">
        <f>IF(O873&gt;0,RANK(O873,(N873:P873,Q873:AE873)),0)</f>
        <v>2</v>
      </c>
      <c r="F873" s="5">
        <f t="shared" si="248"/>
        <v>0</v>
      </c>
      <c r="G873" s="1">
        <f t="shared" si="249"/>
        <v>1117</v>
      </c>
      <c r="H873" s="2">
        <f t="shared" si="256"/>
        <v>0.36816084377059988</v>
      </c>
      <c r="I873" s="6"/>
      <c r="J873" s="2">
        <f t="shared" si="250"/>
        <v>0.6489782465392222</v>
      </c>
      <c r="K873" s="2">
        <f t="shared" si="251"/>
        <v>0.28081740276862227</v>
      </c>
      <c r="L873" s="2">
        <f t="shared" si="252"/>
        <v>0</v>
      </c>
      <c r="M873" s="2">
        <f t="shared" si="253"/>
        <v>7.0204350692155526E-2</v>
      </c>
      <c r="N873" s="63">
        <v>1969</v>
      </c>
      <c r="O873" s="63">
        <v>852</v>
      </c>
      <c r="P873" s="63">
        <v>0</v>
      </c>
      <c r="Q873" s="63">
        <v>115</v>
      </c>
      <c r="R873" s="63">
        <v>86</v>
      </c>
      <c r="S873" s="63"/>
      <c r="T873" s="63"/>
      <c r="U873" s="63"/>
      <c r="V873" s="63"/>
      <c r="W873" s="63">
        <f t="shared" si="254"/>
        <v>12</v>
      </c>
      <c r="X873" s="63"/>
      <c r="Y873" s="63"/>
      <c r="Z873" s="63"/>
      <c r="AA873" s="63">
        <v>0</v>
      </c>
      <c r="AB873" s="63"/>
      <c r="AE873" s="8">
        <v>0</v>
      </c>
      <c r="AT873" t="str">
        <f t="shared" si="257"/>
        <v>Lee</v>
      </c>
      <c r="AU873" t="s">
        <v>2313</v>
      </c>
      <c r="AV873">
        <v>1</v>
      </c>
      <c r="AX873" s="114">
        <v>25</v>
      </c>
      <c r="AY873" s="116">
        <v>3</v>
      </c>
      <c r="AZ873" s="116">
        <v>65</v>
      </c>
      <c r="BA873" s="120">
        <v>34655</v>
      </c>
      <c r="BB873" s="120">
        <f t="shared" si="258"/>
        <v>25003</v>
      </c>
      <c r="BC873" t="s">
        <v>1472</v>
      </c>
      <c r="BD873">
        <f t="shared" si="255"/>
        <v>2534655</v>
      </c>
      <c r="BE873" s="66">
        <v>65</v>
      </c>
      <c r="BF873" s="66"/>
      <c r="BI873">
        <v>27.03</v>
      </c>
      <c r="BJ873">
        <v>0.63</v>
      </c>
      <c r="BK873">
        <v>26.4</v>
      </c>
      <c r="BQ873">
        <v>12</v>
      </c>
      <c r="BS873">
        <v>0</v>
      </c>
    </row>
    <row r="874" spans="1:71" hidden="1" outlineLevel="1">
      <c r="A874" s="64" t="s">
        <v>3001</v>
      </c>
      <c r="B874" s="8" t="s">
        <v>1320</v>
      </c>
      <c r="C874" s="1">
        <f t="shared" si="247"/>
        <v>5728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 t="shared" si="248"/>
        <v>6</v>
      </c>
      <c r="G874" s="1">
        <f t="shared" si="249"/>
        <v>402</v>
      </c>
      <c r="H874" s="2">
        <f t="shared" si="256"/>
        <v>7.0181564245810055E-2</v>
      </c>
      <c r="I874" s="6"/>
      <c r="J874" s="2">
        <f t="shared" si="250"/>
        <v>0.42300977653631283</v>
      </c>
      <c r="K874" s="2">
        <f t="shared" si="251"/>
        <v>0.4931913407821229</v>
      </c>
      <c r="L874" s="2">
        <f t="shared" si="252"/>
        <v>6.9832402234636874E-4</v>
      </c>
      <c r="M874" s="2">
        <f t="shared" si="253"/>
        <v>8.3100558659217949E-2</v>
      </c>
      <c r="N874" s="63">
        <v>2423</v>
      </c>
      <c r="O874" s="63">
        <v>2825</v>
      </c>
      <c r="P874" s="63">
        <v>4</v>
      </c>
      <c r="Q874" s="63">
        <v>318</v>
      </c>
      <c r="R874" s="63">
        <v>72</v>
      </c>
      <c r="S874" s="63"/>
      <c r="T874" s="63"/>
      <c r="U874" s="63"/>
      <c r="V874" s="63"/>
      <c r="W874" s="63">
        <f t="shared" si="254"/>
        <v>86</v>
      </c>
      <c r="X874" s="63"/>
      <c r="Y874" s="63"/>
      <c r="Z874" s="63"/>
      <c r="AA874" s="63">
        <v>0</v>
      </c>
      <c r="AB874" s="63"/>
      <c r="AE874" s="8">
        <v>0</v>
      </c>
      <c r="AT874" t="str">
        <f t="shared" si="257"/>
        <v>Leicester</v>
      </c>
      <c r="AU874" s="8" t="s">
        <v>1774</v>
      </c>
      <c r="AV874">
        <v>2</v>
      </c>
      <c r="AX874" s="114">
        <v>25</v>
      </c>
      <c r="AY874" s="116">
        <v>27</v>
      </c>
      <c r="AZ874" s="116">
        <v>120</v>
      </c>
      <c r="BA874" s="120">
        <v>34795</v>
      </c>
      <c r="BB874" s="120">
        <f t="shared" si="258"/>
        <v>25027</v>
      </c>
      <c r="BC874" t="s">
        <v>1472</v>
      </c>
      <c r="BD874">
        <f t="shared" si="255"/>
        <v>2534795</v>
      </c>
      <c r="BE874" s="66">
        <v>100</v>
      </c>
      <c r="BF874" s="66"/>
      <c r="BI874">
        <v>24.68</v>
      </c>
      <c r="BJ874">
        <v>1.32</v>
      </c>
      <c r="BK874">
        <v>23.36</v>
      </c>
      <c r="BQ874">
        <v>86</v>
      </c>
      <c r="BS874">
        <v>0</v>
      </c>
    </row>
    <row r="875" spans="1:71" hidden="1" outlineLevel="1">
      <c r="A875" s="64" t="s">
        <v>1393</v>
      </c>
      <c r="B875" s="8" t="s">
        <v>1320</v>
      </c>
      <c r="C875" s="1">
        <f t="shared" si="247"/>
        <v>3057</v>
      </c>
      <c r="D875" s="5">
        <f>IF(N875&gt;0, RANK(N875,(N875:P875,Q875:AE875)),0)</f>
        <v>1</v>
      </c>
      <c r="E875" s="5">
        <f>IF(O875&gt;0,RANK(O875,(N875:P875,Q875:AE875)),0)</f>
        <v>2</v>
      </c>
      <c r="F875" s="5">
        <f t="shared" si="248"/>
        <v>0</v>
      </c>
      <c r="G875" s="1">
        <f t="shared" si="249"/>
        <v>1662</v>
      </c>
      <c r="H875" s="2">
        <f t="shared" si="256"/>
        <v>0.54367026496565263</v>
      </c>
      <c r="I875" s="6"/>
      <c r="J875" s="2">
        <f t="shared" si="250"/>
        <v>0.73078181223421657</v>
      </c>
      <c r="K875" s="2">
        <f t="shared" si="251"/>
        <v>0.18711154726856394</v>
      </c>
      <c r="L875" s="2">
        <f t="shared" si="252"/>
        <v>0</v>
      </c>
      <c r="M875" s="2">
        <f t="shared" si="253"/>
        <v>8.2106640497219496E-2</v>
      </c>
      <c r="N875" s="63">
        <v>2234</v>
      </c>
      <c r="O875" s="63">
        <v>572</v>
      </c>
      <c r="P875" s="63">
        <v>0</v>
      </c>
      <c r="Q875" s="63">
        <v>116</v>
      </c>
      <c r="R875" s="63">
        <v>70</v>
      </c>
      <c r="S875" s="63"/>
      <c r="T875" s="63"/>
      <c r="U875" s="63"/>
      <c r="V875" s="63"/>
      <c r="W875" s="63">
        <f t="shared" si="254"/>
        <v>65</v>
      </c>
      <c r="X875" s="63"/>
      <c r="Y875" s="63"/>
      <c r="Z875" s="63"/>
      <c r="AA875" s="63">
        <v>0</v>
      </c>
      <c r="AB875" s="63"/>
      <c r="AE875" s="8">
        <v>0</v>
      </c>
      <c r="AT875" t="str">
        <f t="shared" si="257"/>
        <v>Lenox</v>
      </c>
      <c r="AU875" t="s">
        <v>2313</v>
      </c>
      <c r="AV875">
        <v>1</v>
      </c>
      <c r="AX875" s="114">
        <v>25</v>
      </c>
      <c r="AY875" s="116">
        <v>3</v>
      </c>
      <c r="AZ875" s="116">
        <v>70</v>
      </c>
      <c r="BA875" s="120">
        <v>34970</v>
      </c>
      <c r="BB875" s="120">
        <f t="shared" si="258"/>
        <v>25003</v>
      </c>
      <c r="BC875" t="s">
        <v>1472</v>
      </c>
      <c r="BD875">
        <f t="shared" si="255"/>
        <v>2534970</v>
      </c>
      <c r="BE875" s="66">
        <v>39</v>
      </c>
      <c r="BF875" s="66"/>
      <c r="BI875">
        <v>21.48</v>
      </c>
      <c r="BJ875">
        <v>0.27</v>
      </c>
      <c r="BK875">
        <v>21.22</v>
      </c>
      <c r="BQ875">
        <v>65</v>
      </c>
      <c r="BS875">
        <v>0</v>
      </c>
    </row>
    <row r="876" spans="1:71" hidden="1" outlineLevel="1">
      <c r="A876" s="64" t="s">
        <v>378</v>
      </c>
      <c r="B876" s="8" t="s">
        <v>1320</v>
      </c>
      <c r="C876" s="1">
        <f t="shared" si="247"/>
        <v>19612</v>
      </c>
      <c r="D876" s="5">
        <f>IF(N876&gt;0, RANK(N876,(N876:P876,Q876:AE876)),0)</f>
        <v>1</v>
      </c>
      <c r="E876" s="5">
        <f>IF(O876&gt;0,RANK(O876,(N876:P876,Q876:AE876)),0)</f>
        <v>2</v>
      </c>
      <c r="F876" s="5">
        <f t="shared" si="248"/>
        <v>6</v>
      </c>
      <c r="G876" s="1">
        <f t="shared" si="249"/>
        <v>1641</v>
      </c>
      <c r="H876" s="2">
        <f t="shared" si="256"/>
        <v>8.3673261268611049E-2</v>
      </c>
      <c r="I876" s="6"/>
      <c r="J876" s="2">
        <f t="shared" si="250"/>
        <v>0.50173363246991642</v>
      </c>
      <c r="K876" s="2">
        <f t="shared" si="251"/>
        <v>0.41806037120130535</v>
      </c>
      <c r="L876" s="2">
        <f t="shared" si="252"/>
        <v>5.0989190291658166E-5</v>
      </c>
      <c r="M876" s="2">
        <f t="shared" si="253"/>
        <v>8.015500713848657E-2</v>
      </c>
      <c r="N876" s="63">
        <v>9840</v>
      </c>
      <c r="O876" s="63">
        <v>8199</v>
      </c>
      <c r="P876" s="63">
        <v>1</v>
      </c>
      <c r="Q876" s="63">
        <v>1076</v>
      </c>
      <c r="R876" s="63">
        <v>262</v>
      </c>
      <c r="S876" s="63"/>
      <c r="T876" s="63"/>
      <c r="U876" s="63"/>
      <c r="V876" s="63"/>
      <c r="W876" s="63">
        <f t="shared" si="254"/>
        <v>234</v>
      </c>
      <c r="X876" s="63"/>
      <c r="Y876" s="63"/>
      <c r="Z876" s="63"/>
      <c r="AA876" s="63">
        <v>0</v>
      </c>
      <c r="AB876" s="63"/>
      <c r="AE876" s="8">
        <v>0</v>
      </c>
      <c r="AT876" t="str">
        <f t="shared" si="257"/>
        <v>Leominster</v>
      </c>
      <c r="AU876" s="8" t="s">
        <v>1774</v>
      </c>
      <c r="AV876">
        <v>2</v>
      </c>
      <c r="AX876" s="114">
        <v>25</v>
      </c>
      <c r="AY876" s="116">
        <v>27</v>
      </c>
      <c r="AZ876" s="116">
        <v>125</v>
      </c>
      <c r="BA876" s="120">
        <v>35075</v>
      </c>
      <c r="BB876" s="120">
        <f t="shared" si="258"/>
        <v>25027</v>
      </c>
      <c r="BC876" t="s">
        <v>1249</v>
      </c>
      <c r="BD876">
        <f t="shared" si="255"/>
        <v>2535075</v>
      </c>
      <c r="BE876" s="66">
        <v>339</v>
      </c>
      <c r="BF876" s="66"/>
      <c r="BI876">
        <v>29.76</v>
      </c>
      <c r="BJ876">
        <v>0.88</v>
      </c>
      <c r="BK876">
        <v>28.88</v>
      </c>
      <c r="BQ876">
        <v>234</v>
      </c>
      <c r="BS876">
        <v>0</v>
      </c>
    </row>
    <row r="877" spans="1:71" hidden="1" outlineLevel="1">
      <c r="A877" s="64" t="s">
        <v>835</v>
      </c>
      <c r="B877" s="8" t="s">
        <v>1320</v>
      </c>
      <c r="C877" s="1">
        <f t="shared" si="247"/>
        <v>1287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 t="shared" si="248"/>
        <v>0</v>
      </c>
      <c r="G877" s="1">
        <f t="shared" si="249"/>
        <v>811</v>
      </c>
      <c r="H877" s="2">
        <f t="shared" si="256"/>
        <v>0.6301476301476302</v>
      </c>
      <c r="I877" s="6"/>
      <c r="J877" s="2">
        <f t="shared" si="250"/>
        <v>0.77389277389277389</v>
      </c>
      <c r="K877" s="2">
        <f t="shared" si="251"/>
        <v>0.14374514374514374</v>
      </c>
      <c r="L877" s="2">
        <f t="shared" si="252"/>
        <v>0</v>
      </c>
      <c r="M877" s="2">
        <f t="shared" si="253"/>
        <v>8.2362082362082367E-2</v>
      </c>
      <c r="N877" s="63">
        <v>996</v>
      </c>
      <c r="O877" s="63">
        <v>185</v>
      </c>
      <c r="P877" s="63">
        <v>0</v>
      </c>
      <c r="Q877" s="63">
        <v>24</v>
      </c>
      <c r="R877" s="63">
        <v>56</v>
      </c>
      <c r="S877" s="63"/>
      <c r="T877" s="63"/>
      <c r="U877" s="63"/>
      <c r="V877" s="63"/>
      <c r="W877" s="63">
        <f t="shared" si="254"/>
        <v>26</v>
      </c>
      <c r="X877" s="63"/>
      <c r="Y877" s="63"/>
      <c r="Z877" s="63"/>
      <c r="AA877" s="63">
        <v>0</v>
      </c>
      <c r="AB877" s="63"/>
      <c r="AE877" s="8">
        <v>0</v>
      </c>
      <c r="AT877" t="str">
        <f t="shared" si="257"/>
        <v>Leverett</v>
      </c>
      <c r="AU877" t="s">
        <v>1138</v>
      </c>
      <c r="AV877">
        <v>2</v>
      </c>
      <c r="AX877" s="114">
        <v>25</v>
      </c>
      <c r="AY877" s="116">
        <v>11</v>
      </c>
      <c r="AZ877" s="116">
        <v>65</v>
      </c>
      <c r="BA877" s="120">
        <v>35180</v>
      </c>
      <c r="BB877" s="120">
        <f t="shared" si="258"/>
        <v>25011</v>
      </c>
      <c r="BC877" t="s">
        <v>1472</v>
      </c>
      <c r="BD877">
        <f t="shared" si="255"/>
        <v>2535180</v>
      </c>
      <c r="BE877" s="66">
        <v>9</v>
      </c>
      <c r="BF877" s="66"/>
      <c r="BI877">
        <v>22.98</v>
      </c>
      <c r="BJ877">
        <v>0.14000000000000001</v>
      </c>
      <c r="BK877">
        <v>22.85</v>
      </c>
      <c r="BQ877">
        <v>26</v>
      </c>
      <c r="BS877">
        <v>0</v>
      </c>
    </row>
    <row r="878" spans="1:71" hidden="1" outlineLevel="1">
      <c r="A878" s="64" t="s">
        <v>1659</v>
      </c>
      <c r="B878" s="8" t="s">
        <v>1320</v>
      </c>
      <c r="C878" s="1">
        <f t="shared" si="247"/>
        <v>18038</v>
      </c>
      <c r="D878" s="5">
        <f>IF(N878&gt;0, RANK(N878,(N878:P878,Q878:AE878)),0)</f>
        <v>1</v>
      </c>
      <c r="E878" s="5">
        <f>IF(O878&gt;0,RANK(O878,(N878:P878,Q878:AE878)),0)</f>
        <v>2</v>
      </c>
      <c r="F878" s="5">
        <f t="shared" si="248"/>
        <v>5</v>
      </c>
      <c r="G878" s="1">
        <f t="shared" si="249"/>
        <v>10621</v>
      </c>
      <c r="H878" s="2">
        <f t="shared" si="256"/>
        <v>0.58881250692981479</v>
      </c>
      <c r="I878" s="6"/>
      <c r="J878" s="2">
        <f t="shared" si="250"/>
        <v>0.7705954096906531</v>
      </c>
      <c r="K878" s="2">
        <f t="shared" si="251"/>
        <v>0.18178290276083822</v>
      </c>
      <c r="L878" s="2">
        <f t="shared" si="252"/>
        <v>2.7719259341390401E-4</v>
      </c>
      <c r="M878" s="2">
        <f t="shared" si="253"/>
        <v>4.7344494955094775E-2</v>
      </c>
      <c r="N878" s="63">
        <v>13900</v>
      </c>
      <c r="O878" s="63">
        <v>3279</v>
      </c>
      <c r="P878" s="63">
        <v>5</v>
      </c>
      <c r="Q878" s="63">
        <v>610</v>
      </c>
      <c r="R878" s="63">
        <v>244</v>
      </c>
      <c r="S878" s="63"/>
      <c r="T878" s="63"/>
      <c r="U878" s="63"/>
      <c r="V878" s="63"/>
      <c r="W878" s="63">
        <f t="shared" si="254"/>
        <v>0</v>
      </c>
      <c r="X878" s="63"/>
      <c r="Y878" s="63"/>
      <c r="Z878" s="63"/>
      <c r="AA878" s="63">
        <v>0</v>
      </c>
      <c r="AB878" s="63"/>
      <c r="AE878" s="8">
        <v>0</v>
      </c>
      <c r="AT878" t="str">
        <f t="shared" si="257"/>
        <v>Lexington</v>
      </c>
      <c r="AU878" t="s">
        <v>503</v>
      </c>
      <c r="AV878">
        <v>5</v>
      </c>
      <c r="AX878" s="114">
        <v>25</v>
      </c>
      <c r="AY878" s="116">
        <v>17</v>
      </c>
      <c r="AZ878" s="116">
        <v>115</v>
      </c>
      <c r="BA878" s="120">
        <v>35215</v>
      </c>
      <c r="BB878" s="120">
        <f t="shared" si="258"/>
        <v>25017</v>
      </c>
      <c r="BC878" t="s">
        <v>1472</v>
      </c>
      <c r="BD878">
        <f t="shared" si="255"/>
        <v>2535215</v>
      </c>
      <c r="BE878" s="66">
        <v>553</v>
      </c>
      <c r="BF878" s="66"/>
      <c r="BI878">
        <v>16.54</v>
      </c>
      <c r="BJ878">
        <v>0.14000000000000001</v>
      </c>
      <c r="BK878">
        <v>16.399999999999999</v>
      </c>
      <c r="BQ878">
        <v>0</v>
      </c>
      <c r="BS878">
        <v>0</v>
      </c>
    </row>
    <row r="879" spans="1:71" hidden="1" outlineLevel="1">
      <c r="A879" s="64" t="s">
        <v>1778</v>
      </c>
      <c r="B879" s="8" t="s">
        <v>1320</v>
      </c>
      <c r="C879" s="1">
        <f t="shared" si="247"/>
        <v>492</v>
      </c>
      <c r="D879" s="5">
        <f>IF(N879&gt;0, RANK(N879,(N879:P879,Q879:AE879)),0)</f>
        <v>1</v>
      </c>
      <c r="E879" s="5">
        <f>IF(O879&gt;0,RANK(O879,(N879:P879,Q879:AE879)),0)</f>
        <v>2</v>
      </c>
      <c r="F879" s="5">
        <f t="shared" si="248"/>
        <v>0</v>
      </c>
      <c r="G879" s="1">
        <f t="shared" si="249"/>
        <v>167</v>
      </c>
      <c r="H879" s="2">
        <f t="shared" si="256"/>
        <v>0.33943089430894308</v>
      </c>
      <c r="I879" s="6"/>
      <c r="J879" s="2">
        <f t="shared" si="250"/>
        <v>0.62195121951219512</v>
      </c>
      <c r="K879" s="2">
        <f t="shared" si="251"/>
        <v>0.28252032520325204</v>
      </c>
      <c r="L879" s="2">
        <f t="shared" si="252"/>
        <v>0</v>
      </c>
      <c r="M879" s="2">
        <f t="shared" si="253"/>
        <v>9.5528455284552838E-2</v>
      </c>
      <c r="N879" s="63">
        <v>306</v>
      </c>
      <c r="O879" s="63">
        <v>139</v>
      </c>
      <c r="P879" s="63">
        <v>0</v>
      </c>
      <c r="Q879" s="63">
        <v>23</v>
      </c>
      <c r="R879" s="63">
        <v>20</v>
      </c>
      <c r="S879" s="63"/>
      <c r="T879" s="63"/>
      <c r="U879" s="63"/>
      <c r="V879" s="63"/>
      <c r="W879" s="63">
        <f t="shared" si="254"/>
        <v>4</v>
      </c>
      <c r="X879" s="63"/>
      <c r="Y879" s="63"/>
      <c r="Z879" s="63"/>
      <c r="AA879" s="63">
        <v>0</v>
      </c>
      <c r="AB879" s="63"/>
      <c r="AE879" s="8">
        <v>0</v>
      </c>
      <c r="AT879" t="str">
        <f t="shared" si="257"/>
        <v>Leyden</v>
      </c>
      <c r="AU879" t="s">
        <v>1138</v>
      </c>
      <c r="AV879">
        <v>1</v>
      </c>
      <c r="AX879" s="114">
        <v>25</v>
      </c>
      <c r="AY879" s="116">
        <v>11</v>
      </c>
      <c r="AZ879" s="116">
        <v>70</v>
      </c>
      <c r="BA879" s="120">
        <v>35285</v>
      </c>
      <c r="BB879" s="120">
        <f t="shared" si="258"/>
        <v>25011</v>
      </c>
      <c r="BC879" t="s">
        <v>1472</v>
      </c>
      <c r="BD879">
        <f t="shared" si="255"/>
        <v>2535285</v>
      </c>
      <c r="BE879" s="66">
        <v>10</v>
      </c>
      <c r="BF879" s="66"/>
      <c r="BI879">
        <v>18</v>
      </c>
      <c r="BJ879">
        <v>0.01</v>
      </c>
      <c r="BK879">
        <v>17.989999999999998</v>
      </c>
      <c r="BQ879">
        <v>4</v>
      </c>
      <c r="BS879">
        <v>0</v>
      </c>
    </row>
    <row r="880" spans="1:71" hidden="1" outlineLevel="1">
      <c r="A880" s="64" t="s">
        <v>1597</v>
      </c>
      <c r="B880" s="8" t="s">
        <v>1320</v>
      </c>
      <c r="C880" s="1">
        <f t="shared" si="247"/>
        <v>3921</v>
      </c>
      <c r="D880" s="5">
        <f>IF(N880&gt;0, RANK(N880,(N880:P880,Q880:AE880)),0)</f>
        <v>1</v>
      </c>
      <c r="E880" s="5">
        <f>IF(O880&gt;0,RANK(O880,(N880:P880,Q880:AE880)),0)</f>
        <v>2</v>
      </c>
      <c r="F880" s="5">
        <f t="shared" si="248"/>
        <v>6</v>
      </c>
      <c r="G880" s="1">
        <f t="shared" si="249"/>
        <v>2371</v>
      </c>
      <c r="H880" s="2">
        <f t="shared" si="256"/>
        <v>0.60469268043866364</v>
      </c>
      <c r="I880" s="6"/>
      <c r="J880" s="2">
        <f t="shared" si="250"/>
        <v>0.76409079316500894</v>
      </c>
      <c r="K880" s="2">
        <f t="shared" si="251"/>
        <v>0.15939811272634533</v>
      </c>
      <c r="L880" s="2">
        <f t="shared" si="252"/>
        <v>2.04029584289722E-3</v>
      </c>
      <c r="M880" s="2">
        <f t="shared" si="253"/>
        <v>7.4470798265748511E-2</v>
      </c>
      <c r="N880" s="63">
        <v>2996</v>
      </c>
      <c r="O880" s="63">
        <v>625</v>
      </c>
      <c r="P880" s="63">
        <v>8</v>
      </c>
      <c r="Q880" s="63">
        <v>178</v>
      </c>
      <c r="R880" s="63">
        <v>49</v>
      </c>
      <c r="S880" s="63"/>
      <c r="T880" s="63"/>
      <c r="U880" s="63"/>
      <c r="V880" s="63"/>
      <c r="W880" s="63">
        <f t="shared" si="254"/>
        <v>65</v>
      </c>
      <c r="X880" s="63"/>
      <c r="Y880" s="63"/>
      <c r="Z880" s="63"/>
      <c r="AA880" s="63">
        <v>0</v>
      </c>
      <c r="AB880" s="63"/>
      <c r="AE880" s="8">
        <v>0</v>
      </c>
      <c r="AT880" t="str">
        <f t="shared" si="257"/>
        <v>Lincoln</v>
      </c>
      <c r="AU880" t="s">
        <v>503</v>
      </c>
      <c r="AV880">
        <v>5</v>
      </c>
      <c r="AX880" s="114">
        <v>25</v>
      </c>
      <c r="AY880" s="116">
        <v>17</v>
      </c>
      <c r="AZ880" s="116">
        <v>120</v>
      </c>
      <c r="BA880" s="120">
        <v>35425</v>
      </c>
      <c r="BB880" s="120">
        <f t="shared" si="258"/>
        <v>25017</v>
      </c>
      <c r="BC880" t="s">
        <v>1472</v>
      </c>
      <c r="BD880">
        <f t="shared" si="255"/>
        <v>2535425</v>
      </c>
      <c r="BE880" s="66">
        <v>36</v>
      </c>
      <c r="BF880" s="66"/>
      <c r="BI880">
        <v>15.01</v>
      </c>
      <c r="BJ880">
        <v>0.64</v>
      </c>
      <c r="BK880">
        <v>14.37</v>
      </c>
      <c r="BQ880">
        <v>65</v>
      </c>
      <c r="BS880">
        <v>0</v>
      </c>
    </row>
    <row r="881" spans="1:71" hidden="1" outlineLevel="1">
      <c r="A881" s="64" t="s">
        <v>1781</v>
      </c>
      <c r="B881" s="8" t="s">
        <v>1320</v>
      </c>
      <c r="C881" s="1">
        <f t="shared" si="247"/>
        <v>5770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 t="shared" si="248"/>
        <v>0</v>
      </c>
      <c r="G881" s="1">
        <f t="shared" si="249"/>
        <v>1569</v>
      </c>
      <c r="H881" s="2">
        <f t="shared" si="256"/>
        <v>0.27192374350086657</v>
      </c>
      <c r="I881" s="6"/>
      <c r="J881" s="2">
        <f t="shared" si="250"/>
        <v>0.59705372616984398</v>
      </c>
      <c r="K881" s="2">
        <f t="shared" si="251"/>
        <v>0.32512998266897747</v>
      </c>
      <c r="L881" s="2">
        <f t="shared" si="252"/>
        <v>0</v>
      </c>
      <c r="M881" s="2">
        <f t="shared" si="253"/>
        <v>7.7816291161178552E-2</v>
      </c>
      <c r="N881" s="63">
        <v>3445</v>
      </c>
      <c r="O881" s="63">
        <v>1876</v>
      </c>
      <c r="P881" s="63">
        <v>0</v>
      </c>
      <c r="Q881" s="63">
        <v>393</v>
      </c>
      <c r="R881" s="63">
        <v>56</v>
      </c>
      <c r="S881" s="63"/>
      <c r="T881" s="63"/>
      <c r="U881" s="63"/>
      <c r="V881" s="63"/>
      <c r="W881" s="63">
        <f t="shared" si="254"/>
        <v>0</v>
      </c>
      <c r="X881" s="63"/>
      <c r="Y881" s="63"/>
      <c r="Z881" s="63"/>
      <c r="AA881" s="63">
        <v>0</v>
      </c>
      <c r="AB881" s="63"/>
      <c r="AE881" s="8">
        <v>0</v>
      </c>
      <c r="AT881" t="str">
        <f t="shared" si="257"/>
        <v>Littleton</v>
      </c>
      <c r="AU881" t="s">
        <v>503</v>
      </c>
      <c r="AV881">
        <v>3</v>
      </c>
      <c r="AX881" s="114">
        <v>25</v>
      </c>
      <c r="AY881" s="116">
        <v>17</v>
      </c>
      <c r="AZ881" s="116">
        <v>125</v>
      </c>
      <c r="BA881" s="120">
        <v>35950</v>
      </c>
      <c r="BB881" s="120">
        <f t="shared" si="258"/>
        <v>25017</v>
      </c>
      <c r="BC881" t="s">
        <v>1472</v>
      </c>
      <c r="BD881">
        <f t="shared" si="255"/>
        <v>2535950</v>
      </c>
      <c r="BE881" s="66">
        <v>231</v>
      </c>
      <c r="BF881" s="66"/>
      <c r="BI881">
        <v>17.55</v>
      </c>
      <c r="BJ881">
        <v>0.93</v>
      </c>
      <c r="BK881">
        <v>16.62</v>
      </c>
      <c r="BQ881">
        <v>0</v>
      </c>
      <c r="BS881">
        <v>0</v>
      </c>
    </row>
    <row r="882" spans="1:71" hidden="1" outlineLevel="1">
      <c r="A882" s="64" t="s">
        <v>1050</v>
      </c>
      <c r="B882" s="8" t="s">
        <v>1320</v>
      </c>
      <c r="C882" s="1">
        <f t="shared" si="247"/>
        <v>9495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 t="shared" si="248"/>
        <v>6</v>
      </c>
      <c r="G882" s="1">
        <f t="shared" si="249"/>
        <v>1854</v>
      </c>
      <c r="H882" s="2">
        <f t="shared" si="256"/>
        <v>0.19526066350710899</v>
      </c>
      <c r="I882" s="6"/>
      <c r="J882" s="2">
        <f t="shared" si="250"/>
        <v>0.5593470247498683</v>
      </c>
      <c r="K882" s="2">
        <f t="shared" si="251"/>
        <v>0.36408636124275934</v>
      </c>
      <c r="L882" s="2">
        <f t="shared" si="252"/>
        <v>1.7904160084254871E-3</v>
      </c>
      <c r="M882" s="2">
        <f t="shared" si="253"/>
        <v>7.4776197998946872E-2</v>
      </c>
      <c r="N882" s="63">
        <v>5311</v>
      </c>
      <c r="O882" s="63">
        <v>3457</v>
      </c>
      <c r="P882" s="63">
        <v>17</v>
      </c>
      <c r="Q882" s="63">
        <v>412</v>
      </c>
      <c r="R882" s="63">
        <v>128</v>
      </c>
      <c r="S882" s="63"/>
      <c r="T882" s="63"/>
      <c r="U882" s="63"/>
      <c r="V882" s="63"/>
      <c r="W882" s="63">
        <f t="shared" si="254"/>
        <v>170</v>
      </c>
      <c r="X882" s="63"/>
      <c r="Y882" s="63"/>
      <c r="Z882" s="63"/>
      <c r="AA882" s="63">
        <v>0</v>
      </c>
      <c r="AB882" s="63"/>
      <c r="AE882" s="8">
        <v>0</v>
      </c>
      <c r="AT882" t="str">
        <f t="shared" si="257"/>
        <v>Longmeadow</v>
      </c>
      <c r="AU882" t="s">
        <v>2852</v>
      </c>
      <c r="AV882">
        <v>1</v>
      </c>
      <c r="AX882" s="114">
        <v>25</v>
      </c>
      <c r="AY882" s="116">
        <v>13</v>
      </c>
      <c r="AZ882" s="116">
        <v>55</v>
      </c>
      <c r="BA882" s="120">
        <v>36300</v>
      </c>
      <c r="BB882" s="120">
        <f t="shared" si="258"/>
        <v>25013</v>
      </c>
      <c r="BC882" t="s">
        <v>1472</v>
      </c>
      <c r="BD882">
        <f t="shared" si="255"/>
        <v>2536300</v>
      </c>
      <c r="BE882" s="66">
        <v>139</v>
      </c>
      <c r="BF882" s="66"/>
      <c r="BI882">
        <v>9.51</v>
      </c>
      <c r="BJ882">
        <v>0.48</v>
      </c>
      <c r="BK882">
        <v>9.02</v>
      </c>
      <c r="BQ882">
        <v>170</v>
      </c>
      <c r="BS882">
        <v>0</v>
      </c>
    </row>
    <row r="883" spans="1:71" hidden="1" outlineLevel="1">
      <c r="A883" s="64" t="s">
        <v>2854</v>
      </c>
      <c r="B883" s="8" t="s">
        <v>1320</v>
      </c>
      <c r="C883" s="1">
        <f t="shared" si="247"/>
        <v>36721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 t="shared" si="248"/>
        <v>0</v>
      </c>
      <c r="G883" s="1">
        <f t="shared" si="249"/>
        <v>12971</v>
      </c>
      <c r="H883" s="2">
        <f t="shared" si="256"/>
        <v>0.35323112115683125</v>
      </c>
      <c r="I883" s="6"/>
      <c r="J883" s="2">
        <f t="shared" si="250"/>
        <v>0.64145856594319328</v>
      </c>
      <c r="K883" s="2">
        <f t="shared" si="251"/>
        <v>0.28822744478636203</v>
      </c>
      <c r="L883" s="2">
        <f t="shared" si="252"/>
        <v>0</v>
      </c>
      <c r="M883" s="2">
        <f t="shared" si="253"/>
        <v>7.0313989270444688E-2</v>
      </c>
      <c r="N883" s="63">
        <v>23555</v>
      </c>
      <c r="O883" s="63">
        <v>10584</v>
      </c>
      <c r="P883" s="63">
        <v>0</v>
      </c>
      <c r="Q883" s="63">
        <v>1437</v>
      </c>
      <c r="R883" s="63">
        <v>552</v>
      </c>
      <c r="S883" s="63"/>
      <c r="T883" s="63"/>
      <c r="U883" s="63"/>
      <c r="V883" s="63"/>
      <c r="W883" s="63">
        <f t="shared" si="254"/>
        <v>593</v>
      </c>
      <c r="X883" s="63"/>
      <c r="Y883" s="63"/>
      <c r="Z883" s="63"/>
      <c r="AA883" s="63">
        <v>0</v>
      </c>
      <c r="AB883" s="63"/>
      <c r="AE883" s="8">
        <v>0</v>
      </c>
      <c r="AT883" t="str">
        <f t="shared" si="257"/>
        <v>Lowell</v>
      </c>
      <c r="AU883" t="s">
        <v>503</v>
      </c>
      <c r="AV883">
        <v>3</v>
      </c>
      <c r="AX883" s="114">
        <v>25</v>
      </c>
      <c r="AY883" s="116">
        <v>17</v>
      </c>
      <c r="AZ883" s="116">
        <v>130</v>
      </c>
      <c r="BA883" s="120">
        <v>37000</v>
      </c>
      <c r="BB883" s="120">
        <f t="shared" si="258"/>
        <v>25017</v>
      </c>
      <c r="BC883" t="s">
        <v>1249</v>
      </c>
      <c r="BD883">
        <f t="shared" si="255"/>
        <v>2537000</v>
      </c>
      <c r="BE883" s="66">
        <v>625</v>
      </c>
      <c r="BF883" s="66"/>
      <c r="BI883">
        <v>14.54</v>
      </c>
      <c r="BJ883">
        <v>0.76</v>
      </c>
      <c r="BK883">
        <v>13.77</v>
      </c>
      <c r="BQ883">
        <v>593</v>
      </c>
      <c r="BS883">
        <v>0</v>
      </c>
    </row>
    <row r="884" spans="1:71" hidden="1" outlineLevel="1">
      <c r="A884" s="64" t="s">
        <v>2721</v>
      </c>
      <c r="B884" s="8" t="s">
        <v>1320</v>
      </c>
      <c r="C884" s="1">
        <f t="shared" si="247"/>
        <v>10309</v>
      </c>
      <c r="D884" s="5">
        <f>IF(N884&gt;0, RANK(N884,(N884:P884,Q884:AE884)),0)</f>
        <v>2</v>
      </c>
      <c r="E884" s="5">
        <f>IF(O884&gt;0,RANK(O884,(N884:P884,Q884:AE884)),0)</f>
        <v>1</v>
      </c>
      <c r="F884" s="5">
        <f t="shared" si="248"/>
        <v>0</v>
      </c>
      <c r="G884" s="1">
        <f t="shared" si="249"/>
        <v>614</v>
      </c>
      <c r="H884" s="2">
        <f t="shared" si="256"/>
        <v>5.9559608109418953E-2</v>
      </c>
      <c r="I884" s="6"/>
      <c r="J884" s="2">
        <f t="shared" si="250"/>
        <v>0.43486274129401492</v>
      </c>
      <c r="K884" s="2">
        <f t="shared" si="251"/>
        <v>0.49442234940343388</v>
      </c>
      <c r="L884" s="2">
        <f t="shared" si="252"/>
        <v>0</v>
      </c>
      <c r="M884" s="2">
        <f t="shared" si="253"/>
        <v>7.0714909302551199E-2</v>
      </c>
      <c r="N884" s="63">
        <v>4483</v>
      </c>
      <c r="O884" s="63">
        <v>5097</v>
      </c>
      <c r="P884" s="63">
        <v>0</v>
      </c>
      <c r="Q884" s="63">
        <v>410</v>
      </c>
      <c r="R884" s="63">
        <v>144</v>
      </c>
      <c r="S884" s="63"/>
      <c r="T884" s="63"/>
      <c r="U884" s="63"/>
      <c r="V884" s="63"/>
      <c r="W884" s="63">
        <f t="shared" si="254"/>
        <v>175</v>
      </c>
      <c r="X884" s="63"/>
      <c r="Y884" s="63"/>
      <c r="Z884" s="63"/>
      <c r="AA884" s="63">
        <v>0</v>
      </c>
      <c r="AB884" s="63"/>
      <c r="AE884" s="8">
        <v>0</v>
      </c>
      <c r="AT884" t="str">
        <f t="shared" si="257"/>
        <v>Ludlow</v>
      </c>
      <c r="AU884" t="s">
        <v>2852</v>
      </c>
      <c r="AV884">
        <v>1</v>
      </c>
      <c r="AX884" s="114">
        <v>25</v>
      </c>
      <c r="AY884" s="116">
        <v>13</v>
      </c>
      <c r="AZ884" s="116">
        <v>60</v>
      </c>
      <c r="BA884" s="120">
        <v>37175</v>
      </c>
      <c r="BB884" s="120">
        <f t="shared" si="258"/>
        <v>25013</v>
      </c>
      <c r="BC884" t="s">
        <v>1472</v>
      </c>
      <c r="BD884">
        <f t="shared" si="255"/>
        <v>2537175</v>
      </c>
      <c r="BE884" s="66">
        <v>132</v>
      </c>
      <c r="BF884" s="66"/>
      <c r="BI884">
        <v>28.23</v>
      </c>
      <c r="BJ884">
        <v>1.08</v>
      </c>
      <c r="BK884">
        <v>27.15</v>
      </c>
      <c r="BQ884">
        <v>175</v>
      </c>
      <c r="BS884">
        <v>0</v>
      </c>
    </row>
    <row r="885" spans="1:71" hidden="1" outlineLevel="1">
      <c r="A885" s="64" t="s">
        <v>1608</v>
      </c>
      <c r="B885" s="8" t="s">
        <v>1320</v>
      </c>
      <c r="C885" s="1">
        <f t="shared" si="247"/>
        <v>6312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 t="shared" si="248"/>
        <v>6</v>
      </c>
      <c r="G885" s="1">
        <f t="shared" si="249"/>
        <v>140</v>
      </c>
      <c r="H885" s="2">
        <f t="shared" si="256"/>
        <v>2.2179974651457542E-2</v>
      </c>
      <c r="I885" s="6"/>
      <c r="J885" s="2">
        <f t="shared" si="250"/>
        <v>0.46609632446134347</v>
      </c>
      <c r="K885" s="2">
        <f t="shared" si="251"/>
        <v>0.44391634980988592</v>
      </c>
      <c r="L885" s="2">
        <f t="shared" si="252"/>
        <v>1.4258555133079848E-3</v>
      </c>
      <c r="M885" s="2">
        <f t="shared" si="253"/>
        <v>8.8561470215462679E-2</v>
      </c>
      <c r="N885" s="63">
        <v>2942</v>
      </c>
      <c r="O885" s="63">
        <v>2802</v>
      </c>
      <c r="P885" s="63">
        <v>9</v>
      </c>
      <c r="Q885" s="63">
        <v>386</v>
      </c>
      <c r="R885" s="63">
        <v>79</v>
      </c>
      <c r="S885" s="63"/>
      <c r="T885" s="63"/>
      <c r="U885" s="63"/>
      <c r="V885" s="63"/>
      <c r="W885" s="63">
        <f t="shared" si="254"/>
        <v>94</v>
      </c>
      <c r="X885" s="63"/>
      <c r="Y885" s="63"/>
      <c r="Z885" s="63"/>
      <c r="AA885" s="63">
        <v>0</v>
      </c>
      <c r="AB885" s="63"/>
      <c r="AE885" s="8">
        <v>0</v>
      </c>
      <c r="AT885" t="str">
        <f t="shared" si="257"/>
        <v>Lunenburg</v>
      </c>
      <c r="AU885" s="8" t="s">
        <v>1774</v>
      </c>
      <c r="AV885">
        <v>3</v>
      </c>
      <c r="AX885" s="114">
        <v>25</v>
      </c>
      <c r="AY885" s="116">
        <v>27</v>
      </c>
      <c r="AZ885" s="116">
        <v>130</v>
      </c>
      <c r="BA885" s="120">
        <v>37420</v>
      </c>
      <c r="BB885" s="120">
        <f t="shared" si="258"/>
        <v>25027</v>
      </c>
      <c r="BC885" t="s">
        <v>1472</v>
      </c>
      <c r="BD885">
        <f t="shared" si="255"/>
        <v>2537420</v>
      </c>
      <c r="BE885" s="66">
        <v>128</v>
      </c>
      <c r="BF885" s="66"/>
      <c r="BI885">
        <v>27.69</v>
      </c>
      <c r="BJ885">
        <v>1.27</v>
      </c>
      <c r="BK885">
        <v>26.42</v>
      </c>
      <c r="BQ885">
        <v>94</v>
      </c>
      <c r="BS885">
        <v>0</v>
      </c>
    </row>
    <row r="886" spans="1:71" hidden="1" outlineLevel="1">
      <c r="A886" s="64" t="s">
        <v>1761</v>
      </c>
      <c r="B886" s="8" t="s">
        <v>1320</v>
      </c>
      <c r="C886" s="1">
        <f t="shared" si="247"/>
        <v>33295</v>
      </c>
      <c r="D886" s="5">
        <f>IF(N886&gt;0, RANK(N886,(N886:P886,Q886:AE886)),0)</f>
        <v>1</v>
      </c>
      <c r="E886" s="5">
        <f>IF(O886&gt;0,RANK(O886,(N886:P886,Q886:AE886)),0)</f>
        <v>2</v>
      </c>
      <c r="F886" s="5">
        <f t="shared" si="248"/>
        <v>0</v>
      </c>
      <c r="G886" s="1">
        <f t="shared" si="249"/>
        <v>12853</v>
      </c>
      <c r="H886" s="2">
        <f t="shared" si="256"/>
        <v>0.38603393902988437</v>
      </c>
      <c r="I886" s="6"/>
      <c r="J886" s="2">
        <f t="shared" si="250"/>
        <v>0.66568553836912447</v>
      </c>
      <c r="K886" s="2">
        <f t="shared" si="251"/>
        <v>0.27965159933924011</v>
      </c>
      <c r="L886" s="2">
        <f t="shared" si="252"/>
        <v>0</v>
      </c>
      <c r="M886" s="2">
        <f t="shared" si="253"/>
        <v>5.4662862291635417E-2</v>
      </c>
      <c r="N886" s="63">
        <v>22164</v>
      </c>
      <c r="O886" s="63">
        <v>9311</v>
      </c>
      <c r="P886" s="63">
        <v>0</v>
      </c>
      <c r="Q886" s="63">
        <v>925</v>
      </c>
      <c r="R886" s="63">
        <v>430</v>
      </c>
      <c r="S886" s="63"/>
      <c r="T886" s="63"/>
      <c r="U886" s="63"/>
      <c r="V886" s="63"/>
      <c r="W886" s="63">
        <f t="shared" si="254"/>
        <v>465</v>
      </c>
      <c r="X886" s="63"/>
      <c r="Y886" s="63"/>
      <c r="Z886" s="63"/>
      <c r="AA886" s="63">
        <v>0</v>
      </c>
      <c r="AB886" s="63"/>
      <c r="AE886" s="8">
        <v>0</v>
      </c>
      <c r="AT886" t="str">
        <f t="shared" si="257"/>
        <v>Lynn</v>
      </c>
      <c r="AU886" t="s">
        <v>842</v>
      </c>
      <c r="AV886">
        <v>6</v>
      </c>
      <c r="AX886" s="114">
        <v>25</v>
      </c>
      <c r="AY886" s="116">
        <v>9</v>
      </c>
      <c r="AZ886" s="116">
        <v>70</v>
      </c>
      <c r="BA886" s="120">
        <v>37490</v>
      </c>
      <c r="BB886" s="120">
        <f t="shared" si="258"/>
        <v>25009</v>
      </c>
      <c r="BC886" t="s">
        <v>1249</v>
      </c>
      <c r="BD886">
        <f t="shared" si="255"/>
        <v>2537490</v>
      </c>
      <c r="BE886" s="66">
        <v>894</v>
      </c>
      <c r="BF886" s="66"/>
      <c r="BI886">
        <v>13.49</v>
      </c>
      <c r="BJ886">
        <v>2.68</v>
      </c>
      <c r="BK886">
        <v>10.82</v>
      </c>
      <c r="BQ886">
        <v>465</v>
      </c>
      <c r="BS886">
        <v>0</v>
      </c>
    </row>
    <row r="887" spans="1:71" hidden="1" outlineLevel="1">
      <c r="A887" s="64" t="s">
        <v>218</v>
      </c>
      <c r="B887" s="8" t="s">
        <v>1320</v>
      </c>
      <c r="C887" s="1">
        <f t="shared" si="247"/>
        <v>7444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 t="shared" si="248"/>
        <v>5</v>
      </c>
      <c r="G887" s="1">
        <f t="shared" si="249"/>
        <v>591</v>
      </c>
      <c r="H887" s="2">
        <f t="shared" si="256"/>
        <v>7.9392799570123587E-2</v>
      </c>
      <c r="I887" s="6"/>
      <c r="J887" s="2">
        <f t="shared" si="250"/>
        <v>0.43498119290703924</v>
      </c>
      <c r="K887" s="2">
        <f t="shared" si="251"/>
        <v>0.51437399247716287</v>
      </c>
      <c r="L887" s="2">
        <f t="shared" si="252"/>
        <v>1.0746910263299302E-3</v>
      </c>
      <c r="M887" s="2">
        <f t="shared" si="253"/>
        <v>4.9570123589467913E-2</v>
      </c>
      <c r="N887" s="63">
        <v>3238</v>
      </c>
      <c r="O887" s="63">
        <v>3829</v>
      </c>
      <c r="P887" s="63">
        <v>8</v>
      </c>
      <c r="Q887" s="63">
        <v>297</v>
      </c>
      <c r="R887" s="63">
        <v>72</v>
      </c>
      <c r="S887" s="63"/>
      <c r="T887" s="63"/>
      <c r="U887" s="63"/>
      <c r="V887" s="63"/>
      <c r="W887" s="63">
        <f t="shared" si="254"/>
        <v>0</v>
      </c>
      <c r="X887" s="63"/>
      <c r="Y887" s="63"/>
      <c r="Z887" s="63"/>
      <c r="AA887" s="63">
        <v>0</v>
      </c>
      <c r="AB887" s="63"/>
      <c r="AE887" s="8">
        <v>0</v>
      </c>
      <c r="AT887" t="str">
        <f t="shared" si="257"/>
        <v>Lynnfield</v>
      </c>
      <c r="AU887" t="s">
        <v>842</v>
      </c>
      <c r="AV887">
        <v>6</v>
      </c>
      <c r="AX887" s="114">
        <v>25</v>
      </c>
      <c r="AY887" s="116">
        <v>9</v>
      </c>
      <c r="AZ887" s="116">
        <v>75</v>
      </c>
      <c r="BA887" s="120">
        <v>37560</v>
      </c>
      <c r="BB887" s="120">
        <f t="shared" si="258"/>
        <v>25009</v>
      </c>
      <c r="BC887" t="s">
        <v>1472</v>
      </c>
      <c r="BD887">
        <f t="shared" si="255"/>
        <v>2537560</v>
      </c>
      <c r="BE887" s="66">
        <v>249</v>
      </c>
      <c r="BF887" s="66"/>
      <c r="BI887">
        <v>10.48</v>
      </c>
      <c r="BJ887">
        <v>0.34</v>
      </c>
      <c r="BK887">
        <v>10.14</v>
      </c>
      <c r="BQ887">
        <v>0</v>
      </c>
      <c r="BS887">
        <v>0</v>
      </c>
    </row>
    <row r="888" spans="1:71" hidden="1" outlineLevel="1">
      <c r="A888" s="64" t="s">
        <v>394</v>
      </c>
      <c r="B888" s="8" t="s">
        <v>1320</v>
      </c>
      <c r="C888" s="1">
        <f t="shared" si="247"/>
        <v>22706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 t="shared" si="248"/>
        <v>0</v>
      </c>
      <c r="G888" s="1">
        <f t="shared" si="249"/>
        <v>10307</v>
      </c>
      <c r="H888" s="2">
        <f t="shared" si="256"/>
        <v>0.45393288117678149</v>
      </c>
      <c r="I888" s="6"/>
      <c r="J888" s="2">
        <f t="shared" si="250"/>
        <v>0.69783317184885052</v>
      </c>
      <c r="K888" s="2">
        <f t="shared" si="251"/>
        <v>0.24390029067206906</v>
      </c>
      <c r="L888" s="2">
        <f t="shared" si="252"/>
        <v>0</v>
      </c>
      <c r="M888" s="2">
        <f t="shared" si="253"/>
        <v>5.8266537479080421E-2</v>
      </c>
      <c r="N888" s="63">
        <v>15845</v>
      </c>
      <c r="O888" s="63">
        <v>5538</v>
      </c>
      <c r="P888" s="63">
        <v>0</v>
      </c>
      <c r="Q888" s="63">
        <v>641</v>
      </c>
      <c r="R888" s="63">
        <v>335</v>
      </c>
      <c r="S888" s="63"/>
      <c r="T888" s="63"/>
      <c r="U888" s="63"/>
      <c r="V888" s="63"/>
      <c r="W888" s="63">
        <f t="shared" si="254"/>
        <v>347</v>
      </c>
      <c r="X888" s="63"/>
      <c r="Y888" s="63"/>
      <c r="Z888" s="63"/>
      <c r="AA888" s="63">
        <v>0</v>
      </c>
      <c r="AB888" s="63"/>
      <c r="AE888" s="8">
        <v>0</v>
      </c>
      <c r="AT888" t="str">
        <f t="shared" si="257"/>
        <v>Malden</v>
      </c>
      <c r="AU888" t="s">
        <v>503</v>
      </c>
      <c r="AV888">
        <v>5</v>
      </c>
      <c r="AX888" s="114">
        <v>25</v>
      </c>
      <c r="AY888" s="116">
        <v>17</v>
      </c>
      <c r="AZ888" s="116">
        <v>135</v>
      </c>
      <c r="BA888" s="120">
        <v>37875</v>
      </c>
      <c r="BB888" s="120">
        <f t="shared" si="258"/>
        <v>25017</v>
      </c>
      <c r="BC888" t="s">
        <v>1249</v>
      </c>
      <c r="BD888">
        <f t="shared" si="255"/>
        <v>2537875</v>
      </c>
      <c r="BE888" s="66">
        <v>289</v>
      </c>
      <c r="BF888" s="66"/>
      <c r="BI888">
        <v>5.1100000000000003</v>
      </c>
      <c r="BJ888">
        <v>0.04</v>
      </c>
      <c r="BK888">
        <v>5.07</v>
      </c>
      <c r="BQ888">
        <v>347</v>
      </c>
      <c r="BS888">
        <v>0</v>
      </c>
    </row>
    <row r="889" spans="1:71" hidden="1" outlineLevel="1">
      <c r="A889" s="64" t="s">
        <v>287</v>
      </c>
      <c r="B889" s="8" t="s">
        <v>1320</v>
      </c>
      <c r="C889" s="1">
        <f t="shared" si="247"/>
        <v>3544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 t="shared" si="248"/>
        <v>6</v>
      </c>
      <c r="G889" s="1">
        <f t="shared" si="249"/>
        <v>1295</v>
      </c>
      <c r="H889" s="2">
        <f t="shared" si="256"/>
        <v>0.3654063205417607</v>
      </c>
      <c r="I889" s="6"/>
      <c r="J889" s="2">
        <f t="shared" si="250"/>
        <v>0.6345936794582393</v>
      </c>
      <c r="K889" s="2">
        <f t="shared" si="251"/>
        <v>0.26918735891647855</v>
      </c>
      <c r="L889" s="2">
        <f t="shared" si="252"/>
        <v>1.6930022573363431E-3</v>
      </c>
      <c r="M889" s="2">
        <f t="shared" si="253"/>
        <v>9.4525959367945805E-2</v>
      </c>
      <c r="N889" s="63">
        <v>2249</v>
      </c>
      <c r="O889" s="63">
        <v>954</v>
      </c>
      <c r="P889" s="63">
        <v>6</v>
      </c>
      <c r="Q889" s="63">
        <v>227</v>
      </c>
      <c r="R889" s="63">
        <v>34</v>
      </c>
      <c r="S889" s="63"/>
      <c r="T889" s="63"/>
      <c r="U889" s="63"/>
      <c r="V889" s="63"/>
      <c r="W889" s="63">
        <f t="shared" si="254"/>
        <v>74</v>
      </c>
      <c r="X889" s="63"/>
      <c r="Y889" s="63"/>
      <c r="Z889" s="63"/>
      <c r="AA889" s="63">
        <v>0</v>
      </c>
      <c r="AB889" s="63"/>
      <c r="AE889" s="8">
        <v>0</v>
      </c>
      <c r="AT889" t="str">
        <f t="shared" si="257"/>
        <v>Manchester-by-the-Sea</v>
      </c>
      <c r="AU889" t="s">
        <v>842</v>
      </c>
      <c r="AV889">
        <v>6</v>
      </c>
      <c r="AX889" s="114">
        <v>25</v>
      </c>
      <c r="AY889" s="116">
        <v>9</v>
      </c>
      <c r="AZ889" s="116">
        <v>83</v>
      </c>
      <c r="BA889" s="120">
        <v>37995</v>
      </c>
      <c r="BB889" s="120">
        <f t="shared" si="258"/>
        <v>25009</v>
      </c>
      <c r="BC889" t="s">
        <v>1472</v>
      </c>
      <c r="BD889">
        <f t="shared" si="255"/>
        <v>2537995</v>
      </c>
      <c r="BE889" s="66">
        <v>79</v>
      </c>
      <c r="BF889" s="66"/>
      <c r="BI889">
        <v>18.25</v>
      </c>
      <c r="BJ889">
        <v>8.9600000000000009</v>
      </c>
      <c r="BK889">
        <v>9.2899999999999991</v>
      </c>
      <c r="BQ889">
        <v>74</v>
      </c>
      <c r="BS889">
        <v>0</v>
      </c>
    </row>
    <row r="890" spans="1:71" hidden="1" outlineLevel="1">
      <c r="A890" s="64" t="s">
        <v>2259</v>
      </c>
      <c r="B890" s="8" t="s">
        <v>1320</v>
      </c>
      <c r="C890" s="1">
        <f t="shared" si="247"/>
        <v>12972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 t="shared" si="248"/>
        <v>6</v>
      </c>
      <c r="G890" s="1">
        <f t="shared" si="249"/>
        <v>1806</v>
      </c>
      <c r="H890" s="2">
        <f t="shared" si="256"/>
        <v>0.13922294172062905</v>
      </c>
      <c r="I890" s="6"/>
      <c r="J890" s="2">
        <f t="shared" si="250"/>
        <v>0.53029602220166516</v>
      </c>
      <c r="K890" s="2">
        <f t="shared" si="251"/>
        <v>0.39107308048103606</v>
      </c>
      <c r="L890" s="2">
        <f t="shared" si="252"/>
        <v>9.2506938020351531E-4</v>
      </c>
      <c r="M890" s="2">
        <f t="shared" si="253"/>
        <v>7.7705827937095254E-2</v>
      </c>
      <c r="N890" s="63">
        <v>6879</v>
      </c>
      <c r="O890" s="63">
        <v>5073</v>
      </c>
      <c r="P890" s="63">
        <v>12</v>
      </c>
      <c r="Q890" s="63">
        <v>697</v>
      </c>
      <c r="R890" s="63">
        <v>142</v>
      </c>
      <c r="S890" s="63"/>
      <c r="T890" s="63"/>
      <c r="U890" s="63"/>
      <c r="V890" s="63"/>
      <c r="W890" s="63">
        <f t="shared" si="254"/>
        <v>169</v>
      </c>
      <c r="X890" s="63"/>
      <c r="Y890" s="63"/>
      <c r="Z890" s="63"/>
      <c r="AA890" s="63">
        <v>0</v>
      </c>
      <c r="AB890" s="63"/>
      <c r="AE890" s="8">
        <v>0</v>
      </c>
      <c r="AT890" t="str">
        <f t="shared" si="257"/>
        <v>Mansfield</v>
      </c>
      <c r="AU890" t="s">
        <v>2215</v>
      </c>
      <c r="AV890">
        <v>4</v>
      </c>
      <c r="AX890" s="114">
        <v>25</v>
      </c>
      <c r="AY890" s="116">
        <v>5</v>
      </c>
      <c r="AZ890" s="116">
        <v>50</v>
      </c>
      <c r="BA890" s="120">
        <v>38225</v>
      </c>
      <c r="BB890" s="120">
        <f t="shared" si="258"/>
        <v>25005</v>
      </c>
      <c r="BC890" t="s">
        <v>1472</v>
      </c>
      <c r="BD890">
        <f t="shared" si="255"/>
        <v>2538225</v>
      </c>
      <c r="BE890" s="66">
        <v>369</v>
      </c>
      <c r="BF890" s="66"/>
      <c r="BI890">
        <v>20.72</v>
      </c>
      <c r="BJ890">
        <v>0.26</v>
      </c>
      <c r="BK890">
        <v>20.46</v>
      </c>
      <c r="BQ890">
        <v>169</v>
      </c>
      <c r="BS890">
        <v>0</v>
      </c>
    </row>
    <row r="891" spans="1:71" hidden="1" outlineLevel="1">
      <c r="A891" s="64" t="s">
        <v>2245</v>
      </c>
      <c r="B891" s="8" t="s">
        <v>1320</v>
      </c>
      <c r="C891" s="1">
        <f t="shared" si="247"/>
        <v>12901</v>
      </c>
      <c r="D891" s="5">
        <f>IF(N891&gt;0, RANK(N891,(N891:P891,Q891:AE891)),0)</f>
        <v>1</v>
      </c>
      <c r="E891" s="5">
        <f>IF(O891&gt;0,RANK(O891,(N891:P891,Q891:AE891)),0)</f>
        <v>2</v>
      </c>
      <c r="F891" s="5">
        <f t="shared" si="248"/>
        <v>6</v>
      </c>
      <c r="G891" s="1">
        <f t="shared" si="249"/>
        <v>4352</v>
      </c>
      <c r="H891" s="2">
        <f t="shared" si="256"/>
        <v>0.33733819083791955</v>
      </c>
      <c r="I891" s="6"/>
      <c r="J891" s="2">
        <f t="shared" si="250"/>
        <v>0.6287109526393303</v>
      </c>
      <c r="K891" s="2">
        <f t="shared" si="251"/>
        <v>0.29137276180141075</v>
      </c>
      <c r="L891" s="2">
        <f t="shared" si="252"/>
        <v>2.0153476474691883E-3</v>
      </c>
      <c r="M891" s="2">
        <f t="shared" si="253"/>
        <v>7.7900937911789758E-2</v>
      </c>
      <c r="N891" s="63">
        <v>8111</v>
      </c>
      <c r="O891" s="63">
        <v>3759</v>
      </c>
      <c r="P891" s="63">
        <v>26</v>
      </c>
      <c r="Q891" s="63">
        <v>665</v>
      </c>
      <c r="R891" s="63">
        <v>117</v>
      </c>
      <c r="S891" s="63"/>
      <c r="T891" s="63"/>
      <c r="U891" s="63"/>
      <c r="V891" s="63"/>
      <c r="W891" s="63">
        <f t="shared" si="254"/>
        <v>223</v>
      </c>
      <c r="X891" s="63"/>
      <c r="Y891" s="63"/>
      <c r="Z891" s="63"/>
      <c r="AA891" s="63">
        <v>0</v>
      </c>
      <c r="AB891" s="63"/>
      <c r="AE891" s="8">
        <v>0</v>
      </c>
      <c r="AT891" t="str">
        <f t="shared" si="257"/>
        <v>Marblehead</v>
      </c>
      <c r="AU891" t="s">
        <v>842</v>
      </c>
      <c r="AV891">
        <v>6</v>
      </c>
      <c r="AX891" s="114">
        <v>25</v>
      </c>
      <c r="AY891" s="116">
        <v>9</v>
      </c>
      <c r="AZ891" s="116">
        <v>85</v>
      </c>
      <c r="BA891" s="120">
        <v>38400</v>
      </c>
      <c r="BB891" s="120">
        <f t="shared" si="258"/>
        <v>25009</v>
      </c>
      <c r="BC891" t="s">
        <v>1472</v>
      </c>
      <c r="BD891">
        <f t="shared" si="255"/>
        <v>2538400</v>
      </c>
      <c r="BE891" s="66">
        <v>257</v>
      </c>
      <c r="BF891" s="66"/>
      <c r="BI891">
        <v>19.63</v>
      </c>
      <c r="BJ891">
        <v>15.1</v>
      </c>
      <c r="BK891">
        <v>4.53</v>
      </c>
      <c r="BQ891">
        <v>223</v>
      </c>
      <c r="BS891">
        <v>0</v>
      </c>
    </row>
    <row r="892" spans="1:71" hidden="1" outlineLevel="1">
      <c r="A892" s="64" t="s">
        <v>1826</v>
      </c>
      <c r="B892" s="8" t="s">
        <v>1320</v>
      </c>
      <c r="C892" s="1">
        <f t="shared" si="247"/>
        <v>3280</v>
      </c>
      <c r="D892" s="5">
        <f>IF(N892&gt;0, RANK(N892,(N892:P892,Q892:AE892)),0)</f>
        <v>1</v>
      </c>
      <c r="E892" s="5">
        <f>IF(O892&gt;0,RANK(O892,(N892:P892,Q892:AE892)),0)</f>
        <v>2</v>
      </c>
      <c r="F892" s="5">
        <f t="shared" si="248"/>
        <v>0</v>
      </c>
      <c r="G892" s="1">
        <f t="shared" si="249"/>
        <v>702</v>
      </c>
      <c r="H892" s="2">
        <f t="shared" si="256"/>
        <v>0.21402439024390243</v>
      </c>
      <c r="I892" s="6"/>
      <c r="J892" s="2">
        <f t="shared" si="250"/>
        <v>0.56737804878048781</v>
      </c>
      <c r="K892" s="2">
        <f t="shared" si="251"/>
        <v>0.35335365853658535</v>
      </c>
      <c r="L892" s="2">
        <f t="shared" si="252"/>
        <v>0</v>
      </c>
      <c r="M892" s="2">
        <f t="shared" si="253"/>
        <v>7.9268292682926844E-2</v>
      </c>
      <c r="N892" s="63">
        <v>1861</v>
      </c>
      <c r="O892" s="63">
        <v>1159</v>
      </c>
      <c r="P892" s="63">
        <v>0</v>
      </c>
      <c r="Q892" s="63">
        <v>151</v>
      </c>
      <c r="R892" s="63">
        <v>49</v>
      </c>
      <c r="S892" s="63"/>
      <c r="T892" s="63"/>
      <c r="U892" s="63"/>
      <c r="V892" s="63"/>
      <c r="W892" s="63">
        <f t="shared" si="254"/>
        <v>60</v>
      </c>
      <c r="X892" s="63"/>
      <c r="Y892" s="63"/>
      <c r="Z892" s="63"/>
      <c r="AA892" s="63">
        <v>0</v>
      </c>
      <c r="AB892" s="63"/>
      <c r="AE892" s="8">
        <v>0</v>
      </c>
      <c r="AT892" t="str">
        <f t="shared" si="257"/>
        <v>Marion</v>
      </c>
      <c r="AU892" t="s">
        <v>231</v>
      </c>
      <c r="AV892">
        <v>9</v>
      </c>
      <c r="AX892" s="114">
        <v>25</v>
      </c>
      <c r="AY892" s="116">
        <v>23</v>
      </c>
      <c r="AZ892" s="116">
        <v>70</v>
      </c>
      <c r="BA892" s="120">
        <v>38540</v>
      </c>
      <c r="BB892" s="120">
        <f t="shared" si="258"/>
        <v>25023</v>
      </c>
      <c r="BC892" t="s">
        <v>1472</v>
      </c>
      <c r="BD892">
        <f t="shared" si="255"/>
        <v>2538540</v>
      </c>
      <c r="BE892" s="66">
        <v>43</v>
      </c>
      <c r="BF892" s="66"/>
      <c r="BI892">
        <v>26.69</v>
      </c>
      <c r="BJ892">
        <v>12.06</v>
      </c>
      <c r="BK892">
        <v>14.63</v>
      </c>
      <c r="BQ892">
        <v>60</v>
      </c>
      <c r="BS892">
        <v>0</v>
      </c>
    </row>
    <row r="893" spans="1:71" hidden="1" outlineLevel="1">
      <c r="A893" s="64" t="s">
        <v>1610</v>
      </c>
      <c r="B893" s="8" t="s">
        <v>1320</v>
      </c>
      <c r="C893" s="1">
        <f t="shared" si="247"/>
        <v>17999</v>
      </c>
      <c r="D893" s="5">
        <f>IF(N893&gt;0, RANK(N893,(N893:P893,Q893:AE893)),0)</f>
        <v>1</v>
      </c>
      <c r="E893" s="5">
        <f>IF(O893&gt;0,RANK(O893,(N893:P893,Q893:AE893)),0)</f>
        <v>2</v>
      </c>
      <c r="F893" s="5">
        <f t="shared" si="248"/>
        <v>6</v>
      </c>
      <c r="G893" s="1">
        <f t="shared" si="249"/>
        <v>4618</v>
      </c>
      <c r="H893" s="2">
        <f t="shared" si="256"/>
        <v>0.25656980943385743</v>
      </c>
      <c r="I893" s="6"/>
      <c r="J893" s="2">
        <f t="shared" si="250"/>
        <v>0.58764375798655477</v>
      </c>
      <c r="K893" s="2">
        <f t="shared" si="251"/>
        <v>0.33107394855269739</v>
      </c>
      <c r="L893" s="2">
        <f t="shared" si="252"/>
        <v>1.7778765486971498E-3</v>
      </c>
      <c r="M893" s="2">
        <f t="shared" si="253"/>
        <v>7.9504416912050679E-2</v>
      </c>
      <c r="N893" s="63">
        <v>10577</v>
      </c>
      <c r="O893" s="63">
        <v>5959</v>
      </c>
      <c r="P893" s="63">
        <v>32</v>
      </c>
      <c r="Q893" s="63">
        <v>918</v>
      </c>
      <c r="R893" s="63">
        <v>225</v>
      </c>
      <c r="S893" s="63"/>
      <c r="T893" s="63"/>
      <c r="U893" s="63"/>
      <c r="V893" s="63"/>
      <c r="W893" s="63">
        <f t="shared" si="254"/>
        <v>285</v>
      </c>
      <c r="X893" s="63"/>
      <c r="Y893" s="63"/>
      <c r="Z893" s="63"/>
      <c r="AA893" s="63">
        <v>0</v>
      </c>
      <c r="AB893" s="63"/>
      <c r="AE893" s="8">
        <v>3</v>
      </c>
      <c r="AT893" t="str">
        <f t="shared" si="257"/>
        <v>Marlborough</v>
      </c>
      <c r="AU893" t="s">
        <v>503</v>
      </c>
      <c r="AV893">
        <v>3</v>
      </c>
      <c r="AX893" s="114">
        <v>25</v>
      </c>
      <c r="AY893" s="116">
        <v>17</v>
      </c>
      <c r="AZ893" s="116">
        <v>140</v>
      </c>
      <c r="BA893" s="120">
        <v>38715</v>
      </c>
      <c r="BB893" s="120">
        <f t="shared" si="258"/>
        <v>25017</v>
      </c>
      <c r="BC893" t="s">
        <v>1249</v>
      </c>
      <c r="BD893">
        <f t="shared" si="255"/>
        <v>2538715</v>
      </c>
      <c r="BE893" s="66">
        <v>337</v>
      </c>
      <c r="BF893" s="66"/>
      <c r="BI893">
        <v>22.17</v>
      </c>
      <c r="BJ893">
        <v>1.08</v>
      </c>
      <c r="BK893">
        <v>21.09</v>
      </c>
      <c r="BQ893">
        <v>285</v>
      </c>
      <c r="BS893">
        <v>0</v>
      </c>
    </row>
    <row r="894" spans="1:71" hidden="1" outlineLevel="1">
      <c r="A894" s="64" t="s">
        <v>1378</v>
      </c>
      <c r="B894" s="8" t="s">
        <v>1320</v>
      </c>
      <c r="C894" s="1">
        <f t="shared" si="247"/>
        <v>15692</v>
      </c>
      <c r="D894" s="5">
        <f>IF(N894&gt;0, RANK(N894,(N894:P894,Q894:AE894)),0)</f>
        <v>1</v>
      </c>
      <c r="E894" s="5">
        <f>IF(O894&gt;0,RANK(O894,(N894:P894,Q894:AE894)),0)</f>
        <v>2</v>
      </c>
      <c r="F894" s="5">
        <f t="shared" si="248"/>
        <v>0</v>
      </c>
      <c r="G894" s="1">
        <f t="shared" si="249"/>
        <v>128</v>
      </c>
      <c r="H894" s="2">
        <f t="shared" si="256"/>
        <v>8.1570226867193479E-3</v>
      </c>
      <c r="I894" s="6"/>
      <c r="J894" s="2">
        <f t="shared" si="250"/>
        <v>0.46794544991078257</v>
      </c>
      <c r="K894" s="2">
        <f t="shared" si="251"/>
        <v>0.45978842722406321</v>
      </c>
      <c r="L894" s="2">
        <f t="shared" si="252"/>
        <v>0</v>
      </c>
      <c r="M894" s="2">
        <f t="shared" si="253"/>
        <v>7.2266122865154214E-2</v>
      </c>
      <c r="N894" s="63">
        <v>7343</v>
      </c>
      <c r="O894" s="63">
        <v>7215</v>
      </c>
      <c r="P894" s="63">
        <v>0</v>
      </c>
      <c r="Q894" s="63">
        <v>697</v>
      </c>
      <c r="R894" s="63">
        <v>181</v>
      </c>
      <c r="S894" s="63"/>
      <c r="T894" s="63"/>
      <c r="U894" s="63"/>
      <c r="V894" s="63"/>
      <c r="W894" s="63">
        <f t="shared" si="254"/>
        <v>256</v>
      </c>
      <c r="X894" s="63"/>
      <c r="Y894" s="63"/>
      <c r="Z894" s="63"/>
      <c r="AA894" s="63">
        <v>0</v>
      </c>
      <c r="AB894" s="63"/>
      <c r="AE894" s="8">
        <v>0</v>
      </c>
      <c r="AT894" t="str">
        <f t="shared" si="257"/>
        <v>Marshfield</v>
      </c>
      <c r="AU894" t="s">
        <v>231</v>
      </c>
      <c r="AV894">
        <v>9</v>
      </c>
      <c r="AX894" s="114">
        <v>25</v>
      </c>
      <c r="AY894" s="116">
        <v>23</v>
      </c>
      <c r="AZ894" s="116">
        <v>75</v>
      </c>
      <c r="BA894" s="120">
        <v>38855</v>
      </c>
      <c r="BB894" s="120">
        <f t="shared" si="258"/>
        <v>25023</v>
      </c>
      <c r="BC894" t="s">
        <v>1472</v>
      </c>
      <c r="BD894">
        <f t="shared" si="255"/>
        <v>2538855</v>
      </c>
      <c r="BE894" s="66">
        <v>228</v>
      </c>
      <c r="BF894" s="66"/>
      <c r="BI894">
        <v>31.73</v>
      </c>
      <c r="BJ894">
        <v>3.28</v>
      </c>
      <c r="BK894">
        <v>28.45</v>
      </c>
      <c r="BQ894">
        <v>256</v>
      </c>
      <c r="BS894">
        <v>0</v>
      </c>
    </row>
    <row r="895" spans="1:71" hidden="1" outlineLevel="1">
      <c r="A895" s="64" t="s">
        <v>189</v>
      </c>
      <c r="B895" s="8" t="s">
        <v>1320</v>
      </c>
      <c r="C895" s="1">
        <f t="shared" si="247"/>
        <v>8828</v>
      </c>
      <c r="D895" s="5">
        <f>IF(N895&gt;0, RANK(N895,(N895:P895,Q895:AE895)),0)</f>
        <v>1</v>
      </c>
      <c r="E895" s="5">
        <f>IF(O895&gt;0,RANK(O895,(N895:P895,Q895:AE895)),0)</f>
        <v>2</v>
      </c>
      <c r="F895" s="5">
        <f t="shared" si="248"/>
        <v>0</v>
      </c>
      <c r="G895" s="1">
        <f t="shared" si="249"/>
        <v>609</v>
      </c>
      <c r="H895" s="2">
        <f t="shared" si="256"/>
        <v>6.8985047575894881E-2</v>
      </c>
      <c r="I895" s="6"/>
      <c r="J895" s="2">
        <f t="shared" si="250"/>
        <v>0.50385138196647028</v>
      </c>
      <c r="K895" s="2">
        <f t="shared" si="251"/>
        <v>0.43486633439057543</v>
      </c>
      <c r="L895" s="2">
        <f t="shared" si="252"/>
        <v>0</v>
      </c>
      <c r="M895" s="2">
        <f t="shared" si="253"/>
        <v>6.1282283642954294E-2</v>
      </c>
      <c r="N895" s="63">
        <v>4448</v>
      </c>
      <c r="O895" s="63">
        <v>3839</v>
      </c>
      <c r="P895" s="63">
        <v>0</v>
      </c>
      <c r="Q895" s="63">
        <v>347</v>
      </c>
      <c r="R895" s="63">
        <v>119</v>
      </c>
      <c r="S895" s="63"/>
      <c r="T895" s="63"/>
      <c r="U895" s="63"/>
      <c r="V895" s="63"/>
      <c r="W895" s="63">
        <f t="shared" si="254"/>
        <v>75</v>
      </c>
      <c r="X895" s="63"/>
      <c r="Y895" s="63"/>
      <c r="Z895" s="63"/>
      <c r="AA895" s="63">
        <v>0</v>
      </c>
      <c r="AB895" s="63"/>
      <c r="AE895" s="8">
        <v>0</v>
      </c>
      <c r="AT895" t="str">
        <f t="shared" si="257"/>
        <v>Mashpee</v>
      </c>
      <c r="AU895" t="s">
        <v>2411</v>
      </c>
      <c r="AV895">
        <v>9</v>
      </c>
      <c r="AX895" s="114">
        <v>25</v>
      </c>
      <c r="AY895" s="116">
        <v>1</v>
      </c>
      <c r="AZ895" s="116">
        <v>45</v>
      </c>
      <c r="BA895" s="120">
        <v>39100</v>
      </c>
      <c r="BB895" s="120">
        <f t="shared" si="258"/>
        <v>25001</v>
      </c>
      <c r="BC895" t="s">
        <v>1472</v>
      </c>
      <c r="BD895">
        <f t="shared" si="255"/>
        <v>2539100</v>
      </c>
      <c r="BE895" s="66">
        <v>156</v>
      </c>
      <c r="BF895" s="66"/>
      <c r="BI895">
        <v>27.24</v>
      </c>
      <c r="BJ895">
        <v>3.76</v>
      </c>
      <c r="BK895">
        <v>23.48</v>
      </c>
      <c r="BQ895">
        <v>75</v>
      </c>
      <c r="BS895">
        <v>0</v>
      </c>
    </row>
    <row r="896" spans="1:71" hidden="1" outlineLevel="1">
      <c r="A896" s="64" t="s">
        <v>134</v>
      </c>
      <c r="B896" s="8" t="s">
        <v>1320</v>
      </c>
      <c r="C896" s="1">
        <f t="shared" si="247"/>
        <v>4230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 t="shared" si="248"/>
        <v>6</v>
      </c>
      <c r="G896" s="1">
        <f t="shared" si="249"/>
        <v>305</v>
      </c>
      <c r="H896" s="2">
        <f t="shared" si="256"/>
        <v>7.2104018912529558E-2</v>
      </c>
      <c r="I896" s="6"/>
      <c r="J896" s="2">
        <f t="shared" si="250"/>
        <v>0.50236406619385343</v>
      </c>
      <c r="K896" s="2">
        <f t="shared" si="251"/>
        <v>0.43026004728132389</v>
      </c>
      <c r="L896" s="2">
        <f t="shared" si="252"/>
        <v>1.6548463356973995E-3</v>
      </c>
      <c r="M896" s="2">
        <f t="shared" si="253"/>
        <v>6.5721040189125279E-2</v>
      </c>
      <c r="N896" s="63">
        <v>2125</v>
      </c>
      <c r="O896" s="63">
        <v>1820</v>
      </c>
      <c r="P896" s="63">
        <v>7</v>
      </c>
      <c r="Q896" s="63">
        <v>163</v>
      </c>
      <c r="R896" s="63">
        <v>52</v>
      </c>
      <c r="S896" s="63"/>
      <c r="T896" s="63"/>
      <c r="U896" s="63"/>
      <c r="V896" s="63"/>
      <c r="W896" s="63">
        <f t="shared" si="254"/>
        <v>63</v>
      </c>
      <c r="X896" s="63"/>
      <c r="Y896" s="63"/>
      <c r="Z896" s="63"/>
      <c r="AA896" s="63">
        <v>0</v>
      </c>
      <c r="AB896" s="63"/>
      <c r="AE896" s="8">
        <v>0</v>
      </c>
      <c r="AT896" t="str">
        <f t="shared" si="257"/>
        <v>Mattapoisett</v>
      </c>
      <c r="AU896" t="s">
        <v>231</v>
      </c>
      <c r="AV896">
        <v>9</v>
      </c>
      <c r="AX896" s="114">
        <v>25</v>
      </c>
      <c r="AY896" s="116">
        <v>23</v>
      </c>
      <c r="AZ896" s="116">
        <v>80</v>
      </c>
      <c r="BA896" s="120">
        <v>39450</v>
      </c>
      <c r="BB896" s="120">
        <f t="shared" si="258"/>
        <v>25023</v>
      </c>
      <c r="BC896" t="s">
        <v>1472</v>
      </c>
      <c r="BD896">
        <f t="shared" si="255"/>
        <v>2539450</v>
      </c>
      <c r="BE896" s="66">
        <v>84</v>
      </c>
      <c r="BF896" s="66"/>
      <c r="BI896">
        <v>23.33</v>
      </c>
      <c r="BJ896">
        <v>6.85</v>
      </c>
      <c r="BK896">
        <v>16.48</v>
      </c>
      <c r="BQ896">
        <v>63</v>
      </c>
      <c r="BS896">
        <v>0</v>
      </c>
    </row>
    <row r="897" spans="1:71" hidden="1" outlineLevel="1">
      <c r="A897" s="64" t="s">
        <v>788</v>
      </c>
      <c r="B897" s="8" t="s">
        <v>1320</v>
      </c>
      <c r="C897" s="1">
        <f t="shared" si="247"/>
        <v>6029</v>
      </c>
      <c r="D897" s="5">
        <f>IF(N897&gt;0, RANK(N897,(N897:P897,Q897:AE897)),0)</f>
        <v>1</v>
      </c>
      <c r="E897" s="5">
        <f>IF(O897&gt;0,RANK(O897,(N897:P897,Q897:AE897)),0)</f>
        <v>2</v>
      </c>
      <c r="F897" s="5">
        <f t="shared" si="248"/>
        <v>0</v>
      </c>
      <c r="G897" s="1">
        <f t="shared" si="249"/>
        <v>2189</v>
      </c>
      <c r="H897" s="2">
        <f t="shared" si="256"/>
        <v>0.3630784541383314</v>
      </c>
      <c r="I897" s="6"/>
      <c r="J897" s="2">
        <f t="shared" si="250"/>
        <v>0.64023884557969812</v>
      </c>
      <c r="K897" s="2">
        <f t="shared" si="251"/>
        <v>0.27716039144136673</v>
      </c>
      <c r="L897" s="2">
        <f t="shared" si="252"/>
        <v>0</v>
      </c>
      <c r="M897" s="2">
        <f t="shared" si="253"/>
        <v>8.2600762978935149E-2</v>
      </c>
      <c r="N897" s="63">
        <v>3860</v>
      </c>
      <c r="O897" s="63">
        <v>1671</v>
      </c>
      <c r="P897" s="63">
        <v>0</v>
      </c>
      <c r="Q897" s="63">
        <v>303</v>
      </c>
      <c r="R897" s="63">
        <v>77</v>
      </c>
      <c r="S897" s="63"/>
      <c r="T897" s="63"/>
      <c r="U897" s="63"/>
      <c r="V897" s="63"/>
      <c r="W897" s="63">
        <f t="shared" si="254"/>
        <v>118</v>
      </c>
      <c r="X897" s="63"/>
      <c r="Y897" s="63"/>
      <c r="Z897" s="63"/>
      <c r="AA897" s="63">
        <v>0</v>
      </c>
      <c r="AB897" s="63"/>
      <c r="AE897" s="8">
        <v>0</v>
      </c>
      <c r="AT897" t="str">
        <f t="shared" si="257"/>
        <v>Maynard</v>
      </c>
      <c r="AU897" t="s">
        <v>503</v>
      </c>
      <c r="AV897">
        <v>3</v>
      </c>
      <c r="AX897" s="114">
        <v>25</v>
      </c>
      <c r="AY897" s="116">
        <v>17</v>
      </c>
      <c r="AZ897" s="116">
        <v>145</v>
      </c>
      <c r="BA897" s="120">
        <v>39625</v>
      </c>
      <c r="BB897" s="120">
        <f t="shared" si="258"/>
        <v>25017</v>
      </c>
      <c r="BC897" t="s">
        <v>1472</v>
      </c>
      <c r="BD897">
        <f t="shared" si="255"/>
        <v>2539625</v>
      </c>
      <c r="BE897" s="66">
        <v>61</v>
      </c>
      <c r="BF897" s="66"/>
      <c r="BI897">
        <v>5.37</v>
      </c>
      <c r="BJ897">
        <v>0.13</v>
      </c>
      <c r="BK897">
        <v>5.24</v>
      </c>
      <c r="BQ897">
        <v>118</v>
      </c>
      <c r="BS897">
        <v>0</v>
      </c>
    </row>
    <row r="898" spans="1:71" hidden="1" outlineLevel="1">
      <c r="A898" s="64" t="s">
        <v>476</v>
      </c>
      <c r="B898" s="8" t="s">
        <v>1320</v>
      </c>
      <c r="C898" s="1">
        <f t="shared" si="247"/>
        <v>7533</v>
      </c>
      <c r="D898" s="5">
        <f>IF(N898&gt;0, RANK(N898,(N898:P898,Q898:AE898)),0)</f>
        <v>1</v>
      </c>
      <c r="E898" s="5">
        <f>IF(O898&gt;0,RANK(O898,(N898:P898,Q898:AE898)),0)</f>
        <v>2</v>
      </c>
      <c r="F898" s="5">
        <f t="shared" si="248"/>
        <v>6</v>
      </c>
      <c r="G898" s="1">
        <f t="shared" si="249"/>
        <v>2009</v>
      </c>
      <c r="H898" s="2">
        <f t="shared" si="256"/>
        <v>0.26669321651400507</v>
      </c>
      <c r="I898" s="6"/>
      <c r="J898" s="2">
        <f t="shared" si="250"/>
        <v>0.58529138457453866</v>
      </c>
      <c r="K898" s="2">
        <f t="shared" si="251"/>
        <v>0.31859816806053365</v>
      </c>
      <c r="L898" s="2">
        <f t="shared" si="252"/>
        <v>4.9117217575998934E-3</v>
      </c>
      <c r="M898" s="2">
        <f t="shared" si="253"/>
        <v>9.1198725607327794E-2</v>
      </c>
      <c r="N898" s="63">
        <v>4409</v>
      </c>
      <c r="O898" s="63">
        <v>2400</v>
      </c>
      <c r="P898" s="63">
        <v>37</v>
      </c>
      <c r="Q898" s="63">
        <v>427</v>
      </c>
      <c r="R898" s="63">
        <v>61</v>
      </c>
      <c r="S898" s="63"/>
      <c r="T898" s="63"/>
      <c r="U898" s="63"/>
      <c r="V898" s="63"/>
      <c r="W898" s="63">
        <f t="shared" si="254"/>
        <v>199</v>
      </c>
      <c r="X898" s="63"/>
      <c r="Y898" s="63"/>
      <c r="Z898" s="63"/>
      <c r="AA898" s="63">
        <v>0</v>
      </c>
      <c r="AB898" s="63"/>
      <c r="AE898" s="8">
        <v>0</v>
      </c>
      <c r="AT898" t="str">
        <f t="shared" si="257"/>
        <v>Medfield</v>
      </c>
      <c r="AU898" t="s">
        <v>753</v>
      </c>
      <c r="AV898">
        <v>4</v>
      </c>
      <c r="AX898" s="114">
        <v>25</v>
      </c>
      <c r="AY898" s="116">
        <v>21</v>
      </c>
      <c r="AZ898" s="116">
        <v>60</v>
      </c>
      <c r="BA898" s="120">
        <v>39765</v>
      </c>
      <c r="BB898" s="120">
        <f t="shared" si="258"/>
        <v>25021</v>
      </c>
      <c r="BC898" t="s">
        <v>1472</v>
      </c>
      <c r="BD898">
        <f t="shared" si="255"/>
        <v>2539765</v>
      </c>
      <c r="BE898" s="66">
        <v>266</v>
      </c>
      <c r="BF898" s="66"/>
      <c r="BI898">
        <v>14.6</v>
      </c>
      <c r="BJ898">
        <v>0.09</v>
      </c>
      <c r="BK898">
        <v>14.51</v>
      </c>
      <c r="BQ898">
        <v>199</v>
      </c>
      <c r="BS898">
        <v>0</v>
      </c>
    </row>
    <row r="899" spans="1:71" hidden="1" outlineLevel="1">
      <c r="A899" s="64" t="s">
        <v>1413</v>
      </c>
      <c r="B899" s="8" t="s">
        <v>1320</v>
      </c>
      <c r="C899" s="1">
        <f t="shared" si="247"/>
        <v>30187</v>
      </c>
      <c r="D899" s="5">
        <f>IF(N899&gt;0, RANK(N899,(N899:P899,Q899:AE899)),0)</f>
        <v>1</v>
      </c>
      <c r="E899" s="5">
        <f>IF(O899&gt;0,RANK(O899,(N899:P899,Q899:AE899)),0)</f>
        <v>2</v>
      </c>
      <c r="F899" s="5">
        <f t="shared" si="248"/>
        <v>0</v>
      </c>
      <c r="G899" s="1">
        <f t="shared" si="249"/>
        <v>13019</v>
      </c>
      <c r="H899" s="2">
        <f t="shared" si="256"/>
        <v>0.4312783648590453</v>
      </c>
      <c r="I899" s="6"/>
      <c r="J899" s="2">
        <f t="shared" si="250"/>
        <v>0.68539437506211287</v>
      </c>
      <c r="K899" s="2">
        <f t="shared" si="251"/>
        <v>0.25411601020306757</v>
      </c>
      <c r="L899" s="2">
        <f t="shared" si="252"/>
        <v>0</v>
      </c>
      <c r="M899" s="2">
        <f t="shared" si="253"/>
        <v>6.0489614734819563E-2</v>
      </c>
      <c r="N899" s="63">
        <v>20690</v>
      </c>
      <c r="O899" s="63">
        <v>7671</v>
      </c>
      <c r="P899" s="63">
        <v>0</v>
      </c>
      <c r="Q899" s="63">
        <v>897</v>
      </c>
      <c r="R899" s="63">
        <v>378</v>
      </c>
      <c r="S899" s="63"/>
      <c r="T899" s="63"/>
      <c r="U899" s="63"/>
      <c r="V899" s="63"/>
      <c r="W899" s="63">
        <f t="shared" si="254"/>
        <v>551</v>
      </c>
      <c r="X899" s="63"/>
      <c r="Y899" s="63"/>
      <c r="Z899" s="63"/>
      <c r="AA899" s="63">
        <v>0</v>
      </c>
      <c r="AB899" s="63"/>
      <c r="AE899" s="8">
        <v>0</v>
      </c>
      <c r="AT899" t="str">
        <f t="shared" si="257"/>
        <v>Medford</v>
      </c>
      <c r="AU899" t="s">
        <v>503</v>
      </c>
      <c r="AV899">
        <v>5</v>
      </c>
      <c r="AX899" s="114">
        <v>25</v>
      </c>
      <c r="AY899" s="116">
        <v>17</v>
      </c>
      <c r="AZ899" s="116">
        <v>150</v>
      </c>
      <c r="BA899" s="120">
        <v>39835</v>
      </c>
      <c r="BB899" s="120">
        <f t="shared" si="258"/>
        <v>25017</v>
      </c>
      <c r="BC899" t="s">
        <v>1249</v>
      </c>
      <c r="BD899">
        <f t="shared" si="255"/>
        <v>2539835</v>
      </c>
      <c r="BE899" s="66">
        <v>341</v>
      </c>
      <c r="BF899" s="66"/>
      <c r="BI899">
        <v>8.64</v>
      </c>
      <c r="BJ899">
        <v>0.5</v>
      </c>
      <c r="BK899">
        <v>8.14</v>
      </c>
      <c r="BQ899">
        <v>551</v>
      </c>
      <c r="BS899">
        <v>0</v>
      </c>
    </row>
    <row r="900" spans="1:71" hidden="1" outlineLevel="1">
      <c r="A900" s="64" t="s">
        <v>1207</v>
      </c>
      <c r="B900" s="8" t="s">
        <v>1320</v>
      </c>
      <c r="C900" s="1">
        <f t="shared" si="247"/>
        <v>7696</v>
      </c>
      <c r="D900" s="5">
        <f>IF(N900&gt;0, RANK(N900,(N900:P900,Q900:AE900)),0)</f>
        <v>1</v>
      </c>
      <c r="E900" s="5">
        <f>IF(O900&gt;0,RANK(O900,(N900:P900,Q900:AE900)),0)</f>
        <v>2</v>
      </c>
      <c r="F900" s="5">
        <f t="shared" si="248"/>
        <v>0</v>
      </c>
      <c r="G900" s="1">
        <f t="shared" si="249"/>
        <v>1061</v>
      </c>
      <c r="H900" s="2">
        <f t="shared" si="256"/>
        <v>0.13786382536382535</v>
      </c>
      <c r="I900" s="6"/>
      <c r="J900" s="2">
        <f t="shared" si="250"/>
        <v>0.52091995841995842</v>
      </c>
      <c r="K900" s="2">
        <f t="shared" si="251"/>
        <v>0.38305613305613306</v>
      </c>
      <c r="L900" s="2">
        <f t="shared" si="252"/>
        <v>0</v>
      </c>
      <c r="M900" s="2">
        <f t="shared" si="253"/>
        <v>9.6023908523908519E-2</v>
      </c>
      <c r="N900" s="63">
        <v>4009</v>
      </c>
      <c r="O900" s="63">
        <v>2948</v>
      </c>
      <c r="P900" s="63">
        <v>0</v>
      </c>
      <c r="Q900" s="63">
        <v>458</v>
      </c>
      <c r="R900" s="63">
        <v>67</v>
      </c>
      <c r="S900" s="63"/>
      <c r="T900" s="63"/>
      <c r="U900" s="63"/>
      <c r="V900" s="63"/>
      <c r="W900" s="63">
        <f t="shared" si="254"/>
        <v>214</v>
      </c>
      <c r="X900" s="63"/>
      <c r="Y900" s="63"/>
      <c r="Z900" s="63"/>
      <c r="AA900" s="63">
        <v>0</v>
      </c>
      <c r="AB900" s="63"/>
      <c r="AE900" s="8">
        <v>0</v>
      </c>
      <c r="AT900" t="str">
        <f t="shared" si="257"/>
        <v>Medway</v>
      </c>
      <c r="AU900" t="s">
        <v>753</v>
      </c>
      <c r="AV900">
        <v>4</v>
      </c>
      <c r="AX900" s="114">
        <v>25</v>
      </c>
      <c r="AY900" s="116">
        <v>21</v>
      </c>
      <c r="AZ900" s="116">
        <v>65</v>
      </c>
      <c r="BA900" s="120">
        <v>39975</v>
      </c>
      <c r="BB900" s="120">
        <f t="shared" si="258"/>
        <v>25021</v>
      </c>
      <c r="BC900" t="s">
        <v>1472</v>
      </c>
      <c r="BD900">
        <f t="shared" si="255"/>
        <v>2539975</v>
      </c>
      <c r="BE900" s="66">
        <v>104</v>
      </c>
      <c r="BF900" s="66"/>
      <c r="BI900">
        <v>11.54</v>
      </c>
      <c r="BJ900">
        <v>0.09</v>
      </c>
      <c r="BK900">
        <v>11.45</v>
      </c>
      <c r="BQ900">
        <v>214</v>
      </c>
      <c r="BS900">
        <v>0</v>
      </c>
    </row>
    <row r="901" spans="1:71" hidden="1" outlineLevel="1">
      <c r="A901" s="64" t="s">
        <v>2414</v>
      </c>
      <c r="B901" s="8" t="s">
        <v>1320</v>
      </c>
      <c r="C901" s="1">
        <f t="shared" si="247"/>
        <v>16695</v>
      </c>
      <c r="D901" s="5">
        <f>IF(N901&gt;0, RANK(N901,(N901:P901,Q901:AE901)),0)</f>
        <v>1</v>
      </c>
      <c r="E901" s="5">
        <f>IF(O901&gt;0,RANK(O901,(N901:P901,Q901:AE901)),0)</f>
        <v>2</v>
      </c>
      <c r="F901" s="5">
        <f t="shared" si="248"/>
        <v>0</v>
      </c>
      <c r="G901" s="1">
        <f t="shared" si="249"/>
        <v>5855</v>
      </c>
      <c r="H901" s="2">
        <f t="shared" si="256"/>
        <v>0.35070380353399222</v>
      </c>
      <c r="I901" s="6"/>
      <c r="J901" s="2">
        <f t="shared" si="250"/>
        <v>0.6401317759808326</v>
      </c>
      <c r="K901" s="2">
        <f t="shared" si="251"/>
        <v>0.28942797244684038</v>
      </c>
      <c r="L901" s="2">
        <f t="shared" si="252"/>
        <v>0</v>
      </c>
      <c r="M901" s="2">
        <f t="shared" si="253"/>
        <v>7.0440251572327028E-2</v>
      </c>
      <c r="N901" s="63">
        <v>10687</v>
      </c>
      <c r="O901" s="63">
        <v>4832</v>
      </c>
      <c r="P901" s="63">
        <v>0</v>
      </c>
      <c r="Q901" s="63">
        <v>678</v>
      </c>
      <c r="R901" s="63">
        <v>172</v>
      </c>
      <c r="S901" s="63"/>
      <c r="T901" s="63"/>
      <c r="U901" s="63"/>
      <c r="V901" s="63"/>
      <c r="W901" s="63">
        <f t="shared" si="254"/>
        <v>326</v>
      </c>
      <c r="X901" s="63"/>
      <c r="Y901" s="63"/>
      <c r="Z901" s="63"/>
      <c r="AA901" s="63">
        <v>0</v>
      </c>
      <c r="AB901" s="63"/>
      <c r="AE901" s="8">
        <v>0</v>
      </c>
      <c r="AT901" t="str">
        <f t="shared" si="257"/>
        <v>Melrose</v>
      </c>
      <c r="AU901" t="s">
        <v>503</v>
      </c>
      <c r="AV901">
        <v>5</v>
      </c>
      <c r="AX901" s="114">
        <v>25</v>
      </c>
      <c r="AY901" s="116">
        <v>17</v>
      </c>
      <c r="AZ901" s="116">
        <v>155</v>
      </c>
      <c r="BA901" s="120">
        <v>40115</v>
      </c>
      <c r="BB901" s="120">
        <f t="shared" si="258"/>
        <v>25017</v>
      </c>
      <c r="BC901" t="s">
        <v>1249</v>
      </c>
      <c r="BD901">
        <f t="shared" si="255"/>
        <v>2540115</v>
      </c>
      <c r="BE901" s="66">
        <v>266</v>
      </c>
      <c r="BF901" s="66"/>
      <c r="BI901">
        <v>4.75</v>
      </c>
      <c r="BJ901">
        <v>0.06</v>
      </c>
      <c r="BK901">
        <v>4.6900000000000004</v>
      </c>
      <c r="BQ901">
        <v>326</v>
      </c>
      <c r="BS901">
        <v>0</v>
      </c>
    </row>
    <row r="902" spans="1:71" hidden="1" outlineLevel="1">
      <c r="A902" s="64" t="s">
        <v>2860</v>
      </c>
      <c r="B902" s="8" t="s">
        <v>1320</v>
      </c>
      <c r="C902" s="1">
        <f t="shared" si="247"/>
        <v>3513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 t="shared" si="248"/>
        <v>6</v>
      </c>
      <c r="G902" s="1">
        <f t="shared" si="249"/>
        <v>164</v>
      </c>
      <c r="H902" s="2">
        <f t="shared" si="256"/>
        <v>4.6683746085966413E-2</v>
      </c>
      <c r="I902" s="6"/>
      <c r="J902" s="2">
        <f t="shared" si="250"/>
        <v>0.43552519214346713</v>
      </c>
      <c r="K902" s="2">
        <f t="shared" si="251"/>
        <v>0.48220893822943356</v>
      </c>
      <c r="L902" s="2">
        <f t="shared" si="252"/>
        <v>2.8465698832906348E-3</v>
      </c>
      <c r="M902" s="2">
        <f t="shared" si="253"/>
        <v>7.9419299743808736E-2</v>
      </c>
      <c r="N902" s="63">
        <v>1530</v>
      </c>
      <c r="O902" s="63">
        <v>1694</v>
      </c>
      <c r="P902" s="63">
        <v>10</v>
      </c>
      <c r="Q902" s="63">
        <v>214</v>
      </c>
      <c r="R902" s="63">
        <v>30</v>
      </c>
      <c r="S902" s="63"/>
      <c r="T902" s="63"/>
      <c r="U902" s="63"/>
      <c r="V902" s="63"/>
      <c r="W902" s="63">
        <f t="shared" si="254"/>
        <v>35</v>
      </c>
      <c r="X902" s="63"/>
      <c r="Y902" s="63"/>
      <c r="Z902" s="63"/>
      <c r="AA902" s="63">
        <v>0</v>
      </c>
      <c r="AB902" s="63"/>
      <c r="AE902" s="8">
        <v>0</v>
      </c>
      <c r="AT902" t="str">
        <f t="shared" si="257"/>
        <v>Mendon</v>
      </c>
      <c r="AU902" s="8" t="s">
        <v>1774</v>
      </c>
      <c r="AV902">
        <v>2</v>
      </c>
      <c r="AX902" s="114">
        <v>25</v>
      </c>
      <c r="AY902" s="116">
        <v>27</v>
      </c>
      <c r="AZ902" s="116">
        <v>135</v>
      </c>
      <c r="BA902" s="120">
        <v>40255</v>
      </c>
      <c r="BB902" s="120">
        <f t="shared" si="258"/>
        <v>25027</v>
      </c>
      <c r="BC902" t="s">
        <v>1472</v>
      </c>
      <c r="BD902">
        <f t="shared" si="255"/>
        <v>2540255</v>
      </c>
      <c r="BE902" s="66">
        <v>71</v>
      </c>
      <c r="BF902" s="66"/>
      <c r="BI902">
        <v>18.260000000000002</v>
      </c>
      <c r="BJ902">
        <v>0.16</v>
      </c>
      <c r="BK902">
        <v>18.100000000000001</v>
      </c>
      <c r="BQ902">
        <v>35</v>
      </c>
      <c r="BS902">
        <v>0</v>
      </c>
    </row>
    <row r="903" spans="1:71" hidden="1" outlineLevel="1">
      <c r="A903" s="64" t="s">
        <v>1453</v>
      </c>
      <c r="B903" s="8" t="s">
        <v>1320</v>
      </c>
      <c r="C903" s="1">
        <f t="shared" si="247"/>
        <v>3880</v>
      </c>
      <c r="D903" s="5">
        <f>IF(N903&gt;0, RANK(N903,(N903:P903,Q903:AE903)),0)</f>
        <v>1</v>
      </c>
      <c r="E903" s="5">
        <f>IF(O903&gt;0,RANK(O903,(N903:P903,Q903:AE903)),0)</f>
        <v>2</v>
      </c>
      <c r="F903" s="5">
        <f t="shared" si="248"/>
        <v>6</v>
      </c>
      <c r="G903" s="1">
        <f t="shared" si="249"/>
        <v>273</v>
      </c>
      <c r="H903" s="2">
        <f t="shared" si="256"/>
        <v>7.0360824742268041E-2</v>
      </c>
      <c r="I903" s="6"/>
      <c r="J903" s="2">
        <f t="shared" si="250"/>
        <v>0.48840206185567009</v>
      </c>
      <c r="K903" s="2">
        <f t="shared" si="251"/>
        <v>0.41804123711340208</v>
      </c>
      <c r="L903" s="2">
        <f t="shared" si="252"/>
        <v>1.8041237113402063E-3</v>
      </c>
      <c r="M903" s="2">
        <f t="shared" si="253"/>
        <v>9.175257731958758E-2</v>
      </c>
      <c r="N903" s="63">
        <v>1895</v>
      </c>
      <c r="O903" s="63">
        <v>1622</v>
      </c>
      <c r="P903" s="63">
        <v>7</v>
      </c>
      <c r="Q903" s="63">
        <v>226</v>
      </c>
      <c r="R903" s="63">
        <v>57</v>
      </c>
      <c r="S903" s="63"/>
      <c r="T903" s="63"/>
      <c r="U903" s="63"/>
      <c r="V903" s="63"/>
      <c r="W903" s="63">
        <f t="shared" si="254"/>
        <v>70</v>
      </c>
      <c r="X903" s="63"/>
      <c r="Y903" s="63"/>
      <c r="Z903" s="63"/>
      <c r="AA903" s="63">
        <v>0</v>
      </c>
      <c r="AB903" s="63"/>
      <c r="AE903" s="8">
        <v>3</v>
      </c>
      <c r="AT903" t="str">
        <f t="shared" si="257"/>
        <v>Merrimac</v>
      </c>
      <c r="AU903" t="s">
        <v>842</v>
      </c>
      <c r="AV903">
        <v>6</v>
      </c>
      <c r="AX903" s="114">
        <v>25</v>
      </c>
      <c r="AY903" s="116">
        <v>9</v>
      </c>
      <c r="AZ903" s="116">
        <v>90</v>
      </c>
      <c r="BA903" s="120">
        <v>40430</v>
      </c>
      <c r="BB903" s="120">
        <f t="shared" si="258"/>
        <v>25009</v>
      </c>
      <c r="BC903" t="s">
        <v>1472</v>
      </c>
      <c r="BD903">
        <f t="shared" si="255"/>
        <v>2540430</v>
      </c>
      <c r="BE903" s="66">
        <v>55</v>
      </c>
      <c r="BF903" s="66"/>
      <c r="BI903">
        <v>8.83</v>
      </c>
      <c r="BJ903">
        <v>0.3</v>
      </c>
      <c r="BK903">
        <v>8.5299999999999994</v>
      </c>
      <c r="BQ903">
        <v>70</v>
      </c>
      <c r="BS903">
        <v>0</v>
      </c>
    </row>
    <row r="904" spans="1:71" hidden="1" outlineLevel="1">
      <c r="A904" s="64" t="s">
        <v>706</v>
      </c>
      <c r="B904" s="8" t="s">
        <v>1320</v>
      </c>
      <c r="C904" s="1">
        <f t="shared" si="247"/>
        <v>23190</v>
      </c>
      <c r="D904" s="5">
        <f>IF(N904&gt;0, RANK(N904,(N904:P904,Q904:AE904)),0)</f>
        <v>1</v>
      </c>
      <c r="E904" s="5">
        <f>IF(O904&gt;0,RANK(O904,(N904:P904,Q904:AE904)),0)</f>
        <v>2</v>
      </c>
      <c r="F904" s="5">
        <f t="shared" si="248"/>
        <v>6</v>
      </c>
      <c r="G904" s="1">
        <f t="shared" si="249"/>
        <v>1427</v>
      </c>
      <c r="H904" s="2">
        <f t="shared" si="256"/>
        <v>6.1535144458818455E-2</v>
      </c>
      <c r="I904" s="6"/>
      <c r="J904" s="2">
        <f t="shared" si="250"/>
        <v>0.50288917636912467</v>
      </c>
      <c r="K904" s="2">
        <f t="shared" si="251"/>
        <v>0.44135403191030614</v>
      </c>
      <c r="L904" s="2">
        <f t="shared" si="252"/>
        <v>3.0185424752048295E-4</v>
      </c>
      <c r="M904" s="2">
        <f t="shared" si="253"/>
        <v>5.5454937473048707E-2</v>
      </c>
      <c r="N904" s="63">
        <v>11662</v>
      </c>
      <c r="O904" s="63">
        <v>10235</v>
      </c>
      <c r="P904" s="63">
        <v>7</v>
      </c>
      <c r="Q904" s="63">
        <v>811</v>
      </c>
      <c r="R904" s="63">
        <v>236</v>
      </c>
      <c r="S904" s="63"/>
      <c r="T904" s="63"/>
      <c r="U904" s="63"/>
      <c r="V904" s="63"/>
      <c r="W904" s="63">
        <f t="shared" si="254"/>
        <v>239</v>
      </c>
      <c r="X904" s="63"/>
      <c r="Y904" s="63"/>
      <c r="Z904" s="63"/>
      <c r="AA904" s="63">
        <v>0</v>
      </c>
      <c r="AB904" s="63"/>
      <c r="AE904" s="8">
        <v>0</v>
      </c>
      <c r="AT904" t="str">
        <f t="shared" si="257"/>
        <v>Methuen</v>
      </c>
      <c r="AU904" t="s">
        <v>842</v>
      </c>
      <c r="AV904">
        <v>3</v>
      </c>
      <c r="AX904" s="114">
        <v>25</v>
      </c>
      <c r="AY904" s="116">
        <v>9</v>
      </c>
      <c r="AZ904" s="116">
        <v>95</v>
      </c>
      <c r="BA904" s="120">
        <v>40710</v>
      </c>
      <c r="BB904" s="120">
        <f t="shared" si="258"/>
        <v>25009</v>
      </c>
      <c r="BC904" t="s">
        <v>1249</v>
      </c>
      <c r="BD904">
        <f t="shared" si="255"/>
        <v>2540710</v>
      </c>
      <c r="BE904" s="66">
        <v>394</v>
      </c>
      <c r="BF904" s="66"/>
      <c r="BI904">
        <v>23.08</v>
      </c>
      <c r="BJ904">
        <v>0.68</v>
      </c>
      <c r="BK904">
        <v>22.4</v>
      </c>
      <c r="BQ904">
        <v>239</v>
      </c>
      <c r="BS904">
        <v>0</v>
      </c>
    </row>
    <row r="905" spans="1:71" hidden="1" outlineLevel="1">
      <c r="A905" s="64" t="s">
        <v>5</v>
      </c>
      <c r="B905" s="8" t="s">
        <v>1320</v>
      </c>
      <c r="C905" s="1">
        <f t="shared" si="247"/>
        <v>12438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 t="shared" si="248"/>
        <v>6</v>
      </c>
      <c r="G905" s="1">
        <f t="shared" si="249"/>
        <v>1746</v>
      </c>
      <c r="H905" s="2">
        <f t="shared" si="256"/>
        <v>0.14037626628075253</v>
      </c>
      <c r="I905" s="6"/>
      <c r="J905" s="2">
        <f t="shared" si="250"/>
        <v>0.3888888888888889</v>
      </c>
      <c r="K905" s="2">
        <f t="shared" si="251"/>
        <v>0.52926515516964145</v>
      </c>
      <c r="L905" s="2">
        <f t="shared" si="252"/>
        <v>2.41196333815726E-3</v>
      </c>
      <c r="M905" s="2">
        <f t="shared" si="253"/>
        <v>7.943399260331245E-2</v>
      </c>
      <c r="N905" s="63">
        <v>4837</v>
      </c>
      <c r="O905" s="63">
        <v>6583</v>
      </c>
      <c r="P905" s="63">
        <v>30</v>
      </c>
      <c r="Q905" s="63">
        <v>676</v>
      </c>
      <c r="R905" s="63">
        <v>164</v>
      </c>
      <c r="S905" s="63"/>
      <c r="T905" s="63"/>
      <c r="U905" s="63"/>
      <c r="V905" s="63"/>
      <c r="W905" s="63">
        <f t="shared" si="254"/>
        <v>148</v>
      </c>
      <c r="X905" s="63"/>
      <c r="Y905" s="63"/>
      <c r="Z905" s="63"/>
      <c r="AA905" s="63">
        <v>0</v>
      </c>
      <c r="AB905" s="63"/>
      <c r="AE905" s="8">
        <v>0</v>
      </c>
      <c r="AT905" t="str">
        <f t="shared" si="257"/>
        <v>Middleborough</v>
      </c>
      <c r="AU905" t="s">
        <v>231</v>
      </c>
      <c r="AV905">
        <v>9</v>
      </c>
      <c r="AX905" s="114">
        <v>25</v>
      </c>
      <c r="AY905" s="116">
        <v>23</v>
      </c>
      <c r="AZ905" s="116">
        <v>85</v>
      </c>
      <c r="BA905" s="120">
        <v>40850</v>
      </c>
      <c r="BB905" s="120">
        <f t="shared" si="258"/>
        <v>25023</v>
      </c>
      <c r="BC905" t="s">
        <v>1472</v>
      </c>
      <c r="BD905">
        <f t="shared" si="255"/>
        <v>2540850</v>
      </c>
      <c r="BE905" s="66">
        <v>217</v>
      </c>
      <c r="BF905" s="66"/>
      <c r="BI905">
        <v>72.3</v>
      </c>
      <c r="BJ905">
        <v>2.75</v>
      </c>
      <c r="BK905">
        <v>69.55</v>
      </c>
      <c r="BQ905">
        <v>148</v>
      </c>
      <c r="BS905">
        <v>0</v>
      </c>
    </row>
    <row r="906" spans="1:71" hidden="1" outlineLevel="1">
      <c r="A906" s="64" t="s">
        <v>14</v>
      </c>
      <c r="B906" s="8" t="s">
        <v>1320</v>
      </c>
      <c r="C906" s="1">
        <f t="shared" si="247"/>
        <v>302</v>
      </c>
      <c r="D906" s="5">
        <f>IF(N906&gt;0, RANK(N906,(N906:P906,Q906:AE906)),0)</f>
        <v>1</v>
      </c>
      <c r="E906" s="5">
        <f>IF(O906&gt;0,RANK(O906,(N906:P906,Q906:AE906)),0)</f>
        <v>2</v>
      </c>
      <c r="F906" s="5">
        <f t="shared" si="248"/>
        <v>6</v>
      </c>
      <c r="G906" s="1">
        <f t="shared" si="249"/>
        <v>40</v>
      </c>
      <c r="H906" s="2">
        <f t="shared" si="256"/>
        <v>0.13245033112582782</v>
      </c>
      <c r="I906" s="6"/>
      <c r="J906" s="2">
        <f t="shared" si="250"/>
        <v>0.51324503311258274</v>
      </c>
      <c r="K906" s="2">
        <f t="shared" si="251"/>
        <v>0.38079470198675497</v>
      </c>
      <c r="L906" s="2">
        <f t="shared" si="252"/>
        <v>3.3112582781456954E-3</v>
      </c>
      <c r="M906" s="2">
        <f t="shared" si="253"/>
        <v>0.10264900662251659</v>
      </c>
      <c r="N906" s="63">
        <v>155</v>
      </c>
      <c r="O906" s="63">
        <v>115</v>
      </c>
      <c r="P906" s="63">
        <v>1</v>
      </c>
      <c r="Q906" s="63">
        <v>16</v>
      </c>
      <c r="R906" s="63">
        <v>10</v>
      </c>
      <c r="S906" s="63"/>
      <c r="T906" s="63"/>
      <c r="U906" s="63"/>
      <c r="V906" s="63"/>
      <c r="W906" s="63">
        <f t="shared" si="254"/>
        <v>5</v>
      </c>
      <c r="X906" s="63"/>
      <c r="Y906" s="63"/>
      <c r="Z906" s="63"/>
      <c r="AA906" s="63">
        <v>0</v>
      </c>
      <c r="AB906" s="63"/>
      <c r="AE906" s="8">
        <v>0</v>
      </c>
      <c r="AT906" t="str">
        <f t="shared" si="257"/>
        <v>Middlefield</v>
      </c>
      <c r="AU906" t="s">
        <v>2176</v>
      </c>
      <c r="AV906">
        <v>1</v>
      </c>
      <c r="AX906" s="114">
        <v>25</v>
      </c>
      <c r="AY906" s="116">
        <v>15</v>
      </c>
      <c r="AZ906" s="116">
        <v>55</v>
      </c>
      <c r="BA906" s="120">
        <v>40990</v>
      </c>
      <c r="BB906" s="120">
        <f t="shared" si="258"/>
        <v>25015</v>
      </c>
      <c r="BC906" t="s">
        <v>1472</v>
      </c>
      <c r="BD906">
        <f t="shared" si="255"/>
        <v>2540990</v>
      </c>
      <c r="BE906" s="66">
        <v>5</v>
      </c>
      <c r="BF906" s="66"/>
      <c r="BI906">
        <v>24.16</v>
      </c>
      <c r="BJ906">
        <v>0.01</v>
      </c>
      <c r="BK906">
        <v>24.16</v>
      </c>
      <c r="BQ906">
        <v>5</v>
      </c>
      <c r="BS906">
        <v>0</v>
      </c>
    </row>
    <row r="907" spans="1:71" hidden="1" outlineLevel="1">
      <c r="A907" s="64" t="s">
        <v>2497</v>
      </c>
      <c r="B907" s="8" t="s">
        <v>1320</v>
      </c>
      <c r="C907" s="1">
        <f t="shared" si="247"/>
        <v>5135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 t="shared" si="248"/>
        <v>0</v>
      </c>
      <c r="G907" s="1">
        <f t="shared" si="249"/>
        <v>504</v>
      </c>
      <c r="H907" s="2">
        <f t="shared" si="256"/>
        <v>9.814995131450828E-2</v>
      </c>
      <c r="I907" s="6"/>
      <c r="J907" s="2">
        <f t="shared" si="250"/>
        <v>0.42044790652385589</v>
      </c>
      <c r="K907" s="2">
        <f t="shared" si="251"/>
        <v>0.51859785783836421</v>
      </c>
      <c r="L907" s="2">
        <f t="shared" si="252"/>
        <v>0</v>
      </c>
      <c r="M907" s="2">
        <f t="shared" si="253"/>
        <v>6.0954235637779908E-2</v>
      </c>
      <c r="N907" s="63">
        <v>2159</v>
      </c>
      <c r="O907" s="63">
        <v>2663</v>
      </c>
      <c r="P907" s="63">
        <v>0</v>
      </c>
      <c r="Q907" s="63">
        <v>192</v>
      </c>
      <c r="R907" s="63">
        <v>33</v>
      </c>
      <c r="S907" s="63"/>
      <c r="T907" s="63"/>
      <c r="U907" s="63"/>
      <c r="V907" s="63"/>
      <c r="W907" s="63">
        <f t="shared" si="254"/>
        <v>88</v>
      </c>
      <c r="X907" s="63"/>
      <c r="Y907" s="63"/>
      <c r="Z907" s="63"/>
      <c r="AA907" s="63">
        <v>0</v>
      </c>
      <c r="AB907" s="63"/>
      <c r="AE907" s="8">
        <v>0</v>
      </c>
      <c r="AT907" t="str">
        <f t="shared" si="257"/>
        <v>Middleton</v>
      </c>
      <c r="AU907" t="s">
        <v>842</v>
      </c>
      <c r="AV907">
        <v>6</v>
      </c>
      <c r="AX907" s="114">
        <v>25</v>
      </c>
      <c r="AY907" s="116">
        <v>9</v>
      </c>
      <c r="AZ907" s="116">
        <v>100</v>
      </c>
      <c r="BA907" s="120">
        <v>41095</v>
      </c>
      <c r="BB907" s="120">
        <f t="shared" si="258"/>
        <v>25009</v>
      </c>
      <c r="BC907" t="s">
        <v>1472</v>
      </c>
      <c r="BD907">
        <f t="shared" si="255"/>
        <v>2541095</v>
      </c>
      <c r="BE907" s="66">
        <v>76</v>
      </c>
      <c r="BF907" s="66"/>
      <c r="BI907">
        <v>14.44</v>
      </c>
      <c r="BJ907">
        <v>0.48</v>
      </c>
      <c r="BK907">
        <v>13.97</v>
      </c>
      <c r="BQ907">
        <v>88</v>
      </c>
      <c r="BS907">
        <v>0</v>
      </c>
    </row>
    <row r="908" spans="1:71" hidden="1" outlineLevel="1">
      <c r="A908" s="64" t="s">
        <v>139</v>
      </c>
      <c r="B908" s="8" t="s">
        <v>1320</v>
      </c>
      <c r="C908" s="1">
        <f t="shared" si="247"/>
        <v>13594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 t="shared" si="248"/>
        <v>0</v>
      </c>
      <c r="G908" s="1">
        <f t="shared" si="249"/>
        <v>2133</v>
      </c>
      <c r="H908" s="2">
        <f t="shared" si="256"/>
        <v>0.15690745917316462</v>
      </c>
      <c r="I908" s="6"/>
      <c r="J908" s="2">
        <f t="shared" si="250"/>
        <v>0.54215094894806537</v>
      </c>
      <c r="K908" s="2">
        <f t="shared" si="251"/>
        <v>0.38524348977490069</v>
      </c>
      <c r="L908" s="2">
        <f t="shared" si="252"/>
        <v>0</v>
      </c>
      <c r="M908" s="2">
        <f t="shared" si="253"/>
        <v>7.2605561277033936E-2</v>
      </c>
      <c r="N908" s="63">
        <v>7370</v>
      </c>
      <c r="O908" s="63">
        <v>5237</v>
      </c>
      <c r="P908" s="63">
        <v>0</v>
      </c>
      <c r="Q908" s="63">
        <v>601</v>
      </c>
      <c r="R908" s="63">
        <v>159</v>
      </c>
      <c r="S908" s="63"/>
      <c r="T908" s="63"/>
      <c r="U908" s="63"/>
      <c r="V908" s="63"/>
      <c r="W908" s="63">
        <f t="shared" si="254"/>
        <v>227</v>
      </c>
      <c r="X908" s="63"/>
      <c r="Y908" s="63"/>
      <c r="Z908" s="63"/>
      <c r="AA908" s="63">
        <v>0</v>
      </c>
      <c r="AB908" s="63"/>
      <c r="AE908" s="8">
        <v>0</v>
      </c>
      <c r="AT908" t="str">
        <f t="shared" si="257"/>
        <v>Milford</v>
      </c>
      <c r="AU908" s="8" t="s">
        <v>1774</v>
      </c>
      <c r="AV908">
        <v>4</v>
      </c>
      <c r="AX908" s="114">
        <v>25</v>
      </c>
      <c r="AY908" s="116">
        <v>27</v>
      </c>
      <c r="AZ908" s="116">
        <v>140</v>
      </c>
      <c r="BA908" s="120">
        <v>41165</v>
      </c>
      <c r="BB908" s="120">
        <f t="shared" si="258"/>
        <v>25027</v>
      </c>
      <c r="BC908" t="s">
        <v>1472</v>
      </c>
      <c r="BD908">
        <f t="shared" si="255"/>
        <v>2541165</v>
      </c>
      <c r="BE908" s="66">
        <v>232</v>
      </c>
      <c r="BF908" s="66"/>
      <c r="BI908">
        <v>14.87</v>
      </c>
      <c r="BJ908">
        <v>0.27</v>
      </c>
      <c r="BK908">
        <v>14.6</v>
      </c>
      <c r="BQ908">
        <v>227</v>
      </c>
      <c r="BS908">
        <v>0</v>
      </c>
    </row>
    <row r="909" spans="1:71" hidden="1" outlineLevel="1">
      <c r="A909" s="64" t="s">
        <v>309</v>
      </c>
      <c r="B909" s="8" t="s">
        <v>1320</v>
      </c>
      <c r="C909" s="1">
        <f t="shared" si="247"/>
        <v>7166</v>
      </c>
      <c r="D909" s="5">
        <f>IF(N909&gt;0, RANK(N909,(N909:P909,Q909:AE909)),0)</f>
        <v>2</v>
      </c>
      <c r="E909" s="5">
        <f>IF(O909&gt;0,RANK(O909,(N909:P909,Q909:AE909)),0)</f>
        <v>1</v>
      </c>
      <c r="F909" s="5">
        <f t="shared" si="248"/>
        <v>0</v>
      </c>
      <c r="G909" s="1">
        <f t="shared" si="249"/>
        <v>283</v>
      </c>
      <c r="H909" s="2">
        <f t="shared" si="256"/>
        <v>3.9492045771699694E-2</v>
      </c>
      <c r="I909" s="6"/>
      <c r="J909" s="2">
        <f t="shared" si="250"/>
        <v>0.4412503488696623</v>
      </c>
      <c r="K909" s="2">
        <f t="shared" si="251"/>
        <v>0.48074239464136198</v>
      </c>
      <c r="L909" s="2">
        <f t="shared" si="252"/>
        <v>0</v>
      </c>
      <c r="M909" s="2">
        <f t="shared" si="253"/>
        <v>7.8007256488975718E-2</v>
      </c>
      <c r="N909" s="63">
        <v>3162</v>
      </c>
      <c r="O909" s="63">
        <v>3445</v>
      </c>
      <c r="P909" s="63">
        <v>0</v>
      </c>
      <c r="Q909" s="63">
        <v>394</v>
      </c>
      <c r="R909" s="63">
        <v>83</v>
      </c>
      <c r="S909" s="63"/>
      <c r="T909" s="63"/>
      <c r="U909" s="63"/>
      <c r="V909" s="63"/>
      <c r="W909" s="63">
        <f t="shared" si="254"/>
        <v>82</v>
      </c>
      <c r="X909" s="63"/>
      <c r="Y909" s="63"/>
      <c r="Z909" s="63"/>
      <c r="AA909" s="63">
        <v>0</v>
      </c>
      <c r="AB909" s="63"/>
      <c r="AE909" s="8">
        <v>0</v>
      </c>
      <c r="AT909" t="str">
        <f t="shared" si="257"/>
        <v>Millbury</v>
      </c>
      <c r="AU909" s="8" t="s">
        <v>1774</v>
      </c>
      <c r="AV909">
        <v>2</v>
      </c>
      <c r="AX909" s="114">
        <v>25</v>
      </c>
      <c r="AY909" s="116">
        <v>27</v>
      </c>
      <c r="AZ909" s="116">
        <v>145</v>
      </c>
      <c r="BA909" s="120">
        <v>41340</v>
      </c>
      <c r="BB909" s="120">
        <f t="shared" si="258"/>
        <v>25027</v>
      </c>
      <c r="BC909" t="s">
        <v>1472</v>
      </c>
      <c r="BD909">
        <f t="shared" si="255"/>
        <v>2541340</v>
      </c>
      <c r="BE909" s="66">
        <v>122</v>
      </c>
      <c r="BF909" s="66"/>
      <c r="BI909">
        <v>16.260000000000002</v>
      </c>
      <c r="BJ909">
        <v>0.52</v>
      </c>
      <c r="BK909">
        <v>15.73</v>
      </c>
      <c r="BQ909">
        <v>82</v>
      </c>
      <c r="BS909">
        <v>0</v>
      </c>
    </row>
    <row r="910" spans="1:71" hidden="1" outlineLevel="1">
      <c r="A910" s="64" t="s">
        <v>136</v>
      </c>
      <c r="B910" s="8" t="s">
        <v>1320</v>
      </c>
      <c r="C910" s="1">
        <f t="shared" si="247"/>
        <v>4968</v>
      </c>
      <c r="D910" s="5">
        <f>IF(N910&gt;0, RANK(N910,(N910:P910,Q910:AE910)),0)</f>
        <v>1</v>
      </c>
      <c r="E910" s="5">
        <f>IF(O910&gt;0,RANK(O910,(N910:P910,Q910:AE910)),0)</f>
        <v>2</v>
      </c>
      <c r="F910" s="5">
        <f t="shared" si="248"/>
        <v>6</v>
      </c>
      <c r="G910" s="1">
        <f t="shared" si="249"/>
        <v>730</v>
      </c>
      <c r="H910" s="2">
        <f t="shared" si="256"/>
        <v>0.1469404186795491</v>
      </c>
      <c r="I910" s="6"/>
      <c r="J910" s="2">
        <f t="shared" si="250"/>
        <v>0.52737520128824478</v>
      </c>
      <c r="K910" s="2">
        <f t="shared" si="251"/>
        <v>0.38043478260869568</v>
      </c>
      <c r="L910" s="2">
        <f t="shared" si="252"/>
        <v>2.2141706924315619E-3</v>
      </c>
      <c r="M910" s="2">
        <f t="shared" si="253"/>
        <v>8.9975845410627989E-2</v>
      </c>
      <c r="N910" s="63">
        <v>2620</v>
      </c>
      <c r="O910" s="63">
        <v>1890</v>
      </c>
      <c r="P910" s="63">
        <v>11</v>
      </c>
      <c r="Q910" s="63">
        <v>309</v>
      </c>
      <c r="R910" s="63">
        <v>58</v>
      </c>
      <c r="S910" s="63"/>
      <c r="T910" s="63"/>
      <c r="U910" s="63"/>
      <c r="V910" s="63"/>
      <c r="W910" s="63">
        <f t="shared" si="254"/>
        <v>80</v>
      </c>
      <c r="X910" s="63"/>
      <c r="Y910" s="63"/>
      <c r="Z910" s="63"/>
      <c r="AA910" s="63">
        <v>0</v>
      </c>
      <c r="AB910" s="63"/>
      <c r="AE910" s="8">
        <v>0</v>
      </c>
      <c r="AT910" t="str">
        <f t="shared" si="257"/>
        <v>Millis</v>
      </c>
      <c r="AU910" t="s">
        <v>753</v>
      </c>
      <c r="AV910">
        <v>4</v>
      </c>
      <c r="AX910" s="114">
        <v>25</v>
      </c>
      <c r="AY910" s="116">
        <v>21</v>
      </c>
      <c r="AZ910" s="116">
        <v>70</v>
      </c>
      <c r="BA910" s="120">
        <v>41515</v>
      </c>
      <c r="BB910" s="120">
        <f t="shared" si="258"/>
        <v>25021</v>
      </c>
      <c r="BC910" t="s">
        <v>1472</v>
      </c>
      <c r="BD910">
        <f t="shared" si="255"/>
        <v>2541515</v>
      </c>
      <c r="BE910" s="66">
        <v>82</v>
      </c>
      <c r="BF910" s="66"/>
      <c r="BI910">
        <v>12.26</v>
      </c>
      <c r="BJ910">
        <v>0.11</v>
      </c>
      <c r="BK910">
        <v>12.16</v>
      </c>
      <c r="BQ910">
        <v>80</v>
      </c>
      <c r="BS910">
        <v>0</v>
      </c>
    </row>
    <row r="911" spans="1:71" hidden="1" outlineLevel="1">
      <c r="A911" s="64" t="s">
        <v>1117</v>
      </c>
      <c r="B911" s="8" t="s">
        <v>1320</v>
      </c>
      <c r="C911" s="1">
        <f t="shared" si="247"/>
        <v>1634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 t="shared" si="248"/>
        <v>0</v>
      </c>
      <c r="G911" s="1">
        <f t="shared" si="249"/>
        <v>250</v>
      </c>
      <c r="H911" s="2">
        <f t="shared" si="256"/>
        <v>0.15299877600979192</v>
      </c>
      <c r="I911" s="6"/>
      <c r="J911" s="2">
        <f t="shared" si="250"/>
        <v>0.38188494492044062</v>
      </c>
      <c r="K911" s="2">
        <f t="shared" si="251"/>
        <v>0.53488372093023251</v>
      </c>
      <c r="L911" s="2">
        <f t="shared" si="252"/>
        <v>0</v>
      </c>
      <c r="M911" s="2">
        <f t="shared" si="253"/>
        <v>8.3231334149326819E-2</v>
      </c>
      <c r="N911" s="63">
        <v>624</v>
      </c>
      <c r="O911" s="63">
        <v>874</v>
      </c>
      <c r="P911" s="63">
        <v>0</v>
      </c>
      <c r="Q911" s="63">
        <v>103</v>
      </c>
      <c r="R911" s="63">
        <v>28</v>
      </c>
      <c r="S911" s="63"/>
      <c r="T911" s="63"/>
      <c r="U911" s="63"/>
      <c r="V911" s="63"/>
      <c r="W911" s="63">
        <f t="shared" si="254"/>
        <v>5</v>
      </c>
      <c r="X911" s="63"/>
      <c r="Y911" s="63"/>
      <c r="Z911" s="63"/>
      <c r="AA911" s="63">
        <v>0</v>
      </c>
      <c r="AB911" s="63"/>
      <c r="AE911" s="8">
        <v>0</v>
      </c>
      <c r="AT911" t="str">
        <f t="shared" si="257"/>
        <v>Millville</v>
      </c>
      <c r="AU911" s="8" t="s">
        <v>1774</v>
      </c>
      <c r="AV911">
        <v>2</v>
      </c>
      <c r="AX911" s="114">
        <v>25</v>
      </c>
      <c r="AY911" s="116">
        <v>27</v>
      </c>
      <c r="AZ911" s="116">
        <v>150</v>
      </c>
      <c r="BA911" s="120">
        <v>41585</v>
      </c>
      <c r="BB911" s="120">
        <f t="shared" si="258"/>
        <v>25027</v>
      </c>
      <c r="BC911" t="s">
        <v>1472</v>
      </c>
      <c r="BD911">
        <f t="shared" si="255"/>
        <v>2541585</v>
      </c>
      <c r="BE911" s="66">
        <v>38</v>
      </c>
      <c r="BF911" s="66"/>
      <c r="BI911">
        <v>5</v>
      </c>
      <c r="BJ911">
        <v>7.0000000000000007E-2</v>
      </c>
      <c r="BK911">
        <v>4.93</v>
      </c>
      <c r="BQ911">
        <v>5</v>
      </c>
      <c r="BS911">
        <v>0</v>
      </c>
    </row>
    <row r="912" spans="1:71" hidden="1" outlineLevel="1">
      <c r="A912" s="64" t="s">
        <v>735</v>
      </c>
      <c r="B912" s="8" t="s">
        <v>1320</v>
      </c>
      <c r="C912" s="1">
        <f t="shared" si="247"/>
        <v>16097</v>
      </c>
      <c r="D912" s="5">
        <f>IF(N912&gt;0, RANK(N912,(N912:P912,Q912:AE912)),0)</f>
        <v>1</v>
      </c>
      <c r="E912" s="5">
        <f>IF(O912&gt;0,RANK(O912,(N912:P912,Q912:AE912)),0)</f>
        <v>2</v>
      </c>
      <c r="F912" s="5">
        <f t="shared" si="248"/>
        <v>0</v>
      </c>
      <c r="G912" s="1">
        <f t="shared" si="249"/>
        <v>6466</v>
      </c>
      <c r="H912" s="2">
        <f t="shared" si="256"/>
        <v>0.40168975585512828</v>
      </c>
      <c r="I912" s="6"/>
      <c r="J912" s="2">
        <f t="shared" si="250"/>
        <v>0.66795054979188673</v>
      </c>
      <c r="K912" s="2">
        <f t="shared" si="251"/>
        <v>0.26626079393675839</v>
      </c>
      <c r="L912" s="2">
        <f t="shared" si="252"/>
        <v>0</v>
      </c>
      <c r="M912" s="2">
        <f t="shared" si="253"/>
        <v>6.5788656271354884E-2</v>
      </c>
      <c r="N912" s="63">
        <v>10752</v>
      </c>
      <c r="O912" s="63">
        <v>4286</v>
      </c>
      <c r="P912" s="63">
        <v>0</v>
      </c>
      <c r="Q912" s="63">
        <v>595</v>
      </c>
      <c r="R912" s="63">
        <v>149</v>
      </c>
      <c r="S912" s="63"/>
      <c r="T912" s="63"/>
      <c r="U912" s="63"/>
      <c r="V912" s="63"/>
      <c r="W912" s="63">
        <f t="shared" si="254"/>
        <v>315</v>
      </c>
      <c r="X912" s="63"/>
      <c r="Y912" s="63"/>
      <c r="Z912" s="63"/>
      <c r="AA912" s="63">
        <v>0</v>
      </c>
      <c r="AB912" s="63"/>
      <c r="AE912" s="8">
        <v>0</v>
      </c>
      <c r="AT912" t="str">
        <f t="shared" si="257"/>
        <v>Milton</v>
      </c>
      <c r="AU912" t="s">
        <v>753</v>
      </c>
      <c r="AX912" s="114">
        <v>25</v>
      </c>
      <c r="AY912" s="116">
        <v>21</v>
      </c>
      <c r="AZ912" s="116">
        <v>75</v>
      </c>
      <c r="BA912" s="120">
        <v>41690</v>
      </c>
      <c r="BB912" s="120">
        <f t="shared" si="258"/>
        <v>25021</v>
      </c>
      <c r="BC912" t="s">
        <v>1472</v>
      </c>
      <c r="BD912">
        <f t="shared" si="255"/>
        <v>2541690</v>
      </c>
      <c r="BE912" s="66">
        <v>265</v>
      </c>
      <c r="BF912" s="66"/>
      <c r="BI912">
        <v>13.28</v>
      </c>
      <c r="BJ912">
        <v>0.24</v>
      </c>
      <c r="BK912">
        <v>13.04</v>
      </c>
      <c r="BQ912">
        <v>315</v>
      </c>
      <c r="BS912">
        <v>0</v>
      </c>
    </row>
    <row r="913" spans="1:71" hidden="1" outlineLevel="1">
      <c r="A913" s="64" t="s">
        <v>644</v>
      </c>
      <c r="B913" s="8" t="s">
        <v>1320</v>
      </c>
      <c r="C913" s="1">
        <f t="shared" si="247"/>
        <v>59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 t="shared" si="248"/>
        <v>0</v>
      </c>
      <c r="G913" s="1">
        <f t="shared" si="249"/>
        <v>1</v>
      </c>
      <c r="H913" s="2">
        <f t="shared" si="256"/>
        <v>1.6949152542372881E-2</v>
      </c>
      <c r="I913" s="6"/>
      <c r="J913" s="2">
        <f t="shared" si="250"/>
        <v>0.42372881355932202</v>
      </c>
      <c r="K913" s="2">
        <f t="shared" si="251"/>
        <v>0.44067796610169491</v>
      </c>
      <c r="L913" s="2">
        <f t="shared" si="252"/>
        <v>0</v>
      </c>
      <c r="M913" s="2">
        <f t="shared" si="253"/>
        <v>0.13559322033898308</v>
      </c>
      <c r="N913" s="63">
        <v>25</v>
      </c>
      <c r="O913" s="63">
        <v>26</v>
      </c>
      <c r="P913" s="63">
        <v>0</v>
      </c>
      <c r="Q913" s="63">
        <v>5</v>
      </c>
      <c r="R913" s="63">
        <v>2</v>
      </c>
      <c r="S913" s="63"/>
      <c r="T913" s="63"/>
      <c r="U913" s="63"/>
      <c r="V913" s="63"/>
      <c r="W913" s="63">
        <f t="shared" si="254"/>
        <v>1</v>
      </c>
      <c r="X913" s="63"/>
      <c r="Y913" s="63"/>
      <c r="Z913" s="63"/>
      <c r="AA913" s="63">
        <v>0</v>
      </c>
      <c r="AB913" s="63"/>
      <c r="AE913" s="8">
        <v>0</v>
      </c>
      <c r="AT913" t="str">
        <f t="shared" si="257"/>
        <v>Monroe</v>
      </c>
      <c r="AU913" t="s">
        <v>1138</v>
      </c>
      <c r="AV913">
        <v>1</v>
      </c>
      <c r="AX913" s="114">
        <v>25</v>
      </c>
      <c r="AY913" s="116">
        <v>11</v>
      </c>
      <c r="AZ913" s="116">
        <v>75</v>
      </c>
      <c r="BA913" s="120">
        <v>42040</v>
      </c>
      <c r="BB913" s="120">
        <f t="shared" si="258"/>
        <v>25011</v>
      </c>
      <c r="BC913" t="s">
        <v>1472</v>
      </c>
      <c r="BD913">
        <f t="shared" si="255"/>
        <v>2542040</v>
      </c>
      <c r="BE913" s="66">
        <v>0</v>
      </c>
      <c r="BF913" s="66"/>
      <c r="BI913">
        <v>10.78</v>
      </c>
      <c r="BJ913">
        <v>7.0000000000000007E-2</v>
      </c>
      <c r="BK913">
        <v>10.71</v>
      </c>
      <c r="BQ913">
        <v>1</v>
      </c>
      <c r="BS913">
        <v>0</v>
      </c>
    </row>
    <row r="914" spans="1:71" hidden="1" outlineLevel="1">
      <c r="A914" s="64" t="s">
        <v>448</v>
      </c>
      <c r="B914" s="8" t="s">
        <v>1320</v>
      </c>
      <c r="C914" s="1">
        <f t="shared" si="247"/>
        <v>4618</v>
      </c>
      <c r="D914" s="5">
        <f>IF(N914&gt;0, RANK(N914,(N914:P914,Q914:AE914)),0)</f>
        <v>2</v>
      </c>
      <c r="E914" s="5">
        <f>IF(O914&gt;0,RANK(O914,(N914:P914,Q914:AE914)),0)</f>
        <v>1</v>
      </c>
      <c r="F914" s="5">
        <f t="shared" si="248"/>
        <v>0</v>
      </c>
      <c r="G914" s="1">
        <f t="shared" si="249"/>
        <v>337</v>
      </c>
      <c r="H914" s="2">
        <f t="shared" si="256"/>
        <v>7.2975313988739715E-2</v>
      </c>
      <c r="I914" s="6"/>
      <c r="J914" s="2">
        <f t="shared" si="250"/>
        <v>0.41619748809008228</v>
      </c>
      <c r="K914" s="2">
        <f t="shared" si="251"/>
        <v>0.48917280207882202</v>
      </c>
      <c r="L914" s="2">
        <f t="shared" si="252"/>
        <v>0</v>
      </c>
      <c r="M914" s="2">
        <f t="shared" si="253"/>
        <v>9.4629709831095699E-2</v>
      </c>
      <c r="N914" s="63">
        <v>1922</v>
      </c>
      <c r="O914" s="63">
        <v>2259</v>
      </c>
      <c r="P914" s="63">
        <v>0</v>
      </c>
      <c r="Q914" s="63">
        <v>245</v>
      </c>
      <c r="R914" s="63">
        <v>108</v>
      </c>
      <c r="S914" s="63"/>
      <c r="T914" s="63"/>
      <c r="U914" s="63"/>
      <c r="V914" s="63"/>
      <c r="W914" s="63">
        <f t="shared" si="254"/>
        <v>84</v>
      </c>
      <c r="X914" s="63"/>
      <c r="Y914" s="63"/>
      <c r="Z914" s="63"/>
      <c r="AA914" s="63">
        <v>0</v>
      </c>
      <c r="AB914" s="63"/>
      <c r="AE914" s="8">
        <v>0</v>
      </c>
      <c r="AT914" t="str">
        <f t="shared" si="257"/>
        <v>Monson</v>
      </c>
      <c r="AU914" t="s">
        <v>2852</v>
      </c>
      <c r="AV914">
        <v>1</v>
      </c>
      <c r="AX914" s="114">
        <v>25</v>
      </c>
      <c r="AY914" s="116">
        <v>13</v>
      </c>
      <c r="AZ914" s="116">
        <v>65</v>
      </c>
      <c r="BA914" s="120">
        <v>42145</v>
      </c>
      <c r="BB914" s="120">
        <f t="shared" si="258"/>
        <v>25013</v>
      </c>
      <c r="BC914" t="s">
        <v>1472</v>
      </c>
      <c r="BD914">
        <f t="shared" si="255"/>
        <v>2542145</v>
      </c>
      <c r="BE914" s="66">
        <v>62</v>
      </c>
      <c r="BF914" s="66"/>
      <c r="BI914">
        <v>44.82</v>
      </c>
      <c r="BJ914">
        <v>0.54</v>
      </c>
      <c r="BK914">
        <v>44.28</v>
      </c>
      <c r="BQ914">
        <v>84</v>
      </c>
      <c r="BS914">
        <v>0</v>
      </c>
    </row>
    <row r="915" spans="1:71" hidden="1" outlineLevel="1">
      <c r="A915" s="64" t="s">
        <v>686</v>
      </c>
      <c r="B915" s="8" t="s">
        <v>1320</v>
      </c>
      <c r="C915" s="1">
        <f t="shared" si="247"/>
        <v>4401</v>
      </c>
      <c r="D915" s="5">
        <f>IF(N915&gt;0, RANK(N915,(N915:P915,Q915:AE915)),0)</f>
        <v>1</v>
      </c>
      <c r="E915" s="5">
        <f>IF(O915&gt;0,RANK(O915,(N915:P915,Q915:AE915)),0)</f>
        <v>2</v>
      </c>
      <c r="F915" s="5">
        <f t="shared" si="248"/>
        <v>0</v>
      </c>
      <c r="G915" s="1">
        <f t="shared" si="249"/>
        <v>1763</v>
      </c>
      <c r="H915" s="2">
        <f t="shared" si="256"/>
        <v>0.40059077482390365</v>
      </c>
      <c r="I915" s="6"/>
      <c r="J915" s="2">
        <f t="shared" si="250"/>
        <v>0.64939786412179046</v>
      </c>
      <c r="K915" s="2">
        <f t="shared" si="251"/>
        <v>0.24880708929788684</v>
      </c>
      <c r="L915" s="2">
        <f t="shared" si="252"/>
        <v>0</v>
      </c>
      <c r="M915" s="2">
        <f t="shared" si="253"/>
        <v>0.10179504658032271</v>
      </c>
      <c r="N915" s="63">
        <v>2858</v>
      </c>
      <c r="O915" s="63">
        <v>1095</v>
      </c>
      <c r="P915" s="63">
        <v>0</v>
      </c>
      <c r="Q915" s="63">
        <v>213</v>
      </c>
      <c r="R915" s="63">
        <v>181</v>
      </c>
      <c r="S915" s="63"/>
      <c r="T915" s="63"/>
      <c r="U915" s="63"/>
      <c r="V915" s="63"/>
      <c r="W915" s="63">
        <f t="shared" si="254"/>
        <v>54</v>
      </c>
      <c r="X915" s="63"/>
      <c r="Y915" s="63"/>
      <c r="Z915" s="63"/>
      <c r="AA915" s="63">
        <v>0</v>
      </c>
      <c r="AB915" s="63"/>
      <c r="AE915" s="8">
        <v>0</v>
      </c>
      <c r="AT915" t="str">
        <f t="shared" si="257"/>
        <v>Montague</v>
      </c>
      <c r="AU915" t="s">
        <v>1138</v>
      </c>
      <c r="AV915">
        <v>2</v>
      </c>
      <c r="AX915" s="114">
        <v>25</v>
      </c>
      <c r="AY915" s="116">
        <v>11</v>
      </c>
      <c r="AZ915" s="116">
        <v>80</v>
      </c>
      <c r="BA915" s="120">
        <v>42285</v>
      </c>
      <c r="BB915" s="120">
        <f t="shared" si="258"/>
        <v>25011</v>
      </c>
      <c r="BC915" t="s">
        <v>1472</v>
      </c>
      <c r="BD915">
        <f t="shared" si="255"/>
        <v>2542285</v>
      </c>
      <c r="BE915" s="66">
        <v>90</v>
      </c>
      <c r="BF915" s="66"/>
      <c r="BI915">
        <v>31.41</v>
      </c>
      <c r="BJ915">
        <v>1.01</v>
      </c>
      <c r="BK915">
        <v>30.4</v>
      </c>
      <c r="BQ915">
        <v>54</v>
      </c>
      <c r="BS915">
        <v>0</v>
      </c>
    </row>
    <row r="916" spans="1:71" hidden="1" outlineLevel="1">
      <c r="A916" s="64" t="s">
        <v>114</v>
      </c>
      <c r="B916" s="8" t="s">
        <v>1320</v>
      </c>
      <c r="C916" s="1">
        <f t="shared" ref="C916:C979" si="259">SUM(N916:AR916)</f>
        <v>543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 t="shared" ref="F916:F979" si="260">IF(P916&gt;0,RANK(P916,(N916:AE916)),0)</f>
        <v>0</v>
      </c>
      <c r="G916" s="1">
        <f t="shared" ref="G916:G979" si="261">IF(C916&gt;0,MAX(N916:P916)-LARGE(N916:P916,2),0)</f>
        <v>329</v>
      </c>
      <c r="H916" s="2">
        <f t="shared" si="256"/>
        <v>0.60589318600368325</v>
      </c>
      <c r="I916" s="6"/>
      <c r="J916" s="2">
        <f t="shared" ref="J916:J979" si="262">IF(C916=0,"-",N916/C916)</f>
        <v>0.76795580110497241</v>
      </c>
      <c r="K916" s="2">
        <f t="shared" ref="K916:K979" si="263">IF(C916=0,"-",O916/C916)</f>
        <v>0.16206261510128914</v>
      </c>
      <c r="L916" s="2">
        <f t="shared" ref="L916:L979" si="264">IF(C916=0,"-",P916/C916)</f>
        <v>0</v>
      </c>
      <c r="M916" s="2">
        <f t="shared" ref="M916:M979" si="265">IF(C916=0,"-",(1-J916-K916-L916))</f>
        <v>6.998158379373845E-2</v>
      </c>
      <c r="N916" s="63">
        <v>417</v>
      </c>
      <c r="O916" s="63">
        <v>88</v>
      </c>
      <c r="P916" s="63">
        <v>0</v>
      </c>
      <c r="Q916" s="63">
        <v>20</v>
      </c>
      <c r="R916" s="63">
        <v>12</v>
      </c>
      <c r="S916" s="63"/>
      <c r="T916" s="63"/>
      <c r="U916" s="63"/>
      <c r="V916" s="63"/>
      <c r="W916" s="63">
        <f t="shared" ref="W916:W979" si="266">SUM(BQ916:BS916)</f>
        <v>6</v>
      </c>
      <c r="X916" s="63"/>
      <c r="Y916" s="63"/>
      <c r="Z916" s="63"/>
      <c r="AA916" s="63">
        <v>0</v>
      </c>
      <c r="AB916" s="63"/>
      <c r="AE916" s="8">
        <v>0</v>
      </c>
      <c r="AT916" t="str">
        <f t="shared" si="257"/>
        <v>Monterey</v>
      </c>
      <c r="AU916" t="s">
        <v>2313</v>
      </c>
      <c r="AV916">
        <v>1</v>
      </c>
      <c r="AX916" s="114">
        <v>25</v>
      </c>
      <c r="AY916" s="116">
        <v>3</v>
      </c>
      <c r="AZ916" s="116">
        <v>75</v>
      </c>
      <c r="BA916" s="120">
        <v>42460</v>
      </c>
      <c r="BB916" s="120">
        <f t="shared" si="258"/>
        <v>25003</v>
      </c>
      <c r="BC916" t="s">
        <v>1472</v>
      </c>
      <c r="BD916">
        <f t="shared" ref="BD916:BD979" si="267">AX916*100000+BA916</f>
        <v>2542460</v>
      </c>
      <c r="BE916" s="66">
        <v>11</v>
      </c>
      <c r="BF916" s="66"/>
      <c r="BI916">
        <v>27.32</v>
      </c>
      <c r="BJ916">
        <v>0.82</v>
      </c>
      <c r="BK916">
        <v>26.5</v>
      </c>
      <c r="BQ916">
        <v>6</v>
      </c>
      <c r="BS916">
        <v>0</v>
      </c>
    </row>
    <row r="917" spans="1:71" hidden="1" outlineLevel="1">
      <c r="A917" s="64" t="s">
        <v>1406</v>
      </c>
      <c r="B917" s="8" t="s">
        <v>1320</v>
      </c>
      <c r="C917" s="1">
        <f t="shared" si="259"/>
        <v>526</v>
      </c>
      <c r="D917" s="5">
        <f>IF(N917&gt;0, RANK(N917,(N917:P917,Q917:AE917)),0)</f>
        <v>2</v>
      </c>
      <c r="E917" s="5">
        <f>IF(O917&gt;0,RANK(O917,(N917:P917,Q917:AE917)),0)</f>
        <v>1</v>
      </c>
      <c r="F917" s="5">
        <f t="shared" si="260"/>
        <v>0</v>
      </c>
      <c r="G917" s="1">
        <f t="shared" si="261"/>
        <v>82</v>
      </c>
      <c r="H917" s="2">
        <f t="shared" si="256"/>
        <v>0.155893536121673</v>
      </c>
      <c r="I917" s="6"/>
      <c r="J917" s="2">
        <f t="shared" si="262"/>
        <v>0.37832699619771865</v>
      </c>
      <c r="K917" s="2">
        <f t="shared" si="263"/>
        <v>0.53422053231939159</v>
      </c>
      <c r="L917" s="2">
        <f t="shared" si="264"/>
        <v>0</v>
      </c>
      <c r="M917" s="2">
        <f t="shared" si="265"/>
        <v>8.7452471482889704E-2</v>
      </c>
      <c r="N917" s="63">
        <v>199</v>
      </c>
      <c r="O917" s="63">
        <v>281</v>
      </c>
      <c r="P917" s="63">
        <v>0</v>
      </c>
      <c r="Q917" s="63">
        <v>32</v>
      </c>
      <c r="R917" s="63">
        <v>12</v>
      </c>
      <c r="S917" s="63"/>
      <c r="T917" s="63"/>
      <c r="U917" s="63"/>
      <c r="V917" s="63"/>
      <c r="W917" s="63">
        <f t="shared" si="266"/>
        <v>2</v>
      </c>
      <c r="X917" s="63"/>
      <c r="Y917" s="63"/>
      <c r="Z917" s="63"/>
      <c r="AA917" s="63">
        <v>0</v>
      </c>
      <c r="AB917" s="63"/>
      <c r="AE917" s="8">
        <v>0</v>
      </c>
      <c r="AT917" t="str">
        <f t="shared" si="257"/>
        <v>Montgomery</v>
      </c>
      <c r="AU917" t="s">
        <v>2852</v>
      </c>
      <c r="AV917">
        <v>1</v>
      </c>
      <c r="AX917" s="114">
        <v>25</v>
      </c>
      <c r="AY917" s="116">
        <v>13</v>
      </c>
      <c r="AZ917" s="116">
        <v>70</v>
      </c>
      <c r="BA917" s="120">
        <v>42530</v>
      </c>
      <c r="BB917" s="120">
        <f t="shared" si="258"/>
        <v>25013</v>
      </c>
      <c r="BC917" t="s">
        <v>1472</v>
      </c>
      <c r="BD917">
        <f t="shared" si="267"/>
        <v>2542530</v>
      </c>
      <c r="BE917" s="66">
        <v>4</v>
      </c>
      <c r="BF917" s="66"/>
      <c r="BI917">
        <v>15.19</v>
      </c>
      <c r="BJ917">
        <v>0.13</v>
      </c>
      <c r="BK917">
        <v>15.05</v>
      </c>
      <c r="BQ917">
        <v>2</v>
      </c>
      <c r="BS917">
        <v>0</v>
      </c>
    </row>
    <row r="918" spans="1:71" hidden="1" outlineLevel="1">
      <c r="A918" s="64" t="s">
        <v>962</v>
      </c>
      <c r="B918" s="8" t="s">
        <v>1320</v>
      </c>
      <c r="C918" s="1">
        <f t="shared" si="259"/>
        <v>106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 t="shared" si="260"/>
        <v>0</v>
      </c>
      <c r="G918" s="1">
        <f t="shared" si="261"/>
        <v>57</v>
      </c>
      <c r="H918" s="2">
        <f t="shared" si="256"/>
        <v>0.53773584905660377</v>
      </c>
      <c r="I918" s="6"/>
      <c r="J918" s="2">
        <f t="shared" si="262"/>
        <v>0.71698113207547165</v>
      </c>
      <c r="K918" s="2">
        <f t="shared" si="263"/>
        <v>0.17924528301886791</v>
      </c>
      <c r="L918" s="2">
        <f t="shared" si="264"/>
        <v>0</v>
      </c>
      <c r="M918" s="2">
        <f t="shared" si="265"/>
        <v>0.10377358490566044</v>
      </c>
      <c r="N918" s="63">
        <v>76</v>
      </c>
      <c r="O918" s="63">
        <v>19</v>
      </c>
      <c r="P918" s="63">
        <v>0</v>
      </c>
      <c r="Q918" s="63">
        <v>5</v>
      </c>
      <c r="R918" s="63">
        <v>4</v>
      </c>
      <c r="S918" s="63"/>
      <c r="T918" s="63"/>
      <c r="U918" s="63"/>
      <c r="V918" s="63"/>
      <c r="W918" s="63">
        <f t="shared" si="266"/>
        <v>2</v>
      </c>
      <c r="X918" s="63"/>
      <c r="Y918" s="63"/>
      <c r="Z918" s="63"/>
      <c r="AA918" s="63">
        <v>0</v>
      </c>
      <c r="AB918" s="63"/>
      <c r="AE918" s="8">
        <v>0</v>
      </c>
      <c r="AT918" t="str">
        <f t="shared" si="257"/>
        <v>Mt. Washington</v>
      </c>
      <c r="AU918" t="s">
        <v>2313</v>
      </c>
      <c r="AV918">
        <v>1</v>
      </c>
      <c r="AX918" s="114">
        <v>25</v>
      </c>
      <c r="AY918" s="116">
        <v>3</v>
      </c>
      <c r="AZ918" s="116">
        <v>80</v>
      </c>
      <c r="BA918" s="120">
        <v>43300</v>
      </c>
      <c r="BB918" s="120">
        <f t="shared" si="258"/>
        <v>25003</v>
      </c>
      <c r="BC918" t="s">
        <v>1472</v>
      </c>
      <c r="BD918">
        <f t="shared" si="267"/>
        <v>2543300</v>
      </c>
      <c r="BE918" s="66">
        <v>1</v>
      </c>
      <c r="BF918" s="66"/>
      <c r="BI918">
        <v>22.37</v>
      </c>
      <c r="BJ918">
        <v>0.15</v>
      </c>
      <c r="BK918">
        <v>22.22</v>
      </c>
      <c r="BQ918">
        <v>2</v>
      </c>
      <c r="BS918">
        <v>0</v>
      </c>
    </row>
    <row r="919" spans="1:71" hidden="1" outlineLevel="1">
      <c r="A919" s="64" t="s">
        <v>257</v>
      </c>
      <c r="B919" s="8" t="s">
        <v>1320</v>
      </c>
      <c r="C919" s="1">
        <f t="shared" si="259"/>
        <v>2349</v>
      </c>
      <c r="D919" s="5">
        <f>IF(N919&gt;0, RANK(N919,(N919:P919,Q919:AE919)),0)</f>
        <v>1</v>
      </c>
      <c r="E919" s="5">
        <f>IF(O919&gt;0,RANK(O919,(N919:P919,Q919:AE919)),0)</f>
        <v>2</v>
      </c>
      <c r="F919" s="5">
        <f t="shared" si="260"/>
        <v>0</v>
      </c>
      <c r="G919" s="1">
        <f t="shared" si="261"/>
        <v>483</v>
      </c>
      <c r="H919" s="2">
        <f t="shared" si="256"/>
        <v>0.20561941251596424</v>
      </c>
      <c r="I919" s="6"/>
      <c r="J919" s="2">
        <f t="shared" si="262"/>
        <v>0.57343550446998726</v>
      </c>
      <c r="K919" s="2">
        <f t="shared" si="263"/>
        <v>0.36781609195402298</v>
      </c>
      <c r="L919" s="2">
        <f t="shared" si="264"/>
        <v>0</v>
      </c>
      <c r="M919" s="2">
        <f t="shared" si="265"/>
        <v>5.874840357598976E-2</v>
      </c>
      <c r="N919" s="63">
        <v>1347</v>
      </c>
      <c r="O919" s="63">
        <v>864</v>
      </c>
      <c r="P919" s="63">
        <v>0</v>
      </c>
      <c r="Q919" s="63">
        <v>87</v>
      </c>
      <c r="R919" s="63">
        <v>23</v>
      </c>
      <c r="S919" s="63"/>
      <c r="T919" s="63"/>
      <c r="U919" s="63"/>
      <c r="V919" s="63"/>
      <c r="W919" s="63">
        <f t="shared" si="266"/>
        <v>28</v>
      </c>
      <c r="X919" s="63"/>
      <c r="Y919" s="63"/>
      <c r="Z919" s="63"/>
      <c r="AA919" s="63">
        <v>0</v>
      </c>
      <c r="AB919" s="63"/>
      <c r="AE919" s="8">
        <v>0</v>
      </c>
      <c r="AT919" t="str">
        <f t="shared" si="257"/>
        <v>Nahant</v>
      </c>
      <c r="AU919" t="s">
        <v>842</v>
      </c>
      <c r="AV919">
        <v>6</v>
      </c>
      <c r="AX919" s="114">
        <v>25</v>
      </c>
      <c r="AY919" s="116">
        <v>9</v>
      </c>
      <c r="AZ919" s="116">
        <v>105</v>
      </c>
      <c r="BA919" s="120">
        <v>43580</v>
      </c>
      <c r="BB919" s="120">
        <f t="shared" si="258"/>
        <v>25009</v>
      </c>
      <c r="BC919" t="s">
        <v>1472</v>
      </c>
      <c r="BD919">
        <f t="shared" si="267"/>
        <v>2543580</v>
      </c>
      <c r="BE919" s="66">
        <v>29</v>
      </c>
      <c r="BF919" s="66"/>
      <c r="BI919">
        <v>15.48</v>
      </c>
      <c r="BJ919">
        <v>14.24</v>
      </c>
      <c r="BK919">
        <v>1.24</v>
      </c>
      <c r="BQ919">
        <v>28</v>
      </c>
      <c r="BS919">
        <v>0</v>
      </c>
    </row>
    <row r="920" spans="1:71" hidden="1" outlineLevel="1">
      <c r="A920" s="64" t="s">
        <v>3141</v>
      </c>
      <c r="B920" s="8" t="s">
        <v>1320</v>
      </c>
      <c r="C920" s="1">
        <f t="shared" si="259"/>
        <v>6508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 t="shared" si="260"/>
        <v>0</v>
      </c>
      <c r="G920" s="1">
        <f t="shared" si="261"/>
        <v>2254</v>
      </c>
      <c r="H920" s="2">
        <f t="shared" si="256"/>
        <v>0.34634296250768287</v>
      </c>
      <c r="I920" s="6"/>
      <c r="J920" s="2">
        <f t="shared" si="262"/>
        <v>0.63706207744314691</v>
      </c>
      <c r="K920" s="2">
        <f t="shared" si="263"/>
        <v>0.29071911493546404</v>
      </c>
      <c r="L920" s="2">
        <f t="shared" si="264"/>
        <v>0</v>
      </c>
      <c r="M920" s="2">
        <f t="shared" si="265"/>
        <v>7.2218807621389047E-2</v>
      </c>
      <c r="N920" s="63">
        <v>4146</v>
      </c>
      <c r="O920" s="63">
        <v>1892</v>
      </c>
      <c r="P920" s="63">
        <v>0</v>
      </c>
      <c r="Q920" s="63">
        <v>260</v>
      </c>
      <c r="R920" s="63">
        <v>108</v>
      </c>
      <c r="S920" s="63"/>
      <c r="T920" s="63"/>
      <c r="U920" s="63"/>
      <c r="V920" s="63"/>
      <c r="W920" s="63">
        <f t="shared" si="266"/>
        <v>102</v>
      </c>
      <c r="X920" s="63"/>
      <c r="Y920" s="63"/>
      <c r="Z920" s="63"/>
      <c r="AA920" s="63">
        <v>0</v>
      </c>
      <c r="AB920" s="63"/>
      <c r="AE920" s="8">
        <v>0</v>
      </c>
      <c r="AT920" t="str">
        <f t="shared" si="257"/>
        <v>Nantucket</v>
      </c>
      <c r="AU920" t="s">
        <v>3141</v>
      </c>
      <c r="AV920">
        <v>9</v>
      </c>
      <c r="AX920" s="114">
        <v>25</v>
      </c>
      <c r="AY920" s="116">
        <v>19</v>
      </c>
      <c r="AZ920" s="116">
        <v>5</v>
      </c>
      <c r="BA920" s="120">
        <v>43790</v>
      </c>
      <c r="BB920" s="120">
        <f t="shared" si="258"/>
        <v>25019</v>
      </c>
      <c r="BC920" t="s">
        <v>1472</v>
      </c>
      <c r="BD920">
        <f t="shared" si="267"/>
        <v>2543790</v>
      </c>
      <c r="BE920" s="66">
        <v>75</v>
      </c>
      <c r="BF920" s="66"/>
      <c r="BI920">
        <v>105.27</v>
      </c>
      <c r="BJ920">
        <v>57.46</v>
      </c>
      <c r="BK920">
        <v>47.81</v>
      </c>
      <c r="BQ920">
        <v>102</v>
      </c>
      <c r="BS920">
        <v>0</v>
      </c>
    </row>
    <row r="921" spans="1:71" hidden="1" outlineLevel="1">
      <c r="A921" s="64" t="s">
        <v>2948</v>
      </c>
      <c r="B921" s="8" t="s">
        <v>1320</v>
      </c>
      <c r="C921" s="1">
        <f t="shared" si="259"/>
        <v>19831</v>
      </c>
      <c r="D921" s="5">
        <f>IF(N921&gt;0, RANK(N921,(N921:P921,Q921:AE921)),0)</f>
        <v>1</v>
      </c>
      <c r="E921" s="5">
        <f>IF(O921&gt;0,RANK(O921,(N921:P921,Q921:AE921)),0)</f>
        <v>2</v>
      </c>
      <c r="F921" s="5">
        <f t="shared" si="260"/>
        <v>6</v>
      </c>
      <c r="G921" s="1">
        <f t="shared" si="261"/>
        <v>8550</v>
      </c>
      <c r="H921" s="2">
        <f t="shared" si="256"/>
        <v>0.43114315969946043</v>
      </c>
      <c r="I921" s="6"/>
      <c r="J921" s="2">
        <f t="shared" si="262"/>
        <v>0.67671826937622914</v>
      </c>
      <c r="K921" s="2">
        <f t="shared" si="263"/>
        <v>0.24557510967676868</v>
      </c>
      <c r="L921" s="2">
        <f t="shared" si="264"/>
        <v>3.6811053401240483E-3</v>
      </c>
      <c r="M921" s="2">
        <f t="shared" si="265"/>
        <v>7.4025515606878131E-2</v>
      </c>
      <c r="N921" s="63">
        <v>13420</v>
      </c>
      <c r="O921" s="63">
        <v>4870</v>
      </c>
      <c r="P921" s="63">
        <v>73</v>
      </c>
      <c r="Q921" s="63">
        <v>853</v>
      </c>
      <c r="R921" s="63">
        <v>222</v>
      </c>
      <c r="S921" s="63"/>
      <c r="T921" s="63"/>
      <c r="U921" s="63"/>
      <c r="V921" s="63"/>
      <c r="W921" s="63">
        <f t="shared" si="266"/>
        <v>392</v>
      </c>
      <c r="X921" s="63"/>
      <c r="Y921" s="63"/>
      <c r="Z921" s="63"/>
      <c r="AA921" s="63">
        <v>0</v>
      </c>
      <c r="AB921" s="63"/>
      <c r="AE921" s="8">
        <v>1</v>
      </c>
      <c r="AT921" t="str">
        <f t="shared" si="257"/>
        <v>Natick</v>
      </c>
      <c r="AU921" t="s">
        <v>503</v>
      </c>
      <c r="AV921">
        <v>5</v>
      </c>
      <c r="AX921" s="114">
        <v>25</v>
      </c>
      <c r="AY921" s="116">
        <v>17</v>
      </c>
      <c r="AZ921" s="116">
        <v>160</v>
      </c>
      <c r="BA921" s="120">
        <v>43895</v>
      </c>
      <c r="BB921" s="120">
        <f t="shared" si="258"/>
        <v>25017</v>
      </c>
      <c r="BC921" t="s">
        <v>1472</v>
      </c>
      <c r="BD921">
        <f t="shared" si="267"/>
        <v>2543895</v>
      </c>
      <c r="BE921" s="66">
        <v>266</v>
      </c>
      <c r="BF921" s="66"/>
      <c r="BI921">
        <v>16.05</v>
      </c>
      <c r="BJ921">
        <v>0.97</v>
      </c>
      <c r="BK921">
        <v>15.08</v>
      </c>
      <c r="BQ921">
        <v>392</v>
      </c>
      <c r="BS921">
        <v>0</v>
      </c>
    </row>
    <row r="922" spans="1:71" hidden="1" outlineLevel="1">
      <c r="A922" s="64" t="s">
        <v>892</v>
      </c>
      <c r="B922" s="8" t="s">
        <v>1320</v>
      </c>
      <c r="C922" s="1">
        <f t="shared" si="259"/>
        <v>18182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 t="shared" si="260"/>
        <v>6</v>
      </c>
      <c r="G922" s="1">
        <f t="shared" si="261"/>
        <v>8778</v>
      </c>
      <c r="H922" s="2">
        <f t="shared" si="256"/>
        <v>0.48278517214827854</v>
      </c>
      <c r="I922" s="6"/>
      <c r="J922" s="2">
        <f t="shared" si="262"/>
        <v>0.70382796172038276</v>
      </c>
      <c r="K922" s="2">
        <f t="shared" si="263"/>
        <v>0.22104278957210427</v>
      </c>
      <c r="L922" s="2">
        <f t="shared" si="264"/>
        <v>2.0899791002089978E-3</v>
      </c>
      <c r="M922" s="2">
        <f t="shared" si="265"/>
        <v>7.3039269607303975E-2</v>
      </c>
      <c r="N922" s="63">
        <v>12797</v>
      </c>
      <c r="O922" s="63">
        <v>4019</v>
      </c>
      <c r="P922" s="63">
        <v>38</v>
      </c>
      <c r="Q922" s="63">
        <v>746</v>
      </c>
      <c r="R922" s="63">
        <v>150</v>
      </c>
      <c r="S922" s="63"/>
      <c r="T922" s="63"/>
      <c r="U922" s="63"/>
      <c r="V922" s="63"/>
      <c r="W922" s="63">
        <f t="shared" si="266"/>
        <v>432</v>
      </c>
      <c r="X922" s="63"/>
      <c r="Y922" s="63"/>
      <c r="Z922" s="63"/>
      <c r="AA922" s="63">
        <v>0</v>
      </c>
      <c r="AB922" s="63"/>
      <c r="AE922" s="8">
        <v>0</v>
      </c>
      <c r="AT922" t="str">
        <f t="shared" si="257"/>
        <v>Needham</v>
      </c>
      <c r="AU922" t="s">
        <v>753</v>
      </c>
      <c r="AV922">
        <v>4</v>
      </c>
      <c r="AX922" s="114">
        <v>25</v>
      </c>
      <c r="AY922" s="116">
        <v>21</v>
      </c>
      <c r="AZ922" s="116">
        <v>80</v>
      </c>
      <c r="BA922" s="120">
        <v>44105</v>
      </c>
      <c r="BB922" s="120">
        <f t="shared" si="258"/>
        <v>25021</v>
      </c>
      <c r="BC922" t="s">
        <v>1472</v>
      </c>
      <c r="BD922">
        <f t="shared" si="267"/>
        <v>2544105</v>
      </c>
      <c r="BE922" s="66">
        <v>290</v>
      </c>
      <c r="BF922" s="66"/>
      <c r="BI922">
        <v>12.7</v>
      </c>
      <c r="BJ922">
        <v>0.09</v>
      </c>
      <c r="BK922">
        <v>12.61</v>
      </c>
      <c r="BQ922">
        <v>432</v>
      </c>
      <c r="BS922">
        <v>0</v>
      </c>
    </row>
    <row r="923" spans="1:71" hidden="1" outlineLevel="1">
      <c r="A923" s="64" t="s">
        <v>1478</v>
      </c>
      <c r="B923" s="8" t="s">
        <v>1320</v>
      </c>
      <c r="C923" s="1">
        <f t="shared" si="259"/>
        <v>160</v>
      </c>
      <c r="D923" s="5">
        <f>IF(N923&gt;0, RANK(N923,(N923:P923,Q923:AE923)),0)</f>
        <v>1</v>
      </c>
      <c r="E923" s="5">
        <f>IF(O923&gt;0,RANK(O923,(N923:P923,Q923:AE923)),0)</f>
        <v>2</v>
      </c>
      <c r="F923" s="5">
        <f t="shared" si="260"/>
        <v>0</v>
      </c>
      <c r="G923" s="1">
        <f t="shared" si="261"/>
        <v>62</v>
      </c>
      <c r="H923" s="2">
        <f t="shared" si="256"/>
        <v>0.38750000000000001</v>
      </c>
      <c r="I923" s="6"/>
      <c r="J923" s="2">
        <f t="shared" si="262"/>
        <v>0.63124999999999998</v>
      </c>
      <c r="K923" s="2">
        <f t="shared" si="263"/>
        <v>0.24374999999999999</v>
      </c>
      <c r="L923" s="2">
        <f t="shared" si="264"/>
        <v>0</v>
      </c>
      <c r="M923" s="2">
        <f t="shared" si="265"/>
        <v>0.12500000000000003</v>
      </c>
      <c r="N923" s="63">
        <v>101</v>
      </c>
      <c r="O923" s="63">
        <v>39</v>
      </c>
      <c r="P923" s="63">
        <v>0</v>
      </c>
      <c r="Q923" s="63">
        <v>14</v>
      </c>
      <c r="R923" s="63">
        <v>6</v>
      </c>
      <c r="S923" s="63"/>
      <c r="T923" s="63"/>
      <c r="U923" s="63"/>
      <c r="V923" s="63"/>
      <c r="W923" s="63">
        <f t="shared" si="266"/>
        <v>0</v>
      </c>
      <c r="X923" s="63"/>
      <c r="Y923" s="63"/>
      <c r="Z923" s="63"/>
      <c r="AA923" s="63">
        <v>0</v>
      </c>
      <c r="AB923" s="63"/>
      <c r="AE923" s="8">
        <v>0</v>
      </c>
      <c r="AT923" t="str">
        <f t="shared" si="257"/>
        <v>New Ashford</v>
      </c>
      <c r="AU923" t="s">
        <v>2313</v>
      </c>
      <c r="AV923">
        <v>1</v>
      </c>
      <c r="AX923" s="114">
        <v>25</v>
      </c>
      <c r="AY923" s="116">
        <v>3</v>
      </c>
      <c r="AZ923" s="116">
        <v>85</v>
      </c>
      <c r="BA923" s="120">
        <v>44385</v>
      </c>
      <c r="BB923" s="120">
        <f t="shared" si="258"/>
        <v>25003</v>
      </c>
      <c r="BC923" t="s">
        <v>1472</v>
      </c>
      <c r="BD923">
        <f t="shared" si="267"/>
        <v>2544385</v>
      </c>
      <c r="BE923" s="66">
        <v>1</v>
      </c>
      <c r="BF923" s="66"/>
      <c r="BI923">
        <v>13.54</v>
      </c>
      <c r="BJ923">
        <v>0</v>
      </c>
      <c r="BK923">
        <v>13.54</v>
      </c>
      <c r="BQ923">
        <v>0</v>
      </c>
      <c r="BS923">
        <v>0</v>
      </c>
    </row>
    <row r="924" spans="1:71" hidden="1" outlineLevel="1">
      <c r="A924" s="64" t="s">
        <v>266</v>
      </c>
      <c r="B924" s="8" t="s">
        <v>1320</v>
      </c>
      <c r="C924" s="1">
        <f t="shared" si="259"/>
        <v>33165</v>
      </c>
      <c r="D924" s="5">
        <f>IF(N924&gt;0, RANK(N924,(N924:P924,Q924:AE924)),0)</f>
        <v>1</v>
      </c>
      <c r="E924" s="5">
        <f>IF(O924&gt;0,RANK(O924,(N924:P924,Q924:AE924)),0)</f>
        <v>2</v>
      </c>
      <c r="F924" s="5">
        <f t="shared" si="260"/>
        <v>0</v>
      </c>
      <c r="G924" s="1">
        <f t="shared" si="261"/>
        <v>10485</v>
      </c>
      <c r="H924" s="2">
        <f t="shared" si="256"/>
        <v>0.31614654002713705</v>
      </c>
      <c r="I924" s="6"/>
      <c r="J924" s="2">
        <f t="shared" si="262"/>
        <v>0.62752902155887236</v>
      </c>
      <c r="K924" s="2">
        <f t="shared" si="263"/>
        <v>0.31138248153173526</v>
      </c>
      <c r="L924" s="2">
        <f t="shared" si="264"/>
        <v>0</v>
      </c>
      <c r="M924" s="2">
        <f t="shared" si="265"/>
        <v>6.1088496909392387E-2</v>
      </c>
      <c r="N924" s="63">
        <v>20812</v>
      </c>
      <c r="O924" s="63">
        <v>10327</v>
      </c>
      <c r="P924" s="63">
        <v>0</v>
      </c>
      <c r="Q924" s="63">
        <v>955</v>
      </c>
      <c r="R924" s="63">
        <v>586</v>
      </c>
      <c r="S924" s="63"/>
      <c r="T924" s="63"/>
      <c r="U924" s="63"/>
      <c r="V924" s="63"/>
      <c r="W924" s="63">
        <f t="shared" si="266"/>
        <v>485</v>
      </c>
      <c r="X924" s="63"/>
      <c r="Y924" s="63"/>
      <c r="Z924" s="63"/>
      <c r="AA924" s="63">
        <v>0</v>
      </c>
      <c r="AB924" s="63"/>
      <c r="AE924" s="8">
        <v>0</v>
      </c>
      <c r="AT924" t="str">
        <f t="shared" si="257"/>
        <v>New Bedford</v>
      </c>
      <c r="AU924" t="s">
        <v>2215</v>
      </c>
      <c r="AV924">
        <v>9</v>
      </c>
      <c r="AX924" s="114">
        <v>25</v>
      </c>
      <c r="AY924" s="116">
        <v>5</v>
      </c>
      <c r="AZ924" s="116">
        <v>55</v>
      </c>
      <c r="BA924" s="120">
        <v>45000</v>
      </c>
      <c r="BB924" s="120">
        <f t="shared" si="258"/>
        <v>25005</v>
      </c>
      <c r="BC924" t="s">
        <v>1249</v>
      </c>
      <c r="BD924">
        <f t="shared" si="267"/>
        <v>2545000</v>
      </c>
      <c r="BE924" s="66">
        <v>443</v>
      </c>
      <c r="BF924" s="66"/>
      <c r="BI924">
        <v>24.03</v>
      </c>
      <c r="BJ924">
        <v>3.9</v>
      </c>
      <c r="BK924">
        <v>20.12</v>
      </c>
      <c r="BQ924">
        <v>485</v>
      </c>
      <c r="BS924">
        <v>0</v>
      </c>
    </row>
    <row r="925" spans="1:71" hidden="1" outlineLevel="1">
      <c r="A925" s="64" t="s">
        <v>591</v>
      </c>
      <c r="B925" s="8" t="s">
        <v>1320</v>
      </c>
      <c r="C925" s="1">
        <f t="shared" si="259"/>
        <v>618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 t="shared" si="260"/>
        <v>6</v>
      </c>
      <c r="G925" s="1">
        <f t="shared" si="261"/>
        <v>80</v>
      </c>
      <c r="H925" s="2">
        <f t="shared" si="256"/>
        <v>0.12944983818770225</v>
      </c>
      <c r="I925" s="6"/>
      <c r="J925" s="2">
        <f t="shared" si="262"/>
        <v>0.39805825242718446</v>
      </c>
      <c r="K925" s="2">
        <f t="shared" si="263"/>
        <v>0.52750809061488668</v>
      </c>
      <c r="L925" s="2">
        <f t="shared" si="264"/>
        <v>3.2362459546925568E-3</v>
      </c>
      <c r="M925" s="2">
        <f t="shared" si="265"/>
        <v>7.1197411003236247E-2</v>
      </c>
      <c r="N925" s="63">
        <v>246</v>
      </c>
      <c r="O925" s="63">
        <v>326</v>
      </c>
      <c r="P925" s="63">
        <v>2</v>
      </c>
      <c r="Q925" s="63">
        <v>22</v>
      </c>
      <c r="R925" s="63">
        <v>18</v>
      </c>
      <c r="S925" s="63"/>
      <c r="T925" s="63"/>
      <c r="U925" s="63"/>
      <c r="V925" s="63"/>
      <c r="W925" s="63">
        <f t="shared" si="266"/>
        <v>4</v>
      </c>
      <c r="X925" s="63"/>
      <c r="Y925" s="63"/>
      <c r="Z925" s="63"/>
      <c r="AA925" s="63">
        <v>0</v>
      </c>
      <c r="AB925" s="63"/>
      <c r="AE925" s="8">
        <v>0</v>
      </c>
      <c r="AT925" t="str">
        <f t="shared" si="257"/>
        <v>New Braintree</v>
      </c>
      <c r="AU925" s="8" t="s">
        <v>1774</v>
      </c>
      <c r="AV925">
        <v>2</v>
      </c>
      <c r="AX925" s="114">
        <v>25</v>
      </c>
      <c r="AY925" s="116">
        <v>27</v>
      </c>
      <c r="AZ925" s="116">
        <v>155</v>
      </c>
      <c r="BA925" s="120">
        <v>45105</v>
      </c>
      <c r="BB925" s="120">
        <f t="shared" si="258"/>
        <v>25027</v>
      </c>
      <c r="BC925" t="s">
        <v>1472</v>
      </c>
      <c r="BD925">
        <f t="shared" si="267"/>
        <v>2545105</v>
      </c>
      <c r="BE925" s="66">
        <v>5</v>
      </c>
      <c r="BF925" s="66"/>
      <c r="BI925">
        <v>20.86</v>
      </c>
      <c r="BJ925">
        <v>0.15</v>
      </c>
      <c r="BK925">
        <v>20.7</v>
      </c>
      <c r="BQ925">
        <v>4</v>
      </c>
      <c r="BS925">
        <v>0</v>
      </c>
    </row>
    <row r="926" spans="1:71" hidden="1" outlineLevel="1">
      <c r="A926" s="64" t="s">
        <v>327</v>
      </c>
      <c r="B926" s="8" t="s">
        <v>1320</v>
      </c>
      <c r="C926" s="1">
        <f t="shared" si="259"/>
        <v>862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 t="shared" si="260"/>
        <v>6</v>
      </c>
      <c r="G926" s="1">
        <f t="shared" si="261"/>
        <v>346</v>
      </c>
      <c r="H926" s="2">
        <f t="shared" si="256"/>
        <v>0.40139211136890951</v>
      </c>
      <c r="I926" s="6"/>
      <c r="J926" s="2">
        <f t="shared" si="262"/>
        <v>0.654292343387471</v>
      </c>
      <c r="K926" s="2">
        <f t="shared" si="263"/>
        <v>0.25290023201856149</v>
      </c>
      <c r="L926" s="2">
        <f t="shared" si="264"/>
        <v>5.8004640371229696E-3</v>
      </c>
      <c r="M926" s="2">
        <f t="shared" si="265"/>
        <v>8.7006960556844537E-2</v>
      </c>
      <c r="N926" s="63">
        <v>564</v>
      </c>
      <c r="O926" s="63">
        <v>218</v>
      </c>
      <c r="P926" s="63">
        <v>5</v>
      </c>
      <c r="Q926" s="63">
        <v>34</v>
      </c>
      <c r="R926" s="63">
        <v>35</v>
      </c>
      <c r="S926" s="63"/>
      <c r="T926" s="63"/>
      <c r="U926" s="63"/>
      <c r="V926" s="63"/>
      <c r="W926" s="63">
        <f t="shared" si="266"/>
        <v>6</v>
      </c>
      <c r="X926" s="63"/>
      <c r="Y926" s="63"/>
      <c r="Z926" s="63"/>
      <c r="AA926" s="63">
        <v>0</v>
      </c>
      <c r="AB926" s="63"/>
      <c r="AE926" s="8">
        <v>0</v>
      </c>
      <c r="AT926" t="str">
        <f t="shared" si="257"/>
        <v>New Marlborough</v>
      </c>
      <c r="AU926" t="s">
        <v>2313</v>
      </c>
      <c r="AV926">
        <v>1</v>
      </c>
      <c r="AX926" s="114">
        <v>25</v>
      </c>
      <c r="AY926" s="116">
        <v>3</v>
      </c>
      <c r="AZ926" s="116">
        <v>90</v>
      </c>
      <c r="BA926" s="120">
        <v>45420</v>
      </c>
      <c r="BB926" s="120">
        <f t="shared" si="258"/>
        <v>25003</v>
      </c>
      <c r="BC926" t="s">
        <v>1472</v>
      </c>
      <c r="BD926">
        <f t="shared" si="267"/>
        <v>2545420</v>
      </c>
      <c r="BE926" s="66">
        <v>9</v>
      </c>
      <c r="BF926" s="66"/>
      <c r="BI926">
        <v>47.88</v>
      </c>
      <c r="BJ926">
        <v>0.69</v>
      </c>
      <c r="BK926">
        <v>47.2</v>
      </c>
      <c r="BQ926">
        <v>6</v>
      </c>
      <c r="BS926">
        <v>0</v>
      </c>
    </row>
    <row r="927" spans="1:71" hidden="1" outlineLevel="1">
      <c r="A927" s="64" t="s">
        <v>2159</v>
      </c>
      <c r="B927" s="8" t="s">
        <v>1320</v>
      </c>
      <c r="C927" s="1">
        <f t="shared" si="259"/>
        <v>608</v>
      </c>
      <c r="D927" s="5">
        <f>IF(N927&gt;0, RANK(N927,(N927:P927,Q927:AE927)),0)</f>
        <v>1</v>
      </c>
      <c r="E927" s="5">
        <f>IF(O927&gt;0,RANK(O927,(N927:P927,Q927:AE927)),0)</f>
        <v>2</v>
      </c>
      <c r="F927" s="5">
        <f t="shared" si="260"/>
        <v>0</v>
      </c>
      <c r="G927" s="1">
        <f t="shared" si="261"/>
        <v>129</v>
      </c>
      <c r="H927" s="2">
        <f t="shared" si="256"/>
        <v>0.21217105263157895</v>
      </c>
      <c r="I927" s="6"/>
      <c r="J927" s="2">
        <f t="shared" si="262"/>
        <v>0.55427631578947367</v>
      </c>
      <c r="K927" s="2">
        <f t="shared" si="263"/>
        <v>0.34210526315789475</v>
      </c>
      <c r="L927" s="2">
        <f t="shared" si="264"/>
        <v>0</v>
      </c>
      <c r="M927" s="2">
        <f t="shared" si="265"/>
        <v>0.10361842105263158</v>
      </c>
      <c r="N927" s="63">
        <v>337</v>
      </c>
      <c r="O927" s="63">
        <v>208</v>
      </c>
      <c r="P927" s="63">
        <v>0</v>
      </c>
      <c r="Q927" s="63">
        <v>28</v>
      </c>
      <c r="R927" s="63">
        <v>22</v>
      </c>
      <c r="S927" s="63"/>
      <c r="T927" s="63"/>
      <c r="U927" s="63"/>
      <c r="V927" s="63"/>
      <c r="W927" s="63">
        <f t="shared" si="266"/>
        <v>13</v>
      </c>
      <c r="X927" s="63"/>
      <c r="Y927" s="63"/>
      <c r="Z927" s="63"/>
      <c r="AA927" s="63">
        <v>0</v>
      </c>
      <c r="AB927" s="63"/>
      <c r="AE927" s="8">
        <v>0</v>
      </c>
      <c r="AT927" t="str">
        <f t="shared" si="257"/>
        <v>New Salem</v>
      </c>
      <c r="AU927" t="s">
        <v>1138</v>
      </c>
      <c r="AV927">
        <v>2</v>
      </c>
      <c r="AX927" s="114">
        <v>25</v>
      </c>
      <c r="AY927" s="116">
        <v>11</v>
      </c>
      <c r="AZ927" s="116">
        <v>85</v>
      </c>
      <c r="BA927" s="120">
        <v>45490</v>
      </c>
      <c r="BB927" s="120">
        <f t="shared" si="258"/>
        <v>25011</v>
      </c>
      <c r="BC927" t="s">
        <v>1472</v>
      </c>
      <c r="BD927">
        <f t="shared" si="267"/>
        <v>2545490</v>
      </c>
      <c r="BE927" s="66">
        <v>6</v>
      </c>
      <c r="BF927" s="66"/>
      <c r="BI927">
        <v>58.75</v>
      </c>
      <c r="BJ927">
        <v>13.77</v>
      </c>
      <c r="BK927">
        <v>44.98</v>
      </c>
      <c r="BQ927">
        <v>13</v>
      </c>
      <c r="BS927">
        <v>0</v>
      </c>
    </row>
    <row r="928" spans="1:71" hidden="1" outlineLevel="1">
      <c r="A928" s="64" t="s">
        <v>3162</v>
      </c>
      <c r="B928" s="8" t="s">
        <v>1320</v>
      </c>
      <c r="C928" s="1">
        <f t="shared" si="259"/>
        <v>4548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 t="shared" si="260"/>
        <v>6</v>
      </c>
      <c r="G928" s="1">
        <f t="shared" si="261"/>
        <v>749</v>
      </c>
      <c r="H928" s="2">
        <f t="shared" ref="H928:H991" si="268">IF(C928&gt;0,G928/C928,0)</f>
        <v>0.16468777484608618</v>
      </c>
      <c r="I928" s="6"/>
      <c r="J928" s="2">
        <f t="shared" si="262"/>
        <v>0.54199648197009676</v>
      </c>
      <c r="K928" s="2">
        <f t="shared" si="263"/>
        <v>0.37730870712401055</v>
      </c>
      <c r="L928" s="2">
        <f t="shared" si="264"/>
        <v>1.0993843447669306E-3</v>
      </c>
      <c r="M928" s="2">
        <f t="shared" si="265"/>
        <v>7.9595426561125768E-2</v>
      </c>
      <c r="N928" s="63">
        <v>2465</v>
      </c>
      <c r="O928" s="63">
        <v>1716</v>
      </c>
      <c r="P928" s="63">
        <v>5</v>
      </c>
      <c r="Q928" s="63">
        <v>215</v>
      </c>
      <c r="R928" s="63">
        <v>63</v>
      </c>
      <c r="S928" s="63"/>
      <c r="T928" s="63"/>
      <c r="U928" s="63"/>
      <c r="V928" s="63"/>
      <c r="W928" s="63">
        <f t="shared" si="266"/>
        <v>84</v>
      </c>
      <c r="X928" s="63"/>
      <c r="Y928" s="63"/>
      <c r="Z928" s="63"/>
      <c r="AA928" s="63">
        <v>0</v>
      </c>
      <c r="AB928" s="63"/>
      <c r="AE928" s="8">
        <v>0</v>
      </c>
      <c r="AT928" t="str">
        <f t="shared" ref="AT928:AT991" si="269">A928</f>
        <v>Newbury</v>
      </c>
      <c r="AU928" t="s">
        <v>842</v>
      </c>
      <c r="AV928">
        <v>6</v>
      </c>
      <c r="AX928" s="114">
        <v>25</v>
      </c>
      <c r="AY928" s="116">
        <v>9</v>
      </c>
      <c r="AZ928" s="116">
        <v>110</v>
      </c>
      <c r="BA928" s="120">
        <v>45175</v>
      </c>
      <c r="BB928" s="120">
        <f t="shared" si="258"/>
        <v>25009</v>
      </c>
      <c r="BC928" t="s">
        <v>1472</v>
      </c>
      <c r="BD928">
        <f t="shared" si="267"/>
        <v>2545175</v>
      </c>
      <c r="BE928" s="66">
        <v>75</v>
      </c>
      <c r="BF928" s="66"/>
      <c r="BI928">
        <v>26.45</v>
      </c>
      <c r="BJ928">
        <v>2.2000000000000002</v>
      </c>
      <c r="BK928">
        <v>24.25</v>
      </c>
      <c r="BQ928">
        <v>84</v>
      </c>
      <c r="BS928">
        <v>0</v>
      </c>
    </row>
    <row r="929" spans="1:71" hidden="1" outlineLevel="1">
      <c r="A929" s="64" t="s">
        <v>24</v>
      </c>
      <c r="B929" s="8" t="s">
        <v>1320</v>
      </c>
      <c r="C929" s="1">
        <f t="shared" si="259"/>
        <v>11159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 t="shared" si="260"/>
        <v>0</v>
      </c>
      <c r="G929" s="1">
        <f t="shared" si="261"/>
        <v>4271</v>
      </c>
      <c r="H929" s="2">
        <f t="shared" si="268"/>
        <v>0.38274038892373868</v>
      </c>
      <c r="I929" s="6"/>
      <c r="J929" s="2">
        <f t="shared" si="262"/>
        <v>0.66179765211936559</v>
      </c>
      <c r="K929" s="2">
        <f t="shared" si="263"/>
        <v>0.27905726319562685</v>
      </c>
      <c r="L929" s="2">
        <f t="shared" si="264"/>
        <v>0</v>
      </c>
      <c r="M929" s="2">
        <f t="shared" si="265"/>
        <v>5.9145084685007565E-2</v>
      </c>
      <c r="N929" s="63">
        <v>7385</v>
      </c>
      <c r="O929" s="63">
        <v>3114</v>
      </c>
      <c r="P929" s="63">
        <v>0</v>
      </c>
      <c r="Q929" s="63">
        <v>520</v>
      </c>
      <c r="R929" s="63">
        <v>140</v>
      </c>
      <c r="S929" s="63"/>
      <c r="T929" s="63"/>
      <c r="U929" s="63"/>
      <c r="V929" s="63"/>
      <c r="W929" s="63">
        <f t="shared" si="266"/>
        <v>0</v>
      </c>
      <c r="X929" s="63"/>
      <c r="Y929" s="63"/>
      <c r="Z929" s="63"/>
      <c r="AA929" s="63">
        <v>0</v>
      </c>
      <c r="AB929" s="63"/>
      <c r="AE929" s="8">
        <v>0</v>
      </c>
      <c r="AT929" t="str">
        <f t="shared" si="269"/>
        <v>Newburyport</v>
      </c>
      <c r="AU929" t="s">
        <v>842</v>
      </c>
      <c r="AV929">
        <v>6</v>
      </c>
      <c r="AX929" s="114">
        <v>25</v>
      </c>
      <c r="AY929" s="116">
        <v>9</v>
      </c>
      <c r="AZ929" s="116">
        <v>115</v>
      </c>
      <c r="BA929" s="120">
        <v>45245</v>
      </c>
      <c r="BB929" s="120">
        <f t="shared" si="258"/>
        <v>25009</v>
      </c>
      <c r="BC929" t="s">
        <v>1249</v>
      </c>
      <c r="BD929">
        <f t="shared" si="267"/>
        <v>2545245</v>
      </c>
      <c r="BE929" s="66">
        <v>425</v>
      </c>
      <c r="BF929" s="66"/>
      <c r="BI929">
        <v>10.59</v>
      </c>
      <c r="BJ929">
        <v>2.2000000000000002</v>
      </c>
      <c r="BK929">
        <v>8.3800000000000008</v>
      </c>
      <c r="BQ929">
        <v>0</v>
      </c>
      <c r="BS929">
        <v>0</v>
      </c>
    </row>
    <row r="930" spans="1:71" hidden="1" outlineLevel="1">
      <c r="A930" s="64" t="s">
        <v>1136</v>
      </c>
      <c r="B930" s="8" t="s">
        <v>1320</v>
      </c>
      <c r="C930" s="1">
        <f t="shared" si="259"/>
        <v>46968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 t="shared" si="260"/>
        <v>6</v>
      </c>
      <c r="G930" s="1">
        <f t="shared" si="261"/>
        <v>28699</v>
      </c>
      <c r="H930" s="2">
        <f t="shared" si="268"/>
        <v>0.61103304377448475</v>
      </c>
      <c r="I930" s="6"/>
      <c r="J930" s="2">
        <f t="shared" si="262"/>
        <v>0.77633708056549144</v>
      </c>
      <c r="K930" s="2">
        <f t="shared" si="263"/>
        <v>0.16530403679100664</v>
      </c>
      <c r="L930" s="2">
        <f t="shared" si="264"/>
        <v>1.2135922330097086E-3</v>
      </c>
      <c r="M930" s="2">
        <f t="shared" si="265"/>
        <v>5.7145290410492211E-2</v>
      </c>
      <c r="N930" s="63">
        <v>36463</v>
      </c>
      <c r="O930" s="63">
        <v>7764</v>
      </c>
      <c r="P930" s="63">
        <v>57</v>
      </c>
      <c r="Q930" s="63">
        <v>1466</v>
      </c>
      <c r="R930" s="63">
        <v>514</v>
      </c>
      <c r="S930" s="63"/>
      <c r="T930" s="63"/>
      <c r="U930" s="63"/>
      <c r="V930" s="63"/>
      <c r="W930" s="63">
        <f t="shared" si="266"/>
        <v>704</v>
      </c>
      <c r="X930" s="63"/>
      <c r="Y930" s="63"/>
      <c r="Z930" s="63"/>
      <c r="AA930" s="63">
        <v>0</v>
      </c>
      <c r="AB930" s="63"/>
      <c r="AE930" s="8">
        <v>0</v>
      </c>
      <c r="AT930" t="str">
        <f t="shared" si="269"/>
        <v>Newton</v>
      </c>
      <c r="AU930" t="s">
        <v>503</v>
      </c>
      <c r="AV930">
        <v>4</v>
      </c>
      <c r="AX930" s="114">
        <v>25</v>
      </c>
      <c r="AY930" s="116">
        <v>17</v>
      </c>
      <c r="AZ930" s="116">
        <v>165</v>
      </c>
      <c r="BA930" s="120">
        <v>45560</v>
      </c>
      <c r="BB930" s="120">
        <f t="shared" si="258"/>
        <v>25017</v>
      </c>
      <c r="BC930" t="s">
        <v>1249</v>
      </c>
      <c r="BD930">
        <f t="shared" si="267"/>
        <v>2545560</v>
      </c>
      <c r="BE930" s="66">
        <v>501</v>
      </c>
      <c r="BF930" s="66"/>
      <c r="BI930">
        <v>18.2</v>
      </c>
      <c r="BJ930">
        <v>0.15</v>
      </c>
      <c r="BK930">
        <v>18.05</v>
      </c>
      <c r="BQ930">
        <v>704</v>
      </c>
      <c r="BS930">
        <v>0</v>
      </c>
    </row>
    <row r="931" spans="1:71" hidden="1" outlineLevel="1">
      <c r="A931" s="64" t="s">
        <v>753</v>
      </c>
      <c r="B931" s="8" t="s">
        <v>1320</v>
      </c>
      <c r="C931" s="1">
        <f t="shared" si="259"/>
        <v>6056</v>
      </c>
      <c r="D931" s="5">
        <f>IF(N931&gt;0, RANK(N931,(N931:P931,Q931:AE931)),0)</f>
        <v>1</v>
      </c>
      <c r="E931" s="5">
        <f>IF(O931&gt;0,RANK(O931,(N931:P931,Q931:AE931)),0)</f>
        <v>2</v>
      </c>
      <c r="F931" s="5">
        <f t="shared" si="260"/>
        <v>6</v>
      </c>
      <c r="G931" s="1">
        <f t="shared" si="261"/>
        <v>498</v>
      </c>
      <c r="H931" s="2">
        <f t="shared" si="268"/>
        <v>8.2232496697490096E-2</v>
      </c>
      <c r="I931" s="6"/>
      <c r="J931" s="2">
        <f t="shared" si="262"/>
        <v>0.48811096433289297</v>
      </c>
      <c r="K931" s="2">
        <f t="shared" si="263"/>
        <v>0.40587846763540292</v>
      </c>
      <c r="L931" s="2">
        <f t="shared" si="264"/>
        <v>1.4861294583883751E-3</v>
      </c>
      <c r="M931" s="2">
        <f t="shared" si="265"/>
        <v>0.10452443857331579</v>
      </c>
      <c r="N931" s="63">
        <v>2956</v>
      </c>
      <c r="O931" s="63">
        <v>2458</v>
      </c>
      <c r="P931" s="63">
        <v>9</v>
      </c>
      <c r="Q931" s="63">
        <v>391</v>
      </c>
      <c r="R931" s="63">
        <v>60</v>
      </c>
      <c r="S931" s="63"/>
      <c r="T931" s="63"/>
      <c r="U931" s="63"/>
      <c r="V931" s="63"/>
      <c r="W931" s="63">
        <f t="shared" si="266"/>
        <v>182</v>
      </c>
      <c r="X931" s="63"/>
      <c r="Y931" s="63"/>
      <c r="Z931" s="63"/>
      <c r="AA931" s="63">
        <v>0</v>
      </c>
      <c r="AB931" s="63"/>
      <c r="AE931" s="8">
        <v>0</v>
      </c>
      <c r="AT931" t="str">
        <f t="shared" si="269"/>
        <v>Norfolk</v>
      </c>
      <c r="AU931" t="s">
        <v>753</v>
      </c>
      <c r="AV931">
        <v>4</v>
      </c>
      <c r="AX931" s="114">
        <v>25</v>
      </c>
      <c r="AY931" s="116">
        <v>21</v>
      </c>
      <c r="AZ931" s="116">
        <v>85</v>
      </c>
      <c r="BA931" s="120">
        <v>46050</v>
      </c>
      <c r="BB931" s="120">
        <f t="shared" ref="BB931:BB994" si="270">AX931*1000+AY931</f>
        <v>25021</v>
      </c>
      <c r="BC931" t="s">
        <v>1472</v>
      </c>
      <c r="BD931">
        <f t="shared" si="267"/>
        <v>2546050</v>
      </c>
      <c r="BE931" s="66">
        <v>86</v>
      </c>
      <c r="BF931" s="66"/>
      <c r="BI931">
        <v>15.19</v>
      </c>
      <c r="BJ931">
        <v>0.35</v>
      </c>
      <c r="BK931">
        <v>14.84</v>
      </c>
      <c r="BQ931">
        <v>182</v>
      </c>
      <c r="BS931">
        <v>0</v>
      </c>
    </row>
    <row r="932" spans="1:71" hidden="1" outlineLevel="1">
      <c r="A932" s="64" t="s">
        <v>3082</v>
      </c>
      <c r="B932" s="8" t="s">
        <v>1320</v>
      </c>
      <c r="C932" s="1">
        <f t="shared" si="259"/>
        <v>5807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 t="shared" si="260"/>
        <v>0</v>
      </c>
      <c r="G932" s="1">
        <f t="shared" si="261"/>
        <v>2160</v>
      </c>
      <c r="H932" s="2">
        <f t="shared" si="268"/>
        <v>0.37196486998450146</v>
      </c>
      <c r="I932" s="6"/>
      <c r="J932" s="2">
        <f t="shared" si="262"/>
        <v>0.64232822455656968</v>
      </c>
      <c r="K932" s="2">
        <f t="shared" si="263"/>
        <v>0.27036335457206817</v>
      </c>
      <c r="L932" s="2">
        <f t="shared" si="264"/>
        <v>0</v>
      </c>
      <c r="M932" s="2">
        <f t="shared" si="265"/>
        <v>8.7308420871362147E-2</v>
      </c>
      <c r="N932" s="63">
        <v>3730</v>
      </c>
      <c r="O932" s="63">
        <v>1570</v>
      </c>
      <c r="P932" s="63">
        <v>0</v>
      </c>
      <c r="Q932" s="63">
        <v>241</v>
      </c>
      <c r="R932" s="63">
        <v>172</v>
      </c>
      <c r="S932" s="63"/>
      <c r="T932" s="63"/>
      <c r="U932" s="63"/>
      <c r="V932" s="63"/>
      <c r="W932" s="63">
        <f t="shared" si="266"/>
        <v>94</v>
      </c>
      <c r="X932" s="63"/>
      <c r="Y932" s="63"/>
      <c r="Z932" s="63"/>
      <c r="AA932" s="63">
        <v>0</v>
      </c>
      <c r="AB932" s="63"/>
      <c r="AE932" s="8">
        <v>0</v>
      </c>
      <c r="AT932" t="str">
        <f t="shared" si="269"/>
        <v>North Adams</v>
      </c>
      <c r="AU932" t="s">
        <v>2313</v>
      </c>
      <c r="AV932">
        <v>1</v>
      </c>
      <c r="AX932" s="114">
        <v>25</v>
      </c>
      <c r="AY932" s="116">
        <v>3</v>
      </c>
      <c r="AZ932" s="116">
        <v>95</v>
      </c>
      <c r="BA932" s="120">
        <v>46225</v>
      </c>
      <c r="BB932" s="120">
        <f t="shared" si="270"/>
        <v>25003</v>
      </c>
      <c r="BC932" t="s">
        <v>1249</v>
      </c>
      <c r="BD932">
        <f t="shared" si="267"/>
        <v>2546225</v>
      </c>
      <c r="BE932" s="66">
        <v>72</v>
      </c>
      <c r="BF932" s="66"/>
      <c r="BI932">
        <v>20.57</v>
      </c>
      <c r="BJ932">
        <v>0.13</v>
      </c>
      <c r="BK932">
        <v>20.440000000000001</v>
      </c>
      <c r="BQ932">
        <v>94</v>
      </c>
      <c r="BS932">
        <v>0</v>
      </c>
    </row>
    <row r="933" spans="1:71" hidden="1" outlineLevel="1">
      <c r="A933" s="64" t="s">
        <v>2693</v>
      </c>
      <c r="B933" s="8" t="s">
        <v>1320</v>
      </c>
      <c r="C933" s="1">
        <f t="shared" si="259"/>
        <v>15879</v>
      </c>
      <c r="D933" s="5">
        <f>IF(N933&gt;0, RANK(N933,(N933:P933,Q933:AE933)),0)</f>
        <v>1</v>
      </c>
      <c r="E933" s="5">
        <f>IF(O933&gt;0,RANK(O933,(N933:P933,Q933:AE933)),0)</f>
        <v>2</v>
      </c>
      <c r="F933" s="5">
        <f t="shared" si="260"/>
        <v>0</v>
      </c>
      <c r="G933" s="1">
        <f t="shared" si="261"/>
        <v>2108</v>
      </c>
      <c r="H933" s="2">
        <f t="shared" si="268"/>
        <v>0.13275395176018642</v>
      </c>
      <c r="I933" s="6"/>
      <c r="J933" s="2">
        <f t="shared" si="262"/>
        <v>0.53523521632344606</v>
      </c>
      <c r="K933" s="2">
        <f t="shared" si="263"/>
        <v>0.40248126456325967</v>
      </c>
      <c r="L933" s="2">
        <f t="shared" si="264"/>
        <v>0</v>
      </c>
      <c r="M933" s="2">
        <f t="shared" si="265"/>
        <v>6.2283519113294272E-2</v>
      </c>
      <c r="N933" s="63">
        <v>8499</v>
      </c>
      <c r="O933" s="63">
        <v>6391</v>
      </c>
      <c r="P933" s="63">
        <v>0</v>
      </c>
      <c r="Q933" s="63">
        <v>801</v>
      </c>
      <c r="R933" s="63">
        <v>119</v>
      </c>
      <c r="S933" s="63"/>
      <c r="T933" s="63"/>
      <c r="U933" s="63"/>
      <c r="V933" s="63"/>
      <c r="W933" s="63">
        <f t="shared" si="266"/>
        <v>69</v>
      </c>
      <c r="X933" s="63"/>
      <c r="Y933" s="63"/>
      <c r="Z933" s="63"/>
      <c r="AA933" s="63">
        <v>0</v>
      </c>
      <c r="AB933" s="63"/>
      <c r="AE933" s="8">
        <v>0</v>
      </c>
      <c r="AT933" t="str">
        <f t="shared" si="269"/>
        <v>North Andover</v>
      </c>
      <c r="AU933" t="s">
        <v>842</v>
      </c>
      <c r="AV933">
        <v>6</v>
      </c>
      <c r="AX933" s="114">
        <v>25</v>
      </c>
      <c r="AY933" s="116">
        <v>9</v>
      </c>
      <c r="AZ933" s="116">
        <v>120</v>
      </c>
      <c r="BA933" s="120">
        <v>46365</v>
      </c>
      <c r="BB933" s="120">
        <f t="shared" si="270"/>
        <v>25009</v>
      </c>
      <c r="BC933" t="s">
        <v>1472</v>
      </c>
      <c r="BD933">
        <f t="shared" si="267"/>
        <v>2546365</v>
      </c>
      <c r="BE933" s="66">
        <v>512</v>
      </c>
      <c r="BF933" s="66"/>
      <c r="BI933">
        <v>27.84</v>
      </c>
      <c r="BJ933">
        <v>1.19</v>
      </c>
      <c r="BK933">
        <v>26.65</v>
      </c>
      <c r="BQ933">
        <v>69</v>
      </c>
      <c r="BS933">
        <v>0</v>
      </c>
    </row>
    <row r="934" spans="1:71" hidden="1" outlineLevel="1">
      <c r="A934" s="64" t="s">
        <v>1358</v>
      </c>
      <c r="B934" s="8" t="s">
        <v>1320</v>
      </c>
      <c r="C934" s="1">
        <f t="shared" si="259"/>
        <v>15142</v>
      </c>
      <c r="D934" s="5">
        <f>IF(N934&gt;0, RANK(N934,(N934:P934,Q934:AE934)),0)</f>
        <v>1</v>
      </c>
      <c r="E934" s="5">
        <f>IF(O934&gt;0,RANK(O934,(N934:P934,Q934:AE934)),0)</f>
        <v>2</v>
      </c>
      <c r="F934" s="5">
        <f t="shared" si="260"/>
        <v>6</v>
      </c>
      <c r="G934" s="1">
        <f t="shared" si="261"/>
        <v>343</v>
      </c>
      <c r="H934" s="2">
        <f t="shared" si="268"/>
        <v>2.2652225597675341E-2</v>
      </c>
      <c r="I934" s="6"/>
      <c r="J934" s="2">
        <f t="shared" si="262"/>
        <v>0.46618676528860126</v>
      </c>
      <c r="K934" s="2">
        <f t="shared" si="263"/>
        <v>0.44353453969092588</v>
      </c>
      <c r="L934" s="2">
        <f t="shared" si="264"/>
        <v>1.5849953770968167E-3</v>
      </c>
      <c r="M934" s="2">
        <f t="shared" si="265"/>
        <v>8.8693699643376048E-2</v>
      </c>
      <c r="N934" s="63">
        <v>7059</v>
      </c>
      <c r="O934" s="63">
        <v>6716</v>
      </c>
      <c r="P934" s="63">
        <v>24</v>
      </c>
      <c r="Q934" s="63">
        <v>863</v>
      </c>
      <c r="R934" s="63">
        <v>226</v>
      </c>
      <c r="S934" s="63"/>
      <c r="T934" s="63"/>
      <c r="U934" s="63"/>
      <c r="V934" s="63"/>
      <c r="W934" s="63">
        <f t="shared" si="266"/>
        <v>254</v>
      </c>
      <c r="X934" s="63"/>
      <c r="Y934" s="63"/>
      <c r="Z934" s="63"/>
      <c r="AA934" s="63">
        <v>0</v>
      </c>
      <c r="AB934" s="63"/>
      <c r="AE934" s="8">
        <v>0</v>
      </c>
      <c r="AT934" t="str">
        <f t="shared" si="269"/>
        <v>North Attleborough</v>
      </c>
      <c r="AU934" t="s">
        <v>2215</v>
      </c>
      <c r="AV934">
        <v>4</v>
      </c>
      <c r="AX934" s="114">
        <v>25</v>
      </c>
      <c r="AY934" s="116">
        <v>5</v>
      </c>
      <c r="AZ934" s="116">
        <v>60</v>
      </c>
      <c r="BA934" s="120">
        <v>46575</v>
      </c>
      <c r="BB934" s="120">
        <f t="shared" si="270"/>
        <v>25005</v>
      </c>
      <c r="BC934" t="s">
        <v>1472</v>
      </c>
      <c r="BD934">
        <f t="shared" si="267"/>
        <v>2546575</v>
      </c>
      <c r="BE934" s="66">
        <v>292</v>
      </c>
      <c r="BF934" s="66"/>
      <c r="BI934">
        <v>19.05</v>
      </c>
      <c r="BJ934">
        <v>0.41</v>
      </c>
      <c r="BK934">
        <v>18.64</v>
      </c>
      <c r="BQ934">
        <v>254</v>
      </c>
      <c r="BS934">
        <v>0</v>
      </c>
    </row>
    <row r="935" spans="1:71" hidden="1" outlineLevel="1">
      <c r="A935" s="64" t="s">
        <v>1288</v>
      </c>
      <c r="B935" s="8" t="s">
        <v>1320</v>
      </c>
      <c r="C935" s="1">
        <f t="shared" si="259"/>
        <v>2556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 t="shared" si="260"/>
        <v>6</v>
      </c>
      <c r="G935" s="1">
        <f t="shared" si="261"/>
        <v>506</v>
      </c>
      <c r="H935" s="2">
        <f t="shared" si="268"/>
        <v>0.19796557120500782</v>
      </c>
      <c r="I935" s="6"/>
      <c r="J935" s="2">
        <f t="shared" si="262"/>
        <v>0.35485133020344289</v>
      </c>
      <c r="K935" s="2">
        <f t="shared" si="263"/>
        <v>0.55281690140845074</v>
      </c>
      <c r="L935" s="2">
        <f t="shared" si="264"/>
        <v>2.7386541471048514E-3</v>
      </c>
      <c r="M935" s="2">
        <f t="shared" si="265"/>
        <v>8.9593114241001567E-2</v>
      </c>
      <c r="N935" s="63">
        <v>907</v>
      </c>
      <c r="O935" s="63">
        <v>1413</v>
      </c>
      <c r="P935" s="63">
        <v>7</v>
      </c>
      <c r="Q935" s="63">
        <v>160</v>
      </c>
      <c r="R935" s="63">
        <v>36</v>
      </c>
      <c r="S935" s="63"/>
      <c r="T935" s="63"/>
      <c r="U935" s="63"/>
      <c r="V935" s="63"/>
      <c r="W935" s="63">
        <f t="shared" si="266"/>
        <v>33</v>
      </c>
      <c r="X935" s="63"/>
      <c r="Y935" s="63"/>
      <c r="Z935" s="63"/>
      <c r="AA935" s="63">
        <v>0</v>
      </c>
      <c r="AB935" s="63"/>
      <c r="AE935" s="8">
        <v>0</v>
      </c>
      <c r="AT935" t="str">
        <f t="shared" si="269"/>
        <v>North Brookfield</v>
      </c>
      <c r="AU935" s="8" t="s">
        <v>1774</v>
      </c>
      <c r="AV935">
        <v>2</v>
      </c>
      <c r="AX935" s="114">
        <v>25</v>
      </c>
      <c r="AY935" s="116">
        <v>27</v>
      </c>
      <c r="AZ935" s="116">
        <v>170</v>
      </c>
      <c r="BA935" s="120">
        <v>47135</v>
      </c>
      <c r="BB935" s="120">
        <f t="shared" si="270"/>
        <v>25027</v>
      </c>
      <c r="BC935" t="s">
        <v>1472</v>
      </c>
      <c r="BD935">
        <f t="shared" si="267"/>
        <v>2547135</v>
      </c>
      <c r="BE935" s="66">
        <v>35</v>
      </c>
      <c r="BF935" s="66"/>
      <c r="BI935">
        <v>21.73</v>
      </c>
      <c r="BJ935">
        <v>0.66</v>
      </c>
      <c r="BK935">
        <v>21.06</v>
      </c>
      <c r="BQ935">
        <v>33</v>
      </c>
      <c r="BS935">
        <v>0</v>
      </c>
    </row>
    <row r="936" spans="1:71" hidden="1" outlineLevel="1">
      <c r="A936" s="64" t="s">
        <v>3054</v>
      </c>
      <c r="B936" s="8" t="s">
        <v>1320</v>
      </c>
      <c r="C936" s="1">
        <f t="shared" si="259"/>
        <v>8987</v>
      </c>
      <c r="D936" s="5">
        <f>IF(N936&gt;0, RANK(N936,(N936:P936,Q936:AE936)),0)</f>
        <v>1</v>
      </c>
      <c r="E936" s="5">
        <f>IF(O936&gt;0,RANK(O936,(N936:P936,Q936:AE936)),0)</f>
        <v>2</v>
      </c>
      <c r="F936" s="5">
        <f t="shared" si="260"/>
        <v>0</v>
      </c>
      <c r="G936" s="1">
        <f t="shared" si="261"/>
        <v>297</v>
      </c>
      <c r="H936" s="2">
        <f t="shared" si="268"/>
        <v>3.3047735618115054E-2</v>
      </c>
      <c r="I936" s="6"/>
      <c r="J936" s="2">
        <f t="shared" si="262"/>
        <v>0.4765772782908646</v>
      </c>
      <c r="K936" s="2">
        <f t="shared" si="263"/>
        <v>0.44352954267274952</v>
      </c>
      <c r="L936" s="2">
        <f t="shared" si="264"/>
        <v>0</v>
      </c>
      <c r="M936" s="2">
        <f t="shared" si="265"/>
        <v>7.9893179036385875E-2</v>
      </c>
      <c r="N936" s="63">
        <v>4283</v>
      </c>
      <c r="O936" s="63">
        <v>3986</v>
      </c>
      <c r="P936" s="63">
        <v>0</v>
      </c>
      <c r="Q936" s="63">
        <v>470</v>
      </c>
      <c r="R936" s="63">
        <v>87</v>
      </c>
      <c r="S936" s="63"/>
      <c r="T936" s="63"/>
      <c r="U936" s="63"/>
      <c r="V936" s="63"/>
      <c r="W936" s="63">
        <f t="shared" si="266"/>
        <v>161</v>
      </c>
      <c r="X936" s="63"/>
      <c r="Y936" s="63"/>
      <c r="Z936" s="63"/>
      <c r="AA936" s="63">
        <v>0</v>
      </c>
      <c r="AB936" s="63"/>
      <c r="AE936" s="8">
        <v>0</v>
      </c>
      <c r="AT936" t="str">
        <f t="shared" si="269"/>
        <v>North Reading</v>
      </c>
      <c r="AU936" t="s">
        <v>503</v>
      </c>
      <c r="AV936">
        <v>6</v>
      </c>
      <c r="AX936" s="114">
        <v>25</v>
      </c>
      <c r="AY936" s="116">
        <v>17</v>
      </c>
      <c r="AZ936" s="116">
        <v>170</v>
      </c>
      <c r="BA936" s="120">
        <v>48955</v>
      </c>
      <c r="BB936" s="120">
        <f t="shared" si="270"/>
        <v>25017</v>
      </c>
      <c r="BC936" t="s">
        <v>1472</v>
      </c>
      <c r="BD936">
        <f t="shared" si="267"/>
        <v>2548955</v>
      </c>
      <c r="BE936" s="66">
        <v>167</v>
      </c>
      <c r="BF936" s="66"/>
      <c r="BI936">
        <v>13.51</v>
      </c>
      <c r="BJ936">
        <v>0.25</v>
      </c>
      <c r="BK936">
        <v>13.25</v>
      </c>
      <c r="BQ936">
        <v>161</v>
      </c>
      <c r="BS936">
        <v>0</v>
      </c>
    </row>
    <row r="937" spans="1:71" hidden="1" outlineLevel="1">
      <c r="A937" s="64" t="s">
        <v>2751</v>
      </c>
      <c r="B937" s="8" t="s">
        <v>1320</v>
      </c>
      <c r="C937" s="1">
        <f t="shared" si="259"/>
        <v>16609</v>
      </c>
      <c r="D937" s="5">
        <f>IF(N937&gt;0, RANK(N937,(N937:P937,Q937:AE937)),0)</f>
        <v>1</v>
      </c>
      <c r="E937" s="5">
        <f>IF(O937&gt;0,RANK(O937,(N937:P937,Q937:AE937)),0)</f>
        <v>2</v>
      </c>
      <c r="F937" s="5">
        <f t="shared" si="260"/>
        <v>6</v>
      </c>
      <c r="G937" s="1">
        <f t="shared" si="261"/>
        <v>11634</v>
      </c>
      <c r="H937" s="2">
        <f t="shared" si="268"/>
        <v>0.70046360407008246</v>
      </c>
      <c r="I937" s="6"/>
      <c r="J937" s="2">
        <f t="shared" si="262"/>
        <v>0.813534830513577</v>
      </c>
      <c r="K937" s="2">
        <f t="shared" si="263"/>
        <v>0.11307122644349449</v>
      </c>
      <c r="L937" s="2">
        <f t="shared" si="264"/>
        <v>4.8166656631946534E-4</v>
      </c>
      <c r="M937" s="2">
        <f t="shared" si="265"/>
        <v>7.2912276476609042E-2</v>
      </c>
      <c r="N937" s="63">
        <v>13512</v>
      </c>
      <c r="O937" s="63">
        <v>1878</v>
      </c>
      <c r="P937" s="63">
        <v>8</v>
      </c>
      <c r="Q937" s="63">
        <v>341</v>
      </c>
      <c r="R937" s="63">
        <v>638</v>
      </c>
      <c r="S937" s="63"/>
      <c r="T937" s="63"/>
      <c r="U937" s="63"/>
      <c r="V937" s="63"/>
      <c r="W937" s="63">
        <f t="shared" si="266"/>
        <v>224</v>
      </c>
      <c r="X937" s="63"/>
      <c r="Y937" s="63"/>
      <c r="Z937" s="63"/>
      <c r="AA937" s="63">
        <v>0</v>
      </c>
      <c r="AB937" s="63"/>
      <c r="AE937" s="8">
        <v>8</v>
      </c>
      <c r="AT937" t="str">
        <f t="shared" si="269"/>
        <v>Northampton</v>
      </c>
      <c r="AU937" t="s">
        <v>2176</v>
      </c>
      <c r="AV937">
        <v>2</v>
      </c>
      <c r="AX937" s="114">
        <v>25</v>
      </c>
      <c r="AY937" s="116">
        <v>15</v>
      </c>
      <c r="AZ937" s="116">
        <v>60</v>
      </c>
      <c r="BA937" s="120">
        <v>46330</v>
      </c>
      <c r="BB937" s="120">
        <f t="shared" si="270"/>
        <v>25015</v>
      </c>
      <c r="BC937" t="s">
        <v>1249</v>
      </c>
      <c r="BD937">
        <f t="shared" si="267"/>
        <v>2546330</v>
      </c>
      <c r="BE937" s="66">
        <v>386</v>
      </c>
      <c r="BF937" s="66"/>
      <c r="BI937">
        <v>35.6</v>
      </c>
      <c r="BJ937">
        <v>1.1399999999999999</v>
      </c>
      <c r="BK937">
        <v>34.46</v>
      </c>
      <c r="BQ937">
        <v>202</v>
      </c>
      <c r="BS937">
        <v>22</v>
      </c>
    </row>
    <row r="938" spans="1:71" hidden="1" outlineLevel="1">
      <c r="A938" s="64" t="s">
        <v>1003</v>
      </c>
      <c r="B938" s="8" t="s">
        <v>1320</v>
      </c>
      <c r="C938" s="1">
        <f t="shared" si="259"/>
        <v>8910</v>
      </c>
      <c r="D938" s="5">
        <f>IF(N938&gt;0, RANK(N938,(N938:P938,Q938:AE938)),0)</f>
        <v>1</v>
      </c>
      <c r="E938" s="5">
        <f>IF(O938&gt;0,RANK(O938,(N938:P938,Q938:AE938)),0)</f>
        <v>2</v>
      </c>
      <c r="F938" s="5">
        <f t="shared" si="260"/>
        <v>0</v>
      </c>
      <c r="G938" s="1">
        <f t="shared" si="261"/>
        <v>2166</v>
      </c>
      <c r="H938" s="2">
        <f t="shared" si="268"/>
        <v>0.24309764309764309</v>
      </c>
      <c r="I938" s="6"/>
      <c r="J938" s="2">
        <f t="shared" si="262"/>
        <v>0.5757575757575758</v>
      </c>
      <c r="K938" s="2">
        <f t="shared" si="263"/>
        <v>0.33265993265993266</v>
      </c>
      <c r="L938" s="2">
        <f t="shared" si="264"/>
        <v>0</v>
      </c>
      <c r="M938" s="2">
        <f t="shared" si="265"/>
        <v>9.1582491582491543E-2</v>
      </c>
      <c r="N938" s="63">
        <v>5130</v>
      </c>
      <c r="O938" s="63">
        <v>2964</v>
      </c>
      <c r="P938" s="63">
        <v>0</v>
      </c>
      <c r="Q938" s="63">
        <v>523</v>
      </c>
      <c r="R938" s="63">
        <v>104</v>
      </c>
      <c r="S938" s="63"/>
      <c r="T938" s="63"/>
      <c r="U938" s="63"/>
      <c r="V938" s="63"/>
      <c r="W938" s="63">
        <f t="shared" si="266"/>
        <v>189</v>
      </c>
      <c r="X938" s="63"/>
      <c r="Y938" s="63"/>
      <c r="Z938" s="63"/>
      <c r="AA938" s="63">
        <v>0</v>
      </c>
      <c r="AB938" s="63"/>
      <c r="AE938" s="8">
        <v>0</v>
      </c>
      <c r="AT938" t="str">
        <f t="shared" si="269"/>
        <v>Northborough</v>
      </c>
      <c r="AU938" s="8" t="s">
        <v>1774</v>
      </c>
      <c r="AV938">
        <v>2</v>
      </c>
      <c r="AX938" s="114">
        <v>25</v>
      </c>
      <c r="AY938" s="116">
        <v>27</v>
      </c>
      <c r="AZ938" s="116">
        <v>160</v>
      </c>
      <c r="BA938" s="120">
        <v>46820</v>
      </c>
      <c r="BB938" s="120">
        <f t="shared" si="270"/>
        <v>25027</v>
      </c>
      <c r="BC938" t="s">
        <v>1472</v>
      </c>
      <c r="BD938">
        <f t="shared" si="267"/>
        <v>2546820</v>
      </c>
      <c r="BE938" s="66">
        <v>156</v>
      </c>
      <c r="BF938" s="66"/>
      <c r="BI938">
        <v>18.75</v>
      </c>
      <c r="BJ938">
        <v>0.22</v>
      </c>
      <c r="BK938">
        <v>18.53</v>
      </c>
      <c r="BQ938">
        <v>189</v>
      </c>
      <c r="BS938">
        <v>0</v>
      </c>
    </row>
    <row r="939" spans="1:71" hidden="1" outlineLevel="1">
      <c r="A939" s="64" t="s">
        <v>2687</v>
      </c>
      <c r="B939" s="8" t="s">
        <v>1320</v>
      </c>
      <c r="C939" s="1">
        <f t="shared" si="259"/>
        <v>8255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 t="shared" si="260"/>
        <v>6</v>
      </c>
      <c r="G939" s="1">
        <f t="shared" si="261"/>
        <v>552</v>
      </c>
      <c r="H939" s="2">
        <f t="shared" si="268"/>
        <v>6.6868564506359779E-2</v>
      </c>
      <c r="I939" s="6"/>
      <c r="J939" s="2">
        <f t="shared" si="262"/>
        <v>0.41490006056935191</v>
      </c>
      <c r="K939" s="2">
        <f t="shared" si="263"/>
        <v>0.48176862507571167</v>
      </c>
      <c r="L939" s="2">
        <f t="shared" si="264"/>
        <v>3.5130224106602061E-3</v>
      </c>
      <c r="M939" s="2">
        <f t="shared" si="265"/>
        <v>9.9818291944276216E-2</v>
      </c>
      <c r="N939" s="63">
        <v>3425</v>
      </c>
      <c r="O939" s="63">
        <v>3977</v>
      </c>
      <c r="P939" s="63">
        <v>29</v>
      </c>
      <c r="Q939" s="63">
        <v>574</v>
      </c>
      <c r="R939" s="63">
        <v>104</v>
      </c>
      <c r="S939" s="63"/>
      <c r="T939" s="63"/>
      <c r="U939" s="63"/>
      <c r="V939" s="63"/>
      <c r="W939" s="63">
        <f t="shared" si="266"/>
        <v>146</v>
      </c>
      <c r="X939" s="63"/>
      <c r="Y939" s="63"/>
      <c r="Z939" s="63"/>
      <c r="AA939" s="63">
        <v>0</v>
      </c>
      <c r="AB939" s="63"/>
      <c r="AE939" s="8">
        <v>0</v>
      </c>
      <c r="AT939" t="str">
        <f t="shared" si="269"/>
        <v>Northbridge</v>
      </c>
      <c r="AU939" s="8" t="s">
        <v>1774</v>
      </c>
      <c r="AV939">
        <v>2</v>
      </c>
      <c r="AX939" s="114">
        <v>25</v>
      </c>
      <c r="AY939" s="116">
        <v>27</v>
      </c>
      <c r="AZ939" s="116">
        <v>165</v>
      </c>
      <c r="BA939" s="120">
        <v>46925</v>
      </c>
      <c r="BB939" s="120">
        <f t="shared" si="270"/>
        <v>25027</v>
      </c>
      <c r="BC939" t="s">
        <v>1472</v>
      </c>
      <c r="BD939">
        <f t="shared" si="267"/>
        <v>2546925</v>
      </c>
      <c r="BE939" s="66">
        <v>152</v>
      </c>
      <c r="BF939" s="66"/>
      <c r="BI939">
        <v>18.059999999999999</v>
      </c>
      <c r="BJ939">
        <v>0.88</v>
      </c>
      <c r="BK939">
        <v>17.18</v>
      </c>
      <c r="BQ939">
        <v>146</v>
      </c>
      <c r="BS939">
        <v>0</v>
      </c>
    </row>
    <row r="940" spans="1:71" hidden="1" outlineLevel="1">
      <c r="A940" s="64" t="s">
        <v>2829</v>
      </c>
      <c r="B940" s="8" t="s">
        <v>1320</v>
      </c>
      <c r="C940" s="1">
        <f t="shared" si="259"/>
        <v>1743</v>
      </c>
      <c r="D940" s="5">
        <f>IF(N940&gt;0, RANK(N940,(N940:P940,Q940:AE940)),0)</f>
        <v>1</v>
      </c>
      <c r="E940" s="5">
        <f>IF(O940&gt;0,RANK(O940,(N940:P940,Q940:AE940)),0)</f>
        <v>2</v>
      </c>
      <c r="F940" s="5">
        <f t="shared" si="260"/>
        <v>0</v>
      </c>
      <c r="G940" s="1">
        <f t="shared" si="261"/>
        <v>480</v>
      </c>
      <c r="H940" s="2">
        <f t="shared" si="268"/>
        <v>0.27538726333907054</v>
      </c>
      <c r="I940" s="6"/>
      <c r="J940" s="2">
        <f t="shared" si="262"/>
        <v>0.58118187033849689</v>
      </c>
      <c r="K940" s="2">
        <f t="shared" si="263"/>
        <v>0.30579460699942629</v>
      </c>
      <c r="L940" s="2">
        <f t="shared" si="264"/>
        <v>0</v>
      </c>
      <c r="M940" s="2">
        <f t="shared" si="265"/>
        <v>0.11302352266207683</v>
      </c>
      <c r="N940" s="63">
        <v>1013</v>
      </c>
      <c r="O940" s="63">
        <v>533</v>
      </c>
      <c r="P940" s="63">
        <v>0</v>
      </c>
      <c r="Q940" s="63">
        <v>91</v>
      </c>
      <c r="R940" s="63">
        <v>50</v>
      </c>
      <c r="S940" s="63"/>
      <c r="T940" s="63"/>
      <c r="U940" s="63"/>
      <c r="V940" s="63"/>
      <c r="W940" s="63">
        <f t="shared" si="266"/>
        <v>56</v>
      </c>
      <c r="X940" s="63"/>
      <c r="Y940" s="63"/>
      <c r="Z940" s="63"/>
      <c r="AA940" s="63">
        <v>0</v>
      </c>
      <c r="AB940" s="63"/>
      <c r="AE940" s="8">
        <v>0</v>
      </c>
      <c r="AT940" t="str">
        <f t="shared" si="269"/>
        <v>Northfield</v>
      </c>
      <c r="AU940" t="s">
        <v>1138</v>
      </c>
      <c r="AV940">
        <v>2</v>
      </c>
      <c r="AX940" s="114">
        <v>25</v>
      </c>
      <c r="AY940" s="116">
        <v>11</v>
      </c>
      <c r="AZ940" s="116">
        <v>90</v>
      </c>
      <c r="BA940" s="120">
        <v>47835</v>
      </c>
      <c r="BB940" s="120">
        <f t="shared" si="270"/>
        <v>25011</v>
      </c>
      <c r="BC940" t="s">
        <v>1472</v>
      </c>
      <c r="BD940">
        <f t="shared" si="267"/>
        <v>2547835</v>
      </c>
      <c r="BE940" s="66">
        <v>14</v>
      </c>
      <c r="BF940" s="66"/>
      <c r="BI940">
        <v>35.36</v>
      </c>
      <c r="BJ940">
        <v>0.95</v>
      </c>
      <c r="BK940">
        <v>34.409999999999997</v>
      </c>
      <c r="BQ940">
        <v>56</v>
      </c>
      <c r="BS940">
        <v>0</v>
      </c>
    </row>
    <row r="941" spans="1:71" hidden="1" outlineLevel="1">
      <c r="A941" s="64" t="s">
        <v>2475</v>
      </c>
      <c r="B941" s="8" t="s">
        <v>1320</v>
      </c>
      <c r="C941" s="1">
        <f t="shared" si="259"/>
        <v>9816</v>
      </c>
      <c r="D941" s="5">
        <f>IF(N941&gt;0, RANK(N941,(N941:P941,Q941:AE941)),0)</f>
        <v>1</v>
      </c>
      <c r="E941" s="5">
        <f>IF(O941&gt;0,RANK(O941,(N941:P941,Q941:AE941)),0)</f>
        <v>2</v>
      </c>
      <c r="F941" s="5">
        <f t="shared" si="260"/>
        <v>0</v>
      </c>
      <c r="G941" s="1">
        <f t="shared" si="261"/>
        <v>127</v>
      </c>
      <c r="H941" s="2">
        <f t="shared" si="268"/>
        <v>1.2938060309698452E-2</v>
      </c>
      <c r="I941" s="6"/>
      <c r="J941" s="2">
        <f t="shared" si="262"/>
        <v>0.46403830480847597</v>
      </c>
      <c r="K941" s="2">
        <f t="shared" si="263"/>
        <v>0.4511002444987775</v>
      </c>
      <c r="L941" s="2">
        <f t="shared" si="264"/>
        <v>0</v>
      </c>
      <c r="M941" s="2">
        <f t="shared" si="265"/>
        <v>8.4861450692746532E-2</v>
      </c>
      <c r="N941" s="63">
        <v>4555</v>
      </c>
      <c r="O941" s="63">
        <v>4428</v>
      </c>
      <c r="P941" s="63">
        <v>0</v>
      </c>
      <c r="Q941" s="63">
        <v>496</v>
      </c>
      <c r="R941" s="63">
        <v>113</v>
      </c>
      <c r="S941" s="63"/>
      <c r="T941" s="63"/>
      <c r="U941" s="63"/>
      <c r="V941" s="63"/>
      <c r="W941" s="63">
        <f t="shared" si="266"/>
        <v>224</v>
      </c>
      <c r="X941" s="63"/>
      <c r="Y941" s="63"/>
      <c r="Z941" s="63"/>
      <c r="AA941" s="63">
        <v>0</v>
      </c>
      <c r="AB941" s="63"/>
      <c r="AE941" s="8">
        <v>0</v>
      </c>
      <c r="AT941" t="str">
        <f t="shared" si="269"/>
        <v>Norton</v>
      </c>
      <c r="AU941" t="s">
        <v>2215</v>
      </c>
      <c r="AV941">
        <v>4</v>
      </c>
      <c r="AX941" s="114">
        <v>25</v>
      </c>
      <c r="AY941" s="116">
        <v>5</v>
      </c>
      <c r="AZ941" s="116">
        <v>65</v>
      </c>
      <c r="BA941" s="120">
        <v>49970</v>
      </c>
      <c r="BB941" s="120">
        <f t="shared" si="270"/>
        <v>25005</v>
      </c>
      <c r="BC941" t="s">
        <v>1472</v>
      </c>
      <c r="BD941">
        <f t="shared" si="267"/>
        <v>2549970</v>
      </c>
      <c r="BE941" s="66">
        <v>225</v>
      </c>
      <c r="BF941" s="66"/>
      <c r="BI941">
        <v>29.82</v>
      </c>
      <c r="BJ941">
        <v>1.1100000000000001</v>
      </c>
      <c r="BK941">
        <v>28.71</v>
      </c>
      <c r="BQ941">
        <v>224</v>
      </c>
      <c r="BS941">
        <v>0</v>
      </c>
    </row>
    <row r="942" spans="1:71" hidden="1" outlineLevel="1">
      <c r="A942" s="64" t="s">
        <v>2891</v>
      </c>
      <c r="B942" s="8" t="s">
        <v>1320</v>
      </c>
      <c r="C942" s="1">
        <f t="shared" si="259"/>
        <v>6662</v>
      </c>
      <c r="D942" s="5">
        <f>IF(N942&gt;0, RANK(N942,(N942:P942,Q942:AE942)),0)</f>
        <v>1</v>
      </c>
      <c r="E942" s="5">
        <f>IF(O942&gt;0,RANK(O942,(N942:P942,Q942:AE942)),0)</f>
        <v>2</v>
      </c>
      <c r="F942" s="5">
        <f t="shared" si="260"/>
        <v>0</v>
      </c>
      <c r="G942" s="1">
        <f t="shared" si="261"/>
        <v>440</v>
      </c>
      <c r="H942" s="2">
        <f t="shared" si="268"/>
        <v>6.6046232362653862E-2</v>
      </c>
      <c r="I942" s="6"/>
      <c r="J942" s="2">
        <f t="shared" si="262"/>
        <v>0.49189432602821975</v>
      </c>
      <c r="K942" s="2">
        <f t="shared" si="263"/>
        <v>0.42584809366556592</v>
      </c>
      <c r="L942" s="2">
        <f t="shared" si="264"/>
        <v>0</v>
      </c>
      <c r="M942" s="2">
        <f t="shared" si="265"/>
        <v>8.2257580306214273E-2</v>
      </c>
      <c r="N942" s="63">
        <v>3277</v>
      </c>
      <c r="O942" s="63">
        <v>2837</v>
      </c>
      <c r="P942" s="63">
        <v>0</v>
      </c>
      <c r="Q942" s="63">
        <v>322</v>
      </c>
      <c r="R942" s="63">
        <v>56</v>
      </c>
      <c r="S942" s="63"/>
      <c r="T942" s="63"/>
      <c r="U942" s="63"/>
      <c r="V942" s="63"/>
      <c r="W942" s="63">
        <f t="shared" si="266"/>
        <v>170</v>
      </c>
      <c r="X942" s="63"/>
      <c r="Y942" s="63"/>
      <c r="Z942" s="63"/>
      <c r="AA942" s="63">
        <v>0</v>
      </c>
      <c r="AB942" s="63"/>
      <c r="AE942" s="8">
        <v>0</v>
      </c>
      <c r="AT942" t="str">
        <f t="shared" si="269"/>
        <v>Norwell</v>
      </c>
      <c r="AU942" t="s">
        <v>231</v>
      </c>
      <c r="AV942">
        <v>9</v>
      </c>
      <c r="AX942" s="114">
        <v>25</v>
      </c>
      <c r="AY942" s="116">
        <v>23</v>
      </c>
      <c r="AZ942" s="116">
        <v>90</v>
      </c>
      <c r="BA942" s="120">
        <v>50145</v>
      </c>
      <c r="BB942" s="120">
        <f t="shared" si="270"/>
        <v>25023</v>
      </c>
      <c r="BC942" t="s">
        <v>1472</v>
      </c>
      <c r="BD942">
        <f t="shared" si="267"/>
        <v>2550145</v>
      </c>
      <c r="BE942" s="66">
        <v>104</v>
      </c>
      <c r="BF942" s="66"/>
      <c r="BI942">
        <v>21.17</v>
      </c>
      <c r="BJ942">
        <v>0.28999999999999998</v>
      </c>
      <c r="BK942">
        <v>20.87</v>
      </c>
      <c r="BQ942">
        <v>170</v>
      </c>
      <c r="BS942">
        <v>0</v>
      </c>
    </row>
    <row r="943" spans="1:71" hidden="1" outlineLevel="1">
      <c r="A943" s="64" t="s">
        <v>3074</v>
      </c>
      <c r="B943" s="8" t="s">
        <v>1320</v>
      </c>
      <c r="C943" s="1">
        <f t="shared" si="259"/>
        <v>15856</v>
      </c>
      <c r="D943" s="5">
        <f>IF(N943&gt;0, RANK(N943,(N943:P943,Q943:AE943)),0)</f>
        <v>1</v>
      </c>
      <c r="E943" s="5">
        <f>IF(O943&gt;0,RANK(O943,(N943:P943,Q943:AE943)),0)</f>
        <v>2</v>
      </c>
      <c r="F943" s="5">
        <f t="shared" si="260"/>
        <v>6</v>
      </c>
      <c r="G943" s="1">
        <f t="shared" si="261"/>
        <v>3308</v>
      </c>
      <c r="H943" s="2">
        <f t="shared" si="268"/>
        <v>0.20862764883955601</v>
      </c>
      <c r="I943" s="6"/>
      <c r="J943" s="2">
        <f t="shared" si="262"/>
        <v>0.56760847628657918</v>
      </c>
      <c r="K943" s="2">
        <f t="shared" si="263"/>
        <v>0.3589808274470232</v>
      </c>
      <c r="L943" s="2">
        <f t="shared" si="264"/>
        <v>1.5136226034308778E-3</v>
      </c>
      <c r="M943" s="2">
        <f t="shared" si="265"/>
        <v>7.1897073662966743E-2</v>
      </c>
      <c r="N943" s="63">
        <v>9000</v>
      </c>
      <c r="O943" s="63">
        <v>5692</v>
      </c>
      <c r="P943" s="63">
        <v>24</v>
      </c>
      <c r="Q943" s="63">
        <v>656</v>
      </c>
      <c r="R943" s="63">
        <v>184</v>
      </c>
      <c r="S943" s="63"/>
      <c r="T943" s="63"/>
      <c r="U943" s="63"/>
      <c r="V943" s="63"/>
      <c r="W943" s="63">
        <f t="shared" si="266"/>
        <v>300</v>
      </c>
      <c r="X943" s="63"/>
      <c r="Y943" s="63"/>
      <c r="Z943" s="63"/>
      <c r="AA943" s="63">
        <v>0</v>
      </c>
      <c r="AB943" s="63"/>
      <c r="AE943" s="8">
        <v>0</v>
      </c>
      <c r="AT943" t="str">
        <f t="shared" si="269"/>
        <v>Norwood</v>
      </c>
      <c r="AU943" t="s">
        <v>753</v>
      </c>
      <c r="AV943">
        <v>8</v>
      </c>
      <c r="AX943" s="114">
        <v>25</v>
      </c>
      <c r="AY943" s="116">
        <v>21</v>
      </c>
      <c r="AZ943" s="116">
        <v>90</v>
      </c>
      <c r="BA943" s="120">
        <v>50250</v>
      </c>
      <c r="BB943" s="120">
        <f t="shared" si="270"/>
        <v>25021</v>
      </c>
      <c r="BC943" t="s">
        <v>1472</v>
      </c>
      <c r="BD943">
        <f t="shared" si="267"/>
        <v>2550250</v>
      </c>
      <c r="BE943" s="66">
        <v>260</v>
      </c>
      <c r="BF943" s="66"/>
      <c r="BI943">
        <v>10.55</v>
      </c>
      <c r="BJ943">
        <v>7.0000000000000007E-2</v>
      </c>
      <c r="BK943">
        <v>10.48</v>
      </c>
      <c r="BQ943">
        <v>300</v>
      </c>
      <c r="BS943">
        <v>0</v>
      </c>
    </row>
    <row r="944" spans="1:71" hidden="1" outlineLevel="1">
      <c r="A944" s="64" t="s">
        <v>2028</v>
      </c>
      <c r="B944" s="8" t="s">
        <v>1320</v>
      </c>
      <c r="C944" s="1">
        <f t="shared" si="259"/>
        <v>3009</v>
      </c>
      <c r="D944" s="5">
        <f>IF(N944&gt;0, RANK(N944,(N944:P944,Q944:AE944)),0)</f>
        <v>1</v>
      </c>
      <c r="E944" s="5">
        <f>IF(O944&gt;0,RANK(O944,(N944:P944,Q944:AE944)),0)</f>
        <v>2</v>
      </c>
      <c r="F944" s="5">
        <f t="shared" si="260"/>
        <v>0</v>
      </c>
      <c r="G944" s="1">
        <f t="shared" si="261"/>
        <v>1360</v>
      </c>
      <c r="H944" s="2">
        <f t="shared" si="268"/>
        <v>0.4519774011299435</v>
      </c>
      <c r="I944" s="6"/>
      <c r="J944" s="2">
        <f t="shared" si="262"/>
        <v>0.69724160850780992</v>
      </c>
      <c r="K944" s="2">
        <f t="shared" si="263"/>
        <v>0.24526420737786639</v>
      </c>
      <c r="L944" s="2">
        <f t="shared" si="264"/>
        <v>0</v>
      </c>
      <c r="M944" s="2">
        <f t="shared" si="265"/>
        <v>5.7494184114323693E-2</v>
      </c>
      <c r="N944" s="63">
        <v>2098</v>
      </c>
      <c r="O944" s="63">
        <v>738</v>
      </c>
      <c r="P944" s="63">
        <v>0</v>
      </c>
      <c r="Q944" s="63">
        <v>87</v>
      </c>
      <c r="R944" s="63">
        <v>44</v>
      </c>
      <c r="S944" s="63"/>
      <c r="T944" s="63"/>
      <c r="U944" s="63"/>
      <c r="V944" s="63"/>
      <c r="W944" s="63">
        <f t="shared" si="266"/>
        <v>42</v>
      </c>
      <c r="X944" s="63"/>
      <c r="Y944" s="63"/>
      <c r="Z944" s="63"/>
      <c r="AA944" s="63">
        <v>0</v>
      </c>
      <c r="AB944" s="63"/>
      <c r="AE944" s="8">
        <v>0</v>
      </c>
      <c r="AT944" t="str">
        <f t="shared" si="269"/>
        <v>Oak Bluffs</v>
      </c>
      <c r="AU944" t="s">
        <v>3032</v>
      </c>
      <c r="AV944">
        <v>9</v>
      </c>
      <c r="AX944" s="114">
        <v>25</v>
      </c>
      <c r="AY944" s="116">
        <v>7</v>
      </c>
      <c r="AZ944" s="116">
        <v>25</v>
      </c>
      <c r="BA944" s="120">
        <v>50390</v>
      </c>
      <c r="BB944" s="120">
        <f t="shared" si="270"/>
        <v>25007</v>
      </c>
      <c r="BC944" t="s">
        <v>1472</v>
      </c>
      <c r="BD944">
        <f t="shared" si="267"/>
        <v>2550390</v>
      </c>
      <c r="BE944" s="66">
        <v>40</v>
      </c>
      <c r="BF944" s="66"/>
      <c r="BI944">
        <v>25.96</v>
      </c>
      <c r="BJ944">
        <v>18.59</v>
      </c>
      <c r="BK944">
        <v>7.37</v>
      </c>
      <c r="BQ944">
        <v>42</v>
      </c>
      <c r="BS944">
        <v>0</v>
      </c>
    </row>
    <row r="945" spans="1:71" hidden="1" outlineLevel="1">
      <c r="A945" s="64" t="s">
        <v>3105</v>
      </c>
      <c r="B945" s="8" t="s">
        <v>1320</v>
      </c>
      <c r="C945" s="1">
        <f t="shared" si="259"/>
        <v>1167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 t="shared" si="260"/>
        <v>0</v>
      </c>
      <c r="G945" s="1">
        <f t="shared" si="261"/>
        <v>198</v>
      </c>
      <c r="H945" s="2">
        <f t="shared" si="268"/>
        <v>0.16966580976863754</v>
      </c>
      <c r="I945" s="6"/>
      <c r="J945" s="2">
        <f t="shared" si="262"/>
        <v>0.37275064267352187</v>
      </c>
      <c r="K945" s="2">
        <f t="shared" si="263"/>
        <v>0.54241645244215941</v>
      </c>
      <c r="L945" s="2">
        <f t="shared" si="264"/>
        <v>0</v>
      </c>
      <c r="M945" s="2">
        <f t="shared" si="265"/>
        <v>8.4832904884318716E-2</v>
      </c>
      <c r="N945" s="63">
        <v>435</v>
      </c>
      <c r="O945" s="63">
        <v>633</v>
      </c>
      <c r="P945" s="63">
        <v>0</v>
      </c>
      <c r="Q945" s="63">
        <v>72</v>
      </c>
      <c r="R945" s="63">
        <v>19</v>
      </c>
      <c r="S945" s="63"/>
      <c r="T945" s="63"/>
      <c r="U945" s="63"/>
      <c r="V945" s="63"/>
      <c r="W945" s="63">
        <f t="shared" si="266"/>
        <v>8</v>
      </c>
      <c r="X945" s="63"/>
      <c r="Y945" s="63"/>
      <c r="Z945" s="63"/>
      <c r="AA945" s="63">
        <v>0</v>
      </c>
      <c r="AB945" s="63"/>
      <c r="AE945" s="8">
        <v>0</v>
      </c>
      <c r="AT945" t="str">
        <f t="shared" si="269"/>
        <v>Oakham</v>
      </c>
      <c r="AU945" s="8" t="s">
        <v>1774</v>
      </c>
      <c r="AV945">
        <v>2</v>
      </c>
      <c r="AX945" s="114">
        <v>25</v>
      </c>
      <c r="AY945" s="116">
        <v>27</v>
      </c>
      <c r="AZ945" s="116">
        <v>175</v>
      </c>
      <c r="BA945" s="120">
        <v>50670</v>
      </c>
      <c r="BB945" s="120">
        <f t="shared" si="270"/>
        <v>25027</v>
      </c>
      <c r="BC945" t="s">
        <v>1472</v>
      </c>
      <c r="BD945">
        <f t="shared" si="267"/>
        <v>2550670</v>
      </c>
      <c r="BE945" s="66">
        <v>17</v>
      </c>
      <c r="BF945" s="66"/>
      <c r="BI945">
        <v>21.53</v>
      </c>
      <c r="BJ945">
        <v>0.41</v>
      </c>
      <c r="BK945">
        <v>21.12</v>
      </c>
      <c r="BQ945">
        <v>8</v>
      </c>
      <c r="BS945">
        <v>0</v>
      </c>
    </row>
    <row r="946" spans="1:71" hidden="1" outlineLevel="1">
      <c r="A946" s="64" t="s">
        <v>2013</v>
      </c>
      <c r="B946" s="8" t="s">
        <v>1320</v>
      </c>
      <c r="C946" s="1">
        <f t="shared" si="259"/>
        <v>3367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 t="shared" si="260"/>
        <v>0</v>
      </c>
      <c r="G946" s="1">
        <f t="shared" si="261"/>
        <v>63</v>
      </c>
      <c r="H946" s="2">
        <f t="shared" si="268"/>
        <v>1.8711018711018712E-2</v>
      </c>
      <c r="I946" s="6"/>
      <c r="J946" s="2">
        <f t="shared" si="262"/>
        <v>0.44163944163944163</v>
      </c>
      <c r="K946" s="2">
        <f t="shared" si="263"/>
        <v>0.46035046035046034</v>
      </c>
      <c r="L946" s="2">
        <f t="shared" si="264"/>
        <v>0</v>
      </c>
      <c r="M946" s="2">
        <f t="shared" si="265"/>
        <v>9.8010098010098079E-2</v>
      </c>
      <c r="N946" s="63">
        <v>1487</v>
      </c>
      <c r="O946" s="63">
        <v>1550</v>
      </c>
      <c r="P946" s="63">
        <v>0</v>
      </c>
      <c r="Q946" s="63">
        <v>222</v>
      </c>
      <c r="R946" s="63">
        <v>78</v>
      </c>
      <c r="S946" s="63"/>
      <c r="T946" s="63"/>
      <c r="U946" s="63"/>
      <c r="V946" s="63"/>
      <c r="W946" s="63">
        <f t="shared" si="266"/>
        <v>30</v>
      </c>
      <c r="X946" s="63"/>
      <c r="Y946" s="63"/>
      <c r="Z946" s="63"/>
      <c r="AA946" s="63">
        <v>0</v>
      </c>
      <c r="AB946" s="63"/>
      <c r="AE946" s="8">
        <v>0</v>
      </c>
      <c r="AT946" t="str">
        <f t="shared" si="269"/>
        <v>Orange</v>
      </c>
      <c r="AU946" t="s">
        <v>1138</v>
      </c>
      <c r="AV946">
        <v>2</v>
      </c>
      <c r="AX946" s="114">
        <v>25</v>
      </c>
      <c r="AY946" s="116">
        <v>11</v>
      </c>
      <c r="AZ946" s="116">
        <v>95</v>
      </c>
      <c r="BA946" s="120">
        <v>51265</v>
      </c>
      <c r="BB946" s="120">
        <f t="shared" si="270"/>
        <v>25011</v>
      </c>
      <c r="BC946" t="s">
        <v>1472</v>
      </c>
      <c r="BD946">
        <f t="shared" si="267"/>
        <v>2551265</v>
      </c>
      <c r="BE946" s="66">
        <v>68</v>
      </c>
      <c r="BF946" s="66"/>
      <c r="BI946">
        <v>35.99</v>
      </c>
      <c r="BJ946">
        <v>0.62</v>
      </c>
      <c r="BK946">
        <v>35.36</v>
      </c>
      <c r="BQ946">
        <v>30</v>
      </c>
      <c r="BS946">
        <v>0</v>
      </c>
    </row>
    <row r="947" spans="1:71" hidden="1" outlineLevel="1">
      <c r="A947" s="64" t="s">
        <v>405</v>
      </c>
      <c r="B947" s="8" t="s">
        <v>1320</v>
      </c>
      <c r="C947" s="1">
        <f t="shared" si="259"/>
        <v>4531</v>
      </c>
      <c r="D947" s="5">
        <f>IF(N947&gt;0, RANK(N947,(N947:P947,Q947:AE947)),0)</f>
        <v>1</v>
      </c>
      <c r="E947" s="5">
        <f>IF(O947&gt;0,RANK(O947,(N947:P947,Q947:AE947)),0)</f>
        <v>2</v>
      </c>
      <c r="F947" s="5">
        <f t="shared" si="260"/>
        <v>6</v>
      </c>
      <c r="G947" s="1">
        <f t="shared" si="261"/>
        <v>1176</v>
      </c>
      <c r="H947" s="2">
        <f t="shared" si="268"/>
        <v>0.25954535422644009</v>
      </c>
      <c r="I947" s="6"/>
      <c r="J947" s="2">
        <f t="shared" si="262"/>
        <v>0.59302582211432353</v>
      </c>
      <c r="K947" s="2">
        <f t="shared" si="263"/>
        <v>0.33348046788788349</v>
      </c>
      <c r="L947" s="2">
        <f t="shared" si="264"/>
        <v>1.3242109909512249E-3</v>
      </c>
      <c r="M947" s="2">
        <f t="shared" si="265"/>
        <v>7.2169499006841747E-2</v>
      </c>
      <c r="N947" s="63">
        <v>2687</v>
      </c>
      <c r="O947" s="63">
        <v>1511</v>
      </c>
      <c r="P947" s="63">
        <v>6</v>
      </c>
      <c r="Q947" s="63">
        <v>192</v>
      </c>
      <c r="R947" s="63">
        <v>65</v>
      </c>
      <c r="S947" s="63"/>
      <c r="T947" s="63"/>
      <c r="U947" s="63"/>
      <c r="V947" s="63"/>
      <c r="W947" s="63">
        <f t="shared" si="266"/>
        <v>70</v>
      </c>
      <c r="X947" s="63"/>
      <c r="Y947" s="63"/>
      <c r="Z947" s="63"/>
      <c r="AA947" s="63">
        <v>0</v>
      </c>
      <c r="AB947" s="63"/>
      <c r="AE947" s="8">
        <v>0</v>
      </c>
      <c r="AT947" t="str">
        <f t="shared" si="269"/>
        <v>Orleans</v>
      </c>
      <c r="AU947" t="s">
        <v>2411</v>
      </c>
      <c r="AV947">
        <v>9</v>
      </c>
      <c r="AX947" s="114">
        <v>25</v>
      </c>
      <c r="AY947" s="116">
        <v>1</v>
      </c>
      <c r="AZ947" s="116">
        <v>50</v>
      </c>
      <c r="BA947" s="120">
        <v>51440</v>
      </c>
      <c r="BB947" s="120">
        <f t="shared" si="270"/>
        <v>25001</v>
      </c>
      <c r="BC947" t="s">
        <v>1472</v>
      </c>
      <c r="BD947">
        <f t="shared" si="267"/>
        <v>2551440</v>
      </c>
      <c r="BE947" s="66">
        <v>64</v>
      </c>
      <c r="BF947" s="66"/>
      <c r="BI947">
        <v>21.08</v>
      </c>
      <c r="BJ947">
        <v>6.9</v>
      </c>
      <c r="BK947">
        <v>14.17</v>
      </c>
      <c r="BQ947">
        <v>70</v>
      </c>
      <c r="BS947">
        <v>0</v>
      </c>
    </row>
    <row r="948" spans="1:71" hidden="1" outlineLevel="1">
      <c r="A948" s="64" t="s">
        <v>3011</v>
      </c>
      <c r="B948" s="8" t="s">
        <v>1320</v>
      </c>
      <c r="C948" s="1">
        <f t="shared" si="259"/>
        <v>915</v>
      </c>
      <c r="D948" s="5">
        <f>IF(N948&gt;0, RANK(N948,(N948:P948,Q948:AE948)),0)</f>
        <v>1</v>
      </c>
      <c r="E948" s="5">
        <f>IF(O948&gt;0,RANK(O948,(N948:P948,Q948:AE948)),0)</f>
        <v>2</v>
      </c>
      <c r="F948" s="5">
        <f t="shared" si="260"/>
        <v>6</v>
      </c>
      <c r="G948" s="1">
        <f t="shared" si="261"/>
        <v>24</v>
      </c>
      <c r="H948" s="2">
        <f t="shared" si="268"/>
        <v>2.6229508196721311E-2</v>
      </c>
      <c r="I948" s="6"/>
      <c r="J948" s="2">
        <f t="shared" si="262"/>
        <v>0.47103825136612021</v>
      </c>
      <c r="K948" s="2">
        <f t="shared" si="263"/>
        <v>0.44480874316939889</v>
      </c>
      <c r="L948" s="2">
        <f t="shared" si="264"/>
        <v>1.092896174863388E-3</v>
      </c>
      <c r="M948" s="2">
        <f t="shared" si="265"/>
        <v>8.3060109289617517E-2</v>
      </c>
      <c r="N948" s="63">
        <v>431</v>
      </c>
      <c r="O948" s="63">
        <v>407</v>
      </c>
      <c r="P948" s="63">
        <v>1</v>
      </c>
      <c r="Q948" s="63">
        <v>43</v>
      </c>
      <c r="R948" s="63">
        <v>18</v>
      </c>
      <c r="S948" s="63"/>
      <c r="T948" s="63"/>
      <c r="U948" s="63"/>
      <c r="V948" s="63"/>
      <c r="W948" s="63">
        <f t="shared" si="266"/>
        <v>15</v>
      </c>
      <c r="X948" s="63"/>
      <c r="Y948" s="63"/>
      <c r="Z948" s="63"/>
      <c r="AA948" s="63">
        <v>0</v>
      </c>
      <c r="AB948" s="63"/>
      <c r="AE948" s="8">
        <v>0</v>
      </c>
      <c r="AT948" t="str">
        <f t="shared" si="269"/>
        <v>Otis</v>
      </c>
      <c r="AU948" t="s">
        <v>2313</v>
      </c>
      <c r="AV948">
        <v>1</v>
      </c>
      <c r="AX948" s="114">
        <v>25</v>
      </c>
      <c r="AY948" s="116">
        <v>3</v>
      </c>
      <c r="AZ948" s="116">
        <v>100</v>
      </c>
      <c r="BA948" s="120">
        <v>51580</v>
      </c>
      <c r="BB948" s="120">
        <f t="shared" si="270"/>
        <v>25003</v>
      </c>
      <c r="BC948" t="s">
        <v>1472</v>
      </c>
      <c r="BD948">
        <f t="shared" si="267"/>
        <v>2551580</v>
      </c>
      <c r="BE948" s="66">
        <v>9</v>
      </c>
      <c r="BF948" s="66"/>
      <c r="BI948">
        <v>38.03</v>
      </c>
      <c r="BJ948">
        <v>2.19</v>
      </c>
      <c r="BK948">
        <v>35.840000000000003</v>
      </c>
      <c r="BQ948">
        <v>15</v>
      </c>
      <c r="BS948">
        <v>0</v>
      </c>
    </row>
    <row r="949" spans="1:71" hidden="1" outlineLevel="1">
      <c r="A949" s="64" t="s">
        <v>2383</v>
      </c>
      <c r="B949" s="8" t="s">
        <v>1320</v>
      </c>
      <c r="C949" s="1">
        <f t="shared" si="259"/>
        <v>6936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 t="shared" si="260"/>
        <v>6</v>
      </c>
      <c r="G949" s="1">
        <f t="shared" si="261"/>
        <v>832</v>
      </c>
      <c r="H949" s="2">
        <f t="shared" si="268"/>
        <v>0.11995386389850057</v>
      </c>
      <c r="I949" s="6"/>
      <c r="J949" s="2">
        <f t="shared" si="262"/>
        <v>0.39561707035755478</v>
      </c>
      <c r="K949" s="2">
        <f t="shared" si="263"/>
        <v>0.51557093425605538</v>
      </c>
      <c r="L949" s="2">
        <f t="shared" si="264"/>
        <v>1.5859284890426758E-3</v>
      </c>
      <c r="M949" s="2">
        <f t="shared" si="265"/>
        <v>8.722606689734716E-2</v>
      </c>
      <c r="N949" s="63">
        <v>2744</v>
      </c>
      <c r="O949" s="63">
        <v>3576</v>
      </c>
      <c r="P949" s="63">
        <v>11</v>
      </c>
      <c r="Q949" s="63">
        <v>405</v>
      </c>
      <c r="R949" s="63">
        <v>83</v>
      </c>
      <c r="S949" s="63"/>
      <c r="T949" s="63"/>
      <c r="U949" s="63"/>
      <c r="V949" s="63"/>
      <c r="W949" s="63">
        <f t="shared" si="266"/>
        <v>117</v>
      </c>
      <c r="X949" s="63"/>
      <c r="Y949" s="63"/>
      <c r="Z949" s="63"/>
      <c r="AA949" s="63">
        <v>0</v>
      </c>
      <c r="AB949" s="63"/>
      <c r="AE949" s="8">
        <v>0</v>
      </c>
      <c r="AT949" t="str">
        <f t="shared" si="269"/>
        <v>Oxford</v>
      </c>
      <c r="AU949" s="8" t="s">
        <v>1774</v>
      </c>
      <c r="AV949">
        <v>2</v>
      </c>
      <c r="AX949" s="114">
        <v>25</v>
      </c>
      <c r="AY949" s="116">
        <v>27</v>
      </c>
      <c r="AZ949" s="116">
        <v>180</v>
      </c>
      <c r="BA949" s="120">
        <v>51825</v>
      </c>
      <c r="BB949" s="120">
        <f t="shared" si="270"/>
        <v>25027</v>
      </c>
      <c r="BC949" t="s">
        <v>1472</v>
      </c>
      <c r="BD949">
        <f t="shared" si="267"/>
        <v>2551825</v>
      </c>
      <c r="BE949" s="66">
        <v>89</v>
      </c>
      <c r="BF949" s="66"/>
      <c r="BI949">
        <v>27.51</v>
      </c>
      <c r="BJ949">
        <v>0.88</v>
      </c>
      <c r="BK949">
        <v>26.63</v>
      </c>
      <c r="BQ949">
        <v>117</v>
      </c>
      <c r="BS949">
        <v>0</v>
      </c>
    </row>
    <row r="950" spans="1:71" hidden="1" outlineLevel="1">
      <c r="A950" s="64" t="s">
        <v>2385</v>
      </c>
      <c r="B950" s="8" t="s">
        <v>1320</v>
      </c>
      <c r="C950" s="1">
        <f t="shared" si="259"/>
        <v>6126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 t="shared" si="260"/>
        <v>0</v>
      </c>
      <c r="G950" s="1">
        <f t="shared" si="261"/>
        <v>608</v>
      </c>
      <c r="H950" s="2">
        <f t="shared" si="268"/>
        <v>9.9249102187397978E-2</v>
      </c>
      <c r="I950" s="6"/>
      <c r="J950" s="2">
        <f t="shared" si="262"/>
        <v>0.4040156709108717</v>
      </c>
      <c r="K950" s="2">
        <f t="shared" si="263"/>
        <v>0.50326477309826967</v>
      </c>
      <c r="L950" s="2">
        <f t="shared" si="264"/>
        <v>0</v>
      </c>
      <c r="M950" s="2">
        <f t="shared" si="265"/>
        <v>9.2719555990858571E-2</v>
      </c>
      <c r="N950" s="63">
        <v>2475</v>
      </c>
      <c r="O950" s="63">
        <v>3083</v>
      </c>
      <c r="P950" s="63">
        <v>0</v>
      </c>
      <c r="Q950" s="63">
        <v>322</v>
      </c>
      <c r="R950" s="63">
        <v>148</v>
      </c>
      <c r="S950" s="63"/>
      <c r="T950" s="63"/>
      <c r="U950" s="63"/>
      <c r="V950" s="63"/>
      <c r="W950" s="63">
        <f t="shared" si="266"/>
        <v>98</v>
      </c>
      <c r="X950" s="63"/>
      <c r="Y950" s="63"/>
      <c r="Z950" s="63"/>
      <c r="AA950" s="63">
        <v>0</v>
      </c>
      <c r="AB950" s="63"/>
      <c r="AE950" s="8">
        <v>0</v>
      </c>
      <c r="AT950" t="str">
        <f t="shared" si="269"/>
        <v>Palmer</v>
      </c>
      <c r="AU950" t="s">
        <v>2852</v>
      </c>
      <c r="AX950" s="114">
        <v>25</v>
      </c>
      <c r="AY950" s="116">
        <v>13</v>
      </c>
      <c r="AZ950" s="116">
        <v>75</v>
      </c>
      <c r="BA950" s="120">
        <v>52105</v>
      </c>
      <c r="BB950" s="120">
        <f t="shared" si="270"/>
        <v>25013</v>
      </c>
      <c r="BC950" t="s">
        <v>1472</v>
      </c>
      <c r="BD950">
        <f t="shared" si="267"/>
        <v>2552105</v>
      </c>
      <c r="BE950" s="66">
        <v>67</v>
      </c>
      <c r="BF950" s="66"/>
      <c r="BI950">
        <v>32.020000000000003</v>
      </c>
      <c r="BJ950">
        <v>0.49</v>
      </c>
      <c r="BK950">
        <v>31.53</v>
      </c>
      <c r="BQ950">
        <v>98</v>
      </c>
      <c r="BS950">
        <v>0</v>
      </c>
    </row>
    <row r="951" spans="1:71" hidden="1" outlineLevel="1">
      <c r="A951" s="64" t="s">
        <v>3080</v>
      </c>
      <c r="B951" s="8" t="s">
        <v>1320</v>
      </c>
      <c r="C951" s="1">
        <f t="shared" si="259"/>
        <v>2660</v>
      </c>
      <c r="D951" s="5">
        <f>IF(N951&gt;0, RANK(N951,(N951:P951,Q951:AE951)),0)</f>
        <v>1</v>
      </c>
      <c r="E951" s="5">
        <f>IF(O951&gt;0,RANK(O951,(N951:P951,Q951:AE951)),0)</f>
        <v>2</v>
      </c>
      <c r="F951" s="5">
        <f t="shared" si="260"/>
        <v>6</v>
      </c>
      <c r="G951" s="1">
        <f t="shared" si="261"/>
        <v>16</v>
      </c>
      <c r="H951" s="2">
        <f t="shared" si="268"/>
        <v>6.0150375939849628E-3</v>
      </c>
      <c r="I951" s="6"/>
      <c r="J951" s="2">
        <f t="shared" si="262"/>
        <v>0.45601503759398498</v>
      </c>
      <c r="K951" s="2">
        <f t="shared" si="263"/>
        <v>0.45</v>
      </c>
      <c r="L951" s="2">
        <f t="shared" si="264"/>
        <v>1.5037593984962407E-3</v>
      </c>
      <c r="M951" s="2">
        <f t="shared" si="265"/>
        <v>9.2481203007518761E-2</v>
      </c>
      <c r="N951" s="63">
        <v>1213</v>
      </c>
      <c r="O951" s="63">
        <v>1197</v>
      </c>
      <c r="P951" s="63">
        <v>4</v>
      </c>
      <c r="Q951" s="63">
        <v>151</v>
      </c>
      <c r="R951" s="63">
        <v>38</v>
      </c>
      <c r="S951" s="63"/>
      <c r="T951" s="63"/>
      <c r="U951" s="63"/>
      <c r="V951" s="63"/>
      <c r="W951" s="63">
        <f t="shared" si="266"/>
        <v>57</v>
      </c>
      <c r="X951" s="63"/>
      <c r="Y951" s="63"/>
      <c r="Z951" s="63"/>
      <c r="AA951" s="63">
        <v>0</v>
      </c>
      <c r="AB951" s="63"/>
      <c r="AE951" s="8">
        <v>0</v>
      </c>
      <c r="AT951" t="str">
        <f t="shared" si="269"/>
        <v>Paxton</v>
      </c>
      <c r="AU951" s="8" t="s">
        <v>1774</v>
      </c>
      <c r="AV951">
        <v>2</v>
      </c>
      <c r="AX951" s="114">
        <v>25</v>
      </c>
      <c r="AY951" s="116">
        <v>27</v>
      </c>
      <c r="AZ951" s="116">
        <v>185</v>
      </c>
      <c r="BA951" s="120">
        <v>52420</v>
      </c>
      <c r="BB951" s="120">
        <f t="shared" si="270"/>
        <v>25027</v>
      </c>
      <c r="BC951" t="s">
        <v>1472</v>
      </c>
      <c r="BD951">
        <f t="shared" si="267"/>
        <v>2552420</v>
      </c>
      <c r="BE951" s="66">
        <v>48</v>
      </c>
      <c r="BF951" s="66"/>
      <c r="BI951">
        <v>15.48</v>
      </c>
      <c r="BJ951">
        <v>0.74</v>
      </c>
      <c r="BK951">
        <v>14.73</v>
      </c>
      <c r="BQ951">
        <v>57</v>
      </c>
      <c r="BS951">
        <v>0</v>
      </c>
    </row>
    <row r="952" spans="1:71" hidden="1" outlineLevel="1">
      <c r="A952" s="64" t="s">
        <v>3047</v>
      </c>
      <c r="B952" s="8" t="s">
        <v>1320</v>
      </c>
      <c r="C952" s="1">
        <f t="shared" si="259"/>
        <v>28159</v>
      </c>
      <c r="D952" s="5">
        <f>IF(N952&gt;0, RANK(N952,(N952:P952,Q952:AE952)),0)</f>
        <v>1</v>
      </c>
      <c r="E952" s="5">
        <f>IF(O952&gt;0,RANK(O952,(N952:P952,Q952:AE952)),0)</f>
        <v>2</v>
      </c>
      <c r="F952" s="5">
        <f t="shared" si="260"/>
        <v>0</v>
      </c>
      <c r="G952" s="1">
        <f t="shared" si="261"/>
        <v>2359</v>
      </c>
      <c r="H952" s="2">
        <f t="shared" si="268"/>
        <v>8.377428175716467E-2</v>
      </c>
      <c r="I952" s="6"/>
      <c r="J952" s="2">
        <f t="shared" si="262"/>
        <v>0.51120423310486873</v>
      </c>
      <c r="K952" s="2">
        <f t="shared" si="263"/>
        <v>0.42742995134770412</v>
      </c>
      <c r="L952" s="2">
        <f t="shared" si="264"/>
        <v>0</v>
      </c>
      <c r="M952" s="2">
        <f t="shared" si="265"/>
        <v>6.1365815547427149E-2</v>
      </c>
      <c r="N952" s="63">
        <v>14395</v>
      </c>
      <c r="O952" s="63">
        <v>12036</v>
      </c>
      <c r="P952" s="63">
        <v>0</v>
      </c>
      <c r="Q952" s="63">
        <v>962</v>
      </c>
      <c r="R952" s="63">
        <v>262</v>
      </c>
      <c r="S952" s="63"/>
      <c r="T952" s="63"/>
      <c r="U952" s="63"/>
      <c r="V952" s="63"/>
      <c r="W952" s="63">
        <f t="shared" si="266"/>
        <v>504</v>
      </c>
      <c r="X952" s="63"/>
      <c r="Y952" s="63"/>
      <c r="Z952" s="63"/>
      <c r="AA952" s="63">
        <v>0</v>
      </c>
      <c r="AB952" s="63"/>
      <c r="AE952" s="8">
        <v>0</v>
      </c>
      <c r="AT952" t="str">
        <f t="shared" si="269"/>
        <v>Peabody</v>
      </c>
      <c r="AU952" t="s">
        <v>842</v>
      </c>
      <c r="AV952">
        <v>6</v>
      </c>
      <c r="AX952" s="114">
        <v>25</v>
      </c>
      <c r="AY952" s="116">
        <v>9</v>
      </c>
      <c r="AZ952" s="116">
        <v>125</v>
      </c>
      <c r="BA952" s="120">
        <v>52490</v>
      </c>
      <c r="BB952" s="120">
        <f t="shared" si="270"/>
        <v>25009</v>
      </c>
      <c r="BC952" t="s">
        <v>1249</v>
      </c>
      <c r="BD952">
        <f t="shared" si="267"/>
        <v>2552490</v>
      </c>
      <c r="BE952" s="66">
        <v>390</v>
      </c>
      <c r="BF952" s="66"/>
      <c r="BI952">
        <v>16.87</v>
      </c>
      <c r="BJ952">
        <v>0.48</v>
      </c>
      <c r="BK952">
        <v>16.399999999999999</v>
      </c>
      <c r="BQ952">
        <v>504</v>
      </c>
      <c r="BS952">
        <v>0</v>
      </c>
    </row>
    <row r="953" spans="1:71" hidden="1" outlineLevel="1">
      <c r="A953" s="64" t="s">
        <v>2121</v>
      </c>
      <c r="B953" s="8" t="s">
        <v>1320</v>
      </c>
      <c r="C953" s="1">
        <f t="shared" si="259"/>
        <v>902</v>
      </c>
      <c r="D953" s="5">
        <f>IF(N953&gt;0, RANK(N953,(N953:P953,Q953:AE953)),0)</f>
        <v>1</v>
      </c>
      <c r="E953" s="5">
        <f>IF(O953&gt;0,RANK(O953,(N953:P953,Q953:AE953)),0)</f>
        <v>2</v>
      </c>
      <c r="F953" s="5">
        <f t="shared" si="260"/>
        <v>0</v>
      </c>
      <c r="G953" s="1">
        <f t="shared" si="261"/>
        <v>650</v>
      </c>
      <c r="H953" s="2">
        <f t="shared" si="268"/>
        <v>0.72062084257206205</v>
      </c>
      <c r="I953" s="6"/>
      <c r="J953" s="2">
        <f t="shared" si="262"/>
        <v>0.82926829268292679</v>
      </c>
      <c r="K953" s="2">
        <f t="shared" si="263"/>
        <v>0.10864745011086474</v>
      </c>
      <c r="L953" s="2">
        <f t="shared" si="264"/>
        <v>0</v>
      </c>
      <c r="M953" s="2">
        <f t="shared" si="265"/>
        <v>6.2084257206208471E-2</v>
      </c>
      <c r="N953" s="63">
        <v>748</v>
      </c>
      <c r="O953" s="63">
        <v>98</v>
      </c>
      <c r="P953" s="63">
        <v>0</v>
      </c>
      <c r="Q953" s="63">
        <v>25</v>
      </c>
      <c r="R953" s="63">
        <v>22</v>
      </c>
      <c r="S953" s="63"/>
      <c r="T953" s="63"/>
      <c r="U953" s="63"/>
      <c r="V953" s="63"/>
      <c r="W953" s="63">
        <f t="shared" si="266"/>
        <v>9</v>
      </c>
      <c r="X953" s="63"/>
      <c r="Y953" s="63"/>
      <c r="Z953" s="63"/>
      <c r="AA953" s="63">
        <v>0</v>
      </c>
      <c r="AB953" s="63"/>
      <c r="AE953" s="8">
        <v>0</v>
      </c>
      <c r="AT953" t="str">
        <f t="shared" si="269"/>
        <v>Pelham</v>
      </c>
      <c r="AU953" t="s">
        <v>2176</v>
      </c>
      <c r="AV953">
        <v>2</v>
      </c>
      <c r="AX953" s="114">
        <v>25</v>
      </c>
      <c r="AY953" s="116">
        <v>15</v>
      </c>
      <c r="AZ953" s="116">
        <v>65</v>
      </c>
      <c r="BA953" s="120">
        <v>52560</v>
      </c>
      <c r="BB953" s="120">
        <f t="shared" si="270"/>
        <v>25015</v>
      </c>
      <c r="BC953" t="s">
        <v>1472</v>
      </c>
      <c r="BD953">
        <f t="shared" si="267"/>
        <v>2552560</v>
      </c>
      <c r="BE953" s="66">
        <v>13</v>
      </c>
      <c r="BF953" s="66"/>
      <c r="BI953">
        <v>26.5</v>
      </c>
      <c r="BJ953">
        <v>1.43</v>
      </c>
      <c r="BK953">
        <v>25.07</v>
      </c>
      <c r="BQ953">
        <v>9</v>
      </c>
      <c r="BS953">
        <v>0</v>
      </c>
    </row>
    <row r="954" spans="1:71" hidden="1" outlineLevel="1">
      <c r="A954" s="64" t="s">
        <v>2104</v>
      </c>
      <c r="B954" s="8" t="s">
        <v>1320</v>
      </c>
      <c r="C954" s="1">
        <f t="shared" si="259"/>
        <v>10254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 t="shared" si="260"/>
        <v>0</v>
      </c>
      <c r="G954" s="1">
        <f t="shared" si="261"/>
        <v>283</v>
      </c>
      <c r="H954" s="2">
        <f t="shared" si="268"/>
        <v>2.7598985761653989E-2</v>
      </c>
      <c r="I954" s="6"/>
      <c r="J954" s="2">
        <f t="shared" si="262"/>
        <v>0.45153110981080552</v>
      </c>
      <c r="K954" s="2">
        <f t="shared" si="263"/>
        <v>0.4791300955724595</v>
      </c>
      <c r="L954" s="2">
        <f t="shared" si="264"/>
        <v>0</v>
      </c>
      <c r="M954" s="2">
        <f t="shared" si="265"/>
        <v>6.9338794616735033E-2</v>
      </c>
      <c r="N954" s="63">
        <v>4630</v>
      </c>
      <c r="O954" s="63">
        <v>4913</v>
      </c>
      <c r="P954" s="63">
        <v>0</v>
      </c>
      <c r="Q954" s="63">
        <v>588</v>
      </c>
      <c r="R954" s="63">
        <v>123</v>
      </c>
      <c r="S954" s="63"/>
      <c r="T954" s="63"/>
      <c r="U954" s="63"/>
      <c r="V954" s="63"/>
      <c r="W954" s="63">
        <f t="shared" si="266"/>
        <v>0</v>
      </c>
      <c r="X954" s="63"/>
      <c r="Y954" s="63"/>
      <c r="Z954" s="63"/>
      <c r="AA954" s="63">
        <v>0</v>
      </c>
      <c r="AB954" s="63"/>
      <c r="AE954" s="8">
        <v>0</v>
      </c>
      <c r="AT954" t="str">
        <f t="shared" si="269"/>
        <v>Pembroke</v>
      </c>
      <c r="AU954" t="s">
        <v>231</v>
      </c>
      <c r="AV954">
        <v>9</v>
      </c>
      <c r="AX954" s="114">
        <v>25</v>
      </c>
      <c r="AY954" s="116">
        <v>23</v>
      </c>
      <c r="AZ954" s="116">
        <v>95</v>
      </c>
      <c r="BA954" s="120">
        <v>52630</v>
      </c>
      <c r="BB954" s="120">
        <f t="shared" si="270"/>
        <v>25023</v>
      </c>
      <c r="BC954" t="s">
        <v>1472</v>
      </c>
      <c r="BD954">
        <f t="shared" si="267"/>
        <v>2552630</v>
      </c>
      <c r="BE954" s="66">
        <v>362</v>
      </c>
      <c r="BF954" s="66"/>
      <c r="BI954">
        <v>23.47</v>
      </c>
      <c r="BJ954">
        <v>1.63</v>
      </c>
      <c r="BK954">
        <v>21.84</v>
      </c>
      <c r="BQ954">
        <v>0</v>
      </c>
      <c r="BS954">
        <v>0</v>
      </c>
    </row>
    <row r="955" spans="1:71" hidden="1" outlineLevel="1">
      <c r="A955" s="64" t="s">
        <v>1411</v>
      </c>
      <c r="B955" s="8" t="s">
        <v>1320</v>
      </c>
      <c r="C955" s="1">
        <f t="shared" si="259"/>
        <v>6743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 t="shared" si="260"/>
        <v>6</v>
      </c>
      <c r="G955" s="1">
        <f t="shared" si="261"/>
        <v>166</v>
      </c>
      <c r="H955" s="2">
        <f t="shared" si="268"/>
        <v>2.4618122497404717E-2</v>
      </c>
      <c r="I955" s="6"/>
      <c r="J955" s="2">
        <f t="shared" si="262"/>
        <v>0.43482129615897969</v>
      </c>
      <c r="K955" s="2">
        <f t="shared" si="263"/>
        <v>0.45943941865638438</v>
      </c>
      <c r="L955" s="2">
        <f t="shared" si="264"/>
        <v>3.2626427406199023E-3</v>
      </c>
      <c r="M955" s="2">
        <f t="shared" si="265"/>
        <v>0.10247664244401603</v>
      </c>
      <c r="N955" s="63">
        <v>2932</v>
      </c>
      <c r="O955" s="63">
        <v>3098</v>
      </c>
      <c r="P955" s="63">
        <v>22</v>
      </c>
      <c r="Q955" s="63">
        <v>455</v>
      </c>
      <c r="R955" s="63">
        <v>84</v>
      </c>
      <c r="S955" s="63"/>
      <c r="T955" s="63"/>
      <c r="U955" s="63"/>
      <c r="V955" s="63"/>
      <c r="W955" s="63">
        <f t="shared" si="266"/>
        <v>152</v>
      </c>
      <c r="X955" s="63"/>
      <c r="Y955" s="63"/>
      <c r="Z955" s="63"/>
      <c r="AA955" s="63">
        <v>0</v>
      </c>
      <c r="AB955" s="63"/>
      <c r="AE955" s="8">
        <v>0</v>
      </c>
      <c r="AT955" t="str">
        <f t="shared" si="269"/>
        <v>Pepperell</v>
      </c>
      <c r="AU955" t="s">
        <v>503</v>
      </c>
      <c r="AV955">
        <v>3</v>
      </c>
      <c r="AX955" s="114">
        <v>25</v>
      </c>
      <c r="AY955" s="116">
        <v>17</v>
      </c>
      <c r="AZ955" s="116">
        <v>175</v>
      </c>
      <c r="BA955" s="120">
        <v>52805</v>
      </c>
      <c r="BB955" s="120">
        <f t="shared" si="270"/>
        <v>25017</v>
      </c>
      <c r="BC955" t="s">
        <v>1472</v>
      </c>
      <c r="BD955">
        <f t="shared" si="267"/>
        <v>2552805</v>
      </c>
      <c r="BE955" s="66">
        <v>103</v>
      </c>
      <c r="BF955" s="66"/>
      <c r="BI955">
        <v>23.17</v>
      </c>
      <c r="BJ955">
        <v>0.61</v>
      </c>
      <c r="BK955">
        <v>22.56</v>
      </c>
      <c r="BQ955">
        <v>152</v>
      </c>
      <c r="BS955">
        <v>0</v>
      </c>
    </row>
    <row r="956" spans="1:71" hidden="1" outlineLevel="1">
      <c r="A956" s="64" t="s">
        <v>3155</v>
      </c>
      <c r="B956" s="8" t="s">
        <v>1320</v>
      </c>
      <c r="C956" s="1">
        <f t="shared" si="259"/>
        <v>513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 t="shared" si="260"/>
        <v>0</v>
      </c>
      <c r="G956" s="1">
        <f t="shared" si="261"/>
        <v>48</v>
      </c>
      <c r="H956" s="2">
        <f t="shared" si="268"/>
        <v>9.3567251461988299E-2</v>
      </c>
      <c r="I956" s="6"/>
      <c r="J956" s="2">
        <f t="shared" si="262"/>
        <v>0.49707602339181284</v>
      </c>
      <c r="K956" s="2">
        <f t="shared" si="263"/>
        <v>0.40350877192982454</v>
      </c>
      <c r="L956" s="2">
        <f t="shared" si="264"/>
        <v>0</v>
      </c>
      <c r="M956" s="2">
        <f t="shared" si="265"/>
        <v>9.9415204678362679E-2</v>
      </c>
      <c r="N956" s="63">
        <v>255</v>
      </c>
      <c r="O956" s="63">
        <v>207</v>
      </c>
      <c r="P956" s="63">
        <v>0</v>
      </c>
      <c r="Q956" s="63">
        <v>34</v>
      </c>
      <c r="R956" s="63">
        <v>8</v>
      </c>
      <c r="S956" s="63"/>
      <c r="T956" s="63"/>
      <c r="U956" s="63"/>
      <c r="V956" s="63"/>
      <c r="W956" s="63">
        <f t="shared" si="266"/>
        <v>9</v>
      </c>
      <c r="X956" s="63"/>
      <c r="Y956" s="63"/>
      <c r="Z956" s="63"/>
      <c r="AA956" s="63">
        <v>0</v>
      </c>
      <c r="AB956" s="63"/>
      <c r="AE956" s="8">
        <v>0</v>
      </c>
      <c r="AT956" t="str">
        <f t="shared" si="269"/>
        <v>Peru</v>
      </c>
      <c r="AU956" t="s">
        <v>2313</v>
      </c>
      <c r="AV956">
        <v>1</v>
      </c>
      <c r="AX956" s="114">
        <v>25</v>
      </c>
      <c r="AY956" s="116">
        <v>3</v>
      </c>
      <c r="AZ956" s="116">
        <v>105</v>
      </c>
      <c r="BA956" s="120">
        <v>53050</v>
      </c>
      <c r="BB956" s="120">
        <f t="shared" si="270"/>
        <v>25003</v>
      </c>
      <c r="BC956" t="s">
        <v>1472</v>
      </c>
      <c r="BD956">
        <f t="shared" si="267"/>
        <v>2553050</v>
      </c>
      <c r="BE956" s="66">
        <v>6</v>
      </c>
      <c r="BF956" s="66"/>
      <c r="BI956">
        <v>26.03</v>
      </c>
      <c r="BJ956">
        <v>0.1</v>
      </c>
      <c r="BK956">
        <v>25.93</v>
      </c>
      <c r="BQ956">
        <v>9</v>
      </c>
      <c r="BS956">
        <v>0</v>
      </c>
    </row>
    <row r="957" spans="1:71" hidden="1" outlineLevel="1">
      <c r="A957" s="64" t="s">
        <v>829</v>
      </c>
      <c r="B957" s="8" t="s">
        <v>1320</v>
      </c>
      <c r="C957" s="1">
        <f t="shared" si="259"/>
        <v>818</v>
      </c>
      <c r="D957" s="5">
        <f>IF(N957&gt;0, RANK(N957,(N957:P957,Q957:AE957)),0)</f>
        <v>1</v>
      </c>
      <c r="E957" s="5">
        <f>IF(O957&gt;0,RANK(O957,(N957:P957,Q957:AE957)),0)</f>
        <v>2</v>
      </c>
      <c r="F957" s="5">
        <f t="shared" si="260"/>
        <v>6</v>
      </c>
      <c r="G957" s="1">
        <f t="shared" si="261"/>
        <v>105</v>
      </c>
      <c r="H957" s="2">
        <f t="shared" si="268"/>
        <v>0.12836185819070906</v>
      </c>
      <c r="I957" s="6"/>
      <c r="J957" s="2">
        <f t="shared" si="262"/>
        <v>0.50977995110024454</v>
      </c>
      <c r="K957" s="2">
        <f t="shared" si="263"/>
        <v>0.38141809290953543</v>
      </c>
      <c r="L957" s="2">
        <f t="shared" si="264"/>
        <v>3.667481662591687E-3</v>
      </c>
      <c r="M957" s="2">
        <f t="shared" si="265"/>
        <v>0.10513447432762833</v>
      </c>
      <c r="N957" s="63">
        <v>417</v>
      </c>
      <c r="O957" s="63">
        <v>312</v>
      </c>
      <c r="P957" s="63">
        <v>3</v>
      </c>
      <c r="Q957" s="63">
        <v>46</v>
      </c>
      <c r="R957" s="63">
        <v>19</v>
      </c>
      <c r="S957" s="63"/>
      <c r="T957" s="63"/>
      <c r="U957" s="63"/>
      <c r="V957" s="63"/>
      <c r="W957" s="63">
        <f t="shared" si="266"/>
        <v>21</v>
      </c>
      <c r="X957" s="63"/>
      <c r="Y957" s="63"/>
      <c r="Z957" s="63"/>
      <c r="AA957" s="63">
        <v>0</v>
      </c>
      <c r="AB957" s="63"/>
      <c r="AE957" s="8">
        <v>0</v>
      </c>
      <c r="AT957" t="str">
        <f t="shared" si="269"/>
        <v>Petersham</v>
      </c>
      <c r="AU957" s="8" t="s">
        <v>1774</v>
      </c>
      <c r="AV957">
        <v>2</v>
      </c>
      <c r="AX957" s="114">
        <v>25</v>
      </c>
      <c r="AY957" s="116">
        <v>27</v>
      </c>
      <c r="AZ957" s="116">
        <v>190</v>
      </c>
      <c r="BA957" s="120">
        <v>53120</v>
      </c>
      <c r="BB957" s="120">
        <f t="shared" si="270"/>
        <v>25027</v>
      </c>
      <c r="BC957" t="s">
        <v>1472</v>
      </c>
      <c r="BD957">
        <f t="shared" si="267"/>
        <v>2553120</v>
      </c>
      <c r="BE957" s="66">
        <v>9</v>
      </c>
      <c r="BF957" s="66"/>
      <c r="BI957">
        <v>68.3</v>
      </c>
      <c r="BJ957">
        <v>14.07</v>
      </c>
      <c r="BK957">
        <v>54.24</v>
      </c>
      <c r="BQ957">
        <v>21</v>
      </c>
      <c r="BS957">
        <v>0</v>
      </c>
    </row>
    <row r="958" spans="1:71" hidden="1" outlineLevel="1">
      <c r="A958" s="64" t="s">
        <v>3121</v>
      </c>
      <c r="B958" s="8" t="s">
        <v>1320</v>
      </c>
      <c r="C958" s="1">
        <f t="shared" si="259"/>
        <v>1015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 t="shared" si="260"/>
        <v>0</v>
      </c>
      <c r="G958" s="1">
        <f t="shared" si="261"/>
        <v>176</v>
      </c>
      <c r="H958" s="2">
        <f t="shared" si="268"/>
        <v>0.17339901477832512</v>
      </c>
      <c r="I958" s="6"/>
      <c r="J958" s="2">
        <f t="shared" si="262"/>
        <v>0.36847290640394087</v>
      </c>
      <c r="K958" s="2">
        <f t="shared" si="263"/>
        <v>0.54187192118226601</v>
      </c>
      <c r="L958" s="2">
        <f t="shared" si="264"/>
        <v>0</v>
      </c>
      <c r="M958" s="2">
        <f t="shared" si="265"/>
        <v>8.9655172413793061E-2</v>
      </c>
      <c r="N958" s="63">
        <v>374</v>
      </c>
      <c r="O958" s="63">
        <v>550</v>
      </c>
      <c r="P958" s="63">
        <v>0</v>
      </c>
      <c r="Q958" s="63">
        <v>67</v>
      </c>
      <c r="R958" s="63">
        <v>13</v>
      </c>
      <c r="S958" s="63"/>
      <c r="T958" s="63"/>
      <c r="U958" s="63"/>
      <c r="V958" s="63"/>
      <c r="W958" s="63">
        <f t="shared" si="266"/>
        <v>11</v>
      </c>
      <c r="X958" s="63"/>
      <c r="Y958" s="63"/>
      <c r="Z958" s="63"/>
      <c r="AA958" s="63">
        <v>0</v>
      </c>
      <c r="AB958" s="63"/>
      <c r="AE958" s="8">
        <v>0</v>
      </c>
      <c r="AT958" t="str">
        <f t="shared" si="269"/>
        <v>Phillipston</v>
      </c>
      <c r="AU958" s="8" t="s">
        <v>1774</v>
      </c>
      <c r="AV958">
        <v>2</v>
      </c>
      <c r="AX958" s="114">
        <v>25</v>
      </c>
      <c r="AY958" s="116">
        <v>27</v>
      </c>
      <c r="AZ958" s="116">
        <v>195</v>
      </c>
      <c r="BA958" s="120">
        <v>53225</v>
      </c>
      <c r="BB958" s="120">
        <f t="shared" si="270"/>
        <v>25027</v>
      </c>
      <c r="BC958" t="s">
        <v>1472</v>
      </c>
      <c r="BD958">
        <f t="shared" si="267"/>
        <v>2553225</v>
      </c>
      <c r="BE958" s="66">
        <v>15</v>
      </c>
      <c r="BF958" s="66"/>
      <c r="BI958">
        <v>24.64</v>
      </c>
      <c r="BJ958">
        <v>0.38</v>
      </c>
      <c r="BK958">
        <v>24.26</v>
      </c>
      <c r="BQ958">
        <v>11</v>
      </c>
      <c r="BS958">
        <v>0</v>
      </c>
    </row>
    <row r="959" spans="1:71" hidden="1" outlineLevel="1">
      <c r="A959" s="64" t="s">
        <v>3098</v>
      </c>
      <c r="B959" s="8" t="s">
        <v>1320</v>
      </c>
      <c r="C959" s="1">
        <f t="shared" si="259"/>
        <v>20202</v>
      </c>
      <c r="D959" s="5">
        <f>IF(N959&gt;0, RANK(N959,(N959:P959,Q959:AE959)),0)</f>
        <v>1</v>
      </c>
      <c r="E959" s="5">
        <f>IF(O959&gt;0,RANK(O959,(N959:P959,Q959:AE959)),0)</f>
        <v>2</v>
      </c>
      <c r="F959" s="5">
        <f t="shared" si="260"/>
        <v>6</v>
      </c>
      <c r="G959" s="1">
        <f t="shared" si="261"/>
        <v>9136</v>
      </c>
      <c r="H959" s="2">
        <f t="shared" si="268"/>
        <v>0.45223245223245223</v>
      </c>
      <c r="I959" s="6"/>
      <c r="J959" s="2">
        <f t="shared" si="262"/>
        <v>0.68839718839718844</v>
      </c>
      <c r="K959" s="2">
        <f t="shared" si="263"/>
        <v>0.23616473616473616</v>
      </c>
      <c r="L959" s="2">
        <f t="shared" si="264"/>
        <v>1.386001386001386E-3</v>
      </c>
      <c r="M959" s="2">
        <f t="shared" si="265"/>
        <v>7.4052074052074021E-2</v>
      </c>
      <c r="N959" s="63">
        <v>13907</v>
      </c>
      <c r="O959" s="63">
        <v>4771</v>
      </c>
      <c r="P959" s="63">
        <v>28</v>
      </c>
      <c r="Q959" s="63">
        <v>763</v>
      </c>
      <c r="R959" s="63">
        <v>515</v>
      </c>
      <c r="S959" s="63"/>
      <c r="T959" s="63"/>
      <c r="U959" s="63"/>
      <c r="V959" s="63"/>
      <c r="W959" s="63">
        <f t="shared" si="266"/>
        <v>218</v>
      </c>
      <c r="X959" s="63"/>
      <c r="Y959" s="63"/>
      <c r="Z959" s="63"/>
      <c r="AA959" s="63">
        <v>0</v>
      </c>
      <c r="AB959" s="63"/>
      <c r="AE959" s="8">
        <v>0</v>
      </c>
      <c r="AT959" t="str">
        <f t="shared" si="269"/>
        <v>Pittsfield</v>
      </c>
      <c r="AU959" t="s">
        <v>2313</v>
      </c>
      <c r="AV959">
        <v>1</v>
      </c>
      <c r="AX959" s="114">
        <v>25</v>
      </c>
      <c r="AY959" s="116">
        <v>3</v>
      </c>
      <c r="AZ959" s="116">
        <v>110</v>
      </c>
      <c r="BA959" s="120">
        <v>53960</v>
      </c>
      <c r="BB959" s="120">
        <f t="shared" si="270"/>
        <v>25003</v>
      </c>
      <c r="BC959" t="s">
        <v>1249</v>
      </c>
      <c r="BD959">
        <f t="shared" si="267"/>
        <v>2553960</v>
      </c>
      <c r="BE959" s="66">
        <v>276</v>
      </c>
      <c r="BF959" s="66"/>
      <c r="BI959">
        <v>42.32</v>
      </c>
      <c r="BJ959">
        <v>1.59</v>
      </c>
      <c r="BK959">
        <v>40.729999999999997</v>
      </c>
      <c r="BQ959">
        <v>218</v>
      </c>
      <c r="BS959">
        <v>0</v>
      </c>
    </row>
    <row r="960" spans="1:71" hidden="1" outlineLevel="1">
      <c r="A960" s="64" t="s">
        <v>2130</v>
      </c>
      <c r="B960" s="8" t="s">
        <v>1320</v>
      </c>
      <c r="C960" s="1">
        <f t="shared" si="259"/>
        <v>408</v>
      </c>
      <c r="D960" s="5">
        <f>IF(N960&gt;0, RANK(N960,(N960:P960,Q960:AE960)),0)</f>
        <v>1</v>
      </c>
      <c r="E960" s="5">
        <f>IF(O960&gt;0,RANK(O960,(N960:P960,Q960:AE960)),0)</f>
        <v>2</v>
      </c>
      <c r="F960" s="5">
        <f t="shared" si="260"/>
        <v>0</v>
      </c>
      <c r="G960" s="1">
        <f t="shared" si="261"/>
        <v>156</v>
      </c>
      <c r="H960" s="2">
        <f t="shared" si="268"/>
        <v>0.38235294117647056</v>
      </c>
      <c r="I960" s="6"/>
      <c r="J960" s="2">
        <f t="shared" si="262"/>
        <v>0.64460784313725494</v>
      </c>
      <c r="K960" s="2">
        <f t="shared" si="263"/>
        <v>0.26225490196078433</v>
      </c>
      <c r="L960" s="2">
        <f t="shared" si="264"/>
        <v>0</v>
      </c>
      <c r="M960" s="2">
        <f t="shared" si="265"/>
        <v>9.3137254901960731E-2</v>
      </c>
      <c r="N960" s="63">
        <v>263</v>
      </c>
      <c r="O960" s="63">
        <v>107</v>
      </c>
      <c r="P960" s="63">
        <v>0</v>
      </c>
      <c r="Q960" s="63">
        <v>13</v>
      </c>
      <c r="R960" s="63">
        <v>18</v>
      </c>
      <c r="S960" s="63"/>
      <c r="T960" s="63"/>
      <c r="U960" s="63"/>
      <c r="V960" s="63"/>
      <c r="W960" s="63">
        <f t="shared" si="266"/>
        <v>7</v>
      </c>
      <c r="X960" s="63"/>
      <c r="Y960" s="63"/>
      <c r="Z960" s="63"/>
      <c r="AA960" s="63">
        <v>0</v>
      </c>
      <c r="AB960" s="63"/>
      <c r="AE960" s="8">
        <v>0</v>
      </c>
      <c r="AT960" t="str">
        <f t="shared" si="269"/>
        <v>Plainfield</v>
      </c>
      <c r="AU960" t="s">
        <v>2176</v>
      </c>
      <c r="AV960">
        <v>1</v>
      </c>
      <c r="AX960" s="114">
        <v>25</v>
      </c>
      <c r="AY960" s="116">
        <v>15</v>
      </c>
      <c r="AZ960" s="116">
        <v>70</v>
      </c>
      <c r="BA960" s="120">
        <v>54030</v>
      </c>
      <c r="BB960" s="120">
        <f t="shared" si="270"/>
        <v>25015</v>
      </c>
      <c r="BC960" t="s">
        <v>1472</v>
      </c>
      <c r="BD960">
        <f t="shared" si="267"/>
        <v>2554030</v>
      </c>
      <c r="BE960" s="66">
        <v>11</v>
      </c>
      <c r="BF960" s="66"/>
      <c r="BI960">
        <v>21.26</v>
      </c>
      <c r="BJ960">
        <v>0.21</v>
      </c>
      <c r="BK960">
        <v>21.05</v>
      </c>
      <c r="BQ960">
        <v>7</v>
      </c>
      <c r="BS960">
        <v>0</v>
      </c>
    </row>
    <row r="961" spans="1:71" hidden="1" outlineLevel="1">
      <c r="A961" s="64" t="s">
        <v>2813</v>
      </c>
      <c r="B961" s="8" t="s">
        <v>1320</v>
      </c>
      <c r="C961" s="1">
        <f t="shared" si="259"/>
        <v>4906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 t="shared" si="260"/>
        <v>6</v>
      </c>
      <c r="G961" s="1">
        <f t="shared" si="261"/>
        <v>7</v>
      </c>
      <c r="H961" s="2">
        <f t="shared" si="268"/>
        <v>1.4268242967794538E-3</v>
      </c>
      <c r="I961" s="6"/>
      <c r="J961" s="2">
        <f t="shared" si="262"/>
        <v>0.45169180595189562</v>
      </c>
      <c r="K961" s="2">
        <f t="shared" si="263"/>
        <v>0.4531186302486751</v>
      </c>
      <c r="L961" s="2">
        <f t="shared" si="264"/>
        <v>2.242152466367713E-3</v>
      </c>
      <c r="M961" s="2">
        <f t="shared" si="265"/>
        <v>9.2947411333061558E-2</v>
      </c>
      <c r="N961" s="63">
        <v>2216</v>
      </c>
      <c r="O961" s="63">
        <v>2223</v>
      </c>
      <c r="P961" s="63">
        <v>11</v>
      </c>
      <c r="Q961" s="63">
        <v>305</v>
      </c>
      <c r="R961" s="63">
        <v>68</v>
      </c>
      <c r="S961" s="63"/>
      <c r="T961" s="63"/>
      <c r="U961" s="63"/>
      <c r="V961" s="63"/>
      <c r="W961" s="63">
        <f t="shared" si="266"/>
        <v>83</v>
      </c>
      <c r="X961" s="63"/>
      <c r="Y961" s="63"/>
      <c r="Z961" s="63"/>
      <c r="AA961" s="63">
        <v>0</v>
      </c>
      <c r="AB961" s="63"/>
      <c r="AE961" s="8">
        <v>0</v>
      </c>
      <c r="AT961" t="str">
        <f t="shared" si="269"/>
        <v>Plainville</v>
      </c>
      <c r="AU961" t="s">
        <v>753</v>
      </c>
      <c r="AV961">
        <v>4</v>
      </c>
      <c r="AX961" s="114">
        <v>25</v>
      </c>
      <c r="AY961" s="116">
        <v>21</v>
      </c>
      <c r="AZ961" s="116">
        <v>95</v>
      </c>
      <c r="BA961" s="120">
        <v>54100</v>
      </c>
      <c r="BB961" s="120">
        <f t="shared" si="270"/>
        <v>25021</v>
      </c>
      <c r="BC961" t="s">
        <v>1472</v>
      </c>
      <c r="BD961">
        <f t="shared" si="267"/>
        <v>2554100</v>
      </c>
      <c r="BE961" s="66">
        <v>78</v>
      </c>
      <c r="BF961" s="66"/>
      <c r="BI961">
        <v>11.55</v>
      </c>
      <c r="BJ961">
        <v>0.49</v>
      </c>
      <c r="BK961">
        <v>11.06</v>
      </c>
      <c r="BQ961">
        <v>83</v>
      </c>
      <c r="BS961">
        <v>0</v>
      </c>
    </row>
    <row r="962" spans="1:71" hidden="1" outlineLevel="1">
      <c r="A962" s="64" t="s">
        <v>231</v>
      </c>
      <c r="B962" s="8" t="s">
        <v>1320</v>
      </c>
      <c r="C962" s="1">
        <f t="shared" si="259"/>
        <v>32582</v>
      </c>
      <c r="D962" s="5">
        <f>IF(N962&gt;0, RANK(N962,(N962:P962,Q962:AE962)),0)</f>
        <v>1</v>
      </c>
      <c r="E962" s="5">
        <f>IF(O962&gt;0,RANK(O962,(N962:P962,Q962:AE962)),0)</f>
        <v>2</v>
      </c>
      <c r="F962" s="5">
        <f t="shared" si="260"/>
        <v>6</v>
      </c>
      <c r="G962" s="1">
        <f t="shared" si="261"/>
        <v>1293</v>
      </c>
      <c r="H962" s="2">
        <f t="shared" si="268"/>
        <v>3.9684488367810446E-2</v>
      </c>
      <c r="I962" s="6"/>
      <c r="J962" s="2">
        <f t="shared" si="262"/>
        <v>0.47885335461297651</v>
      </c>
      <c r="K962" s="2">
        <f t="shared" si="263"/>
        <v>0.43916886624516605</v>
      </c>
      <c r="L962" s="2">
        <f t="shared" si="264"/>
        <v>9.2075379043643729E-4</v>
      </c>
      <c r="M962" s="2">
        <f t="shared" si="265"/>
        <v>8.1057025351421008E-2</v>
      </c>
      <c r="N962" s="63">
        <v>15602</v>
      </c>
      <c r="O962" s="63">
        <v>14309</v>
      </c>
      <c r="P962" s="63">
        <v>30</v>
      </c>
      <c r="Q962" s="63">
        <v>1597</v>
      </c>
      <c r="R962" s="63">
        <v>422</v>
      </c>
      <c r="S962" s="63"/>
      <c r="T962" s="63"/>
      <c r="U962" s="63"/>
      <c r="V962" s="63"/>
      <c r="W962" s="63">
        <f t="shared" si="266"/>
        <v>622</v>
      </c>
      <c r="X962" s="63"/>
      <c r="Y962" s="63"/>
      <c r="Z962" s="63"/>
      <c r="AA962" s="63">
        <v>0</v>
      </c>
      <c r="AB962" s="63"/>
      <c r="AE962" s="8">
        <v>0</v>
      </c>
      <c r="AT962" t="str">
        <f t="shared" si="269"/>
        <v>Plymouth</v>
      </c>
      <c r="AU962" t="s">
        <v>231</v>
      </c>
      <c r="AV962">
        <v>9</v>
      </c>
      <c r="AX962" s="114">
        <v>25</v>
      </c>
      <c r="AY962" s="116">
        <v>23</v>
      </c>
      <c r="AZ962" s="116">
        <v>100</v>
      </c>
      <c r="BA962" s="120">
        <v>54310</v>
      </c>
      <c r="BB962" s="120">
        <f t="shared" si="270"/>
        <v>25023</v>
      </c>
      <c r="BC962" t="s">
        <v>1472</v>
      </c>
      <c r="BD962">
        <f t="shared" si="267"/>
        <v>2554310</v>
      </c>
      <c r="BE962" s="66">
        <v>441</v>
      </c>
      <c r="BF962" s="66"/>
      <c r="BI962">
        <v>133.97999999999999</v>
      </c>
      <c r="BJ962">
        <v>37.520000000000003</v>
      </c>
      <c r="BK962">
        <v>96.46</v>
      </c>
      <c r="BQ962">
        <v>622</v>
      </c>
      <c r="BS962">
        <v>0</v>
      </c>
    </row>
    <row r="963" spans="1:71" hidden="1" outlineLevel="1">
      <c r="A963" s="64" t="s">
        <v>2764</v>
      </c>
      <c r="B963" s="8" t="s">
        <v>1320</v>
      </c>
      <c r="C963" s="1">
        <f t="shared" si="259"/>
        <v>1773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 t="shared" si="260"/>
        <v>0</v>
      </c>
      <c r="G963" s="1">
        <f t="shared" si="261"/>
        <v>156</v>
      </c>
      <c r="H963" s="2">
        <f t="shared" si="268"/>
        <v>8.7986463620981392E-2</v>
      </c>
      <c r="I963" s="6"/>
      <c r="J963" s="2">
        <f t="shared" si="262"/>
        <v>0.41003948110547095</v>
      </c>
      <c r="K963" s="2">
        <f t="shared" si="263"/>
        <v>0.49802594472645234</v>
      </c>
      <c r="L963" s="2">
        <f t="shared" si="264"/>
        <v>0</v>
      </c>
      <c r="M963" s="2">
        <f t="shared" si="265"/>
        <v>9.193457416807671E-2</v>
      </c>
      <c r="N963" s="63">
        <v>727</v>
      </c>
      <c r="O963" s="63">
        <v>883</v>
      </c>
      <c r="P963" s="63">
        <v>0</v>
      </c>
      <c r="Q963" s="63">
        <v>114</v>
      </c>
      <c r="R963" s="63">
        <v>28</v>
      </c>
      <c r="S963" s="63"/>
      <c r="T963" s="63"/>
      <c r="U963" s="63"/>
      <c r="V963" s="63"/>
      <c r="W963" s="63">
        <f t="shared" si="266"/>
        <v>21</v>
      </c>
      <c r="X963" s="63"/>
      <c r="Y963" s="63"/>
      <c r="Z963" s="63"/>
      <c r="AA963" s="63">
        <v>0</v>
      </c>
      <c r="AB963" s="63"/>
      <c r="AE963" s="8">
        <v>0</v>
      </c>
      <c r="AT963" t="str">
        <f t="shared" si="269"/>
        <v>Plympton</v>
      </c>
      <c r="AU963" t="s">
        <v>231</v>
      </c>
      <c r="AV963">
        <v>9</v>
      </c>
      <c r="AX963" s="114">
        <v>25</v>
      </c>
      <c r="AY963" s="116">
        <v>23</v>
      </c>
      <c r="AZ963" s="116">
        <v>105</v>
      </c>
      <c r="BA963" s="120">
        <v>54415</v>
      </c>
      <c r="BB963" s="120">
        <f t="shared" si="270"/>
        <v>25023</v>
      </c>
      <c r="BC963" t="s">
        <v>1472</v>
      </c>
      <c r="BD963">
        <f t="shared" si="267"/>
        <v>2554415</v>
      </c>
      <c r="BE963" s="66">
        <v>35</v>
      </c>
      <c r="BF963" s="66"/>
      <c r="BI963">
        <v>15.14</v>
      </c>
      <c r="BJ963">
        <v>0.35</v>
      </c>
      <c r="BK963">
        <v>14.79</v>
      </c>
      <c r="BQ963">
        <v>21</v>
      </c>
      <c r="BS963">
        <v>0</v>
      </c>
    </row>
    <row r="964" spans="1:71" hidden="1" outlineLevel="1">
      <c r="A964" s="64" t="s">
        <v>2822</v>
      </c>
      <c r="B964" s="8" t="s">
        <v>1320</v>
      </c>
      <c r="C964" s="1">
        <f t="shared" si="259"/>
        <v>2290</v>
      </c>
      <c r="D964" s="5">
        <f>IF(N964&gt;0, RANK(N964,(N964:P964,Q964:AE964)),0)</f>
        <v>1</v>
      </c>
      <c r="E964" s="5">
        <f>IF(O964&gt;0,RANK(O964,(N964:P964,Q964:AE964)),0)</f>
        <v>2</v>
      </c>
      <c r="F964" s="5">
        <f t="shared" si="260"/>
        <v>6</v>
      </c>
      <c r="G964" s="1">
        <f t="shared" si="261"/>
        <v>285</v>
      </c>
      <c r="H964" s="2">
        <f t="shared" si="268"/>
        <v>0.12445414847161572</v>
      </c>
      <c r="I964" s="6"/>
      <c r="J964" s="2">
        <f t="shared" si="262"/>
        <v>0.51659388646288207</v>
      </c>
      <c r="K964" s="2">
        <f t="shared" si="263"/>
        <v>0.39213973799126639</v>
      </c>
      <c r="L964" s="2">
        <f t="shared" si="264"/>
        <v>3.9301310043668124E-3</v>
      </c>
      <c r="M964" s="2">
        <f t="shared" si="265"/>
        <v>8.7336244541484725E-2</v>
      </c>
      <c r="N964" s="63">
        <v>1183</v>
      </c>
      <c r="O964" s="63">
        <v>898</v>
      </c>
      <c r="P964" s="63">
        <v>9</v>
      </c>
      <c r="Q964" s="63">
        <v>124</v>
      </c>
      <c r="R964" s="63">
        <v>35</v>
      </c>
      <c r="S964" s="63"/>
      <c r="T964" s="63"/>
      <c r="U964" s="63"/>
      <c r="V964" s="63"/>
      <c r="W964" s="63">
        <f t="shared" si="266"/>
        <v>41</v>
      </c>
      <c r="X964" s="63"/>
      <c r="Y964" s="63"/>
      <c r="Z964" s="63"/>
      <c r="AA964" s="63">
        <v>0</v>
      </c>
      <c r="AB964" s="63"/>
      <c r="AE964" s="8">
        <v>0</v>
      </c>
      <c r="AT964" t="str">
        <f t="shared" si="269"/>
        <v>Princeton</v>
      </c>
      <c r="AU964" s="8" t="s">
        <v>1774</v>
      </c>
      <c r="AV964">
        <v>2</v>
      </c>
      <c r="AX964" s="114">
        <v>25</v>
      </c>
      <c r="AY964" s="116">
        <v>27</v>
      </c>
      <c r="AZ964" s="116">
        <v>200</v>
      </c>
      <c r="BA964" s="120">
        <v>55395</v>
      </c>
      <c r="BB964" s="120">
        <f t="shared" si="270"/>
        <v>25027</v>
      </c>
      <c r="BC964" t="s">
        <v>1472</v>
      </c>
      <c r="BD964">
        <f t="shared" si="267"/>
        <v>2555395</v>
      </c>
      <c r="BE964" s="66">
        <v>55</v>
      </c>
      <c r="BF964" s="66"/>
      <c r="BI964">
        <v>35.840000000000003</v>
      </c>
      <c r="BJ964">
        <v>0.4</v>
      </c>
      <c r="BK964">
        <v>35.44</v>
      </c>
      <c r="BQ964">
        <v>41</v>
      </c>
      <c r="BS964">
        <v>0</v>
      </c>
    </row>
    <row r="965" spans="1:71" hidden="1" outlineLevel="1">
      <c r="A965" s="64" t="s">
        <v>1214</v>
      </c>
      <c r="B965" s="8" t="s">
        <v>1320</v>
      </c>
      <c r="C965" s="1">
        <f t="shared" si="259"/>
        <v>2381</v>
      </c>
      <c r="D965" s="5">
        <f>IF(N965&gt;0, RANK(N965,(N965:P965,Q965:AE965)),0)</f>
        <v>1</v>
      </c>
      <c r="E965" s="5">
        <f>IF(O965&gt;0,RANK(O965,(N965:P965,Q965:AE965)),0)</f>
        <v>2</v>
      </c>
      <c r="F965" s="5">
        <f t="shared" si="260"/>
        <v>0</v>
      </c>
      <c r="G965" s="1">
        <f t="shared" si="261"/>
        <v>1874</v>
      </c>
      <c r="H965" s="2">
        <f t="shared" si="268"/>
        <v>0.78706425871482566</v>
      </c>
      <c r="I965" s="6"/>
      <c r="J965" s="2">
        <f t="shared" si="262"/>
        <v>0.87442251154976902</v>
      </c>
      <c r="K965" s="2">
        <f t="shared" si="263"/>
        <v>8.7358252834943306E-2</v>
      </c>
      <c r="L965" s="2">
        <f t="shared" si="264"/>
        <v>0</v>
      </c>
      <c r="M965" s="2">
        <f t="shared" si="265"/>
        <v>3.8219235615287672E-2</v>
      </c>
      <c r="N965" s="63">
        <v>2082</v>
      </c>
      <c r="O965" s="63">
        <v>208</v>
      </c>
      <c r="P965" s="63">
        <v>0</v>
      </c>
      <c r="Q965" s="63">
        <v>38</v>
      </c>
      <c r="R965" s="63">
        <v>35</v>
      </c>
      <c r="S965" s="63"/>
      <c r="T965" s="63"/>
      <c r="U965" s="63"/>
      <c r="V965" s="63"/>
      <c r="W965" s="63">
        <f t="shared" si="266"/>
        <v>18</v>
      </c>
      <c r="X965" s="63"/>
      <c r="Y965" s="63"/>
      <c r="Z965" s="63"/>
      <c r="AA965" s="63">
        <v>0</v>
      </c>
      <c r="AB965" s="63"/>
      <c r="AE965" s="8">
        <v>0</v>
      </c>
      <c r="AT965" t="str">
        <f t="shared" si="269"/>
        <v>Provincetown</v>
      </c>
      <c r="AU965" t="s">
        <v>2411</v>
      </c>
      <c r="AV965">
        <v>9</v>
      </c>
      <c r="AX965" s="114">
        <v>25</v>
      </c>
      <c r="AY965" s="116">
        <v>1</v>
      </c>
      <c r="AZ965" s="116">
        <v>55</v>
      </c>
      <c r="BA965" s="120">
        <v>55500</v>
      </c>
      <c r="BB965" s="120">
        <f t="shared" si="270"/>
        <v>25001</v>
      </c>
      <c r="BC965" t="s">
        <v>1472</v>
      </c>
      <c r="BD965">
        <f t="shared" si="267"/>
        <v>2555500</v>
      </c>
      <c r="BE965" s="66">
        <v>18</v>
      </c>
      <c r="BF965" s="66"/>
      <c r="BI965">
        <v>17.47</v>
      </c>
      <c r="BJ965">
        <v>7.81</v>
      </c>
      <c r="BK965">
        <v>9.66</v>
      </c>
      <c r="BQ965">
        <v>18</v>
      </c>
      <c r="BS965">
        <v>0</v>
      </c>
    </row>
    <row r="966" spans="1:71" hidden="1" outlineLevel="1">
      <c r="A966" s="64" t="s">
        <v>1400</v>
      </c>
      <c r="B966" s="8" t="s">
        <v>1320</v>
      </c>
      <c r="C966" s="1">
        <f t="shared" si="259"/>
        <v>40821</v>
      </c>
      <c r="D966" s="5">
        <f>IF(N966&gt;0, RANK(N966,(N966:P966,Q966:AE966)),0)</f>
        <v>1</v>
      </c>
      <c r="E966" s="5">
        <f>IF(O966&gt;0,RANK(O966,(N966:P966,Q966:AE966)),0)</f>
        <v>2</v>
      </c>
      <c r="F966" s="5">
        <f t="shared" si="260"/>
        <v>6</v>
      </c>
      <c r="G966" s="1">
        <f t="shared" si="261"/>
        <v>12156</v>
      </c>
      <c r="H966" s="2">
        <f t="shared" si="268"/>
        <v>0.29778790328507387</v>
      </c>
      <c r="I966" s="6"/>
      <c r="J966" s="2">
        <f t="shared" si="262"/>
        <v>0.62411503882805419</v>
      </c>
      <c r="K966" s="2">
        <f t="shared" si="263"/>
        <v>0.32632713554298032</v>
      </c>
      <c r="L966" s="2">
        <f t="shared" si="264"/>
        <v>4.89943901423287E-5</v>
      </c>
      <c r="M966" s="2">
        <f t="shared" si="265"/>
        <v>4.9508831238823159E-2</v>
      </c>
      <c r="N966" s="63">
        <v>25477</v>
      </c>
      <c r="O966" s="63">
        <v>13321</v>
      </c>
      <c r="P966" s="63">
        <v>2</v>
      </c>
      <c r="Q966" s="63">
        <v>1460</v>
      </c>
      <c r="R966" s="63">
        <v>557</v>
      </c>
      <c r="S966" s="63"/>
      <c r="T966" s="63"/>
      <c r="U966" s="63"/>
      <c r="V966" s="63"/>
      <c r="W966" s="63">
        <f t="shared" si="266"/>
        <v>4</v>
      </c>
      <c r="X966" s="63"/>
      <c r="Y966" s="63"/>
      <c r="Z966" s="63"/>
      <c r="AA966" s="63">
        <v>0</v>
      </c>
      <c r="AB966" s="63"/>
      <c r="AE966" s="8">
        <v>0</v>
      </c>
      <c r="AT966" t="str">
        <f t="shared" si="269"/>
        <v>Quincy</v>
      </c>
      <c r="AU966" t="s">
        <v>753</v>
      </c>
      <c r="AV966">
        <v>8</v>
      </c>
      <c r="AX966" s="114">
        <v>25</v>
      </c>
      <c r="AY966" s="116">
        <v>21</v>
      </c>
      <c r="AZ966" s="116">
        <v>100</v>
      </c>
      <c r="BA966" s="120">
        <v>55745</v>
      </c>
      <c r="BB966" s="120">
        <f t="shared" si="270"/>
        <v>25021</v>
      </c>
      <c r="BC966" t="s">
        <v>1249</v>
      </c>
      <c r="BD966">
        <f t="shared" si="267"/>
        <v>2555745</v>
      </c>
      <c r="BE966" s="66">
        <v>1371</v>
      </c>
      <c r="BF966" s="66"/>
      <c r="BI966">
        <v>26.89</v>
      </c>
      <c r="BJ966">
        <v>10.11</v>
      </c>
      <c r="BK966">
        <v>16.78</v>
      </c>
      <c r="BQ966">
        <v>4</v>
      </c>
      <c r="BS966">
        <v>0</v>
      </c>
    </row>
    <row r="967" spans="1:71" hidden="1" outlineLevel="1">
      <c r="A967" s="64" t="s">
        <v>1460</v>
      </c>
      <c r="B967" s="8" t="s">
        <v>1320</v>
      </c>
      <c r="C967" s="1">
        <f t="shared" si="259"/>
        <v>15264</v>
      </c>
      <c r="D967" s="5">
        <f>IF(N967&gt;0, RANK(N967,(N967:P967,Q967:AE967)),0)</f>
        <v>1</v>
      </c>
      <c r="E967" s="5">
        <f>IF(O967&gt;0,RANK(O967,(N967:P967,Q967:AE967)),0)</f>
        <v>2</v>
      </c>
      <c r="F967" s="5">
        <f t="shared" si="260"/>
        <v>6</v>
      </c>
      <c r="G967" s="1">
        <f t="shared" si="261"/>
        <v>8411</v>
      </c>
      <c r="H967" s="2">
        <f t="shared" si="268"/>
        <v>0.55103511530398319</v>
      </c>
      <c r="I967" s="6"/>
      <c r="J967" s="2">
        <f t="shared" si="262"/>
        <v>0.75399633123689724</v>
      </c>
      <c r="K967" s="2">
        <f t="shared" si="263"/>
        <v>0.20296121593291405</v>
      </c>
      <c r="L967" s="2">
        <f t="shared" si="264"/>
        <v>1.3102725366876311E-4</v>
      </c>
      <c r="M967" s="2">
        <f t="shared" si="265"/>
        <v>4.2911425576519939E-2</v>
      </c>
      <c r="N967" s="63">
        <v>11509</v>
      </c>
      <c r="O967" s="63">
        <v>3098</v>
      </c>
      <c r="P967" s="63">
        <v>2</v>
      </c>
      <c r="Q967" s="63">
        <v>335</v>
      </c>
      <c r="R967" s="63">
        <v>159</v>
      </c>
      <c r="S967" s="63"/>
      <c r="T967" s="63"/>
      <c r="U967" s="63"/>
      <c r="V967" s="63"/>
      <c r="W967" s="63">
        <f t="shared" si="266"/>
        <v>161</v>
      </c>
      <c r="X967" s="63"/>
      <c r="Y967" s="63"/>
      <c r="Z967" s="63"/>
      <c r="AA967" s="63">
        <v>0</v>
      </c>
      <c r="AB967" s="63"/>
      <c r="AE967" s="8">
        <v>0</v>
      </c>
      <c r="AT967" t="str">
        <f t="shared" si="269"/>
        <v>Randolph</v>
      </c>
      <c r="AU967" t="s">
        <v>753</v>
      </c>
      <c r="AV967">
        <v>7</v>
      </c>
      <c r="AX967" s="114">
        <v>25</v>
      </c>
      <c r="AY967" s="116">
        <v>21</v>
      </c>
      <c r="AZ967" s="116">
        <v>105</v>
      </c>
      <c r="BA967" s="120">
        <v>55955</v>
      </c>
      <c r="BB967" s="120">
        <f t="shared" si="270"/>
        <v>25021</v>
      </c>
      <c r="BC967" t="s">
        <v>1472</v>
      </c>
      <c r="BD967">
        <f t="shared" si="267"/>
        <v>2555955</v>
      </c>
      <c r="BE967" s="66">
        <v>142</v>
      </c>
      <c r="BF967" s="66"/>
      <c r="BI967">
        <v>10.5</v>
      </c>
      <c r="BJ967">
        <v>0.43</v>
      </c>
      <c r="BK967">
        <v>10.07</v>
      </c>
      <c r="BQ967">
        <v>161</v>
      </c>
      <c r="BS967">
        <v>0</v>
      </c>
    </row>
    <row r="968" spans="1:71" hidden="1" outlineLevel="1">
      <c r="A968" s="64" t="s">
        <v>528</v>
      </c>
      <c r="B968" s="8" t="s">
        <v>1320</v>
      </c>
      <c r="C968" s="1">
        <f t="shared" si="259"/>
        <v>7682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 t="shared" si="260"/>
        <v>0</v>
      </c>
      <c r="G968" s="1">
        <f t="shared" si="261"/>
        <v>479</v>
      </c>
      <c r="H968" s="2">
        <f t="shared" si="268"/>
        <v>6.2353553762041138E-2</v>
      </c>
      <c r="I968" s="6"/>
      <c r="J968" s="2">
        <f t="shared" si="262"/>
        <v>0.43309034105701638</v>
      </c>
      <c r="K968" s="2">
        <f t="shared" si="263"/>
        <v>0.49544389481905754</v>
      </c>
      <c r="L968" s="2">
        <f t="shared" si="264"/>
        <v>0</v>
      </c>
      <c r="M968" s="2">
        <f t="shared" si="265"/>
        <v>7.1465764123926079E-2</v>
      </c>
      <c r="N968" s="63">
        <v>3327</v>
      </c>
      <c r="O968" s="63">
        <v>3806</v>
      </c>
      <c r="P968" s="63">
        <v>0</v>
      </c>
      <c r="Q968" s="63">
        <v>364</v>
      </c>
      <c r="R968" s="63">
        <v>77</v>
      </c>
      <c r="S968" s="63"/>
      <c r="T968" s="63"/>
      <c r="U968" s="63"/>
      <c r="V968" s="63"/>
      <c r="W968" s="63">
        <f t="shared" si="266"/>
        <v>108</v>
      </c>
      <c r="X968" s="63"/>
      <c r="Y968" s="63"/>
      <c r="Z968" s="63"/>
      <c r="AA968" s="63">
        <v>0</v>
      </c>
      <c r="AB968" s="63"/>
      <c r="AE968" s="8">
        <v>0</v>
      </c>
      <c r="AT968" t="str">
        <f t="shared" si="269"/>
        <v>Raynham</v>
      </c>
      <c r="AU968" t="s">
        <v>2215</v>
      </c>
      <c r="AX968" s="114">
        <v>25</v>
      </c>
      <c r="AY968" s="116">
        <v>5</v>
      </c>
      <c r="AZ968" s="116">
        <v>70</v>
      </c>
      <c r="BA968" s="120">
        <v>56060</v>
      </c>
      <c r="BB968" s="120">
        <f t="shared" si="270"/>
        <v>25005</v>
      </c>
      <c r="BC968" t="s">
        <v>1472</v>
      </c>
      <c r="BD968">
        <f t="shared" si="267"/>
        <v>2556060</v>
      </c>
      <c r="BE968" s="66">
        <v>132</v>
      </c>
      <c r="BF968" s="66"/>
      <c r="BI968">
        <v>20.86</v>
      </c>
      <c r="BJ968">
        <v>0.36</v>
      </c>
      <c r="BK968">
        <v>20.5</v>
      </c>
      <c r="BQ968">
        <v>108</v>
      </c>
      <c r="BS968">
        <v>0</v>
      </c>
    </row>
    <row r="969" spans="1:71" hidden="1" outlineLevel="1">
      <c r="A969" s="64" t="s">
        <v>1165</v>
      </c>
      <c r="B969" s="8" t="s">
        <v>1320</v>
      </c>
      <c r="C969" s="1">
        <f t="shared" si="259"/>
        <v>15372</v>
      </c>
      <c r="D969" s="5">
        <f>IF(N969&gt;0, RANK(N969,(N969:P969,Q969:AE969)),0)</f>
        <v>1</v>
      </c>
      <c r="E969" s="5">
        <f>IF(O969&gt;0,RANK(O969,(N969:P969,Q969:AE969)),0)</f>
        <v>2</v>
      </c>
      <c r="F969" s="5">
        <f t="shared" si="260"/>
        <v>0</v>
      </c>
      <c r="G969" s="1">
        <f t="shared" si="261"/>
        <v>3475</v>
      </c>
      <c r="H969" s="2">
        <f t="shared" si="268"/>
        <v>0.22606036950299246</v>
      </c>
      <c r="I969" s="6"/>
      <c r="J969" s="2">
        <f t="shared" si="262"/>
        <v>0.57559198542805101</v>
      </c>
      <c r="K969" s="2">
        <f t="shared" si="263"/>
        <v>0.34953161592505855</v>
      </c>
      <c r="L969" s="2">
        <f t="shared" si="264"/>
        <v>0</v>
      </c>
      <c r="M969" s="2">
        <f t="shared" si="265"/>
        <v>7.4876398646890441E-2</v>
      </c>
      <c r="N969" s="63">
        <v>8848</v>
      </c>
      <c r="O969" s="63">
        <v>5373</v>
      </c>
      <c r="P969" s="63">
        <v>0</v>
      </c>
      <c r="Q969" s="63">
        <v>681</v>
      </c>
      <c r="R969" s="63">
        <v>142</v>
      </c>
      <c r="S969" s="63"/>
      <c r="T969" s="63"/>
      <c r="U969" s="63"/>
      <c r="V969" s="63"/>
      <c r="W969" s="63">
        <f t="shared" si="266"/>
        <v>328</v>
      </c>
      <c r="X969" s="63"/>
      <c r="Y969" s="63"/>
      <c r="Z969" s="63"/>
      <c r="AA969" s="63">
        <v>0</v>
      </c>
      <c r="AB969" s="63"/>
      <c r="AE969" s="8">
        <v>0</v>
      </c>
      <c r="AT969" t="str">
        <f t="shared" si="269"/>
        <v>Reading</v>
      </c>
      <c r="AU969" t="s">
        <v>503</v>
      </c>
      <c r="AV969">
        <v>6</v>
      </c>
      <c r="AX969" s="114">
        <v>25</v>
      </c>
      <c r="AY969" s="116">
        <v>17</v>
      </c>
      <c r="AZ969" s="116">
        <v>180</v>
      </c>
      <c r="BA969" s="120">
        <v>56130</v>
      </c>
      <c r="BB969" s="120">
        <f t="shared" si="270"/>
        <v>25017</v>
      </c>
      <c r="BC969" t="s">
        <v>1472</v>
      </c>
      <c r="BD969">
        <f t="shared" si="267"/>
        <v>2556130</v>
      </c>
      <c r="BE969" s="66">
        <v>233</v>
      </c>
      <c r="BF969" s="66"/>
      <c r="BI969">
        <v>9.93</v>
      </c>
      <c r="BJ969">
        <v>0</v>
      </c>
      <c r="BK969">
        <v>9.93</v>
      </c>
      <c r="BQ969">
        <v>328</v>
      </c>
      <c r="BS969">
        <v>0</v>
      </c>
    </row>
    <row r="970" spans="1:71" hidden="1" outlineLevel="1">
      <c r="A970" s="64" t="s">
        <v>2753</v>
      </c>
      <c r="B970" s="8" t="s">
        <v>1320</v>
      </c>
      <c r="C970" s="1">
        <f t="shared" si="259"/>
        <v>6854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 t="shared" si="260"/>
        <v>6</v>
      </c>
      <c r="G970" s="1">
        <f t="shared" si="261"/>
        <v>790</v>
      </c>
      <c r="H970" s="2">
        <f t="shared" si="268"/>
        <v>0.11526116136562591</v>
      </c>
      <c r="I970" s="6"/>
      <c r="J970" s="2">
        <f t="shared" si="262"/>
        <v>0.40618616866063612</v>
      </c>
      <c r="K970" s="2">
        <f t="shared" si="263"/>
        <v>0.52144733002626209</v>
      </c>
      <c r="L970" s="2">
        <f t="shared" si="264"/>
        <v>4.3770061278085792E-4</v>
      </c>
      <c r="M970" s="2">
        <f t="shared" si="265"/>
        <v>7.1928800700320997E-2</v>
      </c>
      <c r="N970" s="63">
        <v>2784</v>
      </c>
      <c r="O970" s="63">
        <v>3574</v>
      </c>
      <c r="P970" s="63">
        <v>3</v>
      </c>
      <c r="Q970" s="63">
        <v>322</v>
      </c>
      <c r="R970" s="63">
        <v>110</v>
      </c>
      <c r="S970" s="63"/>
      <c r="T970" s="63"/>
      <c r="U970" s="63"/>
      <c r="V970" s="63"/>
      <c r="W970" s="63">
        <f t="shared" si="266"/>
        <v>61</v>
      </c>
      <c r="X970" s="63"/>
      <c r="Y970" s="63"/>
      <c r="Z970" s="63"/>
      <c r="AA970" s="63">
        <v>0</v>
      </c>
      <c r="AB970" s="63"/>
      <c r="AE970" s="8">
        <v>0</v>
      </c>
      <c r="AT970" t="str">
        <f t="shared" si="269"/>
        <v>Rehoboth</v>
      </c>
      <c r="AU970" t="s">
        <v>2215</v>
      </c>
      <c r="AV970">
        <v>4</v>
      </c>
      <c r="AX970" s="114">
        <v>25</v>
      </c>
      <c r="AY970" s="116">
        <v>5</v>
      </c>
      <c r="AZ970" s="116">
        <v>75</v>
      </c>
      <c r="BA970" s="120">
        <v>56375</v>
      </c>
      <c r="BB970" s="120">
        <f t="shared" si="270"/>
        <v>25005</v>
      </c>
      <c r="BC970" t="s">
        <v>1472</v>
      </c>
      <c r="BD970">
        <f t="shared" si="267"/>
        <v>2556375</v>
      </c>
      <c r="BE970" s="66">
        <v>123</v>
      </c>
      <c r="BF970" s="66"/>
      <c r="BI970">
        <v>46.77</v>
      </c>
      <c r="BJ970">
        <v>0.28000000000000003</v>
      </c>
      <c r="BK970">
        <v>46.5</v>
      </c>
      <c r="BQ970">
        <v>61</v>
      </c>
      <c r="BS970">
        <v>0</v>
      </c>
    </row>
    <row r="971" spans="1:71" hidden="1" outlineLevel="1">
      <c r="A971" s="64" t="s">
        <v>2349</v>
      </c>
      <c r="B971" s="8" t="s">
        <v>1320</v>
      </c>
      <c r="C971" s="1">
        <f t="shared" si="259"/>
        <v>19790</v>
      </c>
      <c r="D971" s="5">
        <f>IF(N971&gt;0, RANK(N971,(N971:P971,Q971:AE971)),0)</f>
        <v>1</v>
      </c>
      <c r="E971" s="5">
        <f>IF(O971&gt;0,RANK(O971,(N971:P971,Q971:AE971)),0)</f>
        <v>2</v>
      </c>
      <c r="F971" s="5">
        <f t="shared" si="260"/>
        <v>0</v>
      </c>
      <c r="G971" s="1">
        <f t="shared" si="261"/>
        <v>5069</v>
      </c>
      <c r="H971" s="2">
        <f t="shared" si="268"/>
        <v>0.25613946437594742</v>
      </c>
      <c r="I971" s="6"/>
      <c r="J971" s="2">
        <f t="shared" si="262"/>
        <v>0.60454775138959072</v>
      </c>
      <c r="K971" s="2">
        <f t="shared" si="263"/>
        <v>0.34840828701364324</v>
      </c>
      <c r="L971" s="2">
        <f t="shared" si="264"/>
        <v>0</v>
      </c>
      <c r="M971" s="2">
        <f t="shared" si="265"/>
        <v>4.7043961596766048E-2</v>
      </c>
      <c r="N971" s="63">
        <v>11964</v>
      </c>
      <c r="O971" s="63">
        <v>6895</v>
      </c>
      <c r="P971" s="63">
        <v>0</v>
      </c>
      <c r="Q971" s="63">
        <v>446</v>
      </c>
      <c r="R971" s="63">
        <v>239</v>
      </c>
      <c r="S971" s="63"/>
      <c r="T971" s="63"/>
      <c r="U971" s="63"/>
      <c r="V971" s="63"/>
      <c r="W971" s="63">
        <f t="shared" si="266"/>
        <v>246</v>
      </c>
      <c r="X971" s="63"/>
      <c r="Y971" s="63"/>
      <c r="Z971" s="63"/>
      <c r="AA971" s="63">
        <v>0</v>
      </c>
      <c r="AB971" s="63"/>
      <c r="AE971" s="8">
        <v>0</v>
      </c>
      <c r="AT971" t="str">
        <f t="shared" si="269"/>
        <v>Revere</v>
      </c>
      <c r="AU971" t="s">
        <v>1468</v>
      </c>
      <c r="AV971">
        <v>5</v>
      </c>
      <c r="AX971" s="114">
        <v>25</v>
      </c>
      <c r="AY971" s="116">
        <v>25</v>
      </c>
      <c r="AZ971" s="116">
        <v>15</v>
      </c>
      <c r="BA971" s="120">
        <v>56585</v>
      </c>
      <c r="BB971" s="120">
        <f t="shared" si="270"/>
        <v>25025</v>
      </c>
      <c r="BC971" t="s">
        <v>1249</v>
      </c>
      <c r="BD971">
        <f t="shared" si="267"/>
        <v>2556585</v>
      </c>
      <c r="BE971" s="66">
        <v>291</v>
      </c>
      <c r="BF971" s="66"/>
      <c r="BI971">
        <v>10.029999999999999</v>
      </c>
      <c r="BJ971">
        <v>4.1100000000000003</v>
      </c>
      <c r="BK971">
        <v>5.91</v>
      </c>
      <c r="BQ971">
        <v>246</v>
      </c>
      <c r="BS971">
        <v>0</v>
      </c>
    </row>
    <row r="972" spans="1:71" hidden="1" outlineLevel="1">
      <c r="A972" s="64" t="s">
        <v>1881</v>
      </c>
      <c r="B972" s="8" t="s">
        <v>1320</v>
      </c>
      <c r="C972" s="1">
        <f t="shared" si="259"/>
        <v>993</v>
      </c>
      <c r="D972" s="5">
        <f>IF(N972&gt;0, RANK(N972,(N972:P972,Q972:AE972)),0)</f>
        <v>1</v>
      </c>
      <c r="E972" s="5">
        <f>IF(O972&gt;0,RANK(O972,(N972:P972,Q972:AE972)),0)</f>
        <v>2</v>
      </c>
      <c r="F972" s="5">
        <f t="shared" si="260"/>
        <v>6</v>
      </c>
      <c r="G972" s="1">
        <f t="shared" si="261"/>
        <v>488</v>
      </c>
      <c r="H972" s="2">
        <f t="shared" si="268"/>
        <v>0.49144008056394761</v>
      </c>
      <c r="I972" s="6"/>
      <c r="J972" s="2">
        <f t="shared" si="262"/>
        <v>0.71097683786505539</v>
      </c>
      <c r="K972" s="2">
        <f t="shared" si="263"/>
        <v>0.21953675730110775</v>
      </c>
      <c r="L972" s="2">
        <f t="shared" si="264"/>
        <v>2.014098690835851E-3</v>
      </c>
      <c r="M972" s="2">
        <f t="shared" si="265"/>
        <v>6.747230614300101E-2</v>
      </c>
      <c r="N972" s="63">
        <v>706</v>
      </c>
      <c r="O972" s="63">
        <v>218</v>
      </c>
      <c r="P972" s="63">
        <v>2</v>
      </c>
      <c r="Q972" s="63">
        <v>28</v>
      </c>
      <c r="R972" s="63">
        <v>26</v>
      </c>
      <c r="S972" s="63"/>
      <c r="T972" s="63"/>
      <c r="U972" s="63"/>
      <c r="V972" s="63"/>
      <c r="W972" s="63">
        <f t="shared" si="266"/>
        <v>13</v>
      </c>
      <c r="X972" s="63"/>
      <c r="Y972" s="63"/>
      <c r="Z972" s="63"/>
      <c r="AA972" s="63">
        <v>0</v>
      </c>
      <c r="AB972" s="63"/>
      <c r="AE972" s="8">
        <v>0</v>
      </c>
      <c r="AT972" t="str">
        <f t="shared" si="269"/>
        <v>Richmond</v>
      </c>
      <c r="AU972" t="s">
        <v>2313</v>
      </c>
      <c r="AV972">
        <v>1</v>
      </c>
      <c r="AX972" s="114">
        <v>25</v>
      </c>
      <c r="AY972" s="116">
        <v>3</v>
      </c>
      <c r="AZ972" s="116">
        <v>115</v>
      </c>
      <c r="BA972" s="120">
        <v>56795</v>
      </c>
      <c r="BB972" s="120">
        <f t="shared" si="270"/>
        <v>25003</v>
      </c>
      <c r="BC972" t="s">
        <v>1472</v>
      </c>
      <c r="BD972">
        <f t="shared" si="267"/>
        <v>2556795</v>
      </c>
      <c r="BE972" s="66">
        <v>12</v>
      </c>
      <c r="BF972" s="66"/>
      <c r="BI972">
        <v>19.239999999999998</v>
      </c>
      <c r="BJ972">
        <v>0.27</v>
      </c>
      <c r="BK972">
        <v>18.96</v>
      </c>
      <c r="BQ972">
        <v>13</v>
      </c>
      <c r="BS972">
        <v>0</v>
      </c>
    </row>
    <row r="973" spans="1:71" hidden="1" outlineLevel="1">
      <c r="A973" s="64" t="s">
        <v>1706</v>
      </c>
      <c r="B973" s="8" t="s">
        <v>1320</v>
      </c>
      <c r="C973" s="1">
        <f t="shared" si="259"/>
        <v>3367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 t="shared" si="260"/>
        <v>0</v>
      </c>
      <c r="G973" s="1">
        <f t="shared" si="261"/>
        <v>375</v>
      </c>
      <c r="H973" s="2">
        <f t="shared" si="268"/>
        <v>0.11137511137511137</v>
      </c>
      <c r="I973" s="6"/>
      <c r="J973" s="2">
        <f t="shared" si="262"/>
        <v>0.40629640629640629</v>
      </c>
      <c r="K973" s="2">
        <f t="shared" si="263"/>
        <v>0.51767151767151764</v>
      </c>
      <c r="L973" s="2">
        <f t="shared" si="264"/>
        <v>0</v>
      </c>
      <c r="M973" s="2">
        <f t="shared" si="265"/>
        <v>7.6032076032076068E-2</v>
      </c>
      <c r="N973" s="63">
        <v>1368</v>
      </c>
      <c r="O973" s="63">
        <v>1743</v>
      </c>
      <c r="P973" s="63">
        <v>0</v>
      </c>
      <c r="Q973" s="63">
        <v>161</v>
      </c>
      <c r="R973" s="63">
        <v>50</v>
      </c>
      <c r="S973" s="63"/>
      <c r="T973" s="63"/>
      <c r="U973" s="63"/>
      <c r="V973" s="63"/>
      <c r="W973" s="63">
        <f t="shared" si="266"/>
        <v>45</v>
      </c>
      <c r="X973" s="63"/>
      <c r="Y973" s="63"/>
      <c r="Z973" s="63"/>
      <c r="AA973" s="63">
        <v>0</v>
      </c>
      <c r="AB973" s="63"/>
      <c r="AE973" s="8">
        <v>0</v>
      </c>
      <c r="AT973" t="str">
        <f t="shared" si="269"/>
        <v>Rochester</v>
      </c>
      <c r="AU973" t="s">
        <v>231</v>
      </c>
      <c r="AV973">
        <v>9</v>
      </c>
      <c r="AX973" s="114">
        <v>25</v>
      </c>
      <c r="AY973" s="116">
        <v>23</v>
      </c>
      <c r="AZ973" s="116">
        <v>110</v>
      </c>
      <c r="BA973" s="120">
        <v>57600</v>
      </c>
      <c r="BB973" s="120">
        <f t="shared" si="270"/>
        <v>25023</v>
      </c>
      <c r="BC973" t="s">
        <v>1472</v>
      </c>
      <c r="BD973">
        <f t="shared" si="267"/>
        <v>2557600</v>
      </c>
      <c r="BE973" s="66">
        <v>67</v>
      </c>
      <c r="BF973" s="66"/>
      <c r="BI973">
        <v>36.39</v>
      </c>
      <c r="BJ973">
        <v>2.46</v>
      </c>
      <c r="BK973">
        <v>33.93</v>
      </c>
      <c r="BQ973">
        <v>45</v>
      </c>
      <c r="BS973">
        <v>0</v>
      </c>
    </row>
    <row r="974" spans="1:71" hidden="1" outlineLevel="1">
      <c r="A974" s="64" t="s">
        <v>535</v>
      </c>
      <c r="B974" s="8" t="s">
        <v>1320</v>
      </c>
      <c r="C974" s="1">
        <f t="shared" si="259"/>
        <v>9474</v>
      </c>
      <c r="D974" s="5">
        <f>IF(N974&gt;0, RANK(N974,(N974:P974,Q974:AE974)),0)</f>
        <v>1</v>
      </c>
      <c r="E974" s="5">
        <f>IF(O974&gt;0,RANK(O974,(N974:P974,Q974:AE974)),0)</f>
        <v>2</v>
      </c>
      <c r="F974" s="5">
        <f t="shared" si="260"/>
        <v>6</v>
      </c>
      <c r="G974" s="1">
        <f t="shared" si="261"/>
        <v>90</v>
      </c>
      <c r="H974" s="2">
        <f t="shared" si="268"/>
        <v>9.4996833438885375E-3</v>
      </c>
      <c r="I974" s="6"/>
      <c r="J974" s="2">
        <f t="shared" si="262"/>
        <v>0.46474561959045807</v>
      </c>
      <c r="K974" s="2">
        <f t="shared" si="263"/>
        <v>0.45524593624656956</v>
      </c>
      <c r="L974" s="2">
        <f t="shared" si="264"/>
        <v>1.6888325944690733E-3</v>
      </c>
      <c r="M974" s="2">
        <f t="shared" si="265"/>
        <v>7.8319611568503353E-2</v>
      </c>
      <c r="N974" s="63">
        <v>4403</v>
      </c>
      <c r="O974" s="63">
        <v>4313</v>
      </c>
      <c r="P974" s="63">
        <v>16</v>
      </c>
      <c r="Q974" s="63">
        <v>464</v>
      </c>
      <c r="R974" s="63">
        <v>115</v>
      </c>
      <c r="S974" s="63"/>
      <c r="T974" s="63"/>
      <c r="U974" s="63"/>
      <c r="V974" s="63"/>
      <c r="W974" s="63">
        <f t="shared" si="266"/>
        <v>163</v>
      </c>
      <c r="X974" s="63"/>
      <c r="Y974" s="63"/>
      <c r="Z974" s="63"/>
      <c r="AA974" s="63">
        <v>0</v>
      </c>
      <c r="AB974" s="63"/>
      <c r="AE974" s="8">
        <v>0</v>
      </c>
      <c r="AT974" t="str">
        <f t="shared" si="269"/>
        <v>Rockland</v>
      </c>
      <c r="AU974" t="s">
        <v>231</v>
      </c>
      <c r="AV974">
        <v>9</v>
      </c>
      <c r="AX974" s="114">
        <v>25</v>
      </c>
      <c r="AY974" s="116">
        <v>23</v>
      </c>
      <c r="AZ974" s="116">
        <v>115</v>
      </c>
      <c r="BA974" s="120">
        <v>57775</v>
      </c>
      <c r="BB974" s="120">
        <f t="shared" si="270"/>
        <v>25023</v>
      </c>
      <c r="BC974" t="s">
        <v>1472</v>
      </c>
      <c r="BD974">
        <f t="shared" si="267"/>
        <v>2557775</v>
      </c>
      <c r="BE974" s="66">
        <v>87</v>
      </c>
      <c r="BF974" s="66"/>
      <c r="BI974">
        <v>10.1</v>
      </c>
      <c r="BJ974">
        <v>0.08</v>
      </c>
      <c r="BK974">
        <v>10.02</v>
      </c>
      <c r="BQ974">
        <v>163</v>
      </c>
      <c r="BS974">
        <v>0</v>
      </c>
    </row>
    <row r="975" spans="1:71" hidden="1" outlineLevel="1">
      <c r="A975" s="64" t="s">
        <v>2350</v>
      </c>
      <c r="B975" s="8" t="s">
        <v>1320</v>
      </c>
      <c r="C975" s="1">
        <f t="shared" si="259"/>
        <v>4892</v>
      </c>
      <c r="D975" s="5">
        <f>IF(N975&gt;0, RANK(N975,(N975:P975,Q975:AE975)),0)</f>
        <v>1</v>
      </c>
      <c r="E975" s="5">
        <f>IF(O975&gt;0,RANK(O975,(N975:P975,Q975:AE975)),0)</f>
        <v>2</v>
      </c>
      <c r="F975" s="5">
        <f t="shared" si="260"/>
        <v>0</v>
      </c>
      <c r="G975" s="1">
        <f t="shared" si="261"/>
        <v>1751</v>
      </c>
      <c r="H975" s="2">
        <f t="shared" si="268"/>
        <v>0.35793131643499593</v>
      </c>
      <c r="I975" s="6"/>
      <c r="J975" s="2">
        <f t="shared" si="262"/>
        <v>0.63818479149632057</v>
      </c>
      <c r="K975" s="2">
        <f t="shared" si="263"/>
        <v>0.28025347506132459</v>
      </c>
      <c r="L975" s="2">
        <f t="shared" si="264"/>
        <v>0</v>
      </c>
      <c r="M975" s="2">
        <f t="shared" si="265"/>
        <v>8.1561733442354845E-2</v>
      </c>
      <c r="N975" s="63">
        <v>3122</v>
      </c>
      <c r="O975" s="63">
        <v>1371</v>
      </c>
      <c r="P975" s="63">
        <v>0</v>
      </c>
      <c r="Q975" s="63">
        <v>225</v>
      </c>
      <c r="R975" s="63">
        <v>79</v>
      </c>
      <c r="S975" s="63"/>
      <c r="T975" s="63"/>
      <c r="U975" s="63"/>
      <c r="V975" s="63"/>
      <c r="W975" s="63">
        <f t="shared" si="266"/>
        <v>95</v>
      </c>
      <c r="X975" s="63"/>
      <c r="Y975" s="63"/>
      <c r="Z975" s="63"/>
      <c r="AA975" s="63">
        <v>0</v>
      </c>
      <c r="AB975" s="63"/>
      <c r="AE975" s="8">
        <v>0</v>
      </c>
      <c r="AT975" t="str">
        <f t="shared" si="269"/>
        <v>Rockport</v>
      </c>
      <c r="AU975" t="s">
        <v>842</v>
      </c>
      <c r="AV975">
        <v>6</v>
      </c>
      <c r="AX975" s="114">
        <v>25</v>
      </c>
      <c r="AY975" s="116">
        <v>9</v>
      </c>
      <c r="AZ975" s="116">
        <v>130</v>
      </c>
      <c r="BA975" s="120">
        <v>57880</v>
      </c>
      <c r="BB975" s="120">
        <f t="shared" si="270"/>
        <v>25009</v>
      </c>
      <c r="BC975" t="s">
        <v>1472</v>
      </c>
      <c r="BD975">
        <f t="shared" si="267"/>
        <v>2557880</v>
      </c>
      <c r="BE975" s="66">
        <v>84</v>
      </c>
      <c r="BF975" s="66"/>
      <c r="BI975">
        <v>17.579999999999998</v>
      </c>
      <c r="BJ975">
        <v>10.52</v>
      </c>
      <c r="BK975">
        <v>7.07</v>
      </c>
      <c r="BQ975">
        <v>95</v>
      </c>
      <c r="BS975">
        <v>0</v>
      </c>
    </row>
    <row r="976" spans="1:71" hidden="1" outlineLevel="1">
      <c r="A976" s="64" t="s">
        <v>1426</v>
      </c>
      <c r="B976" s="8" t="s">
        <v>1320</v>
      </c>
      <c r="C976" s="1">
        <f t="shared" si="259"/>
        <v>238</v>
      </c>
      <c r="D976" s="5">
        <f>IF(N976&gt;0, RANK(N976,(N976:P976,Q976:AE976)),0)</f>
        <v>1</v>
      </c>
      <c r="E976" s="5">
        <f>IF(O976&gt;0,RANK(O976,(N976:P976,Q976:AE976)),0)</f>
        <v>2</v>
      </c>
      <c r="F976" s="5">
        <f t="shared" si="260"/>
        <v>0</v>
      </c>
      <c r="G976" s="1">
        <f t="shared" si="261"/>
        <v>23</v>
      </c>
      <c r="H976" s="2">
        <f t="shared" si="268"/>
        <v>9.6638655462184878E-2</v>
      </c>
      <c r="I976" s="6"/>
      <c r="J976" s="2">
        <f t="shared" si="262"/>
        <v>0.51260504201680668</v>
      </c>
      <c r="K976" s="2">
        <f t="shared" si="263"/>
        <v>0.41596638655462187</v>
      </c>
      <c r="L976" s="2">
        <f t="shared" si="264"/>
        <v>0</v>
      </c>
      <c r="M976" s="2">
        <f t="shared" si="265"/>
        <v>7.1428571428571452E-2</v>
      </c>
      <c r="N976" s="63">
        <v>122</v>
      </c>
      <c r="O976" s="63">
        <v>99</v>
      </c>
      <c r="P976" s="63">
        <v>0</v>
      </c>
      <c r="Q976" s="63">
        <v>7</v>
      </c>
      <c r="R976" s="63">
        <v>7</v>
      </c>
      <c r="S976" s="63"/>
      <c r="T976" s="63"/>
      <c r="U976" s="63"/>
      <c r="V976" s="63"/>
      <c r="W976" s="63">
        <f t="shared" si="266"/>
        <v>3</v>
      </c>
      <c r="X976" s="63"/>
      <c r="Y976" s="63"/>
      <c r="Z976" s="63"/>
      <c r="AA976" s="63">
        <v>0</v>
      </c>
      <c r="AB976" s="63"/>
      <c r="AE976" s="8">
        <v>0</v>
      </c>
      <c r="AT976" t="str">
        <f t="shared" si="269"/>
        <v>Rowe</v>
      </c>
      <c r="AU976" t="s">
        <v>1138</v>
      </c>
      <c r="AV976">
        <v>1</v>
      </c>
      <c r="AX976" s="114">
        <v>25</v>
      </c>
      <c r="AY976" s="116">
        <v>11</v>
      </c>
      <c r="AZ976" s="116">
        <v>100</v>
      </c>
      <c r="BA976" s="120">
        <v>58335</v>
      </c>
      <c r="BB976" s="120">
        <f t="shared" si="270"/>
        <v>25011</v>
      </c>
      <c r="BC976" t="s">
        <v>1472</v>
      </c>
      <c r="BD976">
        <f t="shared" si="267"/>
        <v>2558335</v>
      </c>
      <c r="BE976" s="66">
        <v>3</v>
      </c>
      <c r="BF976" s="66"/>
      <c r="BI976">
        <v>24.07</v>
      </c>
      <c r="BJ976">
        <v>0.52</v>
      </c>
      <c r="BK976">
        <v>23.55</v>
      </c>
      <c r="BQ976">
        <v>3</v>
      </c>
      <c r="BS976">
        <v>0</v>
      </c>
    </row>
    <row r="977" spans="1:71" hidden="1" outlineLevel="1">
      <c r="A977" s="64" t="s">
        <v>669</v>
      </c>
      <c r="B977" s="8" t="s">
        <v>1320</v>
      </c>
      <c r="C977" s="1">
        <f t="shared" si="259"/>
        <v>3858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 t="shared" si="260"/>
        <v>0</v>
      </c>
      <c r="G977" s="1">
        <f t="shared" si="261"/>
        <v>130</v>
      </c>
      <c r="H977" s="2">
        <f t="shared" si="268"/>
        <v>3.3696215655780196E-2</v>
      </c>
      <c r="I977" s="6"/>
      <c r="J977" s="2">
        <f t="shared" si="262"/>
        <v>0.43519958527734576</v>
      </c>
      <c r="K977" s="2">
        <f t="shared" si="263"/>
        <v>0.46889580093312599</v>
      </c>
      <c r="L977" s="2">
        <f t="shared" si="264"/>
        <v>0</v>
      </c>
      <c r="M977" s="2">
        <f t="shared" si="265"/>
        <v>9.5904613789528192E-2</v>
      </c>
      <c r="N977" s="63">
        <v>1679</v>
      </c>
      <c r="O977" s="63">
        <v>1809</v>
      </c>
      <c r="P977" s="63">
        <v>0</v>
      </c>
      <c r="Q977" s="63">
        <v>221</v>
      </c>
      <c r="R977" s="63">
        <v>53</v>
      </c>
      <c r="S977" s="63"/>
      <c r="T977" s="63"/>
      <c r="U977" s="63"/>
      <c r="V977" s="63"/>
      <c r="W977" s="63">
        <f t="shared" si="266"/>
        <v>96</v>
      </c>
      <c r="X977" s="63"/>
      <c r="Y977" s="63"/>
      <c r="Z977" s="63"/>
      <c r="AA977" s="63">
        <v>0</v>
      </c>
      <c r="AB977" s="63"/>
      <c r="AE977" s="8">
        <v>0</v>
      </c>
      <c r="AT977" t="str">
        <f t="shared" si="269"/>
        <v>Rowley</v>
      </c>
      <c r="AU977" t="s">
        <v>842</v>
      </c>
      <c r="AV977">
        <v>6</v>
      </c>
      <c r="AX977" s="114">
        <v>25</v>
      </c>
      <c r="AY977" s="116">
        <v>9</v>
      </c>
      <c r="AZ977" s="116">
        <v>135</v>
      </c>
      <c r="BA977" s="120">
        <v>58405</v>
      </c>
      <c r="BB977" s="120">
        <f t="shared" si="270"/>
        <v>25009</v>
      </c>
      <c r="BC977" t="s">
        <v>1472</v>
      </c>
      <c r="BD977">
        <f t="shared" si="267"/>
        <v>2558405</v>
      </c>
      <c r="BE977" s="66">
        <v>47</v>
      </c>
      <c r="BF977" s="66"/>
      <c r="BI977">
        <v>20.59</v>
      </c>
      <c r="BJ977">
        <v>1.87</v>
      </c>
      <c r="BK977">
        <v>18.72</v>
      </c>
      <c r="BQ977">
        <v>96</v>
      </c>
      <c r="BS977">
        <v>0</v>
      </c>
    </row>
    <row r="978" spans="1:71" hidden="1" outlineLevel="1">
      <c r="A978" s="64" t="s">
        <v>1159</v>
      </c>
      <c r="B978" s="8" t="s">
        <v>1320</v>
      </c>
      <c r="C978" s="1">
        <f t="shared" si="259"/>
        <v>693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 t="shared" si="260"/>
        <v>0</v>
      </c>
      <c r="G978" s="1">
        <f t="shared" si="261"/>
        <v>7</v>
      </c>
      <c r="H978" s="2">
        <f t="shared" si="268"/>
        <v>1.0101010101010102E-2</v>
      </c>
      <c r="I978" s="6"/>
      <c r="J978" s="2">
        <f t="shared" si="262"/>
        <v>0.45310245310245312</v>
      </c>
      <c r="K978" s="2">
        <f t="shared" si="263"/>
        <v>0.46320346320346323</v>
      </c>
      <c r="L978" s="2">
        <f t="shared" si="264"/>
        <v>0</v>
      </c>
      <c r="M978" s="2">
        <f t="shared" si="265"/>
        <v>8.3694083694083654E-2</v>
      </c>
      <c r="N978" s="63">
        <v>314</v>
      </c>
      <c r="O978" s="63">
        <v>321</v>
      </c>
      <c r="P978" s="63">
        <v>0</v>
      </c>
      <c r="Q978" s="63">
        <v>32</v>
      </c>
      <c r="R978" s="63">
        <v>16</v>
      </c>
      <c r="S978" s="63"/>
      <c r="T978" s="63"/>
      <c r="U978" s="63"/>
      <c r="V978" s="63"/>
      <c r="W978" s="63">
        <f t="shared" si="266"/>
        <v>10</v>
      </c>
      <c r="X978" s="63"/>
      <c r="Y978" s="63"/>
      <c r="Z978" s="63"/>
      <c r="AA978" s="63">
        <v>0</v>
      </c>
      <c r="AB978" s="63"/>
      <c r="AE978" s="8">
        <v>0</v>
      </c>
      <c r="AT978" t="str">
        <f t="shared" si="269"/>
        <v>Royalston</v>
      </c>
      <c r="AU978" s="8" t="s">
        <v>1774</v>
      </c>
      <c r="AV978">
        <v>2</v>
      </c>
      <c r="AX978" s="114">
        <v>25</v>
      </c>
      <c r="AY978" s="116">
        <v>27</v>
      </c>
      <c r="AZ978" s="116">
        <v>205</v>
      </c>
      <c r="BA978" s="120">
        <v>58580</v>
      </c>
      <c r="BB978" s="120">
        <f t="shared" si="270"/>
        <v>25027</v>
      </c>
      <c r="BC978" t="s">
        <v>1472</v>
      </c>
      <c r="BD978">
        <f t="shared" si="267"/>
        <v>2558580</v>
      </c>
      <c r="BE978" s="66">
        <v>9</v>
      </c>
      <c r="BF978" s="66"/>
      <c r="BI978">
        <v>42.48</v>
      </c>
      <c r="BJ978">
        <v>0.59</v>
      </c>
      <c r="BK978">
        <v>41.89</v>
      </c>
      <c r="BQ978">
        <v>10</v>
      </c>
      <c r="BS978">
        <v>0</v>
      </c>
    </row>
    <row r="979" spans="1:71" hidden="1" outlineLevel="1">
      <c r="A979" s="64" t="s">
        <v>1820</v>
      </c>
      <c r="B979" s="8" t="s">
        <v>1320</v>
      </c>
      <c r="C979" s="1">
        <f t="shared" si="259"/>
        <v>832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 t="shared" si="260"/>
        <v>6</v>
      </c>
      <c r="G979" s="1">
        <f t="shared" si="261"/>
        <v>202</v>
      </c>
      <c r="H979" s="2">
        <f t="shared" si="268"/>
        <v>0.24278846153846154</v>
      </c>
      <c r="I979" s="6"/>
      <c r="J979" s="2">
        <f t="shared" si="262"/>
        <v>0.33413461538461536</v>
      </c>
      <c r="K979" s="2">
        <f t="shared" si="263"/>
        <v>0.57692307692307687</v>
      </c>
      <c r="L979" s="2">
        <f t="shared" si="264"/>
        <v>2.403846153846154E-3</v>
      </c>
      <c r="M979" s="2">
        <f t="shared" si="265"/>
        <v>8.653846153846155E-2</v>
      </c>
      <c r="N979" s="63">
        <v>278</v>
      </c>
      <c r="O979" s="63">
        <v>480</v>
      </c>
      <c r="P979" s="63">
        <v>2</v>
      </c>
      <c r="Q979" s="63">
        <v>50</v>
      </c>
      <c r="R979" s="63">
        <v>13</v>
      </c>
      <c r="S979" s="63"/>
      <c r="T979" s="63"/>
      <c r="U979" s="63"/>
      <c r="V979" s="63"/>
      <c r="W979" s="63">
        <f t="shared" si="266"/>
        <v>9</v>
      </c>
      <c r="X979" s="63"/>
      <c r="Y979" s="63"/>
      <c r="Z979" s="63"/>
      <c r="AA979" s="63">
        <v>0</v>
      </c>
      <c r="AB979" s="63"/>
      <c r="AE979" s="8">
        <v>0</v>
      </c>
      <c r="AT979" t="str">
        <f t="shared" si="269"/>
        <v>Russell</v>
      </c>
      <c r="AU979" t="s">
        <v>2852</v>
      </c>
      <c r="AV979">
        <v>1</v>
      </c>
      <c r="AX979" s="114">
        <v>25</v>
      </c>
      <c r="AY979" s="116">
        <v>13</v>
      </c>
      <c r="AZ979" s="116">
        <v>80</v>
      </c>
      <c r="BA979" s="120">
        <v>58650</v>
      </c>
      <c r="BB979" s="120">
        <f t="shared" si="270"/>
        <v>25013</v>
      </c>
      <c r="BC979" t="s">
        <v>1472</v>
      </c>
      <c r="BD979">
        <f t="shared" si="267"/>
        <v>2558650</v>
      </c>
      <c r="BE979" s="66">
        <v>16</v>
      </c>
      <c r="BF979" s="66"/>
      <c r="BI979">
        <v>17.88</v>
      </c>
      <c r="BJ979">
        <v>0.32</v>
      </c>
      <c r="BK979">
        <v>17.559999999999999</v>
      </c>
      <c r="BQ979">
        <v>9</v>
      </c>
      <c r="BS979">
        <v>0</v>
      </c>
    </row>
    <row r="980" spans="1:71" hidden="1" outlineLevel="1">
      <c r="A980" s="64" t="s">
        <v>589</v>
      </c>
      <c r="B980" s="8" t="s">
        <v>1320</v>
      </c>
      <c r="C980" s="1">
        <f t="shared" ref="C980:C1043" si="271">SUM(N980:AR980)</f>
        <v>4873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 t="shared" ref="F980:F1043" si="272">IF(P980&gt;0,RANK(P980,(N980:AE980)),0)</f>
        <v>6</v>
      </c>
      <c r="G980" s="1">
        <f t="shared" ref="G980:G1043" si="273">IF(C980&gt;0,MAX(N980:P980)-LARGE(N980:P980,2),0)</f>
        <v>322</v>
      </c>
      <c r="H980" s="2">
        <f t="shared" si="268"/>
        <v>6.6078391134824541E-2</v>
      </c>
      <c r="I980" s="6"/>
      <c r="J980" s="2">
        <f t="shared" ref="J980:J1043" si="274">IF(C980=0,"-",N980/C980)</f>
        <v>0.41493946234352552</v>
      </c>
      <c r="K980" s="2">
        <f t="shared" ref="K980:K1043" si="275">IF(C980=0,"-",O980/C980)</f>
        <v>0.48101785347835008</v>
      </c>
      <c r="L980" s="2">
        <f t="shared" ref="L980:L1043" si="276">IF(C980=0,"-",P980/C980)</f>
        <v>4.1042478965729531E-3</v>
      </c>
      <c r="M980" s="2">
        <f t="shared" ref="M980:M1043" si="277">IF(C980=0,"-",(1-J980-K980-L980))</f>
        <v>9.993843628155144E-2</v>
      </c>
      <c r="N980" s="63">
        <v>2022</v>
      </c>
      <c r="O980" s="63">
        <v>2344</v>
      </c>
      <c r="P980" s="63">
        <v>20</v>
      </c>
      <c r="Q980" s="63">
        <v>328</v>
      </c>
      <c r="R980" s="63">
        <v>73</v>
      </c>
      <c r="S980" s="63"/>
      <c r="T980" s="63"/>
      <c r="U980" s="63"/>
      <c r="V980" s="63"/>
      <c r="W980" s="63">
        <f t="shared" ref="W980:W1043" si="278">SUM(BQ980:BS980)</f>
        <v>86</v>
      </c>
      <c r="X980" s="63"/>
      <c r="Y980" s="63"/>
      <c r="Z980" s="63"/>
      <c r="AA980" s="63">
        <v>0</v>
      </c>
      <c r="AB980" s="63"/>
      <c r="AE980" s="8">
        <v>0</v>
      </c>
      <c r="AT980" t="str">
        <f t="shared" si="269"/>
        <v>Rutland</v>
      </c>
      <c r="AU980" s="8" t="s">
        <v>1774</v>
      </c>
      <c r="AV980">
        <v>2</v>
      </c>
      <c r="AX980" s="114">
        <v>25</v>
      </c>
      <c r="AY980" s="116">
        <v>27</v>
      </c>
      <c r="AZ980" s="116">
        <v>210</v>
      </c>
      <c r="BA980" s="120">
        <v>58825</v>
      </c>
      <c r="BB980" s="120">
        <f t="shared" si="270"/>
        <v>25027</v>
      </c>
      <c r="BC980" t="s">
        <v>1472</v>
      </c>
      <c r="BD980">
        <f t="shared" ref="BD980:BD1043" si="279">AX980*100000+BA980</f>
        <v>2558825</v>
      </c>
      <c r="BE980" s="66">
        <v>75</v>
      </c>
      <c r="BF980" s="66"/>
      <c r="BI980">
        <v>36.409999999999997</v>
      </c>
      <c r="BJ980">
        <v>1.1499999999999999</v>
      </c>
      <c r="BK980">
        <v>35.26</v>
      </c>
      <c r="BQ980">
        <v>86</v>
      </c>
      <c r="BS980">
        <v>0</v>
      </c>
    </row>
    <row r="981" spans="1:71" hidden="1" outlineLevel="1">
      <c r="A981" s="64" t="s">
        <v>2880</v>
      </c>
      <c r="B981" s="8" t="s">
        <v>1320</v>
      </c>
      <c r="C981" s="1">
        <f t="shared" si="271"/>
        <v>21908</v>
      </c>
      <c r="D981" s="5">
        <f>IF(N981&gt;0, RANK(N981,(N981:P981,Q981:AE981)),0)</f>
        <v>1</v>
      </c>
      <c r="E981" s="5">
        <f>IF(O981&gt;0,RANK(O981,(N981:P981,Q981:AE981)),0)</f>
        <v>2</v>
      </c>
      <c r="F981" s="5">
        <f t="shared" si="272"/>
        <v>6</v>
      </c>
      <c r="G981" s="1">
        <f t="shared" si="273"/>
        <v>9492</v>
      </c>
      <c r="H981" s="2">
        <f t="shared" si="268"/>
        <v>0.43326638670805184</v>
      </c>
      <c r="I981" s="6"/>
      <c r="J981" s="2">
        <f t="shared" si="274"/>
        <v>0.68239912360781452</v>
      </c>
      <c r="K981" s="2">
        <f t="shared" si="275"/>
        <v>0.24913273689976265</v>
      </c>
      <c r="L981" s="2">
        <f t="shared" si="276"/>
        <v>1.6432353478181487E-3</v>
      </c>
      <c r="M981" s="2">
        <f t="shared" si="277"/>
        <v>6.6824904144604694E-2</v>
      </c>
      <c r="N981" s="63">
        <v>14950</v>
      </c>
      <c r="O981" s="63">
        <v>5458</v>
      </c>
      <c r="P981" s="63">
        <v>36</v>
      </c>
      <c r="Q981" s="63">
        <v>750</v>
      </c>
      <c r="R981" s="63">
        <v>401</v>
      </c>
      <c r="S981" s="63"/>
      <c r="T981" s="63"/>
      <c r="U981" s="63"/>
      <c r="V981" s="63"/>
      <c r="W981" s="63">
        <f t="shared" si="278"/>
        <v>313</v>
      </c>
      <c r="X981" s="63"/>
      <c r="Y981" s="63"/>
      <c r="Z981" s="63"/>
      <c r="AA981" s="63">
        <v>0</v>
      </c>
      <c r="AB981" s="63"/>
      <c r="AE981" s="8">
        <v>0</v>
      </c>
      <c r="AT981" t="str">
        <f t="shared" si="269"/>
        <v>Salem</v>
      </c>
      <c r="AU981" t="s">
        <v>842</v>
      </c>
      <c r="AV981">
        <v>6</v>
      </c>
      <c r="AX981" s="114">
        <v>25</v>
      </c>
      <c r="AY981" s="116">
        <v>9</v>
      </c>
      <c r="AZ981" s="116">
        <v>140</v>
      </c>
      <c r="BA981" s="120">
        <v>59105</v>
      </c>
      <c r="BB981" s="120">
        <f t="shared" si="270"/>
        <v>25009</v>
      </c>
      <c r="BC981" t="s">
        <v>1249</v>
      </c>
      <c r="BD981">
        <f t="shared" si="279"/>
        <v>2559105</v>
      </c>
      <c r="BE981" s="66">
        <v>275</v>
      </c>
      <c r="BF981" s="66"/>
      <c r="BI981">
        <v>18.059999999999999</v>
      </c>
      <c r="BJ981">
        <v>9.9499999999999993</v>
      </c>
      <c r="BK981">
        <v>8.1</v>
      </c>
      <c r="BQ981">
        <v>313</v>
      </c>
      <c r="BS981">
        <v>0</v>
      </c>
    </row>
    <row r="982" spans="1:71" hidden="1" outlineLevel="1">
      <c r="A982" s="64" t="s">
        <v>2097</v>
      </c>
      <c r="B982" s="8" t="s">
        <v>1320</v>
      </c>
      <c r="C982" s="1">
        <f t="shared" si="271"/>
        <v>4737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 t="shared" si="272"/>
        <v>0</v>
      </c>
      <c r="G982" s="1">
        <f t="shared" si="273"/>
        <v>151</v>
      </c>
      <c r="H982" s="2">
        <f t="shared" si="268"/>
        <v>3.1876715220603757E-2</v>
      </c>
      <c r="I982" s="6"/>
      <c r="J982" s="2">
        <f t="shared" si="274"/>
        <v>0.44289634789951449</v>
      </c>
      <c r="K982" s="2">
        <f t="shared" si="275"/>
        <v>0.47477306312011824</v>
      </c>
      <c r="L982" s="2">
        <f t="shared" si="276"/>
        <v>0</v>
      </c>
      <c r="M982" s="2">
        <f t="shared" si="277"/>
        <v>8.233058898036727E-2</v>
      </c>
      <c r="N982" s="63">
        <v>2098</v>
      </c>
      <c r="O982" s="63">
        <v>2249</v>
      </c>
      <c r="P982" s="63">
        <v>0</v>
      </c>
      <c r="Q982" s="63">
        <v>216</v>
      </c>
      <c r="R982" s="63">
        <v>71</v>
      </c>
      <c r="S982" s="63"/>
      <c r="T982" s="63"/>
      <c r="U982" s="63"/>
      <c r="V982" s="63"/>
      <c r="W982" s="63">
        <f t="shared" si="278"/>
        <v>103</v>
      </c>
      <c r="X982" s="63"/>
      <c r="Y982" s="63"/>
      <c r="Z982" s="63"/>
      <c r="AA982" s="63">
        <v>0</v>
      </c>
      <c r="AB982" s="63"/>
      <c r="AE982" s="8">
        <v>0</v>
      </c>
      <c r="AT982" t="str">
        <f t="shared" si="269"/>
        <v>Salisbury</v>
      </c>
      <c r="AU982" t="s">
        <v>842</v>
      </c>
      <c r="AV982">
        <v>6</v>
      </c>
      <c r="AX982" s="114">
        <v>25</v>
      </c>
      <c r="AY982" s="116">
        <v>9</v>
      </c>
      <c r="AZ982" s="116">
        <v>145</v>
      </c>
      <c r="BA982" s="120">
        <v>59245</v>
      </c>
      <c r="BB982" s="120">
        <f t="shared" si="270"/>
        <v>25009</v>
      </c>
      <c r="BC982" t="s">
        <v>1472</v>
      </c>
      <c r="BD982">
        <f t="shared" si="279"/>
        <v>2559245</v>
      </c>
      <c r="BE982" s="66">
        <v>73</v>
      </c>
      <c r="BF982" s="66"/>
      <c r="BI982">
        <v>17.850000000000001</v>
      </c>
      <c r="BJ982">
        <v>2.41</v>
      </c>
      <c r="BK982">
        <v>15.43</v>
      </c>
      <c r="BQ982">
        <v>103</v>
      </c>
      <c r="BS982">
        <v>0</v>
      </c>
    </row>
    <row r="983" spans="1:71" hidden="1" outlineLevel="1">
      <c r="A983" s="64" t="s">
        <v>1899</v>
      </c>
      <c r="B983" s="8" t="s">
        <v>1320</v>
      </c>
      <c r="C983" s="1">
        <f t="shared" si="271"/>
        <v>482</v>
      </c>
      <c r="D983" s="5">
        <f>IF(N983&gt;0, RANK(N983,(N983:P983,Q983:AE983)),0)</f>
        <v>1</v>
      </c>
      <c r="E983" s="5">
        <f>IF(O983&gt;0,RANK(O983,(N983:P983,Q983:AE983)),0)</f>
        <v>2</v>
      </c>
      <c r="F983" s="5">
        <f t="shared" si="272"/>
        <v>0</v>
      </c>
      <c r="G983" s="1">
        <f t="shared" si="273"/>
        <v>64</v>
      </c>
      <c r="H983" s="2">
        <f t="shared" si="268"/>
        <v>0.13278008298755187</v>
      </c>
      <c r="I983" s="6"/>
      <c r="J983" s="2">
        <f t="shared" si="274"/>
        <v>0.52697095435684649</v>
      </c>
      <c r="K983" s="2">
        <f t="shared" si="275"/>
        <v>0.39419087136929459</v>
      </c>
      <c r="L983" s="2">
        <f t="shared" si="276"/>
        <v>0</v>
      </c>
      <c r="M983" s="2">
        <f t="shared" si="277"/>
        <v>7.8838174273858919E-2</v>
      </c>
      <c r="N983" s="63">
        <v>254</v>
      </c>
      <c r="O983" s="63">
        <v>190</v>
      </c>
      <c r="P983" s="63">
        <v>0</v>
      </c>
      <c r="Q983" s="63">
        <v>22</v>
      </c>
      <c r="R983" s="63">
        <v>12</v>
      </c>
      <c r="S983" s="63"/>
      <c r="T983" s="63"/>
      <c r="U983" s="63"/>
      <c r="V983" s="63"/>
      <c r="W983" s="63">
        <f t="shared" si="278"/>
        <v>4</v>
      </c>
      <c r="X983" s="63"/>
      <c r="Y983" s="63"/>
      <c r="Z983" s="63"/>
      <c r="AA983" s="63">
        <v>0</v>
      </c>
      <c r="AB983" s="63"/>
      <c r="AE983" s="8">
        <v>0</v>
      </c>
      <c r="AT983" t="str">
        <f t="shared" si="269"/>
        <v>Sandisfield</v>
      </c>
      <c r="AU983" t="s">
        <v>2313</v>
      </c>
      <c r="AV983">
        <v>1</v>
      </c>
      <c r="AX983" s="114">
        <v>25</v>
      </c>
      <c r="AY983" s="116">
        <v>3</v>
      </c>
      <c r="AZ983" s="116">
        <v>120</v>
      </c>
      <c r="BA983" s="120">
        <v>59665</v>
      </c>
      <c r="BB983" s="120">
        <f t="shared" si="270"/>
        <v>25003</v>
      </c>
      <c r="BC983" t="s">
        <v>1472</v>
      </c>
      <c r="BD983">
        <f t="shared" si="279"/>
        <v>2559665</v>
      </c>
      <c r="BE983" s="66">
        <v>6</v>
      </c>
      <c r="BF983" s="66"/>
      <c r="BI983">
        <v>53.03</v>
      </c>
      <c r="BJ983">
        <v>0.71</v>
      </c>
      <c r="BK983">
        <v>52.32</v>
      </c>
      <c r="BQ983">
        <v>4</v>
      </c>
      <c r="BS983">
        <v>0</v>
      </c>
    </row>
    <row r="984" spans="1:71" hidden="1" outlineLevel="1">
      <c r="A984" s="64" t="s">
        <v>2919</v>
      </c>
      <c r="B984" s="8" t="s">
        <v>1320</v>
      </c>
      <c r="C984" s="1">
        <f t="shared" si="271"/>
        <v>12691</v>
      </c>
      <c r="D984" s="5">
        <f>IF(N984&gt;0, RANK(N984,(N984:P984,Q984:AE984)),0)</f>
        <v>1</v>
      </c>
      <c r="E984" s="5">
        <f>IF(O984&gt;0,RANK(O984,(N984:P984,Q984:AE984)),0)</f>
        <v>2</v>
      </c>
      <c r="F984" s="5">
        <f t="shared" si="272"/>
        <v>0</v>
      </c>
      <c r="G984" s="1">
        <f t="shared" si="273"/>
        <v>171</v>
      </c>
      <c r="H984" s="2">
        <f t="shared" si="268"/>
        <v>1.3474115514931842E-2</v>
      </c>
      <c r="I984" s="6"/>
      <c r="J984" s="2">
        <f t="shared" si="274"/>
        <v>0.47411551493184145</v>
      </c>
      <c r="K984" s="2">
        <f t="shared" si="275"/>
        <v>0.46064139941690962</v>
      </c>
      <c r="L984" s="2">
        <f t="shared" si="276"/>
        <v>0</v>
      </c>
      <c r="M984" s="2">
        <f t="shared" si="277"/>
        <v>6.5243085651248922E-2</v>
      </c>
      <c r="N984" s="63">
        <v>6017</v>
      </c>
      <c r="O984" s="63">
        <v>5846</v>
      </c>
      <c r="P984" s="63">
        <v>0</v>
      </c>
      <c r="Q984" s="63">
        <v>510</v>
      </c>
      <c r="R984" s="63">
        <v>143</v>
      </c>
      <c r="S984" s="63"/>
      <c r="T984" s="63"/>
      <c r="U984" s="63"/>
      <c r="V984" s="63"/>
      <c r="W984" s="63">
        <f t="shared" si="278"/>
        <v>175</v>
      </c>
      <c r="X984" s="63"/>
      <c r="Y984" s="63"/>
      <c r="Z984" s="63"/>
      <c r="AA984" s="63">
        <v>0</v>
      </c>
      <c r="AB984" s="63"/>
      <c r="AE984" s="8">
        <v>0</v>
      </c>
      <c r="AT984" t="str">
        <f t="shared" si="269"/>
        <v>Sandwich</v>
      </c>
      <c r="AU984" t="s">
        <v>2411</v>
      </c>
      <c r="AV984">
        <v>9</v>
      </c>
      <c r="AX984" s="114">
        <v>25</v>
      </c>
      <c r="AY984" s="116">
        <v>1</v>
      </c>
      <c r="AZ984" s="116">
        <v>60</v>
      </c>
      <c r="BA984" s="120">
        <v>59735</v>
      </c>
      <c r="BB984" s="120">
        <f t="shared" si="270"/>
        <v>25001</v>
      </c>
      <c r="BC984" t="s">
        <v>1472</v>
      </c>
      <c r="BD984">
        <f t="shared" si="279"/>
        <v>2559735</v>
      </c>
      <c r="BE984" s="66">
        <v>232</v>
      </c>
      <c r="BF984" s="66"/>
      <c r="BI984">
        <v>44.36</v>
      </c>
      <c r="BJ984">
        <v>1.32</v>
      </c>
      <c r="BK984">
        <v>43.04</v>
      </c>
      <c r="BQ984">
        <v>175</v>
      </c>
      <c r="BS984">
        <v>0</v>
      </c>
    </row>
    <row r="985" spans="1:71" hidden="1" outlineLevel="1">
      <c r="A985" s="64" t="s">
        <v>2560</v>
      </c>
      <c r="B985" s="8" t="s">
        <v>1320</v>
      </c>
      <c r="C985" s="1">
        <f t="shared" si="271"/>
        <v>14356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 t="shared" si="272"/>
        <v>0</v>
      </c>
      <c r="G985" s="1">
        <f t="shared" si="273"/>
        <v>920</v>
      </c>
      <c r="H985" s="2">
        <f t="shared" si="268"/>
        <v>6.408470325996099E-2</v>
      </c>
      <c r="I985" s="6"/>
      <c r="J985" s="2">
        <f t="shared" si="274"/>
        <v>0.4447617720813597</v>
      </c>
      <c r="K985" s="2">
        <f t="shared" si="275"/>
        <v>0.50884647534132066</v>
      </c>
      <c r="L985" s="2">
        <f t="shared" si="276"/>
        <v>0</v>
      </c>
      <c r="M985" s="2">
        <f t="shared" si="277"/>
        <v>4.6391752577319645E-2</v>
      </c>
      <c r="N985" s="63">
        <v>6385</v>
      </c>
      <c r="O985" s="63">
        <v>7305</v>
      </c>
      <c r="P985" s="63">
        <v>0</v>
      </c>
      <c r="Q985" s="63">
        <v>414</v>
      </c>
      <c r="R985" s="63">
        <v>146</v>
      </c>
      <c r="S985" s="63"/>
      <c r="T985" s="63"/>
      <c r="U985" s="63"/>
      <c r="V985" s="63"/>
      <c r="W985" s="63">
        <f t="shared" si="278"/>
        <v>106</v>
      </c>
      <c r="X985" s="63"/>
      <c r="Y985" s="63"/>
      <c r="Z985" s="63"/>
      <c r="AA985" s="63">
        <v>0</v>
      </c>
      <c r="AB985" s="63"/>
      <c r="AE985" s="8">
        <v>0</v>
      </c>
      <c r="AT985" t="str">
        <f t="shared" si="269"/>
        <v>Saugus</v>
      </c>
      <c r="AU985" t="s">
        <v>842</v>
      </c>
      <c r="AV985">
        <v>6</v>
      </c>
      <c r="AX985" s="114">
        <v>25</v>
      </c>
      <c r="AY985" s="116">
        <v>9</v>
      </c>
      <c r="AZ985" s="116">
        <v>150</v>
      </c>
      <c r="BA985" s="120">
        <v>60015</v>
      </c>
      <c r="BB985" s="120">
        <f t="shared" si="270"/>
        <v>25009</v>
      </c>
      <c r="BC985" t="s">
        <v>1472</v>
      </c>
      <c r="BD985">
        <f t="shared" si="279"/>
        <v>2560015</v>
      </c>
      <c r="BE985" s="66">
        <v>362</v>
      </c>
      <c r="BF985" s="66"/>
      <c r="BI985">
        <v>11.75</v>
      </c>
      <c r="BJ985">
        <v>0.77</v>
      </c>
      <c r="BK985">
        <v>10.99</v>
      </c>
      <c r="BQ985">
        <v>106</v>
      </c>
      <c r="BS985">
        <v>0</v>
      </c>
    </row>
    <row r="986" spans="1:71" hidden="1" outlineLevel="1">
      <c r="A986" s="64" t="s">
        <v>1918</v>
      </c>
      <c r="B986" s="8" t="s">
        <v>1320</v>
      </c>
      <c r="C986" s="1">
        <f t="shared" si="271"/>
        <v>384</v>
      </c>
      <c r="D986" s="5">
        <f>IF(N986&gt;0, RANK(N986,(N986:P986,Q986:AE986)),0)</f>
        <v>1</v>
      </c>
      <c r="E986" s="5">
        <f>IF(O986&gt;0,RANK(O986,(N986:P986,Q986:AE986)),0)</f>
        <v>2</v>
      </c>
      <c r="F986" s="5">
        <f t="shared" si="272"/>
        <v>0</v>
      </c>
      <c r="G986" s="1">
        <f t="shared" si="273"/>
        <v>21</v>
      </c>
      <c r="H986" s="2">
        <f t="shared" si="268"/>
        <v>5.46875E-2</v>
      </c>
      <c r="I986" s="6"/>
      <c r="J986" s="2">
        <f t="shared" si="274"/>
        <v>0.47916666666666669</v>
      </c>
      <c r="K986" s="2">
        <f t="shared" si="275"/>
        <v>0.42447916666666669</v>
      </c>
      <c r="L986" s="2">
        <f t="shared" si="276"/>
        <v>0</v>
      </c>
      <c r="M986" s="2">
        <f t="shared" si="277"/>
        <v>9.6354166666666574E-2</v>
      </c>
      <c r="N986" s="63">
        <v>184</v>
      </c>
      <c r="O986" s="63">
        <v>163</v>
      </c>
      <c r="P986" s="63">
        <v>0</v>
      </c>
      <c r="Q986" s="63">
        <v>24</v>
      </c>
      <c r="R986" s="63">
        <v>11</v>
      </c>
      <c r="S986" s="63"/>
      <c r="T986" s="63"/>
      <c r="U986" s="63"/>
      <c r="V986" s="63"/>
      <c r="W986" s="63">
        <f t="shared" si="278"/>
        <v>2</v>
      </c>
      <c r="X986" s="63"/>
      <c r="Y986" s="63"/>
      <c r="Z986" s="63"/>
      <c r="AA986" s="63">
        <v>0</v>
      </c>
      <c r="AB986" s="63"/>
      <c r="AE986" s="8">
        <v>0</v>
      </c>
      <c r="AT986" t="str">
        <f t="shared" si="269"/>
        <v>Savoy</v>
      </c>
      <c r="AU986" t="s">
        <v>2313</v>
      </c>
      <c r="AV986">
        <v>1</v>
      </c>
      <c r="AX986" s="114">
        <v>25</v>
      </c>
      <c r="AY986" s="116">
        <v>3</v>
      </c>
      <c r="AZ986" s="116">
        <v>125</v>
      </c>
      <c r="BA986" s="120">
        <v>60225</v>
      </c>
      <c r="BB986" s="120">
        <f t="shared" si="270"/>
        <v>25003</v>
      </c>
      <c r="BC986" t="s">
        <v>1472</v>
      </c>
      <c r="BD986">
        <f t="shared" si="279"/>
        <v>2560225</v>
      </c>
      <c r="BE986" s="66">
        <v>17</v>
      </c>
      <c r="BF986" s="66"/>
      <c r="BI986">
        <v>36.01</v>
      </c>
      <c r="BJ986">
        <v>0.14000000000000001</v>
      </c>
      <c r="BK986">
        <v>35.86</v>
      </c>
      <c r="BQ986">
        <v>2</v>
      </c>
      <c r="BS986">
        <v>0</v>
      </c>
    </row>
    <row r="987" spans="1:71" hidden="1" outlineLevel="1">
      <c r="A987" s="64" t="s">
        <v>754</v>
      </c>
      <c r="B987" s="8" t="s">
        <v>1320</v>
      </c>
      <c r="C987" s="1">
        <f t="shared" si="271"/>
        <v>11879</v>
      </c>
      <c r="D987" s="5">
        <f>IF(N987&gt;0, RANK(N987,(N987:P987,Q987:AE987)),0)</f>
        <v>1</v>
      </c>
      <c r="E987" s="5">
        <f>IF(O987&gt;0,RANK(O987,(N987:P987,Q987:AE987)),0)</f>
        <v>2</v>
      </c>
      <c r="F987" s="5">
        <f t="shared" si="272"/>
        <v>6</v>
      </c>
      <c r="G987" s="1">
        <f t="shared" si="273"/>
        <v>2055</v>
      </c>
      <c r="H987" s="2">
        <f t="shared" si="268"/>
        <v>0.17299435979459551</v>
      </c>
      <c r="I987" s="6"/>
      <c r="J987" s="2">
        <f t="shared" si="274"/>
        <v>0.54819429244885931</v>
      </c>
      <c r="K987" s="2">
        <f t="shared" si="275"/>
        <v>0.37519993265426382</v>
      </c>
      <c r="L987" s="2">
        <f t="shared" si="276"/>
        <v>2.1887364256250527E-3</v>
      </c>
      <c r="M987" s="2">
        <f t="shared" si="277"/>
        <v>7.4417038471251806E-2</v>
      </c>
      <c r="N987" s="63">
        <v>6512</v>
      </c>
      <c r="O987" s="63">
        <v>4457</v>
      </c>
      <c r="P987" s="63">
        <v>26</v>
      </c>
      <c r="Q987" s="63">
        <v>542</v>
      </c>
      <c r="R987" s="63">
        <v>146</v>
      </c>
      <c r="S987" s="63"/>
      <c r="T987" s="63"/>
      <c r="U987" s="63"/>
      <c r="V987" s="63"/>
      <c r="W987" s="63">
        <f t="shared" si="278"/>
        <v>196</v>
      </c>
      <c r="X987" s="63"/>
      <c r="Y987" s="63"/>
      <c r="Z987" s="63"/>
      <c r="AA987" s="63">
        <v>0</v>
      </c>
      <c r="AB987" s="63"/>
      <c r="AE987" s="8">
        <v>0</v>
      </c>
      <c r="AT987" t="str">
        <f t="shared" si="269"/>
        <v>Scituate</v>
      </c>
      <c r="AU987" t="s">
        <v>231</v>
      </c>
      <c r="AV987">
        <v>8</v>
      </c>
      <c r="AX987" s="114">
        <v>25</v>
      </c>
      <c r="AY987" s="116">
        <v>23</v>
      </c>
      <c r="AZ987" s="116">
        <v>120</v>
      </c>
      <c r="BA987" s="120">
        <v>60330</v>
      </c>
      <c r="BB987" s="120">
        <f t="shared" si="270"/>
        <v>25023</v>
      </c>
      <c r="BC987" t="s">
        <v>1472</v>
      </c>
      <c r="BD987">
        <f t="shared" si="279"/>
        <v>2560330</v>
      </c>
      <c r="BE987" s="66">
        <v>236</v>
      </c>
      <c r="BF987" s="66"/>
      <c r="BI987">
        <v>31.8</v>
      </c>
      <c r="BJ987">
        <v>14.61</v>
      </c>
      <c r="BK987">
        <v>17.18</v>
      </c>
      <c r="BQ987">
        <v>196</v>
      </c>
      <c r="BS987">
        <v>0</v>
      </c>
    </row>
    <row r="988" spans="1:71" hidden="1" outlineLevel="1">
      <c r="A988" s="64" t="s">
        <v>2578</v>
      </c>
      <c r="B988" s="8" t="s">
        <v>1320</v>
      </c>
      <c r="C988" s="1">
        <f t="shared" si="271"/>
        <v>7790</v>
      </c>
      <c r="D988" s="5">
        <f>IF(N988&gt;0, RANK(N988,(N988:P988,Q988:AE988)),0)</f>
        <v>1</v>
      </c>
      <c r="E988" s="5">
        <f>IF(O988&gt;0,RANK(O988,(N988:P988,Q988:AE988)),0)</f>
        <v>2</v>
      </c>
      <c r="F988" s="5">
        <f t="shared" si="272"/>
        <v>0</v>
      </c>
      <c r="G988" s="1">
        <f t="shared" si="273"/>
        <v>91</v>
      </c>
      <c r="H988" s="2">
        <f t="shared" si="268"/>
        <v>1.1681643132220795E-2</v>
      </c>
      <c r="I988" s="6"/>
      <c r="J988" s="2">
        <f t="shared" si="274"/>
        <v>0.47021822849807443</v>
      </c>
      <c r="K988" s="2">
        <f t="shared" si="275"/>
        <v>0.45853658536585368</v>
      </c>
      <c r="L988" s="2">
        <f t="shared" si="276"/>
        <v>0</v>
      </c>
      <c r="M988" s="2">
        <f t="shared" si="277"/>
        <v>7.1245186136071836E-2</v>
      </c>
      <c r="N988" s="63">
        <v>3663</v>
      </c>
      <c r="O988" s="63">
        <v>3572</v>
      </c>
      <c r="P988" s="63">
        <v>0</v>
      </c>
      <c r="Q988" s="63">
        <v>322</v>
      </c>
      <c r="R988" s="63">
        <v>106</v>
      </c>
      <c r="S988" s="63"/>
      <c r="T988" s="63"/>
      <c r="U988" s="63"/>
      <c r="V988" s="63"/>
      <c r="W988" s="63">
        <f t="shared" si="278"/>
        <v>127</v>
      </c>
      <c r="X988" s="63"/>
      <c r="Y988" s="63"/>
      <c r="Z988" s="63"/>
      <c r="AA988" s="63">
        <v>0</v>
      </c>
      <c r="AB988" s="63"/>
      <c r="AE988" s="8">
        <v>0</v>
      </c>
      <c r="AT988" t="str">
        <f t="shared" si="269"/>
        <v>Seekonk</v>
      </c>
      <c r="AU988" t="s">
        <v>2215</v>
      </c>
      <c r="AV988">
        <v>4</v>
      </c>
      <c r="AX988" s="114">
        <v>25</v>
      </c>
      <c r="AY988" s="116">
        <v>5</v>
      </c>
      <c r="AZ988" s="116">
        <v>80</v>
      </c>
      <c r="BA988" s="120">
        <v>60645</v>
      </c>
      <c r="BB988" s="120">
        <f t="shared" si="270"/>
        <v>25005</v>
      </c>
      <c r="BC988" t="s">
        <v>1472</v>
      </c>
      <c r="BD988">
        <f t="shared" si="279"/>
        <v>2560645</v>
      </c>
      <c r="BE988" s="66">
        <v>87</v>
      </c>
      <c r="BF988" s="66"/>
      <c r="BI988">
        <v>18.420000000000002</v>
      </c>
      <c r="BJ988">
        <v>0.1</v>
      </c>
      <c r="BK988">
        <v>18.32</v>
      </c>
      <c r="BQ988">
        <v>127</v>
      </c>
      <c r="BS988">
        <v>0</v>
      </c>
    </row>
    <row r="989" spans="1:71" hidden="1" outlineLevel="1">
      <c r="A989" s="64" t="s">
        <v>1684</v>
      </c>
      <c r="B989" s="8" t="s">
        <v>1320</v>
      </c>
      <c r="C989" s="1">
        <f t="shared" si="271"/>
        <v>10381</v>
      </c>
      <c r="D989" s="5">
        <f>IF(N989&gt;0, RANK(N989,(N989:P989,Q989:AE989)),0)</f>
        <v>1</v>
      </c>
      <c r="E989" s="5">
        <f>IF(O989&gt;0,RANK(O989,(N989:P989,Q989:AE989)),0)</f>
        <v>2</v>
      </c>
      <c r="F989" s="5">
        <f t="shared" si="272"/>
        <v>6</v>
      </c>
      <c r="G989" s="1">
        <f t="shared" si="273"/>
        <v>4772</v>
      </c>
      <c r="H989" s="2">
        <f t="shared" si="268"/>
        <v>0.45968596474328099</v>
      </c>
      <c r="I989" s="6"/>
      <c r="J989" s="2">
        <f t="shared" si="274"/>
        <v>0.69540506694923421</v>
      </c>
      <c r="K989" s="2">
        <f t="shared" si="275"/>
        <v>0.23571910220595318</v>
      </c>
      <c r="L989" s="2">
        <f t="shared" si="276"/>
        <v>2.1192563336865427E-3</v>
      </c>
      <c r="M989" s="2">
        <f t="shared" si="277"/>
        <v>6.6756574511126071E-2</v>
      </c>
      <c r="N989" s="63">
        <v>7219</v>
      </c>
      <c r="O989" s="63">
        <v>2447</v>
      </c>
      <c r="P989" s="63">
        <v>22</v>
      </c>
      <c r="Q989" s="63">
        <v>404</v>
      </c>
      <c r="R989" s="63">
        <v>124</v>
      </c>
      <c r="S989" s="63"/>
      <c r="T989" s="63"/>
      <c r="U989" s="63"/>
      <c r="V989" s="63"/>
      <c r="W989" s="63">
        <f t="shared" si="278"/>
        <v>165</v>
      </c>
      <c r="X989" s="63"/>
      <c r="Y989" s="63"/>
      <c r="Z989" s="63"/>
      <c r="AA989" s="63">
        <v>0</v>
      </c>
      <c r="AB989" s="63"/>
      <c r="AE989" s="8">
        <v>0</v>
      </c>
      <c r="AT989" t="str">
        <f t="shared" si="269"/>
        <v>Sharon</v>
      </c>
      <c r="AU989" t="s">
        <v>753</v>
      </c>
      <c r="AV989">
        <v>4</v>
      </c>
      <c r="AX989" s="114">
        <v>25</v>
      </c>
      <c r="AY989" s="116">
        <v>21</v>
      </c>
      <c r="AZ989" s="116">
        <v>110</v>
      </c>
      <c r="BA989" s="120">
        <v>60785</v>
      </c>
      <c r="BB989" s="120">
        <f t="shared" si="270"/>
        <v>25021</v>
      </c>
      <c r="BC989" t="s">
        <v>1472</v>
      </c>
      <c r="BD989">
        <f t="shared" si="279"/>
        <v>2560785</v>
      </c>
      <c r="BE989" s="66">
        <v>147</v>
      </c>
      <c r="BF989" s="66"/>
      <c r="BI989">
        <v>24.17</v>
      </c>
      <c r="BJ989">
        <v>0.86</v>
      </c>
      <c r="BK989">
        <v>23.31</v>
      </c>
      <c r="BQ989">
        <v>165</v>
      </c>
      <c r="BS989">
        <v>0</v>
      </c>
    </row>
    <row r="990" spans="1:71" hidden="1" outlineLevel="1">
      <c r="A990" s="64" t="s">
        <v>1219</v>
      </c>
      <c r="B990" s="8" t="s">
        <v>1320</v>
      </c>
      <c r="C990" s="1">
        <f t="shared" si="271"/>
        <v>1915</v>
      </c>
      <c r="D990" s="5">
        <f>IF(N990&gt;0, RANK(N990,(N990:P990,Q990:AE990)),0)</f>
        <v>1</v>
      </c>
      <c r="E990" s="5">
        <f>IF(O990&gt;0,RANK(O990,(N990:P990,Q990:AE990)),0)</f>
        <v>2</v>
      </c>
      <c r="F990" s="5">
        <f t="shared" si="272"/>
        <v>0</v>
      </c>
      <c r="G990" s="1">
        <f t="shared" si="273"/>
        <v>712</v>
      </c>
      <c r="H990" s="2">
        <f t="shared" si="268"/>
        <v>0.37180156657963448</v>
      </c>
      <c r="I990" s="6"/>
      <c r="J990" s="2">
        <f t="shared" si="274"/>
        <v>0.64856396866840726</v>
      </c>
      <c r="K990" s="2">
        <f t="shared" si="275"/>
        <v>0.27676240208877284</v>
      </c>
      <c r="L990" s="2">
        <f t="shared" si="276"/>
        <v>0</v>
      </c>
      <c r="M990" s="2">
        <f t="shared" si="277"/>
        <v>7.4673629242819894E-2</v>
      </c>
      <c r="N990" s="63">
        <v>1242</v>
      </c>
      <c r="O990" s="63">
        <v>530</v>
      </c>
      <c r="P990" s="63">
        <v>0</v>
      </c>
      <c r="Q990" s="63">
        <v>80</v>
      </c>
      <c r="R990" s="63">
        <v>46</v>
      </c>
      <c r="S990" s="63"/>
      <c r="T990" s="63"/>
      <c r="U990" s="63"/>
      <c r="V990" s="63"/>
      <c r="W990" s="63">
        <f t="shared" si="278"/>
        <v>17</v>
      </c>
      <c r="X990" s="63"/>
      <c r="Y990" s="63"/>
      <c r="Z990" s="63"/>
      <c r="AA990" s="63">
        <v>0</v>
      </c>
      <c r="AB990" s="63"/>
      <c r="AE990" s="8">
        <v>0</v>
      </c>
      <c r="AT990" t="str">
        <f t="shared" si="269"/>
        <v>Sheffield</v>
      </c>
      <c r="AU990" t="s">
        <v>2313</v>
      </c>
      <c r="AV990">
        <v>1</v>
      </c>
      <c r="AX990" s="114">
        <v>25</v>
      </c>
      <c r="AY990" s="116">
        <v>3</v>
      </c>
      <c r="AZ990" s="116">
        <v>130</v>
      </c>
      <c r="BA990" s="120">
        <v>61065</v>
      </c>
      <c r="BB990" s="120">
        <f t="shared" si="270"/>
        <v>25003</v>
      </c>
      <c r="BC990" t="s">
        <v>1472</v>
      </c>
      <c r="BD990">
        <f t="shared" si="279"/>
        <v>2561065</v>
      </c>
      <c r="BE990" s="66">
        <v>27</v>
      </c>
      <c r="BF990" s="66"/>
      <c r="BI990">
        <v>48.54</v>
      </c>
      <c r="BJ990">
        <v>0.39</v>
      </c>
      <c r="BK990">
        <v>48.15</v>
      </c>
      <c r="BQ990">
        <v>17</v>
      </c>
      <c r="BS990">
        <v>0</v>
      </c>
    </row>
    <row r="991" spans="1:71" hidden="1" outlineLevel="1">
      <c r="A991" s="64" t="s">
        <v>529</v>
      </c>
      <c r="B991" s="8" t="s">
        <v>1320</v>
      </c>
      <c r="C991" s="1">
        <f t="shared" si="271"/>
        <v>1177</v>
      </c>
      <c r="D991" s="5">
        <f>IF(N991&gt;0, RANK(N991,(N991:P991,Q991:AE991)),0)</f>
        <v>1</v>
      </c>
      <c r="E991" s="5">
        <f>IF(O991&gt;0,RANK(O991,(N991:P991,Q991:AE991)),0)</f>
        <v>2</v>
      </c>
      <c r="F991" s="5">
        <f t="shared" si="272"/>
        <v>0</v>
      </c>
      <c r="G991" s="1">
        <f t="shared" si="273"/>
        <v>591</v>
      </c>
      <c r="H991" s="2">
        <f t="shared" si="268"/>
        <v>0.50212404418011891</v>
      </c>
      <c r="I991" s="6"/>
      <c r="J991" s="2">
        <f t="shared" si="274"/>
        <v>0.69753610875106198</v>
      </c>
      <c r="K991" s="2">
        <f t="shared" si="275"/>
        <v>0.19541206457094307</v>
      </c>
      <c r="L991" s="2">
        <f t="shared" si="276"/>
        <v>0</v>
      </c>
      <c r="M991" s="2">
        <f t="shared" si="277"/>
        <v>0.10705182667799495</v>
      </c>
      <c r="N991" s="63">
        <v>821</v>
      </c>
      <c r="O991" s="63">
        <v>230</v>
      </c>
      <c r="P991" s="63">
        <v>0</v>
      </c>
      <c r="Q991" s="63">
        <v>49</v>
      </c>
      <c r="R991" s="63">
        <v>51</v>
      </c>
      <c r="S991" s="63"/>
      <c r="T991" s="63"/>
      <c r="U991" s="63"/>
      <c r="V991" s="63"/>
      <c r="W991" s="63">
        <f t="shared" si="278"/>
        <v>26</v>
      </c>
      <c r="X991" s="63"/>
      <c r="Y991" s="63"/>
      <c r="Z991" s="63"/>
      <c r="AA991" s="63">
        <v>0</v>
      </c>
      <c r="AB991" s="63"/>
      <c r="AE991" s="8">
        <v>0</v>
      </c>
      <c r="AT991" t="str">
        <f t="shared" si="269"/>
        <v>Shelburne</v>
      </c>
      <c r="AU991" t="s">
        <v>1138</v>
      </c>
      <c r="AV991">
        <v>1</v>
      </c>
      <c r="AX991" s="114">
        <v>25</v>
      </c>
      <c r="AY991" s="116">
        <v>11</v>
      </c>
      <c r="AZ991" s="116">
        <v>105</v>
      </c>
      <c r="BA991" s="120">
        <v>61135</v>
      </c>
      <c r="BB991" s="120">
        <f t="shared" si="270"/>
        <v>25011</v>
      </c>
      <c r="BC991" t="s">
        <v>1472</v>
      </c>
      <c r="BD991">
        <f t="shared" si="279"/>
        <v>2561135</v>
      </c>
      <c r="BE991" s="66">
        <v>20</v>
      </c>
      <c r="BF991" s="66"/>
      <c r="BI991">
        <v>23.45</v>
      </c>
      <c r="BJ991">
        <v>0.2</v>
      </c>
      <c r="BK991">
        <v>23.25</v>
      </c>
      <c r="BQ991">
        <v>26</v>
      </c>
      <c r="BS991">
        <v>0</v>
      </c>
    </row>
    <row r="992" spans="1:71" hidden="1" outlineLevel="1">
      <c r="A992" s="64" t="s">
        <v>352</v>
      </c>
      <c r="B992" s="8" t="s">
        <v>1320</v>
      </c>
      <c r="C992" s="1">
        <f t="shared" si="271"/>
        <v>2644</v>
      </c>
      <c r="D992" s="5">
        <f>IF(N992&gt;0, RANK(N992,(N992:P992,Q992:AE992)),0)</f>
        <v>1</v>
      </c>
      <c r="E992" s="5">
        <f>IF(O992&gt;0,RANK(O992,(N992:P992,Q992:AE992)),0)</f>
        <v>2</v>
      </c>
      <c r="F992" s="5">
        <f t="shared" si="272"/>
        <v>6</v>
      </c>
      <c r="G992" s="1">
        <f t="shared" si="273"/>
        <v>1149</v>
      </c>
      <c r="H992" s="2">
        <f t="shared" ref="H992:H1055" si="280">IF(C992&gt;0,G992/C992,0)</f>
        <v>0.43456883509833588</v>
      </c>
      <c r="I992" s="6"/>
      <c r="J992" s="2">
        <f t="shared" si="274"/>
        <v>0.66792738275340391</v>
      </c>
      <c r="K992" s="2">
        <f t="shared" si="275"/>
        <v>0.23335854765506808</v>
      </c>
      <c r="L992" s="2">
        <f t="shared" si="276"/>
        <v>4.5385779122541605E-3</v>
      </c>
      <c r="M992" s="2">
        <f t="shared" si="277"/>
        <v>9.4175491679273846E-2</v>
      </c>
      <c r="N992" s="63">
        <v>1766</v>
      </c>
      <c r="O992" s="63">
        <v>617</v>
      </c>
      <c r="P992" s="63">
        <v>12</v>
      </c>
      <c r="Q992" s="63">
        <v>197</v>
      </c>
      <c r="R992" s="63">
        <v>23</v>
      </c>
      <c r="S992" s="63"/>
      <c r="T992" s="63"/>
      <c r="U992" s="63"/>
      <c r="V992" s="63"/>
      <c r="W992" s="63">
        <f t="shared" si="278"/>
        <v>29</v>
      </c>
      <c r="X992" s="63"/>
      <c r="Y992" s="63"/>
      <c r="Z992" s="63"/>
      <c r="AA992" s="63">
        <v>0</v>
      </c>
      <c r="AB992" s="63"/>
      <c r="AE992" s="8">
        <v>0</v>
      </c>
      <c r="AT992" t="str">
        <f t="shared" ref="AT992:AT1055" si="281">A992</f>
        <v>Sherborn</v>
      </c>
      <c r="AU992" t="s">
        <v>503</v>
      </c>
      <c r="AV992">
        <v>5</v>
      </c>
      <c r="AX992" s="114">
        <v>25</v>
      </c>
      <c r="AY992" s="116">
        <v>17</v>
      </c>
      <c r="AZ992" s="116">
        <v>185</v>
      </c>
      <c r="BA992" s="120">
        <v>61380</v>
      </c>
      <c r="BB992" s="120">
        <f t="shared" si="270"/>
        <v>25017</v>
      </c>
      <c r="BC992" t="s">
        <v>1472</v>
      </c>
      <c r="BD992">
        <f t="shared" si="279"/>
        <v>2561380</v>
      </c>
      <c r="BE992" s="66">
        <v>79</v>
      </c>
      <c r="BF992" s="66"/>
      <c r="BI992">
        <v>16.190000000000001</v>
      </c>
      <c r="BJ992">
        <v>0.22</v>
      </c>
      <c r="BK992">
        <v>15.96</v>
      </c>
      <c r="BQ992">
        <v>29</v>
      </c>
      <c r="BS992">
        <v>0</v>
      </c>
    </row>
    <row r="993" spans="1:71" hidden="1" outlineLevel="1">
      <c r="A993" s="64" t="s">
        <v>1351</v>
      </c>
      <c r="B993" s="8" t="s">
        <v>1320</v>
      </c>
      <c r="C993" s="1">
        <f t="shared" si="271"/>
        <v>3401</v>
      </c>
      <c r="D993" s="5">
        <f>IF(N993&gt;0, RANK(N993,(N993:P993,Q993:AE993)),0)</f>
        <v>1</v>
      </c>
      <c r="E993" s="5">
        <f>IF(O993&gt;0,RANK(O993,(N993:P993,Q993:AE993)),0)</f>
        <v>2</v>
      </c>
      <c r="F993" s="5">
        <f t="shared" si="272"/>
        <v>6</v>
      </c>
      <c r="G993" s="1">
        <f t="shared" si="273"/>
        <v>205</v>
      </c>
      <c r="H993" s="2">
        <f t="shared" si="280"/>
        <v>6.027638929726551E-2</v>
      </c>
      <c r="I993" s="6"/>
      <c r="J993" s="2">
        <f t="shared" si="274"/>
        <v>0.48132902087621288</v>
      </c>
      <c r="K993" s="2">
        <f t="shared" si="275"/>
        <v>0.42105263157894735</v>
      </c>
      <c r="L993" s="2">
        <f t="shared" si="276"/>
        <v>4.1164363422522788E-3</v>
      </c>
      <c r="M993" s="2">
        <f t="shared" si="277"/>
        <v>9.3501911202587495E-2</v>
      </c>
      <c r="N993" s="63">
        <v>1637</v>
      </c>
      <c r="O993" s="63">
        <v>1432</v>
      </c>
      <c r="P993" s="63">
        <v>14</v>
      </c>
      <c r="Q993" s="63">
        <v>214</v>
      </c>
      <c r="R993" s="63">
        <v>49</v>
      </c>
      <c r="S993" s="63"/>
      <c r="T993" s="63"/>
      <c r="U993" s="63"/>
      <c r="V993" s="63"/>
      <c r="W993" s="63">
        <f t="shared" si="278"/>
        <v>55</v>
      </c>
      <c r="X993" s="63"/>
      <c r="Y993" s="63"/>
      <c r="Z993" s="63"/>
      <c r="AA993" s="63">
        <v>0</v>
      </c>
      <c r="AB993" s="63"/>
      <c r="AE993" s="8">
        <v>0</v>
      </c>
      <c r="AT993" t="str">
        <f t="shared" si="281"/>
        <v>Shirley</v>
      </c>
      <c r="AU993" t="s">
        <v>503</v>
      </c>
      <c r="AV993">
        <v>3</v>
      </c>
      <c r="AX993" s="114">
        <v>25</v>
      </c>
      <c r="AY993" s="116">
        <v>17</v>
      </c>
      <c r="AZ993" s="116">
        <v>190</v>
      </c>
      <c r="BA993" s="120">
        <v>61590</v>
      </c>
      <c r="BB993" s="120">
        <f t="shared" si="270"/>
        <v>25017</v>
      </c>
      <c r="BC993" t="s">
        <v>1472</v>
      </c>
      <c r="BD993">
        <f t="shared" si="279"/>
        <v>2561590</v>
      </c>
      <c r="BE993" s="66">
        <v>49</v>
      </c>
      <c r="BF993" s="66"/>
      <c r="BI993">
        <v>15.9</v>
      </c>
      <c r="BJ993">
        <v>0.08</v>
      </c>
      <c r="BK993">
        <v>15.82</v>
      </c>
      <c r="BQ993">
        <v>55</v>
      </c>
      <c r="BS993">
        <v>0</v>
      </c>
    </row>
    <row r="994" spans="1:71" hidden="1" outlineLevel="1">
      <c r="A994" s="64" t="s">
        <v>960</v>
      </c>
      <c r="B994" s="8" t="s">
        <v>1320</v>
      </c>
      <c r="C994" s="1">
        <f t="shared" si="271"/>
        <v>18923</v>
      </c>
      <c r="D994" s="5">
        <f>IF(N994&gt;0, RANK(N994,(N994:P994,Q994:AE994)),0)</f>
        <v>1</v>
      </c>
      <c r="E994" s="5">
        <f>IF(O994&gt;0,RANK(O994,(N994:P994,Q994:AE994)),0)</f>
        <v>2</v>
      </c>
      <c r="F994" s="5">
        <f t="shared" si="272"/>
        <v>6</v>
      </c>
      <c r="G994" s="1">
        <f t="shared" si="273"/>
        <v>3812</v>
      </c>
      <c r="H994" s="2">
        <f t="shared" si="280"/>
        <v>0.20144797336574538</v>
      </c>
      <c r="I994" s="6"/>
      <c r="J994" s="2">
        <f t="shared" si="274"/>
        <v>0.56122179358452673</v>
      </c>
      <c r="K994" s="2">
        <f t="shared" si="275"/>
        <v>0.3597738202187814</v>
      </c>
      <c r="L994" s="2">
        <f t="shared" si="276"/>
        <v>2.8008243935950961E-3</v>
      </c>
      <c r="M994" s="2">
        <f t="shared" si="277"/>
        <v>7.6203561803096773E-2</v>
      </c>
      <c r="N994" s="63">
        <v>10620</v>
      </c>
      <c r="O994" s="63">
        <v>6808</v>
      </c>
      <c r="P994" s="63">
        <v>53</v>
      </c>
      <c r="Q994" s="63">
        <v>894</v>
      </c>
      <c r="R994" s="63">
        <v>197</v>
      </c>
      <c r="S994" s="63"/>
      <c r="T994" s="63"/>
      <c r="U994" s="63"/>
      <c r="V994" s="63"/>
      <c r="W994" s="63">
        <f t="shared" si="278"/>
        <v>351</v>
      </c>
      <c r="X994" s="63"/>
      <c r="Y994" s="63"/>
      <c r="Z994" s="63"/>
      <c r="AA994" s="63">
        <v>0</v>
      </c>
      <c r="AB994" s="63"/>
      <c r="AE994" s="8">
        <v>0</v>
      </c>
      <c r="AT994" t="str">
        <f t="shared" si="281"/>
        <v>Shrewsbury</v>
      </c>
      <c r="AU994" s="8" t="s">
        <v>1774</v>
      </c>
      <c r="AV994">
        <v>2</v>
      </c>
      <c r="AX994" s="114">
        <v>25</v>
      </c>
      <c r="AY994" s="116">
        <v>27</v>
      </c>
      <c r="AZ994" s="116">
        <v>215</v>
      </c>
      <c r="BA994" s="120">
        <v>61800</v>
      </c>
      <c r="BB994" s="120">
        <f t="shared" si="270"/>
        <v>25027</v>
      </c>
      <c r="BC994" t="s">
        <v>1472</v>
      </c>
      <c r="BD994">
        <f t="shared" si="279"/>
        <v>2561800</v>
      </c>
      <c r="BE994" s="66">
        <v>284</v>
      </c>
      <c r="BF994" s="66"/>
      <c r="BI994">
        <v>21.65</v>
      </c>
      <c r="BJ994">
        <v>0.92</v>
      </c>
      <c r="BK994">
        <v>20.73</v>
      </c>
      <c r="BQ994">
        <v>351</v>
      </c>
      <c r="BS994">
        <v>0</v>
      </c>
    </row>
    <row r="995" spans="1:71" hidden="1" outlineLevel="1">
      <c r="A995" s="64" t="s">
        <v>3060</v>
      </c>
      <c r="B995" s="8" t="s">
        <v>1320</v>
      </c>
      <c r="C995" s="1">
        <f t="shared" si="271"/>
        <v>1265</v>
      </c>
      <c r="D995" s="5">
        <f>IF(N995&gt;0, RANK(N995,(N995:P995,Q995:AE995)),0)</f>
        <v>1</v>
      </c>
      <c r="E995" s="5">
        <f>IF(O995&gt;0,RANK(O995,(N995:P995,Q995:AE995)),0)</f>
        <v>2</v>
      </c>
      <c r="F995" s="5">
        <f t="shared" si="272"/>
        <v>0</v>
      </c>
      <c r="G995" s="1">
        <f t="shared" si="273"/>
        <v>838</v>
      </c>
      <c r="H995" s="2">
        <f t="shared" si="280"/>
        <v>0.66245059288537544</v>
      </c>
      <c r="I995" s="6"/>
      <c r="J995" s="2">
        <f t="shared" si="274"/>
        <v>0.77470355731225293</v>
      </c>
      <c r="K995" s="2">
        <f t="shared" si="275"/>
        <v>0.11225296442687747</v>
      </c>
      <c r="L995" s="2">
        <f t="shared" si="276"/>
        <v>0</v>
      </c>
      <c r="M995" s="2">
        <f t="shared" si="277"/>
        <v>0.11304347826086959</v>
      </c>
      <c r="N995" s="63">
        <v>980</v>
      </c>
      <c r="O995" s="63">
        <v>142</v>
      </c>
      <c r="P995" s="63">
        <v>0</v>
      </c>
      <c r="Q995" s="63">
        <v>38</v>
      </c>
      <c r="R995" s="63">
        <v>83</v>
      </c>
      <c r="S995" s="63"/>
      <c r="T995" s="63"/>
      <c r="U995" s="63"/>
      <c r="V995" s="63"/>
      <c r="W995" s="63">
        <f t="shared" si="278"/>
        <v>22</v>
      </c>
      <c r="X995" s="63"/>
      <c r="Y995" s="63"/>
      <c r="Z995" s="63"/>
      <c r="AA995" s="63">
        <v>0</v>
      </c>
      <c r="AB995" s="63"/>
      <c r="AE995" s="8">
        <v>0</v>
      </c>
      <c r="AT995" t="str">
        <f t="shared" si="281"/>
        <v>Shutesbury</v>
      </c>
      <c r="AU995" t="s">
        <v>1138</v>
      </c>
      <c r="AV995">
        <v>2</v>
      </c>
      <c r="AX995" s="114">
        <v>25</v>
      </c>
      <c r="AY995" s="116">
        <v>11</v>
      </c>
      <c r="AZ995" s="116">
        <v>110</v>
      </c>
      <c r="BA995" s="120">
        <v>61905</v>
      </c>
      <c r="BB995" s="120">
        <f t="shared" ref="BB995:BB1058" si="282">AX995*1000+AY995</f>
        <v>25011</v>
      </c>
      <c r="BC995" t="s">
        <v>1472</v>
      </c>
      <c r="BD995">
        <f t="shared" si="279"/>
        <v>2561905</v>
      </c>
      <c r="BE995" s="66">
        <v>17</v>
      </c>
      <c r="BF995" s="66"/>
      <c r="BI995">
        <v>27.17</v>
      </c>
      <c r="BJ995">
        <v>0.56000000000000005</v>
      </c>
      <c r="BK995">
        <v>26.61</v>
      </c>
      <c r="BQ995">
        <v>22</v>
      </c>
      <c r="BS995">
        <v>0</v>
      </c>
    </row>
    <row r="996" spans="1:71" hidden="1" outlineLevel="1">
      <c r="A996" s="64" t="s">
        <v>1787</v>
      </c>
      <c r="B996" s="8" t="s">
        <v>1320</v>
      </c>
      <c r="C996" s="1">
        <f t="shared" si="271"/>
        <v>10069</v>
      </c>
      <c r="D996" s="5">
        <f>IF(N996&gt;0, RANK(N996,(N996:P996,Q996:AE996)),0)</f>
        <v>1</v>
      </c>
      <c r="E996" s="5">
        <f>IF(O996&gt;0,RANK(O996,(N996:P996,Q996:AE996)),0)</f>
        <v>2</v>
      </c>
      <c r="F996" s="5">
        <f t="shared" si="272"/>
        <v>6</v>
      </c>
      <c r="G996" s="1">
        <f t="shared" si="273"/>
        <v>335</v>
      </c>
      <c r="H996" s="2">
        <f t="shared" si="280"/>
        <v>3.3270434005362996E-2</v>
      </c>
      <c r="I996" s="6"/>
      <c r="J996" s="2">
        <f t="shared" si="274"/>
        <v>0.4867414837620419</v>
      </c>
      <c r="K996" s="2">
        <f t="shared" si="275"/>
        <v>0.4534710497566789</v>
      </c>
      <c r="L996" s="2">
        <f t="shared" si="276"/>
        <v>1.0924620121163969E-3</v>
      </c>
      <c r="M996" s="2">
        <f t="shared" si="277"/>
        <v>5.8695004469162856E-2</v>
      </c>
      <c r="N996" s="63">
        <v>4901</v>
      </c>
      <c r="O996" s="63">
        <v>4566</v>
      </c>
      <c r="P996" s="63">
        <v>11</v>
      </c>
      <c r="Q996" s="63">
        <v>330</v>
      </c>
      <c r="R996" s="63">
        <v>169</v>
      </c>
      <c r="S996" s="63"/>
      <c r="T996" s="63"/>
      <c r="U996" s="63"/>
      <c r="V996" s="63"/>
      <c r="W996" s="63">
        <f t="shared" si="278"/>
        <v>92</v>
      </c>
      <c r="X996" s="63"/>
      <c r="Y996" s="63"/>
      <c r="Z996" s="63"/>
      <c r="AA996" s="63">
        <v>0</v>
      </c>
      <c r="AB996" s="63"/>
      <c r="AE996" s="8">
        <v>0</v>
      </c>
      <c r="AT996" t="str">
        <f t="shared" si="281"/>
        <v>Somerset</v>
      </c>
      <c r="AU996" t="s">
        <v>2215</v>
      </c>
      <c r="AV996">
        <v>4</v>
      </c>
      <c r="AX996" s="114">
        <v>25</v>
      </c>
      <c r="AY996" s="116">
        <v>5</v>
      </c>
      <c r="AZ996" s="116">
        <v>85</v>
      </c>
      <c r="BA996" s="120">
        <v>62430</v>
      </c>
      <c r="BB996" s="120">
        <f t="shared" si="282"/>
        <v>25005</v>
      </c>
      <c r="BC996" t="s">
        <v>1472</v>
      </c>
      <c r="BD996">
        <f t="shared" si="279"/>
        <v>2562430</v>
      </c>
      <c r="BE996" s="66">
        <v>208</v>
      </c>
      <c r="BF996" s="66"/>
      <c r="BI996">
        <v>11.98</v>
      </c>
      <c r="BJ996">
        <v>3.87</v>
      </c>
      <c r="BK996">
        <v>8.11</v>
      </c>
      <c r="BQ996">
        <v>92</v>
      </c>
      <c r="BS996">
        <v>0</v>
      </c>
    </row>
    <row r="997" spans="1:71" hidden="1" outlineLevel="1">
      <c r="A997" s="64" t="s">
        <v>2440</v>
      </c>
      <c r="B997" s="8" t="s">
        <v>1320</v>
      </c>
      <c r="C997" s="1">
        <f t="shared" si="271"/>
        <v>40420</v>
      </c>
      <c r="D997" s="5">
        <f>IF(N997&gt;0, RANK(N997,(N997:P997,Q997:AE997)),0)</f>
        <v>1</v>
      </c>
      <c r="E997" s="5">
        <f>IF(O997&gt;0,RANK(O997,(N997:P997,Q997:AE997)),0)</f>
        <v>2</v>
      </c>
      <c r="F997" s="5">
        <f t="shared" si="272"/>
        <v>6</v>
      </c>
      <c r="G997" s="1">
        <f t="shared" si="273"/>
        <v>29612</v>
      </c>
      <c r="H997" s="2">
        <f t="shared" si="280"/>
        <v>0.73260761999010393</v>
      </c>
      <c r="I997" s="6"/>
      <c r="J997" s="2">
        <f t="shared" si="274"/>
        <v>0.83473527956457194</v>
      </c>
      <c r="K997" s="2">
        <f t="shared" si="275"/>
        <v>0.10212765957446808</v>
      </c>
      <c r="L997" s="2">
        <f t="shared" si="276"/>
        <v>1.4844136566056407E-3</v>
      </c>
      <c r="M997" s="2">
        <f t="shared" si="277"/>
        <v>6.1652647204354337E-2</v>
      </c>
      <c r="N997" s="63">
        <v>33740</v>
      </c>
      <c r="O997" s="63">
        <v>4128</v>
      </c>
      <c r="P997" s="63">
        <v>60</v>
      </c>
      <c r="Q997" s="63">
        <v>1109</v>
      </c>
      <c r="R997" s="63">
        <v>841</v>
      </c>
      <c r="S997" s="63"/>
      <c r="T997" s="63"/>
      <c r="U997" s="63"/>
      <c r="V997" s="63"/>
      <c r="W997" s="63">
        <f t="shared" si="278"/>
        <v>539</v>
      </c>
      <c r="X997" s="63"/>
      <c r="Y997" s="63"/>
      <c r="Z997" s="63"/>
      <c r="AA997" s="63">
        <v>0</v>
      </c>
      <c r="AB997" s="63"/>
      <c r="AE997" s="8">
        <v>3</v>
      </c>
      <c r="AT997" t="str">
        <f t="shared" si="281"/>
        <v>Somerville</v>
      </c>
      <c r="AU997" t="s">
        <v>503</v>
      </c>
      <c r="AV997">
        <v>7</v>
      </c>
      <c r="AX997" s="114">
        <v>25</v>
      </c>
      <c r="AY997" s="116">
        <v>17</v>
      </c>
      <c r="AZ997" s="116">
        <v>195</v>
      </c>
      <c r="BA997" s="120">
        <v>62535</v>
      </c>
      <c r="BB997" s="120">
        <f t="shared" si="282"/>
        <v>25017</v>
      </c>
      <c r="BC997" t="s">
        <v>1249</v>
      </c>
      <c r="BD997">
        <f t="shared" si="279"/>
        <v>2562535</v>
      </c>
      <c r="BE997" s="66">
        <v>454</v>
      </c>
      <c r="BF997" s="66"/>
      <c r="BI997">
        <v>4.21</v>
      </c>
      <c r="BJ997">
        <v>0.11</v>
      </c>
      <c r="BK997">
        <v>4.1100000000000003</v>
      </c>
      <c r="BQ997">
        <v>539</v>
      </c>
      <c r="BS997">
        <v>0</v>
      </c>
    </row>
    <row r="998" spans="1:71" hidden="1" outlineLevel="1">
      <c r="A998" s="64" t="s">
        <v>1275</v>
      </c>
      <c r="B998" s="8" t="s">
        <v>1320</v>
      </c>
      <c r="C998" s="1">
        <f t="shared" si="271"/>
        <v>9212</v>
      </c>
      <c r="D998" s="5">
        <f>IF(N998&gt;0, RANK(N998,(N998:P998,Q998:AE998)),0)</f>
        <v>1</v>
      </c>
      <c r="E998" s="5">
        <f>IF(O998&gt;0,RANK(O998,(N998:P998,Q998:AE998)),0)</f>
        <v>2</v>
      </c>
      <c r="F998" s="5">
        <f t="shared" si="272"/>
        <v>0</v>
      </c>
      <c r="G998" s="1">
        <f t="shared" si="273"/>
        <v>1954</v>
      </c>
      <c r="H998" s="2">
        <f t="shared" si="280"/>
        <v>0.21211463308727746</v>
      </c>
      <c r="I998" s="6"/>
      <c r="J998" s="2">
        <f t="shared" si="274"/>
        <v>0.56534954407294835</v>
      </c>
      <c r="K998" s="2">
        <f t="shared" si="275"/>
        <v>0.35323491098567089</v>
      </c>
      <c r="L998" s="2">
        <f t="shared" si="276"/>
        <v>0</v>
      </c>
      <c r="M998" s="2">
        <f t="shared" si="277"/>
        <v>8.1415544941380757E-2</v>
      </c>
      <c r="N998" s="63">
        <v>5208</v>
      </c>
      <c r="O998" s="63">
        <v>3254</v>
      </c>
      <c r="P998" s="63">
        <v>0</v>
      </c>
      <c r="Q998" s="63">
        <v>383</v>
      </c>
      <c r="R998" s="63">
        <v>180</v>
      </c>
      <c r="S998" s="63"/>
      <c r="T998" s="63"/>
      <c r="U998" s="63"/>
      <c r="V998" s="63"/>
      <c r="W998" s="63">
        <f t="shared" si="278"/>
        <v>187</v>
      </c>
      <c r="X998" s="63"/>
      <c r="Y998" s="63"/>
      <c r="Z998" s="63"/>
      <c r="AA998" s="63">
        <v>0</v>
      </c>
      <c r="AB998" s="63"/>
      <c r="AE998" s="8">
        <v>0</v>
      </c>
      <c r="AT998" t="str">
        <f t="shared" si="281"/>
        <v>South Hadley</v>
      </c>
      <c r="AU998" t="s">
        <v>2176</v>
      </c>
      <c r="AV998">
        <v>1</v>
      </c>
      <c r="AX998" s="114">
        <v>25</v>
      </c>
      <c r="AY998" s="116">
        <v>15</v>
      </c>
      <c r="AZ998" s="116">
        <v>80</v>
      </c>
      <c r="BA998" s="120">
        <v>64145</v>
      </c>
      <c r="BB998" s="120">
        <f t="shared" si="282"/>
        <v>25015</v>
      </c>
      <c r="BC998" t="s">
        <v>1472</v>
      </c>
      <c r="BD998">
        <f t="shared" si="279"/>
        <v>2564145</v>
      </c>
      <c r="BE998" s="66">
        <v>126</v>
      </c>
      <c r="BF998" s="66"/>
      <c r="BI998">
        <v>18.39</v>
      </c>
      <c r="BJ998">
        <v>0.68</v>
      </c>
      <c r="BK998">
        <v>17.71</v>
      </c>
      <c r="BQ998">
        <v>187</v>
      </c>
      <c r="BS998">
        <v>0</v>
      </c>
    </row>
    <row r="999" spans="1:71" hidden="1" outlineLevel="1">
      <c r="A999" s="64" t="s">
        <v>212</v>
      </c>
      <c r="B999" s="8" t="s">
        <v>1320</v>
      </c>
      <c r="C999" s="1">
        <f t="shared" si="271"/>
        <v>3785</v>
      </c>
      <c r="D999" s="5">
        <f>IF(N999&gt;0, RANK(N999,(N999:P999,Q999:AE999)),0)</f>
        <v>1</v>
      </c>
      <c r="E999" s="5">
        <f>IF(O999&gt;0,RANK(O999,(N999:P999,Q999:AE999)),0)</f>
        <v>2</v>
      </c>
      <c r="F999" s="5">
        <f t="shared" si="272"/>
        <v>0</v>
      </c>
      <c r="G999" s="1">
        <f t="shared" si="273"/>
        <v>52</v>
      </c>
      <c r="H999" s="2">
        <f t="shared" si="280"/>
        <v>1.3738441215323647E-2</v>
      </c>
      <c r="I999" s="6"/>
      <c r="J999" s="2">
        <f t="shared" si="274"/>
        <v>0.46076618229854688</v>
      </c>
      <c r="K999" s="2">
        <f t="shared" si="275"/>
        <v>0.44702774108322324</v>
      </c>
      <c r="L999" s="2">
        <f t="shared" si="276"/>
        <v>0</v>
      </c>
      <c r="M999" s="2">
        <f t="shared" si="277"/>
        <v>9.2206076618229826E-2</v>
      </c>
      <c r="N999" s="63">
        <v>1744</v>
      </c>
      <c r="O999" s="63">
        <v>1692</v>
      </c>
      <c r="P999" s="63">
        <v>0</v>
      </c>
      <c r="Q999" s="63">
        <v>193</v>
      </c>
      <c r="R999" s="63">
        <v>64</v>
      </c>
      <c r="S999" s="63"/>
      <c r="T999" s="63"/>
      <c r="U999" s="63"/>
      <c r="V999" s="63"/>
      <c r="W999" s="63">
        <f t="shared" si="278"/>
        <v>92</v>
      </c>
      <c r="X999" s="63"/>
      <c r="Y999" s="63"/>
      <c r="Z999" s="63"/>
      <c r="AA999" s="63">
        <v>0</v>
      </c>
      <c r="AB999" s="63"/>
      <c r="AE999" s="8">
        <v>0</v>
      </c>
      <c r="AT999" t="str">
        <f t="shared" si="281"/>
        <v>Southampton</v>
      </c>
      <c r="AU999" t="s">
        <v>2176</v>
      </c>
      <c r="AV999">
        <v>1</v>
      </c>
      <c r="AX999" s="114">
        <v>25</v>
      </c>
      <c r="AY999" s="116">
        <v>15</v>
      </c>
      <c r="AZ999" s="116">
        <v>75</v>
      </c>
      <c r="BA999" s="120">
        <v>62745</v>
      </c>
      <c r="BB999" s="120">
        <f t="shared" si="282"/>
        <v>25015</v>
      </c>
      <c r="BC999" t="s">
        <v>1472</v>
      </c>
      <c r="BD999">
        <f t="shared" si="279"/>
        <v>2562745</v>
      </c>
      <c r="BE999" s="66">
        <v>56</v>
      </c>
      <c r="BF999" s="66"/>
      <c r="BI999">
        <v>29.08</v>
      </c>
      <c r="BJ999">
        <v>0.93</v>
      </c>
      <c r="BK999">
        <v>28.15</v>
      </c>
      <c r="BQ999">
        <v>92</v>
      </c>
      <c r="BS999">
        <v>0</v>
      </c>
    </row>
    <row r="1000" spans="1:71" hidden="1" outlineLevel="1">
      <c r="A1000" s="64" t="s">
        <v>2278</v>
      </c>
      <c r="B1000" s="8" t="s">
        <v>1320</v>
      </c>
      <c r="C1000" s="1">
        <f t="shared" si="271"/>
        <v>5982</v>
      </c>
      <c r="D1000" s="5">
        <f>IF(N1000&gt;0, RANK(N1000,(N1000:P1000,Q1000:AE1000)),0)</f>
        <v>1</v>
      </c>
      <c r="E1000" s="5">
        <f>IF(O1000&gt;0,RANK(O1000,(N1000:P1000,Q1000:AE1000)),0)</f>
        <v>2</v>
      </c>
      <c r="F1000" s="5">
        <f t="shared" si="272"/>
        <v>0</v>
      </c>
      <c r="G1000" s="1">
        <f t="shared" si="273"/>
        <v>1632</v>
      </c>
      <c r="H1000" s="2">
        <f t="shared" si="280"/>
        <v>0.27281845536609828</v>
      </c>
      <c r="I1000" s="6"/>
      <c r="J1000" s="2">
        <f t="shared" si="274"/>
        <v>0.59010364426613171</v>
      </c>
      <c r="K1000" s="2">
        <f t="shared" si="275"/>
        <v>0.31728518890003343</v>
      </c>
      <c r="L1000" s="2">
        <f t="shared" si="276"/>
        <v>0</v>
      </c>
      <c r="M1000" s="2">
        <f t="shared" si="277"/>
        <v>9.2611166833834857E-2</v>
      </c>
      <c r="N1000" s="63">
        <v>3530</v>
      </c>
      <c r="O1000" s="63">
        <v>1898</v>
      </c>
      <c r="P1000" s="63">
        <v>0</v>
      </c>
      <c r="Q1000" s="63">
        <v>328</v>
      </c>
      <c r="R1000" s="63">
        <v>56</v>
      </c>
      <c r="S1000" s="63"/>
      <c r="T1000" s="63"/>
      <c r="U1000" s="63"/>
      <c r="V1000" s="63"/>
      <c r="W1000" s="63">
        <f t="shared" si="278"/>
        <v>170</v>
      </c>
      <c r="X1000" s="63"/>
      <c r="Y1000" s="63"/>
      <c r="Z1000" s="63"/>
      <c r="AA1000" s="63">
        <v>0</v>
      </c>
      <c r="AB1000" s="63"/>
      <c r="AE1000" s="8">
        <v>0</v>
      </c>
      <c r="AT1000" t="str">
        <f t="shared" si="281"/>
        <v>Southborough</v>
      </c>
      <c r="AU1000" s="8" t="s">
        <v>1774</v>
      </c>
      <c r="AV1000">
        <v>5</v>
      </c>
      <c r="AX1000" s="114">
        <v>25</v>
      </c>
      <c r="AY1000" s="116">
        <v>27</v>
      </c>
      <c r="AZ1000" s="116">
        <v>220</v>
      </c>
      <c r="BA1000" s="120">
        <v>63165</v>
      </c>
      <c r="BB1000" s="120">
        <f t="shared" si="282"/>
        <v>25027</v>
      </c>
      <c r="BC1000" t="s">
        <v>1472</v>
      </c>
      <c r="BD1000">
        <f t="shared" si="279"/>
        <v>2563165</v>
      </c>
      <c r="BE1000" s="66">
        <v>101</v>
      </c>
      <c r="BF1000" s="66"/>
      <c r="BI1000">
        <v>15.66</v>
      </c>
      <c r="BJ1000">
        <v>1.51</v>
      </c>
      <c r="BK1000">
        <v>14.15</v>
      </c>
      <c r="BQ1000">
        <v>170</v>
      </c>
      <c r="BS1000">
        <v>0</v>
      </c>
    </row>
    <row r="1001" spans="1:71" hidden="1" outlineLevel="1">
      <c r="A1001" s="64" t="s">
        <v>2878</v>
      </c>
      <c r="B1001" s="8" t="s">
        <v>1320</v>
      </c>
      <c r="C1001" s="1">
        <f t="shared" si="271"/>
        <v>6897</v>
      </c>
      <c r="D1001" s="5">
        <f>IF(N1001&gt;0, RANK(N1001,(N1001:P1001,Q1001:AE1001)),0)</f>
        <v>1</v>
      </c>
      <c r="E1001" s="5">
        <f>IF(O1001&gt;0,RANK(O1001,(N1001:P1001,Q1001:AE1001)),0)</f>
        <v>2</v>
      </c>
      <c r="F1001" s="5">
        <f t="shared" si="272"/>
        <v>6</v>
      </c>
      <c r="G1001" s="1">
        <f t="shared" si="273"/>
        <v>1128</v>
      </c>
      <c r="H1001" s="2">
        <f t="shared" si="280"/>
        <v>0.16354936929099609</v>
      </c>
      <c r="I1001" s="6"/>
      <c r="J1001" s="2">
        <f t="shared" si="274"/>
        <v>0.53849499782514132</v>
      </c>
      <c r="K1001" s="2">
        <f t="shared" si="275"/>
        <v>0.37494562853414526</v>
      </c>
      <c r="L1001" s="2">
        <f t="shared" si="276"/>
        <v>1.1599246049006815E-3</v>
      </c>
      <c r="M1001" s="2">
        <f t="shared" si="277"/>
        <v>8.5399449035812744E-2</v>
      </c>
      <c r="N1001" s="63">
        <v>3714</v>
      </c>
      <c r="O1001" s="63">
        <v>2586</v>
      </c>
      <c r="P1001" s="63">
        <v>8</v>
      </c>
      <c r="Q1001" s="63">
        <v>374</v>
      </c>
      <c r="R1001" s="63">
        <v>110</v>
      </c>
      <c r="S1001" s="63"/>
      <c r="T1001" s="63"/>
      <c r="U1001" s="63"/>
      <c r="V1001" s="63"/>
      <c r="W1001" s="63">
        <f t="shared" si="278"/>
        <v>105</v>
      </c>
      <c r="X1001" s="63"/>
      <c r="Y1001" s="63"/>
      <c r="Z1001" s="63"/>
      <c r="AA1001" s="63">
        <v>0</v>
      </c>
      <c r="AB1001" s="63"/>
      <c r="AE1001" s="8">
        <v>0</v>
      </c>
      <c r="AT1001" t="str">
        <f t="shared" si="281"/>
        <v>Southbridge</v>
      </c>
      <c r="AU1001" s="8" t="s">
        <v>1774</v>
      </c>
      <c r="AV1001">
        <v>1</v>
      </c>
      <c r="AX1001" s="114">
        <v>25</v>
      </c>
      <c r="AY1001" s="116">
        <v>27</v>
      </c>
      <c r="AZ1001" s="116">
        <v>225</v>
      </c>
      <c r="BA1001" s="120">
        <v>63270</v>
      </c>
      <c r="BB1001" s="120">
        <f t="shared" si="282"/>
        <v>25027</v>
      </c>
      <c r="BC1001" t="s">
        <v>1249</v>
      </c>
      <c r="BD1001">
        <f t="shared" si="279"/>
        <v>2563270</v>
      </c>
      <c r="BE1001" s="66">
        <v>84</v>
      </c>
      <c r="BF1001" s="66"/>
      <c r="BI1001">
        <v>20.86</v>
      </c>
      <c r="BJ1001">
        <v>0.5</v>
      </c>
      <c r="BK1001">
        <v>20.36</v>
      </c>
      <c r="BQ1001">
        <v>105</v>
      </c>
      <c r="BS1001">
        <v>0</v>
      </c>
    </row>
    <row r="1002" spans="1:71" hidden="1" outlineLevel="1">
      <c r="A1002" s="64" t="s">
        <v>1398</v>
      </c>
      <c r="B1002" s="8" t="s">
        <v>1320</v>
      </c>
      <c r="C1002" s="1">
        <f t="shared" si="271"/>
        <v>5252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 t="shared" si="272"/>
        <v>6</v>
      </c>
      <c r="G1002" s="1">
        <f t="shared" si="273"/>
        <v>1102</v>
      </c>
      <c r="H1002" s="2">
        <f t="shared" si="280"/>
        <v>0.20982482863670981</v>
      </c>
      <c r="I1002" s="6"/>
      <c r="J1002" s="2">
        <f t="shared" si="274"/>
        <v>0.35396039603960394</v>
      </c>
      <c r="K1002" s="2">
        <f t="shared" si="275"/>
        <v>0.56378522467631376</v>
      </c>
      <c r="L1002" s="2">
        <f t="shared" si="276"/>
        <v>9.5201827875095201E-4</v>
      </c>
      <c r="M1002" s="2">
        <f t="shared" si="277"/>
        <v>8.130236100533135E-2</v>
      </c>
      <c r="N1002" s="63">
        <v>1859</v>
      </c>
      <c r="O1002" s="63">
        <v>2961</v>
      </c>
      <c r="P1002" s="63">
        <v>5</v>
      </c>
      <c r="Q1002" s="63">
        <v>267</v>
      </c>
      <c r="R1002" s="63">
        <v>73</v>
      </c>
      <c r="S1002" s="63"/>
      <c r="T1002" s="63"/>
      <c r="U1002" s="63"/>
      <c r="V1002" s="63"/>
      <c r="W1002" s="63">
        <f t="shared" si="278"/>
        <v>87</v>
      </c>
      <c r="X1002" s="63"/>
      <c r="Y1002" s="63"/>
      <c r="Z1002" s="63"/>
      <c r="AA1002" s="63">
        <v>0</v>
      </c>
      <c r="AB1002" s="63"/>
      <c r="AE1002" s="8">
        <v>0</v>
      </c>
      <c r="AT1002" t="str">
        <f t="shared" si="281"/>
        <v>Southwick</v>
      </c>
      <c r="AU1002" t="s">
        <v>2852</v>
      </c>
      <c r="AV1002">
        <v>1</v>
      </c>
      <c r="AX1002" s="114">
        <v>25</v>
      </c>
      <c r="AY1002" s="116">
        <v>13</v>
      </c>
      <c r="AZ1002" s="116">
        <v>85</v>
      </c>
      <c r="BA1002" s="120">
        <v>65825</v>
      </c>
      <c r="BB1002" s="120">
        <f t="shared" si="282"/>
        <v>25013</v>
      </c>
      <c r="BC1002" t="s">
        <v>1472</v>
      </c>
      <c r="BD1002">
        <f t="shared" si="279"/>
        <v>2565825</v>
      </c>
      <c r="BE1002" s="66">
        <v>75</v>
      </c>
      <c r="BF1002" s="66"/>
      <c r="BI1002">
        <v>31.7</v>
      </c>
      <c r="BJ1002">
        <v>0.75</v>
      </c>
      <c r="BK1002">
        <v>30.96</v>
      </c>
      <c r="BQ1002">
        <v>87</v>
      </c>
      <c r="BS1002">
        <v>0</v>
      </c>
    </row>
    <row r="1003" spans="1:71" hidden="1" outlineLevel="1">
      <c r="A1003" s="64" t="s">
        <v>634</v>
      </c>
      <c r="B1003" s="8" t="s">
        <v>1320</v>
      </c>
      <c r="C1003" s="1">
        <f t="shared" si="271"/>
        <v>5793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 t="shared" si="272"/>
        <v>6</v>
      </c>
      <c r="G1003" s="1">
        <f t="shared" si="273"/>
        <v>780</v>
      </c>
      <c r="H1003" s="2">
        <f t="shared" si="280"/>
        <v>0.13464526152252718</v>
      </c>
      <c r="I1003" s="6"/>
      <c r="J1003" s="2">
        <f t="shared" si="274"/>
        <v>0.39098912480580011</v>
      </c>
      <c r="K1003" s="2">
        <f t="shared" si="275"/>
        <v>0.52563438632832726</v>
      </c>
      <c r="L1003" s="2">
        <f t="shared" si="276"/>
        <v>1.7262213015708614E-3</v>
      </c>
      <c r="M1003" s="2">
        <f t="shared" si="277"/>
        <v>8.1650267564301701E-2</v>
      </c>
      <c r="N1003" s="63">
        <v>2265</v>
      </c>
      <c r="O1003" s="63">
        <v>3045</v>
      </c>
      <c r="P1003" s="63">
        <v>10</v>
      </c>
      <c r="Q1003" s="63">
        <v>296</v>
      </c>
      <c r="R1003" s="63">
        <v>83</v>
      </c>
      <c r="S1003" s="63"/>
      <c r="T1003" s="63"/>
      <c r="U1003" s="63"/>
      <c r="V1003" s="63"/>
      <c r="W1003" s="63">
        <f t="shared" si="278"/>
        <v>94</v>
      </c>
      <c r="X1003" s="63"/>
      <c r="Y1003" s="63"/>
      <c r="Z1003" s="63"/>
      <c r="AA1003" s="63">
        <v>0</v>
      </c>
      <c r="AB1003" s="63"/>
      <c r="AE1003" s="8">
        <v>0</v>
      </c>
      <c r="AT1003" t="str">
        <f t="shared" si="281"/>
        <v>Spencer</v>
      </c>
      <c r="AU1003" s="8" t="s">
        <v>1774</v>
      </c>
      <c r="AV1003">
        <v>2</v>
      </c>
      <c r="AX1003" s="114">
        <v>25</v>
      </c>
      <c r="AY1003" s="116">
        <v>27</v>
      </c>
      <c r="AZ1003" s="116">
        <v>230</v>
      </c>
      <c r="BA1003" s="120">
        <v>66105</v>
      </c>
      <c r="BB1003" s="120">
        <f t="shared" si="282"/>
        <v>25027</v>
      </c>
      <c r="BC1003" t="s">
        <v>1472</v>
      </c>
      <c r="BD1003">
        <f t="shared" si="279"/>
        <v>2566105</v>
      </c>
      <c r="BE1003" s="66">
        <v>82</v>
      </c>
      <c r="BF1003" s="66"/>
      <c r="BI1003">
        <v>34.049999999999997</v>
      </c>
      <c r="BJ1003">
        <v>1.2</v>
      </c>
      <c r="BK1003">
        <v>32.85</v>
      </c>
      <c r="BQ1003">
        <v>94</v>
      </c>
      <c r="BS1003">
        <v>0</v>
      </c>
    </row>
    <row r="1004" spans="1:71" hidden="1" outlineLevel="1">
      <c r="A1004" s="64" t="s">
        <v>1995</v>
      </c>
      <c r="B1004" s="8" t="s">
        <v>1320</v>
      </c>
      <c r="C1004" s="1">
        <f t="shared" si="271"/>
        <v>54526</v>
      </c>
      <c r="D1004" s="5">
        <f>IF(N1004&gt;0, RANK(N1004,(N1004:P1004,Q1004:AE1004)),0)</f>
        <v>1</v>
      </c>
      <c r="E1004" s="5">
        <f>IF(O1004&gt;0,RANK(O1004,(N1004:P1004,Q1004:AE1004)),0)</f>
        <v>2</v>
      </c>
      <c r="F1004" s="5">
        <f t="shared" si="272"/>
        <v>0</v>
      </c>
      <c r="G1004" s="1">
        <f t="shared" si="273"/>
        <v>29110</v>
      </c>
      <c r="H1004" s="2">
        <f t="shared" si="280"/>
        <v>0.5338737483035616</v>
      </c>
      <c r="I1004" s="6"/>
      <c r="J1004" s="2">
        <f t="shared" si="274"/>
        <v>0.73984887943366462</v>
      </c>
      <c r="K1004" s="2">
        <f t="shared" si="275"/>
        <v>0.20597513113010307</v>
      </c>
      <c r="L1004" s="2">
        <f t="shared" si="276"/>
        <v>0</v>
      </c>
      <c r="M1004" s="2">
        <f t="shared" si="277"/>
        <v>5.4175989436232308E-2</v>
      </c>
      <c r="N1004" s="63">
        <v>40341</v>
      </c>
      <c r="O1004" s="63">
        <v>11231</v>
      </c>
      <c r="P1004" s="63">
        <v>0</v>
      </c>
      <c r="Q1004" s="63">
        <v>1409</v>
      </c>
      <c r="R1004" s="63">
        <v>820</v>
      </c>
      <c r="S1004" s="63"/>
      <c r="T1004" s="63"/>
      <c r="U1004" s="63"/>
      <c r="V1004" s="63"/>
      <c r="W1004" s="63">
        <f t="shared" si="278"/>
        <v>725</v>
      </c>
      <c r="X1004" s="63"/>
      <c r="Y1004" s="63"/>
      <c r="Z1004" s="63"/>
      <c r="AA1004" s="63">
        <v>0</v>
      </c>
      <c r="AB1004" s="63"/>
      <c r="AE1004" s="8">
        <v>0</v>
      </c>
      <c r="AT1004" t="str">
        <f t="shared" si="281"/>
        <v>Springfield</v>
      </c>
      <c r="AU1004" t="s">
        <v>2852</v>
      </c>
      <c r="AV1004">
        <v>1</v>
      </c>
      <c r="AX1004" s="114">
        <v>25</v>
      </c>
      <c r="AY1004" s="116">
        <v>13</v>
      </c>
      <c r="AZ1004" s="116">
        <v>90</v>
      </c>
      <c r="BA1004" s="120">
        <v>67000</v>
      </c>
      <c r="BB1004" s="120">
        <f t="shared" si="282"/>
        <v>25013</v>
      </c>
      <c r="BC1004" t="s">
        <v>1249</v>
      </c>
      <c r="BD1004">
        <f t="shared" si="279"/>
        <v>2567000</v>
      </c>
      <c r="BE1004" s="66">
        <v>660</v>
      </c>
      <c r="BF1004" s="66"/>
      <c r="BI1004">
        <v>33.200000000000003</v>
      </c>
      <c r="BJ1004">
        <v>1.1000000000000001</v>
      </c>
      <c r="BK1004">
        <v>32.1</v>
      </c>
      <c r="BQ1004">
        <v>725</v>
      </c>
      <c r="BS1004">
        <v>0</v>
      </c>
    </row>
    <row r="1005" spans="1:71" hidden="1" outlineLevel="1">
      <c r="A1005" s="64" t="s">
        <v>2625</v>
      </c>
      <c r="B1005" s="8" t="s">
        <v>1320</v>
      </c>
      <c r="C1005" s="1">
        <f t="shared" si="271"/>
        <v>4991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 t="shared" si="272"/>
        <v>0</v>
      </c>
      <c r="G1005" s="1">
        <f t="shared" si="273"/>
        <v>165</v>
      </c>
      <c r="H1005" s="2">
        <f t="shared" si="280"/>
        <v>3.3059507112803047E-2</v>
      </c>
      <c r="I1005" s="6"/>
      <c r="J1005" s="2">
        <f t="shared" si="274"/>
        <v>0.43317972350230416</v>
      </c>
      <c r="K1005" s="2">
        <f t="shared" si="275"/>
        <v>0.46623923061510719</v>
      </c>
      <c r="L1005" s="2">
        <f t="shared" si="276"/>
        <v>0</v>
      </c>
      <c r="M1005" s="2">
        <f t="shared" si="277"/>
        <v>0.10058104588258865</v>
      </c>
      <c r="N1005" s="63">
        <v>2162</v>
      </c>
      <c r="O1005" s="63">
        <v>2327</v>
      </c>
      <c r="P1005" s="63">
        <v>0</v>
      </c>
      <c r="Q1005" s="63">
        <v>344</v>
      </c>
      <c r="R1005" s="63">
        <v>64</v>
      </c>
      <c r="S1005" s="63"/>
      <c r="T1005" s="63"/>
      <c r="U1005" s="63"/>
      <c r="V1005" s="63"/>
      <c r="W1005" s="63">
        <f t="shared" si="278"/>
        <v>94</v>
      </c>
      <c r="X1005" s="63"/>
      <c r="Y1005" s="63"/>
      <c r="Z1005" s="63"/>
      <c r="AA1005" s="63">
        <v>0</v>
      </c>
      <c r="AB1005" s="63"/>
      <c r="AE1005" s="8">
        <v>0</v>
      </c>
      <c r="AT1005" t="str">
        <f t="shared" si="281"/>
        <v>Sterling</v>
      </c>
      <c r="AU1005" s="8" t="s">
        <v>1774</v>
      </c>
      <c r="AV1005">
        <v>2</v>
      </c>
      <c r="AX1005" s="114">
        <v>25</v>
      </c>
      <c r="AY1005" s="116">
        <v>27</v>
      </c>
      <c r="AZ1005" s="116">
        <v>235</v>
      </c>
      <c r="BA1005" s="120">
        <v>67385</v>
      </c>
      <c r="BB1005" s="120">
        <f t="shared" si="282"/>
        <v>25027</v>
      </c>
      <c r="BC1005" t="s">
        <v>1472</v>
      </c>
      <c r="BD1005">
        <f t="shared" si="279"/>
        <v>2567385</v>
      </c>
      <c r="BE1005" s="66">
        <v>75</v>
      </c>
      <c r="BF1005" s="66"/>
      <c r="BI1005">
        <v>31.6</v>
      </c>
      <c r="BJ1005">
        <v>1.08</v>
      </c>
      <c r="BK1005">
        <v>30.52</v>
      </c>
      <c r="BQ1005">
        <v>94</v>
      </c>
      <c r="BS1005">
        <v>0</v>
      </c>
    </row>
    <row r="1006" spans="1:71" hidden="1" outlineLevel="1">
      <c r="A1006" s="64" t="s">
        <v>2549</v>
      </c>
      <c r="B1006" s="8" t="s">
        <v>1320</v>
      </c>
      <c r="C1006" s="1">
        <f t="shared" si="271"/>
        <v>1292</v>
      </c>
      <c r="D1006" s="5">
        <f>IF(N1006&gt;0, RANK(N1006,(N1006:P1006,Q1006:AE1006)),0)</f>
        <v>1</v>
      </c>
      <c r="E1006" s="5">
        <f>IF(O1006&gt;0,RANK(O1006,(N1006:P1006,Q1006:AE1006)),0)</f>
        <v>2</v>
      </c>
      <c r="F1006" s="5">
        <f t="shared" si="272"/>
        <v>0</v>
      </c>
      <c r="G1006" s="1">
        <f t="shared" si="273"/>
        <v>713</v>
      </c>
      <c r="H1006" s="2">
        <f t="shared" si="280"/>
        <v>0.55185758513931893</v>
      </c>
      <c r="I1006" s="6"/>
      <c r="J1006" s="2">
        <f t="shared" si="274"/>
        <v>0.74690402476780182</v>
      </c>
      <c r="K1006" s="2">
        <f t="shared" si="275"/>
        <v>0.19504643962848298</v>
      </c>
      <c r="L1006" s="2">
        <f t="shared" si="276"/>
        <v>0</v>
      </c>
      <c r="M1006" s="2">
        <f t="shared" si="277"/>
        <v>5.8049535603715202E-2</v>
      </c>
      <c r="N1006" s="63">
        <v>965</v>
      </c>
      <c r="O1006" s="63">
        <v>252</v>
      </c>
      <c r="P1006" s="63">
        <v>0</v>
      </c>
      <c r="Q1006" s="63">
        <v>29</v>
      </c>
      <c r="R1006" s="63">
        <v>30</v>
      </c>
      <c r="S1006" s="63"/>
      <c r="T1006" s="63"/>
      <c r="U1006" s="63"/>
      <c r="V1006" s="63"/>
      <c r="W1006" s="63">
        <f t="shared" si="278"/>
        <v>16</v>
      </c>
      <c r="X1006" s="63"/>
      <c r="Y1006" s="63"/>
      <c r="Z1006" s="63"/>
      <c r="AA1006" s="63">
        <v>0</v>
      </c>
      <c r="AB1006" s="63"/>
      <c r="AE1006" s="8">
        <v>0</v>
      </c>
      <c r="AT1006" t="str">
        <f t="shared" si="281"/>
        <v>Stockbridge</v>
      </c>
      <c r="AU1006" t="s">
        <v>2313</v>
      </c>
      <c r="AV1006">
        <v>1</v>
      </c>
      <c r="AX1006" s="114">
        <v>25</v>
      </c>
      <c r="AY1006" s="116">
        <v>3</v>
      </c>
      <c r="AZ1006" s="116">
        <v>135</v>
      </c>
      <c r="BA1006" s="120">
        <v>67595</v>
      </c>
      <c r="BB1006" s="120">
        <f t="shared" si="282"/>
        <v>25003</v>
      </c>
      <c r="BC1006" t="s">
        <v>1472</v>
      </c>
      <c r="BD1006">
        <f t="shared" si="279"/>
        <v>2567595</v>
      </c>
      <c r="BE1006" s="66">
        <v>13</v>
      </c>
      <c r="BF1006" s="66"/>
      <c r="BI1006">
        <v>23.71</v>
      </c>
      <c r="BJ1006">
        <v>0.77</v>
      </c>
      <c r="BK1006">
        <v>22.94</v>
      </c>
      <c r="BQ1006">
        <v>16</v>
      </c>
      <c r="BS1006">
        <v>0</v>
      </c>
    </row>
    <row r="1007" spans="1:71" hidden="1" outlineLevel="1">
      <c r="A1007" s="64" t="s">
        <v>2107</v>
      </c>
      <c r="B1007" s="8" t="s">
        <v>1320</v>
      </c>
      <c r="C1007" s="1">
        <f t="shared" si="271"/>
        <v>12840</v>
      </c>
      <c r="D1007" s="5">
        <f>IF(N1007&gt;0, RANK(N1007,(N1007:P1007,Q1007:AE1007)),0)</f>
        <v>1</v>
      </c>
      <c r="E1007" s="5">
        <f>IF(O1007&gt;0,RANK(O1007,(N1007:P1007,Q1007:AE1007)),0)</f>
        <v>2</v>
      </c>
      <c r="F1007" s="5">
        <f t="shared" si="272"/>
        <v>0</v>
      </c>
      <c r="G1007" s="1">
        <f t="shared" si="273"/>
        <v>1719</v>
      </c>
      <c r="H1007" s="2">
        <f t="shared" si="280"/>
        <v>0.13387850467289719</v>
      </c>
      <c r="I1007" s="6"/>
      <c r="J1007" s="2">
        <f t="shared" si="274"/>
        <v>0.54221183800623052</v>
      </c>
      <c r="K1007" s="2">
        <f t="shared" si="275"/>
        <v>0.40833333333333333</v>
      </c>
      <c r="L1007" s="2">
        <f t="shared" si="276"/>
        <v>0</v>
      </c>
      <c r="M1007" s="2">
        <f t="shared" si="277"/>
        <v>4.9454828660436156E-2</v>
      </c>
      <c r="N1007" s="63">
        <v>6962</v>
      </c>
      <c r="O1007" s="63">
        <v>5243</v>
      </c>
      <c r="P1007" s="63">
        <v>0</v>
      </c>
      <c r="Q1007" s="63">
        <v>525</v>
      </c>
      <c r="R1007" s="63">
        <v>110</v>
      </c>
      <c r="S1007" s="63"/>
      <c r="T1007" s="63"/>
      <c r="U1007" s="63"/>
      <c r="V1007" s="63"/>
      <c r="W1007" s="63">
        <f t="shared" si="278"/>
        <v>0</v>
      </c>
      <c r="X1007" s="63"/>
      <c r="Y1007" s="63"/>
      <c r="Z1007" s="63"/>
      <c r="AA1007" s="63">
        <v>0</v>
      </c>
      <c r="AB1007" s="63"/>
      <c r="AE1007" s="8">
        <v>0</v>
      </c>
      <c r="AT1007" t="str">
        <f t="shared" si="281"/>
        <v>Stoneham</v>
      </c>
      <c r="AU1007" t="s">
        <v>503</v>
      </c>
      <c r="AV1007">
        <v>5</v>
      </c>
      <c r="AX1007" s="114">
        <v>25</v>
      </c>
      <c r="AY1007" s="116">
        <v>17</v>
      </c>
      <c r="AZ1007" s="116">
        <v>200</v>
      </c>
      <c r="BA1007" s="120">
        <v>67665</v>
      </c>
      <c r="BB1007" s="120">
        <f t="shared" si="282"/>
        <v>25017</v>
      </c>
      <c r="BC1007" t="s">
        <v>1472</v>
      </c>
      <c r="BD1007">
        <f t="shared" si="279"/>
        <v>2567665</v>
      </c>
      <c r="BE1007" s="66">
        <v>453</v>
      </c>
      <c r="BF1007" s="66"/>
      <c r="BI1007">
        <v>6.71</v>
      </c>
      <c r="BJ1007">
        <v>0.56000000000000005</v>
      </c>
      <c r="BK1007">
        <v>6.15</v>
      </c>
      <c r="BQ1007">
        <v>0</v>
      </c>
      <c r="BS1007">
        <v>0</v>
      </c>
    </row>
    <row r="1008" spans="1:71" hidden="1" outlineLevel="1">
      <c r="A1008" s="64" t="s">
        <v>1271</v>
      </c>
      <c r="B1008" s="8" t="s">
        <v>1320</v>
      </c>
      <c r="C1008" s="1">
        <f t="shared" si="271"/>
        <v>14194</v>
      </c>
      <c r="D1008" s="5">
        <f>IF(N1008&gt;0, RANK(N1008,(N1008:P1008,Q1008:AE1008)),0)</f>
        <v>1</v>
      </c>
      <c r="E1008" s="5">
        <f>IF(O1008&gt;0,RANK(O1008,(N1008:P1008,Q1008:AE1008)),0)</f>
        <v>2</v>
      </c>
      <c r="F1008" s="5">
        <f t="shared" si="272"/>
        <v>6</v>
      </c>
      <c r="G1008" s="1">
        <f t="shared" si="273"/>
        <v>3531</v>
      </c>
      <c r="H1008" s="2">
        <f t="shared" si="280"/>
        <v>0.24876708468366915</v>
      </c>
      <c r="I1008" s="6"/>
      <c r="J1008" s="2">
        <f t="shared" si="274"/>
        <v>0.59539241933211218</v>
      </c>
      <c r="K1008" s="2">
        <f t="shared" si="275"/>
        <v>0.34662533464844303</v>
      </c>
      <c r="L1008" s="2">
        <f t="shared" si="276"/>
        <v>7.0452303790333949E-5</v>
      </c>
      <c r="M1008" s="2">
        <f t="shared" si="277"/>
        <v>5.7911793715654462E-2</v>
      </c>
      <c r="N1008" s="63">
        <v>8451</v>
      </c>
      <c r="O1008" s="63">
        <v>4920</v>
      </c>
      <c r="P1008" s="63">
        <v>1</v>
      </c>
      <c r="Q1008" s="63">
        <v>542</v>
      </c>
      <c r="R1008" s="63">
        <v>162</v>
      </c>
      <c r="S1008" s="63"/>
      <c r="T1008" s="63"/>
      <c r="U1008" s="63"/>
      <c r="V1008" s="63"/>
      <c r="W1008" s="63">
        <f t="shared" si="278"/>
        <v>118</v>
      </c>
      <c r="X1008" s="63"/>
      <c r="Y1008" s="63"/>
      <c r="Z1008" s="63"/>
      <c r="AA1008" s="63">
        <v>0</v>
      </c>
      <c r="AB1008" s="63"/>
      <c r="AE1008" s="8">
        <v>0</v>
      </c>
      <c r="AT1008" t="str">
        <f t="shared" si="281"/>
        <v>Stoughton</v>
      </c>
      <c r="AU1008" t="s">
        <v>753</v>
      </c>
      <c r="AV1008">
        <v>8</v>
      </c>
      <c r="AX1008" s="114">
        <v>25</v>
      </c>
      <c r="AY1008" s="116">
        <v>21</v>
      </c>
      <c r="AZ1008" s="116">
        <v>115</v>
      </c>
      <c r="BA1008" s="120">
        <v>67945</v>
      </c>
      <c r="BB1008" s="120">
        <f t="shared" si="282"/>
        <v>25021</v>
      </c>
      <c r="BC1008" t="s">
        <v>1472</v>
      </c>
      <c r="BD1008">
        <f t="shared" si="279"/>
        <v>2567945</v>
      </c>
      <c r="BE1008" s="66">
        <v>354</v>
      </c>
      <c r="BF1008" s="66"/>
      <c r="BI1008">
        <v>16.27</v>
      </c>
      <c r="BJ1008">
        <v>0.23</v>
      </c>
      <c r="BK1008">
        <v>16.04</v>
      </c>
      <c r="BQ1008">
        <v>118</v>
      </c>
      <c r="BS1008">
        <v>0</v>
      </c>
    </row>
    <row r="1009" spans="1:71" hidden="1" outlineLevel="1">
      <c r="A1009" s="64" t="s">
        <v>1064</v>
      </c>
      <c r="B1009" s="8" t="s">
        <v>1320</v>
      </c>
      <c r="C1009" s="1">
        <f t="shared" si="271"/>
        <v>4431</v>
      </c>
      <c r="D1009" s="5">
        <f>IF(N1009&gt;0, RANK(N1009,(N1009:P1009,Q1009:AE1009)),0)</f>
        <v>1</v>
      </c>
      <c r="E1009" s="5">
        <f>IF(O1009&gt;0,RANK(O1009,(N1009:P1009,Q1009:AE1009)),0)</f>
        <v>2</v>
      </c>
      <c r="F1009" s="5">
        <f t="shared" si="272"/>
        <v>6</v>
      </c>
      <c r="G1009" s="1">
        <f t="shared" si="273"/>
        <v>1447</v>
      </c>
      <c r="H1009" s="2">
        <f t="shared" si="280"/>
        <v>0.32656285262920332</v>
      </c>
      <c r="I1009" s="6"/>
      <c r="J1009" s="2">
        <f t="shared" si="274"/>
        <v>0.6111487248928007</v>
      </c>
      <c r="K1009" s="2">
        <f t="shared" si="275"/>
        <v>0.28458587226359738</v>
      </c>
      <c r="L1009" s="2">
        <f t="shared" si="276"/>
        <v>3.3852403520649968E-3</v>
      </c>
      <c r="M1009" s="2">
        <f t="shared" si="277"/>
        <v>0.10088016249153692</v>
      </c>
      <c r="N1009" s="63">
        <v>2708</v>
      </c>
      <c r="O1009" s="63">
        <v>1261</v>
      </c>
      <c r="P1009" s="63">
        <v>15</v>
      </c>
      <c r="Q1009" s="63">
        <v>286</v>
      </c>
      <c r="R1009" s="63">
        <v>70</v>
      </c>
      <c r="S1009" s="63"/>
      <c r="T1009" s="63"/>
      <c r="U1009" s="63"/>
      <c r="V1009" s="63"/>
      <c r="W1009" s="63">
        <f t="shared" si="278"/>
        <v>91</v>
      </c>
      <c r="X1009" s="63"/>
      <c r="Y1009" s="63"/>
      <c r="Z1009" s="63"/>
      <c r="AA1009" s="63">
        <v>0</v>
      </c>
      <c r="AB1009" s="63"/>
      <c r="AE1009" s="8">
        <v>0</v>
      </c>
      <c r="AT1009" t="str">
        <f t="shared" si="281"/>
        <v>Stow</v>
      </c>
      <c r="AU1009" t="s">
        <v>503</v>
      </c>
      <c r="AV1009">
        <v>3</v>
      </c>
      <c r="AX1009" s="114">
        <v>25</v>
      </c>
      <c r="AY1009" s="116">
        <v>17</v>
      </c>
      <c r="AZ1009" s="116">
        <v>205</v>
      </c>
      <c r="BA1009" s="120">
        <v>68050</v>
      </c>
      <c r="BB1009" s="120">
        <f t="shared" si="282"/>
        <v>25017</v>
      </c>
      <c r="BC1009" t="s">
        <v>1472</v>
      </c>
      <c r="BD1009">
        <f t="shared" si="279"/>
        <v>2568050</v>
      </c>
      <c r="BE1009" s="66">
        <v>56</v>
      </c>
      <c r="BF1009" s="66"/>
      <c r="BI1009">
        <v>18.09</v>
      </c>
      <c r="BJ1009">
        <v>0.47</v>
      </c>
      <c r="BK1009">
        <v>17.62</v>
      </c>
      <c r="BQ1009">
        <v>91</v>
      </c>
      <c r="BS1009">
        <v>0</v>
      </c>
    </row>
    <row r="1010" spans="1:71" hidden="1" outlineLevel="1">
      <c r="A1010" s="64" t="s">
        <v>1377</v>
      </c>
      <c r="B1010" s="8" t="s">
        <v>1320</v>
      </c>
      <c r="C1010" s="1">
        <f t="shared" si="271"/>
        <v>5461</v>
      </c>
      <c r="D1010" s="5">
        <f>IF(N1010&gt;0, RANK(N1010,(N1010:P1010,Q1010:AE1010)),0)</f>
        <v>1</v>
      </c>
      <c r="E1010" s="5">
        <f>IF(O1010&gt;0,RANK(O1010,(N1010:P1010,Q1010:AE1010)),0)</f>
        <v>2</v>
      </c>
      <c r="F1010" s="5">
        <f t="shared" si="272"/>
        <v>0</v>
      </c>
      <c r="G1010" s="1">
        <f t="shared" si="273"/>
        <v>119</v>
      </c>
      <c r="H1010" s="2">
        <f t="shared" si="280"/>
        <v>2.1790880791063907E-2</v>
      </c>
      <c r="I1010" s="6"/>
      <c r="J1010" s="2">
        <f t="shared" si="274"/>
        <v>0.46401757919794911</v>
      </c>
      <c r="K1010" s="2">
        <f t="shared" si="275"/>
        <v>0.44222669840688517</v>
      </c>
      <c r="L1010" s="2">
        <f t="shared" si="276"/>
        <v>0</v>
      </c>
      <c r="M1010" s="2">
        <f t="shared" si="277"/>
        <v>9.3755722395165775E-2</v>
      </c>
      <c r="N1010" s="63">
        <v>2534</v>
      </c>
      <c r="O1010" s="63">
        <v>2415</v>
      </c>
      <c r="P1010" s="63">
        <v>0</v>
      </c>
      <c r="Q1010" s="63">
        <v>320</v>
      </c>
      <c r="R1010" s="63">
        <v>89</v>
      </c>
      <c r="S1010" s="63"/>
      <c r="T1010" s="63"/>
      <c r="U1010" s="63"/>
      <c r="V1010" s="63"/>
      <c r="W1010" s="63">
        <f t="shared" si="278"/>
        <v>103</v>
      </c>
      <c r="X1010" s="63"/>
      <c r="Y1010" s="63"/>
      <c r="Z1010" s="63"/>
      <c r="AA1010" s="63">
        <v>0</v>
      </c>
      <c r="AB1010" s="63"/>
      <c r="AE1010" s="8">
        <v>0</v>
      </c>
      <c r="AT1010" t="str">
        <f t="shared" si="281"/>
        <v>Sturbridge</v>
      </c>
      <c r="AU1010" s="8" t="s">
        <v>1774</v>
      </c>
      <c r="AV1010">
        <v>1</v>
      </c>
      <c r="AX1010" s="114">
        <v>25</v>
      </c>
      <c r="AY1010" s="116">
        <v>27</v>
      </c>
      <c r="AZ1010" s="116">
        <v>240</v>
      </c>
      <c r="BA1010" s="120">
        <v>68155</v>
      </c>
      <c r="BB1010" s="120">
        <f t="shared" si="282"/>
        <v>25027</v>
      </c>
      <c r="BC1010" t="s">
        <v>1472</v>
      </c>
      <c r="BD1010">
        <f t="shared" si="279"/>
        <v>2568155</v>
      </c>
      <c r="BE1010" s="66">
        <v>61</v>
      </c>
      <c r="BF1010" s="66"/>
      <c r="BI1010">
        <v>38.950000000000003</v>
      </c>
      <c r="BJ1010">
        <v>1.54</v>
      </c>
      <c r="BK1010">
        <v>37.409999999999997</v>
      </c>
      <c r="BQ1010">
        <v>103</v>
      </c>
      <c r="BS1010">
        <v>0</v>
      </c>
    </row>
    <row r="1011" spans="1:71" hidden="1" outlineLevel="1">
      <c r="A1011" s="64" t="s">
        <v>679</v>
      </c>
      <c r="B1011" s="8" t="s">
        <v>1320</v>
      </c>
      <c r="C1011" s="1">
        <f t="shared" si="271"/>
        <v>10760</v>
      </c>
      <c r="D1011" s="5">
        <f>IF(N1011&gt;0, RANK(N1011,(N1011:P1011,Q1011:AE1011)),0)</f>
        <v>1</v>
      </c>
      <c r="E1011" s="5">
        <f>IF(O1011&gt;0,RANK(O1011,(N1011:P1011,Q1011:AE1011)),0)</f>
        <v>2</v>
      </c>
      <c r="F1011" s="5">
        <f t="shared" si="272"/>
        <v>6</v>
      </c>
      <c r="G1011" s="1">
        <f t="shared" si="273"/>
        <v>4892</v>
      </c>
      <c r="H1011" s="2">
        <f t="shared" si="280"/>
        <v>0.45464684014869888</v>
      </c>
      <c r="I1011" s="6"/>
      <c r="J1011" s="2">
        <f t="shared" si="274"/>
        <v>0.68791821561338296</v>
      </c>
      <c r="K1011" s="2">
        <f t="shared" si="275"/>
        <v>0.23327137546468402</v>
      </c>
      <c r="L1011" s="2">
        <f t="shared" si="276"/>
        <v>2.9739776951672862E-3</v>
      </c>
      <c r="M1011" s="2">
        <f t="shared" si="277"/>
        <v>7.5836431226765741E-2</v>
      </c>
      <c r="N1011" s="63">
        <v>7402</v>
      </c>
      <c r="O1011" s="63">
        <v>2510</v>
      </c>
      <c r="P1011" s="63">
        <v>32</v>
      </c>
      <c r="Q1011" s="63">
        <v>473</v>
      </c>
      <c r="R1011" s="63">
        <v>86</v>
      </c>
      <c r="S1011" s="63"/>
      <c r="T1011" s="63"/>
      <c r="U1011" s="63"/>
      <c r="V1011" s="63"/>
      <c r="W1011" s="63">
        <f t="shared" si="278"/>
        <v>255</v>
      </c>
      <c r="X1011" s="63"/>
      <c r="Y1011" s="63"/>
      <c r="Z1011" s="63"/>
      <c r="AA1011" s="63">
        <v>0</v>
      </c>
      <c r="AB1011" s="63"/>
      <c r="AE1011" s="8">
        <v>2</v>
      </c>
      <c r="AT1011" t="str">
        <f t="shared" si="281"/>
        <v>Sudbury</v>
      </c>
      <c r="AU1011" t="s">
        <v>503</v>
      </c>
      <c r="AX1011" s="114">
        <v>25</v>
      </c>
      <c r="AY1011" s="116">
        <v>17</v>
      </c>
      <c r="AZ1011" s="116">
        <v>210</v>
      </c>
      <c r="BA1011" s="120">
        <v>68260</v>
      </c>
      <c r="BB1011" s="120">
        <f t="shared" si="282"/>
        <v>25017</v>
      </c>
      <c r="BC1011" t="s">
        <v>1472</v>
      </c>
      <c r="BD1011">
        <f t="shared" si="279"/>
        <v>2568260</v>
      </c>
      <c r="BE1011" s="66">
        <v>180</v>
      </c>
      <c r="BF1011" s="66"/>
      <c r="BI1011">
        <v>24.63</v>
      </c>
      <c r="BJ1011">
        <v>0.26</v>
      </c>
      <c r="BK1011">
        <v>24.37</v>
      </c>
      <c r="BQ1011">
        <v>255</v>
      </c>
      <c r="BS1011">
        <v>0</v>
      </c>
    </row>
    <row r="1012" spans="1:71" hidden="1" outlineLevel="1">
      <c r="A1012" s="64" t="s">
        <v>1084</v>
      </c>
      <c r="B1012" s="8" t="s">
        <v>1320</v>
      </c>
      <c r="C1012" s="1">
        <f t="shared" si="271"/>
        <v>1915</v>
      </c>
      <c r="D1012" s="5">
        <f>IF(N1012&gt;0, RANK(N1012,(N1012:P1012,Q1012:AE1012)),0)</f>
        <v>1</v>
      </c>
      <c r="E1012" s="5">
        <f>IF(O1012&gt;0,RANK(O1012,(N1012:P1012,Q1012:AE1012)),0)</f>
        <v>2</v>
      </c>
      <c r="F1012" s="5">
        <f t="shared" si="272"/>
        <v>0</v>
      </c>
      <c r="G1012" s="1">
        <f t="shared" si="273"/>
        <v>966</v>
      </c>
      <c r="H1012" s="2">
        <f t="shared" si="280"/>
        <v>0.50443864229765012</v>
      </c>
      <c r="I1012" s="6"/>
      <c r="J1012" s="2">
        <f t="shared" si="274"/>
        <v>0.70652741514360318</v>
      </c>
      <c r="K1012" s="2">
        <f t="shared" si="275"/>
        <v>0.202088772845953</v>
      </c>
      <c r="L1012" s="2">
        <f t="shared" si="276"/>
        <v>0</v>
      </c>
      <c r="M1012" s="2">
        <f t="shared" si="277"/>
        <v>9.1383812010443821E-2</v>
      </c>
      <c r="N1012" s="63">
        <v>1353</v>
      </c>
      <c r="O1012" s="63">
        <v>387</v>
      </c>
      <c r="P1012" s="63">
        <v>0</v>
      </c>
      <c r="Q1012" s="63">
        <v>82</v>
      </c>
      <c r="R1012" s="63">
        <v>62</v>
      </c>
      <c r="S1012" s="63"/>
      <c r="T1012" s="63"/>
      <c r="U1012" s="63"/>
      <c r="V1012" s="63"/>
      <c r="W1012" s="63">
        <f t="shared" si="278"/>
        <v>31</v>
      </c>
      <c r="X1012" s="63"/>
      <c r="Y1012" s="63"/>
      <c r="Z1012" s="63"/>
      <c r="AA1012" s="63">
        <v>0</v>
      </c>
      <c r="AB1012" s="63"/>
      <c r="AE1012" s="8">
        <v>0</v>
      </c>
      <c r="AT1012" t="str">
        <f t="shared" si="281"/>
        <v>Sunderland</v>
      </c>
      <c r="AU1012" t="s">
        <v>1138</v>
      </c>
      <c r="AV1012">
        <v>2</v>
      </c>
      <c r="AX1012" s="114">
        <v>25</v>
      </c>
      <c r="AY1012" s="116">
        <v>11</v>
      </c>
      <c r="AZ1012" s="116">
        <v>115</v>
      </c>
      <c r="BA1012" s="120">
        <v>68400</v>
      </c>
      <c r="BB1012" s="120">
        <f t="shared" si="282"/>
        <v>25011</v>
      </c>
      <c r="BC1012" t="s">
        <v>1472</v>
      </c>
      <c r="BD1012">
        <f t="shared" si="279"/>
        <v>2568400</v>
      </c>
      <c r="BE1012" s="66">
        <v>33</v>
      </c>
      <c r="BF1012" s="66"/>
      <c r="BI1012">
        <v>14.8</v>
      </c>
      <c r="BJ1012">
        <v>0.41</v>
      </c>
      <c r="BK1012">
        <v>14.39</v>
      </c>
      <c r="BQ1012">
        <v>31</v>
      </c>
      <c r="BS1012">
        <v>0</v>
      </c>
    </row>
    <row r="1013" spans="1:71" hidden="1" outlineLevel="1">
      <c r="A1013" s="64" t="s">
        <v>638</v>
      </c>
      <c r="B1013" s="8" t="s">
        <v>1320</v>
      </c>
      <c r="C1013" s="1">
        <f t="shared" si="271"/>
        <v>5677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 t="shared" si="272"/>
        <v>0</v>
      </c>
      <c r="G1013" s="1">
        <f t="shared" si="273"/>
        <v>569</v>
      </c>
      <c r="H1013" s="2">
        <f t="shared" si="280"/>
        <v>0.10022899418707064</v>
      </c>
      <c r="I1013" s="6"/>
      <c r="J1013" s="2">
        <f t="shared" si="274"/>
        <v>0.40725735423639248</v>
      </c>
      <c r="K1013" s="2">
        <f t="shared" si="275"/>
        <v>0.50748634842346307</v>
      </c>
      <c r="L1013" s="2">
        <f t="shared" si="276"/>
        <v>0</v>
      </c>
      <c r="M1013" s="2">
        <f t="shared" si="277"/>
        <v>8.5256297340144505E-2</v>
      </c>
      <c r="N1013" s="63">
        <v>2312</v>
      </c>
      <c r="O1013" s="63">
        <v>2881</v>
      </c>
      <c r="P1013" s="63">
        <v>0</v>
      </c>
      <c r="Q1013" s="63">
        <v>313</v>
      </c>
      <c r="R1013" s="63">
        <v>61</v>
      </c>
      <c r="S1013" s="63"/>
      <c r="T1013" s="63"/>
      <c r="U1013" s="63"/>
      <c r="V1013" s="63"/>
      <c r="W1013" s="63">
        <f t="shared" si="278"/>
        <v>110</v>
      </c>
      <c r="X1013" s="63"/>
      <c r="Y1013" s="63"/>
      <c r="Z1013" s="63"/>
      <c r="AA1013" s="63">
        <v>0</v>
      </c>
      <c r="AB1013" s="63"/>
      <c r="AE1013" s="8">
        <v>0</v>
      </c>
      <c r="AT1013" t="str">
        <f t="shared" si="281"/>
        <v>Sutton</v>
      </c>
      <c r="AU1013" s="8" t="s">
        <v>1774</v>
      </c>
      <c r="AV1013">
        <v>2</v>
      </c>
      <c r="AX1013" s="114">
        <v>25</v>
      </c>
      <c r="AY1013" s="116">
        <v>27</v>
      </c>
      <c r="AZ1013" s="116">
        <v>245</v>
      </c>
      <c r="BA1013" s="120">
        <v>68610</v>
      </c>
      <c r="BB1013" s="120">
        <f t="shared" si="282"/>
        <v>25027</v>
      </c>
      <c r="BC1013" t="s">
        <v>1472</v>
      </c>
      <c r="BD1013">
        <f t="shared" si="279"/>
        <v>2568610</v>
      </c>
      <c r="BE1013" s="66">
        <v>71</v>
      </c>
      <c r="BF1013" s="66"/>
      <c r="BI1013">
        <v>33.93</v>
      </c>
      <c r="BJ1013">
        <v>1.55</v>
      </c>
      <c r="BK1013">
        <v>32.380000000000003</v>
      </c>
      <c r="BQ1013">
        <v>110</v>
      </c>
      <c r="BS1013">
        <v>0</v>
      </c>
    </row>
    <row r="1014" spans="1:71" hidden="1" outlineLevel="1">
      <c r="A1014" s="64" t="s">
        <v>2842</v>
      </c>
      <c r="B1014" s="8" t="s">
        <v>1320</v>
      </c>
      <c r="C1014" s="1">
        <f t="shared" si="271"/>
        <v>8692</v>
      </c>
      <c r="D1014" s="5">
        <f>IF(N1014&gt;0, RANK(N1014,(N1014:P1014,Q1014:AE1014)),0)</f>
        <v>1</v>
      </c>
      <c r="E1014" s="5">
        <f>IF(O1014&gt;0,RANK(O1014,(N1014:P1014,Q1014:AE1014)),0)</f>
        <v>2</v>
      </c>
      <c r="F1014" s="5">
        <f t="shared" si="272"/>
        <v>0</v>
      </c>
      <c r="G1014" s="1">
        <f t="shared" si="273"/>
        <v>2968</v>
      </c>
      <c r="H1014" s="2">
        <f t="shared" si="280"/>
        <v>0.34146341463414637</v>
      </c>
      <c r="I1014" s="6"/>
      <c r="J1014" s="2">
        <f t="shared" si="274"/>
        <v>0.63897837091578458</v>
      </c>
      <c r="K1014" s="2">
        <f t="shared" si="275"/>
        <v>0.29751495628163827</v>
      </c>
      <c r="L1014" s="2">
        <f t="shared" si="276"/>
        <v>0</v>
      </c>
      <c r="M1014" s="2">
        <f t="shared" si="277"/>
        <v>6.3506672802577158E-2</v>
      </c>
      <c r="N1014" s="63">
        <v>5554</v>
      </c>
      <c r="O1014" s="63">
        <v>2586</v>
      </c>
      <c r="P1014" s="63">
        <v>0</v>
      </c>
      <c r="Q1014" s="63">
        <v>336</v>
      </c>
      <c r="R1014" s="63">
        <v>100</v>
      </c>
      <c r="S1014" s="63"/>
      <c r="T1014" s="63"/>
      <c r="U1014" s="63"/>
      <c r="V1014" s="63"/>
      <c r="W1014" s="63">
        <f t="shared" si="278"/>
        <v>116</v>
      </c>
      <c r="X1014" s="63"/>
      <c r="Y1014" s="63"/>
      <c r="Z1014" s="63"/>
      <c r="AA1014" s="63">
        <v>0</v>
      </c>
      <c r="AB1014" s="63"/>
      <c r="AE1014" s="8">
        <v>0</v>
      </c>
      <c r="AT1014" t="str">
        <f t="shared" si="281"/>
        <v>Swampscott</v>
      </c>
      <c r="AU1014" t="s">
        <v>842</v>
      </c>
      <c r="AV1014">
        <v>6</v>
      </c>
      <c r="AX1014" s="114">
        <v>25</v>
      </c>
      <c r="AY1014" s="116">
        <v>9</v>
      </c>
      <c r="AZ1014" s="116">
        <v>155</v>
      </c>
      <c r="BA1014" s="120">
        <v>68645</v>
      </c>
      <c r="BB1014" s="120">
        <f t="shared" si="282"/>
        <v>25009</v>
      </c>
      <c r="BC1014" t="s">
        <v>1472</v>
      </c>
      <c r="BD1014">
        <f t="shared" si="279"/>
        <v>2568645</v>
      </c>
      <c r="BE1014" s="66">
        <v>193</v>
      </c>
      <c r="BF1014" s="66"/>
      <c r="BI1014">
        <v>6.73</v>
      </c>
      <c r="BJ1014">
        <v>3.69</v>
      </c>
      <c r="BK1014">
        <v>3.05</v>
      </c>
      <c r="BQ1014">
        <v>116</v>
      </c>
      <c r="BS1014">
        <v>0</v>
      </c>
    </row>
    <row r="1015" spans="1:71" hidden="1" outlineLevel="1">
      <c r="A1015" s="64" t="s">
        <v>1815</v>
      </c>
      <c r="B1015" s="8" t="s">
        <v>1320</v>
      </c>
      <c r="C1015" s="1">
        <f t="shared" si="271"/>
        <v>8778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 t="shared" si="272"/>
        <v>0</v>
      </c>
      <c r="G1015" s="1">
        <f t="shared" si="273"/>
        <v>423</v>
      </c>
      <c r="H1015" s="2">
        <f t="shared" si="280"/>
        <v>4.8188653451811343E-2</v>
      </c>
      <c r="I1015" s="6"/>
      <c r="J1015" s="2">
        <f t="shared" si="274"/>
        <v>0.44748234221918431</v>
      </c>
      <c r="K1015" s="2">
        <f t="shared" si="275"/>
        <v>0.49567099567099565</v>
      </c>
      <c r="L1015" s="2">
        <f t="shared" si="276"/>
        <v>0</v>
      </c>
      <c r="M1015" s="2">
        <f t="shared" si="277"/>
        <v>5.684666210982009E-2</v>
      </c>
      <c r="N1015" s="63">
        <v>3928</v>
      </c>
      <c r="O1015" s="63">
        <v>4351</v>
      </c>
      <c r="P1015" s="63">
        <v>0</v>
      </c>
      <c r="Q1015" s="63">
        <v>285</v>
      </c>
      <c r="R1015" s="63">
        <v>103</v>
      </c>
      <c r="S1015" s="63"/>
      <c r="T1015" s="63"/>
      <c r="U1015" s="63"/>
      <c r="V1015" s="63"/>
      <c r="W1015" s="63">
        <f t="shared" si="278"/>
        <v>111</v>
      </c>
      <c r="X1015" s="63"/>
      <c r="Y1015" s="63"/>
      <c r="Z1015" s="63"/>
      <c r="AA1015" s="63">
        <v>0</v>
      </c>
      <c r="AB1015" s="63"/>
      <c r="AE1015" s="8">
        <v>0</v>
      </c>
      <c r="AT1015" t="str">
        <f t="shared" si="281"/>
        <v>Swansea</v>
      </c>
      <c r="AU1015" t="s">
        <v>2215</v>
      </c>
      <c r="AV1015">
        <v>4</v>
      </c>
      <c r="AX1015" s="114">
        <v>25</v>
      </c>
      <c r="AY1015" s="116">
        <v>5</v>
      </c>
      <c r="AZ1015" s="116">
        <v>90</v>
      </c>
      <c r="BA1015" s="120">
        <v>68750</v>
      </c>
      <c r="BB1015" s="120">
        <f t="shared" si="282"/>
        <v>25005</v>
      </c>
      <c r="BC1015" t="s">
        <v>1472</v>
      </c>
      <c r="BD1015">
        <f t="shared" si="279"/>
        <v>2568750</v>
      </c>
      <c r="BE1015" s="66">
        <v>95</v>
      </c>
      <c r="BF1015" s="66"/>
      <c r="BI1015">
        <v>25.54</v>
      </c>
      <c r="BJ1015">
        <v>2.4700000000000002</v>
      </c>
      <c r="BK1015">
        <v>23.06</v>
      </c>
      <c r="BQ1015">
        <v>111</v>
      </c>
      <c r="BS1015">
        <v>0</v>
      </c>
    </row>
    <row r="1016" spans="1:71" hidden="1" outlineLevel="1">
      <c r="A1016" s="64" t="s">
        <v>2294</v>
      </c>
      <c r="B1016" s="8" t="s">
        <v>1320</v>
      </c>
      <c r="C1016" s="1">
        <f t="shared" si="271"/>
        <v>24130</v>
      </c>
      <c r="D1016" s="5">
        <f>IF(N1016&gt;0, RANK(N1016,(N1016:P1016,Q1016:AE1016)),0)</f>
        <v>1</v>
      </c>
      <c r="E1016" s="5">
        <f>IF(O1016&gt;0,RANK(O1016,(N1016:P1016,Q1016:AE1016)),0)</f>
        <v>2</v>
      </c>
      <c r="F1016" s="5">
        <f t="shared" si="272"/>
        <v>0</v>
      </c>
      <c r="G1016" s="1">
        <f t="shared" si="273"/>
        <v>2392</v>
      </c>
      <c r="H1016" s="2">
        <f t="shared" si="280"/>
        <v>9.9129714048901779E-2</v>
      </c>
      <c r="I1016" s="6"/>
      <c r="J1016" s="2">
        <f t="shared" si="274"/>
        <v>0.51243265644426028</v>
      </c>
      <c r="K1016" s="2">
        <f t="shared" si="275"/>
        <v>0.41330294239535847</v>
      </c>
      <c r="L1016" s="2">
        <f t="shared" si="276"/>
        <v>0</v>
      </c>
      <c r="M1016" s="2">
        <f t="shared" si="277"/>
        <v>7.4264401160381244E-2</v>
      </c>
      <c r="N1016" s="63">
        <v>12365</v>
      </c>
      <c r="O1016" s="63">
        <v>9973</v>
      </c>
      <c r="P1016" s="63">
        <v>0</v>
      </c>
      <c r="Q1016" s="63">
        <v>1042</v>
      </c>
      <c r="R1016" s="63">
        <v>362</v>
      </c>
      <c r="S1016" s="63"/>
      <c r="T1016" s="63"/>
      <c r="U1016" s="63"/>
      <c r="V1016" s="63"/>
      <c r="W1016" s="63">
        <f t="shared" si="278"/>
        <v>388</v>
      </c>
      <c r="X1016" s="63"/>
      <c r="Y1016" s="63"/>
      <c r="Z1016" s="63"/>
      <c r="AA1016" s="63">
        <v>0</v>
      </c>
      <c r="AB1016" s="63"/>
      <c r="AE1016" s="8">
        <v>0</v>
      </c>
      <c r="AT1016" t="str">
        <f t="shared" si="281"/>
        <v>Taunton</v>
      </c>
      <c r="AU1016" t="s">
        <v>2215</v>
      </c>
      <c r="AV1016">
        <v>4</v>
      </c>
      <c r="AX1016" s="114">
        <v>25</v>
      </c>
      <c r="AY1016" s="116">
        <v>5</v>
      </c>
      <c r="AZ1016" s="116">
        <v>95</v>
      </c>
      <c r="BA1016" s="120">
        <v>69170</v>
      </c>
      <c r="BB1016" s="120">
        <f t="shared" si="282"/>
        <v>25005</v>
      </c>
      <c r="BC1016" t="s">
        <v>1249</v>
      </c>
      <c r="BD1016">
        <f t="shared" si="279"/>
        <v>2569170</v>
      </c>
      <c r="BE1016" s="66">
        <v>350</v>
      </c>
      <c r="BF1016" s="66"/>
      <c r="BI1016">
        <v>47.96</v>
      </c>
      <c r="BJ1016">
        <v>1.35</v>
      </c>
      <c r="BK1016">
        <v>46.61</v>
      </c>
      <c r="BQ1016">
        <v>388</v>
      </c>
      <c r="BS1016">
        <v>0</v>
      </c>
    </row>
    <row r="1017" spans="1:71" hidden="1" outlineLevel="1">
      <c r="A1017" s="64" t="s">
        <v>2910</v>
      </c>
      <c r="B1017" s="8" t="s">
        <v>1320</v>
      </c>
      <c r="C1017" s="1">
        <f t="shared" si="271"/>
        <v>4000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 t="shared" si="272"/>
        <v>0</v>
      </c>
      <c r="G1017" s="1">
        <f t="shared" si="273"/>
        <v>547</v>
      </c>
      <c r="H1017" s="2">
        <f t="shared" si="280"/>
        <v>0.13675000000000001</v>
      </c>
      <c r="I1017" s="6"/>
      <c r="J1017" s="2">
        <f t="shared" si="274"/>
        <v>0.38024999999999998</v>
      </c>
      <c r="K1017" s="2">
        <f t="shared" si="275"/>
        <v>0.51700000000000002</v>
      </c>
      <c r="L1017" s="2">
        <f t="shared" si="276"/>
        <v>0</v>
      </c>
      <c r="M1017" s="2">
        <f t="shared" si="277"/>
        <v>0.10275000000000001</v>
      </c>
      <c r="N1017" s="63">
        <v>1521</v>
      </c>
      <c r="O1017" s="63">
        <v>2068</v>
      </c>
      <c r="P1017" s="63">
        <v>0</v>
      </c>
      <c r="Q1017" s="63">
        <v>272</v>
      </c>
      <c r="R1017" s="63">
        <v>59</v>
      </c>
      <c r="S1017" s="63"/>
      <c r="T1017" s="63"/>
      <c r="U1017" s="63"/>
      <c r="V1017" s="63"/>
      <c r="W1017" s="63">
        <f t="shared" si="278"/>
        <v>80</v>
      </c>
      <c r="X1017" s="63"/>
      <c r="Y1017" s="63"/>
      <c r="Z1017" s="63"/>
      <c r="AA1017" s="63">
        <v>0</v>
      </c>
      <c r="AB1017" s="63"/>
      <c r="AE1017" s="8">
        <v>0</v>
      </c>
      <c r="AT1017" t="str">
        <f t="shared" si="281"/>
        <v>Templeton</v>
      </c>
      <c r="AU1017" s="8" t="s">
        <v>1774</v>
      </c>
      <c r="AV1017">
        <v>2</v>
      </c>
      <c r="AX1017" s="114">
        <v>25</v>
      </c>
      <c r="AY1017" s="116">
        <v>27</v>
      </c>
      <c r="AZ1017" s="116">
        <v>250</v>
      </c>
      <c r="BA1017" s="120">
        <v>69275</v>
      </c>
      <c r="BB1017" s="120">
        <f t="shared" si="282"/>
        <v>25027</v>
      </c>
      <c r="BC1017" t="s">
        <v>1472</v>
      </c>
      <c r="BD1017">
        <f t="shared" si="279"/>
        <v>2569275</v>
      </c>
      <c r="BE1017" s="66">
        <v>58</v>
      </c>
      <c r="BF1017" s="66"/>
      <c r="BI1017">
        <v>32.409999999999997</v>
      </c>
      <c r="BJ1017">
        <v>0.38</v>
      </c>
      <c r="BK1017">
        <v>32.04</v>
      </c>
      <c r="BQ1017">
        <v>80</v>
      </c>
      <c r="BS1017">
        <v>0</v>
      </c>
    </row>
    <row r="1018" spans="1:71" hidden="1" outlineLevel="1">
      <c r="A1018" s="64" t="s">
        <v>1494</v>
      </c>
      <c r="B1018" s="8" t="s">
        <v>1320</v>
      </c>
      <c r="C1018" s="1">
        <f t="shared" si="271"/>
        <v>17385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 t="shared" si="272"/>
        <v>0</v>
      </c>
      <c r="G1018" s="1">
        <f t="shared" si="273"/>
        <v>830</v>
      </c>
      <c r="H1018" s="2">
        <f t="shared" si="280"/>
        <v>4.7742306586137477E-2</v>
      </c>
      <c r="I1018" s="6"/>
      <c r="J1018" s="2">
        <f t="shared" si="274"/>
        <v>0.4372735116479724</v>
      </c>
      <c r="K1018" s="2">
        <f t="shared" si="275"/>
        <v>0.48501581823410989</v>
      </c>
      <c r="L1018" s="2">
        <f t="shared" si="276"/>
        <v>0</v>
      </c>
      <c r="M1018" s="2">
        <f t="shared" si="277"/>
        <v>7.7710670117917657E-2</v>
      </c>
      <c r="N1018" s="63">
        <v>7602</v>
      </c>
      <c r="O1018" s="63">
        <v>8432</v>
      </c>
      <c r="P1018" s="63">
        <v>0</v>
      </c>
      <c r="Q1018" s="63">
        <v>843</v>
      </c>
      <c r="R1018" s="63">
        <v>183</v>
      </c>
      <c r="S1018" s="63"/>
      <c r="T1018" s="63"/>
      <c r="U1018" s="63"/>
      <c r="V1018" s="63"/>
      <c r="W1018" s="63">
        <f t="shared" si="278"/>
        <v>325</v>
      </c>
      <c r="X1018" s="63"/>
      <c r="Y1018" s="63"/>
      <c r="Z1018" s="63"/>
      <c r="AA1018" s="63">
        <v>0</v>
      </c>
      <c r="AB1018" s="63"/>
      <c r="AE1018" s="8">
        <v>0</v>
      </c>
      <c r="AT1018" t="str">
        <f t="shared" si="281"/>
        <v>Tewksbury</v>
      </c>
      <c r="AU1018" t="s">
        <v>503</v>
      </c>
      <c r="AV1018">
        <v>6</v>
      </c>
      <c r="AX1018" s="114">
        <v>25</v>
      </c>
      <c r="AY1018" s="116">
        <v>17</v>
      </c>
      <c r="AZ1018" s="116">
        <v>215</v>
      </c>
      <c r="BA1018" s="120">
        <v>69415</v>
      </c>
      <c r="BB1018" s="120">
        <f t="shared" si="282"/>
        <v>25017</v>
      </c>
      <c r="BC1018" t="s">
        <v>1472</v>
      </c>
      <c r="BD1018">
        <f t="shared" si="279"/>
        <v>2569415</v>
      </c>
      <c r="BE1018" s="66">
        <v>223</v>
      </c>
      <c r="BF1018" s="66"/>
      <c r="BI1018">
        <v>21.06</v>
      </c>
      <c r="BJ1018">
        <v>0.34</v>
      </c>
      <c r="BK1018">
        <v>20.72</v>
      </c>
      <c r="BQ1018">
        <v>325</v>
      </c>
      <c r="BS1018">
        <v>0</v>
      </c>
    </row>
    <row r="1019" spans="1:71" hidden="1" outlineLevel="1">
      <c r="A1019" s="64" t="s">
        <v>1612</v>
      </c>
      <c r="B1019" s="8" t="s">
        <v>1320</v>
      </c>
      <c r="C1019" s="1">
        <f t="shared" si="271"/>
        <v>2609</v>
      </c>
      <c r="D1019" s="5">
        <f>IF(N1019&gt;0, RANK(N1019,(N1019:P1019,Q1019:AE1019)),0)</f>
        <v>1</v>
      </c>
      <c r="E1019" s="5">
        <f>IF(O1019&gt;0,RANK(O1019,(N1019:P1019,Q1019:AE1019)),0)</f>
        <v>2</v>
      </c>
      <c r="F1019" s="5">
        <f t="shared" si="272"/>
        <v>0</v>
      </c>
      <c r="G1019" s="1">
        <f t="shared" si="273"/>
        <v>1466</v>
      </c>
      <c r="H1019" s="2">
        <f t="shared" si="280"/>
        <v>0.5619011115369873</v>
      </c>
      <c r="I1019" s="6"/>
      <c r="J1019" s="2">
        <f t="shared" si="274"/>
        <v>0.74434649290916055</v>
      </c>
      <c r="K1019" s="2">
        <f t="shared" si="275"/>
        <v>0.18244538137217325</v>
      </c>
      <c r="L1019" s="2">
        <f t="shared" si="276"/>
        <v>0</v>
      </c>
      <c r="M1019" s="2">
        <f t="shared" si="277"/>
        <v>7.3208125718666195E-2</v>
      </c>
      <c r="N1019" s="63">
        <v>1942</v>
      </c>
      <c r="O1019" s="63">
        <v>476</v>
      </c>
      <c r="P1019" s="63">
        <v>0</v>
      </c>
      <c r="Q1019" s="63">
        <v>72</v>
      </c>
      <c r="R1019" s="63">
        <v>83</v>
      </c>
      <c r="S1019" s="63"/>
      <c r="T1019" s="63"/>
      <c r="U1019" s="63"/>
      <c r="V1019" s="63"/>
      <c r="W1019" s="63">
        <f t="shared" si="278"/>
        <v>36</v>
      </c>
      <c r="X1019" s="63"/>
      <c r="Y1019" s="63"/>
      <c r="Z1019" s="63"/>
      <c r="AA1019" s="63">
        <v>0</v>
      </c>
      <c r="AB1019" s="63"/>
      <c r="AE1019" s="8">
        <v>0</v>
      </c>
      <c r="AT1019" t="str">
        <f t="shared" si="281"/>
        <v>Tisbury</v>
      </c>
      <c r="AU1019" t="s">
        <v>3032</v>
      </c>
      <c r="AV1019">
        <v>9</v>
      </c>
      <c r="AX1019" s="114">
        <v>25</v>
      </c>
      <c r="AY1019" s="116">
        <v>7</v>
      </c>
      <c r="AZ1019" s="116">
        <v>30</v>
      </c>
      <c r="BA1019" s="120">
        <v>69940</v>
      </c>
      <c r="BB1019" s="120">
        <f t="shared" si="282"/>
        <v>25007</v>
      </c>
      <c r="BC1019" t="s">
        <v>1472</v>
      </c>
      <c r="BD1019">
        <f t="shared" si="279"/>
        <v>2569940</v>
      </c>
      <c r="BE1019" s="66">
        <v>45</v>
      </c>
      <c r="BF1019" s="66"/>
      <c r="BI1019">
        <v>19.16</v>
      </c>
      <c r="BJ1019">
        <v>12.6</v>
      </c>
      <c r="BK1019">
        <v>6.56</v>
      </c>
      <c r="BQ1019">
        <v>36</v>
      </c>
      <c r="BS1019">
        <v>0</v>
      </c>
    </row>
    <row r="1020" spans="1:71" hidden="1" outlineLevel="1">
      <c r="A1020" s="64" t="s">
        <v>67</v>
      </c>
      <c r="B1020" s="8" t="s">
        <v>1320</v>
      </c>
      <c r="C1020" s="1">
        <f t="shared" si="271"/>
        <v>314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 t="shared" si="272"/>
        <v>0</v>
      </c>
      <c r="G1020" s="1">
        <f t="shared" si="273"/>
        <v>89</v>
      </c>
      <c r="H1020" s="2">
        <f t="shared" si="280"/>
        <v>0.28343949044585987</v>
      </c>
      <c r="I1020" s="6"/>
      <c r="J1020" s="2">
        <f t="shared" si="274"/>
        <v>0.321656050955414</v>
      </c>
      <c r="K1020" s="2">
        <f t="shared" si="275"/>
        <v>0.60509554140127386</v>
      </c>
      <c r="L1020" s="2">
        <f t="shared" si="276"/>
        <v>0</v>
      </c>
      <c r="M1020" s="2">
        <f t="shared" si="277"/>
        <v>7.3248407643312086E-2</v>
      </c>
      <c r="N1020" s="63">
        <v>101</v>
      </c>
      <c r="O1020" s="63">
        <v>190</v>
      </c>
      <c r="P1020" s="63">
        <v>0</v>
      </c>
      <c r="Q1020" s="63">
        <v>8</v>
      </c>
      <c r="R1020" s="63">
        <v>8</v>
      </c>
      <c r="S1020" s="63"/>
      <c r="T1020" s="63"/>
      <c r="U1020" s="63"/>
      <c r="V1020" s="63"/>
      <c r="W1020" s="63">
        <f t="shared" si="278"/>
        <v>7</v>
      </c>
      <c r="X1020" s="63"/>
      <c r="Y1020" s="63"/>
      <c r="Z1020" s="63"/>
      <c r="AA1020" s="63">
        <v>0</v>
      </c>
      <c r="AB1020" s="63"/>
      <c r="AE1020" s="8">
        <v>0</v>
      </c>
      <c r="AT1020" t="str">
        <f t="shared" si="281"/>
        <v>Tolland</v>
      </c>
      <c r="AU1020" t="s">
        <v>2852</v>
      </c>
      <c r="AV1020">
        <v>1</v>
      </c>
      <c r="AX1020" s="114">
        <v>25</v>
      </c>
      <c r="AY1020" s="116">
        <v>13</v>
      </c>
      <c r="AZ1020" s="116">
        <v>95</v>
      </c>
      <c r="BA1020" s="120">
        <v>70045</v>
      </c>
      <c r="BB1020" s="120">
        <f t="shared" si="282"/>
        <v>25013</v>
      </c>
      <c r="BC1020" t="s">
        <v>1472</v>
      </c>
      <c r="BD1020">
        <f t="shared" si="279"/>
        <v>2570045</v>
      </c>
      <c r="BE1020" s="66">
        <v>5</v>
      </c>
      <c r="BF1020" s="66"/>
      <c r="BI1020">
        <v>32.78</v>
      </c>
      <c r="BJ1020">
        <v>1.1399999999999999</v>
      </c>
      <c r="BK1020">
        <v>31.64</v>
      </c>
      <c r="BQ1020">
        <v>7</v>
      </c>
      <c r="BS1020">
        <v>0</v>
      </c>
    </row>
    <row r="1021" spans="1:71" hidden="1" outlineLevel="1">
      <c r="A1021" s="64" t="s">
        <v>900</v>
      </c>
      <c r="B1021" s="8" t="s">
        <v>1320</v>
      </c>
      <c r="C1021" s="1">
        <f t="shared" si="271"/>
        <v>4014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 t="shared" si="272"/>
        <v>6</v>
      </c>
      <c r="G1021" s="1">
        <f t="shared" si="273"/>
        <v>534</v>
      </c>
      <c r="H1021" s="2">
        <f t="shared" si="280"/>
        <v>0.13303437967115098</v>
      </c>
      <c r="I1021" s="6"/>
      <c r="J1021" s="2">
        <f t="shared" si="274"/>
        <v>0.52316890881913303</v>
      </c>
      <c r="K1021" s="2">
        <f t="shared" si="275"/>
        <v>0.39013452914798208</v>
      </c>
      <c r="L1021" s="2">
        <f t="shared" si="276"/>
        <v>3.7369207772795215E-3</v>
      </c>
      <c r="M1021" s="2">
        <f t="shared" si="277"/>
        <v>8.2959641255605371E-2</v>
      </c>
      <c r="N1021" s="63">
        <v>2100</v>
      </c>
      <c r="O1021" s="63">
        <v>1566</v>
      </c>
      <c r="P1021" s="63">
        <v>15</v>
      </c>
      <c r="Q1021" s="63">
        <v>214</v>
      </c>
      <c r="R1021" s="63">
        <v>34</v>
      </c>
      <c r="S1021" s="63"/>
      <c r="T1021" s="63"/>
      <c r="U1021" s="63"/>
      <c r="V1021" s="63"/>
      <c r="W1021" s="63">
        <f t="shared" si="278"/>
        <v>85</v>
      </c>
      <c r="X1021" s="63"/>
      <c r="Y1021" s="63"/>
      <c r="Z1021" s="63"/>
      <c r="AA1021" s="63">
        <v>0</v>
      </c>
      <c r="AB1021" s="63"/>
      <c r="AE1021" s="8">
        <v>0</v>
      </c>
      <c r="AT1021" t="str">
        <f t="shared" si="281"/>
        <v>Topsfield</v>
      </c>
      <c r="AU1021" t="s">
        <v>842</v>
      </c>
      <c r="AV1021">
        <v>6</v>
      </c>
      <c r="AX1021" s="114">
        <v>25</v>
      </c>
      <c r="AY1021" s="116">
        <v>9</v>
      </c>
      <c r="AZ1021" s="116">
        <v>160</v>
      </c>
      <c r="BA1021" s="120">
        <v>70150</v>
      </c>
      <c r="BB1021" s="120">
        <f t="shared" si="282"/>
        <v>25009</v>
      </c>
      <c r="BC1021" t="s">
        <v>1472</v>
      </c>
      <c r="BD1021">
        <f t="shared" si="279"/>
        <v>2570150</v>
      </c>
      <c r="BE1021" s="66">
        <v>200</v>
      </c>
      <c r="BF1021" s="66"/>
      <c r="BI1021">
        <v>12.84</v>
      </c>
      <c r="BJ1021">
        <v>0.1</v>
      </c>
      <c r="BK1021">
        <v>12.74</v>
      </c>
      <c r="BQ1021">
        <v>85</v>
      </c>
      <c r="BS1021">
        <v>0</v>
      </c>
    </row>
    <row r="1022" spans="1:71" hidden="1" outlineLevel="1">
      <c r="A1022" s="64" t="s">
        <v>106</v>
      </c>
      <c r="B1022" s="8" t="s">
        <v>1320</v>
      </c>
      <c r="C1022" s="1">
        <f t="shared" si="271"/>
        <v>5153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 t="shared" si="272"/>
        <v>6</v>
      </c>
      <c r="G1022" s="1">
        <f t="shared" si="273"/>
        <v>468</v>
      </c>
      <c r="H1022" s="2">
        <f t="shared" si="280"/>
        <v>9.0820881040170776E-2</v>
      </c>
      <c r="I1022" s="6"/>
      <c r="J1022" s="2">
        <f t="shared" si="274"/>
        <v>0.40403648360178535</v>
      </c>
      <c r="K1022" s="2">
        <f t="shared" si="275"/>
        <v>0.49485736464195612</v>
      </c>
      <c r="L1022" s="2">
        <f t="shared" si="276"/>
        <v>1.1643702697457792E-3</v>
      </c>
      <c r="M1022" s="2">
        <f t="shared" si="277"/>
        <v>9.9941781486512754E-2</v>
      </c>
      <c r="N1022" s="63">
        <v>2082</v>
      </c>
      <c r="O1022" s="63">
        <v>2550</v>
      </c>
      <c r="P1022" s="63">
        <v>6</v>
      </c>
      <c r="Q1022" s="63">
        <v>361</v>
      </c>
      <c r="R1022" s="63">
        <v>76</v>
      </c>
      <c r="S1022" s="63"/>
      <c r="T1022" s="63"/>
      <c r="U1022" s="63"/>
      <c r="V1022" s="63"/>
      <c r="W1022" s="63">
        <f t="shared" si="278"/>
        <v>78</v>
      </c>
      <c r="X1022" s="63"/>
      <c r="Y1022" s="63"/>
      <c r="Z1022" s="63"/>
      <c r="AA1022" s="63">
        <v>0</v>
      </c>
      <c r="AB1022" s="63"/>
      <c r="AE1022" s="8">
        <v>0</v>
      </c>
      <c r="AT1022" t="str">
        <f t="shared" si="281"/>
        <v>Townsend</v>
      </c>
      <c r="AU1022" t="s">
        <v>503</v>
      </c>
      <c r="AV1022">
        <v>3</v>
      </c>
      <c r="AX1022" s="114">
        <v>25</v>
      </c>
      <c r="AY1022" s="116">
        <v>17</v>
      </c>
      <c r="AZ1022" s="116">
        <v>220</v>
      </c>
      <c r="BA1022" s="120">
        <v>70360</v>
      </c>
      <c r="BB1022" s="120">
        <f t="shared" si="282"/>
        <v>25017</v>
      </c>
      <c r="BC1022" t="s">
        <v>1472</v>
      </c>
      <c r="BD1022">
        <f t="shared" si="279"/>
        <v>2570360</v>
      </c>
      <c r="BE1022" s="66">
        <v>77</v>
      </c>
      <c r="BF1022" s="66"/>
      <c r="BI1022">
        <v>33.11</v>
      </c>
      <c r="BJ1022">
        <v>0.24</v>
      </c>
      <c r="BK1022">
        <v>32.869999999999997</v>
      </c>
      <c r="BQ1022">
        <v>78</v>
      </c>
      <c r="BS1022">
        <v>0</v>
      </c>
    </row>
    <row r="1023" spans="1:71" hidden="1" outlineLevel="1">
      <c r="A1023" s="64" t="s">
        <v>1291</v>
      </c>
      <c r="B1023" s="8" t="s">
        <v>1320</v>
      </c>
      <c r="C1023" s="1">
        <f t="shared" si="271"/>
        <v>1569</v>
      </c>
      <c r="D1023" s="5">
        <f>IF(N1023&gt;0, RANK(N1023,(N1023:P1023,Q1023:AE1023)),0)</f>
        <v>1</v>
      </c>
      <c r="E1023" s="5">
        <f>IF(O1023&gt;0,RANK(O1023,(N1023:P1023,Q1023:AE1023)),0)</f>
        <v>2</v>
      </c>
      <c r="F1023" s="5">
        <f t="shared" si="272"/>
        <v>6</v>
      </c>
      <c r="G1023" s="1">
        <f t="shared" si="273"/>
        <v>734</v>
      </c>
      <c r="H1023" s="2">
        <f t="shared" si="280"/>
        <v>0.46781389420012748</v>
      </c>
      <c r="I1023" s="6"/>
      <c r="J1023" s="2">
        <f t="shared" si="274"/>
        <v>0.69789674952198855</v>
      </c>
      <c r="K1023" s="2">
        <f t="shared" si="275"/>
        <v>0.23008285532186107</v>
      </c>
      <c r="L1023" s="2">
        <f t="shared" si="276"/>
        <v>6.3734862970044612E-4</v>
      </c>
      <c r="M1023" s="2">
        <f t="shared" si="277"/>
        <v>7.1383046526449945E-2</v>
      </c>
      <c r="N1023" s="63">
        <v>1095</v>
      </c>
      <c r="O1023" s="63">
        <v>361</v>
      </c>
      <c r="P1023" s="63">
        <v>1</v>
      </c>
      <c r="Q1023" s="63">
        <v>62</v>
      </c>
      <c r="R1023" s="63">
        <v>33</v>
      </c>
      <c r="S1023" s="63"/>
      <c r="T1023" s="63"/>
      <c r="U1023" s="63"/>
      <c r="V1023" s="63"/>
      <c r="W1023" s="63">
        <f t="shared" si="278"/>
        <v>17</v>
      </c>
      <c r="X1023" s="63"/>
      <c r="Y1023" s="63"/>
      <c r="Z1023" s="63"/>
      <c r="AA1023" s="63">
        <v>0</v>
      </c>
      <c r="AB1023" s="63"/>
      <c r="AE1023" s="8">
        <v>0</v>
      </c>
      <c r="AT1023" t="str">
        <f t="shared" si="281"/>
        <v>Truro</v>
      </c>
      <c r="AU1023" t="s">
        <v>2411</v>
      </c>
      <c r="AV1023">
        <v>9</v>
      </c>
      <c r="AX1023" s="114">
        <v>25</v>
      </c>
      <c r="AY1023" s="116">
        <v>1</v>
      </c>
      <c r="AZ1023" s="116">
        <v>65</v>
      </c>
      <c r="BA1023" s="120">
        <v>70605</v>
      </c>
      <c r="BB1023" s="120">
        <f t="shared" si="282"/>
        <v>25001</v>
      </c>
      <c r="BC1023" t="s">
        <v>1472</v>
      </c>
      <c r="BD1023">
        <f t="shared" si="279"/>
        <v>2570605</v>
      </c>
      <c r="BE1023" s="66">
        <v>20</v>
      </c>
      <c r="BF1023" s="66"/>
      <c r="BI1023">
        <v>26.32</v>
      </c>
      <c r="BJ1023">
        <v>5.27</v>
      </c>
      <c r="BK1023">
        <v>21.05</v>
      </c>
      <c r="BQ1023">
        <v>17</v>
      </c>
      <c r="BS1023">
        <v>0</v>
      </c>
    </row>
    <row r="1024" spans="1:71" hidden="1" outlineLevel="1">
      <c r="A1024" s="64" t="s">
        <v>617</v>
      </c>
      <c r="B1024" s="8" t="s">
        <v>1320</v>
      </c>
      <c r="C1024" s="1">
        <f t="shared" si="271"/>
        <v>6744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 t="shared" si="272"/>
        <v>0</v>
      </c>
      <c r="G1024" s="1">
        <f t="shared" si="273"/>
        <v>106</v>
      </c>
      <c r="H1024" s="2">
        <f t="shared" si="280"/>
        <v>1.5717674970344011E-2</v>
      </c>
      <c r="I1024" s="6"/>
      <c r="J1024" s="2">
        <f t="shared" si="274"/>
        <v>0.4538849347568209</v>
      </c>
      <c r="K1024" s="2">
        <f t="shared" si="275"/>
        <v>0.46960260972716489</v>
      </c>
      <c r="L1024" s="2">
        <f t="shared" si="276"/>
        <v>0</v>
      </c>
      <c r="M1024" s="2">
        <f t="shared" si="277"/>
        <v>7.6512455516014211E-2</v>
      </c>
      <c r="N1024" s="63">
        <v>3061</v>
      </c>
      <c r="O1024" s="63">
        <v>3167</v>
      </c>
      <c r="P1024" s="63">
        <v>0</v>
      </c>
      <c r="Q1024" s="63">
        <v>364</v>
      </c>
      <c r="R1024" s="63">
        <v>79</v>
      </c>
      <c r="S1024" s="63"/>
      <c r="T1024" s="63"/>
      <c r="U1024" s="63"/>
      <c r="V1024" s="63"/>
      <c r="W1024" s="63">
        <f t="shared" si="278"/>
        <v>73</v>
      </c>
      <c r="X1024" s="63"/>
      <c r="Y1024" s="63"/>
      <c r="Z1024" s="63"/>
      <c r="AA1024" s="63">
        <v>0</v>
      </c>
      <c r="AB1024" s="63"/>
      <c r="AE1024" s="8">
        <v>0</v>
      </c>
      <c r="AT1024" t="str">
        <f t="shared" si="281"/>
        <v>Tyngsborough</v>
      </c>
      <c r="AU1024" t="s">
        <v>503</v>
      </c>
      <c r="AV1024">
        <v>3</v>
      </c>
      <c r="AX1024" s="114">
        <v>25</v>
      </c>
      <c r="AY1024" s="116">
        <v>17</v>
      </c>
      <c r="AZ1024" s="116">
        <v>225</v>
      </c>
      <c r="BA1024" s="120">
        <v>71025</v>
      </c>
      <c r="BB1024" s="120">
        <f t="shared" si="282"/>
        <v>25017</v>
      </c>
      <c r="BC1024" t="s">
        <v>1472</v>
      </c>
      <c r="BD1024">
        <f t="shared" si="279"/>
        <v>2571025</v>
      </c>
      <c r="BE1024" s="66">
        <v>101</v>
      </c>
      <c r="BF1024" s="66"/>
      <c r="BI1024">
        <v>18.05</v>
      </c>
      <c r="BJ1024">
        <v>1.2</v>
      </c>
      <c r="BK1024">
        <v>16.86</v>
      </c>
      <c r="BQ1024">
        <v>73</v>
      </c>
      <c r="BS1024">
        <v>0</v>
      </c>
    </row>
    <row r="1025" spans="1:71" hidden="1" outlineLevel="1">
      <c r="A1025" s="64" t="s">
        <v>909</v>
      </c>
      <c r="B1025" s="8" t="s">
        <v>1320</v>
      </c>
      <c r="C1025" s="1">
        <f t="shared" si="271"/>
        <v>293</v>
      </c>
      <c r="D1025" s="5">
        <f>IF(N1025&gt;0, RANK(N1025,(N1025:P1025,Q1025:AE1025)),0)</f>
        <v>1</v>
      </c>
      <c r="E1025" s="5">
        <f>IF(O1025&gt;0,RANK(O1025,(N1025:P1025,Q1025:AE1025)),0)</f>
        <v>2</v>
      </c>
      <c r="F1025" s="5">
        <f t="shared" si="272"/>
        <v>0</v>
      </c>
      <c r="G1025" s="1">
        <f t="shared" si="273"/>
        <v>131</v>
      </c>
      <c r="H1025" s="2">
        <f t="shared" si="280"/>
        <v>0.44709897610921501</v>
      </c>
      <c r="I1025" s="6"/>
      <c r="J1025" s="2">
        <f t="shared" si="274"/>
        <v>0.68600682593856654</v>
      </c>
      <c r="K1025" s="2">
        <f t="shared" si="275"/>
        <v>0.23890784982935154</v>
      </c>
      <c r="L1025" s="2">
        <f t="shared" si="276"/>
        <v>0</v>
      </c>
      <c r="M1025" s="2">
        <f t="shared" si="277"/>
        <v>7.5085324232081918E-2</v>
      </c>
      <c r="N1025" s="63">
        <v>201</v>
      </c>
      <c r="O1025" s="63">
        <v>70</v>
      </c>
      <c r="P1025" s="63">
        <v>0</v>
      </c>
      <c r="Q1025" s="63">
        <v>13</v>
      </c>
      <c r="R1025" s="63">
        <v>0</v>
      </c>
      <c r="S1025" s="63"/>
      <c r="T1025" s="63"/>
      <c r="U1025" s="63"/>
      <c r="V1025" s="63"/>
      <c r="W1025" s="63">
        <f t="shared" si="278"/>
        <v>9</v>
      </c>
      <c r="X1025" s="63"/>
      <c r="Y1025" s="63"/>
      <c r="Z1025" s="63"/>
      <c r="AA1025" s="63">
        <v>0</v>
      </c>
      <c r="AB1025" s="63"/>
      <c r="AE1025" s="8">
        <v>0</v>
      </c>
      <c r="AT1025" t="str">
        <f t="shared" si="281"/>
        <v>Tyringham</v>
      </c>
      <c r="AU1025" t="s">
        <v>2313</v>
      </c>
      <c r="AV1025">
        <v>1</v>
      </c>
      <c r="AX1025" s="114">
        <v>25</v>
      </c>
      <c r="AY1025" s="116">
        <v>3</v>
      </c>
      <c r="AZ1025" s="116">
        <v>140</v>
      </c>
      <c r="BA1025" s="120">
        <v>71095</v>
      </c>
      <c r="BB1025" s="120">
        <f t="shared" si="282"/>
        <v>25003</v>
      </c>
      <c r="BC1025" t="s">
        <v>1472</v>
      </c>
      <c r="BD1025">
        <f t="shared" si="279"/>
        <v>2571095</v>
      </c>
      <c r="BE1025" s="66">
        <v>6</v>
      </c>
      <c r="BF1025" s="66"/>
      <c r="BI1025">
        <v>18.93</v>
      </c>
      <c r="BJ1025">
        <v>0.23</v>
      </c>
      <c r="BK1025">
        <v>18.7</v>
      </c>
      <c r="BQ1025">
        <v>9</v>
      </c>
      <c r="BS1025">
        <v>0</v>
      </c>
    </row>
    <row r="1026" spans="1:71" hidden="1" outlineLevel="1">
      <c r="A1026" s="64" t="s">
        <v>2020</v>
      </c>
      <c r="B1026" s="8" t="s">
        <v>1320</v>
      </c>
      <c r="C1026" s="1">
        <f t="shared" si="271"/>
        <v>4615</v>
      </c>
      <c r="D1026" s="5">
        <f>IF(N1026&gt;0, RANK(N1026,(N1026:P1026,Q1026:AE1026)),0)</f>
        <v>1</v>
      </c>
      <c r="E1026" s="5">
        <f>IF(O1026&gt;0,RANK(O1026,(N1026:P1026,Q1026:AE1026)),0)</f>
        <v>2</v>
      </c>
      <c r="F1026" s="5">
        <f t="shared" si="272"/>
        <v>6</v>
      </c>
      <c r="G1026" s="1">
        <f t="shared" si="273"/>
        <v>478</v>
      </c>
      <c r="H1026" s="2">
        <f t="shared" si="280"/>
        <v>0.10357529794149513</v>
      </c>
      <c r="I1026" s="6"/>
      <c r="J1026" s="2">
        <f t="shared" si="274"/>
        <v>0.49750812567713976</v>
      </c>
      <c r="K1026" s="2">
        <f t="shared" si="275"/>
        <v>0.39393282773564464</v>
      </c>
      <c r="L1026" s="2">
        <f t="shared" si="276"/>
        <v>1.733477789815818E-3</v>
      </c>
      <c r="M1026" s="2">
        <f t="shared" si="277"/>
        <v>0.10682556879739978</v>
      </c>
      <c r="N1026" s="63">
        <v>2296</v>
      </c>
      <c r="O1026" s="63">
        <v>1818</v>
      </c>
      <c r="P1026" s="63">
        <v>8</v>
      </c>
      <c r="Q1026" s="63">
        <v>327</v>
      </c>
      <c r="R1026" s="63">
        <v>56</v>
      </c>
      <c r="S1026" s="63"/>
      <c r="T1026" s="63"/>
      <c r="U1026" s="63"/>
      <c r="V1026" s="63"/>
      <c r="W1026" s="63">
        <f t="shared" si="278"/>
        <v>110</v>
      </c>
      <c r="X1026" s="63"/>
      <c r="Y1026" s="63"/>
      <c r="Z1026" s="63"/>
      <c r="AA1026" s="63">
        <v>0</v>
      </c>
      <c r="AB1026" s="63"/>
      <c r="AE1026" s="8">
        <v>0</v>
      </c>
      <c r="AT1026" t="str">
        <f t="shared" si="281"/>
        <v>Upton</v>
      </c>
      <c r="AU1026" s="8" t="s">
        <v>1774</v>
      </c>
      <c r="AV1026">
        <v>2</v>
      </c>
      <c r="AX1026" s="114">
        <v>25</v>
      </c>
      <c r="AY1026" s="116">
        <v>27</v>
      </c>
      <c r="AZ1026" s="116">
        <v>255</v>
      </c>
      <c r="BA1026" s="120">
        <v>71480</v>
      </c>
      <c r="BB1026" s="120">
        <f t="shared" si="282"/>
        <v>25027</v>
      </c>
      <c r="BC1026" t="s">
        <v>1472</v>
      </c>
      <c r="BD1026">
        <f t="shared" si="279"/>
        <v>2571480</v>
      </c>
      <c r="BE1026" s="66">
        <v>61</v>
      </c>
      <c r="BF1026" s="66"/>
      <c r="BI1026">
        <v>21.73</v>
      </c>
      <c r="BJ1026">
        <v>0.21</v>
      </c>
      <c r="BK1026">
        <v>21.52</v>
      </c>
      <c r="BQ1026">
        <v>110</v>
      </c>
      <c r="BS1026">
        <v>0</v>
      </c>
    </row>
    <row r="1027" spans="1:71" hidden="1" outlineLevel="1">
      <c r="A1027" s="64" t="s">
        <v>1900</v>
      </c>
      <c r="B1027" s="8" t="s">
        <v>1320</v>
      </c>
      <c r="C1027" s="1">
        <f t="shared" si="271"/>
        <v>7700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 t="shared" si="272"/>
        <v>0</v>
      </c>
      <c r="G1027" s="1">
        <f t="shared" si="273"/>
        <v>432</v>
      </c>
      <c r="H1027" s="2">
        <f t="shared" si="280"/>
        <v>5.6103896103896107E-2</v>
      </c>
      <c r="I1027" s="6"/>
      <c r="J1027" s="2">
        <f t="shared" si="274"/>
        <v>0.42415584415584417</v>
      </c>
      <c r="K1027" s="2">
        <f t="shared" si="275"/>
        <v>0.48025974025974028</v>
      </c>
      <c r="L1027" s="2">
        <f t="shared" si="276"/>
        <v>0</v>
      </c>
      <c r="M1027" s="2">
        <f t="shared" si="277"/>
        <v>9.558441558441555E-2</v>
      </c>
      <c r="N1027" s="63">
        <v>3266</v>
      </c>
      <c r="O1027" s="63">
        <v>3698</v>
      </c>
      <c r="P1027" s="63">
        <v>0</v>
      </c>
      <c r="Q1027" s="63">
        <v>492</v>
      </c>
      <c r="R1027" s="63">
        <v>93</v>
      </c>
      <c r="S1027" s="63"/>
      <c r="T1027" s="63"/>
      <c r="U1027" s="63"/>
      <c r="V1027" s="63"/>
      <c r="W1027" s="63">
        <f t="shared" si="278"/>
        <v>151</v>
      </c>
      <c r="X1027" s="63"/>
      <c r="Y1027" s="63"/>
      <c r="Z1027" s="63"/>
      <c r="AA1027" s="63">
        <v>0</v>
      </c>
      <c r="AB1027" s="63"/>
      <c r="AE1027" s="8">
        <v>0</v>
      </c>
      <c r="AT1027" t="str">
        <f t="shared" si="281"/>
        <v>Uxbridge</v>
      </c>
      <c r="AU1027" s="8" t="s">
        <v>1774</v>
      </c>
      <c r="AV1027">
        <v>2</v>
      </c>
      <c r="AX1027" s="114">
        <v>25</v>
      </c>
      <c r="AY1027" s="116">
        <v>27</v>
      </c>
      <c r="AZ1027" s="116">
        <v>260</v>
      </c>
      <c r="BA1027" s="120">
        <v>71620</v>
      </c>
      <c r="BB1027" s="120">
        <f t="shared" si="282"/>
        <v>25027</v>
      </c>
      <c r="BC1027" t="s">
        <v>1472</v>
      </c>
      <c r="BD1027">
        <f t="shared" si="279"/>
        <v>2571620</v>
      </c>
      <c r="BE1027" s="66">
        <v>98</v>
      </c>
      <c r="BF1027" s="66"/>
      <c r="BI1027">
        <v>30.37</v>
      </c>
      <c r="BJ1027">
        <v>0.83</v>
      </c>
      <c r="BK1027">
        <v>29.54</v>
      </c>
      <c r="BQ1027">
        <v>151</v>
      </c>
      <c r="BS1027">
        <v>0</v>
      </c>
    </row>
    <row r="1028" spans="1:71" hidden="1" outlineLevel="1">
      <c r="A1028" s="64" t="s">
        <v>2609</v>
      </c>
      <c r="B1028" s="8" t="s">
        <v>1320</v>
      </c>
      <c r="C1028" s="1">
        <f t="shared" si="271"/>
        <v>15556</v>
      </c>
      <c r="D1028" s="5">
        <f>IF(N1028&gt;0, RANK(N1028,(N1028:P1028,Q1028:AE1028)),0)</f>
        <v>1</v>
      </c>
      <c r="E1028" s="5">
        <f>IF(O1028&gt;0,RANK(O1028,(N1028:P1028,Q1028:AE1028)),0)</f>
        <v>2</v>
      </c>
      <c r="F1028" s="5">
        <f t="shared" si="272"/>
        <v>6</v>
      </c>
      <c r="G1028" s="1">
        <f t="shared" si="273"/>
        <v>2234</v>
      </c>
      <c r="H1028" s="2">
        <f t="shared" si="280"/>
        <v>0.14361018256621239</v>
      </c>
      <c r="I1028" s="6"/>
      <c r="J1028" s="2">
        <f t="shared" si="274"/>
        <v>0.53317048084340446</v>
      </c>
      <c r="K1028" s="2">
        <f t="shared" si="275"/>
        <v>0.38956029827719207</v>
      </c>
      <c r="L1028" s="2">
        <f t="shared" si="276"/>
        <v>6.4283877603497043E-5</v>
      </c>
      <c r="M1028" s="2">
        <f t="shared" si="277"/>
        <v>7.7204937001799964E-2</v>
      </c>
      <c r="N1028" s="63">
        <v>8294</v>
      </c>
      <c r="O1028" s="63">
        <v>6060</v>
      </c>
      <c r="P1028" s="63">
        <v>1</v>
      </c>
      <c r="Q1028" s="63">
        <v>677</v>
      </c>
      <c r="R1028" s="63">
        <v>160</v>
      </c>
      <c r="S1028" s="63"/>
      <c r="T1028" s="63"/>
      <c r="U1028" s="63"/>
      <c r="V1028" s="63"/>
      <c r="W1028" s="63">
        <f t="shared" si="278"/>
        <v>364</v>
      </c>
      <c r="X1028" s="63"/>
      <c r="Y1028" s="63"/>
      <c r="Z1028" s="63"/>
      <c r="AA1028" s="63">
        <v>0</v>
      </c>
      <c r="AB1028" s="63"/>
      <c r="AE1028" s="8">
        <v>0</v>
      </c>
      <c r="AT1028" t="str">
        <f t="shared" si="281"/>
        <v>Wakefield</v>
      </c>
      <c r="AU1028" t="s">
        <v>503</v>
      </c>
      <c r="AV1028">
        <v>6</v>
      </c>
      <c r="AX1028" s="114">
        <v>25</v>
      </c>
      <c r="AY1028" s="116">
        <v>17</v>
      </c>
      <c r="AZ1028" s="116">
        <v>230</v>
      </c>
      <c r="BA1028" s="120">
        <v>72215</v>
      </c>
      <c r="BB1028" s="120">
        <f t="shared" si="282"/>
        <v>25017</v>
      </c>
      <c r="BC1028" t="s">
        <v>1472</v>
      </c>
      <c r="BD1028">
        <f t="shared" si="279"/>
        <v>2572215</v>
      </c>
      <c r="BE1028" s="66">
        <v>262</v>
      </c>
      <c r="BF1028" s="66"/>
      <c r="BI1028">
        <v>7.91</v>
      </c>
      <c r="BJ1028">
        <v>0.44</v>
      </c>
      <c r="BK1028">
        <v>7.47</v>
      </c>
      <c r="BQ1028">
        <v>364</v>
      </c>
      <c r="BS1028">
        <v>0</v>
      </c>
    </row>
    <row r="1029" spans="1:71" hidden="1" outlineLevel="1">
      <c r="A1029" s="64" t="s">
        <v>2769</v>
      </c>
      <c r="B1029" s="8" t="s">
        <v>1320</v>
      </c>
      <c r="C1029" s="1">
        <f t="shared" si="271"/>
        <v>1013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 t="shared" si="272"/>
        <v>6</v>
      </c>
      <c r="G1029" s="1">
        <f t="shared" si="273"/>
        <v>185</v>
      </c>
      <c r="H1029" s="2">
        <f t="shared" si="280"/>
        <v>0.18262586377097728</v>
      </c>
      <c r="I1029" s="6"/>
      <c r="J1029" s="2">
        <f t="shared" si="274"/>
        <v>0.36031589338598224</v>
      </c>
      <c r="K1029" s="2">
        <f t="shared" si="275"/>
        <v>0.54294175715695958</v>
      </c>
      <c r="L1029" s="2">
        <f t="shared" si="276"/>
        <v>2.9615004935834156E-3</v>
      </c>
      <c r="M1029" s="2">
        <f t="shared" si="277"/>
        <v>9.3780848963474758E-2</v>
      </c>
      <c r="N1029" s="63">
        <v>365</v>
      </c>
      <c r="O1029" s="63">
        <v>550</v>
      </c>
      <c r="P1029" s="63">
        <v>3</v>
      </c>
      <c r="Q1029" s="63">
        <v>52</v>
      </c>
      <c r="R1029" s="63">
        <v>21</v>
      </c>
      <c r="S1029" s="63"/>
      <c r="T1029" s="63"/>
      <c r="U1029" s="63"/>
      <c r="V1029" s="63"/>
      <c r="W1029" s="63">
        <f t="shared" si="278"/>
        <v>22</v>
      </c>
      <c r="X1029" s="63"/>
      <c r="Y1029" s="63"/>
      <c r="Z1029" s="63"/>
      <c r="AA1029" s="63">
        <v>0</v>
      </c>
      <c r="AB1029" s="63"/>
      <c r="AE1029" s="8">
        <v>0</v>
      </c>
      <c r="AT1029" t="str">
        <f t="shared" si="281"/>
        <v>Wales</v>
      </c>
      <c r="AU1029" t="s">
        <v>2852</v>
      </c>
      <c r="AV1029">
        <v>1</v>
      </c>
      <c r="AX1029" s="114">
        <v>25</v>
      </c>
      <c r="AY1029" s="116">
        <v>13</v>
      </c>
      <c r="AZ1029" s="116">
        <v>100</v>
      </c>
      <c r="BA1029" s="120">
        <v>72390</v>
      </c>
      <c r="BB1029" s="120">
        <f t="shared" si="282"/>
        <v>25013</v>
      </c>
      <c r="BC1029" t="s">
        <v>1472</v>
      </c>
      <c r="BD1029">
        <f t="shared" si="279"/>
        <v>2572390</v>
      </c>
      <c r="BE1029" s="66">
        <v>4</v>
      </c>
      <c r="BF1029" s="66"/>
      <c r="BI1029">
        <v>15.96</v>
      </c>
      <c r="BJ1029">
        <v>0.21</v>
      </c>
      <c r="BK1029">
        <v>15.75</v>
      </c>
      <c r="BQ1029">
        <v>22</v>
      </c>
      <c r="BS1029">
        <v>0</v>
      </c>
    </row>
    <row r="1030" spans="1:71" hidden="1" outlineLevel="1">
      <c r="A1030" s="64" t="s">
        <v>2848</v>
      </c>
      <c r="B1030" s="8" t="s">
        <v>1320</v>
      </c>
      <c r="C1030" s="1">
        <f t="shared" si="271"/>
        <v>14535</v>
      </c>
      <c r="D1030" s="5">
        <f>IF(N1030&gt;0, RANK(N1030,(N1030:P1030,Q1030:AE1030)),0)</f>
        <v>1</v>
      </c>
      <c r="E1030" s="5">
        <f>IF(O1030&gt;0,RANK(O1030,(N1030:P1030,Q1030:AE1030)),0)</f>
        <v>2</v>
      </c>
      <c r="F1030" s="5">
        <f t="shared" si="272"/>
        <v>6</v>
      </c>
      <c r="G1030" s="1">
        <f t="shared" si="273"/>
        <v>1224</v>
      </c>
      <c r="H1030" s="2">
        <f t="shared" si="280"/>
        <v>8.4210526315789472E-2</v>
      </c>
      <c r="I1030" s="6"/>
      <c r="J1030" s="2">
        <f t="shared" si="274"/>
        <v>0.50017199862401096</v>
      </c>
      <c r="K1030" s="2">
        <f t="shared" si="275"/>
        <v>0.41596147230822156</v>
      </c>
      <c r="L1030" s="2">
        <f t="shared" si="276"/>
        <v>2.132782937736498E-3</v>
      </c>
      <c r="M1030" s="2">
        <f t="shared" si="277"/>
        <v>8.1733746130030982E-2</v>
      </c>
      <c r="N1030" s="63">
        <v>7270</v>
      </c>
      <c r="O1030" s="63">
        <v>6046</v>
      </c>
      <c r="P1030" s="63">
        <v>31</v>
      </c>
      <c r="Q1030" s="63">
        <v>755</v>
      </c>
      <c r="R1030" s="63">
        <v>135</v>
      </c>
      <c r="S1030" s="63"/>
      <c r="T1030" s="63"/>
      <c r="U1030" s="63"/>
      <c r="V1030" s="63"/>
      <c r="W1030" s="63">
        <f t="shared" si="278"/>
        <v>298</v>
      </c>
      <c r="X1030" s="63"/>
      <c r="Y1030" s="63"/>
      <c r="Z1030" s="63"/>
      <c r="AA1030" s="63">
        <v>0</v>
      </c>
      <c r="AB1030" s="63"/>
      <c r="AE1030" s="8">
        <v>0</v>
      </c>
      <c r="AT1030" t="str">
        <f t="shared" si="281"/>
        <v>Walpole</v>
      </c>
      <c r="AU1030" t="s">
        <v>753</v>
      </c>
      <c r="AV1030">
        <v>8</v>
      </c>
      <c r="AX1030" s="114">
        <v>25</v>
      </c>
      <c r="AY1030" s="116">
        <v>21</v>
      </c>
      <c r="AZ1030" s="116">
        <v>120</v>
      </c>
      <c r="BA1030" s="120">
        <v>72495</v>
      </c>
      <c r="BB1030" s="120">
        <f t="shared" si="282"/>
        <v>25021</v>
      </c>
      <c r="BC1030" t="s">
        <v>1472</v>
      </c>
      <c r="BD1030">
        <f t="shared" si="279"/>
        <v>2572495</v>
      </c>
      <c r="BE1030" s="66">
        <v>293</v>
      </c>
      <c r="BF1030" s="66"/>
      <c r="BI1030">
        <v>21</v>
      </c>
      <c r="BJ1030">
        <v>0.46</v>
      </c>
      <c r="BK1030">
        <v>20.54</v>
      </c>
      <c r="BQ1030">
        <v>298</v>
      </c>
      <c r="BS1030">
        <v>0</v>
      </c>
    </row>
    <row r="1031" spans="1:71" hidden="1" outlineLevel="1">
      <c r="A1031" s="64" t="s">
        <v>858</v>
      </c>
      <c r="B1031" s="8" t="s">
        <v>1320</v>
      </c>
      <c r="C1031" s="1">
        <f t="shared" si="271"/>
        <v>26583</v>
      </c>
      <c r="D1031" s="5">
        <f>IF(N1031&gt;0, RANK(N1031,(N1031:P1031,Q1031:AE1031)),0)</f>
        <v>1</v>
      </c>
      <c r="E1031" s="5">
        <f>IF(O1031&gt;0,RANK(O1031,(N1031:P1031,Q1031:AE1031)),0)</f>
        <v>2</v>
      </c>
      <c r="F1031" s="5">
        <f t="shared" si="272"/>
        <v>6</v>
      </c>
      <c r="G1031" s="1">
        <f t="shared" si="273"/>
        <v>9763</v>
      </c>
      <c r="H1031" s="2">
        <f t="shared" si="280"/>
        <v>0.36726479328894407</v>
      </c>
      <c r="I1031" s="6"/>
      <c r="J1031" s="2">
        <f t="shared" si="274"/>
        <v>0.65286085091976076</v>
      </c>
      <c r="K1031" s="2">
        <f t="shared" si="275"/>
        <v>0.28559605763081669</v>
      </c>
      <c r="L1031" s="2">
        <f t="shared" si="276"/>
        <v>6.01888424933228E-4</v>
      </c>
      <c r="M1031" s="2">
        <f t="shared" si="277"/>
        <v>6.094120302448932E-2</v>
      </c>
      <c r="N1031" s="63">
        <v>17355</v>
      </c>
      <c r="O1031" s="63">
        <v>7592</v>
      </c>
      <c r="P1031" s="63">
        <v>16</v>
      </c>
      <c r="Q1031" s="63">
        <v>962</v>
      </c>
      <c r="R1031" s="63">
        <v>370</v>
      </c>
      <c r="S1031" s="63"/>
      <c r="T1031" s="63"/>
      <c r="U1031" s="63"/>
      <c r="V1031" s="63"/>
      <c r="W1031" s="63">
        <f t="shared" si="278"/>
        <v>288</v>
      </c>
      <c r="X1031" s="63"/>
      <c r="Y1031" s="63"/>
      <c r="Z1031" s="63"/>
      <c r="AA1031" s="63">
        <v>0</v>
      </c>
      <c r="AB1031" s="63"/>
      <c r="AE1031" s="8">
        <v>0</v>
      </c>
      <c r="AT1031" t="str">
        <f t="shared" si="281"/>
        <v>Waltham</v>
      </c>
      <c r="AU1031" t="s">
        <v>503</v>
      </c>
      <c r="AV1031">
        <v>5</v>
      </c>
      <c r="AX1031" s="114">
        <v>25</v>
      </c>
      <c r="AY1031" s="116">
        <v>17</v>
      </c>
      <c r="AZ1031" s="116">
        <v>235</v>
      </c>
      <c r="BA1031" s="120">
        <v>72600</v>
      </c>
      <c r="BB1031" s="120">
        <f t="shared" si="282"/>
        <v>25017</v>
      </c>
      <c r="BC1031" t="s">
        <v>1249</v>
      </c>
      <c r="BD1031">
        <f t="shared" si="279"/>
        <v>2572600</v>
      </c>
      <c r="BE1031" s="66">
        <v>146</v>
      </c>
      <c r="BF1031" s="66"/>
      <c r="BI1031">
        <v>13.61</v>
      </c>
      <c r="BJ1031">
        <v>0.91</v>
      </c>
      <c r="BK1031">
        <v>12.7</v>
      </c>
      <c r="BQ1031">
        <v>288</v>
      </c>
      <c r="BS1031">
        <v>0</v>
      </c>
    </row>
    <row r="1032" spans="1:71" hidden="1" outlineLevel="1">
      <c r="A1032" s="64" t="s">
        <v>1042</v>
      </c>
      <c r="B1032" s="8" t="s">
        <v>1320</v>
      </c>
      <c r="C1032" s="1">
        <f t="shared" si="271"/>
        <v>4444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 t="shared" si="272"/>
        <v>0</v>
      </c>
      <c r="G1032" s="1">
        <f t="shared" si="273"/>
        <v>336</v>
      </c>
      <c r="H1032" s="2">
        <f t="shared" si="280"/>
        <v>7.5607560756075609E-2</v>
      </c>
      <c r="I1032" s="6"/>
      <c r="J1032" s="2">
        <f t="shared" si="274"/>
        <v>0.41696669666966696</v>
      </c>
      <c r="K1032" s="2">
        <f t="shared" si="275"/>
        <v>0.49257425742574257</v>
      </c>
      <c r="L1032" s="2">
        <f t="shared" si="276"/>
        <v>0</v>
      </c>
      <c r="M1032" s="2">
        <f t="shared" si="277"/>
        <v>9.0459045904590418E-2</v>
      </c>
      <c r="N1032" s="63">
        <v>1853</v>
      </c>
      <c r="O1032" s="63">
        <v>2189</v>
      </c>
      <c r="P1032" s="63">
        <v>0</v>
      </c>
      <c r="Q1032" s="63">
        <v>243</v>
      </c>
      <c r="R1032" s="63">
        <v>77</v>
      </c>
      <c r="S1032" s="63"/>
      <c r="T1032" s="63"/>
      <c r="U1032" s="63"/>
      <c r="V1032" s="63"/>
      <c r="W1032" s="63">
        <f t="shared" si="278"/>
        <v>82</v>
      </c>
      <c r="X1032" s="63"/>
      <c r="Y1032" s="63"/>
      <c r="Z1032" s="63"/>
      <c r="AA1032" s="63">
        <v>0</v>
      </c>
      <c r="AB1032" s="63"/>
      <c r="AE1032" s="8">
        <v>0</v>
      </c>
      <c r="AT1032" t="str">
        <f t="shared" si="281"/>
        <v>Ware</v>
      </c>
      <c r="AU1032" t="s">
        <v>2176</v>
      </c>
      <c r="AV1032">
        <v>2</v>
      </c>
      <c r="AX1032" s="114">
        <v>25</v>
      </c>
      <c r="AY1032" s="116">
        <v>15</v>
      </c>
      <c r="AZ1032" s="116">
        <v>85</v>
      </c>
      <c r="BA1032" s="120">
        <v>72880</v>
      </c>
      <c r="BB1032" s="120">
        <f t="shared" si="282"/>
        <v>25015</v>
      </c>
      <c r="BC1032" t="s">
        <v>1472</v>
      </c>
      <c r="BD1032">
        <f t="shared" si="279"/>
        <v>2572880</v>
      </c>
      <c r="BE1032" s="66">
        <v>92</v>
      </c>
      <c r="BF1032" s="66"/>
      <c r="BI1032">
        <v>39.979999999999997</v>
      </c>
      <c r="BJ1032">
        <v>5.57</v>
      </c>
      <c r="BK1032">
        <v>34.409999999999997</v>
      </c>
      <c r="BQ1032">
        <v>82</v>
      </c>
      <c r="BS1032">
        <v>0</v>
      </c>
    </row>
    <row r="1033" spans="1:71" hidden="1" outlineLevel="1">
      <c r="A1033" s="64" t="s">
        <v>2114</v>
      </c>
      <c r="B1033" s="8" t="s">
        <v>1320</v>
      </c>
      <c r="C1033" s="1">
        <f t="shared" si="271"/>
        <v>11393</v>
      </c>
      <c r="D1033" s="5">
        <f>IF(N1033&gt;0, RANK(N1033,(N1033:P1033,Q1033:AE1033)),0)</f>
        <v>1</v>
      </c>
      <c r="E1033" s="5">
        <f>IF(O1033&gt;0,RANK(O1033,(N1033:P1033,Q1033:AE1033)),0)</f>
        <v>2</v>
      </c>
      <c r="F1033" s="5">
        <f t="shared" si="272"/>
        <v>0</v>
      </c>
      <c r="G1033" s="1">
        <f t="shared" si="273"/>
        <v>331</v>
      </c>
      <c r="H1033" s="2">
        <f t="shared" si="280"/>
        <v>2.9052927236022118E-2</v>
      </c>
      <c r="I1033" s="6"/>
      <c r="J1033" s="2">
        <f t="shared" si="274"/>
        <v>0.47704730975160187</v>
      </c>
      <c r="K1033" s="2">
        <f t="shared" si="275"/>
        <v>0.44799438251557971</v>
      </c>
      <c r="L1033" s="2">
        <f t="shared" si="276"/>
        <v>0</v>
      </c>
      <c r="M1033" s="2">
        <f t="shared" si="277"/>
        <v>7.4958307732818363E-2</v>
      </c>
      <c r="N1033" s="63">
        <v>5435</v>
      </c>
      <c r="O1033" s="63">
        <v>5104</v>
      </c>
      <c r="P1033" s="63">
        <v>0</v>
      </c>
      <c r="Q1033" s="63">
        <v>500</v>
      </c>
      <c r="R1033" s="63">
        <v>176</v>
      </c>
      <c r="S1033" s="63"/>
      <c r="T1033" s="63"/>
      <c r="U1033" s="63"/>
      <c r="V1033" s="63"/>
      <c r="W1033" s="63">
        <f t="shared" si="278"/>
        <v>178</v>
      </c>
      <c r="X1033" s="63"/>
      <c r="Y1033" s="63"/>
      <c r="Z1033" s="63"/>
      <c r="AA1033" s="63">
        <v>0</v>
      </c>
      <c r="AB1033" s="63"/>
      <c r="AE1033" s="8">
        <v>0</v>
      </c>
      <c r="AT1033" t="str">
        <f t="shared" si="281"/>
        <v>Wareham</v>
      </c>
      <c r="AU1033" t="s">
        <v>231</v>
      </c>
      <c r="AV1033">
        <v>9</v>
      </c>
      <c r="AX1033" s="114">
        <v>25</v>
      </c>
      <c r="AY1033" s="116">
        <v>23</v>
      </c>
      <c r="AZ1033" s="116">
        <v>125</v>
      </c>
      <c r="BA1033" s="120">
        <v>72985</v>
      </c>
      <c r="BB1033" s="120">
        <f t="shared" si="282"/>
        <v>25023</v>
      </c>
      <c r="BC1033" t="s">
        <v>1472</v>
      </c>
      <c r="BD1033">
        <f t="shared" si="279"/>
        <v>2572985</v>
      </c>
      <c r="BE1033" s="66">
        <v>140</v>
      </c>
      <c r="BF1033" s="66"/>
      <c r="BI1033">
        <v>46.28</v>
      </c>
      <c r="BJ1033">
        <v>10.48</v>
      </c>
      <c r="BK1033">
        <v>35.799999999999997</v>
      </c>
      <c r="BQ1033">
        <v>178</v>
      </c>
      <c r="BS1033">
        <v>0</v>
      </c>
    </row>
    <row r="1034" spans="1:71" hidden="1" outlineLevel="1">
      <c r="A1034" s="64" t="s">
        <v>422</v>
      </c>
      <c r="B1034" s="8" t="s">
        <v>1320</v>
      </c>
      <c r="C1034" s="1">
        <f t="shared" si="271"/>
        <v>2379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 t="shared" si="272"/>
        <v>0</v>
      </c>
      <c r="G1034" s="1">
        <f t="shared" si="273"/>
        <v>362</v>
      </c>
      <c r="H1034" s="2">
        <f t="shared" si="280"/>
        <v>0.15216477511559479</v>
      </c>
      <c r="I1034" s="6"/>
      <c r="J1034" s="2">
        <f t="shared" si="274"/>
        <v>0.37999159310634723</v>
      </c>
      <c r="K1034" s="2">
        <f t="shared" si="275"/>
        <v>0.53215636822194201</v>
      </c>
      <c r="L1034" s="2">
        <f t="shared" si="276"/>
        <v>0</v>
      </c>
      <c r="M1034" s="2">
        <f t="shared" si="277"/>
        <v>8.7852038671710764E-2</v>
      </c>
      <c r="N1034" s="63">
        <v>904</v>
      </c>
      <c r="O1034" s="63">
        <v>1266</v>
      </c>
      <c r="P1034" s="63">
        <v>0</v>
      </c>
      <c r="Q1034" s="63">
        <v>142</v>
      </c>
      <c r="R1034" s="63">
        <v>39</v>
      </c>
      <c r="S1034" s="63"/>
      <c r="T1034" s="63"/>
      <c r="U1034" s="63"/>
      <c r="V1034" s="63"/>
      <c r="W1034" s="63">
        <f t="shared" si="278"/>
        <v>28</v>
      </c>
      <c r="X1034" s="63"/>
      <c r="Y1034" s="63"/>
      <c r="Z1034" s="63"/>
      <c r="AA1034" s="63">
        <v>0</v>
      </c>
      <c r="AB1034" s="63"/>
      <c r="AE1034" s="8">
        <v>0</v>
      </c>
      <c r="AT1034" t="str">
        <f t="shared" si="281"/>
        <v>Warren</v>
      </c>
      <c r="AU1034" s="8" t="s">
        <v>1774</v>
      </c>
      <c r="AV1034">
        <v>1</v>
      </c>
      <c r="AX1034" s="114">
        <v>25</v>
      </c>
      <c r="AY1034" s="116">
        <v>27</v>
      </c>
      <c r="AZ1034" s="116">
        <v>265</v>
      </c>
      <c r="BA1034" s="120">
        <v>73090</v>
      </c>
      <c r="BB1034" s="120">
        <f t="shared" si="282"/>
        <v>25027</v>
      </c>
      <c r="BC1034" t="s">
        <v>1472</v>
      </c>
      <c r="BD1034">
        <f t="shared" si="279"/>
        <v>2573090</v>
      </c>
      <c r="BE1034" s="66">
        <v>33</v>
      </c>
      <c r="BF1034" s="66"/>
      <c r="BI1034">
        <v>27.62</v>
      </c>
      <c r="BJ1034">
        <v>0.09</v>
      </c>
      <c r="BK1034">
        <v>27.53</v>
      </c>
      <c r="BQ1034">
        <v>28</v>
      </c>
      <c r="BS1034">
        <v>0</v>
      </c>
    </row>
    <row r="1035" spans="1:71" hidden="1" outlineLevel="1">
      <c r="A1035" s="64" t="s">
        <v>2296</v>
      </c>
      <c r="B1035" s="8" t="s">
        <v>1320</v>
      </c>
      <c r="C1035" s="1">
        <f t="shared" si="271"/>
        <v>457</v>
      </c>
      <c r="D1035" s="5">
        <f>IF(N1035&gt;0, RANK(N1035,(N1035:P1035,Q1035:AE1035)),0)</f>
        <v>1</v>
      </c>
      <c r="E1035" s="5">
        <f>IF(O1035&gt;0,RANK(O1035,(N1035:P1035,Q1035:AE1035)),0)</f>
        <v>2</v>
      </c>
      <c r="F1035" s="5">
        <f t="shared" si="272"/>
        <v>0</v>
      </c>
      <c r="G1035" s="1">
        <f t="shared" si="273"/>
        <v>129</v>
      </c>
      <c r="H1035" s="2">
        <f t="shared" si="280"/>
        <v>0.28227571115973743</v>
      </c>
      <c r="I1035" s="6"/>
      <c r="J1035" s="2">
        <f t="shared" si="274"/>
        <v>0.5929978118161926</v>
      </c>
      <c r="K1035" s="2">
        <f t="shared" si="275"/>
        <v>0.31072210065645517</v>
      </c>
      <c r="L1035" s="2">
        <f t="shared" si="276"/>
        <v>0</v>
      </c>
      <c r="M1035" s="2">
        <f t="shared" si="277"/>
        <v>9.6280087527352232E-2</v>
      </c>
      <c r="N1035" s="63">
        <v>271</v>
      </c>
      <c r="O1035" s="63">
        <v>142</v>
      </c>
      <c r="P1035" s="63">
        <v>0</v>
      </c>
      <c r="Q1035" s="63">
        <v>25</v>
      </c>
      <c r="R1035" s="63">
        <v>19</v>
      </c>
      <c r="S1035" s="63"/>
      <c r="T1035" s="63"/>
      <c r="U1035" s="63"/>
      <c r="V1035" s="63"/>
      <c r="W1035" s="63">
        <f t="shared" si="278"/>
        <v>0</v>
      </c>
      <c r="X1035" s="63"/>
      <c r="Y1035" s="63"/>
      <c r="Z1035" s="63"/>
      <c r="AA1035" s="63">
        <v>0</v>
      </c>
      <c r="AB1035" s="63"/>
      <c r="AE1035" s="8">
        <v>0</v>
      </c>
      <c r="AT1035" t="str">
        <f t="shared" si="281"/>
        <v>Warwick</v>
      </c>
      <c r="AU1035" t="s">
        <v>1138</v>
      </c>
      <c r="AV1035">
        <v>2</v>
      </c>
      <c r="AX1035" s="114">
        <v>25</v>
      </c>
      <c r="AY1035" s="116">
        <v>11</v>
      </c>
      <c r="AZ1035" s="116">
        <v>120</v>
      </c>
      <c r="BA1035" s="120">
        <v>73265</v>
      </c>
      <c r="BB1035" s="120">
        <f t="shared" si="282"/>
        <v>25011</v>
      </c>
      <c r="BC1035" t="s">
        <v>1472</v>
      </c>
      <c r="BD1035">
        <f t="shared" si="279"/>
        <v>2573265</v>
      </c>
      <c r="BE1035" s="66">
        <v>17</v>
      </c>
      <c r="BF1035" s="66"/>
      <c r="BI1035">
        <v>37.6</v>
      </c>
      <c r="BJ1035">
        <v>0.34</v>
      </c>
      <c r="BK1035">
        <v>37.270000000000003</v>
      </c>
      <c r="BQ1035">
        <v>0</v>
      </c>
      <c r="BS1035">
        <v>0</v>
      </c>
    </row>
    <row r="1036" spans="1:71" hidden="1" outlineLevel="1">
      <c r="A1036" s="64" t="s">
        <v>692</v>
      </c>
      <c r="B1036" s="8" t="s">
        <v>1320</v>
      </c>
      <c r="C1036" s="1">
        <f t="shared" si="271"/>
        <v>326</v>
      </c>
      <c r="D1036" s="5">
        <f>IF(N1036&gt;0, RANK(N1036,(N1036:P1036,Q1036:AE1036)),0)</f>
        <v>1</v>
      </c>
      <c r="E1036" s="5">
        <f>IF(O1036&gt;0,RANK(O1036,(N1036:P1036,Q1036:AE1036)),0)</f>
        <v>2</v>
      </c>
      <c r="F1036" s="5">
        <f t="shared" si="272"/>
        <v>0</v>
      </c>
      <c r="G1036" s="1">
        <f t="shared" si="273"/>
        <v>128</v>
      </c>
      <c r="H1036" s="2">
        <f t="shared" si="280"/>
        <v>0.39263803680981596</v>
      </c>
      <c r="I1036" s="6"/>
      <c r="J1036" s="2">
        <f t="shared" si="274"/>
        <v>0.66564417177914115</v>
      </c>
      <c r="K1036" s="2">
        <f t="shared" si="275"/>
        <v>0.27300613496932513</v>
      </c>
      <c r="L1036" s="2">
        <f t="shared" si="276"/>
        <v>0</v>
      </c>
      <c r="M1036" s="2">
        <f t="shared" si="277"/>
        <v>6.1349693251533721E-2</v>
      </c>
      <c r="N1036" s="63">
        <v>217</v>
      </c>
      <c r="O1036" s="63">
        <v>89</v>
      </c>
      <c r="P1036" s="63">
        <v>0</v>
      </c>
      <c r="Q1036" s="63">
        <v>9</v>
      </c>
      <c r="R1036" s="63">
        <v>5</v>
      </c>
      <c r="S1036" s="63"/>
      <c r="T1036" s="63"/>
      <c r="U1036" s="63"/>
      <c r="V1036" s="63"/>
      <c r="W1036" s="63">
        <f t="shared" si="278"/>
        <v>6</v>
      </c>
      <c r="X1036" s="63"/>
      <c r="Y1036" s="63"/>
      <c r="Z1036" s="63"/>
      <c r="AA1036" s="63">
        <v>0</v>
      </c>
      <c r="AB1036" s="63"/>
      <c r="AE1036" s="8">
        <v>0</v>
      </c>
      <c r="AT1036" t="str">
        <f t="shared" si="281"/>
        <v>Washington</v>
      </c>
      <c r="AU1036" t="s">
        <v>2313</v>
      </c>
      <c r="AV1036">
        <v>1</v>
      </c>
      <c r="AX1036" s="114">
        <v>25</v>
      </c>
      <c r="AY1036" s="116">
        <v>3</v>
      </c>
      <c r="AZ1036" s="116">
        <v>145</v>
      </c>
      <c r="BA1036" s="120">
        <v>73335</v>
      </c>
      <c r="BB1036" s="120">
        <f t="shared" si="282"/>
        <v>25003</v>
      </c>
      <c r="BC1036" t="s">
        <v>1472</v>
      </c>
      <c r="BD1036">
        <f t="shared" si="279"/>
        <v>2573335</v>
      </c>
      <c r="BE1036" s="66">
        <v>1</v>
      </c>
      <c r="BF1036" s="66"/>
      <c r="BI1036">
        <v>38.68</v>
      </c>
      <c r="BJ1036">
        <v>0.92</v>
      </c>
      <c r="BK1036">
        <v>37.76</v>
      </c>
      <c r="BQ1036">
        <v>6</v>
      </c>
      <c r="BS1036">
        <v>0</v>
      </c>
    </row>
    <row r="1037" spans="1:71" hidden="1" outlineLevel="1">
      <c r="A1037" s="64" t="s">
        <v>1357</v>
      </c>
      <c r="B1037" s="8" t="s">
        <v>1320</v>
      </c>
      <c r="C1037" s="1">
        <f t="shared" si="271"/>
        <v>18467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 t="shared" si="272"/>
        <v>0</v>
      </c>
      <c r="G1037" s="1">
        <f t="shared" si="273"/>
        <v>9225</v>
      </c>
      <c r="H1037" s="2">
        <f t="shared" si="280"/>
        <v>0.49953971949964804</v>
      </c>
      <c r="I1037" s="6"/>
      <c r="J1037" s="2">
        <f t="shared" si="274"/>
        <v>0.71294741972166564</v>
      </c>
      <c r="K1037" s="2">
        <f t="shared" si="275"/>
        <v>0.21340770022201766</v>
      </c>
      <c r="L1037" s="2">
        <f t="shared" si="276"/>
        <v>0</v>
      </c>
      <c r="M1037" s="2">
        <f t="shared" si="277"/>
        <v>7.3644880056316697E-2</v>
      </c>
      <c r="N1037" s="63">
        <v>13166</v>
      </c>
      <c r="O1037" s="63">
        <v>3941</v>
      </c>
      <c r="P1037" s="63">
        <v>0</v>
      </c>
      <c r="Q1037" s="63">
        <v>629</v>
      </c>
      <c r="R1037" s="63">
        <v>323</v>
      </c>
      <c r="S1037" s="63"/>
      <c r="T1037" s="63"/>
      <c r="U1037" s="63"/>
      <c r="V1037" s="63"/>
      <c r="W1037" s="63">
        <f t="shared" si="278"/>
        <v>408</v>
      </c>
      <c r="X1037" s="63"/>
      <c r="Y1037" s="63"/>
      <c r="Z1037" s="63"/>
      <c r="AA1037" s="63">
        <v>0</v>
      </c>
      <c r="AB1037" s="63"/>
      <c r="AE1037" s="8">
        <v>0</v>
      </c>
      <c r="AT1037" t="str">
        <f t="shared" si="281"/>
        <v>Watertown</v>
      </c>
      <c r="AU1037" t="s">
        <v>503</v>
      </c>
      <c r="AV1037">
        <v>5</v>
      </c>
      <c r="AX1037" s="114">
        <v>25</v>
      </c>
      <c r="AY1037" s="116">
        <v>17</v>
      </c>
      <c r="AZ1037" s="116">
        <v>240</v>
      </c>
      <c r="BA1037" s="120">
        <v>73440</v>
      </c>
      <c r="BB1037" s="120">
        <f t="shared" si="282"/>
        <v>25017</v>
      </c>
      <c r="BC1037" t="s">
        <v>1249</v>
      </c>
      <c r="BD1037">
        <f t="shared" si="279"/>
        <v>2573440</v>
      </c>
      <c r="BE1037" s="66">
        <v>201</v>
      </c>
      <c r="BF1037" s="66"/>
      <c r="BI1037">
        <v>4.16</v>
      </c>
      <c r="BJ1037">
        <v>0.05</v>
      </c>
      <c r="BK1037">
        <v>4.1100000000000003</v>
      </c>
      <c r="BQ1037">
        <v>408</v>
      </c>
      <c r="BS1037">
        <v>0</v>
      </c>
    </row>
    <row r="1038" spans="1:71" hidden="1" outlineLevel="1">
      <c r="A1038" s="64" t="s">
        <v>2212</v>
      </c>
      <c r="B1038" s="8" t="s">
        <v>1320</v>
      </c>
      <c r="C1038" s="1">
        <f t="shared" si="271"/>
        <v>8472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 t="shared" si="272"/>
        <v>6</v>
      </c>
      <c r="G1038" s="1">
        <f t="shared" si="273"/>
        <v>4430</v>
      </c>
      <c r="H1038" s="2">
        <f t="shared" si="280"/>
        <v>0.52289896128423041</v>
      </c>
      <c r="I1038" s="6"/>
      <c r="J1038" s="2">
        <f t="shared" si="274"/>
        <v>0.72167138810198306</v>
      </c>
      <c r="K1038" s="2">
        <f t="shared" si="275"/>
        <v>0.19877242681775259</v>
      </c>
      <c r="L1038" s="2">
        <f t="shared" si="276"/>
        <v>2.7148253068932956E-3</v>
      </c>
      <c r="M1038" s="2">
        <f t="shared" si="277"/>
        <v>7.684135977337106E-2</v>
      </c>
      <c r="N1038" s="63">
        <v>6114</v>
      </c>
      <c r="O1038" s="63">
        <v>1684</v>
      </c>
      <c r="P1038" s="63">
        <v>23</v>
      </c>
      <c r="Q1038" s="63">
        <v>374</v>
      </c>
      <c r="R1038" s="63">
        <v>98</v>
      </c>
      <c r="S1038" s="63"/>
      <c r="T1038" s="63"/>
      <c r="U1038" s="63"/>
      <c r="V1038" s="63"/>
      <c r="W1038" s="63">
        <f t="shared" si="278"/>
        <v>179</v>
      </c>
      <c r="X1038" s="63"/>
      <c r="Y1038" s="63"/>
      <c r="Z1038" s="63"/>
      <c r="AA1038" s="63">
        <v>0</v>
      </c>
      <c r="AB1038" s="63"/>
      <c r="AE1038" s="8">
        <v>0</v>
      </c>
      <c r="AT1038" t="str">
        <f t="shared" si="281"/>
        <v>Wayland</v>
      </c>
      <c r="AU1038" t="s">
        <v>503</v>
      </c>
      <c r="AV1038">
        <v>5</v>
      </c>
      <c r="AX1038" s="114">
        <v>25</v>
      </c>
      <c r="AY1038" s="116">
        <v>17</v>
      </c>
      <c r="AZ1038" s="116">
        <v>245</v>
      </c>
      <c r="BA1038" s="120">
        <v>73790</v>
      </c>
      <c r="BB1038" s="120">
        <f t="shared" si="282"/>
        <v>25017</v>
      </c>
      <c r="BC1038" t="s">
        <v>1472</v>
      </c>
      <c r="BD1038">
        <f t="shared" si="279"/>
        <v>2573790</v>
      </c>
      <c r="BE1038" s="66">
        <v>136</v>
      </c>
      <c r="BF1038" s="66"/>
      <c r="BI1038">
        <v>15.91</v>
      </c>
      <c r="BJ1038">
        <v>0.67</v>
      </c>
      <c r="BK1038">
        <v>15.23</v>
      </c>
      <c r="BQ1038">
        <v>179</v>
      </c>
      <c r="BS1038">
        <v>0</v>
      </c>
    </row>
    <row r="1039" spans="1:71" hidden="1" outlineLevel="1">
      <c r="A1039" s="64" t="s">
        <v>697</v>
      </c>
      <c r="B1039" s="8" t="s">
        <v>1320</v>
      </c>
      <c r="C1039" s="1">
        <f t="shared" si="271"/>
        <v>7310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 t="shared" si="272"/>
        <v>0</v>
      </c>
      <c r="G1039" s="1">
        <f t="shared" si="273"/>
        <v>456</v>
      </c>
      <c r="H1039" s="2">
        <f t="shared" si="280"/>
        <v>6.2380300957592338E-2</v>
      </c>
      <c r="I1039" s="6"/>
      <c r="J1039" s="2">
        <f t="shared" si="274"/>
        <v>0.42667578659370725</v>
      </c>
      <c r="K1039" s="2">
        <f t="shared" si="275"/>
        <v>0.48905608755129959</v>
      </c>
      <c r="L1039" s="2">
        <f t="shared" si="276"/>
        <v>0</v>
      </c>
      <c r="M1039" s="2">
        <f t="shared" si="277"/>
        <v>8.4268125854993214E-2</v>
      </c>
      <c r="N1039" s="63">
        <v>3119</v>
      </c>
      <c r="O1039" s="63">
        <v>3575</v>
      </c>
      <c r="P1039" s="63">
        <v>0</v>
      </c>
      <c r="Q1039" s="63">
        <v>406</v>
      </c>
      <c r="R1039" s="63">
        <v>103</v>
      </c>
      <c r="S1039" s="63"/>
      <c r="T1039" s="63"/>
      <c r="U1039" s="63"/>
      <c r="V1039" s="63"/>
      <c r="W1039" s="63">
        <f t="shared" si="278"/>
        <v>107</v>
      </c>
      <c r="X1039" s="63"/>
      <c r="Y1039" s="63"/>
      <c r="Z1039" s="63"/>
      <c r="AA1039" s="63">
        <v>0</v>
      </c>
      <c r="AB1039" s="63"/>
      <c r="AE1039" s="8">
        <v>0</v>
      </c>
      <c r="AT1039" t="str">
        <f t="shared" si="281"/>
        <v>Webster</v>
      </c>
      <c r="AU1039" s="8" t="s">
        <v>1774</v>
      </c>
      <c r="AV1039">
        <v>2</v>
      </c>
      <c r="AX1039" s="114">
        <v>25</v>
      </c>
      <c r="AY1039" s="116">
        <v>27</v>
      </c>
      <c r="AZ1039" s="116">
        <v>270</v>
      </c>
      <c r="BA1039" s="120">
        <v>73895</v>
      </c>
      <c r="BB1039" s="120">
        <f t="shared" si="282"/>
        <v>25027</v>
      </c>
      <c r="BC1039" t="s">
        <v>1472</v>
      </c>
      <c r="BD1039">
        <f t="shared" si="279"/>
        <v>2573895</v>
      </c>
      <c r="BE1039" s="66">
        <v>101</v>
      </c>
      <c r="BF1039" s="66"/>
      <c r="BI1039">
        <v>14.54</v>
      </c>
      <c r="BJ1039">
        <v>2.0499999999999998</v>
      </c>
      <c r="BK1039">
        <v>12.49</v>
      </c>
      <c r="BQ1039">
        <v>107</v>
      </c>
      <c r="BS1039">
        <v>0</v>
      </c>
    </row>
    <row r="1040" spans="1:71" hidden="1" outlineLevel="1">
      <c r="A1040" s="64" t="s">
        <v>2058</v>
      </c>
      <c r="B1040" s="8" t="s">
        <v>1320</v>
      </c>
      <c r="C1040" s="1">
        <f t="shared" si="271"/>
        <v>14873</v>
      </c>
      <c r="D1040" s="5">
        <f>IF(N1040&gt;0, RANK(N1040,(N1040:P1040,Q1040:AE1040)),0)</f>
        <v>1</v>
      </c>
      <c r="E1040" s="5">
        <f>IF(O1040&gt;0,RANK(O1040,(N1040:P1040,Q1040:AE1040)),0)</f>
        <v>2</v>
      </c>
      <c r="F1040" s="5">
        <f t="shared" si="272"/>
        <v>0</v>
      </c>
      <c r="G1040" s="1">
        <f t="shared" si="273"/>
        <v>7333</v>
      </c>
      <c r="H1040" s="2">
        <f t="shared" si="280"/>
        <v>0.4930410811537686</v>
      </c>
      <c r="I1040" s="6"/>
      <c r="J1040" s="2">
        <f t="shared" si="274"/>
        <v>0.7105493175553016</v>
      </c>
      <c r="K1040" s="2">
        <f t="shared" si="275"/>
        <v>0.21750823640153297</v>
      </c>
      <c r="L1040" s="2">
        <f t="shared" si="276"/>
        <v>0</v>
      </c>
      <c r="M1040" s="2">
        <f t="shared" si="277"/>
        <v>7.1942446043165437E-2</v>
      </c>
      <c r="N1040" s="63">
        <v>10568</v>
      </c>
      <c r="O1040" s="63">
        <v>3235</v>
      </c>
      <c r="P1040" s="63">
        <v>0</v>
      </c>
      <c r="Q1040" s="63">
        <v>666</v>
      </c>
      <c r="R1040" s="63">
        <v>121</v>
      </c>
      <c r="S1040" s="63"/>
      <c r="T1040" s="63"/>
      <c r="U1040" s="63"/>
      <c r="V1040" s="63"/>
      <c r="W1040" s="63">
        <f t="shared" si="278"/>
        <v>283</v>
      </c>
      <c r="X1040" s="63"/>
      <c r="Y1040" s="63"/>
      <c r="Z1040" s="63"/>
      <c r="AA1040" s="63">
        <v>0</v>
      </c>
      <c r="AB1040" s="63"/>
      <c r="AE1040" s="8">
        <v>0</v>
      </c>
      <c r="AT1040" t="str">
        <f t="shared" si="281"/>
        <v>Wellesley</v>
      </c>
      <c r="AU1040" t="s">
        <v>753</v>
      </c>
      <c r="AV1040">
        <v>4</v>
      </c>
      <c r="AX1040" s="114">
        <v>25</v>
      </c>
      <c r="AY1040" s="116">
        <v>21</v>
      </c>
      <c r="AZ1040" s="116">
        <v>125</v>
      </c>
      <c r="BA1040" s="120">
        <v>74175</v>
      </c>
      <c r="BB1040" s="120">
        <f t="shared" si="282"/>
        <v>25021</v>
      </c>
      <c r="BC1040" t="s">
        <v>1472</v>
      </c>
      <c r="BD1040">
        <f t="shared" si="279"/>
        <v>2574175</v>
      </c>
      <c r="BE1040" s="66">
        <v>393</v>
      </c>
      <c r="BF1040" s="66"/>
      <c r="BI1040">
        <v>10.49</v>
      </c>
      <c r="BJ1040">
        <v>0.31</v>
      </c>
      <c r="BK1040">
        <v>10.18</v>
      </c>
      <c r="BQ1040">
        <v>283</v>
      </c>
      <c r="BS1040">
        <v>0</v>
      </c>
    </row>
    <row r="1041" spans="1:71" hidden="1" outlineLevel="1">
      <c r="A1041" s="64" t="s">
        <v>1543</v>
      </c>
      <c r="B1041" s="8" t="s">
        <v>1320</v>
      </c>
      <c r="C1041" s="1">
        <f t="shared" si="271"/>
        <v>2234</v>
      </c>
      <c r="D1041" s="5">
        <f>IF(N1041&gt;0, RANK(N1041,(N1041:P1041,Q1041:AE1041)),0)</f>
        <v>1</v>
      </c>
      <c r="E1041" s="5">
        <f>IF(O1041&gt;0,RANK(O1041,(N1041:P1041,Q1041:AE1041)),0)</f>
        <v>2</v>
      </c>
      <c r="F1041" s="5">
        <f t="shared" si="272"/>
        <v>0</v>
      </c>
      <c r="G1041" s="1">
        <f t="shared" si="273"/>
        <v>1039</v>
      </c>
      <c r="H1041" s="2">
        <f t="shared" si="280"/>
        <v>0.4650850492390331</v>
      </c>
      <c r="I1041" s="6"/>
      <c r="J1041" s="2">
        <f t="shared" si="274"/>
        <v>0.69561324977618622</v>
      </c>
      <c r="K1041" s="2">
        <f t="shared" si="275"/>
        <v>0.23052820053715309</v>
      </c>
      <c r="L1041" s="2">
        <f t="shared" si="276"/>
        <v>0</v>
      </c>
      <c r="M1041" s="2">
        <f t="shared" si="277"/>
        <v>7.3858549686660696E-2</v>
      </c>
      <c r="N1041" s="63">
        <v>1554</v>
      </c>
      <c r="O1041" s="63">
        <v>515</v>
      </c>
      <c r="P1041" s="63">
        <v>0</v>
      </c>
      <c r="Q1041" s="63">
        <v>73</v>
      </c>
      <c r="R1041" s="63">
        <v>73</v>
      </c>
      <c r="S1041" s="63"/>
      <c r="T1041" s="63"/>
      <c r="U1041" s="63"/>
      <c r="V1041" s="63"/>
      <c r="W1041" s="63">
        <f t="shared" si="278"/>
        <v>19</v>
      </c>
      <c r="X1041" s="63"/>
      <c r="Y1041" s="63"/>
      <c r="Z1041" s="63"/>
      <c r="AA1041" s="63">
        <v>0</v>
      </c>
      <c r="AB1041" s="63"/>
      <c r="AE1041" s="8">
        <v>0</v>
      </c>
      <c r="AT1041" t="str">
        <f t="shared" si="281"/>
        <v>Wellfleet</v>
      </c>
      <c r="AU1041" t="s">
        <v>2411</v>
      </c>
      <c r="AV1041">
        <v>9</v>
      </c>
      <c r="AX1041" s="114">
        <v>25</v>
      </c>
      <c r="AY1041" s="116">
        <v>1</v>
      </c>
      <c r="AZ1041" s="116">
        <v>70</v>
      </c>
      <c r="BA1041" s="120">
        <v>74385</v>
      </c>
      <c r="BB1041" s="120">
        <f t="shared" si="282"/>
        <v>25001</v>
      </c>
      <c r="BC1041" t="s">
        <v>1472</v>
      </c>
      <c r="BD1041">
        <f t="shared" si="279"/>
        <v>2574385</v>
      </c>
      <c r="BE1041" s="66">
        <v>48</v>
      </c>
      <c r="BF1041" s="66"/>
      <c r="BI1041">
        <v>35.36</v>
      </c>
      <c r="BJ1041">
        <v>15.52</v>
      </c>
      <c r="BK1041">
        <v>19.829999999999998</v>
      </c>
      <c r="BQ1041">
        <v>19</v>
      </c>
      <c r="BS1041">
        <v>0</v>
      </c>
    </row>
    <row r="1042" spans="1:71" hidden="1" outlineLevel="1">
      <c r="A1042" s="64" t="s">
        <v>1544</v>
      </c>
      <c r="B1042" s="8" t="s">
        <v>1320</v>
      </c>
      <c r="C1042" s="1">
        <f t="shared" si="271"/>
        <v>584</v>
      </c>
      <c r="D1042" s="5">
        <f>IF(N1042&gt;0, RANK(N1042,(N1042:P1042,Q1042:AE1042)),0)</f>
        <v>1</v>
      </c>
      <c r="E1042" s="5">
        <f>IF(O1042&gt;0,RANK(O1042,(N1042:P1042,Q1042:AE1042)),0)</f>
        <v>2</v>
      </c>
      <c r="F1042" s="5">
        <f t="shared" si="272"/>
        <v>0</v>
      </c>
      <c r="G1042" s="1">
        <f t="shared" si="273"/>
        <v>298</v>
      </c>
      <c r="H1042" s="2">
        <f t="shared" si="280"/>
        <v>0.51027397260273977</v>
      </c>
      <c r="I1042" s="6"/>
      <c r="J1042" s="2">
        <f t="shared" si="274"/>
        <v>0.68835616438356162</v>
      </c>
      <c r="K1042" s="2">
        <f t="shared" si="275"/>
        <v>0.17808219178082191</v>
      </c>
      <c r="L1042" s="2">
        <f t="shared" si="276"/>
        <v>0</v>
      </c>
      <c r="M1042" s="2">
        <f t="shared" si="277"/>
        <v>0.13356164383561647</v>
      </c>
      <c r="N1042" s="63">
        <v>402</v>
      </c>
      <c r="O1042" s="63">
        <v>104</v>
      </c>
      <c r="P1042" s="63">
        <v>0</v>
      </c>
      <c r="Q1042" s="63">
        <v>21</v>
      </c>
      <c r="R1042" s="63">
        <v>48</v>
      </c>
      <c r="S1042" s="63"/>
      <c r="T1042" s="63"/>
      <c r="U1042" s="63"/>
      <c r="V1042" s="63"/>
      <c r="W1042" s="63">
        <f t="shared" si="278"/>
        <v>9</v>
      </c>
      <c r="X1042" s="63"/>
      <c r="Y1042" s="63"/>
      <c r="Z1042" s="63"/>
      <c r="AA1042" s="63">
        <v>0</v>
      </c>
      <c r="AB1042" s="63"/>
      <c r="AE1042" s="8">
        <v>0</v>
      </c>
      <c r="AT1042" t="str">
        <f t="shared" si="281"/>
        <v>Wendell</v>
      </c>
      <c r="AU1042" t="s">
        <v>1138</v>
      </c>
      <c r="AV1042">
        <v>2</v>
      </c>
      <c r="AX1042" s="114">
        <v>25</v>
      </c>
      <c r="AY1042" s="116">
        <v>11</v>
      </c>
      <c r="AZ1042" s="116">
        <v>125</v>
      </c>
      <c r="BA1042" s="120">
        <v>74525</v>
      </c>
      <c r="BB1042" s="120">
        <f t="shared" si="282"/>
        <v>25011</v>
      </c>
      <c r="BC1042" t="s">
        <v>1472</v>
      </c>
      <c r="BD1042">
        <f t="shared" si="279"/>
        <v>2574525</v>
      </c>
      <c r="BE1042" s="66">
        <v>7</v>
      </c>
      <c r="BF1042" s="66"/>
      <c r="BI1042">
        <v>32.22</v>
      </c>
      <c r="BJ1042">
        <v>0.22</v>
      </c>
      <c r="BK1042">
        <v>31.99</v>
      </c>
      <c r="BQ1042">
        <v>9</v>
      </c>
      <c r="BS1042">
        <v>0</v>
      </c>
    </row>
    <row r="1043" spans="1:71" hidden="1" outlineLevel="1">
      <c r="A1043" s="64" t="s">
        <v>2929</v>
      </c>
      <c r="B1043" s="8" t="s">
        <v>1320</v>
      </c>
      <c r="C1043" s="1">
        <f t="shared" si="271"/>
        <v>2426</v>
      </c>
      <c r="D1043" s="5">
        <f>IF(N1043&gt;0, RANK(N1043,(N1043:P1043,Q1043:AE1043)),0)</f>
        <v>1</v>
      </c>
      <c r="E1043" s="5">
        <f>IF(O1043&gt;0,RANK(O1043,(N1043:P1043,Q1043:AE1043)),0)</f>
        <v>2</v>
      </c>
      <c r="F1043" s="5">
        <f t="shared" si="272"/>
        <v>6</v>
      </c>
      <c r="G1043" s="1">
        <f t="shared" si="273"/>
        <v>594</v>
      </c>
      <c r="H1043" s="2">
        <f t="shared" si="280"/>
        <v>0.2448474855729596</v>
      </c>
      <c r="I1043" s="6"/>
      <c r="J1043" s="2">
        <f t="shared" si="274"/>
        <v>0.56389117889530094</v>
      </c>
      <c r="K1043" s="2">
        <f t="shared" si="275"/>
        <v>0.31904369332234128</v>
      </c>
      <c r="L1043" s="2">
        <f t="shared" si="276"/>
        <v>6.1830173124484749E-3</v>
      </c>
      <c r="M1043" s="2">
        <f t="shared" si="277"/>
        <v>0.11088211046990931</v>
      </c>
      <c r="N1043" s="63">
        <v>1368</v>
      </c>
      <c r="O1043" s="63">
        <v>774</v>
      </c>
      <c r="P1043" s="63">
        <v>15</v>
      </c>
      <c r="Q1043" s="63">
        <v>192</v>
      </c>
      <c r="R1043" s="63">
        <v>24</v>
      </c>
      <c r="S1043" s="63"/>
      <c r="T1043" s="63"/>
      <c r="U1043" s="63"/>
      <c r="V1043" s="63"/>
      <c r="W1043" s="63">
        <f t="shared" si="278"/>
        <v>53</v>
      </c>
      <c r="X1043" s="63"/>
      <c r="Y1043" s="63"/>
      <c r="Z1043" s="63"/>
      <c r="AA1043" s="63">
        <v>0</v>
      </c>
      <c r="AB1043" s="63"/>
      <c r="AE1043" s="8">
        <v>0</v>
      </c>
      <c r="AT1043" t="str">
        <f t="shared" si="281"/>
        <v>Wenham</v>
      </c>
      <c r="AU1043" t="s">
        <v>842</v>
      </c>
      <c r="AV1043">
        <v>6</v>
      </c>
      <c r="AX1043" s="114">
        <v>25</v>
      </c>
      <c r="AY1043" s="116">
        <v>9</v>
      </c>
      <c r="AZ1043" s="116">
        <v>165</v>
      </c>
      <c r="BA1043" s="120">
        <v>74595</v>
      </c>
      <c r="BB1043" s="120">
        <f t="shared" si="282"/>
        <v>25009</v>
      </c>
      <c r="BC1043" t="s">
        <v>1472</v>
      </c>
      <c r="BD1043">
        <f t="shared" si="279"/>
        <v>2574595</v>
      </c>
      <c r="BE1043" s="66">
        <v>52</v>
      </c>
      <c r="BF1043" s="66"/>
      <c r="BI1043">
        <v>8.09</v>
      </c>
      <c r="BJ1043">
        <v>0.37</v>
      </c>
      <c r="BK1043">
        <v>7.72</v>
      </c>
      <c r="BQ1043">
        <v>53</v>
      </c>
      <c r="BS1043">
        <v>0</v>
      </c>
    </row>
    <row r="1044" spans="1:71" hidden="1" outlineLevel="1">
      <c r="A1044" s="64" t="s">
        <v>1174</v>
      </c>
      <c r="B1044" s="8" t="s">
        <v>1320</v>
      </c>
      <c r="C1044" s="1">
        <f t="shared" ref="C1044:C1075" si="283">SUM(N1044:AR1044)</f>
        <v>4362</v>
      </c>
      <c r="D1044" s="5">
        <f>IF(N1044&gt;0, RANK(N1044,(N1044:P1044,Q1044:AE1044)),0)</f>
        <v>1</v>
      </c>
      <c r="E1044" s="5">
        <f>IF(O1044&gt;0,RANK(O1044,(N1044:P1044,Q1044:AE1044)),0)</f>
        <v>2</v>
      </c>
      <c r="F1044" s="5">
        <f t="shared" ref="F1044:F1075" si="284">IF(P1044&gt;0,RANK(P1044,(N1044:AE1044)),0)</f>
        <v>0</v>
      </c>
      <c r="G1044" s="1">
        <f t="shared" ref="G1044:G1075" si="285">IF(C1044&gt;0,MAX(N1044:P1044)-LARGE(N1044:P1044,2),0)</f>
        <v>298</v>
      </c>
      <c r="H1044" s="2">
        <f t="shared" si="280"/>
        <v>6.8317285648784962E-2</v>
      </c>
      <c r="I1044" s="6"/>
      <c r="J1044" s="2">
        <f t="shared" ref="J1044:J1075" si="286">IF(C1044=0,"-",N1044/C1044)</f>
        <v>0.48968363136176069</v>
      </c>
      <c r="K1044" s="2">
        <f t="shared" ref="K1044:K1075" si="287">IF(C1044=0,"-",O1044/C1044)</f>
        <v>0.42136634571297571</v>
      </c>
      <c r="L1044" s="2">
        <f t="shared" ref="L1044:L1075" si="288">IF(C1044=0,"-",P1044/C1044)</f>
        <v>0</v>
      </c>
      <c r="M1044" s="2">
        <f t="shared" ref="M1044:M1075" si="289">IF(C1044=0,"-",(1-J1044-K1044-L1044))</f>
        <v>8.895002292526355E-2</v>
      </c>
      <c r="N1044" s="63">
        <v>2136</v>
      </c>
      <c r="O1044" s="63">
        <v>1838</v>
      </c>
      <c r="P1044" s="63">
        <v>0</v>
      </c>
      <c r="Q1044" s="63">
        <v>233</v>
      </c>
      <c r="R1044" s="63">
        <v>56</v>
      </c>
      <c r="S1044" s="63"/>
      <c r="T1044" s="63"/>
      <c r="U1044" s="63"/>
      <c r="V1044" s="63"/>
      <c r="W1044" s="63">
        <f t="shared" ref="W1044:W1074" si="290">SUM(BQ1044:BS1044)</f>
        <v>99</v>
      </c>
      <c r="X1044" s="63"/>
      <c r="Y1044" s="63"/>
      <c r="Z1044" s="63"/>
      <c r="AA1044" s="63">
        <v>0</v>
      </c>
      <c r="AB1044" s="63"/>
      <c r="AE1044" s="8">
        <v>0</v>
      </c>
      <c r="AT1044" t="str">
        <f t="shared" si="281"/>
        <v>West Boylston</v>
      </c>
      <c r="AU1044" s="8" t="s">
        <v>1774</v>
      </c>
      <c r="AV1044">
        <v>2</v>
      </c>
      <c r="AX1044" s="114">
        <v>25</v>
      </c>
      <c r="AY1044" s="116">
        <v>27</v>
      </c>
      <c r="AZ1044" s="116">
        <v>280</v>
      </c>
      <c r="BA1044" s="120">
        <v>75155</v>
      </c>
      <c r="BB1044" s="120">
        <f t="shared" si="282"/>
        <v>25027</v>
      </c>
      <c r="BC1044" t="s">
        <v>1472</v>
      </c>
      <c r="BD1044">
        <f t="shared" ref="BD1044:BD1074" si="291">AX1044*100000+BA1044</f>
        <v>2575155</v>
      </c>
      <c r="BE1044" s="66">
        <v>60</v>
      </c>
      <c r="BF1044" s="66"/>
      <c r="BI1044">
        <v>13.84</v>
      </c>
      <c r="BJ1044">
        <v>0.95</v>
      </c>
      <c r="BK1044">
        <v>12.9</v>
      </c>
      <c r="BQ1044">
        <v>99</v>
      </c>
      <c r="BS1044">
        <v>0</v>
      </c>
    </row>
    <row r="1045" spans="1:71" hidden="1" outlineLevel="1">
      <c r="A1045" s="64" t="s">
        <v>2111</v>
      </c>
      <c r="B1045" s="8" t="s">
        <v>1320</v>
      </c>
      <c r="C1045" s="1">
        <f t="shared" si="283"/>
        <v>4124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 t="shared" si="284"/>
        <v>6</v>
      </c>
      <c r="G1045" s="1">
        <f t="shared" si="285"/>
        <v>527</v>
      </c>
      <c r="H1045" s="2">
        <f t="shared" si="280"/>
        <v>0.12778855480116391</v>
      </c>
      <c r="I1045" s="6"/>
      <c r="J1045" s="2">
        <f t="shared" si="286"/>
        <v>0.39354995150339478</v>
      </c>
      <c r="K1045" s="2">
        <f t="shared" si="287"/>
        <v>0.52133850630455869</v>
      </c>
      <c r="L1045" s="2">
        <f t="shared" si="288"/>
        <v>2.4248302618816685E-3</v>
      </c>
      <c r="M1045" s="2">
        <f t="shared" si="289"/>
        <v>8.2686711930164858E-2</v>
      </c>
      <c r="N1045" s="63">
        <v>1623</v>
      </c>
      <c r="O1045" s="63">
        <v>2150</v>
      </c>
      <c r="P1045" s="63">
        <v>10</v>
      </c>
      <c r="Q1045" s="63">
        <v>227</v>
      </c>
      <c r="R1045" s="63">
        <v>51</v>
      </c>
      <c r="S1045" s="63"/>
      <c r="T1045" s="63"/>
      <c r="U1045" s="63"/>
      <c r="V1045" s="63"/>
      <c r="W1045" s="63">
        <f t="shared" si="290"/>
        <v>63</v>
      </c>
      <c r="X1045" s="63"/>
      <c r="Y1045" s="63"/>
      <c r="Z1045" s="63"/>
      <c r="AA1045" s="63">
        <v>0</v>
      </c>
      <c r="AB1045" s="63"/>
      <c r="AE1045" s="8">
        <v>0</v>
      </c>
      <c r="AT1045" t="str">
        <f t="shared" si="281"/>
        <v>West Bridgewater</v>
      </c>
      <c r="AU1045" t="s">
        <v>231</v>
      </c>
      <c r="AV1045">
        <v>8</v>
      </c>
      <c r="AX1045" s="114">
        <v>25</v>
      </c>
      <c r="AY1045" s="116">
        <v>23</v>
      </c>
      <c r="AZ1045" s="116">
        <v>130</v>
      </c>
      <c r="BA1045" s="120">
        <v>75260</v>
      </c>
      <c r="BB1045" s="120">
        <f t="shared" si="282"/>
        <v>25023</v>
      </c>
      <c r="BC1045" t="s">
        <v>1472</v>
      </c>
      <c r="BD1045">
        <f t="shared" si="291"/>
        <v>2575260</v>
      </c>
      <c r="BE1045" s="66">
        <v>87</v>
      </c>
      <c r="BF1045" s="66"/>
      <c r="BI1045">
        <v>15.83</v>
      </c>
      <c r="BJ1045">
        <v>0.09</v>
      </c>
      <c r="BK1045">
        <v>15.74</v>
      </c>
      <c r="BQ1045">
        <v>63</v>
      </c>
      <c r="BS1045">
        <v>0</v>
      </c>
    </row>
    <row r="1046" spans="1:71" hidden="1" outlineLevel="1">
      <c r="A1046" s="64" t="s">
        <v>2445</v>
      </c>
      <c r="B1046" s="8" t="s">
        <v>1320</v>
      </c>
      <c r="C1046" s="1">
        <f t="shared" si="283"/>
        <v>2072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 t="shared" si="284"/>
        <v>0</v>
      </c>
      <c r="G1046" s="1">
        <f t="shared" si="285"/>
        <v>139</v>
      </c>
      <c r="H1046" s="2">
        <f t="shared" si="280"/>
        <v>6.708494208494209E-2</v>
      </c>
      <c r="I1046" s="6"/>
      <c r="J1046" s="2">
        <f t="shared" si="286"/>
        <v>0.41940154440154442</v>
      </c>
      <c r="K1046" s="2">
        <f t="shared" si="287"/>
        <v>0.48648648648648651</v>
      </c>
      <c r="L1046" s="2">
        <f t="shared" si="288"/>
        <v>0</v>
      </c>
      <c r="M1046" s="2">
        <f t="shared" si="289"/>
        <v>9.4111969111969063E-2</v>
      </c>
      <c r="N1046" s="63">
        <v>869</v>
      </c>
      <c r="O1046" s="63">
        <v>1008</v>
      </c>
      <c r="P1046" s="63">
        <v>0</v>
      </c>
      <c r="Q1046" s="63">
        <v>111</v>
      </c>
      <c r="R1046" s="63">
        <v>40</v>
      </c>
      <c r="S1046" s="63"/>
      <c r="T1046" s="63"/>
      <c r="U1046" s="63"/>
      <c r="V1046" s="63"/>
      <c r="W1046" s="63">
        <f t="shared" si="290"/>
        <v>44</v>
      </c>
      <c r="X1046" s="63"/>
      <c r="Y1046" s="63"/>
      <c r="Z1046" s="63"/>
      <c r="AA1046" s="63">
        <v>0</v>
      </c>
      <c r="AB1046" s="63"/>
      <c r="AE1046" s="8">
        <v>0</v>
      </c>
      <c r="AT1046" t="str">
        <f t="shared" si="281"/>
        <v>West Brookfield</v>
      </c>
      <c r="AU1046" s="8" t="s">
        <v>1774</v>
      </c>
      <c r="AV1046">
        <v>2</v>
      </c>
      <c r="AX1046" s="114">
        <v>25</v>
      </c>
      <c r="AY1046" s="116">
        <v>27</v>
      </c>
      <c r="AZ1046" s="116">
        <v>285</v>
      </c>
      <c r="BA1046" s="120">
        <v>75400</v>
      </c>
      <c r="BB1046" s="120">
        <f t="shared" si="282"/>
        <v>25027</v>
      </c>
      <c r="BC1046" t="s">
        <v>1472</v>
      </c>
      <c r="BD1046">
        <f t="shared" si="291"/>
        <v>2575400</v>
      </c>
      <c r="BE1046" s="66">
        <v>25</v>
      </c>
      <c r="BF1046" s="66"/>
      <c r="BI1046">
        <v>21.12</v>
      </c>
      <c r="BJ1046">
        <v>0.64</v>
      </c>
      <c r="BK1046">
        <v>20.47</v>
      </c>
      <c r="BQ1046">
        <v>44</v>
      </c>
      <c r="BS1046">
        <v>0</v>
      </c>
    </row>
    <row r="1047" spans="1:71" hidden="1" outlineLevel="1">
      <c r="A1047" s="64" t="s">
        <v>2143</v>
      </c>
      <c r="B1047" s="8" t="s">
        <v>1320</v>
      </c>
      <c r="C1047" s="1">
        <f t="shared" si="283"/>
        <v>2932</v>
      </c>
      <c r="D1047" s="5">
        <f>IF(N1047&gt;0, RANK(N1047,(N1047:P1047,Q1047:AE1047)),0)</f>
        <v>1</v>
      </c>
      <c r="E1047" s="5">
        <f>IF(O1047&gt;0,RANK(O1047,(N1047:P1047,Q1047:AE1047)),0)</f>
        <v>2</v>
      </c>
      <c r="F1047" s="5">
        <f t="shared" si="284"/>
        <v>6</v>
      </c>
      <c r="G1047" s="1">
        <f t="shared" si="285"/>
        <v>600</v>
      </c>
      <c r="H1047" s="2">
        <f t="shared" si="280"/>
        <v>0.20463847203274216</v>
      </c>
      <c r="I1047" s="6"/>
      <c r="J1047" s="2">
        <f t="shared" si="286"/>
        <v>0.55252387448840379</v>
      </c>
      <c r="K1047" s="2">
        <f t="shared" si="287"/>
        <v>0.34788540245566169</v>
      </c>
      <c r="L1047" s="2">
        <f t="shared" si="288"/>
        <v>3.0695770804911324E-3</v>
      </c>
      <c r="M1047" s="2">
        <f t="shared" si="289"/>
        <v>9.6521145975443395E-2</v>
      </c>
      <c r="N1047" s="63">
        <v>1620</v>
      </c>
      <c r="O1047" s="63">
        <v>1020</v>
      </c>
      <c r="P1047" s="63">
        <v>9</v>
      </c>
      <c r="Q1047" s="63">
        <v>188</v>
      </c>
      <c r="R1047" s="63">
        <v>26</v>
      </c>
      <c r="S1047" s="63"/>
      <c r="T1047" s="63"/>
      <c r="U1047" s="63"/>
      <c r="V1047" s="63"/>
      <c r="W1047" s="63">
        <f t="shared" si="290"/>
        <v>69</v>
      </c>
      <c r="X1047" s="63"/>
      <c r="Y1047" s="63"/>
      <c r="Z1047" s="63"/>
      <c r="AA1047" s="63">
        <v>0</v>
      </c>
      <c r="AB1047" s="63"/>
      <c r="AE1047" s="8">
        <v>0</v>
      </c>
      <c r="AT1047" t="str">
        <f t="shared" si="281"/>
        <v>West Newbury</v>
      </c>
      <c r="AU1047" t="s">
        <v>842</v>
      </c>
      <c r="AV1047">
        <v>6</v>
      </c>
      <c r="AX1047" s="114">
        <v>25</v>
      </c>
      <c r="AY1047" s="116">
        <v>9</v>
      </c>
      <c r="AZ1047" s="116">
        <v>170</v>
      </c>
      <c r="BA1047" s="120">
        <v>77150</v>
      </c>
      <c r="BB1047" s="120">
        <f t="shared" si="282"/>
        <v>25009</v>
      </c>
      <c r="BC1047" t="s">
        <v>1472</v>
      </c>
      <c r="BD1047">
        <f t="shared" si="291"/>
        <v>2577150</v>
      </c>
      <c r="BE1047" s="66">
        <v>56</v>
      </c>
      <c r="BF1047" s="66"/>
      <c r="BI1047">
        <v>14.6</v>
      </c>
      <c r="BJ1047">
        <v>1.08</v>
      </c>
      <c r="BK1047">
        <v>13.52</v>
      </c>
      <c r="BQ1047">
        <v>69</v>
      </c>
      <c r="BS1047">
        <v>0</v>
      </c>
    </row>
    <row r="1048" spans="1:71" hidden="1" outlineLevel="1">
      <c r="A1048" s="64" t="s">
        <v>2924</v>
      </c>
      <c r="B1048" s="8" t="s">
        <v>1320</v>
      </c>
      <c r="C1048" s="1">
        <f t="shared" si="283"/>
        <v>12220</v>
      </c>
      <c r="D1048" s="5">
        <f>IF(N1048&gt;0, RANK(N1048,(N1048:P1048,Q1048:AE1048)),0)</f>
        <v>1</v>
      </c>
      <c r="E1048" s="5">
        <f>IF(O1048&gt;0,RANK(O1048,(N1048:P1048,Q1048:AE1048)),0)</f>
        <v>2</v>
      </c>
      <c r="F1048" s="5">
        <f t="shared" si="284"/>
        <v>6</v>
      </c>
      <c r="G1048" s="1">
        <f t="shared" si="285"/>
        <v>174</v>
      </c>
      <c r="H1048" s="2">
        <f t="shared" si="280"/>
        <v>1.4238952536824877E-2</v>
      </c>
      <c r="I1048" s="6"/>
      <c r="J1048" s="2">
        <f t="shared" si="286"/>
        <v>0.46734860883797052</v>
      </c>
      <c r="K1048" s="2">
        <f t="shared" si="287"/>
        <v>0.45310965630114564</v>
      </c>
      <c r="L1048" s="2">
        <f t="shared" si="288"/>
        <v>8.1833060556464816E-4</v>
      </c>
      <c r="M1048" s="2">
        <f t="shared" si="289"/>
        <v>7.8723404255319138E-2</v>
      </c>
      <c r="N1048" s="63">
        <v>5711</v>
      </c>
      <c r="O1048" s="63">
        <v>5537</v>
      </c>
      <c r="P1048" s="63">
        <v>10</v>
      </c>
      <c r="Q1048" s="63">
        <v>589</v>
      </c>
      <c r="R1048" s="63">
        <v>208</v>
      </c>
      <c r="S1048" s="63"/>
      <c r="T1048" s="63"/>
      <c r="U1048" s="63"/>
      <c r="V1048" s="63"/>
      <c r="W1048" s="63">
        <f t="shared" si="290"/>
        <v>165</v>
      </c>
      <c r="X1048" s="63"/>
      <c r="Y1048" s="63"/>
      <c r="Z1048" s="63"/>
      <c r="AA1048" s="63">
        <v>0</v>
      </c>
      <c r="AB1048" s="63"/>
      <c r="AE1048" s="8">
        <v>0</v>
      </c>
      <c r="AT1048" t="str">
        <f t="shared" si="281"/>
        <v>West Springfield</v>
      </c>
      <c r="AU1048" t="s">
        <v>2852</v>
      </c>
      <c r="AV1048">
        <v>1</v>
      </c>
      <c r="AX1048" s="114">
        <v>25</v>
      </c>
      <c r="AY1048" s="116">
        <v>13</v>
      </c>
      <c r="AZ1048" s="116">
        <v>110</v>
      </c>
      <c r="BA1048" s="120">
        <v>77850</v>
      </c>
      <c r="BB1048" s="120">
        <f t="shared" si="282"/>
        <v>25013</v>
      </c>
      <c r="BC1048" t="s">
        <v>1249</v>
      </c>
      <c r="BD1048">
        <f t="shared" si="291"/>
        <v>2577850</v>
      </c>
      <c r="BE1048" s="66">
        <v>208</v>
      </c>
      <c r="BF1048" s="66"/>
      <c r="BI1048">
        <v>17.54</v>
      </c>
      <c r="BJ1048">
        <v>0.79</v>
      </c>
      <c r="BK1048">
        <v>16.75</v>
      </c>
      <c r="BQ1048">
        <v>165</v>
      </c>
      <c r="BS1048">
        <v>0</v>
      </c>
    </row>
    <row r="1049" spans="1:71" hidden="1" outlineLevel="1">
      <c r="A1049" s="64" t="s">
        <v>1462</v>
      </c>
      <c r="B1049" s="8" t="s">
        <v>1320</v>
      </c>
      <c r="C1049" s="1">
        <f t="shared" si="283"/>
        <v>891</v>
      </c>
      <c r="D1049" s="5">
        <f>IF(N1049&gt;0, RANK(N1049,(N1049:P1049,Q1049:AE1049)),0)</f>
        <v>1</v>
      </c>
      <c r="E1049" s="5">
        <f>IF(O1049&gt;0,RANK(O1049,(N1049:P1049,Q1049:AE1049)),0)</f>
        <v>2</v>
      </c>
      <c r="F1049" s="5">
        <f t="shared" si="284"/>
        <v>0</v>
      </c>
      <c r="G1049" s="1">
        <f t="shared" si="285"/>
        <v>481</v>
      </c>
      <c r="H1049" s="2">
        <f t="shared" si="280"/>
        <v>0.53984287317620649</v>
      </c>
      <c r="I1049" s="6"/>
      <c r="J1049" s="2">
        <f t="shared" si="286"/>
        <v>0.73961840628507292</v>
      </c>
      <c r="K1049" s="2">
        <f t="shared" si="287"/>
        <v>0.19977553310886645</v>
      </c>
      <c r="L1049" s="2">
        <f t="shared" si="288"/>
        <v>0</v>
      </c>
      <c r="M1049" s="2">
        <f t="shared" si="289"/>
        <v>6.0606060606060635E-2</v>
      </c>
      <c r="N1049" s="63">
        <v>659</v>
      </c>
      <c r="O1049" s="63">
        <v>178</v>
      </c>
      <c r="P1049" s="63">
        <v>0</v>
      </c>
      <c r="Q1049" s="63">
        <v>28</v>
      </c>
      <c r="R1049" s="63">
        <v>16</v>
      </c>
      <c r="S1049" s="63"/>
      <c r="T1049" s="63"/>
      <c r="U1049" s="63"/>
      <c r="V1049" s="63"/>
      <c r="W1049" s="63">
        <f t="shared" si="290"/>
        <v>10</v>
      </c>
      <c r="X1049" s="63"/>
      <c r="Y1049" s="63"/>
      <c r="Z1049" s="63"/>
      <c r="AA1049" s="63">
        <v>0</v>
      </c>
      <c r="AB1049" s="63"/>
      <c r="AE1049" s="8">
        <v>0</v>
      </c>
      <c r="AT1049" t="str">
        <f t="shared" si="281"/>
        <v>West Stockbridge</v>
      </c>
      <c r="AU1049" t="s">
        <v>2313</v>
      </c>
      <c r="AV1049">
        <v>1</v>
      </c>
      <c r="AX1049" s="114">
        <v>25</v>
      </c>
      <c r="AY1049" s="116">
        <v>3</v>
      </c>
      <c r="AZ1049" s="116">
        <v>150</v>
      </c>
      <c r="BA1049" s="120">
        <v>77990</v>
      </c>
      <c r="BB1049" s="120">
        <f t="shared" si="282"/>
        <v>25003</v>
      </c>
      <c r="BC1049" t="s">
        <v>1472</v>
      </c>
      <c r="BD1049">
        <f t="shared" si="291"/>
        <v>2577990</v>
      </c>
      <c r="BE1049" s="66">
        <v>10</v>
      </c>
      <c r="BF1049" s="66"/>
      <c r="BI1049">
        <v>18.63</v>
      </c>
      <c r="BJ1049">
        <v>0.16</v>
      </c>
      <c r="BK1049">
        <v>18.48</v>
      </c>
      <c r="BQ1049">
        <v>10</v>
      </c>
      <c r="BS1049">
        <v>0</v>
      </c>
    </row>
    <row r="1050" spans="1:71" hidden="1" outlineLevel="1">
      <c r="A1050" s="64" t="s">
        <v>2851</v>
      </c>
      <c r="B1050" s="8" t="s">
        <v>1320</v>
      </c>
      <c r="C1050" s="1">
        <f t="shared" si="283"/>
        <v>2171</v>
      </c>
      <c r="D1050" s="5">
        <f>IF(N1050&gt;0, RANK(N1050,(N1050:P1050,Q1050:AE1050)),0)</f>
        <v>1</v>
      </c>
      <c r="E1050" s="5">
        <f>IF(O1050&gt;0,RANK(O1050,(N1050:P1050,Q1050:AE1050)),0)</f>
        <v>2</v>
      </c>
      <c r="F1050" s="5">
        <f t="shared" si="284"/>
        <v>0</v>
      </c>
      <c r="G1050" s="1">
        <f t="shared" si="285"/>
        <v>1359</v>
      </c>
      <c r="H1050" s="2">
        <f t="shared" si="280"/>
        <v>0.62597881160755409</v>
      </c>
      <c r="I1050" s="6"/>
      <c r="J1050" s="2">
        <f t="shared" si="286"/>
        <v>0.77752187931828654</v>
      </c>
      <c r="K1050" s="2">
        <f t="shared" si="287"/>
        <v>0.15154306771073239</v>
      </c>
      <c r="L1050" s="2">
        <f t="shared" si="288"/>
        <v>0</v>
      </c>
      <c r="M1050" s="2">
        <f t="shared" si="289"/>
        <v>7.0935052970981072E-2</v>
      </c>
      <c r="N1050" s="63">
        <v>1688</v>
      </c>
      <c r="O1050" s="63">
        <v>329</v>
      </c>
      <c r="P1050" s="63">
        <v>0</v>
      </c>
      <c r="Q1050" s="63">
        <v>70</v>
      </c>
      <c r="R1050" s="63">
        <v>49</v>
      </c>
      <c r="S1050" s="63"/>
      <c r="T1050" s="63"/>
      <c r="U1050" s="63"/>
      <c r="V1050" s="63"/>
      <c r="W1050" s="63">
        <f t="shared" si="290"/>
        <v>35</v>
      </c>
      <c r="X1050" s="63"/>
      <c r="Y1050" s="63"/>
      <c r="Z1050" s="63"/>
      <c r="AA1050" s="63">
        <v>0</v>
      </c>
      <c r="AB1050" s="63"/>
      <c r="AE1050" s="8">
        <v>0</v>
      </c>
      <c r="AT1050" t="str">
        <f t="shared" si="281"/>
        <v>West Tisbury</v>
      </c>
      <c r="AU1050" t="s">
        <v>3032</v>
      </c>
      <c r="AV1050">
        <v>9</v>
      </c>
      <c r="AX1050" s="114">
        <v>25</v>
      </c>
      <c r="AY1050" s="116">
        <v>7</v>
      </c>
      <c r="AZ1050" s="116">
        <v>35</v>
      </c>
      <c r="BA1050" s="120">
        <v>78235</v>
      </c>
      <c r="BB1050" s="120">
        <f t="shared" si="282"/>
        <v>25007</v>
      </c>
      <c r="BC1050" t="s">
        <v>1472</v>
      </c>
      <c r="BD1050">
        <f t="shared" si="291"/>
        <v>2578235</v>
      </c>
      <c r="BE1050" s="66">
        <v>21</v>
      </c>
      <c r="BF1050" s="66"/>
      <c r="BI1050">
        <v>41.74</v>
      </c>
      <c r="BJ1050">
        <v>16.73</v>
      </c>
      <c r="BK1050">
        <v>25.01</v>
      </c>
      <c r="BQ1050">
        <v>35</v>
      </c>
      <c r="BS1050">
        <v>0</v>
      </c>
    </row>
    <row r="1051" spans="1:71" hidden="1" outlineLevel="1">
      <c r="A1051" s="64" t="s">
        <v>2922</v>
      </c>
      <c r="B1051" s="8" t="s">
        <v>1320</v>
      </c>
      <c r="C1051" s="1">
        <f t="shared" si="283"/>
        <v>9548</v>
      </c>
      <c r="D1051" s="5">
        <f>IF(N1051&gt;0, RANK(N1051,(N1051:P1051,Q1051:AE1051)),0)</f>
        <v>1</v>
      </c>
      <c r="E1051" s="5">
        <f>IF(O1051&gt;0,RANK(O1051,(N1051:P1051,Q1051:AE1051)),0)</f>
        <v>2</v>
      </c>
      <c r="F1051" s="5">
        <f t="shared" si="284"/>
        <v>0</v>
      </c>
      <c r="G1051" s="1">
        <f t="shared" si="285"/>
        <v>3271</v>
      </c>
      <c r="H1051" s="2">
        <f t="shared" si="280"/>
        <v>0.3425848345203184</v>
      </c>
      <c r="I1051" s="6"/>
      <c r="J1051" s="2">
        <f t="shared" si="286"/>
        <v>0.63081273565144536</v>
      </c>
      <c r="K1051" s="2">
        <f t="shared" si="287"/>
        <v>0.28822790113112695</v>
      </c>
      <c r="L1051" s="2">
        <f t="shared" si="288"/>
        <v>0</v>
      </c>
      <c r="M1051" s="2">
        <f t="shared" si="289"/>
        <v>8.0959363217427693E-2</v>
      </c>
      <c r="N1051" s="63">
        <v>6023</v>
      </c>
      <c r="O1051" s="63">
        <v>2752</v>
      </c>
      <c r="P1051" s="63">
        <v>0</v>
      </c>
      <c r="Q1051" s="63">
        <v>486</v>
      </c>
      <c r="R1051" s="63">
        <v>138</v>
      </c>
      <c r="S1051" s="63"/>
      <c r="T1051" s="63"/>
      <c r="U1051" s="63"/>
      <c r="V1051" s="63"/>
      <c r="W1051" s="63">
        <f t="shared" si="290"/>
        <v>149</v>
      </c>
      <c r="X1051" s="63"/>
      <c r="Y1051" s="63"/>
      <c r="Z1051" s="63"/>
      <c r="AA1051" s="63">
        <v>0</v>
      </c>
      <c r="AB1051" s="63"/>
      <c r="AE1051" s="8">
        <v>0</v>
      </c>
      <c r="AT1051" t="str">
        <f t="shared" si="281"/>
        <v>Westborough</v>
      </c>
      <c r="AU1051" s="8" t="s">
        <v>1774</v>
      </c>
      <c r="AV1051">
        <v>2</v>
      </c>
      <c r="AX1051" s="114">
        <v>25</v>
      </c>
      <c r="AY1051" s="116">
        <v>27</v>
      </c>
      <c r="AZ1051" s="116">
        <v>275</v>
      </c>
      <c r="BA1051" s="120">
        <v>75015</v>
      </c>
      <c r="BB1051" s="120">
        <f t="shared" si="282"/>
        <v>25027</v>
      </c>
      <c r="BC1051" t="s">
        <v>1472</v>
      </c>
      <c r="BD1051">
        <f t="shared" si="291"/>
        <v>2575015</v>
      </c>
      <c r="BE1051" s="66">
        <v>228</v>
      </c>
      <c r="BF1051" s="66"/>
      <c r="BI1051">
        <v>21.63</v>
      </c>
      <c r="BJ1051">
        <v>1.1000000000000001</v>
      </c>
      <c r="BK1051">
        <v>20.52</v>
      </c>
      <c r="BQ1051">
        <v>149</v>
      </c>
      <c r="BS1051">
        <v>0</v>
      </c>
    </row>
    <row r="1052" spans="1:71" hidden="1" outlineLevel="1">
      <c r="A1052" s="64" t="s">
        <v>3061</v>
      </c>
      <c r="B1052" s="8" t="s">
        <v>1320</v>
      </c>
      <c r="C1052" s="1">
        <f t="shared" si="283"/>
        <v>18944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 t="shared" si="284"/>
        <v>0</v>
      </c>
      <c r="G1052" s="1">
        <f t="shared" si="285"/>
        <v>796</v>
      </c>
      <c r="H1052" s="2">
        <f t="shared" si="280"/>
        <v>4.2018581081081079E-2</v>
      </c>
      <c r="I1052" s="6"/>
      <c r="J1052" s="2">
        <f t="shared" si="286"/>
        <v>0.43417440878378377</v>
      </c>
      <c r="K1052" s="2">
        <f t="shared" si="287"/>
        <v>0.47619298986486486</v>
      </c>
      <c r="L1052" s="2">
        <f t="shared" si="288"/>
        <v>0</v>
      </c>
      <c r="M1052" s="2">
        <f t="shared" si="289"/>
        <v>8.9632601351351371E-2</v>
      </c>
      <c r="N1052" s="63">
        <v>8225</v>
      </c>
      <c r="O1052" s="63">
        <v>9021</v>
      </c>
      <c r="P1052" s="63">
        <v>0</v>
      </c>
      <c r="Q1052" s="63">
        <v>1034</v>
      </c>
      <c r="R1052" s="63">
        <v>337</v>
      </c>
      <c r="S1052" s="63"/>
      <c r="T1052" s="63"/>
      <c r="U1052" s="63"/>
      <c r="V1052" s="63"/>
      <c r="W1052" s="63">
        <f t="shared" si="290"/>
        <v>327</v>
      </c>
      <c r="X1052" s="63"/>
      <c r="Y1052" s="63"/>
      <c r="Z1052" s="63"/>
      <c r="AA1052" s="63">
        <v>0</v>
      </c>
      <c r="AB1052" s="63"/>
      <c r="AE1052" s="8">
        <v>0</v>
      </c>
      <c r="AT1052" t="str">
        <f t="shared" si="281"/>
        <v>Westfield</v>
      </c>
      <c r="AU1052" t="s">
        <v>2852</v>
      </c>
      <c r="AV1052">
        <v>1</v>
      </c>
      <c r="AX1052" s="114">
        <v>25</v>
      </c>
      <c r="AY1052" s="116">
        <v>13</v>
      </c>
      <c r="AZ1052" s="116">
        <v>105</v>
      </c>
      <c r="BA1052" s="120">
        <v>76030</v>
      </c>
      <c r="BB1052" s="120">
        <f t="shared" si="282"/>
        <v>25013</v>
      </c>
      <c r="BC1052" t="s">
        <v>1249</v>
      </c>
      <c r="BD1052">
        <f t="shared" si="291"/>
        <v>2576030</v>
      </c>
      <c r="BE1052" s="66">
        <v>362</v>
      </c>
      <c r="BF1052" s="66"/>
      <c r="BI1052">
        <v>47.32</v>
      </c>
      <c r="BJ1052">
        <v>0.74</v>
      </c>
      <c r="BK1052">
        <v>46.58</v>
      </c>
      <c r="BQ1052">
        <v>327</v>
      </c>
      <c r="BS1052">
        <v>0</v>
      </c>
    </row>
    <row r="1053" spans="1:71" hidden="1" outlineLevel="1">
      <c r="A1053" s="64" t="s">
        <v>2820</v>
      </c>
      <c r="B1053" s="8" t="s">
        <v>1320</v>
      </c>
      <c r="C1053" s="1">
        <f t="shared" si="283"/>
        <v>13873</v>
      </c>
      <c r="D1053" s="5">
        <f>IF(N1053&gt;0, RANK(N1053,(N1053:P1053,Q1053:AE1053)),0)</f>
        <v>1</v>
      </c>
      <c r="E1053" s="5">
        <f>IF(O1053&gt;0,RANK(O1053,(N1053:P1053,Q1053:AE1053)),0)</f>
        <v>2</v>
      </c>
      <c r="F1053" s="5">
        <f t="shared" si="284"/>
        <v>6</v>
      </c>
      <c r="G1053" s="1">
        <f t="shared" si="285"/>
        <v>3148</v>
      </c>
      <c r="H1053" s="2">
        <f t="shared" si="280"/>
        <v>0.22691559143660348</v>
      </c>
      <c r="I1053" s="6"/>
      <c r="J1053" s="2">
        <f t="shared" si="286"/>
        <v>0.56613565919411812</v>
      </c>
      <c r="K1053" s="2">
        <f t="shared" si="287"/>
        <v>0.33922006775751462</v>
      </c>
      <c r="L1053" s="2">
        <f t="shared" si="288"/>
        <v>2.0903914077704893E-3</v>
      </c>
      <c r="M1053" s="2">
        <f t="shared" si="289"/>
        <v>9.2553881640596761E-2</v>
      </c>
      <c r="N1053" s="63">
        <v>7854</v>
      </c>
      <c r="O1053" s="63">
        <v>4706</v>
      </c>
      <c r="P1053" s="63">
        <v>29</v>
      </c>
      <c r="Q1053" s="63">
        <v>824</v>
      </c>
      <c r="R1053" s="63">
        <v>160</v>
      </c>
      <c r="S1053" s="63"/>
      <c r="T1053" s="63"/>
      <c r="U1053" s="63"/>
      <c r="V1053" s="63"/>
      <c r="W1053" s="63">
        <f t="shared" si="290"/>
        <v>299</v>
      </c>
      <c r="X1053" s="63"/>
      <c r="Y1053" s="63"/>
      <c r="Z1053" s="63"/>
      <c r="AA1053" s="63">
        <v>0</v>
      </c>
      <c r="AB1053" s="63"/>
      <c r="AE1053" s="8">
        <v>1</v>
      </c>
      <c r="AT1053" t="str">
        <f t="shared" si="281"/>
        <v>Westford</v>
      </c>
      <c r="AU1053" t="s">
        <v>503</v>
      </c>
      <c r="AV1053">
        <v>3</v>
      </c>
      <c r="AX1053" s="114">
        <v>25</v>
      </c>
      <c r="AY1053" s="116">
        <v>17</v>
      </c>
      <c r="AZ1053" s="116">
        <v>250</v>
      </c>
      <c r="BA1053" s="120">
        <v>76135</v>
      </c>
      <c r="BB1053" s="120">
        <f t="shared" si="282"/>
        <v>25017</v>
      </c>
      <c r="BC1053" t="s">
        <v>1472</v>
      </c>
      <c r="BD1053">
        <f t="shared" si="291"/>
        <v>2576135</v>
      </c>
      <c r="BE1053" s="66">
        <v>198</v>
      </c>
      <c r="BF1053" s="66"/>
      <c r="BI1053">
        <v>31.33</v>
      </c>
      <c r="BJ1053">
        <v>0.72</v>
      </c>
      <c r="BK1053">
        <v>30.61</v>
      </c>
      <c r="BQ1053">
        <v>293</v>
      </c>
      <c r="BS1053">
        <v>6</v>
      </c>
    </row>
    <row r="1054" spans="1:71" hidden="1" outlineLevel="1">
      <c r="A1054" s="64" t="s">
        <v>2042</v>
      </c>
      <c r="B1054" s="8" t="s">
        <v>1320</v>
      </c>
      <c r="C1054" s="1">
        <f t="shared" si="283"/>
        <v>1122</v>
      </c>
      <c r="D1054" s="5">
        <f>IF(N1054&gt;0, RANK(N1054,(N1054:P1054,Q1054:AE1054)),0)</f>
        <v>1</v>
      </c>
      <c r="E1054" s="5">
        <f>IF(O1054&gt;0,RANK(O1054,(N1054:P1054,Q1054:AE1054)),0)</f>
        <v>2</v>
      </c>
      <c r="F1054" s="5">
        <f t="shared" si="284"/>
        <v>6</v>
      </c>
      <c r="G1054" s="1">
        <f t="shared" si="285"/>
        <v>221</v>
      </c>
      <c r="H1054" s="2">
        <f t="shared" si="280"/>
        <v>0.19696969696969696</v>
      </c>
      <c r="I1054" s="6"/>
      <c r="J1054" s="2">
        <f t="shared" si="286"/>
        <v>0.56060606060606055</v>
      </c>
      <c r="K1054" s="2">
        <f t="shared" si="287"/>
        <v>0.36363636363636365</v>
      </c>
      <c r="L1054" s="2">
        <f t="shared" si="288"/>
        <v>3.5650623885918001E-3</v>
      </c>
      <c r="M1054" s="2">
        <f t="shared" si="289"/>
        <v>7.2192513368983996E-2</v>
      </c>
      <c r="N1054" s="63">
        <v>629</v>
      </c>
      <c r="O1054" s="63">
        <v>408</v>
      </c>
      <c r="P1054" s="63">
        <v>4</v>
      </c>
      <c r="Q1054" s="63">
        <v>46</v>
      </c>
      <c r="R1054" s="63">
        <v>27</v>
      </c>
      <c r="S1054" s="63"/>
      <c r="T1054" s="63"/>
      <c r="U1054" s="63"/>
      <c r="V1054" s="63"/>
      <c r="W1054" s="63">
        <f t="shared" si="290"/>
        <v>8</v>
      </c>
      <c r="X1054" s="63"/>
      <c r="Y1054" s="63"/>
      <c r="Z1054" s="63"/>
      <c r="AA1054" s="63">
        <v>0</v>
      </c>
      <c r="AB1054" s="63"/>
      <c r="AE1054" s="8">
        <v>0</v>
      </c>
      <c r="AT1054" t="str">
        <f t="shared" si="281"/>
        <v>Westhampton</v>
      </c>
      <c r="AU1054" t="s">
        <v>2176</v>
      </c>
      <c r="AV1054">
        <v>1</v>
      </c>
      <c r="AX1054" s="114">
        <v>25</v>
      </c>
      <c r="AY1054" s="116">
        <v>15</v>
      </c>
      <c r="AZ1054" s="116">
        <v>90</v>
      </c>
      <c r="BA1054" s="120">
        <v>76380</v>
      </c>
      <c r="BB1054" s="120">
        <f t="shared" si="282"/>
        <v>25015</v>
      </c>
      <c r="BC1054" t="s">
        <v>1472</v>
      </c>
      <c r="BD1054">
        <f t="shared" si="291"/>
        <v>2576380</v>
      </c>
      <c r="BE1054" s="66">
        <v>14</v>
      </c>
      <c r="BF1054" s="66"/>
      <c r="BI1054">
        <v>27.34</v>
      </c>
      <c r="BJ1054">
        <v>0.2</v>
      </c>
      <c r="BK1054">
        <v>27.14</v>
      </c>
      <c r="BQ1054">
        <v>8</v>
      </c>
      <c r="BS1054">
        <v>0</v>
      </c>
    </row>
    <row r="1055" spans="1:71" hidden="1" outlineLevel="1">
      <c r="A1055" s="64" t="s">
        <v>3077</v>
      </c>
      <c r="B1055" s="8" t="s">
        <v>1320</v>
      </c>
      <c r="C1055" s="1">
        <f t="shared" si="283"/>
        <v>4556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 t="shared" si="284"/>
        <v>6</v>
      </c>
      <c r="G1055" s="1">
        <f t="shared" si="285"/>
        <v>207</v>
      </c>
      <c r="H1055" s="2">
        <f t="shared" si="280"/>
        <v>4.5434591747146619E-2</v>
      </c>
      <c r="I1055" s="6"/>
      <c r="J1055" s="2">
        <f t="shared" si="286"/>
        <v>0.42976294995610187</v>
      </c>
      <c r="K1055" s="2">
        <f t="shared" si="287"/>
        <v>0.47519754170324846</v>
      </c>
      <c r="L1055" s="2">
        <f t="shared" si="288"/>
        <v>1.7559262510974539E-3</v>
      </c>
      <c r="M1055" s="2">
        <f t="shared" si="289"/>
        <v>9.3283582089552217E-2</v>
      </c>
      <c r="N1055" s="63">
        <v>1958</v>
      </c>
      <c r="O1055" s="63">
        <v>2165</v>
      </c>
      <c r="P1055" s="63">
        <v>8</v>
      </c>
      <c r="Q1055" s="63">
        <v>276</v>
      </c>
      <c r="R1055" s="63">
        <v>68</v>
      </c>
      <c r="S1055" s="63"/>
      <c r="T1055" s="63"/>
      <c r="U1055" s="63"/>
      <c r="V1055" s="63"/>
      <c r="W1055" s="63">
        <f t="shared" si="290"/>
        <v>80</v>
      </c>
      <c r="X1055" s="63"/>
      <c r="Y1055" s="63"/>
      <c r="Z1055" s="63"/>
      <c r="AA1055" s="63">
        <v>0</v>
      </c>
      <c r="AB1055" s="63"/>
      <c r="AE1055" s="8">
        <v>1</v>
      </c>
      <c r="AT1055" t="str">
        <f t="shared" si="281"/>
        <v>Westminster</v>
      </c>
      <c r="AU1055" s="8" t="s">
        <v>1774</v>
      </c>
      <c r="AV1055">
        <v>3</v>
      </c>
      <c r="AX1055" s="114">
        <v>25</v>
      </c>
      <c r="AY1055" s="116">
        <v>27</v>
      </c>
      <c r="AZ1055" s="116">
        <v>290</v>
      </c>
      <c r="BA1055" s="120">
        <v>77010</v>
      </c>
      <c r="BB1055" s="120">
        <f t="shared" si="282"/>
        <v>25027</v>
      </c>
      <c r="BC1055" t="s">
        <v>1472</v>
      </c>
      <c r="BD1055">
        <f t="shared" si="291"/>
        <v>2577010</v>
      </c>
      <c r="BE1055" s="66">
        <v>67</v>
      </c>
      <c r="BF1055" s="66"/>
      <c r="BI1055">
        <v>37.33</v>
      </c>
      <c r="BJ1055">
        <v>1.83</v>
      </c>
      <c r="BK1055">
        <v>35.51</v>
      </c>
      <c r="BQ1055">
        <v>80</v>
      </c>
      <c r="BS1055">
        <v>0</v>
      </c>
    </row>
    <row r="1056" spans="1:71" hidden="1" outlineLevel="1">
      <c r="A1056" s="64" t="s">
        <v>1430</v>
      </c>
      <c r="B1056" s="8" t="s">
        <v>1320</v>
      </c>
      <c r="C1056" s="1">
        <f t="shared" si="283"/>
        <v>6582</v>
      </c>
      <c r="D1056" s="5">
        <f>IF(N1056&gt;0, RANK(N1056,(N1056:P1056,Q1056:AE1056)),0)</f>
        <v>1</v>
      </c>
      <c r="E1056" s="5">
        <f>IF(O1056&gt;0,RANK(O1056,(N1056:P1056,Q1056:AE1056)),0)</f>
        <v>2</v>
      </c>
      <c r="F1056" s="5">
        <f t="shared" si="284"/>
        <v>0</v>
      </c>
      <c r="G1056" s="1">
        <f t="shared" si="285"/>
        <v>2720</v>
      </c>
      <c r="H1056" s="2">
        <f t="shared" ref="H1056:H1119" si="292">IF(C1056&gt;0,G1056/C1056,0)</f>
        <v>0.41324825281069583</v>
      </c>
      <c r="I1056" s="6"/>
      <c r="J1056" s="2">
        <f t="shared" si="286"/>
        <v>0.66362807657247036</v>
      </c>
      <c r="K1056" s="2">
        <f t="shared" si="287"/>
        <v>0.25037982376177453</v>
      </c>
      <c r="L1056" s="2">
        <f t="shared" si="288"/>
        <v>0</v>
      </c>
      <c r="M1056" s="2">
        <f t="shared" si="289"/>
        <v>8.5992099665755106E-2</v>
      </c>
      <c r="N1056" s="63">
        <v>4368</v>
      </c>
      <c r="O1056" s="63">
        <v>1648</v>
      </c>
      <c r="P1056" s="63">
        <v>0</v>
      </c>
      <c r="Q1056" s="63">
        <v>332</v>
      </c>
      <c r="R1056" s="63">
        <v>57</v>
      </c>
      <c r="S1056" s="63"/>
      <c r="T1056" s="63"/>
      <c r="U1056" s="63"/>
      <c r="V1056" s="63"/>
      <c r="W1056" s="63">
        <f t="shared" si="290"/>
        <v>177</v>
      </c>
      <c r="X1056" s="63"/>
      <c r="Y1056" s="63"/>
      <c r="Z1056" s="63"/>
      <c r="AA1056" s="63">
        <v>0</v>
      </c>
      <c r="AB1056" s="63"/>
      <c r="AE1056" s="8">
        <v>0</v>
      </c>
      <c r="AT1056" t="str">
        <f t="shared" ref="AT1056:AT1115" si="293">A1056</f>
        <v>Weston</v>
      </c>
      <c r="AU1056" t="s">
        <v>503</v>
      </c>
      <c r="AV1056">
        <v>5</v>
      </c>
      <c r="AX1056" s="114">
        <v>25</v>
      </c>
      <c r="AY1056" s="116">
        <v>17</v>
      </c>
      <c r="AZ1056" s="116">
        <v>255</v>
      </c>
      <c r="BA1056" s="120">
        <v>77255</v>
      </c>
      <c r="BB1056" s="120">
        <f t="shared" si="282"/>
        <v>25017</v>
      </c>
      <c r="BC1056" t="s">
        <v>1472</v>
      </c>
      <c r="BD1056">
        <f t="shared" si="291"/>
        <v>2577255</v>
      </c>
      <c r="BE1056" s="66">
        <v>114</v>
      </c>
      <c r="BF1056" s="66"/>
      <c r="BI1056">
        <v>17.329999999999998</v>
      </c>
      <c r="BJ1056">
        <v>0.32</v>
      </c>
      <c r="BK1056">
        <v>17.02</v>
      </c>
      <c r="BQ1056">
        <v>177</v>
      </c>
      <c r="BS1056">
        <v>0</v>
      </c>
    </row>
    <row r="1057" spans="1:71" hidden="1" outlineLevel="1">
      <c r="A1057" s="64" t="s">
        <v>2193</v>
      </c>
      <c r="B1057" s="8" t="s">
        <v>1320</v>
      </c>
      <c r="C1057" s="1">
        <f t="shared" si="283"/>
        <v>9117</v>
      </c>
      <c r="D1057" s="5">
        <f>IF(N1057&gt;0, RANK(N1057,(N1057:P1057,Q1057:AE1057)),0)</f>
        <v>1</v>
      </c>
      <c r="E1057" s="5">
        <f>IF(O1057&gt;0,RANK(O1057,(N1057:P1057,Q1057:AE1057)),0)</f>
        <v>2</v>
      </c>
      <c r="F1057" s="5">
        <f t="shared" si="284"/>
        <v>6</v>
      </c>
      <c r="G1057" s="1">
        <f t="shared" si="285"/>
        <v>98</v>
      </c>
      <c r="H1057" s="2">
        <f t="shared" si="292"/>
        <v>1.0749149939673137E-2</v>
      </c>
      <c r="I1057" s="6"/>
      <c r="J1057" s="2">
        <f t="shared" si="286"/>
        <v>0.4807502467917078</v>
      </c>
      <c r="K1057" s="2">
        <f t="shared" si="287"/>
        <v>0.47000109685203467</v>
      </c>
      <c r="L1057" s="2">
        <f t="shared" si="288"/>
        <v>7.6779642426236705E-4</v>
      </c>
      <c r="M1057" s="2">
        <f t="shared" si="289"/>
        <v>4.8480859931995211E-2</v>
      </c>
      <c r="N1057" s="63">
        <v>4383</v>
      </c>
      <c r="O1057" s="63">
        <v>4285</v>
      </c>
      <c r="P1057" s="63">
        <v>7</v>
      </c>
      <c r="Q1057" s="63">
        <v>306</v>
      </c>
      <c r="R1057" s="63">
        <v>98</v>
      </c>
      <c r="S1057" s="63"/>
      <c r="T1057" s="63"/>
      <c r="U1057" s="63"/>
      <c r="V1057" s="63"/>
      <c r="W1057" s="63">
        <f t="shared" si="290"/>
        <v>38</v>
      </c>
      <c r="X1057" s="63"/>
      <c r="Y1057" s="63"/>
      <c r="Z1057" s="63"/>
      <c r="AA1057" s="63">
        <v>0</v>
      </c>
      <c r="AB1057" s="63"/>
      <c r="AE1057" s="8">
        <v>0</v>
      </c>
      <c r="AT1057" t="str">
        <f t="shared" si="293"/>
        <v>Westport</v>
      </c>
      <c r="AU1057" t="s">
        <v>2215</v>
      </c>
      <c r="AV1057">
        <v>9</v>
      </c>
      <c r="AX1057" s="114">
        <v>25</v>
      </c>
      <c r="AY1057" s="116">
        <v>5</v>
      </c>
      <c r="AZ1057" s="116">
        <v>100</v>
      </c>
      <c r="BA1057" s="120">
        <v>77570</v>
      </c>
      <c r="BB1057" s="120">
        <f t="shared" si="282"/>
        <v>25005</v>
      </c>
      <c r="BC1057" t="s">
        <v>1472</v>
      </c>
      <c r="BD1057">
        <f t="shared" si="291"/>
        <v>2577570</v>
      </c>
      <c r="BE1057" s="66">
        <v>226</v>
      </c>
      <c r="BF1057" s="66"/>
      <c r="BI1057">
        <v>64.39</v>
      </c>
      <c r="BJ1057">
        <v>14.34</v>
      </c>
      <c r="BK1057">
        <v>50.05</v>
      </c>
      <c r="BQ1057">
        <v>38</v>
      </c>
      <c r="BS1057">
        <v>0</v>
      </c>
    </row>
    <row r="1058" spans="1:71" hidden="1" outlineLevel="1">
      <c r="A1058" s="64" t="s">
        <v>2049</v>
      </c>
      <c r="B1058" s="8" t="s">
        <v>1320</v>
      </c>
      <c r="C1058" s="1">
        <f t="shared" si="283"/>
        <v>9287</v>
      </c>
      <c r="D1058" s="5">
        <f>IF(N1058&gt;0, RANK(N1058,(N1058:P1058,Q1058:AE1058)),0)</f>
        <v>1</v>
      </c>
      <c r="E1058" s="5">
        <f>IF(O1058&gt;0,RANK(O1058,(N1058:P1058,Q1058:AE1058)),0)</f>
        <v>2</v>
      </c>
      <c r="F1058" s="5">
        <f t="shared" si="284"/>
        <v>6</v>
      </c>
      <c r="G1058" s="1">
        <f t="shared" si="285"/>
        <v>2101</v>
      </c>
      <c r="H1058" s="2">
        <f t="shared" si="292"/>
        <v>0.22623021427802303</v>
      </c>
      <c r="I1058" s="6"/>
      <c r="J1058" s="2">
        <f t="shared" si="286"/>
        <v>0.5727360826962421</v>
      </c>
      <c r="K1058" s="2">
        <f t="shared" si="287"/>
        <v>0.34650586841821901</v>
      </c>
      <c r="L1058" s="2">
        <f t="shared" si="288"/>
        <v>2.0458705717669862E-3</v>
      </c>
      <c r="M1058" s="2">
        <f t="shared" si="289"/>
        <v>7.8712178313771905E-2</v>
      </c>
      <c r="N1058" s="63">
        <v>5319</v>
      </c>
      <c r="O1058" s="63">
        <v>3218</v>
      </c>
      <c r="P1058" s="63">
        <v>19</v>
      </c>
      <c r="Q1058" s="63">
        <v>460</v>
      </c>
      <c r="R1058" s="63">
        <v>93</v>
      </c>
      <c r="S1058" s="63"/>
      <c r="T1058" s="63"/>
      <c r="U1058" s="63"/>
      <c r="V1058" s="63"/>
      <c r="W1058" s="63">
        <f t="shared" si="290"/>
        <v>178</v>
      </c>
      <c r="X1058" s="63"/>
      <c r="Y1058" s="63"/>
      <c r="Z1058" s="63"/>
      <c r="AA1058" s="63">
        <v>0</v>
      </c>
      <c r="AB1058" s="63"/>
      <c r="AE1058" s="8">
        <v>0</v>
      </c>
      <c r="AT1058" t="str">
        <f t="shared" si="293"/>
        <v>Westwood</v>
      </c>
      <c r="AU1058" t="s">
        <v>753</v>
      </c>
      <c r="AV1058">
        <v>8</v>
      </c>
      <c r="AX1058" s="114">
        <v>25</v>
      </c>
      <c r="AY1058" s="116">
        <v>21</v>
      </c>
      <c r="AZ1058" s="116">
        <v>130</v>
      </c>
      <c r="BA1058" s="120">
        <v>78690</v>
      </c>
      <c r="BB1058" s="120">
        <f t="shared" si="282"/>
        <v>25021</v>
      </c>
      <c r="BC1058" t="s">
        <v>1472</v>
      </c>
      <c r="BD1058">
        <f t="shared" si="291"/>
        <v>2578690</v>
      </c>
      <c r="BE1058" s="66">
        <v>207</v>
      </c>
      <c r="BF1058" s="66"/>
      <c r="BI1058">
        <v>11.12</v>
      </c>
      <c r="BJ1058">
        <v>0.15</v>
      </c>
      <c r="BK1058">
        <v>10.97</v>
      </c>
      <c r="BQ1058">
        <v>178</v>
      </c>
      <c r="BS1058">
        <v>0</v>
      </c>
    </row>
    <row r="1059" spans="1:71" hidden="1" outlineLevel="1">
      <c r="A1059" s="64" t="s">
        <v>1535</v>
      </c>
      <c r="B1059" s="8" t="s">
        <v>1320</v>
      </c>
      <c r="C1059" s="1">
        <f t="shared" si="283"/>
        <v>29494</v>
      </c>
      <c r="D1059" s="5">
        <f>IF(N1059&gt;0, RANK(N1059,(N1059:P1059,Q1059:AE1059)),0)</f>
        <v>1</v>
      </c>
      <c r="E1059" s="5">
        <f>IF(O1059&gt;0,RANK(O1059,(N1059:P1059,Q1059:AE1059)),0)</f>
        <v>2</v>
      </c>
      <c r="F1059" s="5">
        <f t="shared" si="284"/>
        <v>6</v>
      </c>
      <c r="G1059" s="1">
        <f t="shared" si="285"/>
        <v>3415</v>
      </c>
      <c r="H1059" s="2">
        <f t="shared" si="292"/>
        <v>0.11578626161253136</v>
      </c>
      <c r="I1059" s="6"/>
      <c r="J1059" s="2">
        <f t="shared" si="286"/>
        <v>0.52207228588865529</v>
      </c>
      <c r="K1059" s="2">
        <f t="shared" si="287"/>
        <v>0.40628602427612398</v>
      </c>
      <c r="L1059" s="2">
        <f t="shared" si="288"/>
        <v>1.4240184444293754E-3</v>
      </c>
      <c r="M1059" s="2">
        <f t="shared" si="289"/>
        <v>7.0217671390791353E-2</v>
      </c>
      <c r="N1059" s="63">
        <v>15398</v>
      </c>
      <c r="O1059" s="63">
        <v>11983</v>
      </c>
      <c r="P1059" s="63">
        <v>42</v>
      </c>
      <c r="Q1059" s="63">
        <v>1159</v>
      </c>
      <c r="R1059" s="63">
        <v>380</v>
      </c>
      <c r="S1059" s="63"/>
      <c r="T1059" s="63"/>
      <c r="U1059" s="63"/>
      <c r="V1059" s="63"/>
      <c r="W1059" s="63">
        <f t="shared" si="290"/>
        <v>532</v>
      </c>
      <c r="X1059" s="63"/>
      <c r="Y1059" s="63"/>
      <c r="Z1059" s="63"/>
      <c r="AA1059" s="63">
        <v>0</v>
      </c>
      <c r="AB1059" s="63"/>
      <c r="AE1059" s="8">
        <v>0</v>
      </c>
      <c r="AT1059" t="str">
        <f t="shared" si="293"/>
        <v>Weymouth</v>
      </c>
      <c r="AU1059" t="s">
        <v>753</v>
      </c>
      <c r="AV1059">
        <v>8</v>
      </c>
      <c r="AX1059" s="114">
        <v>25</v>
      </c>
      <c r="AY1059" s="116">
        <v>21</v>
      </c>
      <c r="AZ1059" s="116">
        <v>135</v>
      </c>
      <c r="BA1059" s="120">
        <v>78865</v>
      </c>
      <c r="BB1059" s="120">
        <f t="shared" ref="BB1059:BB1122" si="294">AX1059*1000+AY1059</f>
        <v>25021</v>
      </c>
      <c r="BC1059" t="s">
        <v>1249</v>
      </c>
      <c r="BD1059">
        <f t="shared" si="291"/>
        <v>2578865</v>
      </c>
      <c r="BE1059" s="66">
        <v>373</v>
      </c>
      <c r="BF1059" s="66"/>
      <c r="BI1059">
        <v>21.61</v>
      </c>
      <c r="BJ1059">
        <v>4.5999999999999996</v>
      </c>
      <c r="BK1059">
        <v>17.010000000000002</v>
      </c>
      <c r="BQ1059">
        <v>532</v>
      </c>
      <c r="BS1059">
        <v>0</v>
      </c>
    </row>
    <row r="1060" spans="1:71" hidden="1" outlineLevel="1">
      <c r="A1060" s="64" t="s">
        <v>2855</v>
      </c>
      <c r="B1060" s="8" t="s">
        <v>1320</v>
      </c>
      <c r="C1060" s="1">
        <f t="shared" si="283"/>
        <v>1012</v>
      </c>
      <c r="D1060" s="5">
        <f>IF(N1060&gt;0, RANK(N1060,(N1060:P1060,Q1060:AE1060)),0)</f>
        <v>1</v>
      </c>
      <c r="E1060" s="5">
        <f>IF(O1060&gt;0,RANK(O1060,(N1060:P1060,Q1060:AE1060)),0)</f>
        <v>2</v>
      </c>
      <c r="F1060" s="5">
        <f t="shared" si="284"/>
        <v>6</v>
      </c>
      <c r="G1060" s="1">
        <f t="shared" si="285"/>
        <v>254</v>
      </c>
      <c r="H1060" s="2">
        <f t="shared" si="292"/>
        <v>0.25098814229249011</v>
      </c>
      <c r="I1060" s="6"/>
      <c r="J1060" s="2">
        <f t="shared" si="286"/>
        <v>0.57509881422924902</v>
      </c>
      <c r="K1060" s="2">
        <f t="shared" si="287"/>
        <v>0.32411067193675891</v>
      </c>
      <c r="L1060" s="2">
        <f t="shared" si="288"/>
        <v>9.8814229249011851E-4</v>
      </c>
      <c r="M1060" s="2">
        <f t="shared" si="289"/>
        <v>9.9802371541501955E-2</v>
      </c>
      <c r="N1060" s="63">
        <v>582</v>
      </c>
      <c r="O1060" s="63">
        <v>328</v>
      </c>
      <c r="P1060" s="63">
        <v>1</v>
      </c>
      <c r="Q1060" s="63">
        <v>55</v>
      </c>
      <c r="R1060" s="63">
        <v>30</v>
      </c>
      <c r="S1060" s="63"/>
      <c r="T1060" s="63"/>
      <c r="U1060" s="63"/>
      <c r="V1060" s="63"/>
      <c r="W1060" s="63">
        <f t="shared" si="290"/>
        <v>16</v>
      </c>
      <c r="X1060" s="63"/>
      <c r="Y1060" s="63"/>
      <c r="Z1060" s="63"/>
      <c r="AA1060" s="63">
        <v>0</v>
      </c>
      <c r="AB1060" s="63"/>
      <c r="AE1060" s="8">
        <v>0</v>
      </c>
      <c r="AT1060" t="str">
        <f t="shared" si="293"/>
        <v>Whately</v>
      </c>
      <c r="AU1060" t="s">
        <v>1138</v>
      </c>
      <c r="AV1060">
        <v>2</v>
      </c>
      <c r="AX1060" s="114">
        <v>25</v>
      </c>
      <c r="AY1060" s="116">
        <v>11</v>
      </c>
      <c r="AZ1060" s="116">
        <v>130</v>
      </c>
      <c r="BA1060" s="120">
        <v>79110</v>
      </c>
      <c r="BB1060" s="120">
        <f t="shared" si="294"/>
        <v>25011</v>
      </c>
      <c r="BC1060" t="s">
        <v>1472</v>
      </c>
      <c r="BD1060">
        <f t="shared" si="291"/>
        <v>2579110</v>
      </c>
      <c r="BE1060" s="66">
        <v>18</v>
      </c>
      <c r="BF1060" s="66"/>
      <c r="BI1060">
        <v>20.66</v>
      </c>
      <c r="BJ1060">
        <v>0.48</v>
      </c>
      <c r="BK1060">
        <v>20.18</v>
      </c>
      <c r="BQ1060">
        <v>16</v>
      </c>
      <c r="BS1060">
        <v>0</v>
      </c>
    </row>
    <row r="1061" spans="1:71" hidden="1" outlineLevel="1">
      <c r="A1061" s="64" t="s">
        <v>2443</v>
      </c>
      <c r="B1061" s="8" t="s">
        <v>1320</v>
      </c>
      <c r="C1061" s="1">
        <f t="shared" si="283"/>
        <v>7947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 t="shared" si="284"/>
        <v>6</v>
      </c>
      <c r="G1061" s="1">
        <f t="shared" si="285"/>
        <v>422</v>
      </c>
      <c r="H1061" s="2">
        <f t="shared" si="292"/>
        <v>5.3101799421165219E-2</v>
      </c>
      <c r="I1061" s="6"/>
      <c r="J1061" s="2">
        <f t="shared" si="286"/>
        <v>0.42695356738391849</v>
      </c>
      <c r="K1061" s="2">
        <f t="shared" si="287"/>
        <v>0.48005536680508371</v>
      </c>
      <c r="L1061" s="2">
        <f t="shared" si="288"/>
        <v>2.7683402541839688E-3</v>
      </c>
      <c r="M1061" s="2">
        <f t="shared" si="289"/>
        <v>9.022272555681389E-2</v>
      </c>
      <c r="N1061" s="63">
        <v>3393</v>
      </c>
      <c r="O1061" s="63">
        <v>3815</v>
      </c>
      <c r="P1061" s="63">
        <v>22</v>
      </c>
      <c r="Q1061" s="63">
        <v>457</v>
      </c>
      <c r="R1061" s="63">
        <v>98</v>
      </c>
      <c r="S1061" s="63"/>
      <c r="T1061" s="63"/>
      <c r="U1061" s="63"/>
      <c r="V1061" s="63"/>
      <c r="W1061" s="63">
        <f t="shared" si="290"/>
        <v>162</v>
      </c>
      <c r="X1061" s="63"/>
      <c r="Y1061" s="63"/>
      <c r="Z1061" s="63"/>
      <c r="AA1061" s="63">
        <v>0</v>
      </c>
      <c r="AB1061" s="63"/>
      <c r="AE1061" s="8">
        <v>0</v>
      </c>
      <c r="AT1061" t="str">
        <f t="shared" si="293"/>
        <v>Whitman</v>
      </c>
      <c r="AU1061" t="s">
        <v>231</v>
      </c>
      <c r="AV1061">
        <v>8</v>
      </c>
      <c r="AX1061" s="114">
        <v>25</v>
      </c>
      <c r="AY1061" s="116">
        <v>23</v>
      </c>
      <c r="AZ1061" s="116">
        <v>135</v>
      </c>
      <c r="BA1061" s="120">
        <v>79530</v>
      </c>
      <c r="BB1061" s="120">
        <f t="shared" si="294"/>
        <v>25023</v>
      </c>
      <c r="BC1061" t="s">
        <v>1472</v>
      </c>
      <c r="BD1061">
        <f t="shared" si="291"/>
        <v>2579530</v>
      </c>
      <c r="BE1061" s="66">
        <v>114</v>
      </c>
      <c r="BF1061" s="66"/>
      <c r="BI1061">
        <v>6.97</v>
      </c>
      <c r="BJ1061">
        <v>0.01</v>
      </c>
      <c r="BK1061">
        <v>6.96</v>
      </c>
      <c r="BQ1061">
        <v>162</v>
      </c>
      <c r="BS1061">
        <v>0</v>
      </c>
    </row>
    <row r="1062" spans="1:71" hidden="1" outlineLevel="1">
      <c r="A1062" s="64" t="s">
        <v>3046</v>
      </c>
      <c r="B1062" s="8" t="s">
        <v>1320</v>
      </c>
      <c r="C1062" s="1">
        <f t="shared" si="283"/>
        <v>8335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 t="shared" si="284"/>
        <v>6</v>
      </c>
      <c r="G1062" s="1">
        <f t="shared" si="285"/>
        <v>266</v>
      </c>
      <c r="H1062" s="2">
        <f t="shared" si="292"/>
        <v>3.1913617276544688E-2</v>
      </c>
      <c r="I1062" s="6"/>
      <c r="J1062" s="2">
        <f t="shared" si="286"/>
        <v>0.44919016196760647</v>
      </c>
      <c r="K1062" s="2">
        <f t="shared" si="287"/>
        <v>0.48110377924415115</v>
      </c>
      <c r="L1062" s="2">
        <f t="shared" si="288"/>
        <v>1.0797840431913618E-3</v>
      </c>
      <c r="M1062" s="2">
        <f t="shared" si="289"/>
        <v>6.8626274745051064E-2</v>
      </c>
      <c r="N1062" s="63">
        <v>3744</v>
      </c>
      <c r="O1062" s="63">
        <v>4010</v>
      </c>
      <c r="P1062" s="63">
        <v>9</v>
      </c>
      <c r="Q1062" s="63">
        <v>369</v>
      </c>
      <c r="R1062" s="63">
        <v>104</v>
      </c>
      <c r="S1062" s="63"/>
      <c r="T1062" s="63"/>
      <c r="U1062" s="63"/>
      <c r="V1062" s="63"/>
      <c r="W1062" s="63">
        <f t="shared" si="290"/>
        <v>99</v>
      </c>
      <c r="X1062" s="63"/>
      <c r="Y1062" s="63"/>
      <c r="Z1062" s="63"/>
      <c r="AA1062" s="63">
        <v>0</v>
      </c>
      <c r="AB1062" s="63"/>
      <c r="AE1062" s="8">
        <v>0</v>
      </c>
      <c r="AT1062" t="str">
        <f t="shared" si="293"/>
        <v>Wilbraham</v>
      </c>
      <c r="AU1062" t="s">
        <v>2852</v>
      </c>
      <c r="AV1062">
        <v>1</v>
      </c>
      <c r="AX1062" s="114">
        <v>25</v>
      </c>
      <c r="AY1062" s="116">
        <v>13</v>
      </c>
      <c r="AZ1062" s="116">
        <v>115</v>
      </c>
      <c r="BA1062" s="120">
        <v>79740</v>
      </c>
      <c r="BB1062" s="120">
        <f t="shared" si="294"/>
        <v>25013</v>
      </c>
      <c r="BC1062" t="s">
        <v>1472</v>
      </c>
      <c r="BD1062">
        <f t="shared" si="291"/>
        <v>2579740</v>
      </c>
      <c r="BE1062" s="66">
        <v>277</v>
      </c>
      <c r="BF1062" s="66"/>
      <c r="BI1062">
        <v>22.42</v>
      </c>
      <c r="BJ1062">
        <v>0.2</v>
      </c>
      <c r="BK1062">
        <v>22.22</v>
      </c>
      <c r="BQ1062">
        <v>99</v>
      </c>
      <c r="BS1062">
        <v>0</v>
      </c>
    </row>
    <row r="1063" spans="1:71" hidden="1" outlineLevel="1">
      <c r="A1063" s="64" t="s">
        <v>63</v>
      </c>
      <c r="B1063" s="8" t="s">
        <v>1320</v>
      </c>
      <c r="C1063" s="1">
        <f t="shared" si="283"/>
        <v>1700</v>
      </c>
      <c r="D1063" s="5">
        <f>IF(N1063&gt;0, RANK(N1063,(N1063:P1063,Q1063:AE1063)),0)</f>
        <v>1</v>
      </c>
      <c r="E1063" s="5">
        <f>IF(O1063&gt;0,RANK(O1063,(N1063:P1063,Q1063:AE1063)),0)</f>
        <v>2</v>
      </c>
      <c r="F1063" s="5">
        <f t="shared" si="284"/>
        <v>0</v>
      </c>
      <c r="G1063" s="1">
        <f t="shared" si="285"/>
        <v>860</v>
      </c>
      <c r="H1063" s="2">
        <f t="shared" si="292"/>
        <v>0.50588235294117645</v>
      </c>
      <c r="I1063" s="6"/>
      <c r="J1063" s="2">
        <f t="shared" si="286"/>
        <v>0.71</v>
      </c>
      <c r="K1063" s="2">
        <f t="shared" si="287"/>
        <v>0.20411764705882354</v>
      </c>
      <c r="L1063" s="2">
        <f t="shared" si="288"/>
        <v>0</v>
      </c>
      <c r="M1063" s="2">
        <f t="shared" si="289"/>
        <v>8.5882352941176493E-2</v>
      </c>
      <c r="N1063" s="63">
        <v>1207</v>
      </c>
      <c r="O1063" s="63">
        <v>347</v>
      </c>
      <c r="P1063" s="63">
        <v>0</v>
      </c>
      <c r="Q1063" s="63">
        <v>69</v>
      </c>
      <c r="R1063" s="63">
        <v>58</v>
      </c>
      <c r="S1063" s="63"/>
      <c r="T1063" s="63"/>
      <c r="U1063" s="63"/>
      <c r="V1063" s="63"/>
      <c r="W1063" s="63">
        <f t="shared" si="290"/>
        <v>19</v>
      </c>
      <c r="X1063" s="63"/>
      <c r="Y1063" s="63"/>
      <c r="Z1063" s="63"/>
      <c r="AA1063" s="63">
        <v>0</v>
      </c>
      <c r="AB1063" s="63"/>
      <c r="AE1063" s="8">
        <v>0</v>
      </c>
      <c r="AT1063" t="str">
        <f t="shared" si="293"/>
        <v>Williamsburg</v>
      </c>
      <c r="AU1063" t="s">
        <v>2176</v>
      </c>
      <c r="AV1063">
        <v>1</v>
      </c>
      <c r="AX1063" s="114">
        <v>25</v>
      </c>
      <c r="AY1063" s="116">
        <v>15</v>
      </c>
      <c r="AZ1063" s="116">
        <v>95</v>
      </c>
      <c r="BA1063" s="120">
        <v>79915</v>
      </c>
      <c r="BB1063" s="120">
        <f t="shared" si="294"/>
        <v>25015</v>
      </c>
      <c r="BC1063" t="s">
        <v>1472</v>
      </c>
      <c r="BD1063">
        <f t="shared" si="291"/>
        <v>2579915</v>
      </c>
      <c r="BE1063" s="66">
        <v>14</v>
      </c>
      <c r="BF1063" s="66"/>
      <c r="BI1063">
        <v>25.71</v>
      </c>
      <c r="BJ1063">
        <v>0.09</v>
      </c>
      <c r="BK1063">
        <v>25.63</v>
      </c>
      <c r="BQ1063">
        <v>19</v>
      </c>
      <c r="BS1063">
        <v>0</v>
      </c>
    </row>
    <row r="1064" spans="1:71" hidden="1" outlineLevel="1">
      <c r="A1064" s="64" t="s">
        <v>1501</v>
      </c>
      <c r="B1064" s="8" t="s">
        <v>1320</v>
      </c>
      <c r="C1064" s="1">
        <f t="shared" si="283"/>
        <v>3590</v>
      </c>
      <c r="D1064" s="5">
        <f>IF(N1064&gt;0, RANK(N1064,(N1064:P1064,Q1064:AE1064)),0)</f>
        <v>1</v>
      </c>
      <c r="E1064" s="5">
        <f>IF(O1064&gt;0,RANK(O1064,(N1064:P1064,Q1064:AE1064)),0)</f>
        <v>2</v>
      </c>
      <c r="F1064" s="5">
        <f t="shared" si="284"/>
        <v>6</v>
      </c>
      <c r="G1064" s="1">
        <f t="shared" si="285"/>
        <v>2438</v>
      </c>
      <c r="H1064" s="2">
        <f t="shared" si="292"/>
        <v>0.67910863509749309</v>
      </c>
      <c r="I1064" s="6"/>
      <c r="J1064" s="2">
        <f t="shared" si="286"/>
        <v>0.81225626740947077</v>
      </c>
      <c r="K1064" s="2">
        <f t="shared" si="287"/>
        <v>0.13314763231197771</v>
      </c>
      <c r="L1064" s="2">
        <f t="shared" si="288"/>
        <v>1.6713091922005571E-3</v>
      </c>
      <c r="M1064" s="2">
        <f t="shared" si="289"/>
        <v>5.2924791086350967E-2</v>
      </c>
      <c r="N1064" s="63">
        <v>2916</v>
      </c>
      <c r="O1064" s="63">
        <v>478</v>
      </c>
      <c r="P1064" s="63">
        <v>6</v>
      </c>
      <c r="Q1064" s="63">
        <v>83</v>
      </c>
      <c r="R1064" s="63">
        <v>59</v>
      </c>
      <c r="S1064" s="63"/>
      <c r="T1064" s="63"/>
      <c r="U1064" s="63"/>
      <c r="V1064" s="63"/>
      <c r="W1064" s="63">
        <f t="shared" si="290"/>
        <v>48</v>
      </c>
      <c r="X1064" s="63"/>
      <c r="Y1064" s="63"/>
      <c r="Z1064" s="63"/>
      <c r="AA1064" s="63">
        <v>0</v>
      </c>
      <c r="AB1064" s="63"/>
      <c r="AE1064" s="8">
        <v>0</v>
      </c>
      <c r="AT1064" t="str">
        <f t="shared" si="293"/>
        <v>Williamstown</v>
      </c>
      <c r="AU1064" t="s">
        <v>2313</v>
      </c>
      <c r="AV1064">
        <v>1</v>
      </c>
      <c r="AX1064" s="114">
        <v>25</v>
      </c>
      <c r="AY1064" s="116">
        <v>3</v>
      </c>
      <c r="AZ1064" s="116">
        <v>155</v>
      </c>
      <c r="BA1064" s="120">
        <v>79985</v>
      </c>
      <c r="BB1064" s="120">
        <f t="shared" si="294"/>
        <v>25003</v>
      </c>
      <c r="BC1064" t="s">
        <v>1472</v>
      </c>
      <c r="BD1064">
        <f t="shared" si="291"/>
        <v>2579985</v>
      </c>
      <c r="BE1064" s="66">
        <v>33</v>
      </c>
      <c r="BF1064" s="66"/>
      <c r="BI1064">
        <v>46.91</v>
      </c>
      <c r="BJ1064">
        <v>0.02</v>
      </c>
      <c r="BK1064">
        <v>46.89</v>
      </c>
      <c r="BQ1064">
        <v>48</v>
      </c>
      <c r="BS1064">
        <v>0</v>
      </c>
    </row>
    <row r="1065" spans="1:71" hidden="1" outlineLevel="1">
      <c r="A1065" s="64" t="s">
        <v>2512</v>
      </c>
      <c r="B1065" s="8" t="s">
        <v>1320</v>
      </c>
      <c r="C1065" s="1">
        <f t="shared" si="283"/>
        <v>13382</v>
      </c>
      <c r="D1065" s="5">
        <f>IF(N1065&gt;0, RANK(N1065,(N1065:P1065,Q1065:AE1065)),0)</f>
        <v>1</v>
      </c>
      <c r="E1065" s="5">
        <f>IF(O1065&gt;0,RANK(O1065,(N1065:P1065,Q1065:AE1065)),0)</f>
        <v>2</v>
      </c>
      <c r="F1065" s="5">
        <f t="shared" si="284"/>
        <v>0</v>
      </c>
      <c r="G1065" s="1">
        <f t="shared" si="285"/>
        <v>38</v>
      </c>
      <c r="H1065" s="2">
        <f t="shared" si="292"/>
        <v>2.8396353310416976E-3</v>
      </c>
      <c r="I1065" s="6"/>
      <c r="J1065" s="2">
        <f t="shared" si="286"/>
        <v>0.46368255866088776</v>
      </c>
      <c r="K1065" s="2">
        <f t="shared" si="287"/>
        <v>0.46084292332984605</v>
      </c>
      <c r="L1065" s="2">
        <f t="shared" si="288"/>
        <v>0</v>
      </c>
      <c r="M1065" s="2">
        <f t="shared" si="289"/>
        <v>7.5474518009266245E-2</v>
      </c>
      <c r="N1065" s="63">
        <v>6205</v>
      </c>
      <c r="O1065" s="63">
        <v>6167</v>
      </c>
      <c r="P1065" s="63">
        <v>0</v>
      </c>
      <c r="Q1065" s="63">
        <v>612</v>
      </c>
      <c r="R1065" s="63">
        <v>125</v>
      </c>
      <c r="S1065" s="63"/>
      <c r="T1065" s="63"/>
      <c r="U1065" s="63"/>
      <c r="V1065" s="63"/>
      <c r="W1065" s="63">
        <f t="shared" si="290"/>
        <v>273</v>
      </c>
      <c r="X1065" s="63"/>
      <c r="Y1065" s="63"/>
      <c r="Z1065" s="63"/>
      <c r="AA1065" s="63">
        <v>0</v>
      </c>
      <c r="AB1065" s="63"/>
      <c r="AE1065" s="8">
        <v>0</v>
      </c>
      <c r="AT1065" t="str">
        <f t="shared" si="293"/>
        <v>Wilmington</v>
      </c>
      <c r="AU1065" t="s">
        <v>503</v>
      </c>
      <c r="AV1065">
        <v>6</v>
      </c>
      <c r="AX1065" s="114">
        <v>25</v>
      </c>
      <c r="AY1065" s="116">
        <v>17</v>
      </c>
      <c r="AZ1065" s="116">
        <v>260</v>
      </c>
      <c r="BA1065" s="120">
        <v>80230</v>
      </c>
      <c r="BB1065" s="120">
        <f t="shared" si="294"/>
        <v>25017</v>
      </c>
      <c r="BC1065" t="s">
        <v>1472</v>
      </c>
      <c r="BD1065">
        <f t="shared" si="291"/>
        <v>2580230</v>
      </c>
      <c r="BE1065" s="66">
        <v>213</v>
      </c>
      <c r="BF1065" s="66"/>
      <c r="BI1065">
        <v>17.21</v>
      </c>
      <c r="BJ1065">
        <v>0.08</v>
      </c>
      <c r="BK1065">
        <v>17.13</v>
      </c>
      <c r="BQ1065">
        <v>273</v>
      </c>
      <c r="BS1065">
        <v>0</v>
      </c>
    </row>
    <row r="1066" spans="1:71" hidden="1" outlineLevel="1">
      <c r="A1066" s="64" t="s">
        <v>2536</v>
      </c>
      <c r="B1066" s="8" t="s">
        <v>1320</v>
      </c>
      <c r="C1066" s="1">
        <f t="shared" si="283"/>
        <v>4563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 t="shared" si="284"/>
        <v>6</v>
      </c>
      <c r="G1066" s="1">
        <f t="shared" si="285"/>
        <v>523</v>
      </c>
      <c r="H1066" s="2">
        <f t="shared" si="292"/>
        <v>0.1146175761560377</v>
      </c>
      <c r="I1066" s="6"/>
      <c r="J1066" s="2">
        <f t="shared" si="286"/>
        <v>0.39206662283585358</v>
      </c>
      <c r="K1066" s="2">
        <f t="shared" si="287"/>
        <v>0.50668419899189132</v>
      </c>
      <c r="L1066" s="2">
        <f t="shared" si="288"/>
        <v>2.6298487836949377E-3</v>
      </c>
      <c r="M1066" s="2">
        <f t="shared" si="289"/>
        <v>9.8619329388560162E-2</v>
      </c>
      <c r="N1066" s="63">
        <v>1789</v>
      </c>
      <c r="O1066" s="63">
        <v>2312</v>
      </c>
      <c r="P1066" s="63">
        <v>12</v>
      </c>
      <c r="Q1066" s="63">
        <v>292</v>
      </c>
      <c r="R1066" s="63">
        <v>91</v>
      </c>
      <c r="S1066" s="63"/>
      <c r="T1066" s="63"/>
      <c r="U1066" s="63"/>
      <c r="V1066" s="63"/>
      <c r="W1066" s="63">
        <f t="shared" si="290"/>
        <v>67</v>
      </c>
      <c r="X1066" s="63"/>
      <c r="Y1066" s="63"/>
      <c r="Z1066" s="63"/>
      <c r="AA1066" s="63">
        <v>0</v>
      </c>
      <c r="AB1066" s="63"/>
      <c r="AE1066" s="8">
        <v>0</v>
      </c>
      <c r="AT1066" t="str">
        <f t="shared" si="293"/>
        <v>Winchendon</v>
      </c>
      <c r="AU1066" s="8" t="s">
        <v>1774</v>
      </c>
      <c r="AX1066" s="114">
        <v>25</v>
      </c>
      <c r="AY1066" s="116">
        <v>27</v>
      </c>
      <c r="AZ1066" s="116">
        <v>295</v>
      </c>
      <c r="BA1066" s="120">
        <v>80405</v>
      </c>
      <c r="BB1066" s="120">
        <f t="shared" si="294"/>
        <v>25027</v>
      </c>
      <c r="BC1066" t="s">
        <v>1472</v>
      </c>
      <c r="BD1066">
        <f t="shared" si="291"/>
        <v>2580405</v>
      </c>
      <c r="BE1066" s="66">
        <v>55</v>
      </c>
      <c r="BF1066" s="66"/>
      <c r="BI1066">
        <v>44.06</v>
      </c>
      <c r="BJ1066">
        <v>0.78</v>
      </c>
      <c r="BK1066">
        <v>43.28</v>
      </c>
      <c r="BQ1066">
        <v>67</v>
      </c>
      <c r="BS1066">
        <v>0</v>
      </c>
    </row>
    <row r="1067" spans="1:71" hidden="1" outlineLevel="1">
      <c r="A1067" s="64" t="s">
        <v>893</v>
      </c>
      <c r="B1067" s="8" t="s">
        <v>1320</v>
      </c>
      <c r="C1067" s="1">
        <f t="shared" si="283"/>
        <v>12774</v>
      </c>
      <c r="D1067" s="5">
        <f>IF(N1067&gt;0, RANK(N1067,(N1067:P1067,Q1067:AE1067)),0)</f>
        <v>1</v>
      </c>
      <c r="E1067" s="5">
        <f>IF(O1067&gt;0,RANK(O1067,(N1067:P1067,Q1067:AE1067)),0)</f>
        <v>2</v>
      </c>
      <c r="F1067" s="5">
        <f t="shared" si="284"/>
        <v>6</v>
      </c>
      <c r="G1067" s="1">
        <f t="shared" si="285"/>
        <v>4361</v>
      </c>
      <c r="H1067" s="2">
        <f t="shared" si="292"/>
        <v>0.34139658681697199</v>
      </c>
      <c r="I1067" s="6"/>
      <c r="J1067" s="2">
        <f t="shared" si="286"/>
        <v>0.63112572412713319</v>
      </c>
      <c r="K1067" s="2">
        <f t="shared" si="287"/>
        <v>0.28972913731016126</v>
      </c>
      <c r="L1067" s="2">
        <f t="shared" si="288"/>
        <v>1.7222483168936903E-3</v>
      </c>
      <c r="M1067" s="2">
        <f t="shared" si="289"/>
        <v>7.7422890245811865E-2</v>
      </c>
      <c r="N1067" s="63">
        <v>8062</v>
      </c>
      <c r="O1067" s="63">
        <v>3701</v>
      </c>
      <c r="P1067" s="63">
        <v>22</v>
      </c>
      <c r="Q1067" s="63">
        <v>584</v>
      </c>
      <c r="R1067" s="63">
        <v>128</v>
      </c>
      <c r="S1067" s="63"/>
      <c r="T1067" s="63"/>
      <c r="U1067" s="63"/>
      <c r="V1067" s="63"/>
      <c r="W1067" s="63">
        <f t="shared" si="290"/>
        <v>277</v>
      </c>
      <c r="X1067" s="63"/>
      <c r="Y1067" s="63"/>
      <c r="Z1067" s="63"/>
      <c r="AA1067" s="63">
        <v>0</v>
      </c>
      <c r="AB1067" s="63"/>
      <c r="AE1067" s="8">
        <v>0</v>
      </c>
      <c r="AT1067" t="str">
        <f t="shared" si="293"/>
        <v>Winchester</v>
      </c>
      <c r="AU1067" t="s">
        <v>503</v>
      </c>
      <c r="AV1067">
        <v>5</v>
      </c>
      <c r="AX1067" s="114">
        <v>25</v>
      </c>
      <c r="AY1067" s="116">
        <v>17</v>
      </c>
      <c r="AZ1067" s="116">
        <v>265</v>
      </c>
      <c r="BA1067" s="120">
        <v>80510</v>
      </c>
      <c r="BB1067" s="120">
        <f t="shared" si="294"/>
        <v>25017</v>
      </c>
      <c r="BC1067" t="s">
        <v>1472</v>
      </c>
      <c r="BD1067">
        <f t="shared" si="291"/>
        <v>2580510</v>
      </c>
      <c r="BE1067" s="66">
        <v>214</v>
      </c>
      <c r="BF1067" s="66"/>
      <c r="BI1067">
        <v>6.29</v>
      </c>
      <c r="BJ1067">
        <v>0.25</v>
      </c>
      <c r="BK1067">
        <v>6.04</v>
      </c>
      <c r="BQ1067">
        <v>277</v>
      </c>
      <c r="BS1067">
        <v>0</v>
      </c>
    </row>
    <row r="1068" spans="1:71" hidden="1" outlineLevel="1">
      <c r="A1068" s="64" t="s">
        <v>2282</v>
      </c>
      <c r="B1068" s="8" t="s">
        <v>1320</v>
      </c>
      <c r="C1068" s="1">
        <f t="shared" si="283"/>
        <v>519</v>
      </c>
      <c r="D1068" s="5">
        <f>IF(N1068&gt;0, RANK(N1068,(N1068:P1068,Q1068:AE1068)),0)</f>
        <v>1</v>
      </c>
      <c r="E1068" s="5">
        <f>IF(O1068&gt;0,RANK(O1068,(N1068:P1068,Q1068:AE1068)),0)</f>
        <v>2</v>
      </c>
      <c r="F1068" s="5">
        <f t="shared" si="284"/>
        <v>0</v>
      </c>
      <c r="G1068" s="1">
        <f t="shared" si="285"/>
        <v>154</v>
      </c>
      <c r="H1068" s="2">
        <f t="shared" si="292"/>
        <v>0.29672447013487474</v>
      </c>
      <c r="I1068" s="6"/>
      <c r="J1068" s="2">
        <f t="shared" si="286"/>
        <v>0.60308285163776498</v>
      </c>
      <c r="K1068" s="2">
        <f t="shared" si="287"/>
        <v>0.30635838150289019</v>
      </c>
      <c r="L1068" s="2">
        <f t="shared" si="288"/>
        <v>0</v>
      </c>
      <c r="M1068" s="2">
        <f t="shared" si="289"/>
        <v>9.055876685934483E-2</v>
      </c>
      <c r="N1068" s="63">
        <v>313</v>
      </c>
      <c r="O1068" s="63">
        <v>159</v>
      </c>
      <c r="P1068" s="63">
        <v>0</v>
      </c>
      <c r="Q1068" s="63">
        <v>36</v>
      </c>
      <c r="R1068" s="63">
        <v>11</v>
      </c>
      <c r="S1068" s="63"/>
      <c r="T1068" s="63"/>
      <c r="U1068" s="63"/>
      <c r="V1068" s="63"/>
      <c r="W1068" s="63">
        <f t="shared" si="290"/>
        <v>0</v>
      </c>
      <c r="X1068" s="63"/>
      <c r="Y1068" s="63"/>
      <c r="Z1068" s="63"/>
      <c r="AA1068" s="63">
        <v>0</v>
      </c>
      <c r="AB1068" s="63"/>
      <c r="AE1068" s="8">
        <v>0</v>
      </c>
      <c r="AT1068" t="str">
        <f t="shared" si="293"/>
        <v>Windsor</v>
      </c>
      <c r="AU1068" t="s">
        <v>2313</v>
      </c>
      <c r="AV1068">
        <v>1</v>
      </c>
      <c r="AX1068" s="114">
        <v>25</v>
      </c>
      <c r="AY1068" s="116">
        <v>3</v>
      </c>
      <c r="AZ1068" s="116">
        <v>160</v>
      </c>
      <c r="BA1068" s="120">
        <v>80685</v>
      </c>
      <c r="BB1068" s="120">
        <f t="shared" si="294"/>
        <v>25003</v>
      </c>
      <c r="BC1068" t="s">
        <v>1472</v>
      </c>
      <c r="BD1068">
        <f t="shared" si="291"/>
        <v>2580685</v>
      </c>
      <c r="BE1068" s="66">
        <v>17</v>
      </c>
      <c r="BF1068" s="66"/>
      <c r="BI1068">
        <v>35.119999999999997</v>
      </c>
      <c r="BJ1068">
        <v>0.14000000000000001</v>
      </c>
      <c r="BK1068">
        <v>34.99</v>
      </c>
      <c r="BQ1068">
        <v>0</v>
      </c>
      <c r="BS1068">
        <v>0</v>
      </c>
    </row>
    <row r="1069" spans="1:71" hidden="1" outlineLevel="1">
      <c r="A1069" s="64" t="s">
        <v>1321</v>
      </c>
      <c r="B1069" s="8" t="s">
        <v>1320</v>
      </c>
      <c r="C1069" s="1">
        <f t="shared" si="283"/>
        <v>9626</v>
      </c>
      <c r="D1069" s="5">
        <f>IF(N1069&gt;0, RANK(N1069,(N1069:P1069,Q1069:AE1069)),0)</f>
        <v>1</v>
      </c>
      <c r="E1069" s="5">
        <f>IF(O1069&gt;0,RANK(O1069,(N1069:P1069,Q1069:AE1069)),0)</f>
        <v>2</v>
      </c>
      <c r="F1069" s="5">
        <f t="shared" si="284"/>
        <v>0</v>
      </c>
      <c r="G1069" s="1">
        <f t="shared" si="285"/>
        <v>1342</v>
      </c>
      <c r="H1069" s="2">
        <f t="shared" si="292"/>
        <v>0.13941408684811968</v>
      </c>
      <c r="I1069" s="6"/>
      <c r="J1069" s="2">
        <f t="shared" si="286"/>
        <v>0.53958030334510698</v>
      </c>
      <c r="K1069" s="2">
        <f t="shared" si="287"/>
        <v>0.4001662164969873</v>
      </c>
      <c r="L1069" s="2">
        <f t="shared" si="288"/>
        <v>0</v>
      </c>
      <c r="M1069" s="2">
        <f t="shared" si="289"/>
        <v>6.0253480157905714E-2</v>
      </c>
      <c r="N1069" s="63">
        <v>5194</v>
      </c>
      <c r="O1069" s="63">
        <v>3852</v>
      </c>
      <c r="P1069" s="63">
        <v>0</v>
      </c>
      <c r="Q1069" s="63">
        <v>318</v>
      </c>
      <c r="R1069" s="63">
        <v>130</v>
      </c>
      <c r="S1069" s="63"/>
      <c r="T1069" s="63"/>
      <c r="U1069" s="63"/>
      <c r="V1069" s="63"/>
      <c r="W1069" s="63">
        <f t="shared" si="290"/>
        <v>132</v>
      </c>
      <c r="X1069" s="63"/>
      <c r="Y1069" s="63"/>
      <c r="Z1069" s="63"/>
      <c r="AA1069" s="63">
        <v>0</v>
      </c>
      <c r="AB1069" s="63"/>
      <c r="AE1069" s="8">
        <v>0</v>
      </c>
      <c r="AT1069" t="str">
        <f t="shared" si="293"/>
        <v>Winthrop</v>
      </c>
      <c r="AU1069" t="s">
        <v>1468</v>
      </c>
      <c r="AV1069">
        <v>5</v>
      </c>
      <c r="AX1069" s="114">
        <v>25</v>
      </c>
      <c r="AY1069" s="116">
        <v>25</v>
      </c>
      <c r="AZ1069" s="116">
        <v>20</v>
      </c>
      <c r="BA1069" s="120">
        <v>80930</v>
      </c>
      <c r="BB1069" s="120">
        <f t="shared" si="294"/>
        <v>25025</v>
      </c>
      <c r="BC1069" t="s">
        <v>1472</v>
      </c>
      <c r="BD1069">
        <f t="shared" si="291"/>
        <v>2580930</v>
      </c>
      <c r="BE1069" s="66">
        <v>101</v>
      </c>
      <c r="BF1069" s="66"/>
      <c r="BI1069">
        <v>8.3000000000000007</v>
      </c>
      <c r="BJ1069">
        <v>6.31</v>
      </c>
      <c r="BK1069">
        <v>1.99</v>
      </c>
      <c r="BQ1069">
        <v>132</v>
      </c>
      <c r="BS1069">
        <v>0</v>
      </c>
    </row>
    <row r="1070" spans="1:71" hidden="1" outlineLevel="1">
      <c r="A1070" s="64" t="s">
        <v>2352</v>
      </c>
      <c r="B1070" s="8" t="s">
        <v>1320</v>
      </c>
      <c r="C1070" s="1">
        <f t="shared" si="283"/>
        <v>20461</v>
      </c>
      <c r="D1070" s="5">
        <f>IF(N1070&gt;0, RANK(N1070,(N1070:P1070,Q1070:AE1070)),0)</f>
        <v>1</v>
      </c>
      <c r="E1070" s="5">
        <f>IF(O1070&gt;0,RANK(O1070,(N1070:P1070,Q1070:AE1070)),0)</f>
        <v>2</v>
      </c>
      <c r="F1070" s="5">
        <f t="shared" si="284"/>
        <v>6</v>
      </c>
      <c r="G1070" s="1">
        <f t="shared" si="285"/>
        <v>2573</v>
      </c>
      <c r="H1070" s="2">
        <f t="shared" si="292"/>
        <v>0.1257514295488979</v>
      </c>
      <c r="I1070" s="6"/>
      <c r="J1070" s="2">
        <f t="shared" si="286"/>
        <v>0.53345388788426762</v>
      </c>
      <c r="K1070" s="2">
        <f t="shared" si="287"/>
        <v>0.40770245833536972</v>
      </c>
      <c r="L1070" s="2">
        <f t="shared" si="288"/>
        <v>1.0752162650896828E-3</v>
      </c>
      <c r="M1070" s="2">
        <f t="shared" si="289"/>
        <v>5.7768437515272976E-2</v>
      </c>
      <c r="N1070" s="63">
        <v>10915</v>
      </c>
      <c r="O1070" s="63">
        <v>8342</v>
      </c>
      <c r="P1070" s="63">
        <v>22</v>
      </c>
      <c r="Q1070" s="63">
        <v>791</v>
      </c>
      <c r="R1070" s="63">
        <v>211</v>
      </c>
      <c r="S1070" s="63"/>
      <c r="T1070" s="63"/>
      <c r="U1070" s="63"/>
      <c r="V1070" s="63"/>
      <c r="W1070" s="63">
        <f t="shared" si="290"/>
        <v>180</v>
      </c>
      <c r="X1070" s="63"/>
      <c r="Y1070" s="63"/>
      <c r="Z1070" s="63"/>
      <c r="AA1070" s="63">
        <v>0</v>
      </c>
      <c r="AB1070" s="63"/>
      <c r="AE1070" s="8">
        <v>0</v>
      </c>
      <c r="AT1070" t="str">
        <f t="shared" si="293"/>
        <v>Woburn</v>
      </c>
      <c r="AU1070" t="s">
        <v>503</v>
      </c>
      <c r="AV1070">
        <v>5</v>
      </c>
      <c r="AX1070" s="114">
        <v>25</v>
      </c>
      <c r="AY1070" s="116">
        <v>17</v>
      </c>
      <c r="AZ1070" s="116">
        <v>270</v>
      </c>
      <c r="BA1070" s="120">
        <v>81035</v>
      </c>
      <c r="BB1070" s="120">
        <f t="shared" si="294"/>
        <v>25017</v>
      </c>
      <c r="BC1070" t="s">
        <v>1249</v>
      </c>
      <c r="BD1070">
        <f t="shared" si="291"/>
        <v>2581035</v>
      </c>
      <c r="BE1070" s="66">
        <v>429</v>
      </c>
      <c r="BF1070" s="66"/>
      <c r="BI1070">
        <v>12.89</v>
      </c>
      <c r="BJ1070">
        <v>0.22</v>
      </c>
      <c r="BK1070">
        <v>12.67</v>
      </c>
      <c r="BQ1070">
        <v>180</v>
      </c>
      <c r="BS1070">
        <v>0</v>
      </c>
    </row>
    <row r="1071" spans="1:71" hidden="1" outlineLevel="1">
      <c r="A1071" s="64" t="s">
        <v>1774</v>
      </c>
      <c r="B1071" s="8" t="s">
        <v>1320</v>
      </c>
      <c r="C1071" s="1">
        <f t="shared" si="283"/>
        <v>65393</v>
      </c>
      <c r="D1071" s="5">
        <f>IF(N1071&gt;0, RANK(N1071,(N1071:P1071,Q1071:AE1071)),0)</f>
        <v>1</v>
      </c>
      <c r="E1071" s="5">
        <f>IF(O1071&gt;0,RANK(O1071,(N1071:P1071,Q1071:AE1071)),0)</f>
        <v>2</v>
      </c>
      <c r="F1071" s="5">
        <f t="shared" si="284"/>
        <v>0</v>
      </c>
      <c r="G1071" s="1">
        <f t="shared" si="285"/>
        <v>25352</v>
      </c>
      <c r="H1071" s="2">
        <f t="shared" si="292"/>
        <v>0.38768675546312298</v>
      </c>
      <c r="I1071" s="6"/>
      <c r="J1071" s="2">
        <f t="shared" si="286"/>
        <v>0.65884727723150793</v>
      </c>
      <c r="K1071" s="2">
        <f t="shared" si="287"/>
        <v>0.27116052176838501</v>
      </c>
      <c r="L1071" s="2">
        <f t="shared" si="288"/>
        <v>0</v>
      </c>
      <c r="M1071" s="2">
        <f t="shared" si="289"/>
        <v>6.9992201000107057E-2</v>
      </c>
      <c r="N1071" s="63">
        <v>43084</v>
      </c>
      <c r="O1071" s="63">
        <v>17732</v>
      </c>
      <c r="P1071" s="63">
        <v>0</v>
      </c>
      <c r="Q1071" s="63">
        <v>2410</v>
      </c>
      <c r="R1071" s="63">
        <v>1172</v>
      </c>
      <c r="S1071" s="63"/>
      <c r="T1071" s="63"/>
      <c r="U1071" s="63"/>
      <c r="V1071" s="63"/>
      <c r="W1071" s="63">
        <f t="shared" si="290"/>
        <v>995</v>
      </c>
      <c r="X1071" s="63"/>
      <c r="Y1071" s="63"/>
      <c r="Z1071" s="63"/>
      <c r="AA1071" s="63">
        <v>0</v>
      </c>
      <c r="AB1071" s="63"/>
      <c r="AE1071" s="8">
        <v>0</v>
      </c>
      <c r="AT1071" t="str">
        <f t="shared" si="293"/>
        <v>Worcester</v>
      </c>
      <c r="AU1071" s="8" t="s">
        <v>1774</v>
      </c>
      <c r="AV1071">
        <v>2</v>
      </c>
      <c r="AX1071" s="114">
        <v>25</v>
      </c>
      <c r="AY1071" s="116">
        <v>27</v>
      </c>
      <c r="AZ1071" s="116">
        <v>300</v>
      </c>
      <c r="BA1071" s="120">
        <v>82000</v>
      </c>
      <c r="BB1071" s="120">
        <f t="shared" si="294"/>
        <v>25027</v>
      </c>
      <c r="BC1071" t="s">
        <v>1249</v>
      </c>
      <c r="BD1071">
        <f t="shared" si="291"/>
        <v>2582000</v>
      </c>
      <c r="BE1071" s="66">
        <v>910</v>
      </c>
      <c r="BF1071" s="66"/>
      <c r="BI1071">
        <v>38.56</v>
      </c>
      <c r="BJ1071">
        <v>1</v>
      </c>
      <c r="BK1071">
        <v>37.56</v>
      </c>
      <c r="BQ1071">
        <v>995</v>
      </c>
      <c r="BS1071">
        <v>0</v>
      </c>
    </row>
    <row r="1072" spans="1:71" hidden="1" outlineLevel="1">
      <c r="A1072" s="64" t="s">
        <v>2100</v>
      </c>
      <c r="B1072" s="8" t="s">
        <v>1320</v>
      </c>
      <c r="C1072" s="1">
        <f t="shared" si="283"/>
        <v>758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 t="shared" si="284"/>
        <v>0</v>
      </c>
      <c r="G1072" s="1">
        <f t="shared" si="285"/>
        <v>201</v>
      </c>
      <c r="H1072" s="2">
        <f t="shared" si="292"/>
        <v>0.26517150395778366</v>
      </c>
      <c r="I1072" s="6"/>
      <c r="J1072" s="2">
        <f t="shared" si="286"/>
        <v>0.56728232189973615</v>
      </c>
      <c r="K1072" s="2">
        <f t="shared" si="287"/>
        <v>0.30211081794195249</v>
      </c>
      <c r="L1072" s="2">
        <f t="shared" si="288"/>
        <v>0</v>
      </c>
      <c r="M1072" s="2">
        <f t="shared" si="289"/>
        <v>0.13060686015831136</v>
      </c>
      <c r="N1072" s="63">
        <v>430</v>
      </c>
      <c r="O1072" s="63">
        <v>229</v>
      </c>
      <c r="P1072" s="63">
        <v>0</v>
      </c>
      <c r="Q1072" s="63">
        <v>41</v>
      </c>
      <c r="R1072" s="63">
        <v>46</v>
      </c>
      <c r="S1072" s="63"/>
      <c r="T1072" s="63"/>
      <c r="U1072" s="63"/>
      <c r="V1072" s="63"/>
      <c r="W1072" s="63">
        <f t="shared" si="290"/>
        <v>12</v>
      </c>
      <c r="X1072" s="63"/>
      <c r="Y1072" s="63"/>
      <c r="Z1072" s="63"/>
      <c r="AA1072" s="63">
        <v>0</v>
      </c>
      <c r="AB1072" s="63"/>
      <c r="AE1072" s="8">
        <v>0</v>
      </c>
      <c r="AT1072" t="str">
        <f t="shared" si="293"/>
        <v>Worthington</v>
      </c>
      <c r="AU1072" t="s">
        <v>2176</v>
      </c>
      <c r="AV1072">
        <v>1</v>
      </c>
      <c r="AX1072" s="114">
        <v>25</v>
      </c>
      <c r="AY1072" s="116">
        <v>15</v>
      </c>
      <c r="AZ1072" s="116">
        <v>100</v>
      </c>
      <c r="BA1072" s="120">
        <v>82175</v>
      </c>
      <c r="BB1072" s="120">
        <f t="shared" si="294"/>
        <v>25015</v>
      </c>
      <c r="BC1072" t="s">
        <v>1472</v>
      </c>
      <c r="BD1072">
        <f t="shared" si="291"/>
        <v>2582175</v>
      </c>
      <c r="BE1072" s="66">
        <v>5</v>
      </c>
      <c r="BF1072" s="66"/>
      <c r="BI1072">
        <v>32.1</v>
      </c>
      <c r="BJ1072">
        <v>0.04</v>
      </c>
      <c r="BK1072">
        <v>32.06</v>
      </c>
      <c r="BQ1072">
        <v>12</v>
      </c>
      <c r="BS1072">
        <v>0</v>
      </c>
    </row>
    <row r="1073" spans="1:71" hidden="1" outlineLevel="1">
      <c r="A1073" s="64" t="s">
        <v>860</v>
      </c>
      <c r="B1073" s="8" t="s">
        <v>1320</v>
      </c>
      <c r="C1073" s="1">
        <f t="shared" si="283"/>
        <v>6719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 t="shared" si="284"/>
        <v>6</v>
      </c>
      <c r="G1073" s="1">
        <f t="shared" si="285"/>
        <v>59</v>
      </c>
      <c r="H1073" s="2">
        <f t="shared" si="292"/>
        <v>8.7810686114005061E-3</v>
      </c>
      <c r="I1073" s="6"/>
      <c r="J1073" s="2">
        <f t="shared" si="286"/>
        <v>0.4542342610507516</v>
      </c>
      <c r="K1073" s="2">
        <f t="shared" si="287"/>
        <v>0.44545319243935111</v>
      </c>
      <c r="L1073" s="2">
        <f t="shared" si="288"/>
        <v>3.5719601131120704E-3</v>
      </c>
      <c r="M1073" s="2">
        <f t="shared" si="289"/>
        <v>9.6740586396785219E-2</v>
      </c>
      <c r="N1073" s="63">
        <v>3052</v>
      </c>
      <c r="O1073" s="63">
        <v>2993</v>
      </c>
      <c r="P1073" s="63">
        <v>24</v>
      </c>
      <c r="Q1073" s="63">
        <v>390</v>
      </c>
      <c r="R1073" s="63">
        <v>79</v>
      </c>
      <c r="S1073" s="63"/>
      <c r="T1073" s="63"/>
      <c r="U1073" s="63"/>
      <c r="V1073" s="63"/>
      <c r="W1073" s="63">
        <f t="shared" si="290"/>
        <v>181</v>
      </c>
      <c r="X1073" s="63"/>
      <c r="Y1073" s="63"/>
      <c r="Z1073" s="63"/>
      <c r="AA1073" s="63">
        <v>0</v>
      </c>
      <c r="AB1073" s="63"/>
      <c r="AE1073" s="8">
        <v>0</v>
      </c>
      <c r="AT1073" t="str">
        <f t="shared" si="293"/>
        <v>Wrentham</v>
      </c>
      <c r="AU1073" t="s">
        <v>753</v>
      </c>
      <c r="AV1073">
        <v>4</v>
      </c>
      <c r="AX1073" s="114">
        <v>25</v>
      </c>
      <c r="AY1073" s="116">
        <v>21</v>
      </c>
      <c r="AZ1073" s="116">
        <v>140</v>
      </c>
      <c r="BA1073" s="120">
        <v>82315</v>
      </c>
      <c r="BB1073" s="120">
        <f t="shared" si="294"/>
        <v>25021</v>
      </c>
      <c r="BC1073" t="s">
        <v>1472</v>
      </c>
      <c r="BD1073">
        <f t="shared" si="291"/>
        <v>2582315</v>
      </c>
      <c r="BE1073" s="66">
        <v>85</v>
      </c>
      <c r="BF1073" s="66"/>
      <c r="BI1073">
        <v>22.92</v>
      </c>
      <c r="BJ1073">
        <v>0.72</v>
      </c>
      <c r="BK1073">
        <v>22.2</v>
      </c>
      <c r="BQ1073">
        <v>181</v>
      </c>
      <c r="BS1073">
        <v>0</v>
      </c>
    </row>
    <row r="1074" spans="1:71" hidden="1" outlineLevel="1">
      <c r="A1074" s="64" t="s">
        <v>3211</v>
      </c>
      <c r="B1074" s="8" t="s">
        <v>1320</v>
      </c>
      <c r="C1074" s="1">
        <f t="shared" si="283"/>
        <v>14056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 t="shared" si="284"/>
        <v>0</v>
      </c>
      <c r="G1074" s="1">
        <f t="shared" si="285"/>
        <v>1456</v>
      </c>
      <c r="H1074" s="2">
        <f t="shared" si="292"/>
        <v>0.10358565737051793</v>
      </c>
      <c r="I1074" s="6"/>
      <c r="J1074" s="2">
        <f t="shared" si="286"/>
        <v>0.51963574274331248</v>
      </c>
      <c r="K1074" s="2">
        <f t="shared" si="287"/>
        <v>0.41605008537279453</v>
      </c>
      <c r="L1074" s="2">
        <f t="shared" si="288"/>
        <v>0</v>
      </c>
      <c r="M1074" s="2">
        <f t="shared" si="289"/>
        <v>6.431417188389299E-2</v>
      </c>
      <c r="N1074" s="63">
        <v>7304</v>
      </c>
      <c r="O1074" s="63">
        <v>5848</v>
      </c>
      <c r="P1074" s="63">
        <v>0</v>
      </c>
      <c r="Q1074" s="63">
        <v>537</v>
      </c>
      <c r="R1074" s="63">
        <v>190</v>
      </c>
      <c r="S1074" s="63"/>
      <c r="T1074" s="63"/>
      <c r="U1074" s="63"/>
      <c r="V1074" s="63"/>
      <c r="W1074" s="63">
        <f t="shared" si="290"/>
        <v>177</v>
      </c>
      <c r="X1074" s="63"/>
      <c r="Y1074" s="63"/>
      <c r="Z1074" s="63"/>
      <c r="AA1074" s="63">
        <v>0</v>
      </c>
      <c r="AB1074" s="63"/>
      <c r="AE1074" s="8">
        <v>0</v>
      </c>
      <c r="AT1074" t="str">
        <f t="shared" si="293"/>
        <v>Yarmouth</v>
      </c>
      <c r="AU1074" t="s">
        <v>2411</v>
      </c>
      <c r="AV1074">
        <v>9</v>
      </c>
      <c r="AX1074" s="114">
        <v>25</v>
      </c>
      <c r="AY1074" s="116">
        <v>1</v>
      </c>
      <c r="AZ1074" s="116">
        <v>75</v>
      </c>
      <c r="BA1074" s="120">
        <v>82525</v>
      </c>
      <c r="BB1074" s="120">
        <f t="shared" si="294"/>
        <v>25001</v>
      </c>
      <c r="BC1074" t="s">
        <v>1472</v>
      </c>
      <c r="BD1074">
        <f t="shared" si="291"/>
        <v>2582525</v>
      </c>
      <c r="BE1074" s="66">
        <v>231</v>
      </c>
      <c r="BF1074" s="66"/>
      <c r="BI1074">
        <v>28.22</v>
      </c>
      <c r="BJ1074">
        <v>3.97</v>
      </c>
      <c r="BK1074">
        <v>24.25</v>
      </c>
      <c r="BQ1074">
        <v>177</v>
      </c>
      <c r="BS1074">
        <v>0</v>
      </c>
    </row>
    <row r="1075" spans="1:71" collapsed="1">
      <c r="A1075" s="8" t="s">
        <v>2478</v>
      </c>
      <c r="B1075" s="8" t="s">
        <v>544</v>
      </c>
      <c r="C1075" s="1">
        <f t="shared" si="283"/>
        <v>3325046</v>
      </c>
      <c r="D1075" s="5">
        <f>IF(N1075&gt;0, RANK(N1075,(N1075:P1075,Q1075:AE1075)),0)</f>
        <v>1</v>
      </c>
      <c r="E1075" s="5">
        <f>IF(O1075&gt;0,RANK(O1075,(N1075:P1075,Q1075:AE1075)),0)</f>
        <v>2</v>
      </c>
      <c r="F1075" s="5">
        <f t="shared" si="284"/>
        <v>6</v>
      </c>
      <c r="G1075" s="1">
        <f t="shared" si="285"/>
        <v>904303</v>
      </c>
      <c r="H1075" s="2">
        <f t="shared" si="292"/>
        <v>0.27196706451579916</v>
      </c>
      <c r="I1075" s="6"/>
      <c r="J1075" s="2">
        <f t="shared" si="286"/>
        <v>0.60005064591587609</v>
      </c>
      <c r="K1075" s="2">
        <f t="shared" si="287"/>
        <v>0.32808358140007687</v>
      </c>
      <c r="L1075" s="2">
        <f t="shared" si="288"/>
        <v>8.1773304790369822E-4</v>
      </c>
      <c r="M1075" s="2">
        <f t="shared" si="289"/>
        <v>7.104803963614334E-2</v>
      </c>
      <c r="N1075" s="63">
        <f>SUM(N724:N1074)</f>
        <v>1995196</v>
      </c>
      <c r="O1075" s="63">
        <f>SUM(O724:O1074)</f>
        <v>1090893</v>
      </c>
      <c r="P1075" s="63">
        <f>SUM(P724:P1074)</f>
        <v>2719</v>
      </c>
      <c r="Q1075" s="63">
        <f>SUM(Q724:Q1074)</f>
        <v>138018</v>
      </c>
      <c r="R1075" s="63">
        <f>SUM(R724:R1074)</f>
        <v>47661</v>
      </c>
      <c r="S1075" s="63"/>
      <c r="T1075" s="63"/>
      <c r="U1075" s="63"/>
      <c r="V1075" s="63"/>
      <c r="W1075" s="63">
        <f>SUM(W724:W1074)</f>
        <v>50516</v>
      </c>
      <c r="X1075" s="63"/>
      <c r="Y1075" s="63"/>
      <c r="Z1075" s="63"/>
      <c r="AA1075" s="63">
        <f>SUM(AA724:AA1074)</f>
        <v>15</v>
      </c>
      <c r="AB1075" s="63"/>
      <c r="AE1075" s="63">
        <f>SUM(AE724:AE1074)</f>
        <v>28</v>
      </c>
      <c r="AL1075" s="1"/>
      <c r="AM1075" s="1"/>
      <c r="AN1075" s="1"/>
      <c r="AO1075" s="1"/>
      <c r="AP1075" s="1"/>
      <c r="AQ1075" s="1"/>
      <c r="AR1075" s="1"/>
      <c r="AT1075" t="str">
        <f t="shared" si="293"/>
        <v>Massachusetts</v>
      </c>
      <c r="AX1075" s="114">
        <v>25</v>
      </c>
      <c r="BB1075" s="114">
        <v>25</v>
      </c>
      <c r="BC1075" t="s">
        <v>711</v>
      </c>
      <c r="BD1075" s="114">
        <v>25</v>
      </c>
      <c r="BE1075" s="1">
        <f>SUM(BE724:BE1074)</f>
        <v>53755</v>
      </c>
      <c r="BF1075" s="1">
        <f>SUM(BF724:BF1074)</f>
        <v>0</v>
      </c>
      <c r="BI1075">
        <v>10554.57</v>
      </c>
      <c r="BJ1075">
        <v>2714.55</v>
      </c>
      <c r="BK1075">
        <v>7840.02</v>
      </c>
      <c r="BQ1075" s="63">
        <f>SUM(BQ724:BQ1074)</f>
        <v>50488</v>
      </c>
      <c r="BS1075" s="63">
        <f>SUM(BS724:BS1074)</f>
        <v>28</v>
      </c>
    </row>
    <row r="1076" spans="1:71">
      <c r="A1076" s="8"/>
      <c r="B1076" s="8"/>
      <c r="C1076" s="1"/>
      <c r="D1076" s="5"/>
      <c r="E1076" s="5"/>
      <c r="F1076" s="5"/>
      <c r="G1076" s="1"/>
      <c r="I1076" s="6"/>
      <c r="J1076" s="2"/>
      <c r="K1076" s="2"/>
      <c r="L1076" s="2"/>
      <c r="M1076" s="2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</row>
    <row r="1077" spans="1:71" hidden="1" outlineLevel="1">
      <c r="A1077" t="s">
        <v>2367</v>
      </c>
      <c r="B1077" s="8" t="s">
        <v>1799</v>
      </c>
      <c r="C1077" s="1">
        <f t="shared" ref="C1077:C1140" si="295">SUM(N1077:AR1077)</f>
        <v>567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 t="shared" ref="F1077:F1140" si="296">IF(P1077&gt;0,RANK(P1077,(N1077:AE1077)),0)</f>
        <v>7</v>
      </c>
      <c r="G1077" s="1">
        <f t="shared" ref="G1077:G1140" si="297">IF(C1077&gt;0,MAX(N1077:P1077)-LARGE(N1077:P1077,2),0)</f>
        <v>34</v>
      </c>
      <c r="H1077" s="2">
        <f t="shared" si="292"/>
        <v>5.9964726631393295E-2</v>
      </c>
      <c r="I1077" s="6"/>
      <c r="J1077" s="2">
        <f t="shared" ref="J1077:J1140" si="298">IF(C1077=0,"-",N1077/C1077)</f>
        <v>0.48324514991181655</v>
      </c>
      <c r="K1077" s="2">
        <f t="shared" ref="K1077:K1140" si="299">IF(C1077=0,"-",O1077/C1077)</f>
        <v>0.42328042328042326</v>
      </c>
      <c r="L1077" s="2">
        <f t="shared" ref="L1077:L1140" si="300">IF(C1077=0,"-",P1077/C1077)</f>
        <v>1.7636684303350969E-3</v>
      </c>
      <c r="M1077" s="2">
        <f t="shared" ref="M1077:M1140" si="301">IF(C1077=0,"-",(1-J1077-K1077-L1077))</f>
        <v>9.1710758377425095E-2</v>
      </c>
      <c r="N1077" s="63">
        <v>274</v>
      </c>
      <c r="O1077" s="63">
        <v>240</v>
      </c>
      <c r="P1077" s="63">
        <v>1</v>
      </c>
      <c r="Q1077" s="63">
        <v>10</v>
      </c>
      <c r="R1077" s="63">
        <v>17</v>
      </c>
      <c r="S1077" s="63"/>
      <c r="T1077" s="63">
        <v>11</v>
      </c>
      <c r="U1077" s="63"/>
      <c r="V1077" s="63"/>
      <c r="W1077" s="63">
        <f t="shared" ref="W1077:W1140" si="302">BP1077-P1077</f>
        <v>14</v>
      </c>
      <c r="X1077" s="63"/>
      <c r="Y1077" s="63"/>
      <c r="Z1077" s="63"/>
      <c r="AA1077" s="63"/>
      <c r="AB1077" s="63"/>
      <c r="AT1077" t="str">
        <f t="shared" si="293"/>
        <v>Acworth</v>
      </c>
      <c r="AU1077" t="s">
        <v>1040</v>
      </c>
      <c r="AV1077">
        <v>2</v>
      </c>
      <c r="AW1077">
        <v>2</v>
      </c>
      <c r="AX1077" s="114">
        <v>33</v>
      </c>
      <c r="AY1077" s="116">
        <v>19</v>
      </c>
      <c r="AZ1077" s="116">
        <v>5</v>
      </c>
      <c r="BA1077" s="120">
        <v>260</v>
      </c>
      <c r="BB1077" s="120">
        <f t="shared" si="294"/>
        <v>33019</v>
      </c>
      <c r="BC1077" t="s">
        <v>1472</v>
      </c>
      <c r="BD1077">
        <f t="shared" ref="BD1077:BD1140" si="303">AX1077*100000+BA1077</f>
        <v>3300260</v>
      </c>
      <c r="BI1077">
        <v>39.130000000000003</v>
      </c>
      <c r="BJ1077">
        <v>0.24</v>
      </c>
      <c r="BK1077">
        <v>38.89</v>
      </c>
      <c r="BP1077" s="1">
        <v>15</v>
      </c>
      <c r="BR1077">
        <v>5</v>
      </c>
    </row>
    <row r="1078" spans="1:71" hidden="1" outlineLevel="1">
      <c r="A1078" t="s">
        <v>233</v>
      </c>
      <c r="B1078" s="8" t="s">
        <v>1799</v>
      </c>
      <c r="C1078" s="1">
        <f t="shared" si="295"/>
        <v>410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296"/>
        <v>0</v>
      </c>
      <c r="G1078" s="1">
        <f t="shared" si="297"/>
        <v>13</v>
      </c>
      <c r="H1078" s="2">
        <f t="shared" si="292"/>
        <v>3.1707317073170732E-2</v>
      </c>
      <c r="I1078" s="6"/>
      <c r="J1078" s="2">
        <f t="shared" si="298"/>
        <v>0.47560975609756095</v>
      </c>
      <c r="K1078" s="2">
        <f t="shared" si="299"/>
        <v>0.44390243902439025</v>
      </c>
      <c r="L1078" s="2">
        <f t="shared" si="300"/>
        <v>0</v>
      </c>
      <c r="M1078" s="2">
        <f t="shared" si="301"/>
        <v>8.0487804878048796E-2</v>
      </c>
      <c r="N1078" s="63">
        <v>195</v>
      </c>
      <c r="O1078" s="63">
        <v>182</v>
      </c>
      <c r="P1078" s="63">
        <v>0</v>
      </c>
      <c r="Q1078" s="63">
        <v>13</v>
      </c>
      <c r="R1078" s="63">
        <v>7</v>
      </c>
      <c r="S1078" s="63"/>
      <c r="T1078" s="63">
        <v>2</v>
      </c>
      <c r="U1078" s="63"/>
      <c r="V1078" s="63"/>
      <c r="W1078" s="63">
        <f t="shared" si="302"/>
        <v>11</v>
      </c>
      <c r="X1078" s="63"/>
      <c r="Y1078" s="63"/>
      <c r="Z1078" s="63"/>
      <c r="AA1078" s="63"/>
      <c r="AB1078" s="63"/>
      <c r="AT1078" t="str">
        <f t="shared" si="293"/>
        <v>Albany</v>
      </c>
      <c r="AU1078" t="s">
        <v>1675</v>
      </c>
      <c r="AV1078">
        <v>1</v>
      </c>
      <c r="AW1078">
        <v>1</v>
      </c>
      <c r="AX1078" s="114">
        <v>33</v>
      </c>
      <c r="AY1078" s="116">
        <v>3</v>
      </c>
      <c r="AZ1078" s="116">
        <v>5</v>
      </c>
      <c r="BA1078" s="120">
        <v>420</v>
      </c>
      <c r="BB1078" s="120">
        <f t="shared" si="294"/>
        <v>33003</v>
      </c>
      <c r="BC1078" t="s">
        <v>1472</v>
      </c>
      <c r="BD1078">
        <f t="shared" si="303"/>
        <v>3300420</v>
      </c>
      <c r="BI1078">
        <v>75.069999999999993</v>
      </c>
      <c r="BJ1078">
        <v>0.33</v>
      </c>
      <c r="BK1078">
        <v>74.739999999999995</v>
      </c>
      <c r="BP1078" s="1">
        <v>11</v>
      </c>
      <c r="BR1078">
        <v>8</v>
      </c>
    </row>
    <row r="1079" spans="1:71" hidden="1" outlineLevel="1">
      <c r="A1079" t="s">
        <v>1530</v>
      </c>
      <c r="B1079" s="8" t="s">
        <v>1799</v>
      </c>
      <c r="C1079" s="1">
        <f t="shared" si="295"/>
        <v>972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 t="shared" si="296"/>
        <v>0</v>
      </c>
      <c r="G1079" s="1">
        <f t="shared" si="297"/>
        <v>203</v>
      </c>
      <c r="H1079" s="2">
        <f t="shared" si="292"/>
        <v>0.2088477366255144</v>
      </c>
      <c r="I1079" s="6"/>
      <c r="J1079" s="2">
        <f t="shared" si="298"/>
        <v>0.35288065843621397</v>
      </c>
      <c r="K1079" s="2">
        <f t="shared" si="299"/>
        <v>0.56172839506172845</v>
      </c>
      <c r="L1079" s="2">
        <f t="shared" si="300"/>
        <v>0</v>
      </c>
      <c r="M1079" s="2">
        <f t="shared" si="301"/>
        <v>8.5390946502057585E-2</v>
      </c>
      <c r="N1079" s="63">
        <v>343</v>
      </c>
      <c r="O1079" s="63">
        <v>546</v>
      </c>
      <c r="P1079" s="63">
        <v>0</v>
      </c>
      <c r="Q1079" s="63">
        <v>42</v>
      </c>
      <c r="R1079" s="63">
        <v>10</v>
      </c>
      <c r="S1079" s="63"/>
      <c r="T1079" s="63">
        <v>0</v>
      </c>
      <c r="U1079" s="63"/>
      <c r="V1079" s="63"/>
      <c r="W1079" s="63">
        <f t="shared" si="302"/>
        <v>31</v>
      </c>
      <c r="X1079" s="63"/>
      <c r="Y1079" s="63"/>
      <c r="Z1079" s="63"/>
      <c r="AA1079" s="63"/>
      <c r="AB1079" s="63"/>
      <c r="AT1079" t="str">
        <f t="shared" si="293"/>
        <v>Alexandria</v>
      </c>
      <c r="AU1079" t="s">
        <v>2260</v>
      </c>
      <c r="AV1079">
        <v>2</v>
      </c>
      <c r="AW1079">
        <v>2</v>
      </c>
      <c r="AX1079" s="114">
        <v>33</v>
      </c>
      <c r="AY1079" s="116">
        <v>9</v>
      </c>
      <c r="AZ1079" s="116">
        <v>5</v>
      </c>
      <c r="BA1079" s="120">
        <v>580</v>
      </c>
      <c r="BB1079" s="120">
        <f t="shared" si="294"/>
        <v>33009</v>
      </c>
      <c r="BC1079" t="s">
        <v>1472</v>
      </c>
      <c r="BD1079">
        <f t="shared" si="303"/>
        <v>3300580</v>
      </c>
      <c r="BI1079">
        <v>43.09</v>
      </c>
      <c r="BJ1079">
        <v>0.1</v>
      </c>
      <c r="BK1079">
        <v>43</v>
      </c>
      <c r="BP1079" s="1">
        <v>31</v>
      </c>
      <c r="BR1079">
        <v>19</v>
      </c>
    </row>
    <row r="1080" spans="1:71" hidden="1" outlineLevel="1">
      <c r="A1080" t="s">
        <v>2960</v>
      </c>
      <c r="B1080" s="8" t="s">
        <v>1799</v>
      </c>
      <c r="C1080" s="1">
        <f t="shared" si="295"/>
        <v>2221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 t="shared" si="296"/>
        <v>0</v>
      </c>
      <c r="G1080" s="1">
        <f t="shared" si="297"/>
        <v>329</v>
      </c>
      <c r="H1080" s="2">
        <f t="shared" si="292"/>
        <v>0.14813147230977036</v>
      </c>
      <c r="I1080" s="6"/>
      <c r="J1080" s="2">
        <f t="shared" si="298"/>
        <v>0.39351643403872127</v>
      </c>
      <c r="K1080" s="2">
        <f t="shared" si="299"/>
        <v>0.54164790634849169</v>
      </c>
      <c r="L1080" s="2">
        <f t="shared" si="300"/>
        <v>0</v>
      </c>
      <c r="M1080" s="2">
        <f t="shared" si="301"/>
        <v>6.4835659612787033E-2</v>
      </c>
      <c r="N1080" s="63">
        <v>874</v>
      </c>
      <c r="O1080" s="63">
        <v>1203</v>
      </c>
      <c r="P1080" s="63">
        <v>0</v>
      </c>
      <c r="Q1080" s="63">
        <v>97</v>
      </c>
      <c r="R1080" s="63">
        <v>17</v>
      </c>
      <c r="S1080" s="63"/>
      <c r="T1080" s="63">
        <v>0</v>
      </c>
      <c r="U1080" s="63"/>
      <c r="V1080" s="63"/>
      <c r="W1080" s="63">
        <f t="shared" si="302"/>
        <v>30</v>
      </c>
      <c r="X1080" s="63"/>
      <c r="Y1080" s="63"/>
      <c r="Z1080" s="63"/>
      <c r="AA1080" s="63"/>
      <c r="AB1080" s="63"/>
      <c r="AT1080" t="str">
        <f t="shared" si="293"/>
        <v>Allenstown</v>
      </c>
      <c r="AU1080" t="s">
        <v>2494</v>
      </c>
      <c r="AV1080">
        <v>2</v>
      </c>
      <c r="AW1080">
        <v>2</v>
      </c>
      <c r="AX1080" s="114">
        <v>33</v>
      </c>
      <c r="AY1080" s="116">
        <v>13</v>
      </c>
      <c r="AZ1080" s="116">
        <v>5</v>
      </c>
      <c r="BA1080" s="120">
        <v>660</v>
      </c>
      <c r="BB1080" s="120">
        <f t="shared" si="294"/>
        <v>33013</v>
      </c>
      <c r="BC1080" t="s">
        <v>1472</v>
      </c>
      <c r="BD1080">
        <f t="shared" si="303"/>
        <v>3300660</v>
      </c>
      <c r="BI1080">
        <v>20.63</v>
      </c>
      <c r="BJ1080">
        <v>0.11</v>
      </c>
      <c r="BK1080">
        <v>20.53</v>
      </c>
      <c r="BP1080" s="1">
        <v>30</v>
      </c>
      <c r="BR1080">
        <v>21</v>
      </c>
    </row>
    <row r="1081" spans="1:71" hidden="1" outlineLevel="1">
      <c r="A1081" t="s">
        <v>2425</v>
      </c>
      <c r="B1081" s="8" t="s">
        <v>1799</v>
      </c>
      <c r="C1081" s="1">
        <f t="shared" si="295"/>
        <v>1049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si="296"/>
        <v>0</v>
      </c>
      <c r="G1081" s="1">
        <f t="shared" si="297"/>
        <v>78</v>
      </c>
      <c r="H1081" s="2">
        <f t="shared" si="292"/>
        <v>7.4356530028598669E-2</v>
      </c>
      <c r="I1081" s="6"/>
      <c r="J1081" s="2">
        <f t="shared" si="298"/>
        <v>0.49761677788369874</v>
      </c>
      <c r="K1081" s="2">
        <f t="shared" si="299"/>
        <v>0.42326024785510008</v>
      </c>
      <c r="L1081" s="2">
        <f t="shared" si="300"/>
        <v>0</v>
      </c>
      <c r="M1081" s="2">
        <f t="shared" si="301"/>
        <v>7.9122974261201184E-2</v>
      </c>
      <c r="N1081" s="63">
        <v>522</v>
      </c>
      <c r="O1081" s="63">
        <v>444</v>
      </c>
      <c r="P1081" s="63">
        <v>0</v>
      </c>
      <c r="Q1081" s="63">
        <v>37</v>
      </c>
      <c r="R1081" s="63">
        <v>20</v>
      </c>
      <c r="S1081" s="63"/>
      <c r="T1081" s="63">
        <v>1</v>
      </c>
      <c r="U1081" s="63"/>
      <c r="V1081" s="63"/>
      <c r="W1081" s="63">
        <f t="shared" si="302"/>
        <v>25</v>
      </c>
      <c r="X1081" s="63"/>
      <c r="Y1081" s="63"/>
      <c r="Z1081" s="63"/>
      <c r="AA1081" s="63"/>
      <c r="AB1081" s="63"/>
      <c r="AT1081" t="str">
        <f t="shared" si="293"/>
        <v>Alstead</v>
      </c>
      <c r="AU1081" t="s">
        <v>1463</v>
      </c>
      <c r="AV1081">
        <v>2</v>
      </c>
      <c r="AW1081">
        <v>2</v>
      </c>
      <c r="AX1081" s="114">
        <v>33</v>
      </c>
      <c r="AY1081" s="116">
        <v>5</v>
      </c>
      <c r="AZ1081" s="116">
        <v>5</v>
      </c>
      <c r="BA1081" s="120">
        <v>820</v>
      </c>
      <c r="BB1081" s="120">
        <f t="shared" si="294"/>
        <v>33005</v>
      </c>
      <c r="BC1081" t="s">
        <v>1472</v>
      </c>
      <c r="BD1081">
        <f t="shared" si="303"/>
        <v>3300820</v>
      </c>
      <c r="BI1081">
        <v>39.369999999999997</v>
      </c>
      <c r="BJ1081">
        <v>0.47</v>
      </c>
      <c r="BK1081">
        <v>38.9</v>
      </c>
      <c r="BP1081" s="1">
        <v>25</v>
      </c>
      <c r="BR1081">
        <v>9</v>
      </c>
    </row>
    <row r="1082" spans="1:71" hidden="1" outlineLevel="1">
      <c r="A1082" t="s">
        <v>1489</v>
      </c>
      <c r="B1082" s="8" t="s">
        <v>1799</v>
      </c>
      <c r="C1082" s="1">
        <f t="shared" si="295"/>
        <v>3543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 t="shared" si="296"/>
        <v>6</v>
      </c>
      <c r="G1082" s="1">
        <f t="shared" si="297"/>
        <v>1049</v>
      </c>
      <c r="H1082" s="2">
        <f t="shared" si="292"/>
        <v>0.29607677109793962</v>
      </c>
      <c r="I1082" s="6"/>
      <c r="J1082" s="2">
        <f t="shared" si="298"/>
        <v>0.32514817950889074</v>
      </c>
      <c r="K1082" s="2">
        <f t="shared" si="299"/>
        <v>0.62122495060683036</v>
      </c>
      <c r="L1082" s="2">
        <f t="shared" si="300"/>
        <v>1.693480101608806E-3</v>
      </c>
      <c r="M1082" s="2">
        <f t="shared" si="301"/>
        <v>5.1933389782670085E-2</v>
      </c>
      <c r="N1082" s="63">
        <v>1152</v>
      </c>
      <c r="O1082" s="63">
        <v>2201</v>
      </c>
      <c r="P1082" s="63">
        <v>6</v>
      </c>
      <c r="Q1082" s="63">
        <v>115</v>
      </c>
      <c r="R1082" s="63">
        <v>24</v>
      </c>
      <c r="S1082" s="63"/>
      <c r="T1082" s="63">
        <v>2</v>
      </c>
      <c r="U1082" s="63"/>
      <c r="V1082" s="63"/>
      <c r="W1082" s="63">
        <f t="shared" si="302"/>
        <v>43</v>
      </c>
      <c r="X1082" s="63"/>
      <c r="Y1082" s="63"/>
      <c r="Z1082" s="63"/>
      <c r="AA1082" s="63"/>
      <c r="AB1082" s="63"/>
      <c r="AT1082" t="str">
        <f t="shared" si="293"/>
        <v>Alton</v>
      </c>
      <c r="AU1082" t="s">
        <v>1437</v>
      </c>
      <c r="AV1082">
        <v>1</v>
      </c>
      <c r="AW1082">
        <v>1</v>
      </c>
      <c r="AX1082" s="114">
        <v>33</v>
      </c>
      <c r="AY1082" s="116">
        <v>1</v>
      </c>
      <c r="AZ1082" s="116">
        <v>5</v>
      </c>
      <c r="BA1082" s="120">
        <v>1060</v>
      </c>
      <c r="BB1082" s="120">
        <f t="shared" si="294"/>
        <v>33001</v>
      </c>
      <c r="BC1082" t="s">
        <v>1472</v>
      </c>
      <c r="BD1082">
        <f t="shared" si="303"/>
        <v>3301060</v>
      </c>
      <c r="BI1082">
        <v>82.19</v>
      </c>
      <c r="BJ1082">
        <v>19.05</v>
      </c>
      <c r="BK1082">
        <v>63.13</v>
      </c>
      <c r="BP1082" s="1">
        <v>49</v>
      </c>
      <c r="BR1082">
        <v>10</v>
      </c>
    </row>
    <row r="1083" spans="1:71" hidden="1" outlineLevel="1">
      <c r="A1083" t="s">
        <v>2474</v>
      </c>
      <c r="B1083" s="8" t="s">
        <v>1799</v>
      </c>
      <c r="C1083" s="1">
        <f t="shared" si="295"/>
        <v>7351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296"/>
        <v>0</v>
      </c>
      <c r="G1083" s="1">
        <f t="shared" si="297"/>
        <v>506</v>
      </c>
      <c r="H1083" s="2">
        <f t="shared" si="292"/>
        <v>6.8834172221466469E-2</v>
      </c>
      <c r="I1083" s="6"/>
      <c r="J1083" s="2">
        <f t="shared" si="298"/>
        <v>0.51380764521833766</v>
      </c>
      <c r="K1083" s="2">
        <f t="shared" si="299"/>
        <v>0.44497347299687118</v>
      </c>
      <c r="L1083" s="2">
        <f t="shared" si="300"/>
        <v>0</v>
      </c>
      <c r="M1083" s="2">
        <f t="shared" si="301"/>
        <v>4.1218881784791161E-2</v>
      </c>
      <c r="N1083" s="63">
        <v>3777</v>
      </c>
      <c r="O1083" s="63">
        <v>3271</v>
      </c>
      <c r="P1083" s="63">
        <v>0</v>
      </c>
      <c r="Q1083" s="63">
        <v>252</v>
      </c>
      <c r="R1083" s="63">
        <v>47</v>
      </c>
      <c r="S1083" s="63"/>
      <c r="T1083" s="63">
        <v>4</v>
      </c>
      <c r="U1083" s="63"/>
      <c r="V1083" s="63"/>
      <c r="W1083" s="63">
        <f t="shared" si="302"/>
        <v>0</v>
      </c>
      <c r="X1083" s="63"/>
      <c r="Y1083" s="63"/>
      <c r="Z1083" s="63"/>
      <c r="AA1083" s="63"/>
      <c r="AB1083" s="63"/>
      <c r="AT1083" t="str">
        <f t="shared" si="293"/>
        <v>Amherst</v>
      </c>
      <c r="AU1083" t="s">
        <v>1161</v>
      </c>
      <c r="AV1083">
        <v>2</v>
      </c>
      <c r="AW1083">
        <v>2</v>
      </c>
      <c r="AX1083" s="114">
        <v>33</v>
      </c>
      <c r="AY1083" s="116">
        <v>11</v>
      </c>
      <c r="AZ1083" s="116">
        <v>5</v>
      </c>
      <c r="BA1083" s="120">
        <v>1300</v>
      </c>
      <c r="BB1083" s="120">
        <f t="shared" si="294"/>
        <v>33011</v>
      </c>
      <c r="BC1083" t="s">
        <v>1472</v>
      </c>
      <c r="BD1083">
        <f t="shared" si="303"/>
        <v>3301300</v>
      </c>
      <c r="BI1083">
        <v>34.81</v>
      </c>
      <c r="BJ1083">
        <v>0.52</v>
      </c>
      <c r="BK1083">
        <v>34.29</v>
      </c>
      <c r="BP1083" s="1">
        <v>0</v>
      </c>
      <c r="BR1083">
        <v>0</v>
      </c>
    </row>
    <row r="1084" spans="1:71" hidden="1" outlineLevel="1">
      <c r="A1084" t="s">
        <v>772</v>
      </c>
      <c r="B1084" s="8" t="s">
        <v>1799</v>
      </c>
      <c r="C1084" s="1">
        <f t="shared" si="295"/>
        <v>1439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296"/>
        <v>0</v>
      </c>
      <c r="G1084" s="1">
        <f t="shared" si="297"/>
        <v>30</v>
      </c>
      <c r="H1084" s="2">
        <f t="shared" si="292"/>
        <v>2.0847810979847115E-2</v>
      </c>
      <c r="I1084" s="6"/>
      <c r="J1084" s="2">
        <f t="shared" si="298"/>
        <v>0.48853370396108409</v>
      </c>
      <c r="K1084" s="2">
        <f t="shared" si="299"/>
        <v>0.46768589298123697</v>
      </c>
      <c r="L1084" s="2">
        <f t="shared" si="300"/>
        <v>0</v>
      </c>
      <c r="M1084" s="2">
        <f t="shared" si="301"/>
        <v>4.378040305767894E-2</v>
      </c>
      <c r="N1084" s="63">
        <v>703</v>
      </c>
      <c r="O1084" s="63">
        <v>673</v>
      </c>
      <c r="P1084" s="63">
        <v>0</v>
      </c>
      <c r="Q1084" s="63">
        <v>49</v>
      </c>
      <c r="R1084" s="63">
        <v>7</v>
      </c>
      <c r="S1084" s="63"/>
      <c r="T1084" s="63">
        <v>2</v>
      </c>
      <c r="U1084" s="63"/>
      <c r="V1084" s="63"/>
      <c r="W1084" s="63">
        <f t="shared" si="302"/>
        <v>5</v>
      </c>
      <c r="X1084" s="63"/>
      <c r="Y1084" s="63"/>
      <c r="Z1084" s="63"/>
      <c r="AA1084" s="63"/>
      <c r="AB1084" s="63"/>
      <c r="AT1084" t="str">
        <f t="shared" si="293"/>
        <v>Andover</v>
      </c>
      <c r="AU1084" t="s">
        <v>2494</v>
      </c>
      <c r="AV1084">
        <v>2</v>
      </c>
      <c r="AW1084">
        <v>2</v>
      </c>
      <c r="AX1084" s="114">
        <v>33</v>
      </c>
      <c r="AY1084" s="116">
        <v>13</v>
      </c>
      <c r="AZ1084" s="116">
        <v>10</v>
      </c>
      <c r="BA1084" s="120">
        <v>1460</v>
      </c>
      <c r="BB1084" s="120">
        <f t="shared" si="294"/>
        <v>33013</v>
      </c>
      <c r="BC1084" t="s">
        <v>1472</v>
      </c>
      <c r="BD1084">
        <f t="shared" si="303"/>
        <v>3301460</v>
      </c>
      <c r="BI1084">
        <v>41.33</v>
      </c>
      <c r="BJ1084">
        <v>0.87</v>
      </c>
      <c r="BK1084">
        <v>40.46</v>
      </c>
      <c r="BP1084" s="1">
        <v>5</v>
      </c>
      <c r="BR1084">
        <v>0</v>
      </c>
    </row>
    <row r="1085" spans="1:71" hidden="1" outlineLevel="1">
      <c r="A1085" t="s">
        <v>730</v>
      </c>
      <c r="B1085" s="8" t="s">
        <v>1799</v>
      </c>
      <c r="C1085" s="1">
        <f t="shared" si="295"/>
        <v>1529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 t="shared" si="296"/>
        <v>0</v>
      </c>
      <c r="G1085" s="1">
        <f t="shared" si="297"/>
        <v>80</v>
      </c>
      <c r="H1085" s="2">
        <f t="shared" si="292"/>
        <v>5.2321778940483975E-2</v>
      </c>
      <c r="I1085" s="6"/>
      <c r="J1085" s="2">
        <f t="shared" si="298"/>
        <v>0.43688685415304118</v>
      </c>
      <c r="K1085" s="2">
        <f t="shared" si="299"/>
        <v>0.48920863309352519</v>
      </c>
      <c r="L1085" s="2">
        <f t="shared" si="300"/>
        <v>0</v>
      </c>
      <c r="M1085" s="2">
        <f t="shared" si="301"/>
        <v>7.3904512753433627E-2</v>
      </c>
      <c r="N1085" s="63">
        <v>668</v>
      </c>
      <c r="O1085" s="63">
        <v>748</v>
      </c>
      <c r="P1085" s="63">
        <v>0</v>
      </c>
      <c r="Q1085" s="63">
        <v>71</v>
      </c>
      <c r="R1085" s="63">
        <v>13</v>
      </c>
      <c r="S1085" s="63"/>
      <c r="T1085" s="63">
        <v>12</v>
      </c>
      <c r="U1085" s="63"/>
      <c r="V1085" s="63"/>
      <c r="W1085" s="63">
        <f t="shared" si="302"/>
        <v>17</v>
      </c>
      <c r="X1085" s="63"/>
      <c r="Y1085" s="63"/>
      <c r="Z1085" s="63"/>
      <c r="AA1085" s="63"/>
      <c r="AB1085" s="63"/>
      <c r="AT1085" t="str">
        <f t="shared" si="293"/>
        <v>Antrim</v>
      </c>
      <c r="AU1085" t="s">
        <v>1161</v>
      </c>
      <c r="AV1085">
        <v>2</v>
      </c>
      <c r="AW1085">
        <v>2</v>
      </c>
      <c r="AX1085" s="114">
        <v>33</v>
      </c>
      <c r="AY1085" s="116">
        <v>11</v>
      </c>
      <c r="AZ1085" s="116">
        <v>10</v>
      </c>
      <c r="BA1085" s="120">
        <v>1700</v>
      </c>
      <c r="BB1085" s="120">
        <f t="shared" si="294"/>
        <v>33011</v>
      </c>
      <c r="BC1085" t="s">
        <v>1472</v>
      </c>
      <c r="BD1085">
        <f t="shared" si="303"/>
        <v>3301700</v>
      </c>
      <c r="BI1085">
        <v>36.5</v>
      </c>
      <c r="BJ1085">
        <v>0.83</v>
      </c>
      <c r="BK1085">
        <v>35.67</v>
      </c>
      <c r="BP1085" s="1">
        <v>17</v>
      </c>
      <c r="BR1085">
        <v>12</v>
      </c>
    </row>
    <row r="1086" spans="1:71" hidden="1" outlineLevel="1">
      <c r="A1086" t="s">
        <v>196</v>
      </c>
      <c r="B1086" s="8" t="s">
        <v>1799</v>
      </c>
      <c r="C1086" s="1">
        <f t="shared" si="295"/>
        <v>1113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 t="shared" si="296"/>
        <v>6</v>
      </c>
      <c r="G1086" s="1">
        <f t="shared" si="297"/>
        <v>16</v>
      </c>
      <c r="H1086" s="2">
        <f t="shared" si="292"/>
        <v>1.4375561545372867E-2</v>
      </c>
      <c r="I1086" s="6"/>
      <c r="J1086" s="2">
        <f t="shared" si="298"/>
        <v>0.45283018867924529</v>
      </c>
      <c r="K1086" s="2">
        <f t="shared" si="299"/>
        <v>0.46720575022461813</v>
      </c>
      <c r="L1086" s="2">
        <f t="shared" si="300"/>
        <v>3.5938903863432167E-3</v>
      </c>
      <c r="M1086" s="2">
        <f t="shared" si="301"/>
        <v>7.637017070979335E-2</v>
      </c>
      <c r="N1086" s="63">
        <v>504</v>
      </c>
      <c r="O1086" s="63">
        <v>520</v>
      </c>
      <c r="P1086" s="63">
        <v>4</v>
      </c>
      <c r="Q1086" s="63">
        <v>47</v>
      </c>
      <c r="R1086" s="63">
        <v>11</v>
      </c>
      <c r="S1086" s="63"/>
      <c r="T1086" s="63">
        <v>1</v>
      </c>
      <c r="U1086" s="63"/>
      <c r="V1086" s="63"/>
      <c r="W1086" s="63">
        <f t="shared" si="302"/>
        <v>26</v>
      </c>
      <c r="X1086" s="63"/>
      <c r="Y1086" s="63"/>
      <c r="Z1086" s="63"/>
      <c r="AA1086" s="63"/>
      <c r="AB1086" s="63"/>
      <c r="AT1086" t="str">
        <f t="shared" si="293"/>
        <v>Ashland</v>
      </c>
      <c r="AU1086" t="s">
        <v>2260</v>
      </c>
      <c r="AV1086">
        <v>2</v>
      </c>
      <c r="AW1086">
        <v>2</v>
      </c>
      <c r="AX1086" s="114">
        <v>33</v>
      </c>
      <c r="AY1086" s="116">
        <v>9</v>
      </c>
      <c r="AZ1086" s="116">
        <v>10</v>
      </c>
      <c r="BA1086" s="120">
        <v>2020</v>
      </c>
      <c r="BB1086" s="120">
        <f t="shared" si="294"/>
        <v>33009</v>
      </c>
      <c r="BC1086" t="s">
        <v>1472</v>
      </c>
      <c r="BD1086">
        <f t="shared" si="303"/>
        <v>3302020</v>
      </c>
      <c r="BI1086">
        <v>11.71</v>
      </c>
      <c r="BJ1086">
        <v>0.45</v>
      </c>
      <c r="BK1086">
        <v>11.25</v>
      </c>
      <c r="BP1086" s="1">
        <v>30</v>
      </c>
      <c r="BR1086">
        <v>17</v>
      </c>
    </row>
    <row r="1087" spans="1:71" hidden="1" outlineLevel="1">
      <c r="A1087" t="s">
        <v>2168</v>
      </c>
      <c r="B1087" s="8" t="s">
        <v>1799</v>
      </c>
      <c r="C1087" s="1">
        <f t="shared" si="295"/>
        <v>4522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296"/>
        <v>6</v>
      </c>
      <c r="G1087" s="1">
        <f t="shared" si="297"/>
        <v>924</v>
      </c>
      <c r="H1087" s="2">
        <f t="shared" si="292"/>
        <v>0.2043343653250774</v>
      </c>
      <c r="I1087" s="6"/>
      <c r="J1087" s="2">
        <f t="shared" si="298"/>
        <v>0.3695267580716497</v>
      </c>
      <c r="K1087" s="2">
        <f t="shared" si="299"/>
        <v>0.57386112339672712</v>
      </c>
      <c r="L1087" s="2">
        <f t="shared" si="300"/>
        <v>1.7691287041132243E-3</v>
      </c>
      <c r="M1087" s="2">
        <f t="shared" si="301"/>
        <v>5.4842989827509958E-2</v>
      </c>
      <c r="N1087" s="63">
        <v>1671</v>
      </c>
      <c r="O1087" s="63">
        <v>2595</v>
      </c>
      <c r="P1087" s="63">
        <v>8</v>
      </c>
      <c r="Q1087" s="63">
        <v>159</v>
      </c>
      <c r="R1087" s="63">
        <v>31</v>
      </c>
      <c r="S1087" s="63"/>
      <c r="T1087" s="63">
        <v>4</v>
      </c>
      <c r="U1087" s="63"/>
      <c r="V1087" s="63"/>
      <c r="W1087" s="63">
        <f t="shared" si="302"/>
        <v>54</v>
      </c>
      <c r="X1087" s="63"/>
      <c r="Y1087" s="63"/>
      <c r="Z1087" s="63"/>
      <c r="AA1087" s="63"/>
      <c r="AB1087" s="63"/>
      <c r="AT1087" t="str">
        <f t="shared" si="293"/>
        <v>Atkinson</v>
      </c>
      <c r="AU1087" t="s">
        <v>2971</v>
      </c>
      <c r="AV1087">
        <v>2</v>
      </c>
      <c r="AW1087">
        <v>2</v>
      </c>
      <c r="AX1087" s="114">
        <v>33</v>
      </c>
      <c r="AY1087" s="116">
        <v>15</v>
      </c>
      <c r="AZ1087" s="116">
        <v>5</v>
      </c>
      <c r="BA1087" s="120">
        <v>2340</v>
      </c>
      <c r="BB1087" s="120">
        <f t="shared" si="294"/>
        <v>33015</v>
      </c>
      <c r="BC1087" t="s">
        <v>1472</v>
      </c>
      <c r="BD1087">
        <f t="shared" si="303"/>
        <v>3302340</v>
      </c>
      <c r="BI1087">
        <v>11.29</v>
      </c>
      <c r="BJ1087">
        <v>0.16</v>
      </c>
      <c r="BK1087">
        <v>11.13</v>
      </c>
      <c r="BP1087" s="1">
        <v>62</v>
      </c>
      <c r="BR1087">
        <v>13</v>
      </c>
    </row>
    <row r="1088" spans="1:71" hidden="1" outlineLevel="1">
      <c r="A1088" t="s">
        <v>1343</v>
      </c>
      <c r="B1088" s="8" t="s">
        <v>1799</v>
      </c>
      <c r="C1088" s="1">
        <f t="shared" si="295"/>
        <v>3588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 t="shared" si="296"/>
        <v>6</v>
      </c>
      <c r="G1088" s="1">
        <f t="shared" si="297"/>
        <v>724</v>
      </c>
      <c r="H1088" s="2">
        <f t="shared" si="292"/>
        <v>0.20178372352285395</v>
      </c>
      <c r="I1088" s="6"/>
      <c r="J1088" s="2">
        <f t="shared" si="298"/>
        <v>0.36426978818283168</v>
      </c>
      <c r="K1088" s="2">
        <f t="shared" si="299"/>
        <v>0.56605351170568563</v>
      </c>
      <c r="L1088" s="2">
        <f t="shared" si="300"/>
        <v>8.3612040133779263E-4</v>
      </c>
      <c r="M1088" s="2">
        <f t="shared" si="301"/>
        <v>6.8840579710144956E-2</v>
      </c>
      <c r="N1088" s="63">
        <v>1307</v>
      </c>
      <c r="O1088" s="63">
        <v>2031</v>
      </c>
      <c r="P1088" s="63">
        <v>3</v>
      </c>
      <c r="Q1088" s="63">
        <v>145</v>
      </c>
      <c r="R1088" s="63">
        <v>22</v>
      </c>
      <c r="S1088" s="63"/>
      <c r="T1088" s="63">
        <v>3</v>
      </c>
      <c r="U1088" s="63"/>
      <c r="V1088" s="63"/>
      <c r="W1088" s="63">
        <f t="shared" si="302"/>
        <v>77</v>
      </c>
      <c r="X1088" s="63"/>
      <c r="Y1088" s="63"/>
      <c r="Z1088" s="63"/>
      <c r="AA1088" s="63"/>
      <c r="AB1088" s="63"/>
      <c r="AT1088" t="str">
        <f t="shared" si="293"/>
        <v>Auburn</v>
      </c>
      <c r="AU1088" t="s">
        <v>2971</v>
      </c>
      <c r="AV1088">
        <v>1</v>
      </c>
      <c r="AW1088">
        <v>1</v>
      </c>
      <c r="AX1088" s="114">
        <v>33</v>
      </c>
      <c r="AY1088" s="116">
        <v>15</v>
      </c>
      <c r="AZ1088" s="116">
        <v>10</v>
      </c>
      <c r="BA1088" s="120">
        <v>2820</v>
      </c>
      <c r="BB1088" s="120">
        <f t="shared" si="294"/>
        <v>33015</v>
      </c>
      <c r="BC1088" t="s">
        <v>1472</v>
      </c>
      <c r="BD1088">
        <f t="shared" si="303"/>
        <v>3302820</v>
      </c>
      <c r="BI1088">
        <v>28.71</v>
      </c>
      <c r="BJ1088">
        <v>3.5</v>
      </c>
      <c r="BK1088">
        <v>25.21</v>
      </c>
      <c r="BP1088" s="1">
        <v>80</v>
      </c>
      <c r="BR1088">
        <v>10</v>
      </c>
    </row>
    <row r="1089" spans="1:70" hidden="1" outlineLevel="1">
      <c r="A1089" t="s">
        <v>974</v>
      </c>
      <c r="B1089" s="8" t="s">
        <v>1799</v>
      </c>
      <c r="C1089" s="1">
        <f t="shared" si="295"/>
        <v>2612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 t="shared" si="296"/>
        <v>0</v>
      </c>
      <c r="G1089" s="1">
        <f t="shared" si="297"/>
        <v>596</v>
      </c>
      <c r="H1089" s="2">
        <f t="shared" si="292"/>
        <v>0.22817764165390506</v>
      </c>
      <c r="I1089" s="6"/>
      <c r="J1089" s="2">
        <f t="shared" si="298"/>
        <v>0.35375191424196017</v>
      </c>
      <c r="K1089" s="2">
        <f t="shared" si="299"/>
        <v>0.58192955589586526</v>
      </c>
      <c r="L1089" s="2">
        <f t="shared" si="300"/>
        <v>0</v>
      </c>
      <c r="M1089" s="2">
        <f t="shared" si="301"/>
        <v>6.4318529862174567E-2</v>
      </c>
      <c r="N1089" s="63">
        <v>924</v>
      </c>
      <c r="O1089" s="63">
        <v>1520</v>
      </c>
      <c r="P1089" s="63">
        <v>0</v>
      </c>
      <c r="Q1089" s="63">
        <v>125</v>
      </c>
      <c r="R1089" s="63">
        <v>20</v>
      </c>
      <c r="S1089" s="63"/>
      <c r="T1089" s="63">
        <v>0</v>
      </c>
      <c r="U1089" s="63"/>
      <c r="V1089" s="63"/>
      <c r="W1089" s="63">
        <f t="shared" si="302"/>
        <v>23</v>
      </c>
      <c r="X1089" s="63"/>
      <c r="Y1089" s="63"/>
      <c r="Z1089" s="63"/>
      <c r="AA1089" s="63"/>
      <c r="AB1089" s="63"/>
      <c r="AT1089" t="str">
        <f t="shared" si="293"/>
        <v>Barnstead</v>
      </c>
      <c r="AU1089" t="s">
        <v>1437</v>
      </c>
      <c r="AV1089">
        <v>1</v>
      </c>
      <c r="AW1089">
        <v>1</v>
      </c>
      <c r="AX1089" s="114">
        <v>33</v>
      </c>
      <c r="AY1089" s="116">
        <v>1</v>
      </c>
      <c r="AZ1089" s="116">
        <v>10</v>
      </c>
      <c r="BA1089" s="120">
        <v>3220</v>
      </c>
      <c r="BB1089" s="120">
        <f t="shared" si="294"/>
        <v>33001</v>
      </c>
      <c r="BC1089" t="s">
        <v>1472</v>
      </c>
      <c r="BD1089">
        <f t="shared" si="303"/>
        <v>3303220</v>
      </c>
      <c r="BI1089">
        <v>43.97</v>
      </c>
      <c r="BJ1089">
        <v>2.0499999999999998</v>
      </c>
      <c r="BK1089">
        <v>41.92</v>
      </c>
      <c r="BP1089" s="1">
        <v>23</v>
      </c>
      <c r="BR1089">
        <v>23</v>
      </c>
    </row>
    <row r="1090" spans="1:70" hidden="1" outlineLevel="1">
      <c r="A1090" t="s">
        <v>318</v>
      </c>
      <c r="B1090" s="8" t="s">
        <v>1799</v>
      </c>
      <c r="C1090" s="1">
        <f t="shared" si="295"/>
        <v>5268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 t="shared" si="296"/>
        <v>6</v>
      </c>
      <c r="G1090" s="1">
        <f t="shared" si="297"/>
        <v>94</v>
      </c>
      <c r="H1090" s="2">
        <f t="shared" si="292"/>
        <v>1.7843583902809414E-2</v>
      </c>
      <c r="I1090" s="6"/>
      <c r="J1090" s="2">
        <f t="shared" si="298"/>
        <v>0.45083523158694</v>
      </c>
      <c r="K1090" s="2">
        <f t="shared" si="299"/>
        <v>0.46867881548974943</v>
      </c>
      <c r="L1090" s="2">
        <f t="shared" si="300"/>
        <v>1.3287775246772968E-3</v>
      </c>
      <c r="M1090" s="2">
        <f t="shared" si="301"/>
        <v>7.9157175398633331E-2</v>
      </c>
      <c r="N1090" s="63">
        <v>2375</v>
      </c>
      <c r="O1090" s="63">
        <v>2469</v>
      </c>
      <c r="P1090" s="63">
        <v>7</v>
      </c>
      <c r="Q1090" s="63">
        <v>309</v>
      </c>
      <c r="R1090" s="63">
        <v>65</v>
      </c>
      <c r="S1090" s="63"/>
      <c r="T1090" s="63">
        <v>4</v>
      </c>
      <c r="U1090" s="63"/>
      <c r="V1090" s="63"/>
      <c r="W1090" s="63">
        <f t="shared" si="302"/>
        <v>39</v>
      </c>
      <c r="X1090" s="63"/>
      <c r="Y1090" s="63"/>
      <c r="Z1090" s="63"/>
      <c r="AA1090" s="63"/>
      <c r="AB1090" s="63"/>
      <c r="AT1090" t="str">
        <f t="shared" si="293"/>
        <v>Barrington</v>
      </c>
      <c r="AU1090" t="s">
        <v>2035</v>
      </c>
      <c r="AV1090">
        <v>1</v>
      </c>
      <c r="AW1090">
        <v>1</v>
      </c>
      <c r="AX1090" s="114">
        <v>33</v>
      </c>
      <c r="AY1090" s="116">
        <v>17</v>
      </c>
      <c r="AZ1090" s="116">
        <v>5</v>
      </c>
      <c r="BA1090" s="120">
        <v>3460</v>
      </c>
      <c r="BB1090" s="120">
        <f t="shared" si="294"/>
        <v>33017</v>
      </c>
      <c r="BC1090" t="s">
        <v>1472</v>
      </c>
      <c r="BD1090">
        <f t="shared" si="303"/>
        <v>3303460</v>
      </c>
      <c r="BI1090">
        <v>48.52</v>
      </c>
      <c r="BJ1090">
        <v>1.93</v>
      </c>
      <c r="BK1090">
        <v>46.59</v>
      </c>
      <c r="BP1090" s="1">
        <v>46</v>
      </c>
      <c r="BR1090">
        <v>13</v>
      </c>
    </row>
    <row r="1091" spans="1:70" hidden="1" outlineLevel="1">
      <c r="A1091" t="s">
        <v>975</v>
      </c>
      <c r="B1091" s="8" t="s">
        <v>1799</v>
      </c>
      <c r="C1091" s="1">
        <f t="shared" si="295"/>
        <v>1951</v>
      </c>
      <c r="D1091" s="5">
        <f>IF(N1091&gt;0, RANK(N1091,(N1091:P1091,Q1091:AE1091)),0)</f>
        <v>1</v>
      </c>
      <c r="E1091" s="5">
        <f>IF(O1091&gt;0,RANK(O1091,(N1091:P1091,Q1091:AE1091)),0)</f>
        <v>2</v>
      </c>
      <c r="F1091" s="5">
        <f t="shared" si="296"/>
        <v>0</v>
      </c>
      <c r="G1091" s="1">
        <f t="shared" si="297"/>
        <v>364</v>
      </c>
      <c r="H1091" s="2">
        <f t="shared" si="292"/>
        <v>0.18657098923628909</v>
      </c>
      <c r="I1091" s="6"/>
      <c r="J1091" s="2">
        <f t="shared" si="298"/>
        <v>0.56073808303434136</v>
      </c>
      <c r="K1091" s="2">
        <f t="shared" si="299"/>
        <v>0.3741670937980523</v>
      </c>
      <c r="L1091" s="2">
        <f t="shared" si="300"/>
        <v>0</v>
      </c>
      <c r="M1091" s="2">
        <f t="shared" si="301"/>
        <v>6.5094823167606342E-2</v>
      </c>
      <c r="N1091" s="63">
        <v>1094</v>
      </c>
      <c r="O1091" s="63">
        <v>730</v>
      </c>
      <c r="P1091" s="63">
        <v>0</v>
      </c>
      <c r="Q1091" s="63">
        <v>84</v>
      </c>
      <c r="R1091" s="63">
        <v>21</v>
      </c>
      <c r="S1091" s="63"/>
      <c r="T1091" s="63">
        <v>0</v>
      </c>
      <c r="U1091" s="63"/>
      <c r="V1091" s="63"/>
      <c r="W1091" s="63">
        <f t="shared" si="302"/>
        <v>22</v>
      </c>
      <c r="X1091" s="63"/>
      <c r="Y1091" s="63"/>
      <c r="Z1091" s="63"/>
      <c r="AA1091" s="63"/>
      <c r="AB1091" s="63"/>
      <c r="AT1091" t="str">
        <f t="shared" si="293"/>
        <v>Bartlett</v>
      </c>
      <c r="AU1091" t="s">
        <v>1675</v>
      </c>
      <c r="AV1091">
        <v>1</v>
      </c>
      <c r="AW1091">
        <v>1</v>
      </c>
      <c r="AX1091" s="114">
        <v>33</v>
      </c>
      <c r="AY1091" s="116">
        <v>3</v>
      </c>
      <c r="AZ1091" s="116">
        <v>10</v>
      </c>
      <c r="BA1091" s="120">
        <v>3700</v>
      </c>
      <c r="BB1091" s="120">
        <f t="shared" si="294"/>
        <v>33003</v>
      </c>
      <c r="BC1091" t="s">
        <v>1472</v>
      </c>
      <c r="BD1091">
        <f t="shared" si="303"/>
        <v>3303700</v>
      </c>
      <c r="BI1091">
        <v>75.290000000000006</v>
      </c>
      <c r="BJ1091">
        <v>0.01</v>
      </c>
      <c r="BK1091">
        <v>75.28</v>
      </c>
      <c r="BP1091" s="1">
        <v>22</v>
      </c>
      <c r="BR1091">
        <v>16</v>
      </c>
    </row>
    <row r="1092" spans="1:70" hidden="1" outlineLevel="1">
      <c r="A1092" t="s">
        <v>708</v>
      </c>
      <c r="B1092" s="8" t="s">
        <v>1799</v>
      </c>
      <c r="C1092" s="1">
        <f t="shared" si="295"/>
        <v>552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296"/>
        <v>6</v>
      </c>
      <c r="G1092" s="1">
        <f t="shared" si="297"/>
        <v>81</v>
      </c>
      <c r="H1092" s="2">
        <f t="shared" si="292"/>
        <v>0.14673913043478262</v>
      </c>
      <c r="I1092" s="6"/>
      <c r="J1092" s="2">
        <f t="shared" si="298"/>
        <v>0.38224637681159418</v>
      </c>
      <c r="K1092" s="2">
        <f t="shared" si="299"/>
        <v>0.52898550724637683</v>
      </c>
      <c r="L1092" s="2">
        <f t="shared" si="300"/>
        <v>3.6231884057971015E-3</v>
      </c>
      <c r="M1092" s="2">
        <f t="shared" si="301"/>
        <v>8.5144927536231832E-2</v>
      </c>
      <c r="N1092" s="63">
        <v>211</v>
      </c>
      <c r="O1092" s="63">
        <v>292</v>
      </c>
      <c r="P1092" s="63">
        <v>2</v>
      </c>
      <c r="Q1092" s="63">
        <v>27</v>
      </c>
      <c r="R1092" s="63">
        <v>5</v>
      </c>
      <c r="S1092" s="63"/>
      <c r="T1092" s="63">
        <v>0</v>
      </c>
      <c r="U1092" s="63"/>
      <c r="V1092" s="63"/>
      <c r="W1092" s="63">
        <f t="shared" si="302"/>
        <v>15</v>
      </c>
      <c r="X1092" s="63"/>
      <c r="Y1092" s="63"/>
      <c r="Z1092" s="63"/>
      <c r="AA1092" s="63"/>
      <c r="AB1092" s="63"/>
      <c r="AT1092" t="str">
        <f t="shared" si="293"/>
        <v>Bath</v>
      </c>
      <c r="AU1092" t="s">
        <v>2260</v>
      </c>
      <c r="AV1092">
        <v>2</v>
      </c>
      <c r="AW1092">
        <v>2</v>
      </c>
      <c r="AX1092" s="114">
        <v>33</v>
      </c>
      <c r="AY1092" s="116">
        <v>9</v>
      </c>
      <c r="AZ1092" s="116">
        <v>15</v>
      </c>
      <c r="BA1092" s="120">
        <v>3940</v>
      </c>
      <c r="BB1092" s="120">
        <f t="shared" si="294"/>
        <v>33009</v>
      </c>
      <c r="BC1092" t="s">
        <v>1472</v>
      </c>
      <c r="BD1092">
        <f t="shared" si="303"/>
        <v>3303940</v>
      </c>
      <c r="BI1092">
        <v>38.64</v>
      </c>
      <c r="BJ1092">
        <v>0.46</v>
      </c>
      <c r="BK1092">
        <v>38.19</v>
      </c>
      <c r="BP1092" s="1">
        <v>17</v>
      </c>
      <c r="BR1092">
        <v>8</v>
      </c>
    </row>
    <row r="1093" spans="1:70" hidden="1" outlineLevel="1">
      <c r="A1093" t="s">
        <v>1766</v>
      </c>
      <c r="B1093" s="8" t="s">
        <v>1799</v>
      </c>
      <c r="C1093" s="1">
        <f t="shared" si="295"/>
        <v>13570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 t="shared" si="296"/>
        <v>6</v>
      </c>
      <c r="G1093" s="1">
        <f t="shared" si="297"/>
        <v>965</v>
      </c>
      <c r="H1093" s="2">
        <f t="shared" si="292"/>
        <v>7.1112748710390569E-2</v>
      </c>
      <c r="I1093" s="6"/>
      <c r="J1093" s="2">
        <f t="shared" si="298"/>
        <v>0.43117170228445101</v>
      </c>
      <c r="K1093" s="2">
        <f t="shared" si="299"/>
        <v>0.50228445099484154</v>
      </c>
      <c r="L1093" s="2">
        <f t="shared" si="300"/>
        <v>2.431834929992631E-3</v>
      </c>
      <c r="M1093" s="2">
        <f t="shared" si="301"/>
        <v>6.4112011790714823E-2</v>
      </c>
      <c r="N1093" s="63">
        <v>5851</v>
      </c>
      <c r="O1093" s="63">
        <v>6816</v>
      </c>
      <c r="P1093" s="63">
        <v>33</v>
      </c>
      <c r="Q1093" s="63">
        <v>536</v>
      </c>
      <c r="R1093" s="63">
        <v>58</v>
      </c>
      <c r="S1093" s="63"/>
      <c r="T1093" s="63">
        <v>6</v>
      </c>
      <c r="U1093" s="63"/>
      <c r="V1093" s="63"/>
      <c r="W1093" s="63">
        <f t="shared" si="302"/>
        <v>270</v>
      </c>
      <c r="X1093" s="63"/>
      <c r="Y1093" s="63"/>
      <c r="Z1093" s="63"/>
      <c r="AA1093" s="63"/>
      <c r="AB1093" s="63"/>
      <c r="AT1093" t="str">
        <f t="shared" si="293"/>
        <v>Bedford</v>
      </c>
      <c r="AU1093" t="s">
        <v>1161</v>
      </c>
      <c r="AV1093">
        <v>1</v>
      </c>
      <c r="AW1093">
        <v>1</v>
      </c>
      <c r="AX1093" s="114">
        <v>33</v>
      </c>
      <c r="AY1093" s="116">
        <v>11</v>
      </c>
      <c r="AZ1093" s="116">
        <v>15</v>
      </c>
      <c r="BA1093" s="120">
        <v>4500</v>
      </c>
      <c r="BB1093" s="120">
        <f t="shared" si="294"/>
        <v>33011</v>
      </c>
      <c r="BC1093" t="s">
        <v>1472</v>
      </c>
      <c r="BD1093">
        <f t="shared" si="303"/>
        <v>3304500</v>
      </c>
      <c r="BI1093">
        <v>33.119999999999997</v>
      </c>
      <c r="BJ1093">
        <v>0.28000000000000003</v>
      </c>
      <c r="BK1093">
        <v>32.83</v>
      </c>
      <c r="BP1093" s="1">
        <v>303</v>
      </c>
      <c r="BR1093">
        <v>40</v>
      </c>
    </row>
    <row r="1094" spans="1:70" hidden="1" outlineLevel="1">
      <c r="A1094" t="s">
        <v>899</v>
      </c>
      <c r="B1094" s="8" t="s">
        <v>1799</v>
      </c>
      <c r="C1094" s="1">
        <f t="shared" si="295"/>
        <v>3705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 t="shared" si="296"/>
        <v>7</v>
      </c>
      <c r="G1094" s="1">
        <f t="shared" si="297"/>
        <v>920</v>
      </c>
      <c r="H1094" s="2">
        <f t="shared" si="292"/>
        <v>0.24831309041835359</v>
      </c>
      <c r="I1094" s="6"/>
      <c r="J1094" s="2">
        <f t="shared" si="298"/>
        <v>0.34331983805668015</v>
      </c>
      <c r="K1094" s="2">
        <f t="shared" si="299"/>
        <v>0.59163292847503379</v>
      </c>
      <c r="L1094" s="2">
        <f t="shared" si="300"/>
        <v>2.6990553306342779E-4</v>
      </c>
      <c r="M1094" s="2">
        <f t="shared" si="301"/>
        <v>6.4777327935222576E-2</v>
      </c>
      <c r="N1094" s="63">
        <v>1272</v>
      </c>
      <c r="O1094" s="63">
        <v>2192</v>
      </c>
      <c r="P1094" s="63">
        <v>1</v>
      </c>
      <c r="Q1094" s="63">
        <v>158</v>
      </c>
      <c r="R1094" s="63">
        <v>28</v>
      </c>
      <c r="S1094" s="63"/>
      <c r="T1094" s="63">
        <v>7</v>
      </c>
      <c r="U1094" s="63"/>
      <c r="V1094" s="63"/>
      <c r="W1094" s="63">
        <f t="shared" si="302"/>
        <v>47</v>
      </c>
      <c r="X1094" s="63"/>
      <c r="Y1094" s="63"/>
      <c r="Z1094" s="63"/>
      <c r="AA1094" s="63"/>
      <c r="AB1094" s="63"/>
      <c r="AT1094" t="str">
        <f t="shared" si="293"/>
        <v>Belmont</v>
      </c>
      <c r="AU1094" t="s">
        <v>1437</v>
      </c>
      <c r="AV1094">
        <v>1</v>
      </c>
      <c r="AW1094">
        <v>1</v>
      </c>
      <c r="AX1094" s="114">
        <v>33</v>
      </c>
      <c r="AY1094" s="116">
        <v>1</v>
      </c>
      <c r="AZ1094" s="116">
        <v>15</v>
      </c>
      <c r="BA1094" s="120">
        <v>4740</v>
      </c>
      <c r="BB1094" s="120">
        <f t="shared" si="294"/>
        <v>33001</v>
      </c>
      <c r="BC1094" t="s">
        <v>1472</v>
      </c>
      <c r="BD1094">
        <f t="shared" si="303"/>
        <v>3304740</v>
      </c>
      <c r="BI1094">
        <v>32.299999999999997</v>
      </c>
      <c r="BJ1094">
        <v>1.69</v>
      </c>
      <c r="BK1094">
        <v>30.61</v>
      </c>
      <c r="BP1094" s="1">
        <v>48</v>
      </c>
      <c r="BR1094">
        <v>26</v>
      </c>
    </row>
    <row r="1095" spans="1:70" hidden="1" outlineLevel="1">
      <c r="A1095" t="s">
        <v>951</v>
      </c>
      <c r="B1095" s="8" t="s">
        <v>1799</v>
      </c>
      <c r="C1095" s="1">
        <f t="shared" si="295"/>
        <v>820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 t="shared" si="296"/>
        <v>7</v>
      </c>
      <c r="G1095" s="1">
        <f t="shared" si="297"/>
        <v>95</v>
      </c>
      <c r="H1095" s="2">
        <f t="shared" si="292"/>
        <v>0.11585365853658537</v>
      </c>
      <c r="I1095" s="6"/>
      <c r="J1095" s="2">
        <f t="shared" si="298"/>
        <v>0.39878048780487807</v>
      </c>
      <c r="K1095" s="2">
        <f t="shared" si="299"/>
        <v>0.51463414634146343</v>
      </c>
      <c r="L1095" s="2">
        <f t="shared" si="300"/>
        <v>1.2195121951219512E-3</v>
      </c>
      <c r="M1095" s="2">
        <f t="shared" si="301"/>
        <v>8.536585365853655E-2</v>
      </c>
      <c r="N1095" s="63">
        <v>327</v>
      </c>
      <c r="O1095" s="63">
        <v>422</v>
      </c>
      <c r="P1095" s="63">
        <v>1</v>
      </c>
      <c r="Q1095" s="63">
        <v>41</v>
      </c>
      <c r="R1095" s="63">
        <v>8</v>
      </c>
      <c r="S1095" s="63"/>
      <c r="T1095" s="63">
        <v>2</v>
      </c>
      <c r="U1095" s="63"/>
      <c r="V1095" s="63"/>
      <c r="W1095" s="63">
        <f t="shared" si="302"/>
        <v>19</v>
      </c>
      <c r="X1095" s="63"/>
      <c r="Y1095" s="63"/>
      <c r="Z1095" s="63"/>
      <c r="AA1095" s="63"/>
      <c r="AB1095" s="63"/>
      <c r="AT1095" t="str">
        <f t="shared" si="293"/>
        <v>Bennington</v>
      </c>
      <c r="AU1095" t="s">
        <v>1161</v>
      </c>
      <c r="AV1095">
        <v>2</v>
      </c>
      <c r="AW1095">
        <v>2</v>
      </c>
      <c r="AX1095" s="114">
        <v>33</v>
      </c>
      <c r="AY1095" s="116">
        <v>11</v>
      </c>
      <c r="AZ1095" s="116">
        <v>20</v>
      </c>
      <c r="BA1095" s="120">
        <v>4900</v>
      </c>
      <c r="BB1095" s="120">
        <f t="shared" si="294"/>
        <v>33011</v>
      </c>
      <c r="BC1095" t="s">
        <v>1472</v>
      </c>
      <c r="BD1095">
        <f t="shared" si="303"/>
        <v>3304900</v>
      </c>
      <c r="BI1095">
        <v>11.32</v>
      </c>
      <c r="BJ1095">
        <v>0.26</v>
      </c>
      <c r="BK1095">
        <v>11.06</v>
      </c>
      <c r="BP1095" s="1">
        <v>20</v>
      </c>
      <c r="BR1095">
        <v>13</v>
      </c>
    </row>
    <row r="1096" spans="1:70" hidden="1" outlineLevel="1">
      <c r="A1096" t="s">
        <v>1098</v>
      </c>
      <c r="B1096" s="8" t="s">
        <v>1799</v>
      </c>
      <c r="C1096" s="1">
        <f t="shared" si="295"/>
        <v>190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296"/>
        <v>0</v>
      </c>
      <c r="G1096" s="1">
        <f t="shared" si="297"/>
        <v>33</v>
      </c>
      <c r="H1096" s="2">
        <f t="shared" si="292"/>
        <v>0.1736842105263158</v>
      </c>
      <c r="I1096" s="6"/>
      <c r="J1096" s="2">
        <f t="shared" si="298"/>
        <v>0.37894736842105264</v>
      </c>
      <c r="K1096" s="2">
        <f t="shared" si="299"/>
        <v>0.55263157894736847</v>
      </c>
      <c r="L1096" s="2">
        <f t="shared" si="300"/>
        <v>0</v>
      </c>
      <c r="M1096" s="2">
        <f t="shared" si="301"/>
        <v>6.8421052631578827E-2</v>
      </c>
      <c r="N1096" s="63">
        <v>72</v>
      </c>
      <c r="O1096" s="63">
        <v>105</v>
      </c>
      <c r="P1096" s="63">
        <v>0</v>
      </c>
      <c r="Q1096" s="63">
        <v>6</v>
      </c>
      <c r="R1096" s="63">
        <v>5</v>
      </c>
      <c r="S1096" s="63"/>
      <c r="T1096" s="63">
        <v>0</v>
      </c>
      <c r="U1096" s="63"/>
      <c r="V1096" s="63"/>
      <c r="W1096" s="63">
        <f t="shared" si="302"/>
        <v>2</v>
      </c>
      <c r="X1096" s="63"/>
      <c r="Y1096" s="63"/>
      <c r="Z1096" s="63"/>
      <c r="AA1096" s="63"/>
      <c r="AB1096" s="63"/>
      <c r="AT1096" t="str">
        <f t="shared" si="293"/>
        <v>Benton</v>
      </c>
      <c r="AU1096" t="s">
        <v>2260</v>
      </c>
      <c r="AV1096">
        <v>2</v>
      </c>
      <c r="AW1096">
        <v>2</v>
      </c>
      <c r="AX1096" s="114">
        <v>33</v>
      </c>
      <c r="AY1096" s="116">
        <v>9</v>
      </c>
      <c r="AZ1096" s="116">
        <v>20</v>
      </c>
      <c r="BA1096" s="120">
        <v>5060</v>
      </c>
      <c r="BB1096" s="120">
        <f t="shared" si="294"/>
        <v>33009</v>
      </c>
      <c r="BC1096" t="s">
        <v>1472</v>
      </c>
      <c r="BD1096">
        <f t="shared" si="303"/>
        <v>3305060</v>
      </c>
      <c r="BI1096">
        <v>48.37</v>
      </c>
      <c r="BJ1096">
        <v>0.23</v>
      </c>
      <c r="BK1096">
        <v>48.15</v>
      </c>
      <c r="BP1096" s="1">
        <v>2</v>
      </c>
      <c r="BR1096">
        <v>1</v>
      </c>
    </row>
    <row r="1097" spans="1:70" hidden="1" outlineLevel="1">
      <c r="A1097" t="s">
        <v>364</v>
      </c>
      <c r="B1097" s="8" t="s">
        <v>1799</v>
      </c>
      <c r="C1097" s="1">
        <f t="shared" si="295"/>
        <v>3974</v>
      </c>
      <c r="D1097" s="5">
        <f>IF(N1097&gt;0, RANK(N1097,(N1097:P1097,Q1097:AE1097)),0)</f>
        <v>1</v>
      </c>
      <c r="E1097" s="5">
        <f>IF(O1097&gt;0,RANK(O1097,(N1097:P1097,Q1097:AE1097)),0)</f>
        <v>2</v>
      </c>
      <c r="F1097" s="5">
        <f t="shared" si="296"/>
        <v>7</v>
      </c>
      <c r="G1097" s="1">
        <f t="shared" si="297"/>
        <v>188</v>
      </c>
      <c r="H1097" s="2">
        <f t="shared" si="292"/>
        <v>4.7307498741821843E-2</v>
      </c>
      <c r="I1097" s="6"/>
      <c r="J1097" s="2">
        <f t="shared" si="298"/>
        <v>0.49169602415702063</v>
      </c>
      <c r="K1097" s="2">
        <f t="shared" si="299"/>
        <v>0.4443885254151988</v>
      </c>
      <c r="L1097" s="2">
        <f t="shared" si="300"/>
        <v>2.5163563160543532E-4</v>
      </c>
      <c r="M1097" s="2">
        <f t="shared" si="301"/>
        <v>6.3663814796175139E-2</v>
      </c>
      <c r="N1097" s="63">
        <v>1954</v>
      </c>
      <c r="O1097" s="63">
        <v>1766</v>
      </c>
      <c r="P1097" s="63">
        <v>1</v>
      </c>
      <c r="Q1097" s="63">
        <v>156</v>
      </c>
      <c r="R1097" s="63">
        <v>34</v>
      </c>
      <c r="S1097" s="63"/>
      <c r="T1097" s="63">
        <v>7</v>
      </c>
      <c r="U1097" s="63"/>
      <c r="V1097" s="63"/>
      <c r="W1097" s="63">
        <f t="shared" si="302"/>
        <v>56</v>
      </c>
      <c r="X1097" s="63"/>
      <c r="Y1097" s="63"/>
      <c r="Z1097" s="63"/>
      <c r="AA1097" s="63"/>
      <c r="AB1097" s="63"/>
      <c r="AT1097" t="str">
        <f t="shared" si="293"/>
        <v>Berlin</v>
      </c>
      <c r="AU1097" t="s">
        <v>442</v>
      </c>
      <c r="AV1097">
        <v>2</v>
      </c>
      <c r="AW1097">
        <v>2</v>
      </c>
      <c r="AX1097" s="114">
        <v>33</v>
      </c>
      <c r="AY1097" s="116">
        <v>7</v>
      </c>
      <c r="AZ1097" s="116">
        <v>20</v>
      </c>
      <c r="BA1097" s="120">
        <v>5140</v>
      </c>
      <c r="BB1097" s="120">
        <f t="shared" si="294"/>
        <v>33007</v>
      </c>
      <c r="BC1097" t="s">
        <v>1249</v>
      </c>
      <c r="BD1097">
        <f t="shared" si="303"/>
        <v>3305140</v>
      </c>
      <c r="BI1097">
        <v>62.46</v>
      </c>
      <c r="BJ1097">
        <v>0.73</v>
      </c>
      <c r="BK1097">
        <v>61.73</v>
      </c>
      <c r="BP1097" s="1">
        <v>57</v>
      </c>
      <c r="BR1097">
        <v>46</v>
      </c>
    </row>
    <row r="1098" spans="1:70" hidden="1" outlineLevel="1">
      <c r="A1098" s="8" t="s">
        <v>2552</v>
      </c>
      <c r="B1098" s="8" t="s">
        <v>1799</v>
      </c>
      <c r="C1098" s="1">
        <f t="shared" si="295"/>
        <v>1443</v>
      </c>
      <c r="D1098" s="5">
        <f>IF(N1098&gt;0, RANK(N1098,(N1098:P1098,Q1098:AE1098)),0)</f>
        <v>1</v>
      </c>
      <c r="E1098" s="5">
        <f>IF(O1098&gt;0,RANK(O1098,(N1098:P1098,Q1098:AE1098)),0)</f>
        <v>2</v>
      </c>
      <c r="F1098" s="5">
        <f t="shared" si="296"/>
        <v>0</v>
      </c>
      <c r="G1098" s="1">
        <f t="shared" si="297"/>
        <v>223</v>
      </c>
      <c r="H1098" s="2">
        <f t="shared" si="292"/>
        <v>0.15453915453915454</v>
      </c>
      <c r="I1098" s="6"/>
      <c r="J1098" s="2">
        <f t="shared" si="298"/>
        <v>0.55162855162855162</v>
      </c>
      <c r="K1098" s="2">
        <f t="shared" si="299"/>
        <v>0.39708939708939711</v>
      </c>
      <c r="L1098" s="2">
        <f t="shared" si="300"/>
        <v>0</v>
      </c>
      <c r="M1098" s="2">
        <f t="shared" si="301"/>
        <v>5.1282051282051266E-2</v>
      </c>
      <c r="N1098" s="63">
        <v>796</v>
      </c>
      <c r="O1098" s="63">
        <v>573</v>
      </c>
      <c r="P1098" s="63">
        <v>0</v>
      </c>
      <c r="Q1098" s="63">
        <v>48</v>
      </c>
      <c r="R1098" s="63">
        <v>24</v>
      </c>
      <c r="S1098" s="63"/>
      <c r="T1098" s="63">
        <v>0</v>
      </c>
      <c r="U1098" s="63"/>
      <c r="V1098" s="63"/>
      <c r="W1098" s="63">
        <f t="shared" si="302"/>
        <v>2</v>
      </c>
      <c r="X1098" s="63"/>
      <c r="Y1098" s="63"/>
      <c r="Z1098" s="63"/>
      <c r="AA1098" s="63"/>
      <c r="AB1098" s="63"/>
      <c r="AT1098" t="str">
        <f t="shared" si="293"/>
        <v>Bethlehem</v>
      </c>
      <c r="AU1098" t="s">
        <v>2260</v>
      </c>
      <c r="AV1098">
        <v>2</v>
      </c>
      <c r="AW1098">
        <v>2</v>
      </c>
      <c r="AX1098" s="114">
        <v>33</v>
      </c>
      <c r="AY1098" s="116">
        <v>9</v>
      </c>
      <c r="AZ1098" s="116">
        <v>25</v>
      </c>
      <c r="BA1098" s="120">
        <v>5460</v>
      </c>
      <c r="BB1098" s="120">
        <f t="shared" si="294"/>
        <v>33009</v>
      </c>
      <c r="BC1098" t="s">
        <v>1472</v>
      </c>
      <c r="BD1098">
        <f t="shared" si="303"/>
        <v>3305460</v>
      </c>
      <c r="BI1098">
        <v>91</v>
      </c>
      <c r="BJ1098">
        <v>7.0000000000000007E-2</v>
      </c>
      <c r="BK1098">
        <v>90.94</v>
      </c>
      <c r="BP1098" s="1">
        <v>2</v>
      </c>
      <c r="BR1098">
        <v>0</v>
      </c>
    </row>
    <row r="1099" spans="1:70" hidden="1" outlineLevel="1">
      <c r="A1099" t="s">
        <v>2060</v>
      </c>
      <c r="B1099" s="8" t="s">
        <v>1799</v>
      </c>
      <c r="C1099" s="1">
        <f t="shared" si="295"/>
        <v>1900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 t="shared" si="296"/>
        <v>6</v>
      </c>
      <c r="G1099" s="1">
        <f t="shared" si="297"/>
        <v>96</v>
      </c>
      <c r="H1099" s="2">
        <f t="shared" si="292"/>
        <v>5.0526315789473683E-2</v>
      </c>
      <c r="I1099" s="6"/>
      <c r="J1099" s="2">
        <f t="shared" si="298"/>
        <v>0.43842105263157893</v>
      </c>
      <c r="K1099" s="2">
        <f t="shared" si="299"/>
        <v>0.48894736842105263</v>
      </c>
      <c r="L1099" s="2">
        <f t="shared" si="300"/>
        <v>1.5789473684210526E-3</v>
      </c>
      <c r="M1099" s="2">
        <f t="shared" si="301"/>
        <v>7.1052631578947381E-2</v>
      </c>
      <c r="N1099" s="63">
        <v>833</v>
      </c>
      <c r="O1099" s="63">
        <v>929</v>
      </c>
      <c r="P1099" s="63">
        <v>3</v>
      </c>
      <c r="Q1099" s="63">
        <v>83</v>
      </c>
      <c r="R1099" s="63">
        <v>16</v>
      </c>
      <c r="S1099" s="63"/>
      <c r="T1099" s="63">
        <v>0</v>
      </c>
      <c r="U1099" s="63"/>
      <c r="V1099" s="63"/>
      <c r="W1099" s="63">
        <f t="shared" si="302"/>
        <v>36</v>
      </c>
      <c r="X1099" s="63"/>
      <c r="Y1099" s="63"/>
      <c r="Z1099" s="63"/>
      <c r="AA1099" s="63"/>
      <c r="AB1099" s="63"/>
      <c r="AT1099" t="str">
        <f t="shared" si="293"/>
        <v>Boscawen</v>
      </c>
      <c r="AU1099" t="s">
        <v>2494</v>
      </c>
      <c r="AV1099">
        <v>2</v>
      </c>
      <c r="AW1099">
        <v>2</v>
      </c>
      <c r="AX1099" s="114">
        <v>33</v>
      </c>
      <c r="AY1099" s="116">
        <v>13</v>
      </c>
      <c r="AZ1099" s="116">
        <v>15</v>
      </c>
      <c r="BA1099" s="120">
        <v>6260</v>
      </c>
      <c r="BB1099" s="120">
        <f t="shared" si="294"/>
        <v>33013</v>
      </c>
      <c r="BC1099" t="s">
        <v>1472</v>
      </c>
      <c r="BD1099">
        <f t="shared" si="303"/>
        <v>3306260</v>
      </c>
      <c r="BI1099">
        <v>25.4</v>
      </c>
      <c r="BJ1099">
        <v>0.68</v>
      </c>
      <c r="BK1099">
        <v>24.73</v>
      </c>
      <c r="BP1099" s="1">
        <v>39</v>
      </c>
      <c r="BR1099">
        <v>17</v>
      </c>
    </row>
    <row r="1100" spans="1:70" hidden="1" outlineLevel="1">
      <c r="A1100" t="s">
        <v>2371</v>
      </c>
      <c r="B1100" s="8" t="s">
        <v>1799</v>
      </c>
      <c r="C1100" s="1">
        <f t="shared" si="295"/>
        <v>5076</v>
      </c>
      <c r="D1100" s="5">
        <f>IF(N1100&gt;0, RANK(N1100,(N1100:P1100,Q1100:AE1100)),0)</f>
        <v>1</v>
      </c>
      <c r="E1100" s="5">
        <f>IF(O1100&gt;0,RANK(O1100,(N1100:P1100,Q1100:AE1100)),0)</f>
        <v>2</v>
      </c>
      <c r="F1100" s="5">
        <f t="shared" si="296"/>
        <v>6</v>
      </c>
      <c r="G1100" s="1">
        <f t="shared" si="297"/>
        <v>451</v>
      </c>
      <c r="H1100" s="2">
        <f t="shared" si="292"/>
        <v>8.8849487785658002E-2</v>
      </c>
      <c r="I1100" s="6"/>
      <c r="J1100" s="2">
        <f t="shared" si="298"/>
        <v>0.50630417651694248</v>
      </c>
      <c r="K1100" s="2">
        <f t="shared" si="299"/>
        <v>0.4174546887312845</v>
      </c>
      <c r="L1100" s="2">
        <f t="shared" si="300"/>
        <v>3.7431048069345944E-3</v>
      </c>
      <c r="M1100" s="2">
        <f t="shared" si="301"/>
        <v>7.2498029944838421E-2</v>
      </c>
      <c r="N1100" s="63">
        <v>2570</v>
      </c>
      <c r="O1100" s="63">
        <v>2119</v>
      </c>
      <c r="P1100" s="63">
        <v>19</v>
      </c>
      <c r="Q1100" s="63">
        <v>218</v>
      </c>
      <c r="R1100" s="63">
        <v>28</v>
      </c>
      <c r="S1100" s="63"/>
      <c r="T1100" s="63">
        <v>2</v>
      </c>
      <c r="U1100" s="63"/>
      <c r="V1100" s="63"/>
      <c r="W1100" s="63">
        <f t="shared" si="302"/>
        <v>120</v>
      </c>
      <c r="X1100" s="63"/>
      <c r="Y1100" s="63"/>
      <c r="Z1100" s="63"/>
      <c r="AA1100" s="63"/>
      <c r="AB1100" s="63"/>
      <c r="AT1100" t="str">
        <f t="shared" si="293"/>
        <v>Bow</v>
      </c>
      <c r="AU1100" t="s">
        <v>2494</v>
      </c>
      <c r="AV1100">
        <v>2</v>
      </c>
      <c r="AW1100">
        <v>2</v>
      </c>
      <c r="AX1100" s="114">
        <v>33</v>
      </c>
      <c r="AY1100" s="116">
        <v>13</v>
      </c>
      <c r="AZ1100" s="116">
        <v>20</v>
      </c>
      <c r="BA1100" s="120">
        <v>6500</v>
      </c>
      <c r="BB1100" s="120">
        <f t="shared" si="294"/>
        <v>33013</v>
      </c>
      <c r="BC1100" t="s">
        <v>1472</v>
      </c>
      <c r="BD1100">
        <f t="shared" si="303"/>
        <v>3306500</v>
      </c>
      <c r="BI1100">
        <v>28.47</v>
      </c>
      <c r="BJ1100">
        <v>0.4</v>
      </c>
      <c r="BK1100">
        <v>28.07</v>
      </c>
      <c r="BP1100" s="1">
        <v>139</v>
      </c>
      <c r="BR1100">
        <v>17</v>
      </c>
    </row>
    <row r="1101" spans="1:70" hidden="1" outlineLevel="1">
      <c r="A1101" t="s">
        <v>2276</v>
      </c>
      <c r="B1101" s="8" t="s">
        <v>1799</v>
      </c>
      <c r="C1101" s="1">
        <f t="shared" si="295"/>
        <v>998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 t="shared" si="296"/>
        <v>0</v>
      </c>
      <c r="G1101" s="1">
        <f t="shared" si="297"/>
        <v>43</v>
      </c>
      <c r="H1101" s="2">
        <f t="shared" si="292"/>
        <v>4.308617234468938E-2</v>
      </c>
      <c r="I1101" s="6"/>
      <c r="J1101" s="2">
        <f t="shared" si="298"/>
        <v>0.44288577154308617</v>
      </c>
      <c r="K1101" s="2">
        <f t="shared" si="299"/>
        <v>0.48597194388777554</v>
      </c>
      <c r="L1101" s="2">
        <f t="shared" si="300"/>
        <v>0</v>
      </c>
      <c r="M1101" s="2">
        <f t="shared" si="301"/>
        <v>7.1142284569138292E-2</v>
      </c>
      <c r="N1101" s="63">
        <v>442</v>
      </c>
      <c r="O1101" s="63">
        <v>485</v>
      </c>
      <c r="P1101" s="63">
        <v>0</v>
      </c>
      <c r="Q1101" s="63">
        <v>41</v>
      </c>
      <c r="R1101" s="63">
        <v>15</v>
      </c>
      <c r="S1101" s="63"/>
      <c r="T1101" s="63">
        <v>0</v>
      </c>
      <c r="U1101" s="63"/>
      <c r="V1101" s="63"/>
      <c r="W1101" s="63">
        <f t="shared" si="302"/>
        <v>15</v>
      </c>
      <c r="X1101" s="63"/>
      <c r="Y1101" s="63"/>
      <c r="Z1101" s="63"/>
      <c r="AA1101" s="63"/>
      <c r="AB1101" s="63"/>
      <c r="AT1101" t="str">
        <f t="shared" si="293"/>
        <v>Bradford</v>
      </c>
      <c r="AU1101" t="s">
        <v>2494</v>
      </c>
      <c r="AV1101">
        <v>2</v>
      </c>
      <c r="AW1101">
        <v>2</v>
      </c>
      <c r="AX1101" s="114">
        <v>33</v>
      </c>
      <c r="AY1101" s="116">
        <v>13</v>
      </c>
      <c r="AZ1101" s="116">
        <v>25</v>
      </c>
      <c r="BA1101" s="120">
        <v>6980</v>
      </c>
      <c r="BB1101" s="120">
        <f t="shared" si="294"/>
        <v>33013</v>
      </c>
      <c r="BC1101" t="s">
        <v>1472</v>
      </c>
      <c r="BD1101">
        <f t="shared" si="303"/>
        <v>3306980</v>
      </c>
      <c r="BI1101">
        <v>36.01</v>
      </c>
      <c r="BJ1101">
        <v>0.7</v>
      </c>
      <c r="BK1101">
        <v>35.32</v>
      </c>
      <c r="BP1101" s="1">
        <v>15</v>
      </c>
      <c r="BR1101">
        <v>9</v>
      </c>
    </row>
    <row r="1102" spans="1:70" hidden="1" outlineLevel="1">
      <c r="A1102" t="s">
        <v>2558</v>
      </c>
      <c r="B1102" s="8" t="s">
        <v>1799</v>
      </c>
      <c r="C1102" s="1">
        <f t="shared" si="295"/>
        <v>2585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 t="shared" si="296"/>
        <v>7</v>
      </c>
      <c r="G1102" s="1">
        <f t="shared" si="297"/>
        <v>122</v>
      </c>
      <c r="H1102" s="2">
        <f t="shared" si="292"/>
        <v>4.7195357833655707E-2</v>
      </c>
      <c r="I1102" s="6"/>
      <c r="J1102" s="2">
        <f t="shared" si="298"/>
        <v>0.44294003868471954</v>
      </c>
      <c r="K1102" s="2">
        <f t="shared" si="299"/>
        <v>0.49013539651837523</v>
      </c>
      <c r="L1102" s="2">
        <f t="shared" si="300"/>
        <v>7.7369439071566729E-4</v>
      </c>
      <c r="M1102" s="2">
        <f t="shared" si="301"/>
        <v>6.6150870406189555E-2</v>
      </c>
      <c r="N1102" s="63">
        <v>1145</v>
      </c>
      <c r="O1102" s="63">
        <v>1267</v>
      </c>
      <c r="P1102" s="63">
        <v>2</v>
      </c>
      <c r="Q1102" s="63">
        <v>121</v>
      </c>
      <c r="R1102" s="63">
        <v>19</v>
      </c>
      <c r="S1102" s="63"/>
      <c r="T1102" s="63">
        <v>3</v>
      </c>
      <c r="U1102" s="63"/>
      <c r="V1102" s="63"/>
      <c r="W1102" s="63">
        <f t="shared" si="302"/>
        <v>28</v>
      </c>
      <c r="X1102" s="63"/>
      <c r="Y1102" s="63"/>
      <c r="Z1102" s="63"/>
      <c r="AA1102" s="63"/>
      <c r="AB1102" s="63"/>
      <c r="AT1102" t="str">
        <f t="shared" si="293"/>
        <v>Brentwood</v>
      </c>
      <c r="AU1102" t="s">
        <v>2971</v>
      </c>
      <c r="AV1102">
        <v>1</v>
      </c>
      <c r="AW1102">
        <v>1</v>
      </c>
      <c r="AX1102" s="114">
        <v>33</v>
      </c>
      <c r="AY1102" s="116">
        <v>15</v>
      </c>
      <c r="AZ1102" s="116">
        <v>15</v>
      </c>
      <c r="BA1102" s="120">
        <v>7220</v>
      </c>
      <c r="BB1102" s="120">
        <f t="shared" si="294"/>
        <v>33015</v>
      </c>
      <c r="BC1102" t="s">
        <v>1472</v>
      </c>
      <c r="BD1102">
        <f t="shared" si="303"/>
        <v>3307220</v>
      </c>
      <c r="BI1102">
        <v>16.98</v>
      </c>
      <c r="BJ1102">
        <v>0.16</v>
      </c>
      <c r="BK1102">
        <v>16.82</v>
      </c>
      <c r="BP1102" s="1">
        <v>30</v>
      </c>
      <c r="BR1102">
        <v>9</v>
      </c>
    </row>
    <row r="1103" spans="1:70" hidden="1" outlineLevel="1">
      <c r="A1103" t="s">
        <v>804</v>
      </c>
      <c r="B1103" s="8" t="s">
        <v>1799</v>
      </c>
      <c r="C1103" s="1">
        <f t="shared" si="295"/>
        <v>722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 t="shared" si="296"/>
        <v>0</v>
      </c>
      <c r="G1103" s="1">
        <f t="shared" si="297"/>
        <v>156</v>
      </c>
      <c r="H1103" s="2">
        <f t="shared" si="292"/>
        <v>0.21606648199445982</v>
      </c>
      <c r="I1103" s="6"/>
      <c r="J1103" s="2">
        <f t="shared" si="298"/>
        <v>0.36980609418282551</v>
      </c>
      <c r="K1103" s="2">
        <f t="shared" si="299"/>
        <v>0.58587257617728528</v>
      </c>
      <c r="L1103" s="2">
        <f t="shared" si="300"/>
        <v>0</v>
      </c>
      <c r="M1103" s="2">
        <f t="shared" si="301"/>
        <v>4.4321329639889218E-2</v>
      </c>
      <c r="N1103" s="63">
        <v>267</v>
      </c>
      <c r="O1103" s="63">
        <v>423</v>
      </c>
      <c r="P1103" s="63">
        <v>0</v>
      </c>
      <c r="Q1103" s="63">
        <v>24</v>
      </c>
      <c r="R1103" s="63">
        <v>4</v>
      </c>
      <c r="S1103" s="63"/>
      <c r="T1103" s="63">
        <v>0</v>
      </c>
      <c r="U1103" s="63"/>
      <c r="V1103" s="63"/>
      <c r="W1103" s="63">
        <f t="shared" si="302"/>
        <v>4</v>
      </c>
      <c r="X1103" s="63"/>
      <c r="Y1103" s="63"/>
      <c r="Z1103" s="63"/>
      <c r="AA1103" s="63"/>
      <c r="AB1103" s="63"/>
      <c r="AT1103" t="str">
        <f t="shared" si="293"/>
        <v>Bridgewater</v>
      </c>
      <c r="AU1103" t="s">
        <v>2260</v>
      </c>
      <c r="AV1103">
        <v>2</v>
      </c>
      <c r="AW1103">
        <v>2</v>
      </c>
      <c r="AX1103" s="114">
        <v>33</v>
      </c>
      <c r="AY1103" s="116">
        <v>9</v>
      </c>
      <c r="AZ1103" s="116">
        <v>30</v>
      </c>
      <c r="BA1103" s="120">
        <v>7540</v>
      </c>
      <c r="BB1103" s="120">
        <f t="shared" si="294"/>
        <v>33009</v>
      </c>
      <c r="BC1103" t="s">
        <v>1472</v>
      </c>
      <c r="BD1103">
        <f t="shared" si="303"/>
        <v>3307540</v>
      </c>
      <c r="BI1103">
        <v>21.45</v>
      </c>
      <c r="BJ1103">
        <v>0.18</v>
      </c>
      <c r="BK1103">
        <v>21.27</v>
      </c>
      <c r="BP1103" s="1">
        <v>4</v>
      </c>
      <c r="BR1103">
        <v>1</v>
      </c>
    </row>
    <row r="1104" spans="1:70" hidden="1" outlineLevel="1">
      <c r="A1104" t="s">
        <v>2215</v>
      </c>
      <c r="B1104" s="8" t="s">
        <v>1799</v>
      </c>
      <c r="C1104" s="1">
        <f t="shared" si="295"/>
        <v>1666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 t="shared" si="296"/>
        <v>7</v>
      </c>
      <c r="G1104" s="1">
        <f t="shared" si="297"/>
        <v>274</v>
      </c>
      <c r="H1104" s="2">
        <f t="shared" si="292"/>
        <v>0.1644657863145258</v>
      </c>
      <c r="I1104" s="6"/>
      <c r="J1104" s="2">
        <f t="shared" si="298"/>
        <v>0.37575030012004801</v>
      </c>
      <c r="K1104" s="2">
        <f t="shared" si="299"/>
        <v>0.54021608643457386</v>
      </c>
      <c r="L1104" s="2">
        <f t="shared" si="300"/>
        <v>1.2004801920768306E-3</v>
      </c>
      <c r="M1104" s="2">
        <f t="shared" si="301"/>
        <v>8.2833133253301355E-2</v>
      </c>
      <c r="N1104" s="63">
        <v>626</v>
      </c>
      <c r="O1104" s="63">
        <v>900</v>
      </c>
      <c r="P1104" s="63">
        <v>2</v>
      </c>
      <c r="Q1104" s="63">
        <v>74</v>
      </c>
      <c r="R1104" s="63">
        <v>21</v>
      </c>
      <c r="S1104" s="63"/>
      <c r="T1104" s="63">
        <v>4</v>
      </c>
      <c r="U1104" s="63"/>
      <c r="V1104" s="63"/>
      <c r="W1104" s="63">
        <f t="shared" si="302"/>
        <v>39</v>
      </c>
      <c r="X1104" s="63"/>
      <c r="Y1104" s="63"/>
      <c r="Z1104" s="63"/>
      <c r="AA1104" s="63"/>
      <c r="AB1104" s="63"/>
      <c r="AT1104" t="str">
        <f t="shared" si="293"/>
        <v>Bristol</v>
      </c>
      <c r="AU1104" t="s">
        <v>2260</v>
      </c>
      <c r="AV1104">
        <v>2</v>
      </c>
      <c r="AW1104">
        <v>2</v>
      </c>
      <c r="AX1104" s="114">
        <v>33</v>
      </c>
      <c r="AY1104" s="116">
        <v>9</v>
      </c>
      <c r="AZ1104" s="116">
        <v>35</v>
      </c>
      <c r="BA1104" s="120">
        <v>7700</v>
      </c>
      <c r="BB1104" s="120">
        <f t="shared" si="294"/>
        <v>33009</v>
      </c>
      <c r="BC1104" t="s">
        <v>1472</v>
      </c>
      <c r="BD1104">
        <f t="shared" si="303"/>
        <v>3307700</v>
      </c>
      <c r="BI1104">
        <v>22.26</v>
      </c>
      <c r="BJ1104">
        <v>4.92</v>
      </c>
      <c r="BK1104">
        <v>17.34</v>
      </c>
      <c r="BP1104" s="1">
        <v>41</v>
      </c>
      <c r="BR1104">
        <v>9</v>
      </c>
    </row>
    <row r="1105" spans="1:70" hidden="1" outlineLevel="1">
      <c r="A1105" t="s">
        <v>914</v>
      </c>
      <c r="B1105" s="8" t="s">
        <v>1799</v>
      </c>
      <c r="C1105" s="1">
        <f t="shared" si="295"/>
        <v>447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 t="shared" si="296"/>
        <v>0</v>
      </c>
      <c r="G1105" s="1">
        <f t="shared" si="297"/>
        <v>106</v>
      </c>
      <c r="H1105" s="2">
        <f t="shared" si="292"/>
        <v>0.23713646532438479</v>
      </c>
      <c r="I1105" s="6"/>
      <c r="J1105" s="2">
        <f t="shared" si="298"/>
        <v>0.34899328859060402</v>
      </c>
      <c r="K1105" s="2">
        <f t="shared" si="299"/>
        <v>0.58612975391498878</v>
      </c>
      <c r="L1105" s="2">
        <f t="shared" si="300"/>
        <v>0</v>
      </c>
      <c r="M1105" s="2">
        <f t="shared" si="301"/>
        <v>6.487695749440725E-2</v>
      </c>
      <c r="N1105" s="63">
        <v>156</v>
      </c>
      <c r="O1105" s="63">
        <v>262</v>
      </c>
      <c r="P1105" s="63">
        <v>0</v>
      </c>
      <c r="Q1105" s="63">
        <v>25</v>
      </c>
      <c r="R1105" s="63">
        <v>3</v>
      </c>
      <c r="S1105" s="63"/>
      <c r="T1105" s="63">
        <v>1</v>
      </c>
      <c r="U1105" s="63"/>
      <c r="V1105" s="63"/>
      <c r="W1105" s="63">
        <f t="shared" si="302"/>
        <v>0</v>
      </c>
      <c r="X1105" s="63"/>
      <c r="Y1105" s="63"/>
      <c r="Z1105" s="63"/>
      <c r="AA1105" s="63"/>
      <c r="AB1105" s="63"/>
      <c r="AT1105" t="str">
        <f t="shared" si="293"/>
        <v>Brookfield</v>
      </c>
      <c r="AU1105" t="s">
        <v>1675</v>
      </c>
      <c r="AV1105">
        <v>1</v>
      </c>
      <c r="AW1105">
        <v>1</v>
      </c>
      <c r="AX1105" s="114">
        <v>33</v>
      </c>
      <c r="AY1105" s="116">
        <v>3</v>
      </c>
      <c r="AZ1105" s="116">
        <v>15</v>
      </c>
      <c r="BA1105" s="120">
        <v>7940</v>
      </c>
      <c r="BB1105" s="120">
        <f t="shared" si="294"/>
        <v>33003</v>
      </c>
      <c r="BC1105" t="s">
        <v>1472</v>
      </c>
      <c r="BD1105">
        <f t="shared" si="303"/>
        <v>3307940</v>
      </c>
      <c r="BI1105">
        <v>23.26</v>
      </c>
      <c r="BJ1105">
        <v>0.39</v>
      </c>
      <c r="BK1105">
        <v>22.86</v>
      </c>
      <c r="BP1105" s="1">
        <v>0</v>
      </c>
      <c r="BR1105">
        <v>0</v>
      </c>
    </row>
    <row r="1106" spans="1:70" hidden="1" outlineLevel="1">
      <c r="A1106" t="s">
        <v>1559</v>
      </c>
      <c r="B1106" s="8" t="s">
        <v>1799</v>
      </c>
      <c r="C1106" s="1">
        <f t="shared" si="295"/>
        <v>3181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 t="shared" si="296"/>
        <v>6</v>
      </c>
      <c r="G1106" s="1">
        <f t="shared" si="297"/>
        <v>84</v>
      </c>
      <c r="H1106" s="2">
        <f t="shared" si="292"/>
        <v>2.6406790317510215E-2</v>
      </c>
      <c r="I1106" s="6"/>
      <c r="J1106" s="2">
        <f t="shared" si="298"/>
        <v>0.44545740333228545</v>
      </c>
      <c r="K1106" s="2">
        <f t="shared" si="299"/>
        <v>0.47186419364979565</v>
      </c>
      <c r="L1106" s="2">
        <f t="shared" si="300"/>
        <v>2.2005658597925182E-3</v>
      </c>
      <c r="M1106" s="2">
        <f t="shared" si="301"/>
        <v>8.0477837158126383E-2</v>
      </c>
      <c r="N1106" s="63">
        <v>1417</v>
      </c>
      <c r="O1106" s="63">
        <v>1501</v>
      </c>
      <c r="P1106" s="63">
        <v>7</v>
      </c>
      <c r="Q1106" s="63">
        <v>170</v>
      </c>
      <c r="R1106" s="63">
        <v>32</v>
      </c>
      <c r="S1106" s="63"/>
      <c r="T1106" s="63">
        <v>3</v>
      </c>
      <c r="U1106" s="63"/>
      <c r="V1106" s="63"/>
      <c r="W1106" s="63">
        <f t="shared" si="302"/>
        <v>51</v>
      </c>
      <c r="X1106" s="63"/>
      <c r="Y1106" s="63"/>
      <c r="Z1106" s="63"/>
      <c r="AA1106" s="63"/>
      <c r="AB1106" s="63"/>
      <c r="AT1106" t="str">
        <f t="shared" si="293"/>
        <v>Brookline</v>
      </c>
      <c r="AU1106" t="s">
        <v>1161</v>
      </c>
      <c r="AV1106">
        <v>2</v>
      </c>
      <c r="AW1106">
        <v>2</v>
      </c>
      <c r="AX1106" s="114">
        <v>33</v>
      </c>
      <c r="AY1106" s="116">
        <v>11</v>
      </c>
      <c r="AZ1106" s="116">
        <v>25</v>
      </c>
      <c r="BA1106" s="120">
        <v>8100</v>
      </c>
      <c r="BB1106" s="120">
        <f t="shared" si="294"/>
        <v>33011</v>
      </c>
      <c r="BC1106" t="s">
        <v>1472</v>
      </c>
      <c r="BD1106">
        <f t="shared" si="303"/>
        <v>3308100</v>
      </c>
      <c r="BI1106">
        <v>20.13</v>
      </c>
      <c r="BJ1106">
        <v>0.36</v>
      </c>
      <c r="BK1106">
        <v>19.77</v>
      </c>
      <c r="BP1106" s="1">
        <v>58</v>
      </c>
      <c r="BR1106">
        <v>16</v>
      </c>
    </row>
    <row r="1107" spans="1:70" hidden="1" outlineLevel="1">
      <c r="A1107" t="s">
        <v>2563</v>
      </c>
      <c r="B1107" s="8" t="s">
        <v>1799</v>
      </c>
      <c r="C1107" s="1">
        <f t="shared" si="295"/>
        <v>2</v>
      </c>
      <c r="D1107" s="5">
        <f>IF(N1107&gt;0, RANK(N1107,(N1107:P1107,Q1107:AE1107)),0)</f>
        <v>1</v>
      </c>
      <c r="E1107" s="5">
        <f>IF(O1107&gt;0,RANK(O1107,(N1107:P1107,Q1107:AE1107)),0)</f>
        <v>1</v>
      </c>
      <c r="F1107" s="5">
        <f t="shared" si="296"/>
        <v>0</v>
      </c>
      <c r="G1107" s="1">
        <f t="shared" si="297"/>
        <v>0</v>
      </c>
      <c r="H1107" s="2">
        <f t="shared" si="292"/>
        <v>0</v>
      </c>
      <c r="I1107" s="6"/>
      <c r="J1107" s="2">
        <f t="shared" si="298"/>
        <v>0.5</v>
      </c>
      <c r="K1107" s="2">
        <f t="shared" si="299"/>
        <v>0.5</v>
      </c>
      <c r="L1107" s="2">
        <f t="shared" si="300"/>
        <v>0</v>
      </c>
      <c r="M1107" s="2">
        <f t="shared" si="301"/>
        <v>0</v>
      </c>
      <c r="N1107" s="63">
        <v>1</v>
      </c>
      <c r="O1107" s="63">
        <v>1</v>
      </c>
      <c r="P1107" s="63">
        <v>0</v>
      </c>
      <c r="Q1107" s="63">
        <v>0</v>
      </c>
      <c r="R1107" s="63">
        <v>0</v>
      </c>
      <c r="S1107" s="63"/>
      <c r="T1107" s="63">
        <v>0</v>
      </c>
      <c r="U1107" s="63"/>
      <c r="V1107" s="63"/>
      <c r="W1107" s="63">
        <f t="shared" si="302"/>
        <v>0</v>
      </c>
      <c r="X1107" s="63"/>
      <c r="Y1107" s="63"/>
      <c r="Z1107" s="63"/>
      <c r="AA1107" s="63"/>
      <c r="AB1107" s="63"/>
      <c r="AT1107" t="str">
        <f t="shared" si="293"/>
        <v>Cambridge</v>
      </c>
      <c r="AU1107" t="s">
        <v>442</v>
      </c>
      <c r="AV1107">
        <v>2</v>
      </c>
      <c r="AW1107">
        <v>2</v>
      </c>
      <c r="AX1107" s="114">
        <v>33</v>
      </c>
      <c r="AY1107" s="116">
        <v>7</v>
      </c>
      <c r="AZ1107" s="116">
        <v>25</v>
      </c>
      <c r="BA1107" s="120">
        <v>8420</v>
      </c>
      <c r="BB1107" s="120">
        <f t="shared" si="294"/>
        <v>33007</v>
      </c>
      <c r="BC1107" t="s">
        <v>1297</v>
      </c>
      <c r="BD1107">
        <f t="shared" si="303"/>
        <v>3308420</v>
      </c>
      <c r="BI1107">
        <v>51.44</v>
      </c>
      <c r="BJ1107">
        <v>0.64</v>
      </c>
      <c r="BK1107">
        <v>50.81</v>
      </c>
      <c r="BP1107" s="1">
        <v>0</v>
      </c>
      <c r="BR1107">
        <v>0</v>
      </c>
    </row>
    <row r="1108" spans="1:70" hidden="1" outlineLevel="1">
      <c r="A1108" t="s">
        <v>2707</v>
      </c>
      <c r="B1108" s="8" t="s">
        <v>1799</v>
      </c>
      <c r="C1108" s="1">
        <f t="shared" si="295"/>
        <v>1911</v>
      </c>
      <c r="D1108" s="5">
        <f>IF(N1108&gt;0, RANK(N1108,(N1108:P1108,Q1108:AE1108)),0)</f>
        <v>1</v>
      </c>
      <c r="E1108" s="5">
        <f>IF(O1108&gt;0,RANK(O1108,(N1108:P1108,Q1108:AE1108)),0)</f>
        <v>2</v>
      </c>
      <c r="F1108" s="5">
        <f t="shared" si="296"/>
        <v>0</v>
      </c>
      <c r="G1108" s="1">
        <f t="shared" si="297"/>
        <v>20</v>
      </c>
      <c r="H1108" s="2">
        <f t="shared" si="292"/>
        <v>1.0465724751439037E-2</v>
      </c>
      <c r="I1108" s="6"/>
      <c r="J1108" s="2">
        <f t="shared" si="298"/>
        <v>0.46572475143903713</v>
      </c>
      <c r="K1108" s="2">
        <f t="shared" si="299"/>
        <v>0.4552590266875981</v>
      </c>
      <c r="L1108" s="2">
        <f t="shared" si="300"/>
        <v>0</v>
      </c>
      <c r="M1108" s="2">
        <f t="shared" si="301"/>
        <v>7.9016221873364767E-2</v>
      </c>
      <c r="N1108" s="63">
        <v>890</v>
      </c>
      <c r="O1108" s="63">
        <v>870</v>
      </c>
      <c r="P1108" s="63">
        <v>0</v>
      </c>
      <c r="Q1108" s="63">
        <v>88</v>
      </c>
      <c r="R1108" s="63">
        <v>20</v>
      </c>
      <c r="S1108" s="63"/>
      <c r="T1108" s="63">
        <v>3</v>
      </c>
      <c r="U1108" s="63"/>
      <c r="V1108" s="63"/>
      <c r="W1108" s="63">
        <f t="shared" si="302"/>
        <v>40</v>
      </c>
      <c r="X1108" s="63"/>
      <c r="Y1108" s="63"/>
      <c r="Z1108" s="63"/>
      <c r="AA1108" s="63"/>
      <c r="AB1108" s="63"/>
      <c r="AT1108" t="str">
        <f t="shared" si="293"/>
        <v>Campton</v>
      </c>
      <c r="AU1108" t="s">
        <v>2260</v>
      </c>
      <c r="AV1108">
        <v>1</v>
      </c>
      <c r="AW1108">
        <v>1</v>
      </c>
      <c r="AX1108" s="114">
        <v>33</v>
      </c>
      <c r="AY1108" s="116">
        <v>9</v>
      </c>
      <c r="AZ1108" s="116">
        <v>40</v>
      </c>
      <c r="BA1108" s="120">
        <v>8660</v>
      </c>
      <c r="BB1108" s="120">
        <f t="shared" si="294"/>
        <v>33009</v>
      </c>
      <c r="BC1108" t="s">
        <v>1472</v>
      </c>
      <c r="BD1108">
        <f t="shared" si="303"/>
        <v>3308660</v>
      </c>
      <c r="BI1108">
        <v>52.52</v>
      </c>
      <c r="BJ1108">
        <v>0.59</v>
      </c>
      <c r="BK1108">
        <v>51.93</v>
      </c>
      <c r="BP1108" s="1">
        <v>40</v>
      </c>
      <c r="BR1108">
        <v>21</v>
      </c>
    </row>
    <row r="1109" spans="1:70" hidden="1" outlineLevel="1">
      <c r="A1109" t="s">
        <v>2564</v>
      </c>
      <c r="B1109" s="8" t="s">
        <v>1799</v>
      </c>
      <c r="C1109" s="1">
        <f t="shared" si="295"/>
        <v>1895</v>
      </c>
      <c r="D1109" s="5">
        <f>IF(N1109&gt;0, RANK(N1109,(N1109:P1109,Q1109:AE1109)),0)</f>
        <v>1</v>
      </c>
      <c r="E1109" s="5">
        <f>IF(O1109&gt;0,RANK(O1109,(N1109:P1109,Q1109:AE1109)),0)</f>
        <v>2</v>
      </c>
      <c r="F1109" s="5">
        <f t="shared" si="296"/>
        <v>6</v>
      </c>
      <c r="G1109" s="1">
        <f t="shared" si="297"/>
        <v>88</v>
      </c>
      <c r="H1109" s="2">
        <f t="shared" si="292"/>
        <v>4.6437994722955143E-2</v>
      </c>
      <c r="I1109" s="6"/>
      <c r="J1109" s="2">
        <f t="shared" si="298"/>
        <v>0.49498680738786277</v>
      </c>
      <c r="K1109" s="2">
        <f t="shared" si="299"/>
        <v>0.44854881266490765</v>
      </c>
      <c r="L1109" s="2">
        <f t="shared" si="300"/>
        <v>1.0554089709762533E-3</v>
      </c>
      <c r="M1109" s="2">
        <f t="shared" si="301"/>
        <v>5.5408970976253386E-2</v>
      </c>
      <c r="N1109" s="63">
        <v>938</v>
      </c>
      <c r="O1109" s="63">
        <v>850</v>
      </c>
      <c r="P1109" s="63">
        <v>2</v>
      </c>
      <c r="Q1109" s="63">
        <v>65</v>
      </c>
      <c r="R1109" s="63">
        <v>26</v>
      </c>
      <c r="S1109" s="63"/>
      <c r="T1109" s="63">
        <v>2</v>
      </c>
      <c r="U1109" s="63"/>
      <c r="V1109" s="63"/>
      <c r="W1109" s="63">
        <f t="shared" si="302"/>
        <v>12</v>
      </c>
      <c r="X1109" s="63"/>
      <c r="Y1109" s="63"/>
      <c r="Z1109" s="63"/>
      <c r="AA1109" s="63"/>
      <c r="AB1109" s="63"/>
      <c r="AT1109" t="str">
        <f t="shared" si="293"/>
        <v>Canaan</v>
      </c>
      <c r="AU1109" t="s">
        <v>2260</v>
      </c>
      <c r="AV1109">
        <v>2</v>
      </c>
      <c r="AW1109">
        <v>2</v>
      </c>
      <c r="AX1109" s="114">
        <v>33</v>
      </c>
      <c r="AY1109" s="116">
        <v>9</v>
      </c>
      <c r="AZ1109" s="116">
        <v>45</v>
      </c>
      <c r="BA1109" s="120">
        <v>8980</v>
      </c>
      <c r="BB1109" s="120">
        <f t="shared" si="294"/>
        <v>33009</v>
      </c>
      <c r="BC1109" t="s">
        <v>1472</v>
      </c>
      <c r="BD1109">
        <f t="shared" si="303"/>
        <v>3308980</v>
      </c>
      <c r="BI1109">
        <v>55.03</v>
      </c>
      <c r="BJ1109">
        <v>1.82</v>
      </c>
      <c r="BK1109">
        <v>53.22</v>
      </c>
      <c r="BP1109" s="1">
        <v>14</v>
      </c>
      <c r="BR1109">
        <v>10</v>
      </c>
    </row>
    <row r="1110" spans="1:70" hidden="1" outlineLevel="1">
      <c r="A1110" t="s">
        <v>2321</v>
      </c>
      <c r="B1110" s="8" t="s">
        <v>1799</v>
      </c>
      <c r="C1110" s="1">
        <f t="shared" si="295"/>
        <v>2600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296"/>
        <v>6</v>
      </c>
      <c r="G1110" s="1">
        <f t="shared" si="297"/>
        <v>698</v>
      </c>
      <c r="H1110" s="2">
        <f t="shared" si="292"/>
        <v>0.26846153846153847</v>
      </c>
      <c r="I1110" s="6"/>
      <c r="J1110" s="2">
        <f t="shared" si="298"/>
        <v>0.32884615384615384</v>
      </c>
      <c r="K1110" s="2">
        <f t="shared" si="299"/>
        <v>0.59730769230769232</v>
      </c>
      <c r="L1110" s="2">
        <f t="shared" si="300"/>
        <v>1.5384615384615385E-3</v>
      </c>
      <c r="M1110" s="2">
        <f t="shared" si="301"/>
        <v>7.2307692307692351E-2</v>
      </c>
      <c r="N1110" s="63">
        <v>855</v>
      </c>
      <c r="O1110" s="63">
        <v>1553</v>
      </c>
      <c r="P1110" s="63">
        <v>4</v>
      </c>
      <c r="Q1110" s="63">
        <v>131</v>
      </c>
      <c r="R1110" s="63">
        <v>15</v>
      </c>
      <c r="S1110" s="63"/>
      <c r="T1110" s="63">
        <v>0</v>
      </c>
      <c r="U1110" s="63"/>
      <c r="V1110" s="63"/>
      <c r="W1110" s="63">
        <f t="shared" si="302"/>
        <v>42</v>
      </c>
      <c r="X1110" s="63"/>
      <c r="Y1110" s="63"/>
      <c r="Z1110" s="63"/>
      <c r="AA1110" s="63"/>
      <c r="AB1110" s="63"/>
      <c r="AT1110" t="str">
        <f t="shared" si="293"/>
        <v>Candia</v>
      </c>
      <c r="AU1110" t="s">
        <v>2971</v>
      </c>
      <c r="AV1110">
        <v>1</v>
      </c>
      <c r="AW1110">
        <v>1</v>
      </c>
      <c r="AX1110" s="114">
        <v>33</v>
      </c>
      <c r="AY1110" s="116">
        <v>15</v>
      </c>
      <c r="AZ1110" s="116">
        <v>20</v>
      </c>
      <c r="BA1110" s="120">
        <v>9300</v>
      </c>
      <c r="BB1110" s="120">
        <f t="shared" si="294"/>
        <v>33015</v>
      </c>
      <c r="BC1110" t="s">
        <v>1472</v>
      </c>
      <c r="BD1110">
        <f t="shared" si="303"/>
        <v>3309300</v>
      </c>
      <c r="BI1110">
        <v>30.57</v>
      </c>
      <c r="BJ1110">
        <v>0.24</v>
      </c>
      <c r="BK1110">
        <v>30.32</v>
      </c>
      <c r="BP1110" s="1">
        <v>46</v>
      </c>
      <c r="BR1110">
        <v>16</v>
      </c>
    </row>
    <row r="1111" spans="1:70" hidden="1" outlineLevel="1">
      <c r="A1111" t="s">
        <v>2890</v>
      </c>
      <c r="B1111" s="8" t="s">
        <v>1799</v>
      </c>
      <c r="C1111" s="1">
        <f t="shared" si="295"/>
        <v>1599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296"/>
        <v>6</v>
      </c>
      <c r="G1111" s="1">
        <f t="shared" si="297"/>
        <v>144</v>
      </c>
      <c r="H1111" s="2">
        <f t="shared" si="292"/>
        <v>9.0056285178236398E-2</v>
      </c>
      <c r="I1111" s="6"/>
      <c r="J1111" s="2">
        <f t="shared" si="298"/>
        <v>0.50969355847404629</v>
      </c>
      <c r="K1111" s="2">
        <f t="shared" si="299"/>
        <v>0.41963727329580985</v>
      </c>
      <c r="L1111" s="2">
        <f t="shared" si="300"/>
        <v>1.2507817385866166E-3</v>
      </c>
      <c r="M1111" s="2">
        <f t="shared" si="301"/>
        <v>6.9418386491557238E-2</v>
      </c>
      <c r="N1111" s="63">
        <v>815</v>
      </c>
      <c r="O1111" s="63">
        <v>671</v>
      </c>
      <c r="P1111" s="63">
        <v>2</v>
      </c>
      <c r="Q1111" s="63">
        <v>58</v>
      </c>
      <c r="R1111" s="63">
        <v>20</v>
      </c>
      <c r="S1111" s="63"/>
      <c r="T1111" s="63">
        <v>1</v>
      </c>
      <c r="U1111" s="63"/>
      <c r="V1111" s="63"/>
      <c r="W1111" s="63">
        <f t="shared" si="302"/>
        <v>32</v>
      </c>
      <c r="X1111" s="63"/>
      <c r="Y1111" s="63"/>
      <c r="Z1111" s="63"/>
      <c r="AA1111" s="63"/>
      <c r="AB1111" s="63"/>
      <c r="AT1111" t="str">
        <f t="shared" si="293"/>
        <v>Canterbury</v>
      </c>
      <c r="AU1111" t="s">
        <v>2494</v>
      </c>
      <c r="AV1111">
        <v>2</v>
      </c>
      <c r="AW1111">
        <v>2</v>
      </c>
      <c r="AX1111" s="114">
        <v>33</v>
      </c>
      <c r="AY1111" s="116">
        <v>13</v>
      </c>
      <c r="AZ1111" s="116">
        <v>30</v>
      </c>
      <c r="BA1111" s="120">
        <v>9860</v>
      </c>
      <c r="BB1111" s="120">
        <f t="shared" si="294"/>
        <v>33013</v>
      </c>
      <c r="BC1111" t="s">
        <v>1472</v>
      </c>
      <c r="BD1111">
        <f t="shared" si="303"/>
        <v>3309860</v>
      </c>
      <c r="BI1111">
        <v>44.63</v>
      </c>
      <c r="BJ1111">
        <v>0.79</v>
      </c>
      <c r="BK1111">
        <v>43.84</v>
      </c>
      <c r="BP1111" s="1">
        <v>34</v>
      </c>
      <c r="BR1111">
        <v>15</v>
      </c>
    </row>
    <row r="1112" spans="1:70" hidden="1" outlineLevel="1">
      <c r="A1112" t="s">
        <v>1675</v>
      </c>
      <c r="B1112" s="8" t="s">
        <v>1799</v>
      </c>
      <c r="C1112" s="1">
        <f t="shared" si="295"/>
        <v>484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 t="shared" si="296"/>
        <v>0</v>
      </c>
      <c r="G1112" s="1">
        <f t="shared" si="297"/>
        <v>32</v>
      </c>
      <c r="H1112" s="2">
        <f t="shared" si="292"/>
        <v>6.6115702479338845E-2</v>
      </c>
      <c r="I1112" s="6"/>
      <c r="J1112" s="2">
        <f t="shared" si="298"/>
        <v>0.44008264462809915</v>
      </c>
      <c r="K1112" s="2">
        <f t="shared" si="299"/>
        <v>0.50619834710743805</v>
      </c>
      <c r="L1112" s="2">
        <f t="shared" si="300"/>
        <v>0</v>
      </c>
      <c r="M1112" s="2">
        <f t="shared" si="301"/>
        <v>5.3719008264462742E-2</v>
      </c>
      <c r="N1112" s="63">
        <v>213</v>
      </c>
      <c r="O1112" s="63">
        <v>245</v>
      </c>
      <c r="P1112" s="63">
        <v>0</v>
      </c>
      <c r="Q1112" s="63">
        <v>9</v>
      </c>
      <c r="R1112" s="63">
        <v>6</v>
      </c>
      <c r="S1112" s="63"/>
      <c r="T1112" s="63">
        <v>0</v>
      </c>
      <c r="U1112" s="63"/>
      <c r="V1112" s="63"/>
      <c r="W1112" s="63">
        <f t="shared" si="302"/>
        <v>11</v>
      </c>
      <c r="X1112" s="63"/>
      <c r="Y1112" s="63"/>
      <c r="Z1112" s="63"/>
      <c r="AA1112" s="63"/>
      <c r="AB1112" s="63"/>
      <c r="AT1112" t="str">
        <f t="shared" si="293"/>
        <v>Carroll</v>
      </c>
      <c r="AU1112" t="s">
        <v>442</v>
      </c>
      <c r="AV1112">
        <v>2</v>
      </c>
      <c r="AW1112">
        <v>2</v>
      </c>
      <c r="AX1112" s="114">
        <v>33</v>
      </c>
      <c r="AY1112" s="116">
        <v>7</v>
      </c>
      <c r="AZ1112" s="116">
        <v>30</v>
      </c>
      <c r="BA1112" s="120">
        <v>10100</v>
      </c>
      <c r="BB1112" s="120">
        <f t="shared" si="294"/>
        <v>33007</v>
      </c>
      <c r="BC1112" t="s">
        <v>1472</v>
      </c>
      <c r="BD1112">
        <f t="shared" si="303"/>
        <v>3310100</v>
      </c>
      <c r="BI1112">
        <v>50.21</v>
      </c>
      <c r="BJ1112">
        <v>0.03</v>
      </c>
      <c r="BK1112">
        <v>50.19</v>
      </c>
      <c r="BP1112" s="1">
        <v>11</v>
      </c>
      <c r="BR1112">
        <v>6</v>
      </c>
    </row>
    <row r="1113" spans="1:70" hidden="1" outlineLevel="1">
      <c r="A1113" t="s">
        <v>3042</v>
      </c>
      <c r="B1113" s="8" t="s">
        <v>1799</v>
      </c>
      <c r="C1113" s="1">
        <f t="shared" si="295"/>
        <v>726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 t="shared" si="296"/>
        <v>0</v>
      </c>
      <c r="G1113" s="1">
        <f t="shared" si="297"/>
        <v>33</v>
      </c>
      <c r="H1113" s="2">
        <f t="shared" si="292"/>
        <v>4.5454545454545456E-2</v>
      </c>
      <c r="I1113" s="6"/>
      <c r="J1113" s="2">
        <f t="shared" si="298"/>
        <v>0.4462809917355372</v>
      </c>
      <c r="K1113" s="2">
        <f t="shared" si="299"/>
        <v>0.49173553719008267</v>
      </c>
      <c r="L1113" s="2">
        <f t="shared" si="300"/>
        <v>0</v>
      </c>
      <c r="M1113" s="2">
        <f t="shared" si="301"/>
        <v>6.198347107438007E-2</v>
      </c>
      <c r="N1113" s="63">
        <v>324</v>
      </c>
      <c r="O1113" s="63">
        <v>357</v>
      </c>
      <c r="P1113" s="63">
        <v>0</v>
      </c>
      <c r="Q1113" s="63">
        <v>23</v>
      </c>
      <c r="R1113" s="63">
        <v>8</v>
      </c>
      <c r="S1113" s="63"/>
      <c r="T1113" s="63">
        <v>1</v>
      </c>
      <c r="U1113" s="63"/>
      <c r="V1113" s="63"/>
      <c r="W1113" s="63">
        <f t="shared" si="302"/>
        <v>13</v>
      </c>
      <c r="X1113" s="63"/>
      <c r="Y1113" s="63"/>
      <c r="Z1113" s="63"/>
      <c r="AA1113" s="63"/>
      <c r="AB1113" s="63"/>
      <c r="AT1113" t="str">
        <f t="shared" si="293"/>
        <v>Center Harbor</v>
      </c>
      <c r="AU1113" t="s">
        <v>1437</v>
      </c>
      <c r="AV1113">
        <v>2</v>
      </c>
      <c r="AW1113">
        <v>2</v>
      </c>
      <c r="AX1113" s="114">
        <v>33</v>
      </c>
      <c r="AY1113" s="116">
        <v>1</v>
      </c>
      <c r="AZ1113" s="116">
        <v>20</v>
      </c>
      <c r="BA1113" s="120">
        <v>10660</v>
      </c>
      <c r="BB1113" s="120">
        <f t="shared" si="294"/>
        <v>33001</v>
      </c>
      <c r="BC1113" t="s">
        <v>1472</v>
      </c>
      <c r="BD1113">
        <f t="shared" si="303"/>
        <v>3310660</v>
      </c>
      <c r="BI1113">
        <v>16.510000000000002</v>
      </c>
      <c r="BJ1113">
        <v>3.12</v>
      </c>
      <c r="BK1113">
        <v>13.39</v>
      </c>
      <c r="BP1113" s="1">
        <v>13</v>
      </c>
      <c r="BR1113">
        <v>1</v>
      </c>
    </row>
    <row r="1114" spans="1:70" hidden="1" outlineLevel="1">
      <c r="A1114" t="s">
        <v>2624</v>
      </c>
      <c r="B1114" s="8" t="s">
        <v>1799</v>
      </c>
      <c r="C1114" s="1">
        <f t="shared" si="295"/>
        <v>2386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296"/>
        <v>6</v>
      </c>
      <c r="G1114" s="1">
        <f t="shared" si="297"/>
        <v>118</v>
      </c>
      <c r="H1114" s="2">
        <f t="shared" si="292"/>
        <v>4.9455155071248952E-2</v>
      </c>
      <c r="I1114" s="6"/>
      <c r="J1114" s="2">
        <f t="shared" si="298"/>
        <v>0.43629505448449285</v>
      </c>
      <c r="K1114" s="2">
        <f t="shared" si="299"/>
        <v>0.48575020955574183</v>
      </c>
      <c r="L1114" s="2">
        <f t="shared" si="300"/>
        <v>2.933780385582565E-3</v>
      </c>
      <c r="M1114" s="2">
        <f t="shared" si="301"/>
        <v>7.5020955574182813E-2</v>
      </c>
      <c r="N1114" s="63">
        <v>1041</v>
      </c>
      <c r="O1114" s="63">
        <v>1159</v>
      </c>
      <c r="P1114" s="63">
        <v>7</v>
      </c>
      <c r="Q1114" s="63">
        <v>92</v>
      </c>
      <c r="R1114" s="63">
        <v>20</v>
      </c>
      <c r="S1114" s="63"/>
      <c r="T1114" s="63">
        <v>5</v>
      </c>
      <c r="U1114" s="63"/>
      <c r="V1114" s="63"/>
      <c r="W1114" s="63">
        <f t="shared" si="302"/>
        <v>62</v>
      </c>
      <c r="X1114" s="63"/>
      <c r="Y1114" s="63"/>
      <c r="Z1114" s="63"/>
      <c r="AA1114" s="63"/>
      <c r="AB1114" s="63"/>
      <c r="AT1114" t="str">
        <f t="shared" si="293"/>
        <v>Charlestown</v>
      </c>
      <c r="AU1114" t="s">
        <v>1040</v>
      </c>
      <c r="AV1114">
        <v>2</v>
      </c>
      <c r="AW1114">
        <v>2</v>
      </c>
      <c r="AX1114" s="114">
        <v>33</v>
      </c>
      <c r="AY1114" s="116">
        <v>19</v>
      </c>
      <c r="AZ1114" s="116">
        <v>10</v>
      </c>
      <c r="BA1114" s="120">
        <v>11380</v>
      </c>
      <c r="BB1114" s="120">
        <f t="shared" si="294"/>
        <v>33019</v>
      </c>
      <c r="BC1114" t="s">
        <v>1472</v>
      </c>
      <c r="BD1114">
        <f t="shared" si="303"/>
        <v>3311380</v>
      </c>
      <c r="BI1114">
        <v>37.96</v>
      </c>
      <c r="BJ1114">
        <v>2.15</v>
      </c>
      <c r="BK1114">
        <v>35.81</v>
      </c>
      <c r="BP1114" s="1">
        <v>69</v>
      </c>
      <c r="BR1114">
        <v>49</v>
      </c>
    </row>
    <row r="1115" spans="1:70" hidden="1" outlineLevel="1">
      <c r="A1115" t="s">
        <v>261</v>
      </c>
      <c r="B1115" s="8" t="s">
        <v>1799</v>
      </c>
      <c r="C1115" s="1">
        <f t="shared" si="295"/>
        <v>206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 t="shared" si="296"/>
        <v>0</v>
      </c>
      <c r="G1115" s="1">
        <f t="shared" si="297"/>
        <v>24</v>
      </c>
      <c r="H1115" s="2">
        <f t="shared" si="292"/>
        <v>0.11650485436893204</v>
      </c>
      <c r="I1115" s="6"/>
      <c r="J1115" s="2">
        <f t="shared" si="298"/>
        <v>0.38349514563106796</v>
      </c>
      <c r="K1115" s="2">
        <f t="shared" si="299"/>
        <v>0.5</v>
      </c>
      <c r="L1115" s="2">
        <f t="shared" si="300"/>
        <v>0</v>
      </c>
      <c r="M1115" s="2">
        <f t="shared" si="301"/>
        <v>0.11650485436893199</v>
      </c>
      <c r="N1115" s="63">
        <v>79</v>
      </c>
      <c r="O1115" s="63">
        <v>103</v>
      </c>
      <c r="P1115" s="63">
        <v>0</v>
      </c>
      <c r="Q1115" s="63">
        <v>19</v>
      </c>
      <c r="R1115" s="63">
        <v>3</v>
      </c>
      <c r="S1115" s="63"/>
      <c r="T1115" s="63">
        <v>0</v>
      </c>
      <c r="U1115" s="63"/>
      <c r="V1115" s="63"/>
      <c r="W1115" s="63">
        <f t="shared" si="302"/>
        <v>2</v>
      </c>
      <c r="X1115" s="63"/>
      <c r="Y1115" s="63"/>
      <c r="Z1115" s="63"/>
      <c r="AA1115" s="63"/>
      <c r="AB1115" s="63"/>
      <c r="AT1115" t="str">
        <f t="shared" si="293"/>
        <v>Chatham</v>
      </c>
      <c r="AU1115" t="s">
        <v>1675</v>
      </c>
      <c r="AV1115">
        <v>1</v>
      </c>
      <c r="AW1115">
        <v>1</v>
      </c>
      <c r="AX1115" s="114">
        <v>33</v>
      </c>
      <c r="AY1115" s="116">
        <v>3</v>
      </c>
      <c r="AZ1115" s="116">
        <v>20</v>
      </c>
      <c r="BA1115" s="120">
        <v>11780</v>
      </c>
      <c r="BB1115" s="120">
        <f t="shared" si="294"/>
        <v>33003</v>
      </c>
      <c r="BC1115" t="s">
        <v>1472</v>
      </c>
      <c r="BD1115">
        <f t="shared" si="303"/>
        <v>3311780</v>
      </c>
      <c r="BI1115">
        <v>57.22</v>
      </c>
      <c r="BJ1115">
        <v>0.51</v>
      </c>
      <c r="BK1115">
        <v>56.71</v>
      </c>
      <c r="BP1115" s="1">
        <v>2</v>
      </c>
      <c r="BR1115">
        <v>0</v>
      </c>
    </row>
    <row r="1116" spans="1:70" hidden="1" outlineLevel="1">
      <c r="A1116" t="s">
        <v>357</v>
      </c>
      <c r="B1116" s="8" t="s">
        <v>1799</v>
      </c>
      <c r="C1116" s="1">
        <f t="shared" si="295"/>
        <v>2958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 t="shared" si="296"/>
        <v>0</v>
      </c>
      <c r="G1116" s="1">
        <f t="shared" si="297"/>
        <v>635</v>
      </c>
      <c r="H1116" s="2">
        <f t="shared" si="292"/>
        <v>0.21467207572684247</v>
      </c>
      <c r="I1116" s="6"/>
      <c r="J1116" s="2">
        <f t="shared" si="298"/>
        <v>0.36916835699797163</v>
      </c>
      <c r="K1116" s="2">
        <f t="shared" si="299"/>
        <v>0.58384043272481412</v>
      </c>
      <c r="L1116" s="2">
        <f t="shared" si="300"/>
        <v>0</v>
      </c>
      <c r="M1116" s="2">
        <f t="shared" si="301"/>
        <v>4.6991210277214313E-2</v>
      </c>
      <c r="N1116" s="63">
        <v>1092</v>
      </c>
      <c r="O1116" s="63">
        <v>1727</v>
      </c>
      <c r="P1116" s="63">
        <v>0</v>
      </c>
      <c r="Q1116" s="63">
        <v>125</v>
      </c>
      <c r="R1116" s="63">
        <v>13</v>
      </c>
      <c r="S1116" s="63"/>
      <c r="T1116" s="63">
        <v>1</v>
      </c>
      <c r="U1116" s="63"/>
      <c r="V1116" s="63"/>
      <c r="W1116" s="63">
        <f t="shared" si="302"/>
        <v>0</v>
      </c>
      <c r="X1116" s="63"/>
      <c r="Y1116" s="63"/>
      <c r="Z1116" s="63"/>
      <c r="AA1116" s="63"/>
      <c r="AB1116" s="63"/>
      <c r="AT1116" t="str">
        <f t="shared" ref="AT1116:AT1174" si="304">A1116</f>
        <v>Chester</v>
      </c>
      <c r="AU1116" t="s">
        <v>2971</v>
      </c>
      <c r="AV1116">
        <v>1</v>
      </c>
      <c r="AW1116">
        <v>1</v>
      </c>
      <c r="AX1116" s="114">
        <v>33</v>
      </c>
      <c r="AY1116" s="116">
        <v>15</v>
      </c>
      <c r="AZ1116" s="116">
        <v>25</v>
      </c>
      <c r="BA1116" s="120">
        <v>12100</v>
      </c>
      <c r="BB1116" s="120">
        <f t="shared" si="294"/>
        <v>33015</v>
      </c>
      <c r="BC1116" t="s">
        <v>1472</v>
      </c>
      <c r="BD1116">
        <f t="shared" si="303"/>
        <v>3312100</v>
      </c>
      <c r="BI1116">
        <v>26.02</v>
      </c>
      <c r="BJ1116">
        <v>0.11</v>
      </c>
      <c r="BK1116">
        <v>25.91</v>
      </c>
      <c r="BP1116" s="1">
        <v>0</v>
      </c>
      <c r="BR1116">
        <v>0</v>
      </c>
    </row>
    <row r="1117" spans="1:70" hidden="1" outlineLevel="1">
      <c r="A1117" t="s">
        <v>3091</v>
      </c>
      <c r="B1117" s="8" t="s">
        <v>1799</v>
      </c>
      <c r="C1117" s="1">
        <f t="shared" si="295"/>
        <v>2207</v>
      </c>
      <c r="D1117" s="5">
        <f>IF(N1117&gt;0, RANK(N1117,(N1117:P1117,Q1117:AE1117)),0)</f>
        <v>1</v>
      </c>
      <c r="E1117" s="5">
        <f>IF(O1117&gt;0,RANK(O1117,(N1117:P1117,Q1117:AE1117)),0)</f>
        <v>2</v>
      </c>
      <c r="F1117" s="5">
        <f t="shared" si="296"/>
        <v>6</v>
      </c>
      <c r="G1117" s="1">
        <f t="shared" si="297"/>
        <v>256</v>
      </c>
      <c r="H1117" s="2">
        <f t="shared" si="292"/>
        <v>0.11599456275487087</v>
      </c>
      <c r="I1117" s="6"/>
      <c r="J1117" s="2">
        <f t="shared" si="298"/>
        <v>0.52831898504757591</v>
      </c>
      <c r="K1117" s="2">
        <f t="shared" si="299"/>
        <v>0.41232442229270505</v>
      </c>
      <c r="L1117" s="2">
        <f t="shared" si="300"/>
        <v>2.2655188038060714E-3</v>
      </c>
      <c r="M1117" s="2">
        <f t="shared" si="301"/>
        <v>5.7091073855912972E-2</v>
      </c>
      <c r="N1117" s="63">
        <v>1166</v>
      </c>
      <c r="O1117" s="63">
        <v>910</v>
      </c>
      <c r="P1117" s="63">
        <v>5</v>
      </c>
      <c r="Q1117" s="63">
        <v>71</v>
      </c>
      <c r="R1117" s="63">
        <v>11</v>
      </c>
      <c r="S1117" s="63"/>
      <c r="T1117" s="63">
        <v>3</v>
      </c>
      <c r="U1117" s="63"/>
      <c r="V1117" s="63"/>
      <c r="W1117" s="63">
        <f t="shared" si="302"/>
        <v>41</v>
      </c>
      <c r="X1117" s="63"/>
      <c r="Y1117" s="63"/>
      <c r="Z1117" s="63"/>
      <c r="AA1117" s="63"/>
      <c r="AB1117" s="63"/>
      <c r="AT1117" t="str">
        <f t="shared" si="304"/>
        <v>Chesterfield</v>
      </c>
      <c r="AU1117" t="s">
        <v>1463</v>
      </c>
      <c r="AV1117">
        <v>2</v>
      </c>
      <c r="AW1117">
        <v>2</v>
      </c>
      <c r="AX1117" s="114">
        <v>33</v>
      </c>
      <c r="AY1117" s="116">
        <v>5</v>
      </c>
      <c r="AZ1117" s="116">
        <v>10</v>
      </c>
      <c r="BA1117" s="120">
        <v>12260</v>
      </c>
      <c r="BB1117" s="120">
        <f t="shared" si="294"/>
        <v>33005</v>
      </c>
      <c r="BC1117" t="s">
        <v>1472</v>
      </c>
      <c r="BD1117">
        <f t="shared" si="303"/>
        <v>3312260</v>
      </c>
      <c r="BI1117">
        <v>47.56</v>
      </c>
      <c r="BJ1117">
        <v>2</v>
      </c>
      <c r="BK1117">
        <v>45.56</v>
      </c>
      <c r="BP1117" s="1">
        <v>46</v>
      </c>
      <c r="BR1117">
        <v>23</v>
      </c>
    </row>
    <row r="1118" spans="1:70" hidden="1" outlineLevel="1">
      <c r="A1118" t="s">
        <v>1263</v>
      </c>
      <c r="B1118" s="8" t="s">
        <v>1799</v>
      </c>
      <c r="C1118" s="1">
        <f t="shared" si="295"/>
        <v>1593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 t="shared" si="296"/>
        <v>0</v>
      </c>
      <c r="G1118" s="1">
        <f t="shared" si="297"/>
        <v>205</v>
      </c>
      <c r="H1118" s="2">
        <f t="shared" si="292"/>
        <v>0.12868801004394226</v>
      </c>
      <c r="I1118" s="6"/>
      <c r="J1118" s="2">
        <f t="shared" si="298"/>
        <v>0.40552416823603266</v>
      </c>
      <c r="K1118" s="2">
        <f t="shared" si="299"/>
        <v>0.53421217827997491</v>
      </c>
      <c r="L1118" s="2">
        <f t="shared" si="300"/>
        <v>0</v>
      </c>
      <c r="M1118" s="2">
        <f t="shared" si="301"/>
        <v>6.026365348399243E-2</v>
      </c>
      <c r="N1118" s="63">
        <v>646</v>
      </c>
      <c r="O1118" s="63">
        <v>851</v>
      </c>
      <c r="P1118" s="63">
        <v>0</v>
      </c>
      <c r="Q1118" s="63">
        <v>75</v>
      </c>
      <c r="R1118" s="63">
        <v>7</v>
      </c>
      <c r="S1118" s="63"/>
      <c r="T1118" s="63">
        <v>0</v>
      </c>
      <c r="U1118" s="63"/>
      <c r="V1118" s="63"/>
      <c r="W1118" s="63">
        <f t="shared" si="302"/>
        <v>14</v>
      </c>
      <c r="X1118" s="63"/>
      <c r="Y1118" s="63"/>
      <c r="Z1118" s="63"/>
      <c r="AA1118" s="63"/>
      <c r="AB1118" s="63"/>
      <c r="AT1118" t="str">
        <f t="shared" si="304"/>
        <v>Chichester</v>
      </c>
      <c r="AU1118" t="s">
        <v>2494</v>
      </c>
      <c r="AV1118">
        <v>2</v>
      </c>
      <c r="AW1118">
        <v>2</v>
      </c>
      <c r="AX1118" s="114">
        <v>33</v>
      </c>
      <c r="AY1118" s="116">
        <v>13</v>
      </c>
      <c r="AZ1118" s="116">
        <v>35</v>
      </c>
      <c r="BA1118" s="120">
        <v>12420</v>
      </c>
      <c r="BB1118" s="120">
        <f t="shared" si="294"/>
        <v>33013</v>
      </c>
      <c r="BC1118" t="s">
        <v>1472</v>
      </c>
      <c r="BD1118">
        <f t="shared" si="303"/>
        <v>3312420</v>
      </c>
      <c r="BI1118">
        <v>21.18</v>
      </c>
      <c r="BJ1118">
        <v>0.11</v>
      </c>
      <c r="BK1118">
        <v>21.07</v>
      </c>
      <c r="BP1118" s="1">
        <v>14</v>
      </c>
      <c r="BR1118">
        <v>7</v>
      </c>
    </row>
    <row r="1119" spans="1:70" hidden="1" outlineLevel="1">
      <c r="A1119" t="s">
        <v>1424</v>
      </c>
      <c r="B1119" s="8" t="s">
        <v>1799</v>
      </c>
      <c r="C1119" s="1">
        <f t="shared" si="295"/>
        <v>5637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 t="shared" si="296"/>
        <v>6</v>
      </c>
      <c r="G1119" s="1">
        <f t="shared" si="297"/>
        <v>151</v>
      </c>
      <c r="H1119" s="2">
        <f t="shared" si="292"/>
        <v>2.6787298208266808E-2</v>
      </c>
      <c r="I1119" s="6"/>
      <c r="J1119" s="2">
        <f t="shared" si="298"/>
        <v>0.4486428951569984</v>
      </c>
      <c r="K1119" s="2">
        <f t="shared" si="299"/>
        <v>0.47543019336526521</v>
      </c>
      <c r="L1119" s="2">
        <f t="shared" si="300"/>
        <v>1.7739932588256165E-3</v>
      </c>
      <c r="M1119" s="2">
        <f t="shared" si="301"/>
        <v>7.4152918218910777E-2</v>
      </c>
      <c r="N1119" s="63">
        <v>2529</v>
      </c>
      <c r="O1119" s="63">
        <v>2680</v>
      </c>
      <c r="P1119" s="63">
        <v>10</v>
      </c>
      <c r="Q1119" s="63">
        <v>236</v>
      </c>
      <c r="R1119" s="63">
        <v>65</v>
      </c>
      <c r="S1119" s="63"/>
      <c r="T1119" s="63">
        <v>2</v>
      </c>
      <c r="U1119" s="63"/>
      <c r="V1119" s="63"/>
      <c r="W1119" s="63">
        <f t="shared" si="302"/>
        <v>115</v>
      </c>
      <c r="X1119" s="63"/>
      <c r="Y1119" s="63"/>
      <c r="Z1119" s="63"/>
      <c r="AA1119" s="63"/>
      <c r="AB1119" s="63"/>
      <c r="AT1119" t="str">
        <f t="shared" si="304"/>
        <v>Claremont</v>
      </c>
      <c r="AU1119" t="s">
        <v>1040</v>
      </c>
      <c r="AV1119">
        <v>2</v>
      </c>
      <c r="AW1119">
        <v>2</v>
      </c>
      <c r="AX1119" s="114">
        <v>33</v>
      </c>
      <c r="AY1119" s="116">
        <v>19</v>
      </c>
      <c r="AZ1119" s="116">
        <v>15</v>
      </c>
      <c r="BA1119" s="120">
        <v>12900</v>
      </c>
      <c r="BB1119" s="120">
        <f t="shared" si="294"/>
        <v>33019</v>
      </c>
      <c r="BC1119" t="s">
        <v>1249</v>
      </c>
      <c r="BD1119">
        <f t="shared" si="303"/>
        <v>3312900</v>
      </c>
      <c r="BI1119">
        <v>44.09</v>
      </c>
      <c r="BJ1119">
        <v>0.96</v>
      </c>
      <c r="BK1119">
        <v>43.12</v>
      </c>
      <c r="BP1119" s="1">
        <v>125</v>
      </c>
      <c r="BR1119">
        <v>87</v>
      </c>
    </row>
    <row r="1120" spans="1:70" hidden="1" outlineLevel="1">
      <c r="A1120" t="s">
        <v>2214</v>
      </c>
      <c r="B1120" s="8" t="s">
        <v>1799</v>
      </c>
      <c r="C1120" s="1">
        <f t="shared" si="295"/>
        <v>180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296"/>
        <v>0</v>
      </c>
      <c r="G1120" s="1">
        <f t="shared" si="297"/>
        <v>27</v>
      </c>
      <c r="H1120" s="2">
        <f t="shared" ref="H1120:H1183" si="305">IF(C1120&gt;0,G1120/C1120,0)</f>
        <v>0.15</v>
      </c>
      <c r="I1120" s="6"/>
      <c r="J1120" s="2">
        <f t="shared" si="298"/>
        <v>0.37777777777777777</v>
      </c>
      <c r="K1120" s="2">
        <f t="shared" si="299"/>
        <v>0.52777777777777779</v>
      </c>
      <c r="L1120" s="2">
        <f t="shared" si="300"/>
        <v>0</v>
      </c>
      <c r="M1120" s="2">
        <f t="shared" si="301"/>
        <v>9.4444444444444442E-2</v>
      </c>
      <c r="N1120" s="63">
        <v>68</v>
      </c>
      <c r="O1120" s="63">
        <v>95</v>
      </c>
      <c r="P1120" s="63">
        <v>0</v>
      </c>
      <c r="Q1120" s="63">
        <v>5</v>
      </c>
      <c r="R1120" s="63">
        <v>4</v>
      </c>
      <c r="S1120" s="63"/>
      <c r="T1120" s="63">
        <v>0</v>
      </c>
      <c r="U1120" s="63"/>
      <c r="V1120" s="63"/>
      <c r="W1120" s="63">
        <f t="shared" si="302"/>
        <v>8</v>
      </c>
      <c r="X1120" s="63"/>
      <c r="Y1120" s="63"/>
      <c r="Z1120" s="63"/>
      <c r="AA1120" s="63"/>
      <c r="AB1120" s="63"/>
      <c r="AT1120" t="str">
        <f t="shared" si="304"/>
        <v>Clarksville</v>
      </c>
      <c r="AU1120" t="s">
        <v>442</v>
      </c>
      <c r="AV1120">
        <v>2</v>
      </c>
      <c r="AW1120">
        <v>2</v>
      </c>
      <c r="AX1120" s="114">
        <v>33</v>
      </c>
      <c r="AY1120" s="116">
        <v>7</v>
      </c>
      <c r="AZ1120" s="116">
        <v>40</v>
      </c>
      <c r="BA1120" s="120">
        <v>13220</v>
      </c>
      <c r="BB1120" s="120">
        <f t="shared" si="294"/>
        <v>33007</v>
      </c>
      <c r="BC1120" t="s">
        <v>1472</v>
      </c>
      <c r="BD1120">
        <f t="shared" si="303"/>
        <v>3313220</v>
      </c>
      <c r="BI1120">
        <v>62.12</v>
      </c>
      <c r="BJ1120">
        <v>1.88</v>
      </c>
      <c r="BK1120">
        <v>60.24</v>
      </c>
      <c r="BP1120" s="1">
        <v>8</v>
      </c>
      <c r="BR1120">
        <v>8</v>
      </c>
    </row>
    <row r="1121" spans="1:70" hidden="1" outlineLevel="1">
      <c r="A1121" t="s">
        <v>396</v>
      </c>
      <c r="B1121" s="8" t="s">
        <v>1799</v>
      </c>
      <c r="C1121" s="1">
        <f t="shared" si="295"/>
        <v>1053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 t="shared" si="296"/>
        <v>6</v>
      </c>
      <c r="G1121" s="1">
        <f t="shared" si="297"/>
        <v>234</v>
      </c>
      <c r="H1121" s="2">
        <f t="shared" si="305"/>
        <v>0.22222222222222221</v>
      </c>
      <c r="I1121" s="6"/>
      <c r="J1121" s="2">
        <f t="shared" si="298"/>
        <v>0.34093067426400758</v>
      </c>
      <c r="K1121" s="2">
        <f t="shared" si="299"/>
        <v>0.56315289648622979</v>
      </c>
      <c r="L1121" s="2">
        <f t="shared" si="300"/>
        <v>3.7986704653371322E-3</v>
      </c>
      <c r="M1121" s="2">
        <f t="shared" si="301"/>
        <v>9.2117758784425491E-2</v>
      </c>
      <c r="N1121" s="63">
        <v>359</v>
      </c>
      <c r="O1121" s="63">
        <v>593</v>
      </c>
      <c r="P1121" s="63">
        <v>4</v>
      </c>
      <c r="Q1121" s="63">
        <v>51</v>
      </c>
      <c r="R1121" s="63">
        <v>13</v>
      </c>
      <c r="S1121" s="63"/>
      <c r="T1121" s="63">
        <v>3</v>
      </c>
      <c r="U1121" s="63"/>
      <c r="V1121" s="63"/>
      <c r="W1121" s="63">
        <f t="shared" si="302"/>
        <v>30</v>
      </c>
      <c r="X1121" s="63"/>
      <c r="Y1121" s="63"/>
      <c r="Z1121" s="63"/>
      <c r="AA1121" s="63"/>
      <c r="AB1121" s="63"/>
      <c r="AT1121" t="str">
        <f t="shared" si="304"/>
        <v>Colebrook</v>
      </c>
      <c r="AU1121" t="s">
        <v>442</v>
      </c>
      <c r="AV1121">
        <v>2</v>
      </c>
      <c r="AW1121">
        <v>2</v>
      </c>
      <c r="AX1121" s="114">
        <v>33</v>
      </c>
      <c r="AY1121" s="116">
        <v>7</v>
      </c>
      <c r="AZ1121" s="116">
        <v>45</v>
      </c>
      <c r="BA1121" s="120">
        <v>13780</v>
      </c>
      <c r="BB1121" s="120">
        <f t="shared" si="294"/>
        <v>33007</v>
      </c>
      <c r="BC1121" t="s">
        <v>1472</v>
      </c>
      <c r="BD1121">
        <f t="shared" si="303"/>
        <v>3313780</v>
      </c>
      <c r="BI1121">
        <v>41.01</v>
      </c>
      <c r="BJ1121">
        <v>0.03</v>
      </c>
      <c r="BK1121">
        <v>40.99</v>
      </c>
      <c r="BP1121" s="1">
        <v>34</v>
      </c>
      <c r="BR1121">
        <v>18</v>
      </c>
    </row>
    <row r="1122" spans="1:70" hidden="1" outlineLevel="1">
      <c r="A1122" t="s">
        <v>1496</v>
      </c>
      <c r="B1122" s="8" t="s">
        <v>1799</v>
      </c>
      <c r="C1122" s="1">
        <f t="shared" si="295"/>
        <v>348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296"/>
        <v>0</v>
      </c>
      <c r="G1122" s="1">
        <f t="shared" si="297"/>
        <v>110</v>
      </c>
      <c r="H1122" s="2">
        <f t="shared" si="305"/>
        <v>0.31609195402298851</v>
      </c>
      <c r="I1122" s="6"/>
      <c r="J1122" s="2">
        <f t="shared" si="298"/>
        <v>0.31321839080459768</v>
      </c>
      <c r="K1122" s="2">
        <f t="shared" si="299"/>
        <v>0.62931034482758619</v>
      </c>
      <c r="L1122" s="2">
        <f t="shared" si="300"/>
        <v>0</v>
      </c>
      <c r="M1122" s="2">
        <f t="shared" si="301"/>
        <v>5.7471264367816133E-2</v>
      </c>
      <c r="N1122" s="63">
        <v>109</v>
      </c>
      <c r="O1122" s="63">
        <v>219</v>
      </c>
      <c r="P1122" s="63">
        <v>0</v>
      </c>
      <c r="Q1122" s="63">
        <v>13</v>
      </c>
      <c r="R1122" s="63">
        <v>2</v>
      </c>
      <c r="S1122" s="63"/>
      <c r="T1122" s="63">
        <v>0</v>
      </c>
      <c r="U1122" s="63"/>
      <c r="V1122" s="63"/>
      <c r="W1122" s="63">
        <f t="shared" si="302"/>
        <v>5</v>
      </c>
      <c r="X1122" s="63"/>
      <c r="Y1122" s="63"/>
      <c r="Z1122" s="63"/>
      <c r="AA1122" s="63"/>
      <c r="AB1122" s="63"/>
      <c r="AT1122" t="str">
        <f t="shared" si="304"/>
        <v>Columbia</v>
      </c>
      <c r="AU1122" t="s">
        <v>442</v>
      </c>
      <c r="AV1122">
        <v>2</v>
      </c>
      <c r="AW1122">
        <v>2</v>
      </c>
      <c r="AX1122" s="114">
        <v>33</v>
      </c>
      <c r="AY1122" s="116">
        <v>7</v>
      </c>
      <c r="AZ1122" s="116">
        <v>50</v>
      </c>
      <c r="BA1122" s="120">
        <v>13940</v>
      </c>
      <c r="BB1122" s="120">
        <f t="shared" si="294"/>
        <v>33007</v>
      </c>
      <c r="BC1122" t="s">
        <v>1472</v>
      </c>
      <c r="BD1122">
        <f t="shared" si="303"/>
        <v>3313940</v>
      </c>
      <c r="BI1122">
        <v>60.89</v>
      </c>
      <c r="BJ1122">
        <v>0.06</v>
      </c>
      <c r="BK1122">
        <v>60.83</v>
      </c>
      <c r="BP1122" s="1">
        <v>5</v>
      </c>
      <c r="BR1122">
        <v>2</v>
      </c>
    </row>
    <row r="1123" spans="1:70" hidden="1" outlineLevel="1">
      <c r="A1123" t="s">
        <v>2695</v>
      </c>
      <c r="B1123" s="8" t="s">
        <v>1799</v>
      </c>
      <c r="C1123" s="1">
        <f t="shared" si="295"/>
        <v>22350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296"/>
        <v>6</v>
      </c>
      <c r="G1123" s="1">
        <f t="shared" si="297"/>
        <v>5172</v>
      </c>
      <c r="H1123" s="2">
        <f t="shared" si="305"/>
        <v>0.23140939597315435</v>
      </c>
      <c r="I1123" s="6"/>
      <c r="J1123" s="2">
        <f t="shared" si="298"/>
        <v>0.58093959731543621</v>
      </c>
      <c r="K1123" s="2">
        <f t="shared" si="299"/>
        <v>0.34953020134228185</v>
      </c>
      <c r="L1123" s="2">
        <f t="shared" si="300"/>
        <v>1.4765100671140939E-3</v>
      </c>
      <c r="M1123" s="2">
        <f t="shared" si="301"/>
        <v>6.8053691275167846E-2</v>
      </c>
      <c r="N1123" s="63">
        <v>12984</v>
      </c>
      <c r="O1123" s="63">
        <v>7812</v>
      </c>
      <c r="P1123" s="63">
        <v>33</v>
      </c>
      <c r="Q1123" s="63">
        <v>855</v>
      </c>
      <c r="R1123" s="63">
        <v>244</v>
      </c>
      <c r="S1123" s="63"/>
      <c r="T1123" s="63">
        <v>22</v>
      </c>
      <c r="U1123" s="63"/>
      <c r="V1123" s="63"/>
      <c r="W1123" s="63">
        <f t="shared" si="302"/>
        <v>400</v>
      </c>
      <c r="X1123" s="63"/>
      <c r="Y1123" s="63"/>
      <c r="Z1123" s="63"/>
      <c r="AA1123" s="63"/>
      <c r="AB1123" s="63"/>
      <c r="AT1123" t="str">
        <f t="shared" si="304"/>
        <v>Concord</v>
      </c>
      <c r="AU1123" t="s">
        <v>2494</v>
      </c>
      <c r="AV1123">
        <v>2</v>
      </c>
      <c r="AW1123">
        <v>2</v>
      </c>
      <c r="AX1123" s="114">
        <v>33</v>
      </c>
      <c r="AY1123" s="116">
        <v>13</v>
      </c>
      <c r="AZ1123" s="116">
        <v>40</v>
      </c>
      <c r="BA1123" s="120">
        <v>14200</v>
      </c>
      <c r="BB1123" s="120">
        <f t="shared" ref="BB1123:BB1186" si="306">AX1123*1000+AY1123</f>
        <v>33013</v>
      </c>
      <c r="BC1123" t="s">
        <v>1249</v>
      </c>
      <c r="BD1123">
        <f t="shared" si="303"/>
        <v>3314200</v>
      </c>
      <c r="BI1123">
        <v>67.52</v>
      </c>
      <c r="BJ1123">
        <v>3.23</v>
      </c>
      <c r="BK1123">
        <v>64.290000000000006</v>
      </c>
      <c r="BP1123" s="1">
        <v>433</v>
      </c>
      <c r="BR1123">
        <v>172</v>
      </c>
    </row>
    <row r="1124" spans="1:70" hidden="1" outlineLevel="1">
      <c r="A1124" t="s">
        <v>2457</v>
      </c>
      <c r="B1124" s="8" t="s">
        <v>1799</v>
      </c>
      <c r="C1124" s="1">
        <f t="shared" si="295"/>
        <v>5268</v>
      </c>
      <c r="D1124" s="5">
        <f>IF(N1124&gt;0, RANK(N1124,(N1124:P1124,Q1124:AE1124)),0)</f>
        <v>1</v>
      </c>
      <c r="E1124" s="5">
        <f>IF(O1124&gt;0,RANK(O1124,(N1124:P1124,Q1124:AE1124)),0)</f>
        <v>2</v>
      </c>
      <c r="F1124" s="5">
        <f t="shared" si="296"/>
        <v>6</v>
      </c>
      <c r="G1124" s="1">
        <f t="shared" si="297"/>
        <v>513</v>
      </c>
      <c r="H1124" s="2">
        <f t="shared" si="305"/>
        <v>9.7380410022779043E-2</v>
      </c>
      <c r="I1124" s="6"/>
      <c r="J1124" s="2">
        <f t="shared" si="298"/>
        <v>0.51575550493545941</v>
      </c>
      <c r="K1124" s="2">
        <f t="shared" si="299"/>
        <v>0.41837509491268032</v>
      </c>
      <c r="L1124" s="2">
        <f t="shared" si="300"/>
        <v>5.6947608200455578E-4</v>
      </c>
      <c r="M1124" s="2">
        <f t="shared" si="301"/>
        <v>6.5299924069855714E-2</v>
      </c>
      <c r="N1124" s="63">
        <v>2717</v>
      </c>
      <c r="O1124" s="63">
        <v>2204</v>
      </c>
      <c r="P1124" s="63">
        <v>3</v>
      </c>
      <c r="Q1124" s="63">
        <v>209</v>
      </c>
      <c r="R1124" s="63">
        <v>57</v>
      </c>
      <c r="S1124" s="63"/>
      <c r="T1124" s="63">
        <v>2</v>
      </c>
      <c r="U1124" s="63"/>
      <c r="V1124" s="63"/>
      <c r="W1124" s="63">
        <f t="shared" si="302"/>
        <v>76</v>
      </c>
      <c r="X1124" s="63"/>
      <c r="Y1124" s="63"/>
      <c r="Z1124" s="63"/>
      <c r="AA1124" s="63"/>
      <c r="AB1124" s="63"/>
      <c r="AT1124" t="str">
        <f t="shared" si="304"/>
        <v>Conway</v>
      </c>
      <c r="AU1124" t="s">
        <v>1675</v>
      </c>
      <c r="AV1124">
        <v>1</v>
      </c>
      <c r="AW1124">
        <v>1</v>
      </c>
      <c r="AX1124" s="114">
        <v>33</v>
      </c>
      <c r="AY1124" s="116">
        <v>3</v>
      </c>
      <c r="AZ1124" s="116">
        <v>25</v>
      </c>
      <c r="BA1124" s="120">
        <v>14660</v>
      </c>
      <c r="BB1124" s="120">
        <f t="shared" si="306"/>
        <v>33003</v>
      </c>
      <c r="BC1124" t="s">
        <v>1472</v>
      </c>
      <c r="BD1124">
        <f t="shared" si="303"/>
        <v>3314660</v>
      </c>
      <c r="BI1124">
        <v>71.709999999999994</v>
      </c>
      <c r="BJ1124">
        <v>2.0499999999999998</v>
      </c>
      <c r="BK1124">
        <v>69.66</v>
      </c>
      <c r="BP1124" s="1">
        <v>79</v>
      </c>
      <c r="BR1124">
        <v>42</v>
      </c>
    </row>
    <row r="1125" spans="1:70" hidden="1" outlineLevel="1">
      <c r="A1125" t="s">
        <v>1160</v>
      </c>
      <c r="B1125" s="8" t="s">
        <v>1799</v>
      </c>
      <c r="C1125" s="1">
        <f t="shared" si="295"/>
        <v>1070</v>
      </c>
      <c r="D1125" s="5">
        <f>IF(N1125&gt;0, RANK(N1125,(N1125:P1125,Q1125:AE1125)),0)</f>
        <v>1</v>
      </c>
      <c r="E1125" s="5">
        <f>IF(O1125&gt;0,RANK(O1125,(N1125:P1125,Q1125:AE1125)),0)</f>
        <v>2</v>
      </c>
      <c r="F1125" s="5">
        <f t="shared" si="296"/>
        <v>6</v>
      </c>
      <c r="G1125" s="1">
        <f t="shared" si="297"/>
        <v>170</v>
      </c>
      <c r="H1125" s="2">
        <f t="shared" si="305"/>
        <v>0.15887850467289719</v>
      </c>
      <c r="I1125" s="6"/>
      <c r="J1125" s="2">
        <f t="shared" si="298"/>
        <v>0.53271028037383172</v>
      </c>
      <c r="K1125" s="2">
        <f t="shared" si="299"/>
        <v>0.37383177570093457</v>
      </c>
      <c r="L1125" s="2">
        <f t="shared" si="300"/>
        <v>2.8037383177570091E-3</v>
      </c>
      <c r="M1125" s="2">
        <f t="shared" si="301"/>
        <v>9.0654205607476696E-2</v>
      </c>
      <c r="N1125" s="63">
        <v>570</v>
      </c>
      <c r="O1125" s="63">
        <v>400</v>
      </c>
      <c r="P1125" s="63">
        <v>3</v>
      </c>
      <c r="Q1125" s="63">
        <v>35</v>
      </c>
      <c r="R1125" s="63">
        <v>7</v>
      </c>
      <c r="S1125" s="63"/>
      <c r="T1125" s="63">
        <v>0</v>
      </c>
      <c r="U1125" s="63"/>
      <c r="V1125" s="63"/>
      <c r="W1125" s="63">
        <f t="shared" si="302"/>
        <v>55</v>
      </c>
      <c r="X1125" s="63"/>
      <c r="Y1125" s="63"/>
      <c r="Z1125" s="63"/>
      <c r="AA1125" s="63"/>
      <c r="AB1125" s="63"/>
      <c r="AT1125" t="str">
        <f t="shared" si="304"/>
        <v>Cornish</v>
      </c>
      <c r="AU1125" t="s">
        <v>1040</v>
      </c>
      <c r="AV1125">
        <v>2</v>
      </c>
      <c r="AW1125">
        <v>2</v>
      </c>
      <c r="AX1125" s="114">
        <v>33</v>
      </c>
      <c r="AY1125" s="116">
        <v>19</v>
      </c>
      <c r="AZ1125" s="116">
        <v>20</v>
      </c>
      <c r="BA1125" s="120">
        <v>15060</v>
      </c>
      <c r="BB1125" s="120">
        <f t="shared" si="306"/>
        <v>33019</v>
      </c>
      <c r="BC1125" t="s">
        <v>1472</v>
      </c>
      <c r="BD1125">
        <f t="shared" si="303"/>
        <v>3315060</v>
      </c>
      <c r="BI1125">
        <v>42.85</v>
      </c>
      <c r="BJ1125">
        <v>0.72</v>
      </c>
      <c r="BK1125">
        <v>42.12</v>
      </c>
      <c r="BP1125" s="1">
        <v>58</v>
      </c>
      <c r="BR1125">
        <v>17</v>
      </c>
    </row>
    <row r="1126" spans="1:70" hidden="1" outlineLevel="1">
      <c r="A1126" t="s">
        <v>2821</v>
      </c>
      <c r="B1126" s="8" t="s">
        <v>1799</v>
      </c>
      <c r="C1126" s="1">
        <f t="shared" si="295"/>
        <v>433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296"/>
        <v>0</v>
      </c>
      <c r="G1126" s="1">
        <f t="shared" si="297"/>
        <v>145</v>
      </c>
      <c r="H1126" s="2">
        <f t="shared" si="305"/>
        <v>0.3348729792147806</v>
      </c>
      <c r="I1126" s="6"/>
      <c r="J1126" s="2">
        <f t="shared" si="298"/>
        <v>0.29099307159353349</v>
      </c>
      <c r="K1126" s="2">
        <f t="shared" si="299"/>
        <v>0.62586605080831403</v>
      </c>
      <c r="L1126" s="2">
        <f t="shared" si="300"/>
        <v>0</v>
      </c>
      <c r="M1126" s="2">
        <f t="shared" si="301"/>
        <v>8.3140877598152474E-2</v>
      </c>
      <c r="N1126" s="63">
        <v>126</v>
      </c>
      <c r="O1126" s="63">
        <v>271</v>
      </c>
      <c r="P1126" s="63">
        <v>0</v>
      </c>
      <c r="Q1126" s="63">
        <v>19</v>
      </c>
      <c r="R1126" s="63">
        <v>4</v>
      </c>
      <c r="S1126" s="63"/>
      <c r="T1126" s="63">
        <v>0</v>
      </c>
      <c r="U1126" s="63"/>
      <c r="V1126" s="63"/>
      <c r="W1126" s="63">
        <f t="shared" si="302"/>
        <v>13</v>
      </c>
      <c r="X1126" s="63"/>
      <c r="Y1126" s="63"/>
      <c r="Z1126" s="63"/>
      <c r="AA1126" s="63"/>
      <c r="AB1126" s="63"/>
      <c r="AT1126" t="str">
        <f t="shared" si="304"/>
        <v>Croydon</v>
      </c>
      <c r="AU1126" t="s">
        <v>1040</v>
      </c>
      <c r="AV1126">
        <v>2</v>
      </c>
      <c r="AW1126">
        <v>2</v>
      </c>
      <c r="AX1126" s="114">
        <v>33</v>
      </c>
      <c r="AY1126" s="116">
        <v>19</v>
      </c>
      <c r="AZ1126" s="116">
        <v>25</v>
      </c>
      <c r="BA1126" s="120">
        <v>16340</v>
      </c>
      <c r="BB1126" s="120">
        <f t="shared" si="306"/>
        <v>33019</v>
      </c>
      <c r="BC1126" t="s">
        <v>1472</v>
      </c>
      <c r="BD1126">
        <f t="shared" si="303"/>
        <v>3316340</v>
      </c>
      <c r="BI1126">
        <v>37.86</v>
      </c>
      <c r="BJ1126">
        <v>0.77</v>
      </c>
      <c r="BK1126">
        <v>37.08</v>
      </c>
      <c r="BP1126" s="1">
        <v>13</v>
      </c>
      <c r="BR1126">
        <v>9</v>
      </c>
    </row>
    <row r="1127" spans="1:70" hidden="1" outlineLevel="1">
      <c r="A1127" t="s">
        <v>1809</v>
      </c>
      <c r="B1127" s="8" t="s">
        <v>1799</v>
      </c>
      <c r="C1127" s="1">
        <f t="shared" si="295"/>
        <v>510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 t="shared" si="296"/>
        <v>6</v>
      </c>
      <c r="G1127" s="1">
        <f t="shared" si="297"/>
        <v>88</v>
      </c>
      <c r="H1127" s="2">
        <f t="shared" si="305"/>
        <v>0.17254901960784313</v>
      </c>
      <c r="I1127" s="6"/>
      <c r="J1127" s="2">
        <f t="shared" si="298"/>
        <v>0.37647058823529411</v>
      </c>
      <c r="K1127" s="2">
        <f t="shared" si="299"/>
        <v>0.5490196078431373</v>
      </c>
      <c r="L1127" s="2">
        <f t="shared" si="300"/>
        <v>1.9607843137254902E-3</v>
      </c>
      <c r="M1127" s="2">
        <f t="shared" si="301"/>
        <v>7.2549019607843102E-2</v>
      </c>
      <c r="N1127" s="63">
        <v>192</v>
      </c>
      <c r="O1127" s="63">
        <v>280</v>
      </c>
      <c r="P1127" s="63">
        <v>1</v>
      </c>
      <c r="Q1127" s="63">
        <v>18</v>
      </c>
      <c r="R1127" s="63">
        <v>5</v>
      </c>
      <c r="S1127" s="63"/>
      <c r="T1127" s="63">
        <v>0</v>
      </c>
      <c r="U1127" s="63"/>
      <c r="V1127" s="63"/>
      <c r="W1127" s="63">
        <f t="shared" si="302"/>
        <v>14</v>
      </c>
      <c r="X1127" s="63"/>
      <c r="Y1127" s="63"/>
      <c r="Z1127" s="63"/>
      <c r="AA1127" s="63"/>
      <c r="AB1127" s="63"/>
      <c r="AT1127" t="str">
        <f t="shared" si="304"/>
        <v>Dalton</v>
      </c>
      <c r="AU1127" t="s">
        <v>442</v>
      </c>
      <c r="AV1127">
        <v>2</v>
      </c>
      <c r="AW1127">
        <v>2</v>
      </c>
      <c r="AX1127" s="114">
        <v>33</v>
      </c>
      <c r="AY1127" s="116">
        <v>7</v>
      </c>
      <c r="AZ1127" s="116">
        <v>65</v>
      </c>
      <c r="BA1127" s="120">
        <v>16820</v>
      </c>
      <c r="BB1127" s="120">
        <f t="shared" si="306"/>
        <v>33007</v>
      </c>
      <c r="BC1127" t="s">
        <v>1472</v>
      </c>
      <c r="BD1127">
        <f t="shared" si="303"/>
        <v>3316820</v>
      </c>
      <c r="BI1127">
        <v>28.26</v>
      </c>
      <c r="BJ1127">
        <v>0.77</v>
      </c>
      <c r="BK1127">
        <v>27.49</v>
      </c>
      <c r="BP1127" s="1">
        <v>15</v>
      </c>
      <c r="BR1127">
        <v>10</v>
      </c>
    </row>
    <row r="1128" spans="1:70" hidden="1" outlineLevel="1">
      <c r="A1128" t="s">
        <v>1618</v>
      </c>
      <c r="B1128" s="8" t="s">
        <v>1799</v>
      </c>
      <c r="C1128" s="1">
        <f t="shared" si="295"/>
        <v>700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 t="shared" si="296"/>
        <v>6</v>
      </c>
      <c r="G1128" s="1">
        <f t="shared" si="297"/>
        <v>139</v>
      </c>
      <c r="H1128" s="2">
        <f t="shared" si="305"/>
        <v>0.19857142857142857</v>
      </c>
      <c r="I1128" s="6"/>
      <c r="J1128" s="2">
        <f t="shared" si="298"/>
        <v>0.35285714285714287</v>
      </c>
      <c r="K1128" s="2">
        <f t="shared" si="299"/>
        <v>0.55142857142857138</v>
      </c>
      <c r="L1128" s="2">
        <f t="shared" si="300"/>
        <v>2.8571428571428571E-3</v>
      </c>
      <c r="M1128" s="2">
        <f t="shared" si="301"/>
        <v>9.2857142857142888E-2</v>
      </c>
      <c r="N1128" s="63">
        <v>247</v>
      </c>
      <c r="O1128" s="63">
        <v>386</v>
      </c>
      <c r="P1128" s="63">
        <v>2</v>
      </c>
      <c r="Q1128" s="63">
        <v>30</v>
      </c>
      <c r="R1128" s="63">
        <v>16</v>
      </c>
      <c r="S1128" s="63"/>
      <c r="T1128" s="63">
        <v>0</v>
      </c>
      <c r="U1128" s="63"/>
      <c r="V1128" s="63"/>
      <c r="W1128" s="63">
        <f t="shared" si="302"/>
        <v>19</v>
      </c>
      <c r="X1128" s="63"/>
      <c r="Y1128" s="63"/>
      <c r="Z1128" s="63"/>
      <c r="AA1128" s="63"/>
      <c r="AB1128" s="63"/>
      <c r="AT1128" t="str">
        <f t="shared" si="304"/>
        <v>Danbury</v>
      </c>
      <c r="AU1128" t="s">
        <v>2494</v>
      </c>
      <c r="AV1128">
        <v>2</v>
      </c>
      <c r="AW1128">
        <v>2</v>
      </c>
      <c r="AX1128" s="114">
        <v>33</v>
      </c>
      <c r="AY1128" s="116">
        <v>13</v>
      </c>
      <c r="AZ1128" s="116">
        <v>45</v>
      </c>
      <c r="BA1128" s="120">
        <v>16980</v>
      </c>
      <c r="BB1128" s="120">
        <f t="shared" si="306"/>
        <v>33013</v>
      </c>
      <c r="BC1128" t="s">
        <v>1472</v>
      </c>
      <c r="BD1128">
        <f t="shared" si="303"/>
        <v>3316980</v>
      </c>
      <c r="BI1128">
        <v>37.729999999999997</v>
      </c>
      <c r="BJ1128">
        <v>0.28000000000000003</v>
      </c>
      <c r="BK1128">
        <v>37.450000000000003</v>
      </c>
      <c r="BP1128" s="1">
        <v>21</v>
      </c>
      <c r="BR1128">
        <v>11</v>
      </c>
    </row>
    <row r="1129" spans="1:70" hidden="1" outlineLevel="1">
      <c r="A1129" t="s">
        <v>861</v>
      </c>
      <c r="B1129" s="8" t="s">
        <v>1799</v>
      </c>
      <c r="C1129" s="1">
        <f t="shared" si="295"/>
        <v>2594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 t="shared" si="296"/>
        <v>6</v>
      </c>
      <c r="G1129" s="1">
        <f t="shared" si="297"/>
        <v>720</v>
      </c>
      <c r="H1129" s="2">
        <f t="shared" si="305"/>
        <v>0.27756360832690824</v>
      </c>
      <c r="I1129" s="6"/>
      <c r="J1129" s="2">
        <f t="shared" si="298"/>
        <v>0.33153430994602928</v>
      </c>
      <c r="K1129" s="2">
        <f t="shared" si="299"/>
        <v>0.60909791827293758</v>
      </c>
      <c r="L1129" s="2">
        <f t="shared" si="300"/>
        <v>1.5420200462606013E-3</v>
      </c>
      <c r="M1129" s="2">
        <f t="shared" si="301"/>
        <v>5.7825751734772536E-2</v>
      </c>
      <c r="N1129" s="63">
        <v>860</v>
      </c>
      <c r="O1129" s="63">
        <v>1580</v>
      </c>
      <c r="P1129" s="63">
        <v>4</v>
      </c>
      <c r="Q1129" s="63">
        <v>102</v>
      </c>
      <c r="R1129" s="63">
        <v>20</v>
      </c>
      <c r="S1129" s="63"/>
      <c r="T1129" s="63">
        <v>3</v>
      </c>
      <c r="U1129" s="63"/>
      <c r="V1129" s="63"/>
      <c r="W1129" s="63">
        <f t="shared" si="302"/>
        <v>25</v>
      </c>
      <c r="X1129" s="63"/>
      <c r="Y1129" s="63"/>
      <c r="Z1129" s="63"/>
      <c r="AA1129" s="63"/>
      <c r="AB1129" s="63"/>
      <c r="AT1129" t="str">
        <f t="shared" si="304"/>
        <v>Danville</v>
      </c>
      <c r="AU1129" t="s">
        <v>2971</v>
      </c>
      <c r="AV1129">
        <v>1</v>
      </c>
      <c r="AW1129">
        <v>1</v>
      </c>
      <c r="AX1129" s="114">
        <v>33</v>
      </c>
      <c r="AY1129" s="116">
        <v>15</v>
      </c>
      <c r="AZ1129" s="116">
        <v>30</v>
      </c>
      <c r="BA1129" s="120">
        <v>17140</v>
      </c>
      <c r="BB1129" s="120">
        <f t="shared" si="306"/>
        <v>33015</v>
      </c>
      <c r="BC1129" t="s">
        <v>1472</v>
      </c>
      <c r="BD1129">
        <f t="shared" si="303"/>
        <v>3317140</v>
      </c>
      <c r="BI1129">
        <v>11.91</v>
      </c>
      <c r="BJ1129">
        <v>0.2</v>
      </c>
      <c r="BK1129">
        <v>11.71</v>
      </c>
      <c r="BP1129" s="1">
        <v>29</v>
      </c>
      <c r="BR1129">
        <v>10</v>
      </c>
    </row>
    <row r="1130" spans="1:70" hidden="1" outlineLevel="1">
      <c r="A1130" t="s">
        <v>1115</v>
      </c>
      <c r="B1130" s="8" t="s">
        <v>1799</v>
      </c>
      <c r="C1130" s="1">
        <f t="shared" si="295"/>
        <v>2877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296"/>
        <v>0</v>
      </c>
      <c r="G1130" s="1">
        <f t="shared" si="297"/>
        <v>516</v>
      </c>
      <c r="H1130" s="2">
        <f t="shared" si="305"/>
        <v>0.17935349322210636</v>
      </c>
      <c r="I1130" s="6"/>
      <c r="J1130" s="2">
        <f t="shared" si="298"/>
        <v>0.37921445950643029</v>
      </c>
      <c r="K1130" s="2">
        <f t="shared" si="299"/>
        <v>0.55856795272853665</v>
      </c>
      <c r="L1130" s="2">
        <f t="shared" si="300"/>
        <v>0</v>
      </c>
      <c r="M1130" s="2">
        <f t="shared" si="301"/>
        <v>6.2217587765033056E-2</v>
      </c>
      <c r="N1130" s="63">
        <v>1091</v>
      </c>
      <c r="O1130" s="63">
        <v>1607</v>
      </c>
      <c r="P1130" s="63">
        <v>0</v>
      </c>
      <c r="Q1130" s="63">
        <v>138</v>
      </c>
      <c r="R1130" s="63">
        <v>14</v>
      </c>
      <c r="S1130" s="63"/>
      <c r="T1130" s="63">
        <v>3</v>
      </c>
      <c r="U1130" s="63"/>
      <c r="V1130" s="63"/>
      <c r="W1130" s="63">
        <f t="shared" si="302"/>
        <v>24</v>
      </c>
      <c r="X1130" s="63"/>
      <c r="Y1130" s="63"/>
      <c r="Z1130" s="63"/>
      <c r="AA1130" s="63"/>
      <c r="AB1130" s="63"/>
      <c r="AT1130" t="str">
        <f t="shared" si="304"/>
        <v>Deerfield</v>
      </c>
      <c r="AU1130" t="s">
        <v>2971</v>
      </c>
      <c r="AV1130">
        <v>2</v>
      </c>
      <c r="AW1130">
        <v>2</v>
      </c>
      <c r="AX1130" s="114">
        <v>33</v>
      </c>
      <c r="AY1130" s="116">
        <v>15</v>
      </c>
      <c r="AZ1130" s="116">
        <v>35</v>
      </c>
      <c r="BA1130" s="120">
        <v>17460</v>
      </c>
      <c r="BB1130" s="120">
        <f t="shared" si="306"/>
        <v>33015</v>
      </c>
      <c r="BC1130" t="s">
        <v>1472</v>
      </c>
      <c r="BD1130">
        <f t="shared" si="303"/>
        <v>3317460</v>
      </c>
      <c r="BI1130">
        <v>52.26</v>
      </c>
      <c r="BJ1130">
        <v>1.35</v>
      </c>
      <c r="BK1130">
        <v>50.91</v>
      </c>
      <c r="BP1130" s="1">
        <v>24</v>
      </c>
      <c r="BR1130">
        <v>12</v>
      </c>
    </row>
    <row r="1131" spans="1:70" hidden="1" outlineLevel="1">
      <c r="A1131" t="s">
        <v>2548</v>
      </c>
      <c r="B1131" s="8" t="s">
        <v>1799</v>
      </c>
      <c r="C1131" s="1">
        <f t="shared" si="295"/>
        <v>1061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 t="shared" si="296"/>
        <v>6</v>
      </c>
      <c r="G1131" s="1">
        <f t="shared" si="297"/>
        <v>203</v>
      </c>
      <c r="H1131" s="2">
        <f t="shared" si="305"/>
        <v>0.19132893496701225</v>
      </c>
      <c r="I1131" s="6"/>
      <c r="J1131" s="2">
        <f t="shared" si="298"/>
        <v>0.36098020735155512</v>
      </c>
      <c r="K1131" s="2">
        <f t="shared" si="299"/>
        <v>0.55230914231856743</v>
      </c>
      <c r="L1131" s="2">
        <f t="shared" si="300"/>
        <v>9.42507068803016E-4</v>
      </c>
      <c r="M1131" s="2">
        <f t="shared" si="301"/>
        <v>8.5768143261074445E-2</v>
      </c>
      <c r="N1131" s="63">
        <v>383</v>
      </c>
      <c r="O1131" s="63">
        <v>586</v>
      </c>
      <c r="P1131" s="63">
        <v>1</v>
      </c>
      <c r="Q1131" s="63">
        <v>55</v>
      </c>
      <c r="R1131" s="63">
        <v>10</v>
      </c>
      <c r="S1131" s="63"/>
      <c r="T1131" s="63">
        <v>1</v>
      </c>
      <c r="U1131" s="63"/>
      <c r="V1131" s="63"/>
      <c r="W1131" s="63">
        <f t="shared" si="302"/>
        <v>25</v>
      </c>
      <c r="X1131" s="63"/>
      <c r="Y1131" s="63"/>
      <c r="Z1131" s="63"/>
      <c r="AA1131" s="63"/>
      <c r="AB1131" s="63"/>
      <c r="AT1131" t="str">
        <f t="shared" si="304"/>
        <v>Deering</v>
      </c>
      <c r="AU1131" t="s">
        <v>1161</v>
      </c>
      <c r="AV1131">
        <v>2</v>
      </c>
      <c r="AW1131">
        <v>2</v>
      </c>
      <c r="AX1131" s="114">
        <v>33</v>
      </c>
      <c r="AY1131" s="116">
        <v>11</v>
      </c>
      <c r="AZ1131" s="116">
        <v>30</v>
      </c>
      <c r="BA1131" s="120">
        <v>17780</v>
      </c>
      <c r="BB1131" s="120">
        <f t="shared" si="306"/>
        <v>33011</v>
      </c>
      <c r="BC1131" t="s">
        <v>1472</v>
      </c>
      <c r="BD1131">
        <f t="shared" si="303"/>
        <v>3317780</v>
      </c>
      <c r="BI1131">
        <v>31.44</v>
      </c>
      <c r="BJ1131">
        <v>0.64</v>
      </c>
      <c r="BK1131">
        <v>30.8</v>
      </c>
      <c r="BP1131" s="1">
        <v>26</v>
      </c>
      <c r="BR1131">
        <v>6</v>
      </c>
    </row>
    <row r="1132" spans="1:70" hidden="1" outlineLevel="1">
      <c r="A1132" t="s">
        <v>2546</v>
      </c>
      <c r="B1132" s="8" t="s">
        <v>1799</v>
      </c>
      <c r="C1132" s="1">
        <f t="shared" si="295"/>
        <v>16913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296"/>
        <v>0</v>
      </c>
      <c r="G1132" s="1">
        <f t="shared" si="297"/>
        <v>2412</v>
      </c>
      <c r="H1132" s="2">
        <f t="shared" si="305"/>
        <v>0.14261219180512033</v>
      </c>
      <c r="I1132" s="6"/>
      <c r="J1132" s="2">
        <f t="shared" si="298"/>
        <v>0.40353574173712531</v>
      </c>
      <c r="K1132" s="2">
        <f t="shared" si="299"/>
        <v>0.54614793354224556</v>
      </c>
      <c r="L1132" s="2">
        <f t="shared" si="300"/>
        <v>0</v>
      </c>
      <c r="M1132" s="2">
        <f t="shared" si="301"/>
        <v>5.0316324720629191E-2</v>
      </c>
      <c r="N1132" s="63">
        <v>6825</v>
      </c>
      <c r="O1132" s="63">
        <v>9237</v>
      </c>
      <c r="P1132" s="63">
        <v>0</v>
      </c>
      <c r="Q1132" s="63">
        <v>715</v>
      </c>
      <c r="R1132" s="63">
        <v>123</v>
      </c>
      <c r="S1132" s="63"/>
      <c r="T1132" s="63">
        <v>13</v>
      </c>
      <c r="U1132" s="63"/>
      <c r="V1132" s="63"/>
      <c r="W1132" s="63">
        <f t="shared" si="302"/>
        <v>0</v>
      </c>
      <c r="X1132" s="63"/>
      <c r="Y1132" s="63"/>
      <c r="Z1132" s="63"/>
      <c r="AA1132" s="63"/>
      <c r="AB1132" s="63"/>
      <c r="AT1132" t="str">
        <f t="shared" si="304"/>
        <v>Derry</v>
      </c>
      <c r="AU1132" t="s">
        <v>2971</v>
      </c>
      <c r="AV1132">
        <v>1</v>
      </c>
      <c r="AW1132">
        <v>1</v>
      </c>
      <c r="AX1132" s="114">
        <v>33</v>
      </c>
      <c r="AY1132" s="116">
        <v>15</v>
      </c>
      <c r="AZ1132" s="116">
        <v>40</v>
      </c>
      <c r="BA1132" s="120">
        <v>17940</v>
      </c>
      <c r="BB1132" s="120">
        <f t="shared" si="306"/>
        <v>33015</v>
      </c>
      <c r="BC1132" t="s">
        <v>1472</v>
      </c>
      <c r="BD1132">
        <f t="shared" si="303"/>
        <v>3317940</v>
      </c>
      <c r="BI1132">
        <v>36.659999999999997</v>
      </c>
      <c r="BJ1132">
        <v>0.88</v>
      </c>
      <c r="BK1132">
        <v>35.79</v>
      </c>
      <c r="BP1132" s="1">
        <v>0</v>
      </c>
      <c r="BR1132">
        <v>0</v>
      </c>
    </row>
    <row r="1133" spans="1:70" hidden="1" outlineLevel="1">
      <c r="A1133" t="s">
        <v>1693</v>
      </c>
      <c r="B1133" s="8" t="s">
        <v>1799</v>
      </c>
      <c r="C1133" s="1">
        <f t="shared" si="295"/>
        <v>8</v>
      </c>
      <c r="D1133" s="5">
        <f>IF(N1133&gt;0, RANK(N1133,(N1133:P1133,Q1133:AE1133)),0)</f>
        <v>1</v>
      </c>
      <c r="E1133" s="5">
        <f>IF(O1133&gt;0,RANK(O1133,(N1133:P1133,Q1133:AE1133)),0)</f>
        <v>2</v>
      </c>
      <c r="F1133" s="5">
        <f t="shared" si="296"/>
        <v>0</v>
      </c>
      <c r="G1133" s="1">
        <f t="shared" si="297"/>
        <v>2</v>
      </c>
      <c r="H1133" s="2">
        <f t="shared" si="305"/>
        <v>0.25</v>
      </c>
      <c r="I1133" s="6"/>
      <c r="J1133" s="2">
        <f t="shared" si="298"/>
        <v>0.5</v>
      </c>
      <c r="K1133" s="2">
        <f t="shared" si="299"/>
        <v>0.25</v>
      </c>
      <c r="L1133" s="2">
        <f t="shared" si="300"/>
        <v>0</v>
      </c>
      <c r="M1133" s="2">
        <f t="shared" si="301"/>
        <v>0.25</v>
      </c>
      <c r="N1133" s="63">
        <v>4</v>
      </c>
      <c r="O1133" s="63">
        <v>2</v>
      </c>
      <c r="P1133" s="63">
        <v>0</v>
      </c>
      <c r="Q1133" s="63">
        <v>1</v>
      </c>
      <c r="R1133" s="63">
        <v>0</v>
      </c>
      <c r="S1133" s="63"/>
      <c r="T1133" s="63">
        <v>0</v>
      </c>
      <c r="U1133" s="63"/>
      <c r="V1133" s="63"/>
      <c r="W1133" s="63">
        <f t="shared" si="302"/>
        <v>1</v>
      </c>
      <c r="X1133" s="63"/>
      <c r="Y1133" s="63"/>
      <c r="Z1133" s="63"/>
      <c r="AA1133" s="63"/>
      <c r="AB1133" s="63"/>
      <c r="AT1133" t="str">
        <f t="shared" si="304"/>
        <v>Dixville</v>
      </c>
      <c r="AU1133" t="s">
        <v>442</v>
      </c>
      <c r="AV1133">
        <v>2</v>
      </c>
      <c r="AW1133">
        <v>2</v>
      </c>
      <c r="AX1133" s="114">
        <v>33</v>
      </c>
      <c r="AY1133" s="116">
        <v>7</v>
      </c>
      <c r="AZ1133" s="116">
        <v>75</v>
      </c>
      <c r="BA1133" s="120">
        <v>18420</v>
      </c>
      <c r="BB1133" s="120">
        <f t="shared" si="306"/>
        <v>33007</v>
      </c>
      <c r="BC1133" t="s">
        <v>1297</v>
      </c>
      <c r="BD1133">
        <f t="shared" si="303"/>
        <v>3318420</v>
      </c>
      <c r="BI1133">
        <v>48.99</v>
      </c>
      <c r="BJ1133">
        <v>0.14000000000000001</v>
      </c>
      <c r="BK1133">
        <v>48.86</v>
      </c>
      <c r="BP1133" s="1">
        <v>1</v>
      </c>
      <c r="BR1133">
        <v>0</v>
      </c>
    </row>
    <row r="1134" spans="1:70" hidden="1" outlineLevel="1">
      <c r="A1134" t="s">
        <v>793</v>
      </c>
      <c r="B1134" s="8" t="s">
        <v>1799</v>
      </c>
      <c r="C1134" s="1">
        <f t="shared" si="295"/>
        <v>218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296"/>
        <v>5</v>
      </c>
      <c r="G1134" s="1">
        <f t="shared" si="297"/>
        <v>85</v>
      </c>
      <c r="H1134" s="2">
        <f t="shared" si="305"/>
        <v>0.38990825688073394</v>
      </c>
      <c r="I1134" s="6"/>
      <c r="J1134" s="2">
        <f t="shared" si="298"/>
        <v>0.23394495412844038</v>
      </c>
      <c r="K1134" s="2">
        <f t="shared" si="299"/>
        <v>0.62385321100917435</v>
      </c>
      <c r="L1134" s="2">
        <f t="shared" si="300"/>
        <v>9.1743119266055051E-3</v>
      </c>
      <c r="M1134" s="2">
        <f t="shared" si="301"/>
        <v>0.13302752293577974</v>
      </c>
      <c r="N1134" s="63">
        <v>51</v>
      </c>
      <c r="O1134" s="63">
        <v>136</v>
      </c>
      <c r="P1134" s="63">
        <v>2</v>
      </c>
      <c r="Q1134" s="63">
        <v>15</v>
      </c>
      <c r="R1134" s="63">
        <v>12</v>
      </c>
      <c r="S1134" s="63"/>
      <c r="T1134" s="63">
        <v>0</v>
      </c>
      <c r="U1134" s="63"/>
      <c r="V1134" s="63"/>
      <c r="W1134" s="63">
        <f t="shared" si="302"/>
        <v>2</v>
      </c>
      <c r="X1134" s="63"/>
      <c r="Y1134" s="63"/>
      <c r="Z1134" s="63"/>
      <c r="AA1134" s="63"/>
      <c r="AB1134" s="63"/>
      <c r="AT1134" t="str">
        <f t="shared" si="304"/>
        <v>Dorchester</v>
      </c>
      <c r="AU1134" t="s">
        <v>2260</v>
      </c>
      <c r="AV1134">
        <v>2</v>
      </c>
      <c r="AW1134">
        <v>2</v>
      </c>
      <c r="AX1134" s="114">
        <v>33</v>
      </c>
      <c r="AY1134" s="116">
        <v>9</v>
      </c>
      <c r="AZ1134" s="116">
        <v>50</v>
      </c>
      <c r="BA1134" s="120">
        <v>18740</v>
      </c>
      <c r="BB1134" s="120">
        <f t="shared" si="306"/>
        <v>33009</v>
      </c>
      <c r="BC1134" t="s">
        <v>1472</v>
      </c>
      <c r="BD1134">
        <f t="shared" si="303"/>
        <v>3318740</v>
      </c>
      <c r="BI1134">
        <v>45.24</v>
      </c>
      <c r="BJ1134">
        <v>0.55000000000000004</v>
      </c>
      <c r="BK1134">
        <v>44.69</v>
      </c>
      <c r="BP1134" s="1">
        <v>4</v>
      </c>
      <c r="BR1134">
        <v>2</v>
      </c>
    </row>
    <row r="1135" spans="1:70" hidden="1" outlineLevel="1">
      <c r="A1135" t="s">
        <v>3085</v>
      </c>
      <c r="B1135" s="8" t="s">
        <v>1799</v>
      </c>
      <c r="C1135" s="1">
        <f t="shared" si="295"/>
        <v>17395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296"/>
        <v>6</v>
      </c>
      <c r="G1135" s="1">
        <f t="shared" si="297"/>
        <v>4103</v>
      </c>
      <c r="H1135" s="2">
        <f t="shared" si="305"/>
        <v>0.23587237711986203</v>
      </c>
      <c r="I1135" s="6"/>
      <c r="J1135" s="2">
        <f t="shared" si="298"/>
        <v>0.58166139695314745</v>
      </c>
      <c r="K1135" s="2">
        <f t="shared" si="299"/>
        <v>0.34578901983328542</v>
      </c>
      <c r="L1135" s="2">
        <f t="shared" si="300"/>
        <v>2.0695602184535788E-3</v>
      </c>
      <c r="M1135" s="2">
        <f t="shared" si="301"/>
        <v>7.0480022995113564E-2</v>
      </c>
      <c r="N1135" s="63">
        <v>10118</v>
      </c>
      <c r="O1135" s="63">
        <v>6015</v>
      </c>
      <c r="P1135" s="63">
        <v>36</v>
      </c>
      <c r="Q1135" s="63">
        <v>814</v>
      </c>
      <c r="R1135" s="63">
        <v>183</v>
      </c>
      <c r="S1135" s="63"/>
      <c r="T1135" s="63">
        <v>21</v>
      </c>
      <c r="U1135" s="63"/>
      <c r="V1135" s="63"/>
      <c r="W1135" s="63">
        <f t="shared" si="302"/>
        <v>208</v>
      </c>
      <c r="X1135" s="63"/>
      <c r="Y1135" s="63"/>
      <c r="Z1135" s="63"/>
      <c r="AA1135" s="63"/>
      <c r="AB1135" s="63"/>
      <c r="AT1135" t="str">
        <f t="shared" si="304"/>
        <v>Dover</v>
      </c>
      <c r="AU1135" t="s">
        <v>2035</v>
      </c>
      <c r="AV1135">
        <v>1</v>
      </c>
      <c r="AW1135">
        <v>1</v>
      </c>
      <c r="AX1135" s="114">
        <v>33</v>
      </c>
      <c r="AY1135" s="116">
        <v>17</v>
      </c>
      <c r="AZ1135" s="116">
        <v>10</v>
      </c>
      <c r="BA1135" s="120">
        <v>18820</v>
      </c>
      <c r="BB1135" s="120">
        <f t="shared" si="306"/>
        <v>33017</v>
      </c>
      <c r="BC1135" t="s">
        <v>1249</v>
      </c>
      <c r="BD1135">
        <f t="shared" si="303"/>
        <v>3318820</v>
      </c>
      <c r="BI1135">
        <v>29.05</v>
      </c>
      <c r="BJ1135">
        <v>2.34</v>
      </c>
      <c r="BK1135">
        <v>26.72</v>
      </c>
      <c r="BP1135" s="1">
        <v>244</v>
      </c>
      <c r="BR1135">
        <v>97</v>
      </c>
    </row>
    <row r="1136" spans="1:70" hidden="1" outlineLevel="1">
      <c r="A1136" t="s">
        <v>1694</v>
      </c>
      <c r="B1136" s="8" t="s">
        <v>1799</v>
      </c>
      <c r="C1136" s="1">
        <f t="shared" si="295"/>
        <v>1041</v>
      </c>
      <c r="D1136" s="5">
        <f>IF(N1136&gt;0, RANK(N1136,(N1136:P1136,Q1136:AE1136)),0)</f>
        <v>1</v>
      </c>
      <c r="E1136" s="5">
        <f>IF(O1136&gt;0,RANK(O1136,(N1136:P1136,Q1136:AE1136)),0)</f>
        <v>2</v>
      </c>
      <c r="F1136" s="5">
        <f t="shared" si="296"/>
        <v>7</v>
      </c>
      <c r="G1136" s="1">
        <f t="shared" si="297"/>
        <v>228</v>
      </c>
      <c r="H1136" s="2">
        <f t="shared" si="305"/>
        <v>0.21902017291066284</v>
      </c>
      <c r="I1136" s="6"/>
      <c r="J1136" s="2">
        <f t="shared" si="298"/>
        <v>0.57444764649375601</v>
      </c>
      <c r="K1136" s="2">
        <f t="shared" si="299"/>
        <v>0.35542747358309318</v>
      </c>
      <c r="L1136" s="2">
        <f t="shared" si="300"/>
        <v>9.6061479346781938E-4</v>
      </c>
      <c r="M1136" s="2">
        <f t="shared" si="301"/>
        <v>6.9164265129682989E-2</v>
      </c>
      <c r="N1136" s="63">
        <v>598</v>
      </c>
      <c r="O1136" s="63">
        <v>370</v>
      </c>
      <c r="P1136" s="63">
        <v>1</v>
      </c>
      <c r="Q1136" s="63">
        <v>40</v>
      </c>
      <c r="R1136" s="63">
        <v>6</v>
      </c>
      <c r="S1136" s="63"/>
      <c r="T1136" s="63">
        <v>2</v>
      </c>
      <c r="U1136" s="63"/>
      <c r="V1136" s="63"/>
      <c r="W1136" s="63">
        <f t="shared" si="302"/>
        <v>24</v>
      </c>
      <c r="X1136" s="63"/>
      <c r="Y1136" s="63"/>
      <c r="Z1136" s="63"/>
      <c r="AA1136" s="63"/>
      <c r="AB1136" s="63"/>
      <c r="AT1136" t="str">
        <f t="shared" si="304"/>
        <v>Dublin</v>
      </c>
      <c r="AU1136" t="s">
        <v>1463</v>
      </c>
      <c r="AV1136">
        <v>2</v>
      </c>
      <c r="AW1136">
        <v>2</v>
      </c>
      <c r="AX1136" s="114">
        <v>33</v>
      </c>
      <c r="AY1136" s="116">
        <v>5</v>
      </c>
      <c r="AZ1136" s="116">
        <v>15</v>
      </c>
      <c r="BA1136" s="120">
        <v>19140</v>
      </c>
      <c r="BB1136" s="120">
        <f t="shared" si="306"/>
        <v>33005</v>
      </c>
      <c r="BC1136" t="s">
        <v>1472</v>
      </c>
      <c r="BD1136">
        <f t="shared" si="303"/>
        <v>3319140</v>
      </c>
      <c r="BI1136">
        <v>29.08</v>
      </c>
      <c r="BJ1136">
        <v>1.1000000000000001</v>
      </c>
      <c r="BK1136">
        <v>27.98</v>
      </c>
      <c r="BP1136" s="1">
        <v>25</v>
      </c>
      <c r="BR1136">
        <v>9</v>
      </c>
    </row>
    <row r="1137" spans="1:70" hidden="1" outlineLevel="1">
      <c r="A1137" t="s">
        <v>936</v>
      </c>
      <c r="B1137" s="8" t="s">
        <v>1799</v>
      </c>
      <c r="C1137" s="1">
        <f t="shared" si="295"/>
        <v>179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 t="shared" si="296"/>
        <v>0</v>
      </c>
      <c r="G1137" s="1">
        <f t="shared" si="297"/>
        <v>34</v>
      </c>
      <c r="H1137" s="2">
        <f t="shared" si="305"/>
        <v>0.18994413407821228</v>
      </c>
      <c r="I1137" s="6"/>
      <c r="J1137" s="2">
        <f t="shared" si="298"/>
        <v>0.36312849162011174</v>
      </c>
      <c r="K1137" s="2">
        <f t="shared" si="299"/>
        <v>0.55307262569832405</v>
      </c>
      <c r="L1137" s="2">
        <f t="shared" si="300"/>
        <v>0</v>
      </c>
      <c r="M1137" s="2">
        <f t="shared" si="301"/>
        <v>8.3798882681564213E-2</v>
      </c>
      <c r="N1137" s="63">
        <v>65</v>
      </c>
      <c r="O1137" s="63">
        <v>99</v>
      </c>
      <c r="P1137" s="63">
        <v>0</v>
      </c>
      <c r="Q1137" s="63">
        <v>6</v>
      </c>
      <c r="R1137" s="63">
        <v>2</v>
      </c>
      <c r="S1137" s="63"/>
      <c r="T1137" s="63">
        <v>0</v>
      </c>
      <c r="U1137" s="63"/>
      <c r="V1137" s="63"/>
      <c r="W1137" s="63">
        <f t="shared" si="302"/>
        <v>7</v>
      </c>
      <c r="X1137" s="63"/>
      <c r="Y1137" s="63"/>
      <c r="Z1137" s="63"/>
      <c r="AA1137" s="63"/>
      <c r="AB1137" s="63"/>
      <c r="AT1137" t="str">
        <f t="shared" si="304"/>
        <v>Dummer</v>
      </c>
      <c r="AU1137" t="s">
        <v>442</v>
      </c>
      <c r="AV1137">
        <v>2</v>
      </c>
      <c r="AW1137">
        <v>2</v>
      </c>
      <c r="AX1137" s="114">
        <v>33</v>
      </c>
      <c r="AY1137" s="116">
        <v>7</v>
      </c>
      <c r="AZ1137" s="116">
        <v>80</v>
      </c>
      <c r="BA1137" s="120">
        <v>19300</v>
      </c>
      <c r="BB1137" s="120">
        <f t="shared" si="306"/>
        <v>33007</v>
      </c>
      <c r="BC1137" t="s">
        <v>1472</v>
      </c>
      <c r="BD1137">
        <f t="shared" si="303"/>
        <v>3319300</v>
      </c>
      <c r="BI1137">
        <v>49.04</v>
      </c>
      <c r="BJ1137">
        <v>1.3</v>
      </c>
      <c r="BK1137">
        <v>47.75</v>
      </c>
      <c r="BP1137" s="1">
        <v>7</v>
      </c>
      <c r="BR1137">
        <v>4</v>
      </c>
    </row>
    <row r="1138" spans="1:70" hidden="1" outlineLevel="1">
      <c r="A1138" t="s">
        <v>389</v>
      </c>
      <c r="B1138" s="8" t="s">
        <v>1799</v>
      </c>
      <c r="C1138" s="1">
        <f t="shared" si="295"/>
        <v>1828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296"/>
        <v>6</v>
      </c>
      <c r="G1138" s="1">
        <f t="shared" si="297"/>
        <v>345</v>
      </c>
      <c r="H1138" s="2">
        <f t="shared" si="305"/>
        <v>0.18873085339168491</v>
      </c>
      <c r="I1138" s="6"/>
      <c r="J1138" s="2">
        <f t="shared" si="298"/>
        <v>0.37253829321663018</v>
      </c>
      <c r="K1138" s="2">
        <f t="shared" si="299"/>
        <v>0.56126914660831506</v>
      </c>
      <c r="L1138" s="2">
        <f t="shared" si="300"/>
        <v>3.8293216630196935E-3</v>
      </c>
      <c r="M1138" s="2">
        <f t="shared" si="301"/>
        <v>6.2363238512035124E-2</v>
      </c>
      <c r="N1138" s="63">
        <v>681</v>
      </c>
      <c r="O1138" s="63">
        <v>1026</v>
      </c>
      <c r="P1138" s="63">
        <v>7</v>
      </c>
      <c r="Q1138" s="63">
        <v>69</v>
      </c>
      <c r="R1138" s="63">
        <v>9</v>
      </c>
      <c r="S1138" s="63"/>
      <c r="T1138" s="63">
        <v>2</v>
      </c>
      <c r="U1138" s="63"/>
      <c r="V1138" s="63"/>
      <c r="W1138" s="63">
        <f t="shared" si="302"/>
        <v>34</v>
      </c>
      <c r="X1138" s="63"/>
      <c r="Y1138" s="63"/>
      <c r="Z1138" s="63"/>
      <c r="AA1138" s="63"/>
      <c r="AB1138" s="63"/>
      <c r="AT1138" t="str">
        <f t="shared" si="304"/>
        <v>Dunbarton</v>
      </c>
      <c r="AU1138" t="s">
        <v>2494</v>
      </c>
      <c r="AV1138">
        <v>2</v>
      </c>
      <c r="AW1138">
        <v>2</v>
      </c>
      <c r="AX1138" s="114">
        <v>33</v>
      </c>
      <c r="AY1138" s="116">
        <v>13</v>
      </c>
      <c r="AZ1138" s="116">
        <v>50</v>
      </c>
      <c r="BA1138" s="120">
        <v>19460</v>
      </c>
      <c r="BB1138" s="120">
        <f t="shared" si="306"/>
        <v>33013</v>
      </c>
      <c r="BC1138" t="s">
        <v>1472</v>
      </c>
      <c r="BD1138">
        <f t="shared" si="303"/>
        <v>3319460</v>
      </c>
      <c r="BI1138">
        <v>31.36</v>
      </c>
      <c r="BJ1138">
        <v>0.47</v>
      </c>
      <c r="BK1138">
        <v>30.89</v>
      </c>
      <c r="BP1138" s="1">
        <v>41</v>
      </c>
      <c r="BR1138">
        <v>19</v>
      </c>
    </row>
    <row r="1139" spans="1:70" hidden="1" outlineLevel="1">
      <c r="A1139" t="s">
        <v>2221</v>
      </c>
      <c r="B1139" s="8" t="s">
        <v>1799</v>
      </c>
      <c r="C1139" s="1">
        <f t="shared" si="295"/>
        <v>9631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296"/>
        <v>6</v>
      </c>
      <c r="G1139" s="1">
        <f t="shared" si="297"/>
        <v>4051</v>
      </c>
      <c r="H1139" s="2">
        <f t="shared" si="305"/>
        <v>0.42062091163949744</v>
      </c>
      <c r="I1139" s="6"/>
      <c r="J1139" s="2">
        <f t="shared" si="298"/>
        <v>0.67500778735333822</v>
      </c>
      <c r="K1139" s="2">
        <f t="shared" si="299"/>
        <v>0.25438687571384072</v>
      </c>
      <c r="L1139" s="2">
        <f t="shared" si="300"/>
        <v>7.2681964489668778E-4</v>
      </c>
      <c r="M1139" s="2">
        <f t="shared" si="301"/>
        <v>6.987851728792438E-2</v>
      </c>
      <c r="N1139" s="63">
        <v>6501</v>
      </c>
      <c r="O1139" s="63">
        <v>2450</v>
      </c>
      <c r="P1139" s="63">
        <v>7</v>
      </c>
      <c r="Q1139" s="63">
        <v>455</v>
      </c>
      <c r="R1139" s="63">
        <v>119</v>
      </c>
      <c r="S1139" s="63"/>
      <c r="T1139" s="63">
        <v>5</v>
      </c>
      <c r="U1139" s="63"/>
      <c r="V1139" s="63"/>
      <c r="W1139" s="63">
        <f t="shared" si="302"/>
        <v>94</v>
      </c>
      <c r="X1139" s="63"/>
      <c r="Y1139" s="63"/>
      <c r="Z1139" s="63"/>
      <c r="AA1139" s="63"/>
      <c r="AB1139" s="63"/>
      <c r="AT1139" t="str">
        <f t="shared" si="304"/>
        <v>Durham</v>
      </c>
      <c r="AU1139" t="s">
        <v>2035</v>
      </c>
      <c r="AV1139">
        <v>1</v>
      </c>
      <c r="AW1139">
        <v>1</v>
      </c>
      <c r="AX1139" s="114">
        <v>33</v>
      </c>
      <c r="AY1139" s="116">
        <v>17</v>
      </c>
      <c r="AZ1139" s="116">
        <v>15</v>
      </c>
      <c r="BA1139" s="120">
        <v>19700</v>
      </c>
      <c r="BB1139" s="120">
        <f t="shared" si="306"/>
        <v>33017</v>
      </c>
      <c r="BC1139" t="s">
        <v>1472</v>
      </c>
      <c r="BD1139">
        <f t="shared" si="303"/>
        <v>3319700</v>
      </c>
      <c r="BI1139">
        <v>24.76</v>
      </c>
      <c r="BJ1139">
        <v>2.37</v>
      </c>
      <c r="BK1139">
        <v>22.39</v>
      </c>
      <c r="BP1139" s="1">
        <v>101</v>
      </c>
      <c r="BR1139">
        <v>43</v>
      </c>
    </row>
    <row r="1140" spans="1:70" hidden="1" outlineLevel="1">
      <c r="A1140" t="s">
        <v>2495</v>
      </c>
      <c r="B1140" s="8" t="s">
        <v>1799</v>
      </c>
      <c r="C1140" s="1">
        <f t="shared" si="295"/>
        <v>1560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 t="shared" si="296"/>
        <v>6</v>
      </c>
      <c r="G1140" s="1">
        <f t="shared" si="297"/>
        <v>222</v>
      </c>
      <c r="H1140" s="2">
        <f t="shared" si="305"/>
        <v>0.1423076923076923</v>
      </c>
      <c r="I1140" s="6"/>
      <c r="J1140" s="2">
        <f t="shared" si="298"/>
        <v>0.38974358974358975</v>
      </c>
      <c r="K1140" s="2">
        <f t="shared" si="299"/>
        <v>0.53205128205128205</v>
      </c>
      <c r="L1140" s="2">
        <f t="shared" si="300"/>
        <v>2.5641025641025641E-3</v>
      </c>
      <c r="M1140" s="2">
        <f t="shared" si="301"/>
        <v>7.5641025641025691E-2</v>
      </c>
      <c r="N1140" s="63">
        <v>608</v>
      </c>
      <c r="O1140" s="63">
        <v>830</v>
      </c>
      <c r="P1140" s="63">
        <v>4</v>
      </c>
      <c r="Q1140" s="63">
        <v>88</v>
      </c>
      <c r="R1140" s="63">
        <v>9</v>
      </c>
      <c r="S1140" s="63"/>
      <c r="T1140" s="63">
        <v>2</v>
      </c>
      <c r="U1140" s="63"/>
      <c r="V1140" s="63"/>
      <c r="W1140" s="63">
        <f t="shared" si="302"/>
        <v>19</v>
      </c>
      <c r="X1140" s="63"/>
      <c r="Y1140" s="63"/>
      <c r="Z1140" s="63"/>
      <c r="AA1140" s="63"/>
      <c r="AB1140" s="63"/>
      <c r="AT1140" t="str">
        <f t="shared" si="304"/>
        <v>East Kingston</v>
      </c>
      <c r="AU1140" t="s">
        <v>2971</v>
      </c>
      <c r="AV1140">
        <v>1</v>
      </c>
      <c r="AW1140">
        <v>1</v>
      </c>
      <c r="AX1140" s="114">
        <v>33</v>
      </c>
      <c r="AY1140" s="116">
        <v>15</v>
      </c>
      <c r="AZ1140" s="116">
        <v>45</v>
      </c>
      <c r="BA1140" s="120">
        <v>21380</v>
      </c>
      <c r="BB1140" s="120">
        <f t="shared" si="306"/>
        <v>33015</v>
      </c>
      <c r="BC1140" t="s">
        <v>1472</v>
      </c>
      <c r="BD1140">
        <f t="shared" si="303"/>
        <v>3321380</v>
      </c>
      <c r="BI1140">
        <v>10.050000000000001</v>
      </c>
      <c r="BJ1140">
        <v>0.06</v>
      </c>
      <c r="BK1140">
        <v>9.99</v>
      </c>
      <c r="BP1140" s="1">
        <v>23</v>
      </c>
      <c r="BR1140">
        <v>1</v>
      </c>
    </row>
    <row r="1141" spans="1:70" hidden="1" outlineLevel="1">
      <c r="A1141" t="s">
        <v>2524</v>
      </c>
      <c r="B1141" s="8" t="s">
        <v>1799</v>
      </c>
      <c r="C1141" s="1">
        <f t="shared" ref="C1141:C1204" si="307">SUM(N1141:AR1141)</f>
        <v>198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ref="F1141:F1204" si="308">IF(P1141&gt;0,RANK(P1141,(N1141:AE1141)),0)</f>
        <v>0</v>
      </c>
      <c r="G1141" s="1">
        <f t="shared" ref="G1141:G1204" si="309">IF(C1141&gt;0,MAX(N1141:P1141)-LARGE(N1141:P1141,2),0)</f>
        <v>53</v>
      </c>
      <c r="H1141" s="2">
        <f t="shared" si="305"/>
        <v>0.26767676767676768</v>
      </c>
      <c r="I1141" s="6"/>
      <c r="J1141" s="2">
        <f t="shared" ref="J1141:J1204" si="310">IF(C1141=0,"-",N1141/C1141)</f>
        <v>0.59595959595959591</v>
      </c>
      <c r="K1141" s="2">
        <f t="shared" ref="K1141:K1204" si="311">IF(C1141=0,"-",O1141/C1141)</f>
        <v>0.32828282828282829</v>
      </c>
      <c r="L1141" s="2">
        <f t="shared" ref="L1141:L1204" si="312">IF(C1141=0,"-",P1141/C1141)</f>
        <v>0</v>
      </c>
      <c r="M1141" s="2">
        <f t="shared" ref="M1141:M1204" si="313">IF(C1141=0,"-",(1-J1141-K1141-L1141))</f>
        <v>7.5757575757575801E-2</v>
      </c>
      <c r="N1141" s="63">
        <v>118</v>
      </c>
      <c r="O1141" s="63">
        <v>65</v>
      </c>
      <c r="P1141" s="63">
        <v>0</v>
      </c>
      <c r="Q1141" s="63">
        <v>7</v>
      </c>
      <c r="R1141" s="63">
        <v>3</v>
      </c>
      <c r="S1141" s="63"/>
      <c r="T1141" s="63">
        <v>0</v>
      </c>
      <c r="U1141" s="63"/>
      <c r="V1141" s="63"/>
      <c r="W1141" s="63">
        <f t="shared" ref="W1141:W1204" si="314">BP1141-P1141</f>
        <v>5</v>
      </c>
      <c r="X1141" s="63"/>
      <c r="Y1141" s="63"/>
      <c r="Z1141" s="63"/>
      <c r="AA1141" s="63"/>
      <c r="AB1141" s="63"/>
      <c r="AT1141" t="str">
        <f t="shared" si="304"/>
        <v>Easton</v>
      </c>
      <c r="AU1141" t="s">
        <v>2260</v>
      </c>
      <c r="AV1141">
        <v>2</v>
      </c>
      <c r="AW1141">
        <v>2</v>
      </c>
      <c r="AX1141" s="114">
        <v>33</v>
      </c>
      <c r="AY1141" s="116">
        <v>9</v>
      </c>
      <c r="AZ1141" s="116">
        <v>55</v>
      </c>
      <c r="BA1141" s="120">
        <v>22020</v>
      </c>
      <c r="BB1141" s="120">
        <f t="shared" si="306"/>
        <v>33009</v>
      </c>
      <c r="BC1141" t="s">
        <v>1472</v>
      </c>
      <c r="BD1141">
        <f t="shared" ref="BD1141:BD1204" si="315">AX1141*100000+BA1141</f>
        <v>3322020</v>
      </c>
      <c r="BI1141">
        <v>31.19</v>
      </c>
      <c r="BJ1141">
        <v>0.01</v>
      </c>
      <c r="BK1141">
        <v>31.18</v>
      </c>
      <c r="BP1141" s="1">
        <v>5</v>
      </c>
      <c r="BR1141">
        <v>3</v>
      </c>
    </row>
    <row r="1142" spans="1:70" hidden="1" outlineLevel="1">
      <c r="A1142" t="s">
        <v>518</v>
      </c>
      <c r="B1142" s="8" t="s">
        <v>1799</v>
      </c>
      <c r="C1142" s="1">
        <f t="shared" si="307"/>
        <v>291</v>
      </c>
      <c r="D1142" s="5">
        <f>IF(N1142&gt;0, RANK(N1142,(N1142:P1142,Q1142:AE1142)),0)</f>
        <v>1</v>
      </c>
      <c r="E1142" s="5">
        <f>IF(O1142&gt;0,RANK(O1142,(N1142:P1142,Q1142:AE1142)),0)</f>
        <v>2</v>
      </c>
      <c r="F1142" s="5">
        <f t="shared" si="308"/>
        <v>0</v>
      </c>
      <c r="G1142" s="1">
        <f t="shared" si="309"/>
        <v>48</v>
      </c>
      <c r="H1142" s="2">
        <f t="shared" si="305"/>
        <v>0.16494845360824742</v>
      </c>
      <c r="I1142" s="6"/>
      <c r="J1142" s="2">
        <f t="shared" si="310"/>
        <v>0.53951890034364258</v>
      </c>
      <c r="K1142" s="2">
        <f t="shared" si="311"/>
        <v>0.37457044673539519</v>
      </c>
      <c r="L1142" s="2">
        <f t="shared" si="312"/>
        <v>0</v>
      </c>
      <c r="M1142" s="2">
        <f t="shared" si="313"/>
        <v>8.5910652920962227E-2</v>
      </c>
      <c r="N1142" s="63">
        <v>157</v>
      </c>
      <c r="O1142" s="63">
        <v>109</v>
      </c>
      <c r="P1142" s="63">
        <v>0</v>
      </c>
      <c r="Q1142" s="63">
        <v>14</v>
      </c>
      <c r="R1142" s="63">
        <v>2</v>
      </c>
      <c r="S1142" s="63"/>
      <c r="T1142" s="63">
        <v>0</v>
      </c>
      <c r="U1142" s="63"/>
      <c r="V1142" s="63"/>
      <c r="W1142" s="63">
        <f t="shared" si="314"/>
        <v>9</v>
      </c>
      <c r="X1142" s="63"/>
      <c r="Y1142" s="63"/>
      <c r="Z1142" s="63"/>
      <c r="AA1142" s="63"/>
      <c r="AB1142" s="63"/>
      <c r="AT1142" t="str">
        <f t="shared" si="304"/>
        <v>Eaton</v>
      </c>
      <c r="AU1142" t="s">
        <v>1675</v>
      </c>
      <c r="AV1142">
        <v>1</v>
      </c>
      <c r="AW1142">
        <v>1</v>
      </c>
      <c r="AX1142" s="114">
        <v>33</v>
      </c>
      <c r="AY1142" s="116">
        <v>3</v>
      </c>
      <c r="AZ1142" s="116">
        <v>30</v>
      </c>
      <c r="BA1142" s="120">
        <v>23380</v>
      </c>
      <c r="BB1142" s="120">
        <f t="shared" si="306"/>
        <v>33003</v>
      </c>
      <c r="BC1142" t="s">
        <v>1472</v>
      </c>
      <c r="BD1142">
        <f t="shared" si="315"/>
        <v>3323380</v>
      </c>
      <c r="BI1142">
        <v>25.58</v>
      </c>
      <c r="BJ1142">
        <v>1.18</v>
      </c>
      <c r="BK1142">
        <v>24.39</v>
      </c>
      <c r="BP1142" s="1">
        <v>9</v>
      </c>
      <c r="BR1142">
        <v>4</v>
      </c>
    </row>
    <row r="1143" spans="1:70" hidden="1" outlineLevel="1">
      <c r="A1143" t="s">
        <v>2325</v>
      </c>
      <c r="B1143" s="8" t="s">
        <v>1799</v>
      </c>
      <c r="C1143" s="1">
        <f t="shared" si="307"/>
        <v>859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 t="shared" si="308"/>
        <v>0</v>
      </c>
      <c r="G1143" s="1">
        <f t="shared" si="309"/>
        <v>164</v>
      </c>
      <c r="H1143" s="2">
        <f t="shared" si="305"/>
        <v>0.19091967403958091</v>
      </c>
      <c r="I1143" s="6"/>
      <c r="J1143" s="2">
        <f t="shared" si="310"/>
        <v>0.3690337601862631</v>
      </c>
      <c r="K1143" s="2">
        <f t="shared" si="311"/>
        <v>0.55995343422584398</v>
      </c>
      <c r="L1143" s="2">
        <f t="shared" si="312"/>
        <v>0</v>
      </c>
      <c r="M1143" s="2">
        <f t="shared" si="313"/>
        <v>7.1012805587892913E-2</v>
      </c>
      <c r="N1143" s="63">
        <v>317</v>
      </c>
      <c r="O1143" s="63">
        <v>481</v>
      </c>
      <c r="P1143" s="63">
        <v>0</v>
      </c>
      <c r="Q1143" s="63">
        <v>38</v>
      </c>
      <c r="R1143" s="63">
        <v>6</v>
      </c>
      <c r="S1143" s="63"/>
      <c r="T1143" s="63">
        <v>0</v>
      </c>
      <c r="U1143" s="63"/>
      <c r="V1143" s="63"/>
      <c r="W1143" s="63">
        <f t="shared" si="314"/>
        <v>17</v>
      </c>
      <c r="X1143" s="63"/>
      <c r="Y1143" s="63"/>
      <c r="Z1143" s="63"/>
      <c r="AA1143" s="63"/>
      <c r="AB1143" s="63"/>
      <c r="AT1143" t="str">
        <f t="shared" si="304"/>
        <v>Effingham</v>
      </c>
      <c r="AU1143" t="s">
        <v>1675</v>
      </c>
      <c r="AV1143">
        <v>1</v>
      </c>
      <c r="AW1143">
        <v>1</v>
      </c>
      <c r="AX1143" s="114">
        <v>33</v>
      </c>
      <c r="AY1143" s="116">
        <v>3</v>
      </c>
      <c r="AZ1143" s="116">
        <v>35</v>
      </c>
      <c r="BA1143" s="120">
        <v>23620</v>
      </c>
      <c r="BB1143" s="120">
        <f t="shared" si="306"/>
        <v>33003</v>
      </c>
      <c r="BC1143" t="s">
        <v>1472</v>
      </c>
      <c r="BD1143">
        <f t="shared" si="315"/>
        <v>3323620</v>
      </c>
      <c r="BI1143">
        <v>39.65</v>
      </c>
      <c r="BJ1143">
        <v>1.1100000000000001</v>
      </c>
      <c r="BK1143">
        <v>38.549999999999997</v>
      </c>
      <c r="BP1143" s="1">
        <v>17</v>
      </c>
      <c r="BR1143">
        <v>7</v>
      </c>
    </row>
    <row r="1144" spans="1:70" hidden="1" outlineLevel="1">
      <c r="A1144" t="s">
        <v>1466</v>
      </c>
      <c r="B1144" s="8" t="s">
        <v>1799</v>
      </c>
      <c r="C1144" s="1">
        <f t="shared" si="307"/>
        <v>57</v>
      </c>
      <c r="D1144" s="5">
        <f>IF(N1144&gt;0, RANK(N1144,(N1144:P1144,Q1144:AE1144)),0)</f>
        <v>1</v>
      </c>
      <c r="E1144" s="5">
        <f>IF(O1144&gt;0,RANK(O1144,(N1144:P1144,Q1144:AE1144)),0)</f>
        <v>2</v>
      </c>
      <c r="F1144" s="5">
        <f t="shared" si="308"/>
        <v>0</v>
      </c>
      <c r="G1144" s="1">
        <f t="shared" si="309"/>
        <v>2</v>
      </c>
      <c r="H1144" s="2">
        <f t="shared" si="305"/>
        <v>3.5087719298245612E-2</v>
      </c>
      <c r="I1144" s="6"/>
      <c r="J1144" s="2">
        <f t="shared" si="310"/>
        <v>0.45614035087719296</v>
      </c>
      <c r="K1144" s="2">
        <f t="shared" si="311"/>
        <v>0.42105263157894735</v>
      </c>
      <c r="L1144" s="2">
        <f t="shared" si="312"/>
        <v>0</v>
      </c>
      <c r="M1144" s="2">
        <f t="shared" si="313"/>
        <v>0.1228070175438597</v>
      </c>
      <c r="N1144" s="63">
        <v>26</v>
      </c>
      <c r="O1144" s="63">
        <v>24</v>
      </c>
      <c r="P1144" s="63">
        <v>0</v>
      </c>
      <c r="Q1144" s="63">
        <v>5</v>
      </c>
      <c r="R1144" s="63">
        <v>2</v>
      </c>
      <c r="S1144" s="63"/>
      <c r="T1144" s="63">
        <v>0</v>
      </c>
      <c r="U1144" s="63"/>
      <c r="V1144" s="63"/>
      <c r="W1144" s="63">
        <f t="shared" si="314"/>
        <v>0</v>
      </c>
      <c r="X1144" s="63"/>
      <c r="Y1144" s="63"/>
      <c r="Z1144" s="63"/>
      <c r="AA1144" s="63"/>
      <c r="AB1144" s="63"/>
      <c r="AT1144" t="str">
        <f t="shared" si="304"/>
        <v>Ellsworth</v>
      </c>
      <c r="AU1144" t="s">
        <v>2260</v>
      </c>
      <c r="AV1144">
        <v>2</v>
      </c>
      <c r="AW1144">
        <v>2</v>
      </c>
      <c r="AX1144" s="114">
        <v>33</v>
      </c>
      <c r="AY1144" s="116">
        <v>9</v>
      </c>
      <c r="AZ1144" s="116">
        <v>60</v>
      </c>
      <c r="BA1144" s="120">
        <v>23860</v>
      </c>
      <c r="BB1144" s="120">
        <f t="shared" si="306"/>
        <v>33009</v>
      </c>
      <c r="BC1144" t="s">
        <v>1472</v>
      </c>
      <c r="BD1144">
        <f t="shared" si="315"/>
        <v>3323860</v>
      </c>
      <c r="BI1144">
        <v>21.48</v>
      </c>
      <c r="BJ1144">
        <v>0.1</v>
      </c>
      <c r="BK1144">
        <v>21.39</v>
      </c>
      <c r="BP1144" s="1">
        <v>0</v>
      </c>
      <c r="BR1144">
        <v>0</v>
      </c>
    </row>
    <row r="1145" spans="1:70" hidden="1" outlineLevel="1">
      <c r="A1145" t="s">
        <v>2401</v>
      </c>
      <c r="B1145" s="8" t="s">
        <v>1799</v>
      </c>
      <c r="C1145" s="1">
        <f t="shared" si="307"/>
        <v>2594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si="308"/>
        <v>6</v>
      </c>
      <c r="G1145" s="1">
        <f t="shared" si="309"/>
        <v>514</v>
      </c>
      <c r="H1145" s="2">
        <f t="shared" si="305"/>
        <v>0.19814957594448729</v>
      </c>
      <c r="I1145" s="6"/>
      <c r="J1145" s="2">
        <f t="shared" si="310"/>
        <v>0.55705474171164227</v>
      </c>
      <c r="K1145" s="2">
        <f t="shared" si="311"/>
        <v>0.35890516576715498</v>
      </c>
      <c r="L1145" s="2">
        <f t="shared" si="312"/>
        <v>2.3130300693909021E-3</v>
      </c>
      <c r="M1145" s="2">
        <f t="shared" si="313"/>
        <v>8.1727062451811855E-2</v>
      </c>
      <c r="N1145" s="63">
        <v>1445</v>
      </c>
      <c r="O1145" s="63">
        <v>931</v>
      </c>
      <c r="P1145" s="63">
        <v>6</v>
      </c>
      <c r="Q1145" s="63">
        <v>119</v>
      </c>
      <c r="R1145" s="63">
        <v>25</v>
      </c>
      <c r="S1145" s="63"/>
      <c r="T1145" s="63">
        <v>1</v>
      </c>
      <c r="U1145" s="63"/>
      <c r="V1145" s="63"/>
      <c r="W1145" s="63">
        <f t="shared" si="314"/>
        <v>67</v>
      </c>
      <c r="X1145" s="63"/>
      <c r="Y1145" s="63"/>
      <c r="Z1145" s="63"/>
      <c r="AA1145" s="63"/>
      <c r="AB1145" s="63"/>
      <c r="AT1145" t="str">
        <f t="shared" si="304"/>
        <v>Enfield</v>
      </c>
      <c r="AU1145" t="s">
        <v>2260</v>
      </c>
      <c r="AV1145">
        <v>2</v>
      </c>
      <c r="AW1145">
        <v>2</v>
      </c>
      <c r="AX1145" s="114">
        <v>33</v>
      </c>
      <c r="AY1145" s="116">
        <v>9</v>
      </c>
      <c r="AZ1145" s="116">
        <v>65</v>
      </c>
      <c r="BA1145" s="120">
        <v>24340</v>
      </c>
      <c r="BB1145" s="120">
        <f t="shared" si="306"/>
        <v>33009</v>
      </c>
      <c r="BC1145" t="s">
        <v>1472</v>
      </c>
      <c r="BD1145">
        <f t="shared" si="315"/>
        <v>3324340</v>
      </c>
      <c r="BI1145">
        <v>43.1</v>
      </c>
      <c r="BJ1145">
        <v>2.85</v>
      </c>
      <c r="BK1145">
        <v>40.25</v>
      </c>
      <c r="BP1145" s="1">
        <v>73</v>
      </c>
      <c r="BR1145">
        <v>43</v>
      </c>
    </row>
    <row r="1146" spans="1:70" hidden="1" outlineLevel="1">
      <c r="A1146" t="s">
        <v>1829</v>
      </c>
      <c r="B1146" s="8" t="s">
        <v>1799</v>
      </c>
      <c r="C1146" s="1">
        <f t="shared" si="307"/>
        <v>4005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 t="shared" si="308"/>
        <v>6</v>
      </c>
      <c r="G1146" s="1">
        <f t="shared" si="309"/>
        <v>492</v>
      </c>
      <c r="H1146" s="2">
        <f t="shared" si="305"/>
        <v>0.12284644194756554</v>
      </c>
      <c r="I1146" s="6"/>
      <c r="J1146" s="2">
        <f t="shared" si="310"/>
        <v>0.40574282147315854</v>
      </c>
      <c r="K1146" s="2">
        <f t="shared" si="311"/>
        <v>0.5285892634207241</v>
      </c>
      <c r="L1146" s="2">
        <f t="shared" si="312"/>
        <v>1.2484394506866417E-3</v>
      </c>
      <c r="M1146" s="2">
        <f t="shared" si="313"/>
        <v>6.4419475655430714E-2</v>
      </c>
      <c r="N1146" s="63">
        <v>1625</v>
      </c>
      <c r="O1146" s="63">
        <v>2117</v>
      </c>
      <c r="P1146" s="63">
        <v>5</v>
      </c>
      <c r="Q1146" s="63">
        <v>179</v>
      </c>
      <c r="R1146" s="63">
        <v>35</v>
      </c>
      <c r="S1146" s="63"/>
      <c r="T1146" s="63">
        <v>3</v>
      </c>
      <c r="U1146" s="63"/>
      <c r="V1146" s="63"/>
      <c r="W1146" s="63">
        <f t="shared" si="314"/>
        <v>41</v>
      </c>
      <c r="X1146" s="63"/>
      <c r="Y1146" s="63"/>
      <c r="Z1146" s="63"/>
      <c r="AA1146" s="63"/>
      <c r="AB1146" s="63"/>
      <c r="AT1146" t="str">
        <f t="shared" si="304"/>
        <v>Epping</v>
      </c>
      <c r="AU1146" t="s">
        <v>2971</v>
      </c>
      <c r="AV1146">
        <v>1</v>
      </c>
      <c r="AW1146">
        <v>1</v>
      </c>
      <c r="AX1146" s="114">
        <v>33</v>
      </c>
      <c r="AY1146" s="116">
        <v>15</v>
      </c>
      <c r="AZ1146" s="116">
        <v>50</v>
      </c>
      <c r="BA1146" s="120">
        <v>24660</v>
      </c>
      <c r="BB1146" s="120">
        <f t="shared" si="306"/>
        <v>33015</v>
      </c>
      <c r="BC1146" t="s">
        <v>1472</v>
      </c>
      <c r="BD1146">
        <f t="shared" si="315"/>
        <v>3324660</v>
      </c>
      <c r="BI1146">
        <v>26.23</v>
      </c>
      <c r="BJ1146">
        <v>0.2</v>
      </c>
      <c r="BK1146">
        <v>26.03</v>
      </c>
      <c r="BP1146" s="1">
        <v>46</v>
      </c>
      <c r="BR1146">
        <v>21</v>
      </c>
    </row>
    <row r="1147" spans="1:70" hidden="1" outlineLevel="1">
      <c r="A1147" t="s">
        <v>2077</v>
      </c>
      <c r="B1147" s="8" t="s">
        <v>1799</v>
      </c>
      <c r="C1147" s="1">
        <f t="shared" si="307"/>
        <v>2646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308"/>
        <v>6</v>
      </c>
      <c r="G1147" s="1">
        <f t="shared" si="309"/>
        <v>627</v>
      </c>
      <c r="H1147" s="2">
        <f t="shared" si="305"/>
        <v>0.23696145124716553</v>
      </c>
      <c r="I1147" s="6"/>
      <c r="J1147" s="2">
        <f t="shared" si="310"/>
        <v>0.34731670445956159</v>
      </c>
      <c r="K1147" s="2">
        <f t="shared" si="311"/>
        <v>0.58427815570672714</v>
      </c>
      <c r="L1147" s="2">
        <f t="shared" si="312"/>
        <v>1.889644746787604E-3</v>
      </c>
      <c r="M1147" s="2">
        <f t="shared" si="313"/>
        <v>6.6515495086923726E-2</v>
      </c>
      <c r="N1147" s="63">
        <v>919</v>
      </c>
      <c r="O1147" s="63">
        <v>1546</v>
      </c>
      <c r="P1147" s="63">
        <v>5</v>
      </c>
      <c r="Q1147" s="63">
        <v>127</v>
      </c>
      <c r="R1147" s="63">
        <v>21</v>
      </c>
      <c r="S1147" s="63"/>
      <c r="T1147" s="63">
        <v>2</v>
      </c>
      <c r="U1147" s="63"/>
      <c r="V1147" s="63"/>
      <c r="W1147" s="63">
        <f t="shared" si="314"/>
        <v>26</v>
      </c>
      <c r="X1147" s="63"/>
      <c r="Y1147" s="63"/>
      <c r="Z1147" s="63"/>
      <c r="AA1147" s="63"/>
      <c r="AB1147" s="63"/>
      <c r="AT1147" t="str">
        <f t="shared" si="304"/>
        <v>Epsom</v>
      </c>
      <c r="AU1147" t="s">
        <v>2494</v>
      </c>
      <c r="AV1147">
        <v>2</v>
      </c>
      <c r="AW1147">
        <v>2</v>
      </c>
      <c r="AX1147" s="114">
        <v>33</v>
      </c>
      <c r="AY1147" s="116">
        <v>13</v>
      </c>
      <c r="AZ1147" s="116">
        <v>55</v>
      </c>
      <c r="BA1147" s="120">
        <v>24900</v>
      </c>
      <c r="BB1147" s="120">
        <f t="shared" si="306"/>
        <v>33013</v>
      </c>
      <c r="BC1147" t="s">
        <v>1472</v>
      </c>
      <c r="BD1147">
        <f t="shared" si="315"/>
        <v>3324900</v>
      </c>
      <c r="BI1147">
        <v>34.369999999999997</v>
      </c>
      <c r="BJ1147">
        <v>0.2</v>
      </c>
      <c r="BK1147">
        <v>34.17</v>
      </c>
      <c r="BP1147" s="1">
        <v>31</v>
      </c>
      <c r="BR1147">
        <v>7</v>
      </c>
    </row>
    <row r="1148" spans="1:70" hidden="1" outlineLevel="1">
      <c r="A1148" t="s">
        <v>2078</v>
      </c>
      <c r="B1148" s="8" t="s">
        <v>1799</v>
      </c>
      <c r="C1148" s="1">
        <f t="shared" si="307"/>
        <v>198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 t="shared" si="308"/>
        <v>0</v>
      </c>
      <c r="G1148" s="1">
        <f t="shared" si="309"/>
        <v>81</v>
      </c>
      <c r="H1148" s="2">
        <f t="shared" si="305"/>
        <v>0.40909090909090912</v>
      </c>
      <c r="I1148" s="6"/>
      <c r="J1148" s="2">
        <f t="shared" si="310"/>
        <v>0.27272727272727271</v>
      </c>
      <c r="K1148" s="2">
        <f t="shared" si="311"/>
        <v>0.68181818181818177</v>
      </c>
      <c r="L1148" s="2">
        <f t="shared" si="312"/>
        <v>0</v>
      </c>
      <c r="M1148" s="2">
        <f t="shared" si="313"/>
        <v>4.5454545454545525E-2</v>
      </c>
      <c r="N1148" s="63">
        <v>54</v>
      </c>
      <c r="O1148" s="63">
        <v>135</v>
      </c>
      <c r="P1148" s="63">
        <v>0</v>
      </c>
      <c r="Q1148" s="63">
        <v>6</v>
      </c>
      <c r="R1148" s="63">
        <v>0</v>
      </c>
      <c r="S1148" s="63"/>
      <c r="T1148" s="63">
        <v>0</v>
      </c>
      <c r="U1148" s="63"/>
      <c r="V1148" s="63"/>
      <c r="W1148" s="63">
        <f t="shared" si="314"/>
        <v>3</v>
      </c>
      <c r="X1148" s="63"/>
      <c r="Y1148" s="63"/>
      <c r="Z1148" s="63"/>
      <c r="AA1148" s="63"/>
      <c r="AB1148" s="63"/>
      <c r="AT1148" t="str">
        <f t="shared" si="304"/>
        <v>Errol</v>
      </c>
      <c r="AU1148" t="s">
        <v>442</v>
      </c>
      <c r="AV1148">
        <v>2</v>
      </c>
      <c r="AW1148">
        <v>2</v>
      </c>
      <c r="AX1148" s="114">
        <v>33</v>
      </c>
      <c r="AY1148" s="116">
        <v>7</v>
      </c>
      <c r="AZ1148" s="116">
        <v>85</v>
      </c>
      <c r="BA1148" s="120">
        <v>25140</v>
      </c>
      <c r="BB1148" s="120">
        <f t="shared" si="306"/>
        <v>33007</v>
      </c>
      <c r="BC1148" t="s">
        <v>1472</v>
      </c>
      <c r="BD1148">
        <f t="shared" si="315"/>
        <v>3325140</v>
      </c>
      <c r="BI1148">
        <v>69.59</v>
      </c>
      <c r="BJ1148">
        <v>8.6300000000000008</v>
      </c>
      <c r="BK1148">
        <v>60.97</v>
      </c>
      <c r="BP1148" s="1">
        <v>3</v>
      </c>
      <c r="BR1148">
        <v>2</v>
      </c>
    </row>
    <row r="1149" spans="1:70" hidden="1" outlineLevel="1">
      <c r="A1149" t="s">
        <v>1777</v>
      </c>
      <c r="B1149" s="8" t="s">
        <v>1799</v>
      </c>
      <c r="C1149" s="1">
        <f t="shared" si="307"/>
        <v>9426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308"/>
        <v>0</v>
      </c>
      <c r="G1149" s="1">
        <f t="shared" si="309"/>
        <v>2228</v>
      </c>
      <c r="H1149" s="2">
        <f t="shared" si="305"/>
        <v>0.23636749416507533</v>
      </c>
      <c r="I1149" s="6"/>
      <c r="J1149" s="2">
        <f t="shared" si="310"/>
        <v>0.58497772119669</v>
      </c>
      <c r="K1149" s="2">
        <f t="shared" si="311"/>
        <v>0.34861022703161471</v>
      </c>
      <c r="L1149" s="2">
        <f t="shared" si="312"/>
        <v>0</v>
      </c>
      <c r="M1149" s="2">
        <f t="shared" si="313"/>
        <v>6.6412051771695291E-2</v>
      </c>
      <c r="N1149" s="63">
        <v>5514</v>
      </c>
      <c r="O1149" s="63">
        <v>3286</v>
      </c>
      <c r="P1149" s="63">
        <v>0</v>
      </c>
      <c r="Q1149" s="63">
        <v>373</v>
      </c>
      <c r="R1149" s="63">
        <v>72</v>
      </c>
      <c r="S1149" s="63"/>
      <c r="T1149" s="63">
        <v>3</v>
      </c>
      <c r="U1149" s="63"/>
      <c r="V1149" s="63"/>
      <c r="W1149" s="63">
        <f t="shared" si="314"/>
        <v>178</v>
      </c>
      <c r="X1149" s="63"/>
      <c r="Y1149" s="63"/>
      <c r="Z1149" s="63"/>
      <c r="AA1149" s="63"/>
      <c r="AB1149" s="63"/>
      <c r="AT1149" t="str">
        <f t="shared" si="304"/>
        <v>Exeter</v>
      </c>
      <c r="AU1149" t="s">
        <v>2971</v>
      </c>
      <c r="AV1149">
        <v>1</v>
      </c>
      <c r="AW1149">
        <v>1</v>
      </c>
      <c r="AX1149" s="114">
        <v>33</v>
      </c>
      <c r="AY1149" s="116">
        <v>15</v>
      </c>
      <c r="AZ1149" s="116">
        <v>55</v>
      </c>
      <c r="BA1149" s="120">
        <v>25380</v>
      </c>
      <c r="BB1149" s="120">
        <f t="shared" si="306"/>
        <v>33015</v>
      </c>
      <c r="BC1149" t="s">
        <v>1472</v>
      </c>
      <c r="BD1149">
        <f t="shared" si="315"/>
        <v>3325380</v>
      </c>
      <c r="BI1149">
        <v>20.010000000000002</v>
      </c>
      <c r="BJ1149">
        <v>0.37</v>
      </c>
      <c r="BK1149">
        <v>19.64</v>
      </c>
      <c r="BP1149" s="1">
        <v>178</v>
      </c>
      <c r="BR1149">
        <v>0</v>
      </c>
    </row>
    <row r="1150" spans="1:70" hidden="1" outlineLevel="1">
      <c r="A1150" t="s">
        <v>1948</v>
      </c>
      <c r="B1150" s="8" t="s">
        <v>1799</v>
      </c>
      <c r="C1150" s="1">
        <f t="shared" si="307"/>
        <v>3147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 t="shared" si="308"/>
        <v>6</v>
      </c>
      <c r="G1150" s="1">
        <f t="shared" si="309"/>
        <v>658</v>
      </c>
      <c r="H1150" s="2">
        <f t="shared" si="305"/>
        <v>0.20908802033682872</v>
      </c>
      <c r="I1150" s="6"/>
      <c r="J1150" s="2">
        <f t="shared" si="310"/>
        <v>0.3581188433428662</v>
      </c>
      <c r="K1150" s="2">
        <f t="shared" si="311"/>
        <v>0.56720686367969497</v>
      </c>
      <c r="L1150" s="2">
        <f t="shared" si="312"/>
        <v>1.2710517953606611E-3</v>
      </c>
      <c r="M1150" s="2">
        <f t="shared" si="313"/>
        <v>7.3403241182078222E-2</v>
      </c>
      <c r="N1150" s="63">
        <v>1127</v>
      </c>
      <c r="O1150" s="63">
        <v>1785</v>
      </c>
      <c r="P1150" s="63">
        <v>4</v>
      </c>
      <c r="Q1150" s="63">
        <v>154</v>
      </c>
      <c r="R1150" s="63">
        <v>30</v>
      </c>
      <c r="S1150" s="63"/>
      <c r="T1150" s="63">
        <v>4</v>
      </c>
      <c r="U1150" s="63"/>
      <c r="V1150" s="63"/>
      <c r="W1150" s="63">
        <f t="shared" si="314"/>
        <v>43</v>
      </c>
      <c r="X1150" s="63"/>
      <c r="Y1150" s="63"/>
      <c r="Z1150" s="63"/>
      <c r="AA1150" s="63"/>
      <c r="AB1150" s="63"/>
      <c r="AT1150" t="str">
        <f t="shared" si="304"/>
        <v>Farmington</v>
      </c>
      <c r="AU1150" t="s">
        <v>2035</v>
      </c>
      <c r="AV1150">
        <v>1</v>
      </c>
      <c r="AW1150">
        <v>1</v>
      </c>
      <c r="AX1150" s="114">
        <v>33</v>
      </c>
      <c r="AY1150" s="116">
        <v>17</v>
      </c>
      <c r="AZ1150" s="116">
        <v>20</v>
      </c>
      <c r="BA1150" s="120">
        <v>26020</v>
      </c>
      <c r="BB1150" s="120">
        <f t="shared" si="306"/>
        <v>33017</v>
      </c>
      <c r="BC1150" t="s">
        <v>1472</v>
      </c>
      <c r="BD1150">
        <f t="shared" si="315"/>
        <v>3326020</v>
      </c>
      <c r="BI1150">
        <v>37.479999999999997</v>
      </c>
      <c r="BJ1150">
        <v>0.33</v>
      </c>
      <c r="BK1150">
        <v>37.15</v>
      </c>
      <c r="BP1150" s="1">
        <v>47</v>
      </c>
      <c r="BR1150">
        <v>21</v>
      </c>
    </row>
    <row r="1151" spans="1:70" hidden="1" outlineLevel="1">
      <c r="A1151" t="s">
        <v>2355</v>
      </c>
      <c r="B1151" s="8" t="s">
        <v>1799</v>
      </c>
      <c r="C1151" s="1">
        <f t="shared" si="307"/>
        <v>1268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308"/>
        <v>0</v>
      </c>
      <c r="G1151" s="1">
        <f t="shared" si="309"/>
        <v>46</v>
      </c>
      <c r="H1151" s="2">
        <f t="shared" si="305"/>
        <v>3.6277602523659309E-2</v>
      </c>
      <c r="I1151" s="6"/>
      <c r="J1151" s="2">
        <f t="shared" si="310"/>
        <v>0.45504731861198738</v>
      </c>
      <c r="K1151" s="2">
        <f t="shared" si="311"/>
        <v>0.49132492113564669</v>
      </c>
      <c r="L1151" s="2">
        <f t="shared" si="312"/>
        <v>0</v>
      </c>
      <c r="M1151" s="2">
        <f t="shared" si="313"/>
        <v>5.3627760252365875E-2</v>
      </c>
      <c r="N1151" s="63">
        <v>577</v>
      </c>
      <c r="O1151" s="63">
        <v>623</v>
      </c>
      <c r="P1151" s="63">
        <v>0</v>
      </c>
      <c r="Q1151" s="63">
        <v>52</v>
      </c>
      <c r="R1151" s="63">
        <v>0</v>
      </c>
      <c r="S1151" s="63"/>
      <c r="T1151" s="63">
        <v>0</v>
      </c>
      <c r="U1151" s="63"/>
      <c r="V1151" s="63"/>
      <c r="W1151" s="63">
        <f t="shared" si="314"/>
        <v>16</v>
      </c>
      <c r="X1151" s="63"/>
      <c r="Y1151" s="63"/>
      <c r="Z1151" s="63"/>
      <c r="AA1151" s="63"/>
      <c r="AB1151" s="63"/>
      <c r="AT1151" t="str">
        <f t="shared" si="304"/>
        <v>Fitzwilliam</v>
      </c>
      <c r="AU1151" t="s">
        <v>1463</v>
      </c>
      <c r="AV1151">
        <v>2</v>
      </c>
      <c r="AW1151">
        <v>2</v>
      </c>
      <c r="AX1151" s="114">
        <v>33</v>
      </c>
      <c r="AY1151" s="116">
        <v>5</v>
      </c>
      <c r="AZ1151" s="116">
        <v>20</v>
      </c>
      <c r="BA1151" s="120">
        <v>26500</v>
      </c>
      <c r="BB1151" s="120">
        <f t="shared" si="306"/>
        <v>33005</v>
      </c>
      <c r="BC1151" t="s">
        <v>1472</v>
      </c>
      <c r="BD1151">
        <f t="shared" si="315"/>
        <v>3326500</v>
      </c>
      <c r="BI1151">
        <v>36.03</v>
      </c>
      <c r="BJ1151">
        <v>1.41</v>
      </c>
      <c r="BK1151">
        <v>34.619999999999997</v>
      </c>
      <c r="BP1151" s="1">
        <v>16</v>
      </c>
      <c r="BR1151">
        <v>11</v>
      </c>
    </row>
    <row r="1152" spans="1:70" hidden="1" outlineLevel="1">
      <c r="A1152" t="s">
        <v>775</v>
      </c>
      <c r="B1152" s="8" t="s">
        <v>1799</v>
      </c>
      <c r="C1152" s="1">
        <f t="shared" si="307"/>
        <v>976</v>
      </c>
      <c r="D1152" s="5">
        <f>IF(N1152&gt;0, RANK(N1152,(N1152:P1152,Q1152:AE1152)),0)</f>
        <v>1</v>
      </c>
      <c r="E1152" s="5">
        <f>IF(O1152&gt;0,RANK(O1152,(N1152:P1152,Q1152:AE1152)),0)</f>
        <v>2</v>
      </c>
      <c r="F1152" s="5">
        <f t="shared" si="308"/>
        <v>0</v>
      </c>
      <c r="G1152" s="1">
        <f t="shared" si="309"/>
        <v>27</v>
      </c>
      <c r="H1152" s="2">
        <f t="shared" si="305"/>
        <v>2.7663934426229508E-2</v>
      </c>
      <c r="I1152" s="6"/>
      <c r="J1152" s="2">
        <f t="shared" si="310"/>
        <v>0.48258196721311475</v>
      </c>
      <c r="K1152" s="2">
        <f t="shared" si="311"/>
        <v>0.45491803278688525</v>
      </c>
      <c r="L1152" s="2">
        <f t="shared" si="312"/>
        <v>0</v>
      </c>
      <c r="M1152" s="2">
        <f t="shared" si="313"/>
        <v>6.25E-2</v>
      </c>
      <c r="N1152" s="63">
        <v>471</v>
      </c>
      <c r="O1152" s="63">
        <v>444</v>
      </c>
      <c r="P1152" s="63">
        <v>0</v>
      </c>
      <c r="Q1152" s="63">
        <v>28</v>
      </c>
      <c r="R1152" s="63">
        <v>20</v>
      </c>
      <c r="S1152" s="63"/>
      <c r="T1152" s="63">
        <v>0</v>
      </c>
      <c r="U1152" s="63"/>
      <c r="V1152" s="63"/>
      <c r="W1152" s="63">
        <f t="shared" si="314"/>
        <v>13</v>
      </c>
      <c r="X1152" s="63"/>
      <c r="Y1152" s="63"/>
      <c r="Z1152" s="63"/>
      <c r="AA1152" s="63"/>
      <c r="AB1152" s="63"/>
      <c r="AT1152" t="str">
        <f t="shared" si="304"/>
        <v>Francestown</v>
      </c>
      <c r="AU1152" t="s">
        <v>1161</v>
      </c>
      <c r="AV1152">
        <v>2</v>
      </c>
      <c r="AW1152">
        <v>2</v>
      </c>
      <c r="AX1152" s="114">
        <v>33</v>
      </c>
      <c r="AY1152" s="116">
        <v>11</v>
      </c>
      <c r="AZ1152" s="116">
        <v>35</v>
      </c>
      <c r="BA1152" s="120">
        <v>27140</v>
      </c>
      <c r="BB1152" s="120">
        <f t="shared" si="306"/>
        <v>33011</v>
      </c>
      <c r="BC1152" t="s">
        <v>1472</v>
      </c>
      <c r="BD1152">
        <f t="shared" si="315"/>
        <v>3327140</v>
      </c>
      <c r="BI1152">
        <v>30.7</v>
      </c>
      <c r="BJ1152">
        <v>0.53</v>
      </c>
      <c r="BK1152">
        <v>30.16</v>
      </c>
      <c r="BP1152" s="1">
        <v>13</v>
      </c>
      <c r="BR1152">
        <v>6</v>
      </c>
    </row>
    <row r="1153" spans="1:70" hidden="1" outlineLevel="1">
      <c r="A1153" t="s">
        <v>2316</v>
      </c>
      <c r="B1153" s="8" t="s">
        <v>1799</v>
      </c>
      <c r="C1153" s="1">
        <f t="shared" si="307"/>
        <v>758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308"/>
        <v>6</v>
      </c>
      <c r="G1153" s="1">
        <f t="shared" si="309"/>
        <v>250</v>
      </c>
      <c r="H1153" s="2">
        <f t="shared" si="305"/>
        <v>0.32981530343007914</v>
      </c>
      <c r="I1153" s="6"/>
      <c r="J1153" s="2">
        <f t="shared" si="310"/>
        <v>0.63720316622691298</v>
      </c>
      <c r="K1153" s="2">
        <f t="shared" si="311"/>
        <v>0.30738786279683378</v>
      </c>
      <c r="L1153" s="2">
        <f t="shared" si="312"/>
        <v>3.9577836411609502E-3</v>
      </c>
      <c r="M1153" s="2">
        <f t="shared" si="313"/>
        <v>5.1451187335092297E-2</v>
      </c>
      <c r="N1153" s="63">
        <v>483</v>
      </c>
      <c r="O1153" s="63">
        <v>233</v>
      </c>
      <c r="P1153" s="63">
        <v>3</v>
      </c>
      <c r="Q1153" s="63">
        <v>18</v>
      </c>
      <c r="R1153" s="63">
        <v>9</v>
      </c>
      <c r="S1153" s="63"/>
      <c r="T1153" s="63">
        <v>0</v>
      </c>
      <c r="U1153" s="63"/>
      <c r="V1153" s="63"/>
      <c r="W1153" s="63">
        <f t="shared" si="314"/>
        <v>12</v>
      </c>
      <c r="X1153" s="63"/>
      <c r="Y1153" s="63"/>
      <c r="Z1153" s="63"/>
      <c r="AA1153" s="63"/>
      <c r="AB1153" s="63"/>
      <c r="AT1153" t="str">
        <f t="shared" si="304"/>
        <v>Franconia</v>
      </c>
      <c r="AU1153" t="s">
        <v>2260</v>
      </c>
      <c r="AV1153">
        <v>2</v>
      </c>
      <c r="AW1153">
        <v>2</v>
      </c>
      <c r="AX1153" s="114">
        <v>33</v>
      </c>
      <c r="AY1153" s="116">
        <v>9</v>
      </c>
      <c r="AZ1153" s="116">
        <v>70</v>
      </c>
      <c r="BA1153" s="120">
        <v>27300</v>
      </c>
      <c r="BB1153" s="120">
        <f t="shared" si="306"/>
        <v>33009</v>
      </c>
      <c r="BC1153" t="s">
        <v>1472</v>
      </c>
      <c r="BD1153">
        <f t="shared" si="315"/>
        <v>3327300</v>
      </c>
      <c r="BI1153">
        <v>65.959999999999994</v>
      </c>
      <c r="BJ1153">
        <v>0.08</v>
      </c>
      <c r="BK1153">
        <v>65.88</v>
      </c>
      <c r="BP1153" s="1">
        <v>15</v>
      </c>
      <c r="BR1153">
        <v>6</v>
      </c>
    </row>
    <row r="1154" spans="1:70" hidden="1" outlineLevel="1">
      <c r="A1154" t="s">
        <v>1138</v>
      </c>
      <c r="B1154" s="8" t="s">
        <v>1799</v>
      </c>
      <c r="C1154" s="1">
        <f t="shared" si="307"/>
        <v>3842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 t="shared" si="308"/>
        <v>6</v>
      </c>
      <c r="G1154" s="1">
        <f t="shared" si="309"/>
        <v>562</v>
      </c>
      <c r="H1154" s="2">
        <f t="shared" si="305"/>
        <v>0.14627798021863614</v>
      </c>
      <c r="I1154" s="6"/>
      <c r="J1154" s="2">
        <f t="shared" si="310"/>
        <v>0.3870380010411244</v>
      </c>
      <c r="K1154" s="2">
        <f t="shared" si="311"/>
        <v>0.53331598125976054</v>
      </c>
      <c r="L1154" s="2">
        <f t="shared" si="312"/>
        <v>3.6439354502863092E-3</v>
      </c>
      <c r="M1154" s="2">
        <f t="shared" si="313"/>
        <v>7.6002082248828748E-2</v>
      </c>
      <c r="N1154" s="63">
        <v>1487</v>
      </c>
      <c r="O1154" s="63">
        <v>2049</v>
      </c>
      <c r="P1154" s="63">
        <v>14</v>
      </c>
      <c r="Q1154" s="63">
        <v>170</v>
      </c>
      <c r="R1154" s="63">
        <v>40</v>
      </c>
      <c r="S1154" s="63"/>
      <c r="T1154" s="63">
        <v>3</v>
      </c>
      <c r="U1154" s="63"/>
      <c r="V1154" s="63"/>
      <c r="W1154" s="63">
        <f t="shared" si="314"/>
        <v>79</v>
      </c>
      <c r="X1154" s="63"/>
      <c r="Y1154" s="63"/>
      <c r="Z1154" s="63"/>
      <c r="AA1154" s="63"/>
      <c r="AB1154" s="63"/>
      <c r="AT1154" t="str">
        <f t="shared" si="304"/>
        <v>Franklin</v>
      </c>
      <c r="AU1154" t="s">
        <v>2494</v>
      </c>
      <c r="AV1154">
        <v>2</v>
      </c>
      <c r="AW1154">
        <v>2</v>
      </c>
      <c r="AX1154" s="114">
        <v>33</v>
      </c>
      <c r="AY1154" s="116">
        <v>13</v>
      </c>
      <c r="AZ1154" s="116">
        <v>60</v>
      </c>
      <c r="BA1154" s="120">
        <v>27380</v>
      </c>
      <c r="BB1154" s="120">
        <f t="shared" si="306"/>
        <v>33013</v>
      </c>
      <c r="BC1154" t="s">
        <v>1249</v>
      </c>
      <c r="BD1154">
        <f t="shared" si="315"/>
        <v>3327380</v>
      </c>
      <c r="BI1154">
        <v>29.16</v>
      </c>
      <c r="BJ1154">
        <v>1.59</v>
      </c>
      <c r="BK1154">
        <v>27.57</v>
      </c>
      <c r="BP1154" s="1">
        <v>93</v>
      </c>
      <c r="BR1154">
        <v>38</v>
      </c>
    </row>
    <row r="1155" spans="1:70" hidden="1" outlineLevel="1">
      <c r="A1155" t="s">
        <v>823</v>
      </c>
      <c r="B1155" s="8" t="s">
        <v>1799</v>
      </c>
      <c r="C1155" s="1">
        <f t="shared" si="307"/>
        <v>958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 t="shared" si="308"/>
        <v>0</v>
      </c>
      <c r="G1155" s="1">
        <f t="shared" si="309"/>
        <v>51</v>
      </c>
      <c r="H1155" s="2">
        <f t="shared" si="305"/>
        <v>5.3235908141962419E-2</v>
      </c>
      <c r="I1155" s="6"/>
      <c r="J1155" s="2">
        <f t="shared" si="310"/>
        <v>0.44363256784968685</v>
      </c>
      <c r="K1155" s="2">
        <f t="shared" si="311"/>
        <v>0.49686847599164929</v>
      </c>
      <c r="L1155" s="2">
        <f t="shared" si="312"/>
        <v>0</v>
      </c>
      <c r="M1155" s="2">
        <f t="shared" si="313"/>
        <v>5.9498956158663852E-2</v>
      </c>
      <c r="N1155" s="63">
        <v>425</v>
      </c>
      <c r="O1155" s="63">
        <v>476</v>
      </c>
      <c r="P1155" s="63">
        <v>0</v>
      </c>
      <c r="Q1155" s="63">
        <v>36</v>
      </c>
      <c r="R1155" s="63">
        <v>14</v>
      </c>
      <c r="S1155" s="63"/>
      <c r="T1155" s="63">
        <v>1</v>
      </c>
      <c r="U1155" s="63"/>
      <c r="V1155" s="63"/>
      <c r="W1155" s="63">
        <f t="shared" si="314"/>
        <v>6</v>
      </c>
      <c r="X1155" s="63"/>
      <c r="Y1155" s="63"/>
      <c r="Z1155" s="63"/>
      <c r="AA1155" s="63"/>
      <c r="AB1155" s="63"/>
      <c r="AT1155" t="str">
        <f t="shared" si="304"/>
        <v>Freedom</v>
      </c>
      <c r="AU1155" t="s">
        <v>1675</v>
      </c>
      <c r="AV1155">
        <v>1</v>
      </c>
      <c r="AW1155">
        <v>1</v>
      </c>
      <c r="AX1155" s="114">
        <v>33</v>
      </c>
      <c r="AY1155" s="116">
        <v>3</v>
      </c>
      <c r="AZ1155" s="116">
        <v>40</v>
      </c>
      <c r="BA1155" s="120">
        <v>27700</v>
      </c>
      <c r="BB1155" s="120">
        <f t="shared" si="306"/>
        <v>33003</v>
      </c>
      <c r="BC1155" t="s">
        <v>1472</v>
      </c>
      <c r="BD1155">
        <f t="shared" si="315"/>
        <v>3327700</v>
      </c>
      <c r="BI1155">
        <v>37.96</v>
      </c>
      <c r="BJ1155">
        <v>3.32</v>
      </c>
      <c r="BK1155">
        <v>34.65</v>
      </c>
      <c r="BP1155" s="1">
        <v>6</v>
      </c>
      <c r="BR1155">
        <v>3</v>
      </c>
    </row>
    <row r="1156" spans="1:70" hidden="1" outlineLevel="1">
      <c r="A1156" t="s">
        <v>1757</v>
      </c>
      <c r="B1156" s="8" t="s">
        <v>1799</v>
      </c>
      <c r="C1156" s="1">
        <f t="shared" si="307"/>
        <v>2754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 t="shared" si="308"/>
        <v>6</v>
      </c>
      <c r="G1156" s="1">
        <f t="shared" si="309"/>
        <v>626</v>
      </c>
      <c r="H1156" s="2">
        <f t="shared" si="305"/>
        <v>0.22730573710965868</v>
      </c>
      <c r="I1156" s="6"/>
      <c r="J1156" s="2">
        <f t="shared" si="310"/>
        <v>0.35039941902687</v>
      </c>
      <c r="K1156" s="2">
        <f t="shared" si="311"/>
        <v>0.57770515613652873</v>
      </c>
      <c r="L1156" s="2">
        <f t="shared" si="312"/>
        <v>2.5417574437182279E-3</v>
      </c>
      <c r="M1156" s="2">
        <f t="shared" si="313"/>
        <v>6.9353667392883039E-2</v>
      </c>
      <c r="N1156" s="63">
        <v>965</v>
      </c>
      <c r="O1156" s="63">
        <v>1591</v>
      </c>
      <c r="P1156" s="63">
        <v>7</v>
      </c>
      <c r="Q1156" s="63">
        <v>137</v>
      </c>
      <c r="R1156" s="63">
        <v>14</v>
      </c>
      <c r="S1156" s="63"/>
      <c r="T1156" s="63">
        <v>2</v>
      </c>
      <c r="U1156" s="63"/>
      <c r="V1156" s="63"/>
      <c r="W1156" s="63">
        <f t="shared" si="314"/>
        <v>38</v>
      </c>
      <c r="X1156" s="63"/>
      <c r="Y1156" s="63"/>
      <c r="Z1156" s="63"/>
      <c r="AA1156" s="63"/>
      <c r="AB1156" s="63"/>
      <c r="AT1156" t="str">
        <f t="shared" si="304"/>
        <v>Fremont</v>
      </c>
      <c r="AU1156" t="s">
        <v>2971</v>
      </c>
      <c r="AV1156">
        <v>1</v>
      </c>
      <c r="AW1156">
        <v>1</v>
      </c>
      <c r="AX1156" s="114">
        <v>33</v>
      </c>
      <c r="AY1156" s="116">
        <v>15</v>
      </c>
      <c r="AZ1156" s="116">
        <v>60</v>
      </c>
      <c r="BA1156" s="120">
        <v>27940</v>
      </c>
      <c r="BB1156" s="120">
        <f t="shared" si="306"/>
        <v>33015</v>
      </c>
      <c r="BC1156" t="s">
        <v>1472</v>
      </c>
      <c r="BD1156">
        <f t="shared" si="315"/>
        <v>3327940</v>
      </c>
      <c r="BI1156">
        <v>17.41</v>
      </c>
      <c r="BJ1156">
        <v>0.25</v>
      </c>
      <c r="BK1156">
        <v>17.16</v>
      </c>
      <c r="BP1156" s="1">
        <v>45</v>
      </c>
      <c r="BR1156">
        <v>17</v>
      </c>
    </row>
    <row r="1157" spans="1:70" hidden="1" outlineLevel="1">
      <c r="A1157" t="s">
        <v>626</v>
      </c>
      <c r="B1157" s="8" t="s">
        <v>1799</v>
      </c>
      <c r="C1157" s="1">
        <f t="shared" si="307"/>
        <v>4747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 t="shared" si="308"/>
        <v>6</v>
      </c>
      <c r="G1157" s="1">
        <f t="shared" si="309"/>
        <v>531</v>
      </c>
      <c r="H1157" s="2">
        <f t="shared" si="305"/>
        <v>0.11186012218243101</v>
      </c>
      <c r="I1157" s="6"/>
      <c r="J1157" s="2">
        <f t="shared" si="310"/>
        <v>0.41563092479460712</v>
      </c>
      <c r="K1157" s="2">
        <f t="shared" si="311"/>
        <v>0.52749104697703808</v>
      </c>
      <c r="L1157" s="2">
        <f t="shared" si="312"/>
        <v>2.3172530018959344E-3</v>
      </c>
      <c r="M1157" s="2">
        <f t="shared" si="313"/>
        <v>5.4560775226458927E-2</v>
      </c>
      <c r="N1157" s="63">
        <v>1973</v>
      </c>
      <c r="O1157" s="63">
        <v>2504</v>
      </c>
      <c r="P1157" s="63">
        <v>11</v>
      </c>
      <c r="Q1157" s="63">
        <v>159</v>
      </c>
      <c r="R1157" s="63">
        <v>31</v>
      </c>
      <c r="S1157" s="63"/>
      <c r="T1157" s="63">
        <v>1</v>
      </c>
      <c r="U1157" s="63"/>
      <c r="V1157" s="63"/>
      <c r="W1157" s="63">
        <f t="shared" si="314"/>
        <v>68</v>
      </c>
      <c r="X1157" s="63"/>
      <c r="Y1157" s="63"/>
      <c r="Z1157" s="63"/>
      <c r="AA1157" s="63"/>
      <c r="AB1157" s="63"/>
      <c r="AT1157" t="str">
        <f t="shared" si="304"/>
        <v>Gilford</v>
      </c>
      <c r="AU1157" t="s">
        <v>1437</v>
      </c>
      <c r="AV1157">
        <v>1</v>
      </c>
      <c r="AW1157">
        <v>1</v>
      </c>
      <c r="AX1157" s="114">
        <v>33</v>
      </c>
      <c r="AY1157" s="116">
        <v>1</v>
      </c>
      <c r="AZ1157" s="116">
        <v>25</v>
      </c>
      <c r="BA1157" s="120">
        <v>28740</v>
      </c>
      <c r="BB1157" s="120">
        <f t="shared" si="306"/>
        <v>33001</v>
      </c>
      <c r="BC1157" t="s">
        <v>1472</v>
      </c>
      <c r="BD1157">
        <f t="shared" si="315"/>
        <v>3328740</v>
      </c>
      <c r="BI1157">
        <v>53.83</v>
      </c>
      <c r="BJ1157">
        <v>14.85</v>
      </c>
      <c r="BK1157">
        <v>38.97</v>
      </c>
      <c r="BP1157" s="1">
        <v>79</v>
      </c>
      <c r="BR1157">
        <v>20</v>
      </c>
    </row>
    <row r="1158" spans="1:70" hidden="1" outlineLevel="1">
      <c r="A1158" t="s">
        <v>2086</v>
      </c>
      <c r="B1158" s="8" t="s">
        <v>1799</v>
      </c>
      <c r="C1158" s="1">
        <f t="shared" si="307"/>
        <v>2283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 t="shared" si="308"/>
        <v>6</v>
      </c>
      <c r="G1158" s="1">
        <f t="shared" si="309"/>
        <v>545</v>
      </c>
      <c r="H1158" s="2">
        <f t="shared" si="305"/>
        <v>0.2387209811651336</v>
      </c>
      <c r="I1158" s="6"/>
      <c r="J1158" s="2">
        <f t="shared" si="310"/>
        <v>0.34515987735435832</v>
      </c>
      <c r="K1158" s="2">
        <f t="shared" si="311"/>
        <v>0.5838808585194919</v>
      </c>
      <c r="L1158" s="2">
        <f t="shared" si="312"/>
        <v>8.7604029785370125E-4</v>
      </c>
      <c r="M1158" s="2">
        <f t="shared" si="313"/>
        <v>7.008322382829614E-2</v>
      </c>
      <c r="N1158" s="63">
        <v>788</v>
      </c>
      <c r="O1158" s="63">
        <v>1333</v>
      </c>
      <c r="P1158" s="63">
        <v>2</v>
      </c>
      <c r="Q1158" s="63">
        <v>108</v>
      </c>
      <c r="R1158" s="63">
        <v>21</v>
      </c>
      <c r="S1158" s="63"/>
      <c r="T1158" s="63">
        <v>1</v>
      </c>
      <c r="U1158" s="63"/>
      <c r="V1158" s="63"/>
      <c r="W1158" s="63">
        <f t="shared" si="314"/>
        <v>30</v>
      </c>
      <c r="X1158" s="63"/>
      <c r="Y1158" s="63"/>
      <c r="Z1158" s="63"/>
      <c r="AA1158" s="63"/>
      <c r="AB1158" s="63"/>
      <c r="AT1158" t="str">
        <f t="shared" si="304"/>
        <v>Gilmanton</v>
      </c>
      <c r="AU1158" t="s">
        <v>1437</v>
      </c>
      <c r="AV1158">
        <v>1</v>
      </c>
      <c r="AW1158">
        <v>1</v>
      </c>
      <c r="AX1158" s="114">
        <v>33</v>
      </c>
      <c r="AY1158" s="116">
        <v>1</v>
      </c>
      <c r="AZ1158" s="116">
        <v>30</v>
      </c>
      <c r="BA1158" s="120">
        <v>28980</v>
      </c>
      <c r="BB1158" s="120">
        <f t="shared" si="306"/>
        <v>33001</v>
      </c>
      <c r="BC1158" t="s">
        <v>1472</v>
      </c>
      <c r="BD1158">
        <f t="shared" si="315"/>
        <v>3328980</v>
      </c>
      <c r="BI1158">
        <v>59.06</v>
      </c>
      <c r="BJ1158">
        <v>1.95</v>
      </c>
      <c r="BK1158">
        <v>57.11</v>
      </c>
      <c r="BP1158" s="1">
        <v>32</v>
      </c>
      <c r="BR1158">
        <v>19</v>
      </c>
    </row>
    <row r="1159" spans="1:70" hidden="1" outlineLevel="1">
      <c r="A1159" t="s">
        <v>95</v>
      </c>
      <c r="B1159" s="8" t="s">
        <v>1799</v>
      </c>
      <c r="C1159" s="1">
        <f t="shared" si="307"/>
        <v>458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308"/>
        <v>0</v>
      </c>
      <c r="G1159" s="1">
        <f t="shared" si="309"/>
        <v>34</v>
      </c>
      <c r="H1159" s="2">
        <f t="shared" si="305"/>
        <v>7.4235807860262015E-2</v>
      </c>
      <c r="I1159" s="6"/>
      <c r="J1159" s="2">
        <f t="shared" si="310"/>
        <v>0.43013100436681223</v>
      </c>
      <c r="K1159" s="2">
        <f t="shared" si="311"/>
        <v>0.50436681222707425</v>
      </c>
      <c r="L1159" s="2">
        <f t="shared" si="312"/>
        <v>0</v>
      </c>
      <c r="M1159" s="2">
        <f t="shared" si="313"/>
        <v>6.5502183406113468E-2</v>
      </c>
      <c r="N1159" s="63">
        <v>197</v>
      </c>
      <c r="O1159" s="63">
        <v>231</v>
      </c>
      <c r="P1159" s="63">
        <v>0</v>
      </c>
      <c r="Q1159" s="63">
        <v>13</v>
      </c>
      <c r="R1159" s="63">
        <v>9</v>
      </c>
      <c r="S1159" s="63"/>
      <c r="T1159" s="63">
        <v>0</v>
      </c>
      <c r="U1159" s="63"/>
      <c r="V1159" s="63"/>
      <c r="W1159" s="63">
        <f t="shared" si="314"/>
        <v>8</v>
      </c>
      <c r="X1159" s="63"/>
      <c r="Y1159" s="63"/>
      <c r="Z1159" s="63"/>
      <c r="AA1159" s="63"/>
      <c r="AB1159" s="63"/>
      <c r="AT1159" t="str">
        <f t="shared" si="304"/>
        <v>Gilsum</v>
      </c>
      <c r="AU1159" t="s">
        <v>1463</v>
      </c>
      <c r="AV1159">
        <v>2</v>
      </c>
      <c r="AW1159">
        <v>2</v>
      </c>
      <c r="AX1159" s="114">
        <v>33</v>
      </c>
      <c r="AY1159" s="116">
        <v>5</v>
      </c>
      <c r="AZ1159" s="116">
        <v>25</v>
      </c>
      <c r="BA1159" s="120">
        <v>29220</v>
      </c>
      <c r="BB1159" s="120">
        <f t="shared" si="306"/>
        <v>33005</v>
      </c>
      <c r="BC1159" t="s">
        <v>1472</v>
      </c>
      <c r="BD1159">
        <f t="shared" si="315"/>
        <v>3329220</v>
      </c>
      <c r="BI1159">
        <v>16.68</v>
      </c>
      <c r="BJ1159">
        <v>0.02</v>
      </c>
      <c r="BK1159">
        <v>16.66</v>
      </c>
      <c r="BP1159" s="1">
        <v>8</v>
      </c>
      <c r="BR1159">
        <v>5</v>
      </c>
    </row>
    <row r="1160" spans="1:70" hidden="1" outlineLevel="1">
      <c r="A1160" t="s">
        <v>164</v>
      </c>
      <c r="B1160" s="8" t="s">
        <v>1799</v>
      </c>
      <c r="C1160" s="1">
        <f t="shared" si="307"/>
        <v>9834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308"/>
        <v>6</v>
      </c>
      <c r="G1160" s="1">
        <f t="shared" si="309"/>
        <v>863</v>
      </c>
      <c r="H1160" s="2">
        <f t="shared" si="305"/>
        <v>8.7756762253406548E-2</v>
      </c>
      <c r="I1160" s="6"/>
      <c r="J1160" s="2">
        <f t="shared" si="310"/>
        <v>0.42159853569249545</v>
      </c>
      <c r="K1160" s="2">
        <f t="shared" si="311"/>
        <v>0.50935529794590195</v>
      </c>
      <c r="L1160" s="2">
        <f t="shared" si="312"/>
        <v>3.3557046979865771E-3</v>
      </c>
      <c r="M1160" s="2">
        <f t="shared" si="313"/>
        <v>6.5690461663616084E-2</v>
      </c>
      <c r="N1160" s="63">
        <v>4146</v>
      </c>
      <c r="O1160" s="63">
        <v>5009</v>
      </c>
      <c r="P1160" s="63">
        <v>33</v>
      </c>
      <c r="Q1160" s="63">
        <v>412</v>
      </c>
      <c r="R1160" s="63">
        <v>57</v>
      </c>
      <c r="S1160" s="63"/>
      <c r="T1160" s="63">
        <v>7</v>
      </c>
      <c r="U1160" s="63"/>
      <c r="V1160" s="63"/>
      <c r="W1160" s="63">
        <f t="shared" si="314"/>
        <v>170</v>
      </c>
      <c r="X1160" s="63"/>
      <c r="Y1160" s="63"/>
      <c r="Z1160" s="63"/>
      <c r="AA1160" s="63"/>
      <c r="AB1160" s="63"/>
      <c r="AT1160" t="str">
        <f t="shared" si="304"/>
        <v>Goffstown</v>
      </c>
      <c r="AU1160" t="s">
        <v>1161</v>
      </c>
      <c r="AV1160">
        <v>1</v>
      </c>
      <c r="AW1160">
        <v>1</v>
      </c>
      <c r="AX1160" s="114">
        <v>33</v>
      </c>
      <c r="AY1160" s="116">
        <v>11</v>
      </c>
      <c r="AZ1160" s="116">
        <v>40</v>
      </c>
      <c r="BA1160" s="120">
        <v>29860</v>
      </c>
      <c r="BB1160" s="120">
        <f t="shared" si="306"/>
        <v>33011</v>
      </c>
      <c r="BC1160" t="s">
        <v>1472</v>
      </c>
      <c r="BD1160">
        <f t="shared" si="315"/>
        <v>3329860</v>
      </c>
      <c r="BI1160">
        <v>37.51</v>
      </c>
      <c r="BJ1160">
        <v>0.62</v>
      </c>
      <c r="BK1160">
        <v>36.89</v>
      </c>
      <c r="BP1160" s="1">
        <v>203</v>
      </c>
      <c r="BR1160">
        <v>53</v>
      </c>
    </row>
    <row r="1161" spans="1:70" hidden="1" outlineLevel="1">
      <c r="A1161" t="s">
        <v>143</v>
      </c>
      <c r="B1161" s="8" t="s">
        <v>1799</v>
      </c>
      <c r="C1161" s="1">
        <f t="shared" si="307"/>
        <v>1548</v>
      </c>
      <c r="D1161" s="5">
        <f>IF(N1161&gt;0, RANK(N1161,(N1161:P1161,Q1161:AE1161)),0)</f>
        <v>1</v>
      </c>
      <c r="E1161" s="5">
        <f>IF(O1161&gt;0,RANK(O1161,(N1161:P1161,Q1161:AE1161)),0)</f>
        <v>2</v>
      </c>
      <c r="F1161" s="5">
        <f t="shared" si="308"/>
        <v>0</v>
      </c>
      <c r="G1161" s="1">
        <f t="shared" si="309"/>
        <v>77</v>
      </c>
      <c r="H1161" s="2">
        <f t="shared" si="305"/>
        <v>4.9741602067183463E-2</v>
      </c>
      <c r="I1161" s="6"/>
      <c r="J1161" s="2">
        <f t="shared" si="310"/>
        <v>0.4974160206718346</v>
      </c>
      <c r="K1161" s="2">
        <f t="shared" si="311"/>
        <v>0.44767441860465118</v>
      </c>
      <c r="L1161" s="2">
        <f t="shared" si="312"/>
        <v>0</v>
      </c>
      <c r="M1161" s="2">
        <f t="shared" si="313"/>
        <v>5.4909560723514272E-2</v>
      </c>
      <c r="N1161" s="63">
        <v>770</v>
      </c>
      <c r="O1161" s="63">
        <v>693</v>
      </c>
      <c r="P1161" s="63">
        <v>0</v>
      </c>
      <c r="Q1161" s="63">
        <v>58</v>
      </c>
      <c r="R1161" s="63">
        <v>11</v>
      </c>
      <c r="S1161" s="63"/>
      <c r="T1161" s="63">
        <v>1</v>
      </c>
      <c r="U1161" s="63"/>
      <c r="V1161" s="63"/>
      <c r="W1161" s="63">
        <f t="shared" si="314"/>
        <v>15</v>
      </c>
      <c r="X1161" s="63"/>
      <c r="Y1161" s="63"/>
      <c r="Z1161" s="63"/>
      <c r="AA1161" s="63"/>
      <c r="AB1161" s="63"/>
      <c r="AT1161" t="str">
        <f t="shared" si="304"/>
        <v>Gorham</v>
      </c>
      <c r="AU1161" t="s">
        <v>442</v>
      </c>
      <c r="AV1161">
        <v>2</v>
      </c>
      <c r="AW1161">
        <v>2</v>
      </c>
      <c r="AX1161" s="114">
        <v>33</v>
      </c>
      <c r="AY1161" s="116">
        <v>7</v>
      </c>
      <c r="AZ1161" s="116">
        <v>95</v>
      </c>
      <c r="BA1161" s="120">
        <v>30260</v>
      </c>
      <c r="BB1161" s="120">
        <f t="shared" si="306"/>
        <v>33007</v>
      </c>
      <c r="BC1161" t="s">
        <v>1472</v>
      </c>
      <c r="BD1161">
        <f t="shared" si="315"/>
        <v>3330260</v>
      </c>
      <c r="BI1161">
        <v>32.31</v>
      </c>
      <c r="BJ1161">
        <v>0.41</v>
      </c>
      <c r="BK1161">
        <v>31.91</v>
      </c>
      <c r="BP1161" s="1">
        <v>15</v>
      </c>
      <c r="BR1161">
        <v>12</v>
      </c>
    </row>
    <row r="1162" spans="1:70" hidden="1" outlineLevel="1">
      <c r="A1162" t="s">
        <v>592</v>
      </c>
      <c r="B1162" s="8" t="s">
        <v>1799</v>
      </c>
      <c r="C1162" s="1">
        <f t="shared" si="307"/>
        <v>452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308"/>
        <v>6</v>
      </c>
      <c r="G1162" s="1">
        <f t="shared" si="309"/>
        <v>107</v>
      </c>
      <c r="H1162" s="2">
        <f t="shared" si="305"/>
        <v>0.23672566371681417</v>
      </c>
      <c r="I1162" s="6"/>
      <c r="J1162" s="2">
        <f t="shared" si="310"/>
        <v>0.33849557522123896</v>
      </c>
      <c r="K1162" s="2">
        <f t="shared" si="311"/>
        <v>0.5752212389380531</v>
      </c>
      <c r="L1162" s="2">
        <f t="shared" si="312"/>
        <v>2.2123893805309734E-3</v>
      </c>
      <c r="M1162" s="2">
        <f t="shared" si="313"/>
        <v>8.4070796460176955E-2</v>
      </c>
      <c r="N1162" s="63">
        <v>153</v>
      </c>
      <c r="O1162" s="63">
        <v>260</v>
      </c>
      <c r="P1162" s="63">
        <v>1</v>
      </c>
      <c r="Q1162" s="63">
        <v>16</v>
      </c>
      <c r="R1162" s="63">
        <v>8</v>
      </c>
      <c r="S1162" s="63"/>
      <c r="T1162" s="63">
        <v>1</v>
      </c>
      <c r="U1162" s="63"/>
      <c r="V1162" s="63"/>
      <c r="W1162" s="63">
        <f t="shared" si="314"/>
        <v>13</v>
      </c>
      <c r="X1162" s="63"/>
      <c r="Y1162" s="63"/>
      <c r="Z1162" s="63"/>
      <c r="AA1162" s="63"/>
      <c r="AB1162" s="63"/>
      <c r="AT1162" t="str">
        <f t="shared" si="304"/>
        <v>Goshen</v>
      </c>
      <c r="AU1162" t="s">
        <v>1040</v>
      </c>
      <c r="AV1162">
        <v>2</v>
      </c>
      <c r="AW1162">
        <v>2</v>
      </c>
      <c r="AX1162" s="114">
        <v>33</v>
      </c>
      <c r="AY1162" s="116">
        <v>19</v>
      </c>
      <c r="AZ1162" s="116">
        <v>30</v>
      </c>
      <c r="BA1162" s="120">
        <v>30500</v>
      </c>
      <c r="BB1162" s="120">
        <f t="shared" si="306"/>
        <v>33019</v>
      </c>
      <c r="BC1162" t="s">
        <v>1472</v>
      </c>
      <c r="BD1162">
        <f t="shared" si="315"/>
        <v>3330500</v>
      </c>
      <c r="BI1162">
        <v>22.58</v>
      </c>
      <c r="BJ1162">
        <v>0.09</v>
      </c>
      <c r="BK1162">
        <v>22.49</v>
      </c>
      <c r="BP1162" s="1">
        <v>14</v>
      </c>
      <c r="BR1162">
        <v>4</v>
      </c>
    </row>
    <row r="1163" spans="1:70" hidden="1" outlineLevel="1">
      <c r="A1163" t="s">
        <v>2260</v>
      </c>
      <c r="B1163" s="8" t="s">
        <v>1799</v>
      </c>
      <c r="C1163" s="1">
        <f t="shared" si="307"/>
        <v>724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 t="shared" si="308"/>
        <v>6</v>
      </c>
      <c r="G1163" s="1">
        <f t="shared" si="309"/>
        <v>130</v>
      </c>
      <c r="H1163" s="2">
        <f t="shared" si="305"/>
        <v>0.17955801104972377</v>
      </c>
      <c r="I1163" s="6"/>
      <c r="J1163" s="2">
        <f t="shared" si="310"/>
        <v>0.36878453038674031</v>
      </c>
      <c r="K1163" s="2">
        <f t="shared" si="311"/>
        <v>0.5483425414364641</v>
      </c>
      <c r="L1163" s="2">
        <f t="shared" si="312"/>
        <v>1.3812154696132596E-3</v>
      </c>
      <c r="M1163" s="2">
        <f t="shared" si="313"/>
        <v>8.1491712707182334E-2</v>
      </c>
      <c r="N1163" s="63">
        <v>267</v>
      </c>
      <c r="O1163" s="63">
        <v>397</v>
      </c>
      <c r="P1163" s="63">
        <v>1</v>
      </c>
      <c r="Q1163" s="63">
        <v>33</v>
      </c>
      <c r="R1163" s="63">
        <v>8</v>
      </c>
      <c r="S1163" s="63"/>
      <c r="T1163" s="63">
        <v>1</v>
      </c>
      <c r="U1163" s="63"/>
      <c r="V1163" s="63"/>
      <c r="W1163" s="63">
        <f t="shared" si="314"/>
        <v>17</v>
      </c>
      <c r="X1163" s="63"/>
      <c r="Y1163" s="63"/>
      <c r="Z1163" s="63"/>
      <c r="AA1163" s="63"/>
      <c r="AB1163" s="63"/>
      <c r="AT1163" t="str">
        <f t="shared" si="304"/>
        <v>Grafton</v>
      </c>
      <c r="AU1163" t="s">
        <v>2260</v>
      </c>
      <c r="AV1163">
        <v>2</v>
      </c>
      <c r="AW1163">
        <v>2</v>
      </c>
      <c r="AX1163" s="114">
        <v>33</v>
      </c>
      <c r="AY1163" s="116">
        <v>9</v>
      </c>
      <c r="AZ1163" s="116">
        <v>75</v>
      </c>
      <c r="BA1163" s="120">
        <v>30820</v>
      </c>
      <c r="BB1163" s="120">
        <f t="shared" si="306"/>
        <v>33009</v>
      </c>
      <c r="BC1163" t="s">
        <v>1472</v>
      </c>
      <c r="BD1163">
        <f t="shared" si="315"/>
        <v>3330820</v>
      </c>
      <c r="BI1163">
        <v>42.63</v>
      </c>
      <c r="BJ1163">
        <v>0.79</v>
      </c>
      <c r="BK1163">
        <v>41.83</v>
      </c>
      <c r="BP1163" s="1">
        <v>18</v>
      </c>
      <c r="BR1163">
        <v>4</v>
      </c>
    </row>
    <row r="1164" spans="1:70" hidden="1" outlineLevel="1">
      <c r="A1164" t="s">
        <v>75</v>
      </c>
      <c r="B1164" s="8" t="s">
        <v>1799</v>
      </c>
      <c r="C1164" s="1">
        <f t="shared" si="307"/>
        <v>2096</v>
      </c>
      <c r="D1164" s="5">
        <f>IF(N1164&gt;0, RANK(N1164,(N1164:P1164,Q1164:AE1164)),0)</f>
        <v>1</v>
      </c>
      <c r="E1164" s="5">
        <f>IF(O1164&gt;0,RANK(O1164,(N1164:P1164,Q1164:AE1164)),0)</f>
        <v>2</v>
      </c>
      <c r="F1164" s="5">
        <f t="shared" si="308"/>
        <v>6</v>
      </c>
      <c r="G1164" s="1">
        <f t="shared" si="309"/>
        <v>566</v>
      </c>
      <c r="H1164" s="2">
        <f t="shared" si="305"/>
        <v>0.27003816793893132</v>
      </c>
      <c r="I1164" s="6"/>
      <c r="J1164" s="2">
        <f t="shared" si="310"/>
        <v>0.60353053435114501</v>
      </c>
      <c r="K1164" s="2">
        <f t="shared" si="311"/>
        <v>0.33349236641221375</v>
      </c>
      <c r="L1164" s="2">
        <f t="shared" si="312"/>
        <v>5.2480916030534352E-3</v>
      </c>
      <c r="M1164" s="2">
        <f t="shared" si="313"/>
        <v>5.7729007633587806E-2</v>
      </c>
      <c r="N1164" s="63">
        <v>1265</v>
      </c>
      <c r="O1164" s="63">
        <v>699</v>
      </c>
      <c r="P1164" s="63">
        <v>11</v>
      </c>
      <c r="Q1164" s="63">
        <v>54</v>
      </c>
      <c r="R1164" s="63">
        <v>16</v>
      </c>
      <c r="S1164" s="63"/>
      <c r="T1164" s="63">
        <v>2</v>
      </c>
      <c r="U1164" s="63"/>
      <c r="V1164" s="63"/>
      <c r="W1164" s="63">
        <f t="shared" si="314"/>
        <v>49</v>
      </c>
      <c r="X1164" s="63"/>
      <c r="Y1164" s="63"/>
      <c r="Z1164" s="63"/>
      <c r="AA1164" s="63"/>
      <c r="AB1164" s="63"/>
      <c r="AT1164" t="str">
        <f t="shared" si="304"/>
        <v>Grantham</v>
      </c>
      <c r="AU1164" t="s">
        <v>1040</v>
      </c>
      <c r="AV1164">
        <v>2</v>
      </c>
      <c r="AW1164">
        <v>2</v>
      </c>
      <c r="AX1164" s="114">
        <v>33</v>
      </c>
      <c r="AY1164" s="116">
        <v>19</v>
      </c>
      <c r="AZ1164" s="116">
        <v>35</v>
      </c>
      <c r="BA1164" s="120">
        <v>31220</v>
      </c>
      <c r="BB1164" s="120">
        <f t="shared" si="306"/>
        <v>33019</v>
      </c>
      <c r="BC1164" t="s">
        <v>1472</v>
      </c>
      <c r="BD1164">
        <f t="shared" si="315"/>
        <v>3331220</v>
      </c>
      <c r="BI1164">
        <v>27.65</v>
      </c>
      <c r="BJ1164">
        <v>0.87</v>
      </c>
      <c r="BK1164">
        <v>26.78</v>
      </c>
      <c r="BP1164" s="1">
        <v>60</v>
      </c>
      <c r="BR1164">
        <v>18</v>
      </c>
    </row>
    <row r="1165" spans="1:70" hidden="1" outlineLevel="1">
      <c r="A1165" t="s">
        <v>2137</v>
      </c>
      <c r="B1165" s="8" t="s">
        <v>1799</v>
      </c>
      <c r="C1165" s="1">
        <f t="shared" si="307"/>
        <v>931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308"/>
        <v>6</v>
      </c>
      <c r="G1165" s="1">
        <f t="shared" si="309"/>
        <v>19</v>
      </c>
      <c r="H1165" s="2">
        <f t="shared" si="305"/>
        <v>2.0408163265306121E-2</v>
      </c>
      <c r="I1165" s="6"/>
      <c r="J1165" s="2">
        <f t="shared" si="310"/>
        <v>0.46509129967776586</v>
      </c>
      <c r="K1165" s="2">
        <f t="shared" si="311"/>
        <v>0.44468313641245971</v>
      </c>
      <c r="L1165" s="2">
        <f t="shared" si="312"/>
        <v>2.1482277121374865E-3</v>
      </c>
      <c r="M1165" s="2">
        <f t="shared" si="313"/>
        <v>8.8077336197636941E-2</v>
      </c>
      <c r="N1165" s="63">
        <v>433</v>
      </c>
      <c r="O1165" s="63">
        <v>414</v>
      </c>
      <c r="P1165" s="63">
        <v>2</v>
      </c>
      <c r="Q1165" s="63">
        <v>52</v>
      </c>
      <c r="R1165" s="63">
        <v>13</v>
      </c>
      <c r="S1165" s="63"/>
      <c r="T1165" s="63">
        <v>0</v>
      </c>
      <c r="U1165" s="63"/>
      <c r="V1165" s="63"/>
      <c r="W1165" s="63">
        <f t="shared" si="314"/>
        <v>17</v>
      </c>
      <c r="X1165" s="63"/>
      <c r="Y1165" s="63"/>
      <c r="Z1165" s="63"/>
      <c r="AA1165" s="63"/>
      <c r="AB1165" s="63"/>
      <c r="AT1165" t="str">
        <f t="shared" si="304"/>
        <v>Greenfield</v>
      </c>
      <c r="AU1165" t="s">
        <v>1161</v>
      </c>
      <c r="AV1165">
        <v>2</v>
      </c>
      <c r="AW1165">
        <v>2</v>
      </c>
      <c r="AX1165" s="114">
        <v>33</v>
      </c>
      <c r="AY1165" s="116">
        <v>11</v>
      </c>
      <c r="AZ1165" s="116">
        <v>45</v>
      </c>
      <c r="BA1165" s="120">
        <v>31540</v>
      </c>
      <c r="BB1165" s="120">
        <f t="shared" si="306"/>
        <v>33011</v>
      </c>
      <c r="BC1165" t="s">
        <v>1472</v>
      </c>
      <c r="BD1165">
        <f t="shared" si="315"/>
        <v>3331540</v>
      </c>
      <c r="BI1165">
        <v>26.01</v>
      </c>
      <c r="BJ1165">
        <v>0.56000000000000005</v>
      </c>
      <c r="BK1165">
        <v>25.45</v>
      </c>
      <c r="BP1165" s="1">
        <v>19</v>
      </c>
      <c r="BR1165">
        <v>7</v>
      </c>
    </row>
    <row r="1166" spans="1:70" hidden="1" outlineLevel="1">
      <c r="A1166" t="s">
        <v>16</v>
      </c>
      <c r="B1166" s="8" t="s">
        <v>1799</v>
      </c>
      <c r="C1166" s="1">
        <f t="shared" si="307"/>
        <v>2633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308"/>
        <v>6</v>
      </c>
      <c r="G1166" s="1">
        <f t="shared" si="309"/>
        <v>322</v>
      </c>
      <c r="H1166" s="2">
        <f t="shared" si="305"/>
        <v>0.1222939612609191</v>
      </c>
      <c r="I1166" s="6"/>
      <c r="J1166" s="2">
        <f t="shared" si="310"/>
        <v>0.53019369540448158</v>
      </c>
      <c r="K1166" s="2">
        <f t="shared" si="311"/>
        <v>0.40789973414356245</v>
      </c>
      <c r="L1166" s="2">
        <f t="shared" si="312"/>
        <v>1.8989745537409798E-3</v>
      </c>
      <c r="M1166" s="2">
        <f t="shared" si="313"/>
        <v>6.0007595898214985E-2</v>
      </c>
      <c r="N1166" s="63">
        <v>1396</v>
      </c>
      <c r="O1166" s="63">
        <v>1074</v>
      </c>
      <c r="P1166" s="63">
        <v>5</v>
      </c>
      <c r="Q1166" s="63">
        <v>101</v>
      </c>
      <c r="R1166" s="63">
        <v>13</v>
      </c>
      <c r="S1166" s="63"/>
      <c r="T1166" s="63">
        <v>3</v>
      </c>
      <c r="U1166" s="63"/>
      <c r="V1166" s="63"/>
      <c r="W1166" s="63">
        <f t="shared" si="314"/>
        <v>41</v>
      </c>
      <c r="X1166" s="63"/>
      <c r="Y1166" s="63"/>
      <c r="Z1166" s="63"/>
      <c r="AA1166" s="63"/>
      <c r="AB1166" s="63"/>
      <c r="AT1166" t="str">
        <f t="shared" si="304"/>
        <v>Greenland</v>
      </c>
      <c r="AU1166" t="s">
        <v>2971</v>
      </c>
      <c r="AV1166">
        <v>1</v>
      </c>
      <c r="AW1166">
        <v>1</v>
      </c>
      <c r="AX1166" s="114">
        <v>33</v>
      </c>
      <c r="AY1166" s="116">
        <v>15</v>
      </c>
      <c r="AZ1166" s="116">
        <v>65</v>
      </c>
      <c r="BA1166" s="120">
        <v>31700</v>
      </c>
      <c r="BB1166" s="120">
        <f t="shared" si="306"/>
        <v>33015</v>
      </c>
      <c r="BC1166" t="s">
        <v>1472</v>
      </c>
      <c r="BD1166">
        <f t="shared" si="315"/>
        <v>3331700</v>
      </c>
      <c r="BI1166">
        <v>13.29</v>
      </c>
      <c r="BJ1166">
        <v>2.8</v>
      </c>
      <c r="BK1166">
        <v>10.49</v>
      </c>
      <c r="BP1166" s="1">
        <v>46</v>
      </c>
      <c r="BR1166">
        <v>16</v>
      </c>
    </row>
    <row r="1167" spans="1:70" hidden="1" outlineLevel="1">
      <c r="A1167" t="s">
        <v>2489</v>
      </c>
      <c r="B1167" s="8" t="s">
        <v>1799</v>
      </c>
      <c r="C1167" s="1">
        <f t="shared" si="307"/>
        <v>1</v>
      </c>
      <c r="D1167" s="5">
        <f>IF(N1167&gt;0, RANK(N1167,(N1167:P1167,Q1167:AE1167)),0)</f>
        <v>1</v>
      </c>
      <c r="E1167" s="5">
        <f>IF(O1167&gt;0,RANK(O1167,(N1167:P1167,Q1167:AE1167)),0)</f>
        <v>0</v>
      </c>
      <c r="F1167" s="5">
        <f t="shared" si="308"/>
        <v>0</v>
      </c>
      <c r="G1167" s="1">
        <f t="shared" si="309"/>
        <v>1</v>
      </c>
      <c r="H1167" s="2">
        <f t="shared" si="305"/>
        <v>1</v>
      </c>
      <c r="I1167" s="6"/>
      <c r="J1167" s="2">
        <f t="shared" si="310"/>
        <v>1</v>
      </c>
      <c r="K1167" s="2">
        <f t="shared" si="311"/>
        <v>0</v>
      </c>
      <c r="L1167" s="2">
        <f t="shared" si="312"/>
        <v>0</v>
      </c>
      <c r="M1167" s="2">
        <f t="shared" si="313"/>
        <v>0</v>
      </c>
      <c r="N1167" s="63">
        <v>1</v>
      </c>
      <c r="O1167" s="63">
        <v>0</v>
      </c>
      <c r="P1167" s="63">
        <v>0</v>
      </c>
      <c r="Q1167" s="63">
        <v>0</v>
      </c>
      <c r="R1167" s="63">
        <v>0</v>
      </c>
      <c r="S1167" s="63"/>
      <c r="T1167" s="63">
        <v>0</v>
      </c>
      <c r="U1167" s="63"/>
      <c r="V1167" s="63"/>
      <c r="W1167" s="63">
        <f t="shared" si="314"/>
        <v>0</v>
      </c>
      <c r="X1167" s="63"/>
      <c r="Y1167" s="63"/>
      <c r="Z1167" s="63"/>
      <c r="AA1167" s="63"/>
      <c r="AB1167" s="63"/>
      <c r="AT1167" t="str">
        <f t="shared" si="304"/>
        <v>Green's Grant</v>
      </c>
      <c r="AU1167" t="s">
        <v>442</v>
      </c>
      <c r="AV1167">
        <v>2</v>
      </c>
      <c r="AW1167">
        <v>2</v>
      </c>
      <c r="AX1167" s="114">
        <v>33</v>
      </c>
      <c r="AY1167" s="116">
        <v>7</v>
      </c>
      <c r="AZ1167" s="116">
        <v>100</v>
      </c>
      <c r="BA1167" s="120">
        <v>31780</v>
      </c>
      <c r="BB1167" s="120">
        <f t="shared" si="306"/>
        <v>33007</v>
      </c>
      <c r="BC1167" t="s">
        <v>1417</v>
      </c>
      <c r="BD1167">
        <f t="shared" si="315"/>
        <v>3331780</v>
      </c>
      <c r="BI1167">
        <v>3.66</v>
      </c>
      <c r="BJ1167">
        <v>0</v>
      </c>
      <c r="BK1167">
        <v>3.66</v>
      </c>
      <c r="BP1167" s="1">
        <v>0</v>
      </c>
      <c r="BR1167">
        <v>0</v>
      </c>
    </row>
    <row r="1168" spans="1:70" hidden="1" outlineLevel="1">
      <c r="A1168" s="8" t="s">
        <v>2487</v>
      </c>
      <c r="B1168" s="8" t="s">
        <v>1799</v>
      </c>
      <c r="C1168" s="1">
        <f t="shared" si="307"/>
        <v>967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 t="shared" si="308"/>
        <v>7</v>
      </c>
      <c r="G1168" s="1">
        <f t="shared" si="309"/>
        <v>114</v>
      </c>
      <c r="H1168" s="2">
        <f t="shared" si="305"/>
        <v>0.11789038262668046</v>
      </c>
      <c r="I1168" s="6"/>
      <c r="J1168" s="2">
        <f t="shared" si="310"/>
        <v>0.39193381592554294</v>
      </c>
      <c r="K1168" s="2">
        <f t="shared" si="311"/>
        <v>0.50982419855222338</v>
      </c>
      <c r="L1168" s="2">
        <f t="shared" si="312"/>
        <v>2.0682523267838678E-3</v>
      </c>
      <c r="M1168" s="2">
        <f t="shared" si="313"/>
        <v>9.6173733195449751E-2</v>
      </c>
      <c r="N1168" s="63">
        <v>379</v>
      </c>
      <c r="O1168" s="63">
        <v>493</v>
      </c>
      <c r="P1168" s="63">
        <v>2</v>
      </c>
      <c r="Q1168" s="63">
        <v>46</v>
      </c>
      <c r="R1168" s="63">
        <v>11</v>
      </c>
      <c r="S1168" s="63"/>
      <c r="T1168" s="63">
        <v>9</v>
      </c>
      <c r="U1168" s="63"/>
      <c r="V1168" s="63"/>
      <c r="W1168" s="63">
        <f t="shared" si="314"/>
        <v>27</v>
      </c>
      <c r="X1168" s="63"/>
      <c r="Y1168" s="63"/>
      <c r="Z1168" s="63"/>
      <c r="AA1168" s="63"/>
      <c r="AB1168" s="63"/>
      <c r="AT1168" t="str">
        <f t="shared" si="304"/>
        <v>Greenville</v>
      </c>
      <c r="AU1168" t="s">
        <v>1161</v>
      </c>
      <c r="AV1168">
        <v>2</v>
      </c>
      <c r="AW1168">
        <v>2</v>
      </c>
      <c r="AX1168" s="114">
        <v>33</v>
      </c>
      <c r="AY1168" s="116">
        <v>11</v>
      </c>
      <c r="AZ1168" s="116">
        <v>50</v>
      </c>
      <c r="BA1168" s="120">
        <v>31940</v>
      </c>
      <c r="BB1168" s="120">
        <f t="shared" si="306"/>
        <v>33011</v>
      </c>
      <c r="BC1168" t="s">
        <v>1472</v>
      </c>
      <c r="BD1168">
        <f t="shared" si="315"/>
        <v>3331940</v>
      </c>
      <c r="BI1168">
        <v>6.87</v>
      </c>
      <c r="BJ1168">
        <v>0</v>
      </c>
      <c r="BK1168">
        <v>6.87</v>
      </c>
      <c r="BP1168" s="1">
        <v>29</v>
      </c>
      <c r="BR1168">
        <v>14</v>
      </c>
    </row>
    <row r="1169" spans="1:70" hidden="1" outlineLevel="1">
      <c r="A1169" t="s">
        <v>2482</v>
      </c>
      <c r="B1169" s="8" t="s">
        <v>1799</v>
      </c>
      <c r="C1169" s="1">
        <f t="shared" si="307"/>
        <v>331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 t="shared" si="308"/>
        <v>0</v>
      </c>
      <c r="G1169" s="1">
        <f t="shared" si="309"/>
        <v>84</v>
      </c>
      <c r="H1169" s="2">
        <f t="shared" si="305"/>
        <v>0.25377643504531722</v>
      </c>
      <c r="I1169" s="6"/>
      <c r="J1169" s="2">
        <f t="shared" si="310"/>
        <v>0.33836858006042297</v>
      </c>
      <c r="K1169" s="2">
        <f t="shared" si="311"/>
        <v>0.59214501510574014</v>
      </c>
      <c r="L1169" s="2">
        <f t="shared" si="312"/>
        <v>0</v>
      </c>
      <c r="M1169" s="2">
        <f t="shared" si="313"/>
        <v>6.9486404833836835E-2</v>
      </c>
      <c r="N1169" s="63">
        <v>112</v>
      </c>
      <c r="O1169" s="63">
        <v>196</v>
      </c>
      <c r="P1169" s="63">
        <v>0</v>
      </c>
      <c r="Q1169" s="63">
        <v>13</v>
      </c>
      <c r="R1169" s="63">
        <v>2</v>
      </c>
      <c r="S1169" s="63"/>
      <c r="T1169" s="63">
        <v>0</v>
      </c>
      <c r="U1169" s="63"/>
      <c r="V1169" s="63"/>
      <c r="W1169" s="63">
        <f t="shared" si="314"/>
        <v>8</v>
      </c>
      <c r="X1169" s="63"/>
      <c r="Y1169" s="63"/>
      <c r="Z1169" s="63"/>
      <c r="AA1169" s="63"/>
      <c r="AB1169" s="63"/>
      <c r="AT1169" t="str">
        <f t="shared" si="304"/>
        <v>Groton</v>
      </c>
      <c r="AU1169" t="s">
        <v>2260</v>
      </c>
      <c r="AV1169">
        <v>2</v>
      </c>
      <c r="AW1169">
        <v>2</v>
      </c>
      <c r="AX1169" s="114">
        <v>33</v>
      </c>
      <c r="AY1169" s="116">
        <v>9</v>
      </c>
      <c r="AZ1169" s="116">
        <v>80</v>
      </c>
      <c r="BA1169" s="120">
        <v>32180</v>
      </c>
      <c r="BB1169" s="120">
        <f t="shared" si="306"/>
        <v>33009</v>
      </c>
      <c r="BC1169" t="s">
        <v>1472</v>
      </c>
      <c r="BD1169">
        <f t="shared" si="315"/>
        <v>3332180</v>
      </c>
      <c r="BI1169">
        <v>40.82</v>
      </c>
      <c r="BJ1169">
        <v>0.05</v>
      </c>
      <c r="BK1169">
        <v>40.78</v>
      </c>
      <c r="BP1169" s="1">
        <v>8</v>
      </c>
      <c r="BR1169">
        <v>6</v>
      </c>
    </row>
    <row r="1170" spans="1:70" hidden="1" outlineLevel="1">
      <c r="A1170" t="s">
        <v>1101</v>
      </c>
      <c r="B1170" s="8" t="s">
        <v>1799</v>
      </c>
      <c r="C1170" s="1">
        <f t="shared" si="307"/>
        <v>123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 t="shared" si="308"/>
        <v>0</v>
      </c>
      <c r="G1170" s="1">
        <f t="shared" si="309"/>
        <v>71</v>
      </c>
      <c r="H1170" s="2">
        <f t="shared" si="305"/>
        <v>0.57723577235772361</v>
      </c>
      <c r="I1170" s="6"/>
      <c r="J1170" s="2">
        <f t="shared" si="310"/>
        <v>0.21138211382113822</v>
      </c>
      <c r="K1170" s="2">
        <f t="shared" si="311"/>
        <v>0.78861788617886175</v>
      </c>
      <c r="L1170" s="2">
        <f t="shared" si="312"/>
        <v>0</v>
      </c>
      <c r="M1170" s="2">
        <f t="shared" si="313"/>
        <v>0</v>
      </c>
      <c r="N1170" s="63">
        <v>26</v>
      </c>
      <c r="O1170" s="63">
        <v>97</v>
      </c>
      <c r="P1170" s="63">
        <v>0</v>
      </c>
      <c r="Q1170" s="63">
        <v>0</v>
      </c>
      <c r="R1170" s="63">
        <v>0</v>
      </c>
      <c r="S1170" s="63"/>
      <c r="T1170" s="63">
        <v>0</v>
      </c>
      <c r="U1170" s="63"/>
      <c r="V1170" s="63"/>
      <c r="W1170" s="63">
        <f t="shared" si="314"/>
        <v>0</v>
      </c>
      <c r="X1170" s="63"/>
      <c r="Y1170" s="63"/>
      <c r="Z1170" s="63"/>
      <c r="AA1170" s="63"/>
      <c r="AB1170" s="63"/>
      <c r="AT1170" t="str">
        <f t="shared" si="304"/>
        <v>Hale's Location</v>
      </c>
      <c r="AU1170" t="s">
        <v>1675</v>
      </c>
      <c r="AV1170">
        <v>1</v>
      </c>
      <c r="AW1170">
        <v>1</v>
      </c>
      <c r="AX1170" s="114">
        <v>33</v>
      </c>
      <c r="AY1170" s="116">
        <v>3</v>
      </c>
      <c r="AZ1170" s="116">
        <v>45</v>
      </c>
      <c r="BA1170" s="120">
        <v>32500</v>
      </c>
      <c r="BB1170" s="120">
        <f t="shared" si="306"/>
        <v>33003</v>
      </c>
      <c r="BC1170" t="s">
        <v>673</v>
      </c>
      <c r="BD1170">
        <f t="shared" si="315"/>
        <v>3332500</v>
      </c>
      <c r="BI1170">
        <v>2.4300000000000002</v>
      </c>
      <c r="BJ1170">
        <v>0</v>
      </c>
      <c r="BK1170">
        <v>2.4300000000000002</v>
      </c>
      <c r="BP1170" s="1">
        <v>0</v>
      </c>
      <c r="BR1170">
        <v>0</v>
      </c>
    </row>
    <row r="1171" spans="1:70" hidden="1" outlineLevel="1">
      <c r="A1171" t="s">
        <v>2815</v>
      </c>
      <c r="B1171" s="8" t="s">
        <v>1799</v>
      </c>
      <c r="C1171" s="1">
        <f t="shared" si="307"/>
        <v>5454</v>
      </c>
      <c r="D1171" s="5">
        <f>IF(N1171&gt;0, RANK(N1171,(N1171:P1171,Q1171:AE1171)),0)</f>
        <v>2</v>
      </c>
      <c r="E1171" s="5">
        <f>IF(O1171&gt;0,RANK(O1171,(N1171:P1171,Q1171:AE1171)),0)</f>
        <v>1</v>
      </c>
      <c r="F1171" s="5">
        <f t="shared" si="308"/>
        <v>6</v>
      </c>
      <c r="G1171" s="1">
        <f t="shared" si="309"/>
        <v>1220</v>
      </c>
      <c r="H1171" s="2">
        <f t="shared" si="305"/>
        <v>0.22368903557022368</v>
      </c>
      <c r="I1171" s="6"/>
      <c r="J1171" s="2">
        <f t="shared" si="310"/>
        <v>0.3604693802713605</v>
      </c>
      <c r="K1171" s="2">
        <f t="shared" si="311"/>
        <v>0.58415841584158412</v>
      </c>
      <c r="L1171" s="2">
        <f t="shared" si="312"/>
        <v>1.8335166850018336E-3</v>
      </c>
      <c r="M1171" s="2">
        <f t="shared" si="313"/>
        <v>5.3538687202053493E-2</v>
      </c>
      <c r="N1171" s="63">
        <v>1966</v>
      </c>
      <c r="O1171" s="63">
        <v>3186</v>
      </c>
      <c r="P1171" s="63">
        <v>10</v>
      </c>
      <c r="Q1171" s="63">
        <v>191</v>
      </c>
      <c r="R1171" s="63">
        <v>42</v>
      </c>
      <c r="S1171" s="63"/>
      <c r="T1171" s="63">
        <v>3</v>
      </c>
      <c r="U1171" s="63"/>
      <c r="V1171" s="63"/>
      <c r="W1171" s="63">
        <f t="shared" si="314"/>
        <v>56</v>
      </c>
      <c r="X1171" s="63"/>
      <c r="Y1171" s="63"/>
      <c r="Z1171" s="63"/>
      <c r="AA1171" s="63"/>
      <c r="AB1171" s="63"/>
      <c r="AT1171" t="str">
        <f t="shared" si="304"/>
        <v>Hampstead</v>
      </c>
      <c r="AU1171" t="s">
        <v>2971</v>
      </c>
      <c r="AV1171">
        <v>1</v>
      </c>
      <c r="AW1171">
        <v>1</v>
      </c>
      <c r="AX1171" s="114">
        <v>33</v>
      </c>
      <c r="AY1171" s="116">
        <v>15</v>
      </c>
      <c r="AZ1171" s="116">
        <v>70</v>
      </c>
      <c r="BA1171" s="120">
        <v>32900</v>
      </c>
      <c r="BB1171" s="120">
        <f t="shared" si="306"/>
        <v>33015</v>
      </c>
      <c r="BC1171" t="s">
        <v>1472</v>
      </c>
      <c r="BD1171">
        <f t="shared" si="315"/>
        <v>3332900</v>
      </c>
      <c r="BI1171">
        <v>14.01</v>
      </c>
      <c r="BJ1171">
        <v>0.69</v>
      </c>
      <c r="BK1171">
        <v>13.32</v>
      </c>
      <c r="BP1171" s="1">
        <v>66</v>
      </c>
      <c r="BR1171">
        <v>17</v>
      </c>
    </row>
    <row r="1172" spans="1:70" hidden="1" outlineLevel="1">
      <c r="A1172" t="s">
        <v>719</v>
      </c>
      <c r="B1172" s="8" t="s">
        <v>1799</v>
      </c>
      <c r="C1172" s="1">
        <f t="shared" si="307"/>
        <v>10310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308"/>
        <v>6</v>
      </c>
      <c r="G1172" s="1">
        <f t="shared" si="309"/>
        <v>151</v>
      </c>
      <c r="H1172" s="2">
        <f t="shared" si="305"/>
        <v>1.4645974781765277E-2</v>
      </c>
      <c r="I1172" s="6"/>
      <c r="J1172" s="2">
        <f t="shared" si="310"/>
        <v>0.48040737148399609</v>
      </c>
      <c r="K1172" s="2">
        <f t="shared" si="311"/>
        <v>0.46576139670223082</v>
      </c>
      <c r="L1172" s="2">
        <f t="shared" si="312"/>
        <v>9.6993210475266732E-4</v>
      </c>
      <c r="M1172" s="2">
        <f t="shared" si="313"/>
        <v>5.2861299709020475E-2</v>
      </c>
      <c r="N1172" s="63">
        <v>4953</v>
      </c>
      <c r="O1172" s="63">
        <v>4802</v>
      </c>
      <c r="P1172" s="63">
        <v>10</v>
      </c>
      <c r="Q1172" s="63">
        <v>333</v>
      </c>
      <c r="R1172" s="63">
        <v>68</v>
      </c>
      <c r="S1172" s="63"/>
      <c r="T1172" s="63">
        <v>5</v>
      </c>
      <c r="U1172" s="63"/>
      <c r="V1172" s="63"/>
      <c r="W1172" s="63">
        <f t="shared" si="314"/>
        <v>139</v>
      </c>
      <c r="X1172" s="63"/>
      <c r="Y1172" s="63"/>
      <c r="Z1172" s="63"/>
      <c r="AA1172" s="63"/>
      <c r="AB1172" s="63"/>
      <c r="AT1172" t="str">
        <f t="shared" si="304"/>
        <v>Hampton</v>
      </c>
      <c r="AU1172" t="s">
        <v>2971</v>
      </c>
      <c r="AV1172">
        <v>1</v>
      </c>
      <c r="AW1172">
        <v>1</v>
      </c>
      <c r="AX1172" s="114">
        <v>33</v>
      </c>
      <c r="AY1172" s="116">
        <v>15</v>
      </c>
      <c r="AZ1172" s="116">
        <v>75</v>
      </c>
      <c r="BA1172" s="120">
        <v>33060</v>
      </c>
      <c r="BB1172" s="120">
        <f t="shared" si="306"/>
        <v>33015</v>
      </c>
      <c r="BC1172" t="s">
        <v>1472</v>
      </c>
      <c r="BD1172">
        <f t="shared" si="315"/>
        <v>3333060</v>
      </c>
      <c r="BI1172">
        <v>14.58</v>
      </c>
      <c r="BJ1172">
        <v>1.55</v>
      </c>
      <c r="BK1172">
        <v>13.03</v>
      </c>
      <c r="BP1172" s="1">
        <v>149</v>
      </c>
      <c r="BR1172">
        <v>24</v>
      </c>
    </row>
    <row r="1173" spans="1:70" hidden="1" outlineLevel="1">
      <c r="A1173" t="s">
        <v>3026</v>
      </c>
      <c r="B1173" s="8" t="s">
        <v>1799</v>
      </c>
      <c r="C1173" s="1">
        <f t="shared" si="307"/>
        <v>1600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308"/>
        <v>6</v>
      </c>
      <c r="G1173" s="1">
        <f t="shared" si="309"/>
        <v>150</v>
      </c>
      <c r="H1173" s="2">
        <f t="shared" si="305"/>
        <v>9.375E-2</v>
      </c>
      <c r="I1173" s="6"/>
      <c r="J1173" s="2">
        <f t="shared" si="310"/>
        <v>0.42</v>
      </c>
      <c r="K1173" s="2">
        <f t="shared" si="311"/>
        <v>0.51375000000000004</v>
      </c>
      <c r="L1173" s="2">
        <f t="shared" si="312"/>
        <v>1.25E-3</v>
      </c>
      <c r="M1173" s="2">
        <f t="shared" si="313"/>
        <v>6.500000000000003E-2</v>
      </c>
      <c r="N1173" s="63">
        <v>672</v>
      </c>
      <c r="O1173" s="63">
        <v>822</v>
      </c>
      <c r="P1173" s="63">
        <v>2</v>
      </c>
      <c r="Q1173" s="63">
        <v>63</v>
      </c>
      <c r="R1173" s="63">
        <v>9</v>
      </c>
      <c r="S1173" s="63"/>
      <c r="T1173" s="63">
        <v>0</v>
      </c>
      <c r="U1173" s="63"/>
      <c r="V1173" s="63"/>
      <c r="W1173" s="63">
        <f t="shared" si="314"/>
        <v>32</v>
      </c>
      <c r="X1173" s="63"/>
      <c r="Y1173" s="63"/>
      <c r="Z1173" s="63"/>
      <c r="AA1173" s="63"/>
      <c r="AB1173" s="63"/>
      <c r="AT1173" t="str">
        <f t="shared" si="304"/>
        <v>Hampton Falls</v>
      </c>
      <c r="AU1173" t="s">
        <v>2971</v>
      </c>
      <c r="AV1173">
        <v>1</v>
      </c>
      <c r="AW1173">
        <v>1</v>
      </c>
      <c r="AX1173" s="114">
        <v>33</v>
      </c>
      <c r="AY1173" s="116">
        <v>15</v>
      </c>
      <c r="AZ1173" s="116">
        <v>80</v>
      </c>
      <c r="BA1173" s="120">
        <v>33460</v>
      </c>
      <c r="BB1173" s="120">
        <f t="shared" si="306"/>
        <v>33015</v>
      </c>
      <c r="BC1173" t="s">
        <v>1472</v>
      </c>
      <c r="BD1173">
        <f t="shared" si="315"/>
        <v>3333460</v>
      </c>
      <c r="BI1173">
        <v>12.52</v>
      </c>
      <c r="BJ1173">
        <v>0.3</v>
      </c>
      <c r="BK1173">
        <v>12.22</v>
      </c>
      <c r="BP1173" s="1">
        <v>34</v>
      </c>
      <c r="BR1173">
        <v>13</v>
      </c>
    </row>
    <row r="1174" spans="1:70" hidden="1" outlineLevel="1">
      <c r="A1174" t="s">
        <v>597</v>
      </c>
      <c r="B1174" s="8" t="s">
        <v>1799</v>
      </c>
      <c r="C1174" s="1">
        <f t="shared" si="307"/>
        <v>1221</v>
      </c>
      <c r="D1174" s="5">
        <f>IF(N1174&gt;0, RANK(N1174,(N1174:P1174,Q1174:AE1174)),0)</f>
        <v>1</v>
      </c>
      <c r="E1174" s="5">
        <f>IF(O1174&gt;0,RANK(O1174,(N1174:P1174,Q1174:AE1174)),0)</f>
        <v>2</v>
      </c>
      <c r="F1174" s="5">
        <f t="shared" si="308"/>
        <v>0</v>
      </c>
      <c r="G1174" s="1">
        <f t="shared" si="309"/>
        <v>280</v>
      </c>
      <c r="H1174" s="2">
        <f t="shared" si="305"/>
        <v>0.22932022932022933</v>
      </c>
      <c r="I1174" s="6"/>
      <c r="J1174" s="2">
        <f t="shared" si="310"/>
        <v>0.58394758394758395</v>
      </c>
      <c r="K1174" s="2">
        <f t="shared" si="311"/>
        <v>0.35462735462735462</v>
      </c>
      <c r="L1174" s="2">
        <f t="shared" si="312"/>
        <v>0</v>
      </c>
      <c r="M1174" s="2">
        <f t="shared" si="313"/>
        <v>6.1425061425061434E-2</v>
      </c>
      <c r="N1174" s="63">
        <v>713</v>
      </c>
      <c r="O1174" s="63">
        <v>433</v>
      </c>
      <c r="P1174" s="63">
        <v>0</v>
      </c>
      <c r="Q1174" s="63">
        <v>39</v>
      </c>
      <c r="R1174" s="63">
        <v>6</v>
      </c>
      <c r="S1174" s="63"/>
      <c r="T1174" s="63">
        <v>5</v>
      </c>
      <c r="U1174" s="63"/>
      <c r="V1174" s="63"/>
      <c r="W1174" s="63">
        <f t="shared" si="314"/>
        <v>25</v>
      </c>
      <c r="X1174" s="63"/>
      <c r="Y1174" s="63"/>
      <c r="Z1174" s="63"/>
      <c r="AA1174" s="63"/>
      <c r="AB1174" s="63"/>
      <c r="AT1174" t="str">
        <f t="shared" si="304"/>
        <v>Hancock</v>
      </c>
      <c r="AU1174" t="s">
        <v>1161</v>
      </c>
      <c r="AV1174">
        <v>2</v>
      </c>
      <c r="AW1174">
        <v>2</v>
      </c>
      <c r="AX1174" s="114">
        <v>33</v>
      </c>
      <c r="AY1174" s="116">
        <v>11</v>
      </c>
      <c r="AZ1174" s="116">
        <v>55</v>
      </c>
      <c r="BA1174" s="120">
        <v>33700</v>
      </c>
      <c r="BB1174" s="120">
        <f t="shared" si="306"/>
        <v>33011</v>
      </c>
      <c r="BC1174" t="s">
        <v>1472</v>
      </c>
      <c r="BD1174">
        <f t="shared" si="315"/>
        <v>3333700</v>
      </c>
      <c r="BI1174">
        <v>31.22</v>
      </c>
      <c r="BJ1174">
        <v>1.25</v>
      </c>
      <c r="BK1174">
        <v>29.97</v>
      </c>
      <c r="BP1174" s="1">
        <v>25</v>
      </c>
      <c r="BR1174">
        <v>13</v>
      </c>
    </row>
    <row r="1175" spans="1:70" hidden="1" outlineLevel="1">
      <c r="A1175" t="s">
        <v>693</v>
      </c>
      <c r="B1175" s="8" t="s">
        <v>1799</v>
      </c>
      <c r="C1175" s="1">
        <f t="shared" si="307"/>
        <v>7849</v>
      </c>
      <c r="D1175" s="5">
        <f>IF(N1175&gt;0, RANK(N1175,(N1175:P1175,Q1175:AE1175)),0)</f>
        <v>1</v>
      </c>
      <c r="E1175" s="5">
        <f>IF(O1175&gt;0,RANK(O1175,(N1175:P1175,Q1175:AE1175)),0)</f>
        <v>2</v>
      </c>
      <c r="F1175" s="5">
        <f t="shared" si="308"/>
        <v>0</v>
      </c>
      <c r="G1175" s="1">
        <f t="shared" si="309"/>
        <v>5635</v>
      </c>
      <c r="H1175" s="2">
        <f t="shared" si="305"/>
        <v>0.71792585042680601</v>
      </c>
      <c r="I1175" s="6"/>
      <c r="J1175" s="2">
        <f t="shared" si="310"/>
        <v>0.83590266275958724</v>
      </c>
      <c r="K1175" s="2">
        <f t="shared" si="311"/>
        <v>0.11797681233278125</v>
      </c>
      <c r="L1175" s="2">
        <f t="shared" si="312"/>
        <v>0</v>
      </c>
      <c r="M1175" s="2">
        <f t="shared" si="313"/>
        <v>4.6120524907631508E-2</v>
      </c>
      <c r="N1175" s="63">
        <v>6561</v>
      </c>
      <c r="O1175" s="63">
        <v>926</v>
      </c>
      <c r="P1175" s="63">
        <v>0</v>
      </c>
      <c r="Q1175" s="63">
        <v>189</v>
      </c>
      <c r="R1175" s="63">
        <v>50</v>
      </c>
      <c r="S1175" s="63"/>
      <c r="T1175" s="63">
        <v>1</v>
      </c>
      <c r="U1175" s="63"/>
      <c r="V1175" s="63"/>
      <c r="W1175" s="63">
        <f t="shared" si="314"/>
        <v>122</v>
      </c>
      <c r="X1175" s="63"/>
      <c r="Y1175" s="63"/>
      <c r="Z1175" s="63"/>
      <c r="AA1175" s="63"/>
      <c r="AB1175" s="63"/>
      <c r="AT1175" t="str">
        <f t="shared" ref="AT1175:AT1234" si="316">A1175</f>
        <v>Hanover</v>
      </c>
      <c r="AU1175" t="s">
        <v>2260</v>
      </c>
      <c r="AV1175">
        <v>2</v>
      </c>
      <c r="AW1175">
        <v>2</v>
      </c>
      <c r="AX1175" s="114">
        <v>33</v>
      </c>
      <c r="AY1175" s="116">
        <v>9</v>
      </c>
      <c r="AZ1175" s="116">
        <v>85</v>
      </c>
      <c r="BA1175" s="120">
        <v>33860</v>
      </c>
      <c r="BB1175" s="120">
        <f t="shared" si="306"/>
        <v>33009</v>
      </c>
      <c r="BC1175" t="s">
        <v>1472</v>
      </c>
      <c r="BD1175">
        <f t="shared" si="315"/>
        <v>3333860</v>
      </c>
      <c r="BI1175">
        <v>50.21</v>
      </c>
      <c r="BJ1175">
        <v>1.1200000000000001</v>
      </c>
      <c r="BK1175">
        <v>49.09</v>
      </c>
      <c r="BP1175" s="1">
        <v>122</v>
      </c>
      <c r="BR1175">
        <v>14</v>
      </c>
    </row>
    <row r="1176" spans="1:70" hidden="1" outlineLevel="1">
      <c r="A1176" t="s">
        <v>1880</v>
      </c>
      <c r="B1176" s="8" t="s">
        <v>1799</v>
      </c>
      <c r="C1176" s="1">
        <f t="shared" si="307"/>
        <v>692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308"/>
        <v>6</v>
      </c>
      <c r="G1176" s="1">
        <f t="shared" si="309"/>
        <v>244</v>
      </c>
      <c r="H1176" s="2">
        <f t="shared" si="305"/>
        <v>0.35260115606936415</v>
      </c>
      <c r="I1176" s="6"/>
      <c r="J1176" s="2">
        <f t="shared" si="310"/>
        <v>0.6445086705202312</v>
      </c>
      <c r="K1176" s="2">
        <f t="shared" si="311"/>
        <v>0.29190751445086704</v>
      </c>
      <c r="L1176" s="2">
        <f t="shared" si="312"/>
        <v>2.8901734104046241E-3</v>
      </c>
      <c r="M1176" s="2">
        <f t="shared" si="313"/>
        <v>6.0693641618497135E-2</v>
      </c>
      <c r="N1176" s="63">
        <v>446</v>
      </c>
      <c r="O1176" s="63">
        <v>202</v>
      </c>
      <c r="P1176" s="63">
        <v>2</v>
      </c>
      <c r="Q1176" s="63">
        <v>21</v>
      </c>
      <c r="R1176" s="63">
        <v>7</v>
      </c>
      <c r="S1176" s="63"/>
      <c r="T1176" s="63">
        <v>1</v>
      </c>
      <c r="U1176" s="63"/>
      <c r="V1176" s="63"/>
      <c r="W1176" s="63">
        <f t="shared" si="314"/>
        <v>13</v>
      </c>
      <c r="X1176" s="63"/>
      <c r="Y1176" s="63"/>
      <c r="Z1176" s="63"/>
      <c r="AA1176" s="63"/>
      <c r="AB1176" s="63"/>
      <c r="AT1176" t="str">
        <f t="shared" si="316"/>
        <v>Harrisville</v>
      </c>
      <c r="AU1176" t="s">
        <v>1463</v>
      </c>
      <c r="AV1176">
        <v>2</v>
      </c>
      <c r="AW1176">
        <v>2</v>
      </c>
      <c r="AX1176" s="114">
        <v>33</v>
      </c>
      <c r="AY1176" s="116">
        <v>5</v>
      </c>
      <c r="AZ1176" s="116">
        <v>30</v>
      </c>
      <c r="BA1176" s="120">
        <v>34420</v>
      </c>
      <c r="BB1176" s="120">
        <f t="shared" si="306"/>
        <v>33005</v>
      </c>
      <c r="BC1176" t="s">
        <v>1472</v>
      </c>
      <c r="BD1176">
        <f t="shared" si="315"/>
        <v>3334420</v>
      </c>
      <c r="BI1176">
        <v>20.25</v>
      </c>
      <c r="BJ1176">
        <v>1.51</v>
      </c>
      <c r="BK1176">
        <v>18.739999999999998</v>
      </c>
      <c r="BP1176" s="1">
        <v>15</v>
      </c>
      <c r="BR1176">
        <v>7</v>
      </c>
    </row>
    <row r="1177" spans="1:70" hidden="1" outlineLevel="1">
      <c r="A1177" t="s">
        <v>1695</v>
      </c>
      <c r="B1177" s="8" t="s">
        <v>1799</v>
      </c>
      <c r="C1177" s="1">
        <f t="shared" si="307"/>
        <v>38</v>
      </c>
      <c r="D1177" s="5">
        <f>IF(N1177&gt;0, RANK(N1177,(N1177:P1177,Q1177:AE1177)),0)</f>
        <v>1</v>
      </c>
      <c r="E1177" s="5">
        <f>IF(O1177&gt;0,RANK(O1177,(N1177:P1177,Q1177:AE1177)),0)</f>
        <v>2</v>
      </c>
      <c r="F1177" s="5">
        <f t="shared" si="308"/>
        <v>0</v>
      </c>
      <c r="G1177" s="1">
        <f t="shared" si="309"/>
        <v>3</v>
      </c>
      <c r="H1177" s="2">
        <f t="shared" si="305"/>
        <v>7.8947368421052627E-2</v>
      </c>
      <c r="I1177" s="6"/>
      <c r="J1177" s="2">
        <f t="shared" si="310"/>
        <v>0.44736842105263158</v>
      </c>
      <c r="K1177" s="2">
        <f t="shared" si="311"/>
        <v>0.36842105263157893</v>
      </c>
      <c r="L1177" s="2">
        <f t="shared" si="312"/>
        <v>0</v>
      </c>
      <c r="M1177" s="2">
        <f t="shared" si="313"/>
        <v>0.18421052631578944</v>
      </c>
      <c r="N1177" s="63">
        <v>17</v>
      </c>
      <c r="O1177" s="63">
        <v>14</v>
      </c>
      <c r="P1177" s="63">
        <v>0</v>
      </c>
      <c r="Q1177" s="63">
        <v>3</v>
      </c>
      <c r="R1177" s="63">
        <v>0</v>
      </c>
      <c r="S1177" s="63"/>
      <c r="T1177" s="63">
        <v>0</v>
      </c>
      <c r="U1177" s="63"/>
      <c r="V1177" s="63"/>
      <c r="W1177" s="63">
        <f t="shared" si="314"/>
        <v>4</v>
      </c>
      <c r="X1177" s="63"/>
      <c r="Y1177" s="63"/>
      <c r="Z1177" s="63"/>
      <c r="AA1177" s="63"/>
      <c r="AB1177" s="63"/>
      <c r="AT1177" t="str">
        <f t="shared" si="316"/>
        <v>Hart's Location</v>
      </c>
      <c r="AU1177" t="s">
        <v>1675</v>
      </c>
      <c r="AV1177">
        <v>1</v>
      </c>
      <c r="AW1177">
        <v>1</v>
      </c>
      <c r="AX1177" s="114">
        <v>33</v>
      </c>
      <c r="AY1177" s="116">
        <v>3</v>
      </c>
      <c r="AZ1177" s="116">
        <v>50</v>
      </c>
      <c r="BA1177" s="120">
        <v>34500</v>
      </c>
      <c r="BB1177" s="120">
        <f t="shared" si="306"/>
        <v>33003</v>
      </c>
      <c r="BC1177" t="s">
        <v>1472</v>
      </c>
      <c r="BD1177">
        <f t="shared" si="315"/>
        <v>3334500</v>
      </c>
      <c r="BI1177">
        <v>18.600000000000001</v>
      </c>
      <c r="BJ1177">
        <v>0</v>
      </c>
      <c r="BK1177">
        <v>18.600000000000001</v>
      </c>
      <c r="BP1177" s="1">
        <v>4</v>
      </c>
      <c r="BR1177">
        <v>2</v>
      </c>
    </row>
    <row r="1178" spans="1:70" hidden="1" outlineLevel="1">
      <c r="A1178" t="s">
        <v>1461</v>
      </c>
      <c r="B1178" s="8" t="s">
        <v>1799</v>
      </c>
      <c r="C1178" s="1">
        <f t="shared" si="307"/>
        <v>2165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 t="shared" si="308"/>
        <v>0</v>
      </c>
      <c r="G1178" s="1">
        <f t="shared" si="309"/>
        <v>401</v>
      </c>
      <c r="H1178" s="2">
        <f t="shared" si="305"/>
        <v>0.18521939953810623</v>
      </c>
      <c r="I1178" s="6"/>
      <c r="J1178" s="2">
        <f t="shared" si="310"/>
        <v>0.3625866050808314</v>
      </c>
      <c r="K1178" s="2">
        <f t="shared" si="311"/>
        <v>0.54780600461893769</v>
      </c>
      <c r="L1178" s="2">
        <f t="shared" si="312"/>
        <v>0</v>
      </c>
      <c r="M1178" s="2">
        <f t="shared" si="313"/>
        <v>8.9607390300230905E-2</v>
      </c>
      <c r="N1178" s="63">
        <v>785</v>
      </c>
      <c r="O1178" s="63">
        <v>1186</v>
      </c>
      <c r="P1178" s="63">
        <v>0</v>
      </c>
      <c r="Q1178" s="63">
        <v>106</v>
      </c>
      <c r="R1178" s="63">
        <v>21</v>
      </c>
      <c r="S1178" s="63"/>
      <c r="T1178" s="63">
        <v>4</v>
      </c>
      <c r="U1178" s="63"/>
      <c r="V1178" s="63"/>
      <c r="W1178" s="63">
        <f t="shared" si="314"/>
        <v>63</v>
      </c>
      <c r="X1178" s="63"/>
      <c r="Y1178" s="63"/>
      <c r="Z1178" s="63"/>
      <c r="AA1178" s="63"/>
      <c r="AB1178" s="63"/>
      <c r="AT1178" t="str">
        <f t="shared" si="316"/>
        <v>Haverhill</v>
      </c>
      <c r="AU1178" t="s">
        <v>2260</v>
      </c>
      <c r="AV1178">
        <v>2</v>
      </c>
      <c r="AW1178">
        <v>2</v>
      </c>
      <c r="AX1178" s="114">
        <v>33</v>
      </c>
      <c r="AY1178" s="116">
        <v>9</v>
      </c>
      <c r="AZ1178" s="116">
        <v>90</v>
      </c>
      <c r="BA1178" s="120">
        <v>34820</v>
      </c>
      <c r="BB1178" s="120">
        <f t="shared" si="306"/>
        <v>33009</v>
      </c>
      <c r="BC1178" t="s">
        <v>1472</v>
      </c>
      <c r="BD1178">
        <f t="shared" si="315"/>
        <v>3334820</v>
      </c>
      <c r="BI1178">
        <v>52.44</v>
      </c>
      <c r="BJ1178">
        <v>1.36</v>
      </c>
      <c r="BK1178">
        <v>51.08</v>
      </c>
      <c r="BP1178" s="1">
        <v>63</v>
      </c>
      <c r="BR1178">
        <v>47</v>
      </c>
    </row>
    <row r="1179" spans="1:70" hidden="1" outlineLevel="1">
      <c r="A1179" t="s">
        <v>976</v>
      </c>
      <c r="B1179" s="8" t="s">
        <v>1799</v>
      </c>
      <c r="C1179" s="1">
        <f t="shared" si="307"/>
        <v>440</v>
      </c>
      <c r="D1179" s="5">
        <f>IF(N1179&gt;0, RANK(N1179,(N1179:P1179,Q1179:AE1179)),0)</f>
        <v>2</v>
      </c>
      <c r="E1179" s="5">
        <f>IF(O1179&gt;0,RANK(O1179,(N1179:P1179,Q1179:AE1179)),0)</f>
        <v>1</v>
      </c>
      <c r="F1179" s="5">
        <f t="shared" si="308"/>
        <v>0</v>
      </c>
      <c r="G1179" s="1">
        <f t="shared" si="309"/>
        <v>63</v>
      </c>
      <c r="H1179" s="2">
        <f t="shared" si="305"/>
        <v>0.14318181818181819</v>
      </c>
      <c r="I1179" s="6"/>
      <c r="J1179" s="2">
        <f t="shared" si="310"/>
        <v>0.39772727272727271</v>
      </c>
      <c r="K1179" s="2">
        <f t="shared" si="311"/>
        <v>0.54090909090909089</v>
      </c>
      <c r="L1179" s="2">
        <f t="shared" si="312"/>
        <v>0</v>
      </c>
      <c r="M1179" s="2">
        <f t="shared" si="313"/>
        <v>6.1363636363636398E-2</v>
      </c>
      <c r="N1179" s="63">
        <v>175</v>
      </c>
      <c r="O1179" s="63">
        <v>238</v>
      </c>
      <c r="P1179" s="63">
        <v>0</v>
      </c>
      <c r="Q1179" s="63">
        <v>13</v>
      </c>
      <c r="R1179" s="63">
        <v>2</v>
      </c>
      <c r="S1179" s="63"/>
      <c r="T1179" s="63">
        <v>0</v>
      </c>
      <c r="U1179" s="63"/>
      <c r="V1179" s="63"/>
      <c r="W1179" s="63">
        <f t="shared" si="314"/>
        <v>12</v>
      </c>
      <c r="X1179" s="63"/>
      <c r="Y1179" s="63"/>
      <c r="Z1179" s="63"/>
      <c r="AA1179" s="63"/>
      <c r="AB1179" s="63"/>
      <c r="AT1179" t="str">
        <f t="shared" si="316"/>
        <v>Hebron</v>
      </c>
      <c r="AU1179" t="s">
        <v>2260</v>
      </c>
      <c r="AV1179">
        <v>2</v>
      </c>
      <c r="AW1179">
        <v>2</v>
      </c>
      <c r="AX1179" s="114">
        <v>33</v>
      </c>
      <c r="AY1179" s="116">
        <v>9</v>
      </c>
      <c r="AZ1179" s="116">
        <v>95</v>
      </c>
      <c r="BA1179" s="120">
        <v>35220</v>
      </c>
      <c r="BB1179" s="120">
        <f t="shared" si="306"/>
        <v>33009</v>
      </c>
      <c r="BC1179" t="s">
        <v>1472</v>
      </c>
      <c r="BD1179">
        <f t="shared" si="315"/>
        <v>3335220</v>
      </c>
      <c r="BI1179">
        <v>18.899999999999999</v>
      </c>
      <c r="BJ1179">
        <v>2.06</v>
      </c>
      <c r="BK1179">
        <v>16.829999999999998</v>
      </c>
      <c r="BP1179" s="1">
        <v>12</v>
      </c>
      <c r="BR1179">
        <v>5</v>
      </c>
    </row>
    <row r="1180" spans="1:70" hidden="1" outlineLevel="1">
      <c r="A1180" t="s">
        <v>3010</v>
      </c>
      <c r="B1180" s="8" t="s">
        <v>1799</v>
      </c>
      <c r="C1180" s="1">
        <f t="shared" si="307"/>
        <v>2723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308"/>
        <v>6</v>
      </c>
      <c r="G1180" s="1">
        <f t="shared" si="309"/>
        <v>369</v>
      </c>
      <c r="H1180" s="2">
        <f t="shared" si="305"/>
        <v>0.13551230260741828</v>
      </c>
      <c r="I1180" s="6"/>
      <c r="J1180" s="2">
        <f t="shared" si="310"/>
        <v>0.52478883584282043</v>
      </c>
      <c r="K1180" s="2">
        <f t="shared" si="311"/>
        <v>0.38927653323540212</v>
      </c>
      <c r="L1180" s="2">
        <f t="shared" si="312"/>
        <v>1.4689680499449136E-3</v>
      </c>
      <c r="M1180" s="2">
        <f t="shared" si="313"/>
        <v>8.4465662871832534E-2</v>
      </c>
      <c r="N1180" s="63">
        <v>1429</v>
      </c>
      <c r="O1180" s="63">
        <v>1060</v>
      </c>
      <c r="P1180" s="63">
        <v>4</v>
      </c>
      <c r="Q1180" s="63">
        <v>134</v>
      </c>
      <c r="R1180" s="63">
        <v>38</v>
      </c>
      <c r="S1180" s="63"/>
      <c r="T1180" s="63">
        <v>2</v>
      </c>
      <c r="U1180" s="63"/>
      <c r="V1180" s="63"/>
      <c r="W1180" s="63">
        <f t="shared" si="314"/>
        <v>56</v>
      </c>
      <c r="X1180" s="63"/>
      <c r="Y1180" s="63"/>
      <c r="Z1180" s="63"/>
      <c r="AA1180" s="63"/>
      <c r="AB1180" s="63"/>
      <c r="AT1180" t="str">
        <f t="shared" si="316"/>
        <v>Henniker</v>
      </c>
      <c r="AU1180" t="s">
        <v>2494</v>
      </c>
      <c r="AV1180">
        <v>2</v>
      </c>
      <c r="AW1180">
        <v>2</v>
      </c>
      <c r="AX1180" s="114">
        <v>33</v>
      </c>
      <c r="AY1180" s="116">
        <v>13</v>
      </c>
      <c r="AZ1180" s="116">
        <v>65</v>
      </c>
      <c r="BA1180" s="120">
        <v>35540</v>
      </c>
      <c r="BB1180" s="120">
        <f t="shared" si="306"/>
        <v>33013</v>
      </c>
      <c r="BC1180" t="s">
        <v>1472</v>
      </c>
      <c r="BD1180">
        <f t="shared" si="315"/>
        <v>3335540</v>
      </c>
      <c r="BI1180">
        <v>44.81</v>
      </c>
      <c r="BJ1180">
        <v>0.68</v>
      </c>
      <c r="BK1180">
        <v>44.13</v>
      </c>
      <c r="BP1180" s="1">
        <v>60</v>
      </c>
      <c r="BR1180">
        <v>28</v>
      </c>
    </row>
    <row r="1181" spans="1:70" hidden="1" outlineLevel="1">
      <c r="A1181" t="s">
        <v>1566</v>
      </c>
      <c r="B1181" s="8" t="s">
        <v>1799</v>
      </c>
      <c r="C1181" s="1">
        <f t="shared" si="307"/>
        <v>552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 t="shared" si="308"/>
        <v>6</v>
      </c>
      <c r="G1181" s="1">
        <f t="shared" si="309"/>
        <v>165</v>
      </c>
      <c r="H1181" s="2">
        <f t="shared" si="305"/>
        <v>0.29891304347826086</v>
      </c>
      <c r="I1181" s="6"/>
      <c r="J1181" s="2">
        <f t="shared" si="310"/>
        <v>0.3188405797101449</v>
      </c>
      <c r="K1181" s="2">
        <f t="shared" si="311"/>
        <v>0.61775362318840576</v>
      </c>
      <c r="L1181" s="2">
        <f t="shared" si="312"/>
        <v>1.8115942028985507E-3</v>
      </c>
      <c r="M1181" s="2">
        <f t="shared" si="313"/>
        <v>6.1594202898550783E-2</v>
      </c>
      <c r="N1181" s="63">
        <v>176</v>
      </c>
      <c r="O1181" s="63">
        <v>341</v>
      </c>
      <c r="P1181" s="63">
        <v>1</v>
      </c>
      <c r="Q1181" s="63">
        <v>17</v>
      </c>
      <c r="R1181" s="63">
        <v>5</v>
      </c>
      <c r="S1181" s="63"/>
      <c r="T1181" s="63">
        <v>0</v>
      </c>
      <c r="U1181" s="63"/>
      <c r="V1181" s="63"/>
      <c r="W1181" s="63">
        <f t="shared" si="314"/>
        <v>12</v>
      </c>
      <c r="X1181" s="63"/>
      <c r="Y1181" s="63"/>
      <c r="Z1181" s="63"/>
      <c r="AA1181" s="63"/>
      <c r="AB1181" s="63"/>
      <c r="AT1181" t="str">
        <f t="shared" si="316"/>
        <v>Hill</v>
      </c>
      <c r="AU1181" t="s">
        <v>2494</v>
      </c>
      <c r="AV1181">
        <v>2</v>
      </c>
      <c r="AW1181">
        <v>2</v>
      </c>
      <c r="AX1181" s="114">
        <v>33</v>
      </c>
      <c r="AY1181" s="116">
        <v>13</v>
      </c>
      <c r="AZ1181" s="116">
        <v>70</v>
      </c>
      <c r="BA1181" s="120">
        <v>35860</v>
      </c>
      <c r="BB1181" s="120">
        <f t="shared" si="306"/>
        <v>33013</v>
      </c>
      <c r="BC1181" t="s">
        <v>1472</v>
      </c>
      <c r="BD1181">
        <f t="shared" si="315"/>
        <v>3335860</v>
      </c>
      <c r="BI1181">
        <v>26.87</v>
      </c>
      <c r="BJ1181">
        <v>0.16</v>
      </c>
      <c r="BK1181">
        <v>26.71</v>
      </c>
      <c r="BP1181" s="1">
        <v>13</v>
      </c>
      <c r="BR1181">
        <v>6</v>
      </c>
    </row>
    <row r="1182" spans="1:70" hidden="1" outlineLevel="1">
      <c r="A1182" t="s">
        <v>1161</v>
      </c>
      <c r="B1182" s="8" t="s">
        <v>1799</v>
      </c>
      <c r="C1182" s="1">
        <f t="shared" si="307"/>
        <v>3018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308"/>
        <v>0</v>
      </c>
      <c r="G1182" s="1">
        <f t="shared" si="309"/>
        <v>390</v>
      </c>
      <c r="H1182" s="2">
        <f t="shared" si="305"/>
        <v>0.12922465208747516</v>
      </c>
      <c r="I1182" s="6"/>
      <c r="J1182" s="2">
        <f t="shared" si="310"/>
        <v>0.39695162359178265</v>
      </c>
      <c r="K1182" s="2">
        <f t="shared" si="311"/>
        <v>0.52617627567925773</v>
      </c>
      <c r="L1182" s="2">
        <f t="shared" si="312"/>
        <v>0</v>
      </c>
      <c r="M1182" s="2">
        <f t="shared" si="313"/>
        <v>7.6872100728959558E-2</v>
      </c>
      <c r="N1182" s="63">
        <v>1198</v>
      </c>
      <c r="O1182" s="63">
        <v>1588</v>
      </c>
      <c r="P1182" s="63">
        <v>0</v>
      </c>
      <c r="Q1182" s="63">
        <v>153</v>
      </c>
      <c r="R1182" s="63">
        <v>25</v>
      </c>
      <c r="S1182" s="63"/>
      <c r="T1182" s="63">
        <v>2</v>
      </c>
      <c r="U1182" s="63"/>
      <c r="V1182" s="63"/>
      <c r="W1182" s="63">
        <f t="shared" si="314"/>
        <v>52</v>
      </c>
      <c r="X1182" s="63"/>
      <c r="Y1182" s="63"/>
      <c r="Z1182" s="63"/>
      <c r="AA1182" s="63"/>
      <c r="AB1182" s="63"/>
      <c r="AT1182" t="str">
        <f t="shared" si="316"/>
        <v>Hillsborough</v>
      </c>
      <c r="AU1182" t="s">
        <v>1161</v>
      </c>
      <c r="AV1182">
        <v>2</v>
      </c>
      <c r="AW1182">
        <v>2</v>
      </c>
      <c r="AX1182" s="114">
        <v>33</v>
      </c>
      <c r="AY1182" s="116">
        <v>11</v>
      </c>
      <c r="AZ1182" s="116">
        <v>60</v>
      </c>
      <c r="BA1182" s="120">
        <v>36180</v>
      </c>
      <c r="BB1182" s="120">
        <f t="shared" si="306"/>
        <v>33011</v>
      </c>
      <c r="BC1182" t="s">
        <v>1472</v>
      </c>
      <c r="BD1182">
        <f t="shared" si="315"/>
        <v>3336180</v>
      </c>
      <c r="BI1182">
        <v>44.63</v>
      </c>
      <c r="BJ1182">
        <v>1</v>
      </c>
      <c r="BK1182">
        <v>43.63</v>
      </c>
      <c r="BP1182" s="1">
        <v>52</v>
      </c>
      <c r="BR1182">
        <v>30</v>
      </c>
    </row>
    <row r="1183" spans="1:70" hidden="1" outlineLevel="1">
      <c r="A1183" t="s">
        <v>1671</v>
      </c>
      <c r="B1183" s="8" t="s">
        <v>1799</v>
      </c>
      <c r="C1183" s="1">
        <f t="shared" si="307"/>
        <v>1774</v>
      </c>
      <c r="D1183" s="5">
        <f>IF(N1183&gt;0, RANK(N1183,(N1183:P1183,Q1183:AE1183)),0)</f>
        <v>1</v>
      </c>
      <c r="E1183" s="5">
        <f>IF(O1183&gt;0,RANK(O1183,(N1183:P1183,Q1183:AE1183)),0)</f>
        <v>2</v>
      </c>
      <c r="F1183" s="5">
        <f t="shared" si="308"/>
        <v>0</v>
      </c>
      <c r="G1183" s="1">
        <f t="shared" si="309"/>
        <v>184</v>
      </c>
      <c r="H1183" s="2">
        <f t="shared" si="305"/>
        <v>0.10372040586245772</v>
      </c>
      <c r="I1183" s="6"/>
      <c r="J1183" s="2">
        <f t="shared" si="310"/>
        <v>0.51691093573844415</v>
      </c>
      <c r="K1183" s="2">
        <f t="shared" si="311"/>
        <v>0.41319052987598648</v>
      </c>
      <c r="L1183" s="2">
        <f t="shared" si="312"/>
        <v>0</v>
      </c>
      <c r="M1183" s="2">
        <f t="shared" si="313"/>
        <v>6.9898534385569366E-2</v>
      </c>
      <c r="N1183" s="63">
        <v>917</v>
      </c>
      <c r="O1183" s="63">
        <v>733</v>
      </c>
      <c r="P1183" s="63">
        <v>0</v>
      </c>
      <c r="Q1183" s="63">
        <v>47</v>
      </c>
      <c r="R1183" s="63">
        <v>21</v>
      </c>
      <c r="S1183" s="63"/>
      <c r="T1183" s="63">
        <v>4</v>
      </c>
      <c r="U1183" s="63"/>
      <c r="V1183" s="63"/>
      <c r="W1183" s="63">
        <f t="shared" si="314"/>
        <v>52</v>
      </c>
      <c r="X1183" s="63"/>
      <c r="Y1183" s="63"/>
      <c r="Z1183" s="63"/>
      <c r="AA1183" s="63"/>
      <c r="AB1183" s="63"/>
      <c r="AT1183" t="str">
        <f t="shared" si="316"/>
        <v>Hinsdale</v>
      </c>
      <c r="AU1183" t="s">
        <v>1463</v>
      </c>
      <c r="AV1183">
        <v>2</v>
      </c>
      <c r="AW1183">
        <v>2</v>
      </c>
      <c r="AX1183" s="114">
        <v>33</v>
      </c>
      <c r="AY1183" s="116">
        <v>5</v>
      </c>
      <c r="AZ1183" s="116">
        <v>35</v>
      </c>
      <c r="BA1183" s="120">
        <v>36660</v>
      </c>
      <c r="BB1183" s="120">
        <f t="shared" si="306"/>
        <v>33005</v>
      </c>
      <c r="BC1183" t="s">
        <v>1472</v>
      </c>
      <c r="BD1183">
        <f t="shared" si="315"/>
        <v>3336660</v>
      </c>
      <c r="BI1183">
        <v>22.78</v>
      </c>
      <c r="BJ1183">
        <v>2.1</v>
      </c>
      <c r="BK1183">
        <v>20.68</v>
      </c>
      <c r="BP1183" s="1">
        <v>52</v>
      </c>
      <c r="BR1183">
        <v>44</v>
      </c>
    </row>
    <row r="1184" spans="1:70" hidden="1" outlineLevel="1">
      <c r="A1184" t="s">
        <v>1330</v>
      </c>
      <c r="B1184" s="8" t="s">
        <v>1799</v>
      </c>
      <c r="C1184" s="1">
        <f t="shared" si="307"/>
        <v>1330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308"/>
        <v>7</v>
      </c>
      <c r="G1184" s="1">
        <f t="shared" si="309"/>
        <v>158</v>
      </c>
      <c r="H1184" s="2">
        <f t="shared" ref="H1184:H1247" si="317">IF(C1184&gt;0,G1184/C1184,0)</f>
        <v>0.11879699248120301</v>
      </c>
      <c r="I1184" s="6"/>
      <c r="J1184" s="2">
        <f t="shared" si="310"/>
        <v>0.52932330827067664</v>
      </c>
      <c r="K1184" s="2">
        <f t="shared" si="311"/>
        <v>0.41052631578947368</v>
      </c>
      <c r="L1184" s="2">
        <f t="shared" si="312"/>
        <v>2.255639097744361E-3</v>
      </c>
      <c r="M1184" s="2">
        <f t="shared" si="313"/>
        <v>5.7894736842105318E-2</v>
      </c>
      <c r="N1184" s="63">
        <v>704</v>
      </c>
      <c r="O1184" s="63">
        <v>546</v>
      </c>
      <c r="P1184" s="63">
        <v>3</v>
      </c>
      <c r="Q1184" s="63">
        <v>43</v>
      </c>
      <c r="R1184" s="63">
        <v>9</v>
      </c>
      <c r="S1184" s="63"/>
      <c r="T1184" s="63">
        <v>4</v>
      </c>
      <c r="U1184" s="63"/>
      <c r="V1184" s="63"/>
      <c r="W1184" s="63">
        <f t="shared" si="314"/>
        <v>21</v>
      </c>
      <c r="X1184" s="63"/>
      <c r="Y1184" s="63"/>
      <c r="Z1184" s="63"/>
      <c r="AA1184" s="63"/>
      <c r="AB1184" s="63"/>
      <c r="AT1184" t="str">
        <f t="shared" si="316"/>
        <v>Holderness</v>
      </c>
      <c r="AU1184" t="s">
        <v>2260</v>
      </c>
      <c r="AV1184">
        <v>2</v>
      </c>
      <c r="AW1184">
        <v>2</v>
      </c>
      <c r="AX1184" s="114">
        <v>33</v>
      </c>
      <c r="AY1184" s="116">
        <v>9</v>
      </c>
      <c r="AZ1184" s="116">
        <v>100</v>
      </c>
      <c r="BA1184" s="120">
        <v>36900</v>
      </c>
      <c r="BB1184" s="120">
        <f t="shared" si="306"/>
        <v>33009</v>
      </c>
      <c r="BC1184" t="s">
        <v>1472</v>
      </c>
      <c r="BD1184">
        <f t="shared" si="315"/>
        <v>3336900</v>
      </c>
      <c r="BI1184">
        <v>35.630000000000003</v>
      </c>
      <c r="BJ1184">
        <v>5.25</v>
      </c>
      <c r="BK1184">
        <v>30.38</v>
      </c>
      <c r="BP1184" s="1">
        <v>24</v>
      </c>
      <c r="BR1184">
        <v>8</v>
      </c>
    </row>
    <row r="1185" spans="1:70" hidden="1" outlineLevel="1">
      <c r="A1185" t="s">
        <v>2287</v>
      </c>
      <c r="B1185" s="8" t="s">
        <v>1799</v>
      </c>
      <c r="C1185" s="1">
        <f t="shared" si="307"/>
        <v>5228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308"/>
        <v>6</v>
      </c>
      <c r="G1185" s="1">
        <f t="shared" si="309"/>
        <v>219</v>
      </c>
      <c r="H1185" s="2">
        <f t="shared" si="317"/>
        <v>4.1889824024483553E-2</v>
      </c>
      <c r="I1185" s="6"/>
      <c r="J1185" s="2">
        <f t="shared" si="310"/>
        <v>0.48374139250191278</v>
      </c>
      <c r="K1185" s="2">
        <f t="shared" si="311"/>
        <v>0.44185156847742924</v>
      </c>
      <c r="L1185" s="2">
        <f t="shared" si="312"/>
        <v>2.4866105585309869E-3</v>
      </c>
      <c r="M1185" s="2">
        <f t="shared" si="313"/>
        <v>7.1920428462127053E-2</v>
      </c>
      <c r="N1185" s="63">
        <v>2529</v>
      </c>
      <c r="O1185" s="63">
        <v>2310</v>
      </c>
      <c r="P1185" s="63">
        <v>13</v>
      </c>
      <c r="Q1185" s="63">
        <v>251</v>
      </c>
      <c r="R1185" s="63">
        <v>47</v>
      </c>
      <c r="S1185" s="63"/>
      <c r="T1185" s="63">
        <v>1</v>
      </c>
      <c r="U1185" s="63"/>
      <c r="V1185" s="63"/>
      <c r="W1185" s="63">
        <f t="shared" si="314"/>
        <v>77</v>
      </c>
      <c r="X1185" s="63"/>
      <c r="Y1185" s="63"/>
      <c r="Z1185" s="63"/>
      <c r="AA1185" s="63"/>
      <c r="AB1185" s="63"/>
      <c r="AT1185" t="str">
        <f t="shared" si="316"/>
        <v>Hollis</v>
      </c>
      <c r="AU1185" t="s">
        <v>1161</v>
      </c>
      <c r="AV1185">
        <v>2</v>
      </c>
      <c r="AW1185">
        <v>2</v>
      </c>
      <c r="AX1185" s="114">
        <v>33</v>
      </c>
      <c r="AY1185" s="116">
        <v>11</v>
      </c>
      <c r="AZ1185" s="116">
        <v>65</v>
      </c>
      <c r="BA1185" s="120">
        <v>37140</v>
      </c>
      <c r="BB1185" s="120">
        <f t="shared" si="306"/>
        <v>33011</v>
      </c>
      <c r="BC1185" t="s">
        <v>1472</v>
      </c>
      <c r="BD1185">
        <f t="shared" si="315"/>
        <v>3337140</v>
      </c>
      <c r="BI1185">
        <v>32.31</v>
      </c>
      <c r="BJ1185">
        <v>0.56999999999999995</v>
      </c>
      <c r="BK1185">
        <v>31.75</v>
      </c>
      <c r="BP1185" s="1">
        <v>90</v>
      </c>
      <c r="BR1185">
        <v>16</v>
      </c>
    </row>
    <row r="1186" spans="1:70" hidden="1" outlineLevel="1">
      <c r="A1186" t="s">
        <v>2288</v>
      </c>
      <c r="B1186" s="8" t="s">
        <v>1799</v>
      </c>
      <c r="C1186" s="1">
        <f t="shared" si="307"/>
        <v>8172</v>
      </c>
      <c r="D1186" s="5">
        <f>IF(N1186&gt;0, RANK(N1186,(N1186:P1186,Q1186:AE1186)),0)</f>
        <v>2</v>
      </c>
      <c r="E1186" s="5">
        <f>IF(O1186&gt;0,RANK(O1186,(N1186:P1186,Q1186:AE1186)),0)</f>
        <v>1</v>
      </c>
      <c r="F1186" s="5">
        <f t="shared" si="308"/>
        <v>6</v>
      </c>
      <c r="G1186" s="1">
        <f t="shared" si="309"/>
        <v>789</v>
      </c>
      <c r="H1186" s="2">
        <f t="shared" si="317"/>
        <v>9.6549192364170339E-2</v>
      </c>
      <c r="I1186" s="6"/>
      <c r="J1186" s="2">
        <f t="shared" si="310"/>
        <v>0.42046010768477726</v>
      </c>
      <c r="K1186" s="2">
        <f t="shared" si="311"/>
        <v>0.51700930004894763</v>
      </c>
      <c r="L1186" s="2">
        <f t="shared" si="312"/>
        <v>2.0802741067058247E-3</v>
      </c>
      <c r="M1186" s="2">
        <f t="shared" si="313"/>
        <v>6.0450318159569284E-2</v>
      </c>
      <c r="N1186" s="63">
        <v>3436</v>
      </c>
      <c r="O1186" s="63">
        <v>4225</v>
      </c>
      <c r="P1186" s="63">
        <v>17</v>
      </c>
      <c r="Q1186" s="63">
        <v>292</v>
      </c>
      <c r="R1186" s="63">
        <v>53</v>
      </c>
      <c r="S1186" s="63"/>
      <c r="T1186" s="63">
        <v>4</v>
      </c>
      <c r="U1186" s="63"/>
      <c r="V1186" s="63"/>
      <c r="W1186" s="63">
        <f t="shared" si="314"/>
        <v>145</v>
      </c>
      <c r="X1186" s="63"/>
      <c r="Y1186" s="63"/>
      <c r="Z1186" s="63"/>
      <c r="AA1186" s="63"/>
      <c r="AB1186" s="63"/>
      <c r="AT1186" t="str">
        <f t="shared" si="316"/>
        <v>Hooksett</v>
      </c>
      <c r="AU1186" t="s">
        <v>2494</v>
      </c>
      <c r="AV1186">
        <v>1</v>
      </c>
      <c r="AW1186">
        <v>1</v>
      </c>
      <c r="AX1186" s="114">
        <v>33</v>
      </c>
      <c r="AY1186" s="116">
        <v>13</v>
      </c>
      <c r="AZ1186" s="116">
        <v>75</v>
      </c>
      <c r="BA1186" s="120">
        <v>37300</v>
      </c>
      <c r="BB1186" s="120">
        <f t="shared" si="306"/>
        <v>33013</v>
      </c>
      <c r="BC1186" t="s">
        <v>1472</v>
      </c>
      <c r="BD1186">
        <f t="shared" si="315"/>
        <v>3337300</v>
      </c>
      <c r="BI1186">
        <v>37.28</v>
      </c>
      <c r="BJ1186">
        <v>1.05</v>
      </c>
      <c r="BK1186">
        <v>36.22</v>
      </c>
      <c r="BP1186" s="1">
        <v>162</v>
      </c>
      <c r="BR1186">
        <v>43</v>
      </c>
    </row>
    <row r="1187" spans="1:70" hidden="1" outlineLevel="1">
      <c r="A1187" s="8" t="s">
        <v>574</v>
      </c>
      <c r="B1187" s="8" t="s">
        <v>1799</v>
      </c>
      <c r="C1187" s="1">
        <f t="shared" si="307"/>
        <v>3904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308"/>
        <v>6</v>
      </c>
      <c r="G1187" s="1">
        <f t="shared" si="309"/>
        <v>813</v>
      </c>
      <c r="H1187" s="2">
        <f t="shared" si="317"/>
        <v>0.20824795081967212</v>
      </c>
      <c r="I1187" s="6"/>
      <c r="J1187" s="2">
        <f t="shared" si="310"/>
        <v>0.57377049180327866</v>
      </c>
      <c r="K1187" s="2">
        <f t="shared" si="311"/>
        <v>0.36552254098360654</v>
      </c>
      <c r="L1187" s="2">
        <f t="shared" si="312"/>
        <v>7.6844262295081966E-4</v>
      </c>
      <c r="M1187" s="2">
        <f t="shared" si="313"/>
        <v>5.9938524590163987E-2</v>
      </c>
      <c r="N1187" s="63">
        <v>2240</v>
      </c>
      <c r="O1187" s="63">
        <v>1427</v>
      </c>
      <c r="P1187" s="63">
        <v>3</v>
      </c>
      <c r="Q1187" s="63">
        <v>138</v>
      </c>
      <c r="R1187" s="63">
        <v>38</v>
      </c>
      <c r="S1187" s="63"/>
      <c r="T1187" s="63">
        <v>2</v>
      </c>
      <c r="U1187" s="63"/>
      <c r="V1187" s="63"/>
      <c r="W1187" s="63">
        <f t="shared" si="314"/>
        <v>56</v>
      </c>
      <c r="X1187" s="63"/>
      <c r="Y1187" s="63"/>
      <c r="Z1187" s="63"/>
      <c r="AA1187" s="63"/>
      <c r="AB1187" s="63"/>
      <c r="AT1187" t="str">
        <f t="shared" si="316"/>
        <v>Hopkinton</v>
      </c>
      <c r="AU1187" t="s">
        <v>2494</v>
      </c>
      <c r="AV1187">
        <v>2</v>
      </c>
      <c r="AW1187">
        <v>2</v>
      </c>
      <c r="AX1187" s="114">
        <v>33</v>
      </c>
      <c r="AY1187" s="116">
        <v>13</v>
      </c>
      <c r="AZ1187" s="116">
        <v>80</v>
      </c>
      <c r="BA1187" s="120">
        <v>37540</v>
      </c>
      <c r="BB1187" s="120">
        <f t="shared" ref="BB1187:BB1250" si="318">AX1187*1000+AY1187</f>
        <v>33013</v>
      </c>
      <c r="BC1187" t="s">
        <v>1472</v>
      </c>
      <c r="BD1187">
        <f t="shared" si="315"/>
        <v>3337540</v>
      </c>
      <c r="BI1187">
        <v>45.09</v>
      </c>
      <c r="BJ1187">
        <v>1.8</v>
      </c>
      <c r="BK1187">
        <v>43.29</v>
      </c>
      <c r="BP1187" s="1">
        <v>59</v>
      </c>
      <c r="BR1187">
        <v>22</v>
      </c>
    </row>
    <row r="1188" spans="1:70" hidden="1" outlineLevel="1">
      <c r="A1188" t="s">
        <v>2101</v>
      </c>
      <c r="B1188" s="8" t="s">
        <v>1799</v>
      </c>
      <c r="C1188" s="1">
        <f t="shared" si="307"/>
        <v>13357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 t="shared" si="308"/>
        <v>6</v>
      </c>
      <c r="G1188" s="1">
        <f t="shared" si="309"/>
        <v>1914</v>
      </c>
      <c r="H1188" s="2">
        <f t="shared" si="317"/>
        <v>0.14329565022085797</v>
      </c>
      <c r="I1188" s="6"/>
      <c r="J1188" s="2">
        <f t="shared" si="310"/>
        <v>0.39724489031968258</v>
      </c>
      <c r="K1188" s="2">
        <f t="shared" si="311"/>
        <v>0.54054054054054057</v>
      </c>
      <c r="L1188" s="2">
        <f t="shared" si="312"/>
        <v>1.6470764393202067E-3</v>
      </c>
      <c r="M1188" s="2">
        <f t="shared" si="313"/>
        <v>6.0567492700456645E-2</v>
      </c>
      <c r="N1188" s="63">
        <v>5306</v>
      </c>
      <c r="O1188" s="63">
        <v>7220</v>
      </c>
      <c r="P1188" s="63">
        <v>22</v>
      </c>
      <c r="Q1188" s="63">
        <v>545</v>
      </c>
      <c r="R1188" s="63">
        <v>96</v>
      </c>
      <c r="S1188" s="63"/>
      <c r="T1188" s="63">
        <v>16</v>
      </c>
      <c r="U1188" s="63"/>
      <c r="V1188" s="63"/>
      <c r="W1188" s="63">
        <f t="shared" si="314"/>
        <v>152</v>
      </c>
      <c r="X1188" s="63"/>
      <c r="Y1188" s="63"/>
      <c r="Z1188" s="63"/>
      <c r="AA1188" s="63"/>
      <c r="AB1188" s="63"/>
      <c r="AT1188" t="str">
        <f t="shared" si="316"/>
        <v>Hudson</v>
      </c>
      <c r="AU1188" t="s">
        <v>1161</v>
      </c>
      <c r="AV1188">
        <v>2</v>
      </c>
      <c r="AW1188">
        <v>2</v>
      </c>
      <c r="AX1188" s="114">
        <v>33</v>
      </c>
      <c r="AY1188" s="116">
        <v>11</v>
      </c>
      <c r="AZ1188" s="116">
        <v>70</v>
      </c>
      <c r="BA1188" s="120">
        <v>37940</v>
      </c>
      <c r="BB1188" s="120">
        <f t="shared" si="318"/>
        <v>33011</v>
      </c>
      <c r="BC1188" t="s">
        <v>1472</v>
      </c>
      <c r="BD1188">
        <f t="shared" si="315"/>
        <v>3337940</v>
      </c>
      <c r="BI1188">
        <v>29.09</v>
      </c>
      <c r="BJ1188">
        <v>0.82</v>
      </c>
      <c r="BK1188">
        <v>28.27</v>
      </c>
      <c r="BP1188" s="1">
        <v>174</v>
      </c>
      <c r="BR1188">
        <v>47</v>
      </c>
    </row>
    <row r="1189" spans="1:70" hidden="1" outlineLevel="1">
      <c r="A1189" t="s">
        <v>2921</v>
      </c>
      <c r="B1189" s="8" t="s">
        <v>1799</v>
      </c>
      <c r="C1189" s="1">
        <f t="shared" si="307"/>
        <v>689</v>
      </c>
      <c r="D1189" s="5">
        <f>IF(N1189&gt;0, RANK(N1189,(N1189:P1189,Q1189:AE1189)),0)</f>
        <v>1</v>
      </c>
      <c r="E1189" s="5">
        <f>IF(O1189&gt;0,RANK(O1189,(N1189:P1189,Q1189:AE1189)),0)</f>
        <v>2</v>
      </c>
      <c r="F1189" s="5">
        <f t="shared" si="308"/>
        <v>6</v>
      </c>
      <c r="G1189" s="1">
        <f t="shared" si="309"/>
        <v>218</v>
      </c>
      <c r="H1189" s="2">
        <f t="shared" si="317"/>
        <v>0.31640058055152392</v>
      </c>
      <c r="I1189" s="6"/>
      <c r="J1189" s="2">
        <f t="shared" si="310"/>
        <v>0.62409288824383169</v>
      </c>
      <c r="K1189" s="2">
        <f t="shared" si="311"/>
        <v>0.30769230769230771</v>
      </c>
      <c r="L1189" s="2">
        <f t="shared" si="312"/>
        <v>1.4513788098693759E-3</v>
      </c>
      <c r="M1189" s="2">
        <f t="shared" si="313"/>
        <v>6.6763425253991232E-2</v>
      </c>
      <c r="N1189" s="63">
        <v>430</v>
      </c>
      <c r="O1189" s="63">
        <v>212</v>
      </c>
      <c r="P1189" s="63">
        <v>1</v>
      </c>
      <c r="Q1189" s="63">
        <v>28</v>
      </c>
      <c r="R1189" s="63">
        <v>5</v>
      </c>
      <c r="S1189" s="63"/>
      <c r="T1189" s="63">
        <v>0</v>
      </c>
      <c r="U1189" s="63"/>
      <c r="V1189" s="63"/>
      <c r="W1189" s="63">
        <f t="shared" si="314"/>
        <v>13</v>
      </c>
      <c r="X1189" s="63"/>
      <c r="Y1189" s="63"/>
      <c r="Z1189" s="63"/>
      <c r="AA1189" s="63"/>
      <c r="AB1189" s="63"/>
      <c r="AT1189" t="str">
        <f t="shared" si="316"/>
        <v>Jackson</v>
      </c>
      <c r="AU1189" t="s">
        <v>1675</v>
      </c>
      <c r="AV1189">
        <v>1</v>
      </c>
      <c r="AW1189">
        <v>1</v>
      </c>
      <c r="AX1189" s="114">
        <v>33</v>
      </c>
      <c r="AY1189" s="116">
        <v>3</v>
      </c>
      <c r="AZ1189" s="116">
        <v>55</v>
      </c>
      <c r="BA1189" s="120">
        <v>38260</v>
      </c>
      <c r="BB1189" s="120">
        <f t="shared" si="318"/>
        <v>33003</v>
      </c>
      <c r="BC1189" t="s">
        <v>1472</v>
      </c>
      <c r="BD1189">
        <f t="shared" si="315"/>
        <v>3338260</v>
      </c>
      <c r="BI1189">
        <v>66.94</v>
      </c>
      <c r="BJ1189">
        <v>0.01</v>
      </c>
      <c r="BK1189">
        <v>66.930000000000007</v>
      </c>
      <c r="BP1189" s="1">
        <v>14</v>
      </c>
      <c r="BR1189">
        <v>4</v>
      </c>
    </row>
    <row r="1190" spans="1:70" hidden="1" outlineLevel="1">
      <c r="A1190" t="s">
        <v>2289</v>
      </c>
      <c r="B1190" s="8" t="s">
        <v>1799</v>
      </c>
      <c r="C1190" s="1">
        <f t="shared" si="307"/>
        <v>2835</v>
      </c>
      <c r="D1190" s="5">
        <f>IF(N1190&gt;0, RANK(N1190,(N1190:P1190,Q1190:AE1190)),0)</f>
        <v>1</v>
      </c>
      <c r="E1190" s="5">
        <f>IF(O1190&gt;0,RANK(O1190,(N1190:P1190,Q1190:AE1190)),0)</f>
        <v>2</v>
      </c>
      <c r="F1190" s="5">
        <f t="shared" si="308"/>
        <v>6</v>
      </c>
      <c r="G1190" s="1">
        <f t="shared" si="309"/>
        <v>27</v>
      </c>
      <c r="H1190" s="2">
        <f t="shared" si="317"/>
        <v>9.5238095238095247E-3</v>
      </c>
      <c r="I1190" s="6"/>
      <c r="J1190" s="2">
        <f t="shared" si="310"/>
        <v>0.46243386243386242</v>
      </c>
      <c r="K1190" s="2">
        <f t="shared" si="311"/>
        <v>0.45291005291005293</v>
      </c>
      <c r="L1190" s="2">
        <f t="shared" si="312"/>
        <v>2.1164021164021165E-3</v>
      </c>
      <c r="M1190" s="2">
        <f t="shared" si="313"/>
        <v>8.2539682539682538E-2</v>
      </c>
      <c r="N1190" s="63">
        <v>1311</v>
      </c>
      <c r="O1190" s="63">
        <v>1284</v>
      </c>
      <c r="P1190" s="63">
        <v>6</v>
      </c>
      <c r="Q1190" s="63">
        <v>150</v>
      </c>
      <c r="R1190" s="63">
        <v>39</v>
      </c>
      <c r="S1190" s="63"/>
      <c r="T1190" s="63">
        <v>5</v>
      </c>
      <c r="U1190" s="63"/>
      <c r="V1190" s="63"/>
      <c r="W1190" s="63">
        <f t="shared" si="314"/>
        <v>40</v>
      </c>
      <c r="X1190" s="63"/>
      <c r="Y1190" s="63"/>
      <c r="Z1190" s="63"/>
      <c r="AA1190" s="63"/>
      <c r="AB1190" s="63"/>
      <c r="AT1190" t="str">
        <f t="shared" si="316"/>
        <v>Jaffrey</v>
      </c>
      <c r="AU1190" t="s">
        <v>1463</v>
      </c>
      <c r="AV1190">
        <v>2</v>
      </c>
      <c r="AW1190">
        <v>2</v>
      </c>
      <c r="AX1190" s="114">
        <v>33</v>
      </c>
      <c r="AY1190" s="116">
        <v>5</v>
      </c>
      <c r="AZ1190" s="116">
        <v>40</v>
      </c>
      <c r="BA1190" s="120">
        <v>38500</v>
      </c>
      <c r="BB1190" s="120">
        <f t="shared" si="318"/>
        <v>33005</v>
      </c>
      <c r="BC1190" t="s">
        <v>1472</v>
      </c>
      <c r="BD1190">
        <f t="shared" si="315"/>
        <v>3338500</v>
      </c>
      <c r="BI1190">
        <v>40.03</v>
      </c>
      <c r="BJ1190">
        <v>1.73</v>
      </c>
      <c r="BK1190">
        <v>38.299999999999997</v>
      </c>
      <c r="BP1190" s="1">
        <v>46</v>
      </c>
      <c r="BR1190">
        <v>16</v>
      </c>
    </row>
    <row r="1191" spans="1:70" hidden="1" outlineLevel="1">
      <c r="A1191" s="8" t="s">
        <v>1092</v>
      </c>
      <c r="B1191" s="8" t="s">
        <v>1799</v>
      </c>
      <c r="C1191" s="1">
        <f t="shared" si="307"/>
        <v>619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 t="shared" si="308"/>
        <v>6</v>
      </c>
      <c r="G1191" s="1">
        <f t="shared" si="309"/>
        <v>141</v>
      </c>
      <c r="H1191" s="2">
        <f t="shared" si="317"/>
        <v>0.22778675282714056</v>
      </c>
      <c r="I1191" s="6"/>
      <c r="J1191" s="2">
        <f t="shared" si="310"/>
        <v>0.34894991922455576</v>
      </c>
      <c r="K1191" s="2">
        <f t="shared" si="311"/>
        <v>0.57673667205169632</v>
      </c>
      <c r="L1191" s="2">
        <f t="shared" si="312"/>
        <v>1.6155088852988692E-3</v>
      </c>
      <c r="M1191" s="2">
        <f t="shared" si="313"/>
        <v>7.2697899838449057E-2</v>
      </c>
      <c r="N1191" s="63">
        <v>216</v>
      </c>
      <c r="O1191" s="63">
        <v>357</v>
      </c>
      <c r="P1191" s="63">
        <v>1</v>
      </c>
      <c r="Q1191" s="63">
        <v>24</v>
      </c>
      <c r="R1191" s="63">
        <v>5</v>
      </c>
      <c r="S1191" s="63"/>
      <c r="T1191" s="63">
        <v>0</v>
      </c>
      <c r="U1191" s="63"/>
      <c r="V1191" s="63"/>
      <c r="W1191" s="63">
        <f t="shared" si="314"/>
        <v>16</v>
      </c>
      <c r="X1191" s="63"/>
      <c r="Y1191" s="63"/>
      <c r="Z1191" s="63"/>
      <c r="AA1191" s="63"/>
      <c r="AB1191" s="63"/>
      <c r="AT1191" t="str">
        <f t="shared" si="316"/>
        <v>Jefferson</v>
      </c>
      <c r="AU1191" t="s">
        <v>442</v>
      </c>
      <c r="AV1191">
        <v>2</v>
      </c>
      <c r="AW1191">
        <v>2</v>
      </c>
      <c r="AX1191" s="114">
        <v>33</v>
      </c>
      <c r="AY1191" s="116">
        <v>7</v>
      </c>
      <c r="AZ1191" s="116">
        <v>110</v>
      </c>
      <c r="BA1191" s="120">
        <v>38820</v>
      </c>
      <c r="BB1191" s="120">
        <f t="shared" si="318"/>
        <v>33007</v>
      </c>
      <c r="BC1191" t="s">
        <v>1472</v>
      </c>
      <c r="BD1191">
        <f t="shared" si="315"/>
        <v>3338820</v>
      </c>
      <c r="BI1191">
        <v>50.38</v>
      </c>
      <c r="BJ1191">
        <v>0.23</v>
      </c>
      <c r="BK1191">
        <v>50.16</v>
      </c>
      <c r="BP1191" s="1">
        <v>17</v>
      </c>
      <c r="BR1191">
        <v>10</v>
      </c>
    </row>
    <row r="1192" spans="1:70" hidden="1" outlineLevel="1">
      <c r="A1192" t="s">
        <v>2071</v>
      </c>
      <c r="B1192" s="8" t="s">
        <v>1799</v>
      </c>
      <c r="C1192" s="1">
        <f t="shared" si="307"/>
        <v>12673</v>
      </c>
      <c r="D1192" s="5">
        <f>IF(N1192&gt;0, RANK(N1192,(N1192:P1192,Q1192:AE1192)),0)</f>
        <v>1</v>
      </c>
      <c r="E1192" s="5">
        <f>IF(O1192&gt;0,RANK(O1192,(N1192:P1192,Q1192:AE1192)),0)</f>
        <v>2</v>
      </c>
      <c r="F1192" s="5">
        <f t="shared" si="308"/>
        <v>6</v>
      </c>
      <c r="G1192" s="1">
        <f t="shared" si="309"/>
        <v>4101</v>
      </c>
      <c r="H1192" s="2">
        <f t="shared" si="317"/>
        <v>0.32360135721612876</v>
      </c>
      <c r="I1192" s="6"/>
      <c r="J1192" s="2">
        <f t="shared" si="310"/>
        <v>0.62589757752702591</v>
      </c>
      <c r="K1192" s="2">
        <f t="shared" si="311"/>
        <v>0.3022962203108972</v>
      </c>
      <c r="L1192" s="2">
        <f t="shared" si="312"/>
        <v>1.4992503748125937E-3</v>
      </c>
      <c r="M1192" s="2">
        <f t="shared" si="313"/>
        <v>7.0306951787264302E-2</v>
      </c>
      <c r="N1192" s="63">
        <v>7932</v>
      </c>
      <c r="O1192" s="63">
        <v>3831</v>
      </c>
      <c r="P1192" s="63">
        <v>19</v>
      </c>
      <c r="Q1192" s="63">
        <v>461</v>
      </c>
      <c r="R1192" s="63">
        <v>198</v>
      </c>
      <c r="S1192" s="63"/>
      <c r="T1192" s="63">
        <v>10</v>
      </c>
      <c r="U1192" s="63"/>
      <c r="V1192" s="63"/>
      <c r="W1192" s="63">
        <f t="shared" si="314"/>
        <v>222</v>
      </c>
      <c r="X1192" s="63"/>
      <c r="Y1192" s="63"/>
      <c r="Z1192" s="63"/>
      <c r="AA1192" s="63"/>
      <c r="AB1192" s="63"/>
      <c r="AT1192" t="str">
        <f t="shared" si="316"/>
        <v>Keene</v>
      </c>
      <c r="AU1192" t="s">
        <v>1463</v>
      </c>
      <c r="AV1192">
        <v>2</v>
      </c>
      <c r="AW1192">
        <v>2</v>
      </c>
      <c r="AX1192" s="114">
        <v>33</v>
      </c>
      <c r="AY1192" s="116">
        <v>5</v>
      </c>
      <c r="AZ1192" s="116">
        <v>45</v>
      </c>
      <c r="BA1192" s="120">
        <v>39300</v>
      </c>
      <c r="BB1192" s="120">
        <f t="shared" si="318"/>
        <v>33005</v>
      </c>
      <c r="BC1192" t="s">
        <v>1249</v>
      </c>
      <c r="BD1192">
        <f t="shared" si="315"/>
        <v>3339300</v>
      </c>
      <c r="BI1192">
        <v>37.56</v>
      </c>
      <c r="BJ1192">
        <v>0.25</v>
      </c>
      <c r="BK1192">
        <v>37.31</v>
      </c>
      <c r="BP1192" s="1">
        <v>241</v>
      </c>
      <c r="BR1192">
        <v>119</v>
      </c>
    </row>
    <row r="1193" spans="1:70" hidden="1" outlineLevel="1">
      <c r="A1193" t="s">
        <v>1736</v>
      </c>
      <c r="B1193" s="8" t="s">
        <v>1799</v>
      </c>
      <c r="C1193" s="1">
        <f t="shared" si="307"/>
        <v>1408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 t="shared" si="308"/>
        <v>6</v>
      </c>
      <c r="G1193" s="1">
        <f t="shared" si="309"/>
        <v>26</v>
      </c>
      <c r="H1193" s="2">
        <f t="shared" si="317"/>
        <v>1.8465909090909092E-2</v>
      </c>
      <c r="I1193" s="6"/>
      <c r="J1193" s="2">
        <f t="shared" si="310"/>
        <v>0.45596590909090912</v>
      </c>
      <c r="K1193" s="2">
        <f t="shared" si="311"/>
        <v>0.47443181818181818</v>
      </c>
      <c r="L1193" s="2">
        <f t="shared" si="312"/>
        <v>2.130681818181818E-3</v>
      </c>
      <c r="M1193" s="2">
        <f t="shared" si="313"/>
        <v>6.7471590909090828E-2</v>
      </c>
      <c r="N1193" s="63">
        <v>642</v>
      </c>
      <c r="O1193" s="63">
        <v>668</v>
      </c>
      <c r="P1193" s="63">
        <v>3</v>
      </c>
      <c r="Q1193" s="63">
        <v>61</v>
      </c>
      <c r="R1193" s="63">
        <v>11</v>
      </c>
      <c r="S1193" s="63"/>
      <c r="T1193" s="63">
        <v>0</v>
      </c>
      <c r="U1193" s="63"/>
      <c r="V1193" s="63"/>
      <c r="W1193" s="63">
        <f t="shared" si="314"/>
        <v>23</v>
      </c>
      <c r="X1193" s="63"/>
      <c r="Y1193" s="63"/>
      <c r="Z1193" s="63"/>
      <c r="AA1193" s="63"/>
      <c r="AB1193" s="63"/>
      <c r="AT1193" t="str">
        <f t="shared" si="316"/>
        <v>Kensington</v>
      </c>
      <c r="AU1193" t="s">
        <v>2971</v>
      </c>
      <c r="AV1193">
        <v>1</v>
      </c>
      <c r="AW1193">
        <v>1</v>
      </c>
      <c r="AX1193" s="114">
        <v>33</v>
      </c>
      <c r="AY1193" s="116">
        <v>15</v>
      </c>
      <c r="AZ1193" s="116">
        <v>85</v>
      </c>
      <c r="BA1193" s="120">
        <v>39780</v>
      </c>
      <c r="BB1193" s="120">
        <f t="shared" si="318"/>
        <v>33015</v>
      </c>
      <c r="BC1193" t="s">
        <v>1472</v>
      </c>
      <c r="BD1193">
        <f t="shared" si="315"/>
        <v>3339780</v>
      </c>
      <c r="BI1193">
        <v>11.96</v>
      </c>
      <c r="BJ1193">
        <v>0.01</v>
      </c>
      <c r="BK1193">
        <v>11.95</v>
      </c>
      <c r="BP1193" s="1">
        <v>26</v>
      </c>
      <c r="BR1193">
        <v>4</v>
      </c>
    </row>
    <row r="1194" spans="1:70" hidden="1" outlineLevel="1">
      <c r="A1194" t="s">
        <v>1132</v>
      </c>
      <c r="B1194" s="8" t="s">
        <v>1799</v>
      </c>
      <c r="C1194" s="1">
        <f t="shared" si="307"/>
        <v>3700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 t="shared" si="308"/>
        <v>0</v>
      </c>
      <c r="G1194" s="1">
        <f t="shared" si="309"/>
        <v>659</v>
      </c>
      <c r="H1194" s="2">
        <f t="shared" si="317"/>
        <v>0.17810810810810812</v>
      </c>
      <c r="I1194" s="6"/>
      <c r="J1194" s="2">
        <f t="shared" si="310"/>
        <v>0.38432432432432434</v>
      </c>
      <c r="K1194" s="2">
        <f t="shared" si="311"/>
        <v>0.56243243243243246</v>
      </c>
      <c r="L1194" s="2">
        <f t="shared" si="312"/>
        <v>0</v>
      </c>
      <c r="M1194" s="2">
        <f t="shared" si="313"/>
        <v>5.3243243243243144E-2</v>
      </c>
      <c r="N1194" s="63">
        <v>1422</v>
      </c>
      <c r="O1194" s="63">
        <v>2081</v>
      </c>
      <c r="P1194" s="63">
        <v>0</v>
      </c>
      <c r="Q1194" s="63">
        <v>154</v>
      </c>
      <c r="R1194" s="63">
        <v>31</v>
      </c>
      <c r="S1194" s="63"/>
      <c r="T1194" s="63">
        <v>1</v>
      </c>
      <c r="U1194" s="63"/>
      <c r="V1194" s="63"/>
      <c r="W1194" s="63">
        <f t="shared" si="314"/>
        <v>11</v>
      </c>
      <c r="X1194" s="63"/>
      <c r="Y1194" s="63"/>
      <c r="Z1194" s="63"/>
      <c r="AA1194" s="63"/>
      <c r="AB1194" s="63"/>
      <c r="AT1194" t="str">
        <f t="shared" si="316"/>
        <v>Kingston</v>
      </c>
      <c r="AU1194" t="s">
        <v>2971</v>
      </c>
      <c r="AV1194">
        <v>1</v>
      </c>
      <c r="AW1194">
        <v>1</v>
      </c>
      <c r="AX1194" s="114">
        <v>33</v>
      </c>
      <c r="AY1194" s="116">
        <v>15</v>
      </c>
      <c r="AZ1194" s="116">
        <v>90</v>
      </c>
      <c r="BA1194" s="120">
        <v>40100</v>
      </c>
      <c r="BB1194" s="120">
        <f t="shared" si="318"/>
        <v>33015</v>
      </c>
      <c r="BC1194" t="s">
        <v>1472</v>
      </c>
      <c r="BD1194">
        <f t="shared" si="315"/>
        <v>3340100</v>
      </c>
      <c r="BI1194">
        <v>20.88</v>
      </c>
      <c r="BJ1194">
        <v>1.26</v>
      </c>
      <c r="BK1194">
        <v>19.62</v>
      </c>
      <c r="BP1194" s="1">
        <v>11</v>
      </c>
      <c r="BR1194">
        <v>1</v>
      </c>
    </row>
    <row r="1195" spans="1:70" hidden="1" outlineLevel="1">
      <c r="A1195" t="s">
        <v>2299</v>
      </c>
      <c r="B1195" s="8" t="s">
        <v>1799</v>
      </c>
      <c r="C1195" s="1">
        <f t="shared" si="307"/>
        <v>8134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308"/>
        <v>7</v>
      </c>
      <c r="G1195" s="1">
        <f t="shared" si="309"/>
        <v>1000</v>
      </c>
      <c r="H1195" s="2">
        <f t="shared" si="317"/>
        <v>0.12294074256208508</v>
      </c>
      <c r="I1195" s="6"/>
      <c r="J1195" s="2">
        <f t="shared" si="310"/>
        <v>0.40607327268256699</v>
      </c>
      <c r="K1195" s="2">
        <f t="shared" si="311"/>
        <v>0.52901401524465208</v>
      </c>
      <c r="L1195" s="2">
        <f t="shared" si="312"/>
        <v>6.1470371281042535E-4</v>
      </c>
      <c r="M1195" s="2">
        <f t="shared" si="313"/>
        <v>6.4298008359970502E-2</v>
      </c>
      <c r="N1195" s="63">
        <v>3303</v>
      </c>
      <c r="O1195" s="63">
        <v>4303</v>
      </c>
      <c r="P1195" s="63">
        <v>5</v>
      </c>
      <c r="Q1195" s="63">
        <v>331</v>
      </c>
      <c r="R1195" s="63">
        <v>72</v>
      </c>
      <c r="S1195" s="63"/>
      <c r="T1195" s="63">
        <v>14</v>
      </c>
      <c r="U1195" s="63"/>
      <c r="V1195" s="63"/>
      <c r="W1195" s="63">
        <f t="shared" si="314"/>
        <v>106</v>
      </c>
      <c r="X1195" s="63"/>
      <c r="Y1195" s="63"/>
      <c r="Z1195" s="63"/>
      <c r="AA1195" s="63"/>
      <c r="AB1195" s="63"/>
      <c r="AT1195" t="str">
        <f t="shared" si="316"/>
        <v>Laconia</v>
      </c>
      <c r="AU1195" t="s">
        <v>1437</v>
      </c>
      <c r="AV1195">
        <v>1</v>
      </c>
      <c r="AW1195">
        <v>1</v>
      </c>
      <c r="AX1195" s="114">
        <v>33</v>
      </c>
      <c r="AY1195" s="116">
        <v>1</v>
      </c>
      <c r="AZ1195" s="116">
        <v>35</v>
      </c>
      <c r="BA1195" s="120">
        <v>40180</v>
      </c>
      <c r="BB1195" s="120">
        <f t="shared" si="318"/>
        <v>33001</v>
      </c>
      <c r="BC1195" t="s">
        <v>1249</v>
      </c>
      <c r="BD1195">
        <f t="shared" si="315"/>
        <v>3340180</v>
      </c>
      <c r="BI1195">
        <v>26.58</v>
      </c>
      <c r="BJ1195">
        <v>6.3</v>
      </c>
      <c r="BK1195">
        <v>20.28</v>
      </c>
      <c r="BP1195" s="1">
        <v>111</v>
      </c>
      <c r="BR1195">
        <v>51</v>
      </c>
    </row>
    <row r="1196" spans="1:70" hidden="1" outlineLevel="1">
      <c r="A1196" t="s">
        <v>1061</v>
      </c>
      <c r="B1196" s="8" t="s">
        <v>1799</v>
      </c>
      <c r="C1196" s="1">
        <f t="shared" si="307"/>
        <v>1636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 t="shared" si="308"/>
        <v>0</v>
      </c>
      <c r="G1196" s="1">
        <f t="shared" si="309"/>
        <v>184</v>
      </c>
      <c r="H1196" s="2">
        <f t="shared" si="317"/>
        <v>0.11246943765281174</v>
      </c>
      <c r="I1196" s="6"/>
      <c r="J1196" s="2">
        <f t="shared" si="310"/>
        <v>0.40158924205378971</v>
      </c>
      <c r="K1196" s="2">
        <f t="shared" si="311"/>
        <v>0.51405867970660146</v>
      </c>
      <c r="L1196" s="2">
        <f t="shared" si="312"/>
        <v>0</v>
      </c>
      <c r="M1196" s="2">
        <f t="shared" si="313"/>
        <v>8.4352078239608885E-2</v>
      </c>
      <c r="N1196" s="63">
        <v>657</v>
      </c>
      <c r="O1196" s="63">
        <v>841</v>
      </c>
      <c r="P1196" s="63">
        <v>0</v>
      </c>
      <c r="Q1196" s="63">
        <v>58</v>
      </c>
      <c r="R1196" s="63">
        <v>23</v>
      </c>
      <c r="S1196" s="63"/>
      <c r="T1196" s="63">
        <v>4</v>
      </c>
      <c r="U1196" s="63"/>
      <c r="V1196" s="63"/>
      <c r="W1196" s="63">
        <f t="shared" si="314"/>
        <v>53</v>
      </c>
      <c r="X1196" s="63"/>
      <c r="Y1196" s="63"/>
      <c r="Z1196" s="63"/>
      <c r="AA1196" s="63"/>
      <c r="AB1196" s="63"/>
      <c r="AT1196" t="str">
        <f t="shared" si="316"/>
        <v>Lancaster</v>
      </c>
      <c r="AU1196" t="s">
        <v>442</v>
      </c>
      <c r="AV1196">
        <v>2</v>
      </c>
      <c r="AW1196">
        <v>2</v>
      </c>
      <c r="AX1196" s="114">
        <v>33</v>
      </c>
      <c r="AY1196" s="116">
        <v>7</v>
      </c>
      <c r="AZ1196" s="116">
        <v>120</v>
      </c>
      <c r="BA1196" s="120">
        <v>40420</v>
      </c>
      <c r="BB1196" s="120">
        <f t="shared" si="318"/>
        <v>33007</v>
      </c>
      <c r="BC1196" t="s">
        <v>1472</v>
      </c>
      <c r="BD1196">
        <f t="shared" si="315"/>
        <v>3340420</v>
      </c>
      <c r="BI1196">
        <v>51.27</v>
      </c>
      <c r="BJ1196">
        <v>1.17</v>
      </c>
      <c r="BK1196">
        <v>50.1</v>
      </c>
      <c r="BP1196" s="1">
        <v>53</v>
      </c>
      <c r="BR1196">
        <v>17</v>
      </c>
    </row>
    <row r="1197" spans="1:70" hidden="1" outlineLevel="1">
      <c r="A1197" t="s">
        <v>1987</v>
      </c>
      <c r="B1197" s="8" t="s">
        <v>1799</v>
      </c>
      <c r="C1197" s="1">
        <f t="shared" si="307"/>
        <v>253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308"/>
        <v>0</v>
      </c>
      <c r="G1197" s="1">
        <f t="shared" si="309"/>
        <v>22</v>
      </c>
      <c r="H1197" s="2">
        <f t="shared" si="317"/>
        <v>8.6956521739130432E-2</v>
      </c>
      <c r="I1197" s="6"/>
      <c r="J1197" s="2">
        <f t="shared" si="310"/>
        <v>0.41501976284584979</v>
      </c>
      <c r="K1197" s="2">
        <f t="shared" si="311"/>
        <v>0.50197628458498023</v>
      </c>
      <c r="L1197" s="2">
        <f t="shared" si="312"/>
        <v>0</v>
      </c>
      <c r="M1197" s="2">
        <f t="shared" si="313"/>
        <v>8.3003952569169925E-2</v>
      </c>
      <c r="N1197" s="63">
        <v>105</v>
      </c>
      <c r="O1197" s="63">
        <v>127</v>
      </c>
      <c r="P1197" s="63">
        <v>0</v>
      </c>
      <c r="Q1197" s="63">
        <v>9</v>
      </c>
      <c r="R1197" s="63">
        <v>1</v>
      </c>
      <c r="S1197" s="63"/>
      <c r="T1197" s="63">
        <v>5</v>
      </c>
      <c r="U1197" s="63"/>
      <c r="V1197" s="63"/>
      <c r="W1197" s="63">
        <f t="shared" si="314"/>
        <v>6</v>
      </c>
      <c r="X1197" s="63"/>
      <c r="Y1197" s="63"/>
      <c r="Z1197" s="63"/>
      <c r="AA1197" s="63"/>
      <c r="AB1197" s="63"/>
      <c r="AT1197" t="str">
        <f t="shared" si="316"/>
        <v>Landaff</v>
      </c>
      <c r="AU1197" t="s">
        <v>2260</v>
      </c>
      <c r="AV1197">
        <v>2</v>
      </c>
      <c r="AW1197">
        <v>2</v>
      </c>
      <c r="AX1197" s="114">
        <v>33</v>
      </c>
      <c r="AY1197" s="116">
        <v>9</v>
      </c>
      <c r="AZ1197" s="116">
        <v>105</v>
      </c>
      <c r="BA1197" s="120">
        <v>40660</v>
      </c>
      <c r="BB1197" s="120">
        <f t="shared" si="318"/>
        <v>33009</v>
      </c>
      <c r="BC1197" t="s">
        <v>1472</v>
      </c>
      <c r="BD1197">
        <f t="shared" si="315"/>
        <v>3340660</v>
      </c>
      <c r="BI1197">
        <v>28.45</v>
      </c>
      <c r="BJ1197">
        <v>7.0000000000000007E-2</v>
      </c>
      <c r="BK1197">
        <v>28.39</v>
      </c>
      <c r="BP1197" s="1">
        <v>6</v>
      </c>
      <c r="BR1197">
        <v>4</v>
      </c>
    </row>
    <row r="1198" spans="1:70" hidden="1" outlineLevel="1">
      <c r="A1198" t="s">
        <v>472</v>
      </c>
      <c r="B1198" s="8" t="s">
        <v>1799</v>
      </c>
      <c r="C1198" s="1">
        <f t="shared" si="307"/>
        <v>394</v>
      </c>
      <c r="D1198" s="5">
        <f>IF(N1198&gt;0, RANK(N1198,(N1198:P1198,Q1198:AE1198)),0)</f>
        <v>2</v>
      </c>
      <c r="E1198" s="5">
        <f>IF(O1198&gt;0,RANK(O1198,(N1198:P1198,Q1198:AE1198)),0)</f>
        <v>1</v>
      </c>
      <c r="F1198" s="5">
        <f t="shared" si="308"/>
        <v>5</v>
      </c>
      <c r="G1198" s="1">
        <f t="shared" si="309"/>
        <v>13</v>
      </c>
      <c r="H1198" s="2">
        <f t="shared" si="317"/>
        <v>3.2994923857868022E-2</v>
      </c>
      <c r="I1198" s="6"/>
      <c r="J1198" s="2">
        <f t="shared" si="310"/>
        <v>0.46700507614213199</v>
      </c>
      <c r="K1198" s="2">
        <f t="shared" si="311"/>
        <v>0.5</v>
      </c>
      <c r="L1198" s="2">
        <f t="shared" si="312"/>
        <v>2.5380710659898475E-3</v>
      </c>
      <c r="M1198" s="2">
        <f t="shared" si="313"/>
        <v>3.0456852791878104E-2</v>
      </c>
      <c r="N1198" s="63">
        <v>184</v>
      </c>
      <c r="O1198" s="63">
        <v>197</v>
      </c>
      <c r="P1198" s="63">
        <v>1</v>
      </c>
      <c r="Q1198" s="63">
        <v>8</v>
      </c>
      <c r="R1198" s="63">
        <v>1</v>
      </c>
      <c r="S1198" s="63"/>
      <c r="T1198" s="63">
        <v>0</v>
      </c>
      <c r="U1198" s="63"/>
      <c r="V1198" s="63"/>
      <c r="W1198" s="63">
        <f t="shared" si="314"/>
        <v>3</v>
      </c>
      <c r="X1198" s="63"/>
      <c r="Y1198" s="63"/>
      <c r="Z1198" s="63"/>
      <c r="AA1198" s="63"/>
      <c r="AB1198" s="63"/>
      <c r="AT1198" t="str">
        <f t="shared" si="316"/>
        <v>Langdon</v>
      </c>
      <c r="AU1198" t="s">
        <v>1040</v>
      </c>
      <c r="AV1198">
        <v>2</v>
      </c>
      <c r="AW1198">
        <v>2</v>
      </c>
      <c r="AX1198" s="114">
        <v>33</v>
      </c>
      <c r="AY1198" s="116">
        <v>19</v>
      </c>
      <c r="AZ1198" s="116">
        <v>40</v>
      </c>
      <c r="BA1198" s="120">
        <v>40900</v>
      </c>
      <c r="BB1198" s="120">
        <f t="shared" si="318"/>
        <v>33019</v>
      </c>
      <c r="BC1198" t="s">
        <v>1472</v>
      </c>
      <c r="BD1198">
        <f t="shared" si="315"/>
        <v>3340900</v>
      </c>
      <c r="BI1198">
        <v>16.329999999999998</v>
      </c>
      <c r="BJ1198">
        <v>0.06</v>
      </c>
      <c r="BK1198">
        <v>16.27</v>
      </c>
      <c r="BP1198" s="1">
        <v>4</v>
      </c>
      <c r="BR1198">
        <v>3</v>
      </c>
    </row>
    <row r="1199" spans="1:70" hidden="1" outlineLevel="1">
      <c r="A1199" t="s">
        <v>188</v>
      </c>
      <c r="B1199" s="8" t="s">
        <v>1799</v>
      </c>
      <c r="C1199" s="1">
        <f t="shared" si="307"/>
        <v>7273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308"/>
        <v>6</v>
      </c>
      <c r="G1199" s="1">
        <f t="shared" si="309"/>
        <v>3057</v>
      </c>
      <c r="H1199" s="2">
        <f t="shared" si="317"/>
        <v>0.42032173793482747</v>
      </c>
      <c r="I1199" s="6"/>
      <c r="J1199" s="2">
        <f t="shared" si="310"/>
        <v>0.67344974563453874</v>
      </c>
      <c r="K1199" s="2">
        <f t="shared" si="311"/>
        <v>0.25312800769971128</v>
      </c>
      <c r="L1199" s="2">
        <f t="shared" si="312"/>
        <v>5.3622989137907329E-3</v>
      </c>
      <c r="M1199" s="2">
        <f t="shared" si="313"/>
        <v>6.8059947751959241E-2</v>
      </c>
      <c r="N1199" s="63">
        <v>4898</v>
      </c>
      <c r="O1199" s="63">
        <v>1841</v>
      </c>
      <c r="P1199" s="63">
        <v>39</v>
      </c>
      <c r="Q1199" s="63">
        <v>239</v>
      </c>
      <c r="R1199" s="63">
        <v>106</v>
      </c>
      <c r="S1199" s="63"/>
      <c r="T1199" s="63">
        <v>8</v>
      </c>
      <c r="U1199" s="63"/>
      <c r="V1199" s="63"/>
      <c r="W1199" s="63">
        <f t="shared" si="314"/>
        <v>142</v>
      </c>
      <c r="X1199" s="63"/>
      <c r="Y1199" s="63"/>
      <c r="Z1199" s="63"/>
      <c r="AA1199" s="63"/>
      <c r="AB1199" s="63"/>
      <c r="AT1199" t="str">
        <f t="shared" si="316"/>
        <v>Lebanon</v>
      </c>
      <c r="AU1199" t="s">
        <v>2260</v>
      </c>
      <c r="AV1199">
        <v>2</v>
      </c>
      <c r="AW1199">
        <v>2</v>
      </c>
      <c r="AX1199" s="114">
        <v>33</v>
      </c>
      <c r="AY1199" s="116">
        <v>9</v>
      </c>
      <c r="AZ1199" s="116">
        <v>110</v>
      </c>
      <c r="BA1199" s="120">
        <v>41300</v>
      </c>
      <c r="BB1199" s="120">
        <f t="shared" si="318"/>
        <v>33009</v>
      </c>
      <c r="BC1199" t="s">
        <v>1249</v>
      </c>
      <c r="BD1199">
        <f t="shared" si="315"/>
        <v>3341300</v>
      </c>
      <c r="BI1199">
        <v>41.36</v>
      </c>
      <c r="BJ1199">
        <v>0.99</v>
      </c>
      <c r="BK1199">
        <v>40.36</v>
      </c>
      <c r="BP1199" s="1">
        <v>181</v>
      </c>
      <c r="BR1199">
        <v>85</v>
      </c>
    </row>
    <row r="1200" spans="1:70" hidden="1" outlineLevel="1">
      <c r="A1200" t="s">
        <v>97</v>
      </c>
      <c r="B1200" s="8" t="s">
        <v>1799</v>
      </c>
      <c r="C1200" s="1">
        <f t="shared" si="307"/>
        <v>2669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308"/>
        <v>6</v>
      </c>
      <c r="G1200" s="1">
        <f t="shared" si="309"/>
        <v>806</v>
      </c>
      <c r="H1200" s="2">
        <f t="shared" si="317"/>
        <v>0.30198576245784936</v>
      </c>
      <c r="I1200" s="6"/>
      <c r="J1200" s="2">
        <f t="shared" si="310"/>
        <v>0.61071562382914946</v>
      </c>
      <c r="K1200" s="2">
        <f t="shared" si="311"/>
        <v>0.3087298613713001</v>
      </c>
      <c r="L1200" s="2">
        <f t="shared" si="312"/>
        <v>4.121393780442113E-3</v>
      </c>
      <c r="M1200" s="2">
        <f t="shared" si="313"/>
        <v>7.6433121019108333E-2</v>
      </c>
      <c r="N1200" s="63">
        <v>1630</v>
      </c>
      <c r="O1200" s="63">
        <v>824</v>
      </c>
      <c r="P1200" s="63">
        <v>11</v>
      </c>
      <c r="Q1200" s="63">
        <v>124</v>
      </c>
      <c r="R1200" s="63">
        <v>33</v>
      </c>
      <c r="S1200" s="63"/>
      <c r="T1200" s="63">
        <v>5</v>
      </c>
      <c r="U1200" s="63"/>
      <c r="V1200" s="63"/>
      <c r="W1200" s="63">
        <f t="shared" si="314"/>
        <v>42</v>
      </c>
      <c r="X1200" s="63"/>
      <c r="Y1200" s="63"/>
      <c r="Z1200" s="63"/>
      <c r="AA1200" s="63"/>
      <c r="AB1200" s="63"/>
      <c r="AT1200" t="str">
        <f t="shared" si="316"/>
        <v>Lee</v>
      </c>
      <c r="AU1200" t="s">
        <v>2035</v>
      </c>
      <c r="AV1200">
        <v>1</v>
      </c>
      <c r="AW1200">
        <v>1</v>
      </c>
      <c r="AX1200" s="114">
        <v>33</v>
      </c>
      <c r="AY1200" s="116">
        <v>17</v>
      </c>
      <c r="AZ1200" s="116">
        <v>25</v>
      </c>
      <c r="BA1200" s="120">
        <v>41460</v>
      </c>
      <c r="BB1200" s="120">
        <f t="shared" si="318"/>
        <v>33017</v>
      </c>
      <c r="BC1200" t="s">
        <v>1472</v>
      </c>
      <c r="BD1200">
        <f t="shared" si="315"/>
        <v>3341460</v>
      </c>
      <c r="BI1200">
        <v>20.16</v>
      </c>
      <c r="BJ1200">
        <v>0.21</v>
      </c>
      <c r="BK1200">
        <v>19.95</v>
      </c>
      <c r="BP1200" s="1">
        <v>53</v>
      </c>
      <c r="BR1200">
        <v>18</v>
      </c>
    </row>
    <row r="1201" spans="1:70" hidden="1" outlineLevel="1">
      <c r="A1201" t="s">
        <v>298</v>
      </c>
      <c r="B1201" s="8" t="s">
        <v>1799</v>
      </c>
      <c r="C1201" s="1">
        <f t="shared" si="307"/>
        <v>685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 t="shared" si="308"/>
        <v>0</v>
      </c>
      <c r="G1201" s="1">
        <f t="shared" si="309"/>
        <v>202</v>
      </c>
      <c r="H1201" s="2">
        <f t="shared" si="317"/>
        <v>0.29489051094890512</v>
      </c>
      <c r="I1201" s="6"/>
      <c r="J1201" s="2">
        <f t="shared" si="310"/>
        <v>0.32992700729927005</v>
      </c>
      <c r="K1201" s="2">
        <f t="shared" si="311"/>
        <v>0.62481751824817522</v>
      </c>
      <c r="L1201" s="2">
        <f t="shared" si="312"/>
        <v>0</v>
      </c>
      <c r="M1201" s="2">
        <f t="shared" si="313"/>
        <v>4.5255474452554734E-2</v>
      </c>
      <c r="N1201" s="63">
        <v>226</v>
      </c>
      <c r="O1201" s="63">
        <v>428</v>
      </c>
      <c r="P1201" s="63">
        <v>0</v>
      </c>
      <c r="Q1201" s="63">
        <v>16</v>
      </c>
      <c r="R1201" s="63">
        <v>10</v>
      </c>
      <c r="S1201" s="63"/>
      <c r="T1201" s="63">
        <v>0</v>
      </c>
      <c r="U1201" s="63"/>
      <c r="V1201" s="63"/>
      <c r="W1201" s="63">
        <f t="shared" si="314"/>
        <v>5</v>
      </c>
      <c r="X1201" s="63"/>
      <c r="Y1201" s="63"/>
      <c r="Z1201" s="63"/>
      <c r="AA1201" s="63"/>
      <c r="AB1201" s="63"/>
      <c r="AT1201" t="str">
        <f t="shared" si="316"/>
        <v>Lempster</v>
      </c>
      <c r="AU1201" t="s">
        <v>1040</v>
      </c>
      <c r="AV1201">
        <v>2</v>
      </c>
      <c r="AW1201">
        <v>2</v>
      </c>
      <c r="AX1201" s="114">
        <v>33</v>
      </c>
      <c r="AY1201" s="116">
        <v>19</v>
      </c>
      <c r="AZ1201" s="116">
        <v>45</v>
      </c>
      <c r="BA1201" s="120">
        <v>41700</v>
      </c>
      <c r="BB1201" s="120">
        <f t="shared" si="318"/>
        <v>33019</v>
      </c>
      <c r="BC1201" t="s">
        <v>1472</v>
      </c>
      <c r="BD1201">
        <f t="shared" si="315"/>
        <v>3341700</v>
      </c>
      <c r="BI1201">
        <v>32.770000000000003</v>
      </c>
      <c r="BJ1201">
        <v>0.43</v>
      </c>
      <c r="BK1201">
        <v>32.340000000000003</v>
      </c>
      <c r="BP1201" s="1">
        <v>5</v>
      </c>
      <c r="BR1201">
        <v>3</v>
      </c>
    </row>
    <row r="1202" spans="1:70" hidden="1" outlineLevel="1">
      <c r="A1202" s="8" t="s">
        <v>1597</v>
      </c>
      <c r="B1202" s="8" t="s">
        <v>1799</v>
      </c>
      <c r="C1202" s="1">
        <f t="shared" si="307"/>
        <v>853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308"/>
        <v>6</v>
      </c>
      <c r="G1202" s="1">
        <f t="shared" si="309"/>
        <v>41</v>
      </c>
      <c r="H1202" s="2">
        <f t="shared" si="317"/>
        <v>4.8065650644783117E-2</v>
      </c>
      <c r="I1202" s="6"/>
      <c r="J1202" s="2">
        <f t="shared" si="310"/>
        <v>0.4783118405627198</v>
      </c>
      <c r="K1202" s="2">
        <f t="shared" si="311"/>
        <v>0.43024618991793667</v>
      </c>
      <c r="L1202" s="2">
        <f t="shared" si="312"/>
        <v>2.3446658851113715E-3</v>
      </c>
      <c r="M1202" s="2">
        <f t="shared" si="313"/>
        <v>8.9097303634232156E-2</v>
      </c>
      <c r="N1202" s="63">
        <v>408</v>
      </c>
      <c r="O1202" s="63">
        <v>367</v>
      </c>
      <c r="P1202" s="63">
        <v>2</v>
      </c>
      <c r="Q1202" s="63">
        <v>45</v>
      </c>
      <c r="R1202" s="63">
        <v>13</v>
      </c>
      <c r="S1202" s="63"/>
      <c r="T1202" s="63">
        <v>2</v>
      </c>
      <c r="U1202" s="63"/>
      <c r="V1202" s="63"/>
      <c r="W1202" s="63">
        <f t="shared" si="314"/>
        <v>16</v>
      </c>
      <c r="X1202" s="63"/>
      <c r="Y1202" s="63"/>
      <c r="Z1202" s="63"/>
      <c r="AA1202" s="63"/>
      <c r="AB1202" s="63"/>
      <c r="AT1202" t="str">
        <f t="shared" si="316"/>
        <v>Lincoln</v>
      </c>
      <c r="AU1202" t="s">
        <v>2260</v>
      </c>
      <c r="AV1202">
        <v>2</v>
      </c>
      <c r="AW1202">
        <v>2</v>
      </c>
      <c r="AX1202" s="114">
        <v>33</v>
      </c>
      <c r="AY1202" s="116">
        <v>9</v>
      </c>
      <c r="AZ1202" s="116">
        <v>115</v>
      </c>
      <c r="BA1202" s="120">
        <v>41860</v>
      </c>
      <c r="BB1202" s="120">
        <f t="shared" si="318"/>
        <v>33009</v>
      </c>
      <c r="BC1202" t="s">
        <v>1472</v>
      </c>
      <c r="BD1202">
        <f t="shared" si="315"/>
        <v>3341860</v>
      </c>
      <c r="BI1202">
        <v>130.91999999999999</v>
      </c>
      <c r="BJ1202">
        <v>0.22</v>
      </c>
      <c r="BK1202">
        <v>130.69999999999999</v>
      </c>
      <c r="BP1202" s="1">
        <v>18</v>
      </c>
      <c r="BR1202">
        <v>8</v>
      </c>
    </row>
    <row r="1203" spans="1:70" hidden="1" outlineLevel="1">
      <c r="A1203" t="s">
        <v>1510</v>
      </c>
      <c r="B1203" s="8" t="s">
        <v>1799</v>
      </c>
      <c r="C1203" s="1">
        <f t="shared" si="307"/>
        <v>729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 t="shared" si="308"/>
        <v>0</v>
      </c>
      <c r="G1203" s="1">
        <f t="shared" si="309"/>
        <v>133</v>
      </c>
      <c r="H1203" s="2">
        <f t="shared" si="317"/>
        <v>0.18244170096021947</v>
      </c>
      <c r="I1203" s="6"/>
      <c r="J1203" s="2">
        <f t="shared" si="310"/>
        <v>0.35939643347050754</v>
      </c>
      <c r="K1203" s="2">
        <f t="shared" si="311"/>
        <v>0.54183813443072704</v>
      </c>
      <c r="L1203" s="2">
        <f t="shared" si="312"/>
        <v>0</v>
      </c>
      <c r="M1203" s="2">
        <f t="shared" si="313"/>
        <v>9.8765432098765427E-2</v>
      </c>
      <c r="N1203" s="63">
        <v>262</v>
      </c>
      <c r="O1203" s="63">
        <v>395</v>
      </c>
      <c r="P1203" s="63">
        <v>0</v>
      </c>
      <c r="Q1203" s="63">
        <v>35</v>
      </c>
      <c r="R1203" s="63">
        <v>6</v>
      </c>
      <c r="S1203" s="63"/>
      <c r="T1203" s="63">
        <v>1</v>
      </c>
      <c r="U1203" s="63"/>
      <c r="V1203" s="63"/>
      <c r="W1203" s="63">
        <f t="shared" si="314"/>
        <v>30</v>
      </c>
      <c r="X1203" s="63"/>
      <c r="Y1203" s="63"/>
      <c r="Z1203" s="63"/>
      <c r="AA1203" s="63"/>
      <c r="AB1203" s="63"/>
      <c r="AT1203" t="str">
        <f t="shared" si="316"/>
        <v>Lisbon</v>
      </c>
      <c r="AU1203" t="s">
        <v>2260</v>
      </c>
      <c r="AV1203">
        <v>2</v>
      </c>
      <c r="AW1203">
        <v>2</v>
      </c>
      <c r="AX1203" s="114">
        <v>33</v>
      </c>
      <c r="AY1203" s="116">
        <v>9</v>
      </c>
      <c r="AZ1203" s="116">
        <v>120</v>
      </c>
      <c r="BA1203" s="120">
        <v>42020</v>
      </c>
      <c r="BB1203" s="120">
        <f t="shared" si="318"/>
        <v>33009</v>
      </c>
      <c r="BC1203" t="s">
        <v>1472</v>
      </c>
      <c r="BD1203">
        <f t="shared" si="315"/>
        <v>3342020</v>
      </c>
      <c r="BI1203">
        <v>26.68</v>
      </c>
      <c r="BJ1203">
        <v>0.16</v>
      </c>
      <c r="BK1203">
        <v>26.51</v>
      </c>
      <c r="BP1203" s="1">
        <v>30</v>
      </c>
      <c r="BR1203">
        <v>20</v>
      </c>
    </row>
    <row r="1204" spans="1:70" hidden="1" outlineLevel="1">
      <c r="A1204" t="s">
        <v>1276</v>
      </c>
      <c r="B1204" s="8" t="s">
        <v>1799</v>
      </c>
      <c r="C1204" s="1">
        <f t="shared" si="307"/>
        <v>4910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 t="shared" si="308"/>
        <v>0</v>
      </c>
      <c r="G1204" s="1">
        <f t="shared" si="309"/>
        <v>797</v>
      </c>
      <c r="H1204" s="2">
        <f t="shared" si="317"/>
        <v>0.16232179226069246</v>
      </c>
      <c r="I1204" s="6"/>
      <c r="J1204" s="2">
        <f t="shared" si="310"/>
        <v>0.39164969450101833</v>
      </c>
      <c r="K1204" s="2">
        <f t="shared" si="311"/>
        <v>0.55397148676171082</v>
      </c>
      <c r="L1204" s="2">
        <f t="shared" si="312"/>
        <v>0</v>
      </c>
      <c r="M1204" s="2">
        <f t="shared" si="313"/>
        <v>5.4378818737270795E-2</v>
      </c>
      <c r="N1204" s="63">
        <v>1923</v>
      </c>
      <c r="O1204" s="63">
        <v>2720</v>
      </c>
      <c r="P1204" s="63">
        <v>0</v>
      </c>
      <c r="Q1204" s="63">
        <v>227</v>
      </c>
      <c r="R1204" s="63">
        <v>36</v>
      </c>
      <c r="S1204" s="63"/>
      <c r="T1204" s="63">
        <v>4</v>
      </c>
      <c r="U1204" s="63"/>
      <c r="V1204" s="63"/>
      <c r="W1204" s="63">
        <f t="shared" si="314"/>
        <v>0</v>
      </c>
      <c r="X1204" s="63"/>
      <c r="Y1204" s="63"/>
      <c r="Z1204" s="63"/>
      <c r="AA1204" s="63"/>
      <c r="AB1204" s="63"/>
      <c r="AT1204" t="str">
        <f t="shared" si="316"/>
        <v>Litchfield</v>
      </c>
      <c r="AU1204" t="s">
        <v>1161</v>
      </c>
      <c r="AV1204">
        <v>2</v>
      </c>
      <c r="AW1204">
        <v>2</v>
      </c>
      <c r="AX1204" s="114">
        <v>33</v>
      </c>
      <c r="AY1204" s="116">
        <v>11</v>
      </c>
      <c r="AZ1204" s="116">
        <v>75</v>
      </c>
      <c r="BA1204" s="120">
        <v>42260</v>
      </c>
      <c r="BB1204" s="120">
        <f t="shared" si="318"/>
        <v>33011</v>
      </c>
      <c r="BC1204" t="s">
        <v>1472</v>
      </c>
      <c r="BD1204">
        <f t="shared" si="315"/>
        <v>3342260</v>
      </c>
      <c r="BI1204">
        <v>15.45</v>
      </c>
      <c r="BJ1204">
        <v>0.35</v>
      </c>
      <c r="BK1204">
        <v>15.1</v>
      </c>
      <c r="BP1204" s="1">
        <v>0</v>
      </c>
      <c r="BR1204">
        <v>0</v>
      </c>
    </row>
    <row r="1205" spans="1:70" hidden="1" outlineLevel="1">
      <c r="A1205" t="s">
        <v>1781</v>
      </c>
      <c r="B1205" s="8" t="s">
        <v>1799</v>
      </c>
      <c r="C1205" s="1">
        <f t="shared" ref="C1205:C1268" si="319">SUM(N1205:AR1205)</f>
        <v>2930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 t="shared" ref="F1205:F1268" si="320">IF(P1205&gt;0,RANK(P1205,(N1205:AE1205)),0)</f>
        <v>6</v>
      </c>
      <c r="G1205" s="1">
        <f t="shared" ref="G1205:G1268" si="321">IF(C1205&gt;0,MAX(N1205:P1205)-LARGE(N1205:P1205,2),0)</f>
        <v>195</v>
      </c>
      <c r="H1205" s="2">
        <f t="shared" si="317"/>
        <v>6.655290102389079E-2</v>
      </c>
      <c r="I1205" s="6"/>
      <c r="J1205" s="2">
        <f t="shared" ref="J1205:J1268" si="322">IF(C1205=0,"-",N1205/C1205)</f>
        <v>0.42354948805460751</v>
      </c>
      <c r="K1205" s="2">
        <f t="shared" ref="K1205:K1268" si="323">IF(C1205=0,"-",O1205/C1205)</f>
        <v>0.49010238907849829</v>
      </c>
      <c r="L1205" s="2">
        <f t="shared" ref="L1205:L1268" si="324">IF(C1205=0,"-",P1205/C1205)</f>
        <v>2.0477815699658703E-3</v>
      </c>
      <c r="M1205" s="2">
        <f t="shared" ref="M1205:M1268" si="325">IF(C1205=0,"-",(1-J1205-K1205-L1205))</f>
        <v>8.4300341296928274E-2</v>
      </c>
      <c r="N1205" s="63">
        <v>1241</v>
      </c>
      <c r="O1205" s="63">
        <v>1436</v>
      </c>
      <c r="P1205" s="63">
        <v>6</v>
      </c>
      <c r="Q1205" s="63">
        <v>120</v>
      </c>
      <c r="R1205" s="63">
        <v>36</v>
      </c>
      <c r="S1205" s="63"/>
      <c r="T1205" s="63">
        <v>0</v>
      </c>
      <c r="U1205" s="63"/>
      <c r="V1205" s="63"/>
      <c r="W1205" s="63">
        <f t="shared" ref="W1205:W1268" si="326">BP1205-P1205</f>
        <v>91</v>
      </c>
      <c r="X1205" s="63"/>
      <c r="Y1205" s="63"/>
      <c r="Z1205" s="63"/>
      <c r="AA1205" s="63"/>
      <c r="AB1205" s="63"/>
      <c r="AT1205" t="str">
        <f t="shared" si="316"/>
        <v>Littleton</v>
      </c>
      <c r="AU1205" t="s">
        <v>2260</v>
      </c>
      <c r="AV1205">
        <v>2</v>
      </c>
      <c r="AW1205">
        <v>2</v>
      </c>
      <c r="AX1205" s="114">
        <v>33</v>
      </c>
      <c r="AY1205" s="116">
        <v>9</v>
      </c>
      <c r="AZ1205" s="116">
        <v>125</v>
      </c>
      <c r="BA1205" s="120">
        <v>42580</v>
      </c>
      <c r="BB1205" s="120">
        <f t="shared" si="318"/>
        <v>33009</v>
      </c>
      <c r="BC1205" t="s">
        <v>1472</v>
      </c>
      <c r="BD1205">
        <f t="shared" ref="BD1205:BD1268" si="327">AX1205*100000+BA1205</f>
        <v>3342580</v>
      </c>
      <c r="BI1205">
        <v>54.09</v>
      </c>
      <c r="BJ1205">
        <v>3.85</v>
      </c>
      <c r="BK1205">
        <v>50.24</v>
      </c>
      <c r="BP1205" s="1">
        <v>97</v>
      </c>
      <c r="BR1205">
        <v>60</v>
      </c>
    </row>
    <row r="1206" spans="1:70" hidden="1" outlineLevel="1">
      <c r="A1206" t="s">
        <v>1784</v>
      </c>
      <c r="B1206" s="8" t="s">
        <v>1799</v>
      </c>
      <c r="C1206" s="1">
        <f t="shared" si="319"/>
        <v>14237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 t="shared" si="320"/>
        <v>0</v>
      </c>
      <c r="G1206" s="1">
        <f t="shared" si="321"/>
        <v>1370</v>
      </c>
      <c r="H1206" s="2">
        <f t="shared" si="317"/>
        <v>9.6228137950410908E-2</v>
      </c>
      <c r="I1206" s="6"/>
      <c r="J1206" s="2">
        <f t="shared" si="322"/>
        <v>0.41918943597668046</v>
      </c>
      <c r="K1206" s="2">
        <f t="shared" si="323"/>
        <v>0.51541757392709142</v>
      </c>
      <c r="L1206" s="2">
        <f t="shared" si="324"/>
        <v>0</v>
      </c>
      <c r="M1206" s="2">
        <f t="shared" si="325"/>
        <v>6.5392990096228121E-2</v>
      </c>
      <c r="N1206" s="63">
        <v>5968</v>
      </c>
      <c r="O1206" s="63">
        <v>7338</v>
      </c>
      <c r="P1206" s="63">
        <v>0</v>
      </c>
      <c r="Q1206" s="63">
        <v>647</v>
      </c>
      <c r="R1206" s="63">
        <v>81</v>
      </c>
      <c r="S1206" s="63"/>
      <c r="T1206" s="63">
        <v>15</v>
      </c>
      <c r="U1206" s="63"/>
      <c r="V1206" s="63"/>
      <c r="W1206" s="63">
        <f t="shared" si="326"/>
        <v>188</v>
      </c>
      <c r="X1206" s="63"/>
      <c r="Y1206" s="63"/>
      <c r="Z1206" s="63"/>
      <c r="AA1206" s="63"/>
      <c r="AB1206" s="63"/>
      <c r="AT1206" t="str">
        <f t="shared" si="316"/>
        <v>Londonderry</v>
      </c>
      <c r="AU1206" t="s">
        <v>2971</v>
      </c>
      <c r="AV1206">
        <v>1</v>
      </c>
      <c r="AW1206">
        <v>1</v>
      </c>
      <c r="AX1206" s="114">
        <v>33</v>
      </c>
      <c r="AY1206" s="116">
        <v>15</v>
      </c>
      <c r="AZ1206" s="116">
        <v>95</v>
      </c>
      <c r="BA1206" s="120">
        <v>43220</v>
      </c>
      <c r="BB1206" s="120">
        <f t="shared" si="318"/>
        <v>33015</v>
      </c>
      <c r="BC1206" t="s">
        <v>1472</v>
      </c>
      <c r="BD1206">
        <f t="shared" si="327"/>
        <v>3343220</v>
      </c>
      <c r="BI1206">
        <v>41.94</v>
      </c>
      <c r="BJ1206">
        <v>0.13</v>
      </c>
      <c r="BK1206">
        <v>41.81</v>
      </c>
      <c r="BP1206" s="1">
        <v>188</v>
      </c>
      <c r="BR1206">
        <v>46</v>
      </c>
    </row>
    <row r="1207" spans="1:70" hidden="1" outlineLevel="1">
      <c r="A1207" t="s">
        <v>712</v>
      </c>
      <c r="B1207" s="8" t="s">
        <v>1799</v>
      </c>
      <c r="C1207" s="1">
        <f t="shared" si="319"/>
        <v>3305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 t="shared" si="320"/>
        <v>6</v>
      </c>
      <c r="G1207" s="1">
        <f t="shared" si="321"/>
        <v>814</v>
      </c>
      <c r="H1207" s="2">
        <f t="shared" si="317"/>
        <v>0.24629349470499243</v>
      </c>
      <c r="I1207" s="6"/>
      <c r="J1207" s="2">
        <f t="shared" si="322"/>
        <v>0.34372163388804844</v>
      </c>
      <c r="K1207" s="2">
        <f t="shared" si="323"/>
        <v>0.59001512859304084</v>
      </c>
      <c r="L1207" s="2">
        <f t="shared" si="324"/>
        <v>2.118003025718608E-3</v>
      </c>
      <c r="M1207" s="2">
        <f t="shared" si="325"/>
        <v>6.4145234493192121E-2</v>
      </c>
      <c r="N1207" s="63">
        <v>1136</v>
      </c>
      <c r="O1207" s="63">
        <v>1950</v>
      </c>
      <c r="P1207" s="63">
        <v>7</v>
      </c>
      <c r="Q1207" s="63">
        <v>146</v>
      </c>
      <c r="R1207" s="63">
        <v>12</v>
      </c>
      <c r="S1207" s="63"/>
      <c r="T1207" s="63">
        <v>3</v>
      </c>
      <c r="U1207" s="63"/>
      <c r="V1207" s="63"/>
      <c r="W1207" s="63">
        <f t="shared" si="326"/>
        <v>51</v>
      </c>
      <c r="X1207" s="63"/>
      <c r="Y1207" s="63"/>
      <c r="Z1207" s="63"/>
      <c r="AA1207" s="63"/>
      <c r="AB1207" s="63"/>
      <c r="AT1207" t="str">
        <f t="shared" si="316"/>
        <v>Loudon</v>
      </c>
      <c r="AU1207" t="s">
        <v>2494</v>
      </c>
      <c r="AV1207">
        <v>2</v>
      </c>
      <c r="AW1207">
        <v>2</v>
      </c>
      <c r="AX1207" s="114">
        <v>33</v>
      </c>
      <c r="AY1207" s="116">
        <v>13</v>
      </c>
      <c r="AZ1207" s="116">
        <v>85</v>
      </c>
      <c r="BA1207" s="120">
        <v>43380</v>
      </c>
      <c r="BB1207" s="120">
        <f t="shared" si="318"/>
        <v>33013</v>
      </c>
      <c r="BC1207" t="s">
        <v>1472</v>
      </c>
      <c r="BD1207">
        <f t="shared" si="327"/>
        <v>3343380</v>
      </c>
      <c r="BI1207">
        <v>47.48</v>
      </c>
      <c r="BJ1207">
        <v>0.67</v>
      </c>
      <c r="BK1207">
        <v>46.81</v>
      </c>
      <c r="BP1207" s="1">
        <v>58</v>
      </c>
      <c r="BR1207">
        <v>13</v>
      </c>
    </row>
    <row r="1208" spans="1:70" hidden="1" outlineLevel="1">
      <c r="A1208" t="s">
        <v>1270</v>
      </c>
      <c r="B1208" s="8" t="s">
        <v>1799</v>
      </c>
      <c r="C1208" s="1">
        <f t="shared" si="319"/>
        <v>327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320"/>
        <v>6</v>
      </c>
      <c r="G1208" s="1">
        <f t="shared" si="321"/>
        <v>43</v>
      </c>
      <c r="H1208" s="2">
        <f t="shared" si="317"/>
        <v>0.13149847094801223</v>
      </c>
      <c r="I1208" s="6"/>
      <c r="J1208" s="2">
        <f t="shared" si="322"/>
        <v>0.38532110091743121</v>
      </c>
      <c r="K1208" s="2">
        <f t="shared" si="323"/>
        <v>0.51681957186544347</v>
      </c>
      <c r="L1208" s="2">
        <f t="shared" si="324"/>
        <v>6.1162079510703364E-3</v>
      </c>
      <c r="M1208" s="2">
        <f t="shared" si="325"/>
        <v>9.1743119266054982E-2</v>
      </c>
      <c r="N1208" s="63">
        <v>126</v>
      </c>
      <c r="O1208" s="63">
        <v>169</v>
      </c>
      <c r="P1208" s="63">
        <v>2</v>
      </c>
      <c r="Q1208" s="63">
        <v>14</v>
      </c>
      <c r="R1208" s="63">
        <v>4</v>
      </c>
      <c r="S1208" s="63"/>
      <c r="T1208" s="63">
        <v>0</v>
      </c>
      <c r="U1208" s="63"/>
      <c r="V1208" s="63"/>
      <c r="W1208" s="63">
        <f t="shared" si="326"/>
        <v>12</v>
      </c>
      <c r="X1208" s="63"/>
      <c r="Y1208" s="63"/>
      <c r="Z1208" s="63"/>
      <c r="AA1208" s="63"/>
      <c r="AB1208" s="63"/>
      <c r="AT1208" t="str">
        <f t="shared" si="316"/>
        <v>Lyman</v>
      </c>
      <c r="AU1208" t="s">
        <v>2260</v>
      </c>
      <c r="AV1208">
        <v>2</v>
      </c>
      <c r="AW1208">
        <v>2</v>
      </c>
      <c r="AX1208" s="114">
        <v>33</v>
      </c>
      <c r="AY1208" s="116">
        <v>9</v>
      </c>
      <c r="AZ1208" s="116">
        <v>130</v>
      </c>
      <c r="BA1208" s="120">
        <v>44100</v>
      </c>
      <c r="BB1208" s="120">
        <f t="shared" si="318"/>
        <v>33009</v>
      </c>
      <c r="BC1208" t="s">
        <v>1472</v>
      </c>
      <c r="BD1208">
        <f t="shared" si="327"/>
        <v>3344100</v>
      </c>
      <c r="BI1208">
        <v>28.75</v>
      </c>
      <c r="BJ1208">
        <v>0.28999999999999998</v>
      </c>
      <c r="BK1208">
        <v>28.46</v>
      </c>
      <c r="BP1208" s="1">
        <v>14</v>
      </c>
      <c r="BR1208">
        <v>10</v>
      </c>
    </row>
    <row r="1209" spans="1:70" hidden="1" outlineLevel="1">
      <c r="A1209" t="s">
        <v>2347</v>
      </c>
      <c r="B1209" s="8" t="s">
        <v>1799</v>
      </c>
      <c r="C1209" s="1">
        <f t="shared" si="319"/>
        <v>1188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si="320"/>
        <v>6</v>
      </c>
      <c r="G1209" s="1">
        <f t="shared" si="321"/>
        <v>658</v>
      </c>
      <c r="H1209" s="2">
        <f t="shared" si="317"/>
        <v>0.55387205387205385</v>
      </c>
      <c r="I1209" s="6"/>
      <c r="J1209" s="2">
        <f t="shared" si="322"/>
        <v>0.74915824915824913</v>
      </c>
      <c r="K1209" s="2">
        <f t="shared" si="323"/>
        <v>0.19528619528619529</v>
      </c>
      <c r="L1209" s="2">
        <f t="shared" si="324"/>
        <v>8.4175084175084171E-4</v>
      </c>
      <c r="M1209" s="2">
        <f t="shared" si="325"/>
        <v>5.4713804713804735E-2</v>
      </c>
      <c r="N1209" s="63">
        <v>890</v>
      </c>
      <c r="O1209" s="63">
        <v>232</v>
      </c>
      <c r="P1209" s="63">
        <v>1</v>
      </c>
      <c r="Q1209" s="63">
        <v>32</v>
      </c>
      <c r="R1209" s="63">
        <v>11</v>
      </c>
      <c r="S1209" s="63"/>
      <c r="T1209" s="63">
        <v>1</v>
      </c>
      <c r="U1209" s="63"/>
      <c r="V1209" s="63"/>
      <c r="W1209" s="63">
        <f t="shared" si="326"/>
        <v>21</v>
      </c>
      <c r="X1209" s="63"/>
      <c r="Y1209" s="63"/>
      <c r="Z1209" s="63"/>
      <c r="AA1209" s="63"/>
      <c r="AB1209" s="63"/>
      <c r="AT1209" t="str">
        <f t="shared" si="316"/>
        <v>Lyme</v>
      </c>
      <c r="AU1209" t="s">
        <v>2260</v>
      </c>
      <c r="AV1209">
        <v>2</v>
      </c>
      <c r="AW1209">
        <v>2</v>
      </c>
      <c r="AX1209" s="114">
        <v>33</v>
      </c>
      <c r="AY1209" s="116">
        <v>9</v>
      </c>
      <c r="AZ1209" s="116">
        <v>135</v>
      </c>
      <c r="BA1209" s="120">
        <v>44260</v>
      </c>
      <c r="BB1209" s="120">
        <f t="shared" si="318"/>
        <v>33009</v>
      </c>
      <c r="BC1209" t="s">
        <v>1472</v>
      </c>
      <c r="BD1209">
        <f t="shared" si="327"/>
        <v>3344260</v>
      </c>
      <c r="BI1209">
        <v>54.97</v>
      </c>
      <c r="BJ1209">
        <v>1.1299999999999999</v>
      </c>
      <c r="BK1209">
        <v>53.85</v>
      </c>
      <c r="BP1209" s="1">
        <v>22</v>
      </c>
      <c r="BR1209">
        <v>9</v>
      </c>
    </row>
    <row r="1210" spans="1:70" hidden="1" outlineLevel="1">
      <c r="A1210" t="s">
        <v>2643</v>
      </c>
      <c r="B1210" s="8" t="s">
        <v>1799</v>
      </c>
      <c r="C1210" s="1">
        <f t="shared" si="319"/>
        <v>1080</v>
      </c>
      <c r="D1210" s="5">
        <f>IF(N1210&gt;0, RANK(N1210,(N1210:P1210,Q1210:AE1210)),0)</f>
        <v>2</v>
      </c>
      <c r="E1210" s="5">
        <f>IF(O1210&gt;0,RANK(O1210,(N1210:P1210,Q1210:AE1210)),0)</f>
        <v>1</v>
      </c>
      <c r="F1210" s="5">
        <f t="shared" si="320"/>
        <v>7</v>
      </c>
      <c r="G1210" s="1">
        <f t="shared" si="321"/>
        <v>33</v>
      </c>
      <c r="H1210" s="2">
        <f t="shared" si="317"/>
        <v>3.0555555555555555E-2</v>
      </c>
      <c r="I1210" s="6"/>
      <c r="J1210" s="2">
        <f t="shared" si="322"/>
        <v>0.43518518518518517</v>
      </c>
      <c r="K1210" s="2">
        <f t="shared" si="323"/>
        <v>0.46574074074074073</v>
      </c>
      <c r="L1210" s="2">
        <f t="shared" si="324"/>
        <v>3.7037037037037038E-3</v>
      </c>
      <c r="M1210" s="2">
        <f t="shared" si="325"/>
        <v>9.5370370370370439E-2</v>
      </c>
      <c r="N1210" s="63">
        <v>470</v>
      </c>
      <c r="O1210" s="63">
        <v>503</v>
      </c>
      <c r="P1210" s="63">
        <v>4</v>
      </c>
      <c r="Q1210" s="63">
        <v>64</v>
      </c>
      <c r="R1210" s="63">
        <v>14</v>
      </c>
      <c r="S1210" s="63"/>
      <c r="T1210" s="63">
        <v>9</v>
      </c>
      <c r="U1210" s="63"/>
      <c r="V1210" s="63"/>
      <c r="W1210" s="63">
        <f t="shared" si="326"/>
        <v>16</v>
      </c>
      <c r="X1210" s="63"/>
      <c r="Y1210" s="63"/>
      <c r="Z1210" s="63"/>
      <c r="AA1210" s="63"/>
      <c r="AB1210" s="63"/>
      <c r="AT1210" t="str">
        <f t="shared" si="316"/>
        <v>Lyndeborough</v>
      </c>
      <c r="AU1210" t="s">
        <v>1161</v>
      </c>
      <c r="AV1210">
        <v>2</v>
      </c>
      <c r="AW1210">
        <v>2</v>
      </c>
      <c r="AX1210" s="114">
        <v>33</v>
      </c>
      <c r="AY1210" s="116">
        <v>11</v>
      </c>
      <c r="AZ1210" s="116">
        <v>80</v>
      </c>
      <c r="BA1210" s="120">
        <v>44580</v>
      </c>
      <c r="BB1210" s="120">
        <f t="shared" si="318"/>
        <v>33011</v>
      </c>
      <c r="BC1210" t="s">
        <v>1472</v>
      </c>
      <c r="BD1210">
        <f t="shared" si="327"/>
        <v>3344580</v>
      </c>
      <c r="BI1210">
        <v>31.21</v>
      </c>
      <c r="BJ1210">
        <v>0.12</v>
      </c>
      <c r="BK1210">
        <v>31.09</v>
      </c>
      <c r="BP1210" s="1">
        <v>20</v>
      </c>
      <c r="BR1210">
        <v>8</v>
      </c>
    </row>
    <row r="1211" spans="1:70" hidden="1" outlineLevel="1">
      <c r="A1211" t="s">
        <v>1656</v>
      </c>
      <c r="B1211" s="8" t="s">
        <v>1799</v>
      </c>
      <c r="C1211" s="1">
        <f t="shared" si="319"/>
        <v>1150</v>
      </c>
      <c r="D1211" s="5">
        <f>IF(N1211&gt;0, RANK(N1211,(N1211:P1211,Q1211:AE1211)),0)</f>
        <v>1</v>
      </c>
      <c r="E1211" s="5">
        <f>IF(O1211&gt;0,RANK(O1211,(N1211:P1211,Q1211:AE1211)),0)</f>
        <v>2</v>
      </c>
      <c r="F1211" s="5">
        <f t="shared" si="320"/>
        <v>6</v>
      </c>
      <c r="G1211" s="1">
        <f t="shared" si="321"/>
        <v>210</v>
      </c>
      <c r="H1211" s="2">
        <f t="shared" si="317"/>
        <v>0.18260869565217391</v>
      </c>
      <c r="I1211" s="6"/>
      <c r="J1211" s="2">
        <f t="shared" si="322"/>
        <v>0.54956521739130437</v>
      </c>
      <c r="K1211" s="2">
        <f t="shared" si="323"/>
        <v>0.36695652173913046</v>
      </c>
      <c r="L1211" s="2">
        <f t="shared" si="324"/>
        <v>2.6086956521739132E-3</v>
      </c>
      <c r="M1211" s="2">
        <f t="shared" si="325"/>
        <v>8.0869565217391248E-2</v>
      </c>
      <c r="N1211" s="63">
        <v>632</v>
      </c>
      <c r="O1211" s="63">
        <v>422</v>
      </c>
      <c r="P1211" s="63">
        <v>3</v>
      </c>
      <c r="Q1211" s="63">
        <v>67</v>
      </c>
      <c r="R1211" s="63">
        <v>10</v>
      </c>
      <c r="S1211" s="63"/>
      <c r="T1211" s="63">
        <v>0</v>
      </c>
      <c r="U1211" s="63"/>
      <c r="V1211" s="63"/>
      <c r="W1211" s="63">
        <f t="shared" si="326"/>
        <v>16</v>
      </c>
      <c r="X1211" s="63"/>
      <c r="Y1211" s="63"/>
      <c r="Z1211" s="63"/>
      <c r="AA1211" s="63"/>
      <c r="AB1211" s="63"/>
      <c r="AT1211" t="str">
        <f t="shared" si="316"/>
        <v>Madbury</v>
      </c>
      <c r="AU1211" t="s">
        <v>2035</v>
      </c>
      <c r="AV1211">
        <v>1</v>
      </c>
      <c r="AW1211">
        <v>1</v>
      </c>
      <c r="AX1211" s="114">
        <v>33</v>
      </c>
      <c r="AY1211" s="116">
        <v>17</v>
      </c>
      <c r="AZ1211" s="116">
        <v>30</v>
      </c>
      <c r="BA1211" s="120">
        <v>44820</v>
      </c>
      <c r="BB1211" s="120">
        <f t="shared" si="318"/>
        <v>33017</v>
      </c>
      <c r="BC1211" t="s">
        <v>1472</v>
      </c>
      <c r="BD1211">
        <f t="shared" si="327"/>
        <v>3344820</v>
      </c>
      <c r="BI1211">
        <v>12.24</v>
      </c>
      <c r="BJ1211">
        <v>0.56000000000000005</v>
      </c>
      <c r="BK1211">
        <v>11.68</v>
      </c>
      <c r="BP1211" s="1">
        <v>19</v>
      </c>
      <c r="BR1211">
        <v>9</v>
      </c>
    </row>
    <row r="1212" spans="1:70" hidden="1" outlineLevel="1">
      <c r="A1212" s="8" t="s">
        <v>1650</v>
      </c>
      <c r="B1212" s="8" t="s">
        <v>1799</v>
      </c>
      <c r="C1212" s="1">
        <f t="shared" si="319"/>
        <v>1481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320"/>
        <v>7</v>
      </c>
      <c r="G1212" s="1">
        <f t="shared" si="321"/>
        <v>67</v>
      </c>
      <c r="H1212" s="2">
        <f t="shared" si="317"/>
        <v>4.5239702903443618E-2</v>
      </c>
      <c r="I1212" s="6"/>
      <c r="J1212" s="2">
        <f t="shared" si="322"/>
        <v>0.48683322079675895</v>
      </c>
      <c r="K1212" s="2">
        <f t="shared" si="323"/>
        <v>0.4415935178933153</v>
      </c>
      <c r="L1212" s="2">
        <f t="shared" si="324"/>
        <v>2.7008777852802163E-3</v>
      </c>
      <c r="M1212" s="2">
        <f t="shared" si="325"/>
        <v>6.8872383524645531E-2</v>
      </c>
      <c r="N1212" s="63">
        <v>721</v>
      </c>
      <c r="O1212" s="63">
        <v>654</v>
      </c>
      <c r="P1212" s="63">
        <v>4</v>
      </c>
      <c r="Q1212" s="63">
        <v>70</v>
      </c>
      <c r="R1212" s="63">
        <v>13</v>
      </c>
      <c r="S1212" s="63"/>
      <c r="T1212" s="63">
        <v>5</v>
      </c>
      <c r="U1212" s="63"/>
      <c r="V1212" s="63"/>
      <c r="W1212" s="63">
        <f t="shared" si="326"/>
        <v>14</v>
      </c>
      <c r="X1212" s="63"/>
      <c r="Y1212" s="63"/>
      <c r="Z1212" s="63"/>
      <c r="AA1212" s="63"/>
      <c r="AB1212" s="63"/>
      <c r="AT1212" t="str">
        <f t="shared" si="316"/>
        <v>Madison</v>
      </c>
      <c r="AU1212" t="s">
        <v>1675</v>
      </c>
      <c r="AV1212">
        <v>1</v>
      </c>
      <c r="AW1212">
        <v>1</v>
      </c>
      <c r="AX1212" s="114">
        <v>33</v>
      </c>
      <c r="AY1212" s="116">
        <v>3</v>
      </c>
      <c r="AZ1212" s="116">
        <v>60</v>
      </c>
      <c r="BA1212" s="120">
        <v>45060</v>
      </c>
      <c r="BB1212" s="120">
        <f t="shared" si="318"/>
        <v>33003</v>
      </c>
      <c r="BC1212" t="s">
        <v>1472</v>
      </c>
      <c r="BD1212">
        <f t="shared" si="327"/>
        <v>3345060</v>
      </c>
      <c r="BI1212">
        <v>40.950000000000003</v>
      </c>
      <c r="BJ1212">
        <v>2.2200000000000002</v>
      </c>
      <c r="BK1212">
        <v>38.729999999999997</v>
      </c>
      <c r="BP1212" s="1">
        <v>18</v>
      </c>
      <c r="BR1212">
        <v>3</v>
      </c>
    </row>
    <row r="1213" spans="1:70" hidden="1" outlineLevel="1">
      <c r="A1213" t="s">
        <v>1983</v>
      </c>
      <c r="B1213" s="8" t="s">
        <v>1799</v>
      </c>
      <c r="C1213" s="1">
        <f t="shared" si="319"/>
        <v>49933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320"/>
        <v>6</v>
      </c>
      <c r="G1213" s="1">
        <f t="shared" si="321"/>
        <v>3387</v>
      </c>
      <c r="H1213" s="2">
        <f t="shared" si="317"/>
        <v>6.7830893397152189E-2</v>
      </c>
      <c r="I1213" s="6"/>
      <c r="J1213" s="2">
        <f t="shared" si="322"/>
        <v>0.49948931568301524</v>
      </c>
      <c r="K1213" s="2">
        <f t="shared" si="323"/>
        <v>0.43165842228586304</v>
      </c>
      <c r="L1213" s="2">
        <f t="shared" si="324"/>
        <v>1.6422005487353054E-3</v>
      </c>
      <c r="M1213" s="2">
        <f t="shared" si="325"/>
        <v>6.721006148238641E-2</v>
      </c>
      <c r="N1213" s="63">
        <v>24941</v>
      </c>
      <c r="O1213" s="63">
        <v>21554</v>
      </c>
      <c r="P1213" s="63">
        <v>82</v>
      </c>
      <c r="Q1213" s="63">
        <v>2081</v>
      </c>
      <c r="R1213" s="63">
        <v>454</v>
      </c>
      <c r="S1213" s="63"/>
      <c r="T1213" s="63">
        <v>56</v>
      </c>
      <c r="U1213" s="63"/>
      <c r="V1213" s="63"/>
      <c r="W1213" s="63">
        <f t="shared" si="326"/>
        <v>765</v>
      </c>
      <c r="X1213" s="63"/>
      <c r="Y1213" s="63"/>
      <c r="Z1213" s="63"/>
      <c r="AA1213" s="63"/>
      <c r="AB1213" s="63"/>
      <c r="AT1213" t="str">
        <f t="shared" si="316"/>
        <v>Manchester</v>
      </c>
      <c r="AU1213" t="s">
        <v>1161</v>
      </c>
      <c r="AV1213">
        <v>1</v>
      </c>
      <c r="AW1213">
        <v>1</v>
      </c>
      <c r="AX1213" s="114">
        <v>33</v>
      </c>
      <c r="AY1213" s="116">
        <v>11</v>
      </c>
      <c r="AZ1213" s="116">
        <v>85</v>
      </c>
      <c r="BA1213" s="120">
        <v>45140</v>
      </c>
      <c r="BB1213" s="120">
        <f t="shared" si="318"/>
        <v>33011</v>
      </c>
      <c r="BC1213" t="s">
        <v>1249</v>
      </c>
      <c r="BD1213">
        <f t="shared" si="327"/>
        <v>3345140</v>
      </c>
      <c r="BI1213">
        <v>34.909999999999997</v>
      </c>
      <c r="BJ1213">
        <v>1.9</v>
      </c>
      <c r="BK1213">
        <v>33.01</v>
      </c>
      <c r="BP1213" s="1">
        <v>847</v>
      </c>
      <c r="BR1213">
        <v>351</v>
      </c>
    </row>
    <row r="1214" spans="1:70" hidden="1" outlineLevel="1">
      <c r="A1214" t="s">
        <v>1610</v>
      </c>
      <c r="B1214" s="8" t="s">
        <v>1799</v>
      </c>
      <c r="C1214" s="1">
        <f t="shared" si="319"/>
        <v>1192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320"/>
        <v>6</v>
      </c>
      <c r="G1214" s="1">
        <f t="shared" si="321"/>
        <v>303</v>
      </c>
      <c r="H1214" s="2">
        <f t="shared" si="317"/>
        <v>0.25419463087248323</v>
      </c>
      <c r="I1214" s="6"/>
      <c r="J1214" s="2">
        <f t="shared" si="322"/>
        <v>0.59647651006711411</v>
      </c>
      <c r="K1214" s="2">
        <f t="shared" si="323"/>
        <v>0.34228187919463088</v>
      </c>
      <c r="L1214" s="2">
        <f t="shared" si="324"/>
        <v>1.6778523489932886E-3</v>
      </c>
      <c r="M1214" s="2">
        <f t="shared" si="325"/>
        <v>5.9563758389261728E-2</v>
      </c>
      <c r="N1214" s="63">
        <v>711</v>
      </c>
      <c r="O1214" s="63">
        <v>408</v>
      </c>
      <c r="P1214" s="63">
        <v>2</v>
      </c>
      <c r="Q1214" s="63">
        <v>34</v>
      </c>
      <c r="R1214" s="63">
        <v>10</v>
      </c>
      <c r="S1214" s="63"/>
      <c r="T1214" s="63">
        <v>2</v>
      </c>
      <c r="U1214" s="63"/>
      <c r="V1214" s="63"/>
      <c r="W1214" s="63">
        <f t="shared" si="326"/>
        <v>25</v>
      </c>
      <c r="X1214" s="63"/>
      <c r="Y1214" s="63"/>
      <c r="Z1214" s="63"/>
      <c r="AA1214" s="63"/>
      <c r="AB1214" s="63"/>
      <c r="AT1214" t="str">
        <f t="shared" si="316"/>
        <v>Marlborough</v>
      </c>
      <c r="AU1214" t="s">
        <v>1463</v>
      </c>
      <c r="AV1214">
        <v>2</v>
      </c>
      <c r="AW1214">
        <v>2</v>
      </c>
      <c r="AX1214" s="114">
        <v>33</v>
      </c>
      <c r="AY1214" s="116">
        <v>5</v>
      </c>
      <c r="AZ1214" s="116">
        <v>50</v>
      </c>
      <c r="BA1214" s="120">
        <v>45460</v>
      </c>
      <c r="BB1214" s="120">
        <f t="shared" si="318"/>
        <v>33005</v>
      </c>
      <c r="BC1214" t="s">
        <v>1472</v>
      </c>
      <c r="BD1214">
        <f t="shared" si="327"/>
        <v>3345460</v>
      </c>
      <c r="BI1214">
        <v>20.64</v>
      </c>
      <c r="BJ1214">
        <v>0.24</v>
      </c>
      <c r="BK1214">
        <v>20.41</v>
      </c>
      <c r="BP1214" s="1">
        <v>27</v>
      </c>
      <c r="BR1214">
        <v>14</v>
      </c>
    </row>
    <row r="1215" spans="1:70" hidden="1" outlineLevel="1">
      <c r="A1215" t="s">
        <v>2328</v>
      </c>
      <c r="B1215" s="8" t="s">
        <v>1799</v>
      </c>
      <c r="C1215" s="1">
        <f t="shared" si="319"/>
        <v>461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320"/>
        <v>0</v>
      </c>
      <c r="G1215" s="1">
        <f t="shared" si="321"/>
        <v>19</v>
      </c>
      <c r="H1215" s="2">
        <f t="shared" si="317"/>
        <v>4.1214750542299353E-2</v>
      </c>
      <c r="I1215" s="6"/>
      <c r="J1215" s="2">
        <f t="shared" si="322"/>
        <v>0.47505422993492408</v>
      </c>
      <c r="K1215" s="2">
        <f t="shared" si="323"/>
        <v>0.43383947939262474</v>
      </c>
      <c r="L1215" s="2">
        <f t="shared" si="324"/>
        <v>0</v>
      </c>
      <c r="M1215" s="2">
        <f t="shared" si="325"/>
        <v>9.1106290672451185E-2</v>
      </c>
      <c r="N1215" s="63">
        <v>219</v>
      </c>
      <c r="O1215" s="63">
        <v>200</v>
      </c>
      <c r="P1215" s="63">
        <v>0</v>
      </c>
      <c r="Q1215" s="63">
        <v>19</v>
      </c>
      <c r="R1215" s="63">
        <v>2</v>
      </c>
      <c r="S1215" s="63"/>
      <c r="T1215" s="63">
        <v>1</v>
      </c>
      <c r="U1215" s="63"/>
      <c r="V1215" s="63"/>
      <c r="W1215" s="63">
        <f t="shared" si="326"/>
        <v>20</v>
      </c>
      <c r="X1215" s="63"/>
      <c r="Y1215" s="63"/>
      <c r="Z1215" s="63"/>
      <c r="AA1215" s="63"/>
      <c r="AB1215" s="63"/>
      <c r="AT1215" t="str">
        <f t="shared" si="316"/>
        <v>Marlow</v>
      </c>
      <c r="AU1215" t="s">
        <v>1463</v>
      </c>
      <c r="AV1215">
        <v>2</v>
      </c>
      <c r="AW1215">
        <v>2</v>
      </c>
      <c r="AX1215" s="114">
        <v>33</v>
      </c>
      <c r="AY1215" s="116">
        <v>5</v>
      </c>
      <c r="AZ1215" s="116">
        <v>55</v>
      </c>
      <c r="BA1215" s="120">
        <v>45700</v>
      </c>
      <c r="BB1215" s="120">
        <f t="shared" si="318"/>
        <v>33005</v>
      </c>
      <c r="BC1215" t="s">
        <v>1472</v>
      </c>
      <c r="BD1215">
        <f t="shared" si="327"/>
        <v>3345700</v>
      </c>
      <c r="BI1215">
        <v>26.42</v>
      </c>
      <c r="BJ1215">
        <v>0.47</v>
      </c>
      <c r="BK1215">
        <v>25.95</v>
      </c>
      <c r="BP1215" s="1">
        <v>20</v>
      </c>
      <c r="BR1215">
        <v>8</v>
      </c>
    </row>
    <row r="1216" spans="1:70" hidden="1" outlineLevel="1">
      <c r="A1216" t="s">
        <v>1942</v>
      </c>
      <c r="B1216" s="8" t="s">
        <v>1799</v>
      </c>
      <c r="C1216" s="1">
        <f t="shared" si="319"/>
        <v>872</v>
      </c>
      <c r="D1216" s="5">
        <f>IF(N1216&gt;0, RANK(N1216,(N1216:P1216,Q1216:AE1216)),0)</f>
        <v>2</v>
      </c>
      <c r="E1216" s="5">
        <f>IF(O1216&gt;0,RANK(O1216,(N1216:P1216,Q1216:AE1216)),0)</f>
        <v>1</v>
      </c>
      <c r="F1216" s="5">
        <f t="shared" si="320"/>
        <v>6</v>
      </c>
      <c r="G1216" s="1">
        <f t="shared" si="321"/>
        <v>171</v>
      </c>
      <c r="H1216" s="2">
        <f t="shared" si="317"/>
        <v>0.19610091743119265</v>
      </c>
      <c r="I1216" s="6"/>
      <c r="J1216" s="2">
        <f t="shared" si="322"/>
        <v>0.35091743119266056</v>
      </c>
      <c r="K1216" s="2">
        <f t="shared" si="323"/>
        <v>0.54701834862385323</v>
      </c>
      <c r="L1216" s="2">
        <f t="shared" si="324"/>
        <v>3.4403669724770644E-3</v>
      </c>
      <c r="M1216" s="2">
        <f t="shared" si="325"/>
        <v>9.8623853211009083E-2</v>
      </c>
      <c r="N1216" s="63">
        <v>306</v>
      </c>
      <c r="O1216" s="63">
        <v>477</v>
      </c>
      <c r="P1216" s="63">
        <v>3</v>
      </c>
      <c r="Q1216" s="63">
        <v>65</v>
      </c>
      <c r="R1216" s="63">
        <v>6</v>
      </c>
      <c r="S1216" s="63"/>
      <c r="T1216" s="63">
        <v>1</v>
      </c>
      <c r="U1216" s="63"/>
      <c r="V1216" s="63"/>
      <c r="W1216" s="63">
        <f t="shared" si="326"/>
        <v>14</v>
      </c>
      <c r="X1216" s="63"/>
      <c r="Y1216" s="63"/>
      <c r="Z1216" s="63"/>
      <c r="AA1216" s="63"/>
      <c r="AB1216" s="63"/>
      <c r="AT1216" t="str">
        <f t="shared" si="316"/>
        <v>Mason</v>
      </c>
      <c r="AU1216" t="s">
        <v>1161</v>
      </c>
      <c r="AV1216">
        <v>2</v>
      </c>
      <c r="AW1216">
        <v>2</v>
      </c>
      <c r="AX1216" s="114">
        <v>33</v>
      </c>
      <c r="AY1216" s="116">
        <v>11</v>
      </c>
      <c r="AZ1216" s="116">
        <v>90</v>
      </c>
      <c r="BA1216" s="120">
        <v>46260</v>
      </c>
      <c r="BB1216" s="120">
        <f t="shared" si="318"/>
        <v>33011</v>
      </c>
      <c r="BC1216" t="s">
        <v>1472</v>
      </c>
      <c r="BD1216">
        <f t="shared" si="327"/>
        <v>3346260</v>
      </c>
      <c r="BI1216">
        <v>23.96</v>
      </c>
      <c r="BJ1216">
        <v>0.06</v>
      </c>
      <c r="BK1216">
        <v>23.9</v>
      </c>
      <c r="BP1216" s="1">
        <v>17</v>
      </c>
      <c r="BR1216">
        <v>5</v>
      </c>
    </row>
    <row r="1217" spans="1:70" hidden="1" outlineLevel="1">
      <c r="A1217" t="s">
        <v>950</v>
      </c>
      <c r="B1217" s="8" t="s">
        <v>1799</v>
      </c>
      <c r="C1217" s="1">
        <f t="shared" si="319"/>
        <v>4117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 t="shared" si="320"/>
        <v>0</v>
      </c>
      <c r="G1217" s="1">
        <f t="shared" si="321"/>
        <v>451</v>
      </c>
      <c r="H1217" s="2">
        <f t="shared" si="317"/>
        <v>0.10954578576633471</v>
      </c>
      <c r="I1217" s="6"/>
      <c r="J1217" s="2">
        <f t="shared" si="322"/>
        <v>0.41510808841389363</v>
      </c>
      <c r="K1217" s="2">
        <f t="shared" si="323"/>
        <v>0.52465387418022835</v>
      </c>
      <c r="L1217" s="2">
        <f t="shared" si="324"/>
        <v>0</v>
      </c>
      <c r="M1217" s="2">
        <f t="shared" si="325"/>
        <v>6.0238037405878075E-2</v>
      </c>
      <c r="N1217" s="63">
        <v>1709</v>
      </c>
      <c r="O1217" s="63">
        <v>2160</v>
      </c>
      <c r="P1217" s="63">
        <v>0</v>
      </c>
      <c r="Q1217" s="63">
        <v>156</v>
      </c>
      <c r="R1217" s="63">
        <v>29</v>
      </c>
      <c r="S1217" s="63"/>
      <c r="T1217" s="63">
        <v>5</v>
      </c>
      <c r="U1217" s="63"/>
      <c r="V1217" s="63"/>
      <c r="W1217" s="63">
        <f t="shared" si="326"/>
        <v>58</v>
      </c>
      <c r="X1217" s="63"/>
      <c r="Y1217" s="63"/>
      <c r="Z1217" s="63"/>
      <c r="AA1217" s="63"/>
      <c r="AB1217" s="63"/>
      <c r="AT1217" t="str">
        <f t="shared" si="316"/>
        <v>Meredith</v>
      </c>
      <c r="AU1217" t="s">
        <v>1437</v>
      </c>
      <c r="AV1217">
        <v>1</v>
      </c>
      <c r="AW1217">
        <v>1</v>
      </c>
      <c r="AX1217" s="114">
        <v>33</v>
      </c>
      <c r="AY1217" s="116">
        <v>1</v>
      </c>
      <c r="AZ1217" s="116">
        <v>40</v>
      </c>
      <c r="BA1217" s="120">
        <v>47140</v>
      </c>
      <c r="BB1217" s="120">
        <f t="shared" si="318"/>
        <v>33001</v>
      </c>
      <c r="BC1217" t="s">
        <v>1472</v>
      </c>
      <c r="BD1217">
        <f t="shared" si="327"/>
        <v>3347140</v>
      </c>
      <c r="BI1217">
        <v>54.13</v>
      </c>
      <c r="BJ1217">
        <v>13.93</v>
      </c>
      <c r="BK1217">
        <v>40.19</v>
      </c>
      <c r="BP1217" s="1">
        <v>58</v>
      </c>
      <c r="BR1217">
        <v>19</v>
      </c>
    </row>
    <row r="1218" spans="1:70" hidden="1" outlineLevel="1">
      <c r="A1218" t="s">
        <v>2494</v>
      </c>
      <c r="B1218" s="8" t="s">
        <v>1799</v>
      </c>
      <c r="C1218" s="1">
        <f t="shared" si="319"/>
        <v>14923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 t="shared" si="320"/>
        <v>6</v>
      </c>
      <c r="G1218" s="1">
        <f t="shared" si="321"/>
        <v>992</v>
      </c>
      <c r="H1218" s="2">
        <f t="shared" si="317"/>
        <v>6.6474569456543592E-2</v>
      </c>
      <c r="I1218" s="6"/>
      <c r="J1218" s="2">
        <f t="shared" si="322"/>
        <v>0.42920324331568721</v>
      </c>
      <c r="K1218" s="2">
        <f t="shared" si="323"/>
        <v>0.49567781277223077</v>
      </c>
      <c r="L1218" s="2">
        <f t="shared" si="324"/>
        <v>1.7422770220465054E-3</v>
      </c>
      <c r="M1218" s="2">
        <f t="shared" si="325"/>
        <v>7.3376666890035566E-2</v>
      </c>
      <c r="N1218" s="63">
        <v>6405</v>
      </c>
      <c r="O1218" s="63">
        <v>7397</v>
      </c>
      <c r="P1218" s="63">
        <v>26</v>
      </c>
      <c r="Q1218" s="63">
        <v>734</v>
      </c>
      <c r="R1218" s="63">
        <v>103</v>
      </c>
      <c r="S1218" s="63"/>
      <c r="T1218" s="63">
        <v>14</v>
      </c>
      <c r="U1218" s="63"/>
      <c r="V1218" s="63"/>
      <c r="W1218" s="63">
        <f t="shared" si="326"/>
        <v>244</v>
      </c>
      <c r="X1218" s="63"/>
      <c r="Y1218" s="63"/>
      <c r="Z1218" s="63"/>
      <c r="AA1218" s="63"/>
      <c r="AB1218" s="63"/>
      <c r="AT1218" t="str">
        <f t="shared" si="316"/>
        <v>Merrimack</v>
      </c>
      <c r="AU1218" t="s">
        <v>1161</v>
      </c>
      <c r="AV1218">
        <v>1</v>
      </c>
      <c r="AW1218">
        <v>1</v>
      </c>
      <c r="AX1218" s="114">
        <v>33</v>
      </c>
      <c r="AY1218" s="116">
        <v>11</v>
      </c>
      <c r="AZ1218" s="116">
        <v>95</v>
      </c>
      <c r="BA1218" s="120">
        <v>47540</v>
      </c>
      <c r="BB1218" s="120">
        <f t="shared" si="318"/>
        <v>33011</v>
      </c>
      <c r="BC1218" t="s">
        <v>1472</v>
      </c>
      <c r="BD1218">
        <f t="shared" si="327"/>
        <v>3347540</v>
      </c>
      <c r="BI1218">
        <v>33.43</v>
      </c>
      <c r="BJ1218">
        <v>0.83</v>
      </c>
      <c r="BK1218">
        <v>32.6</v>
      </c>
      <c r="BP1218" s="1">
        <v>270</v>
      </c>
      <c r="BR1218">
        <v>71</v>
      </c>
    </row>
    <row r="1219" spans="1:70" hidden="1" outlineLevel="1">
      <c r="A1219" t="s">
        <v>2497</v>
      </c>
      <c r="B1219" s="8" t="s">
        <v>1799</v>
      </c>
      <c r="C1219" s="1">
        <f t="shared" si="319"/>
        <v>937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 t="shared" si="320"/>
        <v>7</v>
      </c>
      <c r="G1219" s="1">
        <f t="shared" si="321"/>
        <v>313</v>
      </c>
      <c r="H1219" s="2">
        <f t="shared" si="317"/>
        <v>0.33404482390608325</v>
      </c>
      <c r="I1219" s="6"/>
      <c r="J1219" s="2">
        <f t="shared" si="322"/>
        <v>0.30843116328708642</v>
      </c>
      <c r="K1219" s="2">
        <f t="shared" si="323"/>
        <v>0.64247598719316967</v>
      </c>
      <c r="L1219" s="2">
        <f t="shared" si="324"/>
        <v>1.0672358591248667E-3</v>
      </c>
      <c r="M1219" s="2">
        <f t="shared" si="325"/>
        <v>4.802561366061904E-2</v>
      </c>
      <c r="N1219" s="63">
        <v>289</v>
      </c>
      <c r="O1219" s="63">
        <v>602</v>
      </c>
      <c r="P1219" s="63">
        <v>1</v>
      </c>
      <c r="Q1219" s="63">
        <v>24</v>
      </c>
      <c r="R1219" s="63">
        <v>5</v>
      </c>
      <c r="S1219" s="63"/>
      <c r="T1219" s="63">
        <v>2</v>
      </c>
      <c r="U1219" s="63"/>
      <c r="V1219" s="63"/>
      <c r="W1219" s="63">
        <f t="shared" si="326"/>
        <v>14</v>
      </c>
      <c r="X1219" s="63"/>
      <c r="Y1219" s="63"/>
      <c r="Z1219" s="63"/>
      <c r="AA1219" s="63"/>
      <c r="AB1219" s="63"/>
      <c r="AT1219" t="str">
        <f t="shared" si="316"/>
        <v>Middleton</v>
      </c>
      <c r="AU1219" t="s">
        <v>2035</v>
      </c>
      <c r="AV1219">
        <v>1</v>
      </c>
      <c r="AW1219">
        <v>1</v>
      </c>
      <c r="AX1219" s="114">
        <v>33</v>
      </c>
      <c r="AY1219" s="116">
        <v>17</v>
      </c>
      <c r="AZ1219" s="116">
        <v>35</v>
      </c>
      <c r="BA1219" s="120">
        <v>47700</v>
      </c>
      <c r="BB1219" s="120">
        <f t="shared" si="318"/>
        <v>33017</v>
      </c>
      <c r="BC1219" t="s">
        <v>1472</v>
      </c>
      <c r="BD1219">
        <f t="shared" si="327"/>
        <v>3347700</v>
      </c>
      <c r="BI1219">
        <v>18.510000000000002</v>
      </c>
      <c r="BJ1219">
        <v>0.42</v>
      </c>
      <c r="BK1219">
        <v>18.09</v>
      </c>
      <c r="BP1219" s="1">
        <v>15</v>
      </c>
      <c r="BR1219">
        <v>9</v>
      </c>
    </row>
    <row r="1220" spans="1:70" hidden="1" outlineLevel="1">
      <c r="A1220" t="s">
        <v>13</v>
      </c>
      <c r="B1220" s="8" t="s">
        <v>1799</v>
      </c>
      <c r="C1220" s="1">
        <f t="shared" si="319"/>
        <v>756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320"/>
        <v>0</v>
      </c>
      <c r="G1220" s="1">
        <f t="shared" si="321"/>
        <v>116</v>
      </c>
      <c r="H1220" s="2">
        <f t="shared" si="317"/>
        <v>0.15343915343915343</v>
      </c>
      <c r="I1220" s="6"/>
      <c r="J1220" s="2">
        <f t="shared" si="322"/>
        <v>0.39417989417989419</v>
      </c>
      <c r="K1220" s="2">
        <f t="shared" si="323"/>
        <v>0.54761904761904767</v>
      </c>
      <c r="L1220" s="2">
        <f t="shared" si="324"/>
        <v>0</v>
      </c>
      <c r="M1220" s="2">
        <f t="shared" si="325"/>
        <v>5.8201058201058142E-2</v>
      </c>
      <c r="N1220" s="63">
        <v>298</v>
      </c>
      <c r="O1220" s="63">
        <v>414</v>
      </c>
      <c r="P1220" s="63">
        <v>0</v>
      </c>
      <c r="Q1220" s="63">
        <v>24</v>
      </c>
      <c r="R1220" s="63">
        <v>8</v>
      </c>
      <c r="S1220" s="63"/>
      <c r="T1220" s="63">
        <v>0</v>
      </c>
      <c r="U1220" s="63"/>
      <c r="V1220" s="63"/>
      <c r="W1220" s="63">
        <f t="shared" si="326"/>
        <v>12</v>
      </c>
      <c r="X1220" s="63"/>
      <c r="Y1220" s="63"/>
      <c r="Z1220" s="63"/>
      <c r="AA1220" s="63"/>
      <c r="AB1220" s="63"/>
      <c r="AT1220" t="str">
        <f t="shared" si="316"/>
        <v>Milan</v>
      </c>
      <c r="AU1220" t="s">
        <v>442</v>
      </c>
      <c r="AV1220">
        <v>2</v>
      </c>
      <c r="AW1220">
        <v>2</v>
      </c>
      <c r="AX1220" s="114">
        <v>33</v>
      </c>
      <c r="AY1220" s="116">
        <v>7</v>
      </c>
      <c r="AZ1220" s="116">
        <v>135</v>
      </c>
      <c r="BA1220" s="120">
        <v>47860</v>
      </c>
      <c r="BB1220" s="120">
        <f t="shared" si="318"/>
        <v>33007</v>
      </c>
      <c r="BC1220" t="s">
        <v>1472</v>
      </c>
      <c r="BD1220">
        <f t="shared" si="327"/>
        <v>3347860</v>
      </c>
      <c r="BI1220">
        <v>62.26</v>
      </c>
      <c r="BJ1220">
        <v>0.52</v>
      </c>
      <c r="BK1220">
        <v>61.74</v>
      </c>
      <c r="BP1220" s="1">
        <v>12</v>
      </c>
      <c r="BR1220">
        <v>5</v>
      </c>
    </row>
    <row r="1221" spans="1:70" hidden="1" outlineLevel="1">
      <c r="A1221" t="s">
        <v>139</v>
      </c>
      <c r="B1221" s="8" t="s">
        <v>1799</v>
      </c>
      <c r="C1221" s="1">
        <f t="shared" si="319"/>
        <v>8280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 t="shared" si="320"/>
        <v>6</v>
      </c>
      <c r="G1221" s="1">
        <f t="shared" si="321"/>
        <v>34</v>
      </c>
      <c r="H1221" s="2">
        <f t="shared" si="317"/>
        <v>4.1062801932367152E-3</v>
      </c>
      <c r="I1221" s="6"/>
      <c r="J1221" s="2">
        <f t="shared" si="322"/>
        <v>0.46086956521739131</v>
      </c>
      <c r="K1221" s="2">
        <f t="shared" si="323"/>
        <v>0.46497584541062803</v>
      </c>
      <c r="L1221" s="2">
        <f t="shared" si="324"/>
        <v>1.5700483091787439E-3</v>
      </c>
      <c r="M1221" s="2">
        <f t="shared" si="325"/>
        <v>7.2584541062801919E-2</v>
      </c>
      <c r="N1221" s="63">
        <v>3816</v>
      </c>
      <c r="O1221" s="63">
        <v>3850</v>
      </c>
      <c r="P1221" s="63">
        <v>13</v>
      </c>
      <c r="Q1221" s="63">
        <v>398</v>
      </c>
      <c r="R1221" s="63">
        <v>73</v>
      </c>
      <c r="S1221" s="63"/>
      <c r="T1221" s="63">
        <v>5</v>
      </c>
      <c r="U1221" s="63"/>
      <c r="V1221" s="63"/>
      <c r="W1221" s="63">
        <f t="shared" si="326"/>
        <v>125</v>
      </c>
      <c r="X1221" s="63"/>
      <c r="Y1221" s="63"/>
      <c r="Z1221" s="63"/>
      <c r="AA1221" s="63"/>
      <c r="AB1221" s="63"/>
      <c r="AT1221" t="str">
        <f t="shared" si="316"/>
        <v>Milford</v>
      </c>
      <c r="AU1221" t="s">
        <v>1161</v>
      </c>
      <c r="AV1221">
        <v>2</v>
      </c>
      <c r="AW1221">
        <v>2</v>
      </c>
      <c r="AX1221" s="114">
        <v>33</v>
      </c>
      <c r="AY1221" s="116">
        <v>11</v>
      </c>
      <c r="AZ1221" s="116">
        <v>100</v>
      </c>
      <c r="BA1221" s="120">
        <v>48020</v>
      </c>
      <c r="BB1221" s="120">
        <f t="shared" si="318"/>
        <v>33011</v>
      </c>
      <c r="BC1221" t="s">
        <v>1472</v>
      </c>
      <c r="BD1221">
        <f t="shared" si="327"/>
        <v>3348020</v>
      </c>
      <c r="BI1221">
        <v>25.28</v>
      </c>
      <c r="BJ1221">
        <v>0.06</v>
      </c>
      <c r="BK1221">
        <v>25.23</v>
      </c>
      <c r="BP1221" s="1">
        <v>138</v>
      </c>
      <c r="BR1221">
        <v>64</v>
      </c>
    </row>
    <row r="1222" spans="1:70" hidden="1" outlineLevel="1">
      <c r="A1222" t="s">
        <v>480</v>
      </c>
      <c r="B1222" s="8" t="s">
        <v>1799</v>
      </c>
      <c r="C1222" s="1">
        <f t="shared" si="319"/>
        <v>21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320"/>
        <v>0</v>
      </c>
      <c r="G1222" s="1">
        <f t="shared" si="321"/>
        <v>12</v>
      </c>
      <c r="H1222" s="2">
        <f t="shared" si="317"/>
        <v>0.5714285714285714</v>
      </c>
      <c r="I1222" s="6"/>
      <c r="J1222" s="2">
        <f t="shared" si="322"/>
        <v>0.19047619047619047</v>
      </c>
      <c r="K1222" s="2">
        <f t="shared" si="323"/>
        <v>0.76190476190476186</v>
      </c>
      <c r="L1222" s="2">
        <f t="shared" si="324"/>
        <v>0</v>
      </c>
      <c r="M1222" s="2">
        <f t="shared" si="325"/>
        <v>4.7619047619047672E-2</v>
      </c>
      <c r="N1222" s="63">
        <v>4</v>
      </c>
      <c r="O1222" s="63">
        <v>16</v>
      </c>
      <c r="P1222" s="63">
        <v>0</v>
      </c>
      <c r="Q1222" s="63">
        <v>0</v>
      </c>
      <c r="R1222" s="63">
        <v>0</v>
      </c>
      <c r="S1222" s="63"/>
      <c r="T1222" s="63">
        <v>0</v>
      </c>
      <c r="U1222" s="63"/>
      <c r="V1222" s="63"/>
      <c r="W1222" s="63">
        <f t="shared" si="326"/>
        <v>1</v>
      </c>
      <c r="X1222" s="63"/>
      <c r="Y1222" s="63"/>
      <c r="Z1222" s="63"/>
      <c r="AA1222" s="63"/>
      <c r="AB1222" s="63"/>
      <c r="AT1222" t="str">
        <f t="shared" si="316"/>
        <v>Millsfield</v>
      </c>
      <c r="AU1222" t="s">
        <v>442</v>
      </c>
      <c r="AV1222">
        <v>2</v>
      </c>
      <c r="AW1222">
        <v>2</v>
      </c>
      <c r="AX1222" s="114">
        <v>33</v>
      </c>
      <c r="AY1222" s="116">
        <v>7</v>
      </c>
      <c r="AZ1222" s="116">
        <v>140</v>
      </c>
      <c r="BA1222" s="120">
        <v>48260</v>
      </c>
      <c r="BB1222" s="120">
        <f t="shared" si="318"/>
        <v>33007</v>
      </c>
      <c r="BC1222" t="s">
        <v>1297</v>
      </c>
      <c r="BD1222">
        <f t="shared" si="327"/>
        <v>3348260</v>
      </c>
      <c r="BI1222">
        <v>45.31</v>
      </c>
      <c r="BJ1222">
        <v>0.35</v>
      </c>
      <c r="BK1222">
        <v>44.96</v>
      </c>
      <c r="BP1222" s="1">
        <v>1</v>
      </c>
      <c r="BR1222">
        <v>1</v>
      </c>
    </row>
    <row r="1223" spans="1:70" hidden="1" outlineLevel="1">
      <c r="A1223" t="s">
        <v>735</v>
      </c>
      <c r="B1223" s="8" t="s">
        <v>1799</v>
      </c>
      <c r="C1223" s="1">
        <f t="shared" si="319"/>
        <v>2350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320"/>
        <v>6</v>
      </c>
      <c r="G1223" s="1">
        <f t="shared" si="321"/>
        <v>492</v>
      </c>
      <c r="H1223" s="2">
        <f t="shared" si="317"/>
        <v>0.20936170212765959</v>
      </c>
      <c r="I1223" s="6"/>
      <c r="J1223" s="2">
        <f t="shared" si="322"/>
        <v>0.36042553191489363</v>
      </c>
      <c r="K1223" s="2">
        <f t="shared" si="323"/>
        <v>0.56978723404255316</v>
      </c>
      <c r="L1223" s="2">
        <f t="shared" si="324"/>
        <v>2.553191489361702E-3</v>
      </c>
      <c r="M1223" s="2">
        <f t="shared" si="325"/>
        <v>6.7234042553191459E-2</v>
      </c>
      <c r="N1223" s="63">
        <v>847</v>
      </c>
      <c r="O1223" s="63">
        <v>1339</v>
      </c>
      <c r="P1223" s="63">
        <v>6</v>
      </c>
      <c r="Q1223" s="63">
        <v>94</v>
      </c>
      <c r="R1223" s="63">
        <v>20</v>
      </c>
      <c r="S1223" s="63"/>
      <c r="T1223" s="63">
        <v>1</v>
      </c>
      <c r="U1223" s="63"/>
      <c r="V1223" s="63"/>
      <c r="W1223" s="63">
        <f t="shared" si="326"/>
        <v>43</v>
      </c>
      <c r="X1223" s="63"/>
      <c r="Y1223" s="63"/>
      <c r="Z1223" s="63"/>
      <c r="AA1223" s="63"/>
      <c r="AB1223" s="63"/>
      <c r="AT1223" t="str">
        <f t="shared" si="316"/>
        <v>Milton</v>
      </c>
      <c r="AU1223" t="s">
        <v>2035</v>
      </c>
      <c r="AV1223">
        <v>1</v>
      </c>
      <c r="AW1223">
        <v>1</v>
      </c>
      <c r="AX1223" s="114">
        <v>33</v>
      </c>
      <c r="AY1223" s="116">
        <v>17</v>
      </c>
      <c r="AZ1223" s="116">
        <v>40</v>
      </c>
      <c r="BA1223" s="120">
        <v>48660</v>
      </c>
      <c r="BB1223" s="120">
        <f t="shared" si="318"/>
        <v>33017</v>
      </c>
      <c r="BC1223" t="s">
        <v>1472</v>
      </c>
      <c r="BD1223">
        <f t="shared" si="327"/>
        <v>3348660</v>
      </c>
      <c r="BI1223">
        <v>34.28</v>
      </c>
      <c r="BJ1223">
        <v>1.17</v>
      </c>
      <c r="BK1223">
        <v>33.11</v>
      </c>
      <c r="BP1223" s="1">
        <v>49</v>
      </c>
      <c r="BR1223">
        <v>18</v>
      </c>
    </row>
    <row r="1224" spans="1:70" hidden="1" outlineLevel="1">
      <c r="A1224" t="s">
        <v>644</v>
      </c>
      <c r="B1224" s="8" t="s">
        <v>1799</v>
      </c>
      <c r="C1224" s="1">
        <f t="shared" si="319"/>
        <v>498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 t="shared" si="320"/>
        <v>6</v>
      </c>
      <c r="G1224" s="1">
        <f t="shared" si="321"/>
        <v>118</v>
      </c>
      <c r="H1224" s="2">
        <f t="shared" si="317"/>
        <v>0.23694779116465864</v>
      </c>
      <c r="I1224" s="6"/>
      <c r="J1224" s="2">
        <f t="shared" si="322"/>
        <v>0.34738955823293172</v>
      </c>
      <c r="K1224" s="2">
        <f t="shared" si="323"/>
        <v>0.58433734939759041</v>
      </c>
      <c r="L1224" s="2">
        <f t="shared" si="324"/>
        <v>2.008032128514056E-3</v>
      </c>
      <c r="M1224" s="2">
        <f t="shared" si="325"/>
        <v>6.6265060240963819E-2</v>
      </c>
      <c r="N1224" s="63">
        <v>173</v>
      </c>
      <c r="O1224" s="63">
        <v>291</v>
      </c>
      <c r="P1224" s="63">
        <v>1</v>
      </c>
      <c r="Q1224" s="63">
        <v>20</v>
      </c>
      <c r="R1224" s="63">
        <v>5</v>
      </c>
      <c r="S1224" s="63"/>
      <c r="T1224" s="63">
        <v>0</v>
      </c>
      <c r="U1224" s="63"/>
      <c r="V1224" s="63"/>
      <c r="W1224" s="63">
        <f t="shared" si="326"/>
        <v>8</v>
      </c>
      <c r="X1224" s="63"/>
      <c r="Y1224" s="63"/>
      <c r="Z1224" s="63"/>
      <c r="AA1224" s="63"/>
      <c r="AB1224" s="63"/>
      <c r="AT1224" t="str">
        <f t="shared" si="316"/>
        <v>Monroe</v>
      </c>
      <c r="AU1224" t="s">
        <v>2260</v>
      </c>
      <c r="AV1224">
        <v>2</v>
      </c>
      <c r="AW1224">
        <v>2</v>
      </c>
      <c r="AX1224" s="114">
        <v>33</v>
      </c>
      <c r="AY1224" s="116">
        <v>9</v>
      </c>
      <c r="AZ1224" s="116">
        <v>140</v>
      </c>
      <c r="BA1224" s="120">
        <v>48980</v>
      </c>
      <c r="BB1224" s="120">
        <f t="shared" si="318"/>
        <v>33009</v>
      </c>
      <c r="BC1224" t="s">
        <v>1472</v>
      </c>
      <c r="BD1224">
        <f t="shared" si="327"/>
        <v>3348980</v>
      </c>
      <c r="BI1224">
        <v>23.8</v>
      </c>
      <c r="BJ1224">
        <v>1.43</v>
      </c>
      <c r="BK1224">
        <v>22.38</v>
      </c>
      <c r="BP1224" s="1">
        <v>9</v>
      </c>
      <c r="BR1224">
        <v>5</v>
      </c>
    </row>
    <row r="1225" spans="1:70" hidden="1" outlineLevel="1">
      <c r="A1225" t="s">
        <v>789</v>
      </c>
      <c r="B1225" s="8" t="s">
        <v>1799</v>
      </c>
      <c r="C1225" s="1">
        <f t="shared" si="319"/>
        <v>1567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320"/>
        <v>6</v>
      </c>
      <c r="G1225" s="1">
        <f t="shared" si="321"/>
        <v>71</v>
      </c>
      <c r="H1225" s="2">
        <f t="shared" si="317"/>
        <v>4.530950861518826E-2</v>
      </c>
      <c r="I1225" s="6"/>
      <c r="J1225" s="2">
        <f t="shared" si="322"/>
        <v>0.48308870453095087</v>
      </c>
      <c r="K1225" s="2">
        <f t="shared" si="323"/>
        <v>0.43777919591576259</v>
      </c>
      <c r="L1225" s="2">
        <f t="shared" si="324"/>
        <v>5.7434588385449903E-3</v>
      </c>
      <c r="M1225" s="2">
        <f t="shared" si="325"/>
        <v>7.3388640714741549E-2</v>
      </c>
      <c r="N1225" s="63">
        <v>757</v>
      </c>
      <c r="O1225" s="63">
        <v>686</v>
      </c>
      <c r="P1225" s="63">
        <v>9</v>
      </c>
      <c r="Q1225" s="63">
        <v>71</v>
      </c>
      <c r="R1225" s="63">
        <v>12</v>
      </c>
      <c r="S1225" s="63"/>
      <c r="T1225" s="63">
        <v>0</v>
      </c>
      <c r="U1225" s="63"/>
      <c r="V1225" s="63"/>
      <c r="W1225" s="63">
        <f t="shared" si="326"/>
        <v>32</v>
      </c>
      <c r="X1225" s="63"/>
      <c r="Y1225" s="63"/>
      <c r="Z1225" s="63"/>
      <c r="AA1225" s="63"/>
      <c r="AB1225" s="63"/>
      <c r="AT1225" t="str">
        <f t="shared" si="316"/>
        <v>Mont Vernon</v>
      </c>
      <c r="AU1225" t="s">
        <v>1161</v>
      </c>
      <c r="AV1225">
        <v>2</v>
      </c>
      <c r="AW1225">
        <v>2</v>
      </c>
      <c r="AX1225" s="114">
        <v>33</v>
      </c>
      <c r="AY1225" s="116">
        <v>11</v>
      </c>
      <c r="AZ1225" s="116">
        <v>105</v>
      </c>
      <c r="BA1225" s="120">
        <v>49140</v>
      </c>
      <c r="BB1225" s="120">
        <f t="shared" si="318"/>
        <v>33011</v>
      </c>
      <c r="BC1225" t="s">
        <v>1472</v>
      </c>
      <c r="BD1225">
        <f t="shared" si="327"/>
        <v>3349140</v>
      </c>
      <c r="BI1225">
        <v>16.7</v>
      </c>
      <c r="BJ1225">
        <v>0.08</v>
      </c>
      <c r="BK1225">
        <v>16.62</v>
      </c>
      <c r="BP1225" s="1">
        <v>41</v>
      </c>
      <c r="BR1225">
        <v>9</v>
      </c>
    </row>
    <row r="1226" spans="1:70" hidden="1" outlineLevel="1">
      <c r="A1226" t="s">
        <v>636</v>
      </c>
      <c r="B1226" s="8" t="s">
        <v>1799</v>
      </c>
      <c r="C1226" s="1">
        <f t="shared" si="319"/>
        <v>3240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320"/>
        <v>0</v>
      </c>
      <c r="G1226" s="1">
        <f t="shared" si="321"/>
        <v>740</v>
      </c>
      <c r="H1226" s="2">
        <f t="shared" si="317"/>
        <v>0.22839506172839505</v>
      </c>
      <c r="I1226" s="6"/>
      <c r="J1226" s="2">
        <f t="shared" si="322"/>
        <v>0.35432098765432096</v>
      </c>
      <c r="K1226" s="2">
        <f t="shared" si="323"/>
        <v>0.58271604938271604</v>
      </c>
      <c r="L1226" s="2">
        <f t="shared" si="324"/>
        <v>0</v>
      </c>
      <c r="M1226" s="2">
        <f t="shared" si="325"/>
        <v>6.2962962962962998E-2</v>
      </c>
      <c r="N1226" s="63">
        <v>1148</v>
      </c>
      <c r="O1226" s="63">
        <v>1888</v>
      </c>
      <c r="P1226" s="63">
        <v>0</v>
      </c>
      <c r="Q1226" s="63">
        <v>126</v>
      </c>
      <c r="R1226" s="63">
        <v>16</v>
      </c>
      <c r="S1226" s="63"/>
      <c r="T1226" s="63">
        <v>0</v>
      </c>
      <c r="U1226" s="63"/>
      <c r="V1226" s="63"/>
      <c r="W1226" s="63">
        <f t="shared" si="326"/>
        <v>62</v>
      </c>
      <c r="X1226" s="63"/>
      <c r="Y1226" s="63"/>
      <c r="Z1226" s="63"/>
      <c r="AA1226" s="63"/>
      <c r="AB1226" s="63"/>
      <c r="AT1226" t="str">
        <f t="shared" si="316"/>
        <v>Moultonborough</v>
      </c>
      <c r="AU1226" t="s">
        <v>1675</v>
      </c>
      <c r="AV1226">
        <v>1</v>
      </c>
      <c r="AW1226">
        <v>1</v>
      </c>
      <c r="AX1226" s="114">
        <v>33</v>
      </c>
      <c r="AY1226" s="116">
        <v>3</v>
      </c>
      <c r="AZ1226" s="116">
        <v>65</v>
      </c>
      <c r="BA1226" s="120">
        <v>49380</v>
      </c>
      <c r="BB1226" s="120">
        <f t="shared" si="318"/>
        <v>33003</v>
      </c>
      <c r="BC1226" t="s">
        <v>1472</v>
      </c>
      <c r="BD1226">
        <f t="shared" si="327"/>
        <v>3349380</v>
      </c>
      <c r="BI1226">
        <v>74.59</v>
      </c>
      <c r="BJ1226">
        <v>14.75</v>
      </c>
      <c r="BK1226">
        <v>59.84</v>
      </c>
      <c r="BP1226" s="1">
        <v>62</v>
      </c>
      <c r="BR1226">
        <v>7</v>
      </c>
    </row>
    <row r="1227" spans="1:70" hidden="1" outlineLevel="1">
      <c r="A1227" t="s">
        <v>947</v>
      </c>
      <c r="B1227" s="8" t="s">
        <v>1799</v>
      </c>
      <c r="C1227" s="1">
        <f t="shared" si="319"/>
        <v>43025</v>
      </c>
      <c r="D1227" s="5">
        <f>IF(N1227&gt;0, RANK(N1227,(N1227:P1227,Q1227:AE1227)),0)</f>
        <v>1</v>
      </c>
      <c r="E1227" s="5">
        <f>IF(O1227&gt;0,RANK(O1227,(N1227:P1227,Q1227:AE1227)),0)</f>
        <v>2</v>
      </c>
      <c r="F1227" s="5">
        <f t="shared" si="320"/>
        <v>6</v>
      </c>
      <c r="G1227" s="1">
        <f t="shared" si="321"/>
        <v>5214</v>
      </c>
      <c r="H1227" s="2">
        <f t="shared" si="317"/>
        <v>0.12118535735037769</v>
      </c>
      <c r="I1227" s="6"/>
      <c r="J1227" s="2">
        <f t="shared" si="322"/>
        <v>0.52736780941313188</v>
      </c>
      <c r="K1227" s="2">
        <f t="shared" si="323"/>
        <v>0.40618245206275422</v>
      </c>
      <c r="L1227" s="2">
        <f t="shared" si="324"/>
        <v>1.8128994770482277E-3</v>
      </c>
      <c r="M1227" s="2">
        <f t="shared" si="325"/>
        <v>6.4636839047065672E-2</v>
      </c>
      <c r="N1227" s="63">
        <v>22690</v>
      </c>
      <c r="O1227" s="63">
        <v>17476</v>
      </c>
      <c r="P1227" s="63">
        <v>78</v>
      </c>
      <c r="Q1227" s="63">
        <v>1722</v>
      </c>
      <c r="R1227" s="63">
        <v>350</v>
      </c>
      <c r="S1227" s="63"/>
      <c r="T1227" s="63">
        <v>37</v>
      </c>
      <c r="U1227" s="63"/>
      <c r="V1227" s="63"/>
      <c r="W1227" s="63">
        <f t="shared" si="326"/>
        <v>672</v>
      </c>
      <c r="X1227" s="63"/>
      <c r="Y1227" s="63"/>
      <c r="Z1227" s="63"/>
      <c r="AA1227" s="63"/>
      <c r="AB1227" s="63"/>
      <c r="AT1227" t="str">
        <f t="shared" si="316"/>
        <v>Nashua</v>
      </c>
      <c r="AU1227" t="s">
        <v>1161</v>
      </c>
      <c r="AV1227">
        <v>2</v>
      </c>
      <c r="AW1227">
        <v>2</v>
      </c>
      <c r="AX1227" s="114">
        <v>33</v>
      </c>
      <c r="AY1227" s="116">
        <v>11</v>
      </c>
      <c r="AZ1227" s="116">
        <v>110</v>
      </c>
      <c r="BA1227" s="120">
        <v>50260</v>
      </c>
      <c r="BB1227" s="120">
        <f t="shared" si="318"/>
        <v>33011</v>
      </c>
      <c r="BC1227" t="s">
        <v>1249</v>
      </c>
      <c r="BD1227">
        <f t="shared" si="327"/>
        <v>3350260</v>
      </c>
      <c r="BI1227">
        <v>31.84</v>
      </c>
      <c r="BJ1227">
        <v>0.95</v>
      </c>
      <c r="BK1227">
        <v>30.89</v>
      </c>
      <c r="BP1227" s="1">
        <v>750</v>
      </c>
      <c r="BR1227">
        <v>221</v>
      </c>
    </row>
    <row r="1228" spans="1:70" hidden="1" outlineLevel="1">
      <c r="A1228" t="s">
        <v>424</v>
      </c>
      <c r="B1228" s="8" t="s">
        <v>1799</v>
      </c>
      <c r="C1228" s="1">
        <f t="shared" si="319"/>
        <v>428</v>
      </c>
      <c r="D1228" s="5">
        <f>IF(N1228&gt;0, RANK(N1228,(N1228:P1228,Q1228:AE1228)),0)</f>
        <v>1</v>
      </c>
      <c r="E1228" s="5">
        <f>IF(O1228&gt;0,RANK(O1228,(N1228:P1228,Q1228:AE1228)),0)</f>
        <v>2</v>
      </c>
      <c r="F1228" s="5">
        <f t="shared" si="320"/>
        <v>0</v>
      </c>
      <c r="G1228" s="1">
        <f t="shared" si="321"/>
        <v>121</v>
      </c>
      <c r="H1228" s="2">
        <f t="shared" si="317"/>
        <v>0.28271028037383178</v>
      </c>
      <c r="I1228" s="6"/>
      <c r="J1228" s="2">
        <f t="shared" si="322"/>
        <v>0.60514018691588789</v>
      </c>
      <c r="K1228" s="2">
        <f t="shared" si="323"/>
        <v>0.32242990654205606</v>
      </c>
      <c r="L1228" s="2">
        <f t="shared" si="324"/>
        <v>0</v>
      </c>
      <c r="M1228" s="2">
        <f t="shared" si="325"/>
        <v>7.2429906542056055E-2</v>
      </c>
      <c r="N1228" s="63">
        <v>259</v>
      </c>
      <c r="O1228" s="63">
        <v>138</v>
      </c>
      <c r="P1228" s="63">
        <v>0</v>
      </c>
      <c r="Q1228" s="63">
        <v>17</v>
      </c>
      <c r="R1228" s="63">
        <v>9</v>
      </c>
      <c r="S1228" s="63"/>
      <c r="T1228" s="63">
        <v>0</v>
      </c>
      <c r="U1228" s="63"/>
      <c r="V1228" s="63"/>
      <c r="W1228" s="63">
        <f t="shared" si="326"/>
        <v>5</v>
      </c>
      <c r="X1228" s="63"/>
      <c r="Y1228" s="63"/>
      <c r="Z1228" s="63"/>
      <c r="AA1228" s="63"/>
      <c r="AB1228" s="63"/>
      <c r="AT1228" t="str">
        <f t="shared" si="316"/>
        <v>Nelson</v>
      </c>
      <c r="AU1228" t="s">
        <v>1463</v>
      </c>
      <c r="AV1228">
        <v>2</v>
      </c>
      <c r="AW1228">
        <v>2</v>
      </c>
      <c r="AX1228" s="114">
        <v>33</v>
      </c>
      <c r="AY1228" s="116">
        <v>5</v>
      </c>
      <c r="AZ1228" s="116">
        <v>60</v>
      </c>
      <c r="BA1228" s="120">
        <v>50580</v>
      </c>
      <c r="BB1228" s="120">
        <f t="shared" si="318"/>
        <v>33005</v>
      </c>
      <c r="BC1228" t="s">
        <v>1472</v>
      </c>
      <c r="BD1228">
        <f t="shared" si="327"/>
        <v>3350580</v>
      </c>
      <c r="BI1228">
        <v>23.24</v>
      </c>
      <c r="BJ1228">
        <v>1.38</v>
      </c>
      <c r="BK1228">
        <v>21.87</v>
      </c>
      <c r="BP1228" s="1">
        <v>5</v>
      </c>
      <c r="BR1228">
        <v>5</v>
      </c>
    </row>
    <row r="1229" spans="1:70" hidden="1" outlineLevel="1">
      <c r="A1229" t="s">
        <v>2620</v>
      </c>
      <c r="B1229" s="8" t="s">
        <v>1799</v>
      </c>
      <c r="C1229" s="1">
        <f t="shared" si="319"/>
        <v>3394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320"/>
        <v>6</v>
      </c>
      <c r="G1229" s="1">
        <f t="shared" si="321"/>
        <v>411</v>
      </c>
      <c r="H1229" s="2">
        <f t="shared" si="317"/>
        <v>0.12109605185621686</v>
      </c>
      <c r="I1229" s="6"/>
      <c r="J1229" s="2">
        <f t="shared" si="322"/>
        <v>0.40689451974071894</v>
      </c>
      <c r="K1229" s="2">
        <f t="shared" si="323"/>
        <v>0.52799057159693574</v>
      </c>
      <c r="L1229" s="2">
        <f t="shared" si="324"/>
        <v>2.3571007660577489E-3</v>
      </c>
      <c r="M1229" s="2">
        <f t="shared" si="325"/>
        <v>6.2757807896287515E-2</v>
      </c>
      <c r="N1229" s="63">
        <v>1381</v>
      </c>
      <c r="O1229" s="63">
        <v>1792</v>
      </c>
      <c r="P1229" s="63">
        <v>8</v>
      </c>
      <c r="Q1229" s="63">
        <v>161</v>
      </c>
      <c r="R1229" s="63">
        <v>23</v>
      </c>
      <c r="S1229" s="63"/>
      <c r="T1229" s="63">
        <v>3</v>
      </c>
      <c r="U1229" s="63"/>
      <c r="V1229" s="63"/>
      <c r="W1229" s="63">
        <f t="shared" si="326"/>
        <v>26</v>
      </c>
      <c r="X1229" s="63"/>
      <c r="Y1229" s="63"/>
      <c r="Z1229" s="63"/>
      <c r="AA1229" s="63"/>
      <c r="AB1229" s="63"/>
      <c r="AT1229" t="str">
        <f t="shared" si="316"/>
        <v>New Boston</v>
      </c>
      <c r="AU1229" t="s">
        <v>1161</v>
      </c>
      <c r="AV1229">
        <v>2</v>
      </c>
      <c r="AW1229">
        <v>2</v>
      </c>
      <c r="AX1229" s="114">
        <v>33</v>
      </c>
      <c r="AY1229" s="116">
        <v>11</v>
      </c>
      <c r="AZ1229" s="116">
        <v>115</v>
      </c>
      <c r="BA1229" s="120">
        <v>50740</v>
      </c>
      <c r="BB1229" s="120">
        <f t="shared" si="318"/>
        <v>33011</v>
      </c>
      <c r="BC1229" t="s">
        <v>1472</v>
      </c>
      <c r="BD1229">
        <f t="shared" si="327"/>
        <v>3350740</v>
      </c>
      <c r="BI1229">
        <v>43.22</v>
      </c>
      <c r="BJ1229">
        <v>0.38</v>
      </c>
      <c r="BK1229">
        <v>42.84</v>
      </c>
      <c r="BP1229" s="1">
        <v>34</v>
      </c>
      <c r="BR1229">
        <v>13</v>
      </c>
    </row>
    <row r="1230" spans="1:70" hidden="1" outlineLevel="1">
      <c r="A1230" t="s">
        <v>2534</v>
      </c>
      <c r="B1230" s="8" t="s">
        <v>1799</v>
      </c>
      <c r="C1230" s="1">
        <f t="shared" si="319"/>
        <v>807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 t="shared" si="320"/>
        <v>0</v>
      </c>
      <c r="G1230" s="1">
        <f t="shared" si="321"/>
        <v>202</v>
      </c>
      <c r="H1230" s="2">
        <f t="shared" si="317"/>
        <v>0.2503097893432466</v>
      </c>
      <c r="I1230" s="6"/>
      <c r="J1230" s="2">
        <f t="shared" si="322"/>
        <v>0.59603469640644358</v>
      </c>
      <c r="K1230" s="2">
        <f t="shared" si="323"/>
        <v>0.34572490706319703</v>
      </c>
      <c r="L1230" s="2">
        <f t="shared" si="324"/>
        <v>0</v>
      </c>
      <c r="M1230" s="2">
        <f t="shared" si="325"/>
        <v>5.8240396530359395E-2</v>
      </c>
      <c r="N1230" s="63">
        <v>481</v>
      </c>
      <c r="O1230" s="63">
        <v>279</v>
      </c>
      <c r="P1230" s="63">
        <v>0</v>
      </c>
      <c r="Q1230" s="63">
        <v>31</v>
      </c>
      <c r="R1230" s="63">
        <v>6</v>
      </c>
      <c r="S1230" s="63"/>
      <c r="T1230" s="63">
        <v>0</v>
      </c>
      <c r="U1230" s="63"/>
      <c r="V1230" s="63"/>
      <c r="W1230" s="63">
        <f t="shared" si="326"/>
        <v>10</v>
      </c>
      <c r="X1230" s="63"/>
      <c r="Y1230" s="63"/>
      <c r="Z1230" s="63"/>
      <c r="AA1230" s="63"/>
      <c r="AB1230" s="63"/>
      <c r="AT1230" t="str">
        <f t="shared" si="316"/>
        <v>New Castle</v>
      </c>
      <c r="AU1230" t="s">
        <v>2971</v>
      </c>
      <c r="AV1230">
        <v>1</v>
      </c>
      <c r="AW1230">
        <v>1</v>
      </c>
      <c r="AX1230" s="114">
        <v>33</v>
      </c>
      <c r="AY1230" s="116">
        <v>15</v>
      </c>
      <c r="AZ1230" s="116">
        <v>100</v>
      </c>
      <c r="BA1230" s="120">
        <v>50980</v>
      </c>
      <c r="BB1230" s="120">
        <f t="shared" si="318"/>
        <v>33015</v>
      </c>
      <c r="BC1230" t="s">
        <v>1472</v>
      </c>
      <c r="BD1230">
        <f t="shared" si="327"/>
        <v>3350980</v>
      </c>
      <c r="BI1230">
        <v>2.38</v>
      </c>
      <c r="BJ1230">
        <v>1.55</v>
      </c>
      <c r="BK1230">
        <v>0.83</v>
      </c>
      <c r="BP1230" s="1">
        <v>10</v>
      </c>
      <c r="BR1230">
        <v>3</v>
      </c>
    </row>
    <row r="1231" spans="1:70" hidden="1" outlineLevel="1">
      <c r="A1231" t="s">
        <v>522</v>
      </c>
      <c r="B1231" s="8" t="s">
        <v>1799</v>
      </c>
      <c r="C1231" s="1">
        <f t="shared" si="319"/>
        <v>1673</v>
      </c>
      <c r="D1231" s="5">
        <f>IF(N1231&gt;0, RANK(N1231,(N1231:P1231,Q1231:AE1231)),0)</f>
        <v>2</v>
      </c>
      <c r="E1231" s="5">
        <f>IF(O1231&gt;0,RANK(O1231,(N1231:P1231,Q1231:AE1231)),0)</f>
        <v>1</v>
      </c>
      <c r="F1231" s="5">
        <f t="shared" si="320"/>
        <v>0</v>
      </c>
      <c r="G1231" s="1">
        <f t="shared" si="321"/>
        <v>403</v>
      </c>
      <c r="H1231" s="2">
        <f t="shared" si="317"/>
        <v>0.24088463837417812</v>
      </c>
      <c r="I1231" s="6"/>
      <c r="J1231" s="2">
        <f t="shared" si="322"/>
        <v>0.34548714883442916</v>
      </c>
      <c r="K1231" s="2">
        <f t="shared" si="323"/>
        <v>0.58637178720860728</v>
      </c>
      <c r="L1231" s="2">
        <f t="shared" si="324"/>
        <v>0</v>
      </c>
      <c r="M1231" s="2">
        <f t="shared" si="325"/>
        <v>6.8141063956963621E-2</v>
      </c>
      <c r="N1231" s="63">
        <v>578</v>
      </c>
      <c r="O1231" s="63">
        <v>981</v>
      </c>
      <c r="P1231" s="63">
        <v>0</v>
      </c>
      <c r="Q1231" s="63">
        <v>69</v>
      </c>
      <c r="R1231" s="63">
        <v>13</v>
      </c>
      <c r="S1231" s="63"/>
      <c r="T1231" s="63">
        <v>2</v>
      </c>
      <c r="U1231" s="63"/>
      <c r="V1231" s="63"/>
      <c r="W1231" s="63">
        <f t="shared" si="326"/>
        <v>30</v>
      </c>
      <c r="X1231" s="63"/>
      <c r="Y1231" s="63"/>
      <c r="Z1231" s="63"/>
      <c r="AA1231" s="63"/>
      <c r="AB1231" s="63"/>
      <c r="AT1231" t="str">
        <f t="shared" si="316"/>
        <v>New Durham</v>
      </c>
      <c r="AU1231" t="s">
        <v>2035</v>
      </c>
      <c r="AV1231">
        <v>1</v>
      </c>
      <c r="AW1231">
        <v>1</v>
      </c>
      <c r="AX1231" s="114">
        <v>33</v>
      </c>
      <c r="AY1231" s="116">
        <v>17</v>
      </c>
      <c r="AZ1231" s="116">
        <v>45</v>
      </c>
      <c r="BA1231" s="120">
        <v>51220</v>
      </c>
      <c r="BB1231" s="120">
        <f t="shared" si="318"/>
        <v>33017</v>
      </c>
      <c r="BC1231" t="s">
        <v>1472</v>
      </c>
      <c r="BD1231">
        <f t="shared" si="327"/>
        <v>3351220</v>
      </c>
      <c r="BI1231">
        <v>44.15</v>
      </c>
      <c r="BJ1231">
        <v>2.46</v>
      </c>
      <c r="BK1231">
        <v>41.69</v>
      </c>
      <c r="BP1231" s="1">
        <v>30</v>
      </c>
      <c r="BR1231">
        <v>18</v>
      </c>
    </row>
    <row r="1232" spans="1:70" hidden="1" outlineLevel="1">
      <c r="A1232" t="s">
        <v>46</v>
      </c>
      <c r="B1232" s="8" t="s">
        <v>1799</v>
      </c>
      <c r="C1232" s="1">
        <f t="shared" si="319"/>
        <v>1381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 t="shared" si="320"/>
        <v>0</v>
      </c>
      <c r="G1232" s="1">
        <f t="shared" si="321"/>
        <v>193</v>
      </c>
      <c r="H1232" s="2">
        <f t="shared" si="317"/>
        <v>0.13975380159304851</v>
      </c>
      <c r="I1232" s="6"/>
      <c r="J1232" s="2">
        <f t="shared" si="322"/>
        <v>0.39391745112237508</v>
      </c>
      <c r="K1232" s="2">
        <f t="shared" si="323"/>
        <v>0.53367125271542359</v>
      </c>
      <c r="L1232" s="2">
        <f t="shared" si="324"/>
        <v>0</v>
      </c>
      <c r="M1232" s="2">
        <f t="shared" si="325"/>
        <v>7.2411296162201322E-2</v>
      </c>
      <c r="N1232" s="63">
        <v>544</v>
      </c>
      <c r="O1232" s="63">
        <v>737</v>
      </c>
      <c r="P1232" s="63">
        <v>0</v>
      </c>
      <c r="Q1232" s="63">
        <v>69</v>
      </c>
      <c r="R1232" s="63">
        <v>10</v>
      </c>
      <c r="S1232" s="63"/>
      <c r="T1232" s="63">
        <v>0</v>
      </c>
      <c r="U1232" s="63"/>
      <c r="V1232" s="63"/>
      <c r="W1232" s="63">
        <f t="shared" si="326"/>
        <v>21</v>
      </c>
      <c r="X1232" s="63"/>
      <c r="Y1232" s="63"/>
      <c r="Z1232" s="63"/>
      <c r="AA1232" s="63"/>
      <c r="AB1232" s="63"/>
      <c r="AT1232" t="str">
        <f t="shared" si="316"/>
        <v>New Hampton</v>
      </c>
      <c r="AU1232" t="s">
        <v>1437</v>
      </c>
      <c r="AV1232">
        <v>1</v>
      </c>
      <c r="AW1232">
        <v>1</v>
      </c>
      <c r="AX1232" s="114">
        <v>33</v>
      </c>
      <c r="AY1232" s="116">
        <v>1</v>
      </c>
      <c r="AZ1232" s="116">
        <v>45</v>
      </c>
      <c r="BA1232" s="120">
        <v>51540</v>
      </c>
      <c r="BB1232" s="120">
        <f t="shared" si="318"/>
        <v>33001</v>
      </c>
      <c r="BC1232" t="s">
        <v>1472</v>
      </c>
      <c r="BD1232">
        <f t="shared" si="327"/>
        <v>3351540</v>
      </c>
      <c r="BI1232">
        <v>38.21</v>
      </c>
      <c r="BJ1232">
        <v>1.5</v>
      </c>
      <c r="BK1232">
        <v>36.700000000000003</v>
      </c>
      <c r="BP1232" s="1">
        <v>21</v>
      </c>
      <c r="BR1232">
        <v>13</v>
      </c>
    </row>
    <row r="1233" spans="1:70" hidden="1" outlineLevel="1">
      <c r="A1233" t="s">
        <v>2266</v>
      </c>
      <c r="B1233" s="8" t="s">
        <v>1799</v>
      </c>
      <c r="C1233" s="1">
        <f t="shared" si="319"/>
        <v>2848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320"/>
        <v>6</v>
      </c>
      <c r="G1233" s="1">
        <f t="shared" si="321"/>
        <v>1125</v>
      </c>
      <c r="H1233" s="2">
        <f t="shared" si="317"/>
        <v>0.3950140449438202</v>
      </c>
      <c r="I1233" s="6"/>
      <c r="J1233" s="2">
        <f t="shared" si="322"/>
        <v>0.2700140449438202</v>
      </c>
      <c r="K1233" s="2">
        <f t="shared" si="323"/>
        <v>0.66502808988764039</v>
      </c>
      <c r="L1233" s="2">
        <f t="shared" si="324"/>
        <v>1.7556179775280898E-3</v>
      </c>
      <c r="M1233" s="2">
        <f t="shared" si="325"/>
        <v>6.3202247191011321E-2</v>
      </c>
      <c r="N1233" s="63">
        <v>769</v>
      </c>
      <c r="O1233" s="63">
        <v>1894</v>
      </c>
      <c r="P1233" s="63">
        <v>5</v>
      </c>
      <c r="Q1233" s="63">
        <v>138</v>
      </c>
      <c r="R1233" s="63">
        <v>14</v>
      </c>
      <c r="S1233" s="63"/>
      <c r="T1233" s="63">
        <v>3</v>
      </c>
      <c r="U1233" s="63"/>
      <c r="V1233" s="63"/>
      <c r="W1233" s="63">
        <f t="shared" si="326"/>
        <v>25</v>
      </c>
      <c r="X1233" s="63"/>
      <c r="Y1233" s="63"/>
      <c r="Z1233" s="63"/>
      <c r="AA1233" s="63"/>
      <c r="AB1233" s="63"/>
      <c r="AT1233" t="str">
        <f t="shared" si="316"/>
        <v>New Ipswich</v>
      </c>
      <c r="AU1233" t="s">
        <v>1161</v>
      </c>
      <c r="AV1233">
        <v>2</v>
      </c>
      <c r="AW1233">
        <v>2</v>
      </c>
      <c r="AX1233" s="114">
        <v>33</v>
      </c>
      <c r="AY1233" s="116">
        <v>11</v>
      </c>
      <c r="AZ1233" s="116">
        <v>120</v>
      </c>
      <c r="BA1233" s="120">
        <v>51940</v>
      </c>
      <c r="BB1233" s="120">
        <f t="shared" si="318"/>
        <v>33011</v>
      </c>
      <c r="BC1233" t="s">
        <v>1472</v>
      </c>
      <c r="BD1233">
        <f t="shared" si="327"/>
        <v>3351940</v>
      </c>
      <c r="BI1233">
        <v>33.06</v>
      </c>
      <c r="BJ1233">
        <v>0.32</v>
      </c>
      <c r="BK1233">
        <v>32.75</v>
      </c>
      <c r="BP1233" s="1">
        <v>30</v>
      </c>
      <c r="BR1233">
        <v>13</v>
      </c>
    </row>
    <row r="1234" spans="1:70" hidden="1" outlineLevel="1">
      <c r="A1234" t="s">
        <v>130</v>
      </c>
      <c r="B1234" s="8" t="s">
        <v>1799</v>
      </c>
      <c r="C1234" s="1">
        <f t="shared" si="319"/>
        <v>3078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 t="shared" si="320"/>
        <v>6</v>
      </c>
      <c r="G1234" s="1">
        <f t="shared" si="321"/>
        <v>706</v>
      </c>
      <c r="H1234" s="2">
        <f t="shared" si="317"/>
        <v>0.22936972059779076</v>
      </c>
      <c r="I1234" s="6"/>
      <c r="J1234" s="2">
        <f t="shared" si="322"/>
        <v>0.58706952566601689</v>
      </c>
      <c r="K1234" s="2">
        <f t="shared" si="323"/>
        <v>0.35769980506822613</v>
      </c>
      <c r="L1234" s="2">
        <f t="shared" si="324"/>
        <v>3.2488628979857048E-4</v>
      </c>
      <c r="M1234" s="2">
        <f t="shared" si="325"/>
        <v>5.4905782975958412E-2</v>
      </c>
      <c r="N1234" s="63">
        <v>1807</v>
      </c>
      <c r="O1234" s="63">
        <v>1101</v>
      </c>
      <c r="P1234" s="63">
        <v>1</v>
      </c>
      <c r="Q1234" s="63">
        <v>95</v>
      </c>
      <c r="R1234" s="63">
        <v>24</v>
      </c>
      <c r="S1234" s="63"/>
      <c r="T1234" s="63">
        <v>0</v>
      </c>
      <c r="U1234" s="63"/>
      <c r="V1234" s="63"/>
      <c r="W1234" s="63">
        <f t="shared" si="326"/>
        <v>50</v>
      </c>
      <c r="X1234" s="63"/>
      <c r="Y1234" s="63"/>
      <c r="Z1234" s="63"/>
      <c r="AA1234" s="63"/>
      <c r="AB1234" s="63"/>
      <c r="AT1234" t="str">
        <f t="shared" si="316"/>
        <v>New London</v>
      </c>
      <c r="AU1234" t="s">
        <v>2494</v>
      </c>
      <c r="AV1234">
        <v>2</v>
      </c>
      <c r="AW1234">
        <v>2</v>
      </c>
      <c r="AX1234" s="114">
        <v>33</v>
      </c>
      <c r="AY1234" s="116">
        <v>13</v>
      </c>
      <c r="AZ1234" s="116">
        <v>95</v>
      </c>
      <c r="BA1234" s="120">
        <v>52100</v>
      </c>
      <c r="BB1234" s="120">
        <f t="shared" si="318"/>
        <v>33013</v>
      </c>
      <c r="BC1234" t="s">
        <v>1472</v>
      </c>
      <c r="BD1234">
        <f t="shared" si="327"/>
        <v>3352100</v>
      </c>
      <c r="BI1234">
        <v>25.59</v>
      </c>
      <c r="BJ1234">
        <v>3.08</v>
      </c>
      <c r="BK1234">
        <v>22.51</v>
      </c>
      <c r="BP1234" s="1">
        <v>51</v>
      </c>
      <c r="BR1234">
        <v>13</v>
      </c>
    </row>
    <row r="1235" spans="1:70" hidden="1" outlineLevel="1">
      <c r="A1235" t="s">
        <v>3162</v>
      </c>
      <c r="B1235" s="8" t="s">
        <v>1799</v>
      </c>
      <c r="C1235" s="1">
        <f t="shared" si="319"/>
        <v>1366</v>
      </c>
      <c r="D1235" s="5">
        <f>IF(N1235&gt;0, RANK(N1235,(N1235:P1235,Q1235:AE1235)),0)</f>
        <v>2</v>
      </c>
      <c r="E1235" s="5">
        <f>IF(O1235&gt;0,RANK(O1235,(N1235:P1235,Q1235:AE1235)),0)</f>
        <v>1</v>
      </c>
      <c r="F1235" s="5">
        <f t="shared" si="320"/>
        <v>0</v>
      </c>
      <c r="G1235" s="1">
        <f t="shared" si="321"/>
        <v>41</v>
      </c>
      <c r="H1235" s="2">
        <f t="shared" si="317"/>
        <v>3.0014641288433383E-2</v>
      </c>
      <c r="I1235" s="6"/>
      <c r="J1235" s="2">
        <f t="shared" si="322"/>
        <v>0.4546120058565154</v>
      </c>
      <c r="K1235" s="2">
        <f t="shared" si="323"/>
        <v>0.48462664714494874</v>
      </c>
      <c r="L1235" s="2">
        <f t="shared" si="324"/>
        <v>0</v>
      </c>
      <c r="M1235" s="2">
        <f t="shared" si="325"/>
        <v>6.0761346998535859E-2</v>
      </c>
      <c r="N1235" s="63">
        <v>621</v>
      </c>
      <c r="O1235" s="63">
        <v>662</v>
      </c>
      <c r="P1235" s="63">
        <v>0</v>
      </c>
      <c r="Q1235" s="63">
        <v>61</v>
      </c>
      <c r="R1235" s="63">
        <v>5</v>
      </c>
      <c r="S1235" s="63"/>
      <c r="T1235" s="63">
        <v>0</v>
      </c>
      <c r="U1235" s="63"/>
      <c r="V1235" s="63"/>
      <c r="W1235" s="63">
        <f t="shared" si="326"/>
        <v>17</v>
      </c>
      <c r="X1235" s="63"/>
      <c r="Y1235" s="63"/>
      <c r="Z1235" s="63"/>
      <c r="AA1235" s="63"/>
      <c r="AB1235" s="63"/>
      <c r="AT1235" t="str">
        <f t="shared" ref="AT1235:AT1293" si="328">A1235</f>
        <v>Newbury</v>
      </c>
      <c r="AU1235" t="s">
        <v>2494</v>
      </c>
      <c r="AV1235">
        <v>2</v>
      </c>
      <c r="AW1235">
        <v>2</v>
      </c>
      <c r="AX1235" s="114">
        <v>33</v>
      </c>
      <c r="AY1235" s="116">
        <v>13</v>
      </c>
      <c r="AZ1235" s="116">
        <v>90</v>
      </c>
      <c r="BA1235" s="120">
        <v>50900</v>
      </c>
      <c r="BB1235" s="120">
        <f t="shared" si="318"/>
        <v>33013</v>
      </c>
      <c r="BC1235" t="s">
        <v>1472</v>
      </c>
      <c r="BD1235">
        <f t="shared" si="327"/>
        <v>3350900</v>
      </c>
      <c r="BI1235">
        <v>38.090000000000003</v>
      </c>
      <c r="BJ1235">
        <v>2.29</v>
      </c>
      <c r="BK1235">
        <v>35.799999999999997</v>
      </c>
      <c r="BP1235" s="1">
        <v>17</v>
      </c>
      <c r="BR1235">
        <v>8</v>
      </c>
    </row>
    <row r="1236" spans="1:70" hidden="1" outlineLevel="1">
      <c r="A1236" t="s">
        <v>2146</v>
      </c>
      <c r="B1236" s="8" t="s">
        <v>1799</v>
      </c>
      <c r="C1236" s="1">
        <f t="shared" si="319"/>
        <v>1160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320"/>
        <v>0</v>
      </c>
      <c r="G1236" s="1">
        <f t="shared" si="321"/>
        <v>129</v>
      </c>
      <c r="H1236" s="2">
        <f t="shared" si="317"/>
        <v>0.11120689655172414</v>
      </c>
      <c r="I1236" s="6"/>
      <c r="J1236" s="2">
        <f t="shared" si="322"/>
        <v>0.51982758620689651</v>
      </c>
      <c r="K1236" s="2">
        <f t="shared" si="323"/>
        <v>0.4086206896551724</v>
      </c>
      <c r="L1236" s="2">
        <f t="shared" si="324"/>
        <v>0</v>
      </c>
      <c r="M1236" s="2">
        <f t="shared" si="325"/>
        <v>7.1551724137931094E-2</v>
      </c>
      <c r="N1236" s="63">
        <v>603</v>
      </c>
      <c r="O1236" s="63">
        <v>474</v>
      </c>
      <c r="P1236" s="63">
        <v>0</v>
      </c>
      <c r="Q1236" s="63">
        <v>45</v>
      </c>
      <c r="R1236" s="63">
        <v>11</v>
      </c>
      <c r="S1236" s="63"/>
      <c r="T1236" s="63">
        <v>0</v>
      </c>
      <c r="U1236" s="63"/>
      <c r="V1236" s="63"/>
      <c r="W1236" s="63">
        <f t="shared" si="326"/>
        <v>27</v>
      </c>
      <c r="X1236" s="63"/>
      <c r="Y1236" s="63"/>
      <c r="Z1236" s="63"/>
      <c r="AA1236" s="63"/>
      <c r="AB1236" s="63"/>
      <c r="AT1236" t="str">
        <f t="shared" si="328"/>
        <v>Newfields</v>
      </c>
      <c r="AU1236" t="s">
        <v>2971</v>
      </c>
      <c r="AV1236">
        <v>1</v>
      </c>
      <c r="AW1236">
        <v>1</v>
      </c>
      <c r="AX1236" s="114">
        <v>33</v>
      </c>
      <c r="AY1236" s="116">
        <v>15</v>
      </c>
      <c r="AZ1236" s="116">
        <v>105</v>
      </c>
      <c r="BA1236" s="120">
        <v>51380</v>
      </c>
      <c r="BB1236" s="120">
        <f t="shared" si="318"/>
        <v>33015</v>
      </c>
      <c r="BC1236" t="s">
        <v>1472</v>
      </c>
      <c r="BD1236">
        <f t="shared" si="327"/>
        <v>3351380</v>
      </c>
      <c r="BI1236">
        <v>7.18</v>
      </c>
      <c r="BJ1236">
        <v>0.16</v>
      </c>
      <c r="BK1236">
        <v>7.02</v>
      </c>
      <c r="BP1236" s="1">
        <v>27</v>
      </c>
      <c r="BR1236">
        <v>7</v>
      </c>
    </row>
    <row r="1237" spans="1:70" hidden="1" outlineLevel="1">
      <c r="A1237" t="s">
        <v>2908</v>
      </c>
      <c r="B1237" s="8" t="s">
        <v>1799</v>
      </c>
      <c r="C1237" s="1">
        <f t="shared" si="319"/>
        <v>603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320"/>
        <v>6</v>
      </c>
      <c r="G1237" s="1">
        <f t="shared" si="321"/>
        <v>21</v>
      </c>
      <c r="H1237" s="2">
        <f t="shared" si="317"/>
        <v>3.482587064676617E-2</v>
      </c>
      <c r="I1237" s="6"/>
      <c r="J1237" s="2">
        <f t="shared" si="322"/>
        <v>0.44941956882255391</v>
      </c>
      <c r="K1237" s="2">
        <f t="shared" si="323"/>
        <v>0.48424543946932008</v>
      </c>
      <c r="L1237" s="2">
        <f t="shared" si="324"/>
        <v>1.658374792703151E-3</v>
      </c>
      <c r="M1237" s="2">
        <f t="shared" si="325"/>
        <v>6.4676616915422799E-2</v>
      </c>
      <c r="N1237" s="63">
        <v>271</v>
      </c>
      <c r="O1237" s="63">
        <v>292</v>
      </c>
      <c r="P1237" s="63">
        <v>1</v>
      </c>
      <c r="Q1237" s="63">
        <v>23</v>
      </c>
      <c r="R1237" s="63">
        <v>4</v>
      </c>
      <c r="S1237" s="63"/>
      <c r="T1237" s="63">
        <v>0</v>
      </c>
      <c r="U1237" s="63"/>
      <c r="V1237" s="63"/>
      <c r="W1237" s="63">
        <f t="shared" si="326"/>
        <v>12</v>
      </c>
      <c r="X1237" s="63"/>
      <c r="Y1237" s="63"/>
      <c r="Z1237" s="63"/>
      <c r="AA1237" s="63"/>
      <c r="AB1237" s="63"/>
      <c r="AT1237" t="str">
        <f t="shared" si="328"/>
        <v>Newington</v>
      </c>
      <c r="AU1237" t="s">
        <v>2971</v>
      </c>
      <c r="AV1237">
        <v>1</v>
      </c>
      <c r="AW1237">
        <v>1</v>
      </c>
      <c r="AX1237" s="114">
        <v>33</v>
      </c>
      <c r="AY1237" s="116">
        <v>15</v>
      </c>
      <c r="AZ1237" s="116">
        <v>110</v>
      </c>
      <c r="BA1237" s="120">
        <v>51620</v>
      </c>
      <c r="BB1237" s="120">
        <f t="shared" si="318"/>
        <v>33015</v>
      </c>
      <c r="BC1237" t="s">
        <v>1472</v>
      </c>
      <c r="BD1237">
        <f t="shared" si="327"/>
        <v>3351620</v>
      </c>
      <c r="BI1237">
        <v>12.47</v>
      </c>
      <c r="BJ1237">
        <v>4.12</v>
      </c>
      <c r="BK1237">
        <v>8.36</v>
      </c>
      <c r="BP1237" s="1">
        <v>13</v>
      </c>
      <c r="BR1237">
        <v>3</v>
      </c>
    </row>
    <row r="1238" spans="1:70" hidden="1" outlineLevel="1">
      <c r="A1238" t="s">
        <v>1477</v>
      </c>
      <c r="B1238" s="8" t="s">
        <v>1799</v>
      </c>
      <c r="C1238" s="1">
        <f t="shared" si="319"/>
        <v>5464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320"/>
        <v>7</v>
      </c>
      <c r="G1238" s="1">
        <f t="shared" si="321"/>
        <v>1321</v>
      </c>
      <c r="H1238" s="2">
        <f t="shared" si="317"/>
        <v>0.24176427525622254</v>
      </c>
      <c r="I1238" s="6"/>
      <c r="J1238" s="2">
        <f t="shared" si="322"/>
        <v>0.57778184480234263</v>
      </c>
      <c r="K1238" s="2">
        <f t="shared" si="323"/>
        <v>0.33601756954612005</v>
      </c>
      <c r="L1238" s="2">
        <f t="shared" si="324"/>
        <v>1.2811127379209371E-3</v>
      </c>
      <c r="M1238" s="2">
        <f t="shared" si="325"/>
        <v>8.4919472913616387E-2</v>
      </c>
      <c r="N1238" s="63">
        <v>3157</v>
      </c>
      <c r="O1238" s="63">
        <v>1836</v>
      </c>
      <c r="P1238" s="63">
        <v>7</v>
      </c>
      <c r="Q1238" s="63">
        <v>291</v>
      </c>
      <c r="R1238" s="63">
        <v>70</v>
      </c>
      <c r="S1238" s="63"/>
      <c r="T1238" s="63">
        <v>10</v>
      </c>
      <c r="U1238" s="63"/>
      <c r="V1238" s="63"/>
      <c r="W1238" s="63">
        <f t="shared" si="326"/>
        <v>93</v>
      </c>
      <c r="X1238" s="63"/>
      <c r="Y1238" s="63"/>
      <c r="Z1238" s="63"/>
      <c r="AA1238" s="63"/>
      <c r="AB1238" s="63"/>
      <c r="AT1238" t="str">
        <f t="shared" si="328"/>
        <v>Newmarket</v>
      </c>
      <c r="AU1238" t="s">
        <v>2971</v>
      </c>
      <c r="AV1238">
        <v>1</v>
      </c>
      <c r="AW1238">
        <v>1</v>
      </c>
      <c r="AX1238" s="114">
        <v>33</v>
      </c>
      <c r="AY1238" s="116">
        <v>15</v>
      </c>
      <c r="AZ1238" s="116">
        <v>115</v>
      </c>
      <c r="BA1238" s="120">
        <v>52340</v>
      </c>
      <c r="BB1238" s="120">
        <f t="shared" si="318"/>
        <v>33015</v>
      </c>
      <c r="BC1238" t="s">
        <v>1472</v>
      </c>
      <c r="BD1238">
        <f t="shared" si="327"/>
        <v>3352340</v>
      </c>
      <c r="BI1238">
        <v>14.17</v>
      </c>
      <c r="BJ1238">
        <v>1.62</v>
      </c>
      <c r="BK1238">
        <v>12.55</v>
      </c>
      <c r="BP1238" s="1">
        <v>100</v>
      </c>
      <c r="BR1238">
        <v>38</v>
      </c>
    </row>
    <row r="1239" spans="1:70" hidden="1" outlineLevel="1">
      <c r="A1239" t="s">
        <v>2009</v>
      </c>
      <c r="B1239" s="8" t="s">
        <v>1799</v>
      </c>
      <c r="C1239" s="1">
        <f t="shared" si="319"/>
        <v>2974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320"/>
        <v>6</v>
      </c>
      <c r="G1239" s="1">
        <f t="shared" si="321"/>
        <v>580</v>
      </c>
      <c r="H1239" s="2">
        <f t="shared" si="317"/>
        <v>0.19502353732347008</v>
      </c>
      <c r="I1239" s="6"/>
      <c r="J1239" s="2">
        <f t="shared" si="322"/>
        <v>0.36482851378614661</v>
      </c>
      <c r="K1239" s="2">
        <f t="shared" si="323"/>
        <v>0.55985205110961667</v>
      </c>
      <c r="L1239" s="2">
        <f t="shared" si="324"/>
        <v>1.6812373907195697E-3</v>
      </c>
      <c r="M1239" s="2">
        <f t="shared" si="325"/>
        <v>7.3638197713517095E-2</v>
      </c>
      <c r="N1239" s="63">
        <v>1085</v>
      </c>
      <c r="O1239" s="63">
        <v>1665</v>
      </c>
      <c r="P1239" s="63">
        <v>5</v>
      </c>
      <c r="Q1239" s="63">
        <v>125</v>
      </c>
      <c r="R1239" s="63">
        <v>25</v>
      </c>
      <c r="S1239" s="63"/>
      <c r="T1239" s="63">
        <v>4</v>
      </c>
      <c r="U1239" s="63"/>
      <c r="V1239" s="63"/>
      <c r="W1239" s="63">
        <f t="shared" si="326"/>
        <v>65</v>
      </c>
      <c r="X1239" s="63"/>
      <c r="Y1239" s="63"/>
      <c r="Z1239" s="63"/>
      <c r="AA1239" s="63"/>
      <c r="AB1239" s="63"/>
      <c r="AT1239" t="str">
        <f t="shared" si="328"/>
        <v>Newport</v>
      </c>
      <c r="AU1239" t="s">
        <v>1040</v>
      </c>
      <c r="AV1239">
        <v>2</v>
      </c>
      <c r="AW1239">
        <v>2</v>
      </c>
      <c r="AX1239" s="114">
        <v>33</v>
      </c>
      <c r="AY1239" s="116">
        <v>19</v>
      </c>
      <c r="AZ1239" s="116">
        <v>50</v>
      </c>
      <c r="BA1239" s="120">
        <v>52580</v>
      </c>
      <c r="BB1239" s="120">
        <f t="shared" si="318"/>
        <v>33019</v>
      </c>
      <c r="BC1239" t="s">
        <v>1472</v>
      </c>
      <c r="BD1239">
        <f t="shared" si="327"/>
        <v>3352580</v>
      </c>
      <c r="BI1239">
        <v>43.65</v>
      </c>
      <c r="BJ1239">
        <v>0.08</v>
      </c>
      <c r="BK1239">
        <v>43.57</v>
      </c>
      <c r="BP1239" s="1">
        <v>70</v>
      </c>
      <c r="BR1239">
        <v>44</v>
      </c>
    </row>
    <row r="1240" spans="1:70" hidden="1" outlineLevel="1">
      <c r="A1240" t="s">
        <v>1136</v>
      </c>
      <c r="B1240" s="8" t="s">
        <v>1799</v>
      </c>
      <c r="C1240" s="1">
        <f t="shared" si="319"/>
        <v>2749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320"/>
        <v>7</v>
      </c>
      <c r="G1240" s="1">
        <f t="shared" si="321"/>
        <v>602</v>
      </c>
      <c r="H1240" s="2">
        <f t="shared" si="317"/>
        <v>0.21898872317206255</v>
      </c>
      <c r="I1240" s="6"/>
      <c r="J1240" s="2">
        <f t="shared" si="322"/>
        <v>0.36049472535467442</v>
      </c>
      <c r="K1240" s="2">
        <f t="shared" si="323"/>
        <v>0.57948344852673694</v>
      </c>
      <c r="L1240" s="2">
        <f t="shared" si="324"/>
        <v>3.6376864314296108E-4</v>
      </c>
      <c r="M1240" s="2">
        <f t="shared" si="325"/>
        <v>5.9658057475445676E-2</v>
      </c>
      <c r="N1240" s="63">
        <v>991</v>
      </c>
      <c r="O1240" s="63">
        <v>1593</v>
      </c>
      <c r="P1240" s="63">
        <v>1</v>
      </c>
      <c r="Q1240" s="63">
        <v>114</v>
      </c>
      <c r="R1240" s="63">
        <v>15</v>
      </c>
      <c r="S1240" s="63"/>
      <c r="T1240" s="63">
        <v>4</v>
      </c>
      <c r="U1240" s="63"/>
      <c r="V1240" s="63"/>
      <c r="W1240" s="63">
        <f t="shared" si="326"/>
        <v>31</v>
      </c>
      <c r="X1240" s="63"/>
      <c r="Y1240" s="63"/>
      <c r="Z1240" s="63"/>
      <c r="AA1240" s="63"/>
      <c r="AB1240" s="63"/>
      <c r="AT1240" t="str">
        <f t="shared" si="328"/>
        <v>Newton</v>
      </c>
      <c r="AU1240" t="s">
        <v>2971</v>
      </c>
      <c r="AV1240">
        <v>1</v>
      </c>
      <c r="AW1240">
        <v>1</v>
      </c>
      <c r="AX1240" s="114">
        <v>33</v>
      </c>
      <c r="AY1240" s="116">
        <v>15</v>
      </c>
      <c r="AZ1240" s="116">
        <v>120</v>
      </c>
      <c r="BA1240" s="120">
        <v>52900</v>
      </c>
      <c r="BB1240" s="120">
        <f t="shared" si="318"/>
        <v>33015</v>
      </c>
      <c r="BC1240" t="s">
        <v>1472</v>
      </c>
      <c r="BD1240">
        <f t="shared" si="327"/>
        <v>3352900</v>
      </c>
      <c r="BI1240">
        <v>10.06</v>
      </c>
      <c r="BJ1240">
        <v>0.16</v>
      </c>
      <c r="BK1240">
        <v>9.91</v>
      </c>
      <c r="BP1240" s="1">
        <v>32</v>
      </c>
      <c r="BR1240">
        <v>21</v>
      </c>
    </row>
    <row r="1241" spans="1:70" hidden="1" outlineLevel="1">
      <c r="A1241" t="s">
        <v>2977</v>
      </c>
      <c r="B1241" s="8" t="s">
        <v>1799</v>
      </c>
      <c r="C1241" s="1">
        <f t="shared" si="319"/>
        <v>3182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 t="shared" si="320"/>
        <v>6</v>
      </c>
      <c r="G1241" s="1">
        <f t="shared" si="321"/>
        <v>114</v>
      </c>
      <c r="H1241" s="2">
        <f t="shared" si="317"/>
        <v>3.5826524198617225E-2</v>
      </c>
      <c r="I1241" s="6"/>
      <c r="J1241" s="2">
        <f t="shared" si="322"/>
        <v>0.49088623507228157</v>
      </c>
      <c r="K1241" s="2">
        <f t="shared" si="323"/>
        <v>0.45505971087366437</v>
      </c>
      <c r="L1241" s="2">
        <f t="shared" si="324"/>
        <v>1.257071024512885E-3</v>
      </c>
      <c r="M1241" s="2">
        <f t="shared" si="325"/>
        <v>5.2796983029541174E-2</v>
      </c>
      <c r="N1241" s="63">
        <v>1562</v>
      </c>
      <c r="O1241" s="63">
        <v>1448</v>
      </c>
      <c r="P1241" s="63">
        <v>4</v>
      </c>
      <c r="Q1241" s="63">
        <v>104</v>
      </c>
      <c r="R1241" s="63">
        <v>23</v>
      </c>
      <c r="S1241" s="63"/>
      <c r="T1241" s="63">
        <v>0</v>
      </c>
      <c r="U1241" s="63"/>
      <c r="V1241" s="63"/>
      <c r="W1241" s="63">
        <f t="shared" si="326"/>
        <v>41</v>
      </c>
      <c r="X1241" s="63"/>
      <c r="Y1241" s="63"/>
      <c r="Z1241" s="63"/>
      <c r="AA1241" s="63"/>
      <c r="AB1241" s="63"/>
      <c r="AT1241" t="str">
        <f t="shared" si="328"/>
        <v>North Hampton</v>
      </c>
      <c r="AU1241" t="s">
        <v>2971</v>
      </c>
      <c r="AV1241">
        <v>1</v>
      </c>
      <c r="AW1241">
        <v>1</v>
      </c>
      <c r="AX1241" s="114">
        <v>33</v>
      </c>
      <c r="AY1241" s="116">
        <v>15</v>
      </c>
      <c r="AZ1241" s="116">
        <v>125</v>
      </c>
      <c r="BA1241" s="120">
        <v>54580</v>
      </c>
      <c r="BB1241" s="120">
        <f t="shared" si="318"/>
        <v>33015</v>
      </c>
      <c r="BC1241" t="s">
        <v>1472</v>
      </c>
      <c r="BD1241">
        <f t="shared" si="327"/>
        <v>3354580</v>
      </c>
      <c r="BI1241">
        <v>14.4</v>
      </c>
      <c r="BJ1241">
        <v>0.5</v>
      </c>
      <c r="BK1241">
        <v>13.91</v>
      </c>
      <c r="BP1241" s="1">
        <v>45</v>
      </c>
      <c r="BR1241">
        <v>7</v>
      </c>
    </row>
    <row r="1242" spans="1:70" hidden="1" outlineLevel="1">
      <c r="A1242" t="s">
        <v>2829</v>
      </c>
      <c r="B1242" s="8" t="s">
        <v>1799</v>
      </c>
      <c r="C1242" s="1">
        <f t="shared" si="319"/>
        <v>2404</v>
      </c>
      <c r="D1242" s="5">
        <f>IF(N1242&gt;0, RANK(N1242,(N1242:P1242,Q1242:AE1242)),0)</f>
        <v>2</v>
      </c>
      <c r="E1242" s="5">
        <f>IF(O1242&gt;0,RANK(O1242,(N1242:P1242,Q1242:AE1242)),0)</f>
        <v>1</v>
      </c>
      <c r="F1242" s="5">
        <f t="shared" si="320"/>
        <v>6</v>
      </c>
      <c r="G1242" s="1">
        <f t="shared" si="321"/>
        <v>446</v>
      </c>
      <c r="H1242" s="2">
        <f t="shared" si="317"/>
        <v>0.18552412645590682</v>
      </c>
      <c r="I1242" s="6"/>
      <c r="J1242" s="2">
        <f t="shared" si="322"/>
        <v>0.36772046589018303</v>
      </c>
      <c r="K1242" s="2">
        <f t="shared" si="323"/>
        <v>0.5532445923460898</v>
      </c>
      <c r="L1242" s="2">
        <f t="shared" si="324"/>
        <v>2.4958402662229617E-3</v>
      </c>
      <c r="M1242" s="2">
        <f t="shared" si="325"/>
        <v>7.6539101497504203E-2</v>
      </c>
      <c r="N1242" s="63">
        <v>884</v>
      </c>
      <c r="O1242" s="63">
        <v>1330</v>
      </c>
      <c r="P1242" s="63">
        <v>6</v>
      </c>
      <c r="Q1242" s="63">
        <v>105</v>
      </c>
      <c r="R1242" s="63">
        <v>29</v>
      </c>
      <c r="S1242" s="63"/>
      <c r="T1242" s="63">
        <v>4</v>
      </c>
      <c r="U1242" s="63"/>
      <c r="V1242" s="63"/>
      <c r="W1242" s="63">
        <f t="shared" si="326"/>
        <v>46</v>
      </c>
      <c r="X1242" s="63"/>
      <c r="Y1242" s="63"/>
      <c r="Z1242" s="63"/>
      <c r="AA1242" s="63"/>
      <c r="AB1242" s="63"/>
      <c r="AT1242" t="str">
        <f t="shared" si="328"/>
        <v>Northfield</v>
      </c>
      <c r="AU1242" t="s">
        <v>2494</v>
      </c>
      <c r="AV1242">
        <v>2</v>
      </c>
      <c r="AW1242">
        <v>2</v>
      </c>
      <c r="AX1242" s="114">
        <v>33</v>
      </c>
      <c r="AY1242" s="116">
        <v>13</v>
      </c>
      <c r="AZ1242" s="116">
        <v>100</v>
      </c>
      <c r="BA1242" s="120">
        <v>54260</v>
      </c>
      <c r="BB1242" s="120">
        <f t="shared" si="318"/>
        <v>33013</v>
      </c>
      <c r="BC1242" t="s">
        <v>1472</v>
      </c>
      <c r="BD1242">
        <f t="shared" si="327"/>
        <v>3354260</v>
      </c>
      <c r="BI1242">
        <v>29.05</v>
      </c>
      <c r="BJ1242">
        <v>0.26</v>
      </c>
      <c r="BK1242">
        <v>28.79</v>
      </c>
      <c r="BP1242" s="1">
        <v>52</v>
      </c>
      <c r="BR1242">
        <v>25</v>
      </c>
    </row>
    <row r="1243" spans="1:70" hidden="1" outlineLevel="1">
      <c r="A1243" t="s">
        <v>2939</v>
      </c>
      <c r="B1243" s="8" t="s">
        <v>1799</v>
      </c>
      <c r="C1243" s="1">
        <f t="shared" si="319"/>
        <v>1016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 t="shared" si="320"/>
        <v>0</v>
      </c>
      <c r="G1243" s="1">
        <f t="shared" si="321"/>
        <v>152</v>
      </c>
      <c r="H1243" s="2">
        <f t="shared" si="317"/>
        <v>0.14960629921259844</v>
      </c>
      <c r="I1243" s="6"/>
      <c r="J1243" s="2">
        <f t="shared" si="322"/>
        <v>0.38090551181102361</v>
      </c>
      <c r="K1243" s="2">
        <f t="shared" si="323"/>
        <v>0.53051181102362199</v>
      </c>
      <c r="L1243" s="2">
        <f t="shared" si="324"/>
        <v>0</v>
      </c>
      <c r="M1243" s="2">
        <f t="shared" si="325"/>
        <v>8.8582677165354395E-2</v>
      </c>
      <c r="N1243" s="63">
        <v>387</v>
      </c>
      <c r="O1243" s="63">
        <v>539</v>
      </c>
      <c r="P1243" s="63">
        <v>0</v>
      </c>
      <c r="Q1243" s="63">
        <v>42</v>
      </c>
      <c r="R1243" s="63">
        <v>18</v>
      </c>
      <c r="S1243" s="63"/>
      <c r="T1243" s="63">
        <v>4</v>
      </c>
      <c r="U1243" s="63"/>
      <c r="V1243" s="63"/>
      <c r="W1243" s="63">
        <f t="shared" si="326"/>
        <v>26</v>
      </c>
      <c r="X1243" s="63"/>
      <c r="Y1243" s="63"/>
      <c r="Z1243" s="63"/>
      <c r="AA1243" s="63"/>
      <c r="AB1243" s="63"/>
      <c r="AT1243" t="str">
        <f t="shared" si="328"/>
        <v>Northumberland</v>
      </c>
      <c r="AU1243" t="s">
        <v>442</v>
      </c>
      <c r="AV1243">
        <v>2</v>
      </c>
      <c r="AW1243">
        <v>2</v>
      </c>
      <c r="AX1243" s="114">
        <v>33</v>
      </c>
      <c r="AY1243" s="116">
        <v>7</v>
      </c>
      <c r="AZ1243" s="116">
        <v>145</v>
      </c>
      <c r="BA1243" s="120">
        <v>56100</v>
      </c>
      <c r="BB1243" s="120">
        <f t="shared" si="318"/>
        <v>33007</v>
      </c>
      <c r="BC1243" t="s">
        <v>1472</v>
      </c>
      <c r="BD1243">
        <f t="shared" si="327"/>
        <v>3356100</v>
      </c>
      <c r="BI1243">
        <v>36.94</v>
      </c>
      <c r="BJ1243">
        <v>0.76</v>
      </c>
      <c r="BK1243">
        <v>36.18</v>
      </c>
      <c r="BP1243" s="1">
        <v>26</v>
      </c>
      <c r="BR1243">
        <v>18</v>
      </c>
    </row>
    <row r="1244" spans="1:70" hidden="1" outlineLevel="1">
      <c r="A1244" t="s">
        <v>2477</v>
      </c>
      <c r="B1244" s="8" t="s">
        <v>1799</v>
      </c>
      <c r="C1244" s="1">
        <f t="shared" si="319"/>
        <v>2627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320"/>
        <v>0</v>
      </c>
      <c r="G1244" s="1">
        <f t="shared" si="321"/>
        <v>329</v>
      </c>
      <c r="H1244" s="2">
        <f t="shared" si="317"/>
        <v>0.12523791397030834</v>
      </c>
      <c r="I1244" s="6"/>
      <c r="J1244" s="2">
        <f t="shared" si="322"/>
        <v>0.40197944423296533</v>
      </c>
      <c r="K1244" s="2">
        <f t="shared" si="323"/>
        <v>0.52721735820327364</v>
      </c>
      <c r="L1244" s="2">
        <f t="shared" si="324"/>
        <v>0</v>
      </c>
      <c r="M1244" s="2">
        <f t="shared" si="325"/>
        <v>7.0803197563760967E-2</v>
      </c>
      <c r="N1244" s="63">
        <v>1056</v>
      </c>
      <c r="O1244" s="63">
        <v>1385</v>
      </c>
      <c r="P1244" s="63">
        <v>0</v>
      </c>
      <c r="Q1244" s="63">
        <v>127</v>
      </c>
      <c r="R1244" s="63">
        <v>12</v>
      </c>
      <c r="S1244" s="63"/>
      <c r="T1244" s="63">
        <v>1</v>
      </c>
      <c r="U1244" s="63"/>
      <c r="V1244" s="63"/>
      <c r="W1244" s="63">
        <f t="shared" si="326"/>
        <v>46</v>
      </c>
      <c r="X1244" s="63"/>
      <c r="Y1244" s="63"/>
      <c r="Z1244" s="63"/>
      <c r="AA1244" s="63"/>
      <c r="AB1244" s="63"/>
      <c r="AT1244" t="str">
        <f t="shared" si="328"/>
        <v>Northwood</v>
      </c>
      <c r="AU1244" t="s">
        <v>2971</v>
      </c>
      <c r="AV1244">
        <v>2</v>
      </c>
      <c r="AW1244">
        <v>2</v>
      </c>
      <c r="AX1244" s="114">
        <v>33</v>
      </c>
      <c r="AY1244" s="116">
        <v>15</v>
      </c>
      <c r="AZ1244" s="116">
        <v>130</v>
      </c>
      <c r="BA1244" s="120">
        <v>56820</v>
      </c>
      <c r="BB1244" s="120">
        <f t="shared" si="318"/>
        <v>33015</v>
      </c>
      <c r="BC1244" t="s">
        <v>1472</v>
      </c>
      <c r="BD1244">
        <f t="shared" si="327"/>
        <v>3356820</v>
      </c>
      <c r="BI1244">
        <v>30.05</v>
      </c>
      <c r="BJ1244">
        <v>2.0699999999999998</v>
      </c>
      <c r="BK1244">
        <v>27.99</v>
      </c>
      <c r="BP1244" s="1">
        <v>46</v>
      </c>
      <c r="BR1244">
        <v>22</v>
      </c>
    </row>
    <row r="1245" spans="1:70" hidden="1" outlineLevel="1">
      <c r="A1245" t="s">
        <v>3131</v>
      </c>
      <c r="B1245" s="8" t="s">
        <v>1799</v>
      </c>
      <c r="C1245" s="1">
        <f t="shared" si="319"/>
        <v>3115</v>
      </c>
      <c r="D1245" s="5">
        <f>IF(N1245&gt;0, RANK(N1245,(N1245:P1245,Q1245:AE1245)),0)</f>
        <v>2</v>
      </c>
      <c r="E1245" s="5">
        <f>IF(O1245&gt;0,RANK(O1245,(N1245:P1245,Q1245:AE1245)),0)</f>
        <v>1</v>
      </c>
      <c r="F1245" s="5">
        <f t="shared" si="320"/>
        <v>6</v>
      </c>
      <c r="G1245" s="1">
        <f t="shared" si="321"/>
        <v>146</v>
      </c>
      <c r="H1245" s="2">
        <f t="shared" si="317"/>
        <v>4.6869983948635632E-2</v>
      </c>
      <c r="I1245" s="6"/>
      <c r="J1245" s="2">
        <f t="shared" si="322"/>
        <v>0.43820224719101125</v>
      </c>
      <c r="K1245" s="2">
        <f t="shared" si="323"/>
        <v>0.48507223113964687</v>
      </c>
      <c r="L1245" s="2">
        <f t="shared" si="324"/>
        <v>9.6308186195826644E-4</v>
      </c>
      <c r="M1245" s="2">
        <f t="shared" si="325"/>
        <v>7.5762439807383661E-2</v>
      </c>
      <c r="N1245" s="63">
        <v>1365</v>
      </c>
      <c r="O1245" s="63">
        <v>1511</v>
      </c>
      <c r="P1245" s="63">
        <v>3</v>
      </c>
      <c r="Q1245" s="63">
        <v>165</v>
      </c>
      <c r="R1245" s="63">
        <v>30</v>
      </c>
      <c r="S1245" s="63"/>
      <c r="T1245" s="63">
        <v>2</v>
      </c>
      <c r="U1245" s="63"/>
      <c r="V1245" s="63"/>
      <c r="W1245" s="63">
        <f t="shared" si="326"/>
        <v>39</v>
      </c>
      <c r="X1245" s="63"/>
      <c r="Y1245" s="63"/>
      <c r="Z1245" s="63"/>
      <c r="AA1245" s="63"/>
      <c r="AB1245" s="63"/>
      <c r="AT1245" t="str">
        <f t="shared" si="328"/>
        <v>Nottingham</v>
      </c>
      <c r="AU1245" t="s">
        <v>2971</v>
      </c>
      <c r="AV1245">
        <v>1</v>
      </c>
      <c r="AW1245">
        <v>1</v>
      </c>
      <c r="AX1245" s="114">
        <v>33</v>
      </c>
      <c r="AY1245" s="116">
        <v>15</v>
      </c>
      <c r="AZ1245" s="116">
        <v>135</v>
      </c>
      <c r="BA1245" s="120">
        <v>57460</v>
      </c>
      <c r="BB1245" s="120">
        <f t="shared" si="318"/>
        <v>33015</v>
      </c>
      <c r="BC1245" t="s">
        <v>1472</v>
      </c>
      <c r="BD1245">
        <f t="shared" si="327"/>
        <v>3357460</v>
      </c>
      <c r="BI1245">
        <v>48.42</v>
      </c>
      <c r="BJ1245">
        <v>1.94</v>
      </c>
      <c r="BK1245">
        <v>46.47</v>
      </c>
      <c r="BP1245" s="1">
        <v>42</v>
      </c>
      <c r="BR1245">
        <v>13</v>
      </c>
    </row>
    <row r="1246" spans="1:70" hidden="1" outlineLevel="1">
      <c r="A1246" t="s">
        <v>2013</v>
      </c>
      <c r="B1246" s="8" t="s">
        <v>1799</v>
      </c>
      <c r="C1246" s="1">
        <f t="shared" si="319"/>
        <v>173</v>
      </c>
      <c r="D1246" s="5">
        <f>IF(N1246&gt;0, RANK(N1246,(N1246:P1246,Q1246:AE1246)),0)</f>
        <v>2</v>
      </c>
      <c r="E1246" s="5">
        <f>IF(O1246&gt;0,RANK(O1246,(N1246:P1246,Q1246:AE1246)),0)</f>
        <v>1</v>
      </c>
      <c r="F1246" s="5">
        <f t="shared" si="320"/>
        <v>6</v>
      </c>
      <c r="G1246" s="1">
        <f t="shared" si="321"/>
        <v>12</v>
      </c>
      <c r="H1246" s="2">
        <f t="shared" si="317"/>
        <v>6.9364161849710976E-2</v>
      </c>
      <c r="I1246" s="6"/>
      <c r="J1246" s="2">
        <f t="shared" si="322"/>
        <v>0.42196531791907516</v>
      </c>
      <c r="K1246" s="2">
        <f t="shared" si="323"/>
        <v>0.4913294797687861</v>
      </c>
      <c r="L1246" s="2">
        <f t="shared" si="324"/>
        <v>5.7803468208092483E-3</v>
      </c>
      <c r="M1246" s="2">
        <f t="shared" si="325"/>
        <v>8.0924855491329439E-2</v>
      </c>
      <c r="N1246" s="63">
        <v>73</v>
      </c>
      <c r="O1246" s="63">
        <v>85</v>
      </c>
      <c r="P1246" s="63">
        <v>1</v>
      </c>
      <c r="Q1246" s="63">
        <v>6</v>
      </c>
      <c r="R1246" s="63">
        <v>2</v>
      </c>
      <c r="S1246" s="63"/>
      <c r="T1246" s="63">
        <v>0</v>
      </c>
      <c r="U1246" s="63"/>
      <c r="V1246" s="63"/>
      <c r="W1246" s="63">
        <f t="shared" si="326"/>
        <v>6</v>
      </c>
      <c r="X1246" s="63"/>
      <c r="Y1246" s="63"/>
      <c r="Z1246" s="63"/>
      <c r="AA1246" s="63"/>
      <c r="AB1246" s="63"/>
      <c r="AT1246" t="str">
        <f t="shared" si="328"/>
        <v>Orange</v>
      </c>
      <c r="AU1246" t="s">
        <v>2260</v>
      </c>
      <c r="AV1246">
        <v>2</v>
      </c>
      <c r="AW1246">
        <v>2</v>
      </c>
      <c r="AX1246" s="114">
        <v>33</v>
      </c>
      <c r="AY1246" s="116">
        <v>9</v>
      </c>
      <c r="AZ1246" s="116">
        <v>145</v>
      </c>
      <c r="BA1246" s="120">
        <v>58340</v>
      </c>
      <c r="BB1246" s="120">
        <f t="shared" si="318"/>
        <v>33009</v>
      </c>
      <c r="BC1246" t="s">
        <v>1472</v>
      </c>
      <c r="BD1246">
        <f t="shared" si="327"/>
        <v>3358340</v>
      </c>
      <c r="BI1246">
        <v>23.25</v>
      </c>
      <c r="BJ1246">
        <v>0.04</v>
      </c>
      <c r="BK1246">
        <v>23.22</v>
      </c>
      <c r="BP1246" s="1">
        <v>7</v>
      </c>
      <c r="BR1246">
        <v>5</v>
      </c>
    </row>
    <row r="1247" spans="1:70" hidden="1" outlineLevel="1">
      <c r="A1247" t="s">
        <v>3016</v>
      </c>
      <c r="B1247" s="8" t="s">
        <v>1799</v>
      </c>
      <c r="C1247" s="1">
        <f t="shared" si="319"/>
        <v>744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320"/>
        <v>6</v>
      </c>
      <c r="G1247" s="1">
        <f t="shared" si="321"/>
        <v>161</v>
      </c>
      <c r="H1247" s="2">
        <f t="shared" si="317"/>
        <v>0.21639784946236559</v>
      </c>
      <c r="I1247" s="6"/>
      <c r="J1247" s="2">
        <f t="shared" si="322"/>
        <v>0.56048387096774188</v>
      </c>
      <c r="K1247" s="2">
        <f t="shared" si="323"/>
        <v>0.34408602150537637</v>
      </c>
      <c r="L1247" s="2">
        <f t="shared" si="324"/>
        <v>4.0322580645161289E-3</v>
      </c>
      <c r="M1247" s="2">
        <f t="shared" si="325"/>
        <v>9.1397849462365621E-2</v>
      </c>
      <c r="N1247" s="63">
        <v>417</v>
      </c>
      <c r="O1247" s="63">
        <v>256</v>
      </c>
      <c r="P1247" s="63">
        <v>3</v>
      </c>
      <c r="Q1247" s="63">
        <v>30</v>
      </c>
      <c r="R1247" s="63">
        <v>14</v>
      </c>
      <c r="S1247" s="63"/>
      <c r="T1247" s="63">
        <v>2</v>
      </c>
      <c r="U1247" s="63"/>
      <c r="V1247" s="63"/>
      <c r="W1247" s="63">
        <f t="shared" si="326"/>
        <v>22</v>
      </c>
      <c r="X1247" s="63"/>
      <c r="Y1247" s="63"/>
      <c r="Z1247" s="63"/>
      <c r="AA1247" s="63"/>
      <c r="AB1247" s="63"/>
      <c r="AT1247" t="str">
        <f t="shared" si="328"/>
        <v>Orford</v>
      </c>
      <c r="AU1247" t="s">
        <v>2260</v>
      </c>
      <c r="AV1247">
        <v>2</v>
      </c>
      <c r="AW1247">
        <v>2</v>
      </c>
      <c r="AX1247" s="114">
        <v>33</v>
      </c>
      <c r="AY1247" s="116">
        <v>9</v>
      </c>
      <c r="AZ1247" s="116">
        <v>150</v>
      </c>
      <c r="BA1247" s="120">
        <v>58500</v>
      </c>
      <c r="BB1247" s="120">
        <f t="shared" si="318"/>
        <v>33009</v>
      </c>
      <c r="BC1247" t="s">
        <v>1472</v>
      </c>
      <c r="BD1247">
        <f t="shared" si="327"/>
        <v>3358500</v>
      </c>
      <c r="BI1247">
        <v>48.02</v>
      </c>
      <c r="BJ1247">
        <v>1.35</v>
      </c>
      <c r="BK1247">
        <v>46.67</v>
      </c>
      <c r="BP1247" s="1">
        <v>25</v>
      </c>
      <c r="BR1247">
        <v>11</v>
      </c>
    </row>
    <row r="1248" spans="1:70" hidden="1" outlineLevel="1">
      <c r="A1248" t="s">
        <v>2508</v>
      </c>
      <c r="B1248" s="8" t="s">
        <v>1799</v>
      </c>
      <c r="C1248" s="1">
        <f t="shared" si="319"/>
        <v>2207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 t="shared" si="320"/>
        <v>6</v>
      </c>
      <c r="G1248" s="1">
        <f t="shared" si="321"/>
        <v>524</v>
      </c>
      <c r="H1248" s="2">
        <f t="shared" ref="H1248:H1311" si="329">IF(C1248&gt;0,G1248/C1248,0)</f>
        <v>0.23742637063887631</v>
      </c>
      <c r="I1248" s="6"/>
      <c r="J1248" s="2">
        <f t="shared" si="322"/>
        <v>0.34888989578613505</v>
      </c>
      <c r="K1248" s="2">
        <f t="shared" si="323"/>
        <v>0.58631626642501133</v>
      </c>
      <c r="L1248" s="2">
        <f t="shared" si="324"/>
        <v>9.0620752152242867E-4</v>
      </c>
      <c r="M1248" s="2">
        <f t="shared" si="325"/>
        <v>6.3887630267331186E-2</v>
      </c>
      <c r="N1248" s="63">
        <v>770</v>
      </c>
      <c r="O1248" s="63">
        <v>1294</v>
      </c>
      <c r="P1248" s="63">
        <v>2</v>
      </c>
      <c r="Q1248" s="63">
        <v>94</v>
      </c>
      <c r="R1248" s="63">
        <v>18</v>
      </c>
      <c r="S1248" s="63"/>
      <c r="T1248" s="63">
        <v>2</v>
      </c>
      <c r="U1248" s="63"/>
      <c r="V1248" s="63"/>
      <c r="W1248" s="63">
        <f t="shared" si="326"/>
        <v>27</v>
      </c>
      <c r="X1248" s="63"/>
      <c r="Y1248" s="63"/>
      <c r="Z1248" s="63"/>
      <c r="AA1248" s="63"/>
      <c r="AB1248" s="63"/>
      <c r="AT1248" t="str">
        <f t="shared" si="328"/>
        <v>Ossipee</v>
      </c>
      <c r="AU1248" t="s">
        <v>1675</v>
      </c>
      <c r="AV1248">
        <v>1</v>
      </c>
      <c r="AW1248">
        <v>1</v>
      </c>
      <c r="AX1248" s="114">
        <v>33</v>
      </c>
      <c r="AY1248" s="116">
        <v>3</v>
      </c>
      <c r="AZ1248" s="116">
        <v>70</v>
      </c>
      <c r="BA1248" s="120">
        <v>58740</v>
      </c>
      <c r="BB1248" s="120">
        <f t="shared" si="318"/>
        <v>33003</v>
      </c>
      <c r="BC1248" t="s">
        <v>1472</v>
      </c>
      <c r="BD1248">
        <f t="shared" si="327"/>
        <v>3358740</v>
      </c>
      <c r="BI1248">
        <v>75.56</v>
      </c>
      <c r="BJ1248">
        <v>4.42</v>
      </c>
      <c r="BK1248">
        <v>71.150000000000006</v>
      </c>
      <c r="BP1248" s="1">
        <v>29</v>
      </c>
      <c r="BR1248">
        <v>8</v>
      </c>
    </row>
    <row r="1249" spans="1:70" hidden="1" outlineLevel="1">
      <c r="A1249" t="s">
        <v>2121</v>
      </c>
      <c r="B1249" s="8" t="s">
        <v>1799</v>
      </c>
      <c r="C1249" s="1">
        <f t="shared" si="319"/>
        <v>7714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320"/>
        <v>7</v>
      </c>
      <c r="G1249" s="1">
        <f t="shared" si="321"/>
        <v>1905</v>
      </c>
      <c r="H1249" s="2">
        <f t="shared" si="329"/>
        <v>0.24695359087373606</v>
      </c>
      <c r="I1249" s="6"/>
      <c r="J1249" s="2">
        <f t="shared" si="322"/>
        <v>0.35247601763028258</v>
      </c>
      <c r="K1249" s="2">
        <f t="shared" si="323"/>
        <v>0.59942960850401872</v>
      </c>
      <c r="L1249" s="2">
        <f t="shared" si="324"/>
        <v>1.2963443090484831E-4</v>
      </c>
      <c r="M1249" s="2">
        <f t="shared" si="325"/>
        <v>4.7964739434793853E-2</v>
      </c>
      <c r="N1249" s="63">
        <v>2719</v>
      </c>
      <c r="O1249" s="63">
        <v>4624</v>
      </c>
      <c r="P1249" s="63">
        <v>1</v>
      </c>
      <c r="Q1249" s="63">
        <v>254</v>
      </c>
      <c r="R1249" s="63">
        <v>52</v>
      </c>
      <c r="S1249" s="63"/>
      <c r="T1249" s="63">
        <v>4</v>
      </c>
      <c r="U1249" s="63"/>
      <c r="V1249" s="63"/>
      <c r="W1249" s="63">
        <f t="shared" si="326"/>
        <v>60</v>
      </c>
      <c r="X1249" s="63"/>
      <c r="Y1249" s="63"/>
      <c r="Z1249" s="63"/>
      <c r="AA1249" s="63"/>
      <c r="AB1249" s="63"/>
      <c r="AT1249" t="str">
        <f t="shared" si="328"/>
        <v>Pelham</v>
      </c>
      <c r="AU1249" t="s">
        <v>1161</v>
      </c>
      <c r="AV1249">
        <v>2</v>
      </c>
      <c r="AW1249">
        <v>2</v>
      </c>
      <c r="AX1249" s="114">
        <v>33</v>
      </c>
      <c r="AY1249" s="116">
        <v>11</v>
      </c>
      <c r="AZ1249" s="116">
        <v>125</v>
      </c>
      <c r="BA1249" s="120">
        <v>59940</v>
      </c>
      <c r="BB1249" s="120">
        <f t="shared" si="318"/>
        <v>33011</v>
      </c>
      <c r="BC1249" t="s">
        <v>1472</v>
      </c>
      <c r="BD1249">
        <f t="shared" si="327"/>
        <v>3359940</v>
      </c>
      <c r="BI1249">
        <v>26.96</v>
      </c>
      <c r="BJ1249">
        <v>0.52</v>
      </c>
      <c r="BK1249">
        <v>26.43</v>
      </c>
      <c r="BP1249" s="1">
        <v>61</v>
      </c>
      <c r="BR1249">
        <v>18</v>
      </c>
    </row>
    <row r="1250" spans="1:70" hidden="1" outlineLevel="1">
      <c r="A1250" t="s">
        <v>2104</v>
      </c>
      <c r="B1250" s="8" t="s">
        <v>1799</v>
      </c>
      <c r="C1250" s="1">
        <f t="shared" si="319"/>
        <v>4023</v>
      </c>
      <c r="D1250" s="5">
        <f>IF(N1250&gt;0, RANK(N1250,(N1250:P1250,Q1250:AE1250)),0)</f>
        <v>2</v>
      </c>
      <c r="E1250" s="5">
        <f>IF(O1250&gt;0,RANK(O1250,(N1250:P1250,Q1250:AE1250)),0)</f>
        <v>1</v>
      </c>
      <c r="F1250" s="5">
        <f t="shared" si="320"/>
        <v>6</v>
      </c>
      <c r="G1250" s="1">
        <f t="shared" si="321"/>
        <v>109</v>
      </c>
      <c r="H1250" s="2">
        <f t="shared" si="329"/>
        <v>2.7094208302261995E-2</v>
      </c>
      <c r="I1250" s="6"/>
      <c r="J1250" s="2">
        <f t="shared" si="322"/>
        <v>0.44991300024857073</v>
      </c>
      <c r="K1250" s="2">
        <f t="shared" si="323"/>
        <v>0.47700720855083273</v>
      </c>
      <c r="L1250" s="2">
        <f t="shared" si="324"/>
        <v>1.7399950285856326E-3</v>
      </c>
      <c r="M1250" s="2">
        <f t="shared" si="325"/>
        <v>7.1339796172010916E-2</v>
      </c>
      <c r="N1250" s="63">
        <v>1810</v>
      </c>
      <c r="O1250" s="63">
        <v>1919</v>
      </c>
      <c r="P1250" s="63">
        <v>7</v>
      </c>
      <c r="Q1250" s="63">
        <v>179</v>
      </c>
      <c r="R1250" s="63">
        <v>33</v>
      </c>
      <c r="S1250" s="63"/>
      <c r="T1250" s="63">
        <v>5</v>
      </c>
      <c r="U1250" s="63"/>
      <c r="V1250" s="63"/>
      <c r="W1250" s="63">
        <f t="shared" si="326"/>
        <v>70</v>
      </c>
      <c r="X1250" s="63"/>
      <c r="Y1250" s="63"/>
      <c r="Z1250" s="63"/>
      <c r="AA1250" s="63"/>
      <c r="AB1250" s="63"/>
      <c r="AT1250" t="str">
        <f t="shared" si="328"/>
        <v>Pembroke</v>
      </c>
      <c r="AU1250" t="s">
        <v>2494</v>
      </c>
      <c r="AV1250">
        <v>2</v>
      </c>
      <c r="AW1250">
        <v>2</v>
      </c>
      <c r="AX1250" s="114">
        <v>33</v>
      </c>
      <c r="AY1250" s="116">
        <v>13</v>
      </c>
      <c r="AZ1250" s="116">
        <v>105</v>
      </c>
      <c r="BA1250" s="120">
        <v>60020</v>
      </c>
      <c r="BB1250" s="120">
        <f t="shared" si="318"/>
        <v>33013</v>
      </c>
      <c r="BC1250" t="s">
        <v>1472</v>
      </c>
      <c r="BD1250">
        <f t="shared" si="327"/>
        <v>3360020</v>
      </c>
      <c r="BI1250">
        <v>22.99</v>
      </c>
      <c r="BJ1250">
        <v>0.16</v>
      </c>
      <c r="BK1250">
        <v>22.83</v>
      </c>
      <c r="BP1250" s="1">
        <v>77</v>
      </c>
      <c r="BR1250">
        <v>34</v>
      </c>
    </row>
    <row r="1251" spans="1:70" hidden="1" outlineLevel="1">
      <c r="A1251" t="s">
        <v>2974</v>
      </c>
      <c r="B1251" s="8" t="s">
        <v>1799</v>
      </c>
      <c r="C1251" s="1">
        <f t="shared" si="319"/>
        <v>3930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320"/>
        <v>6</v>
      </c>
      <c r="G1251" s="1">
        <f t="shared" si="321"/>
        <v>1308</v>
      </c>
      <c r="H1251" s="2">
        <f t="shared" si="329"/>
        <v>0.33282442748091601</v>
      </c>
      <c r="I1251" s="6"/>
      <c r="J1251" s="2">
        <f t="shared" si="322"/>
        <v>0.63282442748091605</v>
      </c>
      <c r="K1251" s="2">
        <f t="shared" si="323"/>
        <v>0.3</v>
      </c>
      <c r="L1251" s="2">
        <f t="shared" si="324"/>
        <v>5.0890585241730279E-4</v>
      </c>
      <c r="M1251" s="2">
        <f t="shared" si="325"/>
        <v>6.6666666666666652E-2</v>
      </c>
      <c r="N1251" s="63">
        <v>2487</v>
      </c>
      <c r="O1251" s="63">
        <v>1179</v>
      </c>
      <c r="P1251" s="63">
        <v>2</v>
      </c>
      <c r="Q1251" s="63">
        <v>170</v>
      </c>
      <c r="R1251" s="63">
        <v>55</v>
      </c>
      <c r="S1251" s="63"/>
      <c r="T1251" s="63">
        <v>1</v>
      </c>
      <c r="U1251" s="63"/>
      <c r="V1251" s="63"/>
      <c r="W1251" s="63">
        <f t="shared" si="326"/>
        <v>36</v>
      </c>
      <c r="X1251" s="63"/>
      <c r="Y1251" s="63"/>
      <c r="Z1251" s="63"/>
      <c r="AA1251" s="63"/>
      <c r="AB1251" s="63"/>
      <c r="AT1251" t="str">
        <f t="shared" si="328"/>
        <v>Peterborough</v>
      </c>
      <c r="AU1251" t="s">
        <v>1161</v>
      </c>
      <c r="AV1251">
        <v>2</v>
      </c>
      <c r="AW1251">
        <v>2</v>
      </c>
      <c r="AX1251" s="114">
        <v>33</v>
      </c>
      <c r="AY1251" s="116">
        <v>11</v>
      </c>
      <c r="AZ1251" s="116">
        <v>130</v>
      </c>
      <c r="BA1251" s="120">
        <v>60580</v>
      </c>
      <c r="BB1251" s="120">
        <f t="shared" ref="BB1251:BB1314" si="330">AX1251*1000+AY1251</f>
        <v>33011</v>
      </c>
      <c r="BC1251" t="s">
        <v>1472</v>
      </c>
      <c r="BD1251">
        <f t="shared" si="327"/>
        <v>3360580</v>
      </c>
      <c r="BI1251">
        <v>38.11</v>
      </c>
      <c r="BJ1251">
        <v>0.41</v>
      </c>
      <c r="BK1251">
        <v>37.71</v>
      </c>
      <c r="BP1251" s="1">
        <v>38</v>
      </c>
      <c r="BR1251">
        <v>0</v>
      </c>
    </row>
    <row r="1252" spans="1:70" hidden="1" outlineLevel="1">
      <c r="A1252" t="s">
        <v>2410</v>
      </c>
      <c r="B1252" s="8" t="s">
        <v>1799</v>
      </c>
      <c r="C1252" s="1">
        <f t="shared" si="319"/>
        <v>395</v>
      </c>
      <c r="D1252" s="5">
        <f>IF(N1252&gt;0, RANK(N1252,(N1252:P1252,Q1252:AE1252)),0)</f>
        <v>1</v>
      </c>
      <c r="E1252" s="5">
        <f>IF(O1252&gt;0,RANK(O1252,(N1252:P1252,Q1252:AE1252)),0)</f>
        <v>2</v>
      </c>
      <c r="F1252" s="5">
        <f t="shared" si="320"/>
        <v>0</v>
      </c>
      <c r="G1252" s="1">
        <f t="shared" si="321"/>
        <v>4</v>
      </c>
      <c r="H1252" s="2">
        <f t="shared" si="329"/>
        <v>1.0126582278481013E-2</v>
      </c>
      <c r="I1252" s="6"/>
      <c r="J1252" s="2">
        <f t="shared" si="322"/>
        <v>0.45316455696202529</v>
      </c>
      <c r="K1252" s="2">
        <f t="shared" si="323"/>
        <v>0.44303797468354428</v>
      </c>
      <c r="L1252" s="2">
        <f t="shared" si="324"/>
        <v>0</v>
      </c>
      <c r="M1252" s="2">
        <f t="shared" si="325"/>
        <v>0.10379746835443043</v>
      </c>
      <c r="N1252" s="63">
        <v>179</v>
      </c>
      <c r="O1252" s="63">
        <v>175</v>
      </c>
      <c r="P1252" s="63">
        <v>0</v>
      </c>
      <c r="Q1252" s="63">
        <v>24</v>
      </c>
      <c r="R1252" s="63">
        <v>3</v>
      </c>
      <c r="S1252" s="63"/>
      <c r="T1252" s="63">
        <v>0</v>
      </c>
      <c r="U1252" s="63"/>
      <c r="V1252" s="63"/>
      <c r="W1252" s="63">
        <f t="shared" si="326"/>
        <v>14</v>
      </c>
      <c r="X1252" s="63"/>
      <c r="Y1252" s="63"/>
      <c r="Z1252" s="63"/>
      <c r="AA1252" s="63"/>
      <c r="AB1252" s="63"/>
      <c r="AT1252" t="str">
        <f t="shared" si="328"/>
        <v>Piermont</v>
      </c>
      <c r="AU1252" t="s">
        <v>2260</v>
      </c>
      <c r="AV1252">
        <v>2</v>
      </c>
      <c r="AW1252">
        <v>2</v>
      </c>
      <c r="AX1252" s="114">
        <v>33</v>
      </c>
      <c r="AY1252" s="116">
        <v>9</v>
      </c>
      <c r="AZ1252" s="116">
        <v>155</v>
      </c>
      <c r="BA1252" s="120">
        <v>61060</v>
      </c>
      <c r="BB1252" s="120">
        <f t="shared" si="330"/>
        <v>33009</v>
      </c>
      <c r="BC1252" t="s">
        <v>1472</v>
      </c>
      <c r="BD1252">
        <f t="shared" si="327"/>
        <v>3361060</v>
      </c>
      <c r="BI1252">
        <v>39.82</v>
      </c>
      <c r="BJ1252">
        <v>1.33</v>
      </c>
      <c r="BK1252">
        <v>38.49</v>
      </c>
      <c r="BP1252" s="1">
        <v>14</v>
      </c>
      <c r="BR1252">
        <v>8</v>
      </c>
    </row>
    <row r="1253" spans="1:70" hidden="1" outlineLevel="1">
      <c r="A1253" t="s">
        <v>1526</v>
      </c>
      <c r="B1253" s="8" t="s">
        <v>1799</v>
      </c>
      <c r="C1253" s="1">
        <f t="shared" si="319"/>
        <v>3</v>
      </c>
      <c r="D1253" s="5">
        <f>IF(N1253&gt;0, RANK(N1253,(N1253:P1253,Q1253:AE1253)),0)</f>
        <v>1</v>
      </c>
      <c r="E1253" s="5">
        <f>IF(O1253&gt;0,RANK(O1253,(N1253:P1253,Q1253:AE1253)),0)</f>
        <v>0</v>
      </c>
      <c r="F1253" s="5">
        <f t="shared" si="320"/>
        <v>0</v>
      </c>
      <c r="G1253" s="1">
        <f t="shared" si="321"/>
        <v>3</v>
      </c>
      <c r="H1253" s="2">
        <f t="shared" si="329"/>
        <v>1</v>
      </c>
      <c r="I1253" s="6"/>
      <c r="J1253" s="2">
        <f t="shared" si="322"/>
        <v>1</v>
      </c>
      <c r="K1253" s="2">
        <f t="shared" si="323"/>
        <v>0</v>
      </c>
      <c r="L1253" s="2">
        <f t="shared" si="324"/>
        <v>0</v>
      </c>
      <c r="M1253" s="2">
        <f t="shared" si="325"/>
        <v>0</v>
      </c>
      <c r="N1253" s="63">
        <v>3</v>
      </c>
      <c r="O1253" s="63">
        <v>0</v>
      </c>
      <c r="P1253" s="63">
        <v>0</v>
      </c>
      <c r="Q1253" s="63">
        <v>0</v>
      </c>
      <c r="R1253" s="63">
        <v>0</v>
      </c>
      <c r="S1253" s="63"/>
      <c r="T1253" s="63">
        <v>0</v>
      </c>
      <c r="U1253" s="63"/>
      <c r="V1253" s="63"/>
      <c r="W1253" s="63">
        <f t="shared" si="326"/>
        <v>0</v>
      </c>
      <c r="X1253" s="63"/>
      <c r="Y1253" s="63"/>
      <c r="Z1253" s="63"/>
      <c r="AA1253" s="63"/>
      <c r="AB1253" s="63"/>
      <c r="AT1253" t="str">
        <f t="shared" si="328"/>
        <v>Pinkham's Grant</v>
      </c>
      <c r="AU1253" t="s">
        <v>442</v>
      </c>
      <c r="AV1253">
        <v>2</v>
      </c>
      <c r="AW1253">
        <v>2</v>
      </c>
      <c r="AX1253" s="114">
        <v>33</v>
      </c>
      <c r="AY1253" s="116">
        <v>7</v>
      </c>
      <c r="AZ1253" s="116">
        <v>155</v>
      </c>
      <c r="BA1253" s="120">
        <v>61620</v>
      </c>
      <c r="BB1253" s="120">
        <f t="shared" si="330"/>
        <v>33007</v>
      </c>
      <c r="BC1253" t="s">
        <v>1417</v>
      </c>
      <c r="BD1253">
        <f t="shared" si="327"/>
        <v>3361620</v>
      </c>
      <c r="BI1253">
        <v>3.77</v>
      </c>
      <c r="BJ1253">
        <v>0</v>
      </c>
      <c r="BK1253">
        <v>3.77</v>
      </c>
      <c r="BP1253" s="1">
        <v>0</v>
      </c>
      <c r="BR1253">
        <v>0</v>
      </c>
    </row>
    <row r="1254" spans="1:70" hidden="1" outlineLevel="1">
      <c r="A1254" t="s">
        <v>483</v>
      </c>
      <c r="B1254" s="8" t="s">
        <v>1799</v>
      </c>
      <c r="C1254" s="1">
        <f t="shared" si="319"/>
        <v>477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 t="shared" si="320"/>
        <v>0</v>
      </c>
      <c r="G1254" s="1">
        <f t="shared" si="321"/>
        <v>222</v>
      </c>
      <c r="H1254" s="2">
        <f t="shared" si="329"/>
        <v>0.46540880503144655</v>
      </c>
      <c r="I1254" s="6"/>
      <c r="J1254" s="2">
        <f t="shared" si="322"/>
        <v>0.25366876310272535</v>
      </c>
      <c r="K1254" s="2">
        <f t="shared" si="323"/>
        <v>0.7190775681341719</v>
      </c>
      <c r="L1254" s="2">
        <f t="shared" si="324"/>
        <v>0</v>
      </c>
      <c r="M1254" s="2">
        <f t="shared" si="325"/>
        <v>2.7253668763102756E-2</v>
      </c>
      <c r="N1254" s="63">
        <v>121</v>
      </c>
      <c r="O1254" s="63">
        <v>343</v>
      </c>
      <c r="P1254" s="63">
        <v>0</v>
      </c>
      <c r="Q1254" s="63">
        <v>5</v>
      </c>
      <c r="R1254" s="63">
        <v>3</v>
      </c>
      <c r="S1254" s="63"/>
      <c r="T1254" s="63">
        <v>0</v>
      </c>
      <c r="U1254" s="63"/>
      <c r="V1254" s="63"/>
      <c r="W1254" s="63">
        <f t="shared" si="326"/>
        <v>5</v>
      </c>
      <c r="X1254" s="63"/>
      <c r="Y1254" s="63"/>
      <c r="Z1254" s="63"/>
      <c r="AA1254" s="63"/>
      <c r="AB1254" s="63"/>
      <c r="AT1254" t="str">
        <f t="shared" si="328"/>
        <v>Pittsburg</v>
      </c>
      <c r="AU1254" t="s">
        <v>442</v>
      </c>
      <c r="AV1254">
        <v>2</v>
      </c>
      <c r="AW1254">
        <v>2</v>
      </c>
      <c r="AX1254" s="114">
        <v>33</v>
      </c>
      <c r="AY1254" s="116">
        <v>7</v>
      </c>
      <c r="AZ1254" s="116">
        <v>160</v>
      </c>
      <c r="BA1254" s="120">
        <v>61780</v>
      </c>
      <c r="BB1254" s="120">
        <f t="shared" si="330"/>
        <v>33007</v>
      </c>
      <c r="BC1254" t="s">
        <v>1472</v>
      </c>
      <c r="BD1254">
        <f t="shared" si="327"/>
        <v>3361780</v>
      </c>
      <c r="BI1254">
        <v>291.35000000000002</v>
      </c>
      <c r="BJ1254">
        <v>9.0500000000000007</v>
      </c>
      <c r="BK1254">
        <v>282.3</v>
      </c>
      <c r="BP1254" s="1">
        <v>5</v>
      </c>
      <c r="BR1254">
        <v>3</v>
      </c>
    </row>
    <row r="1255" spans="1:70" hidden="1" outlineLevel="1">
      <c r="A1255" t="s">
        <v>3098</v>
      </c>
      <c r="B1255" s="8" t="s">
        <v>1799</v>
      </c>
      <c r="C1255" s="1">
        <f t="shared" si="319"/>
        <v>1975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 t="shared" si="320"/>
        <v>0</v>
      </c>
      <c r="G1255" s="1">
        <f t="shared" si="321"/>
        <v>434</v>
      </c>
      <c r="H1255" s="2">
        <f t="shared" si="329"/>
        <v>0.21974683544303797</v>
      </c>
      <c r="I1255" s="6"/>
      <c r="J1255" s="2">
        <f t="shared" si="322"/>
        <v>0.34987341772151898</v>
      </c>
      <c r="K1255" s="2">
        <f t="shared" si="323"/>
        <v>0.569620253164557</v>
      </c>
      <c r="L1255" s="2">
        <f t="shared" si="324"/>
        <v>0</v>
      </c>
      <c r="M1255" s="2">
        <f t="shared" si="325"/>
        <v>8.0506329113923969E-2</v>
      </c>
      <c r="N1255" s="63">
        <v>691</v>
      </c>
      <c r="O1255" s="63">
        <v>1125</v>
      </c>
      <c r="P1255" s="63">
        <v>0</v>
      </c>
      <c r="Q1255" s="63">
        <v>99</v>
      </c>
      <c r="R1255" s="63">
        <v>19</v>
      </c>
      <c r="S1255" s="63"/>
      <c r="T1255" s="63">
        <v>1</v>
      </c>
      <c r="U1255" s="63"/>
      <c r="V1255" s="63"/>
      <c r="W1255" s="63">
        <f t="shared" si="326"/>
        <v>40</v>
      </c>
      <c r="X1255" s="63"/>
      <c r="Y1255" s="63"/>
      <c r="Z1255" s="63"/>
      <c r="AA1255" s="63"/>
      <c r="AB1255" s="63"/>
      <c r="AT1255" t="str">
        <f t="shared" si="328"/>
        <v>Pittsfield</v>
      </c>
      <c r="AU1255" t="s">
        <v>2494</v>
      </c>
      <c r="AV1255">
        <v>2</v>
      </c>
      <c r="AW1255">
        <v>2</v>
      </c>
      <c r="AX1255" s="114">
        <v>33</v>
      </c>
      <c r="AY1255" s="116">
        <v>13</v>
      </c>
      <c r="AZ1255" s="116">
        <v>110</v>
      </c>
      <c r="BA1255" s="120">
        <v>61940</v>
      </c>
      <c r="BB1255" s="120">
        <f t="shared" si="330"/>
        <v>33013</v>
      </c>
      <c r="BC1255" t="s">
        <v>1472</v>
      </c>
      <c r="BD1255">
        <f t="shared" si="327"/>
        <v>3361940</v>
      </c>
      <c r="BI1255">
        <v>23.87</v>
      </c>
      <c r="BJ1255">
        <v>0.3</v>
      </c>
      <c r="BK1255">
        <v>23.57</v>
      </c>
      <c r="BP1255" s="1">
        <v>40</v>
      </c>
      <c r="BR1255">
        <v>21</v>
      </c>
    </row>
    <row r="1256" spans="1:70" hidden="1" outlineLevel="1">
      <c r="A1256" t="s">
        <v>2130</v>
      </c>
      <c r="B1256" s="8" t="s">
        <v>1799</v>
      </c>
      <c r="C1256" s="1">
        <f t="shared" si="319"/>
        <v>1517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320"/>
        <v>6</v>
      </c>
      <c r="G1256" s="1">
        <f t="shared" si="321"/>
        <v>499</v>
      </c>
      <c r="H1256" s="2">
        <f t="shared" si="329"/>
        <v>0.32893869479235333</v>
      </c>
      <c r="I1256" s="6"/>
      <c r="J1256" s="2">
        <f t="shared" si="322"/>
        <v>0.63085036255767968</v>
      </c>
      <c r="K1256" s="2">
        <f t="shared" si="323"/>
        <v>0.3019116677653263</v>
      </c>
      <c r="L1256" s="2">
        <f t="shared" si="324"/>
        <v>2.6367831245880024E-3</v>
      </c>
      <c r="M1256" s="2">
        <f t="shared" si="325"/>
        <v>6.4601186552406029E-2</v>
      </c>
      <c r="N1256" s="63">
        <v>957</v>
      </c>
      <c r="O1256" s="63">
        <v>458</v>
      </c>
      <c r="P1256" s="63">
        <v>4</v>
      </c>
      <c r="Q1256" s="63">
        <v>61</v>
      </c>
      <c r="R1256" s="63">
        <v>12</v>
      </c>
      <c r="S1256" s="63"/>
      <c r="T1256" s="63">
        <v>0</v>
      </c>
      <c r="U1256" s="63"/>
      <c r="V1256" s="63"/>
      <c r="W1256" s="63">
        <f t="shared" si="326"/>
        <v>25</v>
      </c>
      <c r="X1256" s="63"/>
      <c r="Y1256" s="63"/>
      <c r="Z1256" s="63"/>
      <c r="AA1256" s="63"/>
      <c r="AB1256" s="63"/>
      <c r="AT1256" t="str">
        <f t="shared" si="328"/>
        <v>Plainfield</v>
      </c>
      <c r="AU1256" t="s">
        <v>1040</v>
      </c>
      <c r="AV1256">
        <v>2</v>
      </c>
      <c r="AW1256">
        <v>2</v>
      </c>
      <c r="AX1256" s="114">
        <v>33</v>
      </c>
      <c r="AY1256" s="116">
        <v>19</v>
      </c>
      <c r="AZ1256" s="116">
        <v>55</v>
      </c>
      <c r="BA1256" s="120">
        <v>62340</v>
      </c>
      <c r="BB1256" s="120">
        <f t="shared" si="330"/>
        <v>33019</v>
      </c>
      <c r="BC1256" t="s">
        <v>1472</v>
      </c>
      <c r="BD1256">
        <f t="shared" si="327"/>
        <v>3362340</v>
      </c>
      <c r="BI1256">
        <v>52.91</v>
      </c>
      <c r="BJ1256">
        <v>0.75</v>
      </c>
      <c r="BK1256">
        <v>52.16</v>
      </c>
      <c r="BP1256" s="1">
        <v>29</v>
      </c>
      <c r="BR1256">
        <v>16</v>
      </c>
    </row>
    <row r="1257" spans="1:70" hidden="1" outlineLevel="1">
      <c r="A1257" t="s">
        <v>2177</v>
      </c>
      <c r="B1257" s="8" t="s">
        <v>1799</v>
      </c>
      <c r="C1257" s="1">
        <f t="shared" si="319"/>
        <v>4428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 t="shared" si="320"/>
        <v>6</v>
      </c>
      <c r="G1257" s="1">
        <f t="shared" si="321"/>
        <v>859</v>
      </c>
      <c r="H1257" s="2">
        <f t="shared" si="329"/>
        <v>0.19399277326106595</v>
      </c>
      <c r="I1257" s="6"/>
      <c r="J1257" s="2">
        <f t="shared" si="322"/>
        <v>0.37759710930442636</v>
      </c>
      <c r="K1257" s="2">
        <f t="shared" si="323"/>
        <v>0.57158988256549237</v>
      </c>
      <c r="L1257" s="2">
        <f t="shared" si="324"/>
        <v>6.7750677506775068E-4</v>
      </c>
      <c r="M1257" s="2">
        <f t="shared" si="325"/>
        <v>5.0135501355013525E-2</v>
      </c>
      <c r="N1257" s="63">
        <v>1672</v>
      </c>
      <c r="O1257" s="63">
        <v>2531</v>
      </c>
      <c r="P1257" s="63">
        <v>3</v>
      </c>
      <c r="Q1257" s="63">
        <v>154</v>
      </c>
      <c r="R1257" s="63">
        <v>39</v>
      </c>
      <c r="S1257" s="63"/>
      <c r="T1257" s="63">
        <v>3</v>
      </c>
      <c r="U1257" s="63"/>
      <c r="V1257" s="63"/>
      <c r="W1257" s="63">
        <f t="shared" si="326"/>
        <v>26</v>
      </c>
      <c r="X1257" s="63"/>
      <c r="Y1257" s="63"/>
      <c r="Z1257" s="63"/>
      <c r="AA1257" s="63"/>
      <c r="AB1257" s="63"/>
      <c r="AT1257" t="str">
        <f t="shared" si="328"/>
        <v>Plaistow</v>
      </c>
      <c r="AU1257" t="s">
        <v>2971</v>
      </c>
      <c r="AV1257">
        <v>1</v>
      </c>
      <c r="AW1257">
        <v>1</v>
      </c>
      <c r="AX1257" s="114">
        <v>33</v>
      </c>
      <c r="AY1257" s="116">
        <v>15</v>
      </c>
      <c r="AZ1257" s="116">
        <v>140</v>
      </c>
      <c r="BA1257" s="120">
        <v>62500</v>
      </c>
      <c r="BB1257" s="120">
        <f t="shared" si="330"/>
        <v>33015</v>
      </c>
      <c r="BC1257" t="s">
        <v>1472</v>
      </c>
      <c r="BD1257">
        <f t="shared" si="327"/>
        <v>3362500</v>
      </c>
      <c r="BI1257">
        <v>10.64</v>
      </c>
      <c r="BJ1257">
        <v>0.01</v>
      </c>
      <c r="BK1257">
        <v>10.63</v>
      </c>
      <c r="BP1257" s="1">
        <v>29</v>
      </c>
      <c r="BR1257">
        <v>10</v>
      </c>
    </row>
    <row r="1258" spans="1:70" hidden="1" outlineLevel="1">
      <c r="A1258" t="s">
        <v>231</v>
      </c>
      <c r="B1258" s="8" t="s">
        <v>1799</v>
      </c>
      <c r="C1258" s="1">
        <f t="shared" si="319"/>
        <v>3822</v>
      </c>
      <c r="D1258" s="5">
        <f>IF(N1258&gt;0, RANK(N1258,(N1258:P1258,Q1258:AE1258)),0)</f>
        <v>1</v>
      </c>
      <c r="E1258" s="5">
        <f>IF(O1258&gt;0,RANK(O1258,(N1258:P1258,Q1258:AE1258)),0)</f>
        <v>2</v>
      </c>
      <c r="F1258" s="5">
        <f t="shared" si="320"/>
        <v>7</v>
      </c>
      <c r="G1258" s="1">
        <f t="shared" si="321"/>
        <v>749</v>
      </c>
      <c r="H1258" s="2">
        <f t="shared" si="329"/>
        <v>0.19597069597069597</v>
      </c>
      <c r="I1258" s="6"/>
      <c r="J1258" s="2">
        <f t="shared" si="322"/>
        <v>0.56070120355834641</v>
      </c>
      <c r="K1258" s="2">
        <f t="shared" si="323"/>
        <v>0.36473050758765047</v>
      </c>
      <c r="L1258" s="2">
        <f t="shared" si="324"/>
        <v>7.8492935635792783E-4</v>
      </c>
      <c r="M1258" s="2">
        <f t="shared" si="325"/>
        <v>7.3783359497645196E-2</v>
      </c>
      <c r="N1258" s="63">
        <v>2143</v>
      </c>
      <c r="O1258" s="63">
        <v>1394</v>
      </c>
      <c r="P1258" s="63">
        <v>3</v>
      </c>
      <c r="Q1258" s="63">
        <v>191</v>
      </c>
      <c r="R1258" s="63">
        <v>58</v>
      </c>
      <c r="S1258" s="63"/>
      <c r="T1258" s="63">
        <v>8</v>
      </c>
      <c r="U1258" s="63"/>
      <c r="V1258" s="63"/>
      <c r="W1258" s="63">
        <f t="shared" si="326"/>
        <v>25</v>
      </c>
      <c r="X1258" s="63"/>
      <c r="Y1258" s="63"/>
      <c r="Z1258" s="63"/>
      <c r="AA1258" s="63"/>
      <c r="AB1258" s="63"/>
      <c r="AT1258" t="str">
        <f t="shared" si="328"/>
        <v>Plymouth</v>
      </c>
      <c r="AU1258" t="s">
        <v>2260</v>
      </c>
      <c r="AV1258">
        <v>2</v>
      </c>
      <c r="AW1258">
        <v>2</v>
      </c>
      <c r="AX1258" s="114">
        <v>33</v>
      </c>
      <c r="AY1258" s="116">
        <v>9</v>
      </c>
      <c r="AZ1258" s="116">
        <v>160</v>
      </c>
      <c r="BA1258" s="120">
        <v>62660</v>
      </c>
      <c r="BB1258" s="120">
        <f t="shared" si="330"/>
        <v>33009</v>
      </c>
      <c r="BC1258" t="s">
        <v>1472</v>
      </c>
      <c r="BD1258">
        <f t="shared" si="327"/>
        <v>3362660</v>
      </c>
      <c r="BI1258">
        <v>28.74</v>
      </c>
      <c r="BJ1258">
        <v>0.35</v>
      </c>
      <c r="BK1258">
        <v>28.39</v>
      </c>
      <c r="BP1258" s="1">
        <v>28</v>
      </c>
      <c r="BR1258">
        <v>1</v>
      </c>
    </row>
    <row r="1259" spans="1:70" hidden="1" outlineLevel="1">
      <c r="A1259" t="s">
        <v>1290</v>
      </c>
      <c r="B1259" s="8" t="s">
        <v>1799</v>
      </c>
      <c r="C1259" s="1">
        <f t="shared" si="319"/>
        <v>13386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320"/>
        <v>6</v>
      </c>
      <c r="G1259" s="1">
        <f t="shared" si="321"/>
        <v>5279</v>
      </c>
      <c r="H1259" s="2">
        <f t="shared" si="329"/>
        <v>0.39436724936500822</v>
      </c>
      <c r="I1259" s="6"/>
      <c r="J1259" s="2">
        <f t="shared" si="322"/>
        <v>0.66569550276408185</v>
      </c>
      <c r="K1259" s="2">
        <f t="shared" si="323"/>
        <v>0.27132825339907368</v>
      </c>
      <c r="L1259" s="2">
        <f t="shared" si="324"/>
        <v>1.344688480502017E-3</v>
      </c>
      <c r="M1259" s="2">
        <f t="shared" si="325"/>
        <v>6.1631555356342453E-2</v>
      </c>
      <c r="N1259" s="63">
        <v>8911</v>
      </c>
      <c r="O1259" s="63">
        <v>3632</v>
      </c>
      <c r="P1259" s="63">
        <v>18</v>
      </c>
      <c r="Q1259" s="63">
        <v>507</v>
      </c>
      <c r="R1259" s="63">
        <v>112</v>
      </c>
      <c r="S1259" s="63"/>
      <c r="T1259" s="63">
        <v>7</v>
      </c>
      <c r="U1259" s="63"/>
      <c r="V1259" s="63"/>
      <c r="W1259" s="63">
        <f t="shared" si="326"/>
        <v>199</v>
      </c>
      <c r="X1259" s="63"/>
      <c r="Y1259" s="63"/>
      <c r="Z1259" s="63"/>
      <c r="AA1259" s="63"/>
      <c r="AB1259" s="63"/>
      <c r="AT1259" t="str">
        <f t="shared" si="328"/>
        <v>Portsmouth</v>
      </c>
      <c r="AU1259" t="s">
        <v>2971</v>
      </c>
      <c r="AV1259">
        <v>1</v>
      </c>
      <c r="AW1259">
        <v>1</v>
      </c>
      <c r="AX1259" s="114">
        <v>33</v>
      </c>
      <c r="AY1259" s="116">
        <v>15</v>
      </c>
      <c r="AZ1259" s="116">
        <v>145</v>
      </c>
      <c r="BA1259" s="120">
        <v>62900</v>
      </c>
      <c r="BB1259" s="120">
        <f t="shared" si="330"/>
        <v>33015</v>
      </c>
      <c r="BC1259" t="s">
        <v>1249</v>
      </c>
      <c r="BD1259">
        <f t="shared" si="327"/>
        <v>3362900</v>
      </c>
      <c r="BI1259">
        <v>16.79</v>
      </c>
      <c r="BJ1259">
        <v>1.18</v>
      </c>
      <c r="BK1259">
        <v>15.61</v>
      </c>
      <c r="BP1259" s="1">
        <v>217</v>
      </c>
      <c r="BR1259">
        <v>85</v>
      </c>
    </row>
    <row r="1260" spans="1:70" hidden="1" outlineLevel="1">
      <c r="A1260" t="s">
        <v>1460</v>
      </c>
      <c r="B1260" s="8" t="s">
        <v>1799</v>
      </c>
      <c r="C1260" s="1">
        <f t="shared" si="319"/>
        <v>259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320"/>
        <v>6</v>
      </c>
      <c r="G1260" s="1">
        <f t="shared" si="321"/>
        <v>81</v>
      </c>
      <c r="H1260" s="2">
        <f t="shared" si="329"/>
        <v>0.31274131274131273</v>
      </c>
      <c r="I1260" s="6"/>
      <c r="J1260" s="2">
        <f t="shared" si="322"/>
        <v>0.61776061776061775</v>
      </c>
      <c r="K1260" s="2">
        <f t="shared" si="323"/>
        <v>0.30501930501930502</v>
      </c>
      <c r="L1260" s="2">
        <f t="shared" si="324"/>
        <v>3.8610038610038611E-3</v>
      </c>
      <c r="M1260" s="2">
        <f t="shared" si="325"/>
        <v>7.3359073359073365E-2</v>
      </c>
      <c r="N1260" s="63">
        <v>160</v>
      </c>
      <c r="O1260" s="63">
        <v>79</v>
      </c>
      <c r="P1260" s="63">
        <v>1</v>
      </c>
      <c r="Q1260" s="63">
        <v>7</v>
      </c>
      <c r="R1260" s="63">
        <v>2</v>
      </c>
      <c r="S1260" s="63"/>
      <c r="T1260" s="63">
        <v>1</v>
      </c>
      <c r="U1260" s="63"/>
      <c r="V1260" s="63"/>
      <c r="W1260" s="63">
        <f t="shared" si="326"/>
        <v>9</v>
      </c>
      <c r="X1260" s="63"/>
      <c r="Y1260" s="63"/>
      <c r="Z1260" s="63"/>
      <c r="AA1260" s="63"/>
      <c r="AB1260" s="63"/>
      <c r="AT1260" t="str">
        <f t="shared" si="328"/>
        <v>Randolph</v>
      </c>
      <c r="AU1260" t="s">
        <v>442</v>
      </c>
      <c r="AV1260">
        <v>2</v>
      </c>
      <c r="AW1260">
        <v>2</v>
      </c>
      <c r="AX1260" s="114">
        <v>33</v>
      </c>
      <c r="AY1260" s="116">
        <v>7</v>
      </c>
      <c r="AZ1260" s="116">
        <v>165</v>
      </c>
      <c r="BA1260" s="120">
        <v>63860</v>
      </c>
      <c r="BB1260" s="120">
        <f t="shared" si="330"/>
        <v>33007</v>
      </c>
      <c r="BC1260" t="s">
        <v>1472</v>
      </c>
      <c r="BD1260">
        <f t="shared" si="327"/>
        <v>3363860</v>
      </c>
      <c r="BI1260">
        <v>47.15</v>
      </c>
      <c r="BJ1260">
        <v>0.04</v>
      </c>
      <c r="BK1260">
        <v>47.11</v>
      </c>
      <c r="BP1260" s="1">
        <v>10</v>
      </c>
      <c r="BR1260">
        <v>3</v>
      </c>
    </row>
    <row r="1261" spans="1:70" hidden="1" outlineLevel="1">
      <c r="A1261" t="s">
        <v>3017</v>
      </c>
      <c r="B1261" s="8" t="s">
        <v>1799</v>
      </c>
      <c r="C1261" s="1">
        <f t="shared" si="319"/>
        <v>5378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320"/>
        <v>0</v>
      </c>
      <c r="G1261" s="1">
        <f t="shared" si="321"/>
        <v>1230</v>
      </c>
      <c r="H1261" s="2">
        <f t="shared" si="329"/>
        <v>0.22870955745630345</v>
      </c>
      <c r="I1261" s="6"/>
      <c r="J1261" s="2">
        <f t="shared" si="322"/>
        <v>0.3571959836370398</v>
      </c>
      <c r="K1261" s="2">
        <f t="shared" si="323"/>
        <v>0.58590554109334325</v>
      </c>
      <c r="L1261" s="2">
        <f t="shared" si="324"/>
        <v>0</v>
      </c>
      <c r="M1261" s="2">
        <f t="shared" si="325"/>
        <v>5.6898475269616999E-2</v>
      </c>
      <c r="N1261" s="63">
        <v>1921</v>
      </c>
      <c r="O1261" s="63">
        <v>3151</v>
      </c>
      <c r="P1261" s="63">
        <v>0</v>
      </c>
      <c r="Q1261" s="63">
        <v>224</v>
      </c>
      <c r="R1261" s="63">
        <v>49</v>
      </c>
      <c r="S1261" s="63"/>
      <c r="T1261" s="63">
        <v>3</v>
      </c>
      <c r="U1261" s="63"/>
      <c r="V1261" s="63"/>
      <c r="W1261" s="63">
        <f t="shared" si="326"/>
        <v>30</v>
      </c>
      <c r="X1261" s="63"/>
      <c r="Y1261" s="63"/>
      <c r="Z1261" s="63"/>
      <c r="AA1261" s="63"/>
      <c r="AB1261" s="63"/>
      <c r="AT1261" t="str">
        <f t="shared" si="328"/>
        <v>Raymond</v>
      </c>
      <c r="AU1261" t="s">
        <v>2971</v>
      </c>
      <c r="AV1261">
        <v>1</v>
      </c>
      <c r="AW1261">
        <v>1</v>
      </c>
      <c r="AX1261" s="114">
        <v>33</v>
      </c>
      <c r="AY1261" s="116">
        <v>15</v>
      </c>
      <c r="AZ1261" s="116">
        <v>150</v>
      </c>
      <c r="BA1261" s="120">
        <v>64020</v>
      </c>
      <c r="BB1261" s="120">
        <f t="shared" si="330"/>
        <v>33015</v>
      </c>
      <c r="BC1261" t="s">
        <v>1472</v>
      </c>
      <c r="BD1261">
        <f t="shared" si="327"/>
        <v>3364020</v>
      </c>
      <c r="BI1261">
        <v>29.57</v>
      </c>
      <c r="BJ1261">
        <v>0.79</v>
      </c>
      <c r="BK1261">
        <v>28.78</v>
      </c>
      <c r="BP1261" s="1">
        <v>30</v>
      </c>
      <c r="BR1261">
        <v>25</v>
      </c>
    </row>
    <row r="1262" spans="1:70" hidden="1" outlineLevel="1">
      <c r="A1262" t="s">
        <v>1881</v>
      </c>
      <c r="B1262" s="8" t="s">
        <v>1799</v>
      </c>
      <c r="C1262" s="1">
        <f t="shared" si="319"/>
        <v>676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 t="shared" si="320"/>
        <v>6</v>
      </c>
      <c r="G1262" s="1">
        <f t="shared" si="321"/>
        <v>88</v>
      </c>
      <c r="H1262" s="2">
        <f t="shared" si="329"/>
        <v>0.13017751479289941</v>
      </c>
      <c r="I1262" s="6"/>
      <c r="J1262" s="2">
        <f t="shared" si="322"/>
        <v>0.39792899408284022</v>
      </c>
      <c r="K1262" s="2">
        <f t="shared" si="323"/>
        <v>0.52810650887573962</v>
      </c>
      <c r="L1262" s="2">
        <f t="shared" si="324"/>
        <v>1.4792899408284023E-3</v>
      </c>
      <c r="M1262" s="2">
        <f t="shared" si="325"/>
        <v>7.2485207100591767E-2</v>
      </c>
      <c r="N1262" s="63">
        <v>269</v>
      </c>
      <c r="O1262" s="63">
        <v>357</v>
      </c>
      <c r="P1262" s="63">
        <v>1</v>
      </c>
      <c r="Q1262" s="63">
        <v>34</v>
      </c>
      <c r="R1262" s="63">
        <v>5</v>
      </c>
      <c r="S1262" s="63"/>
      <c r="T1262" s="63">
        <v>0</v>
      </c>
      <c r="U1262" s="63"/>
      <c r="V1262" s="63"/>
      <c r="W1262" s="63">
        <f t="shared" si="326"/>
        <v>10</v>
      </c>
      <c r="X1262" s="63"/>
      <c r="Y1262" s="63"/>
      <c r="Z1262" s="63"/>
      <c r="AA1262" s="63"/>
      <c r="AB1262" s="63"/>
      <c r="AT1262" t="str">
        <f t="shared" si="328"/>
        <v>Richmond</v>
      </c>
      <c r="AU1262" t="s">
        <v>1463</v>
      </c>
      <c r="AV1262">
        <v>2</v>
      </c>
      <c r="AW1262">
        <v>2</v>
      </c>
      <c r="AX1262" s="114">
        <v>33</v>
      </c>
      <c r="AY1262" s="116">
        <v>5</v>
      </c>
      <c r="AZ1262" s="116">
        <v>65</v>
      </c>
      <c r="BA1262" s="120">
        <v>64420</v>
      </c>
      <c r="BB1262" s="120">
        <f t="shared" si="330"/>
        <v>33005</v>
      </c>
      <c r="BC1262" t="s">
        <v>1472</v>
      </c>
      <c r="BD1262">
        <f t="shared" si="327"/>
        <v>3364420</v>
      </c>
      <c r="BI1262">
        <v>37.770000000000003</v>
      </c>
      <c r="BJ1262">
        <v>0.2</v>
      </c>
      <c r="BK1262">
        <v>37.57</v>
      </c>
      <c r="BP1262" s="1">
        <v>11</v>
      </c>
      <c r="BR1262">
        <v>3</v>
      </c>
    </row>
    <row r="1263" spans="1:70" hidden="1" outlineLevel="1">
      <c r="A1263" t="s">
        <v>3018</v>
      </c>
      <c r="B1263" s="8" t="s">
        <v>1799</v>
      </c>
      <c r="C1263" s="1">
        <f t="shared" si="319"/>
        <v>3477</v>
      </c>
      <c r="D1263" s="5">
        <f>IF(N1263&gt;0, RANK(N1263,(N1263:P1263,Q1263:AE1263)),0)</f>
        <v>2</v>
      </c>
      <c r="E1263" s="5">
        <f>IF(O1263&gt;0,RANK(O1263,(N1263:P1263,Q1263:AE1263)),0)</f>
        <v>1</v>
      </c>
      <c r="F1263" s="5">
        <f t="shared" si="320"/>
        <v>6</v>
      </c>
      <c r="G1263" s="1">
        <f t="shared" si="321"/>
        <v>669</v>
      </c>
      <c r="H1263" s="2">
        <f t="shared" si="329"/>
        <v>0.19240724762726488</v>
      </c>
      <c r="I1263" s="6"/>
      <c r="J1263" s="2">
        <f t="shared" si="322"/>
        <v>0.37158469945355194</v>
      </c>
      <c r="K1263" s="2">
        <f t="shared" si="323"/>
        <v>0.56399194708081679</v>
      </c>
      <c r="L1263" s="2">
        <f t="shared" si="324"/>
        <v>4.0264595916019554E-3</v>
      </c>
      <c r="M1263" s="2">
        <f t="shared" si="325"/>
        <v>6.039689387402937E-2</v>
      </c>
      <c r="N1263" s="63">
        <v>1292</v>
      </c>
      <c r="O1263" s="63">
        <v>1961</v>
      </c>
      <c r="P1263" s="63">
        <v>14</v>
      </c>
      <c r="Q1263" s="63">
        <v>163</v>
      </c>
      <c r="R1263" s="63">
        <v>24</v>
      </c>
      <c r="S1263" s="63"/>
      <c r="T1263" s="63">
        <v>4</v>
      </c>
      <c r="U1263" s="63"/>
      <c r="V1263" s="63"/>
      <c r="W1263" s="63">
        <f t="shared" si="326"/>
        <v>19</v>
      </c>
      <c r="X1263" s="63"/>
      <c r="Y1263" s="63"/>
      <c r="Z1263" s="63"/>
      <c r="AA1263" s="63"/>
      <c r="AB1263" s="63"/>
      <c r="AT1263" t="str">
        <f t="shared" si="328"/>
        <v>Rindge</v>
      </c>
      <c r="AU1263" t="s">
        <v>1463</v>
      </c>
      <c r="AV1263">
        <v>2</v>
      </c>
      <c r="AW1263">
        <v>2</v>
      </c>
      <c r="AX1263" s="114">
        <v>33</v>
      </c>
      <c r="AY1263" s="116">
        <v>5</v>
      </c>
      <c r="AZ1263" s="116">
        <v>70</v>
      </c>
      <c r="BA1263" s="120">
        <v>64580</v>
      </c>
      <c r="BB1263" s="120">
        <f t="shared" si="330"/>
        <v>33005</v>
      </c>
      <c r="BC1263" t="s">
        <v>1472</v>
      </c>
      <c r="BD1263">
        <f t="shared" si="327"/>
        <v>3364580</v>
      </c>
      <c r="BI1263">
        <v>39.96</v>
      </c>
      <c r="BJ1263">
        <v>2.77</v>
      </c>
      <c r="BK1263">
        <v>37.19</v>
      </c>
      <c r="BP1263" s="1">
        <v>33</v>
      </c>
      <c r="BR1263">
        <v>19</v>
      </c>
    </row>
    <row r="1264" spans="1:70" hidden="1" outlineLevel="1">
      <c r="A1264" t="s">
        <v>1706</v>
      </c>
      <c r="B1264" s="8" t="s">
        <v>1799</v>
      </c>
      <c r="C1264" s="1">
        <f t="shared" si="319"/>
        <v>15190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 t="shared" si="320"/>
        <v>6</v>
      </c>
      <c r="G1264" s="1">
        <f t="shared" si="321"/>
        <v>1522</v>
      </c>
      <c r="H1264" s="2">
        <f t="shared" si="329"/>
        <v>0.10019749835418038</v>
      </c>
      <c r="I1264" s="6"/>
      <c r="J1264" s="2">
        <f t="shared" si="322"/>
        <v>0.41257406188281764</v>
      </c>
      <c r="K1264" s="2">
        <f t="shared" si="323"/>
        <v>0.51277156023699799</v>
      </c>
      <c r="L1264" s="2">
        <f t="shared" si="324"/>
        <v>2.369980250164582E-3</v>
      </c>
      <c r="M1264" s="2">
        <f t="shared" si="325"/>
        <v>7.2284397630019787E-2</v>
      </c>
      <c r="N1264" s="63">
        <v>6267</v>
      </c>
      <c r="O1264" s="63">
        <v>7789</v>
      </c>
      <c r="P1264" s="63">
        <v>36</v>
      </c>
      <c r="Q1264" s="63">
        <v>742</v>
      </c>
      <c r="R1264" s="63">
        <v>126</v>
      </c>
      <c r="S1264" s="63"/>
      <c r="T1264" s="63">
        <v>11</v>
      </c>
      <c r="U1264" s="63"/>
      <c r="V1264" s="63"/>
      <c r="W1264" s="63">
        <f t="shared" si="326"/>
        <v>219</v>
      </c>
      <c r="X1264" s="63"/>
      <c r="Y1264" s="63"/>
      <c r="Z1264" s="63"/>
      <c r="AA1264" s="63"/>
      <c r="AB1264" s="63"/>
      <c r="AT1264" t="str">
        <f t="shared" si="328"/>
        <v>Rochester</v>
      </c>
      <c r="AU1264" t="s">
        <v>2035</v>
      </c>
      <c r="AV1264">
        <v>1</v>
      </c>
      <c r="AW1264">
        <v>1</v>
      </c>
      <c r="AX1264" s="114">
        <v>33</v>
      </c>
      <c r="AY1264" s="116">
        <v>17</v>
      </c>
      <c r="AZ1264" s="116">
        <v>50</v>
      </c>
      <c r="BA1264" s="120">
        <v>65140</v>
      </c>
      <c r="BB1264" s="120">
        <f t="shared" si="330"/>
        <v>33017</v>
      </c>
      <c r="BC1264" t="s">
        <v>1249</v>
      </c>
      <c r="BD1264">
        <f t="shared" si="327"/>
        <v>3365140</v>
      </c>
      <c r="BI1264">
        <v>45.78</v>
      </c>
      <c r="BJ1264">
        <v>0.63</v>
      </c>
      <c r="BK1264">
        <v>45.15</v>
      </c>
      <c r="BP1264" s="1">
        <v>255</v>
      </c>
      <c r="BR1264">
        <v>120</v>
      </c>
    </row>
    <row r="1265" spans="1:70" hidden="1" outlineLevel="1">
      <c r="A1265" t="s">
        <v>2452</v>
      </c>
      <c r="B1265" s="8" t="s">
        <v>1799</v>
      </c>
      <c r="C1265" s="1">
        <f t="shared" si="319"/>
        <v>1608</v>
      </c>
      <c r="D1265" s="5">
        <f>IF(N1265&gt;0, RANK(N1265,(N1265:P1265,Q1265:AE1265)),0)</f>
        <v>1</v>
      </c>
      <c r="E1265" s="5">
        <f>IF(O1265&gt;0,RANK(O1265,(N1265:P1265,Q1265:AE1265)),0)</f>
        <v>2</v>
      </c>
      <c r="F1265" s="5">
        <f t="shared" si="320"/>
        <v>6</v>
      </c>
      <c r="G1265" s="1">
        <f t="shared" si="321"/>
        <v>58</v>
      </c>
      <c r="H1265" s="2">
        <f t="shared" si="329"/>
        <v>3.6069651741293535E-2</v>
      </c>
      <c r="I1265" s="6"/>
      <c r="J1265" s="2">
        <f t="shared" si="322"/>
        <v>0.47823383084577115</v>
      </c>
      <c r="K1265" s="2">
        <f t="shared" si="323"/>
        <v>0.44216417910447764</v>
      </c>
      <c r="L1265" s="2">
        <f t="shared" si="324"/>
        <v>1.8656716417910447E-3</v>
      </c>
      <c r="M1265" s="2">
        <f t="shared" si="325"/>
        <v>7.7736318407960109E-2</v>
      </c>
      <c r="N1265" s="63">
        <v>769</v>
      </c>
      <c r="O1265" s="63">
        <v>711</v>
      </c>
      <c r="P1265" s="63">
        <v>3</v>
      </c>
      <c r="Q1265" s="63">
        <v>83</v>
      </c>
      <c r="R1265" s="63">
        <v>18</v>
      </c>
      <c r="S1265" s="63"/>
      <c r="T1265" s="63">
        <v>1</v>
      </c>
      <c r="U1265" s="63"/>
      <c r="V1265" s="63"/>
      <c r="W1265" s="63">
        <f t="shared" si="326"/>
        <v>23</v>
      </c>
      <c r="X1265" s="63"/>
      <c r="Y1265" s="63"/>
      <c r="Z1265" s="63"/>
      <c r="AA1265" s="63"/>
      <c r="AB1265" s="63"/>
      <c r="AT1265" t="str">
        <f t="shared" si="328"/>
        <v>Rollinsford</v>
      </c>
      <c r="AU1265" t="s">
        <v>2035</v>
      </c>
      <c r="AV1265">
        <v>1</v>
      </c>
      <c r="AW1265">
        <v>1</v>
      </c>
      <c r="AX1265" s="114">
        <v>33</v>
      </c>
      <c r="AY1265" s="116">
        <v>17</v>
      </c>
      <c r="AZ1265" s="116">
        <v>55</v>
      </c>
      <c r="BA1265" s="120">
        <v>65540</v>
      </c>
      <c r="BB1265" s="120">
        <f t="shared" si="330"/>
        <v>33017</v>
      </c>
      <c r="BC1265" t="s">
        <v>1472</v>
      </c>
      <c r="BD1265">
        <f t="shared" si="327"/>
        <v>3365540</v>
      </c>
      <c r="BI1265">
        <v>7.54</v>
      </c>
      <c r="BJ1265">
        <v>0.25</v>
      </c>
      <c r="BK1265">
        <v>7.29</v>
      </c>
      <c r="BP1265" s="1">
        <v>26</v>
      </c>
      <c r="BR1265">
        <v>11</v>
      </c>
    </row>
    <row r="1266" spans="1:70" hidden="1" outlineLevel="1">
      <c r="A1266" t="s">
        <v>2718</v>
      </c>
      <c r="B1266" s="8" t="s">
        <v>1799</v>
      </c>
      <c r="C1266" s="1">
        <f t="shared" si="319"/>
        <v>141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320"/>
        <v>0</v>
      </c>
      <c r="G1266" s="1">
        <f t="shared" si="321"/>
        <v>14</v>
      </c>
      <c r="H1266" s="2">
        <f t="shared" si="329"/>
        <v>9.9290780141843976E-2</v>
      </c>
      <c r="I1266" s="6"/>
      <c r="J1266" s="2">
        <f t="shared" si="322"/>
        <v>0.51063829787234039</v>
      </c>
      <c r="K1266" s="2">
        <f t="shared" si="323"/>
        <v>0.41134751773049644</v>
      </c>
      <c r="L1266" s="2">
        <f t="shared" si="324"/>
        <v>0</v>
      </c>
      <c r="M1266" s="2">
        <f t="shared" si="325"/>
        <v>7.8014184397163178E-2</v>
      </c>
      <c r="N1266" s="63">
        <v>72</v>
      </c>
      <c r="O1266" s="63">
        <v>58</v>
      </c>
      <c r="P1266" s="63">
        <v>0</v>
      </c>
      <c r="Q1266" s="63">
        <v>6</v>
      </c>
      <c r="R1266" s="63">
        <v>3</v>
      </c>
      <c r="S1266" s="63"/>
      <c r="T1266" s="63">
        <v>0</v>
      </c>
      <c r="U1266" s="63"/>
      <c r="V1266" s="63"/>
      <c r="W1266" s="63">
        <f t="shared" si="326"/>
        <v>2</v>
      </c>
      <c r="X1266" s="63"/>
      <c r="Y1266" s="63"/>
      <c r="Z1266" s="63"/>
      <c r="AA1266" s="63"/>
      <c r="AB1266" s="63"/>
      <c r="AT1266" t="str">
        <f t="shared" si="328"/>
        <v>Roxbury</v>
      </c>
      <c r="AU1266" t="s">
        <v>1463</v>
      </c>
      <c r="AV1266">
        <v>2</v>
      </c>
      <c r="AW1266">
        <v>2</v>
      </c>
      <c r="AX1266" s="114">
        <v>33</v>
      </c>
      <c r="AY1266" s="116">
        <v>5</v>
      </c>
      <c r="AZ1266" s="116">
        <v>75</v>
      </c>
      <c r="BA1266" s="120">
        <v>65700</v>
      </c>
      <c r="BB1266" s="120">
        <f t="shared" si="330"/>
        <v>33005</v>
      </c>
      <c r="BC1266" t="s">
        <v>1472</v>
      </c>
      <c r="BD1266">
        <f t="shared" si="327"/>
        <v>3365700</v>
      </c>
      <c r="BI1266">
        <v>12.19</v>
      </c>
      <c r="BJ1266">
        <v>0.28999999999999998</v>
      </c>
      <c r="BK1266">
        <v>11.9</v>
      </c>
      <c r="BP1266" s="1">
        <v>2</v>
      </c>
      <c r="BR1266">
        <v>2</v>
      </c>
    </row>
    <row r="1267" spans="1:70" hidden="1" outlineLevel="1">
      <c r="A1267" t="s">
        <v>1953</v>
      </c>
      <c r="B1267" s="8" t="s">
        <v>1799</v>
      </c>
      <c r="C1267" s="1">
        <f t="shared" si="319"/>
        <v>880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320"/>
        <v>0</v>
      </c>
      <c r="G1267" s="1">
        <f t="shared" si="321"/>
        <v>92</v>
      </c>
      <c r="H1267" s="2">
        <f t="shared" si="329"/>
        <v>0.10454545454545454</v>
      </c>
      <c r="I1267" s="6"/>
      <c r="J1267" s="2">
        <f t="shared" si="322"/>
        <v>0.41477272727272729</v>
      </c>
      <c r="K1267" s="2">
        <f t="shared" si="323"/>
        <v>0.51931818181818179</v>
      </c>
      <c r="L1267" s="2">
        <f t="shared" si="324"/>
        <v>0</v>
      </c>
      <c r="M1267" s="2">
        <f t="shared" si="325"/>
        <v>6.5909090909090917E-2</v>
      </c>
      <c r="N1267" s="63">
        <v>365</v>
      </c>
      <c r="O1267" s="63">
        <v>457</v>
      </c>
      <c r="P1267" s="63">
        <v>0</v>
      </c>
      <c r="Q1267" s="63">
        <v>36</v>
      </c>
      <c r="R1267" s="63">
        <v>12</v>
      </c>
      <c r="S1267" s="63"/>
      <c r="T1267" s="63">
        <v>1</v>
      </c>
      <c r="U1267" s="63"/>
      <c r="V1267" s="63"/>
      <c r="W1267" s="63">
        <f t="shared" si="326"/>
        <v>9</v>
      </c>
      <c r="X1267" s="63"/>
      <c r="Y1267" s="63"/>
      <c r="Z1267" s="63"/>
      <c r="AA1267" s="63"/>
      <c r="AB1267" s="63"/>
      <c r="AT1267" t="str">
        <f t="shared" si="328"/>
        <v>Rumney</v>
      </c>
      <c r="AU1267" t="s">
        <v>2260</v>
      </c>
      <c r="AV1267">
        <v>2</v>
      </c>
      <c r="AW1267">
        <v>2</v>
      </c>
      <c r="AX1267" s="114">
        <v>33</v>
      </c>
      <c r="AY1267" s="116">
        <v>9</v>
      </c>
      <c r="AZ1267" s="116">
        <v>165</v>
      </c>
      <c r="BA1267" s="120">
        <v>65940</v>
      </c>
      <c r="BB1267" s="120">
        <f t="shared" si="330"/>
        <v>33009</v>
      </c>
      <c r="BC1267" t="s">
        <v>1472</v>
      </c>
      <c r="BD1267">
        <f t="shared" si="327"/>
        <v>3365940</v>
      </c>
      <c r="BI1267">
        <v>42.56</v>
      </c>
      <c r="BJ1267">
        <v>0.63</v>
      </c>
      <c r="BK1267">
        <v>41.92</v>
      </c>
      <c r="BP1267" s="1">
        <v>9</v>
      </c>
      <c r="BR1267">
        <v>9</v>
      </c>
    </row>
    <row r="1268" spans="1:70" hidden="1" outlineLevel="1">
      <c r="A1268" t="s">
        <v>1954</v>
      </c>
      <c r="B1268" s="8" t="s">
        <v>1799</v>
      </c>
      <c r="C1268" s="1">
        <f t="shared" si="319"/>
        <v>4060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320"/>
        <v>6</v>
      </c>
      <c r="G1268" s="1">
        <f t="shared" si="321"/>
        <v>632</v>
      </c>
      <c r="H1268" s="2">
        <f t="shared" si="329"/>
        <v>0.15566502463054188</v>
      </c>
      <c r="I1268" s="6"/>
      <c r="J1268" s="2">
        <f t="shared" si="322"/>
        <v>0.54458128078817736</v>
      </c>
      <c r="K1268" s="2">
        <f t="shared" si="323"/>
        <v>0.38891625615763548</v>
      </c>
      <c r="L1268" s="2">
        <f t="shared" si="324"/>
        <v>1.477832512315271E-3</v>
      </c>
      <c r="M1268" s="2">
        <f t="shared" si="325"/>
        <v>6.5024630541871895E-2</v>
      </c>
      <c r="N1268" s="63">
        <v>2211</v>
      </c>
      <c r="O1268" s="63">
        <v>1579</v>
      </c>
      <c r="P1268" s="63">
        <v>6</v>
      </c>
      <c r="Q1268" s="63">
        <v>165</v>
      </c>
      <c r="R1268" s="63">
        <v>24</v>
      </c>
      <c r="S1268" s="63"/>
      <c r="T1268" s="63">
        <v>1</v>
      </c>
      <c r="U1268" s="63"/>
      <c r="V1268" s="63"/>
      <c r="W1268" s="63">
        <f t="shared" si="326"/>
        <v>74</v>
      </c>
      <c r="X1268" s="63"/>
      <c r="Y1268" s="63"/>
      <c r="Z1268" s="63"/>
      <c r="AA1268" s="63"/>
      <c r="AB1268" s="63"/>
      <c r="AT1268" t="str">
        <f t="shared" si="328"/>
        <v>Rye</v>
      </c>
      <c r="AU1268" t="s">
        <v>2971</v>
      </c>
      <c r="AV1268">
        <v>1</v>
      </c>
      <c r="AW1268">
        <v>1</v>
      </c>
      <c r="AX1268" s="114">
        <v>33</v>
      </c>
      <c r="AY1268" s="116">
        <v>15</v>
      </c>
      <c r="AZ1268" s="116">
        <v>155</v>
      </c>
      <c r="BA1268" s="120">
        <v>66180</v>
      </c>
      <c r="BB1268" s="120">
        <f t="shared" si="330"/>
        <v>33015</v>
      </c>
      <c r="BC1268" t="s">
        <v>1472</v>
      </c>
      <c r="BD1268">
        <f t="shared" si="327"/>
        <v>3366180</v>
      </c>
      <c r="BI1268">
        <v>35.5</v>
      </c>
      <c r="BJ1268">
        <v>22.88</v>
      </c>
      <c r="BK1268">
        <v>12.62</v>
      </c>
      <c r="BP1268" s="1">
        <v>80</v>
      </c>
      <c r="BR1268">
        <v>14</v>
      </c>
    </row>
    <row r="1269" spans="1:70" hidden="1" outlineLevel="1">
      <c r="A1269" t="s">
        <v>2880</v>
      </c>
      <c r="B1269" s="8" t="s">
        <v>1799</v>
      </c>
      <c r="C1269" s="1">
        <f t="shared" ref="C1269:C1318" si="331">SUM(N1269:AR1269)</f>
        <v>16222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 t="shared" ref="F1269:F1318" si="332">IF(P1269&gt;0,RANK(P1269,(N1269:AE1269)),0)</f>
        <v>6</v>
      </c>
      <c r="G1269" s="1">
        <f t="shared" ref="G1269:G1318" si="333">IF(C1269&gt;0,MAX(N1269:P1269)-LARGE(N1269:P1269,2),0)</f>
        <v>3244</v>
      </c>
      <c r="H1269" s="2">
        <f t="shared" si="329"/>
        <v>0.19997534212797435</v>
      </c>
      <c r="I1269" s="6"/>
      <c r="J1269" s="2">
        <f t="shared" ref="J1269:J1318" si="334">IF(C1269=0,"-",N1269/C1269)</f>
        <v>0.37405991862902233</v>
      </c>
      <c r="K1269" s="2">
        <f t="shared" ref="K1269:K1318" si="335">IF(C1269=0,"-",O1269/C1269)</f>
        <v>0.57403526075699662</v>
      </c>
      <c r="L1269" s="2">
        <f t="shared" ref="L1269:L1318" si="336">IF(C1269=0,"-",P1269/C1269)</f>
        <v>9.2467020096165698E-4</v>
      </c>
      <c r="M1269" s="2">
        <f t="shared" ref="M1269:M1318" si="337">IF(C1269=0,"-",(1-J1269-K1269-L1269))</f>
        <v>5.0980150413019391E-2</v>
      </c>
      <c r="N1269" s="63">
        <v>6068</v>
      </c>
      <c r="O1269" s="63">
        <v>9312</v>
      </c>
      <c r="P1269" s="63">
        <v>15</v>
      </c>
      <c r="Q1269" s="63">
        <v>503</v>
      </c>
      <c r="R1269" s="63">
        <v>92</v>
      </c>
      <c r="S1269" s="63"/>
      <c r="T1269" s="63">
        <v>11</v>
      </c>
      <c r="U1269" s="63"/>
      <c r="V1269" s="63"/>
      <c r="W1269" s="63">
        <f t="shared" ref="W1269:W1316" si="338">BP1269-P1269</f>
        <v>221</v>
      </c>
      <c r="X1269" s="63"/>
      <c r="Y1269" s="63"/>
      <c r="Z1269" s="63"/>
      <c r="AA1269" s="63"/>
      <c r="AB1269" s="63"/>
      <c r="AT1269" t="str">
        <f t="shared" si="328"/>
        <v>Salem</v>
      </c>
      <c r="AU1269" t="s">
        <v>2971</v>
      </c>
      <c r="AV1269">
        <v>2</v>
      </c>
      <c r="AW1269">
        <v>2</v>
      </c>
      <c r="AX1269" s="114">
        <v>33</v>
      </c>
      <c r="AY1269" s="116">
        <v>15</v>
      </c>
      <c r="AZ1269" s="116">
        <v>160</v>
      </c>
      <c r="BA1269" s="120">
        <v>66660</v>
      </c>
      <c r="BB1269" s="120">
        <f t="shared" si="330"/>
        <v>33015</v>
      </c>
      <c r="BC1269" t="s">
        <v>1472</v>
      </c>
      <c r="BD1269">
        <f t="shared" ref="BD1269:BD1317" si="339">AX1269*100000+BA1269</f>
        <v>3366660</v>
      </c>
      <c r="BI1269">
        <v>25.86</v>
      </c>
      <c r="BJ1269">
        <v>1.1599999999999999</v>
      </c>
      <c r="BK1269">
        <v>24.7</v>
      </c>
      <c r="BP1269" s="1">
        <v>236</v>
      </c>
      <c r="BR1269">
        <v>64</v>
      </c>
    </row>
    <row r="1270" spans="1:70" hidden="1" outlineLevel="1">
      <c r="A1270" t="s">
        <v>2097</v>
      </c>
      <c r="B1270" s="8" t="s">
        <v>1799</v>
      </c>
      <c r="C1270" s="1">
        <f t="shared" si="331"/>
        <v>828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 t="shared" si="332"/>
        <v>6</v>
      </c>
      <c r="G1270" s="1">
        <f t="shared" si="333"/>
        <v>202</v>
      </c>
      <c r="H1270" s="2">
        <f t="shared" si="329"/>
        <v>0.24396135265700483</v>
      </c>
      <c r="I1270" s="6"/>
      <c r="J1270" s="2">
        <f t="shared" si="334"/>
        <v>0.34782608695652173</v>
      </c>
      <c r="K1270" s="2">
        <f t="shared" si="335"/>
        <v>0.59178743961352653</v>
      </c>
      <c r="L1270" s="2">
        <f t="shared" si="336"/>
        <v>3.6231884057971015E-3</v>
      </c>
      <c r="M1270" s="2">
        <f t="shared" si="337"/>
        <v>5.6763285024154633E-2</v>
      </c>
      <c r="N1270" s="63">
        <v>288</v>
      </c>
      <c r="O1270" s="63">
        <v>490</v>
      </c>
      <c r="P1270" s="63">
        <v>3</v>
      </c>
      <c r="Q1270" s="63">
        <v>25</v>
      </c>
      <c r="R1270" s="63">
        <v>9</v>
      </c>
      <c r="S1270" s="63"/>
      <c r="T1270" s="63">
        <v>0</v>
      </c>
      <c r="U1270" s="63"/>
      <c r="V1270" s="63"/>
      <c r="W1270" s="63">
        <f t="shared" si="338"/>
        <v>13</v>
      </c>
      <c r="X1270" s="63"/>
      <c r="Y1270" s="63"/>
      <c r="Z1270" s="63"/>
      <c r="AA1270" s="63"/>
      <c r="AB1270" s="63"/>
      <c r="AT1270" t="str">
        <f t="shared" si="328"/>
        <v>Salisbury</v>
      </c>
      <c r="AU1270" t="s">
        <v>2494</v>
      </c>
      <c r="AV1270">
        <v>2</v>
      </c>
      <c r="AW1270">
        <v>2</v>
      </c>
      <c r="AX1270" s="114">
        <v>33</v>
      </c>
      <c r="AY1270" s="116">
        <v>13</v>
      </c>
      <c r="AZ1270" s="116">
        <v>115</v>
      </c>
      <c r="BA1270" s="120">
        <v>66980</v>
      </c>
      <c r="BB1270" s="120">
        <f t="shared" si="330"/>
        <v>33013</v>
      </c>
      <c r="BC1270" t="s">
        <v>1472</v>
      </c>
      <c r="BD1270">
        <f t="shared" si="339"/>
        <v>3366980</v>
      </c>
      <c r="BI1270">
        <v>40.21</v>
      </c>
      <c r="BJ1270">
        <v>0.26</v>
      </c>
      <c r="BK1270">
        <v>39.96</v>
      </c>
      <c r="BP1270" s="1">
        <v>16</v>
      </c>
      <c r="BR1270">
        <v>8</v>
      </c>
    </row>
    <row r="1271" spans="1:70" hidden="1" outlineLevel="1">
      <c r="A1271" t="s">
        <v>1941</v>
      </c>
      <c r="B1271" s="8" t="s">
        <v>1799</v>
      </c>
      <c r="C1271" s="1">
        <f t="shared" si="331"/>
        <v>1920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332"/>
        <v>6</v>
      </c>
      <c r="G1271" s="1">
        <f t="shared" si="333"/>
        <v>287</v>
      </c>
      <c r="H1271" s="2">
        <f t="shared" si="329"/>
        <v>0.14947916666666666</v>
      </c>
      <c r="I1271" s="6"/>
      <c r="J1271" s="2">
        <f t="shared" si="334"/>
        <v>0.38958333333333334</v>
      </c>
      <c r="K1271" s="2">
        <f t="shared" si="335"/>
        <v>0.5390625</v>
      </c>
      <c r="L1271" s="2">
        <f t="shared" si="336"/>
        <v>4.6874999999999998E-3</v>
      </c>
      <c r="M1271" s="2">
        <f t="shared" si="337"/>
        <v>6.666666666666661E-2</v>
      </c>
      <c r="N1271" s="63">
        <v>748</v>
      </c>
      <c r="O1271" s="63">
        <v>1035</v>
      </c>
      <c r="P1271" s="63">
        <v>9</v>
      </c>
      <c r="Q1271" s="63">
        <v>76</v>
      </c>
      <c r="R1271" s="63">
        <v>34</v>
      </c>
      <c r="S1271" s="63"/>
      <c r="T1271" s="63">
        <v>2</v>
      </c>
      <c r="U1271" s="63"/>
      <c r="V1271" s="63"/>
      <c r="W1271" s="63">
        <f t="shared" si="338"/>
        <v>16</v>
      </c>
      <c r="X1271" s="63"/>
      <c r="Y1271" s="63"/>
      <c r="Z1271" s="63"/>
      <c r="AA1271" s="63"/>
      <c r="AB1271" s="63"/>
      <c r="AT1271" t="str">
        <f t="shared" si="328"/>
        <v>Sanbornton</v>
      </c>
      <c r="AU1271" t="s">
        <v>1437</v>
      </c>
      <c r="AV1271">
        <v>1</v>
      </c>
      <c r="AW1271">
        <v>1</v>
      </c>
      <c r="AX1271" s="114">
        <v>33</v>
      </c>
      <c r="AY1271" s="116">
        <v>1</v>
      </c>
      <c r="AZ1271" s="116">
        <v>50</v>
      </c>
      <c r="BA1271" s="120">
        <v>67300</v>
      </c>
      <c r="BB1271" s="120">
        <f t="shared" si="330"/>
        <v>33001</v>
      </c>
      <c r="BC1271" t="s">
        <v>1472</v>
      </c>
      <c r="BD1271">
        <f t="shared" si="339"/>
        <v>3367300</v>
      </c>
      <c r="BI1271">
        <v>49.76</v>
      </c>
      <c r="BJ1271">
        <v>2.2200000000000002</v>
      </c>
      <c r="BK1271">
        <v>47.54</v>
      </c>
      <c r="BP1271" s="1">
        <v>25</v>
      </c>
      <c r="BR1271">
        <v>5</v>
      </c>
    </row>
    <row r="1272" spans="1:70" hidden="1" outlineLevel="1">
      <c r="A1272" t="s">
        <v>2847</v>
      </c>
      <c r="B1272" s="8" t="s">
        <v>1799</v>
      </c>
      <c r="C1272" s="1">
        <f t="shared" si="331"/>
        <v>3572</v>
      </c>
      <c r="D1272" s="5">
        <f>IF(N1272&gt;0, RANK(N1272,(N1272:P1272,Q1272:AE1272)),0)</f>
        <v>2</v>
      </c>
      <c r="E1272" s="5">
        <f>IF(O1272&gt;0,RANK(O1272,(N1272:P1272,Q1272:AE1272)),0)</f>
        <v>1</v>
      </c>
      <c r="F1272" s="5">
        <f t="shared" si="332"/>
        <v>0</v>
      </c>
      <c r="G1272" s="1">
        <f t="shared" si="333"/>
        <v>937</v>
      </c>
      <c r="H1272" s="2">
        <f t="shared" si="329"/>
        <v>0.26231802911534152</v>
      </c>
      <c r="I1272" s="6"/>
      <c r="J1272" s="2">
        <f t="shared" si="334"/>
        <v>0.33790593505039196</v>
      </c>
      <c r="K1272" s="2">
        <f t="shared" si="335"/>
        <v>0.60022396416573354</v>
      </c>
      <c r="L1272" s="2">
        <f t="shared" si="336"/>
        <v>0</v>
      </c>
      <c r="M1272" s="2">
        <f t="shared" si="337"/>
        <v>6.187010078387456E-2</v>
      </c>
      <c r="N1272" s="63">
        <v>1207</v>
      </c>
      <c r="O1272" s="63">
        <v>2144</v>
      </c>
      <c r="P1272" s="63">
        <v>0</v>
      </c>
      <c r="Q1272" s="63">
        <v>178</v>
      </c>
      <c r="R1272" s="63">
        <v>23</v>
      </c>
      <c r="S1272" s="63"/>
      <c r="T1272" s="63">
        <v>5</v>
      </c>
      <c r="U1272" s="63"/>
      <c r="V1272" s="63"/>
      <c r="W1272" s="63">
        <f t="shared" si="338"/>
        <v>15</v>
      </c>
      <c r="X1272" s="63"/>
      <c r="Y1272" s="63"/>
      <c r="Z1272" s="63"/>
      <c r="AA1272" s="63"/>
      <c r="AB1272" s="63"/>
      <c r="AT1272" t="str">
        <f t="shared" si="328"/>
        <v>Sandown</v>
      </c>
      <c r="AU1272" t="s">
        <v>2971</v>
      </c>
      <c r="AV1272">
        <v>1</v>
      </c>
      <c r="AW1272">
        <v>1</v>
      </c>
      <c r="AX1272" s="114">
        <v>33</v>
      </c>
      <c r="AY1272" s="116">
        <v>15</v>
      </c>
      <c r="AZ1272" s="116">
        <v>165</v>
      </c>
      <c r="BA1272" s="120">
        <v>67620</v>
      </c>
      <c r="BB1272" s="120">
        <f t="shared" si="330"/>
        <v>33015</v>
      </c>
      <c r="BC1272" t="s">
        <v>1472</v>
      </c>
      <c r="BD1272">
        <f t="shared" si="339"/>
        <v>3367620</v>
      </c>
      <c r="BI1272">
        <v>14.42</v>
      </c>
      <c r="BJ1272">
        <v>0.51</v>
      </c>
      <c r="BK1272">
        <v>13.91</v>
      </c>
      <c r="BP1272" s="1">
        <v>15</v>
      </c>
      <c r="BR1272">
        <v>6</v>
      </c>
    </row>
    <row r="1273" spans="1:70" hidden="1" outlineLevel="1">
      <c r="A1273" t="s">
        <v>2919</v>
      </c>
      <c r="B1273" s="8" t="s">
        <v>1799</v>
      </c>
      <c r="C1273" s="1">
        <f t="shared" si="331"/>
        <v>1016</v>
      </c>
      <c r="D1273" s="5">
        <f>IF(N1273&gt;0, RANK(N1273,(N1273:P1273,Q1273:AE1273)),0)</f>
        <v>1</v>
      </c>
      <c r="E1273" s="5">
        <f>IF(O1273&gt;0,RANK(O1273,(N1273:P1273,Q1273:AE1273)),0)</f>
        <v>2</v>
      </c>
      <c r="F1273" s="5">
        <f t="shared" si="332"/>
        <v>0</v>
      </c>
      <c r="G1273" s="1">
        <f t="shared" si="333"/>
        <v>218</v>
      </c>
      <c r="H1273" s="2">
        <f t="shared" si="329"/>
        <v>0.21456692913385828</v>
      </c>
      <c r="I1273" s="6"/>
      <c r="J1273" s="2">
        <f t="shared" si="334"/>
        <v>0.56889763779527558</v>
      </c>
      <c r="K1273" s="2">
        <f t="shared" si="335"/>
        <v>0.3543307086614173</v>
      </c>
      <c r="L1273" s="2">
        <f t="shared" si="336"/>
        <v>0</v>
      </c>
      <c r="M1273" s="2">
        <f t="shared" si="337"/>
        <v>7.6771653543307117E-2</v>
      </c>
      <c r="N1273" s="63">
        <v>578</v>
      </c>
      <c r="O1273" s="63">
        <v>360</v>
      </c>
      <c r="P1273" s="63">
        <v>0</v>
      </c>
      <c r="Q1273" s="63">
        <v>34</v>
      </c>
      <c r="R1273" s="63">
        <v>13</v>
      </c>
      <c r="S1273" s="63"/>
      <c r="T1273" s="63">
        <v>1</v>
      </c>
      <c r="U1273" s="63"/>
      <c r="V1273" s="63"/>
      <c r="W1273" s="63">
        <f t="shared" si="338"/>
        <v>30</v>
      </c>
      <c r="X1273" s="63"/>
      <c r="Y1273" s="63"/>
      <c r="Z1273" s="63"/>
      <c r="AA1273" s="63"/>
      <c r="AB1273" s="63"/>
      <c r="AT1273" t="str">
        <f t="shared" si="328"/>
        <v>Sandwich</v>
      </c>
      <c r="AU1273" t="s">
        <v>1675</v>
      </c>
      <c r="AV1273">
        <v>1</v>
      </c>
      <c r="AW1273">
        <v>1</v>
      </c>
      <c r="AX1273" s="114">
        <v>33</v>
      </c>
      <c r="AY1273" s="116">
        <v>3</v>
      </c>
      <c r="AZ1273" s="116">
        <v>75</v>
      </c>
      <c r="BA1273" s="120">
        <v>67780</v>
      </c>
      <c r="BB1273" s="120">
        <f t="shared" si="330"/>
        <v>33003</v>
      </c>
      <c r="BC1273" t="s">
        <v>1472</v>
      </c>
      <c r="BD1273">
        <f t="shared" si="339"/>
        <v>3367780</v>
      </c>
      <c r="BI1273">
        <v>93.47</v>
      </c>
      <c r="BJ1273">
        <v>2.88</v>
      </c>
      <c r="BK1273">
        <v>90.6</v>
      </c>
      <c r="BP1273" s="1">
        <v>30</v>
      </c>
      <c r="BR1273">
        <v>11</v>
      </c>
    </row>
    <row r="1274" spans="1:70" hidden="1" outlineLevel="1">
      <c r="A1274" t="s">
        <v>1021</v>
      </c>
      <c r="B1274" s="8" t="s">
        <v>1799</v>
      </c>
      <c r="C1274" s="1">
        <f t="shared" si="331"/>
        <v>4535</v>
      </c>
      <c r="D1274" s="5">
        <f>IF(N1274&gt;0, RANK(N1274,(N1274:P1274,Q1274:AE1274)),0)</f>
        <v>2</v>
      </c>
      <c r="E1274" s="5">
        <f>IF(O1274&gt;0,RANK(O1274,(N1274:P1274,Q1274:AE1274)),0)</f>
        <v>1</v>
      </c>
      <c r="F1274" s="5">
        <f t="shared" si="332"/>
        <v>7</v>
      </c>
      <c r="G1274" s="1">
        <f t="shared" si="333"/>
        <v>1148</v>
      </c>
      <c r="H1274" s="2">
        <f t="shared" si="329"/>
        <v>0.25314222712238149</v>
      </c>
      <c r="I1274" s="6"/>
      <c r="J1274" s="2">
        <f t="shared" si="334"/>
        <v>0.35170893054024255</v>
      </c>
      <c r="K1274" s="2">
        <f t="shared" si="335"/>
        <v>0.60485115766262398</v>
      </c>
      <c r="L1274" s="2">
        <f t="shared" si="336"/>
        <v>2.205071664829107E-4</v>
      </c>
      <c r="M1274" s="2">
        <f t="shared" si="337"/>
        <v>4.3219404630650556E-2</v>
      </c>
      <c r="N1274" s="63">
        <v>1595</v>
      </c>
      <c r="O1274" s="63">
        <v>2743</v>
      </c>
      <c r="P1274" s="63">
        <v>1</v>
      </c>
      <c r="Q1274" s="63">
        <v>132</v>
      </c>
      <c r="R1274" s="63">
        <v>19</v>
      </c>
      <c r="S1274" s="63"/>
      <c r="T1274" s="63">
        <v>5</v>
      </c>
      <c r="U1274" s="63"/>
      <c r="V1274" s="63"/>
      <c r="W1274" s="63">
        <f t="shared" si="338"/>
        <v>40</v>
      </c>
      <c r="X1274" s="63"/>
      <c r="Y1274" s="63"/>
      <c r="Z1274" s="63"/>
      <c r="AA1274" s="63"/>
      <c r="AB1274" s="63"/>
      <c r="AT1274" t="str">
        <f t="shared" si="328"/>
        <v>Seabrook</v>
      </c>
      <c r="AU1274" t="s">
        <v>2971</v>
      </c>
      <c r="AV1274">
        <v>1</v>
      </c>
      <c r="AW1274">
        <v>1</v>
      </c>
      <c r="AX1274" s="114">
        <v>33</v>
      </c>
      <c r="AY1274" s="116">
        <v>15</v>
      </c>
      <c r="AZ1274" s="116">
        <v>170</v>
      </c>
      <c r="BA1274" s="120">
        <v>68260</v>
      </c>
      <c r="BB1274" s="120">
        <f t="shared" si="330"/>
        <v>33015</v>
      </c>
      <c r="BC1274" t="s">
        <v>1472</v>
      </c>
      <c r="BD1274">
        <f t="shared" si="339"/>
        <v>3368260</v>
      </c>
      <c r="BI1274">
        <v>9.6199999999999992</v>
      </c>
      <c r="BJ1274">
        <v>0.75</v>
      </c>
      <c r="BK1274">
        <v>8.86</v>
      </c>
      <c r="BP1274" s="1">
        <v>41</v>
      </c>
      <c r="BR1274">
        <v>17</v>
      </c>
    </row>
    <row r="1275" spans="1:70" hidden="1" outlineLevel="1">
      <c r="A1275" t="s">
        <v>1684</v>
      </c>
      <c r="B1275" s="8" t="s">
        <v>1799</v>
      </c>
      <c r="C1275" s="1">
        <f t="shared" si="331"/>
        <v>247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 t="shared" si="332"/>
        <v>6</v>
      </c>
      <c r="G1275" s="1">
        <f t="shared" si="333"/>
        <v>38</v>
      </c>
      <c r="H1275" s="2">
        <f t="shared" si="329"/>
        <v>0.15384615384615385</v>
      </c>
      <c r="I1275" s="6"/>
      <c r="J1275" s="2">
        <f t="shared" si="334"/>
        <v>0.53441295546558709</v>
      </c>
      <c r="K1275" s="2">
        <f t="shared" si="335"/>
        <v>0.38056680161943318</v>
      </c>
      <c r="L1275" s="2">
        <f t="shared" si="336"/>
        <v>8.0971659919028341E-3</v>
      </c>
      <c r="M1275" s="2">
        <f t="shared" si="337"/>
        <v>7.69230769230769E-2</v>
      </c>
      <c r="N1275" s="63">
        <v>132</v>
      </c>
      <c r="O1275" s="63">
        <v>94</v>
      </c>
      <c r="P1275" s="63">
        <v>2</v>
      </c>
      <c r="Q1275" s="63">
        <v>11</v>
      </c>
      <c r="R1275" s="63">
        <v>4</v>
      </c>
      <c r="S1275" s="63"/>
      <c r="T1275" s="63">
        <v>0</v>
      </c>
      <c r="U1275" s="63"/>
      <c r="V1275" s="63"/>
      <c r="W1275" s="63">
        <f t="shared" si="338"/>
        <v>4</v>
      </c>
      <c r="X1275" s="63"/>
      <c r="Y1275" s="63"/>
      <c r="Z1275" s="63"/>
      <c r="AA1275" s="63"/>
      <c r="AB1275" s="63"/>
      <c r="AT1275" t="str">
        <f t="shared" si="328"/>
        <v>Sharon</v>
      </c>
      <c r="AU1275" t="s">
        <v>1161</v>
      </c>
      <c r="AV1275">
        <v>2</v>
      </c>
      <c r="AW1275">
        <v>2</v>
      </c>
      <c r="AX1275" s="114">
        <v>33</v>
      </c>
      <c r="AY1275" s="116">
        <v>11</v>
      </c>
      <c r="AZ1275" s="116">
        <v>135</v>
      </c>
      <c r="BA1275" s="120">
        <v>68820</v>
      </c>
      <c r="BB1275" s="120">
        <f t="shared" si="330"/>
        <v>33011</v>
      </c>
      <c r="BC1275" t="s">
        <v>1472</v>
      </c>
      <c r="BD1275">
        <f t="shared" si="339"/>
        <v>3368820</v>
      </c>
      <c r="BI1275">
        <v>14.6</v>
      </c>
      <c r="BJ1275">
        <v>0</v>
      </c>
      <c r="BK1275">
        <v>14.6</v>
      </c>
      <c r="BP1275" s="1">
        <v>6</v>
      </c>
      <c r="BR1275">
        <v>1</v>
      </c>
    </row>
    <row r="1276" spans="1:70" hidden="1" outlineLevel="1">
      <c r="A1276" t="s">
        <v>529</v>
      </c>
      <c r="B1276" s="8" t="s">
        <v>1799</v>
      </c>
      <c r="C1276" s="1">
        <f t="shared" si="331"/>
        <v>255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 t="shared" si="332"/>
        <v>0</v>
      </c>
      <c r="G1276" s="1">
        <f t="shared" si="333"/>
        <v>9</v>
      </c>
      <c r="H1276" s="2">
        <f t="shared" si="329"/>
        <v>3.5294117647058823E-2</v>
      </c>
      <c r="I1276" s="6"/>
      <c r="J1276" s="2">
        <f t="shared" si="334"/>
        <v>0.49019607843137253</v>
      </c>
      <c r="K1276" s="2">
        <f t="shared" si="335"/>
        <v>0.45490196078431372</v>
      </c>
      <c r="L1276" s="2">
        <f t="shared" si="336"/>
        <v>0</v>
      </c>
      <c r="M1276" s="2">
        <f t="shared" si="337"/>
        <v>5.4901960784313697E-2</v>
      </c>
      <c r="N1276" s="63">
        <v>125</v>
      </c>
      <c r="O1276" s="63">
        <v>116</v>
      </c>
      <c r="P1276" s="63">
        <v>0</v>
      </c>
      <c r="Q1276" s="63">
        <v>10</v>
      </c>
      <c r="R1276" s="63">
        <v>0</v>
      </c>
      <c r="S1276" s="63"/>
      <c r="T1276" s="63">
        <v>0</v>
      </c>
      <c r="U1276" s="63"/>
      <c r="V1276" s="63"/>
      <c r="W1276" s="63">
        <f t="shared" si="338"/>
        <v>4</v>
      </c>
      <c r="X1276" s="63"/>
      <c r="Y1276" s="63"/>
      <c r="Z1276" s="63"/>
      <c r="AA1276" s="63"/>
      <c r="AB1276" s="63"/>
      <c r="AT1276" t="str">
        <f t="shared" si="328"/>
        <v>Shelburne</v>
      </c>
      <c r="AU1276" t="s">
        <v>442</v>
      </c>
      <c r="AV1276">
        <v>2</v>
      </c>
      <c r="AW1276">
        <v>2</v>
      </c>
      <c r="AX1276" s="114">
        <v>33</v>
      </c>
      <c r="AY1276" s="116">
        <v>7</v>
      </c>
      <c r="AZ1276" s="116">
        <v>180</v>
      </c>
      <c r="BA1276" s="120">
        <v>68980</v>
      </c>
      <c r="BB1276" s="120">
        <f t="shared" si="330"/>
        <v>33007</v>
      </c>
      <c r="BC1276" t="s">
        <v>1472</v>
      </c>
      <c r="BD1276">
        <f t="shared" si="339"/>
        <v>3368980</v>
      </c>
      <c r="BI1276">
        <v>48.8</v>
      </c>
      <c r="BJ1276">
        <v>0.9</v>
      </c>
      <c r="BK1276">
        <v>47.89</v>
      </c>
      <c r="BP1276" s="1">
        <v>4</v>
      </c>
      <c r="BR1276">
        <v>0</v>
      </c>
    </row>
    <row r="1277" spans="1:70" hidden="1" outlineLevel="1">
      <c r="A1277" t="s">
        <v>1374</v>
      </c>
      <c r="B1277" s="8" t="s">
        <v>1799</v>
      </c>
      <c r="C1277" s="1">
        <f t="shared" si="331"/>
        <v>5396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332"/>
        <v>7</v>
      </c>
      <c r="G1277" s="1">
        <f t="shared" si="333"/>
        <v>254</v>
      </c>
      <c r="H1277" s="2">
        <f t="shared" si="329"/>
        <v>4.7071905114899927E-2</v>
      </c>
      <c r="I1277" s="6"/>
      <c r="J1277" s="2">
        <f t="shared" si="334"/>
        <v>0.48980726464047442</v>
      </c>
      <c r="K1277" s="2">
        <f t="shared" si="335"/>
        <v>0.44273535952557452</v>
      </c>
      <c r="L1277" s="2">
        <f t="shared" si="336"/>
        <v>7.4128984432913266E-4</v>
      </c>
      <c r="M1277" s="2">
        <f t="shared" si="337"/>
        <v>6.6716085989621934E-2</v>
      </c>
      <c r="N1277" s="63">
        <v>2643</v>
      </c>
      <c r="O1277" s="63">
        <v>2389</v>
      </c>
      <c r="P1277" s="63">
        <v>4</v>
      </c>
      <c r="Q1277" s="63">
        <v>216</v>
      </c>
      <c r="R1277" s="63">
        <v>59</v>
      </c>
      <c r="S1277" s="63"/>
      <c r="T1277" s="63">
        <v>5</v>
      </c>
      <c r="U1277" s="63"/>
      <c r="V1277" s="63"/>
      <c r="W1277" s="63">
        <f t="shared" si="338"/>
        <v>80</v>
      </c>
      <c r="X1277" s="63"/>
      <c r="Y1277" s="63"/>
      <c r="Z1277" s="63"/>
      <c r="AA1277" s="63"/>
      <c r="AB1277" s="63"/>
      <c r="AT1277" t="str">
        <f t="shared" si="328"/>
        <v>Somersworth</v>
      </c>
      <c r="AU1277" t="s">
        <v>2035</v>
      </c>
      <c r="AV1277">
        <v>1</v>
      </c>
      <c r="AW1277">
        <v>1</v>
      </c>
      <c r="AX1277" s="114">
        <v>33</v>
      </c>
      <c r="AY1277" s="116">
        <v>17</v>
      </c>
      <c r="AZ1277" s="116">
        <v>60</v>
      </c>
      <c r="BA1277" s="120">
        <v>69940</v>
      </c>
      <c r="BB1277" s="120">
        <f t="shared" si="330"/>
        <v>33017</v>
      </c>
      <c r="BC1277" t="s">
        <v>1249</v>
      </c>
      <c r="BD1277">
        <f t="shared" si="339"/>
        <v>3369940</v>
      </c>
      <c r="BI1277">
        <v>10.01</v>
      </c>
      <c r="BJ1277">
        <v>0.23</v>
      </c>
      <c r="BK1277">
        <v>9.7799999999999994</v>
      </c>
      <c r="BP1277" s="1">
        <v>84</v>
      </c>
      <c r="BR1277">
        <v>40</v>
      </c>
    </row>
    <row r="1278" spans="1:70" hidden="1" outlineLevel="1">
      <c r="A1278" t="s">
        <v>532</v>
      </c>
      <c r="B1278" s="8" t="s">
        <v>1799</v>
      </c>
      <c r="C1278" s="1">
        <f t="shared" si="331"/>
        <v>591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332"/>
        <v>0</v>
      </c>
      <c r="G1278" s="1">
        <f t="shared" si="333"/>
        <v>69</v>
      </c>
      <c r="H1278" s="2">
        <f t="shared" si="329"/>
        <v>0.116751269035533</v>
      </c>
      <c r="I1278" s="6"/>
      <c r="J1278" s="2">
        <f t="shared" si="334"/>
        <v>0.41624365482233505</v>
      </c>
      <c r="K1278" s="2">
        <f t="shared" si="335"/>
        <v>0.53299492385786806</v>
      </c>
      <c r="L1278" s="2">
        <f t="shared" si="336"/>
        <v>0</v>
      </c>
      <c r="M1278" s="2">
        <f t="shared" si="337"/>
        <v>5.0761421319796884E-2</v>
      </c>
      <c r="N1278" s="63">
        <v>246</v>
      </c>
      <c r="O1278" s="63">
        <v>315</v>
      </c>
      <c r="P1278" s="63">
        <v>0</v>
      </c>
      <c r="Q1278" s="63">
        <v>19</v>
      </c>
      <c r="R1278" s="63">
        <v>3</v>
      </c>
      <c r="S1278" s="63"/>
      <c r="T1278" s="63">
        <v>2</v>
      </c>
      <c r="U1278" s="63"/>
      <c r="V1278" s="63"/>
      <c r="W1278" s="63">
        <f t="shared" si="338"/>
        <v>6</v>
      </c>
      <c r="X1278" s="63"/>
      <c r="Y1278" s="63"/>
      <c r="Z1278" s="63"/>
      <c r="AA1278" s="63"/>
      <c r="AB1278" s="63"/>
      <c r="AT1278" t="str">
        <f t="shared" si="328"/>
        <v>South Hampton</v>
      </c>
      <c r="AU1278" t="s">
        <v>2971</v>
      </c>
      <c r="AV1278">
        <v>1</v>
      </c>
      <c r="AW1278">
        <v>1</v>
      </c>
      <c r="AX1278" s="114">
        <v>33</v>
      </c>
      <c r="AY1278" s="116">
        <v>15</v>
      </c>
      <c r="AZ1278" s="116">
        <v>175</v>
      </c>
      <c r="BA1278" s="120">
        <v>71140</v>
      </c>
      <c r="BB1278" s="120">
        <f t="shared" si="330"/>
        <v>33015</v>
      </c>
      <c r="BC1278" t="s">
        <v>1472</v>
      </c>
      <c r="BD1278">
        <f t="shared" si="339"/>
        <v>3371140</v>
      </c>
      <c r="BI1278">
        <v>8.01</v>
      </c>
      <c r="BJ1278">
        <v>0.13</v>
      </c>
      <c r="BK1278">
        <v>7.87</v>
      </c>
      <c r="BP1278" s="1">
        <v>6</v>
      </c>
      <c r="BR1278">
        <v>4</v>
      </c>
    </row>
    <row r="1279" spans="1:70" hidden="1" outlineLevel="1">
      <c r="A1279" t="s">
        <v>1995</v>
      </c>
      <c r="B1279" s="8" t="s">
        <v>1799</v>
      </c>
      <c r="C1279" s="1">
        <f t="shared" si="331"/>
        <v>829</v>
      </c>
      <c r="D1279" s="5">
        <f>IF(N1279&gt;0, RANK(N1279,(N1279:P1279,Q1279:AE1279)),0)</f>
        <v>2</v>
      </c>
      <c r="E1279" s="5">
        <f>IF(O1279&gt;0,RANK(O1279,(N1279:P1279,Q1279:AE1279)),0)</f>
        <v>1</v>
      </c>
      <c r="F1279" s="5">
        <f t="shared" si="332"/>
        <v>6</v>
      </c>
      <c r="G1279" s="1">
        <f t="shared" si="333"/>
        <v>78</v>
      </c>
      <c r="H1279" s="2">
        <f t="shared" si="329"/>
        <v>9.4089264173703252E-2</v>
      </c>
      <c r="I1279" s="6"/>
      <c r="J1279" s="2">
        <f t="shared" si="334"/>
        <v>0.41495778045838361</v>
      </c>
      <c r="K1279" s="2">
        <f t="shared" si="335"/>
        <v>0.50904704463208683</v>
      </c>
      <c r="L1279" s="2">
        <f t="shared" si="336"/>
        <v>2.4125452352231603E-3</v>
      </c>
      <c r="M1279" s="2">
        <f t="shared" si="337"/>
        <v>7.3582629674306399E-2</v>
      </c>
      <c r="N1279" s="63">
        <v>344</v>
      </c>
      <c r="O1279" s="63">
        <v>422</v>
      </c>
      <c r="P1279" s="63">
        <v>2</v>
      </c>
      <c r="Q1279" s="63">
        <v>44</v>
      </c>
      <c r="R1279" s="63">
        <v>7</v>
      </c>
      <c r="S1279" s="63"/>
      <c r="T1279" s="63">
        <v>0</v>
      </c>
      <c r="U1279" s="63"/>
      <c r="V1279" s="63"/>
      <c r="W1279" s="63">
        <f t="shared" si="338"/>
        <v>10</v>
      </c>
      <c r="X1279" s="63"/>
      <c r="Y1279" s="63"/>
      <c r="Z1279" s="63"/>
      <c r="AA1279" s="63"/>
      <c r="AB1279" s="63"/>
      <c r="AT1279" t="str">
        <f t="shared" si="328"/>
        <v>Springfield</v>
      </c>
      <c r="AU1279" t="s">
        <v>1040</v>
      </c>
      <c r="AV1279">
        <v>2</v>
      </c>
      <c r="AW1279">
        <v>2</v>
      </c>
      <c r="AX1279" s="114">
        <v>33</v>
      </c>
      <c r="AY1279" s="116">
        <v>19</v>
      </c>
      <c r="AZ1279" s="116">
        <v>60</v>
      </c>
      <c r="BA1279" s="120">
        <v>72740</v>
      </c>
      <c r="BB1279" s="120">
        <f t="shared" si="330"/>
        <v>33019</v>
      </c>
      <c r="BC1279" t="s">
        <v>1472</v>
      </c>
      <c r="BD1279">
        <f t="shared" si="339"/>
        <v>3372740</v>
      </c>
      <c r="BI1279">
        <v>44.14</v>
      </c>
      <c r="BJ1279">
        <v>0.89</v>
      </c>
      <c r="BK1279">
        <v>43.25</v>
      </c>
      <c r="BP1279" s="1">
        <v>12</v>
      </c>
      <c r="BR1279">
        <v>5</v>
      </c>
    </row>
    <row r="1280" spans="1:70" hidden="1" outlineLevel="1">
      <c r="A1280" t="s">
        <v>603</v>
      </c>
      <c r="B1280" s="8" t="s">
        <v>1799</v>
      </c>
      <c r="C1280" s="1">
        <f t="shared" si="331"/>
        <v>299</v>
      </c>
      <c r="D1280" s="5">
        <f>IF(N1280&gt;0, RANK(N1280,(N1280:P1280,Q1280:AE1280)),0)</f>
        <v>2</v>
      </c>
      <c r="E1280" s="5">
        <f>IF(O1280&gt;0,RANK(O1280,(N1280:P1280,Q1280:AE1280)),0)</f>
        <v>1</v>
      </c>
      <c r="F1280" s="5">
        <f t="shared" si="332"/>
        <v>0</v>
      </c>
      <c r="G1280" s="1">
        <f t="shared" si="333"/>
        <v>88</v>
      </c>
      <c r="H1280" s="2">
        <f t="shared" si="329"/>
        <v>0.29431438127090304</v>
      </c>
      <c r="I1280" s="6"/>
      <c r="J1280" s="2">
        <f t="shared" si="334"/>
        <v>0.32775919732441472</v>
      </c>
      <c r="K1280" s="2">
        <f t="shared" si="335"/>
        <v>0.62207357859531776</v>
      </c>
      <c r="L1280" s="2">
        <f t="shared" si="336"/>
        <v>0</v>
      </c>
      <c r="M1280" s="2">
        <f t="shared" si="337"/>
        <v>5.0167224080267525E-2</v>
      </c>
      <c r="N1280" s="63">
        <v>98</v>
      </c>
      <c r="O1280" s="63">
        <v>186</v>
      </c>
      <c r="P1280" s="63">
        <v>0</v>
      </c>
      <c r="Q1280" s="63">
        <v>6</v>
      </c>
      <c r="R1280" s="63">
        <v>3</v>
      </c>
      <c r="S1280" s="63"/>
      <c r="T1280" s="63">
        <v>0</v>
      </c>
      <c r="U1280" s="63"/>
      <c r="V1280" s="63"/>
      <c r="W1280" s="63">
        <f t="shared" si="338"/>
        <v>6</v>
      </c>
      <c r="X1280" s="63"/>
      <c r="Y1280" s="63"/>
      <c r="Z1280" s="63"/>
      <c r="AA1280" s="63"/>
      <c r="AB1280" s="63"/>
      <c r="AT1280" t="str">
        <f t="shared" si="328"/>
        <v>Stark</v>
      </c>
      <c r="AU1280" t="s">
        <v>442</v>
      </c>
      <c r="AV1280">
        <v>2</v>
      </c>
      <c r="AW1280">
        <v>2</v>
      </c>
      <c r="AX1280" s="114">
        <v>33</v>
      </c>
      <c r="AY1280" s="116">
        <v>7</v>
      </c>
      <c r="AZ1280" s="116">
        <v>185</v>
      </c>
      <c r="BA1280" s="120">
        <v>73060</v>
      </c>
      <c r="BB1280" s="120">
        <f t="shared" si="330"/>
        <v>33007</v>
      </c>
      <c r="BC1280" t="s">
        <v>1472</v>
      </c>
      <c r="BD1280">
        <f t="shared" si="339"/>
        <v>3373060</v>
      </c>
      <c r="BI1280">
        <v>59.6</v>
      </c>
      <c r="BJ1280">
        <v>0.5</v>
      </c>
      <c r="BK1280">
        <v>59.1</v>
      </c>
      <c r="BP1280" s="1">
        <v>6</v>
      </c>
      <c r="BR1280">
        <v>6</v>
      </c>
    </row>
    <row r="1281" spans="1:70" hidden="1" outlineLevel="1">
      <c r="A1281" t="s">
        <v>987</v>
      </c>
      <c r="B1281" s="8" t="s">
        <v>1799</v>
      </c>
      <c r="C1281" s="1">
        <f t="shared" si="331"/>
        <v>354</v>
      </c>
      <c r="D1281" s="5">
        <f>IF(N1281&gt;0, RANK(N1281,(N1281:P1281,Q1281:AE1281)),0)</f>
        <v>2</v>
      </c>
      <c r="E1281" s="5">
        <f>IF(O1281&gt;0,RANK(O1281,(N1281:P1281,Q1281:AE1281)),0)</f>
        <v>1</v>
      </c>
      <c r="F1281" s="5">
        <f t="shared" si="332"/>
        <v>0</v>
      </c>
      <c r="G1281" s="1">
        <f t="shared" si="333"/>
        <v>136</v>
      </c>
      <c r="H1281" s="2">
        <f t="shared" si="329"/>
        <v>0.38418079096045199</v>
      </c>
      <c r="I1281" s="6"/>
      <c r="J1281" s="2">
        <f t="shared" si="334"/>
        <v>0.26836158192090398</v>
      </c>
      <c r="K1281" s="2">
        <f t="shared" si="335"/>
        <v>0.65254237288135597</v>
      </c>
      <c r="L1281" s="2">
        <f t="shared" si="336"/>
        <v>0</v>
      </c>
      <c r="M1281" s="2">
        <f t="shared" si="337"/>
        <v>7.909604519774005E-2</v>
      </c>
      <c r="N1281" s="63">
        <v>95</v>
      </c>
      <c r="O1281" s="63">
        <v>231</v>
      </c>
      <c r="P1281" s="63">
        <v>0</v>
      </c>
      <c r="Q1281" s="63">
        <v>19</v>
      </c>
      <c r="R1281" s="63">
        <v>4</v>
      </c>
      <c r="S1281" s="63"/>
      <c r="T1281" s="63">
        <v>1</v>
      </c>
      <c r="U1281" s="63"/>
      <c r="V1281" s="63"/>
      <c r="W1281" s="63">
        <f t="shared" si="338"/>
        <v>4</v>
      </c>
      <c r="X1281" s="63"/>
      <c r="Y1281" s="63"/>
      <c r="Z1281" s="63"/>
      <c r="AA1281" s="63"/>
      <c r="AB1281" s="63"/>
      <c r="AT1281" t="str">
        <f t="shared" si="328"/>
        <v>Stewartstown</v>
      </c>
      <c r="AU1281" t="s">
        <v>442</v>
      </c>
      <c r="AV1281">
        <v>2</v>
      </c>
      <c r="AW1281">
        <v>2</v>
      </c>
      <c r="AX1281" s="114">
        <v>33</v>
      </c>
      <c r="AY1281" s="116">
        <v>7</v>
      </c>
      <c r="AZ1281" s="116">
        <v>190</v>
      </c>
      <c r="BA1281" s="120">
        <v>73380</v>
      </c>
      <c r="BB1281" s="120">
        <f t="shared" si="330"/>
        <v>33007</v>
      </c>
      <c r="BC1281" t="s">
        <v>1472</v>
      </c>
      <c r="BD1281">
        <f t="shared" si="339"/>
        <v>3373380</v>
      </c>
      <c r="BI1281">
        <v>46.78</v>
      </c>
      <c r="BJ1281">
        <v>0.39</v>
      </c>
      <c r="BK1281">
        <v>46.38</v>
      </c>
      <c r="BP1281" s="1">
        <v>4</v>
      </c>
      <c r="BR1281">
        <v>2</v>
      </c>
    </row>
    <row r="1282" spans="1:70" hidden="1" outlineLevel="1">
      <c r="A1282" t="s">
        <v>502</v>
      </c>
      <c r="B1282" s="8" t="s">
        <v>1799</v>
      </c>
      <c r="C1282" s="1">
        <f t="shared" si="331"/>
        <v>772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332"/>
        <v>6</v>
      </c>
      <c r="G1282" s="1">
        <f t="shared" si="333"/>
        <v>28</v>
      </c>
      <c r="H1282" s="2">
        <f t="shared" si="329"/>
        <v>3.6269430051813469E-2</v>
      </c>
      <c r="I1282" s="6"/>
      <c r="J1282" s="2">
        <f t="shared" si="334"/>
        <v>0.45336787564766839</v>
      </c>
      <c r="K1282" s="2">
        <f t="shared" si="335"/>
        <v>0.48963730569948188</v>
      </c>
      <c r="L1282" s="2">
        <f t="shared" si="336"/>
        <v>1.2953367875647669E-3</v>
      </c>
      <c r="M1282" s="2">
        <f t="shared" si="337"/>
        <v>5.5699481865284901E-2</v>
      </c>
      <c r="N1282" s="63">
        <v>350</v>
      </c>
      <c r="O1282" s="63">
        <v>378</v>
      </c>
      <c r="P1282" s="63">
        <v>1</v>
      </c>
      <c r="Q1282" s="63">
        <v>28</v>
      </c>
      <c r="R1282" s="63">
        <v>8</v>
      </c>
      <c r="S1282" s="63"/>
      <c r="T1282" s="63">
        <v>1</v>
      </c>
      <c r="U1282" s="63"/>
      <c r="V1282" s="63"/>
      <c r="W1282" s="63">
        <f t="shared" si="338"/>
        <v>6</v>
      </c>
      <c r="X1282" s="63"/>
      <c r="Y1282" s="63"/>
      <c r="Z1282" s="63"/>
      <c r="AA1282" s="63"/>
      <c r="AB1282" s="63"/>
      <c r="AT1282" t="str">
        <f t="shared" si="328"/>
        <v>Stoddard</v>
      </c>
      <c r="AU1282" t="s">
        <v>1463</v>
      </c>
      <c r="AV1282">
        <v>2</v>
      </c>
      <c r="AW1282">
        <v>2</v>
      </c>
      <c r="AX1282" s="114">
        <v>33</v>
      </c>
      <c r="AY1282" s="116">
        <v>5</v>
      </c>
      <c r="AZ1282" s="116">
        <v>80</v>
      </c>
      <c r="BA1282" s="120">
        <v>73700</v>
      </c>
      <c r="BB1282" s="120">
        <f t="shared" si="330"/>
        <v>33005</v>
      </c>
      <c r="BC1282" t="s">
        <v>1472</v>
      </c>
      <c r="BD1282">
        <f t="shared" si="339"/>
        <v>3373700</v>
      </c>
      <c r="BI1282">
        <v>53.01</v>
      </c>
      <c r="BJ1282">
        <v>2.13</v>
      </c>
      <c r="BK1282">
        <v>50.88</v>
      </c>
      <c r="BP1282" s="1">
        <v>7</v>
      </c>
      <c r="BR1282">
        <v>2</v>
      </c>
    </row>
    <row r="1283" spans="1:70" hidden="1" outlineLevel="1">
      <c r="A1283" t="s">
        <v>2035</v>
      </c>
      <c r="B1283" s="8" t="s">
        <v>1799</v>
      </c>
      <c r="C1283" s="1">
        <f t="shared" si="331"/>
        <v>2586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332"/>
        <v>6</v>
      </c>
      <c r="G1283" s="1">
        <f t="shared" si="333"/>
        <v>178</v>
      </c>
      <c r="H1283" s="2">
        <f t="shared" si="329"/>
        <v>6.8832173240525915E-2</v>
      </c>
      <c r="I1283" s="6"/>
      <c r="J1283" s="2">
        <f t="shared" si="334"/>
        <v>0.4323279195668987</v>
      </c>
      <c r="K1283" s="2">
        <f t="shared" si="335"/>
        <v>0.50116009280742457</v>
      </c>
      <c r="L1283" s="2">
        <f t="shared" si="336"/>
        <v>3.0935808197989174E-3</v>
      </c>
      <c r="M1283" s="2">
        <f t="shared" si="337"/>
        <v>6.341840680587775E-2</v>
      </c>
      <c r="N1283" s="63">
        <v>1118</v>
      </c>
      <c r="O1283" s="63">
        <v>1296</v>
      </c>
      <c r="P1283" s="63">
        <v>8</v>
      </c>
      <c r="Q1283" s="63">
        <v>107</v>
      </c>
      <c r="R1283" s="63">
        <v>13</v>
      </c>
      <c r="S1283" s="63"/>
      <c r="T1283" s="63">
        <v>1</v>
      </c>
      <c r="U1283" s="63"/>
      <c r="V1283" s="63"/>
      <c r="W1283" s="63">
        <f t="shared" si="338"/>
        <v>43</v>
      </c>
      <c r="X1283" s="63"/>
      <c r="Y1283" s="63"/>
      <c r="Z1283" s="63"/>
      <c r="AA1283" s="63"/>
      <c r="AB1283" s="63"/>
      <c r="AT1283" t="str">
        <f t="shared" si="328"/>
        <v>Strafford</v>
      </c>
      <c r="AU1283" t="s">
        <v>2035</v>
      </c>
      <c r="AV1283">
        <v>1</v>
      </c>
      <c r="AW1283">
        <v>1</v>
      </c>
      <c r="AX1283" s="114">
        <v>33</v>
      </c>
      <c r="AY1283" s="116">
        <v>17</v>
      </c>
      <c r="AZ1283" s="116">
        <v>65</v>
      </c>
      <c r="BA1283" s="120">
        <v>73860</v>
      </c>
      <c r="BB1283" s="120">
        <f t="shared" si="330"/>
        <v>33017</v>
      </c>
      <c r="BC1283" t="s">
        <v>1472</v>
      </c>
      <c r="BD1283">
        <f t="shared" si="339"/>
        <v>3373860</v>
      </c>
      <c r="BI1283">
        <v>51.42</v>
      </c>
      <c r="BJ1283">
        <v>2.25</v>
      </c>
      <c r="BK1283">
        <v>49.17</v>
      </c>
      <c r="BP1283" s="1">
        <v>51</v>
      </c>
      <c r="BR1283">
        <v>4</v>
      </c>
    </row>
    <row r="1284" spans="1:70" hidden="1" outlineLevel="1">
      <c r="A1284" t="s">
        <v>2837</v>
      </c>
      <c r="B1284" s="8" t="s">
        <v>1799</v>
      </c>
      <c r="C1284" s="1">
        <f t="shared" si="331"/>
        <v>276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332"/>
        <v>0</v>
      </c>
      <c r="G1284" s="1">
        <f t="shared" si="333"/>
        <v>6</v>
      </c>
      <c r="H1284" s="2">
        <f t="shared" si="329"/>
        <v>2.1739130434782608E-2</v>
      </c>
      <c r="I1284" s="6"/>
      <c r="J1284" s="2">
        <f t="shared" si="334"/>
        <v>0.47826086956521741</v>
      </c>
      <c r="K1284" s="2">
        <f t="shared" si="335"/>
        <v>0.45652173913043476</v>
      </c>
      <c r="L1284" s="2">
        <f t="shared" si="336"/>
        <v>0</v>
      </c>
      <c r="M1284" s="2">
        <f t="shared" si="337"/>
        <v>6.5217391304347838E-2</v>
      </c>
      <c r="N1284" s="63">
        <v>132</v>
      </c>
      <c r="O1284" s="63">
        <v>126</v>
      </c>
      <c r="P1284" s="63">
        <v>0</v>
      </c>
      <c r="Q1284" s="63">
        <v>5</v>
      </c>
      <c r="R1284" s="63">
        <v>3</v>
      </c>
      <c r="S1284" s="63"/>
      <c r="T1284" s="63">
        <v>0</v>
      </c>
      <c r="U1284" s="63"/>
      <c r="V1284" s="63"/>
      <c r="W1284" s="63">
        <f t="shared" si="338"/>
        <v>10</v>
      </c>
      <c r="X1284" s="63"/>
      <c r="Y1284" s="63"/>
      <c r="Z1284" s="63"/>
      <c r="AA1284" s="63"/>
      <c r="AB1284" s="63"/>
      <c r="AT1284" t="str">
        <f t="shared" si="328"/>
        <v>Stratford</v>
      </c>
      <c r="AU1284" t="s">
        <v>442</v>
      </c>
      <c r="AV1284">
        <v>2</v>
      </c>
      <c r="AW1284">
        <v>2</v>
      </c>
      <c r="AX1284" s="114">
        <v>33</v>
      </c>
      <c r="AY1284" s="116">
        <v>7</v>
      </c>
      <c r="AZ1284" s="116">
        <v>195</v>
      </c>
      <c r="BA1284" s="120">
        <v>74180</v>
      </c>
      <c r="BB1284" s="120">
        <f t="shared" si="330"/>
        <v>33007</v>
      </c>
      <c r="BC1284" t="s">
        <v>1472</v>
      </c>
      <c r="BD1284">
        <f t="shared" si="339"/>
        <v>3374180</v>
      </c>
      <c r="BI1284">
        <v>80</v>
      </c>
      <c r="BJ1284">
        <v>0.14000000000000001</v>
      </c>
      <c r="BK1284">
        <v>79.849999999999994</v>
      </c>
      <c r="BP1284" s="1">
        <v>10</v>
      </c>
      <c r="BR1284">
        <v>8</v>
      </c>
    </row>
    <row r="1285" spans="1:70" hidden="1" outlineLevel="1">
      <c r="A1285" t="s">
        <v>2806</v>
      </c>
      <c r="B1285" s="8" t="s">
        <v>1799</v>
      </c>
      <c r="C1285" s="1">
        <f t="shared" si="331"/>
        <v>4941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 t="shared" si="332"/>
        <v>6</v>
      </c>
      <c r="G1285" s="1">
        <f t="shared" si="333"/>
        <v>588</v>
      </c>
      <c r="H1285" s="2">
        <f t="shared" si="329"/>
        <v>0.11900425015179114</v>
      </c>
      <c r="I1285" s="6"/>
      <c r="J1285" s="2">
        <f t="shared" si="334"/>
        <v>0.52479255211495646</v>
      </c>
      <c r="K1285" s="2">
        <f t="shared" si="335"/>
        <v>0.40578830196316534</v>
      </c>
      <c r="L1285" s="2">
        <f t="shared" si="336"/>
        <v>1.0119409026512851E-3</v>
      </c>
      <c r="M1285" s="2">
        <f t="shared" si="337"/>
        <v>6.840720501922691E-2</v>
      </c>
      <c r="N1285" s="63">
        <v>2593</v>
      </c>
      <c r="O1285" s="63">
        <v>2005</v>
      </c>
      <c r="P1285" s="63">
        <v>5</v>
      </c>
      <c r="Q1285" s="63">
        <v>218</v>
      </c>
      <c r="R1285" s="63">
        <v>36</v>
      </c>
      <c r="S1285" s="63"/>
      <c r="T1285" s="63">
        <v>5</v>
      </c>
      <c r="U1285" s="63"/>
      <c r="V1285" s="63"/>
      <c r="W1285" s="63">
        <f t="shared" si="338"/>
        <v>79</v>
      </c>
      <c r="X1285" s="63"/>
      <c r="Y1285" s="63"/>
      <c r="Z1285" s="63"/>
      <c r="AA1285" s="63"/>
      <c r="AB1285" s="63"/>
      <c r="AT1285" t="str">
        <f t="shared" si="328"/>
        <v>Stratham</v>
      </c>
      <c r="AU1285" t="s">
        <v>2971</v>
      </c>
      <c r="AV1285">
        <v>1</v>
      </c>
      <c r="AW1285">
        <v>1</v>
      </c>
      <c r="AX1285" s="114">
        <v>33</v>
      </c>
      <c r="AY1285" s="116">
        <v>15</v>
      </c>
      <c r="AZ1285" s="116">
        <v>180</v>
      </c>
      <c r="BA1285" s="120">
        <v>74340</v>
      </c>
      <c r="BB1285" s="120">
        <f t="shared" si="330"/>
        <v>33015</v>
      </c>
      <c r="BC1285" t="s">
        <v>1472</v>
      </c>
      <c r="BD1285">
        <f t="shared" si="339"/>
        <v>3374340</v>
      </c>
      <c r="BI1285">
        <v>15.48</v>
      </c>
      <c r="BJ1285">
        <v>0.37</v>
      </c>
      <c r="BK1285">
        <v>15.11</v>
      </c>
      <c r="BP1285" s="1">
        <v>84</v>
      </c>
      <c r="BR1285">
        <v>14</v>
      </c>
    </row>
    <row r="1286" spans="1:70" hidden="1" outlineLevel="1">
      <c r="A1286" t="s">
        <v>3119</v>
      </c>
      <c r="B1286" s="8" t="s">
        <v>1799</v>
      </c>
      <c r="C1286" s="1">
        <f t="shared" si="331"/>
        <v>429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332"/>
        <v>6</v>
      </c>
      <c r="G1286" s="1">
        <f t="shared" si="333"/>
        <v>78</v>
      </c>
      <c r="H1286" s="2">
        <f t="shared" si="329"/>
        <v>0.18181818181818182</v>
      </c>
      <c r="I1286" s="6"/>
      <c r="J1286" s="2">
        <f t="shared" si="334"/>
        <v>0.55244755244755239</v>
      </c>
      <c r="K1286" s="2">
        <f t="shared" si="335"/>
        <v>0.37062937062937062</v>
      </c>
      <c r="L1286" s="2">
        <f t="shared" si="336"/>
        <v>2.331002331002331E-3</v>
      </c>
      <c r="M1286" s="2">
        <f t="shared" si="337"/>
        <v>7.4592074592074648E-2</v>
      </c>
      <c r="N1286" s="63">
        <v>237</v>
      </c>
      <c r="O1286" s="63">
        <v>159</v>
      </c>
      <c r="P1286" s="63">
        <v>1</v>
      </c>
      <c r="Q1286" s="63">
        <v>15</v>
      </c>
      <c r="R1286" s="63">
        <v>10</v>
      </c>
      <c r="S1286" s="63"/>
      <c r="T1286" s="63">
        <v>0</v>
      </c>
      <c r="U1286" s="63"/>
      <c r="V1286" s="63"/>
      <c r="W1286" s="63">
        <f t="shared" si="338"/>
        <v>7</v>
      </c>
      <c r="X1286" s="63"/>
      <c r="Y1286" s="63"/>
      <c r="Z1286" s="63"/>
      <c r="AA1286" s="63"/>
      <c r="AB1286" s="63"/>
      <c r="AT1286" t="str">
        <f t="shared" si="328"/>
        <v>Sugar Hill</v>
      </c>
      <c r="AU1286" t="s">
        <v>2260</v>
      </c>
      <c r="AV1286">
        <v>2</v>
      </c>
      <c r="AW1286">
        <v>2</v>
      </c>
      <c r="AX1286" s="114">
        <v>33</v>
      </c>
      <c r="AY1286" s="116">
        <v>9</v>
      </c>
      <c r="AZ1286" s="116">
        <v>167</v>
      </c>
      <c r="BA1286" s="120">
        <v>74740</v>
      </c>
      <c r="BB1286" s="120">
        <f t="shared" si="330"/>
        <v>33009</v>
      </c>
      <c r="BC1286" t="s">
        <v>1472</v>
      </c>
      <c r="BD1286">
        <f t="shared" si="339"/>
        <v>3374740</v>
      </c>
      <c r="BI1286">
        <v>17.23</v>
      </c>
      <c r="BJ1286">
        <v>0.11</v>
      </c>
      <c r="BK1286">
        <v>17.11</v>
      </c>
      <c r="BP1286" s="1">
        <v>8</v>
      </c>
      <c r="BR1286">
        <v>3</v>
      </c>
    </row>
    <row r="1287" spans="1:70" hidden="1" outlineLevel="1">
      <c r="A1287" t="s">
        <v>1040</v>
      </c>
      <c r="B1287" s="8" t="s">
        <v>1799</v>
      </c>
      <c r="C1287" s="1">
        <f t="shared" si="331"/>
        <v>408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332"/>
        <v>6</v>
      </c>
      <c r="G1287" s="1">
        <f t="shared" si="333"/>
        <v>24</v>
      </c>
      <c r="H1287" s="2">
        <f t="shared" si="329"/>
        <v>5.8823529411764705E-2</v>
      </c>
      <c r="I1287" s="6"/>
      <c r="J1287" s="2">
        <f t="shared" si="334"/>
        <v>0.48039215686274511</v>
      </c>
      <c r="K1287" s="2">
        <f t="shared" si="335"/>
        <v>0.42156862745098039</v>
      </c>
      <c r="L1287" s="2">
        <f t="shared" si="336"/>
        <v>4.9019607843137254E-3</v>
      </c>
      <c r="M1287" s="2">
        <f t="shared" si="337"/>
        <v>9.3137254901960717E-2</v>
      </c>
      <c r="N1287" s="63">
        <v>196</v>
      </c>
      <c r="O1287" s="63">
        <v>172</v>
      </c>
      <c r="P1287" s="63">
        <v>2</v>
      </c>
      <c r="Q1287" s="63">
        <v>25</v>
      </c>
      <c r="R1287" s="63">
        <v>3</v>
      </c>
      <c r="S1287" s="63"/>
      <c r="T1287" s="63">
        <v>0</v>
      </c>
      <c r="U1287" s="63"/>
      <c r="V1287" s="63"/>
      <c r="W1287" s="63">
        <f t="shared" si="338"/>
        <v>10</v>
      </c>
      <c r="X1287" s="63"/>
      <c r="Y1287" s="63"/>
      <c r="Z1287" s="63"/>
      <c r="AA1287" s="63"/>
      <c r="AB1287" s="63"/>
      <c r="AT1287" t="str">
        <f t="shared" si="328"/>
        <v>Sullivan</v>
      </c>
      <c r="AU1287" t="s">
        <v>1463</v>
      </c>
      <c r="AV1287">
        <v>2</v>
      </c>
      <c r="AW1287">
        <v>2</v>
      </c>
      <c r="AX1287" s="114">
        <v>33</v>
      </c>
      <c r="AY1287" s="116">
        <v>5</v>
      </c>
      <c r="AZ1287" s="116">
        <v>85</v>
      </c>
      <c r="BA1287" s="120">
        <v>74900</v>
      </c>
      <c r="BB1287" s="120">
        <f t="shared" si="330"/>
        <v>33005</v>
      </c>
      <c r="BC1287" t="s">
        <v>1472</v>
      </c>
      <c r="BD1287">
        <f t="shared" si="339"/>
        <v>3374900</v>
      </c>
      <c r="BI1287">
        <v>18.7</v>
      </c>
      <c r="BJ1287">
        <v>0.19</v>
      </c>
      <c r="BK1287">
        <v>18.510000000000002</v>
      </c>
      <c r="BP1287" s="1">
        <v>12</v>
      </c>
      <c r="BR1287">
        <v>6</v>
      </c>
    </row>
    <row r="1288" spans="1:70" hidden="1" outlineLevel="1">
      <c r="A1288" t="s">
        <v>2265</v>
      </c>
      <c r="B1288" s="8" t="s">
        <v>1799</v>
      </c>
      <c r="C1288" s="1">
        <f t="shared" si="331"/>
        <v>2125</v>
      </c>
      <c r="D1288" s="5">
        <f>IF(N1288&gt;0, RANK(N1288,(N1288:P1288,Q1288:AE1288)),0)</f>
        <v>2</v>
      </c>
      <c r="E1288" s="5">
        <f>IF(O1288&gt;0,RANK(O1288,(N1288:P1288,Q1288:AE1288)),0)</f>
        <v>1</v>
      </c>
      <c r="F1288" s="5">
        <f t="shared" si="332"/>
        <v>6</v>
      </c>
      <c r="G1288" s="1">
        <f t="shared" si="333"/>
        <v>116</v>
      </c>
      <c r="H1288" s="2">
        <f t="shared" si="329"/>
        <v>5.4588235294117646E-2</v>
      </c>
      <c r="I1288" s="6"/>
      <c r="J1288" s="2">
        <f t="shared" si="334"/>
        <v>0.43670588235294117</v>
      </c>
      <c r="K1288" s="2">
        <f t="shared" si="335"/>
        <v>0.49129411764705883</v>
      </c>
      <c r="L1288" s="2">
        <f t="shared" si="336"/>
        <v>9.4117647058823532E-4</v>
      </c>
      <c r="M1288" s="2">
        <f t="shared" si="337"/>
        <v>7.1058823529411771E-2</v>
      </c>
      <c r="N1288" s="63">
        <v>928</v>
      </c>
      <c r="O1288" s="63">
        <v>1044</v>
      </c>
      <c r="P1288" s="63">
        <v>2</v>
      </c>
      <c r="Q1288" s="63">
        <v>83</v>
      </c>
      <c r="R1288" s="63">
        <v>23</v>
      </c>
      <c r="S1288" s="63"/>
      <c r="T1288" s="63">
        <v>2</v>
      </c>
      <c r="U1288" s="63"/>
      <c r="V1288" s="63"/>
      <c r="W1288" s="63">
        <f t="shared" si="338"/>
        <v>43</v>
      </c>
      <c r="X1288" s="63"/>
      <c r="Y1288" s="63"/>
      <c r="Z1288" s="63"/>
      <c r="AA1288" s="63"/>
      <c r="AB1288" s="63"/>
      <c r="AT1288" t="str">
        <f t="shared" si="328"/>
        <v>Sunapee</v>
      </c>
      <c r="AU1288" t="s">
        <v>1040</v>
      </c>
      <c r="AV1288">
        <v>2</v>
      </c>
      <c r="AW1288">
        <v>2</v>
      </c>
      <c r="AX1288" s="114">
        <v>33</v>
      </c>
      <c r="AY1288" s="116">
        <v>19</v>
      </c>
      <c r="AZ1288" s="116">
        <v>65</v>
      </c>
      <c r="BA1288" s="120">
        <v>75060</v>
      </c>
      <c r="BB1288" s="120">
        <f t="shared" si="330"/>
        <v>33019</v>
      </c>
      <c r="BC1288" t="s">
        <v>1472</v>
      </c>
      <c r="BD1288">
        <f t="shared" si="339"/>
        <v>3375060</v>
      </c>
      <c r="BI1288">
        <v>25.2</v>
      </c>
      <c r="BJ1288">
        <v>4.08</v>
      </c>
      <c r="BK1288">
        <v>21.12</v>
      </c>
      <c r="BP1288" s="1">
        <v>45</v>
      </c>
      <c r="BR1288">
        <v>24</v>
      </c>
    </row>
    <row r="1289" spans="1:70" hidden="1" outlineLevel="1">
      <c r="A1289" t="s">
        <v>1469</v>
      </c>
      <c r="B1289" s="8" t="s">
        <v>1799</v>
      </c>
      <c r="C1289" s="1">
        <f t="shared" si="331"/>
        <v>512</v>
      </c>
      <c r="D1289" s="5">
        <f>IF(N1289&gt;0, RANK(N1289,(N1289:P1289,Q1289:AE1289)),0)</f>
        <v>2</v>
      </c>
      <c r="E1289" s="5">
        <f>IF(O1289&gt;0,RANK(O1289,(N1289:P1289,Q1289:AE1289)),0)</f>
        <v>1</v>
      </c>
      <c r="F1289" s="5">
        <f t="shared" si="332"/>
        <v>0</v>
      </c>
      <c r="G1289" s="1">
        <f t="shared" si="333"/>
        <v>7</v>
      </c>
      <c r="H1289" s="2">
        <f t="shared" si="329"/>
        <v>1.3671875E-2</v>
      </c>
      <c r="I1289" s="6"/>
      <c r="J1289" s="2">
        <f t="shared" si="334"/>
        <v>0.462890625</v>
      </c>
      <c r="K1289" s="2">
        <f t="shared" si="335"/>
        <v>0.4765625</v>
      </c>
      <c r="L1289" s="2">
        <f t="shared" si="336"/>
        <v>0</v>
      </c>
      <c r="M1289" s="2">
        <f t="shared" si="337"/>
        <v>6.0546875E-2</v>
      </c>
      <c r="N1289" s="63">
        <v>237</v>
      </c>
      <c r="O1289" s="63">
        <v>244</v>
      </c>
      <c r="P1289" s="63">
        <v>0</v>
      </c>
      <c r="Q1289" s="63">
        <v>14</v>
      </c>
      <c r="R1289" s="63">
        <v>4</v>
      </c>
      <c r="S1289" s="63"/>
      <c r="T1289" s="63">
        <v>0</v>
      </c>
      <c r="U1289" s="63"/>
      <c r="V1289" s="63"/>
      <c r="W1289" s="63">
        <f t="shared" si="338"/>
        <v>13</v>
      </c>
      <c r="X1289" s="63"/>
      <c r="Y1289" s="63"/>
      <c r="Z1289" s="63"/>
      <c r="AA1289" s="63"/>
      <c r="AB1289" s="63"/>
      <c r="AT1289" t="str">
        <f t="shared" si="328"/>
        <v>Surry</v>
      </c>
      <c r="AU1289" t="s">
        <v>1463</v>
      </c>
      <c r="AV1289">
        <v>2</v>
      </c>
      <c r="AW1289">
        <v>2</v>
      </c>
      <c r="AX1289" s="114">
        <v>33</v>
      </c>
      <c r="AY1289" s="116">
        <v>5</v>
      </c>
      <c r="AZ1289" s="116">
        <v>90</v>
      </c>
      <c r="BA1289" s="120">
        <v>75300</v>
      </c>
      <c r="BB1289" s="120">
        <f t="shared" si="330"/>
        <v>33005</v>
      </c>
      <c r="BC1289" t="s">
        <v>1472</v>
      </c>
      <c r="BD1289">
        <f t="shared" si="339"/>
        <v>3375300</v>
      </c>
      <c r="BI1289">
        <v>15.89</v>
      </c>
      <c r="BJ1289">
        <v>0.32</v>
      </c>
      <c r="BK1289">
        <v>15.58</v>
      </c>
      <c r="BP1289" s="1">
        <v>13</v>
      </c>
      <c r="BR1289">
        <v>4</v>
      </c>
    </row>
    <row r="1290" spans="1:70" hidden="1" outlineLevel="1">
      <c r="A1290" t="s">
        <v>638</v>
      </c>
      <c r="B1290" s="8" t="s">
        <v>1799</v>
      </c>
      <c r="C1290" s="1">
        <f t="shared" si="331"/>
        <v>1234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332"/>
        <v>0</v>
      </c>
      <c r="G1290" s="1">
        <f t="shared" si="333"/>
        <v>47</v>
      </c>
      <c r="H1290" s="2">
        <f t="shared" si="329"/>
        <v>3.8087520259319288E-2</v>
      </c>
      <c r="I1290" s="6"/>
      <c r="J1290" s="2">
        <f t="shared" si="334"/>
        <v>0.49189627228525123</v>
      </c>
      <c r="K1290" s="2">
        <f t="shared" si="335"/>
        <v>0.45380875202593191</v>
      </c>
      <c r="L1290" s="2">
        <f t="shared" si="336"/>
        <v>0</v>
      </c>
      <c r="M1290" s="2">
        <f t="shared" si="337"/>
        <v>5.429497568881686E-2</v>
      </c>
      <c r="N1290" s="63">
        <v>607</v>
      </c>
      <c r="O1290" s="63">
        <v>560</v>
      </c>
      <c r="P1290" s="63">
        <v>0</v>
      </c>
      <c r="Q1290" s="63">
        <v>52</v>
      </c>
      <c r="R1290" s="63">
        <v>13</v>
      </c>
      <c r="S1290" s="63"/>
      <c r="T1290" s="63">
        <v>2</v>
      </c>
      <c r="U1290" s="63"/>
      <c r="V1290" s="63"/>
      <c r="W1290" s="63">
        <f t="shared" si="338"/>
        <v>0</v>
      </c>
      <c r="X1290" s="63"/>
      <c r="Y1290" s="63"/>
      <c r="Z1290" s="63"/>
      <c r="AA1290" s="63"/>
      <c r="AB1290" s="63"/>
      <c r="AT1290" t="str">
        <f t="shared" si="328"/>
        <v>Sutton</v>
      </c>
      <c r="AU1290" t="s">
        <v>2494</v>
      </c>
      <c r="AV1290">
        <v>2</v>
      </c>
      <c r="AW1290">
        <v>2</v>
      </c>
      <c r="AX1290" s="114">
        <v>33</v>
      </c>
      <c r="AY1290" s="116">
        <v>13</v>
      </c>
      <c r="AZ1290" s="116">
        <v>120</v>
      </c>
      <c r="BA1290" s="120">
        <v>75460</v>
      </c>
      <c r="BB1290" s="120">
        <f t="shared" si="330"/>
        <v>33013</v>
      </c>
      <c r="BC1290" t="s">
        <v>1472</v>
      </c>
      <c r="BD1290">
        <f t="shared" si="339"/>
        <v>3375460</v>
      </c>
      <c r="BI1290">
        <v>43.14</v>
      </c>
      <c r="BJ1290">
        <v>0.8</v>
      </c>
      <c r="BK1290">
        <v>42.34</v>
      </c>
      <c r="BP1290" s="1">
        <v>0</v>
      </c>
      <c r="BR1290">
        <v>0</v>
      </c>
    </row>
    <row r="1291" spans="1:70" hidden="1" outlineLevel="1">
      <c r="A1291" t="s">
        <v>2992</v>
      </c>
      <c r="B1291" s="8" t="s">
        <v>1799</v>
      </c>
      <c r="C1291" s="1">
        <f t="shared" si="331"/>
        <v>3866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 t="shared" si="332"/>
        <v>7</v>
      </c>
      <c r="G1291" s="1">
        <f t="shared" si="333"/>
        <v>21</v>
      </c>
      <c r="H1291" s="2">
        <f t="shared" si="329"/>
        <v>5.4319710294878426E-3</v>
      </c>
      <c r="I1291" s="6"/>
      <c r="J1291" s="2">
        <f t="shared" si="334"/>
        <v>0.46740817382307293</v>
      </c>
      <c r="K1291" s="2">
        <f t="shared" si="335"/>
        <v>0.47284014485256076</v>
      </c>
      <c r="L1291" s="2">
        <f t="shared" si="336"/>
        <v>2.5866528711846869E-4</v>
      </c>
      <c r="M1291" s="2">
        <f t="shared" si="337"/>
        <v>5.9493016037247902E-2</v>
      </c>
      <c r="N1291" s="63">
        <v>1807</v>
      </c>
      <c r="O1291" s="63">
        <v>1828</v>
      </c>
      <c r="P1291" s="63">
        <v>1</v>
      </c>
      <c r="Q1291" s="63">
        <v>144</v>
      </c>
      <c r="R1291" s="63">
        <v>34</v>
      </c>
      <c r="S1291" s="63"/>
      <c r="T1291" s="63">
        <v>3</v>
      </c>
      <c r="U1291" s="63"/>
      <c r="V1291" s="63"/>
      <c r="W1291" s="63">
        <f t="shared" si="338"/>
        <v>49</v>
      </c>
      <c r="X1291" s="63"/>
      <c r="Y1291" s="63"/>
      <c r="Z1291" s="63"/>
      <c r="AA1291" s="63"/>
      <c r="AB1291" s="63"/>
      <c r="AT1291" t="str">
        <f t="shared" si="328"/>
        <v>Swanzey</v>
      </c>
      <c r="AU1291" t="s">
        <v>1463</v>
      </c>
      <c r="AV1291">
        <v>2</v>
      </c>
      <c r="AW1291">
        <v>2</v>
      </c>
      <c r="AX1291" s="114">
        <v>33</v>
      </c>
      <c r="AY1291" s="116">
        <v>5</v>
      </c>
      <c r="AZ1291" s="116">
        <v>95</v>
      </c>
      <c r="BA1291" s="120">
        <v>75700</v>
      </c>
      <c r="BB1291" s="120">
        <f t="shared" si="330"/>
        <v>33005</v>
      </c>
      <c r="BC1291" t="s">
        <v>1472</v>
      </c>
      <c r="BD1291">
        <f t="shared" si="339"/>
        <v>3375700</v>
      </c>
      <c r="BI1291">
        <v>45.35</v>
      </c>
      <c r="BJ1291">
        <v>0.36</v>
      </c>
      <c r="BK1291">
        <v>44.99</v>
      </c>
      <c r="BP1291" s="1">
        <v>50</v>
      </c>
      <c r="BR1291">
        <v>27</v>
      </c>
    </row>
    <row r="1292" spans="1:70" hidden="1" outlineLevel="1">
      <c r="A1292" t="s">
        <v>2517</v>
      </c>
      <c r="B1292" s="8" t="s">
        <v>1799</v>
      </c>
      <c r="C1292" s="1">
        <f t="shared" si="331"/>
        <v>1630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 t="shared" si="332"/>
        <v>6</v>
      </c>
      <c r="G1292" s="1">
        <f t="shared" si="333"/>
        <v>22</v>
      </c>
      <c r="H1292" s="2">
        <f t="shared" si="329"/>
        <v>1.3496932515337423E-2</v>
      </c>
      <c r="I1292" s="6"/>
      <c r="J1292" s="2">
        <f t="shared" si="334"/>
        <v>0.45337423312883435</v>
      </c>
      <c r="K1292" s="2">
        <f t="shared" si="335"/>
        <v>0.4668711656441718</v>
      </c>
      <c r="L1292" s="2">
        <f t="shared" si="336"/>
        <v>3.6809815950920245E-3</v>
      </c>
      <c r="M1292" s="2">
        <f t="shared" si="337"/>
        <v>7.6073619631901762E-2</v>
      </c>
      <c r="N1292" s="63">
        <v>739</v>
      </c>
      <c r="O1292" s="63">
        <v>761</v>
      </c>
      <c r="P1292" s="63">
        <v>6</v>
      </c>
      <c r="Q1292" s="63">
        <v>69</v>
      </c>
      <c r="R1292" s="63">
        <v>24</v>
      </c>
      <c r="S1292" s="63"/>
      <c r="T1292" s="63">
        <v>2</v>
      </c>
      <c r="U1292" s="63"/>
      <c r="V1292" s="63"/>
      <c r="W1292" s="63">
        <f t="shared" si="338"/>
        <v>29</v>
      </c>
      <c r="X1292" s="63"/>
      <c r="Y1292" s="63"/>
      <c r="Z1292" s="63"/>
      <c r="AA1292" s="63"/>
      <c r="AB1292" s="63"/>
      <c r="AT1292" t="str">
        <f t="shared" si="328"/>
        <v>Tamworth</v>
      </c>
      <c r="AU1292" t="s">
        <v>1675</v>
      </c>
      <c r="AV1292">
        <v>1</v>
      </c>
      <c r="AW1292">
        <v>1</v>
      </c>
      <c r="AX1292" s="114">
        <v>33</v>
      </c>
      <c r="AY1292" s="116">
        <v>3</v>
      </c>
      <c r="AZ1292" s="116">
        <v>80</v>
      </c>
      <c r="BA1292" s="120">
        <v>76100</v>
      </c>
      <c r="BB1292" s="120">
        <f t="shared" si="330"/>
        <v>33003</v>
      </c>
      <c r="BC1292" t="s">
        <v>1472</v>
      </c>
      <c r="BD1292">
        <f t="shared" si="339"/>
        <v>3376100</v>
      </c>
      <c r="BI1292">
        <v>60.75</v>
      </c>
      <c r="BJ1292">
        <v>0.82</v>
      </c>
      <c r="BK1292">
        <v>59.93</v>
      </c>
      <c r="BP1292" s="1">
        <v>35</v>
      </c>
      <c r="BR1292">
        <v>10</v>
      </c>
    </row>
    <row r="1293" spans="1:70" hidden="1" outlineLevel="1">
      <c r="A1293" t="s">
        <v>3210</v>
      </c>
      <c r="B1293" s="8" t="s">
        <v>1799</v>
      </c>
      <c r="C1293" s="1">
        <f t="shared" si="331"/>
        <v>873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332"/>
        <v>7</v>
      </c>
      <c r="G1293" s="1">
        <f t="shared" si="333"/>
        <v>5</v>
      </c>
      <c r="H1293" s="2">
        <f t="shared" si="329"/>
        <v>5.7273768613974796E-3</v>
      </c>
      <c r="I1293" s="6"/>
      <c r="J1293" s="2">
        <f t="shared" si="334"/>
        <v>0.46391752577319589</v>
      </c>
      <c r="K1293" s="2">
        <f t="shared" si="335"/>
        <v>0.45819014891179838</v>
      </c>
      <c r="L1293" s="2">
        <f t="shared" si="336"/>
        <v>2.2909507445589921E-3</v>
      </c>
      <c r="M1293" s="2">
        <f t="shared" si="337"/>
        <v>7.560137457044673E-2</v>
      </c>
      <c r="N1293" s="63">
        <v>405</v>
      </c>
      <c r="O1293" s="63">
        <v>400</v>
      </c>
      <c r="P1293" s="63">
        <v>2</v>
      </c>
      <c r="Q1293" s="63">
        <v>32</v>
      </c>
      <c r="R1293" s="63">
        <v>16</v>
      </c>
      <c r="S1293" s="63"/>
      <c r="T1293" s="63">
        <v>8</v>
      </c>
      <c r="U1293" s="63"/>
      <c r="V1293" s="63"/>
      <c r="W1293" s="63">
        <f t="shared" si="338"/>
        <v>10</v>
      </c>
      <c r="X1293" s="63"/>
      <c r="Y1293" s="63"/>
      <c r="Z1293" s="63"/>
      <c r="AA1293" s="63"/>
      <c r="AB1293" s="63"/>
      <c r="AT1293" t="str">
        <f t="shared" si="328"/>
        <v>Temple</v>
      </c>
      <c r="AU1293" t="s">
        <v>1161</v>
      </c>
      <c r="AV1293">
        <v>2</v>
      </c>
      <c r="AW1293">
        <v>2</v>
      </c>
      <c r="AX1293" s="114">
        <v>33</v>
      </c>
      <c r="AY1293" s="116">
        <v>11</v>
      </c>
      <c r="AZ1293" s="116">
        <v>140</v>
      </c>
      <c r="BA1293" s="120">
        <v>76260</v>
      </c>
      <c r="BB1293" s="120">
        <f t="shared" si="330"/>
        <v>33011</v>
      </c>
      <c r="BC1293" t="s">
        <v>1472</v>
      </c>
      <c r="BD1293">
        <f t="shared" si="339"/>
        <v>3376260</v>
      </c>
      <c r="BI1293">
        <v>23.46</v>
      </c>
      <c r="BJ1293">
        <v>0.22</v>
      </c>
      <c r="BK1293">
        <v>23.24</v>
      </c>
      <c r="BP1293" s="1">
        <v>12</v>
      </c>
      <c r="BR1293">
        <v>1</v>
      </c>
    </row>
    <row r="1294" spans="1:70" hidden="1" outlineLevel="1">
      <c r="A1294" t="s">
        <v>1300</v>
      </c>
      <c r="B1294" s="8" t="s">
        <v>1799</v>
      </c>
      <c r="C1294" s="1">
        <f t="shared" si="331"/>
        <v>1516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332"/>
        <v>6</v>
      </c>
      <c r="G1294" s="1">
        <f t="shared" si="333"/>
        <v>85</v>
      </c>
      <c r="H1294" s="2">
        <f t="shared" si="329"/>
        <v>5.6068601583113456E-2</v>
      </c>
      <c r="I1294" s="6"/>
      <c r="J1294" s="2">
        <f t="shared" si="334"/>
        <v>0.48548812664907653</v>
      </c>
      <c r="K1294" s="2">
        <f t="shared" si="335"/>
        <v>0.42941952506596304</v>
      </c>
      <c r="L1294" s="2">
        <f t="shared" si="336"/>
        <v>2.6385224274406332E-3</v>
      </c>
      <c r="M1294" s="2">
        <f t="shared" si="337"/>
        <v>8.2453825857519855E-2</v>
      </c>
      <c r="N1294" s="63">
        <v>736</v>
      </c>
      <c r="O1294" s="63">
        <v>651</v>
      </c>
      <c r="P1294" s="63">
        <v>4</v>
      </c>
      <c r="Q1294" s="63">
        <v>88</v>
      </c>
      <c r="R1294" s="63">
        <v>14</v>
      </c>
      <c r="S1294" s="63"/>
      <c r="T1294" s="63">
        <v>0</v>
      </c>
      <c r="U1294" s="63"/>
      <c r="V1294" s="63"/>
      <c r="W1294" s="63">
        <f t="shared" si="338"/>
        <v>23</v>
      </c>
      <c r="X1294" s="63"/>
      <c r="Y1294" s="63"/>
      <c r="Z1294" s="63"/>
      <c r="AA1294" s="63"/>
      <c r="AB1294" s="63"/>
      <c r="AT1294" t="str">
        <f t="shared" ref="AT1294:AT1357" si="340">A1294</f>
        <v>Thornton</v>
      </c>
      <c r="AU1294" t="s">
        <v>2260</v>
      </c>
      <c r="AV1294">
        <v>2</v>
      </c>
      <c r="AW1294">
        <v>2</v>
      </c>
      <c r="AX1294" s="114">
        <v>33</v>
      </c>
      <c r="AY1294" s="116">
        <v>9</v>
      </c>
      <c r="AZ1294" s="116">
        <v>170</v>
      </c>
      <c r="BA1294" s="120">
        <v>76740</v>
      </c>
      <c r="BB1294" s="120">
        <f t="shared" si="330"/>
        <v>33009</v>
      </c>
      <c r="BC1294" t="s">
        <v>1472</v>
      </c>
      <c r="BD1294">
        <f t="shared" si="339"/>
        <v>3376740</v>
      </c>
      <c r="BI1294">
        <v>50.82</v>
      </c>
      <c r="BJ1294">
        <v>0.42</v>
      </c>
      <c r="BK1294">
        <v>50.4</v>
      </c>
      <c r="BP1294" s="1">
        <v>27</v>
      </c>
      <c r="BR1294">
        <v>13</v>
      </c>
    </row>
    <row r="1295" spans="1:70" hidden="1" outlineLevel="1">
      <c r="A1295" t="s">
        <v>2348</v>
      </c>
      <c r="B1295" s="8" t="s">
        <v>1799</v>
      </c>
      <c r="C1295" s="1">
        <f t="shared" si="331"/>
        <v>1877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 t="shared" si="332"/>
        <v>6</v>
      </c>
      <c r="G1295" s="1">
        <f t="shared" si="333"/>
        <v>193</v>
      </c>
      <c r="H1295" s="2">
        <f t="shared" si="329"/>
        <v>0.1028236547682472</v>
      </c>
      <c r="I1295" s="6"/>
      <c r="J1295" s="2">
        <f t="shared" si="334"/>
        <v>0.41555673947789024</v>
      </c>
      <c r="K1295" s="2">
        <f t="shared" si="335"/>
        <v>0.51838039424613747</v>
      </c>
      <c r="L1295" s="2">
        <f t="shared" si="336"/>
        <v>1.0655301012253596E-3</v>
      </c>
      <c r="M1295" s="2">
        <f t="shared" si="337"/>
        <v>6.4997336174746886E-2</v>
      </c>
      <c r="N1295" s="63">
        <v>780</v>
      </c>
      <c r="O1295" s="63">
        <v>973</v>
      </c>
      <c r="P1295" s="63">
        <v>2</v>
      </c>
      <c r="Q1295" s="63">
        <v>75</v>
      </c>
      <c r="R1295" s="63">
        <v>19</v>
      </c>
      <c r="S1295" s="63"/>
      <c r="T1295" s="63">
        <v>2</v>
      </c>
      <c r="U1295" s="63"/>
      <c r="V1295" s="63"/>
      <c r="W1295" s="63">
        <f t="shared" si="338"/>
        <v>26</v>
      </c>
      <c r="X1295" s="63"/>
      <c r="Y1295" s="63"/>
      <c r="Z1295" s="63"/>
      <c r="AA1295" s="63"/>
      <c r="AB1295" s="63"/>
      <c r="AT1295" t="str">
        <f t="shared" si="340"/>
        <v>Tilton</v>
      </c>
      <c r="AU1295" t="s">
        <v>1437</v>
      </c>
      <c r="AV1295">
        <v>1</v>
      </c>
      <c r="AW1295">
        <v>1</v>
      </c>
      <c r="AX1295" s="114">
        <v>33</v>
      </c>
      <c r="AY1295" s="116">
        <v>1</v>
      </c>
      <c r="AZ1295" s="116">
        <v>55</v>
      </c>
      <c r="BA1295" s="120">
        <v>77060</v>
      </c>
      <c r="BB1295" s="120">
        <f t="shared" si="330"/>
        <v>33001</v>
      </c>
      <c r="BC1295" t="s">
        <v>1472</v>
      </c>
      <c r="BD1295">
        <f t="shared" si="339"/>
        <v>3377060</v>
      </c>
      <c r="BI1295">
        <v>12.03</v>
      </c>
      <c r="BJ1295">
        <v>0.57999999999999996</v>
      </c>
      <c r="BK1295">
        <v>11.44</v>
      </c>
      <c r="BP1295" s="1">
        <v>28</v>
      </c>
      <c r="BR1295">
        <v>14</v>
      </c>
    </row>
    <row r="1296" spans="1:70" hidden="1" outlineLevel="1">
      <c r="A1296" t="s">
        <v>98</v>
      </c>
      <c r="B1296" s="8" t="s">
        <v>1799</v>
      </c>
      <c r="C1296" s="1">
        <f t="shared" si="331"/>
        <v>1017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 t="shared" si="332"/>
        <v>0</v>
      </c>
      <c r="G1296" s="1">
        <f t="shared" si="333"/>
        <v>87</v>
      </c>
      <c r="H1296" s="2">
        <f t="shared" si="329"/>
        <v>8.5545722713864306E-2</v>
      </c>
      <c r="I1296" s="6"/>
      <c r="J1296" s="2">
        <f t="shared" si="334"/>
        <v>0.41494591937069814</v>
      </c>
      <c r="K1296" s="2">
        <f t="shared" si="335"/>
        <v>0.50049164208456243</v>
      </c>
      <c r="L1296" s="2">
        <f t="shared" si="336"/>
        <v>0</v>
      </c>
      <c r="M1296" s="2">
        <f t="shared" si="337"/>
        <v>8.4562438544739438E-2</v>
      </c>
      <c r="N1296" s="63">
        <v>422</v>
      </c>
      <c r="O1296" s="63">
        <v>509</v>
      </c>
      <c r="P1296" s="63">
        <v>0</v>
      </c>
      <c r="Q1296" s="63">
        <v>60</v>
      </c>
      <c r="R1296" s="63">
        <v>8</v>
      </c>
      <c r="S1296" s="63"/>
      <c r="T1296" s="63">
        <v>0</v>
      </c>
      <c r="U1296" s="63"/>
      <c r="V1296" s="63"/>
      <c r="W1296" s="63">
        <f t="shared" si="338"/>
        <v>18</v>
      </c>
      <c r="X1296" s="63"/>
      <c r="Y1296" s="63"/>
      <c r="Z1296" s="63"/>
      <c r="AA1296" s="63"/>
      <c r="AB1296" s="63"/>
      <c r="AT1296" t="str">
        <f t="shared" si="340"/>
        <v>Troy</v>
      </c>
      <c r="AU1296" t="s">
        <v>1463</v>
      </c>
      <c r="AV1296">
        <v>2</v>
      </c>
      <c r="AW1296">
        <v>2</v>
      </c>
      <c r="AX1296" s="114">
        <v>33</v>
      </c>
      <c r="AY1296" s="116">
        <v>5</v>
      </c>
      <c r="AZ1296" s="116">
        <v>100</v>
      </c>
      <c r="BA1296" s="120">
        <v>77380</v>
      </c>
      <c r="BB1296" s="120">
        <f t="shared" si="330"/>
        <v>33005</v>
      </c>
      <c r="BC1296" t="s">
        <v>1472</v>
      </c>
      <c r="BD1296">
        <f t="shared" si="339"/>
        <v>3377380</v>
      </c>
      <c r="BI1296">
        <v>17.579999999999998</v>
      </c>
      <c r="BJ1296">
        <v>0.16</v>
      </c>
      <c r="BK1296">
        <v>17.420000000000002</v>
      </c>
      <c r="BP1296" s="1">
        <v>18</v>
      </c>
      <c r="BR1296">
        <v>10</v>
      </c>
    </row>
    <row r="1297" spans="1:70" hidden="1" outlineLevel="1">
      <c r="A1297" t="s">
        <v>1382</v>
      </c>
      <c r="B1297" s="8" t="s">
        <v>1799</v>
      </c>
      <c r="C1297" s="1">
        <f t="shared" si="331"/>
        <v>1679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 t="shared" si="332"/>
        <v>6</v>
      </c>
      <c r="G1297" s="1">
        <f t="shared" si="333"/>
        <v>217</v>
      </c>
      <c r="H1297" s="2">
        <f t="shared" si="329"/>
        <v>0.12924359737939251</v>
      </c>
      <c r="I1297" s="6"/>
      <c r="J1297" s="2">
        <f t="shared" si="334"/>
        <v>0.40142942227516376</v>
      </c>
      <c r="K1297" s="2">
        <f t="shared" si="335"/>
        <v>0.53067301965455627</v>
      </c>
      <c r="L1297" s="2">
        <f t="shared" si="336"/>
        <v>2.3823704586063135E-3</v>
      </c>
      <c r="M1297" s="2">
        <f t="shared" si="337"/>
        <v>6.5515187611673659E-2</v>
      </c>
      <c r="N1297" s="63">
        <v>674</v>
      </c>
      <c r="O1297" s="63">
        <v>891</v>
      </c>
      <c r="P1297" s="63">
        <v>4</v>
      </c>
      <c r="Q1297" s="63">
        <v>55</v>
      </c>
      <c r="R1297" s="63">
        <v>17</v>
      </c>
      <c r="S1297" s="63"/>
      <c r="T1297" s="63">
        <v>0</v>
      </c>
      <c r="U1297" s="63"/>
      <c r="V1297" s="63"/>
      <c r="W1297" s="63">
        <f t="shared" si="338"/>
        <v>38</v>
      </c>
      <c r="X1297" s="63"/>
      <c r="Y1297" s="63"/>
      <c r="Z1297" s="63"/>
      <c r="AA1297" s="63"/>
      <c r="AB1297" s="63"/>
      <c r="AT1297" t="str">
        <f t="shared" si="340"/>
        <v>Tuftonboro</v>
      </c>
      <c r="AU1297" t="s">
        <v>1675</v>
      </c>
      <c r="AV1297">
        <v>1</v>
      </c>
      <c r="AW1297">
        <v>1</v>
      </c>
      <c r="AX1297" s="114">
        <v>33</v>
      </c>
      <c r="AY1297" s="116">
        <v>3</v>
      </c>
      <c r="AZ1297" s="116">
        <v>85</v>
      </c>
      <c r="BA1297" s="120">
        <v>77620</v>
      </c>
      <c r="BB1297" s="120">
        <f t="shared" si="330"/>
        <v>33003</v>
      </c>
      <c r="BC1297" t="s">
        <v>1472</v>
      </c>
      <c r="BD1297">
        <f t="shared" si="339"/>
        <v>3377620</v>
      </c>
      <c r="BI1297">
        <v>50.08</v>
      </c>
      <c r="BJ1297">
        <v>8.94</v>
      </c>
      <c r="BK1297">
        <v>41.13</v>
      </c>
      <c r="BP1297" s="1">
        <v>42</v>
      </c>
      <c r="BR1297">
        <v>8</v>
      </c>
    </row>
    <row r="1298" spans="1:70" hidden="1" outlineLevel="1">
      <c r="A1298" t="s">
        <v>3116</v>
      </c>
      <c r="B1298" s="8" t="s">
        <v>1799</v>
      </c>
      <c r="C1298" s="1">
        <f t="shared" si="331"/>
        <v>813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 t="shared" si="332"/>
        <v>0</v>
      </c>
      <c r="G1298" s="1">
        <f t="shared" si="333"/>
        <v>192</v>
      </c>
      <c r="H1298" s="2">
        <f t="shared" si="329"/>
        <v>0.23616236162361623</v>
      </c>
      <c r="I1298" s="6"/>
      <c r="J1298" s="2">
        <f t="shared" si="334"/>
        <v>0.34563345633456333</v>
      </c>
      <c r="K1298" s="2">
        <f t="shared" si="335"/>
        <v>0.58179581795817958</v>
      </c>
      <c r="L1298" s="2">
        <f t="shared" si="336"/>
        <v>0</v>
      </c>
      <c r="M1298" s="2">
        <f t="shared" si="337"/>
        <v>7.2570725707257089E-2</v>
      </c>
      <c r="N1298" s="63">
        <v>281</v>
      </c>
      <c r="O1298" s="63">
        <v>473</v>
      </c>
      <c r="P1298" s="63">
        <v>0</v>
      </c>
      <c r="Q1298" s="63">
        <v>29</v>
      </c>
      <c r="R1298" s="63">
        <v>13</v>
      </c>
      <c r="S1298" s="63"/>
      <c r="T1298" s="63">
        <v>1</v>
      </c>
      <c r="U1298" s="63"/>
      <c r="V1298" s="63"/>
      <c r="W1298" s="63">
        <f t="shared" si="338"/>
        <v>16</v>
      </c>
      <c r="X1298" s="63"/>
      <c r="Y1298" s="63"/>
      <c r="Z1298" s="63"/>
      <c r="AA1298" s="63"/>
      <c r="AB1298" s="63"/>
      <c r="AT1298" t="str">
        <f t="shared" si="340"/>
        <v>Unity</v>
      </c>
      <c r="AU1298" t="s">
        <v>1040</v>
      </c>
      <c r="AV1298">
        <v>2</v>
      </c>
      <c r="AW1298">
        <v>2</v>
      </c>
      <c r="AX1298" s="114">
        <v>33</v>
      </c>
      <c r="AY1298" s="116">
        <v>19</v>
      </c>
      <c r="AZ1298" s="116">
        <v>70</v>
      </c>
      <c r="BA1298" s="120">
        <v>77940</v>
      </c>
      <c r="BB1298" s="120">
        <f t="shared" si="330"/>
        <v>33019</v>
      </c>
      <c r="BC1298" t="s">
        <v>1472</v>
      </c>
      <c r="BD1298">
        <f t="shared" si="339"/>
        <v>3377940</v>
      </c>
      <c r="BI1298">
        <v>37.18</v>
      </c>
      <c r="BJ1298">
        <v>0.24</v>
      </c>
      <c r="BK1298">
        <v>36.94</v>
      </c>
      <c r="BP1298" s="1">
        <v>16</v>
      </c>
      <c r="BR1298">
        <v>14</v>
      </c>
    </row>
    <row r="1299" spans="1:70" hidden="1" outlineLevel="1">
      <c r="A1299" t="s">
        <v>2609</v>
      </c>
      <c r="B1299" s="8" t="s">
        <v>1799</v>
      </c>
      <c r="C1299" s="1">
        <f t="shared" si="331"/>
        <v>2789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 t="shared" si="332"/>
        <v>6</v>
      </c>
      <c r="G1299" s="1">
        <f t="shared" si="333"/>
        <v>868</v>
      </c>
      <c r="H1299" s="2">
        <f t="shared" si="329"/>
        <v>0.31122266045177482</v>
      </c>
      <c r="I1299" s="6"/>
      <c r="J1299" s="2">
        <f t="shared" si="334"/>
        <v>0.31301541771244173</v>
      </c>
      <c r="K1299" s="2">
        <f t="shared" si="335"/>
        <v>0.62423807816421661</v>
      </c>
      <c r="L1299" s="2">
        <f t="shared" si="336"/>
        <v>2.1513087128002869E-3</v>
      </c>
      <c r="M1299" s="2">
        <f t="shared" si="337"/>
        <v>6.0595195410541307E-2</v>
      </c>
      <c r="N1299" s="63">
        <v>873</v>
      </c>
      <c r="O1299" s="63">
        <v>1741</v>
      </c>
      <c r="P1299" s="63">
        <v>6</v>
      </c>
      <c r="Q1299" s="63">
        <v>111</v>
      </c>
      <c r="R1299" s="63">
        <v>20</v>
      </c>
      <c r="S1299" s="63"/>
      <c r="T1299" s="63">
        <v>0</v>
      </c>
      <c r="U1299" s="63"/>
      <c r="V1299" s="63"/>
      <c r="W1299" s="63">
        <f t="shared" si="338"/>
        <v>38</v>
      </c>
      <c r="X1299" s="63"/>
      <c r="Y1299" s="63"/>
      <c r="Z1299" s="63"/>
      <c r="AA1299" s="63"/>
      <c r="AB1299" s="63"/>
      <c r="AT1299" t="str">
        <f t="shared" si="340"/>
        <v>Wakefield</v>
      </c>
      <c r="AU1299" t="s">
        <v>1675</v>
      </c>
      <c r="AV1299">
        <v>1</v>
      </c>
      <c r="AW1299">
        <v>1</v>
      </c>
      <c r="AX1299" s="114">
        <v>33</v>
      </c>
      <c r="AY1299" s="116">
        <v>3</v>
      </c>
      <c r="AZ1299" s="116">
        <v>90</v>
      </c>
      <c r="BA1299" s="120">
        <v>78180</v>
      </c>
      <c r="BB1299" s="120">
        <f t="shared" si="330"/>
        <v>33003</v>
      </c>
      <c r="BC1299" t="s">
        <v>1472</v>
      </c>
      <c r="BD1299">
        <f t="shared" si="339"/>
        <v>3378180</v>
      </c>
      <c r="BI1299">
        <v>44.65</v>
      </c>
      <c r="BJ1299">
        <v>5.32</v>
      </c>
      <c r="BK1299">
        <v>39.32</v>
      </c>
      <c r="BP1299" s="1">
        <v>44</v>
      </c>
      <c r="BR1299">
        <v>16</v>
      </c>
    </row>
    <row r="1300" spans="1:70" hidden="1" outlineLevel="1">
      <c r="A1300" t="s">
        <v>2848</v>
      </c>
      <c r="B1300" s="8" t="s">
        <v>1799</v>
      </c>
      <c r="C1300" s="1">
        <f t="shared" si="331"/>
        <v>2118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332"/>
        <v>6</v>
      </c>
      <c r="G1300" s="1">
        <f t="shared" si="333"/>
        <v>414</v>
      </c>
      <c r="H1300" s="2">
        <f t="shared" si="329"/>
        <v>0.19546742209631729</v>
      </c>
      <c r="I1300" s="6"/>
      <c r="J1300" s="2">
        <f t="shared" si="334"/>
        <v>0.55193578847969782</v>
      </c>
      <c r="K1300" s="2">
        <f t="shared" si="335"/>
        <v>0.35646836638338053</v>
      </c>
      <c r="L1300" s="2">
        <f t="shared" si="336"/>
        <v>2.8328611898016999E-3</v>
      </c>
      <c r="M1300" s="2">
        <f t="shared" si="337"/>
        <v>8.8762983947119956E-2</v>
      </c>
      <c r="N1300" s="63">
        <v>1169</v>
      </c>
      <c r="O1300" s="63">
        <v>755</v>
      </c>
      <c r="P1300" s="63">
        <v>6</v>
      </c>
      <c r="Q1300" s="63">
        <v>104</v>
      </c>
      <c r="R1300" s="63">
        <v>27</v>
      </c>
      <c r="S1300" s="63"/>
      <c r="T1300" s="63">
        <v>3</v>
      </c>
      <c r="U1300" s="63"/>
      <c r="V1300" s="63"/>
      <c r="W1300" s="63">
        <f t="shared" si="338"/>
        <v>54</v>
      </c>
      <c r="X1300" s="63"/>
      <c r="Y1300" s="63"/>
      <c r="Z1300" s="63"/>
      <c r="AA1300" s="63"/>
      <c r="AB1300" s="63"/>
      <c r="AT1300" t="str">
        <f t="shared" si="340"/>
        <v>Walpole</v>
      </c>
      <c r="AU1300" t="s">
        <v>1463</v>
      </c>
      <c r="AV1300">
        <v>2</v>
      </c>
      <c r="AW1300">
        <v>2</v>
      </c>
      <c r="AX1300" s="114">
        <v>33</v>
      </c>
      <c r="AY1300" s="116">
        <v>5</v>
      </c>
      <c r="AZ1300" s="116">
        <v>105</v>
      </c>
      <c r="BA1300" s="120">
        <v>78420</v>
      </c>
      <c r="BB1300" s="120">
        <f t="shared" si="330"/>
        <v>33005</v>
      </c>
      <c r="BC1300" t="s">
        <v>1472</v>
      </c>
      <c r="BD1300">
        <f t="shared" si="339"/>
        <v>3378420</v>
      </c>
      <c r="BI1300">
        <v>36.64</v>
      </c>
      <c r="BJ1300">
        <v>1.08</v>
      </c>
      <c r="BK1300">
        <v>35.57</v>
      </c>
      <c r="BP1300" s="1">
        <v>60</v>
      </c>
      <c r="BR1300">
        <v>29</v>
      </c>
    </row>
    <row r="1301" spans="1:70" hidden="1" outlineLevel="1">
      <c r="A1301" t="s">
        <v>2374</v>
      </c>
      <c r="B1301" s="8" t="s">
        <v>1799</v>
      </c>
      <c r="C1301" s="1">
        <f t="shared" si="331"/>
        <v>1814</v>
      </c>
      <c r="D1301" s="5">
        <f>IF(N1301&gt;0, RANK(N1301,(N1301:P1301,Q1301:AE1301)),0)</f>
        <v>1</v>
      </c>
      <c r="E1301" s="5">
        <f>IF(O1301&gt;0,RANK(O1301,(N1301:P1301,Q1301:AE1301)),0)</f>
        <v>2</v>
      </c>
      <c r="F1301" s="5">
        <f t="shared" si="332"/>
        <v>6</v>
      </c>
      <c r="G1301" s="1">
        <f t="shared" si="333"/>
        <v>84</v>
      </c>
      <c r="H1301" s="2">
        <f t="shared" si="329"/>
        <v>4.6306504961411248E-2</v>
      </c>
      <c r="I1301" s="6"/>
      <c r="J1301" s="2">
        <f t="shared" si="334"/>
        <v>0.48180815876515987</v>
      </c>
      <c r="K1301" s="2">
        <f t="shared" si="335"/>
        <v>0.43550165380374861</v>
      </c>
      <c r="L1301" s="2">
        <f t="shared" si="336"/>
        <v>2.205071664829107E-3</v>
      </c>
      <c r="M1301" s="2">
        <f t="shared" si="337"/>
        <v>8.0485115766262355E-2</v>
      </c>
      <c r="N1301" s="63">
        <v>874</v>
      </c>
      <c r="O1301" s="63">
        <v>790</v>
      </c>
      <c r="P1301" s="63">
        <v>4</v>
      </c>
      <c r="Q1301" s="63">
        <v>83</v>
      </c>
      <c r="R1301" s="63">
        <v>31</v>
      </c>
      <c r="S1301" s="63"/>
      <c r="T1301" s="63">
        <v>1</v>
      </c>
      <c r="U1301" s="63"/>
      <c r="V1301" s="63"/>
      <c r="W1301" s="63">
        <f t="shared" si="338"/>
        <v>31</v>
      </c>
      <c r="X1301" s="63"/>
      <c r="Y1301" s="63"/>
      <c r="Z1301" s="63"/>
      <c r="AA1301" s="63"/>
      <c r="AB1301" s="63"/>
      <c r="AT1301" t="str">
        <f t="shared" si="340"/>
        <v>Warner</v>
      </c>
      <c r="AU1301" t="s">
        <v>2494</v>
      </c>
      <c r="AV1301">
        <v>2</v>
      </c>
      <c r="AW1301">
        <v>2</v>
      </c>
      <c r="AX1301" s="114">
        <v>33</v>
      </c>
      <c r="AY1301" s="116">
        <v>13</v>
      </c>
      <c r="AZ1301" s="116">
        <v>125</v>
      </c>
      <c r="BA1301" s="120">
        <v>78580</v>
      </c>
      <c r="BB1301" s="120">
        <f t="shared" si="330"/>
        <v>33013</v>
      </c>
      <c r="BC1301" t="s">
        <v>1472</v>
      </c>
      <c r="BD1301">
        <f t="shared" si="339"/>
        <v>3378580</v>
      </c>
      <c r="BI1301">
        <v>55.9</v>
      </c>
      <c r="BJ1301">
        <v>0.24</v>
      </c>
      <c r="BK1301">
        <v>55.65</v>
      </c>
      <c r="BP1301" s="1">
        <v>35</v>
      </c>
      <c r="BR1301">
        <v>16</v>
      </c>
    </row>
    <row r="1302" spans="1:70" hidden="1" outlineLevel="1">
      <c r="A1302" t="s">
        <v>422</v>
      </c>
      <c r="B1302" s="8" t="s">
        <v>1799</v>
      </c>
      <c r="C1302" s="1">
        <f t="shared" si="331"/>
        <v>472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 t="shared" si="332"/>
        <v>0</v>
      </c>
      <c r="G1302" s="1">
        <f t="shared" si="333"/>
        <v>81</v>
      </c>
      <c r="H1302" s="2">
        <f t="shared" si="329"/>
        <v>0.17161016949152541</v>
      </c>
      <c r="I1302" s="6"/>
      <c r="J1302" s="2">
        <f t="shared" si="334"/>
        <v>0.38135593220338981</v>
      </c>
      <c r="K1302" s="2">
        <f t="shared" si="335"/>
        <v>0.55296610169491522</v>
      </c>
      <c r="L1302" s="2">
        <f t="shared" si="336"/>
        <v>0</v>
      </c>
      <c r="M1302" s="2">
        <f t="shared" si="337"/>
        <v>6.5677966101694962E-2</v>
      </c>
      <c r="N1302" s="63">
        <v>180</v>
      </c>
      <c r="O1302" s="63">
        <v>261</v>
      </c>
      <c r="P1302" s="63">
        <v>0</v>
      </c>
      <c r="Q1302" s="63">
        <v>14</v>
      </c>
      <c r="R1302" s="63">
        <v>5</v>
      </c>
      <c r="S1302" s="63"/>
      <c r="T1302" s="63">
        <v>0</v>
      </c>
      <c r="U1302" s="63"/>
      <c r="V1302" s="63"/>
      <c r="W1302" s="63">
        <f t="shared" si="338"/>
        <v>12</v>
      </c>
      <c r="X1302" s="63"/>
      <c r="Y1302" s="63"/>
      <c r="Z1302" s="63"/>
      <c r="AA1302" s="63"/>
      <c r="AB1302" s="63"/>
      <c r="AT1302" t="str">
        <f t="shared" si="340"/>
        <v>Warren</v>
      </c>
      <c r="AU1302" t="s">
        <v>2260</v>
      </c>
      <c r="AV1302">
        <v>2</v>
      </c>
      <c r="AW1302">
        <v>2</v>
      </c>
      <c r="AX1302" s="114">
        <v>33</v>
      </c>
      <c r="AY1302" s="116">
        <v>9</v>
      </c>
      <c r="AZ1302" s="116">
        <v>175</v>
      </c>
      <c r="BA1302" s="120">
        <v>78740</v>
      </c>
      <c r="BB1302" s="120">
        <f t="shared" si="330"/>
        <v>33009</v>
      </c>
      <c r="BC1302" t="s">
        <v>1472</v>
      </c>
      <c r="BD1302">
        <f t="shared" si="339"/>
        <v>3378740</v>
      </c>
      <c r="BI1302">
        <v>49.05</v>
      </c>
      <c r="BJ1302">
        <v>0.39</v>
      </c>
      <c r="BK1302">
        <v>48.66</v>
      </c>
      <c r="BP1302" s="1">
        <v>12</v>
      </c>
      <c r="BR1302">
        <v>10</v>
      </c>
    </row>
    <row r="1303" spans="1:70" hidden="1" outlineLevel="1">
      <c r="A1303" t="s">
        <v>692</v>
      </c>
      <c r="B1303" s="8" t="s">
        <v>1799</v>
      </c>
      <c r="C1303" s="1">
        <f t="shared" si="331"/>
        <v>705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332"/>
        <v>0</v>
      </c>
      <c r="G1303" s="1">
        <f t="shared" si="333"/>
        <v>153</v>
      </c>
      <c r="H1303" s="2">
        <f t="shared" si="329"/>
        <v>0.21702127659574469</v>
      </c>
      <c r="I1303" s="6"/>
      <c r="J1303" s="2">
        <f t="shared" si="334"/>
        <v>0.35035460992907802</v>
      </c>
      <c r="K1303" s="2">
        <f t="shared" si="335"/>
        <v>0.56737588652482274</v>
      </c>
      <c r="L1303" s="2">
        <f t="shared" si="336"/>
        <v>0</v>
      </c>
      <c r="M1303" s="2">
        <f t="shared" si="337"/>
        <v>8.2269503546099298E-2</v>
      </c>
      <c r="N1303" s="63">
        <v>247</v>
      </c>
      <c r="O1303" s="63">
        <v>400</v>
      </c>
      <c r="P1303" s="63">
        <v>0</v>
      </c>
      <c r="Q1303" s="63">
        <v>29</v>
      </c>
      <c r="R1303" s="63">
        <v>10</v>
      </c>
      <c r="S1303" s="63"/>
      <c r="T1303" s="63">
        <v>0</v>
      </c>
      <c r="U1303" s="63"/>
      <c r="V1303" s="63"/>
      <c r="W1303" s="63">
        <f t="shared" si="338"/>
        <v>19</v>
      </c>
      <c r="X1303" s="63"/>
      <c r="Y1303" s="63"/>
      <c r="Z1303" s="63"/>
      <c r="AA1303" s="63"/>
      <c r="AB1303" s="63"/>
      <c r="AT1303" t="str">
        <f t="shared" si="340"/>
        <v>Washington</v>
      </c>
      <c r="AU1303" t="s">
        <v>1040</v>
      </c>
      <c r="AV1303">
        <v>2</v>
      </c>
      <c r="AW1303">
        <v>2</v>
      </c>
      <c r="AX1303" s="114">
        <v>33</v>
      </c>
      <c r="AY1303" s="116">
        <v>19</v>
      </c>
      <c r="AZ1303" s="116">
        <v>75</v>
      </c>
      <c r="BA1303" s="120">
        <v>78980</v>
      </c>
      <c r="BB1303" s="120">
        <f t="shared" si="330"/>
        <v>33019</v>
      </c>
      <c r="BC1303" t="s">
        <v>1472</v>
      </c>
      <c r="BD1303">
        <f t="shared" si="339"/>
        <v>3378980</v>
      </c>
      <c r="BI1303">
        <v>47.63</v>
      </c>
      <c r="BJ1303">
        <v>2.2000000000000002</v>
      </c>
      <c r="BK1303">
        <v>45.43</v>
      </c>
      <c r="BP1303" s="1">
        <v>19</v>
      </c>
      <c r="BR1303">
        <v>9</v>
      </c>
    </row>
    <row r="1304" spans="1:70" hidden="1" outlineLevel="1">
      <c r="A1304" t="s">
        <v>2714</v>
      </c>
      <c r="B1304" s="8" t="s">
        <v>1799</v>
      </c>
      <c r="C1304" s="1">
        <f t="shared" si="331"/>
        <v>265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332"/>
        <v>5</v>
      </c>
      <c r="G1304" s="1">
        <f t="shared" si="333"/>
        <v>51</v>
      </c>
      <c r="H1304" s="2">
        <f t="shared" si="329"/>
        <v>0.19245283018867926</v>
      </c>
      <c r="I1304" s="6"/>
      <c r="J1304" s="2">
        <f t="shared" si="334"/>
        <v>0.56603773584905659</v>
      </c>
      <c r="K1304" s="2">
        <f t="shared" si="335"/>
        <v>0.37358490566037733</v>
      </c>
      <c r="L1304" s="2">
        <f t="shared" si="336"/>
        <v>3.7735849056603774E-3</v>
      </c>
      <c r="M1304" s="2">
        <f t="shared" si="337"/>
        <v>5.6603773584905703E-2</v>
      </c>
      <c r="N1304" s="63">
        <v>150</v>
      </c>
      <c r="O1304" s="63">
        <v>99</v>
      </c>
      <c r="P1304" s="63">
        <v>1</v>
      </c>
      <c r="Q1304" s="63">
        <v>8</v>
      </c>
      <c r="R1304" s="63">
        <v>1</v>
      </c>
      <c r="S1304" s="63"/>
      <c r="T1304" s="63">
        <v>1</v>
      </c>
      <c r="U1304" s="63"/>
      <c r="V1304" s="63"/>
      <c r="W1304" s="63">
        <f t="shared" si="338"/>
        <v>5</v>
      </c>
      <c r="X1304" s="63"/>
      <c r="Y1304" s="63"/>
      <c r="Z1304" s="63"/>
      <c r="AA1304" s="63"/>
      <c r="AB1304" s="63"/>
      <c r="AT1304" t="str">
        <f t="shared" si="340"/>
        <v>Waterville Valley</v>
      </c>
      <c r="AU1304" t="s">
        <v>2260</v>
      </c>
      <c r="AV1304">
        <v>2</v>
      </c>
      <c r="AW1304">
        <v>2</v>
      </c>
      <c r="AX1304" s="114">
        <v>33</v>
      </c>
      <c r="AY1304" s="116">
        <v>9</v>
      </c>
      <c r="AZ1304" s="116">
        <v>181</v>
      </c>
      <c r="BA1304" s="120">
        <v>79380</v>
      </c>
      <c r="BB1304" s="120">
        <f t="shared" si="330"/>
        <v>33009</v>
      </c>
      <c r="BC1304" t="s">
        <v>1472</v>
      </c>
      <c r="BD1304">
        <f t="shared" si="339"/>
        <v>3379380</v>
      </c>
      <c r="BI1304">
        <v>64.92</v>
      </c>
      <c r="BJ1304">
        <v>0.03</v>
      </c>
      <c r="BK1304">
        <v>64.89</v>
      </c>
      <c r="BP1304" s="1">
        <v>6</v>
      </c>
      <c r="BR1304">
        <v>3</v>
      </c>
    </row>
    <row r="1305" spans="1:70" hidden="1" outlineLevel="1">
      <c r="A1305" t="s">
        <v>2958</v>
      </c>
      <c r="B1305" s="8" t="s">
        <v>1799</v>
      </c>
      <c r="C1305" s="1">
        <f t="shared" si="331"/>
        <v>5113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 t="shared" si="332"/>
        <v>7</v>
      </c>
      <c r="G1305" s="1">
        <f t="shared" si="333"/>
        <v>1223</v>
      </c>
      <c r="H1305" s="2">
        <f t="shared" si="329"/>
        <v>0.23919421083512615</v>
      </c>
      <c r="I1305" s="6"/>
      <c r="J1305" s="2">
        <f t="shared" si="334"/>
        <v>0.33913553686681008</v>
      </c>
      <c r="K1305" s="2">
        <f t="shared" si="335"/>
        <v>0.57832974770193624</v>
      </c>
      <c r="L1305" s="2">
        <f t="shared" si="336"/>
        <v>1.1734793663211421E-3</v>
      </c>
      <c r="M1305" s="2">
        <f t="shared" si="337"/>
        <v>8.1361236064932535E-2</v>
      </c>
      <c r="N1305" s="63">
        <v>1734</v>
      </c>
      <c r="O1305" s="63">
        <v>2957</v>
      </c>
      <c r="P1305" s="63">
        <v>6</v>
      </c>
      <c r="Q1305" s="63">
        <v>281</v>
      </c>
      <c r="R1305" s="63">
        <v>62</v>
      </c>
      <c r="S1305" s="63"/>
      <c r="T1305" s="63">
        <v>8</v>
      </c>
      <c r="U1305" s="63"/>
      <c r="V1305" s="63"/>
      <c r="W1305" s="63">
        <f t="shared" si="338"/>
        <v>65</v>
      </c>
      <c r="X1305" s="63"/>
      <c r="Y1305" s="63"/>
      <c r="Z1305" s="63"/>
      <c r="AA1305" s="63"/>
      <c r="AB1305" s="63"/>
      <c r="AT1305" t="str">
        <f t="shared" si="340"/>
        <v>Weare</v>
      </c>
      <c r="AU1305" t="s">
        <v>1161</v>
      </c>
      <c r="AV1305">
        <v>2</v>
      </c>
      <c r="AW1305">
        <v>2</v>
      </c>
      <c r="AX1305" s="114">
        <v>33</v>
      </c>
      <c r="AY1305" s="116">
        <v>11</v>
      </c>
      <c r="AZ1305" s="116">
        <v>145</v>
      </c>
      <c r="BA1305" s="120">
        <v>79780</v>
      </c>
      <c r="BB1305" s="120">
        <f t="shared" si="330"/>
        <v>33011</v>
      </c>
      <c r="BC1305" t="s">
        <v>1472</v>
      </c>
      <c r="BD1305">
        <f t="shared" si="339"/>
        <v>3379780</v>
      </c>
      <c r="BI1305">
        <v>59.89</v>
      </c>
      <c r="BJ1305">
        <v>1.04</v>
      </c>
      <c r="BK1305">
        <v>58.85</v>
      </c>
      <c r="BP1305" s="1">
        <v>71</v>
      </c>
      <c r="BR1305">
        <v>23</v>
      </c>
    </row>
    <row r="1306" spans="1:70" hidden="1" outlineLevel="1">
      <c r="A1306" t="s">
        <v>697</v>
      </c>
      <c r="B1306" s="8" t="s">
        <v>1799</v>
      </c>
      <c r="C1306" s="1">
        <f t="shared" si="331"/>
        <v>1171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 t="shared" si="332"/>
        <v>6</v>
      </c>
      <c r="G1306" s="1">
        <f t="shared" si="333"/>
        <v>103</v>
      </c>
      <c r="H1306" s="2">
        <f t="shared" si="329"/>
        <v>8.7959009393680621E-2</v>
      </c>
      <c r="I1306" s="6"/>
      <c r="J1306" s="2">
        <f t="shared" si="334"/>
        <v>0.42613151152860801</v>
      </c>
      <c r="K1306" s="2">
        <f t="shared" si="335"/>
        <v>0.51409052092228869</v>
      </c>
      <c r="L1306" s="2">
        <f t="shared" si="336"/>
        <v>1.7079419299743809E-3</v>
      </c>
      <c r="M1306" s="2">
        <f t="shared" si="337"/>
        <v>5.8070025619128982E-2</v>
      </c>
      <c r="N1306" s="63">
        <v>499</v>
      </c>
      <c r="O1306" s="63">
        <v>602</v>
      </c>
      <c r="P1306" s="63">
        <v>2</v>
      </c>
      <c r="Q1306" s="63">
        <v>40</v>
      </c>
      <c r="R1306" s="63">
        <v>3</v>
      </c>
      <c r="S1306" s="63"/>
      <c r="T1306" s="63">
        <v>2</v>
      </c>
      <c r="U1306" s="63"/>
      <c r="V1306" s="63"/>
      <c r="W1306" s="63">
        <f t="shared" si="338"/>
        <v>23</v>
      </c>
      <c r="X1306" s="63"/>
      <c r="Y1306" s="63"/>
      <c r="Z1306" s="63"/>
      <c r="AA1306" s="63"/>
      <c r="AB1306" s="63"/>
      <c r="AT1306" t="str">
        <f t="shared" si="340"/>
        <v>Webster</v>
      </c>
      <c r="AU1306" t="s">
        <v>2494</v>
      </c>
      <c r="AV1306">
        <v>2</v>
      </c>
      <c r="AW1306">
        <v>2</v>
      </c>
      <c r="AX1306" s="114">
        <v>33</v>
      </c>
      <c r="AY1306" s="116">
        <v>13</v>
      </c>
      <c r="AZ1306" s="116">
        <v>130</v>
      </c>
      <c r="BA1306" s="120">
        <v>80020</v>
      </c>
      <c r="BB1306" s="120">
        <f t="shared" si="330"/>
        <v>33013</v>
      </c>
      <c r="BC1306" t="s">
        <v>1472</v>
      </c>
      <c r="BD1306">
        <f t="shared" si="339"/>
        <v>3380020</v>
      </c>
      <c r="BI1306">
        <v>28.56</v>
      </c>
      <c r="BJ1306">
        <v>0.66</v>
      </c>
      <c r="BK1306">
        <v>27.9</v>
      </c>
      <c r="BP1306" s="1">
        <v>25</v>
      </c>
      <c r="BR1306">
        <v>10</v>
      </c>
    </row>
    <row r="1307" spans="1:70" hidden="1" outlineLevel="1">
      <c r="A1307" t="s">
        <v>1981</v>
      </c>
      <c r="B1307" s="8" t="s">
        <v>1799</v>
      </c>
      <c r="C1307" s="1">
        <f t="shared" si="331"/>
        <v>532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332"/>
        <v>6</v>
      </c>
      <c r="G1307" s="1">
        <f t="shared" si="333"/>
        <v>148</v>
      </c>
      <c r="H1307" s="2">
        <f t="shared" si="329"/>
        <v>0.2781954887218045</v>
      </c>
      <c r="I1307" s="6"/>
      <c r="J1307" s="2">
        <f t="shared" si="334"/>
        <v>0.32894736842105265</v>
      </c>
      <c r="K1307" s="2">
        <f t="shared" si="335"/>
        <v>0.6071428571428571</v>
      </c>
      <c r="L1307" s="2">
        <f t="shared" si="336"/>
        <v>3.7593984962406013E-3</v>
      </c>
      <c r="M1307" s="2">
        <f t="shared" si="337"/>
        <v>6.0150375939849648E-2</v>
      </c>
      <c r="N1307" s="63">
        <v>175</v>
      </c>
      <c r="O1307" s="63">
        <v>323</v>
      </c>
      <c r="P1307" s="63">
        <v>2</v>
      </c>
      <c r="Q1307" s="63">
        <v>16</v>
      </c>
      <c r="R1307" s="63">
        <v>5</v>
      </c>
      <c r="S1307" s="63"/>
      <c r="T1307" s="63">
        <v>0</v>
      </c>
      <c r="U1307" s="63"/>
      <c r="V1307" s="63"/>
      <c r="W1307" s="63">
        <f t="shared" si="338"/>
        <v>11</v>
      </c>
      <c r="X1307" s="63"/>
      <c r="Y1307" s="63"/>
      <c r="Z1307" s="63"/>
      <c r="AA1307" s="63"/>
      <c r="AB1307" s="63"/>
      <c r="AT1307" t="str">
        <f t="shared" si="340"/>
        <v>Wentworth</v>
      </c>
      <c r="AU1307" t="s">
        <v>2260</v>
      </c>
      <c r="AV1307">
        <v>2</v>
      </c>
      <c r="AW1307">
        <v>2</v>
      </c>
      <c r="AX1307" s="114">
        <v>33</v>
      </c>
      <c r="AY1307" s="116">
        <v>9</v>
      </c>
      <c r="AZ1307" s="116">
        <v>185</v>
      </c>
      <c r="BA1307" s="120">
        <v>80500</v>
      </c>
      <c r="BB1307" s="120">
        <f t="shared" si="330"/>
        <v>33009</v>
      </c>
      <c r="BC1307" t="s">
        <v>1472</v>
      </c>
      <c r="BD1307">
        <f t="shared" si="339"/>
        <v>3380500</v>
      </c>
      <c r="BI1307">
        <v>41.94</v>
      </c>
      <c r="BJ1307">
        <v>0.28000000000000003</v>
      </c>
      <c r="BK1307">
        <v>41.66</v>
      </c>
      <c r="BP1307" s="1">
        <v>13</v>
      </c>
      <c r="BR1307">
        <v>7</v>
      </c>
    </row>
    <row r="1308" spans="1:70" hidden="1" outlineLevel="1">
      <c r="A1308" t="s">
        <v>2911</v>
      </c>
      <c r="B1308" s="8" t="s">
        <v>1799</v>
      </c>
      <c r="C1308" s="1">
        <f t="shared" si="331"/>
        <v>18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 t="shared" si="332"/>
        <v>0</v>
      </c>
      <c r="G1308" s="1">
        <f t="shared" si="333"/>
        <v>8</v>
      </c>
      <c r="H1308" s="2">
        <f t="shared" si="329"/>
        <v>0.44444444444444442</v>
      </c>
      <c r="I1308" s="6"/>
      <c r="J1308" s="2">
        <f t="shared" si="334"/>
        <v>0.27777777777777779</v>
      </c>
      <c r="K1308" s="2">
        <f t="shared" si="335"/>
        <v>0.72222222222222221</v>
      </c>
      <c r="L1308" s="2">
        <f t="shared" si="336"/>
        <v>0</v>
      </c>
      <c r="M1308" s="2">
        <f t="shared" si="337"/>
        <v>0</v>
      </c>
      <c r="N1308" s="63">
        <v>5</v>
      </c>
      <c r="O1308" s="63">
        <v>13</v>
      </c>
      <c r="P1308" s="63">
        <v>0</v>
      </c>
      <c r="Q1308" s="63">
        <v>0</v>
      </c>
      <c r="R1308" s="63">
        <v>0</v>
      </c>
      <c r="S1308" s="63"/>
      <c r="T1308" s="63">
        <v>0</v>
      </c>
      <c r="U1308" s="63"/>
      <c r="V1308" s="63"/>
      <c r="W1308" s="63">
        <f t="shared" si="338"/>
        <v>0</v>
      </c>
      <c r="X1308" s="63"/>
      <c r="Y1308" s="63"/>
      <c r="Z1308" s="63"/>
      <c r="AA1308" s="63"/>
      <c r="AB1308" s="63"/>
      <c r="AT1308" t="str">
        <f t="shared" si="340"/>
        <v>Wentworth's</v>
      </c>
      <c r="AU1308" t="s">
        <v>442</v>
      </c>
      <c r="AV1308">
        <v>2</v>
      </c>
      <c r="AW1308">
        <v>2</v>
      </c>
      <c r="AX1308" s="114">
        <v>33</v>
      </c>
      <c r="AY1308" s="116">
        <v>7</v>
      </c>
      <c r="AZ1308" s="116">
        <v>210</v>
      </c>
      <c r="BA1308" s="120">
        <v>80740</v>
      </c>
      <c r="BB1308" s="120">
        <f t="shared" si="330"/>
        <v>33007</v>
      </c>
      <c r="BC1308" t="s">
        <v>673</v>
      </c>
      <c r="BD1308">
        <f t="shared" si="339"/>
        <v>3380740</v>
      </c>
      <c r="BI1308">
        <v>19.47</v>
      </c>
      <c r="BJ1308">
        <v>0.72</v>
      </c>
      <c r="BK1308">
        <v>18.760000000000002</v>
      </c>
      <c r="BP1308" s="1">
        <v>0</v>
      </c>
      <c r="BR1308">
        <v>0</v>
      </c>
    </row>
    <row r="1309" spans="1:70" hidden="1" outlineLevel="1">
      <c r="A1309" t="s">
        <v>2755</v>
      </c>
      <c r="B1309" s="8" t="s">
        <v>1799</v>
      </c>
      <c r="C1309" s="1">
        <f t="shared" si="331"/>
        <v>1035</v>
      </c>
      <c r="D1309" s="5">
        <f>IF(N1309&gt;0, RANK(N1309,(N1309:P1309,Q1309:AE1309)),0)</f>
        <v>1</v>
      </c>
      <c r="E1309" s="5">
        <f>IF(O1309&gt;0,RANK(O1309,(N1309:P1309,Q1309:AE1309)),0)</f>
        <v>2</v>
      </c>
      <c r="F1309" s="5">
        <f t="shared" si="332"/>
        <v>6</v>
      </c>
      <c r="G1309" s="1">
        <f t="shared" si="333"/>
        <v>144</v>
      </c>
      <c r="H1309" s="2">
        <f t="shared" si="329"/>
        <v>0.1391304347826087</v>
      </c>
      <c r="I1309" s="6"/>
      <c r="J1309" s="2">
        <f t="shared" si="334"/>
        <v>0.53623188405797106</v>
      </c>
      <c r="K1309" s="2">
        <f t="shared" si="335"/>
        <v>0.39710144927536234</v>
      </c>
      <c r="L1309" s="2">
        <f t="shared" si="336"/>
        <v>3.8647342995169081E-3</v>
      </c>
      <c r="M1309" s="2">
        <f t="shared" si="337"/>
        <v>6.280193236714969E-2</v>
      </c>
      <c r="N1309" s="63">
        <v>555</v>
      </c>
      <c r="O1309" s="63">
        <v>411</v>
      </c>
      <c r="P1309" s="63">
        <v>4</v>
      </c>
      <c r="Q1309" s="63">
        <v>41</v>
      </c>
      <c r="R1309" s="63">
        <v>11</v>
      </c>
      <c r="S1309" s="63"/>
      <c r="T1309" s="63">
        <v>1</v>
      </c>
      <c r="U1309" s="63"/>
      <c r="V1309" s="63"/>
      <c r="W1309" s="63">
        <f t="shared" si="338"/>
        <v>12</v>
      </c>
      <c r="X1309" s="63"/>
      <c r="Y1309" s="63"/>
      <c r="Z1309" s="63"/>
      <c r="AA1309" s="63"/>
      <c r="AB1309" s="63"/>
      <c r="AT1309" t="str">
        <f t="shared" si="340"/>
        <v>Westmoreland</v>
      </c>
      <c r="AU1309" t="s">
        <v>1463</v>
      </c>
      <c r="AV1309">
        <v>2</v>
      </c>
      <c r="AW1309">
        <v>2</v>
      </c>
      <c r="AX1309" s="114">
        <v>33</v>
      </c>
      <c r="AY1309" s="116">
        <v>5</v>
      </c>
      <c r="AZ1309" s="116">
        <v>110</v>
      </c>
      <c r="BA1309" s="120">
        <v>82660</v>
      </c>
      <c r="BB1309" s="120">
        <f t="shared" si="330"/>
        <v>33005</v>
      </c>
      <c r="BC1309" t="s">
        <v>1472</v>
      </c>
      <c r="BD1309">
        <f t="shared" si="339"/>
        <v>3382660</v>
      </c>
      <c r="BI1309">
        <v>36.880000000000003</v>
      </c>
      <c r="BJ1309">
        <v>1</v>
      </c>
      <c r="BK1309">
        <v>35.880000000000003</v>
      </c>
      <c r="BP1309" s="1">
        <v>16</v>
      </c>
      <c r="BR1309">
        <v>4</v>
      </c>
    </row>
    <row r="1310" spans="1:70" hidden="1" outlineLevel="1">
      <c r="A1310" t="s">
        <v>931</v>
      </c>
      <c r="B1310" s="8" t="s">
        <v>1799</v>
      </c>
      <c r="C1310" s="1">
        <f t="shared" si="331"/>
        <v>1153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 t="shared" si="332"/>
        <v>7</v>
      </c>
      <c r="G1310" s="1">
        <f t="shared" si="333"/>
        <v>91</v>
      </c>
      <c r="H1310" s="2">
        <f t="shared" si="329"/>
        <v>7.8924544666088461E-2</v>
      </c>
      <c r="I1310" s="6"/>
      <c r="J1310" s="2">
        <f t="shared" si="334"/>
        <v>0.40936686903729402</v>
      </c>
      <c r="K1310" s="2">
        <f t="shared" si="335"/>
        <v>0.48829141370338247</v>
      </c>
      <c r="L1310" s="2">
        <f t="shared" si="336"/>
        <v>8.6730268863833475E-4</v>
      </c>
      <c r="M1310" s="2">
        <f t="shared" si="337"/>
        <v>0.10147441457068516</v>
      </c>
      <c r="N1310" s="63">
        <v>472</v>
      </c>
      <c r="O1310" s="63">
        <v>563</v>
      </c>
      <c r="P1310" s="63">
        <v>1</v>
      </c>
      <c r="Q1310" s="63">
        <v>53</v>
      </c>
      <c r="R1310" s="63">
        <v>24</v>
      </c>
      <c r="S1310" s="63"/>
      <c r="T1310" s="63">
        <v>2</v>
      </c>
      <c r="U1310" s="63"/>
      <c r="V1310" s="63"/>
      <c r="W1310" s="63">
        <f t="shared" si="338"/>
        <v>38</v>
      </c>
      <c r="X1310" s="63"/>
      <c r="Y1310" s="63"/>
      <c r="Z1310" s="63"/>
      <c r="AA1310" s="63"/>
      <c r="AB1310" s="63"/>
      <c r="AT1310" t="str">
        <f t="shared" si="340"/>
        <v>Whitefield</v>
      </c>
      <c r="AU1310" t="s">
        <v>442</v>
      </c>
      <c r="AV1310">
        <v>2</v>
      </c>
      <c r="AW1310">
        <v>2</v>
      </c>
      <c r="AX1310" s="114">
        <v>33</v>
      </c>
      <c r="AY1310" s="116">
        <v>7</v>
      </c>
      <c r="AZ1310" s="116">
        <v>215</v>
      </c>
      <c r="BA1310" s="120">
        <v>84420</v>
      </c>
      <c r="BB1310" s="120">
        <f t="shared" si="330"/>
        <v>33007</v>
      </c>
      <c r="BC1310" t="s">
        <v>1472</v>
      </c>
      <c r="BD1310">
        <f t="shared" si="339"/>
        <v>3384420</v>
      </c>
      <c r="BI1310">
        <v>34.68</v>
      </c>
      <c r="BJ1310">
        <v>0.43</v>
      </c>
      <c r="BK1310">
        <v>34.25</v>
      </c>
      <c r="BP1310" s="1">
        <v>39</v>
      </c>
      <c r="BR1310">
        <v>27</v>
      </c>
    </row>
    <row r="1311" spans="1:70" hidden="1" outlineLevel="1">
      <c r="A1311" t="s">
        <v>3030</v>
      </c>
      <c r="B1311" s="8" t="s">
        <v>1799</v>
      </c>
      <c r="C1311" s="1">
        <f t="shared" si="331"/>
        <v>907</v>
      </c>
      <c r="D1311" s="5">
        <f>IF(N1311&gt;0, RANK(N1311,(N1311:P1311,Q1311:AE1311)),0)</f>
        <v>1</v>
      </c>
      <c r="E1311" s="5">
        <f>IF(O1311&gt;0,RANK(O1311,(N1311:P1311,Q1311:AE1311)),0)</f>
        <v>2</v>
      </c>
      <c r="F1311" s="5">
        <f t="shared" si="332"/>
        <v>0</v>
      </c>
      <c r="G1311" s="1">
        <f t="shared" si="333"/>
        <v>157</v>
      </c>
      <c r="H1311" s="2">
        <f t="shared" si="329"/>
        <v>0.17309812568908489</v>
      </c>
      <c r="I1311" s="6"/>
      <c r="J1311" s="2">
        <f t="shared" si="334"/>
        <v>0.55016538037486218</v>
      </c>
      <c r="K1311" s="2">
        <f t="shared" si="335"/>
        <v>0.37706725468577729</v>
      </c>
      <c r="L1311" s="2">
        <f t="shared" si="336"/>
        <v>0</v>
      </c>
      <c r="M1311" s="2">
        <f t="shared" si="337"/>
        <v>7.2767364939360535E-2</v>
      </c>
      <c r="N1311" s="63">
        <v>499</v>
      </c>
      <c r="O1311" s="63">
        <v>342</v>
      </c>
      <c r="P1311" s="63">
        <v>0</v>
      </c>
      <c r="Q1311" s="63">
        <v>40</v>
      </c>
      <c r="R1311" s="63">
        <v>1</v>
      </c>
      <c r="S1311" s="63"/>
      <c r="T1311" s="63">
        <v>1</v>
      </c>
      <c r="U1311" s="63"/>
      <c r="V1311" s="63"/>
      <c r="W1311" s="63">
        <f t="shared" si="338"/>
        <v>24</v>
      </c>
      <c r="X1311" s="63"/>
      <c r="Y1311" s="63"/>
      <c r="Z1311" s="63"/>
      <c r="AA1311" s="63"/>
      <c r="AB1311" s="63"/>
      <c r="AT1311" t="str">
        <f t="shared" si="340"/>
        <v>Wilmot</v>
      </c>
      <c r="AU1311" t="s">
        <v>2494</v>
      </c>
      <c r="AV1311">
        <v>2</v>
      </c>
      <c r="AW1311">
        <v>2</v>
      </c>
      <c r="AX1311" s="114">
        <v>33</v>
      </c>
      <c r="AY1311" s="116">
        <v>13</v>
      </c>
      <c r="AZ1311" s="116">
        <v>135</v>
      </c>
      <c r="BA1311" s="120">
        <v>84900</v>
      </c>
      <c r="BB1311" s="120">
        <f t="shared" si="330"/>
        <v>33013</v>
      </c>
      <c r="BC1311" t="s">
        <v>1472</v>
      </c>
      <c r="BD1311">
        <f t="shared" si="339"/>
        <v>3384900</v>
      </c>
      <c r="BI1311">
        <v>29.75</v>
      </c>
      <c r="BJ1311">
        <v>0.22</v>
      </c>
      <c r="BK1311">
        <v>29.54</v>
      </c>
      <c r="BP1311" s="1">
        <v>24</v>
      </c>
      <c r="BR1311">
        <v>13</v>
      </c>
    </row>
    <row r="1312" spans="1:70" hidden="1" outlineLevel="1">
      <c r="A1312" t="s">
        <v>2075</v>
      </c>
      <c r="B1312" s="8" t="s">
        <v>1799</v>
      </c>
      <c r="C1312" s="1">
        <f t="shared" si="331"/>
        <v>2279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 t="shared" si="332"/>
        <v>6</v>
      </c>
      <c r="G1312" s="1">
        <f t="shared" si="333"/>
        <v>33</v>
      </c>
      <c r="H1312" s="2">
        <f t="shared" ref="H1312:H1376" si="341">IF(C1312&gt;0,G1312/C1312,0)</f>
        <v>1.4480035103115402E-2</v>
      </c>
      <c r="I1312" s="6"/>
      <c r="J1312" s="2">
        <f t="shared" si="334"/>
        <v>0.45107503290917067</v>
      </c>
      <c r="K1312" s="2">
        <f t="shared" si="335"/>
        <v>0.46555506801228608</v>
      </c>
      <c r="L1312" s="2">
        <f t="shared" si="336"/>
        <v>2.6327336551118913E-3</v>
      </c>
      <c r="M1312" s="2">
        <f t="shared" si="337"/>
        <v>8.0737165423431415E-2</v>
      </c>
      <c r="N1312" s="63">
        <v>1028</v>
      </c>
      <c r="O1312" s="63">
        <v>1061</v>
      </c>
      <c r="P1312" s="63">
        <v>6</v>
      </c>
      <c r="Q1312" s="63">
        <v>108</v>
      </c>
      <c r="R1312" s="63">
        <v>34</v>
      </c>
      <c r="S1312" s="63"/>
      <c r="T1312" s="63">
        <v>1</v>
      </c>
      <c r="U1312" s="63"/>
      <c r="V1312" s="63"/>
      <c r="W1312" s="63">
        <f t="shared" si="338"/>
        <v>41</v>
      </c>
      <c r="X1312" s="63"/>
      <c r="Y1312" s="63"/>
      <c r="Z1312" s="63"/>
      <c r="AA1312" s="63"/>
      <c r="AB1312" s="63"/>
      <c r="AT1312" t="str">
        <f t="shared" si="340"/>
        <v>Wilton</v>
      </c>
      <c r="AU1312" t="s">
        <v>1161</v>
      </c>
      <c r="AV1312">
        <v>2</v>
      </c>
      <c r="AW1312">
        <v>2</v>
      </c>
      <c r="AX1312" s="114">
        <v>33</v>
      </c>
      <c r="AY1312" s="116">
        <v>11</v>
      </c>
      <c r="AZ1312" s="116">
        <v>150</v>
      </c>
      <c r="BA1312" s="120">
        <v>85220</v>
      </c>
      <c r="BB1312" s="120">
        <f t="shared" si="330"/>
        <v>33011</v>
      </c>
      <c r="BC1312" t="s">
        <v>1472</v>
      </c>
      <c r="BD1312">
        <f t="shared" si="339"/>
        <v>3385220</v>
      </c>
      <c r="BI1312">
        <v>25.85</v>
      </c>
      <c r="BJ1312">
        <v>0.09</v>
      </c>
      <c r="BK1312">
        <v>25.76</v>
      </c>
      <c r="BP1312" s="1">
        <v>47</v>
      </c>
      <c r="BR1312">
        <v>22</v>
      </c>
    </row>
    <row r="1313" spans="1:70" hidden="1" outlineLevel="1">
      <c r="A1313" t="s">
        <v>893</v>
      </c>
      <c r="B1313" s="8" t="s">
        <v>1799</v>
      </c>
      <c r="C1313" s="1">
        <f t="shared" si="331"/>
        <v>1795</v>
      </c>
      <c r="D1313" s="5">
        <f>IF(N1313&gt;0, RANK(N1313,(N1313:P1313,Q1313:AE1313)),0)</f>
        <v>1</v>
      </c>
      <c r="E1313" s="5">
        <f>IF(O1313&gt;0,RANK(O1313,(N1313:P1313,Q1313:AE1313)),0)</f>
        <v>2</v>
      </c>
      <c r="F1313" s="5">
        <f t="shared" si="332"/>
        <v>0</v>
      </c>
      <c r="G1313" s="1">
        <f t="shared" si="333"/>
        <v>11</v>
      </c>
      <c r="H1313" s="2">
        <f t="shared" si="341"/>
        <v>6.128133704735376E-3</v>
      </c>
      <c r="I1313" s="6"/>
      <c r="J1313" s="2">
        <f t="shared" si="334"/>
        <v>0.46796657381615597</v>
      </c>
      <c r="K1313" s="2">
        <f t="shared" si="335"/>
        <v>0.46183844011142061</v>
      </c>
      <c r="L1313" s="2">
        <f t="shared" si="336"/>
        <v>0</v>
      </c>
      <c r="M1313" s="2">
        <f t="shared" si="337"/>
        <v>7.019498607242336E-2</v>
      </c>
      <c r="N1313" s="63">
        <v>840</v>
      </c>
      <c r="O1313" s="63">
        <v>829</v>
      </c>
      <c r="P1313" s="63">
        <v>0</v>
      </c>
      <c r="Q1313" s="63">
        <v>75</v>
      </c>
      <c r="R1313" s="63">
        <v>25</v>
      </c>
      <c r="S1313" s="63"/>
      <c r="T1313" s="63">
        <v>0</v>
      </c>
      <c r="U1313" s="63"/>
      <c r="V1313" s="63"/>
      <c r="W1313" s="63">
        <f t="shared" si="338"/>
        <v>26</v>
      </c>
      <c r="X1313" s="63"/>
      <c r="Y1313" s="63"/>
      <c r="Z1313" s="63"/>
      <c r="AA1313" s="63"/>
      <c r="AB1313" s="63"/>
      <c r="AT1313" t="str">
        <f t="shared" si="340"/>
        <v>Winchester</v>
      </c>
      <c r="AU1313" t="s">
        <v>1463</v>
      </c>
      <c r="AV1313">
        <v>2</v>
      </c>
      <c r="AW1313">
        <v>2</v>
      </c>
      <c r="AX1313" s="114">
        <v>33</v>
      </c>
      <c r="AY1313" s="116">
        <v>5</v>
      </c>
      <c r="AZ1313" s="116">
        <v>115</v>
      </c>
      <c r="BA1313" s="120">
        <v>85540</v>
      </c>
      <c r="BB1313" s="120">
        <f t="shared" si="330"/>
        <v>33005</v>
      </c>
      <c r="BC1313" t="s">
        <v>1472</v>
      </c>
      <c r="BD1313">
        <f t="shared" si="339"/>
        <v>3385540</v>
      </c>
      <c r="BI1313">
        <v>55.53</v>
      </c>
      <c r="BJ1313">
        <v>0.59</v>
      </c>
      <c r="BK1313">
        <v>54.94</v>
      </c>
      <c r="BP1313" s="1">
        <v>26</v>
      </c>
      <c r="BR1313">
        <v>16</v>
      </c>
    </row>
    <row r="1314" spans="1:70" hidden="1" outlineLevel="1">
      <c r="A1314" t="s">
        <v>2129</v>
      </c>
      <c r="B1314" s="8" t="s">
        <v>1799</v>
      </c>
      <c r="C1314" s="1">
        <f t="shared" si="331"/>
        <v>8890</v>
      </c>
      <c r="D1314" s="5">
        <f>IF(N1314&gt;0, RANK(N1314,(N1314:P1314,Q1314:AE1314)),0)</f>
        <v>2</v>
      </c>
      <c r="E1314" s="5">
        <f>IF(O1314&gt;0,RANK(O1314,(N1314:P1314,Q1314:AE1314)),0)</f>
        <v>1</v>
      </c>
      <c r="F1314" s="5">
        <f t="shared" si="332"/>
        <v>6</v>
      </c>
      <c r="G1314" s="1">
        <f t="shared" si="333"/>
        <v>1318</v>
      </c>
      <c r="H1314" s="2">
        <f t="shared" si="341"/>
        <v>0.14825646794150732</v>
      </c>
      <c r="I1314" s="6"/>
      <c r="J1314" s="2">
        <f t="shared" si="334"/>
        <v>0.39448818897637794</v>
      </c>
      <c r="K1314" s="2">
        <f t="shared" si="335"/>
        <v>0.54274465691788532</v>
      </c>
      <c r="L1314" s="2">
        <f t="shared" si="336"/>
        <v>2.3622047244094488E-3</v>
      </c>
      <c r="M1314" s="2">
        <f t="shared" si="337"/>
        <v>6.0404949381327296E-2</v>
      </c>
      <c r="N1314" s="63">
        <v>3507</v>
      </c>
      <c r="O1314" s="63">
        <v>4825</v>
      </c>
      <c r="P1314" s="63">
        <v>21</v>
      </c>
      <c r="Q1314" s="63">
        <v>372</v>
      </c>
      <c r="R1314" s="63">
        <v>46</v>
      </c>
      <c r="S1314" s="63"/>
      <c r="T1314" s="63">
        <v>10</v>
      </c>
      <c r="U1314" s="63"/>
      <c r="V1314" s="63"/>
      <c r="W1314" s="63">
        <f t="shared" si="338"/>
        <v>109</v>
      </c>
      <c r="X1314" s="63"/>
      <c r="Y1314" s="63"/>
      <c r="Z1314" s="63"/>
      <c r="AA1314" s="63"/>
      <c r="AB1314" s="63"/>
      <c r="AT1314" t="str">
        <f t="shared" si="340"/>
        <v>Windham</v>
      </c>
      <c r="AU1314" t="s">
        <v>2971</v>
      </c>
      <c r="AV1314">
        <v>2</v>
      </c>
      <c r="AW1314">
        <v>2</v>
      </c>
      <c r="AX1314" s="114">
        <v>33</v>
      </c>
      <c r="AY1314" s="116">
        <v>15</v>
      </c>
      <c r="AZ1314" s="116">
        <v>185</v>
      </c>
      <c r="BA1314" s="120">
        <v>85780</v>
      </c>
      <c r="BB1314" s="120">
        <f t="shared" si="330"/>
        <v>33015</v>
      </c>
      <c r="BC1314" t="s">
        <v>1472</v>
      </c>
      <c r="BD1314">
        <f t="shared" si="339"/>
        <v>3385780</v>
      </c>
      <c r="BI1314">
        <v>27.86</v>
      </c>
      <c r="BJ1314">
        <v>1.06</v>
      </c>
      <c r="BK1314">
        <v>26.8</v>
      </c>
      <c r="BP1314" s="1">
        <v>130</v>
      </c>
      <c r="BR1314">
        <v>20</v>
      </c>
    </row>
    <row r="1315" spans="1:70" hidden="1" outlineLevel="1">
      <c r="A1315" t="s">
        <v>2282</v>
      </c>
      <c r="B1315" s="8" t="s">
        <v>1799</v>
      </c>
      <c r="C1315" s="1">
        <f t="shared" si="331"/>
        <v>125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 t="shared" si="332"/>
        <v>0</v>
      </c>
      <c r="G1315" s="1">
        <f t="shared" si="333"/>
        <v>66</v>
      </c>
      <c r="H1315" s="2">
        <f t="shared" si="341"/>
        <v>0.52800000000000002</v>
      </c>
      <c r="I1315" s="6"/>
      <c r="J1315" s="2">
        <f t="shared" si="334"/>
        <v>0.224</v>
      </c>
      <c r="K1315" s="2">
        <f t="shared" si="335"/>
        <v>0.752</v>
      </c>
      <c r="L1315" s="2">
        <f t="shared" si="336"/>
        <v>0</v>
      </c>
      <c r="M1315" s="2">
        <f t="shared" si="337"/>
        <v>2.4000000000000021E-2</v>
      </c>
      <c r="N1315" s="63">
        <v>28</v>
      </c>
      <c r="O1315" s="63">
        <v>94</v>
      </c>
      <c r="P1315" s="63">
        <v>0</v>
      </c>
      <c r="Q1315" s="63">
        <v>2</v>
      </c>
      <c r="R1315" s="63">
        <v>1</v>
      </c>
      <c r="S1315" s="63"/>
      <c r="T1315" s="63">
        <v>0</v>
      </c>
      <c r="U1315" s="63"/>
      <c r="V1315" s="63"/>
      <c r="W1315" s="63">
        <f t="shared" si="338"/>
        <v>0</v>
      </c>
      <c r="X1315" s="63"/>
      <c r="Y1315" s="63"/>
      <c r="Z1315" s="63"/>
      <c r="AA1315" s="63"/>
      <c r="AB1315" s="63"/>
      <c r="AT1315" t="str">
        <f t="shared" si="340"/>
        <v>Windsor</v>
      </c>
      <c r="AU1315" t="s">
        <v>1161</v>
      </c>
      <c r="AV1315">
        <v>2</v>
      </c>
      <c r="AW1315">
        <v>2</v>
      </c>
      <c r="AX1315" s="114">
        <v>33</v>
      </c>
      <c r="AY1315" s="116">
        <v>11</v>
      </c>
      <c r="AZ1315" s="116">
        <v>155</v>
      </c>
      <c r="BA1315" s="120">
        <v>85940</v>
      </c>
      <c r="BB1315" s="120">
        <f t="shared" ref="BB1315:BB1379" si="342">AX1315*1000+AY1315</f>
        <v>33011</v>
      </c>
      <c r="BC1315" t="s">
        <v>1472</v>
      </c>
      <c r="BD1315">
        <f t="shared" si="339"/>
        <v>3385940</v>
      </c>
      <c r="BI1315">
        <v>8.6199999999999992</v>
      </c>
      <c r="BJ1315">
        <v>0.27</v>
      </c>
      <c r="BK1315">
        <v>8.34</v>
      </c>
      <c r="BP1315" s="1">
        <v>0</v>
      </c>
      <c r="BR1315">
        <v>0</v>
      </c>
    </row>
    <row r="1316" spans="1:70" hidden="1" outlineLevel="1">
      <c r="A1316" t="s">
        <v>35</v>
      </c>
      <c r="B1316" s="8" t="s">
        <v>1799</v>
      </c>
      <c r="C1316" s="1">
        <f t="shared" si="331"/>
        <v>4334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 t="shared" si="332"/>
        <v>6</v>
      </c>
      <c r="G1316" s="1">
        <f t="shared" si="333"/>
        <v>305</v>
      </c>
      <c r="H1316" s="2">
        <f t="shared" si="341"/>
        <v>7.0373788647900323E-2</v>
      </c>
      <c r="I1316" s="6"/>
      <c r="J1316" s="2">
        <f t="shared" si="334"/>
        <v>0.43170281495154594</v>
      </c>
      <c r="K1316" s="2">
        <f t="shared" si="335"/>
        <v>0.50207660359944628</v>
      </c>
      <c r="L1316" s="2">
        <f t="shared" si="336"/>
        <v>1.8458698661744347E-3</v>
      </c>
      <c r="M1316" s="2">
        <f t="shared" si="337"/>
        <v>6.4374711582833338E-2</v>
      </c>
      <c r="N1316" s="63">
        <v>1871</v>
      </c>
      <c r="O1316" s="63">
        <v>2176</v>
      </c>
      <c r="P1316" s="63">
        <v>8</v>
      </c>
      <c r="Q1316" s="63">
        <v>157</v>
      </c>
      <c r="R1316" s="63">
        <v>36</v>
      </c>
      <c r="S1316" s="63"/>
      <c r="T1316" s="63">
        <v>4</v>
      </c>
      <c r="U1316" s="63"/>
      <c r="V1316" s="63"/>
      <c r="W1316" s="63">
        <f t="shared" si="338"/>
        <v>82</v>
      </c>
      <c r="X1316" s="63"/>
      <c r="Y1316" s="63"/>
      <c r="Z1316" s="63"/>
      <c r="AA1316" s="63"/>
      <c r="AB1316" s="63"/>
      <c r="AT1316" t="str">
        <f t="shared" si="340"/>
        <v>Wolfeboro</v>
      </c>
      <c r="AU1316" t="s">
        <v>1675</v>
      </c>
      <c r="AV1316">
        <v>1</v>
      </c>
      <c r="AW1316">
        <v>1</v>
      </c>
      <c r="AX1316" s="114">
        <v>33</v>
      </c>
      <c r="AY1316" s="116">
        <v>3</v>
      </c>
      <c r="AZ1316" s="116">
        <v>95</v>
      </c>
      <c r="BA1316" s="120">
        <v>86420</v>
      </c>
      <c r="BB1316" s="120">
        <f t="shared" si="342"/>
        <v>33003</v>
      </c>
      <c r="BC1316" t="s">
        <v>1472</v>
      </c>
      <c r="BD1316">
        <f t="shared" si="339"/>
        <v>3386420</v>
      </c>
      <c r="BI1316">
        <v>58.49</v>
      </c>
      <c r="BJ1316">
        <v>10.18</v>
      </c>
      <c r="BK1316">
        <v>48.31</v>
      </c>
      <c r="BP1316" s="1">
        <v>90</v>
      </c>
      <c r="BR1316">
        <v>15</v>
      </c>
    </row>
    <row r="1317" spans="1:70" hidden="1" outlineLevel="1">
      <c r="A1317" t="s">
        <v>1709</v>
      </c>
      <c r="B1317" s="8" t="s">
        <v>1799</v>
      </c>
      <c r="C1317" s="1">
        <f t="shared" si="331"/>
        <v>784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332"/>
        <v>5</v>
      </c>
      <c r="G1317" s="1">
        <f t="shared" si="333"/>
        <v>43</v>
      </c>
      <c r="H1317" s="2">
        <f t="shared" si="341"/>
        <v>5.4846938775510203E-2</v>
      </c>
      <c r="I1317" s="6"/>
      <c r="J1317" s="2">
        <f t="shared" si="334"/>
        <v>0.48214285714285715</v>
      </c>
      <c r="K1317" s="2">
        <f t="shared" si="335"/>
        <v>0.42729591836734693</v>
      </c>
      <c r="L1317" s="2">
        <f t="shared" si="336"/>
        <v>5.1020408163265302E-3</v>
      </c>
      <c r="M1317" s="2">
        <f t="shared" si="337"/>
        <v>8.545918367346933E-2</v>
      </c>
      <c r="N1317" s="63">
        <v>378</v>
      </c>
      <c r="O1317" s="63">
        <v>335</v>
      </c>
      <c r="P1317" s="63">
        <v>4</v>
      </c>
      <c r="Q1317" s="63">
        <v>43</v>
      </c>
      <c r="R1317" s="63">
        <v>3</v>
      </c>
      <c r="S1317" s="63"/>
      <c r="T1317" s="63">
        <v>0</v>
      </c>
      <c r="U1317" s="63"/>
      <c r="V1317" s="63"/>
      <c r="W1317" s="63">
        <f>BP1317-P1317</f>
        <v>21</v>
      </c>
      <c r="X1317" s="63"/>
      <c r="Y1317" s="63"/>
      <c r="Z1317" s="63"/>
      <c r="AA1317" s="63"/>
      <c r="AB1317" s="63"/>
      <c r="AT1317" t="str">
        <f t="shared" si="340"/>
        <v>Woodstock</v>
      </c>
      <c r="AU1317" t="s">
        <v>2260</v>
      </c>
      <c r="AV1317">
        <v>2</v>
      </c>
      <c r="AW1317">
        <v>2</v>
      </c>
      <c r="AX1317" s="114">
        <v>33</v>
      </c>
      <c r="AY1317" s="116">
        <v>9</v>
      </c>
      <c r="AZ1317" s="116">
        <v>190</v>
      </c>
      <c r="BA1317" s="120">
        <v>87060</v>
      </c>
      <c r="BB1317" s="120">
        <f t="shared" si="342"/>
        <v>33009</v>
      </c>
      <c r="BC1317" t="s">
        <v>1472</v>
      </c>
      <c r="BD1317">
        <f t="shared" si="339"/>
        <v>3387060</v>
      </c>
      <c r="BI1317">
        <v>59.22</v>
      </c>
      <c r="BJ1317">
        <v>0.5</v>
      </c>
      <c r="BK1317">
        <v>58.72</v>
      </c>
      <c r="BP1317" s="1">
        <v>25</v>
      </c>
      <c r="BR1317">
        <v>16</v>
      </c>
    </row>
    <row r="1318" spans="1:70" collapsed="1">
      <c r="A1318" s="8" t="s">
        <v>2608</v>
      </c>
      <c r="B1318" s="8" t="s">
        <v>544</v>
      </c>
      <c r="C1318" s="1">
        <f t="shared" si="331"/>
        <v>744296</v>
      </c>
      <c r="D1318" s="5">
        <f>IF(N1318&gt;0, RANK(N1318,(N1318:P1318,Q1318:AE1318)),0)</f>
        <v>1</v>
      </c>
      <c r="E1318" s="5">
        <f>IF(O1318&gt;0,RANK(O1318,(N1318:P1318,Q1318:AE1318)),0)</f>
        <v>2</v>
      </c>
      <c r="F1318" s="5">
        <f t="shared" si="332"/>
        <v>6</v>
      </c>
      <c r="G1318" s="1">
        <f t="shared" si="333"/>
        <v>2736</v>
      </c>
      <c r="H1318" s="2">
        <f t="shared" si="341"/>
        <v>3.6759568773713685E-3</v>
      </c>
      <c r="I1318" s="6"/>
      <c r="J1318" s="2">
        <f t="shared" si="334"/>
        <v>0.46826262669690555</v>
      </c>
      <c r="K1318" s="2">
        <f t="shared" si="335"/>
        <v>0.46458666981953417</v>
      </c>
      <c r="L1318" s="2">
        <f t="shared" si="336"/>
        <v>1.429538785644421E-3</v>
      </c>
      <c r="M1318" s="2">
        <f t="shared" si="337"/>
        <v>6.5721164697915863E-2</v>
      </c>
      <c r="N1318" s="63">
        <f t="shared" ref="N1318:T1318" si="343">SUM(N1077:N1317)</f>
        <v>348526</v>
      </c>
      <c r="O1318" s="63">
        <f t="shared" si="343"/>
        <v>345790</v>
      </c>
      <c r="P1318" s="63">
        <f t="shared" si="343"/>
        <v>1064</v>
      </c>
      <c r="Q1318" s="63">
        <f t="shared" si="343"/>
        <v>30777</v>
      </c>
      <c r="R1318" s="63">
        <f t="shared" si="343"/>
        <v>6496</v>
      </c>
      <c r="S1318" s="63"/>
      <c r="T1318" s="63">
        <f t="shared" si="343"/>
        <v>678</v>
      </c>
      <c r="U1318" s="63"/>
      <c r="V1318" s="63"/>
      <c r="W1318" s="63">
        <f>SUM(W1077:W1317)</f>
        <v>10965</v>
      </c>
      <c r="X1318" s="63"/>
      <c r="Y1318" s="63"/>
      <c r="Z1318" s="63"/>
      <c r="AA1318" s="63"/>
      <c r="AB1318" s="63"/>
      <c r="AG1318" s="63"/>
      <c r="AI1318" s="63"/>
      <c r="AL1318" s="1"/>
      <c r="AM1318" s="1"/>
      <c r="AN1318" s="1"/>
      <c r="AO1318" s="1"/>
      <c r="AP1318" s="1"/>
      <c r="AQ1318" s="1"/>
      <c r="AR1318" s="1"/>
      <c r="AT1318" t="str">
        <f t="shared" si="340"/>
        <v>New Hapmshire</v>
      </c>
      <c r="AX1318" s="114">
        <v>33</v>
      </c>
      <c r="BB1318" s="114">
        <v>33</v>
      </c>
      <c r="BC1318" t="s">
        <v>711</v>
      </c>
      <c r="BD1318" s="114">
        <v>33</v>
      </c>
      <c r="BI1318">
        <v>9349.94</v>
      </c>
      <c r="BJ1318">
        <v>381.84</v>
      </c>
      <c r="BK1318">
        <v>8968.1</v>
      </c>
      <c r="BP1318" s="63">
        <f>SUM(BP1077:BP1317)</f>
        <v>12029</v>
      </c>
      <c r="BQ1318" s="63"/>
      <c r="BR1318" s="63">
        <f>SUM(BR1077:BR1317)</f>
        <v>4493</v>
      </c>
    </row>
    <row r="1319" spans="1:70">
      <c r="B1319" s="8"/>
      <c r="C1319" s="1"/>
      <c r="D1319" s="5"/>
      <c r="E1319" s="5"/>
      <c r="F1319" s="5"/>
      <c r="G1319" s="1"/>
      <c r="J1319" s="2"/>
      <c r="K1319" s="2"/>
      <c r="L1319" s="2"/>
      <c r="M1319" s="2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</row>
    <row r="1320" spans="1:70" ht="13" hidden="1" customHeight="1" outlineLevel="1">
      <c r="A1320" t="s">
        <v>318</v>
      </c>
      <c r="B1320" s="8" t="s">
        <v>1647</v>
      </c>
      <c r="C1320" s="1">
        <f t="shared" ref="C1320:C1360" si="344">SUM(N1320:AR1320)</f>
        <v>9758</v>
      </c>
      <c r="D1320" s="5">
        <f>IF(N1320&gt;0, RANK(N1320,(N1320:P1320,Q1320:AE1320)),0)</f>
        <v>1</v>
      </c>
      <c r="E1320" s="5">
        <f>IF(O1320&gt;0,RANK(O1320,(N1320:P1320,Q1320:AE1320)),0)</f>
        <v>2</v>
      </c>
      <c r="F1320" s="5">
        <f t="shared" ref="F1320:F1360" si="345">IF(P1320&gt;0,RANK(P1320,(N1320:AE1320)),0)</f>
        <v>6</v>
      </c>
      <c r="G1320" s="1">
        <f t="shared" ref="G1320:G1360" si="346">IF(C1320&gt;0,MAX(N1320:P1320)-LARGE(N1320:P1320,2),0)</f>
        <v>3255</v>
      </c>
      <c r="H1320" s="2">
        <f t="shared" si="341"/>
        <v>0.33357245337159253</v>
      </c>
      <c r="I1320" s="6"/>
      <c r="J1320" s="2">
        <f t="shared" ref="J1320:J1360" si="347">IF(C1320=0,"-",N1320/C1320)</f>
        <v>0.63055954088952659</v>
      </c>
      <c r="K1320" s="2">
        <f t="shared" ref="K1320:K1360" si="348">IF(C1320=0,"-",O1320/C1320)</f>
        <v>0.29698708751793401</v>
      </c>
      <c r="L1320" s="2">
        <f t="shared" ref="L1320:L1360" si="349">IF(C1320=0,"-",P1320/C1320)</f>
        <v>4.4066407050625126E-3</v>
      </c>
      <c r="M1320" s="2">
        <f t="shared" ref="M1320:M1360" si="350">IF(C1320=0,"-",(1-J1320-K1320-L1320))</f>
        <v>6.8046730887476883E-2</v>
      </c>
      <c r="N1320" s="63">
        <v>6153</v>
      </c>
      <c r="O1320" s="63">
        <v>2898</v>
      </c>
      <c r="P1320" s="63">
        <v>43</v>
      </c>
      <c r="Q1320" s="63">
        <v>340</v>
      </c>
      <c r="R1320" s="63">
        <v>110</v>
      </c>
      <c r="S1320" s="63">
        <v>1</v>
      </c>
      <c r="T1320" s="63">
        <v>11</v>
      </c>
      <c r="U1320" s="63"/>
      <c r="V1320" s="63"/>
      <c r="W1320" s="63">
        <f>BP1320-P1320-S1320-AN1320</f>
        <v>202</v>
      </c>
      <c r="X1320" s="63"/>
      <c r="Y1320" s="63"/>
      <c r="Z1320" s="63"/>
      <c r="AA1320" s="63"/>
      <c r="AB1320" s="63"/>
      <c r="AN1320">
        <v>0</v>
      </c>
      <c r="AT1320" t="str">
        <f t="shared" si="340"/>
        <v>Barrington</v>
      </c>
      <c r="AU1320" t="s">
        <v>2215</v>
      </c>
      <c r="AV1320">
        <v>1</v>
      </c>
      <c r="AX1320" s="114">
        <v>44</v>
      </c>
      <c r="AY1320" s="116">
        <v>1</v>
      </c>
      <c r="AZ1320" s="116">
        <v>5</v>
      </c>
      <c r="BA1320" s="120">
        <v>5140</v>
      </c>
      <c r="BB1320" s="120">
        <f t="shared" si="342"/>
        <v>44001</v>
      </c>
      <c r="BC1320" t="s">
        <v>1472</v>
      </c>
      <c r="BD1320">
        <f t="shared" ref="BD1320:BD1359" si="351">AX1320*100000+BA1320</f>
        <v>4405140</v>
      </c>
      <c r="BE1320" s="1">
        <v>108</v>
      </c>
      <c r="BF1320" s="63">
        <v>5</v>
      </c>
      <c r="BI1320">
        <v>15.42</v>
      </c>
      <c r="BJ1320">
        <v>7.01</v>
      </c>
      <c r="BK1320">
        <v>8.42</v>
      </c>
      <c r="BP1320" s="63">
        <v>246</v>
      </c>
      <c r="BR1320">
        <v>40</v>
      </c>
    </row>
    <row r="1321" spans="1:70" ht="13" hidden="1" customHeight="1" outlineLevel="1">
      <c r="A1321" t="s">
        <v>2215</v>
      </c>
      <c r="B1321" s="8" t="s">
        <v>1647</v>
      </c>
      <c r="C1321" s="1">
        <f t="shared" si="344"/>
        <v>10665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345"/>
        <v>6</v>
      </c>
      <c r="G1321" s="1">
        <f t="shared" si="346"/>
        <v>1691</v>
      </c>
      <c r="H1321" s="2">
        <f t="shared" si="341"/>
        <v>0.1585560243788092</v>
      </c>
      <c r="I1321" s="6"/>
      <c r="J1321" s="2">
        <f t="shared" si="347"/>
        <v>0.5411157993436474</v>
      </c>
      <c r="K1321" s="2">
        <f t="shared" si="348"/>
        <v>0.38255977496483823</v>
      </c>
      <c r="L1321" s="2">
        <f t="shared" si="349"/>
        <v>1.5002344116268166E-3</v>
      </c>
      <c r="M1321" s="2">
        <f t="shared" si="350"/>
        <v>7.4824191279887556E-2</v>
      </c>
      <c r="N1321" s="63">
        <v>5771</v>
      </c>
      <c r="O1321" s="63">
        <v>4080</v>
      </c>
      <c r="P1321" s="63">
        <v>16</v>
      </c>
      <c r="Q1321" s="63">
        <v>428</v>
      </c>
      <c r="R1321" s="63">
        <v>134</v>
      </c>
      <c r="S1321" s="63">
        <v>1</v>
      </c>
      <c r="T1321" s="63">
        <v>13</v>
      </c>
      <c r="U1321" s="63"/>
      <c r="V1321" s="63"/>
      <c r="W1321" s="63">
        <f t="shared" ref="W1321:W1359" si="352">BP1321-P1321-S1321-AN1321</f>
        <v>222</v>
      </c>
      <c r="X1321" s="63"/>
      <c r="Y1321" s="63"/>
      <c r="Z1321" s="63"/>
      <c r="AA1321" s="63"/>
      <c r="AB1321" s="63"/>
      <c r="AN1321">
        <v>0</v>
      </c>
      <c r="AT1321" t="str">
        <f t="shared" si="340"/>
        <v>Bristol</v>
      </c>
      <c r="AU1321" t="s">
        <v>2215</v>
      </c>
      <c r="AV1321">
        <v>1</v>
      </c>
      <c r="AX1321" s="114">
        <v>44</v>
      </c>
      <c r="AY1321" s="116">
        <v>1</v>
      </c>
      <c r="AZ1321" s="116">
        <v>10</v>
      </c>
      <c r="BA1321" s="120">
        <v>9280</v>
      </c>
      <c r="BB1321" s="120">
        <f t="shared" si="342"/>
        <v>44001</v>
      </c>
      <c r="BC1321" t="s">
        <v>1472</v>
      </c>
      <c r="BD1321">
        <f t="shared" si="351"/>
        <v>4409280</v>
      </c>
      <c r="BE1321" s="1">
        <v>119</v>
      </c>
      <c r="BF1321" s="63">
        <v>13</v>
      </c>
      <c r="BI1321">
        <v>20.63</v>
      </c>
      <c r="BJ1321">
        <v>10.52</v>
      </c>
      <c r="BK1321">
        <v>10.11</v>
      </c>
      <c r="BP1321" s="63">
        <v>239</v>
      </c>
      <c r="BR1321">
        <v>78</v>
      </c>
    </row>
    <row r="1322" spans="1:70" ht="13" hidden="1" customHeight="1" outlineLevel="1">
      <c r="A1322" t="s">
        <v>2196</v>
      </c>
      <c r="B1322" s="8" t="s">
        <v>1647</v>
      </c>
      <c r="C1322" s="1">
        <f t="shared" si="344"/>
        <v>7270</v>
      </c>
      <c r="D1322" s="5">
        <f>IF(N1322&gt;0, RANK(N1322,(N1322:P1322,Q1322:AE1322)),0)</f>
        <v>2</v>
      </c>
      <c r="E1322" s="5">
        <f>IF(O1322&gt;0,RANK(O1322,(N1322:P1322,Q1322:AE1322)),0)</f>
        <v>1</v>
      </c>
      <c r="F1322" s="5">
        <f t="shared" si="345"/>
        <v>7</v>
      </c>
      <c r="G1322" s="1">
        <f t="shared" si="346"/>
        <v>1581</v>
      </c>
      <c r="H1322" s="2">
        <f t="shared" si="341"/>
        <v>0.21746905089408528</v>
      </c>
      <c r="I1322" s="6"/>
      <c r="J1322" s="2">
        <f t="shared" si="347"/>
        <v>0.35185694635488307</v>
      </c>
      <c r="K1322" s="2">
        <f t="shared" si="348"/>
        <v>0.56932599724896837</v>
      </c>
      <c r="L1322" s="2">
        <f t="shared" si="349"/>
        <v>8.2530949105914721E-4</v>
      </c>
      <c r="M1322" s="2">
        <f t="shared" si="350"/>
        <v>7.7991746905089407E-2</v>
      </c>
      <c r="N1322" s="63">
        <v>2558</v>
      </c>
      <c r="O1322" s="63">
        <v>4139</v>
      </c>
      <c r="P1322" s="63">
        <v>6</v>
      </c>
      <c r="Q1322" s="63">
        <v>295</v>
      </c>
      <c r="R1322" s="63">
        <v>109</v>
      </c>
      <c r="S1322" s="63">
        <v>0</v>
      </c>
      <c r="T1322" s="63">
        <v>14</v>
      </c>
      <c r="U1322" s="63"/>
      <c r="V1322" s="63"/>
      <c r="W1322" s="63">
        <f t="shared" si="352"/>
        <v>149</v>
      </c>
      <c r="X1322" s="63"/>
      <c r="Y1322" s="63"/>
      <c r="Z1322" s="63"/>
      <c r="AA1322" s="63"/>
      <c r="AB1322" s="63"/>
      <c r="AN1322">
        <v>0</v>
      </c>
      <c r="AT1322" t="str">
        <f t="shared" si="340"/>
        <v>Burrillville</v>
      </c>
      <c r="AU1322" t="s">
        <v>1153</v>
      </c>
      <c r="AV1322">
        <v>2</v>
      </c>
      <c r="AX1322" s="114">
        <v>44</v>
      </c>
      <c r="AY1322" s="116">
        <v>7</v>
      </c>
      <c r="AZ1322" s="116">
        <v>5</v>
      </c>
      <c r="BA1322" s="120">
        <v>11800</v>
      </c>
      <c r="BB1322" s="120">
        <f t="shared" si="342"/>
        <v>44007</v>
      </c>
      <c r="BC1322" t="s">
        <v>1472</v>
      </c>
      <c r="BD1322">
        <f t="shared" si="351"/>
        <v>4411800</v>
      </c>
      <c r="BE1322" s="1">
        <v>47</v>
      </c>
      <c r="BF1322" s="63">
        <v>7</v>
      </c>
      <c r="BI1322">
        <v>57.15</v>
      </c>
      <c r="BJ1322">
        <v>1.58</v>
      </c>
      <c r="BK1322">
        <v>55.56</v>
      </c>
      <c r="BP1322" s="63">
        <v>155</v>
      </c>
      <c r="BR1322">
        <v>71</v>
      </c>
    </row>
    <row r="1323" spans="1:70" ht="13" hidden="1" customHeight="1" outlineLevel="1">
      <c r="A1323" t="s">
        <v>997</v>
      </c>
      <c r="B1323" s="8" t="s">
        <v>1647</v>
      </c>
      <c r="C1323" s="1">
        <f t="shared" si="344"/>
        <v>4236</v>
      </c>
      <c r="D1323" s="5">
        <f>IF(N1323&gt;0, RANK(N1323,(N1323:P1323,Q1323:AE1323)),0)</f>
        <v>1</v>
      </c>
      <c r="E1323" s="5">
        <f>IF(O1323&gt;0,RANK(O1323,(N1323:P1323,Q1323:AE1323)),0)</f>
        <v>2</v>
      </c>
      <c r="F1323" s="5">
        <f t="shared" si="345"/>
        <v>7</v>
      </c>
      <c r="G1323" s="1">
        <f t="shared" si="346"/>
        <v>2737</v>
      </c>
      <c r="H1323" s="2">
        <f t="shared" si="341"/>
        <v>0.64612842304060436</v>
      </c>
      <c r="I1323" s="6"/>
      <c r="J1323" s="2">
        <f t="shared" si="347"/>
        <v>0.80122757318224735</v>
      </c>
      <c r="K1323" s="2">
        <f t="shared" si="348"/>
        <v>0.15509915014164305</v>
      </c>
      <c r="L1323" s="2">
        <f t="shared" si="349"/>
        <v>4.7214353163361664E-4</v>
      </c>
      <c r="M1323" s="2">
        <f t="shared" si="350"/>
        <v>4.3201133144475982E-2</v>
      </c>
      <c r="N1323" s="63">
        <v>3394</v>
      </c>
      <c r="O1323" s="63">
        <v>657</v>
      </c>
      <c r="P1323" s="63">
        <v>2</v>
      </c>
      <c r="Q1323" s="63">
        <v>86</v>
      </c>
      <c r="R1323" s="63">
        <v>40</v>
      </c>
      <c r="S1323" s="63">
        <v>0</v>
      </c>
      <c r="T1323" s="63">
        <v>3</v>
      </c>
      <c r="U1323" s="63"/>
      <c r="V1323" s="63"/>
      <c r="W1323" s="63">
        <f t="shared" si="352"/>
        <v>54</v>
      </c>
      <c r="X1323" s="63"/>
      <c r="Y1323" s="63"/>
      <c r="Z1323" s="63"/>
      <c r="AA1323" s="63"/>
      <c r="AB1323" s="63"/>
      <c r="AN1323">
        <v>0</v>
      </c>
      <c r="AT1323" t="str">
        <f t="shared" si="340"/>
        <v>Central Falls</v>
      </c>
      <c r="AU1323" t="s">
        <v>1153</v>
      </c>
      <c r="AV1323">
        <v>1</v>
      </c>
      <c r="AX1323" s="114">
        <v>44</v>
      </c>
      <c r="AY1323" s="116">
        <v>7</v>
      </c>
      <c r="AZ1323" s="116">
        <v>10</v>
      </c>
      <c r="BA1323" s="120">
        <v>14140</v>
      </c>
      <c r="BB1323" s="120">
        <f t="shared" si="342"/>
        <v>44007</v>
      </c>
      <c r="BC1323" t="s">
        <v>1249</v>
      </c>
      <c r="BD1323">
        <f t="shared" si="351"/>
        <v>4414140</v>
      </c>
      <c r="BE1323" s="1">
        <v>29</v>
      </c>
      <c r="BF1323" s="63">
        <v>22</v>
      </c>
      <c r="BI1323">
        <v>1.29</v>
      </c>
      <c r="BJ1323">
        <v>0.08</v>
      </c>
      <c r="BK1323">
        <v>1.21</v>
      </c>
      <c r="BP1323" s="63">
        <v>56</v>
      </c>
      <c r="BR1323">
        <v>63</v>
      </c>
    </row>
    <row r="1324" spans="1:70" ht="13" hidden="1" customHeight="1" outlineLevel="1">
      <c r="A1324" t="s">
        <v>2624</v>
      </c>
      <c r="B1324" s="8" t="s">
        <v>1647</v>
      </c>
      <c r="C1324" s="1">
        <f t="shared" si="344"/>
        <v>4443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si="345"/>
        <v>6</v>
      </c>
      <c r="G1324" s="1">
        <f t="shared" si="346"/>
        <v>301</v>
      </c>
      <c r="H1324" s="2">
        <f t="shared" si="341"/>
        <v>6.7747017780778754E-2</v>
      </c>
      <c r="I1324" s="6"/>
      <c r="J1324" s="2">
        <f t="shared" si="347"/>
        <v>0.49673643934278638</v>
      </c>
      <c r="K1324" s="2">
        <f t="shared" si="348"/>
        <v>0.42898942156200764</v>
      </c>
      <c r="L1324" s="2">
        <f t="shared" si="349"/>
        <v>1.5755120414134593E-3</v>
      </c>
      <c r="M1324" s="2">
        <f t="shared" si="350"/>
        <v>7.2698627053792458E-2</v>
      </c>
      <c r="N1324" s="63">
        <v>2207</v>
      </c>
      <c r="O1324" s="63">
        <v>1906</v>
      </c>
      <c r="P1324" s="63">
        <v>7</v>
      </c>
      <c r="Q1324" s="63">
        <v>183</v>
      </c>
      <c r="R1324" s="63">
        <v>56</v>
      </c>
      <c r="S1324" s="63">
        <v>0</v>
      </c>
      <c r="T1324" s="63">
        <v>5</v>
      </c>
      <c r="U1324" s="63"/>
      <c r="V1324" s="63"/>
      <c r="W1324" s="63">
        <f t="shared" si="352"/>
        <v>79</v>
      </c>
      <c r="X1324" s="63"/>
      <c r="Y1324" s="63"/>
      <c r="Z1324" s="63"/>
      <c r="AA1324" s="63"/>
      <c r="AB1324" s="63"/>
      <c r="AN1324">
        <v>0</v>
      </c>
      <c r="AT1324" t="str">
        <f t="shared" si="340"/>
        <v>Charlestown</v>
      </c>
      <c r="AU1324" t="s">
        <v>692</v>
      </c>
      <c r="AV1324">
        <v>2</v>
      </c>
      <c r="AX1324" s="114">
        <v>44</v>
      </c>
      <c r="AY1324" s="116">
        <v>9</v>
      </c>
      <c r="AZ1324" s="116">
        <v>5</v>
      </c>
      <c r="BA1324" s="120">
        <v>14500</v>
      </c>
      <c r="BB1324" s="120">
        <f t="shared" si="342"/>
        <v>44009</v>
      </c>
      <c r="BC1324" t="s">
        <v>1472</v>
      </c>
      <c r="BD1324">
        <f t="shared" si="351"/>
        <v>4414500</v>
      </c>
      <c r="BE1324" s="1">
        <v>51</v>
      </c>
      <c r="BF1324" s="63">
        <v>4</v>
      </c>
      <c r="BI1324">
        <v>59.29</v>
      </c>
      <c r="BJ1324">
        <v>22.45</v>
      </c>
      <c r="BK1324">
        <v>36.840000000000003</v>
      </c>
      <c r="BP1324" s="63">
        <v>86</v>
      </c>
      <c r="BR1324">
        <v>27</v>
      </c>
    </row>
    <row r="1325" spans="1:70" ht="13" hidden="1" customHeight="1" outlineLevel="1">
      <c r="A1325" t="s">
        <v>3192</v>
      </c>
      <c r="B1325" s="8" t="s">
        <v>1647</v>
      </c>
      <c r="C1325" s="1">
        <f t="shared" si="344"/>
        <v>17514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 t="shared" si="345"/>
        <v>7</v>
      </c>
      <c r="G1325" s="1">
        <f t="shared" si="346"/>
        <v>2167</v>
      </c>
      <c r="H1325" s="2">
        <f t="shared" si="341"/>
        <v>0.12372958775836473</v>
      </c>
      <c r="I1325" s="6"/>
      <c r="J1325" s="2">
        <f t="shared" si="347"/>
        <v>0.40150736553614252</v>
      </c>
      <c r="K1325" s="2">
        <f t="shared" si="348"/>
        <v>0.52523695329450726</v>
      </c>
      <c r="L1325" s="2">
        <f t="shared" si="349"/>
        <v>1.4845266643827796E-3</v>
      </c>
      <c r="M1325" s="2">
        <f t="shared" si="350"/>
        <v>7.1771154504967433E-2</v>
      </c>
      <c r="N1325" s="63">
        <v>7032</v>
      </c>
      <c r="O1325" s="63">
        <v>9199</v>
      </c>
      <c r="P1325" s="63">
        <v>26</v>
      </c>
      <c r="Q1325" s="63">
        <v>669</v>
      </c>
      <c r="R1325" s="63">
        <v>215</v>
      </c>
      <c r="S1325" s="63">
        <v>4</v>
      </c>
      <c r="T1325" s="63">
        <v>38</v>
      </c>
      <c r="U1325" s="63"/>
      <c r="V1325" s="63"/>
      <c r="W1325" s="63">
        <f t="shared" si="352"/>
        <v>329</v>
      </c>
      <c r="X1325" s="63"/>
      <c r="Y1325" s="63"/>
      <c r="Z1325" s="63"/>
      <c r="AA1325" s="63"/>
      <c r="AB1325" s="63"/>
      <c r="AN1325">
        <v>2</v>
      </c>
      <c r="AT1325" t="str">
        <f t="shared" si="340"/>
        <v>Coventry</v>
      </c>
      <c r="AU1325" t="s">
        <v>725</v>
      </c>
      <c r="AV1325">
        <v>2</v>
      </c>
      <c r="AX1325" s="114">
        <v>44</v>
      </c>
      <c r="AY1325" s="116">
        <v>3</v>
      </c>
      <c r="AZ1325" s="116">
        <v>5</v>
      </c>
      <c r="BA1325" s="120">
        <v>18640</v>
      </c>
      <c r="BB1325" s="120">
        <f t="shared" si="342"/>
        <v>44003</v>
      </c>
      <c r="BC1325" t="s">
        <v>1472</v>
      </c>
      <c r="BD1325">
        <f t="shared" si="351"/>
        <v>4418640</v>
      </c>
      <c r="BE1325" s="1">
        <v>162</v>
      </c>
      <c r="BF1325" s="63">
        <v>28</v>
      </c>
      <c r="BI1325">
        <v>62.34</v>
      </c>
      <c r="BJ1325">
        <v>2.8</v>
      </c>
      <c r="BK1325">
        <v>59.54</v>
      </c>
      <c r="BP1325" s="63">
        <v>361</v>
      </c>
      <c r="BR1325">
        <v>141</v>
      </c>
    </row>
    <row r="1326" spans="1:70" ht="13" hidden="1" customHeight="1" outlineLevel="1">
      <c r="A1326" t="s">
        <v>849</v>
      </c>
      <c r="B1326" s="8" t="s">
        <v>1647</v>
      </c>
      <c r="C1326" s="1">
        <f t="shared" si="344"/>
        <v>36796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345"/>
        <v>7</v>
      </c>
      <c r="G1326" s="1">
        <f t="shared" si="346"/>
        <v>2829</v>
      </c>
      <c r="H1326" s="2">
        <f t="shared" si="341"/>
        <v>7.6883356886618112E-2</v>
      </c>
      <c r="I1326" s="6"/>
      <c r="J1326" s="2">
        <f t="shared" si="347"/>
        <v>0.50991955647352971</v>
      </c>
      <c r="K1326" s="2">
        <f t="shared" si="348"/>
        <v>0.43303619958691164</v>
      </c>
      <c r="L1326" s="2">
        <f t="shared" si="349"/>
        <v>1.2501358843352538E-3</v>
      </c>
      <c r="M1326" s="2">
        <f t="shared" si="350"/>
        <v>5.579410805522339E-2</v>
      </c>
      <c r="N1326" s="63">
        <v>18763</v>
      </c>
      <c r="O1326" s="63">
        <v>15934</v>
      </c>
      <c r="P1326" s="63">
        <v>46</v>
      </c>
      <c r="Q1326" s="63">
        <v>922</v>
      </c>
      <c r="R1326" s="63">
        <v>445</v>
      </c>
      <c r="S1326" s="63">
        <v>6</v>
      </c>
      <c r="T1326" s="63">
        <v>54</v>
      </c>
      <c r="U1326" s="63"/>
      <c r="V1326" s="63"/>
      <c r="W1326" s="63">
        <f t="shared" si="352"/>
        <v>625</v>
      </c>
      <c r="X1326" s="63"/>
      <c r="Y1326" s="63"/>
      <c r="Z1326" s="63"/>
      <c r="AA1326" s="63"/>
      <c r="AB1326" s="63"/>
      <c r="AN1326">
        <v>1</v>
      </c>
      <c r="AT1326" t="str">
        <f t="shared" si="340"/>
        <v>Cranston</v>
      </c>
      <c r="AU1326" t="s">
        <v>1153</v>
      </c>
      <c r="AV1326">
        <v>2</v>
      </c>
      <c r="AX1326" s="114">
        <v>44</v>
      </c>
      <c r="AY1326" s="116">
        <v>7</v>
      </c>
      <c r="AZ1326" s="116">
        <v>15</v>
      </c>
      <c r="BA1326" s="120">
        <v>19180</v>
      </c>
      <c r="BB1326" s="120">
        <f t="shared" si="342"/>
        <v>44007</v>
      </c>
      <c r="BC1326" t="s">
        <v>1249</v>
      </c>
      <c r="BD1326">
        <f t="shared" si="351"/>
        <v>4419180</v>
      </c>
      <c r="BE1326" s="1">
        <v>343</v>
      </c>
      <c r="BF1326" s="63">
        <v>68</v>
      </c>
      <c r="BI1326">
        <v>29.93</v>
      </c>
      <c r="BJ1326">
        <v>1.36</v>
      </c>
      <c r="BK1326">
        <v>28.57</v>
      </c>
      <c r="BP1326" s="63">
        <v>678</v>
      </c>
      <c r="BR1326">
        <v>198</v>
      </c>
    </row>
    <row r="1327" spans="1:70" ht="13" hidden="1" customHeight="1" outlineLevel="1">
      <c r="A1327" t="s">
        <v>1531</v>
      </c>
      <c r="B1327" s="8" t="s">
        <v>1647</v>
      </c>
      <c r="C1327" s="1">
        <f t="shared" si="344"/>
        <v>17237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345"/>
        <v>7</v>
      </c>
      <c r="G1327" s="1">
        <f t="shared" si="346"/>
        <v>1211</v>
      </c>
      <c r="H1327" s="2">
        <f t="shared" si="341"/>
        <v>7.0255844984626101E-2</v>
      </c>
      <c r="I1327" s="6"/>
      <c r="J1327" s="2">
        <f t="shared" si="347"/>
        <v>0.5021175378546151</v>
      </c>
      <c r="K1327" s="2">
        <f t="shared" si="348"/>
        <v>0.43186169286998899</v>
      </c>
      <c r="L1327" s="2">
        <f t="shared" si="349"/>
        <v>1.1602947148575738E-3</v>
      </c>
      <c r="M1327" s="2">
        <f t="shared" si="350"/>
        <v>6.4860474560538339E-2</v>
      </c>
      <c r="N1327" s="63">
        <v>8655</v>
      </c>
      <c r="O1327" s="63">
        <v>7444</v>
      </c>
      <c r="P1327" s="63">
        <v>20</v>
      </c>
      <c r="Q1327" s="63">
        <v>618</v>
      </c>
      <c r="R1327" s="63">
        <v>180</v>
      </c>
      <c r="S1327" s="63">
        <v>2</v>
      </c>
      <c r="T1327" s="63">
        <v>23</v>
      </c>
      <c r="U1327" s="63"/>
      <c r="V1327" s="63"/>
      <c r="W1327" s="63">
        <f t="shared" si="352"/>
        <v>295</v>
      </c>
      <c r="X1327" s="63"/>
      <c r="Y1327" s="63"/>
      <c r="Z1327" s="63"/>
      <c r="AA1327" s="63"/>
      <c r="AB1327" s="63"/>
      <c r="AN1327">
        <v>0</v>
      </c>
      <c r="AT1327" t="str">
        <f t="shared" si="340"/>
        <v>Cumberland</v>
      </c>
      <c r="AU1327" t="s">
        <v>1153</v>
      </c>
      <c r="AV1327">
        <v>1</v>
      </c>
      <c r="AX1327" s="114">
        <v>44</v>
      </c>
      <c r="AY1327" s="116">
        <v>7</v>
      </c>
      <c r="AZ1327" s="116">
        <v>20</v>
      </c>
      <c r="BA1327" s="120">
        <v>20080</v>
      </c>
      <c r="BB1327" s="120">
        <f t="shared" si="342"/>
        <v>44007</v>
      </c>
      <c r="BC1327" t="s">
        <v>1472</v>
      </c>
      <c r="BD1327">
        <f t="shared" si="351"/>
        <v>4420080</v>
      </c>
      <c r="BE1327" s="1">
        <v>159</v>
      </c>
      <c r="BF1327" s="63">
        <v>34</v>
      </c>
      <c r="BI1327">
        <v>28.25</v>
      </c>
      <c r="BJ1327">
        <v>1.46</v>
      </c>
      <c r="BK1327">
        <v>26.79</v>
      </c>
      <c r="BP1327" s="63">
        <v>317</v>
      </c>
      <c r="BR1327">
        <v>117</v>
      </c>
    </row>
    <row r="1328" spans="1:70" ht="13" hidden="1" customHeight="1" outlineLevel="1">
      <c r="A1328" t="s">
        <v>2966</v>
      </c>
      <c r="B1328" s="8" t="s">
        <v>1647</v>
      </c>
      <c r="C1328" s="1">
        <f t="shared" si="344"/>
        <v>7689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345"/>
        <v>6</v>
      </c>
      <c r="G1328" s="1">
        <f t="shared" si="346"/>
        <v>897</v>
      </c>
      <c r="H1328" s="2">
        <f t="shared" si="341"/>
        <v>0.1166601638704643</v>
      </c>
      <c r="I1328" s="6"/>
      <c r="J1328" s="2">
        <f t="shared" si="347"/>
        <v>0.52269475874626092</v>
      </c>
      <c r="K1328" s="2">
        <f t="shared" si="348"/>
        <v>0.40603459487579657</v>
      </c>
      <c r="L1328" s="2">
        <f t="shared" si="349"/>
        <v>1.6907270126154247E-3</v>
      </c>
      <c r="M1328" s="2">
        <f t="shared" si="350"/>
        <v>6.9579919365327078E-2</v>
      </c>
      <c r="N1328" s="63">
        <v>4019</v>
      </c>
      <c r="O1328" s="63">
        <v>3122</v>
      </c>
      <c r="P1328" s="63">
        <v>13</v>
      </c>
      <c r="Q1328" s="63">
        <v>283</v>
      </c>
      <c r="R1328" s="63">
        <v>59</v>
      </c>
      <c r="S1328" s="63">
        <v>0</v>
      </c>
      <c r="T1328" s="63">
        <v>8</v>
      </c>
      <c r="U1328" s="63"/>
      <c r="V1328" s="63"/>
      <c r="W1328" s="63">
        <f t="shared" si="352"/>
        <v>184</v>
      </c>
      <c r="X1328" s="63"/>
      <c r="Y1328" s="63"/>
      <c r="Z1328" s="63"/>
      <c r="AA1328" s="63"/>
      <c r="AB1328" s="63"/>
      <c r="AN1328">
        <v>1</v>
      </c>
      <c r="AT1328" t="str">
        <f t="shared" si="340"/>
        <v>East Greenwich</v>
      </c>
      <c r="AU1328" t="s">
        <v>725</v>
      </c>
      <c r="AV1328">
        <v>2</v>
      </c>
      <c r="AX1328" s="114">
        <v>44</v>
      </c>
      <c r="AY1328" s="116">
        <v>3</v>
      </c>
      <c r="AZ1328" s="116">
        <v>10</v>
      </c>
      <c r="BA1328" s="120">
        <v>22240</v>
      </c>
      <c r="BB1328" s="120">
        <f t="shared" si="342"/>
        <v>44003</v>
      </c>
      <c r="BC1328" t="s">
        <v>1472</v>
      </c>
      <c r="BD1328">
        <f t="shared" si="351"/>
        <v>4422240</v>
      </c>
      <c r="BE1328" s="1">
        <v>97</v>
      </c>
      <c r="BF1328" s="63">
        <v>5</v>
      </c>
      <c r="BI1328">
        <v>16.71</v>
      </c>
      <c r="BJ1328">
        <v>0.14000000000000001</v>
      </c>
      <c r="BK1328">
        <v>16.579999999999998</v>
      </c>
      <c r="BP1328" s="63">
        <v>198</v>
      </c>
      <c r="BR1328">
        <v>35</v>
      </c>
    </row>
    <row r="1329" spans="1:70" ht="13" hidden="1" customHeight="1" outlineLevel="1">
      <c r="A1329" t="s">
        <v>2120</v>
      </c>
      <c r="B1329" s="8" t="s">
        <v>1647</v>
      </c>
      <c r="C1329" s="1">
        <f t="shared" si="344"/>
        <v>20410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345"/>
        <v>7</v>
      </c>
      <c r="G1329" s="1">
        <f t="shared" si="346"/>
        <v>4770</v>
      </c>
      <c r="H1329" s="2">
        <f t="shared" si="341"/>
        <v>0.23370896619304263</v>
      </c>
      <c r="I1329" s="6"/>
      <c r="J1329" s="2">
        <f t="shared" si="347"/>
        <v>0.58324350808427239</v>
      </c>
      <c r="K1329" s="2">
        <f t="shared" si="348"/>
        <v>0.34953454189122979</v>
      </c>
      <c r="L1329" s="2">
        <f t="shared" si="349"/>
        <v>1.3718765311122E-3</v>
      </c>
      <c r="M1329" s="2">
        <f t="shared" si="350"/>
        <v>6.5850073493385619E-2</v>
      </c>
      <c r="N1329" s="63">
        <v>11904</v>
      </c>
      <c r="O1329" s="63">
        <v>7134</v>
      </c>
      <c r="P1329" s="63">
        <v>28</v>
      </c>
      <c r="Q1329" s="63">
        <v>631</v>
      </c>
      <c r="R1329" s="63">
        <v>263</v>
      </c>
      <c r="S1329" s="63">
        <v>2</v>
      </c>
      <c r="T1329" s="63">
        <v>30</v>
      </c>
      <c r="U1329" s="63"/>
      <c r="V1329" s="63"/>
      <c r="W1329" s="63">
        <f t="shared" si="352"/>
        <v>418</v>
      </c>
      <c r="X1329" s="63"/>
      <c r="Y1329" s="63"/>
      <c r="Z1329" s="63"/>
      <c r="AA1329" s="63"/>
      <c r="AB1329" s="63"/>
      <c r="AN1329">
        <v>0</v>
      </c>
      <c r="AT1329" t="str">
        <f t="shared" si="340"/>
        <v>East Providence</v>
      </c>
      <c r="AU1329" t="s">
        <v>1153</v>
      </c>
      <c r="AV1329">
        <v>1</v>
      </c>
      <c r="AX1329" s="114">
        <v>44</v>
      </c>
      <c r="AY1329" s="116">
        <v>7</v>
      </c>
      <c r="AZ1329" s="116">
        <v>25</v>
      </c>
      <c r="BA1329" s="120">
        <v>22960</v>
      </c>
      <c r="BB1329" s="120">
        <f t="shared" si="342"/>
        <v>44007</v>
      </c>
      <c r="BC1329" t="s">
        <v>1249</v>
      </c>
      <c r="BD1329">
        <f t="shared" si="351"/>
        <v>4422960</v>
      </c>
      <c r="BE1329" s="1">
        <v>189</v>
      </c>
      <c r="BF1329" s="63">
        <v>66</v>
      </c>
      <c r="BI1329">
        <v>16.61</v>
      </c>
      <c r="BJ1329">
        <v>3.21</v>
      </c>
      <c r="BK1329">
        <v>13.41</v>
      </c>
      <c r="BP1329" s="63">
        <v>448</v>
      </c>
      <c r="BR1329">
        <v>68</v>
      </c>
    </row>
    <row r="1330" spans="1:70" ht="13" hidden="1" customHeight="1" outlineLevel="1">
      <c r="A1330" t="s">
        <v>1777</v>
      </c>
      <c r="B1330" s="8" t="s">
        <v>1647</v>
      </c>
      <c r="C1330" s="1">
        <f t="shared" si="344"/>
        <v>3586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 t="shared" si="345"/>
        <v>6</v>
      </c>
      <c r="G1330" s="1">
        <f t="shared" si="346"/>
        <v>349</v>
      </c>
      <c r="H1330" s="2">
        <f t="shared" si="341"/>
        <v>9.7322922476296703E-2</v>
      </c>
      <c r="I1330" s="6"/>
      <c r="J1330" s="2">
        <f t="shared" si="347"/>
        <v>0.41020635805911881</v>
      </c>
      <c r="K1330" s="2">
        <f t="shared" si="348"/>
        <v>0.50752928053541546</v>
      </c>
      <c r="L1330" s="2">
        <f t="shared" si="349"/>
        <v>3.6252091466815392E-3</v>
      </c>
      <c r="M1330" s="2">
        <f t="shared" si="350"/>
        <v>7.8639152258784123E-2</v>
      </c>
      <c r="N1330" s="63">
        <v>1471</v>
      </c>
      <c r="O1330" s="63">
        <v>1820</v>
      </c>
      <c r="P1330" s="63">
        <v>13</v>
      </c>
      <c r="Q1330" s="63">
        <v>144</v>
      </c>
      <c r="R1330" s="63">
        <v>56</v>
      </c>
      <c r="S1330" s="63">
        <v>0</v>
      </c>
      <c r="T1330" s="63">
        <v>9</v>
      </c>
      <c r="U1330" s="63"/>
      <c r="V1330" s="63"/>
      <c r="W1330" s="63">
        <f t="shared" si="352"/>
        <v>72</v>
      </c>
      <c r="X1330" s="63"/>
      <c r="Y1330" s="63"/>
      <c r="Z1330" s="63"/>
      <c r="AA1330" s="63"/>
      <c r="AB1330" s="63"/>
      <c r="AN1330">
        <v>1</v>
      </c>
      <c r="AT1330" t="str">
        <f t="shared" si="340"/>
        <v>Exeter</v>
      </c>
      <c r="AU1330" t="s">
        <v>692</v>
      </c>
      <c r="AV1330">
        <v>2</v>
      </c>
      <c r="AX1330" s="114">
        <v>44</v>
      </c>
      <c r="AY1330" s="116">
        <v>9</v>
      </c>
      <c r="AZ1330" s="116">
        <v>10</v>
      </c>
      <c r="BA1330" s="120">
        <v>25300</v>
      </c>
      <c r="BB1330" s="120">
        <f t="shared" si="342"/>
        <v>44009</v>
      </c>
      <c r="BC1330" t="s">
        <v>1472</v>
      </c>
      <c r="BD1330">
        <f t="shared" si="351"/>
        <v>4425300</v>
      </c>
      <c r="BE1330" s="1">
        <v>35</v>
      </c>
      <c r="BF1330" s="63">
        <v>4</v>
      </c>
      <c r="BI1330">
        <v>58.38</v>
      </c>
      <c r="BJ1330">
        <v>0.67</v>
      </c>
      <c r="BK1330">
        <v>57.71</v>
      </c>
      <c r="BP1330" s="63">
        <v>86</v>
      </c>
      <c r="BR1330">
        <v>31</v>
      </c>
    </row>
    <row r="1331" spans="1:70" ht="13" hidden="1" customHeight="1" outlineLevel="1">
      <c r="A1331" t="s">
        <v>790</v>
      </c>
      <c r="B1331" s="8" t="s">
        <v>1647</v>
      </c>
      <c r="C1331" s="1">
        <f t="shared" si="344"/>
        <v>2534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 t="shared" si="345"/>
        <v>7</v>
      </c>
      <c r="G1331" s="1">
        <f t="shared" si="346"/>
        <v>407</v>
      </c>
      <c r="H1331" s="2">
        <f t="shared" si="341"/>
        <v>0.16061562746645619</v>
      </c>
      <c r="I1331" s="6"/>
      <c r="J1331" s="2">
        <f t="shared" si="347"/>
        <v>0.38161010260457773</v>
      </c>
      <c r="K1331" s="2">
        <f t="shared" si="348"/>
        <v>0.54222573007103392</v>
      </c>
      <c r="L1331" s="2">
        <f t="shared" si="349"/>
        <v>7.8926598263614838E-4</v>
      </c>
      <c r="M1331" s="2">
        <f t="shared" si="350"/>
        <v>7.5374901341752204E-2</v>
      </c>
      <c r="N1331" s="63">
        <v>967</v>
      </c>
      <c r="O1331" s="63">
        <v>1374</v>
      </c>
      <c r="P1331" s="63">
        <v>2</v>
      </c>
      <c r="Q1331" s="63">
        <v>99</v>
      </c>
      <c r="R1331" s="63">
        <v>36</v>
      </c>
      <c r="S1331" s="63">
        <v>0</v>
      </c>
      <c r="T1331" s="63">
        <v>3</v>
      </c>
      <c r="U1331" s="63"/>
      <c r="V1331" s="63"/>
      <c r="W1331" s="63">
        <f t="shared" si="352"/>
        <v>53</v>
      </c>
      <c r="X1331" s="63"/>
      <c r="Y1331" s="63"/>
      <c r="Z1331" s="63"/>
      <c r="AA1331" s="63"/>
      <c r="AB1331" s="63"/>
      <c r="AN1331">
        <v>0</v>
      </c>
      <c r="AT1331" t="str">
        <f t="shared" si="340"/>
        <v>Foster</v>
      </c>
      <c r="AU1331" t="s">
        <v>1153</v>
      </c>
      <c r="AV1331">
        <v>2</v>
      </c>
      <c r="AX1331" s="114">
        <v>44</v>
      </c>
      <c r="AY1331" s="116">
        <v>7</v>
      </c>
      <c r="AZ1331" s="116">
        <v>30</v>
      </c>
      <c r="BA1331" s="120">
        <v>27460</v>
      </c>
      <c r="BB1331" s="120">
        <f t="shared" si="342"/>
        <v>44007</v>
      </c>
      <c r="BC1331" t="s">
        <v>1472</v>
      </c>
      <c r="BD1331">
        <f t="shared" si="351"/>
        <v>4427460</v>
      </c>
      <c r="BE1331" s="1">
        <v>21</v>
      </c>
      <c r="BF1331" s="63">
        <v>1</v>
      </c>
      <c r="BI1331">
        <v>51.87</v>
      </c>
      <c r="BJ1331">
        <v>0.73</v>
      </c>
      <c r="BK1331">
        <v>51.14</v>
      </c>
      <c r="BP1331" s="63">
        <v>55</v>
      </c>
      <c r="BR1331">
        <v>58</v>
      </c>
    </row>
    <row r="1332" spans="1:70" ht="13" hidden="1" customHeight="1" outlineLevel="1">
      <c r="A1332" t="s">
        <v>478</v>
      </c>
      <c r="B1332" s="8" t="s">
        <v>1647</v>
      </c>
      <c r="C1332" s="1">
        <f t="shared" si="344"/>
        <v>5263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345"/>
        <v>6</v>
      </c>
      <c r="G1332" s="1">
        <f t="shared" si="346"/>
        <v>937</v>
      </c>
      <c r="H1332" s="2">
        <f t="shared" si="341"/>
        <v>0.17803534106023181</v>
      </c>
      <c r="I1332" s="6"/>
      <c r="J1332" s="2">
        <f t="shared" si="347"/>
        <v>0.37564126923807717</v>
      </c>
      <c r="K1332" s="2">
        <f t="shared" si="348"/>
        <v>0.55367661029830895</v>
      </c>
      <c r="L1332" s="2">
        <f t="shared" si="349"/>
        <v>1.9000570017100513E-3</v>
      </c>
      <c r="M1332" s="2">
        <f t="shared" si="350"/>
        <v>6.8782063461903839E-2</v>
      </c>
      <c r="N1332" s="63">
        <v>1977</v>
      </c>
      <c r="O1332" s="63">
        <v>2914</v>
      </c>
      <c r="P1332" s="63">
        <v>10</v>
      </c>
      <c r="Q1332" s="63">
        <v>179</v>
      </c>
      <c r="R1332" s="63">
        <v>90</v>
      </c>
      <c r="S1332" s="63">
        <v>1</v>
      </c>
      <c r="T1332" s="63">
        <v>5</v>
      </c>
      <c r="U1332" s="63"/>
      <c r="V1332" s="63"/>
      <c r="W1332" s="63">
        <f t="shared" si="352"/>
        <v>86</v>
      </c>
      <c r="X1332" s="63"/>
      <c r="Y1332" s="63"/>
      <c r="Z1332" s="63"/>
      <c r="AA1332" s="63"/>
      <c r="AB1332" s="63"/>
      <c r="AN1332">
        <v>1</v>
      </c>
      <c r="AT1332" t="str">
        <f t="shared" si="340"/>
        <v>Glocester</v>
      </c>
      <c r="AU1332" t="s">
        <v>1153</v>
      </c>
      <c r="AV1332">
        <v>2</v>
      </c>
      <c r="AX1332" s="114">
        <v>44</v>
      </c>
      <c r="AY1332" s="116">
        <v>7</v>
      </c>
      <c r="AZ1332" s="116">
        <v>35</v>
      </c>
      <c r="BA1332" s="120">
        <v>30340</v>
      </c>
      <c r="BB1332" s="120">
        <f t="shared" si="342"/>
        <v>44007</v>
      </c>
      <c r="BC1332" t="s">
        <v>1472</v>
      </c>
      <c r="BD1332">
        <f t="shared" si="351"/>
        <v>4430340</v>
      </c>
      <c r="BE1332" s="1">
        <v>43</v>
      </c>
      <c r="BF1332" s="63">
        <v>5</v>
      </c>
      <c r="BI1332">
        <v>56.84</v>
      </c>
      <c r="BJ1332">
        <v>2.02</v>
      </c>
      <c r="BK1332">
        <v>54.82</v>
      </c>
      <c r="BP1332" s="63">
        <v>98</v>
      </c>
      <c r="BR1332">
        <v>38</v>
      </c>
    </row>
    <row r="1333" spans="1:70" ht="13" hidden="1" customHeight="1" outlineLevel="1">
      <c r="A1333" t="s">
        <v>574</v>
      </c>
      <c r="B1333" s="8" t="s">
        <v>1647</v>
      </c>
      <c r="C1333" s="1">
        <f t="shared" si="344"/>
        <v>4226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 t="shared" si="345"/>
        <v>7</v>
      </c>
      <c r="G1333" s="1">
        <f t="shared" si="346"/>
        <v>369</v>
      </c>
      <c r="H1333" s="2">
        <f t="shared" si="341"/>
        <v>8.7316611452910559E-2</v>
      </c>
      <c r="I1333" s="6"/>
      <c r="J1333" s="2">
        <f t="shared" si="347"/>
        <v>0.41788925698059631</v>
      </c>
      <c r="K1333" s="2">
        <f t="shared" si="348"/>
        <v>0.5052058684335069</v>
      </c>
      <c r="L1333" s="2">
        <f t="shared" si="349"/>
        <v>9.4652153336488402E-4</v>
      </c>
      <c r="M1333" s="2">
        <f t="shared" si="350"/>
        <v>7.5958353052531902E-2</v>
      </c>
      <c r="N1333" s="63">
        <v>1766</v>
      </c>
      <c r="O1333" s="63">
        <v>2135</v>
      </c>
      <c r="P1333" s="63">
        <v>4</v>
      </c>
      <c r="Q1333" s="63">
        <v>161</v>
      </c>
      <c r="R1333" s="63">
        <v>63</v>
      </c>
      <c r="S1333" s="63">
        <v>0</v>
      </c>
      <c r="T1333" s="63">
        <v>7</v>
      </c>
      <c r="U1333" s="63"/>
      <c r="V1333" s="63"/>
      <c r="W1333" s="63">
        <f t="shared" si="352"/>
        <v>89</v>
      </c>
      <c r="X1333" s="63"/>
      <c r="Y1333" s="63"/>
      <c r="Z1333" s="63"/>
      <c r="AA1333" s="63"/>
      <c r="AB1333" s="63"/>
      <c r="AN1333">
        <v>1</v>
      </c>
      <c r="AT1333" t="str">
        <f t="shared" si="340"/>
        <v>Hopkinton</v>
      </c>
      <c r="AU1333" t="s">
        <v>692</v>
      </c>
      <c r="AV1333">
        <v>2</v>
      </c>
      <c r="AX1333" s="114">
        <v>44</v>
      </c>
      <c r="AY1333" s="116">
        <v>9</v>
      </c>
      <c r="AZ1333" s="116">
        <v>15</v>
      </c>
      <c r="BA1333" s="120">
        <v>35380</v>
      </c>
      <c r="BB1333" s="120">
        <f t="shared" si="342"/>
        <v>44009</v>
      </c>
      <c r="BC1333" t="s">
        <v>1472</v>
      </c>
      <c r="BD1333">
        <f t="shared" si="351"/>
        <v>4435380</v>
      </c>
      <c r="BE1333" s="1">
        <v>37</v>
      </c>
      <c r="BF1333" s="63">
        <v>0</v>
      </c>
      <c r="BI1333">
        <v>44.13</v>
      </c>
      <c r="BJ1333">
        <v>1.1399999999999999</v>
      </c>
      <c r="BK1333">
        <v>42.99</v>
      </c>
      <c r="BP1333" s="63">
        <v>94</v>
      </c>
      <c r="BR1333">
        <v>43</v>
      </c>
    </row>
    <row r="1334" spans="1:70" ht="13" hidden="1" customHeight="1" outlineLevel="1">
      <c r="A1334" t="s">
        <v>2279</v>
      </c>
      <c r="B1334" s="8" t="s">
        <v>1647</v>
      </c>
      <c r="C1334" s="1">
        <f t="shared" si="344"/>
        <v>3563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345"/>
        <v>6</v>
      </c>
      <c r="G1334" s="1">
        <f t="shared" si="346"/>
        <v>1024</v>
      </c>
      <c r="H1334" s="2">
        <f t="shared" si="341"/>
        <v>0.28739825989334833</v>
      </c>
      <c r="I1334" s="6"/>
      <c r="J1334" s="2">
        <f t="shared" si="347"/>
        <v>0.60959865282065673</v>
      </c>
      <c r="K1334" s="2">
        <f t="shared" si="348"/>
        <v>0.32220039292730845</v>
      </c>
      <c r="L1334" s="2">
        <f t="shared" si="349"/>
        <v>1.6839741790625876E-3</v>
      </c>
      <c r="M1334" s="2">
        <f t="shared" si="350"/>
        <v>6.6516980072972229E-2</v>
      </c>
      <c r="N1334" s="63">
        <v>2172</v>
      </c>
      <c r="O1334" s="63">
        <v>1148</v>
      </c>
      <c r="P1334" s="63">
        <v>6</v>
      </c>
      <c r="Q1334" s="63">
        <v>119</v>
      </c>
      <c r="R1334" s="63">
        <v>46</v>
      </c>
      <c r="S1334" s="63">
        <v>2</v>
      </c>
      <c r="T1334" s="63">
        <v>6</v>
      </c>
      <c r="U1334" s="63"/>
      <c r="V1334" s="63"/>
      <c r="W1334" s="63">
        <f t="shared" si="352"/>
        <v>64</v>
      </c>
      <c r="X1334" s="63"/>
      <c r="Y1334" s="63"/>
      <c r="Z1334" s="63"/>
      <c r="AA1334" s="63"/>
      <c r="AB1334" s="63"/>
      <c r="AN1334">
        <v>0</v>
      </c>
      <c r="AT1334" t="str">
        <f t="shared" si="340"/>
        <v>Jamestown</v>
      </c>
      <c r="AU1334" t="s">
        <v>2009</v>
      </c>
      <c r="AV1334">
        <v>1</v>
      </c>
      <c r="AX1334" s="114">
        <v>44</v>
      </c>
      <c r="AY1334" s="116">
        <v>5</v>
      </c>
      <c r="AZ1334" s="116">
        <v>5</v>
      </c>
      <c r="BA1334" s="120">
        <v>36820</v>
      </c>
      <c r="BB1334" s="120">
        <f t="shared" si="342"/>
        <v>44005</v>
      </c>
      <c r="BC1334" t="s">
        <v>1472</v>
      </c>
      <c r="BD1334">
        <f t="shared" si="351"/>
        <v>4436820</v>
      </c>
      <c r="BE1334" s="1">
        <v>34</v>
      </c>
      <c r="BF1334" s="63">
        <v>5</v>
      </c>
      <c r="BI1334">
        <v>35.340000000000003</v>
      </c>
      <c r="BJ1334">
        <v>25.64</v>
      </c>
      <c r="BK1334">
        <v>9.69</v>
      </c>
      <c r="BP1334" s="63">
        <v>72</v>
      </c>
      <c r="BR1334">
        <v>26</v>
      </c>
    </row>
    <row r="1335" spans="1:70" ht="13" hidden="1" customHeight="1" outlineLevel="1">
      <c r="A1335" t="s">
        <v>1255</v>
      </c>
      <c r="B1335" s="8" t="s">
        <v>1647</v>
      </c>
      <c r="C1335" s="1">
        <f t="shared" si="344"/>
        <v>13844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 t="shared" si="345"/>
        <v>7</v>
      </c>
      <c r="G1335" s="1">
        <f t="shared" si="346"/>
        <v>1911</v>
      </c>
      <c r="H1335" s="2">
        <f t="shared" si="341"/>
        <v>0.13803813926610806</v>
      </c>
      <c r="I1335" s="6"/>
      <c r="J1335" s="2">
        <f t="shared" si="347"/>
        <v>0.40826350765674663</v>
      </c>
      <c r="K1335" s="2">
        <f t="shared" si="348"/>
        <v>0.54630164692285466</v>
      </c>
      <c r="L1335" s="2">
        <f t="shared" si="349"/>
        <v>3.61167292689974E-4</v>
      </c>
      <c r="M1335" s="2">
        <f t="shared" si="350"/>
        <v>4.507367812770869E-2</v>
      </c>
      <c r="N1335" s="63">
        <v>5652</v>
      </c>
      <c r="O1335" s="63">
        <v>7563</v>
      </c>
      <c r="P1335" s="63">
        <v>5</v>
      </c>
      <c r="Q1335" s="63">
        <v>315</v>
      </c>
      <c r="R1335" s="63">
        <v>119</v>
      </c>
      <c r="S1335" s="63">
        <v>0</v>
      </c>
      <c r="T1335" s="63">
        <v>25</v>
      </c>
      <c r="U1335" s="63"/>
      <c r="V1335" s="63"/>
      <c r="W1335" s="63">
        <f t="shared" si="352"/>
        <v>165</v>
      </c>
      <c r="X1335" s="63"/>
      <c r="Y1335" s="63"/>
      <c r="Z1335" s="63"/>
      <c r="AA1335" s="63"/>
      <c r="AB1335" s="63"/>
      <c r="AN1335">
        <v>0</v>
      </c>
      <c r="AT1335" t="str">
        <f t="shared" si="340"/>
        <v>Johnston</v>
      </c>
      <c r="AU1335" t="s">
        <v>1153</v>
      </c>
      <c r="AV1335">
        <v>2</v>
      </c>
      <c r="AX1335" s="114">
        <v>44</v>
      </c>
      <c r="AY1335" s="116">
        <v>7</v>
      </c>
      <c r="AZ1335" s="116">
        <v>40</v>
      </c>
      <c r="BA1335" s="120">
        <v>37720</v>
      </c>
      <c r="BB1335" s="120">
        <f t="shared" si="342"/>
        <v>44007</v>
      </c>
      <c r="BC1335" t="s">
        <v>1472</v>
      </c>
      <c r="BD1335">
        <f t="shared" si="351"/>
        <v>4437720</v>
      </c>
      <c r="BE1335" s="1">
        <v>92</v>
      </c>
      <c r="BF1335" s="63">
        <v>22</v>
      </c>
      <c r="BI1335">
        <v>24.37</v>
      </c>
      <c r="BJ1335">
        <v>0.71</v>
      </c>
      <c r="BK1335">
        <v>23.67</v>
      </c>
      <c r="BP1335" s="63">
        <v>170</v>
      </c>
      <c r="BR1335">
        <v>85</v>
      </c>
    </row>
    <row r="1336" spans="1:70" ht="13" hidden="1" customHeight="1" outlineLevel="1">
      <c r="A1336" t="s">
        <v>1597</v>
      </c>
      <c r="B1336" s="8" t="s">
        <v>1647</v>
      </c>
      <c r="C1336" s="1">
        <f t="shared" si="344"/>
        <v>11408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 t="shared" si="345"/>
        <v>7</v>
      </c>
      <c r="G1336" s="1">
        <f t="shared" si="346"/>
        <v>131</v>
      </c>
      <c r="H1336" s="2">
        <f t="shared" si="341"/>
        <v>1.1483169705469845E-2</v>
      </c>
      <c r="I1336" s="6"/>
      <c r="J1336" s="2">
        <f t="shared" si="347"/>
        <v>0.46274544179523142</v>
      </c>
      <c r="K1336" s="2">
        <f t="shared" si="348"/>
        <v>0.47422861150070128</v>
      </c>
      <c r="L1336" s="2">
        <f t="shared" si="349"/>
        <v>7.8892005610098175E-4</v>
      </c>
      <c r="M1336" s="2">
        <f t="shared" si="350"/>
        <v>6.2237026647966265E-2</v>
      </c>
      <c r="N1336" s="63">
        <v>5279</v>
      </c>
      <c r="O1336" s="63">
        <v>5410</v>
      </c>
      <c r="P1336" s="63">
        <v>9</v>
      </c>
      <c r="Q1336" s="63">
        <v>362</v>
      </c>
      <c r="R1336" s="63">
        <v>138</v>
      </c>
      <c r="S1336" s="63">
        <v>1</v>
      </c>
      <c r="T1336" s="63">
        <v>14</v>
      </c>
      <c r="U1336" s="63"/>
      <c r="V1336" s="63"/>
      <c r="W1336" s="63">
        <f t="shared" si="352"/>
        <v>193</v>
      </c>
      <c r="X1336" s="63"/>
      <c r="Y1336" s="63"/>
      <c r="Z1336" s="63"/>
      <c r="AA1336" s="63"/>
      <c r="AB1336" s="63"/>
      <c r="AN1336">
        <v>2</v>
      </c>
      <c r="AT1336" t="str">
        <f t="shared" si="340"/>
        <v>Lincoln</v>
      </c>
      <c r="AU1336" t="s">
        <v>1153</v>
      </c>
      <c r="AV1336">
        <v>1</v>
      </c>
      <c r="AX1336" s="114">
        <v>44</v>
      </c>
      <c r="AY1336" s="116">
        <v>7</v>
      </c>
      <c r="AZ1336" s="116">
        <v>45</v>
      </c>
      <c r="BA1336" s="120">
        <v>41500</v>
      </c>
      <c r="BB1336" s="120">
        <f t="shared" si="342"/>
        <v>44007</v>
      </c>
      <c r="BC1336" t="s">
        <v>1472</v>
      </c>
      <c r="BD1336">
        <f t="shared" si="351"/>
        <v>4441500</v>
      </c>
      <c r="BE1336" s="1">
        <v>127</v>
      </c>
      <c r="BF1336" s="63">
        <v>27</v>
      </c>
      <c r="BI1336">
        <v>18.95</v>
      </c>
      <c r="BJ1336">
        <v>0.72</v>
      </c>
      <c r="BK1336">
        <v>18.23</v>
      </c>
      <c r="BP1336" s="63">
        <v>205</v>
      </c>
      <c r="BR1336">
        <v>60</v>
      </c>
    </row>
    <row r="1337" spans="1:70" ht="13" hidden="1" customHeight="1" outlineLevel="1">
      <c r="A1337" t="s">
        <v>1105</v>
      </c>
      <c r="B1337" s="8" t="s">
        <v>1647</v>
      </c>
      <c r="C1337" s="1">
        <f t="shared" si="344"/>
        <v>2186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345"/>
        <v>7</v>
      </c>
      <c r="G1337" s="1">
        <f t="shared" si="346"/>
        <v>344</v>
      </c>
      <c r="H1337" s="2">
        <f t="shared" si="341"/>
        <v>0.15736505032021958</v>
      </c>
      <c r="I1337" s="6"/>
      <c r="J1337" s="2">
        <f t="shared" si="347"/>
        <v>0.53293687099725529</v>
      </c>
      <c r="K1337" s="2">
        <f t="shared" si="348"/>
        <v>0.37557182067703571</v>
      </c>
      <c r="L1337" s="2">
        <f t="shared" si="349"/>
        <v>1.3723696248856359E-3</v>
      </c>
      <c r="M1337" s="2">
        <f t="shared" si="350"/>
        <v>9.0118938700823367E-2</v>
      </c>
      <c r="N1337" s="63">
        <v>1165</v>
      </c>
      <c r="O1337" s="63">
        <v>821</v>
      </c>
      <c r="P1337" s="63">
        <v>3</v>
      </c>
      <c r="Q1337" s="63">
        <v>105</v>
      </c>
      <c r="R1337" s="63">
        <v>40</v>
      </c>
      <c r="S1337" s="63">
        <v>0</v>
      </c>
      <c r="T1337" s="63">
        <v>6</v>
      </c>
      <c r="U1337" s="63"/>
      <c r="V1337" s="63"/>
      <c r="W1337" s="63">
        <f t="shared" si="352"/>
        <v>44</v>
      </c>
      <c r="X1337" s="63"/>
      <c r="Y1337" s="63"/>
      <c r="Z1337" s="63"/>
      <c r="AA1337" s="63"/>
      <c r="AB1337" s="63"/>
      <c r="AN1337">
        <v>2</v>
      </c>
      <c r="AT1337" t="str">
        <f t="shared" si="340"/>
        <v>Little Compton</v>
      </c>
      <c r="AU1337" t="s">
        <v>2009</v>
      </c>
      <c r="AV1337">
        <v>1</v>
      </c>
      <c r="AX1337" s="114">
        <v>44</v>
      </c>
      <c r="AY1337" s="116">
        <v>5</v>
      </c>
      <c r="AZ1337" s="116">
        <v>10</v>
      </c>
      <c r="BA1337" s="120">
        <v>42400</v>
      </c>
      <c r="BB1337" s="120">
        <f t="shared" si="342"/>
        <v>44005</v>
      </c>
      <c r="BC1337" t="s">
        <v>1472</v>
      </c>
      <c r="BD1337">
        <f t="shared" si="351"/>
        <v>4442400</v>
      </c>
      <c r="BE1337" s="1">
        <v>38</v>
      </c>
      <c r="BF1337" s="63">
        <v>2</v>
      </c>
      <c r="BI1337">
        <v>28.9</v>
      </c>
      <c r="BJ1337">
        <v>8.0299999999999994</v>
      </c>
      <c r="BK1337">
        <v>20.87</v>
      </c>
      <c r="BP1337" s="63">
        <v>49</v>
      </c>
      <c r="BR1337">
        <v>13</v>
      </c>
    </row>
    <row r="1338" spans="1:70" ht="13" hidden="1" customHeight="1" outlineLevel="1">
      <c r="A1338" t="s">
        <v>767</v>
      </c>
      <c r="B1338" s="8" t="s">
        <v>1647</v>
      </c>
      <c r="C1338" s="1">
        <f t="shared" si="344"/>
        <v>7557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345"/>
        <v>7</v>
      </c>
      <c r="G1338" s="1">
        <f t="shared" si="346"/>
        <v>1503</v>
      </c>
      <c r="H1338" s="2">
        <f t="shared" si="341"/>
        <v>0.19888844779674475</v>
      </c>
      <c r="I1338" s="6"/>
      <c r="J1338" s="2">
        <f t="shared" si="347"/>
        <v>0.56212782850337439</v>
      </c>
      <c r="K1338" s="2">
        <f t="shared" si="348"/>
        <v>0.36323938070662959</v>
      </c>
      <c r="L1338" s="2">
        <f t="shared" si="349"/>
        <v>1.3232764324467381E-3</v>
      </c>
      <c r="M1338" s="2">
        <f t="shared" si="350"/>
        <v>7.3309514357549274E-2</v>
      </c>
      <c r="N1338" s="63">
        <v>4248</v>
      </c>
      <c r="O1338" s="63">
        <v>2745</v>
      </c>
      <c r="P1338" s="63">
        <v>10</v>
      </c>
      <c r="Q1338" s="63">
        <v>281</v>
      </c>
      <c r="R1338" s="63">
        <v>112</v>
      </c>
      <c r="S1338" s="63">
        <v>0</v>
      </c>
      <c r="T1338" s="63">
        <v>11</v>
      </c>
      <c r="U1338" s="63"/>
      <c r="V1338" s="63"/>
      <c r="W1338" s="63">
        <f t="shared" si="352"/>
        <v>146</v>
      </c>
      <c r="X1338" s="63"/>
      <c r="Y1338" s="63"/>
      <c r="Z1338" s="63"/>
      <c r="AA1338" s="63"/>
      <c r="AB1338" s="63"/>
      <c r="AN1338">
        <v>4</v>
      </c>
      <c r="AT1338" t="str">
        <f t="shared" si="340"/>
        <v>Middletown</v>
      </c>
      <c r="AU1338" t="s">
        <v>2009</v>
      </c>
      <c r="AV1338">
        <v>1</v>
      </c>
      <c r="AX1338" s="114">
        <v>44</v>
      </c>
      <c r="AY1338" s="116">
        <v>5</v>
      </c>
      <c r="AZ1338" s="116">
        <v>15</v>
      </c>
      <c r="BA1338" s="120">
        <v>45460</v>
      </c>
      <c r="BB1338" s="120">
        <f t="shared" si="342"/>
        <v>44005</v>
      </c>
      <c r="BC1338" t="s">
        <v>1472</v>
      </c>
      <c r="BD1338">
        <f t="shared" si="351"/>
        <v>4445460</v>
      </c>
      <c r="BE1338" s="1">
        <v>79</v>
      </c>
      <c r="BF1338" s="63">
        <v>13</v>
      </c>
      <c r="BI1338">
        <v>14.95</v>
      </c>
      <c r="BJ1338">
        <v>1.97</v>
      </c>
      <c r="BK1338">
        <v>12.98</v>
      </c>
      <c r="BP1338" s="63">
        <v>160</v>
      </c>
      <c r="BR1338">
        <v>59</v>
      </c>
    </row>
    <row r="1339" spans="1:70" ht="13" hidden="1" customHeight="1" outlineLevel="1">
      <c r="A1339" t="s">
        <v>2464</v>
      </c>
      <c r="B1339" s="8" t="s">
        <v>1647</v>
      </c>
      <c r="C1339" s="1">
        <f t="shared" si="344"/>
        <v>8077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345"/>
        <v>6</v>
      </c>
      <c r="G1339" s="1">
        <f t="shared" si="346"/>
        <v>922</v>
      </c>
      <c r="H1339" s="2">
        <f t="shared" si="341"/>
        <v>0.11415129379720193</v>
      </c>
      <c r="I1339" s="6"/>
      <c r="J1339" s="2">
        <f t="shared" si="347"/>
        <v>0.52172836449176674</v>
      </c>
      <c r="K1339" s="2">
        <f t="shared" si="348"/>
        <v>0.40757707069456484</v>
      </c>
      <c r="L1339" s="2">
        <f t="shared" si="349"/>
        <v>1.9809335149189055E-3</v>
      </c>
      <c r="M1339" s="2">
        <f t="shared" si="350"/>
        <v>6.8713631298749522E-2</v>
      </c>
      <c r="N1339" s="63">
        <v>4214</v>
      </c>
      <c r="O1339" s="63">
        <v>3292</v>
      </c>
      <c r="P1339" s="63">
        <v>16</v>
      </c>
      <c r="Q1339" s="63">
        <v>275</v>
      </c>
      <c r="R1339" s="63">
        <v>100</v>
      </c>
      <c r="S1339" s="63">
        <v>0</v>
      </c>
      <c r="T1339" s="63">
        <v>12</v>
      </c>
      <c r="U1339" s="63"/>
      <c r="V1339" s="63"/>
      <c r="W1339" s="63">
        <f t="shared" si="352"/>
        <v>168</v>
      </c>
      <c r="X1339" s="63"/>
      <c r="Y1339" s="63"/>
      <c r="Z1339" s="63"/>
      <c r="AA1339" s="63"/>
      <c r="AB1339" s="63"/>
      <c r="AN1339">
        <v>0</v>
      </c>
      <c r="AT1339" t="str">
        <f t="shared" si="340"/>
        <v>Narragansett</v>
      </c>
      <c r="AU1339" t="s">
        <v>692</v>
      </c>
      <c r="AV1339">
        <v>2</v>
      </c>
      <c r="AX1339" s="114">
        <v>44</v>
      </c>
      <c r="AY1339" s="116">
        <v>9</v>
      </c>
      <c r="AZ1339" s="116">
        <v>20</v>
      </c>
      <c r="BA1339" s="120">
        <v>48340</v>
      </c>
      <c r="BB1339" s="120">
        <f t="shared" si="342"/>
        <v>44009</v>
      </c>
      <c r="BC1339" t="s">
        <v>1472</v>
      </c>
      <c r="BD1339">
        <f t="shared" si="351"/>
        <v>4448340</v>
      </c>
      <c r="BE1339" s="1">
        <v>122</v>
      </c>
      <c r="BF1339" s="63">
        <v>11</v>
      </c>
      <c r="BI1339">
        <v>37.770000000000003</v>
      </c>
      <c r="BJ1339">
        <v>23.63</v>
      </c>
      <c r="BK1339">
        <v>14.15</v>
      </c>
      <c r="BP1339" s="63">
        <v>184</v>
      </c>
      <c r="BR1339">
        <v>54</v>
      </c>
    </row>
    <row r="1340" spans="1:70" ht="13" hidden="1" customHeight="1" outlineLevel="1">
      <c r="A1340" t="s">
        <v>913</v>
      </c>
      <c r="B1340" s="8" t="s">
        <v>1647</v>
      </c>
      <c r="C1340" s="1">
        <f t="shared" si="344"/>
        <v>891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345"/>
        <v>6</v>
      </c>
      <c r="G1340" s="1">
        <f t="shared" si="346"/>
        <v>395</v>
      </c>
      <c r="H1340" s="2">
        <f t="shared" si="341"/>
        <v>0.44332210998877664</v>
      </c>
      <c r="I1340" s="6"/>
      <c r="J1340" s="2">
        <f t="shared" si="347"/>
        <v>0.6835016835016835</v>
      </c>
      <c r="K1340" s="2">
        <f t="shared" si="348"/>
        <v>0.24017957351290684</v>
      </c>
      <c r="L1340" s="2">
        <f t="shared" si="349"/>
        <v>3.3670033670033669E-3</v>
      </c>
      <c r="M1340" s="2">
        <f t="shared" si="350"/>
        <v>7.29517396184063E-2</v>
      </c>
      <c r="N1340" s="63">
        <v>609</v>
      </c>
      <c r="O1340" s="63">
        <v>214</v>
      </c>
      <c r="P1340" s="63">
        <v>3</v>
      </c>
      <c r="Q1340" s="63">
        <v>19</v>
      </c>
      <c r="R1340" s="63">
        <v>16</v>
      </c>
      <c r="S1340" s="63">
        <v>0</v>
      </c>
      <c r="T1340" s="63">
        <v>0</v>
      </c>
      <c r="U1340" s="63"/>
      <c r="V1340" s="63"/>
      <c r="W1340" s="63">
        <f t="shared" si="352"/>
        <v>30</v>
      </c>
      <c r="X1340" s="63"/>
      <c r="Y1340" s="63"/>
      <c r="Z1340" s="63"/>
      <c r="AA1340" s="63"/>
      <c r="AB1340" s="63"/>
      <c r="AN1340">
        <v>0</v>
      </c>
      <c r="AT1340" t="str">
        <f t="shared" si="340"/>
        <v>New Shoreham</v>
      </c>
      <c r="AU1340" t="s">
        <v>692</v>
      </c>
      <c r="AV1340">
        <v>2</v>
      </c>
      <c r="AX1340" s="114">
        <v>44</v>
      </c>
      <c r="AY1340" s="116">
        <v>9</v>
      </c>
      <c r="AZ1340" s="116">
        <v>22</v>
      </c>
      <c r="BA1340" s="120">
        <v>50500</v>
      </c>
      <c r="BB1340" s="120">
        <f t="shared" si="342"/>
        <v>44009</v>
      </c>
      <c r="BC1340" t="s">
        <v>1472</v>
      </c>
      <c r="BD1340">
        <f t="shared" si="351"/>
        <v>4450500</v>
      </c>
      <c r="BE1340" s="1">
        <v>12</v>
      </c>
      <c r="BF1340" s="63">
        <v>1</v>
      </c>
      <c r="BI1340">
        <v>109.5</v>
      </c>
      <c r="BJ1340">
        <v>99.77</v>
      </c>
      <c r="BK1340">
        <v>9.73</v>
      </c>
      <c r="BP1340" s="63">
        <v>33</v>
      </c>
      <c r="BR1340">
        <v>18</v>
      </c>
    </row>
    <row r="1341" spans="1:70" ht="13" hidden="1" customHeight="1" outlineLevel="1">
      <c r="A1341" t="s">
        <v>2009</v>
      </c>
      <c r="B1341" s="8" t="s">
        <v>1647</v>
      </c>
      <c r="C1341" s="1">
        <f t="shared" si="344"/>
        <v>9658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345"/>
        <v>6</v>
      </c>
      <c r="G1341" s="1">
        <f t="shared" si="346"/>
        <v>3643</v>
      </c>
      <c r="H1341" s="2">
        <f t="shared" si="341"/>
        <v>0.37720024849865397</v>
      </c>
      <c r="I1341" s="6"/>
      <c r="J1341" s="2">
        <f t="shared" si="347"/>
        <v>0.65096293228411684</v>
      </c>
      <c r="K1341" s="2">
        <f t="shared" si="348"/>
        <v>0.27376268378546281</v>
      </c>
      <c r="L1341" s="2">
        <f t="shared" si="349"/>
        <v>2.6920687512942639E-3</v>
      </c>
      <c r="M1341" s="2">
        <f t="shared" si="350"/>
        <v>7.2582315179126083E-2</v>
      </c>
      <c r="N1341" s="63">
        <v>6287</v>
      </c>
      <c r="O1341" s="63">
        <v>2644</v>
      </c>
      <c r="P1341" s="63">
        <v>26</v>
      </c>
      <c r="Q1341" s="63">
        <v>332</v>
      </c>
      <c r="R1341" s="63">
        <v>144</v>
      </c>
      <c r="S1341" s="63">
        <v>1</v>
      </c>
      <c r="T1341" s="63">
        <v>14</v>
      </c>
      <c r="U1341" s="63"/>
      <c r="V1341" s="63"/>
      <c r="W1341" s="63">
        <f t="shared" si="352"/>
        <v>208</v>
      </c>
      <c r="X1341" s="63"/>
      <c r="Y1341" s="63"/>
      <c r="Z1341" s="63"/>
      <c r="AA1341" s="63"/>
      <c r="AB1341" s="63"/>
      <c r="AN1341">
        <v>2</v>
      </c>
      <c r="AT1341" t="str">
        <f t="shared" si="340"/>
        <v>Newport</v>
      </c>
      <c r="AU1341" t="s">
        <v>2009</v>
      </c>
      <c r="AV1341">
        <v>1</v>
      </c>
      <c r="AX1341" s="114">
        <v>44</v>
      </c>
      <c r="AY1341" s="116">
        <v>5</v>
      </c>
      <c r="AZ1341" s="116">
        <v>20</v>
      </c>
      <c r="BA1341" s="120">
        <v>49960</v>
      </c>
      <c r="BB1341" s="120">
        <f t="shared" si="342"/>
        <v>44005</v>
      </c>
      <c r="BC1341" t="s">
        <v>1249</v>
      </c>
      <c r="BD1341">
        <f t="shared" si="351"/>
        <v>4449960</v>
      </c>
      <c r="BE1341" s="1">
        <v>112</v>
      </c>
      <c r="BF1341" s="63">
        <v>6</v>
      </c>
      <c r="BI1341">
        <v>11.47</v>
      </c>
      <c r="BJ1341">
        <v>3.54</v>
      </c>
      <c r="BK1341">
        <v>7.94</v>
      </c>
      <c r="BP1341" s="63">
        <v>237</v>
      </c>
      <c r="BR1341">
        <v>87</v>
      </c>
    </row>
    <row r="1342" spans="1:70" ht="13" hidden="1" customHeight="1" outlineLevel="1">
      <c r="A1342" t="s">
        <v>664</v>
      </c>
      <c r="B1342" s="8" t="s">
        <v>1647</v>
      </c>
      <c r="C1342" s="1">
        <f t="shared" si="344"/>
        <v>15256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345"/>
        <v>6</v>
      </c>
      <c r="G1342" s="1">
        <f t="shared" si="346"/>
        <v>1646</v>
      </c>
      <c r="H1342" s="2">
        <f t="shared" si="341"/>
        <v>0.10789197692711064</v>
      </c>
      <c r="I1342" s="6"/>
      <c r="J1342" s="2">
        <f t="shared" si="347"/>
        <v>0.51081541688515997</v>
      </c>
      <c r="K1342" s="2">
        <f t="shared" si="348"/>
        <v>0.4029234399580493</v>
      </c>
      <c r="L1342" s="2">
        <f t="shared" si="349"/>
        <v>2.6874672260094388E-3</v>
      </c>
      <c r="M1342" s="2">
        <f t="shared" si="350"/>
        <v>8.3573675930781299E-2</v>
      </c>
      <c r="N1342" s="63">
        <v>7793</v>
      </c>
      <c r="O1342" s="63">
        <v>6147</v>
      </c>
      <c r="P1342" s="63">
        <v>41</v>
      </c>
      <c r="Q1342" s="63">
        <v>660</v>
      </c>
      <c r="R1342" s="63">
        <v>238</v>
      </c>
      <c r="S1342" s="63">
        <v>2</v>
      </c>
      <c r="T1342" s="63">
        <v>16</v>
      </c>
      <c r="U1342" s="63"/>
      <c r="V1342" s="63"/>
      <c r="W1342" s="63">
        <f t="shared" si="352"/>
        <v>359</v>
      </c>
      <c r="X1342" s="63"/>
      <c r="Y1342" s="63"/>
      <c r="Z1342" s="63"/>
      <c r="AA1342" s="63"/>
      <c r="AB1342" s="63"/>
      <c r="AN1342">
        <v>0</v>
      </c>
      <c r="AT1342" t="str">
        <f t="shared" si="340"/>
        <v>North Kingstown</v>
      </c>
      <c r="AU1342" t="s">
        <v>692</v>
      </c>
      <c r="AV1342">
        <v>2</v>
      </c>
      <c r="AX1342" s="114">
        <v>44</v>
      </c>
      <c r="AY1342" s="116">
        <v>9</v>
      </c>
      <c r="AZ1342" s="116">
        <v>25</v>
      </c>
      <c r="BA1342" s="120">
        <v>51580</v>
      </c>
      <c r="BB1342" s="120">
        <f t="shared" si="342"/>
        <v>44009</v>
      </c>
      <c r="BC1342" t="s">
        <v>1472</v>
      </c>
      <c r="BD1342">
        <f t="shared" si="351"/>
        <v>4451580</v>
      </c>
      <c r="BE1342" s="1">
        <v>184</v>
      </c>
      <c r="BF1342" s="63">
        <v>11</v>
      </c>
      <c r="BI1342">
        <v>58.34</v>
      </c>
      <c r="BJ1342">
        <v>14.75</v>
      </c>
      <c r="BK1342">
        <v>43.59</v>
      </c>
      <c r="BP1342" s="63">
        <v>402</v>
      </c>
      <c r="BR1342">
        <v>104</v>
      </c>
    </row>
    <row r="1343" spans="1:70" ht="13" hidden="1" customHeight="1" outlineLevel="1">
      <c r="A1343" t="s">
        <v>810</v>
      </c>
      <c r="B1343" s="8" t="s">
        <v>1647</v>
      </c>
      <c r="C1343" s="1">
        <f t="shared" si="344"/>
        <v>15511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345"/>
        <v>7</v>
      </c>
      <c r="G1343" s="1">
        <f t="shared" si="346"/>
        <v>824</v>
      </c>
      <c r="H1343" s="2">
        <f t="shared" si="341"/>
        <v>5.312358971052801E-2</v>
      </c>
      <c r="I1343" s="6"/>
      <c r="J1343" s="2">
        <f t="shared" si="347"/>
        <v>0.50029011669138035</v>
      </c>
      <c r="K1343" s="2">
        <f t="shared" si="348"/>
        <v>0.4471665269808523</v>
      </c>
      <c r="L1343" s="2">
        <f t="shared" si="349"/>
        <v>1.4183482689704081E-3</v>
      </c>
      <c r="M1343" s="2">
        <f t="shared" si="350"/>
        <v>5.1125008058796946E-2</v>
      </c>
      <c r="N1343" s="63">
        <v>7760</v>
      </c>
      <c r="O1343" s="63">
        <v>6936</v>
      </c>
      <c r="P1343" s="63">
        <v>22</v>
      </c>
      <c r="Q1343" s="63">
        <v>380</v>
      </c>
      <c r="R1343" s="63">
        <v>162</v>
      </c>
      <c r="S1343" s="63">
        <v>0</v>
      </c>
      <c r="T1343" s="63">
        <v>28</v>
      </c>
      <c r="U1343" s="63"/>
      <c r="V1343" s="63"/>
      <c r="W1343" s="63">
        <f t="shared" si="352"/>
        <v>218</v>
      </c>
      <c r="X1343" s="63"/>
      <c r="Y1343" s="63"/>
      <c r="Z1343" s="63"/>
      <c r="AA1343" s="63"/>
      <c r="AB1343" s="63"/>
      <c r="AN1343">
        <v>5</v>
      </c>
      <c r="AT1343" t="str">
        <f t="shared" si="340"/>
        <v>North Providence</v>
      </c>
      <c r="AU1343" t="s">
        <v>1153</v>
      </c>
      <c r="AV1343">
        <v>1</v>
      </c>
      <c r="AX1343" s="114">
        <v>44</v>
      </c>
      <c r="AY1343" s="116">
        <v>7</v>
      </c>
      <c r="AZ1343" s="116">
        <v>50</v>
      </c>
      <c r="BA1343" s="120">
        <v>51760</v>
      </c>
      <c r="BB1343" s="120">
        <f t="shared" si="342"/>
        <v>44007</v>
      </c>
      <c r="BC1343" t="s">
        <v>1472</v>
      </c>
      <c r="BD1343">
        <f t="shared" si="351"/>
        <v>4451760</v>
      </c>
      <c r="BE1343" s="1">
        <v>134</v>
      </c>
      <c r="BF1343" s="63">
        <v>24</v>
      </c>
      <c r="BI1343">
        <v>5.79</v>
      </c>
      <c r="BJ1343">
        <v>0.12</v>
      </c>
      <c r="BK1343">
        <v>5.67</v>
      </c>
      <c r="BP1343" s="63">
        <v>245</v>
      </c>
      <c r="BR1343">
        <v>111</v>
      </c>
    </row>
    <row r="1344" spans="1:70" ht="13" hidden="1" customHeight="1" outlineLevel="1">
      <c r="A1344" t="s">
        <v>1732</v>
      </c>
      <c r="B1344" s="8" t="s">
        <v>1647</v>
      </c>
      <c r="C1344" s="1">
        <f t="shared" si="344"/>
        <v>6251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 t="shared" si="345"/>
        <v>6</v>
      </c>
      <c r="G1344" s="1">
        <f t="shared" si="346"/>
        <v>672</v>
      </c>
      <c r="H1344" s="2">
        <f t="shared" si="341"/>
        <v>0.10750279955207166</v>
      </c>
      <c r="I1344" s="6"/>
      <c r="J1344" s="2">
        <f t="shared" si="347"/>
        <v>0.41113421852503601</v>
      </c>
      <c r="K1344" s="2">
        <f t="shared" si="348"/>
        <v>0.51863701807710771</v>
      </c>
      <c r="L1344" s="2">
        <f t="shared" si="349"/>
        <v>1.9196928491441369E-3</v>
      </c>
      <c r="M1344" s="2">
        <f t="shared" si="350"/>
        <v>6.83090705487122E-2</v>
      </c>
      <c r="N1344" s="63">
        <v>2570</v>
      </c>
      <c r="O1344" s="63">
        <v>3242</v>
      </c>
      <c r="P1344" s="63">
        <v>12</v>
      </c>
      <c r="Q1344" s="63">
        <v>226</v>
      </c>
      <c r="R1344" s="63">
        <v>75</v>
      </c>
      <c r="S1344" s="63">
        <v>0</v>
      </c>
      <c r="T1344" s="63">
        <v>10</v>
      </c>
      <c r="U1344" s="63"/>
      <c r="V1344" s="63"/>
      <c r="W1344" s="63">
        <f t="shared" si="352"/>
        <v>115</v>
      </c>
      <c r="X1344" s="63"/>
      <c r="Y1344" s="63"/>
      <c r="Z1344" s="63"/>
      <c r="AA1344" s="63"/>
      <c r="AB1344" s="63"/>
      <c r="AN1344">
        <v>1</v>
      </c>
      <c r="AT1344" t="str">
        <f t="shared" si="340"/>
        <v>North Smithfield</v>
      </c>
      <c r="AU1344" t="s">
        <v>1153</v>
      </c>
      <c r="AV1344">
        <v>1</v>
      </c>
      <c r="AX1344" s="114">
        <v>44</v>
      </c>
      <c r="AY1344" s="116">
        <v>7</v>
      </c>
      <c r="AZ1344" s="116">
        <v>55</v>
      </c>
      <c r="BA1344" s="120">
        <v>52480</v>
      </c>
      <c r="BB1344" s="120">
        <f t="shared" si="342"/>
        <v>44007</v>
      </c>
      <c r="BC1344" t="s">
        <v>1472</v>
      </c>
      <c r="BD1344">
        <f t="shared" si="351"/>
        <v>4452480</v>
      </c>
      <c r="BE1344" s="1">
        <v>69</v>
      </c>
      <c r="BF1344" s="63">
        <v>9</v>
      </c>
      <c r="BI1344">
        <v>24.74</v>
      </c>
      <c r="BJ1344">
        <v>0.7</v>
      </c>
      <c r="BK1344">
        <v>24.04</v>
      </c>
      <c r="BP1344" s="63">
        <v>128</v>
      </c>
      <c r="BR1344">
        <v>31</v>
      </c>
    </row>
    <row r="1345" spans="1:70" ht="13" hidden="1" customHeight="1" outlineLevel="1">
      <c r="A1345" t="s">
        <v>163</v>
      </c>
      <c r="B1345" s="8" t="s">
        <v>1647</v>
      </c>
      <c r="C1345" s="1">
        <f t="shared" si="344"/>
        <v>23001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345"/>
        <v>7</v>
      </c>
      <c r="G1345" s="1">
        <f t="shared" si="346"/>
        <v>9353</v>
      </c>
      <c r="H1345" s="2">
        <f t="shared" si="341"/>
        <v>0.40663449415242814</v>
      </c>
      <c r="I1345" s="6"/>
      <c r="J1345" s="2">
        <f t="shared" si="347"/>
        <v>0.67710099560888659</v>
      </c>
      <c r="K1345" s="2">
        <f t="shared" si="348"/>
        <v>0.2704665014564584</v>
      </c>
      <c r="L1345" s="2">
        <f t="shared" si="349"/>
        <v>1.1303856354071562E-3</v>
      </c>
      <c r="M1345" s="2">
        <f t="shared" si="350"/>
        <v>5.1302117299247857E-2</v>
      </c>
      <c r="N1345" s="63">
        <v>15574</v>
      </c>
      <c r="O1345" s="63">
        <v>6221</v>
      </c>
      <c r="P1345" s="63">
        <v>26</v>
      </c>
      <c r="Q1345" s="63">
        <v>533</v>
      </c>
      <c r="R1345" s="63">
        <v>268</v>
      </c>
      <c r="S1345" s="63">
        <v>1</v>
      </c>
      <c r="T1345" s="63">
        <v>36</v>
      </c>
      <c r="U1345" s="63"/>
      <c r="V1345" s="63"/>
      <c r="W1345" s="63">
        <f t="shared" si="352"/>
        <v>341</v>
      </c>
      <c r="X1345" s="63"/>
      <c r="Y1345" s="63"/>
      <c r="Z1345" s="63"/>
      <c r="AA1345" s="63"/>
      <c r="AB1345" s="63"/>
      <c r="AN1345">
        <v>1</v>
      </c>
      <c r="AT1345" t="str">
        <f t="shared" si="340"/>
        <v>Pawtucket</v>
      </c>
      <c r="AU1345" t="s">
        <v>1153</v>
      </c>
      <c r="AV1345">
        <v>1</v>
      </c>
      <c r="AX1345" s="114">
        <v>44</v>
      </c>
      <c r="AY1345" s="116">
        <v>7</v>
      </c>
      <c r="AZ1345" s="116">
        <v>60</v>
      </c>
      <c r="BA1345" s="120">
        <v>54640</v>
      </c>
      <c r="BB1345" s="120">
        <f t="shared" si="342"/>
        <v>44007</v>
      </c>
      <c r="BC1345" t="s">
        <v>1249</v>
      </c>
      <c r="BD1345">
        <f t="shared" si="351"/>
        <v>4454640</v>
      </c>
      <c r="BE1345" s="1">
        <v>145</v>
      </c>
      <c r="BF1345" s="63">
        <v>156</v>
      </c>
      <c r="BI1345">
        <v>9</v>
      </c>
      <c r="BJ1345">
        <v>0.26</v>
      </c>
      <c r="BK1345">
        <v>8.74</v>
      </c>
      <c r="BP1345" s="63">
        <v>369</v>
      </c>
      <c r="BR1345">
        <v>165</v>
      </c>
    </row>
    <row r="1346" spans="1:70" ht="13" hidden="1" customHeight="1" outlineLevel="1">
      <c r="A1346" t="s">
        <v>1290</v>
      </c>
      <c r="B1346" s="8" t="s">
        <v>1647</v>
      </c>
      <c r="C1346" s="1">
        <f t="shared" si="344"/>
        <v>9658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345"/>
        <v>6</v>
      </c>
      <c r="G1346" s="1">
        <f t="shared" si="346"/>
        <v>1023</v>
      </c>
      <c r="H1346" s="2">
        <f t="shared" si="341"/>
        <v>0.10592255125284739</v>
      </c>
      <c r="I1346" s="6"/>
      <c r="J1346" s="2">
        <f t="shared" si="347"/>
        <v>0.51201076827500513</v>
      </c>
      <c r="K1346" s="2">
        <f t="shared" si="348"/>
        <v>0.4060882170221578</v>
      </c>
      <c r="L1346" s="2">
        <f t="shared" si="349"/>
        <v>1.8637399047421825E-3</v>
      </c>
      <c r="M1346" s="2">
        <f t="shared" si="350"/>
        <v>8.0037274798094873E-2</v>
      </c>
      <c r="N1346" s="63">
        <v>4945</v>
      </c>
      <c r="O1346" s="63">
        <v>3922</v>
      </c>
      <c r="P1346" s="63">
        <v>18</v>
      </c>
      <c r="Q1346" s="63">
        <v>405</v>
      </c>
      <c r="R1346" s="63">
        <v>128</v>
      </c>
      <c r="S1346" s="63">
        <v>0</v>
      </c>
      <c r="T1346" s="63">
        <v>9</v>
      </c>
      <c r="U1346" s="63"/>
      <c r="V1346" s="63"/>
      <c r="W1346" s="63">
        <f t="shared" si="352"/>
        <v>228</v>
      </c>
      <c r="X1346" s="63"/>
      <c r="Y1346" s="63"/>
      <c r="Z1346" s="63"/>
      <c r="AA1346" s="63"/>
      <c r="AB1346" s="63"/>
      <c r="AN1346">
        <v>3</v>
      </c>
      <c r="AT1346" t="str">
        <f t="shared" si="340"/>
        <v>Portsmouth</v>
      </c>
      <c r="AU1346" t="s">
        <v>2009</v>
      </c>
      <c r="AV1346">
        <v>1</v>
      </c>
      <c r="AX1346" s="114">
        <v>44</v>
      </c>
      <c r="AY1346" s="116">
        <v>5</v>
      </c>
      <c r="AZ1346" s="116">
        <v>30</v>
      </c>
      <c r="BA1346" s="120">
        <v>57880</v>
      </c>
      <c r="BB1346" s="120">
        <f t="shared" si="342"/>
        <v>44005</v>
      </c>
      <c r="BC1346" t="s">
        <v>1472</v>
      </c>
      <c r="BD1346">
        <f t="shared" si="351"/>
        <v>4457880</v>
      </c>
      <c r="BE1346" s="1">
        <v>134</v>
      </c>
      <c r="BF1346" s="63">
        <v>12</v>
      </c>
      <c r="BI1346">
        <v>59.3</v>
      </c>
      <c r="BJ1346">
        <v>36.090000000000003</v>
      </c>
      <c r="BK1346">
        <v>23.21</v>
      </c>
      <c r="BP1346" s="63">
        <v>249</v>
      </c>
      <c r="BR1346">
        <v>64</v>
      </c>
    </row>
    <row r="1347" spans="1:70" ht="13" hidden="1" customHeight="1" outlineLevel="1">
      <c r="A1347" t="s">
        <v>1153</v>
      </c>
      <c r="B1347" s="8" t="s">
        <v>1647</v>
      </c>
      <c r="C1347" s="1">
        <f t="shared" si="344"/>
        <v>55639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345"/>
        <v>6</v>
      </c>
      <c r="G1347" s="1">
        <f t="shared" si="346"/>
        <v>37371</v>
      </c>
      <c r="H1347" s="2">
        <f t="shared" si="341"/>
        <v>0.67166915293229568</v>
      </c>
      <c r="I1347" s="6"/>
      <c r="J1347" s="2">
        <f t="shared" si="347"/>
        <v>0.80973777386365675</v>
      </c>
      <c r="K1347" s="2">
        <f t="shared" si="348"/>
        <v>0.1380686209313611</v>
      </c>
      <c r="L1347" s="2">
        <f t="shared" si="349"/>
        <v>1.6894624274339941E-3</v>
      </c>
      <c r="M1347" s="2">
        <f t="shared" si="350"/>
        <v>5.0504142777548153E-2</v>
      </c>
      <c r="N1347" s="63">
        <v>45053</v>
      </c>
      <c r="O1347" s="63">
        <v>7682</v>
      </c>
      <c r="P1347" s="63">
        <v>94</v>
      </c>
      <c r="Q1347" s="63">
        <v>1094</v>
      </c>
      <c r="R1347" s="63">
        <v>863</v>
      </c>
      <c r="S1347" s="63">
        <v>1</v>
      </c>
      <c r="T1347" s="63">
        <v>71</v>
      </c>
      <c r="U1347" s="63"/>
      <c r="V1347" s="63"/>
      <c r="W1347" s="63">
        <f t="shared" si="352"/>
        <v>778</v>
      </c>
      <c r="X1347" s="63"/>
      <c r="Y1347" s="63"/>
      <c r="Z1347" s="63"/>
      <c r="AA1347" s="63"/>
      <c r="AB1347" s="63"/>
      <c r="AN1347">
        <v>3</v>
      </c>
      <c r="AT1347" t="str">
        <f t="shared" si="340"/>
        <v>Providence</v>
      </c>
      <c r="AU1347" t="s">
        <v>1153</v>
      </c>
      <c r="AV1347" s="71"/>
      <c r="AX1347" s="114">
        <v>44</v>
      </c>
      <c r="AY1347" s="116">
        <v>7</v>
      </c>
      <c r="AZ1347" s="116">
        <v>65</v>
      </c>
      <c r="BA1347" s="120">
        <v>59000</v>
      </c>
      <c r="BB1347" s="120">
        <f t="shared" si="342"/>
        <v>44007</v>
      </c>
      <c r="BC1347" t="s">
        <v>1249</v>
      </c>
      <c r="BD1347">
        <f t="shared" si="351"/>
        <v>4459000</v>
      </c>
      <c r="BE1347" s="1">
        <v>263</v>
      </c>
      <c r="BF1347" s="63">
        <v>303</v>
      </c>
      <c r="BI1347">
        <v>20.53</v>
      </c>
      <c r="BJ1347">
        <v>2.06</v>
      </c>
      <c r="BK1347">
        <v>18.47</v>
      </c>
      <c r="BP1347" s="63">
        <v>876</v>
      </c>
      <c r="BR1347">
        <v>430</v>
      </c>
    </row>
    <row r="1348" spans="1:70" ht="13" hidden="1" customHeight="1" outlineLevel="1">
      <c r="A1348" t="s">
        <v>1881</v>
      </c>
      <c r="B1348" s="8" t="s">
        <v>1647</v>
      </c>
      <c r="C1348" s="1">
        <f t="shared" si="344"/>
        <v>4127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 t="shared" si="345"/>
        <v>6</v>
      </c>
      <c r="G1348" s="1">
        <f t="shared" si="346"/>
        <v>345</v>
      </c>
      <c r="H1348" s="2">
        <f t="shared" si="341"/>
        <v>8.3595832323721836E-2</v>
      </c>
      <c r="I1348" s="6"/>
      <c r="J1348" s="2">
        <f t="shared" si="347"/>
        <v>0.41507148049430581</v>
      </c>
      <c r="K1348" s="2">
        <f t="shared" si="348"/>
        <v>0.49866731281802762</v>
      </c>
      <c r="L1348" s="2">
        <f t="shared" si="349"/>
        <v>3.1499878846619821E-3</v>
      </c>
      <c r="M1348" s="2">
        <f t="shared" si="350"/>
        <v>8.3111218803004538E-2</v>
      </c>
      <c r="N1348" s="63">
        <v>1713</v>
      </c>
      <c r="O1348" s="63">
        <v>2058</v>
      </c>
      <c r="P1348" s="63">
        <v>13</v>
      </c>
      <c r="Q1348" s="63">
        <v>185</v>
      </c>
      <c r="R1348" s="63">
        <v>58</v>
      </c>
      <c r="S1348" s="63">
        <v>0</v>
      </c>
      <c r="T1348" s="63">
        <v>8</v>
      </c>
      <c r="U1348" s="63"/>
      <c r="V1348" s="63"/>
      <c r="W1348" s="63">
        <f t="shared" si="352"/>
        <v>92</v>
      </c>
      <c r="X1348" s="63"/>
      <c r="Y1348" s="63"/>
      <c r="Z1348" s="63"/>
      <c r="AA1348" s="63"/>
      <c r="AB1348" s="63"/>
      <c r="AN1348">
        <v>0</v>
      </c>
      <c r="AT1348" t="str">
        <f t="shared" si="340"/>
        <v>Richmond</v>
      </c>
      <c r="AU1348" t="s">
        <v>692</v>
      </c>
      <c r="AV1348">
        <v>2</v>
      </c>
      <c r="AX1348" s="114">
        <v>44</v>
      </c>
      <c r="AY1348" s="116">
        <v>9</v>
      </c>
      <c r="AZ1348" s="116">
        <v>30</v>
      </c>
      <c r="BA1348" s="120">
        <v>61160</v>
      </c>
      <c r="BB1348" s="120">
        <f t="shared" si="342"/>
        <v>44009</v>
      </c>
      <c r="BC1348" t="s">
        <v>1472</v>
      </c>
      <c r="BD1348">
        <f t="shared" si="351"/>
        <v>4461160</v>
      </c>
      <c r="BE1348" s="1">
        <v>36</v>
      </c>
      <c r="BF1348" s="63">
        <v>6</v>
      </c>
      <c r="BI1348">
        <v>40.78</v>
      </c>
      <c r="BJ1348">
        <v>0.22</v>
      </c>
      <c r="BK1348">
        <v>40.56</v>
      </c>
      <c r="BP1348" s="63">
        <v>105</v>
      </c>
      <c r="BR1348">
        <v>37</v>
      </c>
    </row>
    <row r="1349" spans="1:70" ht="13" hidden="1" customHeight="1" outlineLevel="1">
      <c r="A1349" t="s">
        <v>754</v>
      </c>
      <c r="B1349" s="8" t="s">
        <v>1647</v>
      </c>
      <c r="C1349" s="1">
        <f t="shared" si="344"/>
        <v>6005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 t="shared" si="345"/>
        <v>7</v>
      </c>
      <c r="G1349" s="1">
        <f t="shared" si="346"/>
        <v>1491</v>
      </c>
      <c r="H1349" s="2">
        <f t="shared" si="341"/>
        <v>0.24829308909242298</v>
      </c>
      <c r="I1349" s="6"/>
      <c r="J1349" s="2">
        <f t="shared" si="347"/>
        <v>0.34054954204829307</v>
      </c>
      <c r="K1349" s="2">
        <f t="shared" si="348"/>
        <v>0.58884263114071611</v>
      </c>
      <c r="L1349" s="2">
        <f t="shared" si="349"/>
        <v>8.3263946711074107E-4</v>
      </c>
      <c r="M1349" s="2">
        <f t="shared" si="350"/>
        <v>6.9775187343880024E-2</v>
      </c>
      <c r="N1349" s="63">
        <v>2045</v>
      </c>
      <c r="O1349" s="63">
        <v>3536</v>
      </c>
      <c r="P1349" s="63">
        <v>5</v>
      </c>
      <c r="Q1349" s="63">
        <v>208</v>
      </c>
      <c r="R1349" s="63">
        <v>77</v>
      </c>
      <c r="S1349" s="63">
        <v>0</v>
      </c>
      <c r="T1349" s="63">
        <v>11</v>
      </c>
      <c r="U1349" s="63"/>
      <c r="V1349" s="63"/>
      <c r="W1349" s="63">
        <f t="shared" si="352"/>
        <v>123</v>
      </c>
      <c r="X1349" s="63"/>
      <c r="Y1349" s="63"/>
      <c r="Z1349" s="63"/>
      <c r="AA1349" s="63"/>
      <c r="AB1349" s="63"/>
      <c r="AN1349">
        <v>0</v>
      </c>
      <c r="AT1349" t="str">
        <f t="shared" si="340"/>
        <v>Scituate</v>
      </c>
      <c r="AU1349" t="s">
        <v>1153</v>
      </c>
      <c r="AV1349">
        <v>2</v>
      </c>
      <c r="AX1349" s="114">
        <v>44</v>
      </c>
      <c r="AY1349" s="116">
        <v>7</v>
      </c>
      <c r="AZ1349" s="116">
        <v>70</v>
      </c>
      <c r="BA1349" s="120">
        <v>64220</v>
      </c>
      <c r="BB1349" s="120">
        <f t="shared" si="342"/>
        <v>44007</v>
      </c>
      <c r="BC1349" t="s">
        <v>1472</v>
      </c>
      <c r="BD1349">
        <f t="shared" si="351"/>
        <v>4464220</v>
      </c>
      <c r="BE1349" s="1">
        <v>74</v>
      </c>
      <c r="BF1349" s="63">
        <v>6</v>
      </c>
      <c r="BI1349">
        <v>54.79</v>
      </c>
      <c r="BJ1349">
        <v>6.11</v>
      </c>
      <c r="BK1349">
        <v>48.68</v>
      </c>
      <c r="BP1349" s="63">
        <v>128</v>
      </c>
      <c r="BR1349">
        <v>41</v>
      </c>
    </row>
    <row r="1350" spans="1:70" ht="13" hidden="1" customHeight="1" outlineLevel="1">
      <c r="A1350" t="s">
        <v>572</v>
      </c>
      <c r="B1350" s="8" t="s">
        <v>1647</v>
      </c>
      <c r="C1350" s="1">
        <f t="shared" si="344"/>
        <v>10378</v>
      </c>
      <c r="D1350" s="5">
        <f>IF(N1350&gt;0, RANK(N1350,(N1350:P1350,Q1350:AE1350)),0)</f>
        <v>2</v>
      </c>
      <c r="E1350" s="5">
        <f>IF(O1350&gt;0,RANK(O1350,(N1350:P1350,Q1350:AE1350)),0)</f>
        <v>1</v>
      </c>
      <c r="F1350" s="5">
        <f t="shared" si="345"/>
        <v>7</v>
      </c>
      <c r="G1350" s="1">
        <f t="shared" si="346"/>
        <v>852</v>
      </c>
      <c r="H1350" s="2">
        <f t="shared" si="341"/>
        <v>8.2096743110425904E-2</v>
      </c>
      <c r="I1350" s="6"/>
      <c r="J1350" s="2">
        <f t="shared" si="347"/>
        <v>0.4241665060705338</v>
      </c>
      <c r="K1350" s="2">
        <f t="shared" si="348"/>
        <v>0.50626324918095977</v>
      </c>
      <c r="L1350" s="2">
        <f t="shared" si="349"/>
        <v>1.2526498361919445E-3</v>
      </c>
      <c r="M1350" s="2">
        <f t="shared" si="350"/>
        <v>6.8317594912314539E-2</v>
      </c>
      <c r="N1350" s="63">
        <v>4402</v>
      </c>
      <c r="O1350" s="63">
        <v>5254</v>
      </c>
      <c r="P1350" s="63">
        <v>13</v>
      </c>
      <c r="Q1350" s="63">
        <v>377</v>
      </c>
      <c r="R1350" s="63">
        <v>118</v>
      </c>
      <c r="S1350" s="63">
        <v>0</v>
      </c>
      <c r="T1350" s="63">
        <v>15</v>
      </c>
      <c r="U1350" s="63"/>
      <c r="V1350" s="63"/>
      <c r="W1350" s="63">
        <f t="shared" si="352"/>
        <v>199</v>
      </c>
      <c r="X1350" s="63"/>
      <c r="Y1350" s="63"/>
      <c r="Z1350" s="63"/>
      <c r="AA1350" s="63"/>
      <c r="AB1350" s="63"/>
      <c r="AN1350">
        <v>0</v>
      </c>
      <c r="AT1350" t="str">
        <f t="shared" si="340"/>
        <v>Smithfield</v>
      </c>
      <c r="AU1350" t="s">
        <v>1153</v>
      </c>
      <c r="AV1350">
        <v>1</v>
      </c>
      <c r="AX1350" s="114">
        <v>44</v>
      </c>
      <c r="AY1350" s="116">
        <v>7</v>
      </c>
      <c r="AZ1350" s="116">
        <v>75</v>
      </c>
      <c r="BA1350" s="120">
        <v>66200</v>
      </c>
      <c r="BB1350" s="120">
        <f t="shared" si="342"/>
        <v>44007</v>
      </c>
      <c r="BC1350" t="s">
        <v>1472</v>
      </c>
      <c r="BD1350">
        <f t="shared" si="351"/>
        <v>4466200</v>
      </c>
      <c r="BE1350" s="1">
        <v>113</v>
      </c>
      <c r="BF1350" s="63">
        <v>19</v>
      </c>
      <c r="BI1350">
        <v>27.77</v>
      </c>
      <c r="BJ1350">
        <v>1.18</v>
      </c>
      <c r="BK1350">
        <v>26.59</v>
      </c>
      <c r="BP1350" s="63">
        <v>212</v>
      </c>
      <c r="BR1350">
        <v>31</v>
      </c>
    </row>
    <row r="1351" spans="1:70" ht="13" hidden="1" customHeight="1" outlineLevel="1">
      <c r="A1351" t="s">
        <v>260</v>
      </c>
      <c r="B1351" s="8" t="s">
        <v>1647</v>
      </c>
      <c r="C1351" s="1">
        <f t="shared" si="344"/>
        <v>14617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345"/>
        <v>6</v>
      </c>
      <c r="G1351" s="1">
        <f t="shared" si="346"/>
        <v>4050</v>
      </c>
      <c r="H1351" s="2">
        <f t="shared" si="341"/>
        <v>0.27707463911883423</v>
      </c>
      <c r="I1351" s="6"/>
      <c r="J1351" s="2">
        <f t="shared" si="347"/>
        <v>0.59362386262570976</v>
      </c>
      <c r="K1351" s="2">
        <f t="shared" si="348"/>
        <v>0.31654922350687553</v>
      </c>
      <c r="L1351" s="2">
        <f t="shared" si="349"/>
        <v>2.6681261544776631E-3</v>
      </c>
      <c r="M1351" s="2">
        <f t="shared" si="350"/>
        <v>8.7158787712937044E-2</v>
      </c>
      <c r="N1351" s="63">
        <v>8677</v>
      </c>
      <c r="O1351" s="63">
        <v>4627</v>
      </c>
      <c r="P1351" s="63">
        <v>39</v>
      </c>
      <c r="Q1351" s="63">
        <v>568</v>
      </c>
      <c r="R1351" s="63">
        <v>331</v>
      </c>
      <c r="S1351" s="63">
        <v>0</v>
      </c>
      <c r="T1351" s="63">
        <v>20</v>
      </c>
      <c r="U1351" s="63"/>
      <c r="V1351" s="63"/>
      <c r="W1351" s="63">
        <f t="shared" si="352"/>
        <v>353</v>
      </c>
      <c r="X1351" s="63"/>
      <c r="Y1351" s="63"/>
      <c r="Z1351" s="63"/>
      <c r="AA1351" s="63"/>
      <c r="AB1351" s="63"/>
      <c r="AN1351">
        <v>2</v>
      </c>
      <c r="AT1351" t="str">
        <f t="shared" si="340"/>
        <v>South Kingstown</v>
      </c>
      <c r="AU1351" t="s">
        <v>692</v>
      </c>
      <c r="AV1351">
        <v>2</v>
      </c>
      <c r="AX1351" s="114">
        <v>44</v>
      </c>
      <c r="AY1351" s="116">
        <v>9</v>
      </c>
      <c r="AZ1351" s="116">
        <v>35</v>
      </c>
      <c r="BA1351" s="120">
        <v>67460</v>
      </c>
      <c r="BB1351" s="120">
        <f t="shared" si="342"/>
        <v>44009</v>
      </c>
      <c r="BC1351" t="s">
        <v>1472</v>
      </c>
      <c r="BD1351">
        <f t="shared" si="351"/>
        <v>4467460</v>
      </c>
      <c r="BE1351" s="1">
        <v>163</v>
      </c>
      <c r="BF1351" s="63">
        <v>13</v>
      </c>
      <c r="BI1351">
        <v>79.77</v>
      </c>
      <c r="BJ1351">
        <v>22.68</v>
      </c>
      <c r="BK1351">
        <v>57.09</v>
      </c>
      <c r="BP1351" s="63">
        <v>394</v>
      </c>
      <c r="BR1351">
        <v>127</v>
      </c>
    </row>
    <row r="1352" spans="1:70" ht="13" hidden="1" customHeight="1" outlineLevel="1">
      <c r="A1352" t="s">
        <v>2295</v>
      </c>
      <c r="B1352" s="8" t="s">
        <v>1647</v>
      </c>
      <c r="C1352" s="1">
        <f t="shared" si="344"/>
        <v>8423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345"/>
        <v>6</v>
      </c>
      <c r="G1352" s="1">
        <f t="shared" si="346"/>
        <v>237</v>
      </c>
      <c r="H1352" s="2">
        <f t="shared" si="341"/>
        <v>2.8137243262495549E-2</v>
      </c>
      <c r="I1352" s="6"/>
      <c r="J1352" s="2">
        <f t="shared" si="347"/>
        <v>0.47892674818948117</v>
      </c>
      <c r="K1352" s="2">
        <f t="shared" si="348"/>
        <v>0.45078950492698561</v>
      </c>
      <c r="L1352" s="2">
        <f t="shared" si="349"/>
        <v>1.5433930903478571E-3</v>
      </c>
      <c r="M1352" s="2">
        <f t="shared" si="350"/>
        <v>6.8740353793185313E-2</v>
      </c>
      <c r="N1352" s="63">
        <v>4034</v>
      </c>
      <c r="O1352" s="63">
        <v>3797</v>
      </c>
      <c r="P1352" s="63">
        <v>13</v>
      </c>
      <c r="Q1352" s="63">
        <v>287</v>
      </c>
      <c r="R1352" s="63">
        <v>120</v>
      </c>
      <c r="S1352" s="63">
        <v>0</v>
      </c>
      <c r="T1352" s="63">
        <v>6</v>
      </c>
      <c r="U1352" s="63"/>
      <c r="V1352" s="63"/>
      <c r="W1352" s="63">
        <f t="shared" si="352"/>
        <v>164</v>
      </c>
      <c r="X1352" s="63"/>
      <c r="Y1352" s="63"/>
      <c r="Z1352" s="63"/>
      <c r="AA1352" s="63"/>
      <c r="AB1352" s="63"/>
      <c r="AN1352">
        <v>2</v>
      </c>
      <c r="AT1352" t="str">
        <f t="shared" si="340"/>
        <v>Tiverton</v>
      </c>
      <c r="AU1352" t="s">
        <v>2009</v>
      </c>
      <c r="AV1352">
        <v>1</v>
      </c>
      <c r="AX1352" s="114">
        <v>44</v>
      </c>
      <c r="AY1352" s="116">
        <v>5</v>
      </c>
      <c r="AZ1352" s="116">
        <v>35</v>
      </c>
      <c r="BA1352" s="120">
        <v>70880</v>
      </c>
      <c r="BB1352" s="120">
        <f t="shared" si="342"/>
        <v>44005</v>
      </c>
      <c r="BC1352" t="s">
        <v>1472</v>
      </c>
      <c r="BD1352">
        <f t="shared" si="351"/>
        <v>4470880</v>
      </c>
      <c r="BE1352" s="1">
        <v>111</v>
      </c>
      <c r="BF1352" s="63">
        <v>16</v>
      </c>
      <c r="BI1352">
        <v>36.32</v>
      </c>
      <c r="BJ1352">
        <v>6.96</v>
      </c>
      <c r="BK1352">
        <v>29.36</v>
      </c>
      <c r="BP1352" s="63">
        <v>179</v>
      </c>
      <c r="BR1352">
        <v>87</v>
      </c>
    </row>
    <row r="1353" spans="1:70" ht="13" hidden="1" customHeight="1" outlineLevel="1">
      <c r="A1353" t="s">
        <v>422</v>
      </c>
      <c r="B1353" s="8" t="s">
        <v>1647</v>
      </c>
      <c r="C1353" s="1">
        <f t="shared" si="344"/>
        <v>5052</v>
      </c>
      <c r="D1353" s="5">
        <f>IF(N1353&gt;0, RANK(N1353,(N1353:P1353,Q1353:AE1353)),0)</f>
        <v>1</v>
      </c>
      <c r="E1353" s="5">
        <f>IF(O1353&gt;0,RANK(O1353,(N1353:P1353,Q1353:AE1353)),0)</f>
        <v>2</v>
      </c>
      <c r="F1353" s="5">
        <f t="shared" si="345"/>
        <v>6</v>
      </c>
      <c r="G1353" s="1">
        <f t="shared" si="346"/>
        <v>698</v>
      </c>
      <c r="H1353" s="2">
        <f t="shared" si="341"/>
        <v>0.1381631037212985</v>
      </c>
      <c r="I1353" s="6"/>
      <c r="J1353" s="2">
        <f t="shared" si="347"/>
        <v>0.53147268408551074</v>
      </c>
      <c r="K1353" s="2">
        <f t="shared" si="348"/>
        <v>0.39330958036421221</v>
      </c>
      <c r="L1353" s="2">
        <f t="shared" si="349"/>
        <v>2.1773555027711799E-3</v>
      </c>
      <c r="M1353" s="2">
        <f t="shared" si="350"/>
        <v>7.3040380047505876E-2</v>
      </c>
      <c r="N1353" s="63">
        <v>2685</v>
      </c>
      <c r="O1353" s="63">
        <v>1987</v>
      </c>
      <c r="P1353" s="63">
        <v>11</v>
      </c>
      <c r="Q1353" s="63">
        <v>175</v>
      </c>
      <c r="R1353" s="63">
        <v>73</v>
      </c>
      <c r="S1353" s="63">
        <v>0</v>
      </c>
      <c r="T1353" s="63">
        <v>10</v>
      </c>
      <c r="U1353" s="63"/>
      <c r="V1353" s="63"/>
      <c r="W1353" s="63">
        <f t="shared" si="352"/>
        <v>109</v>
      </c>
      <c r="X1353" s="63"/>
      <c r="Y1353" s="63"/>
      <c r="Z1353" s="63"/>
      <c r="AA1353" s="63"/>
      <c r="AB1353" s="63"/>
      <c r="AN1353">
        <v>2</v>
      </c>
      <c r="AT1353" t="str">
        <f t="shared" si="340"/>
        <v>Warren</v>
      </c>
      <c r="AU1353" t="s">
        <v>2215</v>
      </c>
      <c r="AV1353">
        <v>1</v>
      </c>
      <c r="AX1353" s="114">
        <v>44</v>
      </c>
      <c r="AY1353" s="116">
        <v>1</v>
      </c>
      <c r="AZ1353" s="116">
        <v>15</v>
      </c>
      <c r="BA1353" s="120">
        <v>73760</v>
      </c>
      <c r="BB1353" s="120">
        <f t="shared" si="342"/>
        <v>44001</v>
      </c>
      <c r="BC1353" t="s">
        <v>1472</v>
      </c>
      <c r="BD1353">
        <f t="shared" si="351"/>
        <v>4473760</v>
      </c>
      <c r="BE1353" s="1">
        <v>68</v>
      </c>
      <c r="BF1353" s="63">
        <v>16</v>
      </c>
      <c r="BI1353">
        <v>8.65</v>
      </c>
      <c r="BJ1353">
        <v>2.5</v>
      </c>
      <c r="BK1353">
        <v>6.15</v>
      </c>
      <c r="BP1353" s="63">
        <v>122</v>
      </c>
      <c r="BR1353">
        <v>41</v>
      </c>
    </row>
    <row r="1354" spans="1:70" ht="13" hidden="1" customHeight="1" outlineLevel="1">
      <c r="A1354" t="s">
        <v>2296</v>
      </c>
      <c r="B1354" s="8" t="s">
        <v>1647</v>
      </c>
      <c r="C1354" s="1">
        <f t="shared" si="344"/>
        <v>41440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345"/>
        <v>6</v>
      </c>
      <c r="G1354" s="1">
        <f t="shared" si="346"/>
        <v>1700</v>
      </c>
      <c r="H1354" s="2">
        <f t="shared" si="341"/>
        <v>4.1023166023166024E-2</v>
      </c>
      <c r="I1354" s="6"/>
      <c r="J1354" s="2">
        <f t="shared" si="347"/>
        <v>0.48354247104247106</v>
      </c>
      <c r="K1354" s="2">
        <f t="shared" si="348"/>
        <v>0.44251930501930503</v>
      </c>
      <c r="L1354" s="2">
        <f t="shared" si="349"/>
        <v>1.8581081081081082E-3</v>
      </c>
      <c r="M1354" s="2">
        <f t="shared" si="350"/>
        <v>7.208011583011581E-2</v>
      </c>
      <c r="N1354" s="63">
        <v>20038</v>
      </c>
      <c r="O1354" s="63">
        <v>18338</v>
      </c>
      <c r="P1354" s="63">
        <v>77</v>
      </c>
      <c r="Q1354" s="63">
        <v>1466</v>
      </c>
      <c r="R1354" s="63">
        <v>581</v>
      </c>
      <c r="S1354" s="63">
        <v>0</v>
      </c>
      <c r="T1354" s="63">
        <v>61</v>
      </c>
      <c r="U1354" s="63"/>
      <c r="V1354" s="63"/>
      <c r="W1354" s="63">
        <f t="shared" si="352"/>
        <v>870</v>
      </c>
      <c r="X1354" s="63"/>
      <c r="Y1354" s="63"/>
      <c r="Z1354" s="63"/>
      <c r="AA1354" s="63"/>
      <c r="AB1354" s="63"/>
      <c r="AN1354">
        <v>9</v>
      </c>
      <c r="AT1354" t="str">
        <f t="shared" si="340"/>
        <v>Warwick</v>
      </c>
      <c r="AU1354" t="s">
        <v>725</v>
      </c>
      <c r="AV1354">
        <v>2</v>
      </c>
      <c r="AX1354" s="114">
        <v>44</v>
      </c>
      <c r="AY1354" s="116">
        <v>3</v>
      </c>
      <c r="AZ1354" s="116">
        <v>15</v>
      </c>
      <c r="BA1354" s="120">
        <v>74300</v>
      </c>
      <c r="BB1354" s="120">
        <f t="shared" si="342"/>
        <v>44003</v>
      </c>
      <c r="BC1354" t="s">
        <v>1249</v>
      </c>
      <c r="BD1354">
        <f t="shared" si="351"/>
        <v>4474300</v>
      </c>
      <c r="BE1354" s="1">
        <v>445</v>
      </c>
      <c r="BF1354" s="63">
        <v>59</v>
      </c>
      <c r="BI1354">
        <v>49.62</v>
      </c>
      <c r="BJ1354">
        <v>14.12</v>
      </c>
      <c r="BK1354">
        <v>35.5</v>
      </c>
      <c r="BP1354" s="63">
        <v>956</v>
      </c>
      <c r="BR1354">
        <v>381</v>
      </c>
    </row>
    <row r="1355" spans="1:70" ht="13" hidden="1" customHeight="1" outlineLevel="1">
      <c r="A1355" t="s">
        <v>1307</v>
      </c>
      <c r="B1355" s="8" t="s">
        <v>1647</v>
      </c>
      <c r="C1355" s="1">
        <f t="shared" si="344"/>
        <v>3374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 t="shared" si="345"/>
        <v>7</v>
      </c>
      <c r="G1355" s="1">
        <f t="shared" si="346"/>
        <v>794</v>
      </c>
      <c r="H1355" s="2">
        <f t="shared" si="341"/>
        <v>0.23532898636633076</v>
      </c>
      <c r="I1355" s="6"/>
      <c r="J1355" s="2">
        <f t="shared" si="347"/>
        <v>0.34350918790752816</v>
      </c>
      <c r="K1355" s="2">
        <f t="shared" si="348"/>
        <v>0.57883817427385897</v>
      </c>
      <c r="L1355" s="2">
        <f t="shared" si="349"/>
        <v>1.1855364552459987E-3</v>
      </c>
      <c r="M1355" s="2">
        <f t="shared" si="350"/>
        <v>7.6467101363366874E-2</v>
      </c>
      <c r="N1355" s="63">
        <v>1159</v>
      </c>
      <c r="O1355" s="63">
        <v>1953</v>
      </c>
      <c r="P1355" s="63">
        <v>4</v>
      </c>
      <c r="Q1355" s="63">
        <v>150</v>
      </c>
      <c r="R1355" s="63">
        <v>40</v>
      </c>
      <c r="S1355" s="63">
        <v>0</v>
      </c>
      <c r="T1355" s="63">
        <v>8</v>
      </c>
      <c r="U1355" s="63"/>
      <c r="V1355" s="63"/>
      <c r="W1355" s="63">
        <f t="shared" si="352"/>
        <v>60</v>
      </c>
      <c r="X1355" s="63"/>
      <c r="Y1355" s="63"/>
      <c r="Z1355" s="63"/>
      <c r="AA1355" s="63"/>
      <c r="AB1355" s="63"/>
      <c r="AN1355">
        <v>0</v>
      </c>
      <c r="AT1355" t="str">
        <f t="shared" si="340"/>
        <v>West Greenwich</v>
      </c>
      <c r="AU1355" t="s">
        <v>725</v>
      </c>
      <c r="AV1355">
        <v>2</v>
      </c>
      <c r="AX1355" s="114">
        <v>44</v>
      </c>
      <c r="AY1355" s="116">
        <v>3</v>
      </c>
      <c r="AZ1355" s="116">
        <v>20</v>
      </c>
      <c r="BA1355" s="120">
        <v>77720</v>
      </c>
      <c r="BB1355" s="120">
        <f t="shared" si="342"/>
        <v>44003</v>
      </c>
      <c r="BC1355" t="s">
        <v>1472</v>
      </c>
      <c r="BD1355">
        <f t="shared" si="351"/>
        <v>4477720</v>
      </c>
      <c r="BE1355" s="1">
        <v>22</v>
      </c>
      <c r="BF1355" s="63">
        <v>4</v>
      </c>
      <c r="BI1355">
        <v>51.32</v>
      </c>
      <c r="BJ1355">
        <v>0.69</v>
      </c>
      <c r="BK1355">
        <v>50.63</v>
      </c>
      <c r="BP1355" s="63">
        <v>64</v>
      </c>
      <c r="BR1355">
        <v>24</v>
      </c>
    </row>
    <row r="1356" spans="1:70" ht="13" hidden="1" customHeight="1" outlineLevel="1">
      <c r="A1356" t="s">
        <v>1268</v>
      </c>
      <c r="B1356" s="8" t="s">
        <v>1647</v>
      </c>
      <c r="C1356" s="1">
        <f t="shared" si="344"/>
        <v>12036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 t="shared" si="345"/>
        <v>7</v>
      </c>
      <c r="G1356" s="1">
        <f t="shared" si="346"/>
        <v>184</v>
      </c>
      <c r="H1356" s="2">
        <f t="shared" si="341"/>
        <v>1.5287470920571618E-2</v>
      </c>
      <c r="I1356" s="6"/>
      <c r="J1356" s="2">
        <f t="shared" si="347"/>
        <v>0.46028580923894979</v>
      </c>
      <c r="K1356" s="2">
        <f t="shared" si="348"/>
        <v>0.47557328015952144</v>
      </c>
      <c r="L1356" s="2">
        <f t="shared" si="349"/>
        <v>3.3233632436025255E-4</v>
      </c>
      <c r="M1356" s="2">
        <f t="shared" si="350"/>
        <v>6.3808574277168517E-2</v>
      </c>
      <c r="N1356" s="63">
        <v>5540</v>
      </c>
      <c r="O1356" s="63">
        <v>5724</v>
      </c>
      <c r="P1356" s="63">
        <v>4</v>
      </c>
      <c r="Q1356" s="63">
        <v>375</v>
      </c>
      <c r="R1356" s="63">
        <v>154</v>
      </c>
      <c r="S1356" s="63">
        <v>2</v>
      </c>
      <c r="T1356" s="63">
        <v>17</v>
      </c>
      <c r="U1356" s="63"/>
      <c r="V1356" s="63"/>
      <c r="W1356" s="63">
        <f t="shared" si="352"/>
        <v>220</v>
      </c>
      <c r="X1356" s="63"/>
      <c r="Y1356" s="63"/>
      <c r="Z1356" s="63"/>
      <c r="AA1356" s="63"/>
      <c r="AB1356" s="63"/>
      <c r="AN1356">
        <v>0</v>
      </c>
      <c r="AT1356" t="str">
        <f t="shared" si="340"/>
        <v>West Warwick</v>
      </c>
      <c r="AU1356" t="s">
        <v>725</v>
      </c>
      <c r="AV1356">
        <v>2</v>
      </c>
      <c r="AX1356" s="114">
        <v>44</v>
      </c>
      <c r="AY1356" s="116">
        <v>3</v>
      </c>
      <c r="AZ1356" s="116">
        <v>25</v>
      </c>
      <c r="BA1356" s="120">
        <v>78440</v>
      </c>
      <c r="BB1356" s="120">
        <f t="shared" si="342"/>
        <v>44003</v>
      </c>
      <c r="BC1356" t="s">
        <v>1472</v>
      </c>
      <c r="BD1356">
        <f t="shared" si="351"/>
        <v>4478440</v>
      </c>
      <c r="BE1356" s="1">
        <v>103</v>
      </c>
      <c r="BF1356" s="63">
        <v>31</v>
      </c>
      <c r="BI1356">
        <v>8.11</v>
      </c>
      <c r="BJ1356">
        <v>0.18</v>
      </c>
      <c r="BK1356">
        <v>7.93</v>
      </c>
      <c r="BP1356" s="63">
        <v>226</v>
      </c>
      <c r="BR1356">
        <v>49</v>
      </c>
    </row>
    <row r="1357" spans="1:70" ht="13" hidden="1" customHeight="1" outlineLevel="1">
      <c r="A1357" t="s">
        <v>78</v>
      </c>
      <c r="B1357" s="8" t="s">
        <v>1647</v>
      </c>
      <c r="C1357" s="1">
        <f t="shared" si="344"/>
        <v>11146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345"/>
        <v>6</v>
      </c>
      <c r="G1357" s="1">
        <f t="shared" si="346"/>
        <v>260</v>
      </c>
      <c r="H1357" s="2">
        <f t="shared" si="341"/>
        <v>2.3326753992463665E-2</v>
      </c>
      <c r="I1357" s="6"/>
      <c r="J1357" s="2">
        <f t="shared" si="347"/>
        <v>0.47469944374663559</v>
      </c>
      <c r="K1357" s="2">
        <f t="shared" si="348"/>
        <v>0.45137268975417189</v>
      </c>
      <c r="L1357" s="2">
        <f t="shared" si="349"/>
        <v>4.1270410909743406E-3</v>
      </c>
      <c r="M1357" s="2">
        <f t="shared" si="350"/>
        <v>6.9800825408218137E-2</v>
      </c>
      <c r="N1357" s="63">
        <v>5291</v>
      </c>
      <c r="O1357" s="63">
        <v>5031</v>
      </c>
      <c r="P1357" s="63">
        <v>46</v>
      </c>
      <c r="Q1357" s="63">
        <v>348</v>
      </c>
      <c r="R1357" s="63">
        <v>144</v>
      </c>
      <c r="S1357" s="63">
        <v>1</v>
      </c>
      <c r="T1357" s="63">
        <v>12</v>
      </c>
      <c r="U1357" s="63"/>
      <c r="V1357" s="63"/>
      <c r="W1357" s="63">
        <f t="shared" si="352"/>
        <v>272</v>
      </c>
      <c r="X1357" s="63"/>
      <c r="Y1357" s="63"/>
      <c r="Z1357" s="63"/>
      <c r="AA1357" s="63"/>
      <c r="AB1357" s="63"/>
      <c r="AN1357">
        <v>1</v>
      </c>
      <c r="AT1357" t="str">
        <f t="shared" si="340"/>
        <v>Westerly</v>
      </c>
      <c r="AU1357" t="s">
        <v>692</v>
      </c>
      <c r="AV1357">
        <v>2</v>
      </c>
      <c r="AX1357" s="114">
        <v>44</v>
      </c>
      <c r="AY1357" s="116">
        <v>9</v>
      </c>
      <c r="AZ1357" s="116">
        <v>40</v>
      </c>
      <c r="BA1357" s="120">
        <v>77000</v>
      </c>
      <c r="BB1357" s="120">
        <f t="shared" si="342"/>
        <v>44009</v>
      </c>
      <c r="BC1357" t="s">
        <v>1472</v>
      </c>
      <c r="BD1357">
        <f t="shared" si="351"/>
        <v>4477000</v>
      </c>
      <c r="BE1357" s="1">
        <v>118</v>
      </c>
      <c r="BF1357" s="63">
        <v>9</v>
      </c>
      <c r="BI1357">
        <v>74.81</v>
      </c>
      <c r="BJ1357">
        <v>44.72</v>
      </c>
      <c r="BK1357">
        <v>30.09</v>
      </c>
      <c r="BP1357" s="63">
        <v>320</v>
      </c>
      <c r="BR1357">
        <v>109</v>
      </c>
    </row>
    <row r="1358" spans="1:70" ht="13" hidden="1" customHeight="1" outlineLevel="1">
      <c r="A1358" t="s">
        <v>584</v>
      </c>
      <c r="B1358" s="8" t="s">
        <v>1647</v>
      </c>
      <c r="C1358" s="1">
        <f t="shared" si="344"/>
        <v>12691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>IF(P1358&gt;0,RANK(P1358,(N1358:AE1358)),0)</f>
        <v>7</v>
      </c>
      <c r="G1358" s="1">
        <f>IF(C1358&gt;0,MAX(N1358:P1358)-LARGE(N1358:P1358,2),0)</f>
        <v>904</v>
      </c>
      <c r="H1358" s="2">
        <f>IF(C1358&gt;0,G1358/C1358,0)</f>
        <v>7.1231581435663063E-2</v>
      </c>
      <c r="I1358" s="6"/>
      <c r="J1358" s="2">
        <f>IF(C1358=0,"-",N1358/C1358)</f>
        <v>0.50003939799858166</v>
      </c>
      <c r="K1358" s="2">
        <f>IF(C1358=0,"-",O1358/C1358)</f>
        <v>0.42880781656291861</v>
      </c>
      <c r="L1358" s="2">
        <f>IF(C1358=0,"-",P1358/C1358)</f>
        <v>5.5157198014340876E-4</v>
      </c>
      <c r="M1358" s="2">
        <f>IF(C1358=0,"-",(1-J1358-K1358-L1358))</f>
        <v>7.0601213458356321E-2</v>
      </c>
      <c r="N1358" s="63">
        <v>6346</v>
      </c>
      <c r="O1358" s="63">
        <v>5442</v>
      </c>
      <c r="P1358" s="63">
        <v>7</v>
      </c>
      <c r="Q1358" s="63">
        <v>447</v>
      </c>
      <c r="R1358" s="63">
        <v>202</v>
      </c>
      <c r="S1358" s="63">
        <v>2</v>
      </c>
      <c r="T1358" s="63">
        <v>22</v>
      </c>
      <c r="U1358" s="63"/>
      <c r="V1358" s="63"/>
      <c r="W1358" s="63">
        <f t="shared" si="352"/>
        <v>223</v>
      </c>
      <c r="X1358" s="63"/>
      <c r="Y1358" s="63"/>
      <c r="Z1358" s="63"/>
      <c r="AA1358" s="63"/>
      <c r="AB1358" s="63"/>
      <c r="AN1358">
        <v>0</v>
      </c>
      <c r="AT1358" t="str">
        <f>A1358</f>
        <v>Woonsocket</v>
      </c>
      <c r="AU1358" t="s">
        <v>1153</v>
      </c>
      <c r="AV1358">
        <v>1</v>
      </c>
      <c r="AX1358" s="114">
        <v>44</v>
      </c>
      <c r="AY1358" s="116">
        <v>7</v>
      </c>
      <c r="AZ1358" s="116">
        <v>80</v>
      </c>
      <c r="BA1358" s="120">
        <v>80780</v>
      </c>
      <c r="BB1358" s="120">
        <f>AX1358*1000+AY1358</f>
        <v>44007</v>
      </c>
      <c r="BC1358" t="s">
        <v>1249</v>
      </c>
      <c r="BD1358">
        <f>AX1358*100000+BA1358</f>
        <v>4480780</v>
      </c>
      <c r="BE1358" s="1">
        <v>121</v>
      </c>
      <c r="BF1358" s="63">
        <v>40</v>
      </c>
      <c r="BI1358">
        <v>7.96</v>
      </c>
      <c r="BJ1358">
        <v>0.25</v>
      </c>
      <c r="BK1358">
        <v>7.71</v>
      </c>
      <c r="BP1358" s="63">
        <v>232</v>
      </c>
      <c r="BR1358">
        <v>132</v>
      </c>
    </row>
    <row r="1359" spans="1:70" ht="13" hidden="1" customHeight="1" outlineLevel="1">
      <c r="A1359" t="s">
        <v>3222</v>
      </c>
      <c r="B1359" s="8" t="s">
        <v>1647</v>
      </c>
      <c r="C1359" s="1">
        <f t="shared" si="344"/>
        <v>728</v>
      </c>
      <c r="D1359" s="5">
        <f>IF(N1359&gt;0, RANK(N1359,(N1359:P1359,Q1359:AE1359)),0)</f>
        <v>1</v>
      </c>
      <c r="E1359" s="5">
        <f>IF(O1359&gt;0,RANK(O1359,(N1359:P1359,Q1359:AE1359)),0)</f>
        <v>2</v>
      </c>
      <c r="F1359" s="5">
        <f t="shared" si="345"/>
        <v>0</v>
      </c>
      <c r="G1359" s="1">
        <f t="shared" si="346"/>
        <v>584</v>
      </c>
      <c r="H1359" s="2">
        <f t="shared" si="341"/>
        <v>0.80219780219780223</v>
      </c>
      <c r="I1359" s="6"/>
      <c r="J1359" s="2">
        <f t="shared" si="347"/>
        <v>0.875</v>
      </c>
      <c r="K1359" s="2">
        <f t="shared" si="348"/>
        <v>7.2802197802197807E-2</v>
      </c>
      <c r="L1359" s="2">
        <f t="shared" si="349"/>
        <v>0</v>
      </c>
      <c r="M1359" s="2">
        <f t="shared" si="350"/>
        <v>5.2197802197802193E-2</v>
      </c>
      <c r="N1359" s="63">
        <v>637</v>
      </c>
      <c r="O1359" s="63">
        <v>53</v>
      </c>
      <c r="P1359" s="63">
        <v>0</v>
      </c>
      <c r="Q1359" s="63">
        <v>16</v>
      </c>
      <c r="R1359" s="63">
        <v>17</v>
      </c>
      <c r="S1359" s="63">
        <v>0</v>
      </c>
      <c r="T1359" s="63">
        <v>0</v>
      </c>
      <c r="U1359" s="63"/>
      <c r="V1359" s="63"/>
      <c r="W1359" s="63">
        <f t="shared" si="352"/>
        <v>5</v>
      </c>
      <c r="X1359" s="63"/>
      <c r="Y1359" s="63"/>
      <c r="Z1359" s="63"/>
      <c r="AA1359" s="63"/>
      <c r="AB1359" s="63"/>
      <c r="AN1359">
        <v>0</v>
      </c>
      <c r="AT1359" t="str">
        <f t="shared" ref="AT1359:AT1422" si="353">A1359</f>
        <v>Federal</v>
      </c>
      <c r="AU1359" t="s">
        <v>3222</v>
      </c>
      <c r="AX1359" s="114">
        <v>44</v>
      </c>
      <c r="AY1359" s="116">
        <v>99</v>
      </c>
      <c r="BA1359" s="120">
        <v>99000</v>
      </c>
      <c r="BB1359" s="120">
        <f t="shared" si="342"/>
        <v>44099</v>
      </c>
      <c r="BC1359" t="s">
        <v>3222</v>
      </c>
      <c r="BD1359">
        <f t="shared" si="351"/>
        <v>4499000</v>
      </c>
      <c r="BE1359" s="1">
        <v>3</v>
      </c>
      <c r="BF1359" s="63">
        <v>0</v>
      </c>
      <c r="BI1359">
        <v>7.96</v>
      </c>
      <c r="BJ1359">
        <v>0.25</v>
      </c>
      <c r="BK1359">
        <v>7.71</v>
      </c>
      <c r="BP1359" s="63">
        <v>5</v>
      </c>
      <c r="BR1359">
        <v>0</v>
      </c>
    </row>
    <row r="1360" spans="1:70" collapsed="1">
      <c r="A1360" t="s">
        <v>1114</v>
      </c>
      <c r="B1360" s="8" t="s">
        <v>544</v>
      </c>
      <c r="C1360" s="1">
        <f t="shared" si="344"/>
        <v>464144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345"/>
        <v>6</v>
      </c>
      <c r="G1360" s="1">
        <f t="shared" si="346"/>
        <v>71982</v>
      </c>
      <c r="H1360" s="2">
        <f t="shared" si="341"/>
        <v>0.15508549070977973</v>
      </c>
      <c r="I1360" s="6"/>
      <c r="J1360" s="2">
        <f t="shared" si="347"/>
        <v>0.54406606570374716</v>
      </c>
      <c r="K1360" s="2">
        <f t="shared" si="348"/>
        <v>0.38898057499396738</v>
      </c>
      <c r="L1360" s="2">
        <f t="shared" si="349"/>
        <v>1.6352683649901755E-3</v>
      </c>
      <c r="M1360" s="2">
        <f t="shared" si="350"/>
        <v>6.5318090937295292E-2</v>
      </c>
      <c r="N1360" s="63">
        <f>SUM(N1320:N1359)</f>
        <v>252525</v>
      </c>
      <c r="O1360" s="63">
        <f>SUM(O1320:O1359)</f>
        <v>180543</v>
      </c>
      <c r="P1360" s="63">
        <f t="shared" ref="P1360" si="354">SUM(P1320:P1359)</f>
        <v>759</v>
      </c>
      <c r="Q1360" s="63">
        <f>SUM(Q1320:Q1359)</f>
        <v>14746</v>
      </c>
      <c r="R1360" s="63">
        <f>SUM(R1320:R1359)</f>
        <v>6220</v>
      </c>
      <c r="S1360" s="63">
        <f t="shared" ref="S1360" si="355">SUM(S1320:S1359)</f>
        <v>30</v>
      </c>
      <c r="T1360" s="63">
        <f>SUM(T1320:T1359)</f>
        <v>671</v>
      </c>
      <c r="U1360" s="63"/>
      <c r="V1360" s="63"/>
      <c r="W1360" s="63">
        <f>SUM(W1320:W1359)</f>
        <v>8604</v>
      </c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L1360" s="1"/>
      <c r="AM1360" s="1"/>
      <c r="AN1360" s="63">
        <f>SUM(AN1320:AN1359)</f>
        <v>46</v>
      </c>
      <c r="AO1360" s="1"/>
      <c r="AP1360" s="1"/>
      <c r="AQ1360" s="1"/>
      <c r="AR1360" s="1"/>
      <c r="AT1360" t="str">
        <f t="shared" si="353"/>
        <v>Rhode Island</v>
      </c>
      <c r="AX1360" s="114">
        <v>44</v>
      </c>
      <c r="BB1360" s="114">
        <v>44</v>
      </c>
      <c r="BC1360" t="s">
        <v>711</v>
      </c>
      <c r="BD1360" s="114">
        <v>44</v>
      </c>
      <c r="BE1360" s="1">
        <f>SUM(BE1320:BE1359)</f>
        <v>4362</v>
      </c>
      <c r="BF1360" s="1">
        <f>SUM(BF1320:BF1359)</f>
        <v>1083</v>
      </c>
      <c r="BI1360">
        <v>1545.05</v>
      </c>
      <c r="BJ1360">
        <v>500.12</v>
      </c>
      <c r="BK1360">
        <v>1044.93</v>
      </c>
      <c r="BP1360" s="63">
        <f>SUM(BP1320:BP1359)</f>
        <v>9439</v>
      </c>
      <c r="BR1360" s="63">
        <f>SUM(BR1320:BR1359)</f>
        <v>3374</v>
      </c>
    </row>
    <row r="1361" spans="1:70">
      <c r="B1361" s="8"/>
      <c r="C1361" s="1"/>
      <c r="D1361" s="5"/>
      <c r="E1361" s="5"/>
      <c r="F1361" s="5"/>
      <c r="G1361" s="1"/>
      <c r="J1361" s="2"/>
      <c r="K1361" s="2"/>
      <c r="L1361" s="2"/>
      <c r="M1361" s="2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</row>
    <row r="1362" spans="1:70" hidden="1" outlineLevel="1">
      <c r="A1362" t="s">
        <v>1346</v>
      </c>
      <c r="B1362" s="8" t="s">
        <v>2016</v>
      </c>
      <c r="C1362" s="1">
        <f t="shared" ref="C1362:C1425" si="356">SUM(N1362:AR1362)</f>
        <v>775</v>
      </c>
      <c r="D1362" s="5">
        <f>IF(N1362&gt;0, RANK(N1362,(N1362:P1362,Q1362:AE1362)),0)</f>
        <v>2</v>
      </c>
      <c r="E1362" s="5">
        <f>IF(O1362&gt;0,RANK(O1362,(N1362:P1362,Q1362:AE1362)),0)</f>
        <v>1</v>
      </c>
      <c r="F1362" s="5">
        <f t="shared" ref="F1362:F1425" si="357">IF(P1362&gt;0,RANK(P1362,(N1362:AE1362)),0)</f>
        <v>0</v>
      </c>
      <c r="G1362" s="1">
        <f t="shared" ref="G1362:G1425" si="358">IF(C1362&gt;0,MAX(N1362:P1362)-LARGE(N1362:P1362,2),0)</f>
        <v>13</v>
      </c>
      <c r="H1362" s="2">
        <f t="shared" si="341"/>
        <v>1.6774193548387096E-2</v>
      </c>
      <c r="I1362" s="6"/>
      <c r="J1362" s="2">
        <f t="shared" ref="J1362:J1425" si="359">IF(C1362=0,"-",N1362/C1362)</f>
        <v>0.41806451612903228</v>
      </c>
      <c r="K1362" s="2">
        <f t="shared" ref="K1362:K1425" si="360">IF(C1362=0,"-",O1362/C1362)</f>
        <v>0.43483870967741933</v>
      </c>
      <c r="L1362" s="2">
        <f t="shared" ref="L1362:L1425" si="361">IF(C1362=0,"-",P1362/C1362)</f>
        <v>0</v>
      </c>
      <c r="M1362" s="2">
        <f t="shared" ref="M1362:M1425" si="362">IF(C1362=0,"-",(1-J1362-K1362-L1362))</f>
        <v>0.14709677419354839</v>
      </c>
      <c r="N1362" s="63">
        <v>324</v>
      </c>
      <c r="O1362" s="63">
        <v>337</v>
      </c>
      <c r="P1362" s="63">
        <v>0</v>
      </c>
      <c r="Q1362" s="63">
        <v>47</v>
      </c>
      <c r="R1362" s="63">
        <v>8</v>
      </c>
      <c r="S1362" s="63">
        <v>0</v>
      </c>
      <c r="T1362" s="63">
        <v>1</v>
      </c>
      <c r="U1362" s="63"/>
      <c r="V1362" s="63">
        <v>1</v>
      </c>
      <c r="W1362" s="63">
        <f t="shared" ref="W1362:W1425" si="363">BP1362-P1362-S1362-U1362-SUM(X1362:AR1362)</f>
        <v>57</v>
      </c>
      <c r="X1362" s="63"/>
      <c r="Y1362" s="63"/>
      <c r="Z1362" s="63"/>
      <c r="AA1362" s="63"/>
      <c r="AB1362" s="63"/>
      <c r="AT1362" t="str">
        <f t="shared" si="353"/>
        <v>Addison</v>
      </c>
      <c r="AU1362" t="s">
        <v>1346</v>
      </c>
      <c r="AV1362">
        <v>1</v>
      </c>
      <c r="AX1362" s="114">
        <v>50</v>
      </c>
      <c r="AY1362" s="116">
        <v>1</v>
      </c>
      <c r="AZ1362" s="116">
        <v>5</v>
      </c>
      <c r="BA1362" s="120">
        <v>325</v>
      </c>
      <c r="BB1362" s="120">
        <f t="shared" si="342"/>
        <v>50001</v>
      </c>
      <c r="BC1362" s="8" t="s">
        <v>1472</v>
      </c>
      <c r="BD1362">
        <f t="shared" ref="BD1362:BD1425" si="364">AX1362*100000+BA1362</f>
        <v>5000325</v>
      </c>
      <c r="BE1362" s="1">
        <v>13</v>
      </c>
      <c r="BF1362" s="1">
        <v>0</v>
      </c>
      <c r="BI1362">
        <v>48.97</v>
      </c>
      <c r="BJ1362">
        <v>7.25</v>
      </c>
      <c r="BK1362">
        <v>41.73</v>
      </c>
      <c r="BP1362" s="63">
        <v>57</v>
      </c>
      <c r="BQ1362" s="63"/>
      <c r="BR1362">
        <v>45</v>
      </c>
    </row>
    <row r="1363" spans="1:70" hidden="1" outlineLevel="1">
      <c r="A1363" t="s">
        <v>233</v>
      </c>
      <c r="B1363" s="8" t="s">
        <v>2016</v>
      </c>
      <c r="C1363" s="1">
        <f t="shared" si="356"/>
        <v>450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357"/>
        <v>0</v>
      </c>
      <c r="G1363" s="1">
        <f t="shared" si="358"/>
        <v>24</v>
      </c>
      <c r="H1363" s="2">
        <f t="shared" si="341"/>
        <v>5.3333333333333337E-2</v>
      </c>
      <c r="I1363" s="6"/>
      <c r="J1363" s="2">
        <f t="shared" si="359"/>
        <v>0.46</v>
      </c>
      <c r="K1363" s="2">
        <f t="shared" si="360"/>
        <v>0.40666666666666668</v>
      </c>
      <c r="L1363" s="2">
        <f t="shared" si="361"/>
        <v>0</v>
      </c>
      <c r="M1363" s="2">
        <f t="shared" si="362"/>
        <v>0.13333333333333336</v>
      </c>
      <c r="N1363" s="63">
        <v>207</v>
      </c>
      <c r="O1363" s="63">
        <v>183</v>
      </c>
      <c r="P1363" s="63">
        <v>0</v>
      </c>
      <c r="Q1363" s="63">
        <v>13</v>
      </c>
      <c r="R1363" s="63">
        <v>9</v>
      </c>
      <c r="S1363" s="63">
        <v>0</v>
      </c>
      <c r="T1363" s="63">
        <v>3</v>
      </c>
      <c r="U1363" s="63"/>
      <c r="V1363" s="63">
        <v>3</v>
      </c>
      <c r="W1363" s="63">
        <f t="shared" si="363"/>
        <v>32</v>
      </c>
      <c r="X1363" s="63"/>
      <c r="Y1363" s="63"/>
      <c r="Z1363" s="63"/>
      <c r="AA1363" s="63"/>
      <c r="AB1363" s="63"/>
      <c r="AT1363" t="str">
        <f t="shared" si="353"/>
        <v>Albany</v>
      </c>
      <c r="AU1363" t="s">
        <v>405</v>
      </c>
      <c r="AV1363">
        <v>1</v>
      </c>
      <c r="AX1363" s="114">
        <v>50</v>
      </c>
      <c r="AY1363" s="116">
        <v>19</v>
      </c>
      <c r="AZ1363" s="116">
        <v>5</v>
      </c>
      <c r="BA1363" s="120">
        <v>475</v>
      </c>
      <c r="BB1363" s="120">
        <f t="shared" si="342"/>
        <v>50019</v>
      </c>
      <c r="BC1363" s="8" t="s">
        <v>1472</v>
      </c>
      <c r="BD1363">
        <f t="shared" si="364"/>
        <v>5000475</v>
      </c>
      <c r="BE1363" s="1">
        <v>7</v>
      </c>
      <c r="BF1363" s="1">
        <v>2</v>
      </c>
      <c r="BI1363">
        <v>38.68</v>
      </c>
      <c r="BJ1363">
        <v>0.2</v>
      </c>
      <c r="BK1363">
        <v>38.479999999999997</v>
      </c>
      <c r="BP1363" s="63">
        <v>32</v>
      </c>
      <c r="BQ1363" s="63"/>
      <c r="BR1363">
        <v>31</v>
      </c>
    </row>
    <row r="1364" spans="1:70" hidden="1" outlineLevel="1">
      <c r="A1364" t="s">
        <v>3226</v>
      </c>
      <c r="B1364" s="8" t="s">
        <v>2016</v>
      </c>
      <c r="C1364" s="1">
        <f t="shared" si="356"/>
        <v>888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 t="shared" si="357"/>
        <v>0</v>
      </c>
      <c r="G1364" s="1">
        <f t="shared" si="358"/>
        <v>27</v>
      </c>
      <c r="H1364" s="2">
        <f t="shared" si="341"/>
        <v>3.0405405405405407E-2</v>
      </c>
      <c r="I1364" s="6"/>
      <c r="J1364" s="2">
        <f t="shared" si="359"/>
        <v>0.41891891891891891</v>
      </c>
      <c r="K1364" s="2">
        <f t="shared" si="360"/>
        <v>0.44932432432432434</v>
      </c>
      <c r="L1364" s="2">
        <f t="shared" si="361"/>
        <v>0</v>
      </c>
      <c r="M1364" s="2">
        <f t="shared" si="362"/>
        <v>0.1317567567567568</v>
      </c>
      <c r="N1364" s="63">
        <v>372</v>
      </c>
      <c r="O1364" s="63">
        <v>399</v>
      </c>
      <c r="P1364" s="63">
        <v>0</v>
      </c>
      <c r="Q1364" s="63">
        <v>29</v>
      </c>
      <c r="R1364" s="63">
        <v>8</v>
      </c>
      <c r="S1364" s="63">
        <v>0</v>
      </c>
      <c r="T1364" s="63">
        <v>5</v>
      </c>
      <c r="U1364" s="63"/>
      <c r="V1364" s="63">
        <v>0</v>
      </c>
      <c r="W1364" s="63">
        <f t="shared" si="363"/>
        <v>75</v>
      </c>
      <c r="X1364" s="63"/>
      <c r="Y1364" s="63"/>
      <c r="Z1364" s="63"/>
      <c r="AA1364" s="63"/>
      <c r="AB1364" s="63"/>
      <c r="AT1364" t="str">
        <f t="shared" si="353"/>
        <v>Alburgh</v>
      </c>
      <c r="AU1364" t="s">
        <v>3176</v>
      </c>
      <c r="AV1364">
        <v>1</v>
      </c>
      <c r="AX1364" s="114">
        <v>50</v>
      </c>
      <c r="AY1364" s="116">
        <v>13</v>
      </c>
      <c r="AZ1364" s="116">
        <v>5</v>
      </c>
      <c r="BA1364" s="120">
        <v>700</v>
      </c>
      <c r="BB1364" s="120">
        <f t="shared" si="342"/>
        <v>50013</v>
      </c>
      <c r="BC1364" s="8" t="s">
        <v>1472</v>
      </c>
      <c r="BD1364">
        <f t="shared" si="364"/>
        <v>5000700</v>
      </c>
      <c r="BE1364" s="1">
        <v>18</v>
      </c>
      <c r="BF1364" s="1">
        <v>0</v>
      </c>
      <c r="BI1364">
        <v>48.8</v>
      </c>
      <c r="BJ1364">
        <v>19.5</v>
      </c>
      <c r="BK1364">
        <v>29.3</v>
      </c>
      <c r="BP1364" s="63">
        <v>75</v>
      </c>
      <c r="BQ1364" s="63"/>
      <c r="BR1364">
        <v>71</v>
      </c>
    </row>
    <row r="1365" spans="1:70" hidden="1" outlineLevel="1">
      <c r="A1365" t="s">
        <v>772</v>
      </c>
      <c r="B1365" s="8" t="s">
        <v>2016</v>
      </c>
      <c r="C1365" s="1">
        <f t="shared" si="356"/>
        <v>330</v>
      </c>
      <c r="D1365" s="5">
        <f>IF(N1365&gt;0, RANK(N1365,(N1365:P1365,Q1365:AE1365)),0)</f>
        <v>1</v>
      </c>
      <c r="E1365" s="5">
        <f>IF(O1365&gt;0,RANK(O1365,(N1365:P1365,Q1365:AE1365)),0)</f>
        <v>2</v>
      </c>
      <c r="F1365" s="5">
        <f t="shared" si="357"/>
        <v>6</v>
      </c>
      <c r="G1365" s="1">
        <f t="shared" si="358"/>
        <v>41</v>
      </c>
      <c r="H1365" s="2">
        <f t="shared" si="341"/>
        <v>0.12424242424242424</v>
      </c>
      <c r="I1365" s="6"/>
      <c r="J1365" s="2">
        <f t="shared" si="359"/>
        <v>0.50303030303030305</v>
      </c>
      <c r="K1365" s="2">
        <f t="shared" si="360"/>
        <v>0.37878787878787878</v>
      </c>
      <c r="L1365" s="2">
        <f t="shared" si="361"/>
        <v>3.0303030303030303E-3</v>
      </c>
      <c r="M1365" s="2">
        <f t="shared" si="362"/>
        <v>0.11515151515151513</v>
      </c>
      <c r="N1365" s="63">
        <v>166</v>
      </c>
      <c r="O1365" s="63">
        <v>125</v>
      </c>
      <c r="P1365" s="63">
        <v>1</v>
      </c>
      <c r="Q1365" s="63">
        <v>8</v>
      </c>
      <c r="R1365" s="63">
        <v>4</v>
      </c>
      <c r="S1365" s="63">
        <v>0</v>
      </c>
      <c r="T1365" s="63">
        <v>1</v>
      </c>
      <c r="U1365" s="63"/>
      <c r="V1365" s="63">
        <v>1</v>
      </c>
      <c r="W1365" s="63">
        <f t="shared" si="363"/>
        <v>24</v>
      </c>
      <c r="X1365" s="63"/>
      <c r="Y1365" s="63"/>
      <c r="Z1365" s="63"/>
      <c r="AA1365" s="63"/>
      <c r="AB1365" s="63"/>
      <c r="AT1365" t="str">
        <f t="shared" si="353"/>
        <v>Andover</v>
      </c>
      <c r="AU1365" t="s">
        <v>2282</v>
      </c>
      <c r="AV1365">
        <v>1</v>
      </c>
      <c r="AX1365" s="114">
        <v>50</v>
      </c>
      <c r="AY1365" s="116">
        <v>27</v>
      </c>
      <c r="AZ1365" s="116">
        <v>5</v>
      </c>
      <c r="BA1365" s="120">
        <v>1300</v>
      </c>
      <c r="BB1365" s="120">
        <f t="shared" si="342"/>
        <v>50027</v>
      </c>
      <c r="BC1365" s="8" t="s">
        <v>1472</v>
      </c>
      <c r="BD1365">
        <f t="shared" si="364"/>
        <v>5001300</v>
      </c>
      <c r="BE1365" s="1">
        <v>4</v>
      </c>
      <c r="BF1365" s="1">
        <v>1</v>
      </c>
      <c r="BI1365">
        <v>28.78</v>
      </c>
      <c r="BJ1365">
        <v>0.01</v>
      </c>
      <c r="BK1365">
        <v>28.77</v>
      </c>
      <c r="BP1365" s="63">
        <v>25</v>
      </c>
      <c r="BQ1365" s="63"/>
      <c r="BR1365">
        <v>17</v>
      </c>
    </row>
    <row r="1366" spans="1:70" hidden="1" outlineLevel="1">
      <c r="A1366" t="s">
        <v>1818</v>
      </c>
      <c r="B1366" s="8" t="s">
        <v>2016</v>
      </c>
      <c r="C1366" s="1">
        <f t="shared" si="356"/>
        <v>1268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si="357"/>
        <v>6</v>
      </c>
      <c r="G1366" s="1">
        <f t="shared" si="358"/>
        <v>227</v>
      </c>
      <c r="H1366" s="2">
        <f t="shared" si="341"/>
        <v>0.17902208201892744</v>
      </c>
      <c r="I1366" s="6"/>
      <c r="J1366" s="2">
        <f t="shared" si="359"/>
        <v>0.52208201892744477</v>
      </c>
      <c r="K1366" s="2">
        <f t="shared" si="360"/>
        <v>0.34305993690851733</v>
      </c>
      <c r="L1366" s="2">
        <f t="shared" si="361"/>
        <v>4.7318611987381704E-3</v>
      </c>
      <c r="M1366" s="2">
        <f t="shared" si="362"/>
        <v>0.13012618296529974</v>
      </c>
      <c r="N1366" s="63">
        <v>662</v>
      </c>
      <c r="O1366" s="63">
        <v>435</v>
      </c>
      <c r="P1366" s="63">
        <v>6</v>
      </c>
      <c r="Q1366" s="63">
        <v>28</v>
      </c>
      <c r="R1366" s="63">
        <v>22</v>
      </c>
      <c r="S1366" s="63">
        <v>1</v>
      </c>
      <c r="T1366" s="63">
        <v>4</v>
      </c>
      <c r="U1366" s="63"/>
      <c r="V1366" s="63">
        <v>3</v>
      </c>
      <c r="W1366" s="63">
        <f t="shared" si="363"/>
        <v>107</v>
      </c>
      <c r="X1366" s="63"/>
      <c r="Y1366" s="63"/>
      <c r="Z1366" s="63"/>
      <c r="AA1366" s="63"/>
      <c r="AB1366" s="63"/>
      <c r="AT1366" t="str">
        <f t="shared" si="353"/>
        <v>Arlington</v>
      </c>
      <c r="AU1366" t="s">
        <v>951</v>
      </c>
      <c r="AV1366">
        <v>1</v>
      </c>
      <c r="AX1366" s="114">
        <v>50</v>
      </c>
      <c r="AY1366" s="116">
        <v>3</v>
      </c>
      <c r="AZ1366" s="116">
        <v>5</v>
      </c>
      <c r="BA1366" s="120">
        <v>1450</v>
      </c>
      <c r="BB1366" s="120">
        <f t="shared" si="342"/>
        <v>50003</v>
      </c>
      <c r="BC1366" s="8" t="s">
        <v>1472</v>
      </c>
      <c r="BD1366">
        <f t="shared" si="364"/>
        <v>5001450</v>
      </c>
      <c r="BE1366" s="1">
        <v>2</v>
      </c>
      <c r="BF1366" s="1">
        <v>22</v>
      </c>
      <c r="BI1366">
        <v>42.44</v>
      </c>
      <c r="BJ1366">
        <v>0.02</v>
      </c>
      <c r="BK1366">
        <v>42.42</v>
      </c>
      <c r="BP1366" s="63">
        <v>114</v>
      </c>
      <c r="BQ1366" s="63"/>
      <c r="BR1366">
        <v>94</v>
      </c>
    </row>
    <row r="1367" spans="1:70" hidden="1" outlineLevel="1">
      <c r="A1367" t="s">
        <v>1528</v>
      </c>
      <c r="B1367" s="8" t="s">
        <v>2016</v>
      </c>
      <c r="C1367" s="1">
        <f t="shared" si="356"/>
        <v>166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357"/>
        <v>0</v>
      </c>
      <c r="G1367" s="1">
        <f t="shared" si="358"/>
        <v>8</v>
      </c>
      <c r="H1367" s="2">
        <f t="shared" si="341"/>
        <v>4.8192771084337352E-2</v>
      </c>
      <c r="I1367" s="6"/>
      <c r="J1367" s="2">
        <f t="shared" si="359"/>
        <v>0.41566265060240964</v>
      </c>
      <c r="K1367" s="2">
        <f t="shared" si="360"/>
        <v>0.36746987951807231</v>
      </c>
      <c r="L1367" s="2">
        <f t="shared" si="361"/>
        <v>0</v>
      </c>
      <c r="M1367" s="2">
        <f t="shared" si="362"/>
        <v>0.21686746987951799</v>
      </c>
      <c r="N1367" s="63">
        <v>69</v>
      </c>
      <c r="O1367" s="63">
        <v>61</v>
      </c>
      <c r="P1367" s="63">
        <v>0</v>
      </c>
      <c r="Q1367" s="63">
        <v>6</v>
      </c>
      <c r="R1367" s="63">
        <v>8</v>
      </c>
      <c r="S1367" s="63">
        <v>0</v>
      </c>
      <c r="T1367" s="63">
        <v>1</v>
      </c>
      <c r="U1367" s="63"/>
      <c r="V1367" s="63">
        <v>0</v>
      </c>
      <c r="W1367" s="63">
        <f t="shared" si="363"/>
        <v>21</v>
      </c>
      <c r="X1367" s="63"/>
      <c r="Y1367" s="63"/>
      <c r="Z1367" s="63"/>
      <c r="AA1367" s="63"/>
      <c r="AB1367" s="63"/>
      <c r="AT1367" t="str">
        <f t="shared" si="353"/>
        <v>Athens</v>
      </c>
      <c r="AU1367" t="s">
        <v>2129</v>
      </c>
      <c r="AV1367">
        <v>1</v>
      </c>
      <c r="AX1367" s="114">
        <v>50</v>
      </c>
      <c r="AY1367" s="116">
        <v>25</v>
      </c>
      <c r="AZ1367" s="116">
        <v>5</v>
      </c>
      <c r="BA1367" s="120">
        <v>1900</v>
      </c>
      <c r="BB1367" s="120">
        <f t="shared" si="342"/>
        <v>50025</v>
      </c>
      <c r="BC1367" s="8" t="s">
        <v>1472</v>
      </c>
      <c r="BD1367">
        <f t="shared" si="364"/>
        <v>5001900</v>
      </c>
      <c r="BE1367" s="1">
        <v>1</v>
      </c>
      <c r="BF1367" s="1">
        <v>0</v>
      </c>
      <c r="BI1367">
        <v>13.08</v>
      </c>
      <c r="BJ1367">
        <v>0.04</v>
      </c>
      <c r="BK1367">
        <v>13.04</v>
      </c>
      <c r="BP1367" s="63">
        <v>21</v>
      </c>
      <c r="BQ1367" s="63"/>
      <c r="BR1367">
        <v>0</v>
      </c>
    </row>
    <row r="1368" spans="1:70" hidden="1" outlineLevel="1">
      <c r="A1368" t="s">
        <v>10</v>
      </c>
      <c r="B1368" s="8" t="s">
        <v>2016</v>
      </c>
      <c r="C1368" s="1">
        <f t="shared" si="356"/>
        <v>597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357"/>
        <v>7</v>
      </c>
      <c r="G1368" s="1">
        <f t="shared" si="358"/>
        <v>86</v>
      </c>
      <c r="H1368" s="2">
        <f t="shared" si="341"/>
        <v>0.1440536013400335</v>
      </c>
      <c r="I1368" s="6"/>
      <c r="J1368" s="2">
        <f t="shared" si="359"/>
        <v>0.49413735343383586</v>
      </c>
      <c r="K1368" s="2">
        <f t="shared" si="360"/>
        <v>0.35008375209380233</v>
      </c>
      <c r="L1368" s="2">
        <f t="shared" si="361"/>
        <v>1.6750418760469012E-3</v>
      </c>
      <c r="M1368" s="2">
        <f t="shared" si="362"/>
        <v>0.15410385259631498</v>
      </c>
      <c r="N1368" s="63">
        <v>295</v>
      </c>
      <c r="O1368" s="63">
        <v>209</v>
      </c>
      <c r="P1368" s="63">
        <v>1</v>
      </c>
      <c r="Q1368" s="63">
        <v>22</v>
      </c>
      <c r="R1368" s="63">
        <v>10</v>
      </c>
      <c r="S1368" s="63">
        <v>0</v>
      </c>
      <c r="T1368" s="63">
        <v>4</v>
      </c>
      <c r="U1368" s="63"/>
      <c r="V1368" s="63">
        <v>1</v>
      </c>
      <c r="W1368" s="63">
        <f t="shared" si="363"/>
        <v>55</v>
      </c>
      <c r="X1368" s="63"/>
      <c r="Y1368" s="63"/>
      <c r="Z1368" s="63"/>
      <c r="AA1368" s="63"/>
      <c r="AB1368" s="63"/>
      <c r="AT1368" t="str">
        <f t="shared" si="353"/>
        <v>Bakersfield</v>
      </c>
      <c r="AU1368" t="s">
        <v>1138</v>
      </c>
      <c r="AV1368">
        <v>1</v>
      </c>
      <c r="AX1368" s="114">
        <v>50</v>
      </c>
      <c r="AY1368" s="116">
        <v>11</v>
      </c>
      <c r="AZ1368" s="116">
        <v>10</v>
      </c>
      <c r="BA1368" s="120">
        <v>2500</v>
      </c>
      <c r="BB1368" s="120">
        <f t="shared" si="342"/>
        <v>50011</v>
      </c>
      <c r="BC1368" s="8" t="s">
        <v>1472</v>
      </c>
      <c r="BD1368">
        <f t="shared" si="364"/>
        <v>5002500</v>
      </c>
      <c r="BE1368" s="1">
        <v>7</v>
      </c>
      <c r="BF1368" s="1">
        <v>1</v>
      </c>
      <c r="BI1368">
        <v>44.62</v>
      </c>
      <c r="BJ1368">
        <v>0.03</v>
      </c>
      <c r="BK1368">
        <v>44.59</v>
      </c>
      <c r="BP1368" s="63">
        <v>56</v>
      </c>
      <c r="BQ1368" s="63"/>
      <c r="BR1368">
        <v>48</v>
      </c>
    </row>
    <row r="1369" spans="1:70" hidden="1" outlineLevel="1">
      <c r="A1369" t="s">
        <v>1939</v>
      </c>
      <c r="B1369" s="8" t="s">
        <v>2016</v>
      </c>
      <c r="C1369" s="1">
        <f t="shared" si="356"/>
        <v>126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 t="shared" si="357"/>
        <v>0</v>
      </c>
      <c r="G1369" s="1">
        <f t="shared" si="358"/>
        <v>10</v>
      </c>
      <c r="H1369" s="2">
        <f t="shared" si="341"/>
        <v>7.9365079365079361E-2</v>
      </c>
      <c r="I1369" s="6"/>
      <c r="J1369" s="2">
        <f t="shared" si="359"/>
        <v>0.3968253968253968</v>
      </c>
      <c r="K1369" s="2">
        <f t="shared" si="360"/>
        <v>0.47619047619047616</v>
      </c>
      <c r="L1369" s="2">
        <f t="shared" si="361"/>
        <v>0</v>
      </c>
      <c r="M1369" s="2">
        <f t="shared" si="362"/>
        <v>0.12698412698412709</v>
      </c>
      <c r="N1369" s="63">
        <v>50</v>
      </c>
      <c r="O1369" s="63">
        <v>60</v>
      </c>
      <c r="P1369" s="63">
        <v>0</v>
      </c>
      <c r="Q1369" s="63">
        <v>9</v>
      </c>
      <c r="R1369" s="63">
        <v>2</v>
      </c>
      <c r="S1369" s="63">
        <v>0</v>
      </c>
      <c r="T1369" s="63">
        <v>2</v>
      </c>
      <c r="U1369" s="63"/>
      <c r="V1369" s="63">
        <v>0</v>
      </c>
      <c r="W1369" s="63">
        <f t="shared" si="363"/>
        <v>3</v>
      </c>
      <c r="X1369" s="63"/>
      <c r="Y1369" s="63"/>
      <c r="Z1369" s="63"/>
      <c r="AA1369" s="63"/>
      <c r="AB1369" s="63"/>
      <c r="AT1369" t="str">
        <f t="shared" si="353"/>
        <v>Baltimore</v>
      </c>
      <c r="AU1369" t="s">
        <v>2282</v>
      </c>
      <c r="AV1369">
        <v>1</v>
      </c>
      <c r="AX1369" s="114">
        <v>50</v>
      </c>
      <c r="AY1369" s="116">
        <v>27</v>
      </c>
      <c r="AZ1369" s="116">
        <v>11</v>
      </c>
      <c r="BA1369" s="120">
        <v>2575</v>
      </c>
      <c r="BB1369" s="120">
        <f t="shared" si="342"/>
        <v>50027</v>
      </c>
      <c r="BC1369" s="8" t="s">
        <v>1472</v>
      </c>
      <c r="BD1369">
        <f t="shared" si="364"/>
        <v>5002575</v>
      </c>
      <c r="BE1369" s="1">
        <v>1</v>
      </c>
      <c r="BF1369" s="1">
        <v>2</v>
      </c>
      <c r="BI1369">
        <v>4.67</v>
      </c>
      <c r="BJ1369">
        <v>0</v>
      </c>
      <c r="BK1369">
        <v>4.67</v>
      </c>
      <c r="BP1369" s="63">
        <v>3</v>
      </c>
      <c r="BQ1369" s="63"/>
      <c r="BR1369">
        <v>2</v>
      </c>
    </row>
    <row r="1370" spans="1:70" hidden="1" outlineLevel="1">
      <c r="A1370" t="s">
        <v>42</v>
      </c>
      <c r="B1370" s="8" t="s">
        <v>2016</v>
      </c>
      <c r="C1370" s="1">
        <f t="shared" si="356"/>
        <v>569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357"/>
        <v>0</v>
      </c>
      <c r="G1370" s="1">
        <f t="shared" si="358"/>
        <v>165</v>
      </c>
      <c r="H1370" s="2">
        <f t="shared" si="341"/>
        <v>0.28998242530755713</v>
      </c>
      <c r="I1370" s="6"/>
      <c r="J1370" s="2">
        <f t="shared" si="359"/>
        <v>0.59578207381370829</v>
      </c>
      <c r="K1370" s="2">
        <f t="shared" si="360"/>
        <v>0.30579964850615116</v>
      </c>
      <c r="L1370" s="2">
        <f t="shared" si="361"/>
        <v>0</v>
      </c>
      <c r="M1370" s="2">
        <f t="shared" si="362"/>
        <v>9.8418277680140553E-2</v>
      </c>
      <c r="N1370" s="63">
        <v>339</v>
      </c>
      <c r="O1370" s="63">
        <v>174</v>
      </c>
      <c r="P1370" s="63">
        <v>0</v>
      </c>
      <c r="Q1370" s="63">
        <v>13</v>
      </c>
      <c r="R1370" s="63">
        <v>11</v>
      </c>
      <c r="S1370" s="63">
        <v>0</v>
      </c>
      <c r="T1370" s="63">
        <v>2</v>
      </c>
      <c r="U1370" s="63"/>
      <c r="V1370" s="63">
        <v>0</v>
      </c>
      <c r="W1370" s="63">
        <f t="shared" si="363"/>
        <v>30</v>
      </c>
      <c r="X1370" s="63"/>
      <c r="Y1370" s="63"/>
      <c r="Z1370" s="63"/>
      <c r="AA1370" s="63"/>
      <c r="AB1370" s="63"/>
      <c r="AT1370" t="str">
        <f t="shared" si="353"/>
        <v>Barnard</v>
      </c>
      <c r="AU1370" t="s">
        <v>2282</v>
      </c>
      <c r="AV1370">
        <v>1</v>
      </c>
      <c r="AX1370" s="114">
        <v>50</v>
      </c>
      <c r="AY1370" s="116">
        <v>27</v>
      </c>
      <c r="AZ1370" s="116">
        <v>15</v>
      </c>
      <c r="BA1370" s="120">
        <v>2725</v>
      </c>
      <c r="BB1370" s="120">
        <f t="shared" si="342"/>
        <v>50027</v>
      </c>
      <c r="BC1370" s="8" t="s">
        <v>1472</v>
      </c>
      <c r="BD1370">
        <f t="shared" si="364"/>
        <v>5002725</v>
      </c>
      <c r="BE1370" s="1">
        <v>6</v>
      </c>
      <c r="BF1370" s="1">
        <v>1</v>
      </c>
      <c r="BI1370">
        <v>48.89</v>
      </c>
      <c r="BJ1370">
        <v>0.19</v>
      </c>
      <c r="BK1370">
        <v>48.7</v>
      </c>
      <c r="BP1370" s="63">
        <v>30</v>
      </c>
      <c r="BQ1370" s="63"/>
      <c r="BR1370">
        <v>25</v>
      </c>
    </row>
    <row r="1371" spans="1:70" hidden="1" outlineLevel="1">
      <c r="A1371" t="s">
        <v>47</v>
      </c>
      <c r="B1371" s="8" t="s">
        <v>2016</v>
      </c>
      <c r="C1371" s="1">
        <f t="shared" si="356"/>
        <v>960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357"/>
        <v>0</v>
      </c>
      <c r="G1371" s="1">
        <f t="shared" si="358"/>
        <v>130</v>
      </c>
      <c r="H1371" s="2">
        <f t="shared" si="341"/>
        <v>0.13541666666666666</v>
      </c>
      <c r="I1371" s="6"/>
      <c r="J1371" s="2">
        <f t="shared" si="359"/>
        <v>0.50520833333333337</v>
      </c>
      <c r="K1371" s="2">
        <f t="shared" si="360"/>
        <v>0.36979166666666669</v>
      </c>
      <c r="L1371" s="2">
        <f t="shared" si="361"/>
        <v>0</v>
      </c>
      <c r="M1371" s="2">
        <f t="shared" si="362"/>
        <v>0.12499999999999994</v>
      </c>
      <c r="N1371" s="63">
        <v>485</v>
      </c>
      <c r="O1371" s="63">
        <v>355</v>
      </c>
      <c r="P1371" s="63">
        <v>0</v>
      </c>
      <c r="Q1371" s="63">
        <v>46</v>
      </c>
      <c r="R1371" s="63">
        <v>21</v>
      </c>
      <c r="S1371" s="63">
        <v>0</v>
      </c>
      <c r="T1371" s="63">
        <v>5</v>
      </c>
      <c r="U1371" s="63"/>
      <c r="V1371" s="63">
        <v>0</v>
      </c>
      <c r="W1371" s="63">
        <f t="shared" si="363"/>
        <v>48</v>
      </c>
      <c r="X1371" s="63"/>
      <c r="Y1371" s="63"/>
      <c r="Z1371" s="63"/>
      <c r="AA1371" s="63"/>
      <c r="AB1371" s="63"/>
      <c r="AT1371" t="str">
        <f t="shared" si="353"/>
        <v>Barnet</v>
      </c>
      <c r="AU1371" t="s">
        <v>681</v>
      </c>
      <c r="AV1371">
        <v>1</v>
      </c>
      <c r="AX1371" s="114">
        <v>50</v>
      </c>
      <c r="AY1371" s="116">
        <v>5</v>
      </c>
      <c r="AZ1371" s="116">
        <v>5</v>
      </c>
      <c r="BA1371" s="120">
        <v>2875</v>
      </c>
      <c r="BB1371" s="120">
        <f t="shared" si="342"/>
        <v>50005</v>
      </c>
      <c r="BC1371" s="8" t="s">
        <v>1472</v>
      </c>
      <c r="BD1371">
        <f t="shared" si="364"/>
        <v>5002875</v>
      </c>
      <c r="BE1371" s="1">
        <v>13</v>
      </c>
      <c r="BF1371" s="1">
        <v>0</v>
      </c>
      <c r="BI1371">
        <v>43.57</v>
      </c>
      <c r="BJ1371">
        <v>1.18</v>
      </c>
      <c r="BK1371">
        <v>42.39</v>
      </c>
      <c r="BP1371" s="63">
        <v>48</v>
      </c>
      <c r="BQ1371" s="63"/>
      <c r="BR1371">
        <v>37</v>
      </c>
    </row>
    <row r="1372" spans="1:70" hidden="1" outlineLevel="1">
      <c r="A1372" t="s">
        <v>921</v>
      </c>
      <c r="B1372" s="8" t="s">
        <v>2016</v>
      </c>
      <c r="C1372" s="1">
        <f t="shared" si="356"/>
        <v>3216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357"/>
        <v>7</v>
      </c>
      <c r="G1372" s="1">
        <f t="shared" si="358"/>
        <v>562</v>
      </c>
      <c r="H1372" s="2">
        <f t="shared" si="341"/>
        <v>0.17475124378109452</v>
      </c>
      <c r="I1372" s="6"/>
      <c r="J1372" s="2">
        <f t="shared" si="359"/>
        <v>0.51399253731343286</v>
      </c>
      <c r="K1372" s="2">
        <f t="shared" si="360"/>
        <v>0.33924129353233828</v>
      </c>
      <c r="L1372" s="2">
        <f t="shared" si="361"/>
        <v>1.5547263681592041E-3</v>
      </c>
      <c r="M1372" s="2">
        <f t="shared" si="362"/>
        <v>0.14521144278606965</v>
      </c>
      <c r="N1372" s="63">
        <v>1653</v>
      </c>
      <c r="O1372" s="63">
        <v>1091</v>
      </c>
      <c r="P1372" s="63">
        <v>5</v>
      </c>
      <c r="Q1372" s="63">
        <v>109</v>
      </c>
      <c r="R1372" s="63">
        <v>66</v>
      </c>
      <c r="S1372" s="63">
        <v>0</v>
      </c>
      <c r="T1372" s="63">
        <v>21</v>
      </c>
      <c r="U1372" s="63"/>
      <c r="V1372" s="63">
        <v>2</v>
      </c>
      <c r="W1372" s="63">
        <f t="shared" si="363"/>
        <v>269</v>
      </c>
      <c r="X1372" s="63"/>
      <c r="Y1372" s="63"/>
      <c r="Z1372" s="63"/>
      <c r="AA1372" s="63"/>
      <c r="AB1372" s="63"/>
      <c r="AT1372" t="str">
        <f t="shared" si="353"/>
        <v>Barre</v>
      </c>
      <c r="AU1372" t="s">
        <v>692</v>
      </c>
      <c r="AV1372">
        <v>1</v>
      </c>
      <c r="AX1372" s="114">
        <v>50</v>
      </c>
      <c r="AY1372" s="116">
        <v>23</v>
      </c>
      <c r="AZ1372" s="116">
        <v>5</v>
      </c>
      <c r="BA1372" s="120">
        <v>3175</v>
      </c>
      <c r="BB1372" s="120">
        <f t="shared" si="342"/>
        <v>50023</v>
      </c>
      <c r="BC1372" s="8" t="s">
        <v>1249</v>
      </c>
      <c r="BD1372">
        <f t="shared" si="364"/>
        <v>5003175</v>
      </c>
      <c r="BE1372" s="1">
        <v>74</v>
      </c>
      <c r="BF1372" s="1">
        <v>0</v>
      </c>
      <c r="BI1372">
        <v>4.0199999999999996</v>
      </c>
      <c r="BJ1372">
        <v>0</v>
      </c>
      <c r="BK1372">
        <v>4.0199999999999996</v>
      </c>
      <c r="BP1372" s="63">
        <v>274</v>
      </c>
      <c r="BQ1372" s="63"/>
      <c r="BR1372">
        <v>232</v>
      </c>
    </row>
    <row r="1373" spans="1:70" hidden="1" outlineLevel="1">
      <c r="A1373" t="s">
        <v>921</v>
      </c>
      <c r="B1373" s="8" t="s">
        <v>2016</v>
      </c>
      <c r="C1373" s="1">
        <f t="shared" si="356"/>
        <v>4168</v>
      </c>
      <c r="D1373" s="5">
        <f>IF(N1373&gt;0, RANK(N1373,(N1373:P1373,Q1373:AE1373)),0)</f>
        <v>2</v>
      </c>
      <c r="E1373" s="5">
        <f>IF(O1373&gt;0,RANK(O1373,(N1373:P1373,Q1373:AE1373)),0)</f>
        <v>1</v>
      </c>
      <c r="F1373" s="5">
        <f t="shared" si="357"/>
        <v>7</v>
      </c>
      <c r="G1373" s="1">
        <f t="shared" si="358"/>
        <v>102</v>
      </c>
      <c r="H1373" s="2">
        <f t="shared" si="341"/>
        <v>2.4472168905950095E-2</v>
      </c>
      <c r="I1373" s="6"/>
      <c r="J1373" s="2">
        <f t="shared" si="359"/>
        <v>0.42226487523992323</v>
      </c>
      <c r="K1373" s="2">
        <f t="shared" si="360"/>
        <v>0.44673704414587334</v>
      </c>
      <c r="L1373" s="2">
        <f t="shared" si="361"/>
        <v>3.5988483685220731E-3</v>
      </c>
      <c r="M1373" s="2">
        <f t="shared" si="362"/>
        <v>0.12739923224568142</v>
      </c>
      <c r="N1373" s="63">
        <v>1760</v>
      </c>
      <c r="O1373" s="63">
        <v>1862</v>
      </c>
      <c r="P1373" s="63">
        <v>15</v>
      </c>
      <c r="Q1373" s="63">
        <v>139</v>
      </c>
      <c r="R1373" s="63">
        <v>55</v>
      </c>
      <c r="S1373" s="63">
        <v>0</v>
      </c>
      <c r="T1373" s="63">
        <v>22</v>
      </c>
      <c r="U1373" s="63"/>
      <c r="V1373" s="63">
        <v>6</v>
      </c>
      <c r="W1373" s="63">
        <f t="shared" si="363"/>
        <v>309</v>
      </c>
      <c r="X1373" s="63"/>
      <c r="Y1373" s="63"/>
      <c r="Z1373" s="63"/>
      <c r="AA1373" s="63"/>
      <c r="AB1373" s="63"/>
      <c r="AT1373" t="str">
        <f t="shared" si="353"/>
        <v>Barre</v>
      </c>
      <c r="AU1373" t="s">
        <v>692</v>
      </c>
      <c r="AV1373">
        <v>1</v>
      </c>
      <c r="AX1373" s="114">
        <v>50</v>
      </c>
      <c r="AY1373" s="116">
        <v>23</v>
      </c>
      <c r="AZ1373" s="116">
        <v>10</v>
      </c>
      <c r="BA1373" s="120">
        <v>3250</v>
      </c>
      <c r="BB1373" s="120">
        <f t="shared" si="342"/>
        <v>50023</v>
      </c>
      <c r="BC1373" s="8" t="s">
        <v>1472</v>
      </c>
      <c r="BD1373">
        <f t="shared" si="364"/>
        <v>5003250</v>
      </c>
      <c r="BE1373" s="1">
        <v>121</v>
      </c>
      <c r="BF1373" s="1">
        <v>1</v>
      </c>
      <c r="BI1373">
        <v>30.69</v>
      </c>
      <c r="BJ1373">
        <v>0.05</v>
      </c>
      <c r="BK1373">
        <v>30.64</v>
      </c>
      <c r="BP1373" s="63">
        <v>324</v>
      </c>
      <c r="BQ1373" s="63"/>
      <c r="BR1373">
        <v>258</v>
      </c>
    </row>
    <row r="1374" spans="1:70" hidden="1" outlineLevel="1">
      <c r="A1374" t="s">
        <v>545</v>
      </c>
      <c r="B1374" s="8" t="s">
        <v>2016</v>
      </c>
      <c r="C1374" s="1">
        <f t="shared" si="356"/>
        <v>1069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357"/>
        <v>0</v>
      </c>
      <c r="G1374" s="1">
        <f t="shared" si="358"/>
        <v>77</v>
      </c>
      <c r="H1374" s="2">
        <f t="shared" si="341"/>
        <v>7.2029934518241343E-2</v>
      </c>
      <c r="I1374" s="6"/>
      <c r="J1374" s="2">
        <f t="shared" si="359"/>
        <v>0.46959775491113193</v>
      </c>
      <c r="K1374" s="2">
        <f t="shared" si="360"/>
        <v>0.39756782039289057</v>
      </c>
      <c r="L1374" s="2">
        <f t="shared" si="361"/>
        <v>0</v>
      </c>
      <c r="M1374" s="2">
        <f t="shared" si="362"/>
        <v>0.13283442469597756</v>
      </c>
      <c r="N1374" s="63">
        <v>502</v>
      </c>
      <c r="O1374" s="63">
        <v>425</v>
      </c>
      <c r="P1374" s="63">
        <v>0</v>
      </c>
      <c r="Q1374" s="63">
        <v>32</v>
      </c>
      <c r="R1374" s="63">
        <v>5</v>
      </c>
      <c r="S1374" s="63">
        <v>0</v>
      </c>
      <c r="T1374" s="63">
        <v>4</v>
      </c>
      <c r="U1374" s="63"/>
      <c r="V1374" s="63">
        <v>1</v>
      </c>
      <c r="W1374" s="63">
        <f t="shared" si="363"/>
        <v>100</v>
      </c>
      <c r="X1374" s="63"/>
      <c r="Y1374" s="63"/>
      <c r="Z1374" s="63"/>
      <c r="AA1374" s="63"/>
      <c r="AB1374" s="63"/>
      <c r="AT1374" t="str">
        <f t="shared" si="353"/>
        <v>Barton</v>
      </c>
      <c r="AU1374" t="s">
        <v>405</v>
      </c>
      <c r="AV1374">
        <v>1</v>
      </c>
      <c r="AX1374" s="114">
        <v>50</v>
      </c>
      <c r="AY1374" s="116">
        <v>19</v>
      </c>
      <c r="AZ1374" s="116">
        <v>10</v>
      </c>
      <c r="BA1374" s="120">
        <v>3550</v>
      </c>
      <c r="BB1374" s="120">
        <f t="shared" si="342"/>
        <v>50019</v>
      </c>
      <c r="BC1374" s="8" t="s">
        <v>1472</v>
      </c>
      <c r="BD1374">
        <f t="shared" si="364"/>
        <v>5003550</v>
      </c>
      <c r="BE1374" s="1">
        <v>18</v>
      </c>
      <c r="BF1374" s="1">
        <v>3</v>
      </c>
      <c r="BI1374">
        <v>44.91</v>
      </c>
      <c r="BJ1374">
        <v>1.26</v>
      </c>
      <c r="BK1374">
        <v>43.65</v>
      </c>
      <c r="BP1374" s="63">
        <v>100</v>
      </c>
      <c r="BQ1374" s="63"/>
      <c r="BR1374">
        <v>80</v>
      </c>
    </row>
    <row r="1375" spans="1:70" hidden="1" outlineLevel="1">
      <c r="A1375" t="s">
        <v>744</v>
      </c>
      <c r="B1375" s="8" t="s">
        <v>2016</v>
      </c>
      <c r="C1375" s="1">
        <f t="shared" si="356"/>
        <v>158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 t="shared" si="357"/>
        <v>0</v>
      </c>
      <c r="G1375" s="1">
        <f t="shared" si="358"/>
        <v>32</v>
      </c>
      <c r="H1375" s="2">
        <f t="shared" si="341"/>
        <v>0.20253164556962025</v>
      </c>
      <c r="I1375" s="6"/>
      <c r="J1375" s="2">
        <f t="shared" si="359"/>
        <v>0.33544303797468356</v>
      </c>
      <c r="K1375" s="2">
        <f t="shared" si="360"/>
        <v>0.53797468354430378</v>
      </c>
      <c r="L1375" s="2">
        <f t="shared" si="361"/>
        <v>0</v>
      </c>
      <c r="M1375" s="2">
        <f t="shared" si="362"/>
        <v>0.12658227848101267</v>
      </c>
      <c r="N1375" s="63">
        <v>53</v>
      </c>
      <c r="O1375" s="63">
        <v>85</v>
      </c>
      <c r="P1375" s="63">
        <v>0</v>
      </c>
      <c r="Q1375" s="63">
        <v>7</v>
      </c>
      <c r="R1375" s="63">
        <v>1</v>
      </c>
      <c r="S1375" s="63">
        <v>0</v>
      </c>
      <c r="T1375" s="63">
        <v>0</v>
      </c>
      <c r="U1375" s="63"/>
      <c r="V1375" s="63">
        <v>0</v>
      </c>
      <c r="W1375" s="63">
        <f t="shared" si="363"/>
        <v>12</v>
      </c>
      <c r="X1375" s="63"/>
      <c r="Y1375" s="63"/>
      <c r="Z1375" s="63"/>
      <c r="AA1375" s="63"/>
      <c r="AB1375" s="63"/>
      <c r="AT1375" t="str">
        <f t="shared" si="353"/>
        <v>Belvidere</v>
      </c>
      <c r="AU1375" t="s">
        <v>2768</v>
      </c>
      <c r="AV1375">
        <v>1</v>
      </c>
      <c r="AX1375" s="114">
        <v>50</v>
      </c>
      <c r="AY1375" s="116">
        <v>15</v>
      </c>
      <c r="AZ1375" s="116">
        <v>5</v>
      </c>
      <c r="BA1375" s="120">
        <v>4375</v>
      </c>
      <c r="BB1375" s="120">
        <f t="shared" si="342"/>
        <v>50015</v>
      </c>
      <c r="BC1375" s="8" t="s">
        <v>1472</v>
      </c>
      <c r="BD1375">
        <f t="shared" si="364"/>
        <v>5004375</v>
      </c>
      <c r="BE1375" s="1">
        <v>3</v>
      </c>
      <c r="BF1375" s="1">
        <v>1</v>
      </c>
      <c r="BI1375">
        <v>32.14</v>
      </c>
      <c r="BJ1375">
        <v>0</v>
      </c>
      <c r="BK1375">
        <v>32.14</v>
      </c>
      <c r="BP1375" s="63">
        <v>12</v>
      </c>
      <c r="BQ1375" s="63"/>
      <c r="BR1375">
        <v>0</v>
      </c>
    </row>
    <row r="1376" spans="1:70" hidden="1" outlineLevel="1">
      <c r="A1376" t="s">
        <v>951</v>
      </c>
      <c r="B1376" s="8" t="s">
        <v>2016</v>
      </c>
      <c r="C1376" s="1">
        <f t="shared" si="356"/>
        <v>6025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357"/>
        <v>8</v>
      </c>
      <c r="G1376" s="1">
        <f t="shared" si="358"/>
        <v>1412</v>
      </c>
      <c r="H1376" s="2">
        <f t="shared" si="341"/>
        <v>0.23435684647302904</v>
      </c>
      <c r="I1376" s="6"/>
      <c r="J1376" s="2">
        <f t="shared" si="359"/>
        <v>0.55784232365145225</v>
      </c>
      <c r="K1376" s="2">
        <f t="shared" si="360"/>
        <v>0.32348547717842324</v>
      </c>
      <c r="L1376" s="2">
        <f t="shared" si="361"/>
        <v>9.9585062240663898E-4</v>
      </c>
      <c r="M1376" s="2">
        <f t="shared" si="362"/>
        <v>0.11767634854771787</v>
      </c>
      <c r="N1376" s="63">
        <v>3361</v>
      </c>
      <c r="O1376" s="63">
        <v>1949</v>
      </c>
      <c r="P1376" s="63">
        <v>6</v>
      </c>
      <c r="Q1376" s="63">
        <v>155</v>
      </c>
      <c r="R1376" s="63">
        <v>147</v>
      </c>
      <c r="S1376" s="63">
        <v>0</v>
      </c>
      <c r="T1376" s="63">
        <v>22</v>
      </c>
      <c r="U1376" s="63"/>
      <c r="V1376" s="63">
        <v>8</v>
      </c>
      <c r="W1376" s="63">
        <f t="shared" si="363"/>
        <v>376</v>
      </c>
      <c r="X1376" s="63"/>
      <c r="Y1376" s="63"/>
      <c r="Z1376" s="63"/>
      <c r="AA1376" s="63"/>
      <c r="AB1376" s="63"/>
      <c r="AN1376">
        <v>1</v>
      </c>
      <c r="AT1376" t="str">
        <f t="shared" si="353"/>
        <v>Bennington</v>
      </c>
      <c r="AU1376" t="s">
        <v>951</v>
      </c>
      <c r="AV1376">
        <v>1</v>
      </c>
      <c r="AX1376" s="114">
        <v>50</v>
      </c>
      <c r="AY1376" s="116">
        <v>3</v>
      </c>
      <c r="AZ1376" s="116">
        <v>10</v>
      </c>
      <c r="BA1376" s="120">
        <v>4825</v>
      </c>
      <c r="BB1376" s="120">
        <f t="shared" si="342"/>
        <v>50003</v>
      </c>
      <c r="BC1376" s="8" t="s">
        <v>1472</v>
      </c>
      <c r="BD1376">
        <f t="shared" si="364"/>
        <v>5004825</v>
      </c>
      <c r="BE1376" s="1">
        <v>146</v>
      </c>
      <c r="BF1376" s="1">
        <v>0</v>
      </c>
      <c r="BI1376">
        <v>42.49</v>
      </c>
      <c r="BJ1376">
        <v>0.06</v>
      </c>
      <c r="BK1376">
        <v>42.43</v>
      </c>
      <c r="BP1376" s="63">
        <v>383</v>
      </c>
      <c r="BQ1376" s="63"/>
      <c r="BR1376">
        <v>330</v>
      </c>
    </row>
    <row r="1377" spans="1:70" hidden="1" outlineLevel="1">
      <c r="A1377" t="s">
        <v>2800</v>
      </c>
      <c r="B1377" s="8" t="s">
        <v>2016</v>
      </c>
      <c r="C1377" s="1">
        <f t="shared" si="356"/>
        <v>508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 t="shared" si="357"/>
        <v>8</v>
      </c>
      <c r="G1377" s="1">
        <f t="shared" si="358"/>
        <v>16</v>
      </c>
      <c r="H1377" s="2">
        <f t="shared" ref="H1377:H1440" si="365">IF(C1377&gt;0,G1377/C1377,0)</f>
        <v>3.1496062992125984E-2</v>
      </c>
      <c r="I1377" s="6"/>
      <c r="J1377" s="2">
        <f t="shared" si="359"/>
        <v>0.42519685039370081</v>
      </c>
      <c r="K1377" s="2">
        <f t="shared" si="360"/>
        <v>0.45669291338582679</v>
      </c>
      <c r="L1377" s="2">
        <f t="shared" si="361"/>
        <v>1.968503937007874E-3</v>
      </c>
      <c r="M1377" s="2">
        <f t="shared" si="362"/>
        <v>0.11614173228346453</v>
      </c>
      <c r="N1377" s="63">
        <v>216</v>
      </c>
      <c r="O1377" s="63">
        <v>232</v>
      </c>
      <c r="P1377" s="63">
        <v>1</v>
      </c>
      <c r="Q1377" s="63">
        <v>23</v>
      </c>
      <c r="R1377" s="63">
        <v>10</v>
      </c>
      <c r="S1377" s="63">
        <v>1</v>
      </c>
      <c r="T1377" s="63">
        <v>3</v>
      </c>
      <c r="U1377" s="63"/>
      <c r="V1377" s="63">
        <v>2</v>
      </c>
      <c r="W1377" s="63">
        <f t="shared" si="363"/>
        <v>20</v>
      </c>
      <c r="X1377" s="63"/>
      <c r="Y1377" s="63"/>
      <c r="Z1377" s="63"/>
      <c r="AA1377" s="63"/>
      <c r="AB1377" s="63"/>
      <c r="AT1377" t="str">
        <f t="shared" si="353"/>
        <v>Benson</v>
      </c>
      <c r="AU1377" t="s">
        <v>589</v>
      </c>
      <c r="AV1377">
        <v>1</v>
      </c>
      <c r="AX1377" s="114">
        <v>50</v>
      </c>
      <c r="AY1377" s="116">
        <v>21</v>
      </c>
      <c r="AZ1377" s="116">
        <v>5</v>
      </c>
      <c r="BA1377" s="120">
        <v>5200</v>
      </c>
      <c r="BB1377" s="120">
        <f t="shared" si="342"/>
        <v>50021</v>
      </c>
      <c r="BC1377" s="8" t="s">
        <v>1472</v>
      </c>
      <c r="BD1377">
        <f t="shared" si="364"/>
        <v>5005200</v>
      </c>
      <c r="BE1377" s="1">
        <v>3</v>
      </c>
      <c r="BF1377" s="1">
        <v>1</v>
      </c>
      <c r="BI1377">
        <v>45.48</v>
      </c>
      <c r="BJ1377">
        <v>1.53</v>
      </c>
      <c r="BK1377">
        <v>43.96</v>
      </c>
      <c r="BP1377" s="63">
        <v>22</v>
      </c>
      <c r="BQ1377" s="63"/>
      <c r="BR1377">
        <v>19</v>
      </c>
    </row>
    <row r="1378" spans="1:70" hidden="1" outlineLevel="1">
      <c r="A1378" t="s">
        <v>2313</v>
      </c>
      <c r="B1378" s="8" t="s">
        <v>2016</v>
      </c>
      <c r="C1378" s="1">
        <f t="shared" si="356"/>
        <v>609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 t="shared" si="357"/>
        <v>7</v>
      </c>
      <c r="G1378" s="1">
        <f t="shared" si="358"/>
        <v>99</v>
      </c>
      <c r="H1378" s="2">
        <f t="shared" si="365"/>
        <v>0.1625615763546798</v>
      </c>
      <c r="I1378" s="6"/>
      <c r="J1378" s="2">
        <f t="shared" si="359"/>
        <v>0.34318555008210183</v>
      </c>
      <c r="K1378" s="2">
        <f t="shared" si="360"/>
        <v>0.50574712643678166</v>
      </c>
      <c r="L1378" s="2">
        <f t="shared" si="361"/>
        <v>1.6420361247947454E-3</v>
      </c>
      <c r="M1378" s="2">
        <f t="shared" si="362"/>
        <v>0.14942528735632177</v>
      </c>
      <c r="N1378" s="63">
        <v>209</v>
      </c>
      <c r="O1378" s="63">
        <v>308</v>
      </c>
      <c r="P1378" s="63">
        <v>1</v>
      </c>
      <c r="Q1378" s="63">
        <v>26</v>
      </c>
      <c r="R1378" s="63">
        <v>5</v>
      </c>
      <c r="S1378" s="63">
        <v>0</v>
      </c>
      <c r="T1378" s="63">
        <v>8</v>
      </c>
      <c r="U1378" s="63"/>
      <c r="V1378" s="63">
        <v>1</v>
      </c>
      <c r="W1378" s="63">
        <f t="shared" si="363"/>
        <v>51</v>
      </c>
      <c r="X1378" s="63"/>
      <c r="Y1378" s="63"/>
      <c r="Z1378" s="63"/>
      <c r="AA1378" s="63"/>
      <c r="AB1378" s="63"/>
      <c r="AT1378" t="str">
        <f t="shared" si="353"/>
        <v>Berkshire</v>
      </c>
      <c r="AU1378" t="s">
        <v>1138</v>
      </c>
      <c r="AV1378">
        <v>1</v>
      </c>
      <c r="AX1378" s="114">
        <v>50</v>
      </c>
      <c r="AY1378" s="116">
        <v>11</v>
      </c>
      <c r="AZ1378" s="116">
        <v>15</v>
      </c>
      <c r="BA1378" s="120">
        <v>5425</v>
      </c>
      <c r="BB1378" s="120">
        <f t="shared" si="342"/>
        <v>50011</v>
      </c>
      <c r="BC1378" s="8" t="s">
        <v>1472</v>
      </c>
      <c r="BD1378">
        <f t="shared" si="364"/>
        <v>5005425</v>
      </c>
      <c r="BE1378" s="1">
        <v>8</v>
      </c>
      <c r="BF1378" s="1">
        <v>1</v>
      </c>
      <c r="BI1378">
        <v>42.22</v>
      </c>
      <c r="BJ1378">
        <v>0.02</v>
      </c>
      <c r="BK1378">
        <v>42.2</v>
      </c>
      <c r="BP1378" s="63">
        <v>52</v>
      </c>
      <c r="BQ1378" s="63"/>
      <c r="BR1378">
        <v>50</v>
      </c>
    </row>
    <row r="1379" spans="1:70" hidden="1" outlineLevel="1">
      <c r="A1379" t="s">
        <v>364</v>
      </c>
      <c r="B1379" s="8" t="s">
        <v>2016</v>
      </c>
      <c r="C1379" s="1">
        <f t="shared" si="356"/>
        <v>1356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357"/>
        <v>7</v>
      </c>
      <c r="G1379" s="1">
        <f t="shared" si="358"/>
        <v>204</v>
      </c>
      <c r="H1379" s="2">
        <f t="shared" si="365"/>
        <v>0.15044247787610621</v>
      </c>
      <c r="I1379" s="6"/>
      <c r="J1379" s="2">
        <f t="shared" si="359"/>
        <v>0.48525073746312686</v>
      </c>
      <c r="K1379" s="2">
        <f t="shared" si="360"/>
        <v>0.33480825958702065</v>
      </c>
      <c r="L1379" s="2">
        <f t="shared" si="361"/>
        <v>1.4749262536873156E-3</v>
      </c>
      <c r="M1379" s="2">
        <f t="shared" si="362"/>
        <v>0.17846607669616518</v>
      </c>
      <c r="N1379" s="63">
        <v>658</v>
      </c>
      <c r="O1379" s="63">
        <v>454</v>
      </c>
      <c r="P1379" s="63">
        <v>2</v>
      </c>
      <c r="Q1379" s="63">
        <v>51</v>
      </c>
      <c r="R1379" s="63">
        <v>31</v>
      </c>
      <c r="S1379" s="63">
        <v>0</v>
      </c>
      <c r="T1379" s="63">
        <v>7</v>
      </c>
      <c r="U1379" s="63"/>
      <c r="V1379" s="63">
        <v>1</v>
      </c>
      <c r="W1379" s="63">
        <f t="shared" si="363"/>
        <v>152</v>
      </c>
      <c r="X1379" s="63"/>
      <c r="Y1379" s="63"/>
      <c r="Z1379" s="63"/>
      <c r="AA1379" s="63"/>
      <c r="AB1379" s="63"/>
      <c r="AT1379" t="str">
        <f t="shared" si="353"/>
        <v>Berlin</v>
      </c>
      <c r="AU1379" t="s">
        <v>692</v>
      </c>
      <c r="AV1379">
        <v>1</v>
      </c>
      <c r="AX1379" s="114">
        <v>50</v>
      </c>
      <c r="AY1379" s="116">
        <v>23</v>
      </c>
      <c r="AZ1379" s="116">
        <v>15</v>
      </c>
      <c r="BA1379" s="120">
        <v>5650</v>
      </c>
      <c r="BB1379" s="120">
        <f t="shared" si="342"/>
        <v>50023</v>
      </c>
      <c r="BC1379" s="8" t="s">
        <v>1472</v>
      </c>
      <c r="BD1379">
        <f t="shared" si="364"/>
        <v>5005650</v>
      </c>
      <c r="BE1379" s="1">
        <v>27</v>
      </c>
      <c r="BF1379" s="1">
        <v>5</v>
      </c>
      <c r="BI1379">
        <v>36.93</v>
      </c>
      <c r="BJ1379">
        <v>0.46</v>
      </c>
      <c r="BK1379">
        <v>36.47</v>
      </c>
      <c r="BP1379" s="63">
        <v>154</v>
      </c>
      <c r="BQ1379" s="63"/>
      <c r="BR1379">
        <v>128</v>
      </c>
    </row>
    <row r="1380" spans="1:70" hidden="1" outlineLevel="1">
      <c r="A1380" t="s">
        <v>365</v>
      </c>
      <c r="B1380" s="8" t="s">
        <v>2016</v>
      </c>
      <c r="C1380" s="1">
        <f t="shared" si="356"/>
        <v>997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357"/>
        <v>6</v>
      </c>
      <c r="G1380" s="1">
        <f t="shared" si="358"/>
        <v>244</v>
      </c>
      <c r="H1380" s="2">
        <f t="shared" si="365"/>
        <v>0.24473420260782347</v>
      </c>
      <c r="I1380" s="6"/>
      <c r="J1380" s="2">
        <f t="shared" si="359"/>
        <v>0.54463390170511539</v>
      </c>
      <c r="K1380" s="2">
        <f t="shared" si="360"/>
        <v>0.29989969909729186</v>
      </c>
      <c r="L1380" s="2">
        <f t="shared" si="361"/>
        <v>3.009027081243731E-3</v>
      </c>
      <c r="M1380" s="2">
        <f t="shared" si="362"/>
        <v>0.15245737211634902</v>
      </c>
      <c r="N1380" s="63">
        <v>543</v>
      </c>
      <c r="O1380" s="63">
        <v>299</v>
      </c>
      <c r="P1380" s="63">
        <v>3</v>
      </c>
      <c r="Q1380" s="63">
        <v>33</v>
      </c>
      <c r="R1380" s="63">
        <v>36</v>
      </c>
      <c r="S1380" s="63">
        <v>0</v>
      </c>
      <c r="T1380" s="63">
        <v>2</v>
      </c>
      <c r="U1380" s="63"/>
      <c r="V1380" s="63">
        <v>0</v>
      </c>
      <c r="W1380" s="63">
        <f t="shared" si="363"/>
        <v>81</v>
      </c>
      <c r="X1380" s="63"/>
      <c r="Y1380" s="63"/>
      <c r="Z1380" s="63"/>
      <c r="AA1380" s="63"/>
      <c r="AB1380" s="63"/>
      <c r="AT1380" t="str">
        <f t="shared" si="353"/>
        <v>Bethel</v>
      </c>
      <c r="AU1380" t="s">
        <v>2282</v>
      </c>
      <c r="AV1380">
        <v>1</v>
      </c>
      <c r="AX1380" s="114">
        <v>50</v>
      </c>
      <c r="AY1380" s="116">
        <v>27</v>
      </c>
      <c r="AZ1380" s="116">
        <v>20</v>
      </c>
      <c r="BA1380" s="120">
        <v>5800</v>
      </c>
      <c r="BB1380" s="120">
        <f t="shared" ref="BB1380:BB1443" si="366">AX1380*1000+AY1380</f>
        <v>50027</v>
      </c>
      <c r="BC1380" s="8" t="s">
        <v>1472</v>
      </c>
      <c r="BD1380">
        <f t="shared" si="364"/>
        <v>5005800</v>
      </c>
      <c r="BE1380" s="1">
        <v>17</v>
      </c>
      <c r="BF1380" s="1">
        <v>7</v>
      </c>
      <c r="BI1380">
        <v>45.44</v>
      </c>
      <c r="BJ1380">
        <v>0.14000000000000001</v>
      </c>
      <c r="BK1380">
        <v>45.3</v>
      </c>
      <c r="BP1380" s="63">
        <v>84</v>
      </c>
      <c r="BQ1380" s="63"/>
      <c r="BR1380">
        <v>73</v>
      </c>
    </row>
    <row r="1381" spans="1:70" hidden="1" outlineLevel="1">
      <c r="A1381" t="s">
        <v>54</v>
      </c>
      <c r="B1381" s="8" t="s">
        <v>2016</v>
      </c>
      <c r="C1381" s="1">
        <f t="shared" si="356"/>
        <v>110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 t="shared" si="357"/>
        <v>0</v>
      </c>
      <c r="G1381" s="1">
        <f t="shared" si="358"/>
        <v>22</v>
      </c>
      <c r="H1381" s="2">
        <f t="shared" si="365"/>
        <v>0.2</v>
      </c>
      <c r="I1381" s="6"/>
      <c r="J1381" s="2">
        <f t="shared" si="359"/>
        <v>0.27272727272727271</v>
      </c>
      <c r="K1381" s="2">
        <f t="shared" si="360"/>
        <v>0.47272727272727272</v>
      </c>
      <c r="L1381" s="2">
        <f t="shared" si="361"/>
        <v>0</v>
      </c>
      <c r="M1381" s="2">
        <f t="shared" si="362"/>
        <v>0.25454545454545457</v>
      </c>
      <c r="N1381" s="63">
        <v>30</v>
      </c>
      <c r="O1381" s="63">
        <v>52</v>
      </c>
      <c r="P1381" s="63">
        <v>0</v>
      </c>
      <c r="Q1381" s="63">
        <v>8</v>
      </c>
      <c r="R1381" s="63">
        <v>6</v>
      </c>
      <c r="S1381" s="63">
        <v>0</v>
      </c>
      <c r="T1381" s="63">
        <v>1</v>
      </c>
      <c r="U1381" s="63"/>
      <c r="V1381" s="63">
        <v>1</v>
      </c>
      <c r="W1381" s="63">
        <f t="shared" si="363"/>
        <v>12</v>
      </c>
      <c r="X1381" s="63"/>
      <c r="Y1381" s="63"/>
      <c r="Z1381" s="63"/>
      <c r="AA1381" s="63"/>
      <c r="AB1381" s="63"/>
      <c r="AT1381" t="str">
        <f t="shared" si="353"/>
        <v>Bloomfield</v>
      </c>
      <c r="AU1381" t="s">
        <v>842</v>
      </c>
      <c r="AV1381">
        <v>1</v>
      </c>
      <c r="AX1381" s="114">
        <v>50</v>
      </c>
      <c r="AY1381" s="116">
        <v>9</v>
      </c>
      <c r="AZ1381" s="116">
        <v>15</v>
      </c>
      <c r="BA1381" s="120">
        <v>6325</v>
      </c>
      <c r="BB1381" s="120">
        <f t="shared" si="366"/>
        <v>50009</v>
      </c>
      <c r="BC1381" s="8" t="s">
        <v>1472</v>
      </c>
      <c r="BD1381">
        <f t="shared" si="364"/>
        <v>5006325</v>
      </c>
      <c r="BE1381" s="1">
        <v>1</v>
      </c>
      <c r="BF1381" s="1">
        <v>1</v>
      </c>
      <c r="BI1381">
        <v>40.42</v>
      </c>
      <c r="BJ1381">
        <v>0</v>
      </c>
      <c r="BK1381">
        <v>40.42</v>
      </c>
      <c r="BP1381" s="63">
        <v>12</v>
      </c>
      <c r="BQ1381" s="63"/>
      <c r="BR1381">
        <v>0</v>
      </c>
    </row>
    <row r="1382" spans="1:70" hidden="1" outlineLevel="1">
      <c r="A1382" t="s">
        <v>55</v>
      </c>
      <c r="B1382" s="8" t="s">
        <v>2016</v>
      </c>
      <c r="C1382" s="1">
        <f t="shared" si="356"/>
        <v>674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357"/>
        <v>7</v>
      </c>
      <c r="G1382" s="1">
        <f t="shared" si="358"/>
        <v>184</v>
      </c>
      <c r="H1382" s="2">
        <f t="shared" si="365"/>
        <v>0.27299703264094954</v>
      </c>
      <c r="I1382" s="6"/>
      <c r="J1382" s="2">
        <f t="shared" si="359"/>
        <v>0.5771513353115727</v>
      </c>
      <c r="K1382" s="2">
        <f t="shared" si="360"/>
        <v>0.30415430267062316</v>
      </c>
      <c r="L1382" s="2">
        <f t="shared" si="361"/>
        <v>1.483679525222552E-3</v>
      </c>
      <c r="M1382" s="2">
        <f t="shared" si="362"/>
        <v>0.1172106824925816</v>
      </c>
      <c r="N1382" s="63">
        <v>389</v>
      </c>
      <c r="O1382" s="63">
        <v>205</v>
      </c>
      <c r="P1382" s="63">
        <v>1</v>
      </c>
      <c r="Q1382" s="63">
        <v>14</v>
      </c>
      <c r="R1382" s="63">
        <v>8</v>
      </c>
      <c r="S1382" s="63">
        <v>0</v>
      </c>
      <c r="T1382" s="63">
        <v>2</v>
      </c>
      <c r="U1382" s="63"/>
      <c r="V1382" s="63">
        <v>1</v>
      </c>
      <c r="W1382" s="63">
        <f t="shared" si="363"/>
        <v>54</v>
      </c>
      <c r="X1382" s="63"/>
      <c r="Y1382" s="63"/>
      <c r="Z1382" s="63"/>
      <c r="AA1382" s="63"/>
      <c r="AB1382" s="63"/>
      <c r="AT1382" t="str">
        <f t="shared" si="353"/>
        <v>Bolton</v>
      </c>
      <c r="AU1382" t="s">
        <v>3175</v>
      </c>
      <c r="AV1382">
        <v>1</v>
      </c>
      <c r="AX1382" s="114">
        <v>50</v>
      </c>
      <c r="AY1382" s="116">
        <v>7</v>
      </c>
      <c r="AZ1382" s="116">
        <v>5</v>
      </c>
      <c r="BA1382" s="120">
        <v>6550</v>
      </c>
      <c r="BB1382" s="120">
        <f t="shared" si="366"/>
        <v>50007</v>
      </c>
      <c r="BC1382" s="8" t="s">
        <v>1472</v>
      </c>
      <c r="BD1382">
        <f t="shared" si="364"/>
        <v>5006550</v>
      </c>
      <c r="BE1382" s="1">
        <v>6</v>
      </c>
      <c r="BF1382" s="1">
        <v>3</v>
      </c>
      <c r="BI1382">
        <v>42.79</v>
      </c>
      <c r="BJ1382">
        <v>0.31</v>
      </c>
      <c r="BK1382">
        <v>42.48</v>
      </c>
      <c r="BP1382" s="63">
        <v>55</v>
      </c>
      <c r="BQ1382" s="63"/>
      <c r="BR1382">
        <v>48</v>
      </c>
    </row>
    <row r="1383" spans="1:70" hidden="1" outlineLevel="1">
      <c r="A1383" t="s">
        <v>2276</v>
      </c>
      <c r="B1383" s="8" t="s">
        <v>2016</v>
      </c>
      <c r="C1383" s="1">
        <f t="shared" si="356"/>
        <v>1196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357"/>
        <v>6</v>
      </c>
      <c r="G1383" s="1">
        <f t="shared" si="358"/>
        <v>215</v>
      </c>
      <c r="H1383" s="2">
        <f t="shared" si="365"/>
        <v>0.17976588628762541</v>
      </c>
      <c r="I1383" s="6"/>
      <c r="J1383" s="2">
        <f t="shared" si="359"/>
        <v>0.52173913043478259</v>
      </c>
      <c r="K1383" s="2">
        <f t="shared" si="360"/>
        <v>0.34197324414715718</v>
      </c>
      <c r="L1383" s="2">
        <f t="shared" si="361"/>
        <v>3.3444816053511705E-3</v>
      </c>
      <c r="M1383" s="2">
        <f t="shared" si="362"/>
        <v>0.13294314381270905</v>
      </c>
      <c r="N1383" s="63">
        <v>624</v>
      </c>
      <c r="O1383" s="63">
        <v>409</v>
      </c>
      <c r="P1383" s="63">
        <v>4</v>
      </c>
      <c r="Q1383" s="63">
        <v>42</v>
      </c>
      <c r="R1383" s="63">
        <v>23</v>
      </c>
      <c r="S1383" s="63">
        <v>1</v>
      </c>
      <c r="T1383" s="63">
        <v>2</v>
      </c>
      <c r="U1383" s="63"/>
      <c r="V1383" s="63">
        <v>2</v>
      </c>
      <c r="W1383" s="63">
        <f t="shared" si="363"/>
        <v>89</v>
      </c>
      <c r="X1383" s="63"/>
      <c r="Y1383" s="63"/>
      <c r="Z1383" s="63"/>
      <c r="AA1383" s="63"/>
      <c r="AB1383" s="63"/>
      <c r="AT1383" t="str">
        <f t="shared" si="353"/>
        <v>Bradford</v>
      </c>
      <c r="AU1383" t="s">
        <v>2013</v>
      </c>
      <c r="AV1383">
        <v>1</v>
      </c>
      <c r="AX1383" s="114">
        <v>50</v>
      </c>
      <c r="AY1383" s="116">
        <v>17</v>
      </c>
      <c r="AZ1383" s="116">
        <v>5</v>
      </c>
      <c r="BA1383" s="120">
        <v>7375</v>
      </c>
      <c r="BB1383" s="120">
        <f t="shared" si="366"/>
        <v>50017</v>
      </c>
      <c r="BC1383" s="8" t="s">
        <v>1472</v>
      </c>
      <c r="BD1383">
        <f t="shared" si="364"/>
        <v>5007375</v>
      </c>
      <c r="BE1383" s="1">
        <v>24</v>
      </c>
      <c r="BF1383" s="1">
        <v>1</v>
      </c>
      <c r="BI1383">
        <v>29.87</v>
      </c>
      <c r="BJ1383">
        <v>0.06</v>
      </c>
      <c r="BK1383">
        <v>29.81</v>
      </c>
      <c r="BP1383" s="63">
        <v>94</v>
      </c>
      <c r="BQ1383" s="63"/>
      <c r="BR1383">
        <v>67</v>
      </c>
    </row>
    <row r="1384" spans="1:70" hidden="1" outlineLevel="1">
      <c r="A1384" t="s">
        <v>240</v>
      </c>
      <c r="B1384" s="8" t="s">
        <v>2016</v>
      </c>
      <c r="C1384" s="1">
        <f t="shared" si="356"/>
        <v>593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357"/>
        <v>6</v>
      </c>
      <c r="G1384" s="1">
        <f t="shared" si="358"/>
        <v>72</v>
      </c>
      <c r="H1384" s="2">
        <f t="shared" si="365"/>
        <v>0.12141652613827993</v>
      </c>
      <c r="I1384" s="6"/>
      <c r="J1384" s="2">
        <f t="shared" si="359"/>
        <v>0.48735244519392917</v>
      </c>
      <c r="K1384" s="2">
        <f t="shared" si="360"/>
        <v>0.36593591905564926</v>
      </c>
      <c r="L1384" s="2">
        <f t="shared" si="361"/>
        <v>3.3726812816188868E-3</v>
      </c>
      <c r="M1384" s="2">
        <f t="shared" si="362"/>
        <v>0.14333895446880268</v>
      </c>
      <c r="N1384" s="63">
        <v>289</v>
      </c>
      <c r="O1384" s="63">
        <v>217</v>
      </c>
      <c r="P1384" s="63">
        <v>2</v>
      </c>
      <c r="Q1384" s="63">
        <v>21</v>
      </c>
      <c r="R1384" s="63">
        <v>9</v>
      </c>
      <c r="S1384" s="63">
        <v>0</v>
      </c>
      <c r="T1384" s="63">
        <v>1</v>
      </c>
      <c r="U1384" s="63"/>
      <c r="V1384" s="63">
        <v>0</v>
      </c>
      <c r="W1384" s="63">
        <f t="shared" si="363"/>
        <v>54</v>
      </c>
      <c r="X1384" s="63"/>
      <c r="Y1384" s="63"/>
      <c r="Z1384" s="63"/>
      <c r="AA1384" s="63"/>
      <c r="AB1384" s="63"/>
      <c r="AT1384" t="str">
        <f t="shared" si="353"/>
        <v>Braintree</v>
      </c>
      <c r="AU1384" t="s">
        <v>2013</v>
      </c>
      <c r="AV1384">
        <v>1</v>
      </c>
      <c r="AX1384" s="114">
        <v>50</v>
      </c>
      <c r="AY1384" s="116">
        <v>17</v>
      </c>
      <c r="AZ1384" s="116">
        <v>10</v>
      </c>
      <c r="BA1384" s="120">
        <v>7600</v>
      </c>
      <c r="BB1384" s="120">
        <f t="shared" si="366"/>
        <v>50017</v>
      </c>
      <c r="BC1384" s="8" t="s">
        <v>1472</v>
      </c>
      <c r="BD1384">
        <f t="shared" si="364"/>
        <v>5007600</v>
      </c>
      <c r="BE1384" s="1">
        <v>9</v>
      </c>
      <c r="BF1384" s="1">
        <v>3</v>
      </c>
      <c r="BI1384">
        <v>38.32</v>
      </c>
      <c r="BJ1384">
        <v>0.04</v>
      </c>
      <c r="BK1384">
        <v>38.28</v>
      </c>
      <c r="BP1384" s="63">
        <v>56</v>
      </c>
      <c r="BQ1384" s="63"/>
      <c r="BR1384">
        <v>49</v>
      </c>
    </row>
    <row r="1385" spans="1:70" hidden="1" outlineLevel="1">
      <c r="A1385" t="s">
        <v>905</v>
      </c>
      <c r="B1385" s="8" t="s">
        <v>2016</v>
      </c>
      <c r="C1385" s="1">
        <f t="shared" si="356"/>
        <v>1871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357"/>
        <v>6</v>
      </c>
      <c r="G1385" s="1">
        <f t="shared" si="358"/>
        <v>201</v>
      </c>
      <c r="H1385" s="2">
        <f t="shared" si="365"/>
        <v>0.10742918225547836</v>
      </c>
      <c r="I1385" s="6"/>
      <c r="J1385" s="2">
        <f t="shared" si="359"/>
        <v>0.49385355424906469</v>
      </c>
      <c r="K1385" s="2">
        <f t="shared" si="360"/>
        <v>0.38642437199358631</v>
      </c>
      <c r="L1385" s="2">
        <f t="shared" si="361"/>
        <v>5.8792089791555322E-3</v>
      </c>
      <c r="M1385" s="2">
        <f t="shared" si="362"/>
        <v>0.11384286477819341</v>
      </c>
      <c r="N1385" s="63">
        <v>924</v>
      </c>
      <c r="O1385" s="63">
        <v>723</v>
      </c>
      <c r="P1385" s="63">
        <v>11</v>
      </c>
      <c r="Q1385" s="63">
        <v>49</v>
      </c>
      <c r="R1385" s="63">
        <v>33</v>
      </c>
      <c r="S1385" s="63">
        <v>0</v>
      </c>
      <c r="T1385" s="63">
        <v>8</v>
      </c>
      <c r="U1385" s="63"/>
      <c r="V1385" s="63">
        <v>2</v>
      </c>
      <c r="W1385" s="63">
        <f t="shared" si="363"/>
        <v>120</v>
      </c>
      <c r="X1385" s="63"/>
      <c r="Y1385" s="63"/>
      <c r="Z1385" s="63"/>
      <c r="AA1385" s="63"/>
      <c r="AB1385" s="63"/>
      <c r="AF1385" s="8">
        <v>1</v>
      </c>
      <c r="AT1385" t="str">
        <f t="shared" si="353"/>
        <v>Brandon</v>
      </c>
      <c r="AU1385" t="s">
        <v>589</v>
      </c>
      <c r="AV1385">
        <v>1</v>
      </c>
      <c r="AX1385" s="114">
        <v>50</v>
      </c>
      <c r="AY1385" s="116">
        <v>21</v>
      </c>
      <c r="AZ1385" s="116">
        <v>10</v>
      </c>
      <c r="BA1385" s="120">
        <v>7750</v>
      </c>
      <c r="BB1385" s="120">
        <f t="shared" si="366"/>
        <v>50021</v>
      </c>
      <c r="BC1385" s="8" t="s">
        <v>1472</v>
      </c>
      <c r="BD1385">
        <f t="shared" si="364"/>
        <v>5007750</v>
      </c>
      <c r="BE1385" s="1">
        <v>22</v>
      </c>
      <c r="BF1385" s="1">
        <v>11</v>
      </c>
      <c r="BI1385">
        <v>40.17</v>
      </c>
      <c r="BJ1385">
        <v>0.05</v>
      </c>
      <c r="BK1385">
        <v>40.130000000000003</v>
      </c>
      <c r="BP1385" s="63">
        <v>132</v>
      </c>
      <c r="BQ1385" s="63"/>
      <c r="BR1385">
        <v>100</v>
      </c>
    </row>
    <row r="1386" spans="1:70" hidden="1" outlineLevel="1">
      <c r="A1386" t="s">
        <v>586</v>
      </c>
      <c r="B1386" s="8" t="s">
        <v>2016</v>
      </c>
      <c r="C1386" s="1">
        <f t="shared" si="356"/>
        <v>5937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357"/>
        <v>7</v>
      </c>
      <c r="G1386" s="1">
        <f t="shared" si="358"/>
        <v>3488</v>
      </c>
      <c r="H1386" s="2">
        <f t="shared" si="365"/>
        <v>0.58750210544045811</v>
      </c>
      <c r="I1386" s="6"/>
      <c r="J1386" s="2">
        <f t="shared" si="359"/>
        <v>0.73218797372410305</v>
      </c>
      <c r="K1386" s="2">
        <f t="shared" si="360"/>
        <v>0.14468586828364494</v>
      </c>
      <c r="L1386" s="2">
        <f t="shared" si="361"/>
        <v>1.0106114199090451E-3</v>
      </c>
      <c r="M1386" s="2">
        <f t="shared" si="362"/>
        <v>0.12211554657234297</v>
      </c>
      <c r="N1386" s="63">
        <v>4347</v>
      </c>
      <c r="O1386" s="63">
        <v>859</v>
      </c>
      <c r="P1386" s="63">
        <v>6</v>
      </c>
      <c r="Q1386" s="63">
        <v>95</v>
      </c>
      <c r="R1386" s="63">
        <v>236</v>
      </c>
      <c r="S1386" s="63">
        <v>2</v>
      </c>
      <c r="T1386" s="63">
        <v>9</v>
      </c>
      <c r="U1386" s="63"/>
      <c r="V1386" s="63">
        <v>6</v>
      </c>
      <c r="W1386" s="63">
        <f t="shared" si="363"/>
        <v>376</v>
      </c>
      <c r="X1386" s="63"/>
      <c r="Y1386" s="63"/>
      <c r="Z1386" s="63"/>
      <c r="AA1386" s="63"/>
      <c r="AB1386" s="63"/>
      <c r="AF1386" s="8">
        <v>1</v>
      </c>
      <c r="AT1386" t="str">
        <f t="shared" si="353"/>
        <v>Brattleboro</v>
      </c>
      <c r="AU1386" t="s">
        <v>2129</v>
      </c>
      <c r="AV1386">
        <v>1</v>
      </c>
      <c r="AX1386" s="114">
        <v>50</v>
      </c>
      <c r="AY1386" s="116">
        <v>25</v>
      </c>
      <c r="AZ1386" s="116">
        <v>10</v>
      </c>
      <c r="BA1386" s="120">
        <v>7900</v>
      </c>
      <c r="BB1386" s="120">
        <f t="shared" si="366"/>
        <v>50025</v>
      </c>
      <c r="BC1386" s="8" t="s">
        <v>1472</v>
      </c>
      <c r="BD1386">
        <f t="shared" si="364"/>
        <v>5007900</v>
      </c>
      <c r="BE1386" s="1">
        <v>66</v>
      </c>
      <c r="BF1386" s="1">
        <v>2</v>
      </c>
      <c r="BI1386">
        <v>32.450000000000003</v>
      </c>
      <c r="BJ1386">
        <v>0.46</v>
      </c>
      <c r="BK1386">
        <v>31.99</v>
      </c>
      <c r="BP1386" s="63">
        <v>385</v>
      </c>
      <c r="BQ1386" s="63"/>
      <c r="BR1386">
        <v>344</v>
      </c>
    </row>
    <row r="1387" spans="1:70" hidden="1" outlineLevel="1">
      <c r="A1387" t="s">
        <v>804</v>
      </c>
      <c r="B1387" s="8" t="s">
        <v>2016</v>
      </c>
      <c r="C1387" s="1">
        <f t="shared" si="356"/>
        <v>522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357"/>
        <v>8</v>
      </c>
      <c r="G1387" s="1">
        <f t="shared" si="358"/>
        <v>120</v>
      </c>
      <c r="H1387" s="2">
        <f t="shared" si="365"/>
        <v>0.22988505747126436</v>
      </c>
      <c r="I1387" s="6"/>
      <c r="J1387" s="2">
        <f t="shared" si="359"/>
        <v>0.53639846743295017</v>
      </c>
      <c r="K1387" s="2">
        <f t="shared" si="360"/>
        <v>0.3065134099616858</v>
      </c>
      <c r="L1387" s="2">
        <f t="shared" si="361"/>
        <v>1.9157088122605363E-3</v>
      </c>
      <c r="M1387" s="2">
        <f t="shared" si="362"/>
        <v>0.15517241379310351</v>
      </c>
      <c r="N1387" s="63">
        <v>280</v>
      </c>
      <c r="O1387" s="63">
        <v>160</v>
      </c>
      <c r="P1387" s="63">
        <v>1</v>
      </c>
      <c r="Q1387" s="63">
        <v>11</v>
      </c>
      <c r="R1387" s="63">
        <v>13</v>
      </c>
      <c r="S1387" s="63">
        <v>0</v>
      </c>
      <c r="T1387" s="63">
        <v>16</v>
      </c>
      <c r="U1387" s="63"/>
      <c r="V1387" s="63">
        <v>2</v>
      </c>
      <c r="W1387" s="63">
        <f t="shared" si="363"/>
        <v>39</v>
      </c>
      <c r="X1387" s="63"/>
      <c r="Y1387" s="63"/>
      <c r="Z1387" s="63"/>
      <c r="AA1387" s="63"/>
      <c r="AB1387" s="63"/>
      <c r="AT1387" t="str">
        <f t="shared" si="353"/>
        <v>Bridgewater</v>
      </c>
      <c r="AU1387" t="s">
        <v>2282</v>
      </c>
      <c r="AV1387">
        <v>1</v>
      </c>
      <c r="AX1387" s="114">
        <v>50</v>
      </c>
      <c r="AY1387" s="116">
        <v>27</v>
      </c>
      <c r="AZ1387" s="116">
        <v>25</v>
      </c>
      <c r="BA1387" s="120">
        <v>8275</v>
      </c>
      <c r="BB1387" s="120">
        <f t="shared" si="366"/>
        <v>50027</v>
      </c>
      <c r="BC1387" s="8" t="s">
        <v>1472</v>
      </c>
      <c r="BD1387">
        <f t="shared" si="364"/>
        <v>5008275</v>
      </c>
      <c r="BE1387" s="1">
        <v>3</v>
      </c>
      <c r="BF1387" s="1">
        <v>1</v>
      </c>
      <c r="BI1387">
        <v>49.55</v>
      </c>
      <c r="BJ1387">
        <v>0</v>
      </c>
      <c r="BK1387">
        <v>49.55</v>
      </c>
      <c r="BP1387" s="63">
        <v>40</v>
      </c>
      <c r="BQ1387" s="63"/>
      <c r="BR1387">
        <v>32</v>
      </c>
    </row>
    <row r="1388" spans="1:70" hidden="1" outlineLevel="1">
      <c r="A1388" t="s">
        <v>783</v>
      </c>
      <c r="B1388" s="8" t="s">
        <v>2016</v>
      </c>
      <c r="C1388" s="1">
        <f t="shared" si="356"/>
        <v>655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357"/>
        <v>0</v>
      </c>
      <c r="G1388" s="1">
        <f t="shared" si="358"/>
        <v>14</v>
      </c>
      <c r="H1388" s="2">
        <f t="shared" si="365"/>
        <v>2.1374045801526718E-2</v>
      </c>
      <c r="I1388" s="6"/>
      <c r="J1388" s="2">
        <f t="shared" si="359"/>
        <v>0.44580152671755724</v>
      </c>
      <c r="K1388" s="2">
        <f t="shared" si="360"/>
        <v>0.42442748091603055</v>
      </c>
      <c r="L1388" s="2">
        <f t="shared" si="361"/>
        <v>0</v>
      </c>
      <c r="M1388" s="2">
        <f t="shared" si="362"/>
        <v>0.12977099236641221</v>
      </c>
      <c r="N1388" s="63">
        <v>292</v>
      </c>
      <c r="O1388" s="63">
        <v>278</v>
      </c>
      <c r="P1388" s="63">
        <v>0</v>
      </c>
      <c r="Q1388" s="63">
        <v>24</v>
      </c>
      <c r="R1388" s="63">
        <v>8</v>
      </c>
      <c r="S1388" s="63">
        <v>0</v>
      </c>
      <c r="T1388" s="63">
        <v>3</v>
      </c>
      <c r="U1388" s="63"/>
      <c r="V1388" s="63">
        <v>1</v>
      </c>
      <c r="W1388" s="63">
        <f t="shared" si="363"/>
        <v>49</v>
      </c>
      <c r="X1388" s="63"/>
      <c r="Y1388" s="63"/>
      <c r="Z1388" s="63"/>
      <c r="AA1388" s="63"/>
      <c r="AB1388" s="63"/>
      <c r="AT1388" t="str">
        <f t="shared" si="353"/>
        <v>Bridport</v>
      </c>
      <c r="AU1388" t="s">
        <v>1346</v>
      </c>
      <c r="AV1388">
        <v>1</v>
      </c>
      <c r="AX1388" s="114">
        <v>50</v>
      </c>
      <c r="AY1388" s="116">
        <v>1</v>
      </c>
      <c r="AZ1388" s="116">
        <v>10</v>
      </c>
      <c r="BA1388" s="120">
        <v>8575</v>
      </c>
      <c r="BB1388" s="120">
        <f t="shared" si="366"/>
        <v>50001</v>
      </c>
      <c r="BC1388" s="8" t="s">
        <v>1472</v>
      </c>
      <c r="BD1388">
        <f t="shared" si="364"/>
        <v>5008575</v>
      </c>
      <c r="BE1388" s="1">
        <v>8</v>
      </c>
      <c r="BF1388" s="1">
        <v>0</v>
      </c>
      <c r="BI1388">
        <v>46.25</v>
      </c>
      <c r="BJ1388">
        <v>2.2599999999999998</v>
      </c>
      <c r="BK1388">
        <v>43.98</v>
      </c>
      <c r="BP1388" s="63">
        <v>49</v>
      </c>
      <c r="BQ1388" s="63"/>
      <c r="BR1388">
        <v>0</v>
      </c>
    </row>
    <row r="1389" spans="1:70" hidden="1" outlineLevel="1">
      <c r="A1389" t="s">
        <v>787</v>
      </c>
      <c r="B1389" s="8" t="s">
        <v>2016</v>
      </c>
      <c r="C1389" s="1">
        <f t="shared" si="356"/>
        <v>560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 t="shared" si="357"/>
        <v>6</v>
      </c>
      <c r="G1389" s="1">
        <f t="shared" si="358"/>
        <v>47</v>
      </c>
      <c r="H1389" s="2">
        <f t="shared" si="365"/>
        <v>8.3928571428571422E-2</v>
      </c>
      <c r="I1389" s="6"/>
      <c r="J1389" s="2">
        <f t="shared" si="359"/>
        <v>0.40892857142857142</v>
      </c>
      <c r="K1389" s="2">
        <f t="shared" si="360"/>
        <v>0.49285714285714288</v>
      </c>
      <c r="L1389" s="2">
        <f t="shared" si="361"/>
        <v>1.7857142857142857E-3</v>
      </c>
      <c r="M1389" s="2">
        <f t="shared" si="362"/>
        <v>9.6428571428571419E-2</v>
      </c>
      <c r="N1389" s="63">
        <v>229</v>
      </c>
      <c r="O1389" s="63">
        <v>276</v>
      </c>
      <c r="P1389" s="63">
        <v>1</v>
      </c>
      <c r="Q1389" s="63">
        <v>17</v>
      </c>
      <c r="R1389" s="63">
        <v>8</v>
      </c>
      <c r="S1389" s="63">
        <v>0</v>
      </c>
      <c r="T1389" s="63">
        <v>1</v>
      </c>
      <c r="U1389" s="63"/>
      <c r="V1389" s="63">
        <v>0</v>
      </c>
      <c r="W1389" s="63">
        <f t="shared" si="363"/>
        <v>28</v>
      </c>
      <c r="X1389" s="63"/>
      <c r="Y1389" s="63"/>
      <c r="Z1389" s="63"/>
      <c r="AA1389" s="63"/>
      <c r="AB1389" s="63"/>
      <c r="AT1389" t="str">
        <f t="shared" si="353"/>
        <v>Brighton</v>
      </c>
      <c r="AU1389" t="s">
        <v>842</v>
      </c>
      <c r="AV1389">
        <v>1</v>
      </c>
      <c r="AX1389" s="114">
        <v>50</v>
      </c>
      <c r="AY1389" s="116">
        <v>9</v>
      </c>
      <c r="AZ1389" s="116">
        <v>20</v>
      </c>
      <c r="BA1389" s="120">
        <v>8725</v>
      </c>
      <c r="BB1389" s="120">
        <f t="shared" si="366"/>
        <v>50009</v>
      </c>
      <c r="BC1389" s="8" t="s">
        <v>1472</v>
      </c>
      <c r="BD1389">
        <f t="shared" si="364"/>
        <v>5008725</v>
      </c>
      <c r="BE1389" s="1">
        <v>1</v>
      </c>
      <c r="BF1389" s="1">
        <v>2</v>
      </c>
      <c r="BI1389">
        <v>53.42</v>
      </c>
      <c r="BJ1389">
        <v>1.22</v>
      </c>
      <c r="BK1389">
        <v>52.19</v>
      </c>
      <c r="BP1389" s="63">
        <v>29</v>
      </c>
      <c r="BQ1389" s="63"/>
      <c r="BR1389">
        <v>24</v>
      </c>
    </row>
    <row r="1390" spans="1:70" hidden="1" outlineLevel="1">
      <c r="A1390" t="s">
        <v>2215</v>
      </c>
      <c r="B1390" s="8" t="s">
        <v>2016</v>
      </c>
      <c r="C1390" s="1">
        <f t="shared" si="356"/>
        <v>1926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357"/>
        <v>7</v>
      </c>
      <c r="G1390" s="1">
        <f t="shared" si="358"/>
        <v>517</v>
      </c>
      <c r="H1390" s="2">
        <f t="shared" si="365"/>
        <v>0.26843198338525442</v>
      </c>
      <c r="I1390" s="6"/>
      <c r="J1390" s="2">
        <f t="shared" si="359"/>
        <v>0.55815160955347876</v>
      </c>
      <c r="K1390" s="2">
        <f t="shared" si="360"/>
        <v>0.28971962616822428</v>
      </c>
      <c r="L1390" s="2">
        <f t="shared" si="361"/>
        <v>3.1152647975077881E-3</v>
      </c>
      <c r="M1390" s="2">
        <f t="shared" si="362"/>
        <v>0.14901349948078918</v>
      </c>
      <c r="N1390" s="63">
        <v>1075</v>
      </c>
      <c r="O1390" s="63">
        <v>558</v>
      </c>
      <c r="P1390" s="63">
        <v>6</v>
      </c>
      <c r="Q1390" s="63">
        <v>60</v>
      </c>
      <c r="R1390" s="63">
        <v>41</v>
      </c>
      <c r="S1390" s="63">
        <v>0</v>
      </c>
      <c r="T1390" s="63">
        <v>9</v>
      </c>
      <c r="U1390" s="63"/>
      <c r="V1390" s="63">
        <v>1</v>
      </c>
      <c r="W1390" s="63">
        <f t="shared" si="363"/>
        <v>176</v>
      </c>
      <c r="X1390" s="63"/>
      <c r="Y1390" s="63"/>
      <c r="Z1390" s="63"/>
      <c r="AA1390" s="63"/>
      <c r="AB1390" s="63"/>
      <c r="AT1390" t="str">
        <f t="shared" si="353"/>
        <v>Bristol</v>
      </c>
      <c r="AU1390" t="s">
        <v>1346</v>
      </c>
      <c r="AV1390">
        <v>1</v>
      </c>
      <c r="AX1390" s="114">
        <v>50</v>
      </c>
      <c r="AY1390" s="116">
        <v>1</v>
      </c>
      <c r="AZ1390" s="116">
        <v>15</v>
      </c>
      <c r="BA1390" s="120">
        <v>9025</v>
      </c>
      <c r="BB1390" s="120">
        <f t="shared" si="366"/>
        <v>50001</v>
      </c>
      <c r="BC1390" s="8" t="s">
        <v>1472</v>
      </c>
      <c r="BD1390">
        <f t="shared" si="364"/>
        <v>5009025</v>
      </c>
      <c r="BE1390" s="1">
        <v>24</v>
      </c>
      <c r="BF1390" s="1">
        <v>2</v>
      </c>
      <c r="BI1390">
        <v>42.18</v>
      </c>
      <c r="BJ1390">
        <v>0.4</v>
      </c>
      <c r="BK1390">
        <v>41.77</v>
      </c>
      <c r="BP1390" s="63">
        <v>182</v>
      </c>
      <c r="BQ1390" s="63"/>
      <c r="BR1390">
        <v>168</v>
      </c>
    </row>
    <row r="1391" spans="1:70" hidden="1" outlineLevel="1">
      <c r="A1391" t="s">
        <v>914</v>
      </c>
      <c r="B1391" s="8" t="s">
        <v>2016</v>
      </c>
      <c r="C1391" s="1">
        <f t="shared" si="356"/>
        <v>749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357"/>
        <v>7</v>
      </c>
      <c r="G1391" s="1">
        <f t="shared" si="358"/>
        <v>147</v>
      </c>
      <c r="H1391" s="2">
        <f t="shared" si="365"/>
        <v>0.19626168224299065</v>
      </c>
      <c r="I1391" s="6"/>
      <c r="J1391" s="2">
        <f t="shared" si="359"/>
        <v>0.50467289719626163</v>
      </c>
      <c r="K1391" s="2">
        <f t="shared" si="360"/>
        <v>0.30841121495327101</v>
      </c>
      <c r="L1391" s="2">
        <f t="shared" si="361"/>
        <v>2.6702269692923898E-3</v>
      </c>
      <c r="M1391" s="2">
        <f t="shared" si="362"/>
        <v>0.18424566088117497</v>
      </c>
      <c r="N1391" s="63">
        <v>378</v>
      </c>
      <c r="O1391" s="63">
        <v>231</v>
      </c>
      <c r="P1391" s="63">
        <v>2</v>
      </c>
      <c r="Q1391" s="63">
        <v>34</v>
      </c>
      <c r="R1391" s="63">
        <v>26</v>
      </c>
      <c r="S1391" s="63">
        <v>0</v>
      </c>
      <c r="T1391" s="63">
        <v>10</v>
      </c>
      <c r="U1391" s="63"/>
      <c r="V1391" s="63">
        <v>0</v>
      </c>
      <c r="W1391" s="63">
        <f t="shared" si="363"/>
        <v>68</v>
      </c>
      <c r="X1391" s="63"/>
      <c r="Y1391" s="63"/>
      <c r="Z1391" s="63"/>
      <c r="AA1391" s="63"/>
      <c r="AB1391" s="63"/>
      <c r="AT1391" t="str">
        <f t="shared" si="353"/>
        <v>Brookfield</v>
      </c>
      <c r="AU1391" t="s">
        <v>2013</v>
      </c>
      <c r="AV1391">
        <v>1</v>
      </c>
      <c r="AX1391" s="114">
        <v>50</v>
      </c>
      <c r="AY1391" s="116">
        <v>17</v>
      </c>
      <c r="AZ1391" s="116">
        <v>15</v>
      </c>
      <c r="BA1391" s="120">
        <v>9325</v>
      </c>
      <c r="BB1391" s="120">
        <f t="shared" si="366"/>
        <v>50017</v>
      </c>
      <c r="BC1391" s="8" t="s">
        <v>1472</v>
      </c>
      <c r="BD1391">
        <f t="shared" si="364"/>
        <v>5009325</v>
      </c>
      <c r="BE1391" s="1">
        <v>6</v>
      </c>
      <c r="BF1391" s="1">
        <v>9</v>
      </c>
      <c r="BI1391">
        <v>41.67</v>
      </c>
      <c r="BJ1391">
        <v>0.27</v>
      </c>
      <c r="BK1391">
        <v>41.4</v>
      </c>
      <c r="BP1391" s="63">
        <v>70</v>
      </c>
      <c r="BQ1391" s="63"/>
      <c r="BR1391">
        <v>59</v>
      </c>
    </row>
    <row r="1392" spans="1:70" hidden="1" outlineLevel="1">
      <c r="A1392" t="s">
        <v>1559</v>
      </c>
      <c r="B1392" s="8" t="s">
        <v>2016</v>
      </c>
      <c r="C1392" s="1">
        <f t="shared" si="356"/>
        <v>287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357"/>
        <v>0</v>
      </c>
      <c r="G1392" s="1">
        <f t="shared" si="358"/>
        <v>101</v>
      </c>
      <c r="H1392" s="2">
        <f t="shared" si="365"/>
        <v>0.3519163763066202</v>
      </c>
      <c r="I1392" s="6"/>
      <c r="J1392" s="2">
        <f t="shared" si="359"/>
        <v>0.58885017421602792</v>
      </c>
      <c r="K1392" s="2">
        <f t="shared" si="360"/>
        <v>0.23693379790940766</v>
      </c>
      <c r="L1392" s="2">
        <f t="shared" si="361"/>
        <v>0</v>
      </c>
      <c r="M1392" s="2">
        <f t="shared" si="362"/>
        <v>0.17421602787456442</v>
      </c>
      <c r="N1392" s="63">
        <v>169</v>
      </c>
      <c r="O1392" s="63">
        <v>68</v>
      </c>
      <c r="P1392" s="63">
        <v>0</v>
      </c>
      <c r="Q1392" s="63">
        <v>12</v>
      </c>
      <c r="R1392" s="63">
        <v>6</v>
      </c>
      <c r="S1392" s="63">
        <v>0</v>
      </c>
      <c r="T1392" s="63">
        <v>5</v>
      </c>
      <c r="U1392" s="63"/>
      <c r="V1392" s="63">
        <v>1</v>
      </c>
      <c r="W1392" s="63">
        <f t="shared" si="363"/>
        <v>26</v>
      </c>
      <c r="X1392" s="63"/>
      <c r="Y1392" s="63"/>
      <c r="Z1392" s="63"/>
      <c r="AA1392" s="63"/>
      <c r="AB1392" s="63"/>
      <c r="AT1392" t="str">
        <f t="shared" si="353"/>
        <v>Brookline</v>
      </c>
      <c r="AU1392" t="s">
        <v>2129</v>
      </c>
      <c r="AV1392">
        <v>1</v>
      </c>
      <c r="AX1392" s="114">
        <v>50</v>
      </c>
      <c r="AY1392" s="116">
        <v>25</v>
      </c>
      <c r="AZ1392" s="116">
        <v>15</v>
      </c>
      <c r="BA1392" s="120">
        <v>9475</v>
      </c>
      <c r="BB1392" s="120">
        <f t="shared" si="366"/>
        <v>50025</v>
      </c>
      <c r="BC1392" s="8" t="s">
        <v>1472</v>
      </c>
      <c r="BD1392">
        <f t="shared" si="364"/>
        <v>5009475</v>
      </c>
      <c r="BE1392" s="1">
        <v>5</v>
      </c>
      <c r="BF1392" s="1">
        <v>4</v>
      </c>
      <c r="BI1392">
        <v>12.91</v>
      </c>
      <c r="BJ1392">
        <v>0</v>
      </c>
      <c r="BK1392">
        <v>12.91</v>
      </c>
      <c r="BP1392" s="63">
        <v>26</v>
      </c>
      <c r="BQ1392" s="63"/>
      <c r="BR1392">
        <v>23</v>
      </c>
    </row>
    <row r="1393" spans="1:70" hidden="1" outlineLevel="1">
      <c r="A1393" t="s">
        <v>3097</v>
      </c>
      <c r="B1393" s="8" t="s">
        <v>2016</v>
      </c>
      <c r="C1393" s="1">
        <f t="shared" si="356"/>
        <v>391</v>
      </c>
      <c r="D1393" s="5">
        <f>IF(N1393&gt;0, RANK(N1393,(N1393:P1393,Q1393:AE1393)),0)</f>
        <v>2</v>
      </c>
      <c r="E1393" s="5">
        <f>IF(O1393&gt;0,RANK(O1393,(N1393:P1393,Q1393:AE1393)),0)</f>
        <v>1</v>
      </c>
      <c r="F1393" s="5">
        <f t="shared" si="357"/>
        <v>0</v>
      </c>
      <c r="G1393" s="1">
        <f t="shared" si="358"/>
        <v>47</v>
      </c>
      <c r="H1393" s="2">
        <f t="shared" si="365"/>
        <v>0.12020460358056266</v>
      </c>
      <c r="I1393" s="6"/>
      <c r="J1393" s="2">
        <f t="shared" si="359"/>
        <v>0.37340153452685421</v>
      </c>
      <c r="K1393" s="2">
        <f t="shared" si="360"/>
        <v>0.49360613810741688</v>
      </c>
      <c r="L1393" s="2">
        <f t="shared" si="361"/>
        <v>0</v>
      </c>
      <c r="M1393" s="2">
        <f t="shared" si="362"/>
        <v>0.13299232736572891</v>
      </c>
      <c r="N1393" s="63">
        <v>146</v>
      </c>
      <c r="O1393" s="63">
        <v>193</v>
      </c>
      <c r="P1393" s="63">
        <v>0</v>
      </c>
      <c r="Q1393" s="63">
        <v>8</v>
      </c>
      <c r="R1393" s="63">
        <v>2</v>
      </c>
      <c r="S1393" s="63">
        <v>0</v>
      </c>
      <c r="T1393" s="63">
        <v>1</v>
      </c>
      <c r="U1393" s="63"/>
      <c r="V1393" s="63">
        <v>0</v>
      </c>
      <c r="W1393" s="63">
        <f t="shared" si="363"/>
        <v>41</v>
      </c>
      <c r="X1393" s="63"/>
      <c r="Y1393" s="63"/>
      <c r="Z1393" s="63"/>
      <c r="AA1393" s="63"/>
      <c r="AB1393" s="63"/>
      <c r="AT1393" t="str">
        <f t="shared" si="353"/>
        <v>Brownington</v>
      </c>
      <c r="AU1393" t="s">
        <v>405</v>
      </c>
      <c r="AV1393">
        <v>1</v>
      </c>
      <c r="AX1393" s="114">
        <v>50</v>
      </c>
      <c r="AY1393" s="116">
        <v>19</v>
      </c>
      <c r="AZ1393" s="116">
        <v>15</v>
      </c>
      <c r="BA1393" s="120">
        <v>9850</v>
      </c>
      <c r="BB1393" s="120">
        <f t="shared" si="366"/>
        <v>50019</v>
      </c>
      <c r="BC1393" s="8" t="s">
        <v>1472</v>
      </c>
      <c r="BD1393">
        <f t="shared" si="364"/>
        <v>5009850</v>
      </c>
      <c r="BE1393" s="1">
        <v>6</v>
      </c>
      <c r="BF1393" s="1">
        <v>3</v>
      </c>
      <c r="BI1393">
        <v>28.43</v>
      </c>
      <c r="BJ1393">
        <v>0.14000000000000001</v>
      </c>
      <c r="BK1393">
        <v>28.28</v>
      </c>
      <c r="BP1393" s="63">
        <v>41</v>
      </c>
      <c r="BQ1393" s="63"/>
      <c r="BR1393">
        <v>39</v>
      </c>
    </row>
    <row r="1394" spans="1:70" hidden="1" outlineLevel="1">
      <c r="A1394" t="s">
        <v>1808</v>
      </c>
      <c r="B1394" s="8" t="s">
        <v>2016</v>
      </c>
      <c r="C1394" s="1">
        <f t="shared" si="356"/>
        <v>56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 t="shared" si="357"/>
        <v>0</v>
      </c>
      <c r="G1394" s="1">
        <f t="shared" si="358"/>
        <v>7</v>
      </c>
      <c r="H1394" s="2">
        <f t="shared" si="365"/>
        <v>0.125</v>
      </c>
      <c r="I1394" s="6"/>
      <c r="J1394" s="2">
        <f t="shared" si="359"/>
        <v>0.375</v>
      </c>
      <c r="K1394" s="2">
        <f t="shared" si="360"/>
        <v>0.5</v>
      </c>
      <c r="L1394" s="2">
        <f t="shared" si="361"/>
        <v>0</v>
      </c>
      <c r="M1394" s="2">
        <f t="shared" si="362"/>
        <v>0.125</v>
      </c>
      <c r="N1394" s="63">
        <v>21</v>
      </c>
      <c r="O1394" s="63">
        <v>28</v>
      </c>
      <c r="P1394" s="63">
        <v>0</v>
      </c>
      <c r="Q1394" s="63">
        <v>2</v>
      </c>
      <c r="R1394" s="63">
        <v>0</v>
      </c>
      <c r="S1394" s="63">
        <v>0</v>
      </c>
      <c r="T1394" s="63">
        <v>1</v>
      </c>
      <c r="U1394" s="63"/>
      <c r="V1394" s="63">
        <v>0</v>
      </c>
      <c r="W1394" s="63">
        <f t="shared" si="363"/>
        <v>4</v>
      </c>
      <c r="X1394" s="63"/>
      <c r="Y1394" s="63"/>
      <c r="Z1394" s="63"/>
      <c r="AA1394" s="63"/>
      <c r="AB1394" s="63"/>
      <c r="AT1394" t="str">
        <f t="shared" si="353"/>
        <v>Brunswick</v>
      </c>
      <c r="AU1394" t="s">
        <v>842</v>
      </c>
      <c r="AV1394">
        <v>1</v>
      </c>
      <c r="AX1394" s="114">
        <v>50</v>
      </c>
      <c r="AY1394" s="116">
        <v>9</v>
      </c>
      <c r="AZ1394" s="116">
        <v>25</v>
      </c>
      <c r="BA1394" s="120">
        <v>10075</v>
      </c>
      <c r="BB1394" s="120">
        <f t="shared" si="366"/>
        <v>50009</v>
      </c>
      <c r="BC1394" s="8" t="s">
        <v>1472</v>
      </c>
      <c r="BD1394">
        <f t="shared" si="364"/>
        <v>5010075</v>
      </c>
      <c r="BE1394" s="1">
        <v>2</v>
      </c>
      <c r="BF1394" s="1">
        <v>0</v>
      </c>
      <c r="BI1394">
        <v>26</v>
      </c>
      <c r="BJ1394">
        <v>0.3</v>
      </c>
      <c r="BK1394">
        <v>25.69</v>
      </c>
      <c r="BP1394" s="63">
        <v>4</v>
      </c>
      <c r="BQ1394" s="63"/>
      <c r="BR1394">
        <v>4</v>
      </c>
    </row>
    <row r="1395" spans="1:70" hidden="1" outlineLevel="1">
      <c r="A1395" t="s">
        <v>2930</v>
      </c>
      <c r="B1395" s="8" t="s">
        <v>2016</v>
      </c>
      <c r="C1395" s="1">
        <f t="shared" si="356"/>
        <v>823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357"/>
        <v>0</v>
      </c>
      <c r="G1395" s="1">
        <f t="shared" si="358"/>
        <v>45</v>
      </c>
      <c r="H1395" s="2">
        <f t="shared" si="365"/>
        <v>5.4678007290400975E-2</v>
      </c>
      <c r="I1395" s="6"/>
      <c r="J1395" s="2">
        <f t="shared" si="359"/>
        <v>0.46294046172539488</v>
      </c>
      <c r="K1395" s="2">
        <f t="shared" si="360"/>
        <v>0.40826245443499393</v>
      </c>
      <c r="L1395" s="2">
        <f t="shared" si="361"/>
        <v>0</v>
      </c>
      <c r="M1395" s="2">
        <f t="shared" si="362"/>
        <v>0.12879708383961114</v>
      </c>
      <c r="N1395" s="63">
        <v>381</v>
      </c>
      <c r="O1395" s="63">
        <v>336</v>
      </c>
      <c r="P1395" s="63">
        <v>0</v>
      </c>
      <c r="Q1395" s="63">
        <v>34</v>
      </c>
      <c r="R1395" s="63">
        <v>13</v>
      </c>
      <c r="S1395" s="63">
        <v>0</v>
      </c>
      <c r="T1395" s="63">
        <v>1</v>
      </c>
      <c r="U1395" s="63"/>
      <c r="V1395" s="63">
        <v>1</v>
      </c>
      <c r="W1395" s="63">
        <f t="shared" si="363"/>
        <v>57</v>
      </c>
      <c r="X1395" s="63"/>
      <c r="Y1395" s="63"/>
      <c r="Z1395" s="63"/>
      <c r="AA1395" s="63"/>
      <c r="AB1395" s="63"/>
      <c r="AT1395" t="str">
        <f t="shared" si="353"/>
        <v>Burke</v>
      </c>
      <c r="AU1395" t="s">
        <v>681</v>
      </c>
      <c r="AV1395">
        <v>1</v>
      </c>
      <c r="AX1395" s="114">
        <v>50</v>
      </c>
      <c r="AY1395" s="116">
        <v>5</v>
      </c>
      <c r="AZ1395" s="116">
        <v>10</v>
      </c>
      <c r="BA1395" s="120">
        <v>10450</v>
      </c>
      <c r="BB1395" s="120">
        <f t="shared" si="366"/>
        <v>50005</v>
      </c>
      <c r="BC1395" s="8" t="s">
        <v>1472</v>
      </c>
      <c r="BD1395">
        <f t="shared" si="364"/>
        <v>5010450</v>
      </c>
      <c r="BE1395" s="1">
        <v>7</v>
      </c>
      <c r="BF1395" s="1">
        <v>3</v>
      </c>
      <c r="BI1395">
        <v>34.06</v>
      </c>
      <c r="BJ1395">
        <v>0.01</v>
      </c>
      <c r="BK1395">
        <v>34.049999999999997</v>
      </c>
      <c r="BP1395" s="63">
        <v>57</v>
      </c>
      <c r="BQ1395" s="63"/>
      <c r="BR1395">
        <v>50</v>
      </c>
    </row>
    <row r="1396" spans="1:70" hidden="1" outlineLevel="1">
      <c r="A1396" t="s">
        <v>2562</v>
      </c>
      <c r="B1396" s="8" t="s">
        <v>2016</v>
      </c>
      <c r="C1396" s="1">
        <f t="shared" si="356"/>
        <v>18937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357"/>
        <v>7</v>
      </c>
      <c r="G1396" s="1">
        <f t="shared" si="358"/>
        <v>12437</v>
      </c>
      <c r="H1396" s="2">
        <f t="shared" si="365"/>
        <v>0.65675661403601415</v>
      </c>
      <c r="I1396" s="6"/>
      <c r="J1396" s="2">
        <f t="shared" si="359"/>
        <v>0.76670011089401702</v>
      </c>
      <c r="K1396" s="2">
        <f t="shared" si="360"/>
        <v>0.10994349685800285</v>
      </c>
      <c r="L1396" s="2">
        <f t="shared" si="361"/>
        <v>1.3201668690922532E-3</v>
      </c>
      <c r="M1396" s="2">
        <f t="shared" si="362"/>
        <v>0.12203622537888788</v>
      </c>
      <c r="N1396" s="63">
        <v>14519</v>
      </c>
      <c r="O1396" s="63">
        <v>2082</v>
      </c>
      <c r="P1396" s="63">
        <v>25</v>
      </c>
      <c r="Q1396" s="63">
        <v>412</v>
      </c>
      <c r="R1396" s="63">
        <v>689</v>
      </c>
      <c r="S1396" s="63">
        <v>0</v>
      </c>
      <c r="T1396" s="63">
        <v>29</v>
      </c>
      <c r="U1396" s="63">
        <v>1</v>
      </c>
      <c r="V1396" s="63">
        <v>18</v>
      </c>
      <c r="W1396" s="63">
        <f t="shared" si="363"/>
        <v>1162</v>
      </c>
      <c r="X1396" s="63"/>
      <c r="Y1396" s="63"/>
      <c r="Z1396" s="63"/>
      <c r="AA1396" s="63"/>
      <c r="AB1396" s="63"/>
      <c r="AT1396" t="str">
        <f t="shared" si="353"/>
        <v>Burlington</v>
      </c>
      <c r="AU1396" t="s">
        <v>3175</v>
      </c>
      <c r="AV1396">
        <v>1</v>
      </c>
      <c r="AX1396" s="114">
        <v>50</v>
      </c>
      <c r="AY1396" s="116">
        <v>7</v>
      </c>
      <c r="AZ1396" s="116">
        <v>15</v>
      </c>
      <c r="BA1396" s="120">
        <v>10675</v>
      </c>
      <c r="BB1396" s="120">
        <f t="shared" si="366"/>
        <v>50007</v>
      </c>
      <c r="BC1396" s="8" t="s">
        <v>1249</v>
      </c>
      <c r="BD1396">
        <f t="shared" si="364"/>
        <v>5010675</v>
      </c>
      <c r="BE1396" s="1">
        <v>190</v>
      </c>
      <c r="BF1396" s="1">
        <v>3</v>
      </c>
      <c r="BI1396">
        <v>15.48</v>
      </c>
      <c r="BJ1396">
        <v>4.92</v>
      </c>
      <c r="BK1396">
        <v>10.56</v>
      </c>
      <c r="BP1396" s="63">
        <v>1188</v>
      </c>
      <c r="BQ1396" s="63"/>
      <c r="BR1396">
        <v>964</v>
      </c>
    </row>
    <row r="1397" spans="1:70" hidden="1" outlineLevel="1">
      <c r="A1397" t="s">
        <v>2754</v>
      </c>
      <c r="B1397" s="8" t="s">
        <v>2016</v>
      </c>
      <c r="C1397" s="1">
        <f t="shared" si="356"/>
        <v>793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357"/>
        <v>0</v>
      </c>
      <c r="G1397" s="1">
        <f t="shared" si="358"/>
        <v>142</v>
      </c>
      <c r="H1397" s="2">
        <f t="shared" si="365"/>
        <v>0.17906683480453972</v>
      </c>
      <c r="I1397" s="6"/>
      <c r="J1397" s="2">
        <f t="shared" si="359"/>
        <v>0.49684741488020179</v>
      </c>
      <c r="K1397" s="2">
        <f t="shared" si="360"/>
        <v>0.31778058007566207</v>
      </c>
      <c r="L1397" s="2">
        <f t="shared" si="361"/>
        <v>0</v>
      </c>
      <c r="M1397" s="2">
        <f t="shared" si="362"/>
        <v>0.18537200504413615</v>
      </c>
      <c r="N1397" s="63">
        <v>394</v>
      </c>
      <c r="O1397" s="63">
        <v>252</v>
      </c>
      <c r="P1397" s="63">
        <v>0</v>
      </c>
      <c r="Q1397" s="63">
        <v>37</v>
      </c>
      <c r="R1397" s="63">
        <v>32</v>
      </c>
      <c r="S1397" s="63">
        <v>0</v>
      </c>
      <c r="T1397" s="63">
        <v>4</v>
      </c>
      <c r="U1397" s="63"/>
      <c r="V1397" s="63">
        <v>0</v>
      </c>
      <c r="W1397" s="63">
        <f t="shared" si="363"/>
        <v>74</v>
      </c>
      <c r="X1397" s="63"/>
      <c r="Y1397" s="63"/>
      <c r="Z1397" s="63"/>
      <c r="AA1397" s="63"/>
      <c r="AB1397" s="63"/>
      <c r="AT1397" t="str">
        <f t="shared" si="353"/>
        <v>Cabot</v>
      </c>
      <c r="AU1397" t="s">
        <v>692</v>
      </c>
      <c r="AV1397">
        <v>1</v>
      </c>
      <c r="AX1397" s="114">
        <v>50</v>
      </c>
      <c r="AY1397" s="116">
        <v>23</v>
      </c>
      <c r="AZ1397" s="116">
        <v>20</v>
      </c>
      <c r="BA1397" s="120">
        <v>11125</v>
      </c>
      <c r="BB1397" s="120">
        <f t="shared" si="366"/>
        <v>50023</v>
      </c>
      <c r="BC1397" s="8" t="s">
        <v>1472</v>
      </c>
      <c r="BD1397">
        <f t="shared" si="364"/>
        <v>5011125</v>
      </c>
      <c r="BE1397" s="1">
        <v>6</v>
      </c>
      <c r="BF1397" s="1">
        <v>0</v>
      </c>
      <c r="BI1397">
        <v>38.53</v>
      </c>
      <c r="BJ1397">
        <v>1.24</v>
      </c>
      <c r="BK1397">
        <v>37.29</v>
      </c>
      <c r="BP1397" s="63">
        <v>74</v>
      </c>
      <c r="BQ1397" s="63"/>
      <c r="BR1397">
        <v>64</v>
      </c>
    </row>
    <row r="1398" spans="1:70" hidden="1" outlineLevel="1">
      <c r="A1398" t="s">
        <v>3059</v>
      </c>
      <c r="B1398" s="8" t="s">
        <v>2016</v>
      </c>
      <c r="C1398" s="1">
        <f t="shared" si="356"/>
        <v>1020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357"/>
        <v>6</v>
      </c>
      <c r="G1398" s="1">
        <f t="shared" si="358"/>
        <v>493</v>
      </c>
      <c r="H1398" s="2">
        <f t="shared" si="365"/>
        <v>0.48333333333333334</v>
      </c>
      <c r="I1398" s="6"/>
      <c r="J1398" s="2">
        <f t="shared" si="359"/>
        <v>0.67450980392156867</v>
      </c>
      <c r="K1398" s="2">
        <f t="shared" si="360"/>
        <v>0.19117647058823528</v>
      </c>
      <c r="L1398" s="2">
        <f t="shared" si="361"/>
        <v>3.9215686274509803E-3</v>
      </c>
      <c r="M1398" s="2">
        <f t="shared" si="362"/>
        <v>0.13039215686274508</v>
      </c>
      <c r="N1398" s="63">
        <v>688</v>
      </c>
      <c r="O1398" s="63">
        <v>195</v>
      </c>
      <c r="P1398" s="63">
        <v>4</v>
      </c>
      <c r="Q1398" s="63">
        <v>21</v>
      </c>
      <c r="R1398" s="63">
        <v>42</v>
      </c>
      <c r="S1398" s="63">
        <v>0</v>
      </c>
      <c r="T1398" s="63">
        <v>3</v>
      </c>
      <c r="U1398" s="63"/>
      <c r="V1398" s="63">
        <v>1</v>
      </c>
      <c r="W1398" s="63">
        <f t="shared" si="363"/>
        <v>66</v>
      </c>
      <c r="X1398" s="63"/>
      <c r="Y1398" s="63"/>
      <c r="Z1398" s="63"/>
      <c r="AA1398" s="63"/>
      <c r="AB1398" s="63"/>
      <c r="AT1398" t="str">
        <f t="shared" si="353"/>
        <v>Calais</v>
      </c>
      <c r="AU1398" t="s">
        <v>692</v>
      </c>
      <c r="AV1398">
        <v>1</v>
      </c>
      <c r="AX1398" s="114">
        <v>50</v>
      </c>
      <c r="AY1398" s="116">
        <v>23</v>
      </c>
      <c r="AZ1398" s="116">
        <v>25</v>
      </c>
      <c r="BA1398" s="120">
        <v>11350</v>
      </c>
      <c r="BB1398" s="120">
        <f t="shared" si="366"/>
        <v>50023</v>
      </c>
      <c r="BC1398" s="8" t="s">
        <v>1472</v>
      </c>
      <c r="BD1398">
        <f t="shared" si="364"/>
        <v>5011350</v>
      </c>
      <c r="BE1398" s="1">
        <v>13</v>
      </c>
      <c r="BF1398" s="1">
        <v>0</v>
      </c>
      <c r="BI1398">
        <v>38.58</v>
      </c>
      <c r="BJ1398">
        <v>0.56000000000000005</v>
      </c>
      <c r="BK1398">
        <v>38.020000000000003</v>
      </c>
      <c r="BP1398" s="63">
        <v>70</v>
      </c>
      <c r="BQ1398" s="63"/>
      <c r="BR1398">
        <v>58</v>
      </c>
    </row>
    <row r="1399" spans="1:70" hidden="1" outlineLevel="1">
      <c r="A1399" t="s">
        <v>2563</v>
      </c>
      <c r="B1399" s="8" t="s">
        <v>2016</v>
      </c>
      <c r="C1399" s="1">
        <f t="shared" si="356"/>
        <v>1928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357"/>
        <v>7</v>
      </c>
      <c r="G1399" s="1">
        <f t="shared" si="358"/>
        <v>547</v>
      </c>
      <c r="H1399" s="2">
        <f t="shared" si="365"/>
        <v>0.28371369294605808</v>
      </c>
      <c r="I1399" s="6"/>
      <c r="J1399" s="2">
        <f t="shared" si="359"/>
        <v>0.55342323651452285</v>
      </c>
      <c r="K1399" s="2">
        <f t="shared" si="360"/>
        <v>0.26970954356846472</v>
      </c>
      <c r="L1399" s="2">
        <f t="shared" si="361"/>
        <v>1.5560165975103733E-3</v>
      </c>
      <c r="M1399" s="2">
        <f t="shared" si="362"/>
        <v>0.17531120331950206</v>
      </c>
      <c r="N1399" s="63">
        <v>1067</v>
      </c>
      <c r="O1399" s="63">
        <v>520</v>
      </c>
      <c r="P1399" s="63">
        <v>3</v>
      </c>
      <c r="Q1399" s="63">
        <v>89</v>
      </c>
      <c r="R1399" s="63">
        <v>41</v>
      </c>
      <c r="S1399" s="63">
        <v>1</v>
      </c>
      <c r="T1399" s="63">
        <v>6</v>
      </c>
      <c r="U1399" s="63"/>
      <c r="V1399" s="63">
        <v>3</v>
      </c>
      <c r="W1399" s="63">
        <f t="shared" si="363"/>
        <v>198</v>
      </c>
      <c r="X1399" s="63"/>
      <c r="Y1399" s="63"/>
      <c r="Z1399" s="63"/>
      <c r="AA1399" s="63"/>
      <c r="AB1399" s="63"/>
      <c r="AT1399" t="str">
        <f t="shared" si="353"/>
        <v>Cambridge</v>
      </c>
      <c r="AU1399" t="s">
        <v>2768</v>
      </c>
      <c r="AV1399">
        <v>1</v>
      </c>
      <c r="AX1399" s="114">
        <v>50</v>
      </c>
      <c r="AY1399" s="116">
        <v>15</v>
      </c>
      <c r="AZ1399" s="116">
        <v>10</v>
      </c>
      <c r="BA1399" s="120">
        <v>11500</v>
      </c>
      <c r="BB1399" s="120">
        <f t="shared" si="366"/>
        <v>50015</v>
      </c>
      <c r="BC1399" s="8" t="s">
        <v>1472</v>
      </c>
      <c r="BD1399">
        <f t="shared" si="364"/>
        <v>5011500</v>
      </c>
      <c r="BE1399" s="1">
        <v>23</v>
      </c>
      <c r="BF1399" s="1">
        <v>2</v>
      </c>
      <c r="BI1399">
        <v>63.68</v>
      </c>
      <c r="BJ1399">
        <v>0.01</v>
      </c>
      <c r="BK1399">
        <v>63.66</v>
      </c>
      <c r="BP1399" s="63">
        <v>202</v>
      </c>
      <c r="BQ1399" s="63"/>
      <c r="BR1399">
        <v>165</v>
      </c>
    </row>
    <row r="1400" spans="1:70" hidden="1" outlineLevel="1">
      <c r="A1400" t="s">
        <v>2564</v>
      </c>
      <c r="B1400" s="8" t="s">
        <v>2016</v>
      </c>
      <c r="C1400" s="1">
        <f t="shared" si="356"/>
        <v>430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 t="shared" si="357"/>
        <v>0</v>
      </c>
      <c r="G1400" s="1">
        <f t="shared" si="358"/>
        <v>28</v>
      </c>
      <c r="H1400" s="2">
        <f t="shared" si="365"/>
        <v>6.5116279069767441E-2</v>
      </c>
      <c r="I1400" s="6"/>
      <c r="J1400" s="2">
        <f t="shared" si="359"/>
        <v>0.41627906976744183</v>
      </c>
      <c r="K1400" s="2">
        <f t="shared" si="360"/>
        <v>0.4813953488372093</v>
      </c>
      <c r="L1400" s="2">
        <f t="shared" si="361"/>
        <v>0</v>
      </c>
      <c r="M1400" s="2">
        <f t="shared" si="362"/>
        <v>0.10232558139534881</v>
      </c>
      <c r="N1400" s="63">
        <v>179</v>
      </c>
      <c r="O1400" s="63">
        <v>207</v>
      </c>
      <c r="P1400" s="63">
        <v>0</v>
      </c>
      <c r="Q1400" s="63">
        <v>12</v>
      </c>
      <c r="R1400" s="63">
        <v>2</v>
      </c>
      <c r="S1400" s="63">
        <v>0</v>
      </c>
      <c r="T1400" s="63">
        <v>3</v>
      </c>
      <c r="U1400" s="63"/>
      <c r="V1400" s="63">
        <v>0</v>
      </c>
      <c r="W1400" s="63">
        <f t="shared" si="363"/>
        <v>27</v>
      </c>
      <c r="X1400" s="63"/>
      <c r="Y1400" s="63"/>
      <c r="Z1400" s="63"/>
      <c r="AA1400" s="63"/>
      <c r="AB1400" s="63"/>
      <c r="AT1400" t="str">
        <f t="shared" si="353"/>
        <v>Canaan</v>
      </c>
      <c r="AU1400" t="s">
        <v>842</v>
      </c>
      <c r="AV1400">
        <v>1</v>
      </c>
      <c r="AX1400" s="114">
        <v>50</v>
      </c>
      <c r="AY1400" s="116">
        <v>9</v>
      </c>
      <c r="AZ1400" s="116">
        <v>30</v>
      </c>
      <c r="BA1400" s="120">
        <v>11800</v>
      </c>
      <c r="BB1400" s="120">
        <f t="shared" si="366"/>
        <v>50009</v>
      </c>
      <c r="BC1400" s="8" t="s">
        <v>1472</v>
      </c>
      <c r="BD1400">
        <f t="shared" si="364"/>
        <v>5011800</v>
      </c>
      <c r="BE1400" s="1">
        <v>4</v>
      </c>
      <c r="BF1400" s="1">
        <v>2</v>
      </c>
      <c r="BI1400">
        <v>33.380000000000003</v>
      </c>
      <c r="BJ1400">
        <v>0.17</v>
      </c>
      <c r="BK1400">
        <v>33.200000000000003</v>
      </c>
      <c r="BP1400" s="63">
        <v>27</v>
      </c>
      <c r="BQ1400" s="63"/>
      <c r="BR1400">
        <v>0</v>
      </c>
    </row>
    <row r="1401" spans="1:70" hidden="1" outlineLevel="1">
      <c r="A1401" t="s">
        <v>3068</v>
      </c>
      <c r="B1401" s="8" t="s">
        <v>2016</v>
      </c>
      <c r="C1401" s="1">
        <f t="shared" si="356"/>
        <v>1791</v>
      </c>
      <c r="D1401" s="5">
        <f>IF(N1401&gt;0, RANK(N1401,(N1401:P1401,Q1401:AE1401)),0)</f>
        <v>2</v>
      </c>
      <c r="E1401" s="5">
        <f>IF(O1401&gt;0,RANK(O1401,(N1401:P1401,Q1401:AE1401)),0)</f>
        <v>1</v>
      </c>
      <c r="F1401" s="5">
        <f t="shared" si="357"/>
        <v>7</v>
      </c>
      <c r="G1401" s="1">
        <f t="shared" si="358"/>
        <v>13</v>
      </c>
      <c r="H1401" s="2">
        <f t="shared" si="365"/>
        <v>7.2585147962032385E-3</v>
      </c>
      <c r="I1401" s="6"/>
      <c r="J1401" s="2">
        <f t="shared" si="359"/>
        <v>0.44388609715242883</v>
      </c>
      <c r="K1401" s="2">
        <f t="shared" si="360"/>
        <v>0.45114461194863203</v>
      </c>
      <c r="L1401" s="2">
        <f t="shared" si="361"/>
        <v>1.6750418760469012E-3</v>
      </c>
      <c r="M1401" s="2">
        <f t="shared" si="362"/>
        <v>0.10329424902289229</v>
      </c>
      <c r="N1401" s="63">
        <v>795</v>
      </c>
      <c r="O1401" s="63">
        <v>808</v>
      </c>
      <c r="P1401" s="63">
        <v>3</v>
      </c>
      <c r="Q1401" s="63">
        <v>39</v>
      </c>
      <c r="R1401" s="63">
        <v>22</v>
      </c>
      <c r="S1401" s="63">
        <v>0</v>
      </c>
      <c r="T1401" s="63">
        <v>6</v>
      </c>
      <c r="U1401" s="63"/>
      <c r="V1401" s="63">
        <v>3</v>
      </c>
      <c r="W1401" s="63">
        <f t="shared" si="363"/>
        <v>115</v>
      </c>
      <c r="X1401" s="63"/>
      <c r="Y1401" s="63"/>
      <c r="Z1401" s="63"/>
      <c r="AA1401" s="63"/>
      <c r="AB1401" s="63"/>
      <c r="AT1401" t="str">
        <f t="shared" si="353"/>
        <v>Castleton</v>
      </c>
      <c r="AU1401" t="s">
        <v>589</v>
      </c>
      <c r="AV1401">
        <v>1</v>
      </c>
      <c r="AX1401" s="114">
        <v>50</v>
      </c>
      <c r="AY1401" s="116">
        <v>21</v>
      </c>
      <c r="AZ1401" s="116">
        <v>15</v>
      </c>
      <c r="BA1401" s="120">
        <v>11950</v>
      </c>
      <c r="BB1401" s="120">
        <f t="shared" si="366"/>
        <v>50021</v>
      </c>
      <c r="BC1401" s="8" t="s">
        <v>1472</v>
      </c>
      <c r="BD1401">
        <f t="shared" si="364"/>
        <v>5011950</v>
      </c>
      <c r="BE1401" s="1">
        <v>8</v>
      </c>
      <c r="BF1401" s="1">
        <v>2</v>
      </c>
      <c r="BI1401">
        <v>42.36</v>
      </c>
      <c r="BJ1401">
        <v>3.33</v>
      </c>
      <c r="BK1401">
        <v>39.020000000000003</v>
      </c>
      <c r="BP1401" s="63">
        <v>118</v>
      </c>
      <c r="BQ1401" s="63"/>
      <c r="BR1401">
        <v>94</v>
      </c>
    </row>
    <row r="1402" spans="1:70" hidden="1" outlineLevel="1">
      <c r="A1402" t="s">
        <v>1199</v>
      </c>
      <c r="B1402" s="8" t="s">
        <v>2016</v>
      </c>
      <c r="C1402" s="1">
        <f t="shared" si="356"/>
        <v>686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357"/>
        <v>7</v>
      </c>
      <c r="G1402" s="1">
        <f t="shared" si="358"/>
        <v>44</v>
      </c>
      <c r="H1402" s="2">
        <f t="shared" si="365"/>
        <v>6.4139941690962099E-2</v>
      </c>
      <c r="I1402" s="6"/>
      <c r="J1402" s="2">
        <f t="shared" si="359"/>
        <v>0.44606413994169097</v>
      </c>
      <c r="K1402" s="2">
        <f t="shared" si="360"/>
        <v>0.38192419825072887</v>
      </c>
      <c r="L1402" s="2">
        <f t="shared" si="361"/>
        <v>4.3731778425655978E-3</v>
      </c>
      <c r="M1402" s="2">
        <f t="shared" si="362"/>
        <v>0.1676384839650146</v>
      </c>
      <c r="N1402" s="63">
        <v>306</v>
      </c>
      <c r="O1402" s="63">
        <v>262</v>
      </c>
      <c r="P1402" s="63">
        <v>3</v>
      </c>
      <c r="Q1402" s="63">
        <v>20</v>
      </c>
      <c r="R1402" s="63">
        <v>19</v>
      </c>
      <c r="S1402" s="63">
        <v>0</v>
      </c>
      <c r="T1402" s="63">
        <v>5</v>
      </c>
      <c r="U1402" s="63"/>
      <c r="V1402" s="63">
        <v>0</v>
      </c>
      <c r="W1402" s="63">
        <f t="shared" si="363"/>
        <v>71</v>
      </c>
      <c r="X1402" s="63"/>
      <c r="Y1402" s="63"/>
      <c r="Z1402" s="63"/>
      <c r="AA1402" s="63"/>
      <c r="AB1402" s="63"/>
      <c r="AT1402" t="str">
        <f t="shared" si="353"/>
        <v>Cavendish</v>
      </c>
      <c r="AU1402" t="s">
        <v>2282</v>
      </c>
      <c r="AV1402">
        <v>1</v>
      </c>
      <c r="AX1402" s="114">
        <v>50</v>
      </c>
      <c r="AY1402" s="116">
        <v>27</v>
      </c>
      <c r="AZ1402" s="116">
        <v>30</v>
      </c>
      <c r="BA1402" s="120">
        <v>12250</v>
      </c>
      <c r="BB1402" s="120">
        <f t="shared" si="366"/>
        <v>50027</v>
      </c>
      <c r="BC1402" s="8" t="s">
        <v>1472</v>
      </c>
      <c r="BD1402">
        <f t="shared" si="364"/>
        <v>5012250</v>
      </c>
      <c r="BE1402" s="1">
        <v>17</v>
      </c>
      <c r="BF1402" s="1">
        <v>0</v>
      </c>
      <c r="BI1402">
        <v>39.69</v>
      </c>
      <c r="BJ1402">
        <v>0.05</v>
      </c>
      <c r="BK1402">
        <v>39.64</v>
      </c>
      <c r="BP1402" s="63">
        <v>74</v>
      </c>
      <c r="BQ1402" s="63"/>
      <c r="BR1402">
        <v>62</v>
      </c>
    </row>
    <row r="1403" spans="1:70" hidden="1" outlineLevel="1">
      <c r="A1403" t="s">
        <v>2784</v>
      </c>
      <c r="B1403" s="8" t="s">
        <v>2016</v>
      </c>
      <c r="C1403" s="1">
        <f t="shared" si="356"/>
        <v>464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 t="shared" si="357"/>
        <v>0</v>
      </c>
      <c r="G1403" s="1">
        <f t="shared" si="358"/>
        <v>26</v>
      </c>
      <c r="H1403" s="2">
        <f t="shared" si="365"/>
        <v>5.6034482758620691E-2</v>
      </c>
      <c r="I1403" s="6"/>
      <c r="J1403" s="2">
        <f t="shared" si="359"/>
        <v>0.39655172413793105</v>
      </c>
      <c r="K1403" s="2">
        <f t="shared" si="360"/>
        <v>0.45258620689655171</v>
      </c>
      <c r="L1403" s="2">
        <f t="shared" si="361"/>
        <v>0</v>
      </c>
      <c r="M1403" s="2">
        <f t="shared" si="362"/>
        <v>0.15086206896551724</v>
      </c>
      <c r="N1403" s="63">
        <v>184</v>
      </c>
      <c r="O1403" s="63">
        <v>210</v>
      </c>
      <c r="P1403" s="63">
        <v>0</v>
      </c>
      <c r="Q1403" s="63">
        <v>17</v>
      </c>
      <c r="R1403" s="63">
        <v>13</v>
      </c>
      <c r="S1403" s="63">
        <v>0</v>
      </c>
      <c r="T1403" s="63">
        <v>2</v>
      </c>
      <c r="U1403" s="63"/>
      <c r="V1403" s="63">
        <v>7</v>
      </c>
      <c r="W1403" s="63">
        <f t="shared" si="363"/>
        <v>31</v>
      </c>
      <c r="X1403" s="63"/>
      <c r="Y1403" s="63"/>
      <c r="Z1403" s="63"/>
      <c r="AA1403" s="63"/>
      <c r="AB1403" s="63"/>
      <c r="AT1403" t="str">
        <f t="shared" si="353"/>
        <v>Charleston</v>
      </c>
      <c r="AU1403" t="s">
        <v>405</v>
      </c>
      <c r="AV1403">
        <v>1</v>
      </c>
      <c r="AX1403" s="114">
        <v>50</v>
      </c>
      <c r="AY1403" s="116">
        <v>19</v>
      </c>
      <c r="AZ1403" s="116">
        <v>20</v>
      </c>
      <c r="BA1403" s="120">
        <v>13150</v>
      </c>
      <c r="BB1403" s="120">
        <f t="shared" si="366"/>
        <v>50019</v>
      </c>
      <c r="BC1403" s="8" t="s">
        <v>1472</v>
      </c>
      <c r="BD1403">
        <f t="shared" si="364"/>
        <v>5013150</v>
      </c>
      <c r="BE1403" s="1">
        <v>5</v>
      </c>
      <c r="BF1403" s="1">
        <v>2</v>
      </c>
      <c r="BI1403">
        <v>38.6</v>
      </c>
      <c r="BJ1403">
        <v>1.1299999999999999</v>
      </c>
      <c r="BK1403">
        <v>37.479999999999997</v>
      </c>
      <c r="BP1403" s="63">
        <v>31</v>
      </c>
      <c r="BQ1403" s="63"/>
      <c r="BR1403">
        <v>28</v>
      </c>
    </row>
    <row r="1404" spans="1:70" hidden="1" outlineLevel="1">
      <c r="A1404" t="s">
        <v>1188</v>
      </c>
      <c r="B1404" s="8" t="s">
        <v>2016</v>
      </c>
      <c r="C1404" s="1">
        <f t="shared" si="356"/>
        <v>2564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357"/>
        <v>7</v>
      </c>
      <c r="G1404" s="1">
        <f t="shared" si="358"/>
        <v>1282</v>
      </c>
      <c r="H1404" s="2">
        <f t="shared" si="365"/>
        <v>0.5</v>
      </c>
      <c r="I1404" s="6"/>
      <c r="J1404" s="2">
        <f t="shared" si="359"/>
        <v>0.69968798751950079</v>
      </c>
      <c r="K1404" s="2">
        <f t="shared" si="360"/>
        <v>0.19968798751950079</v>
      </c>
      <c r="L1404" s="2">
        <f t="shared" si="361"/>
        <v>1.1700468018720749E-3</v>
      </c>
      <c r="M1404" s="2">
        <f t="shared" si="362"/>
        <v>9.9453978159126349E-2</v>
      </c>
      <c r="N1404" s="63">
        <v>1794</v>
      </c>
      <c r="O1404" s="63">
        <v>512</v>
      </c>
      <c r="P1404" s="63">
        <v>3</v>
      </c>
      <c r="Q1404" s="63">
        <v>79</v>
      </c>
      <c r="R1404" s="63">
        <v>54</v>
      </c>
      <c r="S1404" s="63">
        <v>0</v>
      </c>
      <c r="T1404" s="63">
        <v>6</v>
      </c>
      <c r="U1404" s="63"/>
      <c r="V1404" s="63">
        <v>2</v>
      </c>
      <c r="W1404" s="63">
        <f t="shared" si="363"/>
        <v>114</v>
      </c>
      <c r="X1404" s="63"/>
      <c r="Y1404" s="63"/>
      <c r="Z1404" s="63"/>
      <c r="AA1404" s="63"/>
      <c r="AB1404" s="63"/>
      <c r="AT1404" t="str">
        <f t="shared" si="353"/>
        <v>Charlotte</v>
      </c>
      <c r="AU1404" t="s">
        <v>3175</v>
      </c>
      <c r="AV1404">
        <v>1</v>
      </c>
      <c r="AX1404" s="114">
        <v>50</v>
      </c>
      <c r="AY1404" s="116">
        <v>7</v>
      </c>
      <c r="AZ1404" s="116">
        <v>20</v>
      </c>
      <c r="BA1404" s="120">
        <v>13300</v>
      </c>
      <c r="BB1404" s="120">
        <f t="shared" si="366"/>
        <v>50007</v>
      </c>
      <c r="BC1404" s="8" t="s">
        <v>1472</v>
      </c>
      <c r="BD1404">
        <f t="shared" si="364"/>
        <v>5013300</v>
      </c>
      <c r="BE1404" s="1">
        <v>33</v>
      </c>
      <c r="BF1404" s="1">
        <v>26</v>
      </c>
      <c r="BI1404">
        <v>50.44</v>
      </c>
      <c r="BJ1404">
        <v>8.9600000000000009</v>
      </c>
      <c r="BK1404">
        <v>41.48</v>
      </c>
      <c r="BP1404" s="63">
        <v>117</v>
      </c>
      <c r="BQ1404" s="63"/>
      <c r="BR1404">
        <v>87</v>
      </c>
    </row>
    <row r="1405" spans="1:70" hidden="1" outlineLevel="1">
      <c r="A1405" t="s">
        <v>1006</v>
      </c>
      <c r="B1405" s="8" t="s">
        <v>2016</v>
      </c>
      <c r="C1405" s="1">
        <f t="shared" si="356"/>
        <v>660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357"/>
        <v>7</v>
      </c>
      <c r="G1405" s="1">
        <f t="shared" si="358"/>
        <v>31</v>
      </c>
      <c r="H1405" s="2">
        <f t="shared" si="365"/>
        <v>4.6969696969696967E-2</v>
      </c>
      <c r="I1405" s="6"/>
      <c r="J1405" s="2">
        <f t="shared" si="359"/>
        <v>0.46060606060606063</v>
      </c>
      <c r="K1405" s="2">
        <f t="shared" si="360"/>
        <v>0.41363636363636364</v>
      </c>
      <c r="L1405" s="2">
        <f t="shared" si="361"/>
        <v>3.0303030303030303E-3</v>
      </c>
      <c r="M1405" s="2">
        <f t="shared" si="362"/>
        <v>0.12272727272727264</v>
      </c>
      <c r="N1405" s="63">
        <v>304</v>
      </c>
      <c r="O1405" s="63">
        <v>273</v>
      </c>
      <c r="P1405" s="63">
        <v>2</v>
      </c>
      <c r="Q1405" s="63">
        <v>22</v>
      </c>
      <c r="R1405" s="63">
        <v>12</v>
      </c>
      <c r="S1405" s="63">
        <v>0</v>
      </c>
      <c r="T1405" s="63">
        <v>4</v>
      </c>
      <c r="U1405" s="63"/>
      <c r="V1405" s="63">
        <v>0</v>
      </c>
      <c r="W1405" s="63">
        <f t="shared" si="363"/>
        <v>43</v>
      </c>
      <c r="X1405" s="63"/>
      <c r="Y1405" s="63"/>
      <c r="Z1405" s="63"/>
      <c r="AA1405" s="63"/>
      <c r="AB1405" s="63"/>
      <c r="AT1405" t="str">
        <f t="shared" si="353"/>
        <v>Chelsea</v>
      </c>
      <c r="AU1405" t="s">
        <v>2013</v>
      </c>
      <c r="AV1405">
        <v>1</v>
      </c>
      <c r="AX1405" s="114">
        <v>50</v>
      </c>
      <c r="AY1405" s="116">
        <v>17</v>
      </c>
      <c r="AZ1405" s="116">
        <v>20</v>
      </c>
      <c r="BA1405" s="120">
        <v>13525</v>
      </c>
      <c r="BB1405" s="120">
        <f t="shared" si="366"/>
        <v>50017</v>
      </c>
      <c r="BC1405" s="8" t="s">
        <v>1472</v>
      </c>
      <c r="BD1405">
        <f t="shared" si="364"/>
        <v>5013525</v>
      </c>
      <c r="BE1405" s="1">
        <v>9</v>
      </c>
      <c r="BF1405" s="1">
        <v>3</v>
      </c>
      <c r="BI1405">
        <v>39.94</v>
      </c>
      <c r="BJ1405">
        <v>0.02</v>
      </c>
      <c r="BK1405">
        <v>39.92</v>
      </c>
      <c r="BP1405" s="63">
        <v>45</v>
      </c>
      <c r="BQ1405" s="63"/>
      <c r="BR1405">
        <v>34</v>
      </c>
    </row>
    <row r="1406" spans="1:70" hidden="1" outlineLevel="1">
      <c r="A1406" t="s">
        <v>357</v>
      </c>
      <c r="B1406" s="8" t="s">
        <v>2016</v>
      </c>
      <c r="C1406" s="1">
        <f t="shared" si="356"/>
        <v>1546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357"/>
        <v>6</v>
      </c>
      <c r="G1406" s="1">
        <f t="shared" si="358"/>
        <v>315</v>
      </c>
      <c r="H1406" s="2">
        <f t="shared" si="365"/>
        <v>0.203751617076326</v>
      </c>
      <c r="I1406" s="6"/>
      <c r="J1406" s="2">
        <f t="shared" si="359"/>
        <v>0.53492884864165591</v>
      </c>
      <c r="K1406" s="2">
        <f t="shared" si="360"/>
        <v>0.33117723156532991</v>
      </c>
      <c r="L1406" s="2">
        <f t="shared" si="361"/>
        <v>4.5278137128072441E-3</v>
      </c>
      <c r="M1406" s="2">
        <f t="shared" si="362"/>
        <v>0.12936610608020693</v>
      </c>
      <c r="N1406" s="63">
        <v>827</v>
      </c>
      <c r="O1406" s="63">
        <v>512</v>
      </c>
      <c r="P1406" s="63">
        <v>7</v>
      </c>
      <c r="Q1406" s="63">
        <v>47</v>
      </c>
      <c r="R1406" s="63">
        <v>34</v>
      </c>
      <c r="S1406" s="63">
        <v>1</v>
      </c>
      <c r="T1406" s="63">
        <v>3</v>
      </c>
      <c r="U1406" s="63"/>
      <c r="V1406" s="63">
        <v>1</v>
      </c>
      <c r="W1406" s="63">
        <f t="shared" si="363"/>
        <v>113</v>
      </c>
      <c r="X1406" s="63"/>
      <c r="Y1406" s="63"/>
      <c r="Z1406" s="63"/>
      <c r="AA1406" s="63"/>
      <c r="AB1406" s="63"/>
      <c r="AE1406" s="8">
        <v>1</v>
      </c>
      <c r="AT1406" t="str">
        <f t="shared" si="353"/>
        <v>Chester</v>
      </c>
      <c r="AU1406" t="s">
        <v>2282</v>
      </c>
      <c r="AV1406">
        <v>1</v>
      </c>
      <c r="AX1406" s="114">
        <v>50</v>
      </c>
      <c r="AY1406" s="116">
        <v>27</v>
      </c>
      <c r="AZ1406" s="116">
        <v>35</v>
      </c>
      <c r="BA1406" s="120">
        <v>13675</v>
      </c>
      <c r="BB1406" s="120">
        <f t="shared" si="366"/>
        <v>50027</v>
      </c>
      <c r="BC1406" s="8" t="s">
        <v>1472</v>
      </c>
      <c r="BD1406">
        <f t="shared" si="364"/>
        <v>5013675</v>
      </c>
      <c r="BE1406" s="1">
        <v>19</v>
      </c>
      <c r="BF1406" s="1">
        <v>0</v>
      </c>
      <c r="BI1406">
        <v>55.94</v>
      </c>
      <c r="BJ1406">
        <v>0.05</v>
      </c>
      <c r="BK1406">
        <v>55.89</v>
      </c>
      <c r="BP1406" s="63">
        <v>122</v>
      </c>
      <c r="BQ1406" s="63"/>
      <c r="BR1406">
        <v>94</v>
      </c>
    </row>
    <row r="1407" spans="1:70" hidden="1" outlineLevel="1">
      <c r="A1407" t="s">
        <v>3175</v>
      </c>
      <c r="B1407" s="8" t="s">
        <v>2016</v>
      </c>
      <c r="C1407" s="1">
        <f t="shared" si="356"/>
        <v>751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357"/>
        <v>6</v>
      </c>
      <c r="G1407" s="1">
        <f t="shared" si="358"/>
        <v>40</v>
      </c>
      <c r="H1407" s="2">
        <f t="shared" si="365"/>
        <v>5.3262316910785618E-2</v>
      </c>
      <c r="I1407" s="6"/>
      <c r="J1407" s="2">
        <f t="shared" si="359"/>
        <v>0.46870838881491345</v>
      </c>
      <c r="K1407" s="2">
        <f t="shared" si="360"/>
        <v>0.41544607190412786</v>
      </c>
      <c r="L1407" s="2">
        <f t="shared" si="361"/>
        <v>7.989347536617843E-3</v>
      </c>
      <c r="M1407" s="2">
        <f t="shared" si="362"/>
        <v>0.1078561917443408</v>
      </c>
      <c r="N1407" s="63">
        <v>352</v>
      </c>
      <c r="O1407" s="63">
        <v>312</v>
      </c>
      <c r="P1407" s="63">
        <v>6</v>
      </c>
      <c r="Q1407" s="63">
        <v>21</v>
      </c>
      <c r="R1407" s="63">
        <v>11</v>
      </c>
      <c r="S1407" s="63">
        <v>0</v>
      </c>
      <c r="T1407" s="63">
        <v>2</v>
      </c>
      <c r="U1407" s="63"/>
      <c r="V1407" s="63">
        <v>0</v>
      </c>
      <c r="W1407" s="63">
        <f t="shared" si="363"/>
        <v>47</v>
      </c>
      <c r="X1407" s="63"/>
      <c r="Y1407" s="63"/>
      <c r="Z1407" s="63"/>
      <c r="AA1407" s="63"/>
      <c r="AB1407" s="63"/>
      <c r="AT1407" t="str">
        <f t="shared" si="353"/>
        <v>Chittenden</v>
      </c>
      <c r="AU1407" t="s">
        <v>589</v>
      </c>
      <c r="AV1407">
        <v>1</v>
      </c>
      <c r="AX1407" s="114">
        <v>50</v>
      </c>
      <c r="AY1407" s="116">
        <v>21</v>
      </c>
      <c r="AZ1407" s="116">
        <v>20</v>
      </c>
      <c r="BA1407" s="120">
        <v>14350</v>
      </c>
      <c r="BB1407" s="120">
        <f t="shared" si="366"/>
        <v>50021</v>
      </c>
      <c r="BC1407" s="8" t="s">
        <v>1472</v>
      </c>
      <c r="BD1407">
        <f t="shared" si="364"/>
        <v>5014350</v>
      </c>
      <c r="BE1407" s="1">
        <v>16</v>
      </c>
      <c r="BF1407" s="1">
        <v>0</v>
      </c>
      <c r="BI1407">
        <v>74.209999999999994</v>
      </c>
      <c r="BJ1407">
        <v>1.2</v>
      </c>
      <c r="BK1407">
        <v>73.010000000000005</v>
      </c>
      <c r="BP1407" s="63">
        <v>53</v>
      </c>
      <c r="BQ1407" s="63"/>
      <c r="BR1407">
        <v>0</v>
      </c>
    </row>
    <row r="1408" spans="1:70" hidden="1" outlineLevel="1">
      <c r="A1408" t="s">
        <v>232</v>
      </c>
      <c r="B1408" s="8" t="s">
        <v>2016</v>
      </c>
      <c r="C1408" s="1">
        <f t="shared" si="356"/>
        <v>1242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 t="shared" si="357"/>
        <v>7</v>
      </c>
      <c r="G1408" s="1">
        <f t="shared" si="358"/>
        <v>171</v>
      </c>
      <c r="H1408" s="2">
        <f t="shared" si="365"/>
        <v>0.13768115942028986</v>
      </c>
      <c r="I1408" s="6"/>
      <c r="J1408" s="2">
        <f t="shared" si="359"/>
        <v>0.37842190016103061</v>
      </c>
      <c r="K1408" s="2">
        <f t="shared" si="360"/>
        <v>0.51610305958132041</v>
      </c>
      <c r="L1408" s="2">
        <f t="shared" si="361"/>
        <v>8.0515297906602254E-4</v>
      </c>
      <c r="M1408" s="2">
        <f t="shared" si="362"/>
        <v>0.10466988727858295</v>
      </c>
      <c r="N1408" s="63">
        <v>470</v>
      </c>
      <c r="O1408" s="63">
        <v>641</v>
      </c>
      <c r="P1408" s="63">
        <v>1</v>
      </c>
      <c r="Q1408" s="63">
        <v>35</v>
      </c>
      <c r="R1408" s="63">
        <v>11</v>
      </c>
      <c r="S1408" s="63">
        <v>0</v>
      </c>
      <c r="T1408" s="63">
        <v>2</v>
      </c>
      <c r="U1408" s="63"/>
      <c r="V1408" s="63">
        <v>0</v>
      </c>
      <c r="W1408" s="63">
        <f t="shared" si="363"/>
        <v>82</v>
      </c>
      <c r="X1408" s="63"/>
      <c r="Y1408" s="63"/>
      <c r="Z1408" s="63"/>
      <c r="AA1408" s="63"/>
      <c r="AB1408" s="63"/>
      <c r="AT1408" t="str">
        <f t="shared" si="353"/>
        <v>Clarendon</v>
      </c>
      <c r="AU1408" t="s">
        <v>589</v>
      </c>
      <c r="AV1408">
        <v>1</v>
      </c>
      <c r="AX1408" s="114">
        <v>50</v>
      </c>
      <c r="AY1408" s="116">
        <v>21</v>
      </c>
      <c r="AZ1408" s="116">
        <v>25</v>
      </c>
      <c r="BA1408" s="120">
        <v>14500</v>
      </c>
      <c r="BB1408" s="120">
        <f t="shared" si="366"/>
        <v>50021</v>
      </c>
      <c r="BC1408" s="8" t="s">
        <v>1472</v>
      </c>
      <c r="BD1408">
        <f t="shared" si="364"/>
        <v>5014500</v>
      </c>
      <c r="BE1408" s="1">
        <v>19</v>
      </c>
      <c r="BF1408" s="1">
        <v>1</v>
      </c>
      <c r="BI1408">
        <v>31.56</v>
      </c>
      <c r="BJ1408">
        <v>0</v>
      </c>
      <c r="BK1408">
        <v>31.56</v>
      </c>
      <c r="BP1408" s="63">
        <v>83</v>
      </c>
      <c r="BQ1408" s="63"/>
      <c r="BR1408">
        <v>76</v>
      </c>
    </row>
    <row r="1409" spans="1:70" hidden="1" outlineLevel="1">
      <c r="A1409" t="s">
        <v>2544</v>
      </c>
      <c r="B1409" s="8" t="s">
        <v>2016</v>
      </c>
      <c r="C1409" s="1">
        <f t="shared" si="356"/>
        <v>7763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357"/>
        <v>7</v>
      </c>
      <c r="G1409" s="1">
        <f t="shared" si="358"/>
        <v>2058</v>
      </c>
      <c r="H1409" s="2">
        <f t="shared" si="365"/>
        <v>0.26510369702434627</v>
      </c>
      <c r="I1409" s="6"/>
      <c r="J1409" s="2">
        <f t="shared" si="359"/>
        <v>0.57748293185624111</v>
      </c>
      <c r="K1409" s="2">
        <f t="shared" si="360"/>
        <v>0.31237923483189489</v>
      </c>
      <c r="L1409" s="2">
        <f t="shared" si="361"/>
        <v>1.1593456138090945E-3</v>
      </c>
      <c r="M1409" s="2">
        <f t="shared" si="362"/>
        <v>0.1089784876980549</v>
      </c>
      <c r="N1409" s="63">
        <v>4483</v>
      </c>
      <c r="O1409" s="63">
        <v>2425</v>
      </c>
      <c r="P1409" s="63">
        <v>9</v>
      </c>
      <c r="Q1409" s="63">
        <v>245</v>
      </c>
      <c r="R1409" s="63">
        <v>120</v>
      </c>
      <c r="S1409" s="63">
        <v>0</v>
      </c>
      <c r="T1409" s="63">
        <v>22</v>
      </c>
      <c r="U1409" s="63"/>
      <c r="V1409" s="63">
        <v>9</v>
      </c>
      <c r="W1409" s="63">
        <f t="shared" si="363"/>
        <v>450</v>
      </c>
      <c r="X1409" s="63"/>
      <c r="Y1409" s="63"/>
      <c r="Z1409" s="63"/>
      <c r="AA1409" s="63"/>
      <c r="AB1409" s="63"/>
      <c r="AT1409" t="str">
        <f t="shared" si="353"/>
        <v>Colchester</v>
      </c>
      <c r="AU1409" t="s">
        <v>3175</v>
      </c>
      <c r="AV1409">
        <v>1</v>
      </c>
      <c r="AX1409" s="114">
        <v>50</v>
      </c>
      <c r="AY1409" s="116">
        <v>7</v>
      </c>
      <c r="AZ1409" s="116">
        <v>25</v>
      </c>
      <c r="BA1409" s="120">
        <v>14875</v>
      </c>
      <c r="BB1409" s="120">
        <f t="shared" si="366"/>
        <v>50007</v>
      </c>
      <c r="BC1409" s="8" t="s">
        <v>1472</v>
      </c>
      <c r="BD1409">
        <f t="shared" si="364"/>
        <v>5014875</v>
      </c>
      <c r="BE1409" s="1">
        <v>103</v>
      </c>
      <c r="BF1409" s="1">
        <v>114</v>
      </c>
      <c r="BI1409">
        <v>58.63</v>
      </c>
      <c r="BJ1409">
        <v>21.75</v>
      </c>
      <c r="BK1409">
        <v>36.880000000000003</v>
      </c>
      <c r="BP1409" s="63">
        <v>459</v>
      </c>
      <c r="BQ1409" s="63"/>
      <c r="BR1409">
        <v>398</v>
      </c>
    </row>
    <row r="1410" spans="1:70" hidden="1" outlineLevel="1">
      <c r="A1410" t="s">
        <v>2695</v>
      </c>
      <c r="B1410" s="8" t="s">
        <v>2016</v>
      </c>
      <c r="C1410" s="1">
        <f t="shared" si="356"/>
        <v>564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 t="shared" si="357"/>
        <v>5</v>
      </c>
      <c r="G1410" s="1">
        <f t="shared" si="358"/>
        <v>111</v>
      </c>
      <c r="H1410" s="2">
        <f t="shared" si="365"/>
        <v>0.19680851063829788</v>
      </c>
      <c r="I1410" s="6"/>
      <c r="J1410" s="2">
        <f t="shared" si="359"/>
        <v>0.32092198581560283</v>
      </c>
      <c r="K1410" s="2">
        <f t="shared" si="360"/>
        <v>0.51773049645390068</v>
      </c>
      <c r="L1410" s="2">
        <f t="shared" si="361"/>
        <v>7.0921985815602835E-3</v>
      </c>
      <c r="M1410" s="2">
        <f t="shared" si="362"/>
        <v>0.1542553191489362</v>
      </c>
      <c r="N1410" s="63">
        <v>181</v>
      </c>
      <c r="O1410" s="63">
        <v>292</v>
      </c>
      <c r="P1410" s="63">
        <v>4</v>
      </c>
      <c r="Q1410" s="63">
        <v>30</v>
      </c>
      <c r="R1410" s="63">
        <v>3</v>
      </c>
      <c r="S1410" s="63">
        <v>0</v>
      </c>
      <c r="T1410" s="63">
        <v>2</v>
      </c>
      <c r="U1410" s="63"/>
      <c r="V1410" s="63">
        <v>1</v>
      </c>
      <c r="W1410" s="63">
        <f t="shared" si="363"/>
        <v>51</v>
      </c>
      <c r="X1410" s="63"/>
      <c r="Y1410" s="63"/>
      <c r="Z1410" s="63"/>
      <c r="AA1410" s="63"/>
      <c r="AB1410" s="63"/>
      <c r="AT1410" t="str">
        <f t="shared" si="353"/>
        <v>Concord</v>
      </c>
      <c r="AU1410" t="s">
        <v>842</v>
      </c>
      <c r="AV1410">
        <v>1</v>
      </c>
      <c r="AX1410" s="114">
        <v>50</v>
      </c>
      <c r="AY1410" s="116">
        <v>9</v>
      </c>
      <c r="AZ1410" s="116">
        <v>35</v>
      </c>
      <c r="BA1410" s="120">
        <v>15250</v>
      </c>
      <c r="BB1410" s="120">
        <f t="shared" si="366"/>
        <v>50009</v>
      </c>
      <c r="BC1410" s="8" t="s">
        <v>1472</v>
      </c>
      <c r="BD1410">
        <f t="shared" si="364"/>
        <v>5015250</v>
      </c>
      <c r="BE1410" s="1">
        <v>11</v>
      </c>
      <c r="BF1410" s="1">
        <v>2</v>
      </c>
      <c r="BI1410">
        <v>53.46</v>
      </c>
      <c r="BJ1410">
        <v>2.0299999999999998</v>
      </c>
      <c r="BK1410">
        <v>51.44</v>
      </c>
      <c r="BP1410" s="63">
        <v>55</v>
      </c>
      <c r="BQ1410" s="63"/>
      <c r="BR1410">
        <v>45</v>
      </c>
    </row>
    <row r="1411" spans="1:70" hidden="1" outlineLevel="1">
      <c r="A1411" t="s">
        <v>2152</v>
      </c>
      <c r="B1411" s="8" t="s">
        <v>2016</v>
      </c>
      <c r="C1411" s="1">
        <f t="shared" si="356"/>
        <v>677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357"/>
        <v>7</v>
      </c>
      <c r="G1411" s="1">
        <f t="shared" si="358"/>
        <v>44</v>
      </c>
      <c r="H1411" s="2">
        <f t="shared" si="365"/>
        <v>6.4992614475627764E-2</v>
      </c>
      <c r="I1411" s="6"/>
      <c r="J1411" s="2">
        <f t="shared" si="359"/>
        <v>0.4549483013293944</v>
      </c>
      <c r="K1411" s="2">
        <f t="shared" si="360"/>
        <v>0.38995568685376664</v>
      </c>
      <c r="L1411" s="2">
        <f t="shared" si="361"/>
        <v>2.9542097488921715E-3</v>
      </c>
      <c r="M1411" s="2">
        <f t="shared" si="362"/>
        <v>0.15214180206794672</v>
      </c>
      <c r="N1411" s="63">
        <v>308</v>
      </c>
      <c r="O1411" s="63">
        <v>264</v>
      </c>
      <c r="P1411" s="63">
        <v>2</v>
      </c>
      <c r="Q1411" s="63">
        <v>19</v>
      </c>
      <c r="R1411" s="63">
        <v>14</v>
      </c>
      <c r="S1411" s="63">
        <v>0</v>
      </c>
      <c r="T1411" s="63">
        <v>3</v>
      </c>
      <c r="U1411" s="63"/>
      <c r="V1411" s="63">
        <v>1</v>
      </c>
      <c r="W1411" s="63">
        <f t="shared" si="363"/>
        <v>66</v>
      </c>
      <c r="X1411" s="63"/>
      <c r="Y1411" s="63"/>
      <c r="Z1411" s="63"/>
      <c r="AA1411" s="63"/>
      <c r="AB1411" s="63"/>
      <c r="AT1411" t="str">
        <f t="shared" si="353"/>
        <v>Corinth</v>
      </c>
      <c r="AU1411" t="s">
        <v>2013</v>
      </c>
      <c r="AV1411">
        <v>1</v>
      </c>
      <c r="AX1411" s="114">
        <v>50</v>
      </c>
      <c r="AY1411" s="116">
        <v>17</v>
      </c>
      <c r="AZ1411" s="116">
        <v>25</v>
      </c>
      <c r="BA1411" s="120">
        <v>15700</v>
      </c>
      <c r="BB1411" s="120">
        <f t="shared" si="366"/>
        <v>50017</v>
      </c>
      <c r="BC1411" s="8" t="s">
        <v>1472</v>
      </c>
      <c r="BD1411">
        <f t="shared" si="364"/>
        <v>5015700</v>
      </c>
      <c r="BE1411" s="1">
        <v>11</v>
      </c>
      <c r="BF1411" s="1">
        <v>0</v>
      </c>
      <c r="BI1411">
        <v>48.55</v>
      </c>
      <c r="BJ1411">
        <v>0.02</v>
      </c>
      <c r="BK1411">
        <v>48.54</v>
      </c>
      <c r="BP1411" s="63">
        <v>68</v>
      </c>
      <c r="BQ1411" s="63"/>
      <c r="BR1411">
        <v>56</v>
      </c>
    </row>
    <row r="1412" spans="1:70" hidden="1" outlineLevel="1">
      <c r="A1412" t="s">
        <v>3124</v>
      </c>
      <c r="B1412" s="8" t="s">
        <v>2016</v>
      </c>
      <c r="C1412" s="1">
        <f t="shared" si="356"/>
        <v>737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357"/>
        <v>7</v>
      </c>
      <c r="G1412" s="1">
        <f t="shared" si="358"/>
        <v>370</v>
      </c>
      <c r="H1412" s="2">
        <f t="shared" si="365"/>
        <v>0.50203527815468119</v>
      </c>
      <c r="I1412" s="6"/>
      <c r="J1412" s="2">
        <f t="shared" si="359"/>
        <v>0.70149253731343286</v>
      </c>
      <c r="K1412" s="2">
        <f t="shared" si="360"/>
        <v>0.1994572591587517</v>
      </c>
      <c r="L1412" s="2">
        <f t="shared" si="361"/>
        <v>2.7137042062415195E-3</v>
      </c>
      <c r="M1412" s="2">
        <f t="shared" si="362"/>
        <v>9.6336499321573912E-2</v>
      </c>
      <c r="N1412" s="63">
        <v>517</v>
      </c>
      <c r="O1412" s="63">
        <v>147</v>
      </c>
      <c r="P1412" s="63">
        <v>2</v>
      </c>
      <c r="Q1412" s="63">
        <v>22</v>
      </c>
      <c r="R1412" s="63">
        <v>14</v>
      </c>
      <c r="S1412" s="63">
        <v>0</v>
      </c>
      <c r="T1412" s="63">
        <v>3</v>
      </c>
      <c r="U1412" s="63"/>
      <c r="V1412" s="63">
        <v>1</v>
      </c>
      <c r="W1412" s="63">
        <f t="shared" si="363"/>
        <v>31</v>
      </c>
      <c r="X1412" s="63"/>
      <c r="Y1412" s="63"/>
      <c r="Z1412" s="63"/>
      <c r="AA1412" s="63"/>
      <c r="AB1412" s="63"/>
      <c r="AT1412" t="str">
        <f t="shared" si="353"/>
        <v>Cornwall</v>
      </c>
      <c r="AU1412" t="s">
        <v>1346</v>
      </c>
      <c r="AV1412">
        <v>1</v>
      </c>
      <c r="AX1412" s="114">
        <v>50</v>
      </c>
      <c r="AY1412" s="116">
        <v>1</v>
      </c>
      <c r="AZ1412" s="116">
        <v>20</v>
      </c>
      <c r="BA1412" s="120">
        <v>16000</v>
      </c>
      <c r="BB1412" s="120">
        <f t="shared" si="366"/>
        <v>50001</v>
      </c>
      <c r="BC1412" s="8" t="s">
        <v>1472</v>
      </c>
      <c r="BD1412">
        <f t="shared" si="364"/>
        <v>5016000</v>
      </c>
      <c r="BE1412" s="1">
        <v>9</v>
      </c>
      <c r="BF1412" s="1">
        <v>2</v>
      </c>
      <c r="BI1412">
        <v>28.65</v>
      </c>
      <c r="BJ1412">
        <v>0.02</v>
      </c>
      <c r="BK1412">
        <v>28.63</v>
      </c>
      <c r="BP1412" s="63">
        <v>33</v>
      </c>
      <c r="BQ1412" s="63"/>
      <c r="BR1412">
        <v>21</v>
      </c>
    </row>
    <row r="1413" spans="1:70" hidden="1" outlineLevel="1">
      <c r="A1413" t="s">
        <v>3192</v>
      </c>
      <c r="B1413" s="8" t="s">
        <v>2016</v>
      </c>
      <c r="C1413" s="1">
        <f t="shared" si="356"/>
        <v>510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 t="shared" si="357"/>
        <v>0</v>
      </c>
      <c r="G1413" s="1">
        <f t="shared" si="358"/>
        <v>48</v>
      </c>
      <c r="H1413" s="2">
        <f t="shared" si="365"/>
        <v>9.4117647058823528E-2</v>
      </c>
      <c r="I1413" s="6"/>
      <c r="J1413" s="2">
        <f t="shared" si="359"/>
        <v>0.3843137254901961</v>
      </c>
      <c r="K1413" s="2">
        <f t="shared" si="360"/>
        <v>0.47843137254901963</v>
      </c>
      <c r="L1413" s="2">
        <f t="shared" si="361"/>
        <v>0</v>
      </c>
      <c r="M1413" s="2">
        <f t="shared" si="362"/>
        <v>0.13725490196078433</v>
      </c>
      <c r="N1413" s="63">
        <v>196</v>
      </c>
      <c r="O1413" s="63">
        <v>244</v>
      </c>
      <c r="P1413" s="63">
        <v>0</v>
      </c>
      <c r="Q1413" s="63">
        <v>16</v>
      </c>
      <c r="R1413" s="63">
        <v>5</v>
      </c>
      <c r="S1413" s="63">
        <v>0</v>
      </c>
      <c r="T1413" s="63">
        <v>2</v>
      </c>
      <c r="U1413" s="63"/>
      <c r="V1413" s="63">
        <v>1</v>
      </c>
      <c r="W1413" s="63">
        <f t="shared" si="363"/>
        <v>46</v>
      </c>
      <c r="X1413" s="63"/>
      <c r="Y1413" s="63"/>
      <c r="Z1413" s="63"/>
      <c r="AA1413" s="63"/>
      <c r="AB1413" s="63"/>
      <c r="AT1413" t="str">
        <f t="shared" si="353"/>
        <v>Coventry</v>
      </c>
      <c r="AU1413" t="s">
        <v>405</v>
      </c>
      <c r="AV1413">
        <v>1</v>
      </c>
      <c r="AX1413" s="114">
        <v>50</v>
      </c>
      <c r="AY1413" s="116">
        <v>19</v>
      </c>
      <c r="AZ1413" s="116">
        <v>25</v>
      </c>
      <c r="BA1413" s="120">
        <v>16150</v>
      </c>
      <c r="BB1413" s="120">
        <f t="shared" si="366"/>
        <v>50019</v>
      </c>
      <c r="BC1413" s="8" t="s">
        <v>1472</v>
      </c>
      <c r="BD1413">
        <f t="shared" si="364"/>
        <v>5016150</v>
      </c>
      <c r="BE1413" s="1">
        <v>7</v>
      </c>
      <c r="BF1413" s="1">
        <v>0</v>
      </c>
      <c r="BI1413">
        <v>27.67</v>
      </c>
      <c r="BJ1413">
        <v>0.22</v>
      </c>
      <c r="BK1413">
        <v>27.45</v>
      </c>
      <c r="BP1413" s="63">
        <v>46</v>
      </c>
      <c r="BQ1413" s="63"/>
      <c r="BR1413">
        <v>41</v>
      </c>
    </row>
    <row r="1414" spans="1:70" hidden="1" outlineLevel="1">
      <c r="A1414" t="s">
        <v>1795</v>
      </c>
      <c r="B1414" s="8" t="s">
        <v>2016</v>
      </c>
      <c r="C1414" s="1">
        <f t="shared" si="356"/>
        <v>687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357"/>
        <v>7</v>
      </c>
      <c r="G1414" s="1">
        <f t="shared" si="358"/>
        <v>282</v>
      </c>
      <c r="H1414" s="2">
        <f t="shared" si="365"/>
        <v>0.41048034934497818</v>
      </c>
      <c r="I1414" s="6"/>
      <c r="J1414" s="2">
        <f t="shared" si="359"/>
        <v>0.63318777292576423</v>
      </c>
      <c r="K1414" s="2">
        <f t="shared" si="360"/>
        <v>0.22270742358078602</v>
      </c>
      <c r="L1414" s="2">
        <f t="shared" si="361"/>
        <v>1.455604075691412E-3</v>
      </c>
      <c r="M1414" s="2">
        <f t="shared" si="362"/>
        <v>0.14264919941775833</v>
      </c>
      <c r="N1414" s="63">
        <v>435</v>
      </c>
      <c r="O1414" s="63">
        <v>153</v>
      </c>
      <c r="P1414" s="63">
        <v>1</v>
      </c>
      <c r="Q1414" s="63">
        <v>26</v>
      </c>
      <c r="R1414" s="63">
        <v>25</v>
      </c>
      <c r="S1414" s="63">
        <v>0</v>
      </c>
      <c r="T1414" s="63">
        <v>3</v>
      </c>
      <c r="U1414" s="63"/>
      <c r="V1414" s="63">
        <v>0</v>
      </c>
      <c r="W1414" s="63">
        <f t="shared" si="363"/>
        <v>44</v>
      </c>
      <c r="X1414" s="63"/>
      <c r="Y1414" s="63"/>
      <c r="Z1414" s="63"/>
      <c r="AA1414" s="63"/>
      <c r="AB1414" s="63"/>
      <c r="AT1414" t="str">
        <f t="shared" si="353"/>
        <v>Craftsbury</v>
      </c>
      <c r="AU1414" t="s">
        <v>405</v>
      </c>
      <c r="AV1414">
        <v>1</v>
      </c>
      <c r="AX1414" s="114">
        <v>50</v>
      </c>
      <c r="AY1414" s="116">
        <v>19</v>
      </c>
      <c r="AZ1414" s="116">
        <v>30</v>
      </c>
      <c r="BA1414" s="120">
        <v>16300</v>
      </c>
      <c r="BB1414" s="120">
        <f t="shared" si="366"/>
        <v>50019</v>
      </c>
      <c r="BC1414" s="8" t="s">
        <v>1472</v>
      </c>
      <c r="BD1414">
        <f t="shared" si="364"/>
        <v>5016300</v>
      </c>
      <c r="BE1414" s="1">
        <v>10</v>
      </c>
      <c r="BF1414" s="1">
        <v>1</v>
      </c>
      <c r="BI1414">
        <v>39.72</v>
      </c>
      <c r="BJ1414">
        <v>0.44</v>
      </c>
      <c r="BK1414">
        <v>39.28</v>
      </c>
      <c r="BP1414" s="63">
        <v>45</v>
      </c>
      <c r="BQ1414" s="63"/>
      <c r="BR1414">
        <v>37</v>
      </c>
    </row>
    <row r="1415" spans="1:70" hidden="1" outlineLevel="1">
      <c r="A1415" t="s">
        <v>1739</v>
      </c>
      <c r="B1415" s="8" t="s">
        <v>2016</v>
      </c>
      <c r="C1415" s="1">
        <f t="shared" si="356"/>
        <v>641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 t="shared" si="357"/>
        <v>0</v>
      </c>
      <c r="G1415" s="1">
        <f t="shared" si="358"/>
        <v>39</v>
      </c>
      <c r="H1415" s="2">
        <f t="shared" si="365"/>
        <v>6.0842433697347896E-2</v>
      </c>
      <c r="I1415" s="6"/>
      <c r="J1415" s="2">
        <f t="shared" si="359"/>
        <v>0.39313572542901715</v>
      </c>
      <c r="K1415" s="2">
        <f t="shared" si="360"/>
        <v>0.45397815912636508</v>
      </c>
      <c r="L1415" s="2">
        <f t="shared" si="361"/>
        <v>0</v>
      </c>
      <c r="M1415" s="2">
        <f t="shared" si="362"/>
        <v>0.15288611544461783</v>
      </c>
      <c r="N1415" s="63">
        <v>252</v>
      </c>
      <c r="O1415" s="63">
        <v>291</v>
      </c>
      <c r="P1415" s="63">
        <v>0</v>
      </c>
      <c r="Q1415" s="63">
        <v>39</v>
      </c>
      <c r="R1415" s="63">
        <v>15</v>
      </c>
      <c r="S1415" s="63">
        <v>0</v>
      </c>
      <c r="T1415" s="63">
        <v>4</v>
      </c>
      <c r="U1415" s="63"/>
      <c r="V1415" s="63">
        <v>5</v>
      </c>
      <c r="W1415" s="63">
        <f t="shared" si="363"/>
        <v>35</v>
      </c>
      <c r="X1415" s="63"/>
      <c r="Y1415" s="63"/>
      <c r="Z1415" s="63"/>
      <c r="AA1415" s="63"/>
      <c r="AB1415" s="63"/>
      <c r="AT1415" t="str">
        <f t="shared" si="353"/>
        <v>Danby</v>
      </c>
      <c r="AU1415" t="s">
        <v>589</v>
      </c>
      <c r="AV1415">
        <v>1</v>
      </c>
      <c r="AX1415" s="114">
        <v>50</v>
      </c>
      <c r="AY1415" s="116">
        <v>21</v>
      </c>
      <c r="AZ1415" s="116">
        <v>30</v>
      </c>
      <c r="BA1415" s="120">
        <v>16825</v>
      </c>
      <c r="BB1415" s="120">
        <f t="shared" si="366"/>
        <v>50021</v>
      </c>
      <c r="BC1415" s="8" t="s">
        <v>1472</v>
      </c>
      <c r="BD1415">
        <f t="shared" si="364"/>
        <v>5016825</v>
      </c>
      <c r="BE1415" s="1">
        <v>16</v>
      </c>
      <c r="BF1415" s="1">
        <v>1</v>
      </c>
      <c r="BI1415">
        <v>41.53</v>
      </c>
      <c r="BJ1415">
        <v>0.09</v>
      </c>
      <c r="BK1415">
        <v>41.44</v>
      </c>
      <c r="BP1415" s="63">
        <v>35</v>
      </c>
      <c r="BQ1415" s="63"/>
      <c r="BR1415">
        <v>32</v>
      </c>
    </row>
    <row r="1416" spans="1:70" hidden="1" outlineLevel="1">
      <c r="A1416" t="s">
        <v>861</v>
      </c>
      <c r="B1416" s="8" t="s">
        <v>2016</v>
      </c>
      <c r="C1416" s="1">
        <f t="shared" si="356"/>
        <v>1309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357"/>
        <v>6</v>
      </c>
      <c r="G1416" s="1">
        <f t="shared" si="358"/>
        <v>151</v>
      </c>
      <c r="H1416" s="2">
        <f t="shared" si="365"/>
        <v>0.11535523300229182</v>
      </c>
      <c r="I1416" s="6"/>
      <c r="J1416" s="2">
        <f t="shared" si="359"/>
        <v>0.49274255156608099</v>
      </c>
      <c r="K1416" s="2">
        <f t="shared" si="360"/>
        <v>0.37738731856378915</v>
      </c>
      <c r="L1416" s="2">
        <f t="shared" si="361"/>
        <v>3.8197097020626434E-3</v>
      </c>
      <c r="M1416" s="2">
        <f t="shared" si="362"/>
        <v>0.12605042016806717</v>
      </c>
      <c r="N1416" s="63">
        <v>645</v>
      </c>
      <c r="O1416" s="63">
        <v>494</v>
      </c>
      <c r="P1416" s="63">
        <v>5</v>
      </c>
      <c r="Q1416" s="63">
        <v>50</v>
      </c>
      <c r="R1416" s="63">
        <v>22</v>
      </c>
      <c r="S1416" s="63">
        <v>0</v>
      </c>
      <c r="T1416" s="63">
        <v>4</v>
      </c>
      <c r="U1416" s="63"/>
      <c r="V1416" s="63">
        <v>1</v>
      </c>
      <c r="W1416" s="63">
        <f t="shared" si="363"/>
        <v>88</v>
      </c>
      <c r="X1416" s="63"/>
      <c r="Y1416" s="63"/>
      <c r="Z1416" s="63"/>
      <c r="AA1416" s="63"/>
      <c r="AB1416" s="63"/>
      <c r="AT1416" t="str">
        <f t="shared" si="353"/>
        <v>Danville</v>
      </c>
      <c r="AU1416" t="s">
        <v>681</v>
      </c>
      <c r="AV1416">
        <v>1</v>
      </c>
      <c r="AX1416" s="114">
        <v>50</v>
      </c>
      <c r="AY1416" s="116">
        <v>5</v>
      </c>
      <c r="AZ1416" s="116">
        <v>15</v>
      </c>
      <c r="BA1416" s="120">
        <v>17125</v>
      </c>
      <c r="BB1416" s="120">
        <f t="shared" si="366"/>
        <v>50005</v>
      </c>
      <c r="BC1416" s="8" t="s">
        <v>1472</v>
      </c>
      <c r="BD1416">
        <f t="shared" si="364"/>
        <v>5017125</v>
      </c>
      <c r="BE1416" s="1">
        <v>31</v>
      </c>
      <c r="BF1416" s="1">
        <v>8</v>
      </c>
      <c r="BI1416">
        <v>61.15</v>
      </c>
      <c r="BJ1416">
        <v>0.28000000000000003</v>
      </c>
      <c r="BK1416">
        <v>60.88</v>
      </c>
      <c r="BP1416" s="63">
        <v>93</v>
      </c>
      <c r="BQ1416" s="63"/>
      <c r="BR1416">
        <v>79</v>
      </c>
    </row>
    <row r="1417" spans="1:70" hidden="1" outlineLevel="1">
      <c r="A1417" t="s">
        <v>3157</v>
      </c>
      <c r="B1417" s="8" t="s">
        <v>2016</v>
      </c>
      <c r="C1417" s="1">
        <f t="shared" si="356"/>
        <v>2182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 t="shared" si="357"/>
        <v>6</v>
      </c>
      <c r="G1417" s="1">
        <f t="shared" si="358"/>
        <v>119</v>
      </c>
      <c r="H1417" s="2">
        <f t="shared" si="365"/>
        <v>5.4537121906507793E-2</v>
      </c>
      <c r="I1417" s="6"/>
      <c r="J1417" s="2">
        <f t="shared" si="359"/>
        <v>0.40559120073327221</v>
      </c>
      <c r="K1417" s="2">
        <f t="shared" si="360"/>
        <v>0.46012832263978004</v>
      </c>
      <c r="L1417" s="2">
        <f t="shared" si="361"/>
        <v>2.7497708524289641E-3</v>
      </c>
      <c r="M1417" s="2">
        <f t="shared" si="362"/>
        <v>0.13153070577451872</v>
      </c>
      <c r="N1417" s="63">
        <v>885</v>
      </c>
      <c r="O1417" s="63">
        <v>1004</v>
      </c>
      <c r="P1417" s="63">
        <v>6</v>
      </c>
      <c r="Q1417" s="63">
        <v>82</v>
      </c>
      <c r="R1417" s="63">
        <v>36</v>
      </c>
      <c r="S1417" s="63">
        <v>0</v>
      </c>
      <c r="T1417" s="63">
        <v>3</v>
      </c>
      <c r="U1417" s="63"/>
      <c r="V1417" s="63">
        <v>0</v>
      </c>
      <c r="W1417" s="63">
        <f t="shared" si="363"/>
        <v>164</v>
      </c>
      <c r="X1417" s="63"/>
      <c r="Y1417" s="63"/>
      <c r="Z1417" s="63"/>
      <c r="AA1417" s="63"/>
      <c r="AB1417" s="63"/>
      <c r="AN1417">
        <v>2</v>
      </c>
      <c r="AT1417" t="str">
        <f t="shared" si="353"/>
        <v>Derby</v>
      </c>
      <c r="AU1417" t="s">
        <v>405</v>
      </c>
      <c r="AV1417">
        <v>1</v>
      </c>
      <c r="AX1417" s="114">
        <v>50</v>
      </c>
      <c r="AY1417" s="116">
        <v>19</v>
      </c>
      <c r="AZ1417" s="116">
        <v>35</v>
      </c>
      <c r="BA1417" s="120">
        <v>17350</v>
      </c>
      <c r="BB1417" s="120">
        <f t="shared" si="366"/>
        <v>50019</v>
      </c>
      <c r="BC1417" s="8" t="s">
        <v>1472</v>
      </c>
      <c r="BD1417">
        <f t="shared" si="364"/>
        <v>5017350</v>
      </c>
      <c r="BE1417" s="1">
        <v>43</v>
      </c>
      <c r="BF1417" s="1">
        <v>1</v>
      </c>
      <c r="BI1417">
        <v>57.62</v>
      </c>
      <c r="BJ1417">
        <v>7.99</v>
      </c>
      <c r="BK1417">
        <v>49.63</v>
      </c>
      <c r="BP1417" s="63">
        <v>172</v>
      </c>
      <c r="BQ1417" s="63"/>
      <c r="BR1417">
        <v>122</v>
      </c>
    </row>
    <row r="1418" spans="1:70" hidden="1" outlineLevel="1">
      <c r="A1418" t="s">
        <v>3156</v>
      </c>
      <c r="B1418" s="8" t="s">
        <v>2016</v>
      </c>
      <c r="C1418" s="1">
        <f t="shared" si="356"/>
        <v>1189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357"/>
        <v>7</v>
      </c>
      <c r="G1418" s="1">
        <f t="shared" si="358"/>
        <v>406</v>
      </c>
      <c r="H1418" s="2">
        <f t="shared" si="365"/>
        <v>0.34146341463414637</v>
      </c>
      <c r="I1418" s="6"/>
      <c r="J1418" s="2">
        <f t="shared" si="359"/>
        <v>0.62237174095878889</v>
      </c>
      <c r="K1418" s="2">
        <f t="shared" si="360"/>
        <v>0.28090832632464258</v>
      </c>
      <c r="L1418" s="2">
        <f t="shared" si="361"/>
        <v>2.5231286795626578E-3</v>
      </c>
      <c r="M1418" s="2">
        <f t="shared" si="362"/>
        <v>9.419680403700588E-2</v>
      </c>
      <c r="N1418" s="63">
        <v>740</v>
      </c>
      <c r="O1418" s="63">
        <v>334</v>
      </c>
      <c r="P1418" s="63">
        <v>3</v>
      </c>
      <c r="Q1418" s="63">
        <v>36</v>
      </c>
      <c r="R1418" s="63">
        <v>18</v>
      </c>
      <c r="S1418" s="63">
        <v>0</v>
      </c>
      <c r="T1418" s="63">
        <v>4</v>
      </c>
      <c r="U1418" s="63"/>
      <c r="V1418" s="63">
        <v>0</v>
      </c>
      <c r="W1418" s="63">
        <f t="shared" si="363"/>
        <v>54</v>
      </c>
      <c r="X1418" s="63"/>
      <c r="Y1418" s="63"/>
      <c r="Z1418" s="63"/>
      <c r="AA1418" s="63"/>
      <c r="AB1418" s="63"/>
      <c r="AT1418" t="str">
        <f t="shared" si="353"/>
        <v>Dorset</v>
      </c>
      <c r="AU1418" t="s">
        <v>951</v>
      </c>
      <c r="AV1418">
        <v>1</v>
      </c>
      <c r="AX1418" s="114">
        <v>50</v>
      </c>
      <c r="AY1418" s="116">
        <v>3</v>
      </c>
      <c r="AZ1418" s="116">
        <v>15</v>
      </c>
      <c r="BA1418" s="120">
        <v>17725</v>
      </c>
      <c r="BB1418" s="120">
        <f t="shared" si="366"/>
        <v>50003</v>
      </c>
      <c r="BC1418" s="8" t="s">
        <v>1472</v>
      </c>
      <c r="BD1418">
        <f t="shared" si="364"/>
        <v>5017725</v>
      </c>
      <c r="BE1418" s="1">
        <v>20</v>
      </c>
      <c r="BF1418" s="1">
        <v>0</v>
      </c>
      <c r="BI1418">
        <v>47.85</v>
      </c>
      <c r="BJ1418">
        <v>0.04</v>
      </c>
      <c r="BK1418">
        <v>47.82</v>
      </c>
      <c r="BP1418" s="63">
        <v>57</v>
      </c>
      <c r="BQ1418" s="63"/>
      <c r="BR1418">
        <v>41</v>
      </c>
    </row>
    <row r="1419" spans="1:70" hidden="1" outlineLevel="1">
      <c r="A1419" t="s">
        <v>3085</v>
      </c>
      <c r="B1419" s="8" t="s">
        <v>2016</v>
      </c>
      <c r="C1419" s="1">
        <f t="shared" si="356"/>
        <v>783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357"/>
        <v>6</v>
      </c>
      <c r="G1419" s="1">
        <f t="shared" si="358"/>
        <v>130</v>
      </c>
      <c r="H1419" s="2">
        <f t="shared" si="365"/>
        <v>0.16602809706257982</v>
      </c>
      <c r="I1419" s="6"/>
      <c r="J1419" s="2">
        <f t="shared" si="359"/>
        <v>0.52234993614303959</v>
      </c>
      <c r="K1419" s="2">
        <f t="shared" si="360"/>
        <v>0.35632183908045978</v>
      </c>
      <c r="L1419" s="2">
        <f t="shared" si="361"/>
        <v>3.8314176245210726E-3</v>
      </c>
      <c r="M1419" s="2">
        <f t="shared" si="362"/>
        <v>0.11749680715197955</v>
      </c>
      <c r="N1419" s="63">
        <v>409</v>
      </c>
      <c r="O1419" s="63">
        <v>279</v>
      </c>
      <c r="P1419" s="63">
        <v>3</v>
      </c>
      <c r="Q1419" s="63">
        <v>24</v>
      </c>
      <c r="R1419" s="63">
        <v>14</v>
      </c>
      <c r="S1419" s="63">
        <v>0</v>
      </c>
      <c r="T1419" s="63">
        <v>3</v>
      </c>
      <c r="U1419" s="63"/>
      <c r="V1419" s="63">
        <v>3</v>
      </c>
      <c r="W1419" s="63">
        <f t="shared" si="363"/>
        <v>48</v>
      </c>
      <c r="X1419" s="63"/>
      <c r="Y1419" s="63"/>
      <c r="Z1419" s="63"/>
      <c r="AA1419" s="63"/>
      <c r="AB1419" s="63"/>
      <c r="AT1419" t="str">
        <f t="shared" si="353"/>
        <v>Dover</v>
      </c>
      <c r="AU1419" t="s">
        <v>2129</v>
      </c>
      <c r="AV1419">
        <v>1</v>
      </c>
      <c r="AX1419" s="114">
        <v>50</v>
      </c>
      <c r="AY1419" s="116">
        <v>25</v>
      </c>
      <c r="AZ1419" s="116">
        <v>20</v>
      </c>
      <c r="BA1419" s="120">
        <v>17875</v>
      </c>
      <c r="BB1419" s="120">
        <f t="shared" si="366"/>
        <v>50025</v>
      </c>
      <c r="BC1419" s="8" t="s">
        <v>1472</v>
      </c>
      <c r="BD1419">
        <f t="shared" si="364"/>
        <v>5017875</v>
      </c>
      <c r="BE1419" s="1">
        <v>6</v>
      </c>
      <c r="BF1419" s="1">
        <v>5</v>
      </c>
      <c r="BI1419">
        <v>35.299999999999997</v>
      </c>
      <c r="BJ1419">
        <v>0</v>
      </c>
      <c r="BK1419">
        <v>35.299999999999997</v>
      </c>
      <c r="BP1419" s="63">
        <v>51</v>
      </c>
      <c r="BQ1419" s="63"/>
      <c r="BR1419">
        <v>42</v>
      </c>
    </row>
    <row r="1420" spans="1:70" hidden="1" outlineLevel="1">
      <c r="A1420" t="s">
        <v>2418</v>
      </c>
      <c r="B1420" s="8" t="s">
        <v>2016</v>
      </c>
      <c r="C1420" s="1">
        <f t="shared" si="356"/>
        <v>1154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357"/>
        <v>6</v>
      </c>
      <c r="G1420" s="1">
        <f t="shared" si="358"/>
        <v>584</v>
      </c>
      <c r="H1420" s="2">
        <f t="shared" si="365"/>
        <v>0.5060658578856152</v>
      </c>
      <c r="I1420" s="6"/>
      <c r="J1420" s="2">
        <f t="shared" si="359"/>
        <v>0.69064124783362213</v>
      </c>
      <c r="K1420" s="2">
        <f t="shared" si="360"/>
        <v>0.18457538994800693</v>
      </c>
      <c r="L1420" s="2">
        <f t="shared" si="361"/>
        <v>6.0658578856152513E-3</v>
      </c>
      <c r="M1420" s="2">
        <f t="shared" si="362"/>
        <v>0.11871750433275569</v>
      </c>
      <c r="N1420" s="63">
        <v>797</v>
      </c>
      <c r="O1420" s="63">
        <v>213</v>
      </c>
      <c r="P1420" s="63">
        <v>7</v>
      </c>
      <c r="Q1420" s="63">
        <v>31</v>
      </c>
      <c r="R1420" s="63">
        <v>27</v>
      </c>
      <c r="S1420" s="63">
        <v>0</v>
      </c>
      <c r="T1420" s="63">
        <v>2</v>
      </c>
      <c r="U1420" s="63"/>
      <c r="V1420" s="63">
        <v>4</v>
      </c>
      <c r="W1420" s="63">
        <f t="shared" si="363"/>
        <v>73</v>
      </c>
      <c r="X1420" s="63"/>
      <c r="Y1420" s="63"/>
      <c r="Z1420" s="63"/>
      <c r="AA1420" s="63"/>
      <c r="AB1420" s="63"/>
      <c r="AT1420" t="str">
        <f t="shared" si="353"/>
        <v>Dummerston</v>
      </c>
      <c r="AU1420" t="s">
        <v>2129</v>
      </c>
      <c r="AV1420">
        <v>1</v>
      </c>
      <c r="AX1420" s="114">
        <v>50</v>
      </c>
      <c r="AY1420" s="116">
        <v>25</v>
      </c>
      <c r="AZ1420" s="116">
        <v>25</v>
      </c>
      <c r="BA1420" s="120">
        <v>18325</v>
      </c>
      <c r="BB1420" s="120">
        <f t="shared" si="366"/>
        <v>50025</v>
      </c>
      <c r="BC1420" s="8" t="s">
        <v>1472</v>
      </c>
      <c r="BD1420">
        <f t="shared" si="364"/>
        <v>5018325</v>
      </c>
      <c r="BE1420" s="1">
        <v>8</v>
      </c>
      <c r="BF1420" s="1">
        <v>2</v>
      </c>
      <c r="BI1420">
        <v>30.8</v>
      </c>
      <c r="BJ1420">
        <v>0.22</v>
      </c>
      <c r="BK1420">
        <v>30.58</v>
      </c>
      <c r="BP1420" s="63">
        <v>80</v>
      </c>
      <c r="BQ1420" s="63"/>
      <c r="BR1420">
        <v>60</v>
      </c>
    </row>
    <row r="1421" spans="1:70" hidden="1" outlineLevel="1">
      <c r="A1421" t="s">
        <v>2986</v>
      </c>
      <c r="B1421" s="8" t="s">
        <v>2016</v>
      </c>
      <c r="C1421" s="1">
        <f t="shared" si="356"/>
        <v>785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357"/>
        <v>0</v>
      </c>
      <c r="G1421" s="1">
        <f t="shared" si="358"/>
        <v>238</v>
      </c>
      <c r="H1421" s="2">
        <f t="shared" si="365"/>
        <v>0.30318471337579617</v>
      </c>
      <c r="I1421" s="6"/>
      <c r="J1421" s="2">
        <f t="shared" si="359"/>
        <v>0.55286624203821655</v>
      </c>
      <c r="K1421" s="2">
        <f t="shared" si="360"/>
        <v>0.24968152866242038</v>
      </c>
      <c r="L1421" s="2">
        <f t="shared" si="361"/>
        <v>0</v>
      </c>
      <c r="M1421" s="2">
        <f t="shared" si="362"/>
        <v>0.19745222929936307</v>
      </c>
      <c r="N1421" s="63">
        <v>434</v>
      </c>
      <c r="O1421" s="63">
        <v>196</v>
      </c>
      <c r="P1421" s="63">
        <v>0</v>
      </c>
      <c r="Q1421" s="63">
        <v>38</v>
      </c>
      <c r="R1421" s="63">
        <v>18</v>
      </c>
      <c r="S1421" s="63">
        <v>0</v>
      </c>
      <c r="T1421" s="63">
        <v>6</v>
      </c>
      <c r="U1421" s="63"/>
      <c r="V1421" s="63">
        <v>2</v>
      </c>
      <c r="W1421" s="63">
        <f t="shared" si="363"/>
        <v>91</v>
      </c>
      <c r="X1421" s="63"/>
      <c r="Y1421" s="63"/>
      <c r="Z1421" s="63"/>
      <c r="AA1421" s="63"/>
      <c r="AB1421" s="63"/>
      <c r="AT1421" t="str">
        <f t="shared" si="353"/>
        <v>Duxbury</v>
      </c>
      <c r="AU1421" t="s">
        <v>692</v>
      </c>
      <c r="AV1421">
        <v>1</v>
      </c>
      <c r="AX1421" s="114">
        <v>50</v>
      </c>
      <c r="AY1421" s="116">
        <v>23</v>
      </c>
      <c r="AZ1421" s="116">
        <v>30</v>
      </c>
      <c r="BA1421" s="120">
        <v>18550</v>
      </c>
      <c r="BB1421" s="120">
        <f t="shared" si="366"/>
        <v>50023</v>
      </c>
      <c r="BC1421" s="8" t="s">
        <v>1472</v>
      </c>
      <c r="BD1421">
        <f t="shared" si="364"/>
        <v>5018550</v>
      </c>
      <c r="BE1421" s="1">
        <v>13</v>
      </c>
      <c r="BF1421" s="1">
        <v>1</v>
      </c>
      <c r="BI1421">
        <v>43.08</v>
      </c>
      <c r="BJ1421">
        <v>0.16</v>
      </c>
      <c r="BK1421">
        <v>42.92</v>
      </c>
      <c r="BP1421" s="63">
        <v>91</v>
      </c>
      <c r="BQ1421" s="63"/>
      <c r="BR1421">
        <v>82</v>
      </c>
    </row>
    <row r="1422" spans="1:70" hidden="1" outlineLevel="1">
      <c r="A1422" t="s">
        <v>1314</v>
      </c>
      <c r="B1422" s="8" t="s">
        <v>2016</v>
      </c>
      <c r="C1422" s="1">
        <f t="shared" si="356"/>
        <v>146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 t="shared" si="357"/>
        <v>0</v>
      </c>
      <c r="G1422" s="1">
        <f t="shared" si="358"/>
        <v>19</v>
      </c>
      <c r="H1422" s="2">
        <f t="shared" si="365"/>
        <v>0.13013698630136986</v>
      </c>
      <c r="I1422" s="6"/>
      <c r="J1422" s="2">
        <f t="shared" si="359"/>
        <v>0.34931506849315069</v>
      </c>
      <c r="K1422" s="2">
        <f t="shared" si="360"/>
        <v>0.47945205479452052</v>
      </c>
      <c r="L1422" s="2">
        <f t="shared" si="361"/>
        <v>0</v>
      </c>
      <c r="M1422" s="2">
        <f t="shared" si="362"/>
        <v>0.17123287671232873</v>
      </c>
      <c r="N1422" s="63">
        <v>51</v>
      </c>
      <c r="O1422" s="63">
        <v>70</v>
      </c>
      <c r="P1422" s="63">
        <v>0</v>
      </c>
      <c r="Q1422" s="63">
        <v>2</v>
      </c>
      <c r="R1422" s="63">
        <v>6</v>
      </c>
      <c r="S1422" s="63">
        <v>0</v>
      </c>
      <c r="T1422" s="63">
        <v>2</v>
      </c>
      <c r="U1422" s="63"/>
      <c r="V1422" s="63">
        <v>1</v>
      </c>
      <c r="W1422" s="63">
        <f t="shared" si="363"/>
        <v>14</v>
      </c>
      <c r="X1422" s="63"/>
      <c r="Y1422" s="63"/>
      <c r="Z1422" s="63"/>
      <c r="AA1422" s="63"/>
      <c r="AB1422" s="63"/>
      <c r="AT1422" t="str">
        <f t="shared" si="353"/>
        <v>East Haven</v>
      </c>
      <c r="AU1422" t="s">
        <v>842</v>
      </c>
      <c r="AV1422">
        <v>1</v>
      </c>
      <c r="AX1422" s="114">
        <v>50</v>
      </c>
      <c r="AY1422" s="116">
        <v>9</v>
      </c>
      <c r="AZ1422" s="116">
        <v>40</v>
      </c>
      <c r="BA1422" s="120">
        <v>21250</v>
      </c>
      <c r="BB1422" s="120">
        <f t="shared" si="366"/>
        <v>50009</v>
      </c>
      <c r="BC1422" s="8" t="s">
        <v>1472</v>
      </c>
      <c r="BD1422">
        <f t="shared" si="364"/>
        <v>5021250</v>
      </c>
      <c r="BE1422" s="1">
        <v>1</v>
      </c>
      <c r="BF1422" s="1">
        <v>2</v>
      </c>
      <c r="BI1422">
        <v>37.409999999999997</v>
      </c>
      <c r="BJ1422">
        <v>0</v>
      </c>
      <c r="BK1422">
        <v>37.409999999999997</v>
      </c>
      <c r="BP1422" s="63">
        <v>14</v>
      </c>
      <c r="BQ1422" s="63"/>
      <c r="BR1422">
        <v>11</v>
      </c>
    </row>
    <row r="1423" spans="1:70" hidden="1" outlineLevel="1">
      <c r="A1423" t="s">
        <v>3100</v>
      </c>
      <c r="B1423" s="8" t="s">
        <v>2016</v>
      </c>
      <c r="C1423" s="1">
        <f t="shared" si="356"/>
        <v>1610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357"/>
        <v>7</v>
      </c>
      <c r="G1423" s="1">
        <f t="shared" si="358"/>
        <v>676</v>
      </c>
      <c r="H1423" s="2">
        <f t="shared" si="365"/>
        <v>0.41987577639751555</v>
      </c>
      <c r="I1423" s="6"/>
      <c r="J1423" s="2">
        <f t="shared" si="359"/>
        <v>0.64099378881987579</v>
      </c>
      <c r="K1423" s="2">
        <f t="shared" si="360"/>
        <v>0.22111801242236026</v>
      </c>
      <c r="L1423" s="2">
        <f t="shared" si="361"/>
        <v>6.2111801242236027E-4</v>
      </c>
      <c r="M1423" s="2">
        <f t="shared" si="362"/>
        <v>0.13726708074534158</v>
      </c>
      <c r="N1423" s="63">
        <v>1032</v>
      </c>
      <c r="O1423" s="63">
        <v>356</v>
      </c>
      <c r="P1423" s="63">
        <v>1</v>
      </c>
      <c r="Q1423" s="63">
        <v>41</v>
      </c>
      <c r="R1423" s="63">
        <v>62</v>
      </c>
      <c r="S1423" s="63">
        <v>0</v>
      </c>
      <c r="T1423" s="63">
        <v>2</v>
      </c>
      <c r="U1423" s="63"/>
      <c r="V1423" s="63">
        <v>1</v>
      </c>
      <c r="W1423" s="63">
        <f t="shared" si="363"/>
        <v>115</v>
      </c>
      <c r="X1423" s="63"/>
      <c r="Y1423" s="63"/>
      <c r="Z1423" s="63"/>
      <c r="AA1423" s="63"/>
      <c r="AB1423" s="63"/>
      <c r="AT1423" t="str">
        <f t="shared" ref="AT1423:AT1486" si="367">A1423</f>
        <v>East Montpelier</v>
      </c>
      <c r="AU1423" t="s">
        <v>692</v>
      </c>
      <c r="AV1423">
        <v>1</v>
      </c>
      <c r="AX1423" s="114">
        <v>50</v>
      </c>
      <c r="AY1423" s="116">
        <v>23</v>
      </c>
      <c r="AZ1423" s="116">
        <v>35</v>
      </c>
      <c r="BA1423" s="120">
        <v>21925</v>
      </c>
      <c r="BB1423" s="120">
        <f t="shared" si="366"/>
        <v>50023</v>
      </c>
      <c r="BC1423" s="8" t="s">
        <v>1472</v>
      </c>
      <c r="BD1423">
        <f t="shared" si="364"/>
        <v>5021925</v>
      </c>
      <c r="BE1423" s="1">
        <v>21</v>
      </c>
      <c r="BF1423" s="1">
        <v>0</v>
      </c>
      <c r="BI1423">
        <v>32.1</v>
      </c>
      <c r="BJ1423">
        <v>0.11</v>
      </c>
      <c r="BK1423">
        <v>31.99</v>
      </c>
      <c r="BP1423" s="63">
        <v>116</v>
      </c>
      <c r="BQ1423" s="63"/>
      <c r="BR1423">
        <v>100</v>
      </c>
    </row>
    <row r="1424" spans="1:70" hidden="1" outlineLevel="1">
      <c r="A1424" t="s">
        <v>3142</v>
      </c>
      <c r="B1424" s="8" t="s">
        <v>2016</v>
      </c>
      <c r="C1424" s="1">
        <f t="shared" si="356"/>
        <v>561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 t="shared" si="357"/>
        <v>0</v>
      </c>
      <c r="G1424" s="1">
        <f t="shared" si="358"/>
        <v>20</v>
      </c>
      <c r="H1424" s="2">
        <f t="shared" si="365"/>
        <v>3.5650623885918005E-2</v>
      </c>
      <c r="I1424" s="6"/>
      <c r="J1424" s="2">
        <f t="shared" si="359"/>
        <v>0.39393939393939392</v>
      </c>
      <c r="K1424" s="2">
        <f t="shared" si="360"/>
        <v>0.42959001782531192</v>
      </c>
      <c r="L1424" s="2">
        <f t="shared" si="361"/>
        <v>0</v>
      </c>
      <c r="M1424" s="2">
        <f t="shared" si="362"/>
        <v>0.17647058823529416</v>
      </c>
      <c r="N1424" s="63">
        <v>221</v>
      </c>
      <c r="O1424" s="63">
        <v>241</v>
      </c>
      <c r="P1424" s="63">
        <v>0</v>
      </c>
      <c r="Q1424" s="63">
        <v>17</v>
      </c>
      <c r="R1424" s="63">
        <v>18</v>
      </c>
      <c r="S1424" s="63">
        <v>0</v>
      </c>
      <c r="T1424" s="63">
        <v>2</v>
      </c>
      <c r="U1424" s="63"/>
      <c r="V1424" s="63">
        <v>1</v>
      </c>
      <c r="W1424" s="63">
        <f t="shared" si="363"/>
        <v>61</v>
      </c>
      <c r="X1424" s="63"/>
      <c r="Y1424" s="63"/>
      <c r="Z1424" s="63"/>
      <c r="AA1424" s="63"/>
      <c r="AB1424" s="63"/>
      <c r="AT1424" t="str">
        <f t="shared" si="367"/>
        <v>Eden</v>
      </c>
      <c r="AU1424" t="s">
        <v>2768</v>
      </c>
      <c r="AV1424">
        <v>1</v>
      </c>
      <c r="AX1424" s="114">
        <v>50</v>
      </c>
      <c r="AY1424" s="116">
        <v>15</v>
      </c>
      <c r="AZ1424" s="116">
        <v>15</v>
      </c>
      <c r="BA1424" s="120">
        <v>23500</v>
      </c>
      <c r="BB1424" s="120">
        <f t="shared" si="366"/>
        <v>50015</v>
      </c>
      <c r="BC1424" s="8" t="s">
        <v>1472</v>
      </c>
      <c r="BD1424">
        <f t="shared" si="364"/>
        <v>5023500</v>
      </c>
      <c r="BE1424" s="1">
        <v>5</v>
      </c>
      <c r="BF1424" s="1">
        <v>2</v>
      </c>
      <c r="BI1424">
        <v>64.290000000000006</v>
      </c>
      <c r="BJ1424">
        <v>0.71</v>
      </c>
      <c r="BK1424">
        <v>63.58</v>
      </c>
      <c r="BP1424" s="63">
        <v>61</v>
      </c>
      <c r="BQ1424" s="63"/>
      <c r="BR1424">
        <v>59</v>
      </c>
    </row>
    <row r="1425" spans="1:70" hidden="1" outlineLevel="1">
      <c r="A1425" t="s">
        <v>743</v>
      </c>
      <c r="B1425" s="8" t="s">
        <v>2016</v>
      </c>
      <c r="C1425" s="1">
        <f t="shared" si="356"/>
        <v>541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357"/>
        <v>0</v>
      </c>
      <c r="G1425" s="1">
        <f t="shared" si="358"/>
        <v>207</v>
      </c>
      <c r="H1425" s="2">
        <f t="shared" si="365"/>
        <v>0.38262476894639558</v>
      </c>
      <c r="I1425" s="6"/>
      <c r="J1425" s="2">
        <f t="shared" si="359"/>
        <v>0.62661737523105365</v>
      </c>
      <c r="K1425" s="2">
        <f t="shared" si="360"/>
        <v>0.24399260628465805</v>
      </c>
      <c r="L1425" s="2">
        <f t="shared" si="361"/>
        <v>0</v>
      </c>
      <c r="M1425" s="2">
        <f t="shared" si="362"/>
        <v>0.1293900184842883</v>
      </c>
      <c r="N1425" s="63">
        <v>339</v>
      </c>
      <c r="O1425" s="63">
        <v>132</v>
      </c>
      <c r="P1425" s="63">
        <v>0</v>
      </c>
      <c r="Q1425" s="63">
        <v>19</v>
      </c>
      <c r="R1425" s="63">
        <v>16</v>
      </c>
      <c r="S1425" s="63">
        <v>0</v>
      </c>
      <c r="T1425" s="63">
        <v>0</v>
      </c>
      <c r="U1425" s="63"/>
      <c r="V1425" s="63">
        <v>0</v>
      </c>
      <c r="W1425" s="63">
        <f t="shared" si="363"/>
        <v>35</v>
      </c>
      <c r="X1425" s="63"/>
      <c r="Y1425" s="63"/>
      <c r="Z1425" s="63"/>
      <c r="AA1425" s="63"/>
      <c r="AB1425" s="63"/>
      <c r="AT1425" t="str">
        <f t="shared" si="367"/>
        <v>Elmore</v>
      </c>
      <c r="AU1425" t="s">
        <v>2768</v>
      </c>
      <c r="AV1425">
        <v>1</v>
      </c>
      <c r="AX1425" s="114">
        <v>50</v>
      </c>
      <c r="AY1425" s="116">
        <v>15</v>
      </c>
      <c r="AZ1425" s="116">
        <v>20</v>
      </c>
      <c r="BA1425" s="120">
        <v>23725</v>
      </c>
      <c r="BB1425" s="120">
        <f t="shared" si="366"/>
        <v>50015</v>
      </c>
      <c r="BC1425" s="8" t="s">
        <v>1472</v>
      </c>
      <c r="BD1425">
        <f t="shared" si="364"/>
        <v>5023725</v>
      </c>
      <c r="BE1425" s="1">
        <v>8</v>
      </c>
      <c r="BF1425" s="1">
        <v>3</v>
      </c>
      <c r="BI1425">
        <v>39.6</v>
      </c>
      <c r="BJ1425">
        <v>0.44</v>
      </c>
      <c r="BK1425">
        <v>39.15</v>
      </c>
      <c r="BP1425" s="63">
        <v>35</v>
      </c>
      <c r="BQ1425" s="63"/>
      <c r="BR1425">
        <v>29</v>
      </c>
    </row>
    <row r="1426" spans="1:70" hidden="1" outlineLevel="1">
      <c r="A1426" t="s">
        <v>3225</v>
      </c>
      <c r="B1426" s="8" t="s">
        <v>2016</v>
      </c>
      <c r="C1426" s="1">
        <f t="shared" ref="C1426:C1489" si="368">SUM(N1426:AR1426)</f>
        <v>1195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ref="F1426:F1489" si="369">IF(P1426&gt;0,RANK(P1426,(N1426:AE1426)),0)</f>
        <v>0</v>
      </c>
      <c r="G1426" s="1">
        <f t="shared" ref="G1426:G1489" si="370">IF(C1426&gt;0,MAX(N1426:P1426)-LARGE(N1426:P1426,2),0)</f>
        <v>73</v>
      </c>
      <c r="H1426" s="2">
        <f t="shared" si="365"/>
        <v>6.1087866108786609E-2</v>
      </c>
      <c r="I1426" s="6"/>
      <c r="J1426" s="2">
        <f t="shared" ref="J1426:J1489" si="371">IF(C1426=0,"-",N1426/C1426)</f>
        <v>0.42008368200836821</v>
      </c>
      <c r="K1426" s="2">
        <f t="shared" ref="K1426:K1489" si="372">IF(C1426=0,"-",O1426/C1426)</f>
        <v>0.35899581589958157</v>
      </c>
      <c r="L1426" s="2">
        <f t="shared" ref="L1426:L1489" si="373">IF(C1426=0,"-",P1426/C1426)</f>
        <v>0</v>
      </c>
      <c r="M1426" s="2">
        <f t="shared" ref="M1426:M1489" si="374">IF(C1426=0,"-",(1-J1426-K1426-L1426))</f>
        <v>0.22092050209205022</v>
      </c>
      <c r="N1426" s="63">
        <v>502</v>
      </c>
      <c r="O1426" s="63">
        <v>429</v>
      </c>
      <c r="P1426" s="63">
        <v>0</v>
      </c>
      <c r="Q1426" s="63">
        <v>57</v>
      </c>
      <c r="R1426" s="63">
        <v>22</v>
      </c>
      <c r="S1426" s="63">
        <v>0</v>
      </c>
      <c r="T1426" s="63">
        <v>8</v>
      </c>
      <c r="U1426" s="63"/>
      <c r="V1426" s="63">
        <v>6</v>
      </c>
      <c r="W1426" s="63">
        <f t="shared" ref="W1426:W1489" si="375">BP1426-P1426-S1426-U1426-SUM(X1426:AR1426)</f>
        <v>171</v>
      </c>
      <c r="X1426" s="63"/>
      <c r="Y1426" s="63"/>
      <c r="Z1426" s="63"/>
      <c r="AA1426" s="63"/>
      <c r="AB1426" s="63"/>
      <c r="AT1426" t="str">
        <f t="shared" si="367"/>
        <v>Enosburgh</v>
      </c>
      <c r="AU1426" t="s">
        <v>1138</v>
      </c>
      <c r="AV1426">
        <v>1</v>
      </c>
      <c r="AX1426" s="114">
        <v>50</v>
      </c>
      <c r="AY1426" s="116">
        <v>11</v>
      </c>
      <c r="AZ1426" s="116">
        <v>20</v>
      </c>
      <c r="BA1426" s="120">
        <v>23875</v>
      </c>
      <c r="BB1426" s="120">
        <f t="shared" si="366"/>
        <v>50011</v>
      </c>
      <c r="BC1426" s="8" t="s">
        <v>1472</v>
      </c>
      <c r="BD1426">
        <f t="shared" ref="BD1426:BD1489" si="376">AX1426*100000+BA1426</f>
        <v>5023875</v>
      </c>
      <c r="BE1426" s="1">
        <v>26</v>
      </c>
      <c r="BF1426" s="1">
        <v>0</v>
      </c>
      <c r="BI1426">
        <v>48.72</v>
      </c>
      <c r="BJ1426">
        <v>0.16</v>
      </c>
      <c r="BK1426">
        <v>48.57</v>
      </c>
      <c r="BP1426" s="63">
        <v>171</v>
      </c>
      <c r="BQ1426" s="63"/>
      <c r="BR1426">
        <v>166</v>
      </c>
    </row>
    <row r="1427" spans="1:70" hidden="1" outlineLevel="1">
      <c r="A1427" t="s">
        <v>842</v>
      </c>
      <c r="B1427" s="8" t="s">
        <v>2016</v>
      </c>
      <c r="C1427" s="1">
        <f t="shared" si="368"/>
        <v>11209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369"/>
        <v>7</v>
      </c>
      <c r="G1427" s="1">
        <f t="shared" si="370"/>
        <v>3723</v>
      </c>
      <c r="H1427" s="2">
        <f t="shared" si="365"/>
        <v>0.33214381300740475</v>
      </c>
      <c r="I1427" s="6"/>
      <c r="J1427" s="2">
        <f t="shared" si="371"/>
        <v>0.60246230707467219</v>
      </c>
      <c r="K1427" s="2">
        <f t="shared" si="372"/>
        <v>0.27031849406726738</v>
      </c>
      <c r="L1427" s="2">
        <f t="shared" si="373"/>
        <v>2.3195646355607101E-3</v>
      </c>
      <c r="M1427" s="2">
        <f t="shared" si="374"/>
        <v>0.12489963422249972</v>
      </c>
      <c r="N1427" s="63">
        <v>6753</v>
      </c>
      <c r="O1427" s="63">
        <v>3030</v>
      </c>
      <c r="P1427" s="63">
        <v>26</v>
      </c>
      <c r="Q1427" s="63">
        <v>418</v>
      </c>
      <c r="R1427" s="63">
        <v>155</v>
      </c>
      <c r="S1427" s="63">
        <v>3</v>
      </c>
      <c r="T1427" s="63">
        <v>31</v>
      </c>
      <c r="U1427" s="63"/>
      <c r="V1427" s="63">
        <v>9</v>
      </c>
      <c r="W1427" s="63">
        <f t="shared" si="375"/>
        <v>783</v>
      </c>
      <c r="X1427" s="63"/>
      <c r="Y1427" s="63"/>
      <c r="Z1427" s="63"/>
      <c r="AA1427" s="63"/>
      <c r="AB1427" s="63"/>
      <c r="AG1427" s="8">
        <v>1</v>
      </c>
      <c r="AT1427" t="str">
        <f t="shared" si="367"/>
        <v>Essex</v>
      </c>
      <c r="AU1427" t="s">
        <v>3175</v>
      </c>
      <c r="AV1427">
        <v>1</v>
      </c>
      <c r="AX1427" s="114">
        <v>50</v>
      </c>
      <c r="AY1427" s="116">
        <v>7</v>
      </c>
      <c r="AZ1427" s="116">
        <v>30</v>
      </c>
      <c r="BA1427" s="120">
        <v>24175</v>
      </c>
      <c r="BB1427" s="120">
        <f t="shared" si="366"/>
        <v>50007</v>
      </c>
      <c r="BC1427" s="8" t="s">
        <v>1472</v>
      </c>
      <c r="BD1427">
        <f t="shared" si="376"/>
        <v>5024175</v>
      </c>
      <c r="BE1427" s="1">
        <v>144</v>
      </c>
      <c r="BF1427" s="1">
        <v>4</v>
      </c>
      <c r="BI1427">
        <v>39.32</v>
      </c>
      <c r="BJ1427">
        <v>0.31</v>
      </c>
      <c r="BK1427">
        <v>39.01</v>
      </c>
      <c r="BP1427" s="63">
        <v>813</v>
      </c>
      <c r="BQ1427" s="63"/>
      <c r="BR1427">
        <v>595</v>
      </c>
    </row>
    <row r="1428" spans="1:70" hidden="1" outlineLevel="1">
      <c r="A1428" t="s">
        <v>2567</v>
      </c>
      <c r="B1428" s="8" t="s">
        <v>2016</v>
      </c>
      <c r="C1428" s="1">
        <f t="shared" si="368"/>
        <v>1149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 t="shared" si="369"/>
        <v>0</v>
      </c>
      <c r="G1428" s="1">
        <f t="shared" si="370"/>
        <v>51</v>
      </c>
      <c r="H1428" s="2">
        <f t="shared" si="365"/>
        <v>4.4386422976501305E-2</v>
      </c>
      <c r="I1428" s="6"/>
      <c r="J1428" s="2">
        <f t="shared" si="371"/>
        <v>0.41601392515230634</v>
      </c>
      <c r="K1428" s="2">
        <f t="shared" si="372"/>
        <v>0.46040034812880765</v>
      </c>
      <c r="L1428" s="2">
        <f t="shared" si="373"/>
        <v>0</v>
      </c>
      <c r="M1428" s="2">
        <f t="shared" si="374"/>
        <v>0.12358572671888607</v>
      </c>
      <c r="N1428" s="63">
        <v>478</v>
      </c>
      <c r="O1428" s="63">
        <v>529</v>
      </c>
      <c r="P1428" s="63">
        <v>0</v>
      </c>
      <c r="Q1428" s="63">
        <v>23</v>
      </c>
      <c r="R1428" s="63">
        <v>17</v>
      </c>
      <c r="S1428" s="63">
        <v>0</v>
      </c>
      <c r="T1428" s="63">
        <v>5</v>
      </c>
      <c r="U1428" s="63"/>
      <c r="V1428" s="63">
        <v>1</v>
      </c>
      <c r="W1428" s="63">
        <f t="shared" si="375"/>
        <v>96</v>
      </c>
      <c r="X1428" s="63"/>
      <c r="Y1428" s="63"/>
      <c r="Z1428" s="63"/>
      <c r="AA1428" s="63"/>
      <c r="AB1428" s="63"/>
      <c r="AT1428" t="str">
        <f t="shared" si="367"/>
        <v>Fair Haven</v>
      </c>
      <c r="AU1428" t="s">
        <v>589</v>
      </c>
      <c r="AV1428">
        <v>1</v>
      </c>
      <c r="AX1428" s="114">
        <v>50</v>
      </c>
      <c r="AY1428" s="116">
        <v>21</v>
      </c>
      <c r="AZ1428" s="116">
        <v>35</v>
      </c>
      <c r="BA1428" s="120">
        <v>25375</v>
      </c>
      <c r="BB1428" s="120">
        <f t="shared" si="366"/>
        <v>50021</v>
      </c>
      <c r="BC1428" s="8" t="s">
        <v>1472</v>
      </c>
      <c r="BD1428">
        <f t="shared" si="376"/>
        <v>5025375</v>
      </c>
      <c r="BE1428" s="1">
        <v>19</v>
      </c>
      <c r="BF1428" s="1">
        <v>0</v>
      </c>
      <c r="BI1428">
        <v>18.13</v>
      </c>
      <c r="BJ1428">
        <v>0.49</v>
      </c>
      <c r="BK1428">
        <v>17.64</v>
      </c>
      <c r="BP1428" s="63">
        <v>96</v>
      </c>
      <c r="BQ1428" s="63"/>
      <c r="BR1428">
        <v>79</v>
      </c>
    </row>
    <row r="1429" spans="1:70" hidden="1" outlineLevel="1">
      <c r="A1429" t="s">
        <v>1394</v>
      </c>
      <c r="B1429" s="8" t="s">
        <v>2016</v>
      </c>
      <c r="C1429" s="1">
        <f t="shared" si="368"/>
        <v>2365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369"/>
        <v>6</v>
      </c>
      <c r="G1429" s="1">
        <f t="shared" si="370"/>
        <v>116</v>
      </c>
      <c r="H1429" s="2">
        <f t="shared" si="365"/>
        <v>4.9048625792811842E-2</v>
      </c>
      <c r="I1429" s="6"/>
      <c r="J1429" s="2">
        <f t="shared" si="371"/>
        <v>0.44947145877378436</v>
      </c>
      <c r="K1429" s="2">
        <f t="shared" si="372"/>
        <v>0.40042283298097253</v>
      </c>
      <c r="L1429" s="2">
        <f t="shared" si="373"/>
        <v>2.959830866807611E-3</v>
      </c>
      <c r="M1429" s="2">
        <f t="shared" si="374"/>
        <v>0.14714587737843549</v>
      </c>
      <c r="N1429" s="63">
        <v>1063</v>
      </c>
      <c r="O1429" s="63">
        <v>947</v>
      </c>
      <c r="P1429" s="63">
        <v>7</v>
      </c>
      <c r="Q1429" s="63">
        <v>113</v>
      </c>
      <c r="R1429" s="63">
        <v>42</v>
      </c>
      <c r="S1429" s="63">
        <v>0</v>
      </c>
      <c r="T1429" s="63">
        <v>6</v>
      </c>
      <c r="U1429" s="63"/>
      <c r="V1429" s="63">
        <v>0</v>
      </c>
      <c r="W1429" s="63">
        <f t="shared" si="375"/>
        <v>186</v>
      </c>
      <c r="X1429" s="63"/>
      <c r="Y1429" s="63"/>
      <c r="Z1429" s="63"/>
      <c r="AA1429" s="63"/>
      <c r="AB1429" s="63"/>
      <c r="AN1429">
        <v>1</v>
      </c>
      <c r="AT1429" t="str">
        <f t="shared" si="367"/>
        <v>Fairfax</v>
      </c>
      <c r="AU1429" t="s">
        <v>1138</v>
      </c>
      <c r="AV1429">
        <v>1</v>
      </c>
      <c r="AX1429" s="114">
        <v>50</v>
      </c>
      <c r="AY1429" s="116">
        <v>11</v>
      </c>
      <c r="AZ1429" s="116">
        <v>25</v>
      </c>
      <c r="BA1429" s="120">
        <v>24925</v>
      </c>
      <c r="BB1429" s="120">
        <f t="shared" si="366"/>
        <v>50011</v>
      </c>
      <c r="BC1429" s="8" t="s">
        <v>1472</v>
      </c>
      <c r="BD1429">
        <f t="shared" si="376"/>
        <v>5024925</v>
      </c>
      <c r="BE1429" s="1">
        <v>53</v>
      </c>
      <c r="BF1429" s="1">
        <v>13</v>
      </c>
      <c r="BI1429">
        <v>40.5</v>
      </c>
      <c r="BJ1429">
        <v>0.31</v>
      </c>
      <c r="BK1429">
        <v>40.18</v>
      </c>
      <c r="BP1429" s="63">
        <v>194</v>
      </c>
      <c r="BQ1429" s="63"/>
      <c r="BR1429">
        <v>166</v>
      </c>
    </row>
    <row r="1430" spans="1:70" hidden="1" outlineLevel="1">
      <c r="A1430" t="s">
        <v>280</v>
      </c>
      <c r="B1430" s="8" t="s">
        <v>2016</v>
      </c>
      <c r="C1430" s="1">
        <f t="shared" si="368"/>
        <v>944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si="369"/>
        <v>6</v>
      </c>
      <c r="G1430" s="1">
        <f t="shared" si="370"/>
        <v>151</v>
      </c>
      <c r="H1430" s="2">
        <f t="shared" si="365"/>
        <v>0.15995762711864406</v>
      </c>
      <c r="I1430" s="6"/>
      <c r="J1430" s="2">
        <f t="shared" si="371"/>
        <v>0.51800847457627119</v>
      </c>
      <c r="K1430" s="2">
        <f t="shared" si="372"/>
        <v>0.35805084745762711</v>
      </c>
      <c r="L1430" s="2">
        <f t="shared" si="373"/>
        <v>3.1779661016949155E-3</v>
      </c>
      <c r="M1430" s="2">
        <f t="shared" si="374"/>
        <v>0.12076271186440678</v>
      </c>
      <c r="N1430" s="63">
        <v>489</v>
      </c>
      <c r="O1430" s="63">
        <v>338</v>
      </c>
      <c r="P1430" s="63">
        <v>3</v>
      </c>
      <c r="Q1430" s="63">
        <v>41</v>
      </c>
      <c r="R1430" s="63">
        <v>12</v>
      </c>
      <c r="S1430" s="63">
        <v>0</v>
      </c>
      <c r="T1430" s="63">
        <v>0</v>
      </c>
      <c r="U1430" s="63"/>
      <c r="V1430" s="63">
        <v>1</v>
      </c>
      <c r="W1430" s="63">
        <f t="shared" si="375"/>
        <v>60</v>
      </c>
      <c r="X1430" s="63"/>
      <c r="Y1430" s="63"/>
      <c r="Z1430" s="63"/>
      <c r="AA1430" s="63"/>
      <c r="AB1430" s="63"/>
      <c r="AT1430" t="str">
        <f t="shared" si="367"/>
        <v>Fairfield</v>
      </c>
      <c r="AU1430" t="s">
        <v>1138</v>
      </c>
      <c r="AV1430">
        <v>1</v>
      </c>
      <c r="AX1430" s="114">
        <v>50</v>
      </c>
      <c r="AY1430" s="116">
        <v>11</v>
      </c>
      <c r="AZ1430" s="116">
        <v>30</v>
      </c>
      <c r="BA1430" s="120">
        <v>25225</v>
      </c>
      <c r="BB1430" s="120">
        <f t="shared" si="366"/>
        <v>50011</v>
      </c>
      <c r="BC1430" s="8" t="s">
        <v>1472</v>
      </c>
      <c r="BD1430">
        <f t="shared" si="376"/>
        <v>5025225</v>
      </c>
      <c r="BE1430" s="1">
        <v>16</v>
      </c>
      <c r="BF1430" s="1">
        <v>1</v>
      </c>
      <c r="BI1430">
        <v>68.55</v>
      </c>
      <c r="BJ1430">
        <v>0.76</v>
      </c>
      <c r="BK1430">
        <v>67.790000000000006</v>
      </c>
      <c r="BP1430" s="63">
        <v>63</v>
      </c>
      <c r="BQ1430" s="63"/>
      <c r="BR1430">
        <v>45</v>
      </c>
    </row>
    <row r="1431" spans="1:70" hidden="1" outlineLevel="1">
      <c r="A1431" t="s">
        <v>2839</v>
      </c>
      <c r="B1431" s="8" t="s">
        <v>2016</v>
      </c>
      <c r="C1431" s="1">
        <f t="shared" si="368"/>
        <v>566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369"/>
        <v>7</v>
      </c>
      <c r="G1431" s="1">
        <f t="shared" si="370"/>
        <v>201</v>
      </c>
      <c r="H1431" s="2">
        <f t="shared" si="365"/>
        <v>0.3551236749116608</v>
      </c>
      <c r="I1431" s="6"/>
      <c r="J1431" s="2">
        <f t="shared" si="371"/>
        <v>0.61837455830388688</v>
      </c>
      <c r="K1431" s="2">
        <f t="shared" si="372"/>
        <v>0.26325088339222613</v>
      </c>
      <c r="L1431" s="2">
        <f t="shared" si="373"/>
        <v>1.7667844522968198E-3</v>
      </c>
      <c r="M1431" s="2">
        <f t="shared" si="374"/>
        <v>0.11660777385159017</v>
      </c>
      <c r="N1431" s="63">
        <v>350</v>
      </c>
      <c r="O1431" s="63">
        <v>149</v>
      </c>
      <c r="P1431" s="63">
        <v>1</v>
      </c>
      <c r="Q1431" s="63">
        <v>17</v>
      </c>
      <c r="R1431" s="63">
        <v>11</v>
      </c>
      <c r="S1431" s="63">
        <v>0</v>
      </c>
      <c r="T1431" s="63">
        <v>5</v>
      </c>
      <c r="U1431" s="63"/>
      <c r="V1431" s="63">
        <v>0</v>
      </c>
      <c r="W1431" s="63">
        <f t="shared" si="375"/>
        <v>33</v>
      </c>
      <c r="X1431" s="63"/>
      <c r="Y1431" s="63"/>
      <c r="Z1431" s="63"/>
      <c r="AA1431" s="63"/>
      <c r="AB1431" s="63"/>
      <c r="AT1431" t="str">
        <f t="shared" si="367"/>
        <v>Fairlee</v>
      </c>
      <c r="AU1431" t="s">
        <v>2013</v>
      </c>
      <c r="AV1431">
        <v>1</v>
      </c>
      <c r="AX1431" s="114">
        <v>50</v>
      </c>
      <c r="AY1431" s="116">
        <v>17</v>
      </c>
      <c r="AZ1431" s="116">
        <v>30</v>
      </c>
      <c r="BA1431" s="120">
        <v>25675</v>
      </c>
      <c r="BB1431" s="120">
        <f t="shared" si="366"/>
        <v>50017</v>
      </c>
      <c r="BC1431" s="8" t="s">
        <v>1472</v>
      </c>
      <c r="BD1431">
        <f t="shared" si="376"/>
        <v>5025675</v>
      </c>
      <c r="BE1431" s="1">
        <v>6</v>
      </c>
      <c r="BF1431" s="1">
        <v>1</v>
      </c>
      <c r="BI1431">
        <v>21.24</v>
      </c>
      <c r="BJ1431">
        <v>1.04</v>
      </c>
      <c r="BK1431">
        <v>20.2</v>
      </c>
      <c r="BP1431" s="63">
        <v>34</v>
      </c>
      <c r="BQ1431" s="63"/>
      <c r="BR1431">
        <v>26</v>
      </c>
    </row>
    <row r="1432" spans="1:70" hidden="1" outlineLevel="1">
      <c r="A1432" t="s">
        <v>1960</v>
      </c>
      <c r="B1432" s="8" t="s">
        <v>2016</v>
      </c>
      <c r="C1432" s="1">
        <f t="shared" si="368"/>
        <v>823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369"/>
        <v>6</v>
      </c>
      <c r="G1432" s="1">
        <f t="shared" si="370"/>
        <v>444</v>
      </c>
      <c r="H1432" s="2">
        <f t="shared" si="365"/>
        <v>0.53948967193195629</v>
      </c>
      <c r="I1432" s="6"/>
      <c r="J1432" s="2">
        <f t="shared" si="371"/>
        <v>0.71202916160388818</v>
      </c>
      <c r="K1432" s="2">
        <f t="shared" si="372"/>
        <v>0.17253948967193194</v>
      </c>
      <c r="L1432" s="2">
        <f t="shared" si="373"/>
        <v>1.215066828675577E-3</v>
      </c>
      <c r="M1432" s="2">
        <f t="shared" si="374"/>
        <v>0.1142162818955043</v>
      </c>
      <c r="N1432" s="63">
        <v>586</v>
      </c>
      <c r="O1432" s="63">
        <v>142</v>
      </c>
      <c r="P1432" s="63">
        <v>1</v>
      </c>
      <c r="Q1432" s="63">
        <v>21</v>
      </c>
      <c r="R1432" s="63">
        <v>23</v>
      </c>
      <c r="S1432" s="63">
        <v>0</v>
      </c>
      <c r="T1432" s="63">
        <v>1</v>
      </c>
      <c r="U1432" s="63"/>
      <c r="V1432" s="63">
        <v>0</v>
      </c>
      <c r="W1432" s="63">
        <f t="shared" si="375"/>
        <v>49</v>
      </c>
      <c r="X1432" s="63"/>
      <c r="Y1432" s="63"/>
      <c r="Z1432" s="63"/>
      <c r="AA1432" s="63"/>
      <c r="AB1432" s="63"/>
      <c r="AT1432" t="str">
        <f t="shared" si="367"/>
        <v>Fayston</v>
      </c>
      <c r="AU1432" t="s">
        <v>692</v>
      </c>
      <c r="AV1432">
        <v>1</v>
      </c>
      <c r="AX1432" s="114">
        <v>50</v>
      </c>
      <c r="AY1432" s="116">
        <v>23</v>
      </c>
      <c r="AZ1432" s="116">
        <v>40</v>
      </c>
      <c r="BA1432" s="120">
        <v>25825</v>
      </c>
      <c r="BB1432" s="120">
        <f t="shared" si="366"/>
        <v>50023</v>
      </c>
      <c r="BC1432" s="8" t="s">
        <v>1472</v>
      </c>
      <c r="BD1432">
        <f t="shared" si="376"/>
        <v>5025825</v>
      </c>
      <c r="BE1432" s="1">
        <v>8</v>
      </c>
      <c r="BF1432" s="1">
        <v>0</v>
      </c>
      <c r="BI1432">
        <v>36.5</v>
      </c>
      <c r="BJ1432">
        <v>0</v>
      </c>
      <c r="BK1432">
        <v>36.5</v>
      </c>
      <c r="BP1432" s="63">
        <v>50</v>
      </c>
      <c r="BQ1432" s="63"/>
      <c r="BR1432">
        <v>42</v>
      </c>
    </row>
    <row r="1433" spans="1:70" hidden="1" outlineLevel="1">
      <c r="A1433" t="s">
        <v>3224</v>
      </c>
      <c r="B1433" s="8" t="s">
        <v>2016</v>
      </c>
      <c r="C1433" s="1">
        <f t="shared" si="368"/>
        <v>1607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369"/>
        <v>6</v>
      </c>
      <c r="G1433" s="1">
        <f t="shared" si="370"/>
        <v>391</v>
      </c>
      <c r="H1433" s="2">
        <f t="shared" si="365"/>
        <v>0.24331051649035471</v>
      </c>
      <c r="I1433" s="6"/>
      <c r="J1433" s="2">
        <f t="shared" si="371"/>
        <v>0.55507156191661478</v>
      </c>
      <c r="K1433" s="2">
        <f t="shared" si="372"/>
        <v>0.3117610454262601</v>
      </c>
      <c r="L1433" s="2">
        <f t="shared" si="373"/>
        <v>3.1113876789047915E-3</v>
      </c>
      <c r="M1433" s="2">
        <f t="shared" si="374"/>
        <v>0.13005600497822034</v>
      </c>
      <c r="N1433" s="63">
        <v>892</v>
      </c>
      <c r="O1433" s="63">
        <v>501</v>
      </c>
      <c r="P1433" s="63">
        <v>5</v>
      </c>
      <c r="Q1433" s="63">
        <v>61</v>
      </c>
      <c r="R1433" s="63">
        <v>21</v>
      </c>
      <c r="S1433" s="63">
        <v>1</v>
      </c>
      <c r="T1433" s="63">
        <v>3</v>
      </c>
      <c r="U1433" s="63"/>
      <c r="V1433" s="63">
        <v>2</v>
      </c>
      <c r="W1433" s="63">
        <f t="shared" si="375"/>
        <v>121</v>
      </c>
      <c r="X1433" s="63"/>
      <c r="Y1433" s="63"/>
      <c r="Z1433" s="63"/>
      <c r="AA1433" s="63"/>
      <c r="AB1433" s="63"/>
      <c r="AT1433" t="str">
        <f t="shared" si="367"/>
        <v>Ferrisburgh</v>
      </c>
      <c r="AU1433" t="s">
        <v>1346</v>
      </c>
      <c r="AV1433">
        <v>1</v>
      </c>
      <c r="AX1433" s="114">
        <v>50</v>
      </c>
      <c r="AY1433" s="116">
        <v>1</v>
      </c>
      <c r="AZ1433" s="116">
        <v>25</v>
      </c>
      <c r="BA1433" s="120">
        <v>26275</v>
      </c>
      <c r="BB1433" s="120">
        <f t="shared" si="366"/>
        <v>50001</v>
      </c>
      <c r="BC1433" s="8" t="s">
        <v>1472</v>
      </c>
      <c r="BD1433">
        <f t="shared" si="376"/>
        <v>5026275</v>
      </c>
      <c r="BE1433" s="1">
        <v>24</v>
      </c>
      <c r="BF1433" s="1">
        <v>4</v>
      </c>
      <c r="BI1433">
        <v>61.15</v>
      </c>
      <c r="BJ1433">
        <v>13.33</v>
      </c>
      <c r="BK1433">
        <v>47.82</v>
      </c>
      <c r="BP1433" s="63">
        <v>127</v>
      </c>
      <c r="BQ1433" s="63"/>
      <c r="BR1433">
        <v>94</v>
      </c>
    </row>
    <row r="1434" spans="1:70" hidden="1" outlineLevel="1">
      <c r="A1434" t="s">
        <v>1177</v>
      </c>
      <c r="B1434" s="8" t="s">
        <v>2016</v>
      </c>
      <c r="C1434" s="1">
        <f t="shared" si="368"/>
        <v>701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369"/>
        <v>0</v>
      </c>
      <c r="G1434" s="1">
        <f t="shared" si="370"/>
        <v>96</v>
      </c>
      <c r="H1434" s="2">
        <f t="shared" si="365"/>
        <v>0.13694721825962911</v>
      </c>
      <c r="I1434" s="6"/>
      <c r="J1434" s="2">
        <f t="shared" si="371"/>
        <v>0.47931526390870183</v>
      </c>
      <c r="K1434" s="2">
        <f t="shared" si="372"/>
        <v>0.34236804564907275</v>
      </c>
      <c r="L1434" s="2">
        <f t="shared" si="373"/>
        <v>0</v>
      </c>
      <c r="M1434" s="2">
        <f t="shared" si="374"/>
        <v>0.17831669044222542</v>
      </c>
      <c r="N1434" s="63">
        <v>336</v>
      </c>
      <c r="O1434" s="63">
        <v>240</v>
      </c>
      <c r="P1434" s="63">
        <v>0</v>
      </c>
      <c r="Q1434" s="63">
        <v>31</v>
      </c>
      <c r="R1434" s="63">
        <v>23</v>
      </c>
      <c r="S1434" s="63">
        <v>0</v>
      </c>
      <c r="T1434" s="63">
        <v>3</v>
      </c>
      <c r="U1434" s="63"/>
      <c r="V1434" s="63">
        <v>1</v>
      </c>
      <c r="W1434" s="63">
        <f t="shared" si="375"/>
        <v>67</v>
      </c>
      <c r="X1434" s="63"/>
      <c r="Y1434" s="63"/>
      <c r="Z1434" s="63"/>
      <c r="AA1434" s="63"/>
      <c r="AB1434" s="63"/>
      <c r="AT1434" t="str">
        <f t="shared" si="367"/>
        <v>Fletcher</v>
      </c>
      <c r="AU1434" t="s">
        <v>1138</v>
      </c>
      <c r="AV1434">
        <v>1</v>
      </c>
      <c r="AX1434" s="114">
        <v>50</v>
      </c>
      <c r="AY1434" s="116">
        <v>11</v>
      </c>
      <c r="AZ1434" s="116">
        <v>35</v>
      </c>
      <c r="BA1434" s="120">
        <v>26500</v>
      </c>
      <c r="BB1434" s="120">
        <f t="shared" si="366"/>
        <v>50011</v>
      </c>
      <c r="BC1434" s="8" t="s">
        <v>1472</v>
      </c>
      <c r="BD1434">
        <f t="shared" si="376"/>
        <v>5026500</v>
      </c>
      <c r="BE1434" s="1">
        <v>4</v>
      </c>
      <c r="BF1434" s="1">
        <v>4</v>
      </c>
      <c r="BI1434">
        <v>37.979999999999997</v>
      </c>
      <c r="BJ1434">
        <v>0.16</v>
      </c>
      <c r="BK1434">
        <v>37.82</v>
      </c>
      <c r="BP1434" s="63">
        <v>67</v>
      </c>
      <c r="BQ1434" s="63"/>
      <c r="BR1434">
        <v>61</v>
      </c>
    </row>
    <row r="1435" spans="1:70" hidden="1" outlineLevel="1">
      <c r="A1435" t="s">
        <v>1138</v>
      </c>
      <c r="B1435" s="8" t="s">
        <v>2016</v>
      </c>
      <c r="C1435" s="1">
        <f t="shared" si="368"/>
        <v>628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 t="shared" si="369"/>
        <v>0</v>
      </c>
      <c r="G1435" s="1">
        <f t="shared" si="370"/>
        <v>67</v>
      </c>
      <c r="H1435" s="2">
        <f t="shared" si="365"/>
        <v>0.10668789808917198</v>
      </c>
      <c r="I1435" s="6"/>
      <c r="J1435" s="2">
        <f t="shared" si="371"/>
        <v>0.36464968152866239</v>
      </c>
      <c r="K1435" s="2">
        <f t="shared" si="372"/>
        <v>0.4713375796178344</v>
      </c>
      <c r="L1435" s="2">
        <f t="shared" si="373"/>
        <v>0</v>
      </c>
      <c r="M1435" s="2">
        <f t="shared" si="374"/>
        <v>0.1640127388535032</v>
      </c>
      <c r="N1435" s="63">
        <v>229</v>
      </c>
      <c r="O1435" s="63">
        <v>296</v>
      </c>
      <c r="P1435" s="63">
        <v>0</v>
      </c>
      <c r="Q1435" s="63">
        <v>33</v>
      </c>
      <c r="R1435" s="63">
        <v>4</v>
      </c>
      <c r="S1435" s="63">
        <v>0</v>
      </c>
      <c r="T1435" s="63">
        <v>4</v>
      </c>
      <c r="U1435" s="63"/>
      <c r="V1435" s="63">
        <v>0</v>
      </c>
      <c r="W1435" s="63">
        <f t="shared" si="375"/>
        <v>62</v>
      </c>
      <c r="X1435" s="63"/>
      <c r="Y1435" s="63"/>
      <c r="Z1435" s="63"/>
      <c r="AA1435" s="63"/>
      <c r="AB1435" s="63"/>
      <c r="AT1435" t="str">
        <f t="shared" si="367"/>
        <v>Franklin</v>
      </c>
      <c r="AU1435" t="s">
        <v>1138</v>
      </c>
      <c r="AV1435">
        <v>1</v>
      </c>
      <c r="AX1435" s="114">
        <v>50</v>
      </c>
      <c r="AY1435" s="116">
        <v>11</v>
      </c>
      <c r="AZ1435" s="116">
        <v>40</v>
      </c>
      <c r="BA1435" s="120">
        <v>27100</v>
      </c>
      <c r="BB1435" s="120">
        <f t="shared" si="366"/>
        <v>50011</v>
      </c>
      <c r="BC1435" s="8" t="s">
        <v>1472</v>
      </c>
      <c r="BD1435">
        <f t="shared" si="376"/>
        <v>5027100</v>
      </c>
      <c r="BE1435" s="1">
        <v>6</v>
      </c>
      <c r="BF1435" s="1">
        <v>3</v>
      </c>
      <c r="BI1435">
        <v>40.76</v>
      </c>
      <c r="BJ1435">
        <v>2.14</v>
      </c>
      <c r="BK1435">
        <v>38.630000000000003</v>
      </c>
      <c r="BP1435" s="63">
        <v>62</v>
      </c>
      <c r="BQ1435" s="63"/>
      <c r="BR1435">
        <v>51</v>
      </c>
    </row>
    <row r="1436" spans="1:70" hidden="1" outlineLevel="1">
      <c r="A1436" t="s">
        <v>1155</v>
      </c>
      <c r="B1436" s="8" t="s">
        <v>2016</v>
      </c>
      <c r="C1436" s="1">
        <f t="shared" si="368"/>
        <v>2397</v>
      </c>
      <c r="D1436" s="5">
        <f>IF(N1436&gt;0, RANK(N1436,(N1436:P1436,Q1436:AE1436)),0)</f>
        <v>2</v>
      </c>
      <c r="E1436" s="5">
        <f>IF(O1436&gt;0,RANK(O1436,(N1436:P1436,Q1436:AE1436)),0)</f>
        <v>1</v>
      </c>
      <c r="F1436" s="5">
        <f t="shared" si="369"/>
        <v>6</v>
      </c>
      <c r="G1436" s="1">
        <f t="shared" si="370"/>
        <v>4</v>
      </c>
      <c r="H1436" s="2">
        <f t="shared" si="365"/>
        <v>1.6687526074259491E-3</v>
      </c>
      <c r="I1436" s="6"/>
      <c r="J1436" s="2">
        <f t="shared" si="371"/>
        <v>0.42511472674176054</v>
      </c>
      <c r="K1436" s="2">
        <f t="shared" si="372"/>
        <v>0.42678347934918648</v>
      </c>
      <c r="L1436" s="2">
        <f t="shared" si="373"/>
        <v>4.5890696704213602E-3</v>
      </c>
      <c r="M1436" s="2">
        <f t="shared" si="374"/>
        <v>0.14351272423863162</v>
      </c>
      <c r="N1436" s="63">
        <v>1019</v>
      </c>
      <c r="O1436" s="63">
        <v>1023</v>
      </c>
      <c r="P1436" s="63">
        <v>11</v>
      </c>
      <c r="Q1436" s="63">
        <v>90</v>
      </c>
      <c r="R1436" s="63">
        <v>38</v>
      </c>
      <c r="S1436" s="63">
        <v>0</v>
      </c>
      <c r="T1436" s="63">
        <v>8</v>
      </c>
      <c r="U1436" s="63"/>
      <c r="V1436" s="63">
        <v>3</v>
      </c>
      <c r="W1436" s="63">
        <f t="shared" si="375"/>
        <v>205</v>
      </c>
      <c r="X1436" s="63"/>
      <c r="Y1436" s="63"/>
      <c r="Z1436" s="63"/>
      <c r="AA1436" s="63"/>
      <c r="AB1436" s="63"/>
      <c r="AT1436" t="str">
        <f t="shared" si="367"/>
        <v>Georgia</v>
      </c>
      <c r="AU1436" t="s">
        <v>1138</v>
      </c>
      <c r="AV1436">
        <v>1</v>
      </c>
      <c r="AX1436" s="114">
        <v>50</v>
      </c>
      <c r="AY1436" s="116">
        <v>11</v>
      </c>
      <c r="AZ1436" s="116">
        <v>45</v>
      </c>
      <c r="BA1436" s="120">
        <v>27700</v>
      </c>
      <c r="BB1436" s="120">
        <f t="shared" si="366"/>
        <v>50011</v>
      </c>
      <c r="BC1436" s="8" t="s">
        <v>1472</v>
      </c>
      <c r="BD1436">
        <f t="shared" si="376"/>
        <v>5027700</v>
      </c>
      <c r="BE1436" s="1">
        <v>42</v>
      </c>
      <c r="BF1436" s="1">
        <v>10</v>
      </c>
      <c r="BI1436">
        <v>45.18</v>
      </c>
      <c r="BJ1436">
        <v>5.68</v>
      </c>
      <c r="BK1436">
        <v>39.5</v>
      </c>
      <c r="BP1436" s="63">
        <v>216</v>
      </c>
      <c r="BQ1436" s="63"/>
      <c r="BR1436">
        <v>173</v>
      </c>
    </row>
    <row r="1437" spans="1:70" hidden="1" outlineLevel="1">
      <c r="A1437" t="s">
        <v>2372</v>
      </c>
      <c r="B1437" s="8" t="s">
        <v>2016</v>
      </c>
      <c r="C1437" s="1">
        <f t="shared" si="368"/>
        <v>585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369"/>
        <v>6</v>
      </c>
      <c r="G1437" s="1">
        <f t="shared" si="370"/>
        <v>97</v>
      </c>
      <c r="H1437" s="2">
        <f t="shared" si="365"/>
        <v>0.16581196581196581</v>
      </c>
      <c r="I1437" s="6"/>
      <c r="J1437" s="2">
        <f t="shared" si="371"/>
        <v>0.49572649572649574</v>
      </c>
      <c r="K1437" s="2">
        <f t="shared" si="372"/>
        <v>0.32991452991452991</v>
      </c>
      <c r="L1437" s="2">
        <f t="shared" si="373"/>
        <v>3.4188034188034188E-3</v>
      </c>
      <c r="M1437" s="2">
        <f t="shared" si="374"/>
        <v>0.17094017094017094</v>
      </c>
      <c r="N1437" s="63">
        <v>290</v>
      </c>
      <c r="O1437" s="63">
        <v>193</v>
      </c>
      <c r="P1437" s="63">
        <v>2</v>
      </c>
      <c r="Q1437" s="63">
        <v>31</v>
      </c>
      <c r="R1437" s="63">
        <v>15</v>
      </c>
      <c r="S1437" s="63">
        <v>0</v>
      </c>
      <c r="T1437" s="63">
        <v>2</v>
      </c>
      <c r="U1437" s="63"/>
      <c r="V1437" s="63">
        <v>0</v>
      </c>
      <c r="W1437" s="63">
        <f t="shared" si="375"/>
        <v>52</v>
      </c>
      <c r="X1437" s="63"/>
      <c r="Y1437" s="63"/>
      <c r="Z1437" s="63"/>
      <c r="AA1437" s="63"/>
      <c r="AB1437" s="63"/>
      <c r="AT1437" t="str">
        <f t="shared" si="367"/>
        <v>Glover</v>
      </c>
      <c r="AU1437" t="s">
        <v>405</v>
      </c>
      <c r="AV1437">
        <v>1</v>
      </c>
      <c r="AX1437" s="114">
        <v>50</v>
      </c>
      <c r="AY1437" s="116">
        <v>19</v>
      </c>
      <c r="AZ1437" s="116">
        <v>40</v>
      </c>
      <c r="BA1437" s="120">
        <v>28075</v>
      </c>
      <c r="BB1437" s="120">
        <f t="shared" si="366"/>
        <v>50019</v>
      </c>
      <c r="BC1437" s="8" t="s">
        <v>1472</v>
      </c>
      <c r="BD1437">
        <f t="shared" si="376"/>
        <v>5028075</v>
      </c>
      <c r="BE1437" s="1">
        <v>12</v>
      </c>
      <c r="BF1437" s="1">
        <v>3</v>
      </c>
      <c r="BI1437">
        <v>38.61</v>
      </c>
      <c r="BJ1437">
        <v>0.74</v>
      </c>
      <c r="BK1437">
        <v>37.869999999999997</v>
      </c>
      <c r="BP1437" s="63">
        <v>54</v>
      </c>
      <c r="BQ1437" s="63"/>
      <c r="BR1437">
        <v>43</v>
      </c>
    </row>
    <row r="1438" spans="1:70" hidden="1" outlineLevel="1">
      <c r="A1438" t="s">
        <v>592</v>
      </c>
      <c r="B1438" s="8" t="s">
        <v>2016</v>
      </c>
      <c r="C1438" s="1">
        <f t="shared" si="368"/>
        <v>123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369"/>
        <v>0</v>
      </c>
      <c r="G1438" s="1">
        <f t="shared" si="370"/>
        <v>47</v>
      </c>
      <c r="H1438" s="2">
        <f t="shared" si="365"/>
        <v>0.38211382113821141</v>
      </c>
      <c r="I1438" s="6"/>
      <c r="J1438" s="2">
        <f t="shared" si="371"/>
        <v>0.63414634146341464</v>
      </c>
      <c r="K1438" s="2">
        <f t="shared" si="372"/>
        <v>0.25203252032520324</v>
      </c>
      <c r="L1438" s="2">
        <f t="shared" si="373"/>
        <v>0</v>
      </c>
      <c r="M1438" s="2">
        <f t="shared" si="374"/>
        <v>0.11382113821138212</v>
      </c>
      <c r="N1438" s="63">
        <v>78</v>
      </c>
      <c r="O1438" s="63">
        <v>31</v>
      </c>
      <c r="P1438" s="63">
        <v>0</v>
      </c>
      <c r="Q1438" s="63">
        <v>6</v>
      </c>
      <c r="R1438" s="63">
        <v>3</v>
      </c>
      <c r="S1438" s="63">
        <v>0</v>
      </c>
      <c r="T1438" s="63">
        <v>0</v>
      </c>
      <c r="U1438" s="63"/>
      <c r="V1438" s="63">
        <v>0</v>
      </c>
      <c r="W1438" s="63">
        <f t="shared" si="375"/>
        <v>5</v>
      </c>
      <c r="X1438" s="63"/>
      <c r="Y1438" s="63"/>
      <c r="Z1438" s="63"/>
      <c r="AA1438" s="63"/>
      <c r="AB1438" s="63"/>
      <c r="AT1438" t="str">
        <f t="shared" si="367"/>
        <v>Goshen</v>
      </c>
      <c r="AU1438" t="s">
        <v>1346</v>
      </c>
      <c r="AV1438">
        <v>1</v>
      </c>
      <c r="AX1438" s="114">
        <v>50</v>
      </c>
      <c r="AY1438" s="116">
        <v>1</v>
      </c>
      <c r="AZ1438" s="116">
        <v>30</v>
      </c>
      <c r="BA1438" s="120">
        <v>28600</v>
      </c>
      <c r="BB1438" s="120">
        <f t="shared" si="366"/>
        <v>50001</v>
      </c>
      <c r="BC1438" s="8" t="s">
        <v>1472</v>
      </c>
      <c r="BD1438">
        <f t="shared" si="376"/>
        <v>5028600</v>
      </c>
      <c r="BE1438" s="1">
        <v>2</v>
      </c>
      <c r="BF1438" s="1">
        <v>0</v>
      </c>
      <c r="BI1438">
        <v>21.4</v>
      </c>
      <c r="BJ1438">
        <v>0.11</v>
      </c>
      <c r="BK1438">
        <v>21.29</v>
      </c>
      <c r="BP1438" s="63">
        <v>5</v>
      </c>
      <c r="BQ1438" s="63"/>
      <c r="BR1438">
        <v>5</v>
      </c>
    </row>
    <row r="1439" spans="1:70" hidden="1" outlineLevel="1">
      <c r="A1439" t="s">
        <v>2260</v>
      </c>
      <c r="B1439" s="8" t="s">
        <v>2016</v>
      </c>
      <c r="C1439" s="1">
        <f t="shared" si="368"/>
        <v>390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369"/>
        <v>6</v>
      </c>
      <c r="G1439" s="1">
        <f t="shared" si="370"/>
        <v>79</v>
      </c>
      <c r="H1439" s="2">
        <f t="shared" si="365"/>
        <v>0.20256410256410257</v>
      </c>
      <c r="I1439" s="6"/>
      <c r="J1439" s="2">
        <f t="shared" si="371"/>
        <v>0.53846153846153844</v>
      </c>
      <c r="K1439" s="2">
        <f t="shared" si="372"/>
        <v>0.33589743589743587</v>
      </c>
      <c r="L1439" s="2">
        <f t="shared" si="373"/>
        <v>2.5641025641025641E-3</v>
      </c>
      <c r="M1439" s="2">
        <f t="shared" si="374"/>
        <v>0.12307692307692313</v>
      </c>
      <c r="N1439" s="63">
        <v>210</v>
      </c>
      <c r="O1439" s="63">
        <v>131</v>
      </c>
      <c r="P1439" s="63">
        <v>1</v>
      </c>
      <c r="Q1439" s="63">
        <v>14</v>
      </c>
      <c r="R1439" s="63">
        <v>6</v>
      </c>
      <c r="S1439" s="63">
        <v>0</v>
      </c>
      <c r="T1439" s="63">
        <v>1</v>
      </c>
      <c r="U1439" s="63"/>
      <c r="V1439" s="63">
        <v>0</v>
      </c>
      <c r="W1439" s="63">
        <f t="shared" si="375"/>
        <v>27</v>
      </c>
      <c r="X1439" s="63"/>
      <c r="Y1439" s="63"/>
      <c r="Z1439" s="63"/>
      <c r="AA1439" s="63"/>
      <c r="AB1439" s="63"/>
      <c r="AT1439" t="str">
        <f t="shared" si="367"/>
        <v>Grafton</v>
      </c>
      <c r="AU1439" t="s">
        <v>2129</v>
      </c>
      <c r="AV1439">
        <v>1</v>
      </c>
      <c r="AX1439" s="114">
        <v>50</v>
      </c>
      <c r="AY1439" s="116">
        <v>25</v>
      </c>
      <c r="AZ1439" s="116">
        <v>30</v>
      </c>
      <c r="BA1439" s="120">
        <v>28900</v>
      </c>
      <c r="BB1439" s="120">
        <f t="shared" si="366"/>
        <v>50025</v>
      </c>
      <c r="BC1439" s="8" t="s">
        <v>1472</v>
      </c>
      <c r="BD1439">
        <f t="shared" si="376"/>
        <v>5028900</v>
      </c>
      <c r="BE1439" s="1">
        <v>8</v>
      </c>
      <c r="BF1439" s="1">
        <v>1</v>
      </c>
      <c r="BI1439">
        <v>38.4</v>
      </c>
      <c r="BJ1439">
        <v>0.01</v>
      </c>
      <c r="BK1439">
        <v>38.39</v>
      </c>
      <c r="BP1439" s="63">
        <v>28</v>
      </c>
      <c r="BQ1439" s="63"/>
      <c r="BR1439">
        <v>24</v>
      </c>
    </row>
    <row r="1440" spans="1:70" hidden="1" outlineLevel="1">
      <c r="A1440" t="s">
        <v>2453</v>
      </c>
      <c r="B1440" s="8" t="s">
        <v>2016</v>
      </c>
      <c r="C1440" s="1">
        <f t="shared" si="368"/>
        <v>41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 t="shared" si="369"/>
        <v>0</v>
      </c>
      <c r="G1440" s="1">
        <f t="shared" si="370"/>
        <v>10</v>
      </c>
      <c r="H1440" s="2">
        <f t="shared" si="365"/>
        <v>0.24390243902439024</v>
      </c>
      <c r="I1440" s="6"/>
      <c r="J1440" s="2">
        <f t="shared" si="371"/>
        <v>0.29268292682926828</v>
      </c>
      <c r="K1440" s="2">
        <f t="shared" si="372"/>
        <v>0.53658536585365857</v>
      </c>
      <c r="L1440" s="2">
        <f t="shared" si="373"/>
        <v>0</v>
      </c>
      <c r="M1440" s="2">
        <f t="shared" si="374"/>
        <v>0.1707317073170731</v>
      </c>
      <c r="N1440" s="63">
        <v>12</v>
      </c>
      <c r="O1440" s="63">
        <v>22</v>
      </c>
      <c r="P1440" s="63">
        <v>0</v>
      </c>
      <c r="Q1440" s="63">
        <v>1</v>
      </c>
      <c r="R1440" s="63">
        <v>3</v>
      </c>
      <c r="S1440" s="63">
        <v>0</v>
      </c>
      <c r="T1440" s="63">
        <v>0</v>
      </c>
      <c r="U1440" s="63"/>
      <c r="V1440" s="63">
        <v>0</v>
      </c>
      <c r="W1440" s="63">
        <f t="shared" si="375"/>
        <v>3</v>
      </c>
      <c r="X1440" s="63"/>
      <c r="Y1440" s="63"/>
      <c r="Z1440" s="63"/>
      <c r="AA1440" s="63"/>
      <c r="AB1440" s="63"/>
      <c r="AT1440" t="str">
        <f t="shared" si="367"/>
        <v>Granby</v>
      </c>
      <c r="AU1440" t="s">
        <v>842</v>
      </c>
      <c r="AV1440">
        <v>1</v>
      </c>
      <c r="AX1440" s="114">
        <v>50</v>
      </c>
      <c r="AY1440" s="116">
        <v>9</v>
      </c>
      <c r="AZ1440" s="116">
        <v>50</v>
      </c>
      <c r="BA1440" s="120">
        <v>29125</v>
      </c>
      <c r="BB1440" s="120">
        <f t="shared" si="366"/>
        <v>50009</v>
      </c>
      <c r="BC1440" s="8" t="s">
        <v>1472</v>
      </c>
      <c r="BD1440">
        <f t="shared" si="376"/>
        <v>5029125</v>
      </c>
      <c r="BE1440" s="1">
        <v>2</v>
      </c>
      <c r="BF1440" s="1">
        <v>0</v>
      </c>
      <c r="BI1440">
        <v>39.08</v>
      </c>
      <c r="BJ1440">
        <v>0.05</v>
      </c>
      <c r="BK1440">
        <v>39.03</v>
      </c>
      <c r="BP1440" s="63">
        <v>3</v>
      </c>
      <c r="BQ1440" s="63"/>
      <c r="BR1440">
        <v>3</v>
      </c>
    </row>
    <row r="1441" spans="1:70" hidden="1" outlineLevel="1">
      <c r="A1441" t="s">
        <v>3176</v>
      </c>
      <c r="B1441" s="8" t="s">
        <v>2016</v>
      </c>
      <c r="C1441" s="1">
        <f t="shared" si="368"/>
        <v>1174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369"/>
        <v>7</v>
      </c>
      <c r="G1441" s="1">
        <f t="shared" si="370"/>
        <v>163</v>
      </c>
      <c r="H1441" s="2">
        <f t="shared" ref="H1441:H1504" si="377">IF(C1441&gt;0,G1441/C1441,0)</f>
        <v>0.13884156729131175</v>
      </c>
      <c r="I1441" s="6"/>
      <c r="J1441" s="2">
        <f t="shared" si="371"/>
        <v>0.50596252129471886</v>
      </c>
      <c r="K1441" s="2">
        <f t="shared" si="372"/>
        <v>0.36712095400340716</v>
      </c>
      <c r="L1441" s="2">
        <f t="shared" si="373"/>
        <v>1.7035775127768314E-3</v>
      </c>
      <c r="M1441" s="2">
        <f t="shared" si="374"/>
        <v>0.12521294718909715</v>
      </c>
      <c r="N1441" s="63">
        <v>594</v>
      </c>
      <c r="O1441" s="63">
        <v>431</v>
      </c>
      <c r="P1441" s="63">
        <v>2</v>
      </c>
      <c r="Q1441" s="63">
        <v>39</v>
      </c>
      <c r="R1441" s="63">
        <v>13</v>
      </c>
      <c r="S1441" s="63">
        <v>0</v>
      </c>
      <c r="T1441" s="63">
        <v>6</v>
      </c>
      <c r="U1441" s="63"/>
      <c r="V1441" s="63">
        <v>2</v>
      </c>
      <c r="W1441" s="63">
        <f t="shared" si="375"/>
        <v>87</v>
      </c>
      <c r="X1441" s="63"/>
      <c r="Y1441" s="63"/>
      <c r="Z1441" s="63"/>
      <c r="AA1441" s="63"/>
      <c r="AB1441" s="63"/>
      <c r="AT1441" t="str">
        <f t="shared" si="367"/>
        <v>Grand Isle</v>
      </c>
      <c r="AU1441" t="s">
        <v>3176</v>
      </c>
      <c r="AV1441">
        <v>1</v>
      </c>
      <c r="AX1441" s="114">
        <v>50</v>
      </c>
      <c r="AY1441" s="116">
        <v>13</v>
      </c>
      <c r="AZ1441" s="116">
        <v>10</v>
      </c>
      <c r="BA1441" s="120">
        <v>29275</v>
      </c>
      <c r="BB1441" s="120">
        <f t="shared" si="366"/>
        <v>50013</v>
      </c>
      <c r="BC1441" s="8" t="s">
        <v>1472</v>
      </c>
      <c r="BD1441">
        <f t="shared" si="376"/>
        <v>5029275</v>
      </c>
      <c r="BE1441" s="1">
        <v>22</v>
      </c>
      <c r="BF1441" s="1">
        <v>5</v>
      </c>
      <c r="BI1441">
        <v>35.130000000000003</v>
      </c>
      <c r="BJ1441">
        <v>18.62</v>
      </c>
      <c r="BK1441">
        <v>16.510000000000002</v>
      </c>
      <c r="BP1441" s="63">
        <v>89</v>
      </c>
      <c r="BQ1441" s="63"/>
      <c r="BR1441">
        <v>79</v>
      </c>
    </row>
    <row r="1442" spans="1:70" hidden="1" outlineLevel="1">
      <c r="A1442" t="s">
        <v>866</v>
      </c>
      <c r="B1442" s="8" t="s">
        <v>2016</v>
      </c>
      <c r="C1442" s="1">
        <f t="shared" si="368"/>
        <v>148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369"/>
        <v>0</v>
      </c>
      <c r="G1442" s="1">
        <f t="shared" si="370"/>
        <v>53</v>
      </c>
      <c r="H1442" s="2">
        <f t="shared" si="377"/>
        <v>0.35810810810810811</v>
      </c>
      <c r="I1442" s="6"/>
      <c r="J1442" s="2">
        <f t="shared" si="371"/>
        <v>0.55405405405405406</v>
      </c>
      <c r="K1442" s="2">
        <f t="shared" si="372"/>
        <v>0.19594594594594594</v>
      </c>
      <c r="L1442" s="2">
        <f t="shared" si="373"/>
        <v>0</v>
      </c>
      <c r="M1442" s="2">
        <f t="shared" si="374"/>
        <v>0.25</v>
      </c>
      <c r="N1442" s="63">
        <v>82</v>
      </c>
      <c r="O1442" s="63">
        <v>29</v>
      </c>
      <c r="P1442" s="63">
        <v>0</v>
      </c>
      <c r="Q1442" s="63">
        <v>3</v>
      </c>
      <c r="R1442" s="63">
        <v>6</v>
      </c>
      <c r="S1442" s="63">
        <v>0</v>
      </c>
      <c r="T1442" s="63">
        <v>1</v>
      </c>
      <c r="U1442" s="63"/>
      <c r="V1442" s="63">
        <v>0</v>
      </c>
      <c r="W1442" s="63">
        <f t="shared" si="375"/>
        <v>27</v>
      </c>
      <c r="X1442" s="63"/>
      <c r="Y1442" s="63"/>
      <c r="Z1442" s="63"/>
      <c r="AA1442" s="63"/>
      <c r="AB1442" s="63"/>
      <c r="AT1442" t="str">
        <f t="shared" si="367"/>
        <v>Granville</v>
      </c>
      <c r="AU1442" t="s">
        <v>1346</v>
      </c>
      <c r="AV1442">
        <v>1</v>
      </c>
      <c r="AX1442" s="114">
        <v>50</v>
      </c>
      <c r="AY1442" s="116">
        <v>1</v>
      </c>
      <c r="AZ1442" s="116">
        <v>35</v>
      </c>
      <c r="BA1442" s="120">
        <v>29575</v>
      </c>
      <c r="BB1442" s="120">
        <f t="shared" si="366"/>
        <v>50001</v>
      </c>
      <c r="BC1442" s="8" t="s">
        <v>1472</v>
      </c>
      <c r="BD1442">
        <f t="shared" si="376"/>
        <v>5029575</v>
      </c>
      <c r="BE1442" s="1">
        <v>1</v>
      </c>
      <c r="BF1442" s="1">
        <v>0</v>
      </c>
      <c r="BI1442">
        <v>52.22</v>
      </c>
      <c r="BJ1442">
        <v>0</v>
      </c>
      <c r="BK1442">
        <v>52.22</v>
      </c>
      <c r="BP1442" s="63">
        <v>27</v>
      </c>
      <c r="BQ1442" s="63"/>
      <c r="BR1442">
        <v>0</v>
      </c>
    </row>
    <row r="1443" spans="1:70" hidden="1" outlineLevel="1">
      <c r="A1443" t="s">
        <v>2227</v>
      </c>
      <c r="B1443" s="8" t="s">
        <v>2016</v>
      </c>
      <c r="C1443" s="1">
        <f t="shared" si="368"/>
        <v>426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369"/>
        <v>0</v>
      </c>
      <c r="G1443" s="1">
        <f t="shared" si="370"/>
        <v>175</v>
      </c>
      <c r="H1443" s="2">
        <f t="shared" si="377"/>
        <v>0.41079812206572769</v>
      </c>
      <c r="I1443" s="6"/>
      <c r="J1443" s="2">
        <f t="shared" si="371"/>
        <v>0.636150234741784</v>
      </c>
      <c r="K1443" s="2">
        <f t="shared" si="372"/>
        <v>0.22535211267605634</v>
      </c>
      <c r="L1443" s="2">
        <f t="shared" si="373"/>
        <v>0</v>
      </c>
      <c r="M1443" s="2">
        <f t="shared" si="374"/>
        <v>0.13849765258215965</v>
      </c>
      <c r="N1443" s="63">
        <v>271</v>
      </c>
      <c r="O1443" s="63">
        <v>96</v>
      </c>
      <c r="P1443" s="63">
        <v>0</v>
      </c>
      <c r="Q1443" s="63">
        <v>12</v>
      </c>
      <c r="R1443" s="63">
        <v>11</v>
      </c>
      <c r="S1443" s="63">
        <v>0</v>
      </c>
      <c r="T1443" s="63">
        <v>1</v>
      </c>
      <c r="U1443" s="63"/>
      <c r="V1443" s="63">
        <v>0</v>
      </c>
      <c r="W1443" s="63">
        <f t="shared" si="375"/>
        <v>34</v>
      </c>
      <c r="X1443" s="63">
        <v>1</v>
      </c>
      <c r="Y1443" s="63"/>
      <c r="Z1443" s="63"/>
      <c r="AA1443" s="63"/>
      <c r="AB1443" s="63"/>
      <c r="AT1443" t="str">
        <f t="shared" si="367"/>
        <v>Greensboro</v>
      </c>
      <c r="AU1443" t="s">
        <v>405</v>
      </c>
      <c r="AV1443">
        <v>1</v>
      </c>
      <c r="AX1443" s="114">
        <v>50</v>
      </c>
      <c r="AY1443" s="116">
        <v>19</v>
      </c>
      <c r="AZ1443" s="116">
        <v>45</v>
      </c>
      <c r="BA1443" s="120">
        <v>30175</v>
      </c>
      <c r="BB1443" s="120">
        <f t="shared" si="366"/>
        <v>50019</v>
      </c>
      <c r="BC1443" s="8" t="s">
        <v>1472</v>
      </c>
      <c r="BD1443">
        <f t="shared" si="376"/>
        <v>5030175</v>
      </c>
      <c r="BE1443" s="1">
        <v>3</v>
      </c>
      <c r="BF1443" s="1">
        <v>1</v>
      </c>
      <c r="BI1443">
        <v>39.39</v>
      </c>
      <c r="BJ1443">
        <v>1.62</v>
      </c>
      <c r="BK1443">
        <v>37.770000000000003</v>
      </c>
      <c r="BP1443" s="63">
        <v>35</v>
      </c>
      <c r="BQ1443" s="63"/>
      <c r="BR1443">
        <v>31</v>
      </c>
    </row>
    <row r="1444" spans="1:70" hidden="1" outlineLevel="1">
      <c r="A1444" t="s">
        <v>2482</v>
      </c>
      <c r="B1444" s="8" t="s">
        <v>2016</v>
      </c>
      <c r="C1444" s="1">
        <f t="shared" si="368"/>
        <v>483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 t="shared" si="369"/>
        <v>0</v>
      </c>
      <c r="G1444" s="1">
        <f t="shared" si="370"/>
        <v>75</v>
      </c>
      <c r="H1444" s="2">
        <f t="shared" si="377"/>
        <v>0.15527950310559005</v>
      </c>
      <c r="I1444" s="6"/>
      <c r="J1444" s="2">
        <f t="shared" si="371"/>
        <v>0.32919254658385094</v>
      </c>
      <c r="K1444" s="2">
        <f t="shared" si="372"/>
        <v>0.48447204968944102</v>
      </c>
      <c r="L1444" s="2">
        <f t="shared" si="373"/>
        <v>0</v>
      </c>
      <c r="M1444" s="2">
        <f t="shared" si="374"/>
        <v>0.18633540372670798</v>
      </c>
      <c r="N1444" s="63">
        <v>159</v>
      </c>
      <c r="O1444" s="63">
        <v>234</v>
      </c>
      <c r="P1444" s="63">
        <v>0</v>
      </c>
      <c r="Q1444" s="63">
        <v>18</v>
      </c>
      <c r="R1444" s="63">
        <v>16</v>
      </c>
      <c r="S1444" s="63">
        <v>0</v>
      </c>
      <c r="T1444" s="63">
        <v>4</v>
      </c>
      <c r="U1444" s="63"/>
      <c r="V1444" s="63">
        <v>1</v>
      </c>
      <c r="W1444" s="63">
        <f t="shared" si="375"/>
        <v>51</v>
      </c>
      <c r="X1444" s="63"/>
      <c r="Y1444" s="63"/>
      <c r="Z1444" s="63"/>
      <c r="AA1444" s="63"/>
      <c r="AB1444" s="63"/>
      <c r="AT1444" t="str">
        <f t="shared" si="367"/>
        <v>Groton</v>
      </c>
      <c r="AU1444" t="s">
        <v>681</v>
      </c>
      <c r="AV1444">
        <v>1</v>
      </c>
      <c r="AX1444" s="114">
        <v>50</v>
      </c>
      <c r="AY1444" s="116">
        <v>5</v>
      </c>
      <c r="AZ1444" s="116">
        <v>20</v>
      </c>
      <c r="BA1444" s="120">
        <v>30550</v>
      </c>
      <c r="BB1444" s="120">
        <f t="shared" ref="BB1444:BB1507" si="378">AX1444*1000+AY1444</f>
        <v>50005</v>
      </c>
      <c r="BC1444" s="8" t="s">
        <v>1472</v>
      </c>
      <c r="BD1444">
        <f t="shared" si="376"/>
        <v>5030550</v>
      </c>
      <c r="BE1444" s="1">
        <v>12</v>
      </c>
      <c r="BF1444" s="1">
        <v>3</v>
      </c>
      <c r="BI1444">
        <v>54.96</v>
      </c>
      <c r="BJ1444">
        <v>1</v>
      </c>
      <c r="BK1444">
        <v>53.96</v>
      </c>
      <c r="BP1444" s="63">
        <v>51</v>
      </c>
      <c r="BQ1444" s="63"/>
      <c r="BR1444">
        <v>44</v>
      </c>
    </row>
    <row r="1445" spans="1:70" hidden="1" outlineLevel="1">
      <c r="A1445" t="s">
        <v>3193</v>
      </c>
      <c r="B1445" s="8" t="s">
        <v>2016</v>
      </c>
      <c r="C1445" s="1">
        <f t="shared" si="368"/>
        <v>144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 t="shared" si="369"/>
        <v>0</v>
      </c>
      <c r="G1445" s="1">
        <f t="shared" si="370"/>
        <v>36</v>
      </c>
      <c r="H1445" s="2">
        <f t="shared" si="377"/>
        <v>0.25</v>
      </c>
      <c r="I1445" s="6"/>
      <c r="J1445" s="2">
        <f t="shared" si="371"/>
        <v>0.27777777777777779</v>
      </c>
      <c r="K1445" s="2">
        <f t="shared" si="372"/>
        <v>0.52777777777777779</v>
      </c>
      <c r="L1445" s="2">
        <f t="shared" si="373"/>
        <v>0</v>
      </c>
      <c r="M1445" s="2">
        <f t="shared" si="374"/>
        <v>0.19444444444444442</v>
      </c>
      <c r="N1445" s="63">
        <v>40</v>
      </c>
      <c r="O1445" s="63">
        <v>76</v>
      </c>
      <c r="P1445" s="63">
        <v>0</v>
      </c>
      <c r="Q1445" s="63">
        <v>10</v>
      </c>
      <c r="R1445" s="63">
        <v>3</v>
      </c>
      <c r="S1445" s="63">
        <v>0</v>
      </c>
      <c r="T1445" s="63">
        <v>0</v>
      </c>
      <c r="U1445" s="63"/>
      <c r="V1445" s="63">
        <v>0</v>
      </c>
      <c r="W1445" s="63">
        <f t="shared" si="375"/>
        <v>15</v>
      </c>
      <c r="X1445" s="63"/>
      <c r="Y1445" s="63"/>
      <c r="Z1445" s="63"/>
      <c r="AA1445" s="63"/>
      <c r="AB1445" s="63"/>
      <c r="AT1445" t="str">
        <f t="shared" si="367"/>
        <v>Guildhall</v>
      </c>
      <c r="AU1445" t="s">
        <v>842</v>
      </c>
      <c r="AV1445">
        <v>1</v>
      </c>
      <c r="AX1445" s="114">
        <v>50</v>
      </c>
      <c r="AY1445" s="116">
        <v>9</v>
      </c>
      <c r="AZ1445" s="116">
        <v>55</v>
      </c>
      <c r="BA1445" s="120">
        <v>30775</v>
      </c>
      <c r="BB1445" s="120">
        <f t="shared" si="378"/>
        <v>50009</v>
      </c>
      <c r="BC1445" s="8" t="s">
        <v>1472</v>
      </c>
      <c r="BD1445">
        <f t="shared" si="376"/>
        <v>5030775</v>
      </c>
      <c r="BE1445" s="1">
        <v>2</v>
      </c>
      <c r="BF1445" s="1">
        <v>2</v>
      </c>
      <c r="BI1445">
        <v>32.72</v>
      </c>
      <c r="BJ1445">
        <v>0</v>
      </c>
      <c r="BK1445">
        <v>32.72</v>
      </c>
      <c r="BP1445" s="63">
        <v>15</v>
      </c>
      <c r="BQ1445" s="63"/>
      <c r="BR1445">
        <v>15</v>
      </c>
    </row>
    <row r="1446" spans="1:70" hidden="1" outlineLevel="1">
      <c r="A1446" t="s">
        <v>1036</v>
      </c>
      <c r="B1446" s="8" t="s">
        <v>2016</v>
      </c>
      <c r="C1446" s="1">
        <f t="shared" si="368"/>
        <v>1165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369"/>
        <v>0</v>
      </c>
      <c r="G1446" s="1">
        <f t="shared" si="370"/>
        <v>445</v>
      </c>
      <c r="H1446" s="2">
        <f t="shared" si="377"/>
        <v>0.38197424892703863</v>
      </c>
      <c r="I1446" s="6"/>
      <c r="J1446" s="2">
        <f t="shared" si="371"/>
        <v>0.61716738197424892</v>
      </c>
      <c r="K1446" s="2">
        <f t="shared" si="372"/>
        <v>0.23519313304721029</v>
      </c>
      <c r="L1446" s="2">
        <f t="shared" si="373"/>
        <v>0</v>
      </c>
      <c r="M1446" s="2">
        <f t="shared" si="374"/>
        <v>0.14763948497854079</v>
      </c>
      <c r="N1446" s="63">
        <v>719</v>
      </c>
      <c r="O1446" s="63">
        <v>274</v>
      </c>
      <c r="P1446" s="63">
        <v>0</v>
      </c>
      <c r="Q1446" s="63">
        <v>29</v>
      </c>
      <c r="R1446" s="63">
        <v>44</v>
      </c>
      <c r="S1446" s="63">
        <v>0</v>
      </c>
      <c r="T1446" s="63">
        <v>1</v>
      </c>
      <c r="U1446" s="63"/>
      <c r="V1446" s="63">
        <v>2</v>
      </c>
      <c r="W1446" s="63">
        <f t="shared" si="375"/>
        <v>96</v>
      </c>
      <c r="X1446" s="63"/>
      <c r="Y1446" s="63"/>
      <c r="Z1446" s="63"/>
      <c r="AA1446" s="63"/>
      <c r="AB1446" s="63"/>
      <c r="AT1446" t="str">
        <f t="shared" si="367"/>
        <v>Guilford</v>
      </c>
      <c r="AU1446" t="s">
        <v>2129</v>
      </c>
      <c r="AV1446">
        <v>1</v>
      </c>
      <c r="AX1446" s="114">
        <v>50</v>
      </c>
      <c r="AY1446" s="116">
        <v>25</v>
      </c>
      <c r="AZ1446" s="116">
        <v>35</v>
      </c>
      <c r="BA1446" s="120">
        <v>30925</v>
      </c>
      <c r="BB1446" s="120">
        <f t="shared" si="378"/>
        <v>50025</v>
      </c>
      <c r="BC1446" s="8" t="s">
        <v>1472</v>
      </c>
      <c r="BD1446">
        <f t="shared" si="376"/>
        <v>5030925</v>
      </c>
      <c r="BE1446" s="1">
        <v>12</v>
      </c>
      <c r="BF1446" s="1">
        <v>0</v>
      </c>
      <c r="BI1446">
        <v>39.97</v>
      </c>
      <c r="BJ1446">
        <v>0.08</v>
      </c>
      <c r="BK1446">
        <v>39.89</v>
      </c>
      <c r="BP1446" s="63">
        <v>96</v>
      </c>
      <c r="BQ1446" s="63"/>
      <c r="BR1446">
        <v>72</v>
      </c>
    </row>
    <row r="1447" spans="1:70" hidden="1" outlineLevel="1">
      <c r="A1447" t="s">
        <v>391</v>
      </c>
      <c r="B1447" s="8" t="s">
        <v>2016</v>
      </c>
      <c r="C1447" s="1">
        <f t="shared" si="368"/>
        <v>433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369"/>
        <v>0</v>
      </c>
      <c r="G1447" s="1">
        <f t="shared" si="370"/>
        <v>19</v>
      </c>
      <c r="H1447" s="2">
        <f t="shared" si="377"/>
        <v>4.3879907621247112E-2</v>
      </c>
      <c r="I1447" s="6"/>
      <c r="J1447" s="2">
        <f t="shared" si="371"/>
        <v>0.46651270207852191</v>
      </c>
      <c r="K1447" s="2">
        <f t="shared" si="372"/>
        <v>0.42263279445727481</v>
      </c>
      <c r="L1447" s="2">
        <f t="shared" si="373"/>
        <v>0</v>
      </c>
      <c r="M1447" s="2">
        <f t="shared" si="374"/>
        <v>0.11085450346420328</v>
      </c>
      <c r="N1447" s="63">
        <v>202</v>
      </c>
      <c r="O1447" s="63">
        <v>183</v>
      </c>
      <c r="P1447" s="63">
        <v>0</v>
      </c>
      <c r="Q1447" s="63">
        <v>10</v>
      </c>
      <c r="R1447" s="63">
        <v>12</v>
      </c>
      <c r="S1447" s="63">
        <v>0</v>
      </c>
      <c r="T1447" s="63">
        <v>1</v>
      </c>
      <c r="U1447" s="63"/>
      <c r="V1447" s="63">
        <v>0</v>
      </c>
      <c r="W1447" s="63">
        <f t="shared" si="375"/>
        <v>25</v>
      </c>
      <c r="X1447" s="63"/>
      <c r="Y1447" s="63"/>
      <c r="Z1447" s="63"/>
      <c r="AA1447" s="63"/>
      <c r="AB1447" s="63"/>
      <c r="AT1447" t="str">
        <f t="shared" si="367"/>
        <v>Halifax</v>
      </c>
      <c r="AU1447" t="s">
        <v>2129</v>
      </c>
      <c r="AV1447">
        <v>1</v>
      </c>
      <c r="AX1447" s="114">
        <v>50</v>
      </c>
      <c r="AY1447" s="116">
        <v>25</v>
      </c>
      <c r="AZ1447" s="116">
        <v>40</v>
      </c>
      <c r="BA1447" s="120">
        <v>31150</v>
      </c>
      <c r="BB1447" s="120">
        <f t="shared" si="378"/>
        <v>50025</v>
      </c>
      <c r="BC1447" s="8" t="s">
        <v>1472</v>
      </c>
      <c r="BD1447">
        <f t="shared" si="376"/>
        <v>5031150</v>
      </c>
      <c r="BE1447" s="1">
        <v>3</v>
      </c>
      <c r="BF1447" s="1">
        <v>1</v>
      </c>
      <c r="BI1447">
        <v>39.799999999999997</v>
      </c>
      <c r="BJ1447">
        <v>0.05</v>
      </c>
      <c r="BK1447">
        <v>39.75</v>
      </c>
      <c r="BP1447" s="63">
        <v>25</v>
      </c>
      <c r="BQ1447" s="63"/>
      <c r="BR1447">
        <v>23</v>
      </c>
    </row>
    <row r="1448" spans="1:70" hidden="1" outlineLevel="1">
      <c r="A1448" t="s">
        <v>597</v>
      </c>
      <c r="B1448" s="8" t="s">
        <v>2016</v>
      </c>
      <c r="C1448" s="1">
        <f t="shared" si="368"/>
        <v>159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369"/>
        <v>0</v>
      </c>
      <c r="G1448" s="1">
        <f t="shared" si="370"/>
        <v>21</v>
      </c>
      <c r="H1448" s="2">
        <f t="shared" si="377"/>
        <v>0.13207547169811321</v>
      </c>
      <c r="I1448" s="6"/>
      <c r="J1448" s="2">
        <f t="shared" si="371"/>
        <v>0.47169811320754718</v>
      </c>
      <c r="K1448" s="2">
        <f t="shared" si="372"/>
        <v>0.33962264150943394</v>
      </c>
      <c r="L1448" s="2">
        <f t="shared" si="373"/>
        <v>0</v>
      </c>
      <c r="M1448" s="2">
        <f t="shared" si="374"/>
        <v>0.18867924528301888</v>
      </c>
      <c r="N1448" s="63">
        <v>75</v>
      </c>
      <c r="O1448" s="63">
        <v>54</v>
      </c>
      <c r="P1448" s="63">
        <v>0</v>
      </c>
      <c r="Q1448" s="63">
        <v>6</v>
      </c>
      <c r="R1448" s="63">
        <v>4</v>
      </c>
      <c r="S1448" s="63">
        <v>0</v>
      </c>
      <c r="T1448" s="63">
        <v>1</v>
      </c>
      <c r="U1448" s="63"/>
      <c r="V1448" s="63">
        <v>0</v>
      </c>
      <c r="W1448" s="63">
        <f t="shared" si="375"/>
        <v>19</v>
      </c>
      <c r="X1448" s="63"/>
      <c r="Y1448" s="63"/>
      <c r="Z1448" s="63"/>
      <c r="AA1448" s="63"/>
      <c r="AB1448" s="63"/>
      <c r="AT1448" t="str">
        <f t="shared" si="367"/>
        <v>Hancock</v>
      </c>
      <c r="AU1448" t="s">
        <v>1346</v>
      </c>
      <c r="AV1448">
        <v>1</v>
      </c>
      <c r="AX1448" s="114">
        <v>50</v>
      </c>
      <c r="AY1448" s="116">
        <v>1</v>
      </c>
      <c r="AZ1448" s="116">
        <v>40</v>
      </c>
      <c r="BA1448" s="120">
        <v>31525</v>
      </c>
      <c r="BB1448" s="120">
        <f t="shared" si="378"/>
        <v>50001</v>
      </c>
      <c r="BC1448" s="8" t="s">
        <v>1472</v>
      </c>
      <c r="BD1448">
        <f t="shared" si="376"/>
        <v>5031525</v>
      </c>
      <c r="BE1448" s="1">
        <v>1</v>
      </c>
      <c r="BF1448" s="1">
        <v>2</v>
      </c>
      <c r="BI1448">
        <v>38.46</v>
      </c>
      <c r="BJ1448">
        <v>0.02</v>
      </c>
      <c r="BK1448">
        <v>38.44</v>
      </c>
      <c r="BP1448" s="63">
        <v>19</v>
      </c>
      <c r="BQ1448" s="63"/>
      <c r="BR1448">
        <v>18</v>
      </c>
    </row>
    <row r="1449" spans="1:70" hidden="1" outlineLevel="1">
      <c r="A1449" t="s">
        <v>2990</v>
      </c>
      <c r="B1449" s="8" t="s">
        <v>2016</v>
      </c>
      <c r="C1449" s="1">
        <f t="shared" si="368"/>
        <v>1376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369"/>
        <v>8</v>
      </c>
      <c r="G1449" s="1">
        <f t="shared" si="370"/>
        <v>150</v>
      </c>
      <c r="H1449" s="2">
        <f t="shared" si="377"/>
        <v>0.10901162790697674</v>
      </c>
      <c r="I1449" s="6"/>
      <c r="J1449" s="2">
        <f t="shared" si="371"/>
        <v>0.47311046511627908</v>
      </c>
      <c r="K1449" s="2">
        <f t="shared" si="372"/>
        <v>0.36409883720930231</v>
      </c>
      <c r="L1449" s="2">
        <f t="shared" si="373"/>
        <v>1.4534883720930232E-3</v>
      </c>
      <c r="M1449" s="2">
        <f t="shared" si="374"/>
        <v>0.16133720930232559</v>
      </c>
      <c r="N1449" s="63">
        <v>651</v>
      </c>
      <c r="O1449" s="63">
        <v>501</v>
      </c>
      <c r="P1449" s="63">
        <v>2</v>
      </c>
      <c r="Q1449" s="63">
        <v>42</v>
      </c>
      <c r="R1449" s="63">
        <v>49</v>
      </c>
      <c r="S1449" s="63">
        <v>0</v>
      </c>
      <c r="T1449" s="63">
        <v>5</v>
      </c>
      <c r="U1449" s="63"/>
      <c r="V1449" s="63">
        <v>6</v>
      </c>
      <c r="W1449" s="63">
        <f t="shared" si="375"/>
        <v>120</v>
      </c>
      <c r="X1449" s="63"/>
      <c r="Y1449" s="63"/>
      <c r="Z1449" s="63"/>
      <c r="AA1449" s="63"/>
      <c r="AB1449" s="63"/>
      <c r="AT1449" t="str">
        <f t="shared" si="367"/>
        <v>Hardwick</v>
      </c>
      <c r="AU1449" t="s">
        <v>681</v>
      </c>
      <c r="AV1449">
        <v>1</v>
      </c>
      <c r="AX1449" s="114">
        <v>50</v>
      </c>
      <c r="AY1449" s="116">
        <v>5</v>
      </c>
      <c r="AZ1449" s="116">
        <v>25</v>
      </c>
      <c r="BA1449" s="120">
        <v>31825</v>
      </c>
      <c r="BB1449" s="120">
        <f t="shared" si="378"/>
        <v>50005</v>
      </c>
      <c r="BC1449" s="8" t="s">
        <v>1472</v>
      </c>
      <c r="BD1449">
        <f t="shared" si="376"/>
        <v>5031825</v>
      </c>
      <c r="BE1449" s="1">
        <v>33</v>
      </c>
      <c r="BF1449" s="1">
        <v>1</v>
      </c>
      <c r="BI1449">
        <v>38.89</v>
      </c>
      <c r="BJ1449">
        <v>0.36</v>
      </c>
      <c r="BK1449">
        <v>38.53</v>
      </c>
      <c r="BP1449" s="63">
        <v>122</v>
      </c>
      <c r="BQ1449" s="63"/>
      <c r="BR1449">
        <v>102</v>
      </c>
    </row>
    <row r="1450" spans="1:70" hidden="1" outlineLevel="1">
      <c r="A1450" t="s">
        <v>1737</v>
      </c>
      <c r="B1450" s="8" t="s">
        <v>2016</v>
      </c>
      <c r="C1450" s="1">
        <f t="shared" si="368"/>
        <v>5137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369"/>
        <v>7</v>
      </c>
      <c r="G1450" s="1">
        <f t="shared" si="370"/>
        <v>1887</v>
      </c>
      <c r="H1450" s="2">
        <f t="shared" si="377"/>
        <v>0.36733502043994548</v>
      </c>
      <c r="I1450" s="6"/>
      <c r="J1450" s="2">
        <f t="shared" si="371"/>
        <v>0.62098501070663814</v>
      </c>
      <c r="K1450" s="2">
        <f t="shared" si="372"/>
        <v>0.2536499902666926</v>
      </c>
      <c r="L1450" s="2">
        <f t="shared" si="373"/>
        <v>3.3093245084679776E-3</v>
      </c>
      <c r="M1450" s="2">
        <f t="shared" si="374"/>
        <v>0.12205567451820128</v>
      </c>
      <c r="N1450" s="63">
        <v>3190</v>
      </c>
      <c r="O1450" s="63">
        <v>1303</v>
      </c>
      <c r="P1450" s="63">
        <v>17</v>
      </c>
      <c r="Q1450" s="63">
        <v>174</v>
      </c>
      <c r="R1450" s="63">
        <v>93</v>
      </c>
      <c r="S1450" s="63">
        <v>0</v>
      </c>
      <c r="T1450" s="63">
        <v>22</v>
      </c>
      <c r="U1450" s="63"/>
      <c r="V1450" s="63">
        <v>6</v>
      </c>
      <c r="W1450" s="63">
        <f t="shared" si="375"/>
        <v>332</v>
      </c>
      <c r="X1450" s="63"/>
      <c r="Y1450" s="63"/>
      <c r="Z1450" s="63"/>
      <c r="AA1450" s="63"/>
      <c r="AB1450" s="63"/>
      <c r="AT1450" t="str">
        <f t="shared" si="367"/>
        <v>Hartford</v>
      </c>
      <c r="AU1450" t="s">
        <v>2282</v>
      </c>
      <c r="AV1450">
        <v>1</v>
      </c>
      <c r="AX1450" s="114">
        <v>50</v>
      </c>
      <c r="AY1450" s="116">
        <v>27</v>
      </c>
      <c r="AZ1450" s="116">
        <v>40</v>
      </c>
      <c r="BA1450" s="120">
        <v>32275</v>
      </c>
      <c r="BB1450" s="120">
        <f t="shared" si="378"/>
        <v>50027</v>
      </c>
      <c r="BC1450" s="8" t="s">
        <v>1472</v>
      </c>
      <c r="BD1450">
        <f t="shared" si="376"/>
        <v>5032275</v>
      </c>
      <c r="BE1450" s="1">
        <v>71</v>
      </c>
      <c r="BF1450" s="1">
        <v>1</v>
      </c>
      <c r="BI1450">
        <v>45.9</v>
      </c>
      <c r="BJ1450">
        <v>0.75</v>
      </c>
      <c r="BK1450">
        <v>45.15</v>
      </c>
      <c r="BP1450" s="63">
        <v>349</v>
      </c>
      <c r="BQ1450" s="63"/>
      <c r="BR1450">
        <v>280</v>
      </c>
    </row>
    <row r="1451" spans="1:70" hidden="1" outlineLevel="1">
      <c r="A1451" t="s">
        <v>2373</v>
      </c>
      <c r="B1451" s="8" t="s">
        <v>2016</v>
      </c>
      <c r="C1451" s="1">
        <f t="shared" si="368"/>
        <v>1924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369"/>
        <v>6</v>
      </c>
      <c r="G1451" s="1">
        <f t="shared" si="370"/>
        <v>600</v>
      </c>
      <c r="H1451" s="2">
        <f t="shared" si="377"/>
        <v>0.31185031185031187</v>
      </c>
      <c r="I1451" s="6"/>
      <c r="J1451" s="2">
        <f t="shared" si="371"/>
        <v>0.60187110187110182</v>
      </c>
      <c r="K1451" s="2">
        <f t="shared" si="372"/>
        <v>0.29002079002079001</v>
      </c>
      <c r="L1451" s="2">
        <f t="shared" si="373"/>
        <v>2.0790020790020791E-3</v>
      </c>
      <c r="M1451" s="2">
        <f t="shared" si="374"/>
        <v>0.10602910602910609</v>
      </c>
      <c r="N1451" s="63">
        <v>1158</v>
      </c>
      <c r="O1451" s="63">
        <v>558</v>
      </c>
      <c r="P1451" s="63">
        <v>4</v>
      </c>
      <c r="Q1451" s="63">
        <v>52</v>
      </c>
      <c r="R1451" s="63">
        <v>38</v>
      </c>
      <c r="S1451" s="63">
        <v>0</v>
      </c>
      <c r="T1451" s="63">
        <v>3</v>
      </c>
      <c r="U1451" s="63"/>
      <c r="V1451" s="63">
        <v>1</v>
      </c>
      <c r="W1451" s="63">
        <f t="shared" si="375"/>
        <v>110</v>
      </c>
      <c r="X1451" s="63"/>
      <c r="Y1451" s="63"/>
      <c r="Z1451" s="63"/>
      <c r="AA1451" s="63"/>
      <c r="AB1451" s="63"/>
      <c r="AT1451" t="str">
        <f t="shared" si="367"/>
        <v>Hartland</v>
      </c>
      <c r="AU1451" t="s">
        <v>2282</v>
      </c>
      <c r="AV1451">
        <v>1</v>
      </c>
      <c r="AX1451" s="114">
        <v>50</v>
      </c>
      <c r="AY1451" s="116">
        <v>27</v>
      </c>
      <c r="AZ1451" s="116">
        <v>45</v>
      </c>
      <c r="BA1451" s="120">
        <v>32425</v>
      </c>
      <c r="BB1451" s="120">
        <f t="shared" si="378"/>
        <v>50027</v>
      </c>
      <c r="BC1451" s="8" t="s">
        <v>1472</v>
      </c>
      <c r="BD1451">
        <f t="shared" si="376"/>
        <v>5032425</v>
      </c>
      <c r="BE1451" s="1">
        <v>26</v>
      </c>
      <c r="BF1451" s="1">
        <v>1</v>
      </c>
      <c r="BI1451">
        <v>45.19</v>
      </c>
      <c r="BJ1451">
        <v>0.24</v>
      </c>
      <c r="BK1451">
        <v>44.96</v>
      </c>
      <c r="BP1451" s="63">
        <v>114</v>
      </c>
      <c r="BQ1451" s="63"/>
      <c r="BR1451">
        <v>92</v>
      </c>
    </row>
    <row r="1452" spans="1:70" hidden="1" outlineLevel="1">
      <c r="A1452" t="s">
        <v>2208</v>
      </c>
      <c r="B1452" s="8" t="s">
        <v>2016</v>
      </c>
      <c r="C1452" s="1">
        <f t="shared" si="368"/>
        <v>1386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 t="shared" si="369"/>
        <v>5</v>
      </c>
      <c r="G1452" s="1">
        <f t="shared" si="370"/>
        <v>225</v>
      </c>
      <c r="H1452" s="2">
        <f t="shared" si="377"/>
        <v>0.16233766233766234</v>
      </c>
      <c r="I1452" s="6"/>
      <c r="J1452" s="2">
        <f t="shared" si="371"/>
        <v>0.34199134199134201</v>
      </c>
      <c r="K1452" s="2">
        <f t="shared" si="372"/>
        <v>0.50432900432900429</v>
      </c>
      <c r="L1452" s="2">
        <f t="shared" si="373"/>
        <v>7.9365079365079361E-3</v>
      </c>
      <c r="M1452" s="2">
        <f t="shared" si="374"/>
        <v>0.1457431457431457</v>
      </c>
      <c r="N1452" s="63">
        <v>474</v>
      </c>
      <c r="O1452" s="63">
        <v>699</v>
      </c>
      <c r="P1452" s="63">
        <v>11</v>
      </c>
      <c r="Q1452" s="63">
        <v>42</v>
      </c>
      <c r="R1452" s="63">
        <v>11</v>
      </c>
      <c r="S1452" s="63">
        <v>0</v>
      </c>
      <c r="T1452" s="63">
        <v>7</v>
      </c>
      <c r="U1452" s="63"/>
      <c r="V1452" s="63">
        <v>3</v>
      </c>
      <c r="W1452" s="63">
        <f t="shared" si="375"/>
        <v>138</v>
      </c>
      <c r="X1452" s="63"/>
      <c r="Y1452" s="63"/>
      <c r="Z1452" s="63"/>
      <c r="AA1452" s="63"/>
      <c r="AB1452" s="63"/>
      <c r="AN1452">
        <v>1</v>
      </c>
      <c r="AT1452" t="str">
        <f t="shared" si="367"/>
        <v>Highgate</v>
      </c>
      <c r="AU1452" t="s">
        <v>1138</v>
      </c>
      <c r="AV1452">
        <v>1</v>
      </c>
      <c r="AX1452" s="114">
        <v>50</v>
      </c>
      <c r="AY1452" s="116">
        <v>11</v>
      </c>
      <c r="AZ1452" s="116">
        <v>50</v>
      </c>
      <c r="BA1452" s="120">
        <v>33025</v>
      </c>
      <c r="BB1452" s="120">
        <f t="shared" si="378"/>
        <v>50011</v>
      </c>
      <c r="BC1452" s="8" t="s">
        <v>1472</v>
      </c>
      <c r="BD1452">
        <f t="shared" si="376"/>
        <v>5033025</v>
      </c>
      <c r="BE1452" s="1">
        <v>14</v>
      </c>
      <c r="BF1452" s="1">
        <v>2</v>
      </c>
      <c r="BI1452">
        <v>59.89</v>
      </c>
      <c r="BJ1452">
        <v>8.74</v>
      </c>
      <c r="BK1452">
        <v>51.14</v>
      </c>
      <c r="BP1452" s="63">
        <v>150</v>
      </c>
      <c r="BQ1452" s="63"/>
      <c r="BR1452">
        <v>132</v>
      </c>
    </row>
    <row r="1453" spans="1:70" hidden="1" outlineLevel="1">
      <c r="A1453" t="s">
        <v>2050</v>
      </c>
      <c r="B1453" s="8" t="s">
        <v>2016</v>
      </c>
      <c r="C1453" s="1">
        <f t="shared" si="368"/>
        <v>2664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369"/>
        <v>6</v>
      </c>
      <c r="G1453" s="1">
        <f t="shared" si="370"/>
        <v>1103</v>
      </c>
      <c r="H1453" s="2">
        <f t="shared" si="377"/>
        <v>0.41403903903903905</v>
      </c>
      <c r="I1453" s="6"/>
      <c r="J1453" s="2">
        <f t="shared" si="371"/>
        <v>0.64789789789789787</v>
      </c>
      <c r="K1453" s="2">
        <f t="shared" si="372"/>
        <v>0.23385885885885885</v>
      </c>
      <c r="L1453" s="2">
        <f t="shared" si="373"/>
        <v>1.1261261261261261E-3</v>
      </c>
      <c r="M1453" s="2">
        <f t="shared" si="374"/>
        <v>0.11711711711711716</v>
      </c>
      <c r="N1453" s="63">
        <v>1726</v>
      </c>
      <c r="O1453" s="63">
        <v>623</v>
      </c>
      <c r="P1453" s="63">
        <v>3</v>
      </c>
      <c r="Q1453" s="63">
        <v>81</v>
      </c>
      <c r="R1453" s="63">
        <v>57</v>
      </c>
      <c r="S1453" s="63">
        <v>1</v>
      </c>
      <c r="T1453" s="63">
        <v>1</v>
      </c>
      <c r="U1453" s="63"/>
      <c r="V1453" s="63">
        <v>2</v>
      </c>
      <c r="W1453" s="63">
        <f t="shared" si="375"/>
        <v>170</v>
      </c>
      <c r="X1453" s="63"/>
      <c r="Y1453" s="63"/>
      <c r="Z1453" s="63"/>
      <c r="AA1453" s="63"/>
      <c r="AB1453" s="63"/>
      <c r="AT1453" t="str">
        <f t="shared" si="367"/>
        <v>Hinesburg</v>
      </c>
      <c r="AU1453" t="s">
        <v>3175</v>
      </c>
      <c r="AV1453">
        <v>1</v>
      </c>
      <c r="AX1453" s="114">
        <v>50</v>
      </c>
      <c r="AY1453" s="116">
        <v>7</v>
      </c>
      <c r="AZ1453" s="116">
        <v>35</v>
      </c>
      <c r="BA1453" s="120">
        <v>33475</v>
      </c>
      <c r="BB1453" s="120">
        <f t="shared" si="378"/>
        <v>50007</v>
      </c>
      <c r="BC1453" s="8" t="s">
        <v>1472</v>
      </c>
      <c r="BD1453">
        <f t="shared" si="376"/>
        <v>5033475</v>
      </c>
      <c r="BE1453" s="1">
        <v>36</v>
      </c>
      <c r="BF1453" s="1">
        <v>6</v>
      </c>
      <c r="BI1453">
        <v>40.119999999999997</v>
      </c>
      <c r="BJ1453">
        <v>0.3</v>
      </c>
      <c r="BK1453">
        <v>39.81</v>
      </c>
      <c r="BP1453" s="63">
        <v>174</v>
      </c>
      <c r="BQ1453" s="63"/>
      <c r="BR1453">
        <v>148</v>
      </c>
    </row>
    <row r="1454" spans="1:70" hidden="1" outlineLevel="1">
      <c r="A1454" t="s">
        <v>3101</v>
      </c>
      <c r="B1454" s="8" t="s">
        <v>2016</v>
      </c>
      <c r="C1454" s="1">
        <f t="shared" si="368"/>
        <v>302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 t="shared" si="369"/>
        <v>6</v>
      </c>
      <c r="G1454" s="1">
        <f t="shared" si="370"/>
        <v>94</v>
      </c>
      <c r="H1454" s="2">
        <f t="shared" si="377"/>
        <v>0.31125827814569534</v>
      </c>
      <c r="I1454" s="6"/>
      <c r="J1454" s="2">
        <f t="shared" si="371"/>
        <v>0.26821192052980131</v>
      </c>
      <c r="K1454" s="2">
        <f t="shared" si="372"/>
        <v>0.57947019867549665</v>
      </c>
      <c r="L1454" s="2">
        <f t="shared" si="373"/>
        <v>3.3112582781456954E-3</v>
      </c>
      <c r="M1454" s="2">
        <f t="shared" si="374"/>
        <v>0.14900662251655641</v>
      </c>
      <c r="N1454" s="63">
        <v>81</v>
      </c>
      <c r="O1454" s="63">
        <v>175</v>
      </c>
      <c r="P1454" s="63">
        <v>1</v>
      </c>
      <c r="Q1454" s="63">
        <v>10</v>
      </c>
      <c r="R1454" s="63">
        <v>2</v>
      </c>
      <c r="S1454" s="63">
        <v>1</v>
      </c>
      <c r="T1454" s="63">
        <v>1</v>
      </c>
      <c r="U1454" s="63"/>
      <c r="V1454" s="63">
        <v>0</v>
      </c>
      <c r="W1454" s="63">
        <f t="shared" si="375"/>
        <v>31</v>
      </c>
      <c r="X1454" s="63"/>
      <c r="Y1454" s="63"/>
      <c r="Z1454" s="63"/>
      <c r="AA1454" s="63"/>
      <c r="AB1454" s="63"/>
      <c r="AT1454" t="str">
        <f t="shared" si="367"/>
        <v>Holland</v>
      </c>
      <c r="AU1454" t="s">
        <v>405</v>
      </c>
      <c r="AV1454">
        <v>1</v>
      </c>
      <c r="AX1454" s="114">
        <v>50</v>
      </c>
      <c r="AY1454" s="116">
        <v>19</v>
      </c>
      <c r="AZ1454" s="116">
        <v>50</v>
      </c>
      <c r="BA1454" s="120">
        <v>33775</v>
      </c>
      <c r="BB1454" s="120">
        <f t="shared" si="378"/>
        <v>50019</v>
      </c>
      <c r="BC1454" s="8" t="s">
        <v>1472</v>
      </c>
      <c r="BD1454">
        <f t="shared" si="376"/>
        <v>5033775</v>
      </c>
      <c r="BE1454" s="1">
        <v>0</v>
      </c>
      <c r="BF1454" s="1">
        <v>1</v>
      </c>
      <c r="BI1454">
        <v>38.229999999999997</v>
      </c>
      <c r="BJ1454">
        <v>0.63</v>
      </c>
      <c r="BK1454">
        <v>37.6</v>
      </c>
      <c r="BP1454" s="63">
        <v>33</v>
      </c>
      <c r="BQ1454" s="63"/>
      <c r="BR1454">
        <v>31</v>
      </c>
    </row>
    <row r="1455" spans="1:70" hidden="1" outlineLevel="1">
      <c r="A1455" t="s">
        <v>2804</v>
      </c>
      <c r="B1455" s="8" t="s">
        <v>2016</v>
      </c>
      <c r="C1455" s="1">
        <f t="shared" si="368"/>
        <v>389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369"/>
        <v>0</v>
      </c>
      <c r="G1455" s="1">
        <f t="shared" si="370"/>
        <v>25</v>
      </c>
      <c r="H1455" s="2">
        <f t="shared" si="377"/>
        <v>6.4267352185089971E-2</v>
      </c>
      <c r="I1455" s="6"/>
      <c r="J1455" s="2">
        <f t="shared" si="371"/>
        <v>0.48329048843187661</v>
      </c>
      <c r="K1455" s="2">
        <f t="shared" si="372"/>
        <v>0.41902313624678661</v>
      </c>
      <c r="L1455" s="2">
        <f t="shared" si="373"/>
        <v>0</v>
      </c>
      <c r="M1455" s="2">
        <f t="shared" si="374"/>
        <v>9.7686375321336782E-2</v>
      </c>
      <c r="N1455" s="63">
        <v>188</v>
      </c>
      <c r="O1455" s="63">
        <v>163</v>
      </c>
      <c r="P1455" s="63">
        <v>0</v>
      </c>
      <c r="Q1455" s="63">
        <v>12</v>
      </c>
      <c r="R1455" s="63">
        <v>6</v>
      </c>
      <c r="S1455" s="63">
        <v>0</v>
      </c>
      <c r="T1455" s="63">
        <v>3</v>
      </c>
      <c r="U1455" s="63"/>
      <c r="V1455" s="63">
        <v>2</v>
      </c>
      <c r="W1455" s="63">
        <f t="shared" si="375"/>
        <v>15</v>
      </c>
      <c r="X1455" s="63"/>
      <c r="Y1455" s="63"/>
      <c r="Z1455" s="63"/>
      <c r="AA1455" s="63"/>
      <c r="AB1455" s="63"/>
      <c r="AT1455" t="str">
        <f t="shared" si="367"/>
        <v>Hubbardton</v>
      </c>
      <c r="AU1455" t="s">
        <v>589</v>
      </c>
      <c r="AV1455">
        <v>1</v>
      </c>
      <c r="AX1455" s="114">
        <v>50</v>
      </c>
      <c r="AY1455" s="116">
        <v>21</v>
      </c>
      <c r="AZ1455" s="116">
        <v>40</v>
      </c>
      <c r="BA1455" s="120">
        <v>34450</v>
      </c>
      <c r="BB1455" s="120">
        <f t="shared" si="378"/>
        <v>50021</v>
      </c>
      <c r="BC1455" s="8" t="s">
        <v>1472</v>
      </c>
      <c r="BD1455">
        <f t="shared" si="376"/>
        <v>5034450</v>
      </c>
      <c r="BE1455" s="1">
        <v>0</v>
      </c>
      <c r="BF1455" s="1">
        <v>0</v>
      </c>
      <c r="BI1455">
        <v>28.85</v>
      </c>
      <c r="BJ1455">
        <v>1.33</v>
      </c>
      <c r="BK1455">
        <v>27.52</v>
      </c>
      <c r="BP1455" s="63">
        <v>15</v>
      </c>
      <c r="BQ1455" s="63"/>
      <c r="BR1455">
        <v>12</v>
      </c>
    </row>
    <row r="1456" spans="1:70" hidden="1" outlineLevel="1">
      <c r="A1456" t="s">
        <v>2844</v>
      </c>
      <c r="B1456" s="8" t="s">
        <v>2016</v>
      </c>
      <c r="C1456" s="1">
        <f t="shared" si="368"/>
        <v>1239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369"/>
        <v>8</v>
      </c>
      <c r="G1456" s="1">
        <f t="shared" si="370"/>
        <v>564</v>
      </c>
      <c r="H1456" s="2">
        <f t="shared" si="377"/>
        <v>0.4552058111380145</v>
      </c>
      <c r="I1456" s="6"/>
      <c r="J1456" s="2">
        <f t="shared" si="371"/>
        <v>0.64245359160613402</v>
      </c>
      <c r="K1456" s="2">
        <f t="shared" si="372"/>
        <v>0.18724778046811946</v>
      </c>
      <c r="L1456" s="2">
        <f t="shared" si="373"/>
        <v>8.0710250201775622E-4</v>
      </c>
      <c r="M1456" s="2">
        <f t="shared" si="374"/>
        <v>0.16949152542372875</v>
      </c>
      <c r="N1456" s="63">
        <v>796</v>
      </c>
      <c r="O1456" s="63">
        <v>232</v>
      </c>
      <c r="P1456" s="63">
        <v>1</v>
      </c>
      <c r="Q1456" s="63">
        <v>44</v>
      </c>
      <c r="R1456" s="63">
        <v>35</v>
      </c>
      <c r="S1456" s="63">
        <v>2</v>
      </c>
      <c r="T1456" s="63">
        <v>10</v>
      </c>
      <c r="U1456" s="63"/>
      <c r="V1456" s="63">
        <v>0</v>
      </c>
      <c r="W1456" s="63">
        <f t="shared" si="375"/>
        <v>119</v>
      </c>
      <c r="X1456" s="63"/>
      <c r="Y1456" s="63"/>
      <c r="Z1456" s="63"/>
      <c r="AA1456" s="63"/>
      <c r="AB1456" s="63"/>
      <c r="AT1456" t="str">
        <f t="shared" si="367"/>
        <v>Huntington</v>
      </c>
      <c r="AU1456" t="s">
        <v>3175</v>
      </c>
      <c r="AV1456">
        <v>1</v>
      </c>
      <c r="AX1456" s="114">
        <v>50</v>
      </c>
      <c r="AY1456" s="116">
        <v>7</v>
      </c>
      <c r="AZ1456" s="116">
        <v>40</v>
      </c>
      <c r="BA1456" s="120">
        <v>34600</v>
      </c>
      <c r="BB1456" s="120">
        <f t="shared" si="378"/>
        <v>50007</v>
      </c>
      <c r="BC1456" s="8" t="s">
        <v>1472</v>
      </c>
      <c r="BD1456">
        <f t="shared" si="376"/>
        <v>5034600</v>
      </c>
      <c r="BE1456" s="1">
        <v>12</v>
      </c>
      <c r="BF1456" s="1">
        <v>1</v>
      </c>
      <c r="BI1456">
        <v>38.15</v>
      </c>
      <c r="BJ1456">
        <v>0.01</v>
      </c>
      <c r="BK1456">
        <v>38.14</v>
      </c>
      <c r="BP1456" s="63">
        <v>122</v>
      </c>
      <c r="BQ1456" s="63"/>
      <c r="BR1456">
        <v>101</v>
      </c>
    </row>
    <row r="1457" spans="1:70" hidden="1" outlineLevel="1">
      <c r="A1457" t="s">
        <v>1279</v>
      </c>
      <c r="B1457" s="8" t="s">
        <v>2016</v>
      </c>
      <c r="C1457" s="1">
        <f t="shared" si="368"/>
        <v>1531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369"/>
        <v>6</v>
      </c>
      <c r="G1457" s="1">
        <f t="shared" si="370"/>
        <v>313</v>
      </c>
      <c r="H1457" s="2">
        <f t="shared" si="377"/>
        <v>0.20444154147615937</v>
      </c>
      <c r="I1457" s="6"/>
      <c r="J1457" s="2">
        <f t="shared" si="371"/>
        <v>0.51469627694317444</v>
      </c>
      <c r="K1457" s="2">
        <f t="shared" si="372"/>
        <v>0.31025473546701504</v>
      </c>
      <c r="L1457" s="2">
        <f t="shared" si="373"/>
        <v>3.2658393207054214E-3</v>
      </c>
      <c r="M1457" s="2">
        <f t="shared" si="374"/>
        <v>0.1717831482691051</v>
      </c>
      <c r="N1457" s="63">
        <v>788</v>
      </c>
      <c r="O1457" s="63">
        <v>475</v>
      </c>
      <c r="P1457" s="63">
        <v>5</v>
      </c>
      <c r="Q1457" s="63">
        <v>48</v>
      </c>
      <c r="R1457" s="63">
        <v>37</v>
      </c>
      <c r="S1457" s="63">
        <v>1</v>
      </c>
      <c r="T1457" s="63">
        <v>5</v>
      </c>
      <c r="U1457" s="63"/>
      <c r="V1457" s="63">
        <v>2</v>
      </c>
      <c r="W1457" s="63">
        <f t="shared" si="375"/>
        <v>170</v>
      </c>
      <c r="X1457" s="63"/>
      <c r="Y1457" s="63"/>
      <c r="Z1457" s="63"/>
      <c r="AA1457" s="63"/>
      <c r="AB1457" s="63"/>
      <c r="AT1457" t="str">
        <f t="shared" si="367"/>
        <v>Hyde Park</v>
      </c>
      <c r="AU1457" t="s">
        <v>2768</v>
      </c>
      <c r="AV1457">
        <v>1</v>
      </c>
      <c r="AX1457" s="114">
        <v>50</v>
      </c>
      <c r="AY1457" s="116">
        <v>15</v>
      </c>
      <c r="AZ1457" s="116">
        <v>25</v>
      </c>
      <c r="BA1457" s="120">
        <v>35050</v>
      </c>
      <c r="BB1457" s="120">
        <f t="shared" si="378"/>
        <v>50015</v>
      </c>
      <c r="BC1457" s="8" t="s">
        <v>1472</v>
      </c>
      <c r="BD1457">
        <f t="shared" si="376"/>
        <v>5035050</v>
      </c>
      <c r="BE1457" s="1">
        <v>28</v>
      </c>
      <c r="BF1457" s="1">
        <v>3</v>
      </c>
      <c r="BI1457">
        <v>39</v>
      </c>
      <c r="BJ1457">
        <v>1.1200000000000001</v>
      </c>
      <c r="BK1457">
        <v>37.880000000000003</v>
      </c>
      <c r="BP1457" s="63">
        <v>176</v>
      </c>
      <c r="BQ1457" s="63"/>
      <c r="BR1457">
        <v>156</v>
      </c>
    </row>
    <row r="1458" spans="1:70" hidden="1" outlineLevel="1">
      <c r="A1458" t="s">
        <v>2663</v>
      </c>
      <c r="B1458" s="8" t="s">
        <v>2016</v>
      </c>
      <c r="C1458" s="1">
        <f t="shared" si="368"/>
        <v>244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 t="shared" si="369"/>
        <v>0</v>
      </c>
      <c r="G1458" s="1">
        <f t="shared" si="370"/>
        <v>1</v>
      </c>
      <c r="H1458" s="2">
        <f t="shared" si="377"/>
        <v>4.0983606557377051E-3</v>
      </c>
      <c r="I1458" s="6"/>
      <c r="J1458" s="2">
        <f t="shared" si="371"/>
        <v>0.41803278688524592</v>
      </c>
      <c r="K1458" s="2">
        <f t="shared" si="372"/>
        <v>0.42213114754098363</v>
      </c>
      <c r="L1458" s="2">
        <f t="shared" si="373"/>
        <v>0</v>
      </c>
      <c r="M1458" s="2">
        <f t="shared" si="374"/>
        <v>0.15983606557377045</v>
      </c>
      <c r="N1458" s="63">
        <v>102</v>
      </c>
      <c r="O1458" s="63">
        <v>103</v>
      </c>
      <c r="P1458" s="63">
        <v>0</v>
      </c>
      <c r="Q1458" s="63">
        <v>8</v>
      </c>
      <c r="R1458" s="63">
        <v>19</v>
      </c>
      <c r="S1458" s="63">
        <v>0</v>
      </c>
      <c r="T1458" s="63">
        <v>1</v>
      </c>
      <c r="U1458" s="63"/>
      <c r="V1458" s="63">
        <v>0</v>
      </c>
      <c r="W1458" s="63">
        <f t="shared" si="375"/>
        <v>11</v>
      </c>
      <c r="X1458" s="63"/>
      <c r="Y1458" s="63"/>
      <c r="Z1458" s="63"/>
      <c r="AA1458" s="63"/>
      <c r="AB1458" s="63"/>
      <c r="AT1458" t="str">
        <f t="shared" si="367"/>
        <v>Ira</v>
      </c>
      <c r="AU1458" t="s">
        <v>589</v>
      </c>
      <c r="AV1458">
        <v>1</v>
      </c>
      <c r="AX1458" s="114">
        <v>50</v>
      </c>
      <c r="AY1458" s="116">
        <v>21</v>
      </c>
      <c r="AZ1458" s="116">
        <v>45</v>
      </c>
      <c r="BA1458" s="120">
        <v>35425</v>
      </c>
      <c r="BB1458" s="120">
        <f t="shared" si="378"/>
        <v>50021</v>
      </c>
      <c r="BC1458" s="8" t="s">
        <v>1472</v>
      </c>
      <c r="BD1458">
        <f t="shared" si="376"/>
        <v>5035425</v>
      </c>
      <c r="BE1458" s="1">
        <v>0</v>
      </c>
      <c r="BF1458" s="1">
        <v>1</v>
      </c>
      <c r="BI1458">
        <v>21.32</v>
      </c>
      <c r="BJ1458">
        <v>0</v>
      </c>
      <c r="BK1458">
        <v>21.32</v>
      </c>
      <c r="BP1458" s="63">
        <v>11</v>
      </c>
      <c r="BQ1458" s="63"/>
      <c r="BR1458">
        <v>8</v>
      </c>
    </row>
    <row r="1459" spans="1:70" hidden="1" outlineLevel="1">
      <c r="A1459" t="s">
        <v>3057</v>
      </c>
      <c r="B1459" s="8" t="s">
        <v>2016</v>
      </c>
      <c r="C1459" s="1">
        <f t="shared" si="368"/>
        <v>554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 t="shared" si="369"/>
        <v>6</v>
      </c>
      <c r="G1459" s="1">
        <f t="shared" si="370"/>
        <v>90</v>
      </c>
      <c r="H1459" s="2">
        <f t="shared" si="377"/>
        <v>0.16245487364620939</v>
      </c>
      <c r="I1459" s="6"/>
      <c r="J1459" s="2">
        <f t="shared" si="371"/>
        <v>0.35018050541516244</v>
      </c>
      <c r="K1459" s="2">
        <f t="shared" si="372"/>
        <v>0.5126353790613718</v>
      </c>
      <c r="L1459" s="2">
        <f t="shared" si="373"/>
        <v>1.8050541516245488E-3</v>
      </c>
      <c r="M1459" s="2">
        <f t="shared" si="374"/>
        <v>0.13537906137184122</v>
      </c>
      <c r="N1459" s="63">
        <v>194</v>
      </c>
      <c r="O1459" s="63">
        <v>284</v>
      </c>
      <c r="P1459" s="63">
        <v>1</v>
      </c>
      <c r="Q1459" s="63">
        <v>27</v>
      </c>
      <c r="R1459" s="63">
        <v>2</v>
      </c>
      <c r="S1459" s="63">
        <v>0</v>
      </c>
      <c r="T1459" s="63">
        <v>0</v>
      </c>
      <c r="U1459" s="63"/>
      <c r="V1459" s="63">
        <v>0</v>
      </c>
      <c r="W1459" s="63">
        <f t="shared" si="375"/>
        <v>46</v>
      </c>
      <c r="X1459" s="63"/>
      <c r="Y1459" s="63"/>
      <c r="Z1459" s="63"/>
      <c r="AA1459" s="63"/>
      <c r="AB1459" s="63"/>
      <c r="AT1459" t="str">
        <f t="shared" si="367"/>
        <v>Irasburg</v>
      </c>
      <c r="AU1459" t="s">
        <v>405</v>
      </c>
      <c r="AV1459">
        <v>1</v>
      </c>
      <c r="AX1459" s="114">
        <v>50</v>
      </c>
      <c r="AY1459" s="116">
        <v>19</v>
      </c>
      <c r="AZ1459" s="116">
        <v>55</v>
      </c>
      <c r="BA1459" s="120">
        <v>35575</v>
      </c>
      <c r="BB1459" s="120">
        <f t="shared" si="378"/>
        <v>50019</v>
      </c>
      <c r="BC1459" s="8" t="s">
        <v>1472</v>
      </c>
      <c r="BD1459">
        <f t="shared" si="376"/>
        <v>5035575</v>
      </c>
      <c r="BE1459" s="1">
        <v>10</v>
      </c>
      <c r="BF1459" s="1">
        <v>4</v>
      </c>
      <c r="BI1459">
        <v>40.590000000000003</v>
      </c>
      <c r="BJ1459">
        <v>0.06</v>
      </c>
      <c r="BK1459">
        <v>40.53</v>
      </c>
      <c r="BP1459" s="63">
        <v>47</v>
      </c>
      <c r="BQ1459" s="63"/>
      <c r="BR1459">
        <v>39</v>
      </c>
    </row>
    <row r="1460" spans="1:70" hidden="1" outlineLevel="1">
      <c r="A1460" t="s">
        <v>2565</v>
      </c>
      <c r="B1460" s="8" t="s">
        <v>2016</v>
      </c>
      <c r="C1460" s="1">
        <f t="shared" si="368"/>
        <v>306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 t="shared" si="369"/>
        <v>0</v>
      </c>
      <c r="G1460" s="1">
        <f t="shared" si="370"/>
        <v>4</v>
      </c>
      <c r="H1460" s="2">
        <f t="shared" si="377"/>
        <v>1.3071895424836602E-2</v>
      </c>
      <c r="I1460" s="6"/>
      <c r="J1460" s="2">
        <f t="shared" si="371"/>
        <v>0.44444444444444442</v>
      </c>
      <c r="K1460" s="2">
        <f t="shared" si="372"/>
        <v>0.45751633986928103</v>
      </c>
      <c r="L1460" s="2">
        <f t="shared" si="373"/>
        <v>0</v>
      </c>
      <c r="M1460" s="2">
        <f t="shared" si="374"/>
        <v>9.803921568627455E-2</v>
      </c>
      <c r="N1460" s="63">
        <v>136</v>
      </c>
      <c r="O1460" s="63">
        <v>140</v>
      </c>
      <c r="P1460" s="63">
        <v>0</v>
      </c>
      <c r="Q1460" s="63">
        <v>12</v>
      </c>
      <c r="R1460" s="63">
        <v>5</v>
      </c>
      <c r="S1460" s="63">
        <v>0</v>
      </c>
      <c r="T1460" s="63">
        <v>0</v>
      </c>
      <c r="U1460" s="63"/>
      <c r="V1460" s="63">
        <v>0</v>
      </c>
      <c r="W1460" s="63">
        <f t="shared" si="375"/>
        <v>13</v>
      </c>
      <c r="X1460" s="63"/>
      <c r="Y1460" s="63"/>
      <c r="Z1460" s="63"/>
      <c r="AA1460" s="63"/>
      <c r="AB1460" s="63"/>
      <c r="AT1460" t="str">
        <f t="shared" si="367"/>
        <v>Isle La Motte</v>
      </c>
      <c r="AU1460" t="s">
        <v>3176</v>
      </c>
      <c r="AV1460">
        <v>1</v>
      </c>
      <c r="AX1460" s="114">
        <v>50</v>
      </c>
      <c r="AY1460" s="116">
        <v>13</v>
      </c>
      <c r="AZ1460" s="116">
        <v>15</v>
      </c>
      <c r="BA1460" s="120">
        <v>35875</v>
      </c>
      <c r="BB1460" s="120">
        <f t="shared" si="378"/>
        <v>50013</v>
      </c>
      <c r="BC1460" s="8" t="s">
        <v>1472</v>
      </c>
      <c r="BD1460">
        <f t="shared" si="376"/>
        <v>5035875</v>
      </c>
      <c r="BE1460" s="1">
        <v>1</v>
      </c>
      <c r="BF1460" s="1">
        <v>3</v>
      </c>
      <c r="BI1460">
        <v>16.66</v>
      </c>
      <c r="BJ1460">
        <v>8.6999999999999993</v>
      </c>
      <c r="BK1460">
        <v>7.96</v>
      </c>
      <c r="BP1460" s="63">
        <v>13</v>
      </c>
      <c r="BQ1460" s="63"/>
      <c r="BR1460">
        <v>11</v>
      </c>
    </row>
    <row r="1461" spans="1:70" hidden="1" outlineLevel="1">
      <c r="A1461" t="s">
        <v>2044</v>
      </c>
      <c r="B1461" s="8" t="s">
        <v>2016</v>
      </c>
      <c r="C1461" s="1">
        <f t="shared" si="368"/>
        <v>513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369"/>
        <v>0</v>
      </c>
      <c r="G1461" s="1">
        <f t="shared" si="370"/>
        <v>179</v>
      </c>
      <c r="H1461" s="2">
        <f t="shared" si="377"/>
        <v>0.3489278752436647</v>
      </c>
      <c r="I1461" s="6"/>
      <c r="J1461" s="2">
        <f t="shared" si="371"/>
        <v>0.60623781676413258</v>
      </c>
      <c r="K1461" s="2">
        <f t="shared" si="372"/>
        <v>0.25730994152046782</v>
      </c>
      <c r="L1461" s="2">
        <f t="shared" si="373"/>
        <v>0</v>
      </c>
      <c r="M1461" s="2">
        <f t="shared" si="374"/>
        <v>0.1364522417153996</v>
      </c>
      <c r="N1461" s="63">
        <v>311</v>
      </c>
      <c r="O1461" s="63">
        <v>132</v>
      </c>
      <c r="P1461" s="63">
        <v>0</v>
      </c>
      <c r="Q1461" s="63">
        <v>24</v>
      </c>
      <c r="R1461" s="63">
        <v>11</v>
      </c>
      <c r="S1461" s="63">
        <v>0</v>
      </c>
      <c r="T1461" s="63">
        <v>2</v>
      </c>
      <c r="U1461" s="63"/>
      <c r="V1461" s="63">
        <v>3</v>
      </c>
      <c r="W1461" s="63">
        <f t="shared" si="375"/>
        <v>30</v>
      </c>
      <c r="X1461" s="63"/>
      <c r="Y1461" s="63"/>
      <c r="Z1461" s="63"/>
      <c r="AA1461" s="63"/>
      <c r="AB1461" s="63"/>
      <c r="AT1461" t="str">
        <f t="shared" si="367"/>
        <v>Jamaica</v>
      </c>
      <c r="AU1461" t="s">
        <v>2129</v>
      </c>
      <c r="AV1461">
        <v>1</v>
      </c>
      <c r="AX1461" s="114">
        <v>50</v>
      </c>
      <c r="AY1461" s="116">
        <v>25</v>
      </c>
      <c r="AZ1461" s="116">
        <v>45</v>
      </c>
      <c r="BA1461" s="120">
        <v>36175</v>
      </c>
      <c r="BB1461" s="120">
        <f t="shared" si="378"/>
        <v>50025</v>
      </c>
      <c r="BC1461" s="8" t="s">
        <v>1472</v>
      </c>
      <c r="BD1461">
        <f t="shared" si="376"/>
        <v>5036175</v>
      </c>
      <c r="BE1461" s="1">
        <v>2</v>
      </c>
      <c r="BF1461" s="1">
        <v>1</v>
      </c>
      <c r="BI1461">
        <v>49.45</v>
      </c>
      <c r="BJ1461">
        <v>0.1</v>
      </c>
      <c r="BK1461">
        <v>49.35</v>
      </c>
      <c r="BP1461" s="63">
        <v>30</v>
      </c>
      <c r="BQ1461" s="63"/>
      <c r="BR1461">
        <v>23</v>
      </c>
    </row>
    <row r="1462" spans="1:70" hidden="1" outlineLevel="1">
      <c r="A1462" t="s">
        <v>1924</v>
      </c>
      <c r="B1462" s="8" t="s">
        <v>2016</v>
      </c>
      <c r="C1462" s="1">
        <f t="shared" si="368"/>
        <v>245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369"/>
        <v>6</v>
      </c>
      <c r="G1462" s="1">
        <f t="shared" si="370"/>
        <v>12</v>
      </c>
      <c r="H1462" s="2">
        <f t="shared" si="377"/>
        <v>4.8979591836734691E-2</v>
      </c>
      <c r="I1462" s="6"/>
      <c r="J1462" s="2">
        <f t="shared" si="371"/>
        <v>0.46122448979591835</v>
      </c>
      <c r="K1462" s="2">
        <f t="shared" si="372"/>
        <v>0.41224489795918368</v>
      </c>
      <c r="L1462" s="2">
        <f t="shared" si="373"/>
        <v>4.0816326530612249E-3</v>
      </c>
      <c r="M1462" s="2">
        <f t="shared" si="374"/>
        <v>0.12244897959183676</v>
      </c>
      <c r="N1462" s="63">
        <v>113</v>
      </c>
      <c r="O1462" s="63">
        <v>101</v>
      </c>
      <c r="P1462" s="63">
        <v>1</v>
      </c>
      <c r="Q1462" s="63">
        <v>6</v>
      </c>
      <c r="R1462" s="63">
        <v>3</v>
      </c>
      <c r="S1462" s="63">
        <v>0</v>
      </c>
      <c r="T1462" s="63">
        <v>1</v>
      </c>
      <c r="U1462" s="63"/>
      <c r="V1462" s="63">
        <v>0</v>
      </c>
      <c r="W1462" s="63">
        <f t="shared" si="375"/>
        <v>20</v>
      </c>
      <c r="X1462" s="63"/>
      <c r="Y1462" s="63"/>
      <c r="Z1462" s="63"/>
      <c r="AA1462" s="63"/>
      <c r="AB1462" s="63"/>
      <c r="AT1462" t="str">
        <f t="shared" si="367"/>
        <v>Jay</v>
      </c>
      <c r="AU1462" t="s">
        <v>405</v>
      </c>
      <c r="AV1462">
        <v>1</v>
      </c>
      <c r="AX1462" s="114">
        <v>50</v>
      </c>
      <c r="AY1462" s="116">
        <v>19</v>
      </c>
      <c r="AZ1462" s="116">
        <v>60</v>
      </c>
      <c r="BA1462" s="120">
        <v>36325</v>
      </c>
      <c r="BB1462" s="120">
        <f t="shared" si="378"/>
        <v>50019</v>
      </c>
      <c r="BC1462" s="8" t="s">
        <v>1472</v>
      </c>
      <c r="BD1462">
        <f t="shared" si="376"/>
        <v>5036325</v>
      </c>
      <c r="BE1462" s="1">
        <v>1</v>
      </c>
      <c r="BF1462" s="1">
        <v>0</v>
      </c>
      <c r="BI1462">
        <v>33.96</v>
      </c>
      <c r="BJ1462">
        <v>0.04</v>
      </c>
      <c r="BK1462">
        <v>33.92</v>
      </c>
      <c r="BP1462" s="63">
        <v>21</v>
      </c>
      <c r="BQ1462" s="63"/>
      <c r="BR1462">
        <v>17</v>
      </c>
    </row>
    <row r="1463" spans="1:70" hidden="1" outlineLevel="1">
      <c r="A1463" t="s">
        <v>129</v>
      </c>
      <c r="B1463" s="8" t="s">
        <v>2016</v>
      </c>
      <c r="C1463" s="1">
        <f t="shared" si="368"/>
        <v>3325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369"/>
        <v>7</v>
      </c>
      <c r="G1463" s="1">
        <f t="shared" si="370"/>
        <v>1127</v>
      </c>
      <c r="H1463" s="2">
        <f t="shared" si="377"/>
        <v>0.33894736842105261</v>
      </c>
      <c r="I1463" s="6"/>
      <c r="J1463" s="2">
        <f t="shared" si="371"/>
        <v>0.6066165413533835</v>
      </c>
      <c r="K1463" s="2">
        <f t="shared" si="372"/>
        <v>0.26766917293233083</v>
      </c>
      <c r="L1463" s="2">
        <f t="shared" si="373"/>
        <v>4.2105263157894736E-3</v>
      </c>
      <c r="M1463" s="2">
        <f t="shared" si="374"/>
        <v>0.1215037593984962</v>
      </c>
      <c r="N1463" s="63">
        <v>2017</v>
      </c>
      <c r="O1463" s="63">
        <v>890</v>
      </c>
      <c r="P1463" s="63">
        <v>14</v>
      </c>
      <c r="Q1463" s="63">
        <v>101</v>
      </c>
      <c r="R1463" s="63">
        <v>54</v>
      </c>
      <c r="S1463" s="63">
        <v>32</v>
      </c>
      <c r="T1463" s="63">
        <v>9</v>
      </c>
      <c r="U1463" s="63"/>
      <c r="V1463" s="63">
        <v>3</v>
      </c>
      <c r="W1463" s="63">
        <f t="shared" si="375"/>
        <v>203</v>
      </c>
      <c r="X1463" s="63"/>
      <c r="Y1463" s="63"/>
      <c r="Z1463" s="63"/>
      <c r="AA1463" s="63"/>
      <c r="AB1463" s="63"/>
      <c r="AN1463">
        <v>2</v>
      </c>
      <c r="AT1463" t="str">
        <f t="shared" si="367"/>
        <v>Jericho</v>
      </c>
      <c r="AU1463" t="s">
        <v>3175</v>
      </c>
      <c r="AV1463">
        <v>1</v>
      </c>
      <c r="AX1463" s="114">
        <v>50</v>
      </c>
      <c r="AY1463" s="116">
        <v>7</v>
      </c>
      <c r="AZ1463" s="116">
        <v>45</v>
      </c>
      <c r="BA1463" s="120">
        <v>36700</v>
      </c>
      <c r="BB1463" s="120">
        <f t="shared" si="378"/>
        <v>50007</v>
      </c>
      <c r="BC1463" s="8" t="s">
        <v>1472</v>
      </c>
      <c r="BD1463">
        <f t="shared" si="376"/>
        <v>5036700</v>
      </c>
      <c r="BE1463" s="1">
        <v>11</v>
      </c>
      <c r="BF1463" s="1">
        <v>7</v>
      </c>
      <c r="BI1463">
        <v>35.450000000000003</v>
      </c>
      <c r="BJ1463">
        <v>0.05</v>
      </c>
      <c r="BK1463">
        <v>35.39</v>
      </c>
      <c r="BP1463" s="63">
        <v>251</v>
      </c>
      <c r="BQ1463" s="63"/>
      <c r="BR1463">
        <v>168</v>
      </c>
    </row>
    <row r="1464" spans="1:70" hidden="1" outlineLevel="1">
      <c r="A1464" t="s">
        <v>1361</v>
      </c>
      <c r="B1464" s="8" t="s">
        <v>2016</v>
      </c>
      <c r="C1464" s="1">
        <f t="shared" si="368"/>
        <v>1322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369"/>
        <v>6</v>
      </c>
      <c r="G1464" s="1">
        <f t="shared" si="370"/>
        <v>296</v>
      </c>
      <c r="H1464" s="2">
        <f t="shared" si="377"/>
        <v>0.22390317700453857</v>
      </c>
      <c r="I1464" s="6"/>
      <c r="J1464" s="2">
        <f t="shared" si="371"/>
        <v>0.5226928895612708</v>
      </c>
      <c r="K1464" s="2">
        <f t="shared" si="372"/>
        <v>0.2987897125567322</v>
      </c>
      <c r="L1464" s="2">
        <f t="shared" si="373"/>
        <v>1.5128593040847202E-3</v>
      </c>
      <c r="M1464" s="2">
        <f t="shared" si="374"/>
        <v>0.17700453857791229</v>
      </c>
      <c r="N1464" s="63">
        <v>691</v>
      </c>
      <c r="O1464" s="63">
        <v>395</v>
      </c>
      <c r="P1464" s="63">
        <v>2</v>
      </c>
      <c r="Q1464" s="63">
        <v>45</v>
      </c>
      <c r="R1464" s="63">
        <v>48</v>
      </c>
      <c r="S1464" s="63">
        <v>0</v>
      </c>
      <c r="T1464" s="63">
        <v>2</v>
      </c>
      <c r="U1464" s="63"/>
      <c r="V1464" s="63">
        <v>1</v>
      </c>
      <c r="W1464" s="63">
        <f t="shared" si="375"/>
        <v>138</v>
      </c>
      <c r="X1464" s="63"/>
      <c r="Y1464" s="63"/>
      <c r="Z1464" s="63"/>
      <c r="AA1464" s="63"/>
      <c r="AB1464" s="63"/>
      <c r="AT1464" t="str">
        <f t="shared" si="367"/>
        <v>Johnson</v>
      </c>
      <c r="AU1464" t="s">
        <v>2768</v>
      </c>
      <c r="AV1464">
        <v>1</v>
      </c>
      <c r="AX1464" s="114">
        <v>50</v>
      </c>
      <c r="AY1464" s="116">
        <v>15</v>
      </c>
      <c r="AZ1464" s="116">
        <v>30</v>
      </c>
      <c r="BA1464" s="120">
        <v>37075</v>
      </c>
      <c r="BB1464" s="120">
        <f t="shared" si="378"/>
        <v>50015</v>
      </c>
      <c r="BC1464" s="8" t="s">
        <v>1472</v>
      </c>
      <c r="BD1464">
        <f t="shared" si="376"/>
        <v>5037075</v>
      </c>
      <c r="BE1464" s="1">
        <v>13</v>
      </c>
      <c r="BF1464" s="1">
        <v>0</v>
      </c>
      <c r="BI1464">
        <v>45.09</v>
      </c>
      <c r="BJ1464">
        <v>0.01</v>
      </c>
      <c r="BK1464">
        <v>45.08</v>
      </c>
      <c r="BP1464" s="63">
        <v>140</v>
      </c>
      <c r="BQ1464" s="63"/>
      <c r="BR1464">
        <v>124</v>
      </c>
    </row>
    <row r="1465" spans="1:70" hidden="1" outlineLevel="1">
      <c r="A1465" t="s">
        <v>2133</v>
      </c>
      <c r="B1465" s="8" t="s">
        <v>2016</v>
      </c>
      <c r="C1465" s="1">
        <f t="shared" si="368"/>
        <v>661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369"/>
        <v>7</v>
      </c>
      <c r="G1465" s="1">
        <f t="shared" si="370"/>
        <v>125</v>
      </c>
      <c r="H1465" s="2">
        <f t="shared" si="377"/>
        <v>0.18910741301059</v>
      </c>
      <c r="I1465" s="6"/>
      <c r="J1465" s="2">
        <f t="shared" si="371"/>
        <v>0.54009077155824503</v>
      </c>
      <c r="K1465" s="2">
        <f t="shared" si="372"/>
        <v>0.35098335854765506</v>
      </c>
      <c r="L1465" s="2">
        <f t="shared" si="373"/>
        <v>1.5128593040847202E-3</v>
      </c>
      <c r="M1465" s="2">
        <f t="shared" si="374"/>
        <v>0.10741301059001519</v>
      </c>
      <c r="N1465" s="63">
        <v>357</v>
      </c>
      <c r="O1465" s="63">
        <v>232</v>
      </c>
      <c r="P1465" s="63">
        <v>1</v>
      </c>
      <c r="Q1465" s="63">
        <v>29</v>
      </c>
      <c r="R1465" s="63">
        <v>10</v>
      </c>
      <c r="S1465" s="63">
        <v>0</v>
      </c>
      <c r="T1465" s="63">
        <v>2</v>
      </c>
      <c r="U1465" s="63"/>
      <c r="V1465" s="63">
        <v>0</v>
      </c>
      <c r="W1465" s="63">
        <f t="shared" si="375"/>
        <v>30</v>
      </c>
      <c r="X1465" s="63"/>
      <c r="Y1465" s="63"/>
      <c r="Z1465" s="63"/>
      <c r="AA1465" s="63"/>
      <c r="AB1465" s="63"/>
      <c r="AT1465" t="str">
        <f t="shared" si="367"/>
        <v>Killington</v>
      </c>
      <c r="AU1465" t="s">
        <v>589</v>
      </c>
      <c r="AV1465">
        <v>1</v>
      </c>
      <c r="AX1465" s="114">
        <v>50</v>
      </c>
      <c r="AY1465" s="116">
        <v>21</v>
      </c>
      <c r="AZ1465" s="116">
        <v>47</v>
      </c>
      <c r="BA1465" s="120">
        <v>37685</v>
      </c>
      <c r="BB1465" s="120">
        <f t="shared" si="378"/>
        <v>50021</v>
      </c>
      <c r="BC1465" s="8" t="s">
        <v>1472</v>
      </c>
      <c r="BD1465">
        <f t="shared" si="376"/>
        <v>5037685</v>
      </c>
      <c r="BE1465" s="1">
        <v>9</v>
      </c>
      <c r="BF1465" s="1">
        <v>0</v>
      </c>
      <c r="BI1465">
        <v>46.86</v>
      </c>
      <c r="BJ1465">
        <v>0.22</v>
      </c>
      <c r="BK1465">
        <v>46.63</v>
      </c>
      <c r="BP1465" s="63">
        <v>31</v>
      </c>
      <c r="BQ1465" s="63"/>
      <c r="BR1465">
        <v>28</v>
      </c>
    </row>
    <row r="1466" spans="1:70" hidden="1" outlineLevel="1">
      <c r="A1466" t="s">
        <v>2991</v>
      </c>
      <c r="B1466" s="8" t="s">
        <v>2016</v>
      </c>
      <c r="C1466" s="1">
        <f t="shared" si="368"/>
        <v>263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369"/>
        <v>0</v>
      </c>
      <c r="G1466" s="1">
        <f t="shared" si="370"/>
        <v>29</v>
      </c>
      <c r="H1466" s="2">
        <f t="shared" si="377"/>
        <v>0.11026615969581749</v>
      </c>
      <c r="I1466" s="6"/>
      <c r="J1466" s="2">
        <f t="shared" si="371"/>
        <v>0.47528517110266161</v>
      </c>
      <c r="K1466" s="2">
        <f t="shared" si="372"/>
        <v>0.36501901140684412</v>
      </c>
      <c r="L1466" s="2">
        <f t="shared" si="373"/>
        <v>0</v>
      </c>
      <c r="M1466" s="2">
        <f t="shared" si="374"/>
        <v>0.15969581749049433</v>
      </c>
      <c r="N1466" s="63">
        <v>125</v>
      </c>
      <c r="O1466" s="63">
        <v>96</v>
      </c>
      <c r="P1466" s="63">
        <v>0</v>
      </c>
      <c r="Q1466" s="63">
        <v>6</v>
      </c>
      <c r="R1466" s="63">
        <v>8</v>
      </c>
      <c r="S1466" s="63">
        <v>0</v>
      </c>
      <c r="T1466" s="63">
        <v>0</v>
      </c>
      <c r="U1466" s="63"/>
      <c r="V1466" s="63">
        <v>0</v>
      </c>
      <c r="W1466" s="63">
        <f t="shared" si="375"/>
        <v>28</v>
      </c>
      <c r="X1466" s="63"/>
      <c r="Y1466" s="63"/>
      <c r="Z1466" s="63"/>
      <c r="AA1466" s="63"/>
      <c r="AB1466" s="63"/>
      <c r="AT1466" t="str">
        <f t="shared" si="367"/>
        <v>Kirby</v>
      </c>
      <c r="AU1466" t="s">
        <v>681</v>
      </c>
      <c r="AV1466">
        <v>1</v>
      </c>
      <c r="AX1466" s="114">
        <v>50</v>
      </c>
      <c r="AY1466" s="116">
        <v>5</v>
      </c>
      <c r="AZ1466" s="116">
        <v>30</v>
      </c>
      <c r="BA1466" s="120">
        <v>37900</v>
      </c>
      <c r="BB1466" s="120">
        <f t="shared" si="378"/>
        <v>50005</v>
      </c>
      <c r="BC1466" s="8" t="s">
        <v>1472</v>
      </c>
      <c r="BD1466">
        <f t="shared" si="376"/>
        <v>5037900</v>
      </c>
      <c r="BE1466" s="1">
        <v>3</v>
      </c>
      <c r="BF1466" s="1">
        <v>0</v>
      </c>
      <c r="BI1466">
        <v>24.43</v>
      </c>
      <c r="BJ1466">
        <v>0.02</v>
      </c>
      <c r="BK1466">
        <v>24.41</v>
      </c>
      <c r="BP1466" s="63">
        <v>28</v>
      </c>
      <c r="BQ1466" s="63"/>
      <c r="BR1466">
        <v>22</v>
      </c>
    </row>
    <row r="1467" spans="1:70" hidden="1" outlineLevel="1">
      <c r="A1467" t="s">
        <v>2195</v>
      </c>
      <c r="B1467" s="8" t="s">
        <v>2016</v>
      </c>
      <c r="C1467" s="1">
        <f t="shared" si="368"/>
        <v>103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369"/>
        <v>0</v>
      </c>
      <c r="G1467" s="1">
        <f t="shared" si="370"/>
        <v>53</v>
      </c>
      <c r="H1467" s="2">
        <f t="shared" si="377"/>
        <v>0.5145631067961165</v>
      </c>
      <c r="I1467" s="6"/>
      <c r="J1467" s="2">
        <f t="shared" si="371"/>
        <v>0.68932038834951459</v>
      </c>
      <c r="K1467" s="2">
        <f t="shared" si="372"/>
        <v>0.17475728155339806</v>
      </c>
      <c r="L1467" s="2">
        <f t="shared" si="373"/>
        <v>0</v>
      </c>
      <c r="M1467" s="2">
        <f t="shared" si="374"/>
        <v>0.13592233009708735</v>
      </c>
      <c r="N1467" s="63">
        <v>71</v>
      </c>
      <c r="O1467" s="63">
        <v>18</v>
      </c>
      <c r="P1467" s="63">
        <v>0</v>
      </c>
      <c r="Q1467" s="63">
        <v>5</v>
      </c>
      <c r="R1467" s="63">
        <v>1</v>
      </c>
      <c r="S1467" s="63">
        <v>0</v>
      </c>
      <c r="T1467" s="63">
        <v>0</v>
      </c>
      <c r="U1467" s="63"/>
      <c r="V1467" s="63">
        <v>0</v>
      </c>
      <c r="W1467" s="63">
        <f t="shared" si="375"/>
        <v>8</v>
      </c>
      <c r="X1467" s="63"/>
      <c r="Y1467" s="63"/>
      <c r="Z1467" s="63"/>
      <c r="AA1467" s="63"/>
      <c r="AB1467" s="63"/>
      <c r="AT1467" t="str">
        <f t="shared" si="367"/>
        <v>Landgrove</v>
      </c>
      <c r="AU1467" t="s">
        <v>951</v>
      </c>
      <c r="AV1467">
        <v>1</v>
      </c>
      <c r="AX1467" s="114">
        <v>50</v>
      </c>
      <c r="AY1467" s="116">
        <v>3</v>
      </c>
      <c r="AZ1467" s="116">
        <v>20</v>
      </c>
      <c r="BA1467" s="120">
        <v>39025</v>
      </c>
      <c r="BB1467" s="120">
        <f t="shared" si="378"/>
        <v>50003</v>
      </c>
      <c r="BC1467" s="8" t="s">
        <v>1472</v>
      </c>
      <c r="BD1467">
        <f t="shared" si="376"/>
        <v>5039025</v>
      </c>
      <c r="BE1467" s="1">
        <v>2</v>
      </c>
      <c r="BF1467" s="1">
        <v>0</v>
      </c>
      <c r="BI1467">
        <v>9.1199999999999992</v>
      </c>
      <c r="BJ1467">
        <v>0</v>
      </c>
      <c r="BK1467">
        <v>9.1199999999999992</v>
      </c>
      <c r="BP1467" s="63">
        <v>8</v>
      </c>
      <c r="BQ1467" s="63"/>
      <c r="BR1467">
        <v>5</v>
      </c>
    </row>
    <row r="1468" spans="1:70" hidden="1" outlineLevel="1">
      <c r="A1468" t="s">
        <v>3001</v>
      </c>
      <c r="B1468" s="8" t="s">
        <v>2016</v>
      </c>
      <c r="C1468" s="1">
        <f t="shared" si="368"/>
        <v>492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369"/>
        <v>6</v>
      </c>
      <c r="G1468" s="1">
        <f t="shared" si="370"/>
        <v>10</v>
      </c>
      <c r="H1468" s="2">
        <f t="shared" si="377"/>
        <v>2.032520325203252E-2</v>
      </c>
      <c r="I1468" s="6"/>
      <c r="J1468" s="2">
        <f t="shared" si="371"/>
        <v>0.44105691056910568</v>
      </c>
      <c r="K1468" s="2">
        <f t="shared" si="372"/>
        <v>0.42073170731707316</v>
      </c>
      <c r="L1468" s="2">
        <f t="shared" si="373"/>
        <v>8.130081300813009E-3</v>
      </c>
      <c r="M1468" s="2">
        <f t="shared" si="374"/>
        <v>0.13008130081300817</v>
      </c>
      <c r="N1468" s="63">
        <v>217</v>
      </c>
      <c r="O1468" s="63">
        <v>207</v>
      </c>
      <c r="P1468" s="63">
        <v>4</v>
      </c>
      <c r="Q1468" s="63">
        <v>15</v>
      </c>
      <c r="R1468" s="63">
        <v>5</v>
      </c>
      <c r="S1468" s="63">
        <v>0</v>
      </c>
      <c r="T1468" s="63">
        <v>3</v>
      </c>
      <c r="U1468" s="63"/>
      <c r="V1468" s="63">
        <v>0</v>
      </c>
      <c r="W1468" s="63">
        <f t="shared" si="375"/>
        <v>41</v>
      </c>
      <c r="X1468" s="63"/>
      <c r="Y1468" s="63"/>
      <c r="Z1468" s="63"/>
      <c r="AA1468" s="63"/>
      <c r="AB1468" s="63"/>
      <c r="AT1468" t="str">
        <f t="shared" si="367"/>
        <v>Leicester</v>
      </c>
      <c r="AU1468" t="s">
        <v>1346</v>
      </c>
      <c r="AV1468">
        <v>1</v>
      </c>
      <c r="AX1468" s="114">
        <v>50</v>
      </c>
      <c r="AY1468" s="116">
        <v>1</v>
      </c>
      <c r="AZ1468" s="116">
        <v>45</v>
      </c>
      <c r="BA1468" s="120">
        <v>39325</v>
      </c>
      <c r="BB1468" s="120">
        <f t="shared" si="378"/>
        <v>50001</v>
      </c>
      <c r="BC1468" s="8" t="s">
        <v>1472</v>
      </c>
      <c r="BD1468">
        <f t="shared" si="376"/>
        <v>5039325</v>
      </c>
      <c r="BE1468" s="1">
        <v>10</v>
      </c>
      <c r="BF1468" s="1">
        <v>0</v>
      </c>
      <c r="BI1468">
        <v>21.99</v>
      </c>
      <c r="BJ1468">
        <v>0.71</v>
      </c>
      <c r="BK1468">
        <v>21.28</v>
      </c>
      <c r="BP1468" s="63">
        <v>45</v>
      </c>
      <c r="BQ1468" s="63"/>
      <c r="BR1468">
        <v>37</v>
      </c>
    </row>
    <row r="1469" spans="1:70" hidden="1" outlineLevel="1">
      <c r="A1469" t="s">
        <v>786</v>
      </c>
      <c r="B1469" s="8" t="s">
        <v>2016</v>
      </c>
      <c r="C1469" s="1">
        <f t="shared" si="368"/>
        <v>55</v>
      </c>
      <c r="D1469" s="5">
        <f>IF(N1469&gt;0, RANK(N1469,(N1469:P1469,Q1469:AE1469)),0)</f>
        <v>2</v>
      </c>
      <c r="E1469" s="5">
        <f>IF(O1469&gt;0,RANK(O1469,(N1469:P1469,Q1469:AE1469)),0)</f>
        <v>1</v>
      </c>
      <c r="F1469" s="5">
        <f t="shared" si="369"/>
        <v>0</v>
      </c>
      <c r="G1469" s="1">
        <f t="shared" si="370"/>
        <v>10</v>
      </c>
      <c r="H1469" s="2">
        <f t="shared" si="377"/>
        <v>0.18181818181818182</v>
      </c>
      <c r="I1469" s="6"/>
      <c r="J1469" s="2">
        <f t="shared" si="371"/>
        <v>0.32727272727272727</v>
      </c>
      <c r="K1469" s="2">
        <f t="shared" si="372"/>
        <v>0.50909090909090904</v>
      </c>
      <c r="L1469" s="2">
        <f t="shared" si="373"/>
        <v>0</v>
      </c>
      <c r="M1469" s="2">
        <f t="shared" si="374"/>
        <v>0.16363636363636369</v>
      </c>
      <c r="N1469" s="63">
        <v>18</v>
      </c>
      <c r="O1469" s="63">
        <v>28</v>
      </c>
      <c r="P1469" s="63">
        <v>0</v>
      </c>
      <c r="Q1469" s="63">
        <v>6</v>
      </c>
      <c r="R1469" s="63">
        <v>1</v>
      </c>
      <c r="S1469" s="63">
        <v>0</v>
      </c>
      <c r="T1469" s="63">
        <v>0</v>
      </c>
      <c r="U1469" s="63"/>
      <c r="V1469" s="63">
        <v>0</v>
      </c>
      <c r="W1469" s="63">
        <f t="shared" si="375"/>
        <v>2</v>
      </c>
      <c r="X1469" s="63"/>
      <c r="Y1469" s="63"/>
      <c r="Z1469" s="63"/>
      <c r="AA1469" s="63"/>
      <c r="AB1469" s="63"/>
      <c r="AT1469" t="str">
        <f t="shared" si="367"/>
        <v>Lemington</v>
      </c>
      <c r="AU1469" t="s">
        <v>842</v>
      </c>
      <c r="AV1469">
        <v>1</v>
      </c>
      <c r="AX1469" s="114">
        <v>50</v>
      </c>
      <c r="AY1469" s="116">
        <v>9</v>
      </c>
      <c r="AZ1469" s="116">
        <v>60</v>
      </c>
      <c r="BA1469" s="120">
        <v>39700</v>
      </c>
      <c r="BB1469" s="120">
        <f t="shared" si="378"/>
        <v>50009</v>
      </c>
      <c r="BC1469" s="8" t="s">
        <v>1472</v>
      </c>
      <c r="BD1469">
        <f t="shared" si="376"/>
        <v>5039700</v>
      </c>
      <c r="BE1469" s="1">
        <v>1</v>
      </c>
      <c r="BF1469" s="1">
        <v>1</v>
      </c>
      <c r="BI1469">
        <v>35.26</v>
      </c>
      <c r="BJ1469">
        <v>0</v>
      </c>
      <c r="BK1469">
        <v>35.26</v>
      </c>
      <c r="BP1469" s="63">
        <v>2</v>
      </c>
      <c r="BQ1469" s="63"/>
      <c r="BR1469">
        <v>2</v>
      </c>
    </row>
    <row r="1470" spans="1:70" hidden="1" outlineLevel="1">
      <c r="A1470" t="s">
        <v>1597</v>
      </c>
      <c r="B1470" s="8" t="s">
        <v>2016</v>
      </c>
      <c r="C1470" s="1">
        <f t="shared" si="368"/>
        <v>791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369"/>
        <v>6</v>
      </c>
      <c r="G1470" s="1">
        <f t="shared" si="370"/>
        <v>306</v>
      </c>
      <c r="H1470" s="2">
        <f t="shared" si="377"/>
        <v>0.38685208596713022</v>
      </c>
      <c r="I1470" s="6"/>
      <c r="J1470" s="2">
        <f t="shared" si="371"/>
        <v>0.62452591656131484</v>
      </c>
      <c r="K1470" s="2">
        <f t="shared" si="372"/>
        <v>0.23767383059418457</v>
      </c>
      <c r="L1470" s="2">
        <f t="shared" si="373"/>
        <v>5.0568900126422255E-3</v>
      </c>
      <c r="M1470" s="2">
        <f t="shared" si="374"/>
        <v>0.13274336283185836</v>
      </c>
      <c r="N1470" s="63">
        <v>494</v>
      </c>
      <c r="O1470" s="63">
        <v>188</v>
      </c>
      <c r="P1470" s="63">
        <v>4</v>
      </c>
      <c r="Q1470" s="63">
        <v>22</v>
      </c>
      <c r="R1470" s="63">
        <v>27</v>
      </c>
      <c r="S1470" s="63">
        <v>0</v>
      </c>
      <c r="T1470" s="63">
        <v>3</v>
      </c>
      <c r="U1470" s="63"/>
      <c r="V1470" s="63">
        <v>0</v>
      </c>
      <c r="W1470" s="63">
        <f t="shared" si="375"/>
        <v>53</v>
      </c>
      <c r="X1470" s="63"/>
      <c r="Y1470" s="63"/>
      <c r="Z1470" s="63"/>
      <c r="AA1470" s="63"/>
      <c r="AB1470" s="63"/>
      <c r="AT1470" t="str">
        <f t="shared" si="367"/>
        <v>Lincoln</v>
      </c>
      <c r="AU1470" t="s">
        <v>1346</v>
      </c>
      <c r="AV1470">
        <v>1</v>
      </c>
      <c r="AX1470" s="114">
        <v>50</v>
      </c>
      <c r="AY1470" s="116">
        <v>1</v>
      </c>
      <c r="AZ1470" s="116">
        <v>50</v>
      </c>
      <c r="BA1470" s="120">
        <v>40075</v>
      </c>
      <c r="BB1470" s="120">
        <f t="shared" si="378"/>
        <v>50001</v>
      </c>
      <c r="BC1470" s="8" t="s">
        <v>1472</v>
      </c>
      <c r="BD1470">
        <f t="shared" si="376"/>
        <v>5040075</v>
      </c>
      <c r="BE1470" s="1">
        <v>11</v>
      </c>
      <c r="BF1470" s="1">
        <v>1</v>
      </c>
      <c r="BI1470">
        <v>44.02</v>
      </c>
      <c r="BJ1470">
        <v>0.03</v>
      </c>
      <c r="BK1470">
        <v>43.99</v>
      </c>
      <c r="BP1470" s="63">
        <v>57</v>
      </c>
      <c r="BQ1470" s="63"/>
      <c r="BR1470">
        <v>46</v>
      </c>
    </row>
    <row r="1471" spans="1:70" hidden="1" outlineLevel="1">
      <c r="A1471" t="s">
        <v>1784</v>
      </c>
      <c r="B1471" s="8" t="s">
        <v>2016</v>
      </c>
      <c r="C1471" s="1">
        <f t="shared" si="368"/>
        <v>942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369"/>
        <v>8</v>
      </c>
      <c r="G1471" s="1">
        <f t="shared" si="370"/>
        <v>214</v>
      </c>
      <c r="H1471" s="2">
        <f t="shared" si="377"/>
        <v>0.22717622080679406</v>
      </c>
      <c r="I1471" s="6"/>
      <c r="J1471" s="2">
        <f t="shared" si="371"/>
        <v>0.54883227176220806</v>
      </c>
      <c r="K1471" s="2">
        <f t="shared" si="372"/>
        <v>0.321656050955414</v>
      </c>
      <c r="L1471" s="2">
        <f t="shared" si="373"/>
        <v>1.0615711252653928E-3</v>
      </c>
      <c r="M1471" s="2">
        <f t="shared" si="374"/>
        <v>0.12845010615711255</v>
      </c>
      <c r="N1471" s="63">
        <v>517</v>
      </c>
      <c r="O1471" s="63">
        <v>303</v>
      </c>
      <c r="P1471" s="63">
        <v>1</v>
      </c>
      <c r="Q1471" s="63">
        <v>30</v>
      </c>
      <c r="R1471" s="63">
        <v>27</v>
      </c>
      <c r="S1471" s="63">
        <v>0</v>
      </c>
      <c r="T1471" s="63">
        <v>3</v>
      </c>
      <c r="U1471" s="63"/>
      <c r="V1471" s="63">
        <v>2</v>
      </c>
      <c r="W1471" s="63">
        <f t="shared" si="375"/>
        <v>59</v>
      </c>
      <c r="X1471" s="63"/>
      <c r="Y1471" s="63"/>
      <c r="Z1471" s="63"/>
      <c r="AA1471" s="63"/>
      <c r="AB1471" s="63"/>
      <c r="AT1471" t="str">
        <f t="shared" si="367"/>
        <v>Londonderry</v>
      </c>
      <c r="AU1471" t="s">
        <v>2129</v>
      </c>
      <c r="AV1471">
        <v>1</v>
      </c>
      <c r="AX1471" s="114">
        <v>50</v>
      </c>
      <c r="AY1471" s="116">
        <v>25</v>
      </c>
      <c r="AZ1471" s="116">
        <v>50</v>
      </c>
      <c r="BA1471" s="120">
        <v>40225</v>
      </c>
      <c r="BB1471" s="120">
        <f t="shared" si="378"/>
        <v>50025</v>
      </c>
      <c r="BC1471" s="8" t="s">
        <v>1472</v>
      </c>
      <c r="BD1471">
        <f t="shared" si="376"/>
        <v>5040225</v>
      </c>
      <c r="BE1471" s="1">
        <v>9</v>
      </c>
      <c r="BF1471" s="1">
        <v>2</v>
      </c>
      <c r="BI1471">
        <v>35.869999999999997</v>
      </c>
      <c r="BJ1471">
        <v>0.21</v>
      </c>
      <c r="BK1471">
        <v>35.67</v>
      </c>
      <c r="BP1471" s="63">
        <v>60</v>
      </c>
      <c r="BQ1471" s="63"/>
      <c r="BR1471">
        <v>48</v>
      </c>
    </row>
    <row r="1472" spans="1:70" hidden="1" outlineLevel="1">
      <c r="A1472" t="s">
        <v>2854</v>
      </c>
      <c r="B1472" s="8" t="s">
        <v>2016</v>
      </c>
      <c r="C1472" s="1">
        <f t="shared" si="368"/>
        <v>433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 t="shared" si="369"/>
        <v>8</v>
      </c>
      <c r="G1472" s="1">
        <f t="shared" si="370"/>
        <v>127</v>
      </c>
      <c r="H1472" s="2">
        <f t="shared" si="377"/>
        <v>0.29330254041570436</v>
      </c>
      <c r="I1472" s="6"/>
      <c r="J1472" s="2">
        <f t="shared" si="371"/>
        <v>0.28406466512702078</v>
      </c>
      <c r="K1472" s="2">
        <f t="shared" si="372"/>
        <v>0.57736720554272514</v>
      </c>
      <c r="L1472" s="2">
        <f t="shared" si="373"/>
        <v>2.3094688221709007E-3</v>
      </c>
      <c r="M1472" s="2">
        <f t="shared" si="374"/>
        <v>0.13625866050808319</v>
      </c>
      <c r="N1472" s="63">
        <v>123</v>
      </c>
      <c r="O1472" s="63">
        <v>250</v>
      </c>
      <c r="P1472" s="63">
        <v>1</v>
      </c>
      <c r="Q1472" s="63">
        <v>11</v>
      </c>
      <c r="R1472" s="63">
        <v>4</v>
      </c>
      <c r="S1472" s="63">
        <v>0</v>
      </c>
      <c r="T1472" s="63">
        <v>3</v>
      </c>
      <c r="U1472" s="63"/>
      <c r="V1472" s="63">
        <v>2</v>
      </c>
      <c r="W1472" s="63">
        <f t="shared" si="375"/>
        <v>39</v>
      </c>
      <c r="X1472" s="63"/>
      <c r="Y1472" s="63"/>
      <c r="Z1472" s="63"/>
      <c r="AA1472" s="63"/>
      <c r="AB1472" s="63"/>
      <c r="AT1472" t="str">
        <f t="shared" si="367"/>
        <v>Lowell</v>
      </c>
      <c r="AU1472" t="s">
        <v>405</v>
      </c>
      <c r="AV1472">
        <v>1</v>
      </c>
      <c r="AX1472" s="114">
        <v>50</v>
      </c>
      <c r="AY1472" s="116">
        <v>19</v>
      </c>
      <c r="AZ1472" s="116">
        <v>65</v>
      </c>
      <c r="BA1472" s="120">
        <v>40525</v>
      </c>
      <c r="BB1472" s="120">
        <f t="shared" si="378"/>
        <v>50019</v>
      </c>
      <c r="BC1472" s="8" t="s">
        <v>1472</v>
      </c>
      <c r="BD1472">
        <f t="shared" si="376"/>
        <v>5040525</v>
      </c>
      <c r="BE1472" s="1">
        <v>3</v>
      </c>
      <c r="BF1472" s="1">
        <v>4</v>
      </c>
      <c r="BI1472">
        <v>56.06</v>
      </c>
      <c r="BJ1472">
        <v>0.06</v>
      </c>
      <c r="BK1472">
        <v>56.01</v>
      </c>
      <c r="BP1472" s="63">
        <v>40</v>
      </c>
      <c r="BQ1472" s="63"/>
      <c r="BR1472">
        <v>34</v>
      </c>
    </row>
    <row r="1473" spans="1:70" hidden="1" outlineLevel="1">
      <c r="A1473" t="s">
        <v>2721</v>
      </c>
      <c r="B1473" s="8" t="s">
        <v>2016</v>
      </c>
      <c r="C1473" s="1">
        <f t="shared" si="368"/>
        <v>1090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369"/>
        <v>7</v>
      </c>
      <c r="G1473" s="1">
        <f t="shared" si="370"/>
        <v>135</v>
      </c>
      <c r="H1473" s="2">
        <f t="shared" si="377"/>
        <v>0.12385321100917432</v>
      </c>
      <c r="I1473" s="6"/>
      <c r="J1473" s="2">
        <f t="shared" si="371"/>
        <v>0.49357798165137617</v>
      </c>
      <c r="K1473" s="2">
        <f t="shared" si="372"/>
        <v>0.36972477064220183</v>
      </c>
      <c r="L1473" s="2">
        <f t="shared" si="373"/>
        <v>3.669724770642202E-3</v>
      </c>
      <c r="M1473" s="2">
        <f t="shared" si="374"/>
        <v>0.13302752293577985</v>
      </c>
      <c r="N1473" s="63">
        <v>538</v>
      </c>
      <c r="O1473" s="63">
        <v>403</v>
      </c>
      <c r="P1473" s="63">
        <v>4</v>
      </c>
      <c r="Q1473" s="63">
        <v>28</v>
      </c>
      <c r="R1473" s="63">
        <v>23</v>
      </c>
      <c r="S1473" s="63">
        <v>0</v>
      </c>
      <c r="T1473" s="63">
        <v>7</v>
      </c>
      <c r="U1473" s="63"/>
      <c r="V1473" s="63">
        <v>2</v>
      </c>
      <c r="W1473" s="63">
        <f t="shared" si="375"/>
        <v>85</v>
      </c>
      <c r="X1473" s="63"/>
      <c r="Y1473" s="63"/>
      <c r="Z1473" s="63"/>
      <c r="AA1473" s="63"/>
      <c r="AB1473" s="63"/>
      <c r="AT1473" t="str">
        <f t="shared" si="367"/>
        <v>Ludlow</v>
      </c>
      <c r="AU1473" t="s">
        <v>2282</v>
      </c>
      <c r="AV1473">
        <v>1</v>
      </c>
      <c r="AX1473" s="114">
        <v>50</v>
      </c>
      <c r="AY1473" s="116">
        <v>27</v>
      </c>
      <c r="AZ1473" s="116">
        <v>50</v>
      </c>
      <c r="BA1473" s="120">
        <v>41275</v>
      </c>
      <c r="BB1473" s="120">
        <f t="shared" si="378"/>
        <v>50027</v>
      </c>
      <c r="BC1473" s="8" t="s">
        <v>1472</v>
      </c>
      <c r="BD1473">
        <f t="shared" si="376"/>
        <v>5041275</v>
      </c>
      <c r="BE1473" s="1">
        <v>19</v>
      </c>
      <c r="BF1473" s="1">
        <v>0</v>
      </c>
      <c r="BI1473">
        <v>35.700000000000003</v>
      </c>
      <c r="BJ1473">
        <v>0.43</v>
      </c>
      <c r="BK1473">
        <v>35.270000000000003</v>
      </c>
      <c r="BP1473" s="63">
        <v>89</v>
      </c>
      <c r="BQ1473" s="63"/>
      <c r="BR1473">
        <v>74</v>
      </c>
    </row>
    <row r="1474" spans="1:70" hidden="1" outlineLevel="1">
      <c r="A1474" t="s">
        <v>1608</v>
      </c>
      <c r="B1474" s="8" t="s">
        <v>2016</v>
      </c>
      <c r="C1474" s="1">
        <f t="shared" si="368"/>
        <v>553</v>
      </c>
      <c r="D1474" s="5">
        <f>IF(N1474&gt;0, RANK(N1474,(N1474:P1474,Q1474:AE1474)),0)</f>
        <v>2</v>
      </c>
      <c r="E1474" s="5">
        <f>IF(O1474&gt;0,RANK(O1474,(N1474:P1474,Q1474:AE1474)),0)</f>
        <v>1</v>
      </c>
      <c r="F1474" s="5">
        <f t="shared" si="369"/>
        <v>6</v>
      </c>
      <c r="G1474" s="1">
        <f t="shared" si="370"/>
        <v>140</v>
      </c>
      <c r="H1474" s="2">
        <f t="shared" si="377"/>
        <v>0.25316455696202533</v>
      </c>
      <c r="I1474" s="6"/>
      <c r="J1474" s="2">
        <f t="shared" si="371"/>
        <v>0.3092224231464738</v>
      </c>
      <c r="K1474" s="2">
        <f t="shared" si="372"/>
        <v>0.56238698010849908</v>
      </c>
      <c r="L1474" s="2">
        <f t="shared" si="373"/>
        <v>3.616636528028933E-3</v>
      </c>
      <c r="M1474" s="2">
        <f t="shared" si="374"/>
        <v>0.12477396021699824</v>
      </c>
      <c r="N1474" s="63">
        <v>171</v>
      </c>
      <c r="O1474" s="63">
        <v>311</v>
      </c>
      <c r="P1474" s="63">
        <v>2</v>
      </c>
      <c r="Q1474" s="63">
        <v>20</v>
      </c>
      <c r="R1474" s="63">
        <v>9</v>
      </c>
      <c r="S1474" s="63">
        <v>0</v>
      </c>
      <c r="T1474" s="63">
        <v>1</v>
      </c>
      <c r="U1474" s="63"/>
      <c r="V1474" s="63">
        <v>2</v>
      </c>
      <c r="W1474" s="63">
        <f t="shared" si="375"/>
        <v>37</v>
      </c>
      <c r="X1474" s="63"/>
      <c r="Y1474" s="63"/>
      <c r="Z1474" s="63"/>
      <c r="AA1474" s="63"/>
      <c r="AB1474" s="63"/>
      <c r="AT1474" t="str">
        <f t="shared" si="367"/>
        <v>Lunenburg</v>
      </c>
      <c r="AU1474" t="s">
        <v>842</v>
      </c>
      <c r="AV1474">
        <v>1</v>
      </c>
      <c r="AX1474" s="114">
        <v>50</v>
      </c>
      <c r="AY1474" s="116">
        <v>9</v>
      </c>
      <c r="AZ1474" s="116">
        <v>70</v>
      </c>
      <c r="BA1474" s="120">
        <v>41425</v>
      </c>
      <c r="BB1474" s="120">
        <f t="shared" si="378"/>
        <v>50009</v>
      </c>
      <c r="BC1474" s="8" t="s">
        <v>1472</v>
      </c>
      <c r="BD1474">
        <f t="shared" si="376"/>
        <v>5041425</v>
      </c>
      <c r="BE1474" s="1">
        <v>9</v>
      </c>
      <c r="BF1474" s="1">
        <v>0</v>
      </c>
      <c r="BI1474">
        <v>45.36</v>
      </c>
      <c r="BJ1474">
        <v>0.28000000000000003</v>
      </c>
      <c r="BK1474">
        <v>45.08</v>
      </c>
      <c r="BP1474" s="63">
        <v>39</v>
      </c>
      <c r="BQ1474" s="63"/>
      <c r="BR1474">
        <v>30</v>
      </c>
    </row>
    <row r="1475" spans="1:70" hidden="1" outlineLevel="1">
      <c r="A1475" t="s">
        <v>1707</v>
      </c>
      <c r="B1475" s="8" t="s">
        <v>2016</v>
      </c>
      <c r="C1475" s="1">
        <f t="shared" si="368"/>
        <v>2062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 t="shared" si="369"/>
        <v>7</v>
      </c>
      <c r="G1475" s="1">
        <f t="shared" si="370"/>
        <v>56</v>
      </c>
      <c r="H1475" s="2">
        <f t="shared" si="377"/>
        <v>2.7158098933074686E-2</v>
      </c>
      <c r="I1475" s="6"/>
      <c r="J1475" s="2">
        <f t="shared" si="371"/>
        <v>0.40106692531522792</v>
      </c>
      <c r="K1475" s="2">
        <f t="shared" si="372"/>
        <v>0.42822502424830261</v>
      </c>
      <c r="L1475" s="2">
        <f t="shared" si="373"/>
        <v>3.3947623666343357E-3</v>
      </c>
      <c r="M1475" s="2">
        <f t="shared" si="374"/>
        <v>0.16731328806983514</v>
      </c>
      <c r="N1475" s="63">
        <v>827</v>
      </c>
      <c r="O1475" s="63">
        <v>883</v>
      </c>
      <c r="P1475" s="63">
        <v>7</v>
      </c>
      <c r="Q1475" s="63">
        <v>86</v>
      </c>
      <c r="R1475" s="63">
        <v>43</v>
      </c>
      <c r="S1475" s="63">
        <v>2</v>
      </c>
      <c r="T1475" s="63">
        <v>8</v>
      </c>
      <c r="U1475" s="63"/>
      <c r="V1475" s="63">
        <v>3</v>
      </c>
      <c r="W1475" s="63">
        <f t="shared" si="375"/>
        <v>203</v>
      </c>
      <c r="X1475" s="63"/>
      <c r="Y1475" s="63"/>
      <c r="Z1475" s="63"/>
      <c r="AA1475" s="63"/>
      <c r="AB1475" s="63"/>
      <c r="AT1475" t="str">
        <f t="shared" si="367"/>
        <v>Lyndon</v>
      </c>
      <c r="AU1475" t="s">
        <v>681</v>
      </c>
      <c r="AV1475">
        <v>1</v>
      </c>
      <c r="AX1475" s="114">
        <v>50</v>
      </c>
      <c r="AY1475" s="116">
        <v>5</v>
      </c>
      <c r="AZ1475" s="116">
        <v>35</v>
      </c>
      <c r="BA1475" s="120">
        <v>41725</v>
      </c>
      <c r="BB1475" s="120">
        <f t="shared" si="378"/>
        <v>50005</v>
      </c>
      <c r="BC1475" s="8" t="s">
        <v>1472</v>
      </c>
      <c r="BD1475">
        <f t="shared" si="376"/>
        <v>5041725</v>
      </c>
      <c r="BE1475" s="1">
        <v>21</v>
      </c>
      <c r="BF1475" s="1">
        <v>2</v>
      </c>
      <c r="BI1475">
        <v>39.799999999999997</v>
      </c>
      <c r="BJ1475">
        <v>0.04</v>
      </c>
      <c r="BK1475">
        <v>39.76</v>
      </c>
      <c r="BP1475" s="63">
        <v>212</v>
      </c>
      <c r="BQ1475" s="63"/>
      <c r="BR1475">
        <v>162</v>
      </c>
    </row>
    <row r="1476" spans="1:70" hidden="1" outlineLevel="1">
      <c r="A1476" t="s">
        <v>1196</v>
      </c>
      <c r="B1476" s="8" t="s">
        <v>2016</v>
      </c>
      <c r="C1476" s="1">
        <f t="shared" si="368"/>
        <v>117</v>
      </c>
      <c r="D1476" s="5">
        <f>IF(N1476&gt;0, RANK(N1476,(N1476:P1476,Q1476:AE1476)),0)</f>
        <v>2</v>
      </c>
      <c r="E1476" s="5">
        <f>IF(O1476&gt;0,RANK(O1476,(N1476:P1476,Q1476:AE1476)),0)</f>
        <v>1</v>
      </c>
      <c r="F1476" s="5">
        <f t="shared" si="369"/>
        <v>5</v>
      </c>
      <c r="G1476" s="1">
        <f t="shared" si="370"/>
        <v>21</v>
      </c>
      <c r="H1476" s="2">
        <f t="shared" si="377"/>
        <v>0.17948717948717949</v>
      </c>
      <c r="I1476" s="6"/>
      <c r="J1476" s="2">
        <f t="shared" si="371"/>
        <v>0.33333333333333331</v>
      </c>
      <c r="K1476" s="2">
        <f t="shared" si="372"/>
        <v>0.51282051282051277</v>
      </c>
      <c r="L1476" s="2">
        <f t="shared" si="373"/>
        <v>2.564102564102564E-2</v>
      </c>
      <c r="M1476" s="2">
        <f t="shared" si="374"/>
        <v>0.12820512820512833</v>
      </c>
      <c r="N1476" s="63">
        <v>39</v>
      </c>
      <c r="O1476" s="63">
        <v>60</v>
      </c>
      <c r="P1476" s="63">
        <v>3</v>
      </c>
      <c r="Q1476" s="63">
        <v>6</v>
      </c>
      <c r="R1476" s="63">
        <v>1</v>
      </c>
      <c r="S1476" s="63">
        <v>0</v>
      </c>
      <c r="T1476" s="63">
        <v>1</v>
      </c>
      <c r="U1476" s="63"/>
      <c r="V1476" s="63">
        <v>0</v>
      </c>
      <c r="W1476" s="63">
        <f t="shared" si="375"/>
        <v>7</v>
      </c>
      <c r="X1476" s="63"/>
      <c r="Y1476" s="63"/>
      <c r="Z1476" s="63"/>
      <c r="AA1476" s="63"/>
      <c r="AB1476" s="63"/>
      <c r="AT1476" t="str">
        <f t="shared" si="367"/>
        <v>Maidstone</v>
      </c>
      <c r="AU1476" t="s">
        <v>842</v>
      </c>
      <c r="AV1476">
        <v>1</v>
      </c>
      <c r="AX1476" s="114">
        <v>50</v>
      </c>
      <c r="AY1476" s="116">
        <v>9</v>
      </c>
      <c r="AZ1476" s="116">
        <v>75</v>
      </c>
      <c r="BA1476" s="120">
        <v>42475</v>
      </c>
      <c r="BB1476" s="120">
        <f t="shared" si="378"/>
        <v>50009</v>
      </c>
      <c r="BC1476" s="8" t="s">
        <v>1472</v>
      </c>
      <c r="BD1476">
        <f t="shared" si="376"/>
        <v>5042475</v>
      </c>
      <c r="BE1476" s="1">
        <v>1</v>
      </c>
      <c r="BF1476" s="1">
        <v>0</v>
      </c>
      <c r="BI1476">
        <v>31.79</v>
      </c>
      <c r="BJ1476">
        <v>1.31</v>
      </c>
      <c r="BK1476">
        <v>30.48</v>
      </c>
      <c r="BP1476" s="63">
        <v>10</v>
      </c>
      <c r="BQ1476" s="63"/>
      <c r="BR1476">
        <v>5</v>
      </c>
    </row>
    <row r="1477" spans="1:70" hidden="1" outlineLevel="1">
      <c r="A1477" t="s">
        <v>1983</v>
      </c>
      <c r="B1477" s="8" t="s">
        <v>2016</v>
      </c>
      <c r="C1477" s="1">
        <f t="shared" si="368"/>
        <v>2393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369"/>
        <v>7</v>
      </c>
      <c r="G1477" s="1">
        <f t="shared" si="370"/>
        <v>746</v>
      </c>
      <c r="H1477" s="2">
        <f t="shared" si="377"/>
        <v>0.31174258253238613</v>
      </c>
      <c r="I1477" s="6"/>
      <c r="J1477" s="2">
        <f t="shared" si="371"/>
        <v>0.60676974508984538</v>
      </c>
      <c r="K1477" s="2">
        <f t="shared" si="372"/>
        <v>0.29502716255745925</v>
      </c>
      <c r="L1477" s="2">
        <f t="shared" si="373"/>
        <v>2.5073129962390303E-3</v>
      </c>
      <c r="M1477" s="2">
        <f t="shared" si="374"/>
        <v>9.5695779356456331E-2</v>
      </c>
      <c r="N1477" s="63">
        <v>1452</v>
      </c>
      <c r="O1477" s="63">
        <v>706</v>
      </c>
      <c r="P1477" s="63">
        <v>6</v>
      </c>
      <c r="Q1477" s="63">
        <v>74</v>
      </c>
      <c r="R1477" s="63">
        <v>33</v>
      </c>
      <c r="S1477" s="63">
        <v>1</v>
      </c>
      <c r="T1477" s="63">
        <v>10</v>
      </c>
      <c r="U1477" s="63"/>
      <c r="V1477" s="63">
        <v>4</v>
      </c>
      <c r="W1477" s="63">
        <f t="shared" si="375"/>
        <v>107</v>
      </c>
      <c r="X1477" s="63"/>
      <c r="Y1477" s="63"/>
      <c r="Z1477" s="63"/>
      <c r="AA1477" s="63"/>
      <c r="AB1477" s="63"/>
      <c r="AT1477" t="str">
        <f t="shared" si="367"/>
        <v>Manchester</v>
      </c>
      <c r="AU1477" t="s">
        <v>951</v>
      </c>
      <c r="AV1477">
        <v>1</v>
      </c>
      <c r="AX1477" s="114">
        <v>50</v>
      </c>
      <c r="AY1477" s="116">
        <v>3</v>
      </c>
      <c r="AZ1477" s="116">
        <v>25</v>
      </c>
      <c r="BA1477" s="120">
        <v>42850</v>
      </c>
      <c r="BB1477" s="120">
        <f t="shared" si="378"/>
        <v>50003</v>
      </c>
      <c r="BC1477" s="8" t="s">
        <v>1472</v>
      </c>
      <c r="BD1477">
        <f t="shared" si="376"/>
        <v>5042850</v>
      </c>
      <c r="BE1477" s="1">
        <v>52</v>
      </c>
      <c r="BF1477" s="1">
        <v>1</v>
      </c>
      <c r="BI1477">
        <v>42.28</v>
      </c>
      <c r="BJ1477">
        <v>0.05</v>
      </c>
      <c r="BK1477">
        <v>42.23</v>
      </c>
      <c r="BP1477" s="63">
        <v>114</v>
      </c>
      <c r="BQ1477" s="63"/>
      <c r="BR1477">
        <v>90</v>
      </c>
    </row>
    <row r="1478" spans="1:70" hidden="1" outlineLevel="1">
      <c r="A1478" t="s">
        <v>1848</v>
      </c>
      <c r="B1478" s="8" t="s">
        <v>2016</v>
      </c>
      <c r="C1478" s="1">
        <f t="shared" si="368"/>
        <v>575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369"/>
        <v>6</v>
      </c>
      <c r="G1478" s="1">
        <f t="shared" si="370"/>
        <v>342</v>
      </c>
      <c r="H1478" s="2">
        <f t="shared" si="377"/>
        <v>0.59478260869565214</v>
      </c>
      <c r="I1478" s="6"/>
      <c r="J1478" s="2">
        <f t="shared" si="371"/>
        <v>0.7513043478260869</v>
      </c>
      <c r="K1478" s="2">
        <f t="shared" si="372"/>
        <v>0.15652173913043479</v>
      </c>
      <c r="L1478" s="2">
        <f t="shared" si="373"/>
        <v>6.956521739130435E-3</v>
      </c>
      <c r="M1478" s="2">
        <f t="shared" si="374"/>
        <v>8.521739130434787E-2</v>
      </c>
      <c r="N1478" s="63">
        <v>432</v>
      </c>
      <c r="O1478" s="63">
        <v>90</v>
      </c>
      <c r="P1478" s="63">
        <v>4</v>
      </c>
      <c r="Q1478" s="63">
        <v>5</v>
      </c>
      <c r="R1478" s="63">
        <v>21</v>
      </c>
      <c r="S1478" s="63">
        <v>0</v>
      </c>
      <c r="T1478" s="63">
        <v>1</v>
      </c>
      <c r="U1478" s="63"/>
      <c r="V1478" s="63">
        <v>1</v>
      </c>
      <c r="W1478" s="63">
        <f t="shared" si="375"/>
        <v>21</v>
      </c>
      <c r="X1478" s="63"/>
      <c r="Y1478" s="63"/>
      <c r="Z1478" s="63"/>
      <c r="AA1478" s="63"/>
      <c r="AB1478" s="63"/>
      <c r="AT1478" t="str">
        <f t="shared" si="367"/>
        <v>Marlboro</v>
      </c>
      <c r="AU1478" t="s">
        <v>2129</v>
      </c>
      <c r="AV1478">
        <v>1</v>
      </c>
      <c r="AX1478" s="114">
        <v>50</v>
      </c>
      <c r="AY1478" s="116">
        <v>25</v>
      </c>
      <c r="AZ1478" s="116">
        <v>55</v>
      </c>
      <c r="BA1478" s="120">
        <v>43375</v>
      </c>
      <c r="BB1478" s="120">
        <f t="shared" si="378"/>
        <v>50025</v>
      </c>
      <c r="BC1478" s="8" t="s">
        <v>1472</v>
      </c>
      <c r="BD1478">
        <f t="shared" si="376"/>
        <v>5043375</v>
      </c>
      <c r="BE1478" s="1">
        <v>5</v>
      </c>
      <c r="BF1478" s="1">
        <v>1</v>
      </c>
      <c r="BI1478">
        <v>40.65</v>
      </c>
      <c r="BJ1478">
        <v>0.32</v>
      </c>
      <c r="BK1478">
        <v>40.33</v>
      </c>
      <c r="BP1478" s="63">
        <v>25</v>
      </c>
      <c r="BQ1478" s="63"/>
      <c r="BR1478">
        <v>19</v>
      </c>
    </row>
    <row r="1479" spans="1:70" hidden="1" outlineLevel="1">
      <c r="A1479" t="s">
        <v>1378</v>
      </c>
      <c r="B1479" s="8" t="s">
        <v>2016</v>
      </c>
      <c r="C1479" s="1">
        <f t="shared" si="368"/>
        <v>864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369"/>
        <v>7</v>
      </c>
      <c r="G1479" s="1">
        <f t="shared" si="370"/>
        <v>133</v>
      </c>
      <c r="H1479" s="2">
        <f t="shared" si="377"/>
        <v>0.15393518518518517</v>
      </c>
      <c r="I1479" s="6"/>
      <c r="J1479" s="2">
        <f t="shared" si="371"/>
        <v>0.4826388888888889</v>
      </c>
      <c r="K1479" s="2">
        <f t="shared" si="372"/>
        <v>0.32870370370370372</v>
      </c>
      <c r="L1479" s="2">
        <f t="shared" si="373"/>
        <v>3.472222222222222E-3</v>
      </c>
      <c r="M1479" s="2">
        <f t="shared" si="374"/>
        <v>0.18518518518518523</v>
      </c>
      <c r="N1479" s="63">
        <v>417</v>
      </c>
      <c r="O1479" s="63">
        <v>284</v>
      </c>
      <c r="P1479" s="63">
        <v>3</v>
      </c>
      <c r="Q1479" s="63">
        <v>27</v>
      </c>
      <c r="R1479" s="63">
        <v>51</v>
      </c>
      <c r="S1479" s="63">
        <v>0</v>
      </c>
      <c r="T1479" s="63">
        <v>4</v>
      </c>
      <c r="U1479" s="63"/>
      <c r="V1479" s="63">
        <v>0</v>
      </c>
      <c r="W1479" s="63">
        <f t="shared" si="375"/>
        <v>78</v>
      </c>
      <c r="X1479" s="63"/>
      <c r="Y1479" s="63"/>
      <c r="Z1479" s="63"/>
      <c r="AA1479" s="63"/>
      <c r="AB1479" s="63"/>
      <c r="AT1479" t="str">
        <f t="shared" si="367"/>
        <v>Marshfield</v>
      </c>
      <c r="AU1479" t="s">
        <v>692</v>
      </c>
      <c r="AV1479">
        <v>1</v>
      </c>
      <c r="AX1479" s="114">
        <v>50</v>
      </c>
      <c r="AY1479" s="116">
        <v>23</v>
      </c>
      <c r="AZ1479" s="116">
        <v>45</v>
      </c>
      <c r="BA1479" s="120">
        <v>43600</v>
      </c>
      <c r="BB1479" s="120">
        <f t="shared" si="378"/>
        <v>50023</v>
      </c>
      <c r="BC1479" s="8" t="s">
        <v>1472</v>
      </c>
      <c r="BD1479">
        <f t="shared" si="376"/>
        <v>5043600</v>
      </c>
      <c r="BE1479" s="1">
        <v>11</v>
      </c>
      <c r="BF1479" s="1">
        <v>4</v>
      </c>
      <c r="BI1479">
        <v>43.39</v>
      </c>
      <c r="BJ1479">
        <v>0.28000000000000003</v>
      </c>
      <c r="BK1479">
        <v>43.11</v>
      </c>
      <c r="BP1479" s="63">
        <v>81</v>
      </c>
      <c r="BQ1479" s="63"/>
      <c r="BR1479">
        <v>71</v>
      </c>
    </row>
    <row r="1480" spans="1:70" hidden="1" outlineLevel="1">
      <c r="A1480" t="s">
        <v>2860</v>
      </c>
      <c r="B1480" s="8" t="s">
        <v>2016</v>
      </c>
      <c r="C1480" s="1">
        <f t="shared" si="368"/>
        <v>638</v>
      </c>
      <c r="D1480" s="5">
        <f>IF(N1480&gt;0, RANK(N1480,(N1480:P1480,Q1480:AE1480)),0)</f>
        <v>1</v>
      </c>
      <c r="E1480" s="5">
        <f>IF(O1480&gt;0,RANK(O1480,(N1480:P1480,Q1480:AE1480)),0)</f>
        <v>2</v>
      </c>
      <c r="F1480" s="5">
        <f t="shared" si="369"/>
        <v>0</v>
      </c>
      <c r="G1480" s="1">
        <f t="shared" si="370"/>
        <v>34</v>
      </c>
      <c r="H1480" s="2">
        <f t="shared" si="377"/>
        <v>5.329153605015674E-2</v>
      </c>
      <c r="I1480" s="6"/>
      <c r="J1480" s="2">
        <f t="shared" si="371"/>
        <v>0.47335423197492166</v>
      </c>
      <c r="K1480" s="2">
        <f t="shared" si="372"/>
        <v>0.42006269592476492</v>
      </c>
      <c r="L1480" s="2">
        <f t="shared" si="373"/>
        <v>0</v>
      </c>
      <c r="M1480" s="2">
        <f t="shared" si="374"/>
        <v>0.10658307210031343</v>
      </c>
      <c r="N1480" s="63">
        <v>302</v>
      </c>
      <c r="O1480" s="63">
        <v>268</v>
      </c>
      <c r="P1480" s="63">
        <v>0</v>
      </c>
      <c r="Q1480" s="63">
        <v>26</v>
      </c>
      <c r="R1480" s="63">
        <v>10</v>
      </c>
      <c r="S1480" s="63">
        <v>0</v>
      </c>
      <c r="T1480" s="63">
        <v>3</v>
      </c>
      <c r="U1480" s="63"/>
      <c r="V1480" s="63">
        <v>0</v>
      </c>
      <c r="W1480" s="63">
        <f t="shared" si="375"/>
        <v>29</v>
      </c>
      <c r="X1480" s="63"/>
      <c r="Y1480" s="63"/>
      <c r="Z1480" s="63"/>
      <c r="AA1480" s="63"/>
      <c r="AB1480" s="63"/>
      <c r="AT1480" t="str">
        <f t="shared" si="367"/>
        <v>Mendon</v>
      </c>
      <c r="AU1480" t="s">
        <v>589</v>
      </c>
      <c r="AV1480">
        <v>1</v>
      </c>
      <c r="AX1480" s="114">
        <v>50</v>
      </c>
      <c r="AY1480" s="116">
        <v>21</v>
      </c>
      <c r="AZ1480" s="116">
        <v>50</v>
      </c>
      <c r="BA1480" s="120">
        <v>44125</v>
      </c>
      <c r="BB1480" s="120">
        <f t="shared" si="378"/>
        <v>50021</v>
      </c>
      <c r="BC1480" s="8" t="s">
        <v>1472</v>
      </c>
      <c r="BD1480">
        <f t="shared" si="376"/>
        <v>5044125</v>
      </c>
      <c r="BE1480" s="1">
        <v>16</v>
      </c>
      <c r="BF1480" s="1">
        <v>0</v>
      </c>
      <c r="BI1480">
        <v>38.1</v>
      </c>
      <c r="BJ1480">
        <v>0.01</v>
      </c>
      <c r="BK1480">
        <v>38.090000000000003</v>
      </c>
      <c r="BP1480" s="63">
        <v>29</v>
      </c>
      <c r="BQ1480" s="63"/>
      <c r="BR1480">
        <v>20</v>
      </c>
    </row>
    <row r="1481" spans="1:70" hidden="1" outlineLevel="1">
      <c r="A1481" t="s">
        <v>1171</v>
      </c>
      <c r="B1481" s="8" t="s">
        <v>2016</v>
      </c>
      <c r="C1481" s="1">
        <f t="shared" si="368"/>
        <v>3667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369"/>
        <v>6</v>
      </c>
      <c r="G1481" s="1">
        <f t="shared" si="370"/>
        <v>2087</v>
      </c>
      <c r="H1481" s="2">
        <f t="shared" si="377"/>
        <v>0.56913007908371971</v>
      </c>
      <c r="I1481" s="6"/>
      <c r="J1481" s="2">
        <f t="shared" si="371"/>
        <v>0.73138805563130627</v>
      </c>
      <c r="K1481" s="2">
        <f t="shared" si="372"/>
        <v>0.16225797654758659</v>
      </c>
      <c r="L1481" s="2">
        <f t="shared" si="373"/>
        <v>5.4540496318516499E-3</v>
      </c>
      <c r="M1481" s="2">
        <f t="shared" si="374"/>
        <v>0.10089991818925551</v>
      </c>
      <c r="N1481" s="63">
        <v>2682</v>
      </c>
      <c r="O1481" s="63">
        <v>595</v>
      </c>
      <c r="P1481" s="63">
        <v>20</v>
      </c>
      <c r="Q1481" s="63">
        <v>77</v>
      </c>
      <c r="R1481" s="63">
        <v>71</v>
      </c>
      <c r="S1481" s="63">
        <v>0</v>
      </c>
      <c r="T1481" s="63">
        <v>11</v>
      </c>
      <c r="U1481" s="63"/>
      <c r="V1481" s="63">
        <v>2</v>
      </c>
      <c r="W1481" s="63">
        <f t="shared" si="375"/>
        <v>207</v>
      </c>
      <c r="X1481" s="63">
        <v>1</v>
      </c>
      <c r="Y1481" s="63"/>
      <c r="Z1481" s="63"/>
      <c r="AA1481" s="63"/>
      <c r="AB1481" s="63"/>
      <c r="AN1481">
        <v>1</v>
      </c>
      <c r="AT1481" t="str">
        <f t="shared" si="367"/>
        <v>Middlebury</v>
      </c>
      <c r="AU1481" t="s">
        <v>1346</v>
      </c>
      <c r="AV1481">
        <v>1</v>
      </c>
      <c r="AX1481" s="114">
        <v>50</v>
      </c>
      <c r="AY1481" s="116">
        <v>1</v>
      </c>
      <c r="AZ1481" s="116">
        <v>55</v>
      </c>
      <c r="BA1481" s="120">
        <v>44350</v>
      </c>
      <c r="BB1481" s="120">
        <f t="shared" si="378"/>
        <v>50001</v>
      </c>
      <c r="BC1481" s="8" t="s">
        <v>1472</v>
      </c>
      <c r="BD1481">
        <f t="shared" si="376"/>
        <v>5044350</v>
      </c>
      <c r="BE1481" s="1">
        <v>36</v>
      </c>
      <c r="BF1481" s="1">
        <v>20</v>
      </c>
      <c r="BI1481">
        <v>39.17</v>
      </c>
      <c r="BJ1481">
        <v>0.14000000000000001</v>
      </c>
      <c r="BK1481">
        <v>39.03</v>
      </c>
      <c r="BP1481" s="63">
        <v>229</v>
      </c>
      <c r="BQ1481" s="63"/>
      <c r="BR1481">
        <v>158</v>
      </c>
    </row>
    <row r="1482" spans="1:70" hidden="1" outlineLevel="1">
      <c r="A1482" t="s">
        <v>503</v>
      </c>
      <c r="B1482" s="8" t="s">
        <v>2016</v>
      </c>
      <c r="C1482" s="1">
        <f t="shared" si="368"/>
        <v>1111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369"/>
        <v>7</v>
      </c>
      <c r="G1482" s="1">
        <f t="shared" si="370"/>
        <v>491</v>
      </c>
      <c r="H1482" s="2">
        <f t="shared" si="377"/>
        <v>0.44194419441944194</v>
      </c>
      <c r="I1482" s="6"/>
      <c r="J1482" s="2">
        <f t="shared" si="371"/>
        <v>0.64716471647164719</v>
      </c>
      <c r="K1482" s="2">
        <f t="shared" si="372"/>
        <v>0.20522052205220523</v>
      </c>
      <c r="L1482" s="2">
        <f t="shared" si="373"/>
        <v>1.8001800180018001E-3</v>
      </c>
      <c r="M1482" s="2">
        <f t="shared" si="374"/>
        <v>0.14581458145814577</v>
      </c>
      <c r="N1482" s="63">
        <v>719</v>
      </c>
      <c r="O1482" s="63">
        <v>228</v>
      </c>
      <c r="P1482" s="63">
        <v>2</v>
      </c>
      <c r="Q1482" s="63">
        <v>31</v>
      </c>
      <c r="R1482" s="63">
        <v>47</v>
      </c>
      <c r="S1482" s="63">
        <v>0</v>
      </c>
      <c r="T1482" s="63">
        <v>5</v>
      </c>
      <c r="U1482" s="63"/>
      <c r="V1482" s="63">
        <v>1</v>
      </c>
      <c r="W1482" s="63">
        <f t="shared" si="375"/>
        <v>78</v>
      </c>
      <c r="X1482" s="63"/>
      <c r="Y1482" s="63"/>
      <c r="Z1482" s="63"/>
      <c r="AA1482" s="63"/>
      <c r="AB1482" s="63"/>
      <c r="AT1482" t="str">
        <f t="shared" si="367"/>
        <v>Middlesex</v>
      </c>
      <c r="AU1482" t="s">
        <v>692</v>
      </c>
      <c r="AV1482">
        <v>1</v>
      </c>
      <c r="AX1482" s="114">
        <v>50</v>
      </c>
      <c r="AY1482" s="116">
        <v>23</v>
      </c>
      <c r="AZ1482" s="116">
        <v>50</v>
      </c>
      <c r="BA1482" s="120">
        <v>44500</v>
      </c>
      <c r="BB1482" s="120">
        <f t="shared" si="378"/>
        <v>50023</v>
      </c>
      <c r="BC1482" s="8" t="s">
        <v>1472</v>
      </c>
      <c r="BD1482">
        <f t="shared" si="376"/>
        <v>5044500</v>
      </c>
      <c r="BE1482" s="1">
        <v>23</v>
      </c>
      <c r="BF1482" s="1">
        <v>0</v>
      </c>
      <c r="BI1482">
        <v>39.86</v>
      </c>
      <c r="BJ1482">
        <v>0.21</v>
      </c>
      <c r="BK1482">
        <v>39.659999999999997</v>
      </c>
      <c r="BP1482" s="63">
        <v>80</v>
      </c>
      <c r="BQ1482" s="63"/>
      <c r="BR1482">
        <v>67</v>
      </c>
    </row>
    <row r="1483" spans="1:70" hidden="1" outlineLevel="1">
      <c r="A1483" t="s">
        <v>3160</v>
      </c>
      <c r="B1483" s="8" t="s">
        <v>2016</v>
      </c>
      <c r="C1483" s="1">
        <f t="shared" si="368"/>
        <v>484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369"/>
        <v>0</v>
      </c>
      <c r="G1483" s="1">
        <f t="shared" si="370"/>
        <v>54</v>
      </c>
      <c r="H1483" s="2">
        <f t="shared" si="377"/>
        <v>0.1115702479338843</v>
      </c>
      <c r="I1483" s="6"/>
      <c r="J1483" s="2">
        <f t="shared" si="371"/>
        <v>0.48140495867768596</v>
      </c>
      <c r="K1483" s="2">
        <f t="shared" si="372"/>
        <v>0.36983471074380164</v>
      </c>
      <c r="L1483" s="2">
        <f t="shared" si="373"/>
        <v>0</v>
      </c>
      <c r="M1483" s="2">
        <f t="shared" si="374"/>
        <v>0.1487603305785124</v>
      </c>
      <c r="N1483" s="63">
        <v>233</v>
      </c>
      <c r="O1483" s="63">
        <v>179</v>
      </c>
      <c r="P1483" s="63">
        <v>0</v>
      </c>
      <c r="Q1483" s="63">
        <v>8</v>
      </c>
      <c r="R1483" s="63">
        <v>18</v>
      </c>
      <c r="S1483" s="63">
        <v>0</v>
      </c>
      <c r="T1483" s="63">
        <v>7</v>
      </c>
      <c r="U1483" s="63"/>
      <c r="V1483" s="63">
        <v>1</v>
      </c>
      <c r="W1483" s="63">
        <f t="shared" si="375"/>
        <v>38</v>
      </c>
      <c r="X1483" s="63"/>
      <c r="Y1483" s="63"/>
      <c r="Z1483" s="63"/>
      <c r="AA1483" s="63"/>
      <c r="AB1483" s="63"/>
      <c r="AT1483" t="str">
        <f t="shared" si="367"/>
        <v>Middletown Springs</v>
      </c>
      <c r="AU1483" t="s">
        <v>589</v>
      </c>
      <c r="AV1483">
        <v>1</v>
      </c>
      <c r="AX1483" s="114">
        <v>50</v>
      </c>
      <c r="AY1483" s="116">
        <v>21</v>
      </c>
      <c r="AZ1483" s="116">
        <v>55</v>
      </c>
      <c r="BA1483" s="120">
        <v>44800</v>
      </c>
      <c r="BB1483" s="120">
        <f t="shared" si="378"/>
        <v>50021</v>
      </c>
      <c r="BC1483" s="8" t="s">
        <v>1472</v>
      </c>
      <c r="BD1483">
        <f t="shared" si="376"/>
        <v>5044800</v>
      </c>
      <c r="BE1483" s="1">
        <v>0</v>
      </c>
      <c r="BF1483" s="1">
        <v>8</v>
      </c>
      <c r="BI1483">
        <v>22.85</v>
      </c>
      <c r="BJ1483">
        <v>0</v>
      </c>
      <c r="BK1483">
        <v>22.84</v>
      </c>
      <c r="BP1483" s="63">
        <v>38</v>
      </c>
      <c r="BQ1483" s="63"/>
      <c r="BR1483">
        <v>0</v>
      </c>
    </row>
    <row r="1484" spans="1:70" hidden="1" outlineLevel="1">
      <c r="A1484" t="s">
        <v>735</v>
      </c>
      <c r="B1484" s="8" t="s">
        <v>2016</v>
      </c>
      <c r="C1484" s="1">
        <f t="shared" si="368"/>
        <v>5070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369"/>
        <v>7</v>
      </c>
      <c r="G1484" s="1">
        <f t="shared" si="370"/>
        <v>175</v>
      </c>
      <c r="H1484" s="2">
        <f t="shared" si="377"/>
        <v>3.4516765285996058E-2</v>
      </c>
      <c r="I1484" s="6"/>
      <c r="J1484" s="2">
        <f t="shared" si="371"/>
        <v>0.44575936883629191</v>
      </c>
      <c r="K1484" s="2">
        <f t="shared" si="372"/>
        <v>0.41124260355029585</v>
      </c>
      <c r="L1484" s="2">
        <f t="shared" si="373"/>
        <v>2.3668639053254438E-3</v>
      </c>
      <c r="M1484" s="2">
        <f t="shared" si="374"/>
        <v>0.14063116370808673</v>
      </c>
      <c r="N1484" s="63">
        <v>2260</v>
      </c>
      <c r="O1484" s="63">
        <v>2085</v>
      </c>
      <c r="P1484" s="63">
        <v>12</v>
      </c>
      <c r="Q1484" s="63">
        <v>149</v>
      </c>
      <c r="R1484" s="63">
        <v>70</v>
      </c>
      <c r="S1484" s="63">
        <v>2</v>
      </c>
      <c r="T1484" s="63">
        <v>19</v>
      </c>
      <c r="U1484" s="63"/>
      <c r="V1484" s="63">
        <v>4</v>
      </c>
      <c r="W1484" s="63">
        <f t="shared" si="375"/>
        <v>467</v>
      </c>
      <c r="X1484" s="63"/>
      <c r="Y1484" s="63"/>
      <c r="Z1484" s="63"/>
      <c r="AA1484" s="63"/>
      <c r="AB1484" s="63"/>
      <c r="AN1484">
        <v>2</v>
      </c>
      <c r="AT1484" t="str">
        <f t="shared" si="367"/>
        <v>Milton</v>
      </c>
      <c r="AU1484" t="s">
        <v>3175</v>
      </c>
      <c r="AV1484">
        <v>1</v>
      </c>
      <c r="AX1484" s="114">
        <v>50</v>
      </c>
      <c r="AY1484" s="116">
        <v>7</v>
      </c>
      <c r="AZ1484" s="116">
        <v>50</v>
      </c>
      <c r="BA1484" s="120">
        <v>45250</v>
      </c>
      <c r="BB1484" s="120">
        <f t="shared" si="378"/>
        <v>50007</v>
      </c>
      <c r="BC1484" s="8" t="s">
        <v>1472</v>
      </c>
      <c r="BD1484">
        <f t="shared" si="376"/>
        <v>5045250</v>
      </c>
      <c r="BE1484" s="1">
        <v>97</v>
      </c>
      <c r="BF1484" s="1">
        <v>3</v>
      </c>
      <c r="BI1484">
        <v>60.89</v>
      </c>
      <c r="BJ1484">
        <v>9.43</v>
      </c>
      <c r="BK1484">
        <v>51.46</v>
      </c>
      <c r="BP1484" s="63">
        <v>483</v>
      </c>
      <c r="BQ1484" s="63"/>
      <c r="BR1484">
        <v>359</v>
      </c>
    </row>
    <row r="1485" spans="1:70" hidden="1" outlineLevel="1">
      <c r="A1485" t="s">
        <v>1794</v>
      </c>
      <c r="B1485" s="8" t="s">
        <v>2016</v>
      </c>
      <c r="C1485" s="1">
        <f t="shared" si="368"/>
        <v>1202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369"/>
        <v>0</v>
      </c>
      <c r="G1485" s="1">
        <f t="shared" si="370"/>
        <v>311</v>
      </c>
      <c r="H1485" s="2">
        <f t="shared" si="377"/>
        <v>0.25873544093178036</v>
      </c>
      <c r="I1485" s="6"/>
      <c r="J1485" s="2">
        <f t="shared" si="371"/>
        <v>0.55823627287853572</v>
      </c>
      <c r="K1485" s="2">
        <f t="shared" si="372"/>
        <v>0.29950083194675542</v>
      </c>
      <c r="L1485" s="2">
        <f t="shared" si="373"/>
        <v>0</v>
      </c>
      <c r="M1485" s="2">
        <f t="shared" si="374"/>
        <v>0.14226289517470886</v>
      </c>
      <c r="N1485" s="63">
        <v>671</v>
      </c>
      <c r="O1485" s="63">
        <v>360</v>
      </c>
      <c r="P1485" s="63">
        <v>0</v>
      </c>
      <c r="Q1485" s="63">
        <v>57</v>
      </c>
      <c r="R1485" s="63">
        <v>16</v>
      </c>
      <c r="S1485" s="63">
        <v>0</v>
      </c>
      <c r="T1485" s="63">
        <v>2</v>
      </c>
      <c r="U1485" s="63"/>
      <c r="V1485" s="63">
        <v>0</v>
      </c>
      <c r="W1485" s="63">
        <f t="shared" si="375"/>
        <v>96</v>
      </c>
      <c r="X1485" s="63"/>
      <c r="Y1485" s="63"/>
      <c r="Z1485" s="63"/>
      <c r="AA1485" s="63"/>
      <c r="AB1485" s="63"/>
      <c r="AT1485" t="str">
        <f t="shared" si="367"/>
        <v>Monkton</v>
      </c>
      <c r="AU1485" t="s">
        <v>1346</v>
      </c>
      <c r="AV1485">
        <v>1</v>
      </c>
      <c r="AX1485" s="114">
        <v>50</v>
      </c>
      <c r="AY1485" s="116">
        <v>1</v>
      </c>
      <c r="AZ1485" s="116">
        <v>60</v>
      </c>
      <c r="BA1485" s="120">
        <v>45550</v>
      </c>
      <c r="BB1485" s="120">
        <f t="shared" si="378"/>
        <v>50001</v>
      </c>
      <c r="BC1485" s="8" t="s">
        <v>1472</v>
      </c>
      <c r="BD1485">
        <f t="shared" si="376"/>
        <v>5045550</v>
      </c>
      <c r="BE1485" s="1">
        <v>26</v>
      </c>
      <c r="BF1485" s="1">
        <v>0</v>
      </c>
      <c r="BI1485">
        <v>36.229999999999997</v>
      </c>
      <c r="BJ1485">
        <v>0.21</v>
      </c>
      <c r="BK1485">
        <v>36.020000000000003</v>
      </c>
      <c r="BP1485" s="63">
        <v>96</v>
      </c>
      <c r="BQ1485" s="63"/>
      <c r="BR1485">
        <v>0</v>
      </c>
    </row>
    <row r="1486" spans="1:70" hidden="1" outlineLevel="1">
      <c r="A1486" t="s">
        <v>1406</v>
      </c>
      <c r="B1486" s="8" t="s">
        <v>2016</v>
      </c>
      <c r="C1486" s="1">
        <f t="shared" si="368"/>
        <v>658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369"/>
        <v>0</v>
      </c>
      <c r="G1486" s="1">
        <f t="shared" si="370"/>
        <v>71</v>
      </c>
      <c r="H1486" s="2">
        <f t="shared" si="377"/>
        <v>0.10790273556231003</v>
      </c>
      <c r="I1486" s="6"/>
      <c r="J1486" s="2">
        <f t="shared" si="371"/>
        <v>0.45896656534954405</v>
      </c>
      <c r="K1486" s="2">
        <f t="shared" si="372"/>
        <v>0.35106382978723405</v>
      </c>
      <c r="L1486" s="2">
        <f t="shared" si="373"/>
        <v>0</v>
      </c>
      <c r="M1486" s="2">
        <f t="shared" si="374"/>
        <v>0.1899696048632219</v>
      </c>
      <c r="N1486" s="63">
        <v>302</v>
      </c>
      <c r="O1486" s="63">
        <v>231</v>
      </c>
      <c r="P1486" s="63">
        <v>0</v>
      </c>
      <c r="Q1486" s="63">
        <v>21</v>
      </c>
      <c r="R1486" s="63">
        <v>19</v>
      </c>
      <c r="S1486" s="63">
        <v>0</v>
      </c>
      <c r="T1486" s="63">
        <v>3</v>
      </c>
      <c r="U1486" s="63"/>
      <c r="V1486" s="63">
        <v>1</v>
      </c>
      <c r="W1486" s="63">
        <f t="shared" si="375"/>
        <v>81</v>
      </c>
      <c r="X1486" s="63"/>
      <c r="Y1486" s="63"/>
      <c r="Z1486" s="63"/>
      <c r="AA1486" s="63"/>
      <c r="AB1486" s="63"/>
      <c r="AT1486" t="str">
        <f t="shared" si="367"/>
        <v>Montgomery</v>
      </c>
      <c r="AU1486" t="s">
        <v>1138</v>
      </c>
      <c r="AV1486">
        <v>1</v>
      </c>
      <c r="AX1486" s="114">
        <v>50</v>
      </c>
      <c r="AY1486" s="116">
        <v>11</v>
      </c>
      <c r="AZ1486" s="116">
        <v>55</v>
      </c>
      <c r="BA1486" s="120">
        <v>45850</v>
      </c>
      <c r="BB1486" s="120">
        <f t="shared" si="378"/>
        <v>50011</v>
      </c>
      <c r="BC1486" s="8" t="s">
        <v>1472</v>
      </c>
      <c r="BD1486">
        <f t="shared" si="376"/>
        <v>5045850</v>
      </c>
      <c r="BE1486" s="1">
        <v>9</v>
      </c>
      <c r="BF1486" s="1">
        <v>4</v>
      </c>
      <c r="BI1486">
        <v>56.75</v>
      </c>
      <c r="BJ1486">
        <v>0</v>
      </c>
      <c r="BK1486">
        <v>56.75</v>
      </c>
      <c r="BP1486" s="63">
        <v>81</v>
      </c>
      <c r="BQ1486" s="63"/>
      <c r="BR1486">
        <v>0</v>
      </c>
    </row>
    <row r="1487" spans="1:70" hidden="1" outlineLevel="1">
      <c r="A1487" t="s">
        <v>1515</v>
      </c>
      <c r="B1487" s="8" t="s">
        <v>2016</v>
      </c>
      <c r="C1487" s="1">
        <f t="shared" si="368"/>
        <v>4771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369"/>
        <v>7</v>
      </c>
      <c r="G1487" s="1">
        <f t="shared" si="370"/>
        <v>3206</v>
      </c>
      <c r="H1487" s="2">
        <f t="shared" si="377"/>
        <v>0.67197652483756021</v>
      </c>
      <c r="I1487" s="6"/>
      <c r="J1487" s="2">
        <f t="shared" si="371"/>
        <v>0.77509955984070422</v>
      </c>
      <c r="K1487" s="2">
        <f t="shared" si="372"/>
        <v>0.103123035003144</v>
      </c>
      <c r="L1487" s="2">
        <f t="shared" si="373"/>
        <v>1.2575979878432194E-3</v>
      </c>
      <c r="M1487" s="2">
        <f t="shared" si="374"/>
        <v>0.12051980716830855</v>
      </c>
      <c r="N1487" s="63">
        <v>3698</v>
      </c>
      <c r="O1487" s="63">
        <v>492</v>
      </c>
      <c r="P1487" s="63">
        <v>6</v>
      </c>
      <c r="Q1487" s="63">
        <v>98</v>
      </c>
      <c r="R1487" s="63">
        <v>208</v>
      </c>
      <c r="S1487" s="63">
        <v>0</v>
      </c>
      <c r="T1487" s="63">
        <v>7</v>
      </c>
      <c r="U1487" s="63"/>
      <c r="V1487" s="63">
        <v>4</v>
      </c>
      <c r="W1487" s="63">
        <f t="shared" si="375"/>
        <v>258</v>
      </c>
      <c r="X1487" s="63"/>
      <c r="Y1487" s="63"/>
      <c r="Z1487" s="63"/>
      <c r="AA1487" s="63"/>
      <c r="AB1487" s="63"/>
      <c r="AT1487" t="str">
        <f t="shared" ref="AT1487:AT1550" si="379">A1487</f>
        <v>Montpelier</v>
      </c>
      <c r="AU1487" t="s">
        <v>692</v>
      </c>
      <c r="AV1487">
        <v>1</v>
      </c>
      <c r="AX1487" s="114">
        <v>50</v>
      </c>
      <c r="AY1487" s="116">
        <v>23</v>
      </c>
      <c r="AZ1487" s="116">
        <v>55</v>
      </c>
      <c r="BA1487" s="120">
        <v>46000</v>
      </c>
      <c r="BB1487" s="120">
        <f t="shared" si="378"/>
        <v>50023</v>
      </c>
      <c r="BC1487" s="8" t="s">
        <v>1249</v>
      </c>
      <c r="BD1487">
        <f t="shared" si="376"/>
        <v>5046000</v>
      </c>
      <c r="BE1487" s="1">
        <v>61</v>
      </c>
      <c r="BF1487" s="1">
        <v>2</v>
      </c>
      <c r="BI1487">
        <v>10.26</v>
      </c>
      <c r="BJ1487">
        <v>0.01</v>
      </c>
      <c r="BK1487">
        <v>10.25</v>
      </c>
      <c r="BP1487" s="63">
        <v>264</v>
      </c>
      <c r="BQ1487" s="63"/>
      <c r="BR1487">
        <v>228</v>
      </c>
    </row>
    <row r="1488" spans="1:70" hidden="1" outlineLevel="1">
      <c r="A1488" t="s">
        <v>2506</v>
      </c>
      <c r="B1488" s="8" t="s">
        <v>2016</v>
      </c>
      <c r="C1488" s="1">
        <f t="shared" si="368"/>
        <v>1020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369"/>
        <v>6</v>
      </c>
      <c r="G1488" s="1">
        <f t="shared" si="370"/>
        <v>433</v>
      </c>
      <c r="H1488" s="2">
        <f t="shared" si="377"/>
        <v>0.42450980392156862</v>
      </c>
      <c r="I1488" s="6"/>
      <c r="J1488" s="2">
        <f t="shared" si="371"/>
        <v>0.63627450980392153</v>
      </c>
      <c r="K1488" s="2">
        <f t="shared" si="372"/>
        <v>0.21176470588235294</v>
      </c>
      <c r="L1488" s="2">
        <f t="shared" si="373"/>
        <v>2.9411764705882353E-3</v>
      </c>
      <c r="M1488" s="2">
        <f t="shared" si="374"/>
        <v>0.14901960784313731</v>
      </c>
      <c r="N1488" s="63">
        <v>649</v>
      </c>
      <c r="O1488" s="63">
        <v>216</v>
      </c>
      <c r="P1488" s="63">
        <v>3</v>
      </c>
      <c r="Q1488" s="63">
        <v>42</v>
      </c>
      <c r="R1488" s="63">
        <v>22</v>
      </c>
      <c r="S1488" s="63">
        <v>0</v>
      </c>
      <c r="T1488" s="63">
        <v>3</v>
      </c>
      <c r="U1488" s="63"/>
      <c r="V1488" s="63">
        <v>0</v>
      </c>
      <c r="W1488" s="63">
        <f t="shared" si="375"/>
        <v>85</v>
      </c>
      <c r="X1488" s="63"/>
      <c r="Y1488" s="63"/>
      <c r="Z1488" s="63"/>
      <c r="AA1488" s="63"/>
      <c r="AB1488" s="63"/>
      <c r="AT1488" t="str">
        <f t="shared" si="379"/>
        <v>Moretown</v>
      </c>
      <c r="AU1488" t="s">
        <v>692</v>
      </c>
      <c r="AV1488">
        <v>1</v>
      </c>
      <c r="AX1488" s="114">
        <v>50</v>
      </c>
      <c r="AY1488" s="116">
        <v>23</v>
      </c>
      <c r="AZ1488" s="116">
        <v>60</v>
      </c>
      <c r="BA1488" s="120">
        <v>46225</v>
      </c>
      <c r="BB1488" s="120">
        <f t="shared" si="378"/>
        <v>50023</v>
      </c>
      <c r="BC1488" s="8" t="s">
        <v>1472</v>
      </c>
      <c r="BD1488">
        <f t="shared" si="376"/>
        <v>5046225</v>
      </c>
      <c r="BE1488" s="1">
        <v>26</v>
      </c>
      <c r="BF1488" s="1">
        <v>3</v>
      </c>
      <c r="BI1488">
        <v>40.21</v>
      </c>
      <c r="BJ1488">
        <v>0.13</v>
      </c>
      <c r="BK1488">
        <v>40.08</v>
      </c>
      <c r="BP1488" s="63">
        <v>88</v>
      </c>
      <c r="BQ1488" s="63"/>
      <c r="BR1488">
        <v>76</v>
      </c>
    </row>
    <row r="1489" spans="1:70" hidden="1" outlineLevel="1">
      <c r="A1489" t="s">
        <v>1145</v>
      </c>
      <c r="B1489" s="8" t="s">
        <v>2016</v>
      </c>
      <c r="C1489" s="1">
        <f t="shared" si="368"/>
        <v>337</v>
      </c>
      <c r="D1489" s="5">
        <f>IF(N1489&gt;0, RANK(N1489,(N1489:P1489,Q1489:AE1489)),0)</f>
        <v>2</v>
      </c>
      <c r="E1489" s="5">
        <f>IF(O1489&gt;0,RANK(O1489,(N1489:P1489,Q1489:AE1489)),0)</f>
        <v>1</v>
      </c>
      <c r="F1489" s="5">
        <f t="shared" si="369"/>
        <v>0</v>
      </c>
      <c r="G1489" s="1">
        <f t="shared" si="370"/>
        <v>96</v>
      </c>
      <c r="H1489" s="2">
        <f t="shared" si="377"/>
        <v>0.28486646884272998</v>
      </c>
      <c r="I1489" s="6"/>
      <c r="J1489" s="2">
        <f t="shared" si="371"/>
        <v>0.29970326409495551</v>
      </c>
      <c r="K1489" s="2">
        <f t="shared" si="372"/>
        <v>0.58456973293768544</v>
      </c>
      <c r="L1489" s="2">
        <f t="shared" si="373"/>
        <v>0</v>
      </c>
      <c r="M1489" s="2">
        <f t="shared" si="374"/>
        <v>0.11572700296735905</v>
      </c>
      <c r="N1489" s="63">
        <v>101</v>
      </c>
      <c r="O1489" s="63">
        <v>197</v>
      </c>
      <c r="P1489" s="63">
        <v>0</v>
      </c>
      <c r="Q1489" s="63">
        <v>10</v>
      </c>
      <c r="R1489" s="63">
        <v>2</v>
      </c>
      <c r="S1489" s="63">
        <v>2</v>
      </c>
      <c r="T1489" s="63">
        <v>1</v>
      </c>
      <c r="U1489" s="63"/>
      <c r="V1489" s="63">
        <v>0</v>
      </c>
      <c r="W1489" s="63">
        <f t="shared" si="375"/>
        <v>24</v>
      </c>
      <c r="X1489" s="63"/>
      <c r="Y1489" s="63"/>
      <c r="Z1489" s="63"/>
      <c r="AA1489" s="63"/>
      <c r="AB1489" s="63"/>
      <c r="AT1489" t="str">
        <f t="shared" si="379"/>
        <v>Morgan</v>
      </c>
      <c r="AU1489" t="s">
        <v>405</v>
      </c>
      <c r="AV1489">
        <v>1</v>
      </c>
      <c r="AX1489" s="114">
        <v>50</v>
      </c>
      <c r="AY1489" s="116">
        <v>19</v>
      </c>
      <c r="AZ1489" s="116">
        <v>70</v>
      </c>
      <c r="BA1489" s="120">
        <v>46450</v>
      </c>
      <c r="BB1489" s="120">
        <f t="shared" si="378"/>
        <v>50019</v>
      </c>
      <c r="BC1489" s="8" t="s">
        <v>1472</v>
      </c>
      <c r="BD1489">
        <f t="shared" si="376"/>
        <v>5046450</v>
      </c>
      <c r="BE1489" s="1">
        <v>4</v>
      </c>
      <c r="BF1489" s="1">
        <v>1</v>
      </c>
      <c r="BI1489">
        <v>33.869999999999997</v>
      </c>
      <c r="BJ1489">
        <v>2.61</v>
      </c>
      <c r="BK1489">
        <v>31.26</v>
      </c>
      <c r="BP1489" s="63">
        <v>26</v>
      </c>
      <c r="BQ1489" s="63"/>
      <c r="BR1489">
        <v>19</v>
      </c>
    </row>
    <row r="1490" spans="1:70" hidden="1" outlineLevel="1">
      <c r="A1490" t="s">
        <v>3076</v>
      </c>
      <c r="B1490" s="8" t="s">
        <v>2016</v>
      </c>
      <c r="C1490" s="1">
        <f t="shared" ref="C1490:C1553" si="380">SUM(N1490:AR1490)</f>
        <v>2707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ref="F1490:F1553" si="381">IF(P1490&gt;0,RANK(P1490,(N1490:AE1490)),0)</f>
        <v>8</v>
      </c>
      <c r="G1490" s="1">
        <f t="shared" ref="G1490:G1553" si="382">IF(C1490&gt;0,MAX(N1490:P1490)-LARGE(N1490:P1490,2),0)</f>
        <v>809</v>
      </c>
      <c r="H1490" s="2">
        <f t="shared" si="377"/>
        <v>0.29885482083487253</v>
      </c>
      <c r="I1490" s="6"/>
      <c r="J1490" s="2">
        <f t="shared" ref="J1490:J1553" si="383">IF(C1490=0,"-",N1490/C1490)</f>
        <v>0.57258958256372372</v>
      </c>
      <c r="K1490" s="2">
        <f t="shared" ref="K1490:K1553" si="384">IF(C1490=0,"-",O1490/C1490)</f>
        <v>0.27373476172885114</v>
      </c>
      <c r="L1490" s="2">
        <f t="shared" ref="L1490:L1553" si="385">IF(C1490=0,"-",P1490/C1490)</f>
        <v>1.1082379017362395E-3</v>
      </c>
      <c r="M1490" s="2">
        <f t="shared" ref="M1490:M1553" si="386">IF(C1490=0,"-",(1-J1490-K1490-L1490))</f>
        <v>0.15256741780568889</v>
      </c>
      <c r="N1490" s="63">
        <v>1550</v>
      </c>
      <c r="O1490" s="63">
        <v>741</v>
      </c>
      <c r="P1490" s="63">
        <v>3</v>
      </c>
      <c r="Q1490" s="63">
        <v>81</v>
      </c>
      <c r="R1490" s="63">
        <v>89</v>
      </c>
      <c r="S1490" s="63">
        <v>0</v>
      </c>
      <c r="T1490" s="63">
        <v>9</v>
      </c>
      <c r="U1490" s="63"/>
      <c r="V1490" s="63">
        <v>7</v>
      </c>
      <c r="W1490" s="63">
        <f t="shared" ref="W1490:W1553" si="387">BP1490-P1490-S1490-U1490-SUM(X1490:AR1490)</f>
        <v>227</v>
      </c>
      <c r="X1490" s="63"/>
      <c r="Y1490" s="63"/>
      <c r="Z1490" s="63"/>
      <c r="AA1490" s="63"/>
      <c r="AB1490" s="63"/>
      <c r="AT1490" t="str">
        <f t="shared" si="379"/>
        <v>Morristown</v>
      </c>
      <c r="AU1490" t="s">
        <v>2768</v>
      </c>
      <c r="AV1490">
        <v>1</v>
      </c>
      <c r="AX1490" s="114">
        <v>50</v>
      </c>
      <c r="AY1490" s="116">
        <v>15</v>
      </c>
      <c r="AZ1490" s="116">
        <v>35</v>
      </c>
      <c r="BA1490" s="120">
        <v>46675</v>
      </c>
      <c r="BB1490" s="120">
        <f t="shared" si="378"/>
        <v>50015</v>
      </c>
      <c r="BC1490" s="8" t="s">
        <v>1472</v>
      </c>
      <c r="BD1490">
        <f t="shared" ref="BD1490:BD1553" si="388">AX1490*100000+BA1490</f>
        <v>5046675</v>
      </c>
      <c r="BE1490" s="1">
        <v>56</v>
      </c>
      <c r="BF1490" s="1">
        <v>4</v>
      </c>
      <c r="BI1490">
        <v>51.61</v>
      </c>
      <c r="BJ1490">
        <v>0.26</v>
      </c>
      <c r="BK1490">
        <v>51.35</v>
      </c>
      <c r="BP1490" s="63">
        <v>230</v>
      </c>
      <c r="BQ1490" s="63"/>
      <c r="BR1490">
        <v>191</v>
      </c>
    </row>
    <row r="1491" spans="1:70" hidden="1" outlineLevel="1">
      <c r="A1491" t="s">
        <v>1903</v>
      </c>
      <c r="B1491" s="8" t="s">
        <v>2016</v>
      </c>
      <c r="C1491" s="1">
        <f t="shared" si="380"/>
        <v>764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381"/>
        <v>0</v>
      </c>
      <c r="G1491" s="1">
        <f t="shared" si="382"/>
        <v>12</v>
      </c>
      <c r="H1491" s="2">
        <f t="shared" si="377"/>
        <v>1.5706806282722512E-2</v>
      </c>
      <c r="I1491" s="6"/>
      <c r="J1491" s="2">
        <f t="shared" si="383"/>
        <v>0.44109947643979058</v>
      </c>
      <c r="K1491" s="2">
        <f t="shared" si="384"/>
        <v>0.42539267015706805</v>
      </c>
      <c r="L1491" s="2">
        <f t="shared" si="385"/>
        <v>0</v>
      </c>
      <c r="M1491" s="2">
        <f t="shared" si="386"/>
        <v>0.13350785340314131</v>
      </c>
      <c r="N1491" s="63">
        <v>337</v>
      </c>
      <c r="O1491" s="63">
        <v>325</v>
      </c>
      <c r="P1491" s="63">
        <v>0</v>
      </c>
      <c r="Q1491" s="63">
        <v>25</v>
      </c>
      <c r="R1491" s="63">
        <v>15</v>
      </c>
      <c r="S1491" s="63">
        <v>0</v>
      </c>
      <c r="T1491" s="63">
        <v>4</v>
      </c>
      <c r="U1491" s="63"/>
      <c r="V1491" s="63">
        <v>0</v>
      </c>
      <c r="W1491" s="63">
        <f t="shared" si="387"/>
        <v>58</v>
      </c>
      <c r="X1491" s="63"/>
      <c r="Y1491" s="63"/>
      <c r="Z1491" s="63"/>
      <c r="AA1491" s="63"/>
      <c r="AB1491" s="63"/>
      <c r="AT1491" t="str">
        <f t="shared" si="379"/>
        <v>Mount Holly</v>
      </c>
      <c r="AU1491" t="s">
        <v>589</v>
      </c>
      <c r="AV1491">
        <v>1</v>
      </c>
      <c r="AX1491" s="114">
        <v>50</v>
      </c>
      <c r="AY1491" s="116">
        <v>21</v>
      </c>
      <c r="AZ1491" s="116">
        <v>60</v>
      </c>
      <c r="BA1491" s="120">
        <v>47200</v>
      </c>
      <c r="BB1491" s="120">
        <f t="shared" si="378"/>
        <v>50021</v>
      </c>
      <c r="BC1491" s="8" t="s">
        <v>1472</v>
      </c>
      <c r="BD1491">
        <f t="shared" si="388"/>
        <v>5047200</v>
      </c>
      <c r="BE1491" s="1">
        <v>11</v>
      </c>
      <c r="BF1491" s="1">
        <v>2</v>
      </c>
      <c r="BI1491">
        <v>49.57</v>
      </c>
      <c r="BJ1491">
        <v>0.38</v>
      </c>
      <c r="BK1491">
        <v>49.19</v>
      </c>
      <c r="BP1491" s="63">
        <v>58</v>
      </c>
      <c r="BQ1491" s="63"/>
      <c r="BR1491">
        <v>55</v>
      </c>
    </row>
    <row r="1492" spans="1:70" hidden="1" outlineLevel="1">
      <c r="A1492" t="s">
        <v>1373</v>
      </c>
      <c r="B1492" s="8" t="s">
        <v>2016</v>
      </c>
      <c r="C1492" s="1">
        <f t="shared" si="380"/>
        <v>95</v>
      </c>
      <c r="D1492" s="5">
        <f>IF(N1492&gt;0, RANK(N1492,(N1492:P1492,Q1492:AE1492)),0)</f>
        <v>1</v>
      </c>
      <c r="E1492" s="5">
        <f>IF(O1492&gt;0,RANK(O1492,(N1492:P1492,Q1492:AE1492)),0)</f>
        <v>2</v>
      </c>
      <c r="F1492" s="5">
        <f t="shared" si="381"/>
        <v>0</v>
      </c>
      <c r="G1492" s="1">
        <f t="shared" si="382"/>
        <v>3</v>
      </c>
      <c r="H1492" s="2">
        <f t="shared" si="377"/>
        <v>3.1578947368421054E-2</v>
      </c>
      <c r="I1492" s="6"/>
      <c r="J1492" s="2">
        <f t="shared" si="383"/>
        <v>0.47368421052631576</v>
      </c>
      <c r="K1492" s="2">
        <f t="shared" si="384"/>
        <v>0.44210526315789472</v>
      </c>
      <c r="L1492" s="2">
        <f t="shared" si="385"/>
        <v>0</v>
      </c>
      <c r="M1492" s="2">
        <f t="shared" si="386"/>
        <v>8.4210526315789569E-2</v>
      </c>
      <c r="N1492" s="63">
        <v>45</v>
      </c>
      <c r="O1492" s="63">
        <v>42</v>
      </c>
      <c r="P1492" s="63">
        <v>0</v>
      </c>
      <c r="Q1492" s="63">
        <v>5</v>
      </c>
      <c r="R1492" s="63">
        <v>0</v>
      </c>
      <c r="S1492" s="63">
        <v>0</v>
      </c>
      <c r="T1492" s="63">
        <v>0</v>
      </c>
      <c r="U1492" s="63"/>
      <c r="V1492" s="63">
        <v>0</v>
      </c>
      <c r="W1492" s="63">
        <f t="shared" si="387"/>
        <v>3</v>
      </c>
      <c r="X1492" s="63"/>
      <c r="Y1492" s="63"/>
      <c r="Z1492" s="63"/>
      <c r="AA1492" s="63"/>
      <c r="AB1492" s="63"/>
      <c r="AT1492" t="str">
        <f t="shared" si="379"/>
        <v>Mount Tabor</v>
      </c>
      <c r="AU1492" t="s">
        <v>589</v>
      </c>
      <c r="AV1492">
        <v>1</v>
      </c>
      <c r="AX1492" s="114">
        <v>50</v>
      </c>
      <c r="AY1492" s="116">
        <v>21</v>
      </c>
      <c r="AZ1492" s="116">
        <v>65</v>
      </c>
      <c r="BA1492" s="120">
        <v>47425</v>
      </c>
      <c r="BB1492" s="120">
        <f t="shared" si="378"/>
        <v>50021</v>
      </c>
      <c r="BC1492" s="8" t="s">
        <v>1472</v>
      </c>
      <c r="BD1492">
        <f t="shared" si="388"/>
        <v>5047425</v>
      </c>
      <c r="BE1492" s="1">
        <v>0</v>
      </c>
      <c r="BF1492" s="1">
        <v>0</v>
      </c>
      <c r="BI1492">
        <v>43.78</v>
      </c>
      <c r="BJ1492">
        <v>0.05</v>
      </c>
      <c r="BK1492">
        <v>43.73</v>
      </c>
      <c r="BP1492" s="63">
        <v>3</v>
      </c>
      <c r="BQ1492" s="63"/>
      <c r="BR1492">
        <v>2</v>
      </c>
    </row>
    <row r="1493" spans="1:70" hidden="1" outlineLevel="1">
      <c r="A1493" t="s">
        <v>2797</v>
      </c>
      <c r="B1493" s="8" t="s">
        <v>2016</v>
      </c>
      <c r="C1493" s="1">
        <f t="shared" si="380"/>
        <v>1078</v>
      </c>
      <c r="D1493" s="5">
        <f>IF(N1493&gt;0, RANK(N1493,(N1493:P1493,Q1493:AE1493)),0)</f>
        <v>1</v>
      </c>
      <c r="E1493" s="5">
        <f>IF(O1493&gt;0,RANK(O1493,(N1493:P1493,Q1493:AE1493)),0)</f>
        <v>2</v>
      </c>
      <c r="F1493" s="5">
        <f t="shared" si="381"/>
        <v>7</v>
      </c>
      <c r="G1493" s="1">
        <f t="shared" si="382"/>
        <v>257</v>
      </c>
      <c r="H1493" s="2">
        <f t="shared" si="377"/>
        <v>0.23840445269016697</v>
      </c>
      <c r="I1493" s="6"/>
      <c r="J1493" s="2">
        <f t="shared" si="383"/>
        <v>0.55102040816326525</v>
      </c>
      <c r="K1493" s="2">
        <f t="shared" si="384"/>
        <v>0.31261595547309834</v>
      </c>
      <c r="L1493" s="2">
        <f t="shared" si="385"/>
        <v>2.7829313543599257E-3</v>
      </c>
      <c r="M1493" s="2">
        <f t="shared" si="386"/>
        <v>0.13358070500927649</v>
      </c>
      <c r="N1493" s="63">
        <v>594</v>
      </c>
      <c r="O1493" s="63">
        <v>337</v>
      </c>
      <c r="P1493" s="63">
        <v>3</v>
      </c>
      <c r="Q1493" s="63">
        <v>45</v>
      </c>
      <c r="R1493" s="63">
        <v>21</v>
      </c>
      <c r="S1493" s="63">
        <v>0</v>
      </c>
      <c r="T1493" s="63">
        <v>5</v>
      </c>
      <c r="U1493" s="63"/>
      <c r="V1493" s="63">
        <v>2</v>
      </c>
      <c r="W1493" s="63">
        <f t="shared" si="387"/>
        <v>71</v>
      </c>
      <c r="X1493" s="63"/>
      <c r="Y1493" s="63"/>
      <c r="Z1493" s="63"/>
      <c r="AA1493" s="63"/>
      <c r="AB1493" s="63"/>
      <c r="AT1493" t="str">
        <f t="shared" si="379"/>
        <v>New Haven</v>
      </c>
      <c r="AU1493" t="s">
        <v>1346</v>
      </c>
      <c r="AV1493">
        <v>1</v>
      </c>
      <c r="AX1493" s="114">
        <v>50</v>
      </c>
      <c r="AY1493" s="116">
        <v>1</v>
      </c>
      <c r="AZ1493" s="116">
        <v>65</v>
      </c>
      <c r="BA1493" s="120">
        <v>48700</v>
      </c>
      <c r="BB1493" s="120">
        <f t="shared" si="378"/>
        <v>50001</v>
      </c>
      <c r="BC1493" s="8" t="s">
        <v>1472</v>
      </c>
      <c r="BD1493">
        <f t="shared" si="388"/>
        <v>5048700</v>
      </c>
      <c r="BE1493" s="1">
        <v>21</v>
      </c>
      <c r="BF1493" s="1">
        <v>0</v>
      </c>
      <c r="BI1493">
        <v>41.79</v>
      </c>
      <c r="BJ1493">
        <v>0.14000000000000001</v>
      </c>
      <c r="BK1493">
        <v>41.65</v>
      </c>
      <c r="BP1493" s="63">
        <v>74</v>
      </c>
      <c r="BQ1493" s="63"/>
      <c r="BR1493">
        <v>59</v>
      </c>
    </row>
    <row r="1494" spans="1:70" hidden="1" outlineLevel="1">
      <c r="A1494" t="s">
        <v>2838</v>
      </c>
      <c r="B1494" s="8" t="s">
        <v>2016</v>
      </c>
      <c r="C1494" s="1">
        <f t="shared" si="380"/>
        <v>301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si="381"/>
        <v>6</v>
      </c>
      <c r="G1494" s="1">
        <f t="shared" si="382"/>
        <v>14</v>
      </c>
      <c r="H1494" s="2">
        <f t="shared" si="377"/>
        <v>4.6511627906976744E-2</v>
      </c>
      <c r="I1494" s="6"/>
      <c r="J1494" s="2">
        <f t="shared" si="383"/>
        <v>0.43189368770764119</v>
      </c>
      <c r="K1494" s="2">
        <f t="shared" si="384"/>
        <v>0.38538205980066448</v>
      </c>
      <c r="L1494" s="2">
        <f t="shared" si="385"/>
        <v>3.3222591362126247E-3</v>
      </c>
      <c r="M1494" s="2">
        <f t="shared" si="386"/>
        <v>0.17940199335548176</v>
      </c>
      <c r="N1494" s="63">
        <v>130</v>
      </c>
      <c r="O1494" s="63">
        <v>116</v>
      </c>
      <c r="P1494" s="63">
        <v>1</v>
      </c>
      <c r="Q1494" s="63">
        <v>16</v>
      </c>
      <c r="R1494" s="63">
        <v>13</v>
      </c>
      <c r="S1494" s="63">
        <v>0</v>
      </c>
      <c r="T1494" s="63">
        <v>0</v>
      </c>
      <c r="U1494" s="63"/>
      <c r="V1494" s="63">
        <v>0</v>
      </c>
      <c r="W1494" s="63">
        <f t="shared" si="387"/>
        <v>25</v>
      </c>
      <c r="X1494" s="63"/>
      <c r="Y1494" s="63"/>
      <c r="Z1494" s="63"/>
      <c r="AA1494" s="63"/>
      <c r="AB1494" s="63"/>
      <c r="AT1494" t="str">
        <f t="shared" si="379"/>
        <v>Newark</v>
      </c>
      <c r="AU1494" t="s">
        <v>681</v>
      </c>
      <c r="AV1494">
        <v>1</v>
      </c>
      <c r="AX1494" s="114">
        <v>50</v>
      </c>
      <c r="AY1494" s="116">
        <v>5</v>
      </c>
      <c r="AZ1494" s="116">
        <v>40</v>
      </c>
      <c r="BA1494" s="120">
        <v>47725</v>
      </c>
      <c r="BB1494" s="120">
        <f t="shared" si="378"/>
        <v>50005</v>
      </c>
      <c r="BC1494" s="8" t="s">
        <v>1472</v>
      </c>
      <c r="BD1494">
        <f t="shared" si="388"/>
        <v>5047725</v>
      </c>
      <c r="BE1494" s="1">
        <v>4</v>
      </c>
      <c r="BF1494" s="1">
        <v>2</v>
      </c>
      <c r="BI1494">
        <v>37.17</v>
      </c>
      <c r="BJ1494">
        <v>0.38</v>
      </c>
      <c r="BK1494">
        <v>36.78</v>
      </c>
      <c r="BP1494" s="63">
        <v>26</v>
      </c>
      <c r="BQ1494" s="63"/>
      <c r="BR1494">
        <v>24</v>
      </c>
    </row>
    <row r="1495" spans="1:70" hidden="1" outlineLevel="1">
      <c r="A1495" t="s">
        <v>3162</v>
      </c>
      <c r="B1495" s="8" t="s">
        <v>2016</v>
      </c>
      <c r="C1495" s="1">
        <f t="shared" si="380"/>
        <v>1064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381"/>
        <v>8</v>
      </c>
      <c r="G1495" s="1">
        <f t="shared" si="382"/>
        <v>125</v>
      </c>
      <c r="H1495" s="2">
        <f t="shared" si="377"/>
        <v>0.1174812030075188</v>
      </c>
      <c r="I1495" s="6"/>
      <c r="J1495" s="2">
        <f t="shared" si="383"/>
        <v>0.49624060150375937</v>
      </c>
      <c r="K1495" s="2">
        <f t="shared" si="384"/>
        <v>0.37875939849624063</v>
      </c>
      <c r="L1495" s="2">
        <f t="shared" si="385"/>
        <v>9.3984962406015032E-4</v>
      </c>
      <c r="M1495" s="2">
        <f t="shared" si="386"/>
        <v>0.12406015037593984</v>
      </c>
      <c r="N1495" s="63">
        <v>528</v>
      </c>
      <c r="O1495" s="63">
        <v>403</v>
      </c>
      <c r="P1495" s="63">
        <v>1</v>
      </c>
      <c r="Q1495" s="63">
        <v>28</v>
      </c>
      <c r="R1495" s="63">
        <v>21</v>
      </c>
      <c r="S1495" s="63">
        <v>0</v>
      </c>
      <c r="T1495" s="63">
        <v>4</v>
      </c>
      <c r="U1495" s="63"/>
      <c r="V1495" s="63">
        <v>2</v>
      </c>
      <c r="W1495" s="63">
        <f t="shared" si="387"/>
        <v>77</v>
      </c>
      <c r="X1495" s="63"/>
      <c r="Y1495" s="63"/>
      <c r="Z1495" s="63"/>
      <c r="AA1495" s="63"/>
      <c r="AB1495" s="63"/>
      <c r="AT1495" t="str">
        <f t="shared" si="379"/>
        <v>Newbury</v>
      </c>
      <c r="AU1495" t="s">
        <v>2013</v>
      </c>
      <c r="AV1495">
        <v>1</v>
      </c>
      <c r="AX1495" s="114">
        <v>50</v>
      </c>
      <c r="AY1495" s="116">
        <v>17</v>
      </c>
      <c r="AZ1495" s="116">
        <v>35</v>
      </c>
      <c r="BA1495" s="120">
        <v>48175</v>
      </c>
      <c r="BB1495" s="120">
        <f t="shared" si="378"/>
        <v>50017</v>
      </c>
      <c r="BC1495" s="8" t="s">
        <v>1472</v>
      </c>
      <c r="BD1495">
        <f t="shared" si="388"/>
        <v>5048175</v>
      </c>
      <c r="BE1495" s="1">
        <v>25</v>
      </c>
      <c r="BF1495" s="1">
        <v>2</v>
      </c>
      <c r="BI1495">
        <v>64.430000000000007</v>
      </c>
      <c r="BJ1495">
        <v>0.26</v>
      </c>
      <c r="BK1495">
        <v>64.180000000000007</v>
      </c>
      <c r="BP1495" s="63">
        <v>78</v>
      </c>
      <c r="BQ1495" s="63"/>
      <c r="BR1495">
        <v>67</v>
      </c>
    </row>
    <row r="1496" spans="1:70" hidden="1" outlineLevel="1">
      <c r="A1496" t="s">
        <v>1167</v>
      </c>
      <c r="B1496" s="8" t="s">
        <v>2016</v>
      </c>
      <c r="C1496" s="1">
        <f t="shared" si="380"/>
        <v>992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381"/>
        <v>6</v>
      </c>
      <c r="G1496" s="1">
        <f t="shared" si="382"/>
        <v>443</v>
      </c>
      <c r="H1496" s="2">
        <f t="shared" si="377"/>
        <v>0.44657258064516131</v>
      </c>
      <c r="I1496" s="6"/>
      <c r="J1496" s="2">
        <f t="shared" si="383"/>
        <v>0.657258064516129</v>
      </c>
      <c r="K1496" s="2">
        <f t="shared" si="384"/>
        <v>0.21068548387096775</v>
      </c>
      <c r="L1496" s="2">
        <f t="shared" si="385"/>
        <v>1.0080645161290322E-3</v>
      </c>
      <c r="M1496" s="2">
        <f t="shared" si="386"/>
        <v>0.13104838709677422</v>
      </c>
      <c r="N1496" s="63">
        <v>652</v>
      </c>
      <c r="O1496" s="63">
        <v>209</v>
      </c>
      <c r="P1496" s="63">
        <v>1</v>
      </c>
      <c r="Q1496" s="63">
        <v>14</v>
      </c>
      <c r="R1496" s="63">
        <v>42</v>
      </c>
      <c r="S1496" s="63">
        <v>0</v>
      </c>
      <c r="T1496" s="63">
        <v>1</v>
      </c>
      <c r="U1496" s="63"/>
      <c r="V1496" s="63">
        <v>0</v>
      </c>
      <c r="W1496" s="63">
        <f t="shared" si="387"/>
        <v>73</v>
      </c>
      <c r="X1496" s="63"/>
      <c r="Y1496" s="63"/>
      <c r="Z1496" s="63"/>
      <c r="AA1496" s="63"/>
      <c r="AB1496" s="63"/>
      <c r="AT1496" t="str">
        <f t="shared" si="379"/>
        <v>Newfane</v>
      </c>
      <c r="AU1496" t="s">
        <v>2129</v>
      </c>
      <c r="AV1496">
        <v>1</v>
      </c>
      <c r="AX1496" s="114">
        <v>50</v>
      </c>
      <c r="AY1496" s="116">
        <v>25</v>
      </c>
      <c r="AZ1496" s="116">
        <v>60</v>
      </c>
      <c r="BA1496" s="120">
        <v>48400</v>
      </c>
      <c r="BB1496" s="120">
        <f t="shared" si="378"/>
        <v>50025</v>
      </c>
      <c r="BC1496" s="8" t="s">
        <v>1472</v>
      </c>
      <c r="BD1496">
        <f t="shared" si="388"/>
        <v>5048400</v>
      </c>
      <c r="BE1496" s="1">
        <v>16</v>
      </c>
      <c r="BF1496" s="1">
        <v>8</v>
      </c>
      <c r="BI1496">
        <v>40.380000000000003</v>
      </c>
      <c r="BJ1496">
        <v>0.14000000000000001</v>
      </c>
      <c r="BK1496">
        <v>40.24</v>
      </c>
      <c r="BP1496" s="63">
        <v>74</v>
      </c>
      <c r="BQ1496" s="63"/>
      <c r="BR1496">
        <v>68</v>
      </c>
    </row>
    <row r="1497" spans="1:70" hidden="1" outlineLevel="1">
      <c r="A1497" t="s">
        <v>2009</v>
      </c>
      <c r="B1497" s="8" t="s">
        <v>2016</v>
      </c>
      <c r="C1497" s="1">
        <f t="shared" si="380"/>
        <v>1543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381"/>
        <v>0</v>
      </c>
      <c r="G1497" s="1">
        <f t="shared" si="382"/>
        <v>107</v>
      </c>
      <c r="H1497" s="2">
        <f t="shared" si="377"/>
        <v>6.9345430978613093E-2</v>
      </c>
      <c r="I1497" s="6"/>
      <c r="J1497" s="2">
        <f t="shared" si="383"/>
        <v>0.46727154893065459</v>
      </c>
      <c r="K1497" s="2">
        <f t="shared" si="384"/>
        <v>0.39792611795204147</v>
      </c>
      <c r="L1497" s="2">
        <f t="shared" si="385"/>
        <v>0</v>
      </c>
      <c r="M1497" s="2">
        <f t="shared" si="386"/>
        <v>0.13480233311730394</v>
      </c>
      <c r="N1497" s="63">
        <v>721</v>
      </c>
      <c r="O1497" s="63">
        <v>614</v>
      </c>
      <c r="P1497" s="63">
        <v>0</v>
      </c>
      <c r="Q1497" s="63">
        <v>34</v>
      </c>
      <c r="R1497" s="63">
        <v>19</v>
      </c>
      <c r="S1497" s="63">
        <v>0</v>
      </c>
      <c r="T1497" s="63">
        <v>4</v>
      </c>
      <c r="U1497" s="63"/>
      <c r="V1497" s="63">
        <v>1</v>
      </c>
      <c r="W1497" s="63">
        <f t="shared" si="387"/>
        <v>150</v>
      </c>
      <c r="X1497" s="63"/>
      <c r="Y1497" s="63"/>
      <c r="Z1497" s="63"/>
      <c r="AA1497" s="63"/>
      <c r="AB1497" s="63"/>
      <c r="AT1497" t="str">
        <f t="shared" si="379"/>
        <v>Newport</v>
      </c>
      <c r="AU1497" t="s">
        <v>405</v>
      </c>
      <c r="AV1497">
        <v>1</v>
      </c>
      <c r="AX1497" s="114">
        <v>50</v>
      </c>
      <c r="AY1497" s="116">
        <v>19</v>
      </c>
      <c r="AZ1497" s="116">
        <v>75</v>
      </c>
      <c r="BA1497" s="120">
        <v>48850</v>
      </c>
      <c r="BB1497" s="120">
        <f t="shared" si="378"/>
        <v>50019</v>
      </c>
      <c r="BC1497" s="8" t="s">
        <v>1249</v>
      </c>
      <c r="BD1497">
        <f t="shared" si="388"/>
        <v>5048850</v>
      </c>
      <c r="BE1497" s="1">
        <v>17</v>
      </c>
      <c r="BF1497" s="1">
        <v>6</v>
      </c>
      <c r="BI1497">
        <v>7.62</v>
      </c>
      <c r="BJ1497">
        <v>1.59</v>
      </c>
      <c r="BK1497">
        <v>6.03</v>
      </c>
      <c r="BP1497" s="63">
        <v>150</v>
      </c>
      <c r="BQ1497" s="63"/>
      <c r="BR1497">
        <v>0</v>
      </c>
    </row>
    <row r="1498" spans="1:70" hidden="1" outlineLevel="1">
      <c r="A1498" t="s">
        <v>2009</v>
      </c>
      <c r="B1498" s="8" t="s">
        <v>2016</v>
      </c>
      <c r="C1498" s="1">
        <f t="shared" si="380"/>
        <v>703</v>
      </c>
      <c r="D1498" s="5">
        <f>IF(N1498&gt;0, RANK(N1498,(N1498:P1498,Q1498:AE1498)),0)</f>
        <v>2</v>
      </c>
      <c r="E1498" s="5">
        <f>IF(O1498&gt;0,RANK(O1498,(N1498:P1498,Q1498:AE1498)),0)</f>
        <v>1</v>
      </c>
      <c r="F1498" s="5">
        <f t="shared" si="381"/>
        <v>0</v>
      </c>
      <c r="G1498" s="1">
        <f t="shared" si="382"/>
        <v>82</v>
      </c>
      <c r="H1498" s="2">
        <f t="shared" si="377"/>
        <v>0.11664295874822191</v>
      </c>
      <c r="I1498" s="6"/>
      <c r="J1498" s="2">
        <f t="shared" si="383"/>
        <v>0.36415362731152207</v>
      </c>
      <c r="K1498" s="2">
        <f t="shared" si="384"/>
        <v>0.48079658605974396</v>
      </c>
      <c r="L1498" s="2">
        <f t="shared" si="385"/>
        <v>0</v>
      </c>
      <c r="M1498" s="2">
        <f t="shared" si="386"/>
        <v>0.15504978662873403</v>
      </c>
      <c r="N1498" s="63">
        <v>256</v>
      </c>
      <c r="O1498" s="63">
        <v>338</v>
      </c>
      <c r="P1498" s="63">
        <v>0</v>
      </c>
      <c r="Q1498" s="63">
        <v>31</v>
      </c>
      <c r="R1498" s="63">
        <v>16</v>
      </c>
      <c r="S1498" s="63">
        <v>0</v>
      </c>
      <c r="T1498" s="63">
        <v>3</v>
      </c>
      <c r="U1498" s="63"/>
      <c r="V1498" s="63">
        <v>3</v>
      </c>
      <c r="W1498" s="63">
        <f t="shared" si="387"/>
        <v>56</v>
      </c>
      <c r="X1498" s="63"/>
      <c r="Y1498" s="63"/>
      <c r="Z1498" s="63"/>
      <c r="AA1498" s="63"/>
      <c r="AB1498" s="63"/>
      <c r="AT1498" t="str">
        <f t="shared" si="379"/>
        <v>Newport</v>
      </c>
      <c r="AU1498" t="s">
        <v>405</v>
      </c>
      <c r="AV1498">
        <v>1</v>
      </c>
      <c r="AX1498" s="114">
        <v>50</v>
      </c>
      <c r="AY1498" s="116">
        <v>19</v>
      </c>
      <c r="AZ1498" s="116">
        <v>80</v>
      </c>
      <c r="BA1498" s="120">
        <v>48925</v>
      </c>
      <c r="BB1498" s="120">
        <f t="shared" si="378"/>
        <v>50019</v>
      </c>
      <c r="BC1498" s="8" t="s">
        <v>1472</v>
      </c>
      <c r="BD1498">
        <f t="shared" si="388"/>
        <v>5048925</v>
      </c>
      <c r="BE1498" s="1">
        <v>4</v>
      </c>
      <c r="BF1498" s="1">
        <v>4</v>
      </c>
      <c r="BI1498">
        <v>43.48</v>
      </c>
      <c r="BJ1498">
        <v>1.77</v>
      </c>
      <c r="BK1498">
        <v>41.71</v>
      </c>
      <c r="BP1498" s="63">
        <v>56</v>
      </c>
      <c r="BQ1498" s="63"/>
      <c r="BR1498">
        <v>54</v>
      </c>
    </row>
    <row r="1499" spans="1:70" hidden="1" outlineLevel="1">
      <c r="A1499" t="s">
        <v>2188</v>
      </c>
      <c r="B1499" s="8" t="s">
        <v>2016</v>
      </c>
      <c r="C1499" s="1">
        <f t="shared" si="380"/>
        <v>621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381"/>
        <v>6</v>
      </c>
      <c r="G1499" s="1">
        <f t="shared" si="382"/>
        <v>104</v>
      </c>
      <c r="H1499" s="2">
        <f t="shared" si="377"/>
        <v>0.16747181964573268</v>
      </c>
      <c r="I1499" s="6"/>
      <c r="J1499" s="2">
        <f t="shared" si="383"/>
        <v>0.51529790660225439</v>
      </c>
      <c r="K1499" s="2">
        <f t="shared" si="384"/>
        <v>0.34782608695652173</v>
      </c>
      <c r="L1499" s="2">
        <f t="shared" si="385"/>
        <v>1.6103059581320451E-3</v>
      </c>
      <c r="M1499" s="2">
        <f t="shared" si="386"/>
        <v>0.13526570048309183</v>
      </c>
      <c r="N1499" s="63">
        <v>320</v>
      </c>
      <c r="O1499" s="63">
        <v>216</v>
      </c>
      <c r="P1499" s="63">
        <v>1</v>
      </c>
      <c r="Q1499" s="63">
        <v>15</v>
      </c>
      <c r="R1499" s="63">
        <v>6</v>
      </c>
      <c r="S1499" s="63">
        <v>0</v>
      </c>
      <c r="T1499" s="63">
        <v>0</v>
      </c>
      <c r="U1499" s="63"/>
      <c r="V1499" s="63">
        <v>1</v>
      </c>
      <c r="W1499" s="63">
        <f t="shared" si="387"/>
        <v>62</v>
      </c>
      <c r="X1499" s="63"/>
      <c r="Y1499" s="63"/>
      <c r="Z1499" s="63"/>
      <c r="AA1499" s="63"/>
      <c r="AB1499" s="63"/>
      <c r="AT1499" t="str">
        <f t="shared" si="379"/>
        <v>North Hero</v>
      </c>
      <c r="AU1499" t="s">
        <v>3176</v>
      </c>
      <c r="AV1499">
        <v>1</v>
      </c>
      <c r="AX1499" s="114">
        <v>50</v>
      </c>
      <c r="AY1499" s="116">
        <v>13</v>
      </c>
      <c r="AZ1499" s="116">
        <v>20</v>
      </c>
      <c r="BA1499" s="120">
        <v>50650</v>
      </c>
      <c r="BB1499" s="120">
        <f t="shared" si="378"/>
        <v>50013</v>
      </c>
      <c r="BC1499" s="8" t="s">
        <v>1472</v>
      </c>
      <c r="BD1499">
        <f t="shared" si="388"/>
        <v>5050650</v>
      </c>
      <c r="BE1499" s="1">
        <v>13</v>
      </c>
      <c r="BF1499" s="1">
        <v>0</v>
      </c>
      <c r="BI1499">
        <v>46.58</v>
      </c>
      <c r="BJ1499">
        <v>32.840000000000003</v>
      </c>
      <c r="BK1499">
        <v>13.74</v>
      </c>
      <c r="BP1499" s="63">
        <v>63</v>
      </c>
      <c r="BQ1499" s="63"/>
      <c r="BR1499">
        <v>53</v>
      </c>
    </row>
    <row r="1500" spans="1:70" hidden="1" outlineLevel="1">
      <c r="A1500" t="s">
        <v>2829</v>
      </c>
      <c r="B1500" s="8" t="s">
        <v>2016</v>
      </c>
      <c r="C1500" s="1">
        <f t="shared" si="380"/>
        <v>2147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381"/>
        <v>7</v>
      </c>
      <c r="G1500" s="1">
        <f t="shared" si="382"/>
        <v>405</v>
      </c>
      <c r="H1500" s="2">
        <f t="shared" si="377"/>
        <v>0.18863530507685142</v>
      </c>
      <c r="I1500" s="6"/>
      <c r="J1500" s="2">
        <f t="shared" si="383"/>
        <v>0.51839776432231022</v>
      </c>
      <c r="K1500" s="2">
        <f t="shared" si="384"/>
        <v>0.32976245924545877</v>
      </c>
      <c r="L1500" s="2">
        <f t="shared" si="385"/>
        <v>2.328830926874709E-3</v>
      </c>
      <c r="M1500" s="2">
        <f t="shared" si="386"/>
        <v>0.14951094550535629</v>
      </c>
      <c r="N1500" s="63">
        <v>1113</v>
      </c>
      <c r="O1500" s="63">
        <v>708</v>
      </c>
      <c r="P1500" s="63">
        <v>5</v>
      </c>
      <c r="Q1500" s="63">
        <v>105</v>
      </c>
      <c r="R1500" s="63">
        <v>49</v>
      </c>
      <c r="S1500" s="63">
        <v>0</v>
      </c>
      <c r="T1500" s="63">
        <v>10</v>
      </c>
      <c r="U1500" s="63"/>
      <c r="V1500" s="63">
        <v>2</v>
      </c>
      <c r="W1500" s="63">
        <f t="shared" si="387"/>
        <v>155</v>
      </c>
      <c r="X1500" s="63"/>
      <c r="Y1500" s="63"/>
      <c r="Z1500" s="63"/>
      <c r="AA1500" s="63"/>
      <c r="AB1500" s="63"/>
      <c r="AT1500" t="str">
        <f t="shared" si="379"/>
        <v>Northfield</v>
      </c>
      <c r="AU1500" t="s">
        <v>692</v>
      </c>
      <c r="AV1500">
        <v>1</v>
      </c>
      <c r="AX1500" s="114">
        <v>50</v>
      </c>
      <c r="AY1500" s="116">
        <v>23</v>
      </c>
      <c r="AZ1500" s="116">
        <v>65</v>
      </c>
      <c r="BA1500" s="120">
        <v>50275</v>
      </c>
      <c r="BB1500" s="120">
        <f t="shared" si="378"/>
        <v>50023</v>
      </c>
      <c r="BC1500" s="8" t="s">
        <v>1472</v>
      </c>
      <c r="BD1500">
        <f t="shared" si="388"/>
        <v>5050275</v>
      </c>
      <c r="BE1500" s="1">
        <v>101</v>
      </c>
      <c r="BF1500" s="1">
        <v>2</v>
      </c>
      <c r="BI1500">
        <v>43.73</v>
      </c>
      <c r="BJ1500">
        <v>0.03</v>
      </c>
      <c r="BK1500">
        <v>43.7</v>
      </c>
      <c r="BP1500" s="63">
        <v>160</v>
      </c>
      <c r="BQ1500" s="63"/>
      <c r="BR1500">
        <v>130</v>
      </c>
    </row>
    <row r="1501" spans="1:70" hidden="1" outlineLevel="1">
      <c r="A1501" t="s">
        <v>2475</v>
      </c>
      <c r="B1501" s="8" t="s">
        <v>2016</v>
      </c>
      <c r="C1501" s="1">
        <f t="shared" si="380"/>
        <v>84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 t="shared" si="381"/>
        <v>0</v>
      </c>
      <c r="G1501" s="1">
        <f t="shared" si="382"/>
        <v>16</v>
      </c>
      <c r="H1501" s="2">
        <f t="shared" si="377"/>
        <v>0.19047619047619047</v>
      </c>
      <c r="I1501" s="6"/>
      <c r="J1501" s="2">
        <f t="shared" si="383"/>
        <v>0.35714285714285715</v>
      </c>
      <c r="K1501" s="2">
        <f t="shared" si="384"/>
        <v>0.54761904761904767</v>
      </c>
      <c r="L1501" s="2">
        <f t="shared" si="385"/>
        <v>0</v>
      </c>
      <c r="M1501" s="2">
        <f t="shared" si="386"/>
        <v>9.5238095238095122E-2</v>
      </c>
      <c r="N1501" s="63">
        <v>30</v>
      </c>
      <c r="O1501" s="63">
        <v>46</v>
      </c>
      <c r="P1501" s="63">
        <v>0</v>
      </c>
      <c r="Q1501" s="63">
        <v>4</v>
      </c>
      <c r="R1501" s="63">
        <v>0</v>
      </c>
      <c r="S1501" s="63">
        <v>0</v>
      </c>
      <c r="T1501" s="63">
        <v>0</v>
      </c>
      <c r="U1501" s="63"/>
      <c r="V1501" s="63">
        <v>0</v>
      </c>
      <c r="W1501" s="63">
        <f t="shared" si="387"/>
        <v>4</v>
      </c>
      <c r="X1501" s="63"/>
      <c r="Y1501" s="63"/>
      <c r="Z1501" s="63"/>
      <c r="AA1501" s="63"/>
      <c r="AB1501" s="63"/>
      <c r="AT1501" t="str">
        <f t="shared" si="379"/>
        <v>Norton</v>
      </c>
      <c r="AU1501" t="s">
        <v>842</v>
      </c>
      <c r="AV1501">
        <v>1</v>
      </c>
      <c r="AX1501" s="114">
        <v>50</v>
      </c>
      <c r="AY1501" s="116">
        <v>9</v>
      </c>
      <c r="AZ1501" s="116">
        <v>80</v>
      </c>
      <c r="BA1501" s="120">
        <v>52750</v>
      </c>
      <c r="BB1501" s="120">
        <f t="shared" si="378"/>
        <v>50009</v>
      </c>
      <c r="BC1501" s="8" t="s">
        <v>1472</v>
      </c>
      <c r="BD1501">
        <f t="shared" si="388"/>
        <v>5052750</v>
      </c>
      <c r="BE1501" s="1">
        <v>0</v>
      </c>
      <c r="BF1501" s="1">
        <v>2</v>
      </c>
      <c r="BI1501">
        <v>39.369999999999997</v>
      </c>
      <c r="BJ1501">
        <v>0.32</v>
      </c>
      <c r="BK1501">
        <v>39.049999999999997</v>
      </c>
      <c r="BP1501" s="63">
        <v>4</v>
      </c>
      <c r="BQ1501" s="63"/>
      <c r="BR1501">
        <v>4</v>
      </c>
    </row>
    <row r="1502" spans="1:70" hidden="1" outlineLevel="1">
      <c r="A1502" t="s">
        <v>3095</v>
      </c>
      <c r="B1502" s="8" t="s">
        <v>2016</v>
      </c>
      <c r="C1502" s="1">
        <f t="shared" si="380"/>
        <v>2321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381"/>
        <v>0</v>
      </c>
      <c r="G1502" s="1">
        <f t="shared" si="382"/>
        <v>1791</v>
      </c>
      <c r="H1502" s="2">
        <f t="shared" si="377"/>
        <v>0.77165015079707022</v>
      </c>
      <c r="I1502" s="6"/>
      <c r="J1502" s="2">
        <f t="shared" si="383"/>
        <v>0.85394226626454117</v>
      </c>
      <c r="K1502" s="2">
        <f t="shared" si="384"/>
        <v>8.2292115467470922E-2</v>
      </c>
      <c r="L1502" s="2">
        <f t="shared" si="385"/>
        <v>0</v>
      </c>
      <c r="M1502" s="2">
        <f t="shared" si="386"/>
        <v>6.3765618267987906E-2</v>
      </c>
      <c r="N1502" s="63">
        <v>1982</v>
      </c>
      <c r="O1502" s="63">
        <v>191</v>
      </c>
      <c r="P1502" s="63">
        <v>0</v>
      </c>
      <c r="Q1502" s="63">
        <v>36</v>
      </c>
      <c r="R1502" s="63">
        <v>33</v>
      </c>
      <c r="S1502" s="63">
        <v>0</v>
      </c>
      <c r="T1502" s="63">
        <v>1</v>
      </c>
      <c r="U1502" s="63"/>
      <c r="V1502" s="63">
        <v>1</v>
      </c>
      <c r="W1502" s="63">
        <f t="shared" si="387"/>
        <v>77</v>
      </c>
      <c r="X1502" s="63"/>
      <c r="Y1502" s="63"/>
      <c r="Z1502" s="63"/>
      <c r="AA1502" s="63"/>
      <c r="AB1502" s="63"/>
      <c r="AT1502" t="str">
        <f t="shared" si="379"/>
        <v>Norwich</v>
      </c>
      <c r="AU1502" t="s">
        <v>2282</v>
      </c>
      <c r="AV1502">
        <v>1</v>
      </c>
      <c r="AX1502" s="114">
        <v>50</v>
      </c>
      <c r="AY1502" s="116">
        <v>27</v>
      </c>
      <c r="AZ1502" s="116">
        <v>55</v>
      </c>
      <c r="BA1502" s="120">
        <v>52900</v>
      </c>
      <c r="BB1502" s="120">
        <f t="shared" si="378"/>
        <v>50027</v>
      </c>
      <c r="BC1502" s="8" t="s">
        <v>1472</v>
      </c>
      <c r="BD1502">
        <f t="shared" si="388"/>
        <v>5052900</v>
      </c>
      <c r="BE1502" s="1">
        <v>9</v>
      </c>
      <c r="BF1502" s="1">
        <v>3</v>
      </c>
      <c r="BI1502">
        <v>44.83</v>
      </c>
      <c r="BJ1502">
        <v>0.14000000000000001</v>
      </c>
      <c r="BK1502">
        <v>44.69</v>
      </c>
      <c r="BP1502" s="63">
        <v>77</v>
      </c>
      <c r="BQ1502" s="63"/>
      <c r="BR1502">
        <v>48</v>
      </c>
    </row>
    <row r="1503" spans="1:70" hidden="1" outlineLevel="1">
      <c r="A1503" t="s">
        <v>2013</v>
      </c>
      <c r="B1503" s="8" t="s">
        <v>2016</v>
      </c>
      <c r="C1503" s="1">
        <f t="shared" si="380"/>
        <v>538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 t="shared" si="381"/>
        <v>6</v>
      </c>
      <c r="G1503" s="1">
        <f t="shared" si="382"/>
        <v>79</v>
      </c>
      <c r="H1503" s="2">
        <f t="shared" si="377"/>
        <v>0.14684014869888476</v>
      </c>
      <c r="I1503" s="6"/>
      <c r="J1503" s="2">
        <f t="shared" si="383"/>
        <v>0.34572490706319703</v>
      </c>
      <c r="K1503" s="2">
        <f t="shared" si="384"/>
        <v>0.49256505576208176</v>
      </c>
      <c r="L1503" s="2">
        <f t="shared" si="385"/>
        <v>5.5762081784386614E-3</v>
      </c>
      <c r="M1503" s="2">
        <f t="shared" si="386"/>
        <v>0.15613382899628256</v>
      </c>
      <c r="N1503" s="63">
        <v>186</v>
      </c>
      <c r="O1503" s="63">
        <v>265</v>
      </c>
      <c r="P1503" s="63">
        <v>3</v>
      </c>
      <c r="Q1503" s="63">
        <v>22</v>
      </c>
      <c r="R1503" s="63">
        <v>17</v>
      </c>
      <c r="S1503" s="63">
        <v>0</v>
      </c>
      <c r="T1503" s="63">
        <v>3</v>
      </c>
      <c r="U1503" s="63"/>
      <c r="V1503" s="63">
        <v>1</v>
      </c>
      <c r="W1503" s="63">
        <f t="shared" si="387"/>
        <v>40</v>
      </c>
      <c r="X1503" s="63"/>
      <c r="Y1503" s="63"/>
      <c r="Z1503" s="63"/>
      <c r="AA1503" s="63"/>
      <c r="AB1503" s="63"/>
      <c r="AN1503">
        <v>1</v>
      </c>
      <c r="AT1503" t="str">
        <f t="shared" si="379"/>
        <v>Orange</v>
      </c>
      <c r="AU1503" t="s">
        <v>2013</v>
      </c>
      <c r="AV1503">
        <v>1</v>
      </c>
      <c r="AX1503" s="114">
        <v>50</v>
      </c>
      <c r="AY1503" s="116">
        <v>17</v>
      </c>
      <c r="AZ1503" s="116">
        <v>40</v>
      </c>
      <c r="BA1503" s="120">
        <v>53425</v>
      </c>
      <c r="BB1503" s="120">
        <f t="shared" si="378"/>
        <v>50017</v>
      </c>
      <c r="BC1503" s="8" t="s">
        <v>1472</v>
      </c>
      <c r="BD1503">
        <f t="shared" si="388"/>
        <v>5053425</v>
      </c>
      <c r="BE1503" s="1">
        <v>6</v>
      </c>
      <c r="BF1503" s="1">
        <v>5</v>
      </c>
      <c r="BI1503">
        <v>39.01</v>
      </c>
      <c r="BJ1503">
        <v>0.23</v>
      </c>
      <c r="BK1503">
        <v>38.78</v>
      </c>
      <c r="BP1503" s="63">
        <v>44</v>
      </c>
      <c r="BQ1503" s="63"/>
      <c r="BR1503">
        <v>38</v>
      </c>
    </row>
    <row r="1504" spans="1:70" hidden="1" outlineLevel="1">
      <c r="A1504" t="s">
        <v>2043</v>
      </c>
      <c r="B1504" s="8" t="s">
        <v>2016</v>
      </c>
      <c r="C1504" s="1">
        <f t="shared" si="380"/>
        <v>648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 t="shared" si="381"/>
        <v>6</v>
      </c>
      <c r="G1504" s="1">
        <f t="shared" si="382"/>
        <v>14</v>
      </c>
      <c r="H1504" s="2">
        <f t="shared" si="377"/>
        <v>2.1604938271604937E-2</v>
      </c>
      <c r="I1504" s="6"/>
      <c r="J1504" s="2">
        <f t="shared" si="383"/>
        <v>0.41666666666666669</v>
      </c>
      <c r="K1504" s="2">
        <f t="shared" si="384"/>
        <v>0.43827160493827161</v>
      </c>
      <c r="L1504" s="2">
        <f t="shared" si="385"/>
        <v>9.2592592592592587E-3</v>
      </c>
      <c r="M1504" s="2">
        <f t="shared" si="386"/>
        <v>0.13580246913580241</v>
      </c>
      <c r="N1504" s="63">
        <v>270</v>
      </c>
      <c r="O1504" s="63">
        <v>284</v>
      </c>
      <c r="P1504" s="63">
        <v>6</v>
      </c>
      <c r="Q1504" s="63">
        <v>29</v>
      </c>
      <c r="R1504" s="63">
        <v>16</v>
      </c>
      <c r="S1504" s="63">
        <v>0</v>
      </c>
      <c r="T1504" s="63">
        <v>5</v>
      </c>
      <c r="U1504" s="63"/>
      <c r="V1504" s="63">
        <v>0</v>
      </c>
      <c r="W1504" s="63">
        <f t="shared" si="387"/>
        <v>38</v>
      </c>
      <c r="X1504" s="63"/>
      <c r="Y1504" s="63"/>
      <c r="Z1504" s="63"/>
      <c r="AA1504" s="63"/>
      <c r="AB1504" s="63"/>
      <c r="AT1504" t="str">
        <f t="shared" si="379"/>
        <v>Orwell</v>
      </c>
      <c r="AU1504" t="s">
        <v>1346</v>
      </c>
      <c r="AV1504">
        <v>1</v>
      </c>
      <c r="AX1504" s="114">
        <v>50</v>
      </c>
      <c r="AY1504" s="116">
        <v>1</v>
      </c>
      <c r="AZ1504" s="116">
        <v>70</v>
      </c>
      <c r="BA1504" s="120">
        <v>53725</v>
      </c>
      <c r="BB1504" s="120">
        <f t="shared" si="378"/>
        <v>50001</v>
      </c>
      <c r="BC1504" s="8" t="s">
        <v>1472</v>
      </c>
      <c r="BD1504">
        <f t="shared" si="388"/>
        <v>5053725</v>
      </c>
      <c r="BE1504" s="1">
        <v>11</v>
      </c>
      <c r="BF1504" s="1">
        <v>5</v>
      </c>
      <c r="BI1504">
        <v>49.68</v>
      </c>
      <c r="BJ1504">
        <v>2.2999999999999998</v>
      </c>
      <c r="BK1504">
        <v>47.39</v>
      </c>
      <c r="BP1504" s="63">
        <v>44</v>
      </c>
      <c r="BQ1504" s="63"/>
      <c r="BR1504">
        <v>31</v>
      </c>
    </row>
    <row r="1505" spans="1:70" hidden="1" outlineLevel="1">
      <c r="A1505" t="s">
        <v>2961</v>
      </c>
      <c r="B1505" s="8" t="s">
        <v>2016</v>
      </c>
      <c r="C1505" s="1">
        <f t="shared" si="380"/>
        <v>338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381"/>
        <v>0</v>
      </c>
      <c r="G1505" s="1">
        <f t="shared" si="382"/>
        <v>45</v>
      </c>
      <c r="H1505" s="2">
        <f t="shared" ref="H1505:H1568" si="389">IF(C1505&gt;0,G1505/C1505,0)</f>
        <v>0.13313609467455623</v>
      </c>
      <c r="I1505" s="6"/>
      <c r="J1505" s="2">
        <f t="shared" si="383"/>
        <v>0.50591715976331364</v>
      </c>
      <c r="K1505" s="2">
        <f t="shared" si="384"/>
        <v>0.37278106508875741</v>
      </c>
      <c r="L1505" s="2">
        <f t="shared" si="385"/>
        <v>0</v>
      </c>
      <c r="M1505" s="2">
        <f t="shared" si="386"/>
        <v>0.12130177514792895</v>
      </c>
      <c r="N1505" s="63">
        <v>171</v>
      </c>
      <c r="O1505" s="63">
        <v>126</v>
      </c>
      <c r="P1505" s="63">
        <v>0</v>
      </c>
      <c r="Q1505" s="63">
        <v>6</v>
      </c>
      <c r="R1505" s="63">
        <v>6</v>
      </c>
      <c r="S1505" s="63">
        <v>0</v>
      </c>
      <c r="T1505" s="63">
        <v>0</v>
      </c>
      <c r="U1505" s="63"/>
      <c r="V1505" s="63">
        <v>0</v>
      </c>
      <c r="W1505" s="63">
        <f t="shared" si="387"/>
        <v>29</v>
      </c>
      <c r="X1505" s="63"/>
      <c r="Y1505" s="63"/>
      <c r="Z1505" s="63"/>
      <c r="AA1505" s="63"/>
      <c r="AB1505" s="63"/>
      <c r="AT1505" t="str">
        <f t="shared" si="379"/>
        <v>Panton</v>
      </c>
      <c r="AU1505" t="s">
        <v>1346</v>
      </c>
      <c r="AV1505">
        <v>1</v>
      </c>
      <c r="AX1505" s="114">
        <v>50</v>
      </c>
      <c r="AY1505" s="116">
        <v>1</v>
      </c>
      <c r="AZ1505" s="116">
        <v>75</v>
      </c>
      <c r="BA1505" s="120">
        <v>53950</v>
      </c>
      <c r="BB1505" s="120">
        <f t="shared" si="378"/>
        <v>50001</v>
      </c>
      <c r="BC1505" s="8" t="s">
        <v>1472</v>
      </c>
      <c r="BD1505">
        <f t="shared" si="388"/>
        <v>5053950</v>
      </c>
      <c r="BE1505" s="1">
        <v>9</v>
      </c>
      <c r="BF1505" s="1">
        <v>1</v>
      </c>
      <c r="BI1505">
        <v>22.03</v>
      </c>
      <c r="BJ1505">
        <v>6.56</v>
      </c>
      <c r="BK1505">
        <v>15.47</v>
      </c>
      <c r="BP1505" s="63">
        <v>29</v>
      </c>
      <c r="BQ1505" s="63"/>
      <c r="BR1505">
        <v>24</v>
      </c>
    </row>
    <row r="1506" spans="1:70" hidden="1" outlineLevel="1">
      <c r="A1506" t="s">
        <v>2972</v>
      </c>
      <c r="B1506" s="8" t="s">
        <v>2016</v>
      </c>
      <c r="C1506" s="1">
        <f t="shared" si="380"/>
        <v>754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381"/>
        <v>0</v>
      </c>
      <c r="G1506" s="1">
        <f t="shared" si="382"/>
        <v>57</v>
      </c>
      <c r="H1506" s="2">
        <f t="shared" si="389"/>
        <v>7.5596816976127315E-2</v>
      </c>
      <c r="I1506" s="6"/>
      <c r="J1506" s="2">
        <f t="shared" si="383"/>
        <v>0.48806366047745359</v>
      </c>
      <c r="K1506" s="2">
        <f t="shared" si="384"/>
        <v>0.41246684350132629</v>
      </c>
      <c r="L1506" s="2">
        <f t="shared" si="385"/>
        <v>0</v>
      </c>
      <c r="M1506" s="2">
        <f t="shared" si="386"/>
        <v>9.9469496021220183E-2</v>
      </c>
      <c r="N1506" s="63">
        <v>368</v>
      </c>
      <c r="O1506" s="63">
        <v>311</v>
      </c>
      <c r="P1506" s="63">
        <v>0</v>
      </c>
      <c r="Q1506" s="63">
        <v>23</v>
      </c>
      <c r="R1506" s="63">
        <v>9</v>
      </c>
      <c r="S1506" s="63">
        <v>0</v>
      </c>
      <c r="T1506" s="63">
        <v>3</v>
      </c>
      <c r="U1506" s="63"/>
      <c r="V1506" s="63">
        <v>1</v>
      </c>
      <c r="W1506" s="63">
        <f t="shared" si="387"/>
        <v>39</v>
      </c>
      <c r="X1506" s="63"/>
      <c r="Y1506" s="63"/>
      <c r="Z1506" s="63"/>
      <c r="AA1506" s="63"/>
      <c r="AB1506" s="63"/>
      <c r="AT1506" t="str">
        <f t="shared" si="379"/>
        <v>Pawlet</v>
      </c>
      <c r="AU1506" t="s">
        <v>589</v>
      </c>
      <c r="AV1506">
        <v>1</v>
      </c>
      <c r="AX1506" s="114">
        <v>50</v>
      </c>
      <c r="AY1506" s="116">
        <v>21</v>
      </c>
      <c r="AZ1506" s="116">
        <v>70</v>
      </c>
      <c r="BA1506" s="120">
        <v>54250</v>
      </c>
      <c r="BB1506" s="120">
        <f t="shared" si="378"/>
        <v>50021</v>
      </c>
      <c r="BC1506" s="8" t="s">
        <v>1472</v>
      </c>
      <c r="BD1506">
        <f t="shared" si="388"/>
        <v>5054250</v>
      </c>
      <c r="BE1506" s="1">
        <v>10</v>
      </c>
      <c r="BF1506" s="1">
        <v>1</v>
      </c>
      <c r="BI1506">
        <v>42.91</v>
      </c>
      <c r="BJ1506">
        <v>0.01</v>
      </c>
      <c r="BK1506">
        <v>42.89</v>
      </c>
      <c r="BP1506" s="63">
        <v>39</v>
      </c>
      <c r="BQ1506" s="63"/>
      <c r="BR1506">
        <v>36</v>
      </c>
    </row>
    <row r="1507" spans="1:70" hidden="1" outlineLevel="1">
      <c r="A1507" t="s">
        <v>2881</v>
      </c>
      <c r="B1507" s="8" t="s">
        <v>2016</v>
      </c>
      <c r="C1507" s="1">
        <f t="shared" si="380"/>
        <v>472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381"/>
        <v>6</v>
      </c>
      <c r="G1507" s="1">
        <f t="shared" si="382"/>
        <v>178</v>
      </c>
      <c r="H1507" s="2">
        <f t="shared" si="389"/>
        <v>0.3771186440677966</v>
      </c>
      <c r="I1507" s="6"/>
      <c r="J1507" s="2">
        <f t="shared" si="383"/>
        <v>0.61652542372881358</v>
      </c>
      <c r="K1507" s="2">
        <f t="shared" si="384"/>
        <v>0.23940677966101695</v>
      </c>
      <c r="L1507" s="2">
        <f t="shared" si="385"/>
        <v>6.3559322033898309E-3</v>
      </c>
      <c r="M1507" s="2">
        <f t="shared" si="386"/>
        <v>0.13771186440677963</v>
      </c>
      <c r="N1507" s="63">
        <v>291</v>
      </c>
      <c r="O1507" s="63">
        <v>113</v>
      </c>
      <c r="P1507" s="63">
        <v>3</v>
      </c>
      <c r="Q1507" s="63">
        <v>25</v>
      </c>
      <c r="R1507" s="63">
        <v>11</v>
      </c>
      <c r="S1507" s="63">
        <v>0</v>
      </c>
      <c r="T1507" s="63">
        <v>3</v>
      </c>
      <c r="U1507" s="63"/>
      <c r="V1507" s="63">
        <v>1</v>
      </c>
      <c r="W1507" s="63">
        <f t="shared" si="387"/>
        <v>25</v>
      </c>
      <c r="X1507" s="63"/>
      <c r="Y1507" s="63"/>
      <c r="Z1507" s="63"/>
      <c r="AA1507" s="63"/>
      <c r="AB1507" s="63"/>
      <c r="AT1507" t="str">
        <f t="shared" si="379"/>
        <v>Peacham</v>
      </c>
      <c r="AU1507" t="s">
        <v>681</v>
      </c>
      <c r="AV1507">
        <v>1</v>
      </c>
      <c r="AX1507" s="114">
        <v>50</v>
      </c>
      <c r="AY1507" s="116">
        <v>5</v>
      </c>
      <c r="AZ1507" s="116">
        <v>45</v>
      </c>
      <c r="BA1507" s="120">
        <v>54400</v>
      </c>
      <c r="BB1507" s="120">
        <f t="shared" si="378"/>
        <v>50005</v>
      </c>
      <c r="BC1507" s="8" t="s">
        <v>1472</v>
      </c>
      <c r="BD1507">
        <f t="shared" si="388"/>
        <v>5054400</v>
      </c>
      <c r="BE1507" s="1">
        <v>10</v>
      </c>
      <c r="BF1507" s="1">
        <v>0</v>
      </c>
      <c r="BI1507">
        <v>47.67</v>
      </c>
      <c r="BJ1507">
        <v>0.93</v>
      </c>
      <c r="BK1507">
        <v>46.74</v>
      </c>
      <c r="BP1507" s="63">
        <v>28</v>
      </c>
      <c r="BQ1507" s="63"/>
      <c r="BR1507">
        <v>18</v>
      </c>
    </row>
    <row r="1508" spans="1:70" hidden="1" outlineLevel="1">
      <c r="A1508" t="s">
        <v>3155</v>
      </c>
      <c r="B1508" s="8" t="s">
        <v>2016</v>
      </c>
      <c r="C1508" s="1">
        <f t="shared" si="380"/>
        <v>231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381"/>
        <v>6</v>
      </c>
      <c r="G1508" s="1">
        <f t="shared" si="382"/>
        <v>112</v>
      </c>
      <c r="H1508" s="2">
        <f t="shared" si="389"/>
        <v>0.48484848484848486</v>
      </c>
      <c r="I1508" s="6"/>
      <c r="J1508" s="2">
        <f t="shared" si="383"/>
        <v>0.7186147186147186</v>
      </c>
      <c r="K1508" s="2">
        <f t="shared" si="384"/>
        <v>0.23376623376623376</v>
      </c>
      <c r="L1508" s="2">
        <f t="shared" si="385"/>
        <v>4.329004329004329E-3</v>
      </c>
      <c r="M1508" s="2">
        <f t="shared" si="386"/>
        <v>4.3290043290043316E-2</v>
      </c>
      <c r="N1508" s="63">
        <v>166</v>
      </c>
      <c r="O1508" s="63">
        <v>54</v>
      </c>
      <c r="P1508" s="63">
        <v>1</v>
      </c>
      <c r="Q1508" s="63">
        <v>4</v>
      </c>
      <c r="R1508" s="63">
        <v>2</v>
      </c>
      <c r="S1508" s="63">
        <v>0</v>
      </c>
      <c r="T1508" s="63">
        <v>0</v>
      </c>
      <c r="U1508" s="63"/>
      <c r="V1508" s="63">
        <v>0</v>
      </c>
      <c r="W1508" s="63">
        <f t="shared" si="387"/>
        <v>4</v>
      </c>
      <c r="X1508" s="63"/>
      <c r="Y1508" s="63"/>
      <c r="Z1508" s="63"/>
      <c r="AA1508" s="63"/>
      <c r="AB1508" s="63"/>
      <c r="AT1508" t="str">
        <f t="shared" si="379"/>
        <v>Peru</v>
      </c>
      <c r="AU1508" t="s">
        <v>951</v>
      </c>
      <c r="AV1508">
        <v>1</v>
      </c>
      <c r="AX1508" s="114">
        <v>50</v>
      </c>
      <c r="AY1508" s="116">
        <v>3</v>
      </c>
      <c r="AZ1508" s="116">
        <v>30</v>
      </c>
      <c r="BA1508" s="120">
        <v>55000</v>
      </c>
      <c r="BB1508" s="120">
        <f t="shared" ref="BB1508:BB1571" si="390">AX1508*1000+AY1508</f>
        <v>50003</v>
      </c>
      <c r="BC1508" s="8" t="s">
        <v>1472</v>
      </c>
      <c r="BD1508">
        <f t="shared" si="388"/>
        <v>5055000</v>
      </c>
      <c r="BE1508" s="1">
        <v>5</v>
      </c>
      <c r="BF1508" s="1">
        <v>3</v>
      </c>
      <c r="BI1508">
        <v>37.39</v>
      </c>
      <c r="BJ1508">
        <v>7.0000000000000007E-2</v>
      </c>
      <c r="BK1508">
        <v>37.32</v>
      </c>
      <c r="BP1508" s="63">
        <v>5</v>
      </c>
      <c r="BQ1508" s="63"/>
      <c r="BR1508">
        <v>3</v>
      </c>
    </row>
    <row r="1509" spans="1:70" hidden="1" outlineLevel="1">
      <c r="A1509" t="s">
        <v>3098</v>
      </c>
      <c r="B1509" s="8" t="s">
        <v>2016</v>
      </c>
      <c r="C1509" s="1">
        <f t="shared" si="380"/>
        <v>294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381"/>
        <v>0</v>
      </c>
      <c r="G1509" s="1">
        <f t="shared" si="382"/>
        <v>33</v>
      </c>
      <c r="H1509" s="2">
        <f t="shared" si="389"/>
        <v>0.11224489795918367</v>
      </c>
      <c r="I1509" s="6"/>
      <c r="J1509" s="2">
        <f t="shared" si="383"/>
        <v>0.5</v>
      </c>
      <c r="K1509" s="2">
        <f t="shared" si="384"/>
        <v>0.38775510204081631</v>
      </c>
      <c r="L1509" s="2">
        <f t="shared" si="385"/>
        <v>0</v>
      </c>
      <c r="M1509" s="2">
        <f t="shared" si="386"/>
        <v>0.11224489795918369</v>
      </c>
      <c r="N1509" s="63">
        <v>147</v>
      </c>
      <c r="O1509" s="63">
        <v>114</v>
      </c>
      <c r="P1509" s="63">
        <v>0</v>
      </c>
      <c r="Q1509" s="63">
        <v>8</v>
      </c>
      <c r="R1509" s="63">
        <v>5</v>
      </c>
      <c r="S1509" s="63">
        <v>0</v>
      </c>
      <c r="T1509" s="63">
        <v>0</v>
      </c>
      <c r="U1509" s="63"/>
      <c r="V1509" s="63">
        <v>0</v>
      </c>
      <c r="W1509" s="63">
        <f t="shared" si="387"/>
        <v>20</v>
      </c>
      <c r="X1509" s="63"/>
      <c r="Y1509" s="63"/>
      <c r="Z1509" s="63"/>
      <c r="AA1509" s="63"/>
      <c r="AB1509" s="63"/>
      <c r="AT1509" t="str">
        <f t="shared" si="379"/>
        <v>Pittsfield</v>
      </c>
      <c r="AU1509" t="s">
        <v>589</v>
      </c>
      <c r="AV1509">
        <v>1</v>
      </c>
      <c r="AX1509" s="114">
        <v>50</v>
      </c>
      <c r="AY1509" s="116">
        <v>21</v>
      </c>
      <c r="AZ1509" s="116">
        <v>75</v>
      </c>
      <c r="BA1509" s="120">
        <v>55450</v>
      </c>
      <c r="BB1509" s="120">
        <f t="shared" si="390"/>
        <v>50021</v>
      </c>
      <c r="BC1509" s="8" t="s">
        <v>1472</v>
      </c>
      <c r="BD1509">
        <f t="shared" si="388"/>
        <v>5055450</v>
      </c>
      <c r="BE1509" s="1">
        <v>1</v>
      </c>
      <c r="BF1509" s="1">
        <v>0</v>
      </c>
      <c r="BI1509">
        <v>20.05</v>
      </c>
      <c r="BJ1509">
        <v>0</v>
      </c>
      <c r="BK1509">
        <v>20.05</v>
      </c>
      <c r="BP1509" s="63">
        <v>20</v>
      </c>
      <c r="BQ1509" s="63"/>
      <c r="BR1509">
        <v>17</v>
      </c>
    </row>
    <row r="1510" spans="1:70" hidden="1" outlineLevel="1">
      <c r="A1510" t="s">
        <v>2894</v>
      </c>
      <c r="B1510" s="8" t="s">
        <v>2016</v>
      </c>
      <c r="C1510" s="1">
        <f t="shared" si="380"/>
        <v>1527</v>
      </c>
      <c r="D1510" s="5">
        <f>IF(N1510&gt;0, RANK(N1510,(N1510:P1510,Q1510:AE1510)),0)</f>
        <v>2</v>
      </c>
      <c r="E1510" s="5">
        <f>IF(O1510&gt;0,RANK(O1510,(N1510:P1510,Q1510:AE1510)),0)</f>
        <v>1</v>
      </c>
      <c r="F1510" s="5">
        <f t="shared" si="381"/>
        <v>6</v>
      </c>
      <c r="G1510" s="1">
        <f t="shared" si="382"/>
        <v>1</v>
      </c>
      <c r="H1510" s="2">
        <f t="shared" si="389"/>
        <v>6.5487884741322858E-4</v>
      </c>
      <c r="I1510" s="6"/>
      <c r="J1510" s="2">
        <f t="shared" si="383"/>
        <v>0.43745907007203666</v>
      </c>
      <c r="K1510" s="2">
        <f t="shared" si="384"/>
        <v>0.43811394891944988</v>
      </c>
      <c r="L1510" s="2">
        <f t="shared" si="385"/>
        <v>3.2743942370661427E-3</v>
      </c>
      <c r="M1510" s="2">
        <f t="shared" si="386"/>
        <v>0.12115258677144732</v>
      </c>
      <c r="N1510" s="63">
        <v>668</v>
      </c>
      <c r="O1510" s="63">
        <v>669</v>
      </c>
      <c r="P1510" s="63">
        <v>5</v>
      </c>
      <c r="Q1510" s="63">
        <v>65</v>
      </c>
      <c r="R1510" s="63">
        <v>19</v>
      </c>
      <c r="S1510" s="63">
        <v>0</v>
      </c>
      <c r="T1510" s="63">
        <v>2</v>
      </c>
      <c r="U1510" s="63"/>
      <c r="V1510" s="63">
        <v>3</v>
      </c>
      <c r="W1510" s="63">
        <f t="shared" si="387"/>
        <v>96</v>
      </c>
      <c r="X1510" s="63"/>
      <c r="Y1510" s="63"/>
      <c r="Z1510" s="63"/>
      <c r="AA1510" s="63"/>
      <c r="AB1510" s="63"/>
      <c r="AT1510" t="str">
        <f t="shared" si="379"/>
        <v>Pittsford</v>
      </c>
      <c r="AU1510" t="s">
        <v>589</v>
      </c>
      <c r="AV1510">
        <v>1</v>
      </c>
      <c r="AX1510" s="114">
        <v>50</v>
      </c>
      <c r="AY1510" s="116">
        <v>21</v>
      </c>
      <c r="AZ1510" s="116">
        <v>80</v>
      </c>
      <c r="BA1510" s="120">
        <v>55600</v>
      </c>
      <c r="BB1510" s="120">
        <f t="shared" si="390"/>
        <v>50021</v>
      </c>
      <c r="BC1510" s="8" t="s">
        <v>1472</v>
      </c>
      <c r="BD1510">
        <f t="shared" si="388"/>
        <v>5055600</v>
      </c>
      <c r="BE1510" s="1">
        <v>38</v>
      </c>
      <c r="BF1510" s="1">
        <v>5</v>
      </c>
      <c r="BI1510">
        <v>43.57</v>
      </c>
      <c r="BJ1510">
        <v>0.08</v>
      </c>
      <c r="BK1510">
        <v>43.49</v>
      </c>
      <c r="BP1510" s="63">
        <v>101</v>
      </c>
      <c r="BQ1510" s="63"/>
      <c r="BR1510">
        <v>72</v>
      </c>
    </row>
    <row r="1511" spans="1:70" hidden="1" outlineLevel="1">
      <c r="A1511" t="s">
        <v>2130</v>
      </c>
      <c r="B1511" s="8" t="s">
        <v>2016</v>
      </c>
      <c r="C1511" s="1">
        <f t="shared" si="380"/>
        <v>676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381"/>
        <v>0</v>
      </c>
      <c r="G1511" s="1">
        <f t="shared" si="382"/>
        <v>295</v>
      </c>
      <c r="H1511" s="2">
        <f t="shared" si="389"/>
        <v>0.43639053254437871</v>
      </c>
      <c r="I1511" s="6"/>
      <c r="J1511" s="2">
        <f t="shared" si="383"/>
        <v>0.62721893491124259</v>
      </c>
      <c r="K1511" s="2">
        <f t="shared" si="384"/>
        <v>0.19082840236686391</v>
      </c>
      <c r="L1511" s="2">
        <f t="shared" si="385"/>
        <v>0</v>
      </c>
      <c r="M1511" s="2">
        <f t="shared" si="386"/>
        <v>0.1819526627218935</v>
      </c>
      <c r="N1511" s="63">
        <v>424</v>
      </c>
      <c r="O1511" s="63">
        <v>129</v>
      </c>
      <c r="P1511" s="63">
        <v>0</v>
      </c>
      <c r="Q1511" s="63">
        <v>16</v>
      </c>
      <c r="R1511" s="63">
        <v>42</v>
      </c>
      <c r="S1511" s="63">
        <v>0</v>
      </c>
      <c r="T1511" s="63">
        <v>3</v>
      </c>
      <c r="U1511" s="63"/>
      <c r="V1511" s="63">
        <v>2</v>
      </c>
      <c r="W1511" s="63">
        <f t="shared" si="387"/>
        <v>60</v>
      </c>
      <c r="X1511" s="63"/>
      <c r="Y1511" s="63"/>
      <c r="Z1511" s="63"/>
      <c r="AA1511" s="63"/>
      <c r="AB1511" s="63"/>
      <c r="AT1511" t="str">
        <f t="shared" si="379"/>
        <v>Plainfield</v>
      </c>
      <c r="AU1511" t="s">
        <v>692</v>
      </c>
      <c r="AV1511">
        <v>1</v>
      </c>
      <c r="AX1511" s="114">
        <v>50</v>
      </c>
      <c r="AY1511" s="116">
        <v>23</v>
      </c>
      <c r="AZ1511" s="116">
        <v>70</v>
      </c>
      <c r="BA1511" s="120">
        <v>55825</v>
      </c>
      <c r="BB1511" s="120">
        <f t="shared" si="390"/>
        <v>50023</v>
      </c>
      <c r="BC1511" s="8" t="s">
        <v>1472</v>
      </c>
      <c r="BD1511">
        <f t="shared" si="388"/>
        <v>5055825</v>
      </c>
      <c r="BE1511" s="1">
        <v>6</v>
      </c>
      <c r="BF1511" s="1">
        <v>3</v>
      </c>
      <c r="BI1511">
        <v>21.05</v>
      </c>
      <c r="BJ1511">
        <v>0.04</v>
      </c>
      <c r="BK1511">
        <v>21.01</v>
      </c>
      <c r="BP1511" s="63">
        <v>60</v>
      </c>
      <c r="BQ1511" s="63"/>
      <c r="BR1511">
        <v>53</v>
      </c>
    </row>
    <row r="1512" spans="1:70" hidden="1" outlineLevel="1">
      <c r="A1512" t="s">
        <v>231</v>
      </c>
      <c r="B1512" s="8" t="s">
        <v>2016</v>
      </c>
      <c r="C1512" s="1">
        <f t="shared" si="380"/>
        <v>348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381"/>
        <v>6</v>
      </c>
      <c r="G1512" s="1">
        <f t="shared" si="382"/>
        <v>48</v>
      </c>
      <c r="H1512" s="2">
        <f t="shared" si="389"/>
        <v>0.13793103448275862</v>
      </c>
      <c r="I1512" s="6"/>
      <c r="J1512" s="2">
        <f t="shared" si="383"/>
        <v>0.49712643678160917</v>
      </c>
      <c r="K1512" s="2">
        <f t="shared" si="384"/>
        <v>0.35919540229885055</v>
      </c>
      <c r="L1512" s="2">
        <f t="shared" si="385"/>
        <v>8.6206896551724137E-3</v>
      </c>
      <c r="M1512" s="2">
        <f t="shared" si="386"/>
        <v>0.13505747126436787</v>
      </c>
      <c r="N1512" s="63">
        <v>173</v>
      </c>
      <c r="O1512" s="63">
        <v>125</v>
      </c>
      <c r="P1512" s="63">
        <v>3</v>
      </c>
      <c r="Q1512" s="63">
        <v>13</v>
      </c>
      <c r="R1512" s="63">
        <v>9</v>
      </c>
      <c r="S1512" s="63">
        <v>0</v>
      </c>
      <c r="T1512" s="63">
        <v>1</v>
      </c>
      <c r="U1512" s="63"/>
      <c r="V1512" s="63">
        <v>0</v>
      </c>
      <c r="W1512" s="63">
        <f t="shared" si="387"/>
        <v>24</v>
      </c>
      <c r="X1512" s="63"/>
      <c r="Y1512" s="63"/>
      <c r="Z1512" s="63"/>
      <c r="AA1512" s="63"/>
      <c r="AB1512" s="63"/>
      <c r="AT1512" t="str">
        <f t="shared" si="379"/>
        <v>Plymouth</v>
      </c>
      <c r="AU1512" t="s">
        <v>2282</v>
      </c>
      <c r="AV1512">
        <v>1</v>
      </c>
      <c r="AX1512" s="114">
        <v>50</v>
      </c>
      <c r="AY1512" s="116">
        <v>27</v>
      </c>
      <c r="AZ1512" s="116">
        <v>60</v>
      </c>
      <c r="BA1512" s="120">
        <v>56050</v>
      </c>
      <c r="BB1512" s="120">
        <f t="shared" si="390"/>
        <v>50027</v>
      </c>
      <c r="BC1512" s="8" t="s">
        <v>1472</v>
      </c>
      <c r="BD1512">
        <f t="shared" si="388"/>
        <v>5056050</v>
      </c>
      <c r="BE1512" s="1">
        <v>6</v>
      </c>
      <c r="BF1512" s="1">
        <v>0</v>
      </c>
      <c r="BI1512">
        <v>48.67</v>
      </c>
      <c r="BJ1512">
        <v>0.49</v>
      </c>
      <c r="BK1512">
        <v>48.18</v>
      </c>
      <c r="BP1512" s="63">
        <v>27</v>
      </c>
      <c r="BQ1512" s="63"/>
      <c r="BR1512">
        <v>16</v>
      </c>
    </row>
    <row r="1513" spans="1:70" hidden="1" outlineLevel="1">
      <c r="A1513" t="s">
        <v>1428</v>
      </c>
      <c r="B1513" s="8" t="s">
        <v>2016</v>
      </c>
      <c r="C1513" s="1">
        <f t="shared" si="380"/>
        <v>592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381"/>
        <v>0</v>
      </c>
      <c r="G1513" s="1">
        <f t="shared" si="382"/>
        <v>265</v>
      </c>
      <c r="H1513" s="2">
        <f t="shared" si="389"/>
        <v>0.44763513513513514</v>
      </c>
      <c r="I1513" s="6"/>
      <c r="J1513" s="2">
        <f t="shared" si="383"/>
        <v>0.66722972972972971</v>
      </c>
      <c r="K1513" s="2">
        <f t="shared" si="384"/>
        <v>0.2195945945945946</v>
      </c>
      <c r="L1513" s="2">
        <f t="shared" si="385"/>
        <v>0</v>
      </c>
      <c r="M1513" s="2">
        <f t="shared" si="386"/>
        <v>0.11317567567567569</v>
      </c>
      <c r="N1513" s="63">
        <v>395</v>
      </c>
      <c r="O1513" s="63">
        <v>130</v>
      </c>
      <c r="P1513" s="63">
        <v>0</v>
      </c>
      <c r="Q1513" s="63">
        <v>21</v>
      </c>
      <c r="R1513" s="63">
        <v>7</v>
      </c>
      <c r="S1513" s="63">
        <v>0</v>
      </c>
      <c r="T1513" s="63">
        <v>0</v>
      </c>
      <c r="U1513" s="63"/>
      <c r="V1513" s="63">
        <v>1</v>
      </c>
      <c r="W1513" s="63">
        <f t="shared" si="387"/>
        <v>38</v>
      </c>
      <c r="X1513" s="63"/>
      <c r="Y1513" s="63"/>
      <c r="Z1513" s="63"/>
      <c r="AA1513" s="63"/>
      <c r="AB1513" s="63"/>
      <c r="AT1513" t="str">
        <f t="shared" si="379"/>
        <v>Pomfret</v>
      </c>
      <c r="AU1513" t="s">
        <v>2282</v>
      </c>
      <c r="AV1513">
        <v>1</v>
      </c>
      <c r="AX1513" s="114">
        <v>50</v>
      </c>
      <c r="AY1513" s="116">
        <v>27</v>
      </c>
      <c r="AZ1513" s="116">
        <v>65</v>
      </c>
      <c r="BA1513" s="120">
        <v>56350</v>
      </c>
      <c r="BB1513" s="120">
        <f t="shared" si="390"/>
        <v>50027</v>
      </c>
      <c r="BC1513" s="8" t="s">
        <v>1472</v>
      </c>
      <c r="BD1513">
        <f t="shared" si="388"/>
        <v>5056350</v>
      </c>
      <c r="BE1513" s="1">
        <v>6</v>
      </c>
      <c r="BF1513" s="1">
        <v>0</v>
      </c>
      <c r="BI1513">
        <v>39.46</v>
      </c>
      <c r="BJ1513">
        <v>0.06</v>
      </c>
      <c r="BK1513">
        <v>39.4</v>
      </c>
      <c r="BP1513" s="63">
        <v>38</v>
      </c>
      <c r="BQ1513" s="63"/>
      <c r="BR1513">
        <v>29</v>
      </c>
    </row>
    <row r="1514" spans="1:70" hidden="1" outlineLevel="1">
      <c r="A1514" t="s">
        <v>1208</v>
      </c>
      <c r="B1514" s="8" t="s">
        <v>2016</v>
      </c>
      <c r="C1514" s="1">
        <f t="shared" si="380"/>
        <v>1440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381"/>
        <v>8</v>
      </c>
      <c r="G1514" s="1">
        <f t="shared" si="382"/>
        <v>53</v>
      </c>
      <c r="H1514" s="2">
        <f t="shared" si="389"/>
        <v>3.6805555555555557E-2</v>
      </c>
      <c r="I1514" s="6"/>
      <c r="J1514" s="2">
        <f t="shared" si="383"/>
        <v>0.45277777777777778</v>
      </c>
      <c r="K1514" s="2">
        <f t="shared" si="384"/>
        <v>0.41597222222222224</v>
      </c>
      <c r="L1514" s="2">
        <f t="shared" si="385"/>
        <v>1.3888888888888889E-3</v>
      </c>
      <c r="M1514" s="2">
        <f t="shared" si="386"/>
        <v>0.12986111111111115</v>
      </c>
      <c r="N1514" s="63">
        <v>652</v>
      </c>
      <c r="O1514" s="63">
        <v>599</v>
      </c>
      <c r="P1514" s="63">
        <v>2</v>
      </c>
      <c r="Q1514" s="63">
        <v>49</v>
      </c>
      <c r="R1514" s="63">
        <v>37</v>
      </c>
      <c r="S1514" s="63">
        <v>0</v>
      </c>
      <c r="T1514" s="63">
        <v>6</v>
      </c>
      <c r="U1514" s="63"/>
      <c r="V1514" s="63">
        <v>4</v>
      </c>
      <c r="W1514" s="63">
        <f t="shared" si="387"/>
        <v>91</v>
      </c>
      <c r="X1514" s="63"/>
      <c r="Y1514" s="63"/>
      <c r="Z1514" s="63"/>
      <c r="AA1514" s="63"/>
      <c r="AB1514" s="63"/>
      <c r="AT1514" t="str">
        <f t="shared" si="379"/>
        <v>Poultney</v>
      </c>
      <c r="AU1514" t="s">
        <v>589</v>
      </c>
      <c r="AV1514">
        <v>1</v>
      </c>
      <c r="AX1514" s="114">
        <v>50</v>
      </c>
      <c r="AY1514" s="116">
        <v>21</v>
      </c>
      <c r="AZ1514" s="116">
        <v>85</v>
      </c>
      <c r="BA1514" s="120">
        <v>56875</v>
      </c>
      <c r="BB1514" s="120">
        <f t="shared" si="390"/>
        <v>50021</v>
      </c>
      <c r="BC1514" s="8" t="s">
        <v>1472</v>
      </c>
      <c r="BD1514">
        <f t="shared" si="388"/>
        <v>5056875</v>
      </c>
      <c r="BE1514" s="1">
        <v>17</v>
      </c>
      <c r="BF1514" s="1">
        <v>3</v>
      </c>
      <c r="BI1514">
        <v>44.8</v>
      </c>
      <c r="BJ1514">
        <v>0.87</v>
      </c>
      <c r="BK1514">
        <v>43.92</v>
      </c>
      <c r="BP1514" s="63">
        <v>93</v>
      </c>
      <c r="BQ1514" s="63"/>
      <c r="BR1514">
        <v>83</v>
      </c>
    </row>
    <row r="1515" spans="1:70" hidden="1" outlineLevel="1">
      <c r="A1515" t="s">
        <v>2225</v>
      </c>
      <c r="B1515" s="8" t="s">
        <v>2016</v>
      </c>
      <c r="C1515" s="1">
        <f t="shared" si="380"/>
        <v>1628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381"/>
        <v>7</v>
      </c>
      <c r="G1515" s="1">
        <f t="shared" si="382"/>
        <v>80</v>
      </c>
      <c r="H1515" s="2">
        <f t="shared" si="389"/>
        <v>4.9140049140049137E-2</v>
      </c>
      <c r="I1515" s="6"/>
      <c r="J1515" s="2">
        <f t="shared" si="383"/>
        <v>0.46744471744471744</v>
      </c>
      <c r="K1515" s="2">
        <f t="shared" si="384"/>
        <v>0.41830466830466828</v>
      </c>
      <c r="L1515" s="2">
        <f t="shared" si="385"/>
        <v>6.1425061425061424E-4</v>
      </c>
      <c r="M1515" s="2">
        <f t="shared" si="386"/>
        <v>0.11363636363636372</v>
      </c>
      <c r="N1515" s="63">
        <v>761</v>
      </c>
      <c r="O1515" s="63">
        <v>681</v>
      </c>
      <c r="P1515" s="63">
        <v>1</v>
      </c>
      <c r="Q1515" s="63">
        <v>47</v>
      </c>
      <c r="R1515" s="63">
        <v>29</v>
      </c>
      <c r="S1515" s="63">
        <v>0</v>
      </c>
      <c r="T1515" s="63">
        <v>8</v>
      </c>
      <c r="U1515" s="63"/>
      <c r="V1515" s="63">
        <v>1</v>
      </c>
      <c r="W1515" s="63">
        <f t="shared" si="387"/>
        <v>100</v>
      </c>
      <c r="X1515" s="63"/>
      <c r="Y1515" s="63"/>
      <c r="Z1515" s="63"/>
      <c r="AA1515" s="63"/>
      <c r="AB1515" s="63"/>
      <c r="AT1515" t="str">
        <f t="shared" si="379"/>
        <v>Pownal</v>
      </c>
      <c r="AU1515" t="s">
        <v>951</v>
      </c>
      <c r="AV1515">
        <v>1</v>
      </c>
      <c r="AX1515" s="114">
        <v>50</v>
      </c>
      <c r="AY1515" s="116">
        <v>3</v>
      </c>
      <c r="AZ1515" s="116">
        <v>35</v>
      </c>
      <c r="BA1515" s="120">
        <v>57025</v>
      </c>
      <c r="BB1515" s="120">
        <f t="shared" si="390"/>
        <v>50003</v>
      </c>
      <c r="BC1515" s="8" t="s">
        <v>1472</v>
      </c>
      <c r="BD1515">
        <f t="shared" si="388"/>
        <v>5057025</v>
      </c>
      <c r="BE1515" s="1">
        <v>25</v>
      </c>
      <c r="BF1515" s="1">
        <v>0</v>
      </c>
      <c r="BI1515">
        <v>46.73</v>
      </c>
      <c r="BJ1515">
        <v>0.08</v>
      </c>
      <c r="BK1515">
        <v>46.65</v>
      </c>
      <c r="BP1515" s="63">
        <v>101</v>
      </c>
      <c r="BQ1515" s="63"/>
      <c r="BR1515">
        <v>87</v>
      </c>
    </row>
    <row r="1516" spans="1:70" hidden="1" outlineLevel="1">
      <c r="A1516" t="s">
        <v>2144</v>
      </c>
      <c r="B1516" s="8" t="s">
        <v>2016</v>
      </c>
      <c r="C1516" s="1">
        <f t="shared" si="380"/>
        <v>844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381"/>
        <v>7</v>
      </c>
      <c r="G1516" s="1">
        <f t="shared" si="382"/>
        <v>46</v>
      </c>
      <c r="H1516" s="2">
        <f t="shared" si="389"/>
        <v>5.4502369668246446E-2</v>
      </c>
      <c r="I1516" s="6"/>
      <c r="J1516" s="2">
        <f t="shared" si="383"/>
        <v>0.45616113744075831</v>
      </c>
      <c r="K1516" s="2">
        <f t="shared" si="384"/>
        <v>0.40165876777251186</v>
      </c>
      <c r="L1516" s="2">
        <f t="shared" si="385"/>
        <v>5.9241706161137437E-3</v>
      </c>
      <c r="M1516" s="2">
        <f t="shared" si="386"/>
        <v>0.13625592417061602</v>
      </c>
      <c r="N1516" s="63">
        <v>385</v>
      </c>
      <c r="O1516" s="63">
        <v>339</v>
      </c>
      <c r="P1516" s="63">
        <v>5</v>
      </c>
      <c r="Q1516" s="63">
        <v>34</v>
      </c>
      <c r="R1516" s="63">
        <v>12</v>
      </c>
      <c r="S1516" s="63">
        <v>0</v>
      </c>
      <c r="T1516" s="63">
        <v>8</v>
      </c>
      <c r="U1516" s="63"/>
      <c r="V1516" s="63">
        <v>1</v>
      </c>
      <c r="W1516" s="63">
        <f t="shared" si="387"/>
        <v>60</v>
      </c>
      <c r="X1516" s="63"/>
      <c r="Y1516" s="63"/>
      <c r="Z1516" s="63"/>
      <c r="AA1516" s="63"/>
      <c r="AB1516" s="63"/>
      <c r="AT1516" t="str">
        <f t="shared" si="379"/>
        <v>Proctor</v>
      </c>
      <c r="AU1516" t="s">
        <v>589</v>
      </c>
      <c r="AV1516">
        <v>1</v>
      </c>
      <c r="AX1516" s="114">
        <v>50</v>
      </c>
      <c r="AY1516" s="116">
        <v>21</v>
      </c>
      <c r="AZ1516" s="116">
        <v>90</v>
      </c>
      <c r="BA1516" s="120">
        <v>57250</v>
      </c>
      <c r="BB1516" s="120">
        <f t="shared" si="390"/>
        <v>50021</v>
      </c>
      <c r="BC1516" s="8" t="s">
        <v>1472</v>
      </c>
      <c r="BD1516">
        <f t="shared" si="388"/>
        <v>5057250</v>
      </c>
      <c r="BE1516" s="1">
        <v>17</v>
      </c>
      <c r="BF1516" s="1">
        <v>0</v>
      </c>
      <c r="BI1516">
        <v>7.6</v>
      </c>
      <c r="BJ1516">
        <v>0.03</v>
      </c>
      <c r="BK1516">
        <v>7.56</v>
      </c>
      <c r="BP1516" s="63">
        <v>65</v>
      </c>
      <c r="BQ1516" s="63"/>
      <c r="BR1516">
        <v>55</v>
      </c>
    </row>
    <row r="1517" spans="1:70" hidden="1" outlineLevel="1">
      <c r="A1517" t="s">
        <v>651</v>
      </c>
      <c r="B1517" s="8" t="s">
        <v>2016</v>
      </c>
      <c r="C1517" s="1">
        <f t="shared" si="380"/>
        <v>1311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381"/>
        <v>0</v>
      </c>
      <c r="G1517" s="1">
        <f t="shared" si="382"/>
        <v>817</v>
      </c>
      <c r="H1517" s="2">
        <f t="shared" si="389"/>
        <v>0.62318840579710144</v>
      </c>
      <c r="I1517" s="6"/>
      <c r="J1517" s="2">
        <f t="shared" si="383"/>
        <v>0.75667429443173151</v>
      </c>
      <c r="K1517" s="2">
        <f t="shared" si="384"/>
        <v>0.13348588863463004</v>
      </c>
      <c r="L1517" s="2">
        <f t="shared" si="385"/>
        <v>0</v>
      </c>
      <c r="M1517" s="2">
        <f t="shared" si="386"/>
        <v>0.10983981693363845</v>
      </c>
      <c r="N1517" s="63">
        <v>992</v>
      </c>
      <c r="O1517" s="63">
        <v>175</v>
      </c>
      <c r="P1517" s="63">
        <v>0</v>
      </c>
      <c r="Q1517" s="63">
        <v>32</v>
      </c>
      <c r="R1517" s="63">
        <v>40</v>
      </c>
      <c r="S1517" s="63">
        <v>0</v>
      </c>
      <c r="T1517" s="63">
        <v>0</v>
      </c>
      <c r="U1517" s="63"/>
      <c r="V1517" s="63">
        <v>1</v>
      </c>
      <c r="W1517" s="63">
        <f t="shared" si="387"/>
        <v>71</v>
      </c>
      <c r="X1517" s="63"/>
      <c r="Y1517" s="63"/>
      <c r="Z1517" s="63"/>
      <c r="AA1517" s="63"/>
      <c r="AB1517" s="63"/>
      <c r="AT1517" t="str">
        <f t="shared" si="379"/>
        <v>Putney</v>
      </c>
      <c r="AU1517" t="s">
        <v>2129</v>
      </c>
      <c r="AV1517">
        <v>1</v>
      </c>
      <c r="AX1517" s="114">
        <v>50</v>
      </c>
      <c r="AY1517" s="116">
        <v>25</v>
      </c>
      <c r="AZ1517" s="116">
        <v>65</v>
      </c>
      <c r="BA1517" s="120">
        <v>57700</v>
      </c>
      <c r="BB1517" s="120">
        <f t="shared" si="390"/>
        <v>50025</v>
      </c>
      <c r="BC1517" s="8" t="s">
        <v>1472</v>
      </c>
      <c r="BD1517">
        <f t="shared" si="388"/>
        <v>5057700</v>
      </c>
      <c r="BE1517" s="1">
        <v>17</v>
      </c>
      <c r="BF1517" s="1">
        <v>1</v>
      </c>
      <c r="BI1517">
        <v>26.81</v>
      </c>
      <c r="BJ1517">
        <v>0.01</v>
      </c>
      <c r="BK1517">
        <v>26.8</v>
      </c>
      <c r="BP1517" s="63">
        <v>71</v>
      </c>
      <c r="BQ1517" s="63"/>
      <c r="BR1517">
        <v>63</v>
      </c>
    </row>
    <row r="1518" spans="1:70" hidden="1" outlineLevel="1">
      <c r="A1518" t="s">
        <v>1460</v>
      </c>
      <c r="B1518" s="8" t="s">
        <v>2016</v>
      </c>
      <c r="C1518" s="1">
        <f t="shared" si="380"/>
        <v>2254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381"/>
        <v>7</v>
      </c>
      <c r="G1518" s="1">
        <f t="shared" si="382"/>
        <v>423</v>
      </c>
      <c r="H1518" s="2">
        <f t="shared" si="389"/>
        <v>0.18766637089618457</v>
      </c>
      <c r="I1518" s="6"/>
      <c r="J1518" s="2">
        <f t="shared" si="383"/>
        <v>0.51464063886424138</v>
      </c>
      <c r="K1518" s="2">
        <f t="shared" si="384"/>
        <v>0.32697426796805679</v>
      </c>
      <c r="L1518" s="2">
        <f t="shared" si="385"/>
        <v>3.5492457852706301E-3</v>
      </c>
      <c r="M1518" s="2">
        <f t="shared" si="386"/>
        <v>0.1548358473824312</v>
      </c>
      <c r="N1518" s="63">
        <v>1160</v>
      </c>
      <c r="O1518" s="63">
        <v>737</v>
      </c>
      <c r="P1518" s="63">
        <v>8</v>
      </c>
      <c r="Q1518" s="63">
        <v>78</v>
      </c>
      <c r="R1518" s="63">
        <v>67</v>
      </c>
      <c r="S1518" s="63">
        <v>0</v>
      </c>
      <c r="T1518" s="63">
        <v>11</v>
      </c>
      <c r="U1518" s="63"/>
      <c r="V1518" s="63">
        <v>2</v>
      </c>
      <c r="W1518" s="63">
        <f t="shared" si="387"/>
        <v>191</v>
      </c>
      <c r="X1518" s="63"/>
      <c r="Y1518" s="63"/>
      <c r="Z1518" s="63"/>
      <c r="AA1518" s="63"/>
      <c r="AB1518" s="63"/>
      <c r="AT1518" t="str">
        <f t="shared" si="379"/>
        <v>Randolph</v>
      </c>
      <c r="AU1518" t="s">
        <v>2013</v>
      </c>
      <c r="AV1518">
        <v>1</v>
      </c>
      <c r="AX1518" s="114">
        <v>50</v>
      </c>
      <c r="AY1518" s="116">
        <v>17</v>
      </c>
      <c r="AZ1518" s="116">
        <v>45</v>
      </c>
      <c r="BA1518" s="120">
        <v>58075</v>
      </c>
      <c r="BB1518" s="120">
        <f t="shared" si="390"/>
        <v>50017</v>
      </c>
      <c r="BC1518" s="8" t="s">
        <v>1472</v>
      </c>
      <c r="BD1518">
        <f t="shared" si="388"/>
        <v>5058075</v>
      </c>
      <c r="BE1518" s="1">
        <v>34</v>
      </c>
      <c r="BF1518" s="1">
        <v>9</v>
      </c>
      <c r="BI1518">
        <v>47.9</v>
      </c>
      <c r="BJ1518">
        <v>0.04</v>
      </c>
      <c r="BK1518">
        <v>47.86</v>
      </c>
      <c r="BP1518" s="63">
        <v>199</v>
      </c>
      <c r="BQ1518" s="63"/>
      <c r="BR1518">
        <v>170</v>
      </c>
    </row>
    <row r="1519" spans="1:70" hidden="1" outlineLevel="1">
      <c r="A1519" t="s">
        <v>1165</v>
      </c>
      <c r="B1519" s="8" t="s">
        <v>2016</v>
      </c>
      <c r="C1519" s="1">
        <f t="shared" si="380"/>
        <v>373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381"/>
        <v>0</v>
      </c>
      <c r="G1519" s="1">
        <f t="shared" si="382"/>
        <v>123</v>
      </c>
      <c r="H1519" s="2">
        <f t="shared" si="389"/>
        <v>0.32975871313672922</v>
      </c>
      <c r="I1519" s="6"/>
      <c r="J1519" s="2">
        <f t="shared" si="383"/>
        <v>0.61930294906166217</v>
      </c>
      <c r="K1519" s="2">
        <f t="shared" si="384"/>
        <v>0.289544235924933</v>
      </c>
      <c r="L1519" s="2">
        <f t="shared" si="385"/>
        <v>0</v>
      </c>
      <c r="M1519" s="2">
        <f t="shared" si="386"/>
        <v>9.1152815013404831E-2</v>
      </c>
      <c r="N1519" s="63">
        <v>231</v>
      </c>
      <c r="O1519" s="63">
        <v>108</v>
      </c>
      <c r="P1519" s="63">
        <v>0</v>
      </c>
      <c r="Q1519" s="63">
        <v>11</v>
      </c>
      <c r="R1519" s="63">
        <v>7</v>
      </c>
      <c r="S1519" s="63">
        <v>0</v>
      </c>
      <c r="T1519" s="63">
        <v>0</v>
      </c>
      <c r="U1519" s="63"/>
      <c r="V1519" s="63">
        <v>0</v>
      </c>
      <c r="W1519" s="63">
        <f t="shared" si="387"/>
        <v>16</v>
      </c>
      <c r="X1519" s="63"/>
      <c r="Y1519" s="63"/>
      <c r="Z1519" s="63"/>
      <c r="AA1519" s="63"/>
      <c r="AB1519" s="63"/>
      <c r="AT1519" t="str">
        <f t="shared" si="379"/>
        <v>Reading</v>
      </c>
      <c r="AU1519" t="s">
        <v>2282</v>
      </c>
      <c r="AV1519">
        <v>1</v>
      </c>
      <c r="AX1519" s="114">
        <v>50</v>
      </c>
      <c r="AY1519" s="116">
        <v>27</v>
      </c>
      <c r="AZ1519" s="116">
        <v>70</v>
      </c>
      <c r="BA1519" s="120">
        <v>58375</v>
      </c>
      <c r="BB1519" s="120">
        <f t="shared" si="390"/>
        <v>50027</v>
      </c>
      <c r="BC1519" s="8" t="s">
        <v>1472</v>
      </c>
      <c r="BD1519">
        <f t="shared" si="388"/>
        <v>5058375</v>
      </c>
      <c r="BE1519" s="1">
        <v>3</v>
      </c>
      <c r="BF1519" s="1">
        <v>6</v>
      </c>
      <c r="BI1519">
        <v>41.66</v>
      </c>
      <c r="BJ1519">
        <v>0.17</v>
      </c>
      <c r="BK1519">
        <v>41.5</v>
      </c>
      <c r="BP1519" s="63">
        <v>16</v>
      </c>
      <c r="BQ1519" s="63"/>
      <c r="BR1519">
        <v>15</v>
      </c>
    </row>
    <row r="1520" spans="1:70" hidden="1" outlineLevel="1">
      <c r="A1520" t="s">
        <v>683</v>
      </c>
      <c r="B1520" s="8" t="s">
        <v>2016</v>
      </c>
      <c r="C1520" s="1">
        <f t="shared" si="380"/>
        <v>379</v>
      </c>
      <c r="D1520" s="5">
        <f>IF(N1520&gt;0, RANK(N1520,(N1520:P1520,Q1520:AE1520)),0)</f>
        <v>2</v>
      </c>
      <c r="E1520" s="5">
        <f>IF(O1520&gt;0,RANK(O1520,(N1520:P1520,Q1520:AE1520)),0)</f>
        <v>1</v>
      </c>
      <c r="F1520" s="5">
        <f t="shared" si="381"/>
        <v>6</v>
      </c>
      <c r="G1520" s="1">
        <f t="shared" si="382"/>
        <v>7</v>
      </c>
      <c r="H1520" s="2">
        <f t="shared" si="389"/>
        <v>1.8469656992084433E-2</v>
      </c>
      <c r="I1520" s="6"/>
      <c r="J1520" s="2">
        <f t="shared" si="383"/>
        <v>0.43799472295514513</v>
      </c>
      <c r="K1520" s="2">
        <f t="shared" si="384"/>
        <v>0.45646437994722955</v>
      </c>
      <c r="L1520" s="2">
        <f t="shared" si="385"/>
        <v>2.6385224274406332E-3</v>
      </c>
      <c r="M1520" s="2">
        <f t="shared" si="386"/>
        <v>0.10290237467018475</v>
      </c>
      <c r="N1520" s="63">
        <v>166</v>
      </c>
      <c r="O1520" s="63">
        <v>173</v>
      </c>
      <c r="P1520" s="63">
        <v>1</v>
      </c>
      <c r="Q1520" s="63">
        <v>7</v>
      </c>
      <c r="R1520" s="63">
        <v>7</v>
      </c>
      <c r="S1520" s="63">
        <v>0</v>
      </c>
      <c r="T1520" s="63">
        <v>1</v>
      </c>
      <c r="U1520" s="63"/>
      <c r="V1520" s="63">
        <v>1</v>
      </c>
      <c r="W1520" s="63">
        <f t="shared" si="387"/>
        <v>23</v>
      </c>
      <c r="X1520" s="63"/>
      <c r="Y1520" s="63"/>
      <c r="Z1520" s="63"/>
      <c r="AA1520" s="63"/>
      <c r="AB1520" s="63"/>
      <c r="AT1520" t="str">
        <f t="shared" si="379"/>
        <v>Readsboro</v>
      </c>
      <c r="AU1520" t="s">
        <v>951</v>
      </c>
      <c r="AV1520">
        <v>1</v>
      </c>
      <c r="AX1520" s="114">
        <v>50</v>
      </c>
      <c r="AY1520" s="116">
        <v>3</v>
      </c>
      <c r="AZ1520" s="116">
        <v>40</v>
      </c>
      <c r="BA1520" s="120">
        <v>58600</v>
      </c>
      <c r="BB1520" s="120">
        <f t="shared" si="390"/>
        <v>50003</v>
      </c>
      <c r="BC1520" s="8" t="s">
        <v>1472</v>
      </c>
      <c r="BD1520">
        <f t="shared" si="388"/>
        <v>5058600</v>
      </c>
      <c r="BE1520" s="1">
        <v>7</v>
      </c>
      <c r="BF1520" s="1">
        <v>1</v>
      </c>
      <c r="BI1520">
        <v>36.47</v>
      </c>
      <c r="BJ1520">
        <v>0.1</v>
      </c>
      <c r="BK1520">
        <v>36.369999999999997</v>
      </c>
      <c r="BP1520" s="63">
        <v>24</v>
      </c>
      <c r="BQ1520" s="63"/>
      <c r="BR1520">
        <v>22</v>
      </c>
    </row>
    <row r="1521" spans="1:70" hidden="1" outlineLevel="1">
      <c r="A1521" t="s">
        <v>2694</v>
      </c>
      <c r="B1521" s="8" t="s">
        <v>2016</v>
      </c>
      <c r="C1521" s="1">
        <f t="shared" si="380"/>
        <v>827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 t="shared" si="381"/>
        <v>7</v>
      </c>
      <c r="G1521" s="1">
        <f t="shared" si="382"/>
        <v>64</v>
      </c>
      <c r="H1521" s="2">
        <f t="shared" si="389"/>
        <v>7.7388149939540504E-2</v>
      </c>
      <c r="I1521" s="6"/>
      <c r="J1521" s="2">
        <f t="shared" si="383"/>
        <v>0.39177750906892383</v>
      </c>
      <c r="K1521" s="2">
        <f t="shared" si="384"/>
        <v>0.46916565900846435</v>
      </c>
      <c r="L1521" s="2">
        <f t="shared" si="385"/>
        <v>1.2091898428053204E-3</v>
      </c>
      <c r="M1521" s="2">
        <f t="shared" si="386"/>
        <v>0.13784764207980649</v>
      </c>
      <c r="N1521" s="63">
        <v>324</v>
      </c>
      <c r="O1521" s="63">
        <v>388</v>
      </c>
      <c r="P1521" s="63">
        <v>1</v>
      </c>
      <c r="Q1521" s="63">
        <v>21</v>
      </c>
      <c r="R1521" s="63">
        <v>15</v>
      </c>
      <c r="S1521" s="63">
        <v>0</v>
      </c>
      <c r="T1521" s="63">
        <v>3</v>
      </c>
      <c r="U1521" s="63"/>
      <c r="V1521" s="63">
        <v>0</v>
      </c>
      <c r="W1521" s="63">
        <f t="shared" si="387"/>
        <v>75</v>
      </c>
      <c r="X1521" s="63"/>
      <c r="Y1521" s="63"/>
      <c r="Z1521" s="63"/>
      <c r="AA1521" s="63"/>
      <c r="AB1521" s="63"/>
      <c r="AT1521" t="str">
        <f t="shared" si="379"/>
        <v>Richford</v>
      </c>
      <c r="AU1521" t="s">
        <v>1138</v>
      </c>
      <c r="AV1521">
        <v>1</v>
      </c>
      <c r="AX1521" s="114">
        <v>50</v>
      </c>
      <c r="AY1521" s="116">
        <v>11</v>
      </c>
      <c r="AZ1521" s="116">
        <v>60</v>
      </c>
      <c r="BA1521" s="120">
        <v>59125</v>
      </c>
      <c r="BB1521" s="120">
        <f t="shared" si="390"/>
        <v>50011</v>
      </c>
      <c r="BC1521" s="8" t="s">
        <v>1472</v>
      </c>
      <c r="BD1521">
        <f t="shared" si="388"/>
        <v>5059125</v>
      </c>
      <c r="BE1521" s="1">
        <v>16</v>
      </c>
      <c r="BF1521" s="1">
        <v>3</v>
      </c>
      <c r="BI1521">
        <v>43.28</v>
      </c>
      <c r="BJ1521">
        <v>0.02</v>
      </c>
      <c r="BK1521">
        <v>43.25</v>
      </c>
      <c r="BP1521" s="63">
        <v>76</v>
      </c>
      <c r="BQ1521" s="63"/>
      <c r="BR1521">
        <v>71</v>
      </c>
    </row>
    <row r="1522" spans="1:70" hidden="1" outlineLevel="1">
      <c r="A1522" t="s">
        <v>1881</v>
      </c>
      <c r="B1522" s="8" t="s">
        <v>2016</v>
      </c>
      <c r="C1522" s="1">
        <f t="shared" si="380"/>
        <v>2524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381"/>
        <v>6</v>
      </c>
      <c r="G1522" s="1">
        <f t="shared" si="382"/>
        <v>1179</v>
      </c>
      <c r="H1522" s="2">
        <f t="shared" si="389"/>
        <v>0.46711568938193343</v>
      </c>
      <c r="I1522" s="6"/>
      <c r="J1522" s="2">
        <f t="shared" si="383"/>
        <v>0.67115689381933441</v>
      </c>
      <c r="K1522" s="2">
        <f t="shared" si="384"/>
        <v>0.20404120443740095</v>
      </c>
      <c r="L1522" s="2">
        <f t="shared" si="385"/>
        <v>3.5657686212361333E-3</v>
      </c>
      <c r="M1522" s="2">
        <f t="shared" si="386"/>
        <v>0.12123613312202851</v>
      </c>
      <c r="N1522" s="63">
        <v>1694</v>
      </c>
      <c r="O1522" s="63">
        <v>515</v>
      </c>
      <c r="P1522" s="63">
        <v>9</v>
      </c>
      <c r="Q1522" s="63">
        <v>100</v>
      </c>
      <c r="R1522" s="63">
        <v>49</v>
      </c>
      <c r="S1522" s="63">
        <v>0</v>
      </c>
      <c r="T1522" s="63">
        <v>9</v>
      </c>
      <c r="U1522" s="63"/>
      <c r="V1522" s="63">
        <v>5</v>
      </c>
      <c r="W1522" s="63">
        <f t="shared" si="387"/>
        <v>143</v>
      </c>
      <c r="X1522" s="63"/>
      <c r="Y1522" s="63"/>
      <c r="Z1522" s="63"/>
      <c r="AA1522" s="63"/>
      <c r="AB1522" s="63"/>
      <c r="AT1522" t="str">
        <f t="shared" si="379"/>
        <v>Richmond</v>
      </c>
      <c r="AU1522" t="s">
        <v>3175</v>
      </c>
      <c r="AV1522">
        <v>1</v>
      </c>
      <c r="AX1522" s="114">
        <v>50</v>
      </c>
      <c r="AY1522" s="116">
        <v>7</v>
      </c>
      <c r="AZ1522" s="116">
        <v>55</v>
      </c>
      <c r="BA1522" s="120">
        <v>59275</v>
      </c>
      <c r="BB1522" s="120">
        <f t="shared" si="390"/>
        <v>50007</v>
      </c>
      <c r="BC1522" s="8" t="s">
        <v>1472</v>
      </c>
      <c r="BD1522">
        <f t="shared" si="388"/>
        <v>5059275</v>
      </c>
      <c r="BE1522" s="1">
        <v>39</v>
      </c>
      <c r="BF1522" s="1">
        <v>1</v>
      </c>
      <c r="BI1522">
        <v>32.33</v>
      </c>
      <c r="BJ1522">
        <v>0.49</v>
      </c>
      <c r="BK1522">
        <v>31.84</v>
      </c>
      <c r="BP1522" s="63">
        <v>152</v>
      </c>
      <c r="BQ1522" s="63"/>
      <c r="BR1522">
        <v>113</v>
      </c>
    </row>
    <row r="1523" spans="1:70" hidden="1" outlineLevel="1">
      <c r="A1523" t="s">
        <v>1710</v>
      </c>
      <c r="B1523" s="8" t="s">
        <v>2016</v>
      </c>
      <c r="C1523" s="1">
        <f t="shared" si="380"/>
        <v>335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381"/>
        <v>0</v>
      </c>
      <c r="G1523" s="1">
        <f t="shared" si="382"/>
        <v>170</v>
      </c>
      <c r="H1523" s="2">
        <f t="shared" si="389"/>
        <v>0.5074626865671642</v>
      </c>
      <c r="I1523" s="6"/>
      <c r="J1523" s="2">
        <f t="shared" si="383"/>
        <v>0.68059701492537317</v>
      </c>
      <c r="K1523" s="2">
        <f t="shared" si="384"/>
        <v>0.17313432835820897</v>
      </c>
      <c r="L1523" s="2">
        <f t="shared" si="385"/>
        <v>0</v>
      </c>
      <c r="M1523" s="2">
        <f t="shared" si="386"/>
        <v>0.14626865671641787</v>
      </c>
      <c r="N1523" s="63">
        <v>228</v>
      </c>
      <c r="O1523" s="63">
        <v>58</v>
      </c>
      <c r="P1523" s="63">
        <v>0</v>
      </c>
      <c r="Q1523" s="63">
        <v>5</v>
      </c>
      <c r="R1523" s="63">
        <v>13</v>
      </c>
      <c r="S1523" s="63">
        <v>0</v>
      </c>
      <c r="T1523" s="63">
        <v>1</v>
      </c>
      <c r="U1523" s="63"/>
      <c r="V1523" s="63">
        <v>0</v>
      </c>
      <c r="W1523" s="63">
        <f t="shared" si="387"/>
        <v>30</v>
      </c>
      <c r="X1523" s="63"/>
      <c r="Y1523" s="63"/>
      <c r="Z1523" s="63"/>
      <c r="AA1523" s="63"/>
      <c r="AB1523" s="63"/>
      <c r="AT1523" t="str">
        <f t="shared" si="379"/>
        <v>Ripton</v>
      </c>
      <c r="AU1523" t="s">
        <v>1346</v>
      </c>
      <c r="AV1523">
        <v>1</v>
      </c>
      <c r="AX1523" s="114">
        <v>50</v>
      </c>
      <c r="AY1523" s="116">
        <v>1</v>
      </c>
      <c r="AZ1523" s="116">
        <v>80</v>
      </c>
      <c r="BA1523" s="120">
        <v>59650</v>
      </c>
      <c r="BB1523" s="120">
        <f t="shared" si="390"/>
        <v>50001</v>
      </c>
      <c r="BC1523" s="8" t="s">
        <v>1472</v>
      </c>
      <c r="BD1523">
        <f t="shared" si="388"/>
        <v>5059650</v>
      </c>
      <c r="BE1523" s="1">
        <v>2</v>
      </c>
      <c r="BF1523" s="1">
        <v>0</v>
      </c>
      <c r="BI1523">
        <v>49.53</v>
      </c>
      <c r="BJ1523">
        <v>0.01</v>
      </c>
      <c r="BK1523">
        <v>49.52</v>
      </c>
      <c r="BP1523" s="63">
        <v>30</v>
      </c>
      <c r="BQ1523" s="63"/>
      <c r="BR1523">
        <v>29</v>
      </c>
    </row>
    <row r="1524" spans="1:70" hidden="1" outlineLevel="1">
      <c r="A1524" t="s">
        <v>1706</v>
      </c>
      <c r="B1524" s="8" t="s">
        <v>2016</v>
      </c>
      <c r="C1524" s="1">
        <f t="shared" si="380"/>
        <v>643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381"/>
        <v>6</v>
      </c>
      <c r="G1524" s="1">
        <f t="shared" si="382"/>
        <v>231</v>
      </c>
      <c r="H1524" s="2">
        <f t="shared" si="389"/>
        <v>0.35925349922239502</v>
      </c>
      <c r="I1524" s="6"/>
      <c r="J1524" s="2">
        <f t="shared" si="383"/>
        <v>0.61119751166407466</v>
      </c>
      <c r="K1524" s="2">
        <f t="shared" si="384"/>
        <v>0.25194401244167963</v>
      </c>
      <c r="L1524" s="2">
        <f t="shared" si="385"/>
        <v>1.5552099533437014E-3</v>
      </c>
      <c r="M1524" s="2">
        <f t="shared" si="386"/>
        <v>0.135303265940902</v>
      </c>
      <c r="N1524" s="63">
        <v>393</v>
      </c>
      <c r="O1524" s="63">
        <v>162</v>
      </c>
      <c r="P1524" s="63">
        <v>1</v>
      </c>
      <c r="Q1524" s="63">
        <v>17</v>
      </c>
      <c r="R1524" s="63">
        <v>17</v>
      </c>
      <c r="S1524" s="63">
        <v>0</v>
      </c>
      <c r="T1524" s="63">
        <v>1</v>
      </c>
      <c r="U1524" s="63"/>
      <c r="V1524" s="63">
        <v>0</v>
      </c>
      <c r="W1524" s="63">
        <f t="shared" si="387"/>
        <v>52</v>
      </c>
      <c r="X1524" s="63"/>
      <c r="Y1524" s="63"/>
      <c r="Z1524" s="63"/>
      <c r="AA1524" s="63"/>
      <c r="AB1524" s="63"/>
      <c r="AT1524" t="str">
        <f t="shared" si="379"/>
        <v>Rochester</v>
      </c>
      <c r="AU1524" t="s">
        <v>2282</v>
      </c>
      <c r="AV1524">
        <v>1</v>
      </c>
      <c r="AX1524" s="114">
        <v>50</v>
      </c>
      <c r="AY1524" s="116">
        <v>27</v>
      </c>
      <c r="AZ1524" s="116">
        <v>75</v>
      </c>
      <c r="BA1524" s="120">
        <v>60100</v>
      </c>
      <c r="BB1524" s="120">
        <f t="shared" si="390"/>
        <v>50027</v>
      </c>
      <c r="BC1524" s="8" t="s">
        <v>1472</v>
      </c>
      <c r="BD1524">
        <f t="shared" si="388"/>
        <v>5060100</v>
      </c>
      <c r="BE1524" s="1">
        <v>11</v>
      </c>
      <c r="BF1524" s="1">
        <v>1</v>
      </c>
      <c r="BI1524">
        <v>56.22</v>
      </c>
      <c r="BJ1524">
        <v>0.05</v>
      </c>
      <c r="BK1524">
        <v>56.17</v>
      </c>
      <c r="BP1524" s="63">
        <v>53</v>
      </c>
      <c r="BQ1524" s="63"/>
      <c r="BR1524">
        <v>50</v>
      </c>
    </row>
    <row r="1525" spans="1:70" hidden="1" outlineLevel="1">
      <c r="A1525" t="s">
        <v>2971</v>
      </c>
      <c r="B1525" s="8" t="s">
        <v>2016</v>
      </c>
      <c r="C1525" s="1">
        <f t="shared" si="380"/>
        <v>2155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381"/>
        <v>0</v>
      </c>
      <c r="G1525" s="1">
        <f t="shared" si="382"/>
        <v>739</v>
      </c>
      <c r="H1525" s="2">
        <f t="shared" si="389"/>
        <v>0.34292343387470997</v>
      </c>
      <c r="I1525" s="6"/>
      <c r="J1525" s="2">
        <f t="shared" si="383"/>
        <v>0.61020881670533644</v>
      </c>
      <c r="K1525" s="2">
        <f t="shared" si="384"/>
        <v>0.26728538283062647</v>
      </c>
      <c r="L1525" s="2">
        <f t="shared" si="385"/>
        <v>0</v>
      </c>
      <c r="M1525" s="2">
        <f t="shared" si="386"/>
        <v>0.12250580046403708</v>
      </c>
      <c r="N1525" s="63">
        <v>1315</v>
      </c>
      <c r="O1525" s="63">
        <v>576</v>
      </c>
      <c r="P1525" s="63">
        <v>0</v>
      </c>
      <c r="Q1525" s="63">
        <v>75</v>
      </c>
      <c r="R1525" s="63">
        <v>46</v>
      </c>
      <c r="S1525" s="63">
        <v>0</v>
      </c>
      <c r="T1525" s="63">
        <v>9</v>
      </c>
      <c r="U1525" s="63"/>
      <c r="V1525" s="63">
        <v>1</v>
      </c>
      <c r="W1525" s="63">
        <f t="shared" si="387"/>
        <v>133</v>
      </c>
      <c r="X1525" s="63"/>
      <c r="Y1525" s="63"/>
      <c r="Z1525" s="63"/>
      <c r="AA1525" s="63"/>
      <c r="AB1525" s="63"/>
      <c r="AT1525" t="str">
        <f t="shared" si="379"/>
        <v>Rockingham</v>
      </c>
      <c r="AU1525" t="s">
        <v>2129</v>
      </c>
      <c r="AV1525">
        <v>1</v>
      </c>
      <c r="AX1525" s="114">
        <v>50</v>
      </c>
      <c r="AY1525" s="116">
        <v>25</v>
      </c>
      <c r="AZ1525" s="116">
        <v>70</v>
      </c>
      <c r="BA1525" s="120">
        <v>60250</v>
      </c>
      <c r="BB1525" s="120">
        <f t="shared" si="390"/>
        <v>50025</v>
      </c>
      <c r="BC1525" s="8" t="s">
        <v>1472</v>
      </c>
      <c r="BD1525">
        <f t="shared" si="388"/>
        <v>5060250</v>
      </c>
      <c r="BE1525" s="1">
        <v>23</v>
      </c>
      <c r="BF1525" s="1">
        <v>2</v>
      </c>
      <c r="BI1525">
        <v>42.31</v>
      </c>
      <c r="BJ1525">
        <v>0.41</v>
      </c>
      <c r="BK1525">
        <v>41.9</v>
      </c>
      <c r="BP1525" s="63">
        <v>133</v>
      </c>
      <c r="BQ1525" s="63"/>
      <c r="BR1525">
        <v>118</v>
      </c>
    </row>
    <row r="1526" spans="1:70" hidden="1" outlineLevel="1">
      <c r="A1526" t="s">
        <v>2718</v>
      </c>
      <c r="B1526" s="8" t="s">
        <v>2016</v>
      </c>
      <c r="C1526" s="1">
        <f t="shared" si="380"/>
        <v>375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381"/>
        <v>7</v>
      </c>
      <c r="G1526" s="1">
        <f t="shared" si="382"/>
        <v>68</v>
      </c>
      <c r="H1526" s="2">
        <f t="shared" si="389"/>
        <v>0.18133333333333335</v>
      </c>
      <c r="I1526" s="6"/>
      <c r="J1526" s="2">
        <f t="shared" si="383"/>
        <v>0.496</v>
      </c>
      <c r="K1526" s="2">
        <f t="shared" si="384"/>
        <v>0.31466666666666665</v>
      </c>
      <c r="L1526" s="2">
        <f t="shared" si="385"/>
        <v>2.6666666666666666E-3</v>
      </c>
      <c r="M1526" s="2">
        <f t="shared" si="386"/>
        <v>0.18666666666666668</v>
      </c>
      <c r="N1526" s="63">
        <v>186</v>
      </c>
      <c r="O1526" s="63">
        <v>118</v>
      </c>
      <c r="P1526" s="63">
        <v>1</v>
      </c>
      <c r="Q1526" s="63">
        <v>21</v>
      </c>
      <c r="R1526" s="63">
        <v>14</v>
      </c>
      <c r="S1526" s="63">
        <v>2</v>
      </c>
      <c r="T1526" s="63">
        <v>1</v>
      </c>
      <c r="U1526" s="63"/>
      <c r="V1526" s="63">
        <v>0</v>
      </c>
      <c r="W1526" s="63">
        <f t="shared" si="387"/>
        <v>32</v>
      </c>
      <c r="X1526" s="63"/>
      <c r="Y1526" s="63"/>
      <c r="Z1526" s="63"/>
      <c r="AA1526" s="63"/>
      <c r="AB1526" s="63"/>
      <c r="AT1526" t="str">
        <f t="shared" si="379"/>
        <v>Roxbury</v>
      </c>
      <c r="AU1526" t="s">
        <v>692</v>
      </c>
      <c r="AV1526">
        <v>1</v>
      </c>
      <c r="AX1526" s="114">
        <v>50</v>
      </c>
      <c r="AY1526" s="116">
        <v>23</v>
      </c>
      <c r="AZ1526" s="116">
        <v>75</v>
      </c>
      <c r="BA1526" s="120">
        <v>60625</v>
      </c>
      <c r="BB1526" s="120">
        <f t="shared" si="390"/>
        <v>50023</v>
      </c>
      <c r="BC1526" s="8" t="s">
        <v>1472</v>
      </c>
      <c r="BD1526">
        <f t="shared" si="388"/>
        <v>5060625</v>
      </c>
      <c r="BE1526" s="1">
        <v>10</v>
      </c>
      <c r="BF1526" s="1">
        <v>0</v>
      </c>
      <c r="BI1526">
        <v>41.83</v>
      </c>
      <c r="BJ1526">
        <v>0.04</v>
      </c>
      <c r="BK1526">
        <v>41.79</v>
      </c>
      <c r="BP1526" s="63">
        <v>35</v>
      </c>
      <c r="BQ1526" s="63"/>
      <c r="BR1526">
        <v>28</v>
      </c>
    </row>
    <row r="1527" spans="1:70" hidden="1" outlineLevel="1">
      <c r="A1527" t="s">
        <v>2590</v>
      </c>
      <c r="B1527" s="8" t="s">
        <v>2016</v>
      </c>
      <c r="C1527" s="1">
        <f t="shared" si="380"/>
        <v>1317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381"/>
        <v>8</v>
      </c>
      <c r="G1527" s="1">
        <f t="shared" si="382"/>
        <v>292</v>
      </c>
      <c r="H1527" s="2">
        <f t="shared" si="389"/>
        <v>0.2217160212604404</v>
      </c>
      <c r="I1527" s="6"/>
      <c r="J1527" s="2">
        <f t="shared" si="383"/>
        <v>0.52999240698557326</v>
      </c>
      <c r="K1527" s="2">
        <f t="shared" si="384"/>
        <v>0.30827638572513288</v>
      </c>
      <c r="L1527" s="2">
        <f t="shared" si="385"/>
        <v>1.5186028853454822E-3</v>
      </c>
      <c r="M1527" s="2">
        <f t="shared" si="386"/>
        <v>0.16021260440394838</v>
      </c>
      <c r="N1527" s="63">
        <v>698</v>
      </c>
      <c r="O1527" s="63">
        <v>406</v>
      </c>
      <c r="P1527" s="63">
        <v>2</v>
      </c>
      <c r="Q1527" s="63">
        <v>46</v>
      </c>
      <c r="R1527" s="63">
        <v>31</v>
      </c>
      <c r="S1527" s="63">
        <v>0</v>
      </c>
      <c r="T1527" s="63">
        <v>4</v>
      </c>
      <c r="U1527" s="63"/>
      <c r="V1527" s="63">
        <v>3</v>
      </c>
      <c r="W1527" s="63">
        <f t="shared" si="387"/>
        <v>126</v>
      </c>
      <c r="X1527" s="63"/>
      <c r="Y1527" s="63"/>
      <c r="Z1527" s="63"/>
      <c r="AA1527" s="63"/>
      <c r="AB1527" s="63"/>
      <c r="AN1527">
        <v>1</v>
      </c>
      <c r="AT1527" t="str">
        <f t="shared" si="379"/>
        <v>Royalton</v>
      </c>
      <c r="AU1527" t="s">
        <v>2282</v>
      </c>
      <c r="AV1527">
        <v>1</v>
      </c>
      <c r="AX1527" s="114">
        <v>50</v>
      </c>
      <c r="AY1527" s="116">
        <v>27</v>
      </c>
      <c r="AZ1527" s="116">
        <v>80</v>
      </c>
      <c r="BA1527" s="120">
        <v>60850</v>
      </c>
      <c r="BB1527" s="120">
        <f t="shared" si="390"/>
        <v>50027</v>
      </c>
      <c r="BC1527" s="8" t="s">
        <v>1472</v>
      </c>
      <c r="BD1527">
        <f t="shared" si="388"/>
        <v>5060850</v>
      </c>
      <c r="BE1527" s="1">
        <v>31</v>
      </c>
      <c r="BF1527" s="1">
        <v>0</v>
      </c>
      <c r="BI1527">
        <v>40.94</v>
      </c>
      <c r="BJ1527">
        <v>0.51</v>
      </c>
      <c r="BK1527">
        <v>40.43</v>
      </c>
      <c r="BP1527" s="63">
        <v>129</v>
      </c>
      <c r="BQ1527" s="63"/>
      <c r="BR1527">
        <v>112</v>
      </c>
    </row>
    <row r="1528" spans="1:70" hidden="1" outlineLevel="1">
      <c r="A1528" t="s">
        <v>1355</v>
      </c>
      <c r="B1528" s="8" t="s">
        <v>2016</v>
      </c>
      <c r="C1528" s="1">
        <f t="shared" si="380"/>
        <v>391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381"/>
        <v>6</v>
      </c>
      <c r="G1528" s="1">
        <f t="shared" si="382"/>
        <v>75</v>
      </c>
      <c r="H1528" s="2">
        <f t="shared" si="389"/>
        <v>0.1918158567774936</v>
      </c>
      <c r="I1528" s="6"/>
      <c r="J1528" s="2">
        <f t="shared" si="383"/>
        <v>0.54475703324808189</v>
      </c>
      <c r="K1528" s="2">
        <f t="shared" si="384"/>
        <v>0.35294117647058826</v>
      </c>
      <c r="L1528" s="2">
        <f t="shared" si="385"/>
        <v>5.1150895140664966E-3</v>
      </c>
      <c r="M1528" s="2">
        <f t="shared" si="386"/>
        <v>9.7186700767263351E-2</v>
      </c>
      <c r="N1528" s="63">
        <v>213</v>
      </c>
      <c r="O1528" s="63">
        <v>138</v>
      </c>
      <c r="P1528" s="63">
        <v>2</v>
      </c>
      <c r="Q1528" s="63">
        <v>14</v>
      </c>
      <c r="R1528" s="63">
        <v>6</v>
      </c>
      <c r="S1528" s="63">
        <v>0</v>
      </c>
      <c r="T1528" s="63">
        <v>1</v>
      </c>
      <c r="U1528" s="63"/>
      <c r="V1528" s="63">
        <v>0</v>
      </c>
      <c r="W1528" s="63">
        <f t="shared" si="387"/>
        <v>17</v>
      </c>
      <c r="X1528" s="63"/>
      <c r="Y1528" s="63"/>
      <c r="Z1528" s="63"/>
      <c r="AA1528" s="63"/>
      <c r="AB1528" s="63"/>
      <c r="AT1528" t="str">
        <f t="shared" si="379"/>
        <v>Rupert</v>
      </c>
      <c r="AU1528" t="s">
        <v>951</v>
      </c>
      <c r="AV1528">
        <v>1</v>
      </c>
      <c r="AX1528" s="114">
        <v>50</v>
      </c>
      <c r="AY1528" s="116">
        <v>3</v>
      </c>
      <c r="AZ1528" s="116">
        <v>45</v>
      </c>
      <c r="BA1528" s="120">
        <v>61000</v>
      </c>
      <c r="BB1528" s="120">
        <f t="shared" si="390"/>
        <v>50003</v>
      </c>
      <c r="BC1528" s="8" t="s">
        <v>1472</v>
      </c>
      <c r="BD1528">
        <f t="shared" si="388"/>
        <v>5061000</v>
      </c>
      <c r="BE1528" s="1">
        <v>6</v>
      </c>
      <c r="BF1528" s="1">
        <v>1</v>
      </c>
      <c r="BI1528">
        <v>44.6</v>
      </c>
      <c r="BJ1528">
        <v>0.01</v>
      </c>
      <c r="BK1528">
        <v>44.6</v>
      </c>
      <c r="BP1528" s="63">
        <v>19</v>
      </c>
      <c r="BQ1528" s="63"/>
      <c r="BR1528">
        <v>14</v>
      </c>
    </row>
    <row r="1529" spans="1:70" hidden="1" outlineLevel="1">
      <c r="A1529" t="s">
        <v>589</v>
      </c>
      <c r="B1529" s="8" t="s">
        <v>2016</v>
      </c>
      <c r="C1529" s="1">
        <f t="shared" si="380"/>
        <v>7097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381"/>
        <v>0</v>
      </c>
      <c r="G1529" s="1">
        <f t="shared" si="382"/>
        <v>761</v>
      </c>
      <c r="H1529" s="2">
        <f t="shared" si="389"/>
        <v>0.10722840636888827</v>
      </c>
      <c r="I1529" s="6"/>
      <c r="J1529" s="2">
        <f t="shared" si="383"/>
        <v>0.49246160349443424</v>
      </c>
      <c r="K1529" s="2">
        <f t="shared" si="384"/>
        <v>0.38523319712554599</v>
      </c>
      <c r="L1529" s="2">
        <f t="shared" si="385"/>
        <v>0</v>
      </c>
      <c r="M1529" s="2">
        <f t="shared" si="386"/>
        <v>0.12230519938001977</v>
      </c>
      <c r="N1529" s="63">
        <v>3495</v>
      </c>
      <c r="O1529" s="63">
        <v>2734</v>
      </c>
      <c r="P1529" s="63">
        <v>0</v>
      </c>
      <c r="Q1529" s="63">
        <v>209</v>
      </c>
      <c r="R1529" s="63">
        <v>109</v>
      </c>
      <c r="S1529" s="63">
        <v>0</v>
      </c>
      <c r="T1529" s="63">
        <v>21</v>
      </c>
      <c r="U1529" s="63"/>
      <c r="V1529" s="63">
        <v>6</v>
      </c>
      <c r="W1529" s="63">
        <f t="shared" si="387"/>
        <v>523</v>
      </c>
      <c r="X1529" s="63"/>
      <c r="Y1529" s="63"/>
      <c r="Z1529" s="63"/>
      <c r="AA1529" s="63"/>
      <c r="AB1529" s="63"/>
      <c r="AT1529" t="str">
        <f t="shared" si="379"/>
        <v>Rutland</v>
      </c>
      <c r="AU1529" t="s">
        <v>589</v>
      </c>
      <c r="AV1529">
        <v>1</v>
      </c>
      <c r="AX1529" s="114">
        <v>50</v>
      </c>
      <c r="AY1529" s="116">
        <v>21</v>
      </c>
      <c r="AZ1529" s="116">
        <v>95</v>
      </c>
      <c r="BA1529" s="120">
        <v>61225</v>
      </c>
      <c r="BB1529" s="120">
        <f t="shared" si="390"/>
        <v>50021</v>
      </c>
      <c r="BC1529" s="8" t="s">
        <v>1249</v>
      </c>
      <c r="BD1529">
        <f t="shared" si="388"/>
        <v>5061225</v>
      </c>
      <c r="BE1529" s="1">
        <v>84</v>
      </c>
      <c r="BF1529" s="1">
        <v>0</v>
      </c>
      <c r="BI1529">
        <v>7.68</v>
      </c>
      <c r="BJ1529">
        <v>0.04</v>
      </c>
      <c r="BK1529">
        <v>7.64</v>
      </c>
      <c r="BP1529" s="63">
        <v>523</v>
      </c>
      <c r="BQ1529" s="63"/>
      <c r="BR1529">
        <v>412</v>
      </c>
    </row>
    <row r="1530" spans="1:70" hidden="1" outlineLevel="1">
      <c r="A1530" t="s">
        <v>589</v>
      </c>
      <c r="B1530" s="8" t="s">
        <v>2016</v>
      </c>
      <c r="C1530" s="1">
        <f t="shared" si="380"/>
        <v>2298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381"/>
        <v>7</v>
      </c>
      <c r="G1530" s="1">
        <f t="shared" si="382"/>
        <v>85</v>
      </c>
      <c r="H1530" s="2">
        <f t="shared" si="389"/>
        <v>3.6988685813751088E-2</v>
      </c>
      <c r="I1530" s="6"/>
      <c r="J1530" s="2">
        <f t="shared" si="383"/>
        <v>0.46301131418624891</v>
      </c>
      <c r="K1530" s="2">
        <f t="shared" si="384"/>
        <v>0.42602262837249782</v>
      </c>
      <c r="L1530" s="2">
        <f t="shared" si="385"/>
        <v>2.1758050478677109E-3</v>
      </c>
      <c r="M1530" s="2">
        <f t="shared" si="386"/>
        <v>0.10879025239338561</v>
      </c>
      <c r="N1530" s="63">
        <v>1064</v>
      </c>
      <c r="O1530" s="63">
        <v>979</v>
      </c>
      <c r="P1530" s="63">
        <v>5</v>
      </c>
      <c r="Q1530" s="63">
        <v>88</v>
      </c>
      <c r="R1530" s="63">
        <v>19</v>
      </c>
      <c r="S1530" s="63">
        <v>0</v>
      </c>
      <c r="T1530" s="63">
        <v>8</v>
      </c>
      <c r="U1530" s="63"/>
      <c r="V1530" s="63">
        <v>1</v>
      </c>
      <c r="W1530" s="63">
        <f t="shared" si="387"/>
        <v>134</v>
      </c>
      <c r="X1530" s="63"/>
      <c r="Y1530" s="63"/>
      <c r="Z1530" s="63"/>
      <c r="AA1530" s="63"/>
      <c r="AB1530" s="63"/>
      <c r="AT1530" t="str">
        <f t="shared" si="379"/>
        <v>Rutland</v>
      </c>
      <c r="AU1530" t="s">
        <v>589</v>
      </c>
      <c r="AV1530">
        <v>1</v>
      </c>
      <c r="AX1530" s="114">
        <v>50</v>
      </c>
      <c r="AY1530" s="116">
        <v>21</v>
      </c>
      <c r="AZ1530" s="116">
        <v>100</v>
      </c>
      <c r="BA1530" s="120">
        <v>61300</v>
      </c>
      <c r="BB1530" s="120">
        <f t="shared" si="390"/>
        <v>50021</v>
      </c>
      <c r="BC1530" s="8" t="s">
        <v>1472</v>
      </c>
      <c r="BD1530">
        <f t="shared" si="388"/>
        <v>5061300</v>
      </c>
      <c r="BE1530" s="1">
        <v>21</v>
      </c>
      <c r="BF1530" s="1">
        <v>1</v>
      </c>
      <c r="BI1530">
        <v>19.3</v>
      </c>
      <c r="BJ1530">
        <v>0.05</v>
      </c>
      <c r="BK1530">
        <v>19.25</v>
      </c>
      <c r="BP1530" s="63">
        <v>139</v>
      </c>
      <c r="BQ1530" s="63"/>
      <c r="BR1530">
        <v>98</v>
      </c>
    </row>
    <row r="1531" spans="1:70" hidden="1" outlineLevel="1">
      <c r="A1531" t="s">
        <v>264</v>
      </c>
      <c r="B1531" s="8" t="s">
        <v>2016</v>
      </c>
      <c r="C1531" s="1">
        <f t="shared" si="380"/>
        <v>537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381"/>
        <v>0</v>
      </c>
      <c r="G1531" s="1">
        <f t="shared" si="382"/>
        <v>13</v>
      </c>
      <c r="H1531" s="2">
        <f t="shared" si="389"/>
        <v>2.4208566108007448E-2</v>
      </c>
      <c r="I1531" s="6"/>
      <c r="J1531" s="2">
        <f t="shared" si="383"/>
        <v>0.46927374301675978</v>
      </c>
      <c r="K1531" s="2">
        <f t="shared" si="384"/>
        <v>0.4450651769087523</v>
      </c>
      <c r="L1531" s="2">
        <f t="shared" si="385"/>
        <v>0</v>
      </c>
      <c r="M1531" s="2">
        <f t="shared" si="386"/>
        <v>8.5661080074487972E-2</v>
      </c>
      <c r="N1531" s="63">
        <v>252</v>
      </c>
      <c r="O1531" s="63">
        <v>239</v>
      </c>
      <c r="P1531" s="63">
        <v>0</v>
      </c>
      <c r="Q1531" s="63">
        <v>15</v>
      </c>
      <c r="R1531" s="63">
        <v>12</v>
      </c>
      <c r="S1531" s="63">
        <v>0</v>
      </c>
      <c r="T1531" s="63">
        <v>0</v>
      </c>
      <c r="U1531" s="63"/>
      <c r="V1531" s="63">
        <v>0</v>
      </c>
      <c r="W1531" s="63">
        <f t="shared" si="387"/>
        <v>19</v>
      </c>
      <c r="X1531" s="63"/>
      <c r="Y1531" s="63"/>
      <c r="Z1531" s="63"/>
      <c r="AA1531" s="63"/>
      <c r="AB1531" s="63"/>
      <c r="AT1531" t="str">
        <f t="shared" si="379"/>
        <v>Ryegate</v>
      </c>
      <c r="AU1531" t="s">
        <v>681</v>
      </c>
      <c r="AV1531">
        <v>1</v>
      </c>
      <c r="AX1531" s="114">
        <v>50</v>
      </c>
      <c r="AY1531" s="116">
        <v>5</v>
      </c>
      <c r="AZ1531" s="116">
        <v>50</v>
      </c>
      <c r="BA1531" s="120">
        <v>61525</v>
      </c>
      <c r="BB1531" s="120">
        <f t="shared" si="390"/>
        <v>50005</v>
      </c>
      <c r="BC1531" s="8" t="s">
        <v>1472</v>
      </c>
      <c r="BD1531">
        <f t="shared" si="388"/>
        <v>5061525</v>
      </c>
      <c r="BE1531" s="1">
        <v>11</v>
      </c>
      <c r="BF1531" s="1">
        <v>23</v>
      </c>
      <c r="BI1531">
        <v>36.799999999999997</v>
      </c>
      <c r="BJ1531">
        <v>0.22</v>
      </c>
      <c r="BK1531">
        <v>36.58</v>
      </c>
      <c r="BP1531" s="63">
        <v>19</v>
      </c>
      <c r="BQ1531" s="63"/>
      <c r="BR1531">
        <v>19</v>
      </c>
    </row>
    <row r="1532" spans="1:70" hidden="1" outlineLevel="1">
      <c r="A1532" t="s">
        <v>1342</v>
      </c>
      <c r="B1532" s="8" t="s">
        <v>2016</v>
      </c>
      <c r="C1532" s="1">
        <f t="shared" si="380"/>
        <v>2505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381"/>
        <v>0</v>
      </c>
      <c r="G1532" s="1">
        <f t="shared" si="382"/>
        <v>480</v>
      </c>
      <c r="H1532" s="2">
        <f t="shared" si="389"/>
        <v>0.19161676646706588</v>
      </c>
      <c r="I1532" s="6"/>
      <c r="J1532" s="2">
        <f t="shared" si="383"/>
        <v>0.51377245508982039</v>
      </c>
      <c r="K1532" s="2">
        <f t="shared" si="384"/>
        <v>0.32215568862275451</v>
      </c>
      <c r="L1532" s="2">
        <f t="shared" si="385"/>
        <v>0</v>
      </c>
      <c r="M1532" s="2">
        <f t="shared" si="386"/>
        <v>0.1640718562874251</v>
      </c>
      <c r="N1532" s="63">
        <v>1287</v>
      </c>
      <c r="O1532" s="63">
        <v>807</v>
      </c>
      <c r="P1532" s="63">
        <v>0</v>
      </c>
      <c r="Q1532" s="63">
        <v>120</v>
      </c>
      <c r="R1532" s="63">
        <v>43</v>
      </c>
      <c r="S1532" s="63">
        <v>0</v>
      </c>
      <c r="T1532" s="63">
        <v>12</v>
      </c>
      <c r="U1532" s="63"/>
      <c r="V1532" s="63">
        <v>3</v>
      </c>
      <c r="W1532" s="63">
        <f t="shared" si="387"/>
        <v>233</v>
      </c>
      <c r="X1532" s="63"/>
      <c r="Y1532" s="63"/>
      <c r="Z1532" s="63"/>
      <c r="AA1532" s="63"/>
      <c r="AB1532" s="63"/>
      <c r="AT1532" t="str">
        <f t="shared" si="379"/>
        <v>St. Albans</v>
      </c>
      <c r="AU1532" t="s">
        <v>1138</v>
      </c>
      <c r="AV1532">
        <v>1</v>
      </c>
      <c r="AX1532" s="114">
        <v>50</v>
      </c>
      <c r="AY1532" s="116">
        <v>11</v>
      </c>
      <c r="AZ1532" s="116">
        <v>65</v>
      </c>
      <c r="BA1532" s="120">
        <v>61675</v>
      </c>
      <c r="BB1532" s="120">
        <f t="shared" si="390"/>
        <v>50011</v>
      </c>
      <c r="BC1532" s="8" t="s">
        <v>1249</v>
      </c>
      <c r="BD1532">
        <f t="shared" si="388"/>
        <v>5061675</v>
      </c>
      <c r="BE1532" s="1">
        <v>36</v>
      </c>
      <c r="BF1532" s="1">
        <v>0</v>
      </c>
      <c r="BI1532">
        <v>2.0299999999999998</v>
      </c>
      <c r="BJ1532">
        <v>0</v>
      </c>
      <c r="BK1532">
        <v>2.0299999999999998</v>
      </c>
      <c r="BP1532" s="63">
        <v>233</v>
      </c>
      <c r="BQ1532" s="63"/>
      <c r="BR1532">
        <v>194</v>
      </c>
    </row>
    <row r="1533" spans="1:70" hidden="1" outlineLevel="1">
      <c r="A1533" t="s">
        <v>1342</v>
      </c>
      <c r="B1533" s="8" t="s">
        <v>2016</v>
      </c>
      <c r="C1533" s="1">
        <f t="shared" si="380"/>
        <v>3114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381"/>
        <v>0</v>
      </c>
      <c r="G1533" s="1">
        <f t="shared" si="382"/>
        <v>148</v>
      </c>
      <c r="H1533" s="2">
        <f t="shared" si="389"/>
        <v>4.7527296082209375E-2</v>
      </c>
      <c r="I1533" s="6"/>
      <c r="J1533" s="2">
        <f t="shared" si="383"/>
        <v>0.45472061657032753</v>
      </c>
      <c r="K1533" s="2">
        <f t="shared" si="384"/>
        <v>0.40719332048811818</v>
      </c>
      <c r="L1533" s="2">
        <f t="shared" si="385"/>
        <v>0</v>
      </c>
      <c r="M1533" s="2">
        <f t="shared" si="386"/>
        <v>0.13808606294155434</v>
      </c>
      <c r="N1533" s="63">
        <v>1416</v>
      </c>
      <c r="O1533" s="63">
        <v>1268</v>
      </c>
      <c r="P1533" s="63">
        <v>0</v>
      </c>
      <c r="Q1533" s="63">
        <v>106</v>
      </c>
      <c r="R1533" s="63">
        <v>32</v>
      </c>
      <c r="S1533" s="63">
        <v>0</v>
      </c>
      <c r="T1533" s="63">
        <v>14</v>
      </c>
      <c r="U1533" s="63"/>
      <c r="V1533" s="63">
        <v>3</v>
      </c>
      <c r="W1533" s="63">
        <f t="shared" si="387"/>
        <v>275</v>
      </c>
      <c r="X1533" s="63"/>
      <c r="Y1533" s="63"/>
      <c r="Z1533" s="63"/>
      <c r="AA1533" s="63"/>
      <c r="AB1533" s="63"/>
      <c r="AT1533" t="str">
        <f t="shared" si="379"/>
        <v>St. Albans</v>
      </c>
      <c r="AU1533" t="s">
        <v>1138</v>
      </c>
      <c r="AV1533">
        <v>1</v>
      </c>
      <c r="AX1533" s="114">
        <v>50</v>
      </c>
      <c r="AY1533" s="116">
        <v>11</v>
      </c>
      <c r="AZ1533" s="116">
        <v>70</v>
      </c>
      <c r="BA1533" s="120">
        <v>61750</v>
      </c>
      <c r="BB1533" s="120">
        <f t="shared" si="390"/>
        <v>50011</v>
      </c>
      <c r="BC1533" s="8" t="s">
        <v>1472</v>
      </c>
      <c r="BD1533">
        <f t="shared" si="388"/>
        <v>5061750</v>
      </c>
      <c r="BE1533" s="1">
        <v>57</v>
      </c>
      <c r="BF1533" s="1">
        <v>2</v>
      </c>
      <c r="BI1533">
        <v>60.56</v>
      </c>
      <c r="BJ1533">
        <v>23</v>
      </c>
      <c r="BK1533">
        <v>37.56</v>
      </c>
      <c r="BP1533" s="63">
        <v>275</v>
      </c>
      <c r="BQ1533" s="63"/>
      <c r="BR1533">
        <v>212</v>
      </c>
    </row>
    <row r="1534" spans="1:70" hidden="1" outlineLevel="1">
      <c r="A1534" t="s">
        <v>1223</v>
      </c>
      <c r="B1534" s="8" t="s">
        <v>2016</v>
      </c>
      <c r="C1534" s="1">
        <f t="shared" si="380"/>
        <v>358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381"/>
        <v>0</v>
      </c>
      <c r="G1534" s="1">
        <f t="shared" si="382"/>
        <v>90</v>
      </c>
      <c r="H1534" s="2">
        <f t="shared" si="389"/>
        <v>0.25139664804469275</v>
      </c>
      <c r="I1534" s="6"/>
      <c r="J1534" s="2">
        <f t="shared" si="383"/>
        <v>0.55865921787709494</v>
      </c>
      <c r="K1534" s="2">
        <f t="shared" si="384"/>
        <v>0.30726256983240224</v>
      </c>
      <c r="L1534" s="2">
        <f t="shared" si="385"/>
        <v>0</v>
      </c>
      <c r="M1534" s="2">
        <f t="shared" si="386"/>
        <v>0.13407821229050282</v>
      </c>
      <c r="N1534" s="63">
        <v>200</v>
      </c>
      <c r="O1534" s="63">
        <v>110</v>
      </c>
      <c r="P1534" s="63">
        <v>0</v>
      </c>
      <c r="Q1534" s="63">
        <v>7</v>
      </c>
      <c r="R1534" s="63">
        <v>6</v>
      </c>
      <c r="S1534" s="63">
        <v>0</v>
      </c>
      <c r="T1534" s="63">
        <v>1</v>
      </c>
      <c r="U1534" s="63"/>
      <c r="V1534" s="63">
        <v>1</v>
      </c>
      <c r="W1534" s="63">
        <f t="shared" si="387"/>
        <v>33</v>
      </c>
      <c r="X1534" s="63"/>
      <c r="Y1534" s="63"/>
      <c r="Z1534" s="63"/>
      <c r="AA1534" s="63"/>
      <c r="AB1534" s="63"/>
      <c r="AT1534" t="str">
        <f t="shared" si="379"/>
        <v>St. George</v>
      </c>
      <c r="AU1534" t="s">
        <v>3175</v>
      </c>
      <c r="AV1534">
        <v>1</v>
      </c>
      <c r="AX1534" s="114">
        <v>50</v>
      </c>
      <c r="AY1534" s="116">
        <v>7</v>
      </c>
      <c r="AZ1534" s="116">
        <v>60</v>
      </c>
      <c r="BA1534" s="120">
        <v>62050</v>
      </c>
      <c r="BB1534" s="120">
        <f t="shared" si="390"/>
        <v>50007</v>
      </c>
      <c r="BC1534" s="8" t="s">
        <v>1472</v>
      </c>
      <c r="BD1534">
        <f t="shared" si="388"/>
        <v>5062050</v>
      </c>
      <c r="BE1534" s="1">
        <v>5</v>
      </c>
      <c r="BF1534" s="1">
        <v>0</v>
      </c>
      <c r="BI1534">
        <v>3.59</v>
      </c>
      <c r="BJ1534">
        <v>0</v>
      </c>
      <c r="BK1534">
        <v>3.59</v>
      </c>
      <c r="BP1534" s="63">
        <v>33</v>
      </c>
      <c r="BQ1534" s="63"/>
      <c r="BR1534">
        <v>29</v>
      </c>
    </row>
    <row r="1535" spans="1:70" hidden="1" outlineLevel="1">
      <c r="A1535" t="s">
        <v>927</v>
      </c>
      <c r="B1535" s="8" t="s">
        <v>2016</v>
      </c>
      <c r="C1535" s="1">
        <f t="shared" si="380"/>
        <v>3010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381"/>
        <v>8</v>
      </c>
      <c r="G1535" s="1">
        <f t="shared" si="382"/>
        <v>359</v>
      </c>
      <c r="H1535" s="2">
        <f t="shared" si="389"/>
        <v>0.11926910299003322</v>
      </c>
      <c r="I1535" s="6"/>
      <c r="J1535" s="2">
        <f t="shared" si="383"/>
        <v>0.48803986710963454</v>
      </c>
      <c r="K1535" s="2">
        <f t="shared" si="384"/>
        <v>0.3687707641196013</v>
      </c>
      <c r="L1535" s="2">
        <f t="shared" si="385"/>
        <v>9.9667774086378727E-4</v>
      </c>
      <c r="M1535" s="2">
        <f t="shared" si="386"/>
        <v>0.14219269102990037</v>
      </c>
      <c r="N1535" s="63">
        <v>1469</v>
      </c>
      <c r="O1535" s="63">
        <v>1110</v>
      </c>
      <c r="P1535" s="63">
        <v>3</v>
      </c>
      <c r="Q1535" s="63">
        <v>125</v>
      </c>
      <c r="R1535" s="63">
        <v>64</v>
      </c>
      <c r="S1535" s="63">
        <v>1</v>
      </c>
      <c r="T1535" s="63">
        <v>16</v>
      </c>
      <c r="U1535" s="63"/>
      <c r="V1535" s="63">
        <v>4</v>
      </c>
      <c r="W1535" s="63">
        <f t="shared" si="387"/>
        <v>218</v>
      </c>
      <c r="X1535" s="63"/>
      <c r="Y1535" s="63"/>
      <c r="Z1535" s="63"/>
      <c r="AA1535" s="63"/>
      <c r="AB1535" s="63"/>
      <c r="AT1535" t="str">
        <f t="shared" si="379"/>
        <v>St. Johnsbury</v>
      </c>
      <c r="AU1535" t="s">
        <v>681</v>
      </c>
      <c r="AV1535">
        <v>1</v>
      </c>
      <c r="AX1535" s="114">
        <v>50</v>
      </c>
      <c r="AY1535" s="116">
        <v>5</v>
      </c>
      <c r="AZ1535" s="116">
        <v>55</v>
      </c>
      <c r="BA1535" s="120">
        <v>62200</v>
      </c>
      <c r="BB1535" s="120">
        <f t="shared" si="390"/>
        <v>50005</v>
      </c>
      <c r="BC1535" s="8" t="s">
        <v>1472</v>
      </c>
      <c r="BD1535">
        <f t="shared" si="388"/>
        <v>5062200</v>
      </c>
      <c r="BE1535" s="1">
        <v>37</v>
      </c>
      <c r="BF1535" s="1">
        <v>5</v>
      </c>
      <c r="BI1535">
        <v>36.770000000000003</v>
      </c>
      <c r="BJ1535">
        <v>0.1</v>
      </c>
      <c r="BK1535">
        <v>36.68</v>
      </c>
      <c r="BP1535" s="63">
        <v>222</v>
      </c>
      <c r="BQ1535" s="63"/>
      <c r="BR1535">
        <v>164</v>
      </c>
    </row>
    <row r="1536" spans="1:70" hidden="1" outlineLevel="1">
      <c r="A1536" t="s">
        <v>2097</v>
      </c>
      <c r="B1536" s="8" t="s">
        <v>2016</v>
      </c>
      <c r="C1536" s="1">
        <f t="shared" si="380"/>
        <v>555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381"/>
        <v>0</v>
      </c>
      <c r="G1536" s="1">
        <f t="shared" si="382"/>
        <v>107</v>
      </c>
      <c r="H1536" s="2">
        <f t="shared" si="389"/>
        <v>0.19279279279279279</v>
      </c>
      <c r="I1536" s="6"/>
      <c r="J1536" s="2">
        <f t="shared" si="383"/>
        <v>0.53333333333333333</v>
      </c>
      <c r="K1536" s="2">
        <f t="shared" si="384"/>
        <v>0.34054054054054056</v>
      </c>
      <c r="L1536" s="2">
        <f t="shared" si="385"/>
        <v>0</v>
      </c>
      <c r="M1536" s="2">
        <f t="shared" si="386"/>
        <v>0.12612612612612611</v>
      </c>
      <c r="N1536" s="63">
        <v>296</v>
      </c>
      <c r="O1536" s="63">
        <v>189</v>
      </c>
      <c r="P1536" s="63">
        <v>0</v>
      </c>
      <c r="Q1536" s="63">
        <v>8</v>
      </c>
      <c r="R1536" s="63">
        <v>9</v>
      </c>
      <c r="S1536" s="63">
        <v>0</v>
      </c>
      <c r="T1536" s="63">
        <v>3</v>
      </c>
      <c r="U1536" s="63"/>
      <c r="V1536" s="63">
        <v>0</v>
      </c>
      <c r="W1536" s="63">
        <f t="shared" si="387"/>
        <v>50</v>
      </c>
      <c r="X1536" s="63"/>
      <c r="Y1536" s="63"/>
      <c r="Z1536" s="63"/>
      <c r="AA1536" s="63"/>
      <c r="AB1536" s="63"/>
      <c r="AT1536" t="str">
        <f t="shared" si="379"/>
        <v>Salisbury</v>
      </c>
      <c r="AU1536" t="s">
        <v>1346</v>
      </c>
      <c r="AV1536">
        <v>1</v>
      </c>
      <c r="AX1536" s="114">
        <v>50</v>
      </c>
      <c r="AY1536" s="116">
        <v>1</v>
      </c>
      <c r="AZ1536" s="116">
        <v>85</v>
      </c>
      <c r="BA1536" s="120">
        <v>62575</v>
      </c>
      <c r="BB1536" s="120">
        <f t="shared" si="390"/>
        <v>50001</v>
      </c>
      <c r="BC1536" s="8" t="s">
        <v>1472</v>
      </c>
      <c r="BD1536">
        <f t="shared" si="388"/>
        <v>5062575</v>
      </c>
      <c r="BE1536" s="1">
        <v>5</v>
      </c>
      <c r="BF1536" s="1">
        <v>3</v>
      </c>
      <c r="BI1536">
        <v>30.14</v>
      </c>
      <c r="BJ1536">
        <v>0.98</v>
      </c>
      <c r="BK1536">
        <v>29.15</v>
      </c>
      <c r="BP1536" s="63">
        <v>50</v>
      </c>
      <c r="BQ1536" s="63"/>
      <c r="BR1536">
        <v>45</v>
      </c>
    </row>
    <row r="1537" spans="1:70" hidden="1" outlineLevel="1">
      <c r="A1537" t="s">
        <v>919</v>
      </c>
      <c r="B1537" s="8" t="s">
        <v>2016</v>
      </c>
      <c r="C1537" s="1">
        <f t="shared" si="380"/>
        <v>217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381"/>
        <v>0</v>
      </c>
      <c r="G1537" s="1">
        <f t="shared" si="382"/>
        <v>4</v>
      </c>
      <c r="H1537" s="2">
        <f t="shared" si="389"/>
        <v>1.8433179723502304E-2</v>
      </c>
      <c r="I1537" s="6"/>
      <c r="J1537" s="2">
        <f t="shared" si="383"/>
        <v>0.45622119815668205</v>
      </c>
      <c r="K1537" s="2">
        <f t="shared" si="384"/>
        <v>0.43778801843317972</v>
      </c>
      <c r="L1537" s="2">
        <f t="shared" si="385"/>
        <v>0</v>
      </c>
      <c r="M1537" s="2">
        <f t="shared" si="386"/>
        <v>0.10599078341013823</v>
      </c>
      <c r="N1537" s="63">
        <v>99</v>
      </c>
      <c r="O1537" s="63">
        <v>95</v>
      </c>
      <c r="P1537" s="63">
        <v>0</v>
      </c>
      <c r="Q1537" s="63">
        <v>6</v>
      </c>
      <c r="R1537" s="63">
        <v>7</v>
      </c>
      <c r="S1537" s="63">
        <v>0</v>
      </c>
      <c r="T1537" s="63">
        <v>0</v>
      </c>
      <c r="U1537" s="63"/>
      <c r="V1537" s="63">
        <v>1</v>
      </c>
      <c r="W1537" s="63">
        <f t="shared" si="387"/>
        <v>9</v>
      </c>
      <c r="X1537" s="63"/>
      <c r="Y1537" s="63"/>
      <c r="Z1537" s="63"/>
      <c r="AA1537" s="63"/>
      <c r="AB1537" s="63"/>
      <c r="AT1537" t="str">
        <f t="shared" si="379"/>
        <v>Sandgate</v>
      </c>
      <c r="AU1537" t="s">
        <v>951</v>
      </c>
      <c r="AV1537">
        <v>1</v>
      </c>
      <c r="AX1537" s="114">
        <v>50</v>
      </c>
      <c r="AY1537" s="116">
        <v>3</v>
      </c>
      <c r="AZ1537" s="116">
        <v>50</v>
      </c>
      <c r="BA1537" s="120">
        <v>62875</v>
      </c>
      <c r="BB1537" s="120">
        <f t="shared" si="390"/>
        <v>50003</v>
      </c>
      <c r="BC1537" s="8" t="s">
        <v>1472</v>
      </c>
      <c r="BD1537">
        <f t="shared" si="388"/>
        <v>5062875</v>
      </c>
      <c r="BE1537" s="1">
        <v>2</v>
      </c>
      <c r="BF1537" s="1">
        <v>0</v>
      </c>
      <c r="BI1537">
        <v>42.19</v>
      </c>
      <c r="BJ1537">
        <v>0.04</v>
      </c>
      <c r="BK1537">
        <v>42.15</v>
      </c>
      <c r="BP1537" s="63">
        <v>9</v>
      </c>
      <c r="BQ1537" s="63"/>
      <c r="BR1537">
        <v>7</v>
      </c>
    </row>
    <row r="1538" spans="1:70" hidden="1" outlineLevel="1">
      <c r="A1538" t="s">
        <v>2351</v>
      </c>
      <c r="B1538" s="8" t="s">
        <v>2016</v>
      </c>
      <c r="C1538" s="1">
        <f t="shared" si="380"/>
        <v>58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 t="shared" si="381"/>
        <v>0</v>
      </c>
      <c r="G1538" s="1">
        <f t="shared" si="382"/>
        <v>17</v>
      </c>
      <c r="H1538" s="2">
        <f t="shared" si="389"/>
        <v>0.29310344827586204</v>
      </c>
      <c r="I1538" s="6"/>
      <c r="J1538" s="2">
        <f t="shared" si="383"/>
        <v>0.32758620689655171</v>
      </c>
      <c r="K1538" s="2">
        <f t="shared" si="384"/>
        <v>0.62068965517241381</v>
      </c>
      <c r="L1538" s="2">
        <f t="shared" si="385"/>
        <v>0</v>
      </c>
      <c r="M1538" s="2">
        <f t="shared" si="386"/>
        <v>5.1724137931034475E-2</v>
      </c>
      <c r="N1538" s="63">
        <v>19</v>
      </c>
      <c r="O1538" s="63">
        <v>36</v>
      </c>
      <c r="P1538" s="63">
        <v>0</v>
      </c>
      <c r="Q1538" s="63">
        <v>0</v>
      </c>
      <c r="R1538" s="63">
        <v>0</v>
      </c>
      <c r="S1538" s="63">
        <v>0</v>
      </c>
      <c r="T1538" s="63">
        <v>0</v>
      </c>
      <c r="U1538" s="63"/>
      <c r="V1538" s="63">
        <v>1</v>
      </c>
      <c r="W1538" s="63">
        <f t="shared" si="387"/>
        <v>2</v>
      </c>
      <c r="X1538" s="63"/>
      <c r="Y1538" s="63"/>
      <c r="Z1538" s="63"/>
      <c r="AA1538" s="63"/>
      <c r="AB1538" s="63"/>
      <c r="AT1538" t="str">
        <f t="shared" si="379"/>
        <v>Searsburg</v>
      </c>
      <c r="AU1538" t="s">
        <v>951</v>
      </c>
      <c r="AV1538">
        <v>1</v>
      </c>
      <c r="AX1538" s="114">
        <v>50</v>
      </c>
      <c r="AY1538" s="116">
        <v>3</v>
      </c>
      <c r="AZ1538" s="116">
        <v>55</v>
      </c>
      <c r="BA1538" s="120">
        <v>63175</v>
      </c>
      <c r="BB1538" s="120">
        <f t="shared" si="390"/>
        <v>50003</v>
      </c>
      <c r="BC1538" s="8" t="s">
        <v>1472</v>
      </c>
      <c r="BD1538">
        <f t="shared" si="388"/>
        <v>5063175</v>
      </c>
      <c r="BE1538" s="1">
        <v>0</v>
      </c>
      <c r="BF1538" s="1">
        <v>1</v>
      </c>
      <c r="BI1538">
        <v>21.57</v>
      </c>
      <c r="BJ1538">
        <v>0.04</v>
      </c>
      <c r="BK1538">
        <v>21.53</v>
      </c>
      <c r="BP1538" s="63">
        <v>2</v>
      </c>
      <c r="BQ1538" s="63"/>
      <c r="BR1538">
        <v>2</v>
      </c>
    </row>
    <row r="1539" spans="1:70" hidden="1" outlineLevel="1">
      <c r="A1539" t="s">
        <v>223</v>
      </c>
      <c r="B1539" s="8" t="s">
        <v>2016</v>
      </c>
      <c r="C1539" s="1">
        <f t="shared" si="380"/>
        <v>1814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381"/>
        <v>6</v>
      </c>
      <c r="G1539" s="1">
        <f t="shared" si="382"/>
        <v>291</v>
      </c>
      <c r="H1539" s="2">
        <f t="shared" si="389"/>
        <v>0.16041896361631752</v>
      </c>
      <c r="I1539" s="6"/>
      <c r="J1539" s="2">
        <f t="shared" si="383"/>
        <v>0.52480705622932744</v>
      </c>
      <c r="K1539" s="2">
        <f t="shared" si="384"/>
        <v>0.36438809261300992</v>
      </c>
      <c r="L1539" s="2">
        <f t="shared" si="385"/>
        <v>5.512679162072767E-3</v>
      </c>
      <c r="M1539" s="2">
        <f t="shared" si="386"/>
        <v>0.10529217199558988</v>
      </c>
      <c r="N1539" s="63">
        <v>952</v>
      </c>
      <c r="O1539" s="63">
        <v>661</v>
      </c>
      <c r="P1539" s="63">
        <v>10</v>
      </c>
      <c r="Q1539" s="63">
        <v>53</v>
      </c>
      <c r="R1539" s="63">
        <v>26</v>
      </c>
      <c r="S1539" s="63">
        <v>0</v>
      </c>
      <c r="T1539" s="63">
        <v>7</v>
      </c>
      <c r="U1539" s="63"/>
      <c r="V1539" s="63">
        <v>1</v>
      </c>
      <c r="W1539" s="63">
        <f t="shared" si="387"/>
        <v>104</v>
      </c>
      <c r="X1539" s="63"/>
      <c r="Y1539" s="63"/>
      <c r="Z1539" s="63"/>
      <c r="AA1539" s="63"/>
      <c r="AB1539" s="63"/>
      <c r="AT1539" t="str">
        <f t="shared" si="379"/>
        <v>Shaftsbury</v>
      </c>
      <c r="AU1539" t="s">
        <v>951</v>
      </c>
      <c r="AV1539">
        <v>1</v>
      </c>
      <c r="AX1539" s="114">
        <v>50</v>
      </c>
      <c r="AY1539" s="116">
        <v>3</v>
      </c>
      <c r="AZ1539" s="116">
        <v>60</v>
      </c>
      <c r="BA1539" s="120">
        <v>63550</v>
      </c>
      <c r="BB1539" s="120">
        <f t="shared" si="390"/>
        <v>50003</v>
      </c>
      <c r="BC1539" s="8" t="s">
        <v>1472</v>
      </c>
      <c r="BD1539">
        <f t="shared" si="388"/>
        <v>5063550</v>
      </c>
      <c r="BE1539" s="1">
        <v>37</v>
      </c>
      <c r="BF1539" s="1">
        <v>2</v>
      </c>
      <c r="BI1539">
        <v>43.15</v>
      </c>
      <c r="BJ1539">
        <v>0.06</v>
      </c>
      <c r="BK1539">
        <v>43.1</v>
      </c>
      <c r="BP1539" s="63">
        <v>114</v>
      </c>
      <c r="BQ1539" s="63"/>
      <c r="BR1539">
        <v>93</v>
      </c>
    </row>
    <row r="1540" spans="1:70" hidden="1" outlineLevel="1">
      <c r="A1540" t="s">
        <v>1684</v>
      </c>
      <c r="B1540" s="8" t="s">
        <v>2016</v>
      </c>
      <c r="C1540" s="1">
        <f t="shared" si="380"/>
        <v>755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381"/>
        <v>6</v>
      </c>
      <c r="G1540" s="1">
        <f t="shared" si="382"/>
        <v>211</v>
      </c>
      <c r="H1540" s="2">
        <f t="shared" si="389"/>
        <v>0.27947019867549666</v>
      </c>
      <c r="I1540" s="6"/>
      <c r="J1540" s="2">
        <f t="shared" si="383"/>
        <v>0.56688741721854308</v>
      </c>
      <c r="K1540" s="2">
        <f t="shared" si="384"/>
        <v>0.28741721854304636</v>
      </c>
      <c r="L1540" s="2">
        <f t="shared" si="385"/>
        <v>5.2980132450331126E-3</v>
      </c>
      <c r="M1540" s="2">
        <f t="shared" si="386"/>
        <v>0.14039735099337744</v>
      </c>
      <c r="N1540" s="63">
        <v>428</v>
      </c>
      <c r="O1540" s="63">
        <v>217</v>
      </c>
      <c r="P1540" s="63">
        <v>4</v>
      </c>
      <c r="Q1540" s="63">
        <v>15</v>
      </c>
      <c r="R1540" s="63">
        <v>25</v>
      </c>
      <c r="S1540" s="63">
        <v>0</v>
      </c>
      <c r="T1540" s="63">
        <v>3</v>
      </c>
      <c r="U1540" s="63"/>
      <c r="V1540" s="63">
        <v>0</v>
      </c>
      <c r="W1540" s="63">
        <f t="shared" si="387"/>
        <v>63</v>
      </c>
      <c r="X1540" s="63"/>
      <c r="Y1540" s="63"/>
      <c r="Z1540" s="63"/>
      <c r="AA1540" s="63"/>
      <c r="AB1540" s="63"/>
      <c r="AT1540" t="str">
        <f t="shared" si="379"/>
        <v>Sharon</v>
      </c>
      <c r="AU1540" t="s">
        <v>2282</v>
      </c>
      <c r="AV1540">
        <v>1</v>
      </c>
      <c r="AX1540" s="114">
        <v>50</v>
      </c>
      <c r="AY1540" s="116">
        <v>27</v>
      </c>
      <c r="AZ1540" s="116">
        <v>85</v>
      </c>
      <c r="BA1540" s="120">
        <v>63775</v>
      </c>
      <c r="BB1540" s="120">
        <f t="shared" si="390"/>
        <v>50027</v>
      </c>
      <c r="BC1540" s="8" t="s">
        <v>1472</v>
      </c>
      <c r="BD1540">
        <f t="shared" si="388"/>
        <v>5063775</v>
      </c>
      <c r="BE1540" s="1">
        <v>10</v>
      </c>
      <c r="BF1540" s="1">
        <v>1</v>
      </c>
      <c r="BI1540">
        <v>40.1</v>
      </c>
      <c r="BJ1540">
        <v>0.48</v>
      </c>
      <c r="BK1540">
        <v>39.619999999999997</v>
      </c>
      <c r="BP1540" s="63">
        <v>67</v>
      </c>
      <c r="BQ1540" s="63"/>
      <c r="BR1540">
        <v>60</v>
      </c>
    </row>
    <row r="1541" spans="1:70" hidden="1" outlineLevel="1">
      <c r="A1541" t="s">
        <v>1219</v>
      </c>
      <c r="B1541" s="8" t="s">
        <v>2016</v>
      </c>
      <c r="C1541" s="1">
        <f t="shared" si="380"/>
        <v>303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 t="shared" si="381"/>
        <v>6</v>
      </c>
      <c r="G1541" s="1">
        <f t="shared" si="382"/>
        <v>21</v>
      </c>
      <c r="H1541" s="2">
        <f t="shared" si="389"/>
        <v>6.9306930693069313E-2</v>
      </c>
      <c r="I1541" s="6"/>
      <c r="J1541" s="2">
        <f t="shared" si="383"/>
        <v>0.36303630363036304</v>
      </c>
      <c r="K1541" s="2">
        <f t="shared" si="384"/>
        <v>0.43234323432343236</v>
      </c>
      <c r="L1541" s="2">
        <f t="shared" si="385"/>
        <v>3.3003300330033004E-3</v>
      </c>
      <c r="M1541" s="2">
        <f t="shared" si="386"/>
        <v>0.20132013201320134</v>
      </c>
      <c r="N1541" s="63">
        <v>110</v>
      </c>
      <c r="O1541" s="63">
        <v>131</v>
      </c>
      <c r="P1541" s="63">
        <v>1</v>
      </c>
      <c r="Q1541" s="63">
        <v>14</v>
      </c>
      <c r="R1541" s="63">
        <v>6</v>
      </c>
      <c r="S1541" s="63">
        <v>0</v>
      </c>
      <c r="T1541" s="63">
        <v>1</v>
      </c>
      <c r="U1541" s="63"/>
      <c r="V1541" s="63">
        <v>1</v>
      </c>
      <c r="W1541" s="63">
        <f t="shared" si="387"/>
        <v>39</v>
      </c>
      <c r="X1541" s="63"/>
      <c r="Y1541" s="63"/>
      <c r="Z1541" s="63"/>
      <c r="AA1541" s="63"/>
      <c r="AB1541" s="63"/>
      <c r="AT1541" t="str">
        <f t="shared" si="379"/>
        <v>Sheffield</v>
      </c>
      <c r="AU1541" t="s">
        <v>681</v>
      </c>
      <c r="AV1541">
        <v>1</v>
      </c>
      <c r="AX1541" s="114">
        <v>50</v>
      </c>
      <c r="AY1541" s="116">
        <v>5</v>
      </c>
      <c r="AZ1541" s="116">
        <v>60</v>
      </c>
      <c r="BA1541" s="120">
        <v>64075</v>
      </c>
      <c r="BB1541" s="120">
        <f t="shared" si="390"/>
        <v>50005</v>
      </c>
      <c r="BC1541" s="8" t="s">
        <v>1472</v>
      </c>
      <c r="BD1541">
        <f t="shared" si="388"/>
        <v>5064075</v>
      </c>
      <c r="BE1541" s="1">
        <v>4</v>
      </c>
      <c r="BF1541" s="1">
        <v>1</v>
      </c>
      <c r="BI1541">
        <v>32.78</v>
      </c>
      <c r="BJ1541">
        <v>0.15</v>
      </c>
      <c r="BK1541">
        <v>32.619999999999997</v>
      </c>
      <c r="BP1541" s="63">
        <v>40</v>
      </c>
      <c r="BQ1541" s="63"/>
      <c r="BR1541">
        <v>35</v>
      </c>
    </row>
    <row r="1542" spans="1:70" hidden="1" outlineLevel="1">
      <c r="A1542" t="s">
        <v>529</v>
      </c>
      <c r="B1542" s="8" t="s">
        <v>2016</v>
      </c>
      <c r="C1542" s="1">
        <f t="shared" si="380"/>
        <v>4786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381"/>
        <v>6</v>
      </c>
      <c r="G1542" s="1">
        <f t="shared" si="382"/>
        <v>2449</v>
      </c>
      <c r="H1542" s="2">
        <f t="shared" si="389"/>
        <v>0.51170079398244883</v>
      </c>
      <c r="I1542" s="6"/>
      <c r="J1542" s="2">
        <f t="shared" si="383"/>
        <v>0.70831592143752609</v>
      </c>
      <c r="K1542" s="2">
        <f t="shared" si="384"/>
        <v>0.19661512745507731</v>
      </c>
      <c r="L1542" s="2">
        <f t="shared" si="385"/>
        <v>1.6715419974926871E-3</v>
      </c>
      <c r="M1542" s="2">
        <f t="shared" si="386"/>
        <v>9.339740910990392E-2</v>
      </c>
      <c r="N1542" s="63">
        <v>3390</v>
      </c>
      <c r="O1542" s="63">
        <v>941</v>
      </c>
      <c r="P1542" s="63">
        <v>8</v>
      </c>
      <c r="Q1542" s="63">
        <v>111</v>
      </c>
      <c r="R1542" s="63">
        <v>79</v>
      </c>
      <c r="S1542" s="63">
        <v>0</v>
      </c>
      <c r="T1542" s="63">
        <v>8</v>
      </c>
      <c r="U1542" s="63"/>
      <c r="V1542" s="63">
        <v>2</v>
      </c>
      <c r="W1542" s="63">
        <f t="shared" si="387"/>
        <v>247</v>
      </c>
      <c r="X1542" s="63"/>
      <c r="Y1542" s="63"/>
      <c r="Z1542" s="63"/>
      <c r="AA1542" s="63"/>
      <c r="AB1542" s="63"/>
      <c r="AT1542" t="str">
        <f t="shared" si="379"/>
        <v>Shelburne</v>
      </c>
      <c r="AU1542" t="s">
        <v>3175</v>
      </c>
      <c r="AV1542">
        <v>1</v>
      </c>
      <c r="AX1542" s="114">
        <v>50</v>
      </c>
      <c r="AY1542" s="116">
        <v>7</v>
      </c>
      <c r="AZ1542" s="116">
        <v>65</v>
      </c>
      <c r="BA1542" s="120">
        <v>64300</v>
      </c>
      <c r="BB1542" s="120">
        <f t="shared" si="390"/>
        <v>50007</v>
      </c>
      <c r="BC1542" s="8" t="s">
        <v>1472</v>
      </c>
      <c r="BD1542">
        <f t="shared" si="388"/>
        <v>5064300</v>
      </c>
      <c r="BE1542" s="1">
        <v>90</v>
      </c>
      <c r="BF1542" s="1">
        <v>13</v>
      </c>
      <c r="BI1542">
        <v>44.89</v>
      </c>
      <c r="BJ1542">
        <v>20.58</v>
      </c>
      <c r="BK1542">
        <v>24.31</v>
      </c>
      <c r="BP1542" s="63">
        <v>255</v>
      </c>
      <c r="BQ1542" s="63"/>
      <c r="BR1542">
        <v>186</v>
      </c>
    </row>
    <row r="1543" spans="1:70" hidden="1" outlineLevel="1">
      <c r="A1543" t="s">
        <v>984</v>
      </c>
      <c r="B1543" s="8" t="s">
        <v>2016</v>
      </c>
      <c r="C1543" s="1">
        <f t="shared" si="380"/>
        <v>815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 t="shared" si="381"/>
        <v>6</v>
      </c>
      <c r="G1543" s="1">
        <f t="shared" si="382"/>
        <v>72</v>
      </c>
      <c r="H1543" s="2">
        <f t="shared" si="389"/>
        <v>8.8343558282208592E-2</v>
      </c>
      <c r="I1543" s="6"/>
      <c r="J1543" s="2">
        <f t="shared" si="383"/>
        <v>0.37423312883435583</v>
      </c>
      <c r="K1543" s="2">
        <f t="shared" si="384"/>
        <v>0.46257668711656441</v>
      </c>
      <c r="L1543" s="2">
        <f t="shared" si="385"/>
        <v>2.4539877300613498E-3</v>
      </c>
      <c r="M1543" s="2">
        <f t="shared" si="386"/>
        <v>0.16073619631901834</v>
      </c>
      <c r="N1543" s="63">
        <v>305</v>
      </c>
      <c r="O1543" s="63">
        <v>377</v>
      </c>
      <c r="P1543" s="63">
        <v>2</v>
      </c>
      <c r="Q1543" s="63">
        <v>31</v>
      </c>
      <c r="R1543" s="63">
        <v>11</v>
      </c>
      <c r="S1543" s="63">
        <v>1</v>
      </c>
      <c r="T1543" s="63">
        <v>2</v>
      </c>
      <c r="U1543" s="63"/>
      <c r="V1543" s="63">
        <v>1</v>
      </c>
      <c r="W1543" s="63">
        <f t="shared" si="387"/>
        <v>85</v>
      </c>
      <c r="X1543" s="63"/>
      <c r="Y1543" s="63"/>
      <c r="Z1543" s="63"/>
      <c r="AA1543" s="63"/>
      <c r="AB1543" s="63"/>
      <c r="AT1543" t="str">
        <f t="shared" si="379"/>
        <v>Sheldon</v>
      </c>
      <c r="AU1543" t="s">
        <v>1138</v>
      </c>
      <c r="AV1543">
        <v>1</v>
      </c>
      <c r="AX1543" s="114">
        <v>50</v>
      </c>
      <c r="AY1543" s="116">
        <v>11</v>
      </c>
      <c r="AZ1543" s="116">
        <v>75</v>
      </c>
      <c r="BA1543" s="120">
        <v>64600</v>
      </c>
      <c r="BB1543" s="120">
        <f t="shared" si="390"/>
        <v>50011</v>
      </c>
      <c r="BC1543" s="8" t="s">
        <v>1472</v>
      </c>
      <c r="BD1543">
        <f t="shared" si="388"/>
        <v>5064600</v>
      </c>
      <c r="BE1543" s="1">
        <v>11</v>
      </c>
      <c r="BF1543" s="1">
        <v>0</v>
      </c>
      <c r="BI1543">
        <v>39.32</v>
      </c>
      <c r="BJ1543">
        <v>0.67</v>
      </c>
      <c r="BK1543">
        <v>38.659999999999997</v>
      </c>
      <c r="BP1543" s="63">
        <v>88</v>
      </c>
      <c r="BQ1543" s="63"/>
      <c r="BR1543">
        <v>73</v>
      </c>
    </row>
    <row r="1544" spans="1:70" hidden="1" outlineLevel="1">
      <c r="A1544" t="s">
        <v>989</v>
      </c>
      <c r="B1544" s="8" t="s">
        <v>2016</v>
      </c>
      <c r="C1544" s="1">
        <f t="shared" si="380"/>
        <v>650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381"/>
        <v>6</v>
      </c>
      <c r="G1544" s="1">
        <f t="shared" si="382"/>
        <v>145</v>
      </c>
      <c r="H1544" s="2">
        <f t="shared" si="389"/>
        <v>0.22307692307692309</v>
      </c>
      <c r="I1544" s="6"/>
      <c r="J1544" s="2">
        <f t="shared" si="383"/>
        <v>0.5476923076923077</v>
      </c>
      <c r="K1544" s="2">
        <f t="shared" si="384"/>
        <v>0.32461538461538464</v>
      </c>
      <c r="L1544" s="2">
        <f t="shared" si="385"/>
        <v>4.6153846153846158E-3</v>
      </c>
      <c r="M1544" s="2">
        <f t="shared" si="386"/>
        <v>0.12307692307692304</v>
      </c>
      <c r="N1544" s="63">
        <v>356</v>
      </c>
      <c r="O1544" s="63">
        <v>211</v>
      </c>
      <c r="P1544" s="63">
        <v>3</v>
      </c>
      <c r="Q1544" s="63">
        <v>19</v>
      </c>
      <c r="R1544" s="63">
        <v>13</v>
      </c>
      <c r="S1544" s="63">
        <v>0</v>
      </c>
      <c r="T1544" s="63">
        <v>1</v>
      </c>
      <c r="U1544" s="63"/>
      <c r="V1544" s="63">
        <v>0</v>
      </c>
      <c r="W1544" s="63">
        <f t="shared" si="387"/>
        <v>47</v>
      </c>
      <c r="X1544" s="63"/>
      <c r="Y1544" s="63"/>
      <c r="Z1544" s="63"/>
      <c r="AA1544" s="63"/>
      <c r="AB1544" s="63"/>
      <c r="AT1544" t="str">
        <f t="shared" si="379"/>
        <v>Shoreham</v>
      </c>
      <c r="AU1544" t="s">
        <v>1346</v>
      </c>
      <c r="AV1544">
        <v>1</v>
      </c>
      <c r="AX1544" s="114">
        <v>50</v>
      </c>
      <c r="AY1544" s="116">
        <v>1</v>
      </c>
      <c r="AZ1544" s="116">
        <v>90</v>
      </c>
      <c r="BA1544" s="120">
        <v>65050</v>
      </c>
      <c r="BB1544" s="120">
        <f t="shared" si="390"/>
        <v>50001</v>
      </c>
      <c r="BC1544" s="8" t="s">
        <v>1472</v>
      </c>
      <c r="BD1544">
        <f t="shared" si="388"/>
        <v>5065050</v>
      </c>
      <c r="BE1544" s="1">
        <v>9</v>
      </c>
      <c r="BF1544" s="1">
        <v>0</v>
      </c>
      <c r="BI1544">
        <v>46.32</v>
      </c>
      <c r="BJ1544">
        <v>2.82</v>
      </c>
      <c r="BK1544">
        <v>43.5</v>
      </c>
      <c r="BP1544" s="63">
        <v>50</v>
      </c>
      <c r="BQ1544" s="63"/>
      <c r="BR1544">
        <v>39</v>
      </c>
    </row>
    <row r="1545" spans="1:70" hidden="1" outlineLevel="1">
      <c r="A1545" t="s">
        <v>960</v>
      </c>
      <c r="B1545" s="8" t="s">
        <v>2016</v>
      </c>
      <c r="C1545" s="1">
        <f t="shared" si="380"/>
        <v>661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381"/>
        <v>6</v>
      </c>
      <c r="G1545" s="1">
        <f t="shared" si="382"/>
        <v>56</v>
      </c>
      <c r="H1545" s="2">
        <f t="shared" si="389"/>
        <v>8.4720121028744322E-2</v>
      </c>
      <c r="I1545" s="6"/>
      <c r="J1545" s="2">
        <f t="shared" si="383"/>
        <v>0.49167927382753401</v>
      </c>
      <c r="K1545" s="2">
        <f t="shared" si="384"/>
        <v>0.40695915279878969</v>
      </c>
      <c r="L1545" s="2">
        <f t="shared" si="385"/>
        <v>6.0514372163388806E-3</v>
      </c>
      <c r="M1545" s="2">
        <f t="shared" si="386"/>
        <v>9.5310136157337466E-2</v>
      </c>
      <c r="N1545" s="63">
        <v>325</v>
      </c>
      <c r="O1545" s="63">
        <v>269</v>
      </c>
      <c r="P1545" s="63">
        <v>4</v>
      </c>
      <c r="Q1545" s="63">
        <v>16</v>
      </c>
      <c r="R1545" s="63">
        <v>9</v>
      </c>
      <c r="S1545" s="63">
        <v>0</v>
      </c>
      <c r="T1545" s="63">
        <v>1</v>
      </c>
      <c r="U1545" s="63"/>
      <c r="V1545" s="63">
        <v>2</v>
      </c>
      <c r="W1545" s="63">
        <f t="shared" si="387"/>
        <v>35</v>
      </c>
      <c r="X1545" s="63"/>
      <c r="Y1545" s="63"/>
      <c r="Z1545" s="63"/>
      <c r="AA1545" s="63"/>
      <c r="AB1545" s="63"/>
      <c r="AT1545" t="str">
        <f t="shared" si="379"/>
        <v>Shrewsbury</v>
      </c>
      <c r="AU1545" t="s">
        <v>589</v>
      </c>
      <c r="AV1545">
        <v>1</v>
      </c>
      <c r="AX1545" s="114">
        <v>50</v>
      </c>
      <c r="AY1545" s="116">
        <v>21</v>
      </c>
      <c r="AZ1545" s="116">
        <v>110</v>
      </c>
      <c r="BA1545" s="120">
        <v>65275</v>
      </c>
      <c r="BB1545" s="120">
        <f t="shared" si="390"/>
        <v>50021</v>
      </c>
      <c r="BC1545" s="8" t="s">
        <v>1472</v>
      </c>
      <c r="BD1545">
        <f t="shared" si="388"/>
        <v>5065275</v>
      </c>
      <c r="BE1545" s="1">
        <v>6</v>
      </c>
      <c r="BF1545" s="1">
        <v>5</v>
      </c>
      <c r="BI1545">
        <v>50.19</v>
      </c>
      <c r="BJ1545">
        <v>0.14000000000000001</v>
      </c>
      <c r="BK1545">
        <v>50.05</v>
      </c>
      <c r="BP1545" s="63">
        <v>39</v>
      </c>
      <c r="BQ1545" s="63"/>
      <c r="BR1545">
        <v>28</v>
      </c>
    </row>
    <row r="1546" spans="1:70" hidden="1" outlineLevel="1">
      <c r="A1546" t="s">
        <v>197</v>
      </c>
      <c r="B1546" s="8" t="s">
        <v>2016</v>
      </c>
      <c r="C1546" s="1">
        <f t="shared" si="380"/>
        <v>10400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381"/>
        <v>6</v>
      </c>
      <c r="G1546" s="1">
        <f t="shared" si="382"/>
        <v>5187</v>
      </c>
      <c r="H1546" s="2">
        <f t="shared" si="389"/>
        <v>0.49875000000000003</v>
      </c>
      <c r="I1546" s="6"/>
      <c r="J1546" s="2">
        <f t="shared" si="383"/>
        <v>0.69673076923076926</v>
      </c>
      <c r="K1546" s="2">
        <f t="shared" si="384"/>
        <v>0.19798076923076924</v>
      </c>
      <c r="L1546" s="2">
        <f t="shared" si="385"/>
        <v>3.4615384615384616E-3</v>
      </c>
      <c r="M1546" s="2">
        <f t="shared" si="386"/>
        <v>0.10182692307692304</v>
      </c>
      <c r="N1546" s="63">
        <v>7246</v>
      </c>
      <c r="O1546" s="63">
        <v>2059</v>
      </c>
      <c r="P1546" s="63">
        <v>36</v>
      </c>
      <c r="Q1546" s="63">
        <v>322</v>
      </c>
      <c r="R1546" s="63">
        <v>196</v>
      </c>
      <c r="S1546" s="63">
        <v>1</v>
      </c>
      <c r="T1546" s="63">
        <v>19</v>
      </c>
      <c r="U1546" s="63"/>
      <c r="V1546" s="63">
        <v>4</v>
      </c>
      <c r="W1546" s="63">
        <f t="shared" si="387"/>
        <v>517</v>
      </c>
      <c r="X1546" s="63"/>
      <c r="Y1546" s="63"/>
      <c r="Z1546" s="63"/>
      <c r="AA1546" s="63"/>
      <c r="AB1546" s="63"/>
      <c r="AT1546" t="str">
        <f t="shared" si="379"/>
        <v>South Burlington</v>
      </c>
      <c r="AU1546" t="s">
        <v>3175</v>
      </c>
      <c r="AV1546">
        <v>1</v>
      </c>
      <c r="AX1546" s="114">
        <v>50</v>
      </c>
      <c r="AY1546" s="116">
        <v>7</v>
      </c>
      <c r="AZ1546" s="116">
        <v>70</v>
      </c>
      <c r="BA1546" s="120">
        <v>66175</v>
      </c>
      <c r="BB1546" s="120">
        <f t="shared" si="390"/>
        <v>50007</v>
      </c>
      <c r="BC1546" s="8" t="s">
        <v>1249</v>
      </c>
      <c r="BD1546">
        <f t="shared" si="388"/>
        <v>5066175</v>
      </c>
      <c r="BE1546" s="1">
        <v>97</v>
      </c>
      <c r="BF1546" s="1">
        <v>85</v>
      </c>
      <c r="BI1546">
        <v>29.62</v>
      </c>
      <c r="BJ1546">
        <v>12.98</v>
      </c>
      <c r="BK1546">
        <v>16.64</v>
      </c>
      <c r="BP1546" s="63">
        <v>554</v>
      </c>
      <c r="BQ1546" s="63"/>
      <c r="BR1546">
        <v>411</v>
      </c>
    </row>
    <row r="1547" spans="1:70" hidden="1" outlineLevel="1">
      <c r="A1547" t="s">
        <v>198</v>
      </c>
      <c r="B1547" s="8" t="s">
        <v>2016</v>
      </c>
      <c r="C1547" s="1">
        <f t="shared" si="380"/>
        <v>1120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381"/>
        <v>0</v>
      </c>
      <c r="G1547" s="1">
        <f t="shared" si="382"/>
        <v>371</v>
      </c>
      <c r="H1547" s="2">
        <f t="shared" si="389"/>
        <v>0.33124999999999999</v>
      </c>
      <c r="I1547" s="6"/>
      <c r="J1547" s="2">
        <f t="shared" si="383"/>
        <v>0.6</v>
      </c>
      <c r="K1547" s="2">
        <f t="shared" si="384"/>
        <v>0.26874999999999999</v>
      </c>
      <c r="L1547" s="2">
        <f t="shared" si="385"/>
        <v>0</v>
      </c>
      <c r="M1547" s="2">
        <f t="shared" si="386"/>
        <v>0.13125000000000003</v>
      </c>
      <c r="N1547" s="63">
        <v>672</v>
      </c>
      <c r="O1547" s="63">
        <v>301</v>
      </c>
      <c r="P1547" s="63">
        <v>0</v>
      </c>
      <c r="Q1547" s="63">
        <v>36</v>
      </c>
      <c r="R1547" s="63">
        <v>18</v>
      </c>
      <c r="S1547" s="63">
        <v>0</v>
      </c>
      <c r="T1547" s="63">
        <v>3</v>
      </c>
      <c r="U1547" s="63"/>
      <c r="V1547" s="63">
        <v>0</v>
      </c>
      <c r="W1547" s="63">
        <f t="shared" si="387"/>
        <v>90</v>
      </c>
      <c r="X1547" s="63"/>
      <c r="Y1547" s="63"/>
      <c r="Z1547" s="63"/>
      <c r="AA1547" s="63"/>
      <c r="AB1547" s="63"/>
      <c r="AT1547" t="str">
        <f t="shared" si="379"/>
        <v>South Hero</v>
      </c>
      <c r="AU1547" t="s">
        <v>3176</v>
      </c>
      <c r="AV1547">
        <v>1</v>
      </c>
      <c r="AX1547" s="114">
        <v>50</v>
      </c>
      <c r="AY1547" s="116">
        <v>13</v>
      </c>
      <c r="AZ1547" s="116">
        <v>25</v>
      </c>
      <c r="BA1547" s="120">
        <v>67000</v>
      </c>
      <c r="BB1547" s="120">
        <f t="shared" si="390"/>
        <v>50013</v>
      </c>
      <c r="BC1547" s="8" t="s">
        <v>1472</v>
      </c>
      <c r="BD1547">
        <f t="shared" si="388"/>
        <v>5067000</v>
      </c>
      <c r="BE1547" s="1">
        <v>24</v>
      </c>
      <c r="BF1547" s="1">
        <v>4</v>
      </c>
      <c r="BI1547">
        <v>47.5</v>
      </c>
      <c r="BJ1547">
        <v>32.4</v>
      </c>
      <c r="BK1547">
        <v>15.1</v>
      </c>
      <c r="BP1547" s="63">
        <v>90</v>
      </c>
      <c r="BQ1547" s="63"/>
      <c r="BR1547">
        <v>75</v>
      </c>
    </row>
    <row r="1548" spans="1:70" hidden="1" outlineLevel="1">
      <c r="A1548" t="s">
        <v>1995</v>
      </c>
      <c r="B1548" s="8" t="s">
        <v>2016</v>
      </c>
      <c r="C1548" s="1">
        <f t="shared" si="380"/>
        <v>3953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381"/>
        <v>7</v>
      </c>
      <c r="G1548" s="1">
        <f t="shared" si="382"/>
        <v>363</v>
      </c>
      <c r="H1548" s="2">
        <f t="shared" si="389"/>
        <v>9.1828990640020244E-2</v>
      </c>
      <c r="I1548" s="6"/>
      <c r="J1548" s="2">
        <f t="shared" si="383"/>
        <v>0.473817353908424</v>
      </c>
      <c r="K1548" s="2">
        <f t="shared" si="384"/>
        <v>0.38198836326840374</v>
      </c>
      <c r="L1548" s="2">
        <f t="shared" si="385"/>
        <v>2.2767518340500886E-3</v>
      </c>
      <c r="M1548" s="2">
        <f t="shared" si="386"/>
        <v>0.1419175309891221</v>
      </c>
      <c r="N1548" s="63">
        <v>1873</v>
      </c>
      <c r="O1548" s="63">
        <v>1510</v>
      </c>
      <c r="P1548" s="63">
        <v>9</v>
      </c>
      <c r="Q1548" s="63">
        <v>144</v>
      </c>
      <c r="R1548" s="63">
        <v>85</v>
      </c>
      <c r="S1548" s="63">
        <v>0</v>
      </c>
      <c r="T1548" s="63">
        <v>18</v>
      </c>
      <c r="U1548" s="63"/>
      <c r="V1548" s="63">
        <v>2</v>
      </c>
      <c r="W1548" s="63">
        <f t="shared" si="387"/>
        <v>311</v>
      </c>
      <c r="X1548" s="63"/>
      <c r="Y1548" s="63"/>
      <c r="Z1548" s="63"/>
      <c r="AA1548" s="63"/>
      <c r="AB1548" s="63"/>
      <c r="AN1548">
        <v>1</v>
      </c>
      <c r="AT1548" t="str">
        <f t="shared" si="379"/>
        <v>Springfield</v>
      </c>
      <c r="AU1548" t="s">
        <v>2282</v>
      </c>
      <c r="AV1548">
        <v>1</v>
      </c>
      <c r="AX1548" s="114">
        <v>50</v>
      </c>
      <c r="AY1548" s="116">
        <v>27</v>
      </c>
      <c r="AZ1548" s="116">
        <v>90</v>
      </c>
      <c r="BA1548" s="120">
        <v>69550</v>
      </c>
      <c r="BB1548" s="120">
        <f t="shared" si="390"/>
        <v>50027</v>
      </c>
      <c r="BC1548" s="8" t="s">
        <v>1472</v>
      </c>
      <c r="BD1548">
        <f t="shared" si="388"/>
        <v>5069550</v>
      </c>
      <c r="BE1548" s="1">
        <v>34</v>
      </c>
      <c r="BF1548" s="1">
        <v>11</v>
      </c>
      <c r="BI1548">
        <v>49.46</v>
      </c>
      <c r="BJ1548">
        <v>0.15</v>
      </c>
      <c r="BK1548">
        <v>49.32</v>
      </c>
      <c r="BP1548" s="63">
        <v>321</v>
      </c>
      <c r="BQ1548" s="63"/>
      <c r="BR1548">
        <v>276</v>
      </c>
    </row>
    <row r="1549" spans="1:70" hidden="1" outlineLevel="1">
      <c r="A1549" t="s">
        <v>57</v>
      </c>
      <c r="B1549" s="8" t="s">
        <v>2016</v>
      </c>
      <c r="C1549" s="1">
        <f t="shared" si="380"/>
        <v>474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 t="shared" si="381"/>
        <v>0</v>
      </c>
      <c r="G1549" s="1">
        <f t="shared" si="382"/>
        <v>35</v>
      </c>
      <c r="H1549" s="2">
        <f t="shared" si="389"/>
        <v>7.3839662447257384E-2</v>
      </c>
      <c r="I1549" s="6"/>
      <c r="J1549" s="2">
        <f t="shared" si="383"/>
        <v>0.42827004219409281</v>
      </c>
      <c r="K1549" s="2">
        <f t="shared" si="384"/>
        <v>0.50210970464135019</v>
      </c>
      <c r="L1549" s="2">
        <f t="shared" si="385"/>
        <v>0</v>
      </c>
      <c r="M1549" s="2">
        <f t="shared" si="386"/>
        <v>6.9620253164557E-2</v>
      </c>
      <c r="N1549" s="63">
        <v>203</v>
      </c>
      <c r="O1549" s="63">
        <v>238</v>
      </c>
      <c r="P1549" s="63">
        <v>0</v>
      </c>
      <c r="Q1549" s="63">
        <v>16</v>
      </c>
      <c r="R1549" s="63">
        <v>6</v>
      </c>
      <c r="S1549" s="63">
        <v>0</v>
      </c>
      <c r="T1549" s="63">
        <v>1</v>
      </c>
      <c r="U1549" s="63"/>
      <c r="V1549" s="63">
        <v>0</v>
      </c>
      <c r="W1549" s="63">
        <f t="shared" si="387"/>
        <v>10</v>
      </c>
      <c r="X1549" s="63"/>
      <c r="Y1549" s="63"/>
      <c r="Z1549" s="63"/>
      <c r="AA1549" s="63"/>
      <c r="AB1549" s="63"/>
      <c r="AT1549" t="str">
        <f t="shared" si="379"/>
        <v>Stamford</v>
      </c>
      <c r="AU1549" t="s">
        <v>951</v>
      </c>
      <c r="AV1549">
        <v>1</v>
      </c>
      <c r="AX1549" s="114">
        <v>50</v>
      </c>
      <c r="AY1549" s="116">
        <v>3</v>
      </c>
      <c r="AZ1549" s="116">
        <v>65</v>
      </c>
      <c r="BA1549" s="120">
        <v>69775</v>
      </c>
      <c r="BB1549" s="120">
        <f t="shared" si="390"/>
        <v>50003</v>
      </c>
      <c r="BC1549" s="8" t="s">
        <v>1472</v>
      </c>
      <c r="BD1549">
        <f t="shared" si="388"/>
        <v>5069775</v>
      </c>
      <c r="BE1549" s="1">
        <v>4</v>
      </c>
      <c r="BF1549" s="1">
        <v>3</v>
      </c>
      <c r="BI1549">
        <v>39.630000000000003</v>
      </c>
      <c r="BJ1549">
        <v>0.1</v>
      </c>
      <c r="BK1549">
        <v>39.520000000000003</v>
      </c>
      <c r="BP1549" s="63">
        <v>10</v>
      </c>
      <c r="BQ1549" s="63"/>
      <c r="BR1549">
        <v>9</v>
      </c>
    </row>
    <row r="1550" spans="1:70" hidden="1" outlineLevel="1">
      <c r="A1550" t="s">
        <v>1867</v>
      </c>
      <c r="B1550" s="8" t="s">
        <v>2016</v>
      </c>
      <c r="C1550" s="1">
        <f t="shared" si="380"/>
        <v>100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381"/>
        <v>0</v>
      </c>
      <c r="G1550" s="1">
        <f t="shared" si="382"/>
        <v>36</v>
      </c>
      <c r="H1550" s="2">
        <f t="shared" si="389"/>
        <v>0.36</v>
      </c>
      <c r="I1550" s="6"/>
      <c r="J1550" s="2">
        <f t="shared" si="383"/>
        <v>0.57999999999999996</v>
      </c>
      <c r="K1550" s="2">
        <f t="shared" si="384"/>
        <v>0.22</v>
      </c>
      <c r="L1550" s="2">
        <f t="shared" si="385"/>
        <v>0</v>
      </c>
      <c r="M1550" s="2">
        <f t="shared" si="386"/>
        <v>0.20000000000000004</v>
      </c>
      <c r="N1550" s="63">
        <v>58</v>
      </c>
      <c r="O1550" s="63">
        <v>22</v>
      </c>
      <c r="P1550" s="63">
        <v>0</v>
      </c>
      <c r="Q1550" s="63">
        <v>5</v>
      </c>
      <c r="R1550" s="63">
        <v>1</v>
      </c>
      <c r="S1550" s="63">
        <v>0</v>
      </c>
      <c r="T1550" s="63">
        <v>1</v>
      </c>
      <c r="U1550" s="63"/>
      <c r="V1550" s="63">
        <v>0</v>
      </c>
      <c r="W1550" s="63">
        <f t="shared" si="387"/>
        <v>13</v>
      </c>
      <c r="X1550" s="63"/>
      <c r="Y1550" s="63"/>
      <c r="Z1550" s="63"/>
      <c r="AA1550" s="63"/>
      <c r="AB1550" s="63"/>
      <c r="AT1550" t="str">
        <f t="shared" si="379"/>
        <v>Stannard</v>
      </c>
      <c r="AU1550" t="s">
        <v>681</v>
      </c>
      <c r="AV1550">
        <v>1</v>
      </c>
      <c r="AX1550" s="114">
        <v>50</v>
      </c>
      <c r="AY1550" s="116">
        <v>5</v>
      </c>
      <c r="AZ1550" s="116">
        <v>65</v>
      </c>
      <c r="BA1550" s="120">
        <v>69925</v>
      </c>
      <c r="BB1550" s="120">
        <f t="shared" si="390"/>
        <v>50005</v>
      </c>
      <c r="BC1550" s="8" t="s">
        <v>1472</v>
      </c>
      <c r="BD1550">
        <f t="shared" si="388"/>
        <v>5069925</v>
      </c>
      <c r="BE1550" s="1">
        <v>1</v>
      </c>
      <c r="BF1550" s="1">
        <v>2</v>
      </c>
      <c r="BI1550">
        <v>12.54</v>
      </c>
      <c r="BJ1550">
        <v>0.03</v>
      </c>
      <c r="BK1550">
        <v>12.51</v>
      </c>
      <c r="BP1550" s="63">
        <v>13</v>
      </c>
      <c r="BQ1550" s="63"/>
      <c r="BR1550">
        <v>12</v>
      </c>
    </row>
    <row r="1551" spans="1:70" hidden="1" outlineLevel="1">
      <c r="A1551" t="s">
        <v>2803</v>
      </c>
      <c r="B1551" s="8" t="s">
        <v>2016</v>
      </c>
      <c r="C1551" s="1">
        <f t="shared" si="380"/>
        <v>931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381"/>
        <v>7</v>
      </c>
      <c r="G1551" s="1">
        <f t="shared" si="382"/>
        <v>278</v>
      </c>
      <c r="H1551" s="2">
        <f t="shared" si="389"/>
        <v>0.29860365198711064</v>
      </c>
      <c r="I1551" s="6"/>
      <c r="J1551" s="2">
        <f t="shared" si="383"/>
        <v>0.57357679914070892</v>
      </c>
      <c r="K1551" s="2">
        <f t="shared" si="384"/>
        <v>0.27497314715359827</v>
      </c>
      <c r="L1551" s="2">
        <f t="shared" si="385"/>
        <v>1.0741138560687433E-3</v>
      </c>
      <c r="M1551" s="2">
        <f t="shared" si="386"/>
        <v>0.15037593984962408</v>
      </c>
      <c r="N1551" s="63">
        <v>534</v>
      </c>
      <c r="O1551" s="63">
        <v>256</v>
      </c>
      <c r="P1551" s="63">
        <v>1</v>
      </c>
      <c r="Q1551" s="63">
        <v>36</v>
      </c>
      <c r="R1551" s="63">
        <v>24</v>
      </c>
      <c r="S1551" s="63">
        <v>0</v>
      </c>
      <c r="T1551" s="63">
        <v>3</v>
      </c>
      <c r="U1551" s="63"/>
      <c r="V1551" s="63">
        <v>0</v>
      </c>
      <c r="W1551" s="63">
        <f t="shared" si="387"/>
        <v>77</v>
      </c>
      <c r="X1551" s="63"/>
      <c r="Y1551" s="63"/>
      <c r="Z1551" s="63"/>
      <c r="AA1551" s="63"/>
      <c r="AB1551" s="63"/>
      <c r="AT1551" t="str">
        <f t="shared" ref="AT1551:AT1608" si="391">A1551</f>
        <v>Starksboro</v>
      </c>
      <c r="AU1551" t="s">
        <v>1346</v>
      </c>
      <c r="AV1551">
        <v>1</v>
      </c>
      <c r="AX1551" s="114">
        <v>50</v>
      </c>
      <c r="AY1551" s="116">
        <v>1</v>
      </c>
      <c r="AZ1551" s="116">
        <v>95</v>
      </c>
      <c r="BA1551" s="120">
        <v>70075</v>
      </c>
      <c r="BB1551" s="120">
        <f t="shared" si="390"/>
        <v>50001</v>
      </c>
      <c r="BC1551" s="8" t="s">
        <v>1472</v>
      </c>
      <c r="BD1551">
        <f t="shared" si="388"/>
        <v>5070075</v>
      </c>
      <c r="BE1551" s="1">
        <v>12</v>
      </c>
      <c r="BF1551" s="1">
        <v>0</v>
      </c>
      <c r="BI1551">
        <v>45.51</v>
      </c>
      <c r="BJ1551">
        <v>0.05</v>
      </c>
      <c r="BK1551">
        <v>45.47</v>
      </c>
      <c r="BP1551" s="63">
        <v>78</v>
      </c>
      <c r="BQ1551" s="63"/>
      <c r="BR1551">
        <v>67</v>
      </c>
    </row>
    <row r="1552" spans="1:70" hidden="1" outlineLevel="1">
      <c r="A1552" t="s">
        <v>2549</v>
      </c>
      <c r="B1552" s="8" t="s">
        <v>2016</v>
      </c>
      <c r="C1552" s="1">
        <f t="shared" si="380"/>
        <v>426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381"/>
        <v>0</v>
      </c>
      <c r="G1552" s="1">
        <f t="shared" si="382"/>
        <v>82</v>
      </c>
      <c r="H1552" s="2">
        <f t="shared" si="389"/>
        <v>0.19248826291079812</v>
      </c>
      <c r="I1552" s="6"/>
      <c r="J1552" s="2">
        <f t="shared" si="383"/>
        <v>0.52112676056338025</v>
      </c>
      <c r="K1552" s="2">
        <f t="shared" si="384"/>
        <v>0.32863849765258218</v>
      </c>
      <c r="L1552" s="2">
        <f t="shared" si="385"/>
        <v>0</v>
      </c>
      <c r="M1552" s="2">
        <f t="shared" si="386"/>
        <v>0.15023474178403756</v>
      </c>
      <c r="N1552" s="63">
        <v>222</v>
      </c>
      <c r="O1552" s="63">
        <v>140</v>
      </c>
      <c r="P1552" s="63">
        <v>0</v>
      </c>
      <c r="Q1552" s="63">
        <v>7</v>
      </c>
      <c r="R1552" s="63">
        <v>13</v>
      </c>
      <c r="S1552" s="63">
        <v>0</v>
      </c>
      <c r="T1552" s="63">
        <v>6</v>
      </c>
      <c r="U1552" s="63"/>
      <c r="V1552" s="63">
        <v>0</v>
      </c>
      <c r="W1552" s="63">
        <f t="shared" si="387"/>
        <v>38</v>
      </c>
      <c r="X1552" s="63"/>
      <c r="Y1552" s="63"/>
      <c r="Z1552" s="63"/>
      <c r="AA1552" s="63"/>
      <c r="AB1552" s="63"/>
      <c r="AT1552" t="str">
        <f t="shared" si="391"/>
        <v>Stockbridge</v>
      </c>
      <c r="AU1552" t="s">
        <v>2282</v>
      </c>
      <c r="AV1552">
        <v>1</v>
      </c>
      <c r="AX1552" s="114">
        <v>50</v>
      </c>
      <c r="AY1552" s="116">
        <v>27</v>
      </c>
      <c r="AZ1552" s="116">
        <v>95</v>
      </c>
      <c r="BA1552" s="120">
        <v>70375</v>
      </c>
      <c r="BB1552" s="120">
        <f t="shared" si="390"/>
        <v>50027</v>
      </c>
      <c r="BC1552" s="8" t="s">
        <v>1472</v>
      </c>
      <c r="BD1552">
        <f t="shared" si="388"/>
        <v>5070375</v>
      </c>
      <c r="BE1552" s="1">
        <v>3</v>
      </c>
      <c r="BF1552" s="1">
        <v>2</v>
      </c>
      <c r="BI1552">
        <v>46.17</v>
      </c>
      <c r="BJ1552">
        <v>0.05</v>
      </c>
      <c r="BK1552">
        <v>46.12</v>
      </c>
      <c r="BP1552" s="63">
        <v>38</v>
      </c>
      <c r="BQ1552" s="63"/>
      <c r="BR1552">
        <v>33</v>
      </c>
    </row>
    <row r="1553" spans="1:70" hidden="1" outlineLevel="1">
      <c r="A1553" t="s">
        <v>1128</v>
      </c>
      <c r="B1553" s="8" t="s">
        <v>2016</v>
      </c>
      <c r="C1553" s="1">
        <f t="shared" si="380"/>
        <v>2841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381"/>
        <v>6</v>
      </c>
      <c r="G1553" s="1">
        <f t="shared" si="382"/>
        <v>1415</v>
      </c>
      <c r="H1553" s="2">
        <f t="shared" si="389"/>
        <v>0.49806406195001762</v>
      </c>
      <c r="I1553" s="6"/>
      <c r="J1553" s="2">
        <f t="shared" si="383"/>
        <v>0.69482576557550157</v>
      </c>
      <c r="K1553" s="2">
        <f t="shared" si="384"/>
        <v>0.19676170362548398</v>
      </c>
      <c r="L1553" s="2">
        <f t="shared" si="385"/>
        <v>1.7599436818021823E-3</v>
      </c>
      <c r="M1553" s="2">
        <f t="shared" si="386"/>
        <v>0.10665258711721226</v>
      </c>
      <c r="N1553" s="63">
        <v>1974</v>
      </c>
      <c r="O1553" s="63">
        <v>559</v>
      </c>
      <c r="P1553" s="63">
        <v>5</v>
      </c>
      <c r="Q1553" s="63">
        <v>113</v>
      </c>
      <c r="R1553" s="63">
        <v>39</v>
      </c>
      <c r="S1553" s="63">
        <v>1</v>
      </c>
      <c r="T1553" s="63">
        <v>3</v>
      </c>
      <c r="U1553" s="63"/>
      <c r="V1553" s="63">
        <v>0</v>
      </c>
      <c r="W1553" s="63">
        <f t="shared" si="387"/>
        <v>147</v>
      </c>
      <c r="X1553" s="63"/>
      <c r="Y1553" s="63"/>
      <c r="Z1553" s="63"/>
      <c r="AA1553" s="63"/>
      <c r="AB1553" s="63"/>
      <c r="AT1553" t="str">
        <f t="shared" si="391"/>
        <v>Stowe</v>
      </c>
      <c r="AU1553" t="s">
        <v>2768</v>
      </c>
      <c r="AV1553">
        <v>1</v>
      </c>
      <c r="AX1553" s="114">
        <v>50</v>
      </c>
      <c r="AY1553" s="116">
        <v>15</v>
      </c>
      <c r="AZ1553" s="116">
        <v>40</v>
      </c>
      <c r="BA1553" s="120">
        <v>70525</v>
      </c>
      <c r="BB1553" s="120">
        <f t="shared" si="390"/>
        <v>50015</v>
      </c>
      <c r="BC1553" s="8" t="s">
        <v>1472</v>
      </c>
      <c r="BD1553">
        <f t="shared" si="388"/>
        <v>5070525</v>
      </c>
      <c r="BE1553" s="1">
        <v>44</v>
      </c>
      <c r="BF1553" s="1">
        <v>8</v>
      </c>
      <c r="BI1553">
        <v>72.739999999999995</v>
      </c>
      <c r="BJ1553">
        <v>7.0000000000000007E-2</v>
      </c>
      <c r="BK1553">
        <v>72.680000000000007</v>
      </c>
      <c r="BP1553" s="63">
        <v>153</v>
      </c>
      <c r="BQ1553" s="63"/>
      <c r="BR1553">
        <v>102</v>
      </c>
    </row>
    <row r="1554" spans="1:70" hidden="1" outlineLevel="1">
      <c r="A1554" t="s">
        <v>2035</v>
      </c>
      <c r="B1554" s="8" t="s">
        <v>2016</v>
      </c>
      <c r="C1554" s="1">
        <f t="shared" ref="C1554:C1608" si="392">SUM(N1554:AR1554)</f>
        <v>693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ref="F1554:F1608" si="393">IF(P1554&gt;0,RANK(P1554,(N1554:AE1554)),0)</f>
        <v>6</v>
      </c>
      <c r="G1554" s="1">
        <f t="shared" ref="G1554:G1608" si="394">IF(C1554&gt;0,MAX(N1554:P1554)-LARGE(N1554:P1554,2),0)</f>
        <v>395</v>
      </c>
      <c r="H1554" s="2">
        <f t="shared" si="389"/>
        <v>0.56998556998557004</v>
      </c>
      <c r="I1554" s="6"/>
      <c r="J1554" s="2">
        <f t="shared" ref="J1554:J1608" si="395">IF(C1554=0,"-",N1554/C1554)</f>
        <v>0.72150072150072153</v>
      </c>
      <c r="K1554" s="2">
        <f t="shared" ref="K1554:K1608" si="396">IF(C1554=0,"-",O1554/C1554)</f>
        <v>0.15151515151515152</v>
      </c>
      <c r="L1554" s="2">
        <f t="shared" ref="L1554:L1608" si="397">IF(C1554=0,"-",P1554/C1554)</f>
        <v>1.443001443001443E-3</v>
      </c>
      <c r="M1554" s="2">
        <f t="shared" ref="M1554:M1608" si="398">IF(C1554=0,"-",(1-J1554-K1554-L1554))</f>
        <v>0.12554112554112551</v>
      </c>
      <c r="N1554" s="63">
        <v>500</v>
      </c>
      <c r="O1554" s="63">
        <v>105</v>
      </c>
      <c r="P1554" s="63">
        <v>1</v>
      </c>
      <c r="Q1554" s="63">
        <v>24</v>
      </c>
      <c r="R1554" s="63">
        <v>30</v>
      </c>
      <c r="S1554" s="63">
        <v>0</v>
      </c>
      <c r="T1554" s="63">
        <v>1</v>
      </c>
      <c r="U1554" s="63"/>
      <c r="V1554" s="63">
        <v>0</v>
      </c>
      <c r="W1554" s="63">
        <f t="shared" ref="W1554:W1606" si="399">BP1554-P1554-S1554-U1554-SUM(X1554:AR1554)</f>
        <v>32</v>
      </c>
      <c r="X1554" s="63"/>
      <c r="Y1554" s="63"/>
      <c r="Z1554" s="63"/>
      <c r="AA1554" s="63"/>
      <c r="AB1554" s="63"/>
      <c r="AT1554" t="str">
        <f t="shared" si="391"/>
        <v>Strafford</v>
      </c>
      <c r="AU1554" t="s">
        <v>2013</v>
      </c>
      <c r="AV1554">
        <v>1</v>
      </c>
      <c r="AX1554" s="114">
        <v>50</v>
      </c>
      <c r="AY1554" s="116">
        <v>17</v>
      </c>
      <c r="AZ1554" s="116">
        <v>50</v>
      </c>
      <c r="BA1554" s="120">
        <v>70675</v>
      </c>
      <c r="BB1554" s="120">
        <f t="shared" si="390"/>
        <v>50017</v>
      </c>
      <c r="BC1554" s="8" t="s">
        <v>1472</v>
      </c>
      <c r="BD1554">
        <f t="shared" ref="BD1554:BD1607" si="400">AX1554*100000+BA1554</f>
        <v>5070675</v>
      </c>
      <c r="BE1554" s="1">
        <v>12</v>
      </c>
      <c r="BF1554" s="1">
        <v>0</v>
      </c>
      <c r="BI1554">
        <v>44.34</v>
      </c>
      <c r="BJ1554">
        <v>0.11</v>
      </c>
      <c r="BK1554">
        <v>44.22</v>
      </c>
      <c r="BP1554" s="63">
        <v>33</v>
      </c>
      <c r="BQ1554" s="63"/>
      <c r="BR1554">
        <v>25</v>
      </c>
    </row>
    <row r="1555" spans="1:70" hidden="1" outlineLevel="1">
      <c r="A1555" t="s">
        <v>1687</v>
      </c>
      <c r="B1555" s="8" t="s">
        <v>2016</v>
      </c>
      <c r="C1555" s="1">
        <f t="shared" si="392"/>
        <v>126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393"/>
        <v>5</v>
      </c>
      <c r="G1555" s="1">
        <f t="shared" si="394"/>
        <v>15</v>
      </c>
      <c r="H1555" s="2">
        <f t="shared" si="389"/>
        <v>0.11904761904761904</v>
      </c>
      <c r="I1555" s="6"/>
      <c r="J1555" s="2">
        <f t="shared" si="395"/>
        <v>0.51587301587301593</v>
      </c>
      <c r="K1555" s="2">
        <f t="shared" si="396"/>
        <v>0.3968253968253968</v>
      </c>
      <c r="L1555" s="2">
        <f t="shared" si="397"/>
        <v>7.9365079365079361E-3</v>
      </c>
      <c r="M1555" s="2">
        <f t="shared" si="398"/>
        <v>7.9365079365079333E-2</v>
      </c>
      <c r="N1555" s="63">
        <v>65</v>
      </c>
      <c r="O1555" s="63">
        <v>50</v>
      </c>
      <c r="P1555" s="63">
        <v>1</v>
      </c>
      <c r="Q1555" s="63">
        <v>2</v>
      </c>
      <c r="R1555" s="63">
        <v>0</v>
      </c>
      <c r="S1555" s="63">
        <v>0</v>
      </c>
      <c r="T1555" s="63">
        <v>1</v>
      </c>
      <c r="U1555" s="63"/>
      <c r="V1555" s="63">
        <v>1</v>
      </c>
      <c r="W1555" s="63">
        <f t="shared" si="399"/>
        <v>6</v>
      </c>
      <c r="X1555" s="63"/>
      <c r="Y1555" s="63"/>
      <c r="Z1555" s="63"/>
      <c r="AA1555" s="63"/>
      <c r="AB1555" s="63"/>
      <c r="AT1555" t="str">
        <f t="shared" si="391"/>
        <v>Stratton</v>
      </c>
      <c r="AU1555" t="s">
        <v>2129</v>
      </c>
      <c r="AV1555">
        <v>1</v>
      </c>
      <c r="AX1555" s="114">
        <v>50</v>
      </c>
      <c r="AY1555" s="116">
        <v>25</v>
      </c>
      <c r="AZ1555" s="116">
        <v>75</v>
      </c>
      <c r="BA1555" s="120">
        <v>70750</v>
      </c>
      <c r="BB1555" s="120">
        <f t="shared" si="390"/>
        <v>50025</v>
      </c>
      <c r="BC1555" s="8" t="s">
        <v>1472</v>
      </c>
      <c r="BD1555">
        <f t="shared" si="400"/>
        <v>5070750</v>
      </c>
      <c r="BE1555" s="1">
        <v>3</v>
      </c>
      <c r="BF1555" s="1">
        <v>0</v>
      </c>
      <c r="BI1555">
        <v>46.93</v>
      </c>
      <c r="BJ1555">
        <v>0.54</v>
      </c>
      <c r="BK1555">
        <v>46.39</v>
      </c>
      <c r="BP1555" s="63">
        <v>7</v>
      </c>
      <c r="BQ1555" s="63"/>
      <c r="BR1555">
        <v>5</v>
      </c>
    </row>
    <row r="1556" spans="1:70" hidden="1" outlineLevel="1">
      <c r="A1556" t="s">
        <v>679</v>
      </c>
      <c r="B1556" s="8" t="s">
        <v>2016</v>
      </c>
      <c r="C1556" s="1">
        <f t="shared" si="392"/>
        <v>319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393"/>
        <v>0</v>
      </c>
      <c r="G1556" s="1">
        <f t="shared" si="394"/>
        <v>41</v>
      </c>
      <c r="H1556" s="2">
        <f t="shared" si="389"/>
        <v>0.12852664576802508</v>
      </c>
      <c r="I1556" s="6"/>
      <c r="J1556" s="2">
        <f t="shared" si="395"/>
        <v>0.5109717868338558</v>
      </c>
      <c r="K1556" s="2">
        <f t="shared" si="396"/>
        <v>0.38244514106583072</v>
      </c>
      <c r="L1556" s="2">
        <f t="shared" si="397"/>
        <v>0</v>
      </c>
      <c r="M1556" s="2">
        <f t="shared" si="398"/>
        <v>0.10658307210031348</v>
      </c>
      <c r="N1556" s="63">
        <v>163</v>
      </c>
      <c r="O1556" s="63">
        <v>122</v>
      </c>
      <c r="P1556" s="63">
        <v>0</v>
      </c>
      <c r="Q1556" s="63">
        <v>12</v>
      </c>
      <c r="R1556" s="63">
        <v>3</v>
      </c>
      <c r="S1556" s="63">
        <v>0</v>
      </c>
      <c r="T1556" s="63">
        <v>2</v>
      </c>
      <c r="U1556" s="63"/>
      <c r="V1556" s="63">
        <v>0</v>
      </c>
      <c r="W1556" s="63">
        <f t="shared" si="399"/>
        <v>17</v>
      </c>
      <c r="X1556" s="63"/>
      <c r="Y1556" s="63"/>
      <c r="Z1556" s="63"/>
      <c r="AA1556" s="63"/>
      <c r="AB1556" s="63"/>
      <c r="AT1556" t="str">
        <f t="shared" si="391"/>
        <v>Sudbury</v>
      </c>
      <c r="AU1556" t="s">
        <v>589</v>
      </c>
      <c r="AV1556">
        <v>1</v>
      </c>
      <c r="AX1556" s="114">
        <v>50</v>
      </c>
      <c r="AY1556" s="116">
        <v>21</v>
      </c>
      <c r="AZ1556" s="116">
        <v>115</v>
      </c>
      <c r="BA1556" s="120">
        <v>71050</v>
      </c>
      <c r="BB1556" s="120">
        <f t="shared" si="390"/>
        <v>50021</v>
      </c>
      <c r="BC1556" s="8" t="s">
        <v>1472</v>
      </c>
      <c r="BD1556">
        <f t="shared" si="400"/>
        <v>5071050</v>
      </c>
      <c r="BE1556" s="1">
        <v>6</v>
      </c>
      <c r="BF1556" s="1">
        <v>1</v>
      </c>
      <c r="BI1556">
        <v>22.2</v>
      </c>
      <c r="BJ1556">
        <v>0.7</v>
      </c>
      <c r="BK1556">
        <v>21.5</v>
      </c>
      <c r="BP1556" s="63">
        <v>17</v>
      </c>
      <c r="BQ1556" s="63"/>
      <c r="BR1556">
        <v>13</v>
      </c>
    </row>
    <row r="1557" spans="1:70" hidden="1" outlineLevel="1">
      <c r="A1557" t="s">
        <v>1084</v>
      </c>
      <c r="B1557" s="8" t="s">
        <v>2016</v>
      </c>
      <c r="C1557" s="1">
        <f t="shared" si="392"/>
        <v>517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393"/>
        <v>7</v>
      </c>
      <c r="G1557" s="1">
        <f t="shared" si="394"/>
        <v>98</v>
      </c>
      <c r="H1557" s="2">
        <f t="shared" si="389"/>
        <v>0.1895551257253385</v>
      </c>
      <c r="I1557" s="6"/>
      <c r="J1557" s="2">
        <f t="shared" si="395"/>
        <v>0.54352030947775631</v>
      </c>
      <c r="K1557" s="2">
        <f t="shared" si="396"/>
        <v>0.35396518375241781</v>
      </c>
      <c r="L1557" s="2">
        <f t="shared" si="397"/>
        <v>3.8684719535783366E-3</v>
      </c>
      <c r="M1557" s="2">
        <f t="shared" si="398"/>
        <v>9.8646034816247535E-2</v>
      </c>
      <c r="N1557" s="63">
        <v>281</v>
      </c>
      <c r="O1557" s="63">
        <v>183</v>
      </c>
      <c r="P1557" s="63">
        <v>2</v>
      </c>
      <c r="Q1557" s="63">
        <v>12</v>
      </c>
      <c r="R1557" s="63">
        <v>6</v>
      </c>
      <c r="S1557" s="63">
        <v>0</v>
      </c>
      <c r="T1557" s="63">
        <v>3</v>
      </c>
      <c r="U1557" s="63"/>
      <c r="V1557" s="63">
        <v>0</v>
      </c>
      <c r="W1557" s="63">
        <f t="shared" si="399"/>
        <v>30</v>
      </c>
      <c r="X1557" s="63"/>
      <c r="Y1557" s="63"/>
      <c r="Z1557" s="63"/>
      <c r="AA1557" s="63"/>
      <c r="AB1557" s="63"/>
      <c r="AT1557" t="str">
        <f t="shared" si="391"/>
        <v>Sunderland</v>
      </c>
      <c r="AU1557" t="s">
        <v>951</v>
      </c>
      <c r="AV1557">
        <v>1</v>
      </c>
      <c r="AX1557" s="114">
        <v>50</v>
      </c>
      <c r="AY1557" s="116">
        <v>3</v>
      </c>
      <c r="AZ1557" s="116">
        <v>70</v>
      </c>
      <c r="BA1557" s="120">
        <v>71425</v>
      </c>
      <c r="BB1557" s="120">
        <f t="shared" si="390"/>
        <v>50003</v>
      </c>
      <c r="BC1557" s="8" t="s">
        <v>1472</v>
      </c>
      <c r="BD1557">
        <f t="shared" si="400"/>
        <v>5071425</v>
      </c>
      <c r="BE1557" s="1">
        <v>9</v>
      </c>
      <c r="BF1557" s="1">
        <v>1</v>
      </c>
      <c r="BI1557">
        <v>45.65</v>
      </c>
      <c r="BJ1557">
        <v>0.25</v>
      </c>
      <c r="BK1557">
        <v>45.4</v>
      </c>
      <c r="BP1557" s="63">
        <v>32</v>
      </c>
      <c r="BQ1557" s="63"/>
      <c r="BR1557">
        <v>27</v>
      </c>
    </row>
    <row r="1558" spans="1:70" hidden="1" outlineLevel="1">
      <c r="A1558" t="s">
        <v>638</v>
      </c>
      <c r="B1558" s="8" t="s">
        <v>2016</v>
      </c>
      <c r="C1558" s="1">
        <f t="shared" si="392"/>
        <v>426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 t="shared" si="393"/>
        <v>0</v>
      </c>
      <c r="G1558" s="1">
        <f t="shared" si="394"/>
        <v>52</v>
      </c>
      <c r="H1558" s="2">
        <f t="shared" si="389"/>
        <v>0.12206572769953052</v>
      </c>
      <c r="I1558" s="6"/>
      <c r="J1558" s="2">
        <f t="shared" si="395"/>
        <v>0.39436619718309857</v>
      </c>
      <c r="K1558" s="2">
        <f t="shared" si="396"/>
        <v>0.51643192488262912</v>
      </c>
      <c r="L1558" s="2">
        <f t="shared" si="397"/>
        <v>0</v>
      </c>
      <c r="M1558" s="2">
        <f t="shared" si="398"/>
        <v>8.9201877934272367E-2</v>
      </c>
      <c r="N1558" s="63">
        <v>168</v>
      </c>
      <c r="O1558" s="63">
        <v>220</v>
      </c>
      <c r="P1558" s="63">
        <v>0</v>
      </c>
      <c r="Q1558" s="63">
        <v>24</v>
      </c>
      <c r="R1558" s="63">
        <v>11</v>
      </c>
      <c r="S1558" s="63">
        <v>0</v>
      </c>
      <c r="T1558" s="63">
        <v>3</v>
      </c>
      <c r="U1558" s="63"/>
      <c r="V1558" s="63">
        <v>0</v>
      </c>
      <c r="W1558" s="63">
        <f t="shared" si="399"/>
        <v>0</v>
      </c>
      <c r="X1558" s="63"/>
      <c r="Y1558" s="63"/>
      <c r="Z1558" s="63"/>
      <c r="AA1558" s="63"/>
      <c r="AB1558" s="63"/>
      <c r="AT1558" t="str">
        <f t="shared" si="391"/>
        <v>Sutton</v>
      </c>
      <c r="AU1558" t="s">
        <v>681</v>
      </c>
      <c r="AV1558">
        <v>1</v>
      </c>
      <c r="AX1558" s="114">
        <v>50</v>
      </c>
      <c r="AY1558" s="116">
        <v>5</v>
      </c>
      <c r="AZ1558" s="116">
        <v>70</v>
      </c>
      <c r="BA1558" s="120">
        <v>71575</v>
      </c>
      <c r="BB1558" s="120">
        <f t="shared" si="390"/>
        <v>50005</v>
      </c>
      <c r="BC1558" s="8" t="s">
        <v>1472</v>
      </c>
      <c r="BD1558">
        <f t="shared" si="400"/>
        <v>5071575</v>
      </c>
      <c r="BE1558" s="1">
        <v>39</v>
      </c>
      <c r="BF1558" s="1">
        <v>0</v>
      </c>
      <c r="BI1558">
        <v>38.369999999999997</v>
      </c>
      <c r="BJ1558">
        <v>0.11</v>
      </c>
      <c r="BK1558">
        <v>38.26</v>
      </c>
      <c r="BP1558" s="63">
        <v>0</v>
      </c>
      <c r="BQ1558" s="63"/>
      <c r="BR1558">
        <v>0</v>
      </c>
    </row>
    <row r="1559" spans="1:70" hidden="1" outlineLevel="1">
      <c r="A1559" t="s">
        <v>1082</v>
      </c>
      <c r="B1559" s="8" t="s">
        <v>2016</v>
      </c>
      <c r="C1559" s="1">
        <f t="shared" si="392"/>
        <v>2670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 t="shared" si="393"/>
        <v>7</v>
      </c>
      <c r="G1559" s="1">
        <f t="shared" si="394"/>
        <v>91</v>
      </c>
      <c r="H1559" s="2">
        <f t="shared" si="389"/>
        <v>3.4082397003745317E-2</v>
      </c>
      <c r="I1559" s="6"/>
      <c r="J1559" s="2">
        <f t="shared" si="395"/>
        <v>0.41235955056179774</v>
      </c>
      <c r="K1559" s="2">
        <f t="shared" si="396"/>
        <v>0.44644194756554306</v>
      </c>
      <c r="L1559" s="2">
        <f t="shared" si="397"/>
        <v>7.4906367041198505E-4</v>
      </c>
      <c r="M1559" s="2">
        <f t="shared" si="398"/>
        <v>0.1404494382022472</v>
      </c>
      <c r="N1559" s="63">
        <v>1101</v>
      </c>
      <c r="O1559" s="63">
        <v>1192</v>
      </c>
      <c r="P1559" s="63">
        <v>2</v>
      </c>
      <c r="Q1559" s="63">
        <v>82</v>
      </c>
      <c r="R1559" s="63">
        <v>33</v>
      </c>
      <c r="S1559" s="63">
        <v>0</v>
      </c>
      <c r="T1559" s="63">
        <v>6</v>
      </c>
      <c r="U1559" s="63"/>
      <c r="V1559" s="63">
        <v>2</v>
      </c>
      <c r="W1559" s="63">
        <f t="shared" si="399"/>
        <v>252</v>
      </c>
      <c r="X1559" s="63"/>
      <c r="Y1559" s="63"/>
      <c r="Z1559" s="63"/>
      <c r="AA1559" s="63"/>
      <c r="AB1559" s="63"/>
      <c r="AT1559" t="str">
        <f t="shared" si="391"/>
        <v>Swanton</v>
      </c>
      <c r="AU1559" t="s">
        <v>1138</v>
      </c>
      <c r="AV1559">
        <v>1</v>
      </c>
      <c r="AX1559" s="114">
        <v>50</v>
      </c>
      <c r="AY1559" s="116">
        <v>11</v>
      </c>
      <c r="AZ1559" s="116">
        <v>80</v>
      </c>
      <c r="BA1559" s="120">
        <v>71725</v>
      </c>
      <c r="BB1559" s="120">
        <f t="shared" si="390"/>
        <v>50011</v>
      </c>
      <c r="BC1559" s="8" t="s">
        <v>1472</v>
      </c>
      <c r="BD1559">
        <f t="shared" si="400"/>
        <v>5071725</v>
      </c>
      <c r="BE1559" s="1">
        <v>40</v>
      </c>
      <c r="BF1559" s="1">
        <v>2</v>
      </c>
      <c r="BI1559">
        <v>61.66</v>
      </c>
      <c r="BJ1559">
        <v>13.26</v>
      </c>
      <c r="BK1559">
        <v>48.41</v>
      </c>
      <c r="BP1559" s="63">
        <v>254</v>
      </c>
      <c r="BQ1559" s="63"/>
      <c r="BR1559">
        <v>214</v>
      </c>
    </row>
    <row r="1560" spans="1:70" hidden="1" outlineLevel="1">
      <c r="A1560" t="s">
        <v>678</v>
      </c>
      <c r="B1560" s="8" t="s">
        <v>2016</v>
      </c>
      <c r="C1560" s="1">
        <f t="shared" si="392"/>
        <v>1645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393"/>
        <v>6</v>
      </c>
      <c r="G1560" s="1">
        <f t="shared" si="394"/>
        <v>821</v>
      </c>
      <c r="H1560" s="2">
        <f t="shared" si="389"/>
        <v>0.49908814589665651</v>
      </c>
      <c r="I1560" s="6"/>
      <c r="J1560" s="2">
        <f t="shared" si="395"/>
        <v>0.69604863221884494</v>
      </c>
      <c r="K1560" s="2">
        <f t="shared" si="396"/>
        <v>0.19696048632218846</v>
      </c>
      <c r="L1560" s="2">
        <f t="shared" si="397"/>
        <v>2.4316109422492403E-3</v>
      </c>
      <c r="M1560" s="2">
        <f t="shared" si="398"/>
        <v>0.10455927051671736</v>
      </c>
      <c r="N1560" s="63">
        <v>1145</v>
      </c>
      <c r="O1560" s="63">
        <v>324</v>
      </c>
      <c r="P1560" s="63">
        <v>4</v>
      </c>
      <c r="Q1560" s="63">
        <v>45</v>
      </c>
      <c r="R1560" s="63">
        <v>34</v>
      </c>
      <c r="S1560" s="63">
        <v>0</v>
      </c>
      <c r="T1560" s="63">
        <v>2</v>
      </c>
      <c r="U1560" s="63"/>
      <c r="V1560" s="63">
        <v>1</v>
      </c>
      <c r="W1560" s="63">
        <f t="shared" si="399"/>
        <v>90</v>
      </c>
      <c r="X1560" s="63"/>
      <c r="Y1560" s="63"/>
      <c r="Z1560" s="63"/>
      <c r="AA1560" s="63"/>
      <c r="AB1560" s="63"/>
      <c r="AT1560" t="str">
        <f t="shared" si="391"/>
        <v>Thetford</v>
      </c>
      <c r="AU1560" t="s">
        <v>2013</v>
      </c>
      <c r="AV1560">
        <v>1</v>
      </c>
      <c r="AX1560" s="114">
        <v>50</v>
      </c>
      <c r="AY1560" s="116">
        <v>17</v>
      </c>
      <c r="AZ1560" s="116">
        <v>55</v>
      </c>
      <c r="BA1560" s="120">
        <v>72400</v>
      </c>
      <c r="BB1560" s="120">
        <f t="shared" si="390"/>
        <v>50017</v>
      </c>
      <c r="BC1560" s="8" t="s">
        <v>1472</v>
      </c>
      <c r="BD1560">
        <f t="shared" si="400"/>
        <v>5072400</v>
      </c>
      <c r="BE1560" s="1">
        <v>8</v>
      </c>
      <c r="BF1560" s="1">
        <v>0</v>
      </c>
      <c r="BI1560">
        <v>44.16</v>
      </c>
      <c r="BJ1560">
        <v>0.6</v>
      </c>
      <c r="BK1560">
        <v>43.56</v>
      </c>
      <c r="BP1560" s="63">
        <v>94</v>
      </c>
      <c r="BQ1560" s="63"/>
      <c r="BR1560">
        <v>73</v>
      </c>
    </row>
    <row r="1561" spans="1:70" hidden="1" outlineLevel="1">
      <c r="A1561" t="s">
        <v>2364</v>
      </c>
      <c r="B1561" s="8" t="s">
        <v>2016</v>
      </c>
      <c r="C1561" s="1">
        <f t="shared" si="392"/>
        <v>296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393"/>
        <v>0</v>
      </c>
      <c r="G1561" s="1">
        <f t="shared" si="394"/>
        <v>16</v>
      </c>
      <c r="H1561" s="2">
        <f t="shared" si="389"/>
        <v>5.4054054054054057E-2</v>
      </c>
      <c r="I1561" s="6"/>
      <c r="J1561" s="2">
        <f t="shared" si="395"/>
        <v>0.46959459459459457</v>
      </c>
      <c r="K1561" s="2">
        <f t="shared" si="396"/>
        <v>0.41554054054054052</v>
      </c>
      <c r="L1561" s="2">
        <f t="shared" si="397"/>
        <v>0</v>
      </c>
      <c r="M1561" s="2">
        <f t="shared" si="398"/>
        <v>0.11486486486486497</v>
      </c>
      <c r="N1561" s="63">
        <v>139</v>
      </c>
      <c r="O1561" s="63">
        <v>123</v>
      </c>
      <c r="P1561" s="63">
        <v>0</v>
      </c>
      <c r="Q1561" s="63">
        <v>15</v>
      </c>
      <c r="R1561" s="63">
        <v>3</v>
      </c>
      <c r="S1561" s="63">
        <v>0</v>
      </c>
      <c r="T1561" s="63">
        <v>0</v>
      </c>
      <c r="U1561" s="63"/>
      <c r="V1561" s="63">
        <v>0</v>
      </c>
      <c r="W1561" s="63">
        <f t="shared" si="399"/>
        <v>16</v>
      </c>
      <c r="X1561" s="63"/>
      <c r="Y1561" s="63"/>
      <c r="Z1561" s="63"/>
      <c r="AA1561" s="63"/>
      <c r="AB1561" s="63"/>
      <c r="AT1561" t="str">
        <f t="shared" si="391"/>
        <v>Tinmouth</v>
      </c>
      <c r="AU1561" t="s">
        <v>589</v>
      </c>
      <c r="AV1561">
        <v>1</v>
      </c>
      <c r="AX1561" s="114">
        <v>50</v>
      </c>
      <c r="AY1561" s="116">
        <v>21</v>
      </c>
      <c r="AZ1561" s="116">
        <v>120</v>
      </c>
      <c r="BA1561" s="120">
        <v>72925</v>
      </c>
      <c r="BB1561" s="120">
        <f t="shared" si="390"/>
        <v>50021</v>
      </c>
      <c r="BC1561" s="8" t="s">
        <v>1472</v>
      </c>
      <c r="BD1561">
        <f t="shared" si="400"/>
        <v>5072925</v>
      </c>
      <c r="BE1561" s="1">
        <v>3</v>
      </c>
      <c r="BF1561" s="1">
        <v>1</v>
      </c>
      <c r="BI1561">
        <v>28.41</v>
      </c>
      <c r="BJ1561">
        <v>0.12</v>
      </c>
      <c r="BK1561">
        <v>28.28</v>
      </c>
      <c r="BP1561" s="63">
        <v>16</v>
      </c>
      <c r="BQ1561" s="63"/>
      <c r="BR1561">
        <v>15</v>
      </c>
    </row>
    <row r="1562" spans="1:70" hidden="1" outlineLevel="1">
      <c r="A1562" t="s">
        <v>977</v>
      </c>
      <c r="B1562" s="8" t="s">
        <v>2016</v>
      </c>
      <c r="C1562" s="1">
        <f t="shared" si="392"/>
        <v>574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 t="shared" si="393"/>
        <v>0</v>
      </c>
      <c r="G1562" s="1">
        <f t="shared" si="394"/>
        <v>48</v>
      </c>
      <c r="H1562" s="2">
        <f t="shared" si="389"/>
        <v>8.3623693379790948E-2</v>
      </c>
      <c r="I1562" s="6"/>
      <c r="J1562" s="2">
        <f t="shared" si="395"/>
        <v>0.39372822299651566</v>
      </c>
      <c r="K1562" s="2">
        <f t="shared" si="396"/>
        <v>0.47735191637630664</v>
      </c>
      <c r="L1562" s="2">
        <f t="shared" si="397"/>
        <v>0</v>
      </c>
      <c r="M1562" s="2">
        <f t="shared" si="398"/>
        <v>0.1289198606271777</v>
      </c>
      <c r="N1562" s="63">
        <v>226</v>
      </c>
      <c r="O1562" s="63">
        <v>274</v>
      </c>
      <c r="P1562" s="63">
        <v>0</v>
      </c>
      <c r="Q1562" s="63">
        <v>19</v>
      </c>
      <c r="R1562" s="63">
        <v>8</v>
      </c>
      <c r="S1562" s="63">
        <v>0</v>
      </c>
      <c r="T1562" s="63">
        <v>7</v>
      </c>
      <c r="U1562" s="63"/>
      <c r="V1562" s="63">
        <v>1</v>
      </c>
      <c r="W1562" s="63">
        <f t="shared" si="399"/>
        <v>39</v>
      </c>
      <c r="X1562" s="63"/>
      <c r="Y1562" s="63"/>
      <c r="Z1562" s="63"/>
      <c r="AA1562" s="63"/>
      <c r="AB1562" s="63"/>
      <c r="AT1562" t="str">
        <f t="shared" si="391"/>
        <v>Topsham</v>
      </c>
      <c r="AU1562" t="s">
        <v>2013</v>
      </c>
      <c r="AV1562">
        <v>1</v>
      </c>
      <c r="AX1562" s="114">
        <v>50</v>
      </c>
      <c r="AY1562" s="116">
        <v>17</v>
      </c>
      <c r="AZ1562" s="116">
        <v>60</v>
      </c>
      <c r="BA1562" s="120">
        <v>73075</v>
      </c>
      <c r="BB1562" s="120">
        <f t="shared" si="390"/>
        <v>50017</v>
      </c>
      <c r="BC1562" s="8" t="s">
        <v>1472</v>
      </c>
      <c r="BD1562">
        <f t="shared" si="400"/>
        <v>5073075</v>
      </c>
      <c r="BE1562" s="1">
        <v>9</v>
      </c>
      <c r="BF1562" s="1">
        <v>0</v>
      </c>
      <c r="BI1562">
        <v>48.98</v>
      </c>
      <c r="BJ1562">
        <v>0.05</v>
      </c>
      <c r="BK1562">
        <v>48.93</v>
      </c>
      <c r="BP1562" s="63">
        <v>39</v>
      </c>
      <c r="BQ1562" s="63"/>
      <c r="BR1562">
        <v>36</v>
      </c>
    </row>
    <row r="1563" spans="1:70" hidden="1" outlineLevel="1">
      <c r="A1563" t="s">
        <v>1425</v>
      </c>
      <c r="B1563" s="8" t="s">
        <v>2016</v>
      </c>
      <c r="C1563" s="1">
        <f t="shared" si="392"/>
        <v>682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393"/>
        <v>6</v>
      </c>
      <c r="G1563" s="1">
        <f t="shared" si="394"/>
        <v>238</v>
      </c>
      <c r="H1563" s="2">
        <f t="shared" si="389"/>
        <v>0.34897360703812319</v>
      </c>
      <c r="I1563" s="6"/>
      <c r="J1563" s="2">
        <f t="shared" si="395"/>
        <v>0.60410557184750735</v>
      </c>
      <c r="K1563" s="2">
        <f t="shared" si="396"/>
        <v>0.25513196480938416</v>
      </c>
      <c r="L1563" s="2">
        <f t="shared" si="397"/>
        <v>7.331378299120235E-3</v>
      </c>
      <c r="M1563" s="2">
        <f t="shared" si="398"/>
        <v>0.13343108504398826</v>
      </c>
      <c r="N1563" s="63">
        <v>412</v>
      </c>
      <c r="O1563" s="63">
        <v>174</v>
      </c>
      <c r="P1563" s="63">
        <v>5</v>
      </c>
      <c r="Q1563" s="63">
        <v>17</v>
      </c>
      <c r="R1563" s="63">
        <v>10</v>
      </c>
      <c r="S1563" s="63">
        <v>0</v>
      </c>
      <c r="T1563" s="63">
        <v>3</v>
      </c>
      <c r="U1563" s="63"/>
      <c r="V1563" s="63">
        <v>0</v>
      </c>
      <c r="W1563" s="63">
        <f t="shared" si="399"/>
        <v>61</v>
      </c>
      <c r="X1563" s="63"/>
      <c r="Y1563" s="63"/>
      <c r="Z1563" s="63"/>
      <c r="AA1563" s="63"/>
      <c r="AB1563" s="63"/>
      <c r="AT1563" t="str">
        <f t="shared" si="391"/>
        <v>Townshend</v>
      </c>
      <c r="AU1563" t="s">
        <v>2129</v>
      </c>
      <c r="AV1563">
        <v>1</v>
      </c>
      <c r="AX1563" s="114">
        <v>50</v>
      </c>
      <c r="AY1563" s="116">
        <v>25</v>
      </c>
      <c r="AZ1563" s="116">
        <v>80</v>
      </c>
      <c r="BA1563" s="120">
        <v>73300</v>
      </c>
      <c r="BB1563" s="120">
        <f t="shared" si="390"/>
        <v>50025</v>
      </c>
      <c r="BC1563" s="8" t="s">
        <v>1472</v>
      </c>
      <c r="BD1563">
        <f t="shared" si="400"/>
        <v>5073300</v>
      </c>
      <c r="BE1563" s="1">
        <v>6</v>
      </c>
      <c r="BF1563" s="1">
        <v>6</v>
      </c>
      <c r="BI1563">
        <v>42.78</v>
      </c>
      <c r="BJ1563">
        <v>0.06</v>
      </c>
      <c r="BK1563">
        <v>42.72</v>
      </c>
      <c r="BP1563" s="63">
        <v>66</v>
      </c>
      <c r="BQ1563" s="63"/>
      <c r="BR1563">
        <v>54</v>
      </c>
    </row>
    <row r="1564" spans="1:70" hidden="1" outlineLevel="1">
      <c r="A1564" t="s">
        <v>98</v>
      </c>
      <c r="B1564" s="8" t="s">
        <v>2016</v>
      </c>
      <c r="C1564" s="1">
        <f t="shared" si="392"/>
        <v>646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 t="shared" si="393"/>
        <v>7</v>
      </c>
      <c r="G1564" s="1">
        <f t="shared" si="394"/>
        <v>40</v>
      </c>
      <c r="H1564" s="2">
        <f t="shared" si="389"/>
        <v>6.1919504643962849E-2</v>
      </c>
      <c r="I1564" s="6"/>
      <c r="J1564" s="2">
        <f t="shared" si="395"/>
        <v>0.37616099071207432</v>
      </c>
      <c r="K1564" s="2">
        <f t="shared" si="396"/>
        <v>0.43808049535603716</v>
      </c>
      <c r="L1564" s="2">
        <f t="shared" si="397"/>
        <v>1.5479876160990713E-3</v>
      </c>
      <c r="M1564" s="2">
        <f t="shared" si="398"/>
        <v>0.18421052631578946</v>
      </c>
      <c r="N1564" s="63">
        <v>243</v>
      </c>
      <c r="O1564" s="63">
        <v>283</v>
      </c>
      <c r="P1564" s="63">
        <v>1</v>
      </c>
      <c r="Q1564" s="63">
        <v>19</v>
      </c>
      <c r="R1564" s="63">
        <v>10</v>
      </c>
      <c r="S1564" s="63">
        <v>0</v>
      </c>
      <c r="T1564" s="63">
        <v>4</v>
      </c>
      <c r="U1564" s="63"/>
      <c r="V1564" s="63">
        <v>0</v>
      </c>
      <c r="W1564" s="63">
        <f t="shared" si="399"/>
        <v>86</v>
      </c>
      <c r="X1564" s="63"/>
      <c r="Y1564" s="63"/>
      <c r="Z1564" s="63"/>
      <c r="AA1564" s="63"/>
      <c r="AB1564" s="63"/>
      <c r="AT1564" t="str">
        <f t="shared" si="391"/>
        <v>Troy</v>
      </c>
      <c r="AU1564" t="s">
        <v>405</v>
      </c>
      <c r="AV1564">
        <v>1</v>
      </c>
      <c r="AX1564" s="114">
        <v>50</v>
      </c>
      <c r="AY1564" s="116">
        <v>19</v>
      </c>
      <c r="AZ1564" s="116">
        <v>85</v>
      </c>
      <c r="BA1564" s="120">
        <v>73525</v>
      </c>
      <c r="BB1564" s="120">
        <f t="shared" si="390"/>
        <v>50019</v>
      </c>
      <c r="BC1564" s="8" t="s">
        <v>1472</v>
      </c>
      <c r="BD1564">
        <f t="shared" si="400"/>
        <v>5073525</v>
      </c>
      <c r="BE1564" s="1">
        <v>6</v>
      </c>
      <c r="BF1564" s="1">
        <v>1</v>
      </c>
      <c r="BI1564">
        <v>36.06</v>
      </c>
      <c r="BJ1564">
        <v>0</v>
      </c>
      <c r="BK1564">
        <v>36.06</v>
      </c>
      <c r="BP1564" s="63">
        <v>87</v>
      </c>
      <c r="BQ1564" s="63"/>
      <c r="BR1564">
        <v>81</v>
      </c>
    </row>
    <row r="1565" spans="1:70" hidden="1" outlineLevel="1">
      <c r="A1565" t="s">
        <v>1407</v>
      </c>
      <c r="B1565" s="8" t="s">
        <v>2016</v>
      </c>
      <c r="C1565" s="1">
        <f t="shared" si="392"/>
        <v>702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393"/>
        <v>0</v>
      </c>
      <c r="G1565" s="1">
        <f t="shared" si="394"/>
        <v>107</v>
      </c>
      <c r="H1565" s="2">
        <f t="shared" si="389"/>
        <v>0.15242165242165243</v>
      </c>
      <c r="I1565" s="6"/>
      <c r="J1565" s="2">
        <f t="shared" si="395"/>
        <v>0.49715099715099714</v>
      </c>
      <c r="K1565" s="2">
        <f t="shared" si="396"/>
        <v>0.34472934472934474</v>
      </c>
      <c r="L1565" s="2">
        <f t="shared" si="397"/>
        <v>0</v>
      </c>
      <c r="M1565" s="2">
        <f t="shared" si="398"/>
        <v>0.15811965811965817</v>
      </c>
      <c r="N1565" s="63">
        <v>349</v>
      </c>
      <c r="O1565" s="63">
        <v>242</v>
      </c>
      <c r="P1565" s="63">
        <v>0</v>
      </c>
      <c r="Q1565" s="63">
        <v>21</v>
      </c>
      <c r="R1565" s="63">
        <v>22</v>
      </c>
      <c r="S1565" s="63">
        <v>0</v>
      </c>
      <c r="T1565" s="63">
        <v>2</v>
      </c>
      <c r="U1565" s="63"/>
      <c r="V1565" s="63">
        <v>0</v>
      </c>
      <c r="W1565" s="63">
        <f t="shared" si="399"/>
        <v>66</v>
      </c>
      <c r="X1565" s="63"/>
      <c r="Y1565" s="63"/>
      <c r="Z1565" s="63"/>
      <c r="AA1565" s="63"/>
      <c r="AB1565" s="63"/>
      <c r="AT1565" t="str">
        <f t="shared" si="391"/>
        <v>Tunbridge</v>
      </c>
      <c r="AU1565" t="s">
        <v>2013</v>
      </c>
      <c r="AV1565">
        <v>1</v>
      </c>
      <c r="AX1565" s="114">
        <v>50</v>
      </c>
      <c r="AY1565" s="116">
        <v>17</v>
      </c>
      <c r="AZ1565" s="116">
        <v>65</v>
      </c>
      <c r="BA1565" s="120">
        <v>73675</v>
      </c>
      <c r="BB1565" s="120">
        <f t="shared" si="390"/>
        <v>50017</v>
      </c>
      <c r="BC1565" s="8" t="s">
        <v>1472</v>
      </c>
      <c r="BD1565">
        <f t="shared" si="400"/>
        <v>5073675</v>
      </c>
      <c r="BE1565" s="1">
        <v>9</v>
      </c>
      <c r="BF1565" s="1">
        <v>7</v>
      </c>
      <c r="BI1565">
        <v>44.76</v>
      </c>
      <c r="BJ1565">
        <v>0.02</v>
      </c>
      <c r="BK1565">
        <v>44.73</v>
      </c>
      <c r="BP1565" s="63">
        <v>66</v>
      </c>
      <c r="BQ1565" s="63"/>
      <c r="BR1565">
        <v>61</v>
      </c>
    </row>
    <row r="1566" spans="1:70" hidden="1" outlineLevel="1">
      <c r="A1566" t="s">
        <v>766</v>
      </c>
      <c r="B1566" s="8" t="s">
        <v>2016</v>
      </c>
      <c r="C1566" s="1">
        <f t="shared" si="392"/>
        <v>1964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393"/>
        <v>6</v>
      </c>
      <c r="G1566" s="1">
        <f t="shared" si="394"/>
        <v>734</v>
      </c>
      <c r="H1566" s="2">
        <f t="shared" si="389"/>
        <v>0.37372708757637474</v>
      </c>
      <c r="I1566" s="6"/>
      <c r="J1566" s="2">
        <f t="shared" si="395"/>
        <v>0.63034623217922603</v>
      </c>
      <c r="K1566" s="2">
        <f t="shared" si="396"/>
        <v>0.25661914460285135</v>
      </c>
      <c r="L1566" s="2">
        <f t="shared" si="397"/>
        <v>2.0366598778004071E-3</v>
      </c>
      <c r="M1566" s="2">
        <f t="shared" si="398"/>
        <v>0.11099796334012221</v>
      </c>
      <c r="N1566" s="63">
        <v>1238</v>
      </c>
      <c r="O1566" s="63">
        <v>504</v>
      </c>
      <c r="P1566" s="63">
        <v>4</v>
      </c>
      <c r="Q1566" s="63">
        <v>55</v>
      </c>
      <c r="R1566" s="63">
        <v>26</v>
      </c>
      <c r="S1566" s="63">
        <v>0</v>
      </c>
      <c r="T1566" s="63">
        <v>2</v>
      </c>
      <c r="U1566" s="63"/>
      <c r="V1566" s="63">
        <v>1</v>
      </c>
      <c r="W1566" s="63">
        <f t="shared" si="399"/>
        <v>134</v>
      </c>
      <c r="X1566" s="63"/>
      <c r="Y1566" s="63"/>
      <c r="Z1566" s="63"/>
      <c r="AA1566" s="63"/>
      <c r="AB1566" s="63"/>
      <c r="AT1566" t="str">
        <f t="shared" si="391"/>
        <v>Underhill</v>
      </c>
      <c r="AU1566" t="s">
        <v>3175</v>
      </c>
      <c r="AV1566">
        <v>1</v>
      </c>
      <c r="AX1566" s="114">
        <v>50</v>
      </c>
      <c r="AY1566" s="116">
        <v>7</v>
      </c>
      <c r="AZ1566" s="116">
        <v>75</v>
      </c>
      <c r="BA1566" s="120">
        <v>73975</v>
      </c>
      <c r="BB1566" s="120">
        <f t="shared" si="390"/>
        <v>50007</v>
      </c>
      <c r="BC1566" s="8" t="s">
        <v>1472</v>
      </c>
      <c r="BD1566">
        <f t="shared" si="400"/>
        <v>5073975</v>
      </c>
      <c r="BE1566" s="1">
        <v>26</v>
      </c>
      <c r="BF1566" s="1">
        <v>2</v>
      </c>
      <c r="BI1566">
        <v>51.4</v>
      </c>
      <c r="BJ1566">
        <v>0.05</v>
      </c>
      <c r="BK1566">
        <v>51.35</v>
      </c>
      <c r="BP1566" s="63">
        <v>138</v>
      </c>
      <c r="BQ1566" s="63"/>
      <c r="BR1566">
        <v>104</v>
      </c>
    </row>
    <row r="1567" spans="1:70" hidden="1" outlineLevel="1">
      <c r="A1567" t="s">
        <v>180</v>
      </c>
      <c r="B1567" s="8" t="s">
        <v>2016</v>
      </c>
      <c r="C1567" s="1">
        <f t="shared" si="392"/>
        <v>1219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393"/>
        <v>7</v>
      </c>
      <c r="G1567" s="1">
        <f t="shared" si="394"/>
        <v>386</v>
      </c>
      <c r="H1567" s="2">
        <f t="shared" si="389"/>
        <v>0.31665299425758819</v>
      </c>
      <c r="I1567" s="6"/>
      <c r="J1567" s="2">
        <f t="shared" si="395"/>
        <v>0.58408531583264967</v>
      </c>
      <c r="K1567" s="2">
        <f t="shared" si="396"/>
        <v>0.26743232157506153</v>
      </c>
      <c r="L1567" s="2">
        <f t="shared" si="397"/>
        <v>8.2034454470877774E-4</v>
      </c>
      <c r="M1567" s="2">
        <f t="shared" si="398"/>
        <v>0.14766201804758003</v>
      </c>
      <c r="N1567" s="63">
        <v>712</v>
      </c>
      <c r="O1567" s="63">
        <v>326</v>
      </c>
      <c r="P1567" s="63">
        <v>1</v>
      </c>
      <c r="Q1567" s="63">
        <v>51</v>
      </c>
      <c r="R1567" s="63">
        <v>23</v>
      </c>
      <c r="S1567" s="63">
        <v>0</v>
      </c>
      <c r="T1567" s="63">
        <v>5</v>
      </c>
      <c r="U1567" s="63"/>
      <c r="V1567" s="63">
        <v>1</v>
      </c>
      <c r="W1567" s="63">
        <f t="shared" si="399"/>
        <v>100</v>
      </c>
      <c r="X1567" s="63"/>
      <c r="Y1567" s="63"/>
      <c r="Z1567" s="63"/>
      <c r="AA1567" s="63"/>
      <c r="AB1567" s="63"/>
      <c r="AT1567" t="str">
        <f t="shared" si="391"/>
        <v>Vergennes</v>
      </c>
      <c r="AU1567" t="s">
        <v>1346</v>
      </c>
      <c r="AV1567">
        <v>1</v>
      </c>
      <c r="AX1567" s="114">
        <v>50</v>
      </c>
      <c r="AY1567" s="116">
        <v>1</v>
      </c>
      <c r="AZ1567" s="116">
        <v>100</v>
      </c>
      <c r="BA1567" s="120">
        <v>74650</v>
      </c>
      <c r="BB1567" s="120">
        <f t="shared" si="390"/>
        <v>50001</v>
      </c>
      <c r="BC1567" s="8" t="s">
        <v>1249</v>
      </c>
      <c r="BD1567">
        <f t="shared" si="400"/>
        <v>5074650</v>
      </c>
      <c r="BE1567" s="1">
        <v>28</v>
      </c>
      <c r="BF1567" s="1">
        <v>3</v>
      </c>
      <c r="BI1567">
        <v>2.5</v>
      </c>
      <c r="BJ1567">
        <v>0.1</v>
      </c>
      <c r="BK1567">
        <v>2.4</v>
      </c>
      <c r="BP1567" s="63">
        <v>101</v>
      </c>
      <c r="BQ1567" s="63"/>
      <c r="BR1567">
        <v>90</v>
      </c>
    </row>
    <row r="1568" spans="1:70" hidden="1" outlineLevel="1">
      <c r="A1568" t="s">
        <v>1864</v>
      </c>
      <c r="B1568" s="8" t="s">
        <v>2016</v>
      </c>
      <c r="C1568" s="1">
        <f t="shared" si="392"/>
        <v>1122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393"/>
        <v>7</v>
      </c>
      <c r="G1568" s="1">
        <f t="shared" si="394"/>
        <v>6</v>
      </c>
      <c r="H1568" s="2">
        <f t="shared" si="389"/>
        <v>5.3475935828877002E-3</v>
      </c>
      <c r="I1568" s="6"/>
      <c r="J1568" s="2">
        <f t="shared" si="395"/>
        <v>0.43850267379679142</v>
      </c>
      <c r="K1568" s="2">
        <f t="shared" si="396"/>
        <v>0.43315508021390375</v>
      </c>
      <c r="L1568" s="2">
        <f t="shared" si="397"/>
        <v>8.9126559714795004E-4</v>
      </c>
      <c r="M1568" s="2">
        <f t="shared" si="398"/>
        <v>0.12745098039215688</v>
      </c>
      <c r="N1568" s="63">
        <v>492</v>
      </c>
      <c r="O1568" s="63">
        <v>486</v>
      </c>
      <c r="P1568" s="63">
        <v>1</v>
      </c>
      <c r="Q1568" s="63">
        <v>50</v>
      </c>
      <c r="R1568" s="63">
        <v>11</v>
      </c>
      <c r="S1568" s="63">
        <v>0</v>
      </c>
      <c r="T1568" s="63">
        <v>3</v>
      </c>
      <c r="U1568" s="63"/>
      <c r="V1568" s="63">
        <v>0</v>
      </c>
      <c r="W1568" s="63">
        <f t="shared" si="399"/>
        <v>79</v>
      </c>
      <c r="X1568" s="63"/>
      <c r="Y1568" s="63"/>
      <c r="Z1568" s="63"/>
      <c r="AA1568" s="63"/>
      <c r="AB1568" s="63"/>
      <c r="AT1568" t="str">
        <f t="shared" si="391"/>
        <v>Vernon</v>
      </c>
      <c r="AU1568" t="s">
        <v>2129</v>
      </c>
      <c r="AV1568">
        <v>1</v>
      </c>
      <c r="AX1568" s="114">
        <v>50</v>
      </c>
      <c r="AY1568" s="116">
        <v>25</v>
      </c>
      <c r="AZ1568" s="116">
        <v>85</v>
      </c>
      <c r="BA1568" s="120">
        <v>74800</v>
      </c>
      <c r="BB1568" s="120">
        <f t="shared" si="390"/>
        <v>50025</v>
      </c>
      <c r="BC1568" s="8" t="s">
        <v>1472</v>
      </c>
      <c r="BD1568">
        <f t="shared" si="400"/>
        <v>5074800</v>
      </c>
      <c r="BE1568" s="1">
        <v>18</v>
      </c>
      <c r="BF1568" s="1">
        <v>1</v>
      </c>
      <c r="BI1568">
        <v>20.010000000000002</v>
      </c>
      <c r="BJ1568">
        <v>0.63</v>
      </c>
      <c r="BK1568">
        <v>19.38</v>
      </c>
      <c r="BP1568" s="63">
        <v>80</v>
      </c>
      <c r="BQ1568" s="63"/>
      <c r="BR1568">
        <v>50</v>
      </c>
    </row>
    <row r="1569" spans="1:70" hidden="1" outlineLevel="1">
      <c r="A1569" t="s">
        <v>625</v>
      </c>
      <c r="B1569" s="8" t="s">
        <v>2016</v>
      </c>
      <c r="C1569" s="1">
        <f t="shared" si="392"/>
        <v>364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393"/>
        <v>0</v>
      </c>
      <c r="G1569" s="1">
        <f t="shared" si="394"/>
        <v>71</v>
      </c>
      <c r="H1569" s="2">
        <f t="shared" ref="H1569:H1608" si="401">IF(C1569&gt;0,G1569/C1569,0)</f>
        <v>0.19505494505494506</v>
      </c>
      <c r="I1569" s="6"/>
      <c r="J1569" s="2">
        <f t="shared" si="395"/>
        <v>0.51923076923076927</v>
      </c>
      <c r="K1569" s="2">
        <f t="shared" si="396"/>
        <v>0.32417582417582419</v>
      </c>
      <c r="L1569" s="2">
        <f t="shared" si="397"/>
        <v>0</v>
      </c>
      <c r="M1569" s="2">
        <f t="shared" si="398"/>
        <v>0.15659340659340654</v>
      </c>
      <c r="N1569" s="63">
        <v>189</v>
      </c>
      <c r="O1569" s="63">
        <v>118</v>
      </c>
      <c r="P1569" s="63">
        <v>0</v>
      </c>
      <c r="Q1569" s="63">
        <v>10</v>
      </c>
      <c r="R1569" s="63">
        <v>18</v>
      </c>
      <c r="S1569" s="63">
        <v>0</v>
      </c>
      <c r="T1569" s="63">
        <v>2</v>
      </c>
      <c r="U1569" s="63"/>
      <c r="V1569" s="63">
        <v>0</v>
      </c>
      <c r="W1569" s="63">
        <f t="shared" si="399"/>
        <v>27</v>
      </c>
      <c r="X1569" s="63"/>
      <c r="Y1569" s="63"/>
      <c r="Z1569" s="63"/>
      <c r="AA1569" s="63"/>
      <c r="AB1569" s="63"/>
      <c r="AT1569" t="str">
        <f t="shared" si="391"/>
        <v>Vershire</v>
      </c>
      <c r="AU1569" t="s">
        <v>2013</v>
      </c>
      <c r="AV1569">
        <v>1</v>
      </c>
      <c r="AX1569" s="114">
        <v>50</v>
      </c>
      <c r="AY1569" s="116">
        <v>17</v>
      </c>
      <c r="AZ1569" s="116">
        <v>70</v>
      </c>
      <c r="BA1569" s="120">
        <v>74950</v>
      </c>
      <c r="BB1569" s="120">
        <f t="shared" si="390"/>
        <v>50017</v>
      </c>
      <c r="BC1569" s="8" t="s">
        <v>1472</v>
      </c>
      <c r="BD1569">
        <f t="shared" si="400"/>
        <v>5074950</v>
      </c>
      <c r="BE1569" s="1">
        <v>2</v>
      </c>
      <c r="BF1569" s="1">
        <v>1</v>
      </c>
      <c r="BI1569">
        <v>36.53</v>
      </c>
      <c r="BJ1569">
        <v>0.02</v>
      </c>
      <c r="BK1569">
        <v>36.5</v>
      </c>
      <c r="BP1569" s="63">
        <v>27</v>
      </c>
      <c r="BQ1569" s="63"/>
      <c r="BR1569">
        <v>25</v>
      </c>
    </row>
    <row r="1570" spans="1:70" hidden="1" outlineLevel="1">
      <c r="A1570" t="s">
        <v>49</v>
      </c>
      <c r="B1570" s="8" t="s">
        <v>2016</v>
      </c>
      <c r="C1570" s="1">
        <f t="shared" si="392"/>
        <v>65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 t="shared" si="393"/>
        <v>0</v>
      </c>
      <c r="G1570" s="1">
        <f t="shared" si="394"/>
        <v>20</v>
      </c>
      <c r="H1570" s="2">
        <f t="shared" si="401"/>
        <v>0.30769230769230771</v>
      </c>
      <c r="I1570" s="6"/>
      <c r="J1570" s="2">
        <f t="shared" si="395"/>
        <v>0.27692307692307694</v>
      </c>
      <c r="K1570" s="2">
        <f t="shared" si="396"/>
        <v>0.58461538461538465</v>
      </c>
      <c r="L1570" s="2">
        <f t="shared" si="397"/>
        <v>0</v>
      </c>
      <c r="M1570" s="2">
        <f t="shared" si="398"/>
        <v>0.13846153846153841</v>
      </c>
      <c r="N1570" s="63">
        <v>18</v>
      </c>
      <c r="O1570" s="63">
        <v>38</v>
      </c>
      <c r="P1570" s="63">
        <v>0</v>
      </c>
      <c r="Q1570" s="63">
        <v>3</v>
      </c>
      <c r="R1570" s="63">
        <v>1</v>
      </c>
      <c r="S1570" s="63">
        <v>0</v>
      </c>
      <c r="T1570" s="63">
        <v>0</v>
      </c>
      <c r="U1570" s="63"/>
      <c r="V1570" s="63">
        <v>0</v>
      </c>
      <c r="W1570" s="63">
        <f t="shared" si="399"/>
        <v>5</v>
      </c>
      <c r="X1570" s="63"/>
      <c r="Y1570" s="63"/>
      <c r="Z1570" s="63"/>
      <c r="AA1570" s="63"/>
      <c r="AB1570" s="63"/>
      <c r="AT1570" t="str">
        <f t="shared" si="391"/>
        <v>Victory</v>
      </c>
      <c r="AU1570" t="s">
        <v>842</v>
      </c>
      <c r="AV1570">
        <v>1</v>
      </c>
      <c r="AX1570" s="114">
        <v>50</v>
      </c>
      <c r="AY1570" s="116">
        <v>9</v>
      </c>
      <c r="AZ1570" s="116">
        <v>85</v>
      </c>
      <c r="BA1570" s="120">
        <v>75175</v>
      </c>
      <c r="BB1570" s="120">
        <f t="shared" si="390"/>
        <v>50009</v>
      </c>
      <c r="BC1570" s="8" t="s">
        <v>1472</v>
      </c>
      <c r="BD1570">
        <f t="shared" si="400"/>
        <v>5075175</v>
      </c>
      <c r="BE1570" s="1">
        <v>3</v>
      </c>
      <c r="BF1570" s="1">
        <v>0</v>
      </c>
      <c r="BI1570">
        <v>43</v>
      </c>
      <c r="BJ1570">
        <v>0.03</v>
      </c>
      <c r="BK1570">
        <v>42.97</v>
      </c>
      <c r="BP1570" s="63">
        <v>5</v>
      </c>
      <c r="BQ1570" s="63"/>
      <c r="BR1570">
        <v>5</v>
      </c>
    </row>
    <row r="1571" spans="1:70" hidden="1" outlineLevel="1">
      <c r="A1571" t="s">
        <v>3164</v>
      </c>
      <c r="B1571" s="8" t="s">
        <v>2016</v>
      </c>
      <c r="C1571" s="1">
        <f t="shared" si="392"/>
        <v>1111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393"/>
        <v>7</v>
      </c>
      <c r="G1571" s="1">
        <f t="shared" si="394"/>
        <v>541</v>
      </c>
      <c r="H1571" s="2">
        <f t="shared" si="401"/>
        <v>0.48694869486948694</v>
      </c>
      <c r="I1571" s="6"/>
      <c r="J1571" s="2">
        <f t="shared" si="395"/>
        <v>0.67596759675967599</v>
      </c>
      <c r="K1571" s="2">
        <f t="shared" si="396"/>
        <v>0.18901890189018902</v>
      </c>
      <c r="L1571" s="2">
        <f t="shared" si="397"/>
        <v>9.0009000900090005E-4</v>
      </c>
      <c r="M1571" s="2">
        <f t="shared" si="398"/>
        <v>0.13411341134113408</v>
      </c>
      <c r="N1571" s="63">
        <v>751</v>
      </c>
      <c r="O1571" s="63">
        <v>210</v>
      </c>
      <c r="P1571" s="63">
        <v>1</v>
      </c>
      <c r="Q1571" s="63">
        <v>29</v>
      </c>
      <c r="R1571" s="63">
        <v>35</v>
      </c>
      <c r="S1571" s="63">
        <v>0</v>
      </c>
      <c r="T1571" s="63">
        <v>6</v>
      </c>
      <c r="U1571" s="63"/>
      <c r="V1571" s="63">
        <v>0</v>
      </c>
      <c r="W1571" s="63">
        <f t="shared" si="399"/>
        <v>79</v>
      </c>
      <c r="X1571" s="63"/>
      <c r="Y1571" s="63"/>
      <c r="Z1571" s="63"/>
      <c r="AA1571" s="63"/>
      <c r="AB1571" s="63"/>
      <c r="AT1571" t="str">
        <f t="shared" si="391"/>
        <v>Waitsfield</v>
      </c>
      <c r="AU1571" t="s">
        <v>692</v>
      </c>
      <c r="AV1571">
        <v>1</v>
      </c>
      <c r="AX1571" s="114">
        <v>50</v>
      </c>
      <c r="AY1571" s="116">
        <v>23</v>
      </c>
      <c r="AZ1571" s="116">
        <v>80</v>
      </c>
      <c r="BA1571" s="120">
        <v>75325</v>
      </c>
      <c r="BB1571" s="120">
        <f t="shared" si="390"/>
        <v>50023</v>
      </c>
      <c r="BC1571" s="8" t="s">
        <v>1472</v>
      </c>
      <c r="BD1571">
        <f t="shared" si="400"/>
        <v>5075325</v>
      </c>
      <c r="BE1571" s="1">
        <v>21</v>
      </c>
      <c r="BF1571" s="1">
        <v>2</v>
      </c>
      <c r="BI1571">
        <v>26.91</v>
      </c>
      <c r="BJ1571">
        <v>0.01</v>
      </c>
      <c r="BK1571">
        <v>26.91</v>
      </c>
      <c r="BP1571" s="63">
        <v>80</v>
      </c>
      <c r="BQ1571" s="63"/>
      <c r="BR1571">
        <v>74</v>
      </c>
    </row>
    <row r="1572" spans="1:70" hidden="1" outlineLevel="1">
      <c r="A1572" t="s">
        <v>2586</v>
      </c>
      <c r="B1572" s="8" t="s">
        <v>2016</v>
      </c>
      <c r="C1572" s="1">
        <f t="shared" si="392"/>
        <v>519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393"/>
        <v>0</v>
      </c>
      <c r="G1572" s="1">
        <f t="shared" si="394"/>
        <v>78</v>
      </c>
      <c r="H1572" s="2">
        <f t="shared" si="401"/>
        <v>0.15028901734104047</v>
      </c>
      <c r="I1572" s="6"/>
      <c r="J1572" s="2">
        <f t="shared" si="395"/>
        <v>0.47398843930635837</v>
      </c>
      <c r="K1572" s="2">
        <f t="shared" si="396"/>
        <v>0.32369942196531792</v>
      </c>
      <c r="L1572" s="2">
        <f t="shared" si="397"/>
        <v>0</v>
      </c>
      <c r="M1572" s="2">
        <f t="shared" si="398"/>
        <v>0.20231213872832371</v>
      </c>
      <c r="N1572" s="63">
        <v>246</v>
      </c>
      <c r="O1572" s="63">
        <v>168</v>
      </c>
      <c r="P1572" s="63">
        <v>0</v>
      </c>
      <c r="Q1572" s="63">
        <v>22</v>
      </c>
      <c r="R1572" s="63">
        <v>25</v>
      </c>
      <c r="S1572" s="63">
        <v>0</v>
      </c>
      <c r="T1572" s="63">
        <v>3</v>
      </c>
      <c r="U1572" s="63"/>
      <c r="V1572" s="63">
        <v>2</v>
      </c>
      <c r="W1572" s="63">
        <f t="shared" si="399"/>
        <v>53</v>
      </c>
      <c r="X1572" s="63"/>
      <c r="Y1572" s="63"/>
      <c r="Z1572" s="63"/>
      <c r="AA1572" s="63"/>
      <c r="AB1572" s="63"/>
      <c r="AT1572" t="str">
        <f t="shared" si="391"/>
        <v>Walden</v>
      </c>
      <c r="AU1572" t="s">
        <v>681</v>
      </c>
      <c r="AV1572">
        <v>1</v>
      </c>
      <c r="AX1572" s="114">
        <v>50</v>
      </c>
      <c r="AY1572" s="116">
        <v>5</v>
      </c>
      <c r="AZ1572" s="116">
        <v>75</v>
      </c>
      <c r="BA1572" s="120">
        <v>75700</v>
      </c>
      <c r="BB1572" s="120">
        <f t="shared" ref="BB1572:BB1607" si="402">AX1572*1000+AY1572</f>
        <v>50005</v>
      </c>
      <c r="BC1572" s="8" t="s">
        <v>1472</v>
      </c>
      <c r="BD1572">
        <f t="shared" si="400"/>
        <v>5075700</v>
      </c>
      <c r="BE1572" s="1">
        <v>8</v>
      </c>
      <c r="BF1572" s="1">
        <v>0</v>
      </c>
      <c r="BI1572">
        <v>39.020000000000003</v>
      </c>
      <c r="BJ1572">
        <v>0.28999999999999998</v>
      </c>
      <c r="BK1572">
        <v>38.729999999999997</v>
      </c>
      <c r="BP1572" s="63">
        <v>53</v>
      </c>
      <c r="BQ1572" s="63"/>
      <c r="BR1572">
        <v>46</v>
      </c>
    </row>
    <row r="1573" spans="1:70" hidden="1" outlineLevel="1">
      <c r="A1573" t="s">
        <v>1832</v>
      </c>
      <c r="B1573" s="8" t="s">
        <v>2016</v>
      </c>
      <c r="C1573" s="1">
        <f t="shared" si="392"/>
        <v>1113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393"/>
        <v>6</v>
      </c>
      <c r="G1573" s="1">
        <f t="shared" si="394"/>
        <v>66</v>
      </c>
      <c r="H1573" s="2">
        <f t="shared" si="401"/>
        <v>5.9299191374663072E-2</v>
      </c>
      <c r="I1573" s="6"/>
      <c r="J1573" s="2">
        <f t="shared" si="395"/>
        <v>0.4752920035938904</v>
      </c>
      <c r="K1573" s="2">
        <f t="shared" si="396"/>
        <v>0.41599281221922729</v>
      </c>
      <c r="L1573" s="2">
        <f t="shared" si="397"/>
        <v>3.5938903863432167E-3</v>
      </c>
      <c r="M1573" s="2">
        <f t="shared" si="398"/>
        <v>0.10512129380053914</v>
      </c>
      <c r="N1573" s="63">
        <v>529</v>
      </c>
      <c r="O1573" s="63">
        <v>463</v>
      </c>
      <c r="P1573" s="63">
        <v>4</v>
      </c>
      <c r="Q1573" s="63">
        <v>35</v>
      </c>
      <c r="R1573" s="63">
        <v>22</v>
      </c>
      <c r="S1573" s="63">
        <v>0</v>
      </c>
      <c r="T1573" s="63">
        <v>4</v>
      </c>
      <c r="U1573" s="63"/>
      <c r="V1573" s="63">
        <v>1</v>
      </c>
      <c r="W1573" s="63">
        <f t="shared" si="399"/>
        <v>55</v>
      </c>
      <c r="X1573" s="63"/>
      <c r="Y1573" s="63"/>
      <c r="Z1573" s="63"/>
      <c r="AA1573" s="63"/>
      <c r="AB1573" s="63"/>
      <c r="AT1573" t="str">
        <f t="shared" si="391"/>
        <v>Wallingford</v>
      </c>
      <c r="AU1573" t="s">
        <v>589</v>
      </c>
      <c r="AV1573">
        <v>1</v>
      </c>
      <c r="AX1573" s="114">
        <v>50</v>
      </c>
      <c r="AY1573" s="116">
        <v>21</v>
      </c>
      <c r="AZ1573" s="116">
        <v>125</v>
      </c>
      <c r="BA1573" s="120">
        <v>75925</v>
      </c>
      <c r="BB1573" s="120">
        <f t="shared" si="402"/>
        <v>50021</v>
      </c>
      <c r="BC1573" s="8" t="s">
        <v>1472</v>
      </c>
      <c r="BD1573">
        <f t="shared" si="400"/>
        <v>5075925</v>
      </c>
      <c r="BE1573" s="1">
        <v>15</v>
      </c>
      <c r="BF1573" s="1">
        <v>3</v>
      </c>
      <c r="BI1573">
        <v>43.45</v>
      </c>
      <c r="BJ1573">
        <v>0.21</v>
      </c>
      <c r="BK1573">
        <v>43.24</v>
      </c>
      <c r="BP1573" s="63">
        <v>59</v>
      </c>
      <c r="BQ1573" s="63"/>
      <c r="BR1573">
        <v>47</v>
      </c>
    </row>
    <row r="1574" spans="1:70" hidden="1" outlineLevel="1">
      <c r="A1574" t="s">
        <v>858</v>
      </c>
      <c r="B1574" s="8" t="s">
        <v>2016</v>
      </c>
      <c r="C1574" s="1">
        <f t="shared" si="392"/>
        <v>275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393"/>
        <v>0</v>
      </c>
      <c r="G1574" s="1">
        <f t="shared" si="394"/>
        <v>66</v>
      </c>
      <c r="H1574" s="2">
        <f t="shared" si="401"/>
        <v>0.24</v>
      </c>
      <c r="I1574" s="6"/>
      <c r="J1574" s="2">
        <f t="shared" si="395"/>
        <v>0.54181818181818187</v>
      </c>
      <c r="K1574" s="2">
        <f t="shared" si="396"/>
        <v>0.30181818181818182</v>
      </c>
      <c r="L1574" s="2">
        <f t="shared" si="397"/>
        <v>0</v>
      </c>
      <c r="M1574" s="2">
        <f t="shared" si="398"/>
        <v>0.15636363636363632</v>
      </c>
      <c r="N1574" s="63">
        <v>149</v>
      </c>
      <c r="O1574" s="63">
        <v>83</v>
      </c>
      <c r="P1574" s="63">
        <v>0</v>
      </c>
      <c r="Q1574" s="63">
        <v>14</v>
      </c>
      <c r="R1574" s="63">
        <v>2</v>
      </c>
      <c r="S1574" s="63">
        <v>0</v>
      </c>
      <c r="T1574" s="63">
        <v>0</v>
      </c>
      <c r="U1574" s="63"/>
      <c r="V1574" s="63">
        <v>0</v>
      </c>
      <c r="W1574" s="63">
        <f t="shared" si="399"/>
        <v>27</v>
      </c>
      <c r="X1574" s="63"/>
      <c r="Y1574" s="63"/>
      <c r="Z1574" s="63"/>
      <c r="AA1574" s="63"/>
      <c r="AB1574" s="63"/>
      <c r="AT1574" t="str">
        <f t="shared" si="391"/>
        <v>Waltham</v>
      </c>
      <c r="AU1574" t="s">
        <v>1346</v>
      </c>
      <c r="AV1574">
        <v>1</v>
      </c>
      <c r="AX1574" s="114">
        <v>50</v>
      </c>
      <c r="AY1574" s="116">
        <v>1</v>
      </c>
      <c r="AZ1574" s="116">
        <v>105</v>
      </c>
      <c r="BA1574" s="120">
        <v>76075</v>
      </c>
      <c r="BB1574" s="120">
        <f t="shared" si="402"/>
        <v>50001</v>
      </c>
      <c r="BC1574" s="8" t="s">
        <v>1472</v>
      </c>
      <c r="BD1574">
        <f t="shared" si="400"/>
        <v>5076075</v>
      </c>
      <c r="BE1574" s="1">
        <v>3</v>
      </c>
      <c r="BF1574" s="1">
        <v>6</v>
      </c>
      <c r="BI1574">
        <v>8.8699999999999992</v>
      </c>
      <c r="BJ1574">
        <v>0.15</v>
      </c>
      <c r="BK1574">
        <v>8.7200000000000006</v>
      </c>
      <c r="BP1574" s="63">
        <v>27</v>
      </c>
      <c r="BQ1574" s="63"/>
      <c r="BR1574">
        <v>0</v>
      </c>
    </row>
    <row r="1575" spans="1:70" hidden="1" outlineLevel="1">
      <c r="A1575" t="s">
        <v>1571</v>
      </c>
      <c r="B1575" s="8" t="s">
        <v>2016</v>
      </c>
      <c r="C1575" s="1">
        <f t="shared" si="392"/>
        <v>392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393"/>
        <v>0</v>
      </c>
      <c r="G1575" s="1">
        <f t="shared" si="394"/>
        <v>62</v>
      </c>
      <c r="H1575" s="2">
        <f t="shared" si="401"/>
        <v>0.15816326530612246</v>
      </c>
      <c r="I1575" s="6"/>
      <c r="J1575" s="2">
        <f t="shared" si="395"/>
        <v>0.50765306122448983</v>
      </c>
      <c r="K1575" s="2">
        <f t="shared" si="396"/>
        <v>0.34948979591836737</v>
      </c>
      <c r="L1575" s="2">
        <f t="shared" si="397"/>
        <v>0</v>
      </c>
      <c r="M1575" s="2">
        <f t="shared" si="398"/>
        <v>0.14285714285714279</v>
      </c>
      <c r="N1575" s="63">
        <v>199</v>
      </c>
      <c r="O1575" s="63">
        <v>137</v>
      </c>
      <c r="P1575" s="63">
        <v>0</v>
      </c>
      <c r="Q1575" s="63">
        <v>12</v>
      </c>
      <c r="R1575" s="63">
        <v>11</v>
      </c>
      <c r="S1575" s="63">
        <v>0</v>
      </c>
      <c r="T1575" s="63">
        <v>1</v>
      </c>
      <c r="U1575" s="63"/>
      <c r="V1575" s="63">
        <v>0</v>
      </c>
      <c r="W1575" s="63">
        <f t="shared" si="399"/>
        <v>32</v>
      </c>
      <c r="X1575" s="63"/>
      <c r="Y1575" s="63"/>
      <c r="Z1575" s="63"/>
      <c r="AA1575" s="63"/>
      <c r="AB1575" s="63"/>
      <c r="AT1575" t="str">
        <f t="shared" si="391"/>
        <v>Wardsboro</v>
      </c>
      <c r="AU1575" t="s">
        <v>2129</v>
      </c>
      <c r="AV1575">
        <v>1</v>
      </c>
      <c r="AX1575" s="114">
        <v>50</v>
      </c>
      <c r="AY1575" s="116">
        <v>25</v>
      </c>
      <c r="AZ1575" s="116">
        <v>90</v>
      </c>
      <c r="BA1575" s="120">
        <v>76225</v>
      </c>
      <c r="BB1575" s="120">
        <f t="shared" si="402"/>
        <v>50025</v>
      </c>
      <c r="BC1575" s="8" t="s">
        <v>1472</v>
      </c>
      <c r="BD1575">
        <f t="shared" si="400"/>
        <v>5076225</v>
      </c>
      <c r="BE1575" s="1">
        <v>11</v>
      </c>
      <c r="BF1575" s="1">
        <v>0</v>
      </c>
      <c r="BI1575">
        <v>29.28</v>
      </c>
      <c r="BJ1575">
        <v>0</v>
      </c>
      <c r="BK1575">
        <v>29.28</v>
      </c>
      <c r="BP1575" s="63">
        <v>32</v>
      </c>
      <c r="BQ1575" s="63"/>
      <c r="BR1575">
        <v>25</v>
      </c>
    </row>
    <row r="1576" spans="1:70" hidden="1" outlineLevel="1">
      <c r="A1576" t="s">
        <v>422</v>
      </c>
      <c r="B1576" s="8" t="s">
        <v>2016</v>
      </c>
      <c r="C1576" s="1">
        <f t="shared" si="392"/>
        <v>1079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393"/>
        <v>0</v>
      </c>
      <c r="G1576" s="1">
        <f t="shared" si="394"/>
        <v>570</v>
      </c>
      <c r="H1576" s="2">
        <f t="shared" si="401"/>
        <v>0.52826691380908253</v>
      </c>
      <c r="I1576" s="6"/>
      <c r="J1576" s="2">
        <f t="shared" si="395"/>
        <v>0.69694161260426324</v>
      </c>
      <c r="K1576" s="2">
        <f t="shared" si="396"/>
        <v>0.16867469879518071</v>
      </c>
      <c r="L1576" s="2">
        <f t="shared" si="397"/>
        <v>0</v>
      </c>
      <c r="M1576" s="2">
        <f t="shared" si="398"/>
        <v>0.13438368860055605</v>
      </c>
      <c r="N1576" s="63">
        <v>752</v>
      </c>
      <c r="O1576" s="63">
        <v>182</v>
      </c>
      <c r="P1576" s="63">
        <v>0</v>
      </c>
      <c r="Q1576" s="63">
        <v>45</v>
      </c>
      <c r="R1576" s="63">
        <v>25</v>
      </c>
      <c r="S1576" s="63">
        <v>0</v>
      </c>
      <c r="T1576" s="63">
        <v>4</v>
      </c>
      <c r="U1576" s="63"/>
      <c r="V1576" s="63">
        <v>0</v>
      </c>
      <c r="W1576" s="63">
        <f t="shared" si="399"/>
        <v>70</v>
      </c>
      <c r="X1576" s="63"/>
      <c r="Y1576" s="63"/>
      <c r="Z1576" s="63"/>
      <c r="AA1576" s="63"/>
      <c r="AB1576" s="63"/>
      <c r="AE1576" s="8">
        <v>1</v>
      </c>
      <c r="AT1576" t="str">
        <f t="shared" si="391"/>
        <v>Warren</v>
      </c>
      <c r="AU1576" t="s">
        <v>692</v>
      </c>
      <c r="AV1576">
        <v>1</v>
      </c>
      <c r="AX1576" s="114">
        <v>50</v>
      </c>
      <c r="AY1576" s="116">
        <v>23</v>
      </c>
      <c r="AZ1576" s="116">
        <v>85</v>
      </c>
      <c r="BA1576" s="120">
        <v>76525</v>
      </c>
      <c r="BB1576" s="120">
        <f t="shared" si="402"/>
        <v>50023</v>
      </c>
      <c r="BC1576" s="8" t="s">
        <v>1472</v>
      </c>
      <c r="BD1576">
        <f t="shared" si="400"/>
        <v>5076525</v>
      </c>
      <c r="BE1576" s="1">
        <v>9</v>
      </c>
      <c r="BF1576" s="1">
        <v>1</v>
      </c>
      <c r="BI1576">
        <v>40.07</v>
      </c>
      <c r="BJ1576">
        <v>0</v>
      </c>
      <c r="BK1576">
        <v>40.07</v>
      </c>
      <c r="BP1576" s="63">
        <v>71</v>
      </c>
      <c r="BQ1576" s="63"/>
      <c r="BR1576">
        <v>62</v>
      </c>
    </row>
    <row r="1577" spans="1:70" hidden="1" outlineLevel="1">
      <c r="A1577" t="s">
        <v>692</v>
      </c>
      <c r="B1577" s="8" t="s">
        <v>2016</v>
      </c>
      <c r="C1577" s="1">
        <f t="shared" si="392"/>
        <v>536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 t="shared" si="393"/>
        <v>0</v>
      </c>
      <c r="G1577" s="1">
        <f t="shared" si="394"/>
        <v>24</v>
      </c>
      <c r="H1577" s="2">
        <f t="shared" si="401"/>
        <v>4.4776119402985072E-2</v>
      </c>
      <c r="I1577" s="6"/>
      <c r="J1577" s="2">
        <f t="shared" si="395"/>
        <v>0.40485074626865669</v>
      </c>
      <c r="K1577" s="2">
        <f t="shared" si="396"/>
        <v>0.44962686567164178</v>
      </c>
      <c r="L1577" s="2">
        <f t="shared" si="397"/>
        <v>0</v>
      </c>
      <c r="M1577" s="2">
        <f t="shared" si="398"/>
        <v>0.14552238805970152</v>
      </c>
      <c r="N1577" s="63">
        <v>217</v>
      </c>
      <c r="O1577" s="63">
        <v>241</v>
      </c>
      <c r="P1577" s="63">
        <v>0</v>
      </c>
      <c r="Q1577" s="63">
        <v>24</v>
      </c>
      <c r="R1577" s="63">
        <v>11</v>
      </c>
      <c r="S1577" s="63">
        <v>0</v>
      </c>
      <c r="T1577" s="63">
        <v>4</v>
      </c>
      <c r="U1577" s="63"/>
      <c r="V1577" s="63">
        <v>0</v>
      </c>
      <c r="W1577" s="63">
        <f t="shared" si="399"/>
        <v>39</v>
      </c>
      <c r="X1577" s="63"/>
      <c r="Y1577" s="63"/>
      <c r="Z1577" s="63"/>
      <c r="AA1577" s="63"/>
      <c r="AB1577" s="63"/>
      <c r="AT1577" t="str">
        <f t="shared" si="391"/>
        <v>Washington</v>
      </c>
      <c r="AU1577" t="s">
        <v>2013</v>
      </c>
      <c r="AV1577">
        <v>1</v>
      </c>
      <c r="AX1577" s="114">
        <v>50</v>
      </c>
      <c r="AY1577" s="116">
        <v>17</v>
      </c>
      <c r="AZ1577" s="116">
        <v>75</v>
      </c>
      <c r="BA1577" s="120">
        <v>76750</v>
      </c>
      <c r="BB1577" s="120">
        <f t="shared" si="402"/>
        <v>50017</v>
      </c>
      <c r="BC1577" s="8" t="s">
        <v>1472</v>
      </c>
      <c r="BD1577">
        <f t="shared" si="400"/>
        <v>5076750</v>
      </c>
      <c r="BE1577" s="1">
        <v>17</v>
      </c>
      <c r="BF1577" s="1">
        <v>4</v>
      </c>
      <c r="BI1577">
        <v>38.869999999999997</v>
      </c>
      <c r="BJ1577">
        <v>0.01</v>
      </c>
      <c r="BK1577">
        <v>38.86</v>
      </c>
      <c r="BP1577" s="63">
        <v>39</v>
      </c>
      <c r="BQ1577" s="63"/>
      <c r="BR1577">
        <v>34</v>
      </c>
    </row>
    <row r="1578" spans="1:70" hidden="1" outlineLevel="1">
      <c r="A1578" t="s">
        <v>825</v>
      </c>
      <c r="B1578" s="8" t="s">
        <v>2016</v>
      </c>
      <c r="C1578" s="1">
        <f t="shared" si="392"/>
        <v>3040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393"/>
        <v>7</v>
      </c>
      <c r="G1578" s="1">
        <f t="shared" si="394"/>
        <v>1443</v>
      </c>
      <c r="H1578" s="2">
        <f t="shared" si="401"/>
        <v>0.47467105263157894</v>
      </c>
      <c r="I1578" s="6"/>
      <c r="J1578" s="2">
        <f t="shared" si="395"/>
        <v>0.66940789473684215</v>
      </c>
      <c r="K1578" s="2">
        <f t="shared" si="396"/>
        <v>0.19473684210526315</v>
      </c>
      <c r="L1578" s="2">
        <f t="shared" si="397"/>
        <v>1.6447368421052631E-3</v>
      </c>
      <c r="M1578" s="2">
        <f t="shared" si="398"/>
        <v>0.13421052631578945</v>
      </c>
      <c r="N1578" s="63">
        <v>2035</v>
      </c>
      <c r="O1578" s="63">
        <v>592</v>
      </c>
      <c r="P1578" s="63">
        <v>5</v>
      </c>
      <c r="Q1578" s="63">
        <v>91</v>
      </c>
      <c r="R1578" s="63">
        <v>44</v>
      </c>
      <c r="S1578" s="63">
        <v>0</v>
      </c>
      <c r="T1578" s="63">
        <v>16</v>
      </c>
      <c r="U1578" s="63"/>
      <c r="V1578" s="63">
        <v>1</v>
      </c>
      <c r="W1578" s="63">
        <f t="shared" si="399"/>
        <v>256</v>
      </c>
      <c r="X1578" s="63"/>
      <c r="Y1578" s="63"/>
      <c r="Z1578" s="63"/>
      <c r="AA1578" s="63"/>
      <c r="AB1578" s="63"/>
      <c r="AT1578" t="str">
        <f t="shared" si="391"/>
        <v>Waterbury</v>
      </c>
      <c r="AU1578" t="s">
        <v>692</v>
      </c>
      <c r="AV1578">
        <v>1</v>
      </c>
      <c r="AX1578" s="114">
        <v>50</v>
      </c>
      <c r="AY1578" s="116">
        <v>23</v>
      </c>
      <c r="AZ1578" s="116">
        <v>90</v>
      </c>
      <c r="BA1578" s="120">
        <v>76975</v>
      </c>
      <c r="BB1578" s="120">
        <f t="shared" si="402"/>
        <v>50023</v>
      </c>
      <c r="BC1578" s="8" t="s">
        <v>1472</v>
      </c>
      <c r="BD1578">
        <f t="shared" si="400"/>
        <v>5076975</v>
      </c>
      <c r="BE1578" s="1">
        <v>43</v>
      </c>
      <c r="BF1578" s="1">
        <v>5</v>
      </c>
      <c r="BI1578">
        <v>49.75</v>
      </c>
      <c r="BJ1578">
        <v>1.52</v>
      </c>
      <c r="BK1578">
        <v>48.23</v>
      </c>
      <c r="BP1578" s="63">
        <v>261</v>
      </c>
      <c r="BQ1578" s="63"/>
      <c r="BR1578">
        <v>231</v>
      </c>
    </row>
    <row r="1579" spans="1:70" hidden="1" outlineLevel="1">
      <c r="A1579" t="s">
        <v>1058</v>
      </c>
      <c r="B1579" s="8" t="s">
        <v>2016</v>
      </c>
      <c r="C1579" s="1">
        <f t="shared" si="392"/>
        <v>736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 t="shared" si="393"/>
        <v>6</v>
      </c>
      <c r="G1579" s="1">
        <f t="shared" si="394"/>
        <v>49</v>
      </c>
      <c r="H1579" s="2">
        <f t="shared" si="401"/>
        <v>6.6576086956521743E-2</v>
      </c>
      <c r="I1579" s="6"/>
      <c r="J1579" s="2">
        <f t="shared" si="395"/>
        <v>0.39673913043478259</v>
      </c>
      <c r="K1579" s="2">
        <f t="shared" si="396"/>
        <v>0.46331521739130432</v>
      </c>
      <c r="L1579" s="2">
        <f t="shared" si="397"/>
        <v>5.434782608695652E-3</v>
      </c>
      <c r="M1579" s="2">
        <f t="shared" si="398"/>
        <v>0.13451086956521743</v>
      </c>
      <c r="N1579" s="63">
        <v>292</v>
      </c>
      <c r="O1579" s="63">
        <v>341</v>
      </c>
      <c r="P1579" s="63">
        <v>4</v>
      </c>
      <c r="Q1579" s="63">
        <v>37</v>
      </c>
      <c r="R1579" s="63">
        <v>5</v>
      </c>
      <c r="S1579" s="63">
        <v>0</v>
      </c>
      <c r="T1579" s="63">
        <v>1</v>
      </c>
      <c r="U1579" s="63"/>
      <c r="V1579" s="63">
        <v>0</v>
      </c>
      <c r="W1579" s="63">
        <f t="shared" si="399"/>
        <v>56</v>
      </c>
      <c r="X1579" s="63"/>
      <c r="Y1579" s="63"/>
      <c r="Z1579" s="63"/>
      <c r="AA1579" s="63"/>
      <c r="AB1579" s="63"/>
      <c r="AT1579" t="str">
        <f t="shared" si="391"/>
        <v>Waterford</v>
      </c>
      <c r="AU1579" t="s">
        <v>681</v>
      </c>
      <c r="AV1579">
        <v>1</v>
      </c>
      <c r="AX1579" s="114">
        <v>50</v>
      </c>
      <c r="AY1579" s="116">
        <v>5</v>
      </c>
      <c r="AZ1579" s="116">
        <v>80</v>
      </c>
      <c r="BA1579" s="120">
        <v>77125</v>
      </c>
      <c r="BB1579" s="120">
        <f t="shared" si="402"/>
        <v>50005</v>
      </c>
      <c r="BC1579" s="8" t="s">
        <v>1472</v>
      </c>
      <c r="BD1579">
        <f t="shared" si="400"/>
        <v>5077125</v>
      </c>
      <c r="BE1579" s="1">
        <v>6</v>
      </c>
      <c r="BF1579" s="1">
        <v>1</v>
      </c>
      <c r="BI1579">
        <v>39.729999999999997</v>
      </c>
      <c r="BJ1579">
        <v>1.58</v>
      </c>
      <c r="BK1579">
        <v>38.15</v>
      </c>
      <c r="BP1579" s="63">
        <v>60</v>
      </c>
      <c r="BQ1579" s="63"/>
      <c r="BR1579">
        <v>43</v>
      </c>
    </row>
    <row r="1580" spans="1:70" hidden="1" outlineLevel="1">
      <c r="A1580" t="s">
        <v>421</v>
      </c>
      <c r="B1580" s="8" t="s">
        <v>2016</v>
      </c>
      <c r="C1580" s="1">
        <f t="shared" si="392"/>
        <v>375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393"/>
        <v>6</v>
      </c>
      <c r="G1580" s="1">
        <f t="shared" si="394"/>
        <v>15</v>
      </c>
      <c r="H1580" s="2">
        <f t="shared" si="401"/>
        <v>0.04</v>
      </c>
      <c r="I1580" s="6"/>
      <c r="J1580" s="2">
        <f t="shared" si="395"/>
        <v>0.42933333333333334</v>
      </c>
      <c r="K1580" s="2">
        <f t="shared" si="396"/>
        <v>0.38933333333333331</v>
      </c>
      <c r="L1580" s="2">
        <f t="shared" si="397"/>
        <v>2.6666666666666666E-3</v>
      </c>
      <c r="M1580" s="2">
        <f t="shared" si="398"/>
        <v>0.17866666666666667</v>
      </c>
      <c r="N1580" s="63">
        <v>161</v>
      </c>
      <c r="O1580" s="63">
        <v>146</v>
      </c>
      <c r="P1580" s="63">
        <v>1</v>
      </c>
      <c r="Q1580" s="63">
        <v>14</v>
      </c>
      <c r="R1580" s="63">
        <v>10</v>
      </c>
      <c r="S1580" s="63">
        <v>0</v>
      </c>
      <c r="T1580" s="63">
        <v>1</v>
      </c>
      <c r="U1580" s="63"/>
      <c r="V1580" s="63">
        <v>1</v>
      </c>
      <c r="W1580" s="63">
        <f t="shared" si="399"/>
        <v>41</v>
      </c>
      <c r="X1580" s="63"/>
      <c r="Y1580" s="63"/>
      <c r="Z1580" s="63"/>
      <c r="AA1580" s="63"/>
      <c r="AB1580" s="63"/>
      <c r="AT1580" t="str">
        <f t="shared" si="391"/>
        <v>Waterville</v>
      </c>
      <c r="AU1580" t="s">
        <v>2768</v>
      </c>
      <c r="AV1580">
        <v>1</v>
      </c>
      <c r="AX1580" s="114">
        <v>50</v>
      </c>
      <c r="AY1580" s="116">
        <v>15</v>
      </c>
      <c r="AZ1580" s="116">
        <v>45</v>
      </c>
      <c r="BA1580" s="120">
        <v>77425</v>
      </c>
      <c r="BB1580" s="120">
        <f t="shared" si="402"/>
        <v>50015</v>
      </c>
      <c r="BC1580" s="8" t="s">
        <v>1472</v>
      </c>
      <c r="BD1580">
        <f t="shared" si="400"/>
        <v>5077425</v>
      </c>
      <c r="BE1580" s="1">
        <v>6</v>
      </c>
      <c r="BF1580" s="1">
        <v>0</v>
      </c>
      <c r="BI1580">
        <v>16.41</v>
      </c>
      <c r="BJ1580">
        <v>0.01</v>
      </c>
      <c r="BK1580">
        <v>16.399999999999999</v>
      </c>
      <c r="BP1580" s="63">
        <v>42</v>
      </c>
      <c r="BQ1580" s="63"/>
      <c r="BR1580">
        <v>36</v>
      </c>
    </row>
    <row r="1581" spans="1:70" hidden="1" outlineLevel="1">
      <c r="A1581" t="s">
        <v>774</v>
      </c>
      <c r="B1581" s="8" t="s">
        <v>2016</v>
      </c>
      <c r="C1581" s="1">
        <f t="shared" si="392"/>
        <v>1577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393"/>
        <v>7</v>
      </c>
      <c r="G1581" s="1">
        <f t="shared" si="394"/>
        <v>98</v>
      </c>
      <c r="H1581" s="2">
        <f t="shared" si="401"/>
        <v>6.2143310082435003E-2</v>
      </c>
      <c r="I1581" s="6"/>
      <c r="J1581" s="2">
        <f t="shared" si="395"/>
        <v>0.4724159797083069</v>
      </c>
      <c r="K1581" s="2">
        <f t="shared" si="396"/>
        <v>0.41027266962587189</v>
      </c>
      <c r="L1581" s="2">
        <f t="shared" si="397"/>
        <v>2.5364616360177552E-3</v>
      </c>
      <c r="M1581" s="2">
        <f t="shared" si="398"/>
        <v>0.1147748890298034</v>
      </c>
      <c r="N1581" s="63">
        <v>745</v>
      </c>
      <c r="O1581" s="63">
        <v>647</v>
      </c>
      <c r="P1581" s="63">
        <v>4</v>
      </c>
      <c r="Q1581" s="63">
        <v>51</v>
      </c>
      <c r="R1581" s="63">
        <v>26</v>
      </c>
      <c r="S1581" s="63">
        <v>0</v>
      </c>
      <c r="T1581" s="63">
        <v>8</v>
      </c>
      <c r="U1581" s="63"/>
      <c r="V1581" s="63">
        <v>1</v>
      </c>
      <c r="W1581" s="63">
        <f t="shared" si="399"/>
        <v>95</v>
      </c>
      <c r="X1581" s="63"/>
      <c r="Y1581" s="63"/>
      <c r="Z1581" s="63"/>
      <c r="AA1581" s="63"/>
      <c r="AB1581" s="63"/>
      <c r="AT1581" t="str">
        <f t="shared" si="391"/>
        <v>Weathersfield</v>
      </c>
      <c r="AU1581" t="s">
        <v>2282</v>
      </c>
      <c r="AV1581">
        <v>1</v>
      </c>
      <c r="AX1581" s="114">
        <v>50</v>
      </c>
      <c r="AY1581" s="116">
        <v>27</v>
      </c>
      <c r="AZ1581" s="116">
        <v>100</v>
      </c>
      <c r="BA1581" s="120">
        <v>77500</v>
      </c>
      <c r="BB1581" s="120">
        <f t="shared" si="402"/>
        <v>50027</v>
      </c>
      <c r="BC1581" s="8" t="s">
        <v>1472</v>
      </c>
      <c r="BD1581">
        <f t="shared" si="400"/>
        <v>5077500</v>
      </c>
      <c r="BE1581" s="1">
        <v>22</v>
      </c>
      <c r="BF1581" s="1">
        <v>0</v>
      </c>
      <c r="BI1581">
        <v>44.18</v>
      </c>
      <c r="BJ1581">
        <v>0.41</v>
      </c>
      <c r="BK1581">
        <v>43.78</v>
      </c>
      <c r="BP1581" s="63">
        <v>99</v>
      </c>
      <c r="BQ1581" s="63"/>
      <c r="BR1581">
        <v>86</v>
      </c>
    </row>
    <row r="1582" spans="1:70" hidden="1" outlineLevel="1">
      <c r="A1582" t="s">
        <v>720</v>
      </c>
      <c r="B1582" s="8" t="s">
        <v>2016</v>
      </c>
      <c r="C1582" s="1">
        <f t="shared" si="392"/>
        <v>575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 t="shared" si="393"/>
        <v>6</v>
      </c>
      <c r="G1582" s="1">
        <f t="shared" si="394"/>
        <v>103</v>
      </c>
      <c r="H1582" s="2">
        <f t="shared" si="401"/>
        <v>0.17913043478260871</v>
      </c>
      <c r="I1582" s="6"/>
      <c r="J1582" s="2">
        <f t="shared" si="395"/>
        <v>0.3634782608695652</v>
      </c>
      <c r="K1582" s="2">
        <f t="shared" si="396"/>
        <v>0.54260869565217396</v>
      </c>
      <c r="L1582" s="2">
        <f t="shared" si="397"/>
        <v>3.4782608695652175E-3</v>
      </c>
      <c r="M1582" s="2">
        <f t="shared" si="398"/>
        <v>9.0434782608695571E-2</v>
      </c>
      <c r="N1582" s="63">
        <v>209</v>
      </c>
      <c r="O1582" s="63">
        <v>312</v>
      </c>
      <c r="P1582" s="63">
        <v>2</v>
      </c>
      <c r="Q1582" s="63">
        <v>17</v>
      </c>
      <c r="R1582" s="63">
        <v>6</v>
      </c>
      <c r="S1582" s="63">
        <v>0</v>
      </c>
      <c r="T1582" s="63">
        <v>2</v>
      </c>
      <c r="U1582" s="63"/>
      <c r="V1582" s="63">
        <v>0</v>
      </c>
      <c r="W1582" s="63">
        <f t="shared" si="399"/>
        <v>27</v>
      </c>
      <c r="X1582" s="63"/>
      <c r="Y1582" s="63"/>
      <c r="Z1582" s="63"/>
      <c r="AA1582" s="63"/>
      <c r="AB1582" s="63"/>
      <c r="AT1582" t="str">
        <f t="shared" si="391"/>
        <v>Wells</v>
      </c>
      <c r="AU1582" t="s">
        <v>589</v>
      </c>
      <c r="AV1582">
        <v>1</v>
      </c>
      <c r="AX1582" s="114">
        <v>50</v>
      </c>
      <c r="AY1582" s="116">
        <v>21</v>
      </c>
      <c r="AZ1582" s="116">
        <v>130</v>
      </c>
      <c r="BA1582" s="120">
        <v>77950</v>
      </c>
      <c r="BB1582" s="120">
        <f t="shared" si="402"/>
        <v>50021</v>
      </c>
      <c r="BC1582" s="8" t="s">
        <v>1472</v>
      </c>
      <c r="BD1582">
        <f t="shared" si="400"/>
        <v>5077950</v>
      </c>
      <c r="BE1582" s="1">
        <v>6</v>
      </c>
      <c r="BF1582" s="1">
        <v>0</v>
      </c>
      <c r="BI1582">
        <v>23.36</v>
      </c>
      <c r="BJ1582">
        <v>0.8</v>
      </c>
      <c r="BK1582">
        <v>22.55</v>
      </c>
      <c r="BP1582" s="63">
        <v>29</v>
      </c>
      <c r="BQ1582" s="63"/>
      <c r="BR1582">
        <v>22</v>
      </c>
    </row>
    <row r="1583" spans="1:70" hidden="1" outlineLevel="1">
      <c r="A1583" t="s">
        <v>946</v>
      </c>
      <c r="B1583" s="8" t="s">
        <v>2016</v>
      </c>
      <c r="C1583" s="1">
        <f t="shared" si="392"/>
        <v>297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393"/>
        <v>0</v>
      </c>
      <c r="G1583" s="1">
        <f t="shared" si="394"/>
        <v>64</v>
      </c>
      <c r="H1583" s="2">
        <f t="shared" si="401"/>
        <v>0.21548821548821548</v>
      </c>
      <c r="I1583" s="6"/>
      <c r="J1583" s="2">
        <f t="shared" si="395"/>
        <v>0.54208754208754206</v>
      </c>
      <c r="K1583" s="2">
        <f t="shared" si="396"/>
        <v>0.32659932659932661</v>
      </c>
      <c r="L1583" s="2">
        <f t="shared" si="397"/>
        <v>0</v>
      </c>
      <c r="M1583" s="2">
        <f t="shared" si="398"/>
        <v>0.13131313131313133</v>
      </c>
      <c r="N1583" s="63">
        <v>161</v>
      </c>
      <c r="O1583" s="63">
        <v>97</v>
      </c>
      <c r="P1583" s="63">
        <v>0</v>
      </c>
      <c r="Q1583" s="63">
        <v>15</v>
      </c>
      <c r="R1583" s="63">
        <v>2</v>
      </c>
      <c r="S1583" s="63">
        <v>0</v>
      </c>
      <c r="T1583" s="63">
        <v>0</v>
      </c>
      <c r="U1583" s="63"/>
      <c r="V1583" s="63">
        <v>1</v>
      </c>
      <c r="W1583" s="63">
        <f t="shared" si="399"/>
        <v>21</v>
      </c>
      <c r="X1583" s="63"/>
      <c r="Y1583" s="63"/>
      <c r="Z1583" s="63"/>
      <c r="AA1583" s="63"/>
      <c r="AB1583" s="63"/>
      <c r="AT1583" t="str">
        <f t="shared" si="391"/>
        <v>West Fairlee</v>
      </c>
      <c r="AU1583" t="s">
        <v>2013</v>
      </c>
      <c r="AV1583">
        <v>1</v>
      </c>
      <c r="AX1583" s="114">
        <v>50</v>
      </c>
      <c r="AY1583" s="116">
        <v>17</v>
      </c>
      <c r="AZ1583" s="116">
        <v>80</v>
      </c>
      <c r="BA1583" s="120">
        <v>79975</v>
      </c>
      <c r="BB1583" s="120">
        <f t="shared" si="402"/>
        <v>50017</v>
      </c>
      <c r="BC1583" s="8" t="s">
        <v>1472</v>
      </c>
      <c r="BD1583">
        <f t="shared" si="400"/>
        <v>5079975</v>
      </c>
      <c r="BE1583" s="1">
        <v>5</v>
      </c>
      <c r="BF1583" s="1">
        <v>3</v>
      </c>
      <c r="BI1583">
        <v>22.83</v>
      </c>
      <c r="BJ1583">
        <v>0.22</v>
      </c>
      <c r="BK1583">
        <v>22.6</v>
      </c>
      <c r="BP1583" s="63">
        <v>21</v>
      </c>
      <c r="BQ1583" s="63"/>
      <c r="BR1583">
        <v>21</v>
      </c>
    </row>
    <row r="1584" spans="1:70" hidden="1" outlineLevel="1">
      <c r="A1584" t="s">
        <v>2766</v>
      </c>
      <c r="B1584" s="8" t="s">
        <v>2016</v>
      </c>
      <c r="C1584" s="1">
        <f t="shared" si="392"/>
        <v>133</v>
      </c>
      <c r="D1584" s="5">
        <f>IF(N1584&gt;0, RANK(N1584,(N1584:P1584,Q1584:AE1584)),0)</f>
        <v>1</v>
      </c>
      <c r="E1584" s="5">
        <f>IF(O1584&gt;0,RANK(O1584,(N1584:P1584,Q1584:AE1584)),0)</f>
        <v>1</v>
      </c>
      <c r="F1584" s="5">
        <f t="shared" si="393"/>
        <v>0</v>
      </c>
      <c r="G1584" s="1">
        <f t="shared" si="394"/>
        <v>0</v>
      </c>
      <c r="H1584" s="2">
        <f t="shared" si="401"/>
        <v>0</v>
      </c>
      <c r="I1584" s="6"/>
      <c r="J1584" s="2">
        <f t="shared" si="395"/>
        <v>0.42105263157894735</v>
      </c>
      <c r="K1584" s="2">
        <f t="shared" si="396"/>
        <v>0.42105263157894735</v>
      </c>
      <c r="L1584" s="2">
        <f t="shared" si="397"/>
        <v>0</v>
      </c>
      <c r="M1584" s="2">
        <f t="shared" si="398"/>
        <v>0.15789473684210531</v>
      </c>
      <c r="N1584" s="63">
        <v>56</v>
      </c>
      <c r="O1584" s="63">
        <v>56</v>
      </c>
      <c r="P1584" s="63">
        <v>0</v>
      </c>
      <c r="Q1584" s="63">
        <v>0</v>
      </c>
      <c r="R1584" s="63">
        <v>7</v>
      </c>
      <c r="S1584" s="63">
        <v>0</v>
      </c>
      <c r="T1584" s="63">
        <v>1</v>
      </c>
      <c r="U1584" s="63"/>
      <c r="V1584" s="63">
        <v>0</v>
      </c>
      <c r="W1584" s="63">
        <f t="shared" si="399"/>
        <v>13</v>
      </c>
      <c r="X1584" s="63"/>
      <c r="Y1584" s="63"/>
      <c r="Z1584" s="63"/>
      <c r="AA1584" s="63"/>
      <c r="AB1584" s="63"/>
      <c r="AT1584" t="str">
        <f t="shared" si="391"/>
        <v>West Haven</v>
      </c>
      <c r="AU1584" t="s">
        <v>589</v>
      </c>
      <c r="AV1584">
        <v>1</v>
      </c>
      <c r="AX1584" s="114">
        <v>50</v>
      </c>
      <c r="AY1584" s="116">
        <v>21</v>
      </c>
      <c r="AZ1584" s="116">
        <v>135</v>
      </c>
      <c r="BA1584" s="120">
        <v>80875</v>
      </c>
      <c r="BB1584" s="120">
        <f t="shared" si="402"/>
        <v>50021</v>
      </c>
      <c r="BC1584" s="8" t="s">
        <v>1472</v>
      </c>
      <c r="BD1584">
        <f t="shared" si="400"/>
        <v>5080875</v>
      </c>
      <c r="BE1584" s="1">
        <v>8</v>
      </c>
      <c r="BF1584" s="1">
        <v>1</v>
      </c>
      <c r="BI1584">
        <v>28.49</v>
      </c>
      <c r="BJ1584">
        <v>0.49</v>
      </c>
      <c r="BK1584">
        <v>28</v>
      </c>
      <c r="BP1584" s="63">
        <v>13</v>
      </c>
      <c r="BQ1584" s="63"/>
      <c r="BR1584">
        <v>13</v>
      </c>
    </row>
    <row r="1585" spans="1:70" hidden="1" outlineLevel="1">
      <c r="A1585" t="s">
        <v>2616</v>
      </c>
      <c r="B1585" s="8" t="s">
        <v>2016</v>
      </c>
      <c r="C1585" s="1">
        <f t="shared" si="392"/>
        <v>1036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 t="shared" si="393"/>
        <v>0</v>
      </c>
      <c r="G1585" s="1">
        <f t="shared" si="394"/>
        <v>157</v>
      </c>
      <c r="H1585" s="2">
        <f t="shared" si="401"/>
        <v>0.15154440154440155</v>
      </c>
      <c r="I1585" s="6"/>
      <c r="J1585" s="2">
        <f t="shared" si="395"/>
        <v>0.37065637065637064</v>
      </c>
      <c r="K1585" s="2">
        <f t="shared" si="396"/>
        <v>0.52220077220077221</v>
      </c>
      <c r="L1585" s="2">
        <f t="shared" si="397"/>
        <v>0</v>
      </c>
      <c r="M1585" s="2">
        <f t="shared" si="398"/>
        <v>0.10714285714285721</v>
      </c>
      <c r="N1585" s="63">
        <v>384</v>
      </c>
      <c r="O1585" s="63">
        <v>541</v>
      </c>
      <c r="P1585" s="63">
        <v>0</v>
      </c>
      <c r="Q1585" s="63">
        <v>33</v>
      </c>
      <c r="R1585" s="63">
        <v>10</v>
      </c>
      <c r="S1585" s="63">
        <v>0</v>
      </c>
      <c r="T1585" s="63">
        <v>4</v>
      </c>
      <c r="U1585" s="63"/>
      <c r="V1585" s="63">
        <v>1</v>
      </c>
      <c r="W1585" s="63">
        <f t="shared" si="399"/>
        <v>63</v>
      </c>
      <c r="X1585" s="63"/>
      <c r="Y1585" s="63"/>
      <c r="Z1585" s="63"/>
      <c r="AA1585" s="63"/>
      <c r="AB1585" s="63"/>
      <c r="AT1585" t="str">
        <f t="shared" si="391"/>
        <v>West Rutland</v>
      </c>
      <c r="AU1585" t="s">
        <v>589</v>
      </c>
      <c r="AV1585">
        <v>1</v>
      </c>
      <c r="AX1585" s="114">
        <v>50</v>
      </c>
      <c r="AY1585" s="116">
        <v>21</v>
      </c>
      <c r="AZ1585" s="116">
        <v>140</v>
      </c>
      <c r="BA1585" s="120">
        <v>82300</v>
      </c>
      <c r="BB1585" s="120">
        <f t="shared" si="402"/>
        <v>50021</v>
      </c>
      <c r="BC1585" s="8" t="s">
        <v>1472</v>
      </c>
      <c r="BD1585">
        <f t="shared" si="400"/>
        <v>5082300</v>
      </c>
      <c r="BE1585" s="1">
        <v>13</v>
      </c>
      <c r="BF1585" s="1">
        <v>2</v>
      </c>
      <c r="BI1585">
        <v>18</v>
      </c>
      <c r="BJ1585">
        <v>0</v>
      </c>
      <c r="BK1585">
        <v>18</v>
      </c>
      <c r="BP1585" s="63">
        <v>63</v>
      </c>
      <c r="BQ1585" s="63"/>
      <c r="BR1585">
        <v>53</v>
      </c>
    </row>
    <row r="1586" spans="1:70" hidden="1" outlineLevel="1">
      <c r="A1586" t="s">
        <v>2059</v>
      </c>
      <c r="B1586" s="8" t="s">
        <v>2016</v>
      </c>
      <c r="C1586" s="1">
        <f t="shared" si="392"/>
        <v>707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393"/>
        <v>0</v>
      </c>
      <c r="G1586" s="1">
        <f t="shared" si="394"/>
        <v>296</v>
      </c>
      <c r="H1586" s="2">
        <f t="shared" si="401"/>
        <v>0.41867043847241869</v>
      </c>
      <c r="I1586" s="6"/>
      <c r="J1586" s="2">
        <f t="shared" si="395"/>
        <v>0.6633663366336634</v>
      </c>
      <c r="K1586" s="2">
        <f t="shared" si="396"/>
        <v>0.24469589816124471</v>
      </c>
      <c r="L1586" s="2">
        <f t="shared" si="397"/>
        <v>0</v>
      </c>
      <c r="M1586" s="2">
        <f t="shared" si="398"/>
        <v>9.1937765205091893E-2</v>
      </c>
      <c r="N1586" s="63">
        <v>469</v>
      </c>
      <c r="O1586" s="63">
        <v>173</v>
      </c>
      <c r="P1586" s="63">
        <v>0</v>
      </c>
      <c r="Q1586" s="63">
        <v>27</v>
      </c>
      <c r="R1586" s="63">
        <v>6</v>
      </c>
      <c r="S1586" s="63">
        <v>0</v>
      </c>
      <c r="T1586" s="63">
        <v>2</v>
      </c>
      <c r="U1586" s="63"/>
      <c r="V1586" s="63">
        <v>0</v>
      </c>
      <c r="W1586" s="63">
        <f t="shared" si="399"/>
        <v>30</v>
      </c>
      <c r="X1586" s="63"/>
      <c r="Y1586" s="63"/>
      <c r="Z1586" s="63"/>
      <c r="AA1586" s="63"/>
      <c r="AB1586" s="63"/>
      <c r="AT1586" t="str">
        <f t="shared" si="391"/>
        <v>West Windsor</v>
      </c>
      <c r="AU1586" t="s">
        <v>2282</v>
      </c>
      <c r="AV1586">
        <v>1</v>
      </c>
      <c r="AX1586" s="114">
        <v>50</v>
      </c>
      <c r="AY1586" s="116">
        <v>27</v>
      </c>
      <c r="AZ1586" s="116">
        <v>110</v>
      </c>
      <c r="BA1586" s="120">
        <v>83050</v>
      </c>
      <c r="BB1586" s="120">
        <f t="shared" si="402"/>
        <v>50027</v>
      </c>
      <c r="BC1586" s="8" t="s">
        <v>1472</v>
      </c>
      <c r="BD1586">
        <f t="shared" si="400"/>
        <v>5083050</v>
      </c>
      <c r="BE1586" s="1">
        <v>11</v>
      </c>
      <c r="BF1586" s="1">
        <v>4</v>
      </c>
      <c r="BI1586">
        <v>24.72</v>
      </c>
      <c r="BJ1586">
        <v>0.02</v>
      </c>
      <c r="BK1586">
        <v>24.7</v>
      </c>
      <c r="BP1586" s="63">
        <v>30</v>
      </c>
      <c r="BQ1586" s="63"/>
      <c r="BR1586">
        <v>0</v>
      </c>
    </row>
    <row r="1587" spans="1:70" hidden="1" outlineLevel="1">
      <c r="A1587" t="s">
        <v>3061</v>
      </c>
      <c r="B1587" s="8" t="s">
        <v>2016</v>
      </c>
      <c r="C1587" s="1">
        <f t="shared" si="392"/>
        <v>303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393"/>
        <v>6</v>
      </c>
      <c r="G1587" s="1">
        <f t="shared" si="394"/>
        <v>11</v>
      </c>
      <c r="H1587" s="2">
        <f t="shared" si="401"/>
        <v>3.6303630363036306E-2</v>
      </c>
      <c r="I1587" s="6"/>
      <c r="J1587" s="2">
        <f t="shared" si="395"/>
        <v>0.44224422442244227</v>
      </c>
      <c r="K1587" s="2">
        <f t="shared" si="396"/>
        <v>0.40594059405940597</v>
      </c>
      <c r="L1587" s="2">
        <f t="shared" si="397"/>
        <v>3.3003300330033004E-3</v>
      </c>
      <c r="M1587" s="2">
        <f t="shared" si="398"/>
        <v>0.14851485148514845</v>
      </c>
      <c r="N1587" s="63">
        <v>134</v>
      </c>
      <c r="O1587" s="63">
        <v>123</v>
      </c>
      <c r="P1587" s="63">
        <v>1</v>
      </c>
      <c r="Q1587" s="63">
        <v>6</v>
      </c>
      <c r="R1587" s="63">
        <v>11</v>
      </c>
      <c r="S1587" s="63">
        <v>0</v>
      </c>
      <c r="T1587" s="63">
        <v>1</v>
      </c>
      <c r="U1587" s="63"/>
      <c r="V1587" s="63">
        <v>0</v>
      </c>
      <c r="W1587" s="63">
        <f t="shared" si="399"/>
        <v>27</v>
      </c>
      <c r="X1587" s="63"/>
      <c r="Y1587" s="63"/>
      <c r="Z1587" s="63"/>
      <c r="AA1587" s="63"/>
      <c r="AB1587" s="63"/>
      <c r="AT1587" t="str">
        <f t="shared" si="391"/>
        <v>Westfield</v>
      </c>
      <c r="AU1587" t="s">
        <v>405</v>
      </c>
      <c r="AV1587">
        <v>1</v>
      </c>
      <c r="AX1587" s="114">
        <v>50</v>
      </c>
      <c r="AY1587" s="116">
        <v>19</v>
      </c>
      <c r="AZ1587" s="116">
        <v>90</v>
      </c>
      <c r="BA1587" s="120">
        <v>80200</v>
      </c>
      <c r="BB1587" s="120">
        <f t="shared" si="402"/>
        <v>50019</v>
      </c>
      <c r="BC1587" s="8" t="s">
        <v>1472</v>
      </c>
      <c r="BD1587">
        <f t="shared" si="400"/>
        <v>5080200</v>
      </c>
      <c r="BE1587" s="1">
        <v>1</v>
      </c>
      <c r="BF1587" s="1">
        <v>2</v>
      </c>
      <c r="BI1587">
        <v>40.18</v>
      </c>
      <c r="BJ1587">
        <v>0</v>
      </c>
      <c r="BK1587">
        <v>40.17</v>
      </c>
      <c r="BP1587" s="63">
        <v>28</v>
      </c>
      <c r="BQ1587" s="63"/>
      <c r="BR1587">
        <v>24</v>
      </c>
    </row>
    <row r="1588" spans="1:70" hidden="1" outlineLevel="1">
      <c r="A1588" t="s">
        <v>2820</v>
      </c>
      <c r="B1588" s="8" t="s">
        <v>2016</v>
      </c>
      <c r="C1588" s="1">
        <f t="shared" si="392"/>
        <v>1269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393"/>
        <v>8</v>
      </c>
      <c r="G1588" s="1">
        <f t="shared" si="394"/>
        <v>325</v>
      </c>
      <c r="H1588" s="2">
        <f t="shared" si="401"/>
        <v>0.256107171000788</v>
      </c>
      <c r="I1588" s="6"/>
      <c r="J1588" s="2">
        <f t="shared" si="395"/>
        <v>0.54846335697399529</v>
      </c>
      <c r="K1588" s="2">
        <f t="shared" si="396"/>
        <v>0.29235618597320723</v>
      </c>
      <c r="L1588" s="2">
        <f t="shared" si="397"/>
        <v>3.1520882584712374E-3</v>
      </c>
      <c r="M1588" s="2">
        <f t="shared" si="398"/>
        <v>0.15602836879432624</v>
      </c>
      <c r="N1588" s="63">
        <v>696</v>
      </c>
      <c r="O1588" s="63">
        <v>371</v>
      </c>
      <c r="P1588" s="63">
        <v>4</v>
      </c>
      <c r="Q1588" s="63">
        <v>58</v>
      </c>
      <c r="R1588" s="63">
        <v>22</v>
      </c>
      <c r="S1588" s="63">
        <v>0</v>
      </c>
      <c r="T1588" s="63">
        <v>5</v>
      </c>
      <c r="U1588" s="63"/>
      <c r="V1588" s="63">
        <v>5</v>
      </c>
      <c r="W1588" s="63">
        <f t="shared" si="399"/>
        <v>107</v>
      </c>
      <c r="X1588" s="63"/>
      <c r="Y1588" s="63"/>
      <c r="Z1588" s="63"/>
      <c r="AA1588" s="63"/>
      <c r="AB1588" s="63"/>
      <c r="AG1588" s="8">
        <v>1</v>
      </c>
      <c r="AT1588" t="str">
        <f t="shared" si="391"/>
        <v>Westford</v>
      </c>
      <c r="AU1588" t="s">
        <v>3175</v>
      </c>
      <c r="AV1588">
        <v>1</v>
      </c>
      <c r="AX1588" s="114">
        <v>50</v>
      </c>
      <c r="AY1588" s="116">
        <v>7</v>
      </c>
      <c r="AZ1588" s="116">
        <v>80</v>
      </c>
      <c r="BA1588" s="120">
        <v>80350</v>
      </c>
      <c r="BB1588" s="120">
        <f t="shared" si="402"/>
        <v>50007</v>
      </c>
      <c r="BC1588" s="8" t="s">
        <v>1472</v>
      </c>
      <c r="BD1588">
        <f t="shared" si="400"/>
        <v>5080350</v>
      </c>
      <c r="BE1588" s="1">
        <v>2</v>
      </c>
      <c r="BF1588" s="1">
        <v>10</v>
      </c>
      <c r="BI1588">
        <v>39.29</v>
      </c>
      <c r="BJ1588">
        <v>0.03</v>
      </c>
      <c r="BK1588">
        <v>39.26</v>
      </c>
      <c r="BP1588" s="63">
        <v>112</v>
      </c>
      <c r="BQ1588" s="63"/>
      <c r="BR1588">
        <v>88</v>
      </c>
    </row>
    <row r="1589" spans="1:70" hidden="1" outlineLevel="1">
      <c r="A1589" t="s">
        <v>3077</v>
      </c>
      <c r="B1589" s="8" t="s">
        <v>2016</v>
      </c>
      <c r="C1589" s="1">
        <f t="shared" si="392"/>
        <v>1546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393"/>
        <v>7</v>
      </c>
      <c r="G1589" s="1">
        <f t="shared" si="394"/>
        <v>649</v>
      </c>
      <c r="H1589" s="2">
        <f t="shared" si="401"/>
        <v>0.41979301423027165</v>
      </c>
      <c r="I1589" s="6"/>
      <c r="J1589" s="2">
        <f t="shared" si="395"/>
        <v>0.64747736093143593</v>
      </c>
      <c r="K1589" s="2">
        <f t="shared" si="396"/>
        <v>0.2276843467011643</v>
      </c>
      <c r="L1589" s="2">
        <f t="shared" si="397"/>
        <v>6.4683053040103498E-4</v>
      </c>
      <c r="M1589" s="2">
        <f t="shared" si="398"/>
        <v>0.12419146183699874</v>
      </c>
      <c r="N1589" s="63">
        <v>1001</v>
      </c>
      <c r="O1589" s="63">
        <v>352</v>
      </c>
      <c r="P1589" s="63">
        <v>1</v>
      </c>
      <c r="Q1589" s="63">
        <v>32</v>
      </c>
      <c r="R1589" s="63">
        <v>61</v>
      </c>
      <c r="S1589" s="63">
        <v>0</v>
      </c>
      <c r="T1589" s="63">
        <v>5</v>
      </c>
      <c r="U1589" s="63"/>
      <c r="V1589" s="63">
        <v>0</v>
      </c>
      <c r="W1589" s="63">
        <f t="shared" si="399"/>
        <v>94</v>
      </c>
      <c r="X1589" s="63"/>
      <c r="Y1589" s="63"/>
      <c r="Z1589" s="63"/>
      <c r="AA1589" s="63"/>
      <c r="AB1589" s="63"/>
      <c r="AT1589" t="str">
        <f t="shared" si="391"/>
        <v>Westminster</v>
      </c>
      <c r="AU1589" t="s">
        <v>2129</v>
      </c>
      <c r="AV1589">
        <v>1</v>
      </c>
      <c r="AX1589" s="114">
        <v>50</v>
      </c>
      <c r="AY1589" s="116">
        <v>25</v>
      </c>
      <c r="AZ1589" s="116">
        <v>95</v>
      </c>
      <c r="BA1589" s="120">
        <v>81400</v>
      </c>
      <c r="BB1589" s="120">
        <f t="shared" si="402"/>
        <v>50025</v>
      </c>
      <c r="BC1589" s="8" t="s">
        <v>1472</v>
      </c>
      <c r="BD1589">
        <f t="shared" si="400"/>
        <v>5081400</v>
      </c>
      <c r="BE1589" s="1">
        <v>13</v>
      </c>
      <c r="BF1589" s="1">
        <v>7</v>
      </c>
      <c r="BI1589">
        <v>46.12</v>
      </c>
      <c r="BJ1589">
        <v>0.03</v>
      </c>
      <c r="BK1589">
        <v>46.08</v>
      </c>
      <c r="BP1589" s="63">
        <v>95</v>
      </c>
      <c r="BQ1589" s="63"/>
      <c r="BR1589">
        <v>82</v>
      </c>
    </row>
    <row r="1590" spans="1:70" hidden="1" outlineLevel="1">
      <c r="A1590" t="s">
        <v>2940</v>
      </c>
      <c r="B1590" s="8" t="s">
        <v>2016</v>
      </c>
      <c r="C1590" s="1">
        <f t="shared" si="392"/>
        <v>216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393"/>
        <v>0</v>
      </c>
      <c r="G1590" s="1">
        <f t="shared" si="394"/>
        <v>10</v>
      </c>
      <c r="H1590" s="2">
        <f t="shared" si="401"/>
        <v>4.6296296296296294E-2</v>
      </c>
      <c r="I1590" s="6"/>
      <c r="J1590" s="2">
        <f t="shared" si="395"/>
        <v>0.47685185185185186</v>
      </c>
      <c r="K1590" s="2">
        <f t="shared" si="396"/>
        <v>0.43055555555555558</v>
      </c>
      <c r="L1590" s="2">
        <f t="shared" si="397"/>
        <v>0</v>
      </c>
      <c r="M1590" s="2">
        <f t="shared" si="398"/>
        <v>9.259259259259256E-2</v>
      </c>
      <c r="N1590" s="63">
        <v>103</v>
      </c>
      <c r="O1590" s="63">
        <v>93</v>
      </c>
      <c r="P1590" s="63">
        <v>0</v>
      </c>
      <c r="Q1590" s="63">
        <v>7</v>
      </c>
      <c r="R1590" s="63">
        <v>4</v>
      </c>
      <c r="S1590" s="63">
        <v>0</v>
      </c>
      <c r="T1590" s="63">
        <v>1</v>
      </c>
      <c r="U1590" s="63"/>
      <c r="V1590" s="63">
        <v>0</v>
      </c>
      <c r="W1590" s="63">
        <f t="shared" si="399"/>
        <v>8</v>
      </c>
      <c r="X1590" s="63"/>
      <c r="Y1590" s="63"/>
      <c r="Z1590" s="63"/>
      <c r="AA1590" s="63"/>
      <c r="AB1590" s="63"/>
      <c r="AT1590" t="str">
        <f t="shared" si="391"/>
        <v>Westmore</v>
      </c>
      <c r="AU1590" t="s">
        <v>405</v>
      </c>
      <c r="AV1590">
        <v>1</v>
      </c>
      <c r="AX1590" s="114">
        <v>50</v>
      </c>
      <c r="AY1590" s="116">
        <v>19</v>
      </c>
      <c r="AZ1590" s="116">
        <v>95</v>
      </c>
      <c r="BA1590" s="120">
        <v>81700</v>
      </c>
      <c r="BB1590" s="120">
        <f t="shared" si="402"/>
        <v>50019</v>
      </c>
      <c r="BC1590" s="8" t="s">
        <v>1472</v>
      </c>
      <c r="BD1590">
        <f t="shared" si="400"/>
        <v>5081700</v>
      </c>
      <c r="BE1590" s="1">
        <v>5</v>
      </c>
      <c r="BF1590" s="1">
        <v>0</v>
      </c>
      <c r="BI1590">
        <v>37.46</v>
      </c>
      <c r="BJ1590">
        <v>2.94</v>
      </c>
      <c r="BK1590">
        <v>34.520000000000003</v>
      </c>
      <c r="BP1590" s="63">
        <v>8</v>
      </c>
      <c r="BQ1590" s="63"/>
      <c r="BR1590">
        <v>7</v>
      </c>
    </row>
    <row r="1591" spans="1:70" hidden="1" outlineLevel="1">
      <c r="A1591" t="s">
        <v>1430</v>
      </c>
      <c r="B1591" s="8" t="s">
        <v>2016</v>
      </c>
      <c r="C1591" s="1">
        <f t="shared" si="392"/>
        <v>414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393"/>
        <v>6</v>
      </c>
      <c r="G1591" s="1">
        <f t="shared" si="394"/>
        <v>161</v>
      </c>
      <c r="H1591" s="2">
        <f t="shared" si="401"/>
        <v>0.3888888888888889</v>
      </c>
      <c r="I1591" s="6"/>
      <c r="J1591" s="2">
        <f t="shared" si="395"/>
        <v>0.64492753623188404</v>
      </c>
      <c r="K1591" s="2">
        <f t="shared" si="396"/>
        <v>0.2560386473429952</v>
      </c>
      <c r="L1591" s="2">
        <f t="shared" si="397"/>
        <v>2.4154589371980675E-3</v>
      </c>
      <c r="M1591" s="2">
        <f t="shared" si="398"/>
        <v>9.6618357487922704E-2</v>
      </c>
      <c r="N1591" s="63">
        <v>267</v>
      </c>
      <c r="O1591" s="63">
        <v>106</v>
      </c>
      <c r="P1591" s="63">
        <v>1</v>
      </c>
      <c r="Q1591" s="63">
        <v>8</v>
      </c>
      <c r="R1591" s="63">
        <v>5</v>
      </c>
      <c r="S1591" s="63">
        <v>1</v>
      </c>
      <c r="T1591" s="63">
        <v>1</v>
      </c>
      <c r="U1591" s="63"/>
      <c r="V1591" s="63">
        <v>0</v>
      </c>
      <c r="W1591" s="63">
        <f t="shared" si="399"/>
        <v>25</v>
      </c>
      <c r="X1591" s="63"/>
      <c r="Y1591" s="63"/>
      <c r="Z1591" s="63"/>
      <c r="AA1591" s="63"/>
      <c r="AB1591" s="63"/>
      <c r="AT1591" t="str">
        <f t="shared" si="391"/>
        <v>Weston</v>
      </c>
      <c r="AU1591" t="s">
        <v>2282</v>
      </c>
      <c r="AV1591">
        <v>1</v>
      </c>
      <c r="AX1591" s="114">
        <v>50</v>
      </c>
      <c r="AY1591" s="116">
        <v>27</v>
      </c>
      <c r="AZ1591" s="116">
        <v>105</v>
      </c>
      <c r="BA1591" s="120">
        <v>82000</v>
      </c>
      <c r="BB1591" s="120">
        <f t="shared" si="402"/>
        <v>50027</v>
      </c>
      <c r="BC1591" s="8" t="s">
        <v>1472</v>
      </c>
      <c r="BD1591">
        <f t="shared" si="400"/>
        <v>5082000</v>
      </c>
      <c r="BE1591" s="1">
        <v>2</v>
      </c>
      <c r="BF1591" s="1">
        <v>1</v>
      </c>
      <c r="BI1591">
        <v>35.17</v>
      </c>
      <c r="BJ1591">
        <v>0.08</v>
      </c>
      <c r="BK1591">
        <v>35.090000000000003</v>
      </c>
      <c r="BP1591" s="63">
        <v>27</v>
      </c>
      <c r="BQ1591" s="63"/>
      <c r="BR1591">
        <v>17</v>
      </c>
    </row>
    <row r="1592" spans="1:70" hidden="1" outlineLevel="1">
      <c r="A1592" t="s">
        <v>3166</v>
      </c>
      <c r="B1592" s="8" t="s">
        <v>2016</v>
      </c>
      <c r="C1592" s="1">
        <f t="shared" si="392"/>
        <v>523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393"/>
        <v>0</v>
      </c>
      <c r="G1592" s="1">
        <f t="shared" si="394"/>
        <v>341</v>
      </c>
      <c r="H1592" s="2">
        <f t="shared" si="401"/>
        <v>0.65200764818355639</v>
      </c>
      <c r="I1592" s="6"/>
      <c r="J1592" s="2">
        <f t="shared" si="395"/>
        <v>0.7934990439770554</v>
      </c>
      <c r="K1592" s="2">
        <f t="shared" si="396"/>
        <v>0.14149139579349904</v>
      </c>
      <c r="L1592" s="2">
        <f t="shared" si="397"/>
        <v>0</v>
      </c>
      <c r="M1592" s="2">
        <f t="shared" si="398"/>
        <v>6.5009560229445568E-2</v>
      </c>
      <c r="N1592" s="63">
        <v>415</v>
      </c>
      <c r="O1592" s="63">
        <v>74</v>
      </c>
      <c r="P1592" s="63">
        <v>0</v>
      </c>
      <c r="Q1592" s="63">
        <v>18</v>
      </c>
      <c r="R1592" s="63">
        <v>8</v>
      </c>
      <c r="S1592" s="63">
        <v>0</v>
      </c>
      <c r="T1592" s="63">
        <v>1</v>
      </c>
      <c r="U1592" s="63"/>
      <c r="V1592" s="63">
        <v>2</v>
      </c>
      <c r="W1592" s="63">
        <f t="shared" si="399"/>
        <v>5</v>
      </c>
      <c r="X1592" s="63"/>
      <c r="Y1592" s="63"/>
      <c r="Z1592" s="63"/>
      <c r="AA1592" s="63"/>
      <c r="AB1592" s="63"/>
      <c r="AT1592" t="str">
        <f t="shared" si="391"/>
        <v>Weybridge</v>
      </c>
      <c r="AU1592" t="s">
        <v>1346</v>
      </c>
      <c r="AV1592">
        <v>1</v>
      </c>
      <c r="AX1592" s="114">
        <v>50</v>
      </c>
      <c r="AY1592" s="116">
        <v>1</v>
      </c>
      <c r="AZ1592" s="116">
        <v>110</v>
      </c>
      <c r="BA1592" s="120">
        <v>83275</v>
      </c>
      <c r="BB1592" s="120">
        <f t="shared" si="402"/>
        <v>50001</v>
      </c>
      <c r="BC1592" s="8" t="s">
        <v>1472</v>
      </c>
      <c r="BD1592">
        <f t="shared" si="400"/>
        <v>5083275</v>
      </c>
      <c r="BE1592" s="1">
        <v>44</v>
      </c>
      <c r="BF1592" s="1">
        <v>0</v>
      </c>
      <c r="BI1592">
        <v>17.57</v>
      </c>
      <c r="BJ1592">
        <v>0.56000000000000005</v>
      </c>
      <c r="BK1592">
        <v>17.010000000000002</v>
      </c>
      <c r="BP1592" s="63">
        <v>5</v>
      </c>
      <c r="BQ1592" s="63"/>
      <c r="BR1592">
        <v>0</v>
      </c>
    </row>
    <row r="1593" spans="1:70" hidden="1" outlineLevel="1">
      <c r="A1593" t="s">
        <v>2790</v>
      </c>
      <c r="B1593" s="8" t="s">
        <v>2016</v>
      </c>
      <c r="C1593" s="1">
        <f t="shared" si="392"/>
        <v>394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 t="shared" si="393"/>
        <v>6</v>
      </c>
      <c r="G1593" s="1">
        <f t="shared" si="394"/>
        <v>19</v>
      </c>
      <c r="H1593" s="2">
        <f t="shared" si="401"/>
        <v>4.8223350253807105E-2</v>
      </c>
      <c r="I1593" s="6"/>
      <c r="J1593" s="2">
        <f t="shared" si="395"/>
        <v>0.39593908629441626</v>
      </c>
      <c r="K1593" s="2">
        <f t="shared" si="396"/>
        <v>0.44416243654822335</v>
      </c>
      <c r="L1593" s="2">
        <f t="shared" si="397"/>
        <v>7.6142131979695434E-3</v>
      </c>
      <c r="M1593" s="2">
        <f t="shared" si="398"/>
        <v>0.15228426395939079</v>
      </c>
      <c r="N1593" s="63">
        <v>156</v>
      </c>
      <c r="O1593" s="63">
        <v>175</v>
      </c>
      <c r="P1593" s="63">
        <v>3</v>
      </c>
      <c r="Q1593" s="63">
        <v>13</v>
      </c>
      <c r="R1593" s="63">
        <v>13</v>
      </c>
      <c r="S1593" s="63">
        <v>0</v>
      </c>
      <c r="T1593" s="63">
        <v>1</v>
      </c>
      <c r="U1593" s="63"/>
      <c r="V1593" s="63">
        <v>1</v>
      </c>
      <c r="W1593" s="63">
        <f t="shared" si="399"/>
        <v>32</v>
      </c>
      <c r="X1593" s="63"/>
      <c r="Y1593" s="63"/>
      <c r="Z1593" s="63"/>
      <c r="AA1593" s="63"/>
      <c r="AB1593" s="63"/>
      <c r="AT1593" t="str">
        <f t="shared" si="391"/>
        <v>Wheelock</v>
      </c>
      <c r="AU1593" t="s">
        <v>681</v>
      </c>
      <c r="AV1593">
        <v>1</v>
      </c>
      <c r="AX1593" s="114">
        <v>50</v>
      </c>
      <c r="AY1593" s="116">
        <v>5</v>
      </c>
      <c r="AZ1593" s="116">
        <v>85</v>
      </c>
      <c r="BA1593" s="120">
        <v>83500</v>
      </c>
      <c r="BB1593" s="120">
        <f t="shared" si="402"/>
        <v>50005</v>
      </c>
      <c r="BC1593" s="8" t="s">
        <v>1472</v>
      </c>
      <c r="BD1593">
        <f t="shared" si="400"/>
        <v>5083500</v>
      </c>
      <c r="BE1593" s="1">
        <v>4</v>
      </c>
      <c r="BF1593" s="1">
        <v>6</v>
      </c>
      <c r="BI1593">
        <v>39.82</v>
      </c>
      <c r="BJ1593">
        <v>0.25</v>
      </c>
      <c r="BK1593">
        <v>39.56</v>
      </c>
      <c r="BP1593" s="63">
        <v>35</v>
      </c>
      <c r="BQ1593" s="63"/>
      <c r="BR1593">
        <v>28</v>
      </c>
    </row>
    <row r="1594" spans="1:70" hidden="1" outlineLevel="1">
      <c r="A1594" t="s">
        <v>2476</v>
      </c>
      <c r="B1594" s="8" t="s">
        <v>2016</v>
      </c>
      <c r="C1594" s="1">
        <f t="shared" si="392"/>
        <v>197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393"/>
        <v>7</v>
      </c>
      <c r="G1594" s="1">
        <f t="shared" si="394"/>
        <v>27</v>
      </c>
      <c r="H1594" s="2">
        <f t="shared" si="401"/>
        <v>0.13705583756345177</v>
      </c>
      <c r="I1594" s="6"/>
      <c r="J1594" s="2">
        <f t="shared" si="395"/>
        <v>0.48223350253807107</v>
      </c>
      <c r="K1594" s="2">
        <f t="shared" si="396"/>
        <v>0.34517766497461927</v>
      </c>
      <c r="L1594" s="2">
        <f t="shared" si="397"/>
        <v>5.076142131979695E-3</v>
      </c>
      <c r="M1594" s="2">
        <f t="shared" si="398"/>
        <v>0.16751269035532998</v>
      </c>
      <c r="N1594" s="63">
        <v>95</v>
      </c>
      <c r="O1594" s="63">
        <v>68</v>
      </c>
      <c r="P1594" s="63">
        <v>1</v>
      </c>
      <c r="Q1594" s="63">
        <v>8</v>
      </c>
      <c r="R1594" s="63">
        <v>2</v>
      </c>
      <c r="S1594" s="63">
        <v>0</v>
      </c>
      <c r="T1594" s="63">
        <v>2</v>
      </c>
      <c r="U1594" s="63"/>
      <c r="V1594" s="63">
        <v>0</v>
      </c>
      <c r="W1594" s="63">
        <f t="shared" si="399"/>
        <v>21</v>
      </c>
      <c r="X1594" s="63"/>
      <c r="Y1594" s="63"/>
      <c r="Z1594" s="63"/>
      <c r="AA1594" s="63"/>
      <c r="AB1594" s="63"/>
      <c r="AT1594" t="str">
        <f t="shared" si="391"/>
        <v>Whiting</v>
      </c>
      <c r="AU1594" t="s">
        <v>1346</v>
      </c>
      <c r="AV1594">
        <v>1</v>
      </c>
      <c r="AX1594" s="114">
        <v>50</v>
      </c>
      <c r="AY1594" s="116">
        <v>1</v>
      </c>
      <c r="AZ1594" s="116">
        <v>115</v>
      </c>
      <c r="BA1594" s="120">
        <v>83800</v>
      </c>
      <c r="BB1594" s="120">
        <f t="shared" si="402"/>
        <v>50001</v>
      </c>
      <c r="BC1594" s="8" t="s">
        <v>1472</v>
      </c>
      <c r="BD1594">
        <f t="shared" si="400"/>
        <v>5083800</v>
      </c>
      <c r="BE1594" s="1">
        <v>2</v>
      </c>
      <c r="BF1594" s="1">
        <v>0</v>
      </c>
      <c r="BI1594">
        <v>13.68</v>
      </c>
      <c r="BJ1594">
        <v>0</v>
      </c>
      <c r="BK1594">
        <v>13.68</v>
      </c>
      <c r="BP1594" s="63">
        <v>22</v>
      </c>
      <c r="BQ1594" s="63"/>
      <c r="BR1594">
        <v>20</v>
      </c>
    </row>
    <row r="1595" spans="1:70" hidden="1" outlineLevel="1">
      <c r="A1595" t="s">
        <v>2275</v>
      </c>
      <c r="B1595" s="8" t="s">
        <v>2016</v>
      </c>
      <c r="C1595" s="1">
        <f t="shared" si="392"/>
        <v>642</v>
      </c>
      <c r="D1595" s="5">
        <f>IF(N1595&gt;0, RANK(N1595,(N1595:P1595,Q1595:AE1595)),0)</f>
        <v>2</v>
      </c>
      <c r="E1595" s="5">
        <f>IF(O1595&gt;0,RANK(O1595,(N1595:P1595,Q1595:AE1595)),0)</f>
        <v>1</v>
      </c>
      <c r="F1595" s="5">
        <f t="shared" si="393"/>
        <v>0</v>
      </c>
      <c r="G1595" s="1">
        <f t="shared" si="394"/>
        <v>2</v>
      </c>
      <c r="H1595" s="2">
        <f t="shared" si="401"/>
        <v>3.1152647975077881E-3</v>
      </c>
      <c r="I1595" s="6"/>
      <c r="J1595" s="2">
        <f t="shared" si="395"/>
        <v>0.44080996884735202</v>
      </c>
      <c r="K1595" s="2">
        <f t="shared" si="396"/>
        <v>0.44392523364485981</v>
      </c>
      <c r="L1595" s="2">
        <f t="shared" si="397"/>
        <v>0</v>
      </c>
      <c r="M1595" s="2">
        <f t="shared" si="398"/>
        <v>0.11526479750778817</v>
      </c>
      <c r="N1595" s="63">
        <v>283</v>
      </c>
      <c r="O1595" s="63">
        <v>285</v>
      </c>
      <c r="P1595" s="63">
        <v>0</v>
      </c>
      <c r="Q1595" s="63">
        <v>22</v>
      </c>
      <c r="R1595" s="63">
        <v>10</v>
      </c>
      <c r="S1595" s="63">
        <v>0</v>
      </c>
      <c r="T1595" s="63">
        <v>4</v>
      </c>
      <c r="U1595" s="63"/>
      <c r="V1595" s="63">
        <v>1</v>
      </c>
      <c r="W1595" s="63">
        <f t="shared" si="399"/>
        <v>37</v>
      </c>
      <c r="X1595" s="63"/>
      <c r="Y1595" s="63"/>
      <c r="Z1595" s="63"/>
      <c r="AA1595" s="63"/>
      <c r="AB1595" s="63"/>
      <c r="AT1595" t="str">
        <f t="shared" si="391"/>
        <v>Whitingham</v>
      </c>
      <c r="AU1595" t="s">
        <v>2129</v>
      </c>
      <c r="AV1595">
        <v>1</v>
      </c>
      <c r="AX1595" s="114">
        <v>50</v>
      </c>
      <c r="AY1595" s="116">
        <v>25</v>
      </c>
      <c r="AZ1595" s="116">
        <v>100</v>
      </c>
      <c r="BA1595" s="120">
        <v>83950</v>
      </c>
      <c r="BB1595" s="120">
        <f t="shared" si="402"/>
        <v>50025</v>
      </c>
      <c r="BC1595" s="8" t="s">
        <v>1472</v>
      </c>
      <c r="BD1595">
        <f t="shared" si="400"/>
        <v>5083950</v>
      </c>
      <c r="BE1595" s="1">
        <v>11</v>
      </c>
      <c r="BF1595" s="1">
        <v>0</v>
      </c>
      <c r="BI1595">
        <v>39.32</v>
      </c>
      <c r="BJ1595">
        <v>2.2400000000000002</v>
      </c>
      <c r="BK1595">
        <v>37.08</v>
      </c>
      <c r="BP1595" s="63">
        <v>37</v>
      </c>
      <c r="BQ1595" s="63"/>
      <c r="BR1595">
        <v>30</v>
      </c>
    </row>
    <row r="1596" spans="1:70" hidden="1" outlineLevel="1">
      <c r="A1596" t="s">
        <v>1501</v>
      </c>
      <c r="B1596" s="8" t="s">
        <v>2016</v>
      </c>
      <c r="C1596" s="1">
        <f t="shared" si="392"/>
        <v>1541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 t="shared" si="393"/>
        <v>7</v>
      </c>
      <c r="G1596" s="1">
        <f t="shared" si="394"/>
        <v>31</v>
      </c>
      <c r="H1596" s="2">
        <f t="shared" si="401"/>
        <v>2.0116807268007787E-2</v>
      </c>
      <c r="I1596" s="6"/>
      <c r="J1596" s="2">
        <f t="shared" si="395"/>
        <v>0.40687865022712522</v>
      </c>
      <c r="K1596" s="2">
        <f t="shared" si="396"/>
        <v>0.42699545749513301</v>
      </c>
      <c r="L1596" s="2">
        <f t="shared" si="397"/>
        <v>6.4892926670992858E-4</v>
      </c>
      <c r="M1596" s="2">
        <f t="shared" si="398"/>
        <v>0.16547696301103185</v>
      </c>
      <c r="N1596" s="63">
        <v>627</v>
      </c>
      <c r="O1596" s="63">
        <v>658</v>
      </c>
      <c r="P1596" s="63">
        <v>1</v>
      </c>
      <c r="Q1596" s="63">
        <v>72</v>
      </c>
      <c r="R1596" s="63">
        <v>25</v>
      </c>
      <c r="S1596" s="63">
        <v>0</v>
      </c>
      <c r="T1596" s="63">
        <v>10</v>
      </c>
      <c r="U1596" s="63"/>
      <c r="V1596" s="63">
        <v>1</v>
      </c>
      <c r="W1596" s="63">
        <f t="shared" si="399"/>
        <v>147</v>
      </c>
      <c r="X1596" s="63"/>
      <c r="Y1596" s="63"/>
      <c r="Z1596" s="63"/>
      <c r="AA1596" s="63"/>
      <c r="AB1596" s="63"/>
      <c r="AT1596" t="str">
        <f t="shared" si="391"/>
        <v>Williamstown</v>
      </c>
      <c r="AU1596" t="s">
        <v>2013</v>
      </c>
      <c r="AV1596">
        <v>1</v>
      </c>
      <c r="AX1596" s="114">
        <v>50</v>
      </c>
      <c r="AY1596" s="116">
        <v>17</v>
      </c>
      <c r="AZ1596" s="116">
        <v>85</v>
      </c>
      <c r="BA1596" s="120">
        <v>84175</v>
      </c>
      <c r="BB1596" s="120">
        <f t="shared" si="402"/>
        <v>50017</v>
      </c>
      <c r="BC1596" s="8" t="s">
        <v>1472</v>
      </c>
      <c r="BD1596">
        <f t="shared" si="400"/>
        <v>5084175</v>
      </c>
      <c r="BE1596" s="1">
        <v>24</v>
      </c>
      <c r="BF1596" s="1">
        <v>8</v>
      </c>
      <c r="BI1596">
        <v>40.33</v>
      </c>
      <c r="BJ1596">
        <v>0.16</v>
      </c>
      <c r="BK1596">
        <v>40.18</v>
      </c>
      <c r="BP1596" s="63">
        <v>148</v>
      </c>
      <c r="BQ1596" s="63"/>
      <c r="BR1596">
        <v>135</v>
      </c>
    </row>
    <row r="1597" spans="1:70" hidden="1" outlineLevel="1">
      <c r="A1597" t="s">
        <v>587</v>
      </c>
      <c r="B1597" s="8" t="s">
        <v>2016</v>
      </c>
      <c r="C1597" s="1">
        <f t="shared" si="392"/>
        <v>5602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393"/>
        <v>7</v>
      </c>
      <c r="G1597" s="1">
        <f t="shared" si="394"/>
        <v>2027</v>
      </c>
      <c r="H1597" s="2">
        <f t="shared" si="401"/>
        <v>0.36183505890753304</v>
      </c>
      <c r="I1597" s="6"/>
      <c r="J1597" s="2">
        <f t="shared" si="395"/>
        <v>0.62620492681185291</v>
      </c>
      <c r="K1597" s="2">
        <f t="shared" si="396"/>
        <v>0.26436986790431988</v>
      </c>
      <c r="L1597" s="2">
        <f t="shared" si="397"/>
        <v>2.3205997857907892E-3</v>
      </c>
      <c r="M1597" s="2">
        <f t="shared" si="398"/>
        <v>0.10710460549803642</v>
      </c>
      <c r="N1597" s="63">
        <v>3508</v>
      </c>
      <c r="O1597" s="63">
        <v>1481</v>
      </c>
      <c r="P1597" s="63">
        <v>13</v>
      </c>
      <c r="Q1597" s="63">
        <v>195</v>
      </c>
      <c r="R1597" s="63">
        <v>69</v>
      </c>
      <c r="S1597" s="63">
        <v>0</v>
      </c>
      <c r="T1597" s="63">
        <v>15</v>
      </c>
      <c r="U1597" s="63"/>
      <c r="V1597" s="63">
        <v>2</v>
      </c>
      <c r="W1597" s="63">
        <f t="shared" si="399"/>
        <v>319</v>
      </c>
      <c r="X1597" s="63"/>
      <c r="Y1597" s="63"/>
      <c r="Z1597" s="63"/>
      <c r="AA1597" s="63"/>
      <c r="AB1597" s="63"/>
      <c r="AT1597" t="str">
        <f t="shared" si="391"/>
        <v>Williston</v>
      </c>
      <c r="AU1597" t="s">
        <v>3175</v>
      </c>
      <c r="AV1597">
        <v>1</v>
      </c>
      <c r="AX1597" s="114">
        <v>50</v>
      </c>
      <c r="AY1597" s="116">
        <v>7</v>
      </c>
      <c r="AZ1597" s="116">
        <v>85</v>
      </c>
      <c r="BA1597" s="120">
        <v>84475</v>
      </c>
      <c r="BB1597" s="120">
        <f t="shared" si="402"/>
        <v>50007</v>
      </c>
      <c r="BC1597" s="8" t="s">
        <v>1472</v>
      </c>
      <c r="BD1597">
        <f t="shared" si="400"/>
        <v>5084475</v>
      </c>
      <c r="BE1597" s="1">
        <v>80</v>
      </c>
      <c r="BF1597" s="1">
        <v>27</v>
      </c>
      <c r="BI1597">
        <v>30.71</v>
      </c>
      <c r="BJ1597">
        <v>0.37</v>
      </c>
      <c r="BK1597">
        <v>30.34</v>
      </c>
      <c r="BP1597" s="63">
        <v>332</v>
      </c>
      <c r="BQ1597" s="63"/>
      <c r="BR1597">
        <v>252</v>
      </c>
    </row>
    <row r="1598" spans="1:70" hidden="1" outlineLevel="1">
      <c r="A1598" t="s">
        <v>2512</v>
      </c>
      <c r="B1598" s="8" t="s">
        <v>2016</v>
      </c>
      <c r="C1598" s="1">
        <f t="shared" si="392"/>
        <v>1046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393"/>
        <v>0</v>
      </c>
      <c r="G1598" s="1">
        <f t="shared" si="394"/>
        <v>253</v>
      </c>
      <c r="H1598" s="2">
        <f t="shared" si="401"/>
        <v>0.2418738049713193</v>
      </c>
      <c r="I1598" s="6"/>
      <c r="J1598" s="2">
        <f t="shared" si="395"/>
        <v>0.56500956022944548</v>
      </c>
      <c r="K1598" s="2">
        <f t="shared" si="396"/>
        <v>0.32313575525812621</v>
      </c>
      <c r="L1598" s="2">
        <f t="shared" si="397"/>
        <v>0</v>
      </c>
      <c r="M1598" s="2">
        <f t="shared" si="398"/>
        <v>0.1118546845124283</v>
      </c>
      <c r="N1598" s="63">
        <v>591</v>
      </c>
      <c r="O1598" s="63">
        <v>338</v>
      </c>
      <c r="P1598" s="63">
        <v>0</v>
      </c>
      <c r="Q1598" s="63">
        <v>36</v>
      </c>
      <c r="R1598" s="63">
        <v>26</v>
      </c>
      <c r="S1598" s="63">
        <v>0</v>
      </c>
      <c r="T1598" s="63">
        <v>2</v>
      </c>
      <c r="U1598" s="63"/>
      <c r="V1598" s="63">
        <v>2</v>
      </c>
      <c r="W1598" s="63">
        <f t="shared" si="399"/>
        <v>51</v>
      </c>
      <c r="X1598" s="63"/>
      <c r="Y1598" s="63"/>
      <c r="Z1598" s="63"/>
      <c r="AA1598" s="63"/>
      <c r="AB1598" s="63"/>
      <c r="AT1598" t="str">
        <f t="shared" si="391"/>
        <v>Wilmington</v>
      </c>
      <c r="AU1598" t="s">
        <v>2129</v>
      </c>
      <c r="AV1598">
        <v>1</v>
      </c>
      <c r="AX1598" s="114">
        <v>50</v>
      </c>
      <c r="AY1598" s="116">
        <v>25</v>
      </c>
      <c r="AZ1598" s="116">
        <v>105</v>
      </c>
      <c r="BA1598" s="120">
        <v>84700</v>
      </c>
      <c r="BB1598" s="120">
        <f t="shared" si="402"/>
        <v>50025</v>
      </c>
      <c r="BC1598" s="8" t="s">
        <v>1472</v>
      </c>
      <c r="BD1598">
        <f t="shared" si="400"/>
        <v>5084700</v>
      </c>
      <c r="BE1598" s="1">
        <v>17</v>
      </c>
      <c r="BF1598" s="1">
        <v>0</v>
      </c>
      <c r="BI1598">
        <v>41.26</v>
      </c>
      <c r="BJ1598">
        <v>1.81</v>
      </c>
      <c r="BK1598">
        <v>39.44</v>
      </c>
      <c r="BP1598" s="63">
        <v>51</v>
      </c>
      <c r="BQ1598" s="63"/>
      <c r="BR1598">
        <v>44</v>
      </c>
    </row>
    <row r="1599" spans="1:70" hidden="1" outlineLevel="1">
      <c r="A1599" t="s">
        <v>2129</v>
      </c>
      <c r="B1599" s="8" t="s">
        <v>2016</v>
      </c>
      <c r="C1599" s="1">
        <f t="shared" si="392"/>
        <v>275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393"/>
        <v>7</v>
      </c>
      <c r="G1599" s="1">
        <f t="shared" si="394"/>
        <v>77</v>
      </c>
      <c r="H1599" s="2">
        <f t="shared" si="401"/>
        <v>0.28000000000000003</v>
      </c>
      <c r="I1599" s="6"/>
      <c r="J1599" s="2">
        <f t="shared" si="395"/>
        <v>0.56727272727272726</v>
      </c>
      <c r="K1599" s="2">
        <f t="shared" si="396"/>
        <v>0.28727272727272729</v>
      </c>
      <c r="L1599" s="2">
        <f t="shared" si="397"/>
        <v>3.6363636363636364E-3</v>
      </c>
      <c r="M1599" s="2">
        <f t="shared" si="398"/>
        <v>0.14181818181818182</v>
      </c>
      <c r="N1599" s="63">
        <v>156</v>
      </c>
      <c r="O1599" s="63">
        <v>79</v>
      </c>
      <c r="P1599" s="63">
        <v>1</v>
      </c>
      <c r="Q1599" s="63">
        <v>10</v>
      </c>
      <c r="R1599" s="63">
        <v>8</v>
      </c>
      <c r="S1599" s="63">
        <v>0</v>
      </c>
      <c r="T1599" s="63">
        <v>3</v>
      </c>
      <c r="U1599" s="63"/>
      <c r="V1599" s="63">
        <v>1</v>
      </c>
      <c r="W1599" s="63">
        <f t="shared" si="399"/>
        <v>16</v>
      </c>
      <c r="X1599" s="63"/>
      <c r="Y1599" s="63"/>
      <c r="Z1599" s="63"/>
      <c r="AA1599" s="63"/>
      <c r="AB1599" s="63"/>
      <c r="AQ1599">
        <v>1</v>
      </c>
      <c r="AT1599" t="str">
        <f t="shared" si="391"/>
        <v>Windham</v>
      </c>
      <c r="AU1599" t="s">
        <v>2129</v>
      </c>
      <c r="AV1599">
        <v>1</v>
      </c>
      <c r="AX1599" s="114">
        <v>50</v>
      </c>
      <c r="AY1599" s="116">
        <v>25</v>
      </c>
      <c r="AZ1599" s="116">
        <v>110</v>
      </c>
      <c r="BA1599" s="120">
        <v>84850</v>
      </c>
      <c r="BB1599" s="120">
        <f t="shared" si="402"/>
        <v>50025</v>
      </c>
      <c r="BC1599" s="8" t="s">
        <v>1472</v>
      </c>
      <c r="BD1599">
        <f t="shared" si="400"/>
        <v>5084850</v>
      </c>
      <c r="BE1599" s="1">
        <v>10</v>
      </c>
      <c r="BF1599" s="1">
        <v>2</v>
      </c>
      <c r="BI1599">
        <v>26.12</v>
      </c>
      <c r="BJ1599">
        <v>0.04</v>
      </c>
      <c r="BK1599">
        <v>26.07</v>
      </c>
      <c r="BP1599" s="63">
        <v>18</v>
      </c>
      <c r="BQ1599" s="63"/>
      <c r="BR1599">
        <v>16</v>
      </c>
    </row>
    <row r="1600" spans="1:70" hidden="1" outlineLevel="1">
      <c r="A1600" t="s">
        <v>2282</v>
      </c>
      <c r="B1600" s="8" t="s">
        <v>2016</v>
      </c>
      <c r="C1600" s="1">
        <f t="shared" si="392"/>
        <v>1695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393"/>
        <v>6</v>
      </c>
      <c r="G1600" s="1">
        <f t="shared" si="394"/>
        <v>502</v>
      </c>
      <c r="H1600" s="2">
        <f t="shared" si="401"/>
        <v>0.296165191740413</v>
      </c>
      <c r="I1600" s="6"/>
      <c r="J1600" s="2">
        <f t="shared" si="395"/>
        <v>0.56873156342182896</v>
      </c>
      <c r="K1600" s="2">
        <f t="shared" si="396"/>
        <v>0.27256637168141595</v>
      </c>
      <c r="L1600" s="2">
        <f t="shared" si="397"/>
        <v>7.6696165191740412E-3</v>
      </c>
      <c r="M1600" s="2">
        <f t="shared" si="398"/>
        <v>0.15103244837758106</v>
      </c>
      <c r="N1600" s="63">
        <v>964</v>
      </c>
      <c r="O1600" s="63">
        <v>462</v>
      </c>
      <c r="P1600" s="63">
        <v>13</v>
      </c>
      <c r="Q1600" s="63">
        <v>92</v>
      </c>
      <c r="R1600" s="63">
        <v>44</v>
      </c>
      <c r="S1600" s="63">
        <v>0</v>
      </c>
      <c r="T1600" s="63">
        <v>3</v>
      </c>
      <c r="U1600" s="63"/>
      <c r="V1600" s="63">
        <v>2</v>
      </c>
      <c r="W1600" s="63">
        <f t="shared" si="399"/>
        <v>114</v>
      </c>
      <c r="X1600" s="63"/>
      <c r="Y1600" s="63"/>
      <c r="Z1600" s="63"/>
      <c r="AA1600" s="63"/>
      <c r="AB1600" s="63"/>
      <c r="AG1600" s="8">
        <v>1</v>
      </c>
      <c r="AT1600" t="str">
        <f t="shared" si="391"/>
        <v>Windsor</v>
      </c>
      <c r="AU1600" t="s">
        <v>2282</v>
      </c>
      <c r="AV1600">
        <v>1</v>
      </c>
      <c r="AX1600" s="114">
        <v>50</v>
      </c>
      <c r="AY1600" s="116">
        <v>27</v>
      </c>
      <c r="AZ1600" s="116">
        <v>115</v>
      </c>
      <c r="BA1600" s="120">
        <v>84925</v>
      </c>
      <c r="BB1600" s="120">
        <f t="shared" si="402"/>
        <v>50027</v>
      </c>
      <c r="BC1600" s="8" t="s">
        <v>1472</v>
      </c>
      <c r="BD1600">
        <f t="shared" si="400"/>
        <v>5084925</v>
      </c>
      <c r="BE1600" s="1">
        <v>21</v>
      </c>
      <c r="BF1600" s="1">
        <v>3</v>
      </c>
      <c r="BI1600">
        <v>19.760000000000002</v>
      </c>
      <c r="BJ1600">
        <v>0.21</v>
      </c>
      <c r="BK1600">
        <v>19.55</v>
      </c>
      <c r="BP1600" s="63">
        <v>128</v>
      </c>
      <c r="BQ1600" s="63"/>
      <c r="BR1600">
        <v>92</v>
      </c>
    </row>
    <row r="1601" spans="1:70" hidden="1" outlineLevel="1">
      <c r="A1601" t="s">
        <v>2274</v>
      </c>
      <c r="B1601" s="8" t="s">
        <v>2016</v>
      </c>
      <c r="C1601" s="1">
        <f t="shared" si="392"/>
        <v>517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393"/>
        <v>0</v>
      </c>
      <c r="G1601" s="1">
        <f t="shared" si="394"/>
        <v>141</v>
      </c>
      <c r="H1601" s="2">
        <f t="shared" si="401"/>
        <v>0.27272727272727271</v>
      </c>
      <c r="I1601" s="6"/>
      <c r="J1601" s="2">
        <f t="shared" si="395"/>
        <v>0.57833655705996134</v>
      </c>
      <c r="K1601" s="2">
        <f t="shared" si="396"/>
        <v>0.30560928433268858</v>
      </c>
      <c r="L1601" s="2">
        <f t="shared" si="397"/>
        <v>0</v>
      </c>
      <c r="M1601" s="2">
        <f t="shared" si="398"/>
        <v>0.11605415860735008</v>
      </c>
      <c r="N1601" s="63">
        <v>299</v>
      </c>
      <c r="O1601" s="63">
        <v>158</v>
      </c>
      <c r="P1601" s="63">
        <v>0</v>
      </c>
      <c r="Q1601" s="63">
        <v>15</v>
      </c>
      <c r="R1601" s="63">
        <v>7</v>
      </c>
      <c r="S1601" s="63">
        <v>0</v>
      </c>
      <c r="T1601" s="63">
        <v>2</v>
      </c>
      <c r="U1601" s="63"/>
      <c r="V1601" s="63">
        <v>1</v>
      </c>
      <c r="W1601" s="63">
        <f t="shared" si="399"/>
        <v>35</v>
      </c>
      <c r="X1601" s="63"/>
      <c r="Y1601" s="63"/>
      <c r="Z1601" s="63"/>
      <c r="AA1601" s="63"/>
      <c r="AB1601" s="63"/>
      <c r="AT1601" t="str">
        <f t="shared" si="391"/>
        <v>Winhall</v>
      </c>
      <c r="AU1601" t="s">
        <v>951</v>
      </c>
      <c r="AV1601">
        <v>1</v>
      </c>
      <c r="AX1601" s="114">
        <v>50</v>
      </c>
      <c r="AY1601" s="116">
        <v>3</v>
      </c>
      <c r="AZ1601" s="116">
        <v>75</v>
      </c>
      <c r="BA1601" s="120">
        <v>85075</v>
      </c>
      <c r="BB1601" s="120">
        <f t="shared" si="402"/>
        <v>50003</v>
      </c>
      <c r="BC1601" s="8" t="s">
        <v>1472</v>
      </c>
      <c r="BD1601">
        <f t="shared" si="400"/>
        <v>5085075</v>
      </c>
      <c r="BE1601" s="1">
        <v>11</v>
      </c>
      <c r="BF1601" s="1">
        <v>3</v>
      </c>
      <c r="BI1601">
        <v>44.02</v>
      </c>
      <c r="BJ1601">
        <v>0.35</v>
      </c>
      <c r="BK1601">
        <v>43.67</v>
      </c>
      <c r="BP1601" s="63">
        <v>35</v>
      </c>
      <c r="BQ1601" s="63"/>
      <c r="BR1601">
        <v>29</v>
      </c>
    </row>
    <row r="1602" spans="1:70" hidden="1" outlineLevel="1">
      <c r="A1602" t="s">
        <v>570</v>
      </c>
      <c r="B1602" s="8" t="s">
        <v>2016</v>
      </c>
      <c r="C1602" s="1">
        <f t="shared" si="392"/>
        <v>3068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393"/>
        <v>7</v>
      </c>
      <c r="G1602" s="1">
        <f t="shared" si="394"/>
        <v>1569</v>
      </c>
      <c r="H1602" s="2">
        <f t="shared" si="401"/>
        <v>0.51140808344198174</v>
      </c>
      <c r="I1602" s="6"/>
      <c r="J1602" s="2">
        <f t="shared" si="395"/>
        <v>0.6861147327249022</v>
      </c>
      <c r="K1602" s="2">
        <f t="shared" si="396"/>
        <v>0.17470664928292046</v>
      </c>
      <c r="L1602" s="2">
        <f t="shared" si="397"/>
        <v>2.2816166883963492E-3</v>
      </c>
      <c r="M1602" s="2">
        <f t="shared" si="398"/>
        <v>0.13689700130378099</v>
      </c>
      <c r="N1602" s="63">
        <v>2105</v>
      </c>
      <c r="O1602" s="63">
        <v>536</v>
      </c>
      <c r="P1602" s="63">
        <v>7</v>
      </c>
      <c r="Q1602" s="63">
        <v>78</v>
      </c>
      <c r="R1602" s="63">
        <v>107</v>
      </c>
      <c r="S1602" s="63">
        <v>1</v>
      </c>
      <c r="T1602" s="63">
        <v>14</v>
      </c>
      <c r="U1602" s="63"/>
      <c r="V1602" s="63">
        <v>7</v>
      </c>
      <c r="W1602" s="63">
        <f t="shared" si="399"/>
        <v>209</v>
      </c>
      <c r="X1602" s="63"/>
      <c r="Y1602" s="63"/>
      <c r="Z1602" s="63"/>
      <c r="AA1602" s="63"/>
      <c r="AB1602" s="63"/>
      <c r="AE1602" s="8">
        <v>1</v>
      </c>
      <c r="AN1602">
        <v>3</v>
      </c>
      <c r="AT1602" t="str">
        <f t="shared" si="391"/>
        <v>Winooski</v>
      </c>
      <c r="AU1602" t="s">
        <v>3175</v>
      </c>
      <c r="AV1602">
        <v>1</v>
      </c>
      <c r="AX1602" s="114">
        <v>50</v>
      </c>
      <c r="AY1602" s="116">
        <v>7</v>
      </c>
      <c r="AZ1602" s="116">
        <v>90</v>
      </c>
      <c r="BA1602" s="120">
        <v>85150</v>
      </c>
      <c r="BB1602" s="120">
        <f t="shared" si="402"/>
        <v>50007</v>
      </c>
      <c r="BC1602" s="8" t="s">
        <v>1249</v>
      </c>
      <c r="BD1602">
        <f t="shared" si="400"/>
        <v>5085150</v>
      </c>
      <c r="BE1602" s="1">
        <v>39</v>
      </c>
      <c r="BF1602" s="1">
        <v>6</v>
      </c>
      <c r="BI1602">
        <v>1.51</v>
      </c>
      <c r="BJ1602">
        <v>0.08</v>
      </c>
      <c r="BK1602">
        <v>1.43</v>
      </c>
      <c r="BP1602" s="63">
        <v>221</v>
      </c>
      <c r="BQ1602" s="63"/>
      <c r="BR1602">
        <v>182</v>
      </c>
    </row>
    <row r="1603" spans="1:70" hidden="1" outlineLevel="1">
      <c r="A1603" t="s">
        <v>2752</v>
      </c>
      <c r="B1603" s="8" t="s">
        <v>2016</v>
      </c>
      <c r="C1603" s="1">
        <f t="shared" si="392"/>
        <v>798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393"/>
        <v>7</v>
      </c>
      <c r="G1603" s="1">
        <f t="shared" si="394"/>
        <v>121</v>
      </c>
      <c r="H1603" s="2">
        <f t="shared" si="401"/>
        <v>0.15162907268170425</v>
      </c>
      <c r="I1603" s="6"/>
      <c r="J1603" s="2">
        <f t="shared" si="395"/>
        <v>0.4974937343358396</v>
      </c>
      <c r="K1603" s="2">
        <f t="shared" si="396"/>
        <v>0.34586466165413532</v>
      </c>
      <c r="L1603" s="2">
        <f t="shared" si="397"/>
        <v>1.2531328320802004E-3</v>
      </c>
      <c r="M1603" s="2">
        <f t="shared" si="398"/>
        <v>0.15538847117794483</v>
      </c>
      <c r="N1603" s="63">
        <v>397</v>
      </c>
      <c r="O1603" s="63">
        <v>276</v>
      </c>
      <c r="P1603" s="63">
        <v>1</v>
      </c>
      <c r="Q1603" s="63">
        <v>24</v>
      </c>
      <c r="R1603" s="63">
        <v>27</v>
      </c>
      <c r="S1603" s="63">
        <v>0</v>
      </c>
      <c r="T1603" s="63">
        <v>3</v>
      </c>
      <c r="U1603" s="63"/>
      <c r="V1603" s="63">
        <v>1</v>
      </c>
      <c r="W1603" s="63">
        <f t="shared" si="399"/>
        <v>69</v>
      </c>
      <c r="X1603" s="63"/>
      <c r="Y1603" s="63"/>
      <c r="Z1603" s="63"/>
      <c r="AA1603" s="63"/>
      <c r="AB1603" s="63"/>
      <c r="AT1603" t="str">
        <f t="shared" si="391"/>
        <v>Wolcott</v>
      </c>
      <c r="AU1603" t="s">
        <v>2768</v>
      </c>
      <c r="AV1603">
        <v>1</v>
      </c>
      <c r="AX1603" s="114">
        <v>50</v>
      </c>
      <c r="AY1603" s="116">
        <v>15</v>
      </c>
      <c r="AZ1603" s="116">
        <v>50</v>
      </c>
      <c r="BA1603" s="120">
        <v>85375</v>
      </c>
      <c r="BB1603" s="120">
        <f t="shared" si="402"/>
        <v>50015</v>
      </c>
      <c r="BC1603" s="8" t="s">
        <v>1472</v>
      </c>
      <c r="BD1603">
        <f t="shared" si="400"/>
        <v>5085375</v>
      </c>
      <c r="BE1603" s="1">
        <v>11</v>
      </c>
      <c r="BF1603" s="1">
        <v>1</v>
      </c>
      <c r="BI1603">
        <v>39.18</v>
      </c>
      <c r="BJ1603">
        <v>0.15</v>
      </c>
      <c r="BK1603">
        <v>39.03</v>
      </c>
      <c r="BP1603" s="63">
        <v>70</v>
      </c>
      <c r="BQ1603" s="63"/>
      <c r="BR1603">
        <v>63</v>
      </c>
    </row>
    <row r="1604" spans="1:70" hidden="1" outlineLevel="1">
      <c r="A1604" t="s">
        <v>784</v>
      </c>
      <c r="B1604" s="8" t="s">
        <v>2016</v>
      </c>
      <c r="C1604" s="1">
        <f t="shared" si="392"/>
        <v>527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393"/>
        <v>8</v>
      </c>
      <c r="G1604" s="1">
        <f t="shared" si="394"/>
        <v>102</v>
      </c>
      <c r="H1604" s="2">
        <f t="shared" si="401"/>
        <v>0.19354838709677419</v>
      </c>
      <c r="I1604" s="6"/>
      <c r="J1604" s="2">
        <f t="shared" si="395"/>
        <v>0.51423149905123344</v>
      </c>
      <c r="K1604" s="2">
        <f t="shared" si="396"/>
        <v>0.3206831119544592</v>
      </c>
      <c r="L1604" s="2">
        <f t="shared" si="397"/>
        <v>1.8975332068311196E-3</v>
      </c>
      <c r="M1604" s="2">
        <f t="shared" si="398"/>
        <v>0.16318785578747624</v>
      </c>
      <c r="N1604" s="63">
        <v>271</v>
      </c>
      <c r="O1604" s="63">
        <v>169</v>
      </c>
      <c r="P1604" s="63">
        <v>1</v>
      </c>
      <c r="Q1604" s="63">
        <v>18</v>
      </c>
      <c r="R1604" s="63">
        <v>18</v>
      </c>
      <c r="S1604" s="63">
        <v>0</v>
      </c>
      <c r="T1604" s="63">
        <v>3</v>
      </c>
      <c r="U1604" s="63"/>
      <c r="V1604" s="63">
        <v>2</v>
      </c>
      <c r="W1604" s="63">
        <f t="shared" si="399"/>
        <v>45</v>
      </c>
      <c r="X1604" s="63"/>
      <c r="Y1604" s="63"/>
      <c r="Z1604" s="63"/>
      <c r="AA1604" s="63"/>
      <c r="AB1604" s="63"/>
      <c r="AT1604" t="str">
        <f t="shared" si="391"/>
        <v>Woodbury</v>
      </c>
      <c r="AU1604" t="s">
        <v>692</v>
      </c>
      <c r="AV1604">
        <v>1</v>
      </c>
      <c r="AX1604" s="114">
        <v>50</v>
      </c>
      <c r="AY1604" s="116">
        <v>23</v>
      </c>
      <c r="AZ1604" s="116">
        <v>95</v>
      </c>
      <c r="BA1604" s="120">
        <v>85525</v>
      </c>
      <c r="BB1604" s="120">
        <f t="shared" si="402"/>
        <v>50023</v>
      </c>
      <c r="BC1604" s="8" t="s">
        <v>1472</v>
      </c>
      <c r="BD1604">
        <f t="shared" si="400"/>
        <v>5085525</v>
      </c>
      <c r="BE1604" s="1">
        <v>8</v>
      </c>
      <c r="BF1604" s="1">
        <v>2</v>
      </c>
      <c r="BI1604">
        <v>39.1</v>
      </c>
      <c r="BJ1604">
        <v>1.33</v>
      </c>
      <c r="BK1604">
        <v>37.770000000000003</v>
      </c>
      <c r="BP1604" s="63">
        <v>46</v>
      </c>
      <c r="BQ1604" s="63"/>
      <c r="BR1604">
        <v>44</v>
      </c>
    </row>
    <row r="1605" spans="1:70" hidden="1" outlineLevel="1">
      <c r="A1605" t="s">
        <v>2167</v>
      </c>
      <c r="B1605" s="8" t="s">
        <v>2016</v>
      </c>
      <c r="C1605" s="1">
        <f t="shared" si="392"/>
        <v>177</v>
      </c>
      <c r="D1605" s="5">
        <f>IF(N1605&gt;0, RANK(N1605,(N1605:P1605,Q1605:AE1605)),0)</f>
        <v>1</v>
      </c>
      <c r="E1605" s="5">
        <f>IF(O1605&gt;0,RANK(O1605,(N1605:P1605,Q1605:AE1605)),0)</f>
        <v>2</v>
      </c>
      <c r="F1605" s="5">
        <f t="shared" si="393"/>
        <v>0</v>
      </c>
      <c r="G1605" s="1">
        <f t="shared" si="394"/>
        <v>28</v>
      </c>
      <c r="H1605" s="2">
        <f t="shared" si="401"/>
        <v>0.15819209039548024</v>
      </c>
      <c r="I1605" s="6"/>
      <c r="J1605" s="2">
        <f t="shared" si="395"/>
        <v>0.53107344632768361</v>
      </c>
      <c r="K1605" s="2">
        <f t="shared" si="396"/>
        <v>0.3728813559322034</v>
      </c>
      <c r="L1605" s="2">
        <f t="shared" si="397"/>
        <v>0</v>
      </c>
      <c r="M1605" s="2">
        <f t="shared" si="398"/>
        <v>9.6045197740112997E-2</v>
      </c>
      <c r="N1605" s="63">
        <v>94</v>
      </c>
      <c r="O1605" s="63">
        <v>66</v>
      </c>
      <c r="P1605" s="63">
        <v>0</v>
      </c>
      <c r="Q1605" s="63">
        <v>6</v>
      </c>
      <c r="R1605" s="63">
        <v>1</v>
      </c>
      <c r="S1605" s="63">
        <v>0</v>
      </c>
      <c r="T1605" s="63">
        <v>0</v>
      </c>
      <c r="U1605" s="63"/>
      <c r="V1605" s="63">
        <v>1</v>
      </c>
      <c r="W1605" s="63">
        <f t="shared" si="399"/>
        <v>9</v>
      </c>
      <c r="X1605" s="63"/>
      <c r="Y1605" s="63"/>
      <c r="Z1605" s="63"/>
      <c r="AA1605" s="63"/>
      <c r="AB1605" s="63"/>
      <c r="AT1605" t="str">
        <f t="shared" si="391"/>
        <v>Woodford</v>
      </c>
      <c r="AU1605" t="s">
        <v>951</v>
      </c>
      <c r="AV1605">
        <v>1</v>
      </c>
      <c r="AX1605" s="114">
        <v>50</v>
      </c>
      <c r="AY1605" s="116">
        <v>3</v>
      </c>
      <c r="AZ1605" s="116">
        <v>80</v>
      </c>
      <c r="BA1605" s="120">
        <v>85675</v>
      </c>
      <c r="BB1605" s="120">
        <f t="shared" si="402"/>
        <v>50003</v>
      </c>
      <c r="BC1605" s="8" t="s">
        <v>1472</v>
      </c>
      <c r="BD1605">
        <f t="shared" si="400"/>
        <v>5085675</v>
      </c>
      <c r="BE1605" s="1">
        <v>2</v>
      </c>
      <c r="BF1605" s="1">
        <v>4</v>
      </c>
      <c r="BI1605">
        <v>47.59</v>
      </c>
      <c r="BJ1605">
        <v>0.13</v>
      </c>
      <c r="BK1605">
        <v>47.46</v>
      </c>
      <c r="BP1605" s="63">
        <v>9</v>
      </c>
      <c r="BQ1605" s="63"/>
      <c r="BR1605">
        <v>8</v>
      </c>
    </row>
    <row r="1606" spans="1:70" hidden="1" outlineLevel="1">
      <c r="A1606" t="s">
        <v>1709</v>
      </c>
      <c r="B1606" s="8" t="s">
        <v>2016</v>
      </c>
      <c r="C1606" s="1">
        <f t="shared" si="392"/>
        <v>1880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393"/>
        <v>8</v>
      </c>
      <c r="G1606" s="1">
        <f t="shared" si="394"/>
        <v>947</v>
      </c>
      <c r="H1606" s="2">
        <f t="shared" si="401"/>
        <v>0.50372340425531914</v>
      </c>
      <c r="I1606" s="6"/>
      <c r="J1606" s="2">
        <f t="shared" si="395"/>
        <v>0.70159574468085106</v>
      </c>
      <c r="K1606" s="2">
        <f t="shared" si="396"/>
        <v>0.19787234042553192</v>
      </c>
      <c r="L1606" s="2">
        <f t="shared" si="397"/>
        <v>5.3191489361702129E-4</v>
      </c>
      <c r="M1606" s="2">
        <f t="shared" si="398"/>
        <v>9.9999999999999992E-2</v>
      </c>
      <c r="N1606" s="63">
        <v>1319</v>
      </c>
      <c r="O1606" s="63">
        <v>372</v>
      </c>
      <c r="P1606" s="63">
        <v>1</v>
      </c>
      <c r="Q1606" s="63">
        <v>48</v>
      </c>
      <c r="R1606" s="63">
        <v>31</v>
      </c>
      <c r="S1606" s="63">
        <v>0</v>
      </c>
      <c r="T1606" s="63">
        <v>5</v>
      </c>
      <c r="U1606" s="63"/>
      <c r="V1606" s="63">
        <v>2</v>
      </c>
      <c r="W1606" s="63">
        <f t="shared" si="399"/>
        <v>102</v>
      </c>
      <c r="X1606" s="63"/>
      <c r="Y1606" s="63"/>
      <c r="Z1606" s="63"/>
      <c r="AA1606" s="63"/>
      <c r="AB1606" s="63"/>
      <c r="AT1606" t="str">
        <f t="shared" si="391"/>
        <v>Woodstock</v>
      </c>
      <c r="AU1606" t="s">
        <v>2282</v>
      </c>
      <c r="AV1606">
        <v>1</v>
      </c>
      <c r="AX1606" s="114">
        <v>50</v>
      </c>
      <c r="AY1606" s="116">
        <v>27</v>
      </c>
      <c r="AZ1606" s="116">
        <v>120</v>
      </c>
      <c r="BA1606" s="120">
        <v>85975</v>
      </c>
      <c r="BB1606" s="120">
        <f t="shared" si="402"/>
        <v>50027</v>
      </c>
      <c r="BC1606" s="8" t="s">
        <v>1472</v>
      </c>
      <c r="BD1606">
        <f t="shared" si="400"/>
        <v>5085975</v>
      </c>
      <c r="BE1606" s="1">
        <v>30</v>
      </c>
      <c r="BF1606" s="1">
        <v>2</v>
      </c>
      <c r="BI1606">
        <v>44.63</v>
      </c>
      <c r="BJ1606">
        <v>0.1</v>
      </c>
      <c r="BK1606">
        <v>44.53</v>
      </c>
      <c r="BP1606" s="63">
        <v>103</v>
      </c>
      <c r="BQ1606" s="63"/>
      <c r="BR1606">
        <v>73</v>
      </c>
    </row>
    <row r="1607" spans="1:70" hidden="1" outlineLevel="1">
      <c r="A1607" t="s">
        <v>1774</v>
      </c>
      <c r="B1607" s="8" t="s">
        <v>2016</v>
      </c>
      <c r="C1607" s="1">
        <f t="shared" si="392"/>
        <v>594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393"/>
        <v>0</v>
      </c>
      <c r="G1607" s="1">
        <f t="shared" si="394"/>
        <v>257</v>
      </c>
      <c r="H1607" s="2">
        <f t="shared" si="401"/>
        <v>0.43265993265993263</v>
      </c>
      <c r="I1607" s="6"/>
      <c r="J1607" s="2">
        <f t="shared" si="395"/>
        <v>0.62962962962962965</v>
      </c>
      <c r="K1607" s="2">
        <f t="shared" si="396"/>
        <v>0.19696969696969696</v>
      </c>
      <c r="L1607" s="2">
        <f t="shared" si="397"/>
        <v>0</v>
      </c>
      <c r="M1607" s="2">
        <f t="shared" si="398"/>
        <v>0.17340067340067339</v>
      </c>
      <c r="N1607" s="63">
        <v>374</v>
      </c>
      <c r="O1607" s="63">
        <v>117</v>
      </c>
      <c r="P1607" s="63">
        <v>0</v>
      </c>
      <c r="Q1607" s="63">
        <v>19</v>
      </c>
      <c r="R1607" s="63">
        <v>27</v>
      </c>
      <c r="S1607" s="63">
        <v>0</v>
      </c>
      <c r="T1607" s="63">
        <v>3</v>
      </c>
      <c r="U1607" s="63"/>
      <c r="V1607" s="63">
        <v>1</v>
      </c>
      <c r="W1607" s="63">
        <f>BP1607-P1607-S1607-U1607-SUM(X1607:AR1607)</f>
        <v>53</v>
      </c>
      <c r="X1607" s="63"/>
      <c r="Y1607" s="63"/>
      <c r="Z1607" s="63"/>
      <c r="AA1607" s="63"/>
      <c r="AB1607" s="63"/>
      <c r="AT1607" t="str">
        <f t="shared" si="391"/>
        <v>Worcester</v>
      </c>
      <c r="AU1607" t="s">
        <v>692</v>
      </c>
      <c r="AV1607">
        <v>1</v>
      </c>
      <c r="AX1607" s="114">
        <v>50</v>
      </c>
      <c r="AY1607" s="116">
        <v>23</v>
      </c>
      <c r="AZ1607" s="116">
        <v>100</v>
      </c>
      <c r="BA1607" s="120">
        <v>86125</v>
      </c>
      <c r="BB1607" s="120">
        <f t="shared" si="402"/>
        <v>50023</v>
      </c>
      <c r="BC1607" s="8" t="s">
        <v>1472</v>
      </c>
      <c r="BD1607">
        <f t="shared" si="400"/>
        <v>5086125</v>
      </c>
      <c r="BE1607" s="1">
        <v>5</v>
      </c>
      <c r="BF1607" s="1">
        <v>1</v>
      </c>
      <c r="BI1607">
        <v>38.83</v>
      </c>
      <c r="BJ1607">
        <v>0.08</v>
      </c>
      <c r="BK1607">
        <v>38.75</v>
      </c>
      <c r="BP1607" s="63">
        <v>53</v>
      </c>
      <c r="BQ1607" s="63"/>
      <c r="BR1607">
        <v>48</v>
      </c>
    </row>
    <row r="1608" spans="1:70" collapsed="1">
      <c r="A1608" t="s">
        <v>726</v>
      </c>
      <c r="B1608" s="8" t="s">
        <v>544</v>
      </c>
      <c r="C1608" s="1">
        <f t="shared" si="392"/>
        <v>315067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393"/>
        <v>7</v>
      </c>
      <c r="G1608" s="1">
        <f t="shared" si="394"/>
        <v>83204</v>
      </c>
      <c r="H1608" s="2">
        <f t="shared" si="401"/>
        <v>0.26408351239577615</v>
      </c>
      <c r="I1608" s="6"/>
      <c r="J1608" s="2">
        <f t="shared" si="395"/>
        <v>0.56677785994724927</v>
      </c>
      <c r="K1608" s="2">
        <f t="shared" si="396"/>
        <v>0.30269434755147318</v>
      </c>
      <c r="L1608" s="2">
        <f t="shared" si="397"/>
        <v>2.0027486217217292E-3</v>
      </c>
      <c r="M1608" s="2">
        <f t="shared" si="398"/>
        <v>0.12852504387955582</v>
      </c>
      <c r="N1608" s="63">
        <f t="shared" ref="N1608:X1608" si="403">SUM(N1362:N1607)</f>
        <v>178573</v>
      </c>
      <c r="O1608" s="63">
        <f t="shared" si="403"/>
        <v>95369</v>
      </c>
      <c r="P1608" s="63">
        <f t="shared" si="403"/>
        <v>631</v>
      </c>
      <c r="Q1608" s="63">
        <f t="shared" si="403"/>
        <v>10078</v>
      </c>
      <c r="R1608" s="63">
        <f t="shared" si="403"/>
        <v>6758</v>
      </c>
      <c r="S1608" s="63">
        <f t="shared" si="403"/>
        <v>63</v>
      </c>
      <c r="T1608" s="63">
        <f t="shared" si="403"/>
        <v>1063</v>
      </c>
      <c r="U1608" s="63">
        <f t="shared" si="403"/>
        <v>1</v>
      </c>
      <c r="V1608" s="63">
        <f t="shared" si="403"/>
        <v>327</v>
      </c>
      <c r="W1608" s="63">
        <f t="shared" si="403"/>
        <v>22177</v>
      </c>
      <c r="X1608" s="63">
        <f t="shared" si="403"/>
        <v>2</v>
      </c>
      <c r="Y1608" s="63"/>
      <c r="Z1608" s="63"/>
      <c r="AA1608" s="63"/>
      <c r="AB1608" s="63"/>
      <c r="AE1608" s="63">
        <f t="shared" ref="AE1608:AG1608" si="404">SUM(AE1362:AE1607)</f>
        <v>3</v>
      </c>
      <c r="AF1608" s="63">
        <f t="shared" si="404"/>
        <v>2</v>
      </c>
      <c r="AG1608" s="63">
        <f t="shared" si="404"/>
        <v>3</v>
      </c>
      <c r="AL1608" s="1"/>
      <c r="AM1608" s="1"/>
      <c r="AN1608" s="63">
        <f t="shared" ref="AN1608" si="405">SUM(AN1362:AN1607)</f>
        <v>16</v>
      </c>
      <c r="AO1608" s="1"/>
      <c r="AP1608" s="1"/>
      <c r="AQ1608" s="63">
        <f t="shared" ref="AQ1608" si="406">SUM(AQ1362:AQ1607)</f>
        <v>1</v>
      </c>
      <c r="AR1608" s="1"/>
      <c r="AT1608" t="str">
        <f t="shared" si="391"/>
        <v>Vermont</v>
      </c>
      <c r="AX1608" s="114">
        <v>50</v>
      </c>
      <c r="BB1608" s="114">
        <v>50</v>
      </c>
      <c r="BC1608" s="8" t="s">
        <v>711</v>
      </c>
      <c r="BD1608" s="114">
        <v>50</v>
      </c>
      <c r="BE1608" s="63">
        <f>SUM(BE1362:BE1607)</f>
        <v>4574</v>
      </c>
      <c r="BF1608" s="63">
        <f>SUM(BF1362:BF1607)</f>
        <v>826</v>
      </c>
      <c r="BI1608">
        <v>9614.26</v>
      </c>
      <c r="BJ1608">
        <v>364.7</v>
      </c>
      <c r="BK1608">
        <v>9249.56</v>
      </c>
      <c r="BP1608" s="63">
        <f>SUM(BP1362:BP1607)</f>
        <v>22899</v>
      </c>
      <c r="BQ1608" s="63"/>
      <c r="BR1608" s="63">
        <f>SUM(BR1362:BR1607)</f>
        <v>18183</v>
      </c>
    </row>
    <row r="1609" spans="1:70">
      <c r="B1609" s="8"/>
      <c r="C1609" s="1"/>
      <c r="D1609" s="5"/>
      <c r="E1609" s="5"/>
      <c r="F1609" s="5"/>
      <c r="G1609" s="1"/>
      <c r="J1609" s="2"/>
      <c r="K1609" s="2"/>
      <c r="L1609" s="2"/>
      <c r="M1609" s="2"/>
      <c r="W1609" s="63"/>
    </row>
    <row r="1610" spans="1:70">
      <c r="B1610" s="8"/>
      <c r="C1610" s="8"/>
      <c r="N1610" s="132"/>
      <c r="O1610" s="132"/>
      <c r="Q1610" s="132"/>
      <c r="R1610" s="132"/>
      <c r="T1610" s="132"/>
    </row>
    <row r="1611" spans="1:70">
      <c r="A1611" s="62" t="s">
        <v>386</v>
      </c>
      <c r="N1611" s="63"/>
      <c r="O1611" s="63"/>
      <c r="Q1611" s="63"/>
      <c r="R1611" s="63"/>
      <c r="T1611" s="63"/>
      <c r="W1611" s="63"/>
    </row>
    <row r="1612" spans="1:70" hidden="1" outlineLevel="1">
      <c r="A1612" s="62" t="s">
        <v>1200</v>
      </c>
      <c r="J1612" s="2"/>
      <c r="K1612" s="2"/>
      <c r="L1612" s="2"/>
      <c r="M1612" s="2"/>
    </row>
    <row r="1613" spans="1:70" hidden="1" outlineLevel="1">
      <c r="A1613" t="s">
        <v>2965</v>
      </c>
      <c r="B1613" s="8"/>
      <c r="C1613" s="1"/>
      <c r="D1613" s="5"/>
      <c r="E1613" s="5"/>
      <c r="F1613" s="5"/>
      <c r="G1613" s="1"/>
      <c r="I1613" s="6"/>
      <c r="J1613" s="2"/>
      <c r="K1613" s="2"/>
      <c r="L1613" s="2"/>
      <c r="M1613" s="2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T1613" t="str">
        <f t="shared" ref="AT1613:AT1630" si="407">A1613</f>
        <v>Atkinson and Gilmanton Academy Grant</v>
      </c>
      <c r="AU1613" t="s">
        <v>442</v>
      </c>
      <c r="AV1613">
        <v>2</v>
      </c>
      <c r="AW1613" s="5"/>
      <c r="AX1613" s="114">
        <v>33</v>
      </c>
      <c r="AY1613" s="116">
        <v>7</v>
      </c>
      <c r="AZ1613" s="116">
        <v>5</v>
      </c>
      <c r="BA1613" s="120">
        <v>2420</v>
      </c>
      <c r="BB1613" s="120">
        <f t="shared" ref="BB1613:BB1676" si="408">AX1613*1000+AY1613</f>
        <v>33007</v>
      </c>
      <c r="BC1613" t="s">
        <v>1417</v>
      </c>
      <c r="BI1613">
        <v>19.66</v>
      </c>
      <c r="BJ1613">
        <v>0</v>
      </c>
      <c r="BK1613">
        <v>19.66</v>
      </c>
    </row>
    <row r="1614" spans="1:70" hidden="1" outlineLevel="1">
      <c r="A1614" t="s">
        <v>3117</v>
      </c>
      <c r="B1614" s="8"/>
      <c r="C1614" s="1"/>
      <c r="D1614" s="5"/>
      <c r="E1614" s="5"/>
      <c r="F1614" s="5"/>
      <c r="G1614" s="1"/>
      <c r="I1614" s="6"/>
      <c r="J1614" s="2"/>
      <c r="K1614" s="2"/>
      <c r="L1614" s="2"/>
      <c r="M1614" s="2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T1614" t="str">
        <f t="shared" si="407"/>
        <v>Beans Grant</v>
      </c>
      <c r="AU1614" t="s">
        <v>442</v>
      </c>
      <c r="AV1614">
        <v>2</v>
      </c>
      <c r="AW1614" s="5"/>
      <c r="AX1614" s="114">
        <v>33</v>
      </c>
      <c r="AY1614" s="116">
        <v>7</v>
      </c>
      <c r="AZ1614" s="116">
        <v>10</v>
      </c>
      <c r="BA1614" s="120">
        <v>4100</v>
      </c>
      <c r="BB1614" s="120">
        <f t="shared" si="408"/>
        <v>33007</v>
      </c>
      <c r="BC1614" t="s">
        <v>1417</v>
      </c>
      <c r="BI1614">
        <v>9.6999999999999993</v>
      </c>
      <c r="BJ1614">
        <v>0</v>
      </c>
      <c r="BK1614">
        <v>9.6999999999999993</v>
      </c>
    </row>
    <row r="1615" spans="1:70" hidden="1" outlineLevel="1">
      <c r="A1615" t="s">
        <v>3021</v>
      </c>
      <c r="B1615" s="8"/>
      <c r="C1615" s="1"/>
      <c r="D1615" s="5"/>
      <c r="E1615" s="5"/>
      <c r="F1615" s="5"/>
      <c r="G1615" s="1"/>
      <c r="I1615" s="6"/>
      <c r="J1615" s="2"/>
      <c r="K1615" s="2"/>
      <c r="L1615" s="2"/>
      <c r="M1615" s="2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T1615" t="str">
        <f t="shared" si="407"/>
        <v>Beans Purchase</v>
      </c>
      <c r="AU1615" t="s">
        <v>442</v>
      </c>
      <c r="AV1615">
        <v>2</v>
      </c>
      <c r="AW1615" s="5"/>
      <c r="AX1615" s="114">
        <v>33</v>
      </c>
      <c r="AY1615" s="116">
        <v>7</v>
      </c>
      <c r="AZ1615" s="116">
        <v>15</v>
      </c>
      <c r="BA1615" s="120">
        <v>4260</v>
      </c>
      <c r="BB1615" s="120">
        <f t="shared" si="408"/>
        <v>33007</v>
      </c>
      <c r="BC1615" t="s">
        <v>1349</v>
      </c>
      <c r="BI1615">
        <v>65.27</v>
      </c>
      <c r="BJ1615">
        <v>0.02</v>
      </c>
      <c r="BK1615">
        <v>65.25</v>
      </c>
    </row>
    <row r="1616" spans="1:70" hidden="1" outlineLevel="1">
      <c r="A1616" t="s">
        <v>2197</v>
      </c>
      <c r="B1616" s="8"/>
      <c r="C1616" s="1"/>
      <c r="D1616" s="5"/>
      <c r="E1616" s="5"/>
      <c r="F1616" s="5"/>
      <c r="G1616" s="1"/>
      <c r="I1616" s="6"/>
      <c r="J1616" s="2"/>
      <c r="K1616" s="2"/>
      <c r="L1616" s="2"/>
      <c r="M1616" s="2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T1616" t="str">
        <f t="shared" si="407"/>
        <v>Chandlers Purchase</v>
      </c>
      <c r="AU1616" t="s">
        <v>442</v>
      </c>
      <c r="AV1616">
        <v>2</v>
      </c>
      <c r="AW1616" s="5"/>
      <c r="AX1616" s="114">
        <v>33</v>
      </c>
      <c r="AY1616" s="116">
        <v>7</v>
      </c>
      <c r="AZ1616" s="116">
        <v>35</v>
      </c>
      <c r="BA1616" s="120">
        <v>11220</v>
      </c>
      <c r="BB1616" s="120">
        <f t="shared" si="408"/>
        <v>33007</v>
      </c>
      <c r="BC1616" t="s">
        <v>1349</v>
      </c>
      <c r="BI1616">
        <v>2.13</v>
      </c>
      <c r="BJ1616">
        <v>0</v>
      </c>
      <c r="BK1616">
        <v>2.13</v>
      </c>
    </row>
    <row r="1617" spans="1:63" hidden="1" outlineLevel="1">
      <c r="A1617" t="s">
        <v>2320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T1617" t="str">
        <f t="shared" si="407"/>
        <v>Crawfords Purchase</v>
      </c>
      <c r="AU1617" t="s">
        <v>442</v>
      </c>
      <c r="AV1617">
        <v>2</v>
      </c>
      <c r="AW1617" s="5"/>
      <c r="AX1617" s="114">
        <v>33</v>
      </c>
      <c r="AY1617" s="116">
        <v>7</v>
      </c>
      <c r="AZ1617" s="116">
        <v>55</v>
      </c>
      <c r="BA1617" s="120">
        <v>16100</v>
      </c>
      <c r="BB1617" s="120">
        <f t="shared" si="408"/>
        <v>33007</v>
      </c>
      <c r="BC1617" t="s">
        <v>1349</v>
      </c>
      <c r="BI1617">
        <v>8.19</v>
      </c>
      <c r="BJ1617">
        <v>0</v>
      </c>
      <c r="BK1617">
        <v>8.19</v>
      </c>
    </row>
    <row r="1618" spans="1:63" hidden="1" outlineLevel="1">
      <c r="A1618" t="s">
        <v>3159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T1618" t="str">
        <f t="shared" si="407"/>
        <v>Cutts Grant</v>
      </c>
      <c r="AU1618" t="s">
        <v>442</v>
      </c>
      <c r="AV1618">
        <v>2</v>
      </c>
      <c r="AW1618" s="5"/>
      <c r="AX1618" s="114">
        <v>33</v>
      </c>
      <c r="AY1618" s="116">
        <v>7</v>
      </c>
      <c r="AZ1618" s="116">
        <v>60</v>
      </c>
      <c r="BA1618" s="120">
        <v>16660</v>
      </c>
      <c r="BB1618" s="120">
        <f t="shared" si="408"/>
        <v>33007</v>
      </c>
      <c r="BC1618" t="s">
        <v>1417</v>
      </c>
      <c r="BI1618">
        <v>11.44</v>
      </c>
      <c r="BJ1618">
        <v>0</v>
      </c>
      <c r="BK1618">
        <v>11.44</v>
      </c>
    </row>
    <row r="1619" spans="1:63" hidden="1" outlineLevel="1">
      <c r="A1619" t="s">
        <v>2749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T1619" t="str">
        <f t="shared" si="407"/>
        <v>Dixs Grant</v>
      </c>
      <c r="AU1619" t="s">
        <v>442</v>
      </c>
      <c r="AV1619">
        <v>2</v>
      </c>
      <c r="AW1619" s="5"/>
      <c r="AX1619" s="114">
        <v>33</v>
      </c>
      <c r="AY1619" s="116">
        <v>7</v>
      </c>
      <c r="AZ1619" s="116">
        <v>70</v>
      </c>
      <c r="BA1619" s="120">
        <v>18340</v>
      </c>
      <c r="BB1619" s="120">
        <f t="shared" si="408"/>
        <v>33007</v>
      </c>
      <c r="BC1619" t="s">
        <v>1417</v>
      </c>
      <c r="BI1619">
        <v>20.18</v>
      </c>
      <c r="BJ1619">
        <v>0</v>
      </c>
      <c r="BK1619">
        <v>20.18</v>
      </c>
    </row>
    <row r="1620" spans="1:63" hidden="1" outlineLevel="1">
      <c r="A1620" t="s">
        <v>2862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T1620" t="str">
        <f t="shared" si="407"/>
        <v>Ervings Location</v>
      </c>
      <c r="AU1620" t="s">
        <v>442</v>
      </c>
      <c r="AV1620">
        <v>2</v>
      </c>
      <c r="AW1620" s="5"/>
      <c r="AX1620" s="114">
        <v>33</v>
      </c>
      <c r="AY1620" s="116">
        <v>7</v>
      </c>
      <c r="AZ1620" s="116">
        <v>90</v>
      </c>
      <c r="BA1620" s="120">
        <v>25180</v>
      </c>
      <c r="BB1620" s="120">
        <f t="shared" si="408"/>
        <v>33007</v>
      </c>
      <c r="BC1620" t="s">
        <v>673</v>
      </c>
      <c r="BI1620">
        <v>3.68</v>
      </c>
      <c r="BJ1620">
        <v>0</v>
      </c>
      <c r="BK1620">
        <v>3.68</v>
      </c>
    </row>
    <row r="1621" spans="1:63" hidden="1" outlineLevel="1">
      <c r="A1621" t="s">
        <v>2661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U1621" s="63"/>
      <c r="V1621" s="63"/>
      <c r="W1621" s="63"/>
      <c r="X1621" s="63"/>
      <c r="Y1621" s="63"/>
      <c r="Z1621" s="63"/>
      <c r="AA1621" s="63"/>
      <c r="AB1621" s="63"/>
      <c r="AT1621" t="str">
        <f t="shared" si="407"/>
        <v>Hadleys Purchase</v>
      </c>
      <c r="AU1621" t="s">
        <v>442</v>
      </c>
      <c r="AV1621">
        <v>2</v>
      </c>
      <c r="AW1621" s="5"/>
      <c r="AX1621" s="114">
        <v>33</v>
      </c>
      <c r="AY1621" s="116">
        <v>7</v>
      </c>
      <c r="AZ1621" s="116">
        <v>105</v>
      </c>
      <c r="BA1621" s="120">
        <v>32420</v>
      </c>
      <c r="BB1621" s="120">
        <f t="shared" si="408"/>
        <v>33007</v>
      </c>
      <c r="BC1621" t="s">
        <v>1349</v>
      </c>
      <c r="BI1621">
        <v>7.41</v>
      </c>
      <c r="BJ1621">
        <v>0</v>
      </c>
      <c r="BK1621">
        <v>7.41</v>
      </c>
    </row>
    <row r="1622" spans="1:63" hidden="1" outlineLevel="1">
      <c r="A1622" t="s">
        <v>2895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T1622" t="str">
        <f t="shared" si="407"/>
        <v>Kilkenny township</v>
      </c>
      <c r="AU1622" t="s">
        <v>442</v>
      </c>
      <c r="AV1622">
        <v>2</v>
      </c>
      <c r="AW1622" s="5"/>
      <c r="AX1622" s="114">
        <v>33</v>
      </c>
      <c r="AY1622" s="116">
        <v>7</v>
      </c>
      <c r="AZ1622" s="116">
        <v>115</v>
      </c>
      <c r="BA1622" s="120">
        <v>39940</v>
      </c>
      <c r="BB1622" s="120">
        <f t="shared" si="408"/>
        <v>33007</v>
      </c>
      <c r="BC1622" t="s">
        <v>1297</v>
      </c>
      <c r="BI1622">
        <v>25.65</v>
      </c>
      <c r="BJ1622">
        <v>0.01</v>
      </c>
      <c r="BK1622">
        <v>25.64</v>
      </c>
    </row>
    <row r="1623" spans="1:63" hidden="1" outlineLevel="1">
      <c r="A1623" t="s">
        <v>2329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T1623" t="str">
        <f t="shared" si="407"/>
        <v>Livermore</v>
      </c>
      <c r="AU1623" t="s">
        <v>2260</v>
      </c>
      <c r="AV1623">
        <v>2</v>
      </c>
      <c r="AW1623" s="5"/>
      <c r="AX1623" s="114">
        <v>33</v>
      </c>
      <c r="AY1623" s="116">
        <v>9</v>
      </c>
      <c r="AZ1623" s="116">
        <v>127</v>
      </c>
      <c r="BA1623" s="120">
        <v>42820</v>
      </c>
      <c r="BB1623" s="120">
        <f t="shared" si="408"/>
        <v>33009</v>
      </c>
      <c r="BC1623" t="s">
        <v>1472</v>
      </c>
      <c r="BI1623">
        <v>63.8</v>
      </c>
      <c r="BJ1623">
        <v>0.17</v>
      </c>
      <c r="BK1623">
        <v>63.63</v>
      </c>
    </row>
    <row r="1624" spans="1:63" hidden="1" outlineLevel="1">
      <c r="A1624" t="s">
        <v>3027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T1624" t="str">
        <f t="shared" si="407"/>
        <v>Low and Burbanks Grant</v>
      </c>
      <c r="AU1624" t="s">
        <v>442</v>
      </c>
      <c r="AV1624">
        <v>2</v>
      </c>
      <c r="AW1624" s="5"/>
      <c r="AX1624" s="114">
        <v>33</v>
      </c>
      <c r="AY1624" s="116">
        <v>7</v>
      </c>
      <c r="AZ1624" s="116">
        <v>125</v>
      </c>
      <c r="BA1624" s="120">
        <v>43620</v>
      </c>
      <c r="BB1624" s="120">
        <f t="shared" si="408"/>
        <v>33007</v>
      </c>
      <c r="BC1624" t="s">
        <v>1417</v>
      </c>
      <c r="BI1624">
        <v>26.14</v>
      </c>
      <c r="BJ1624">
        <v>0</v>
      </c>
      <c r="BK1624">
        <v>26.14</v>
      </c>
    </row>
    <row r="1625" spans="1:63" hidden="1" outlineLevel="1">
      <c r="A1625" t="s">
        <v>2843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T1625" t="str">
        <f t="shared" si="407"/>
        <v>Martins Location</v>
      </c>
      <c r="AU1625" t="s">
        <v>442</v>
      </c>
      <c r="AV1625">
        <v>2</v>
      </c>
      <c r="AW1625" s="5"/>
      <c r="AX1625" s="114">
        <v>33</v>
      </c>
      <c r="AY1625" s="116">
        <v>7</v>
      </c>
      <c r="AZ1625" s="116">
        <v>130</v>
      </c>
      <c r="BA1625" s="120">
        <v>46020</v>
      </c>
      <c r="BB1625" s="120">
        <f t="shared" si="408"/>
        <v>33007</v>
      </c>
      <c r="BC1625" t="s">
        <v>673</v>
      </c>
      <c r="BI1625">
        <v>3.76</v>
      </c>
      <c r="BJ1625">
        <v>0</v>
      </c>
      <c r="BK1625">
        <v>3.76</v>
      </c>
    </row>
    <row r="1626" spans="1:63" hidden="1" outlineLevel="1">
      <c r="A1626" t="s">
        <v>2892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T1626" t="str">
        <f t="shared" si="407"/>
        <v>Odell township</v>
      </c>
      <c r="AU1626" t="s">
        <v>442</v>
      </c>
      <c r="AV1626">
        <v>2</v>
      </c>
      <c r="AW1626" s="5"/>
      <c r="AX1626" s="114">
        <v>33</v>
      </c>
      <c r="AY1626" s="116">
        <v>7</v>
      </c>
      <c r="AZ1626" s="116">
        <v>150</v>
      </c>
      <c r="BA1626" s="120">
        <v>57860</v>
      </c>
      <c r="BB1626" s="120">
        <f t="shared" si="408"/>
        <v>33007</v>
      </c>
      <c r="BC1626" t="s">
        <v>1297</v>
      </c>
      <c r="BI1626">
        <v>45.17</v>
      </c>
      <c r="BJ1626">
        <v>0.68</v>
      </c>
      <c r="BK1626">
        <v>44.49</v>
      </c>
    </row>
    <row r="1627" spans="1:63" hidden="1" outlineLevel="1">
      <c r="A1627" t="s">
        <v>2758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T1627" t="str">
        <f t="shared" si="407"/>
        <v>Sargents Purchase</v>
      </c>
      <c r="AU1627" t="s">
        <v>442</v>
      </c>
      <c r="AV1627">
        <v>2</v>
      </c>
      <c r="AW1627" s="5"/>
      <c r="AX1627" s="114">
        <v>33</v>
      </c>
      <c r="AY1627" s="116">
        <v>7</v>
      </c>
      <c r="AZ1627" s="116">
        <v>170</v>
      </c>
      <c r="BA1627" s="120">
        <v>67860</v>
      </c>
      <c r="BB1627" s="120">
        <f t="shared" si="408"/>
        <v>33007</v>
      </c>
      <c r="BC1627" t="s">
        <v>1349</v>
      </c>
      <c r="BI1627">
        <v>25.86</v>
      </c>
      <c r="BJ1627">
        <v>0.01</v>
      </c>
      <c r="BK1627">
        <v>25.85</v>
      </c>
    </row>
    <row r="1628" spans="1:63" hidden="1" outlineLevel="1">
      <c r="A1628" t="s">
        <v>2151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T1628" t="str">
        <f t="shared" si="407"/>
        <v>Second College Grant</v>
      </c>
      <c r="AU1628" t="s">
        <v>442</v>
      </c>
      <c r="AV1628">
        <v>2</v>
      </c>
      <c r="AW1628" s="5"/>
      <c r="AX1628" s="114">
        <v>33</v>
      </c>
      <c r="AY1628" s="116">
        <v>7</v>
      </c>
      <c r="AZ1628" s="116">
        <v>175</v>
      </c>
      <c r="BA1628" s="120">
        <v>68500</v>
      </c>
      <c r="BB1628" s="120">
        <f t="shared" si="408"/>
        <v>33007</v>
      </c>
      <c r="BC1628" t="s">
        <v>1417</v>
      </c>
      <c r="BI1628">
        <v>41.68</v>
      </c>
      <c r="BJ1628">
        <v>0.05</v>
      </c>
      <c r="BK1628">
        <v>41.63</v>
      </c>
    </row>
    <row r="1629" spans="1:63" hidden="1" outlineLevel="1">
      <c r="A1629" t="s">
        <v>2706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T1629" t="str">
        <f t="shared" si="407"/>
        <v>Success Township</v>
      </c>
      <c r="AU1629" t="s">
        <v>442</v>
      </c>
      <c r="AV1629">
        <v>2</v>
      </c>
      <c r="AW1629" s="5"/>
      <c r="AX1629" s="114">
        <v>33</v>
      </c>
      <c r="AY1629" s="116">
        <v>7</v>
      </c>
      <c r="AZ1629" s="116">
        <v>200</v>
      </c>
      <c r="BA1629" s="120">
        <v>74500</v>
      </c>
      <c r="BB1629" s="120">
        <f t="shared" si="408"/>
        <v>33007</v>
      </c>
      <c r="BC1629" t="s">
        <v>1297</v>
      </c>
      <c r="BI1629">
        <v>59.24</v>
      </c>
      <c r="BJ1629">
        <v>0.48</v>
      </c>
      <c r="BK1629">
        <v>58.76</v>
      </c>
    </row>
    <row r="1630" spans="1:63" hidden="1" outlineLevel="1">
      <c r="A1630" t="s">
        <v>2106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T1630" t="str">
        <f t="shared" si="407"/>
        <v>Thompson and Meserves Purchase</v>
      </c>
      <c r="AU1630" t="s">
        <v>442</v>
      </c>
      <c r="AV1630">
        <v>2</v>
      </c>
      <c r="AW1630" s="5"/>
      <c r="AX1630" s="114">
        <v>33</v>
      </c>
      <c r="AY1630" s="116">
        <v>7</v>
      </c>
      <c r="AZ1630" s="116">
        <v>205</v>
      </c>
      <c r="BA1630" s="120">
        <v>76580</v>
      </c>
      <c r="BB1630" s="120">
        <f t="shared" si="408"/>
        <v>33007</v>
      </c>
      <c r="BC1630" t="s">
        <v>1349</v>
      </c>
      <c r="BI1630">
        <v>18.5</v>
      </c>
      <c r="BJ1630">
        <v>0</v>
      </c>
      <c r="BK1630">
        <v>18.5</v>
      </c>
    </row>
    <row r="1631" spans="1:63" hidden="1" outlineLevel="1"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W1631" s="5"/>
    </row>
    <row r="1632" spans="1:63" hidden="1" outlineLevel="1">
      <c r="A1632" s="62" t="s">
        <v>726</v>
      </c>
      <c r="J1632" s="2"/>
      <c r="K1632" s="2"/>
      <c r="L1632" s="2"/>
      <c r="M1632" s="2"/>
    </row>
    <row r="1633" spans="1:63" hidden="1" outlineLevel="1">
      <c r="A1633" t="s">
        <v>2530</v>
      </c>
      <c r="J1633" s="2"/>
      <c r="K1633" s="2"/>
      <c r="L1633" s="2"/>
      <c r="M1633" s="2"/>
      <c r="AT1633" t="str">
        <f>A1633</f>
        <v>Averill town</v>
      </c>
      <c r="AU1633" t="s">
        <v>842</v>
      </c>
      <c r="AX1633" s="114">
        <v>50</v>
      </c>
      <c r="AY1633" s="116">
        <v>9</v>
      </c>
      <c r="AZ1633" s="116">
        <v>5</v>
      </c>
      <c r="BA1633" s="120">
        <v>2125</v>
      </c>
      <c r="BB1633" s="120">
        <f t="shared" si="408"/>
        <v>50009</v>
      </c>
      <c r="BC1633" t="s">
        <v>1472</v>
      </c>
      <c r="BI1633">
        <v>38.06</v>
      </c>
      <c r="BJ1633">
        <v>1.92</v>
      </c>
      <c r="BK1633">
        <v>36.14</v>
      </c>
    </row>
    <row r="1634" spans="1:63" hidden="1" outlineLevel="1">
      <c r="A1634" t="s">
        <v>2068</v>
      </c>
      <c r="J1634" s="2"/>
      <c r="K1634" s="2"/>
      <c r="L1634" s="2"/>
      <c r="M1634" s="2"/>
      <c r="AT1634" t="str">
        <f t="shared" ref="AT1634:AT1641" si="409">A1634</f>
        <v>Avery's gore</v>
      </c>
      <c r="AU1634" t="s">
        <v>842</v>
      </c>
      <c r="AX1634" s="114">
        <v>50</v>
      </c>
      <c r="AY1634" s="116">
        <v>9</v>
      </c>
      <c r="AZ1634" s="116">
        <v>10</v>
      </c>
      <c r="BA1634" s="120">
        <v>2162</v>
      </c>
      <c r="BB1634" s="120">
        <f t="shared" si="408"/>
        <v>50009</v>
      </c>
      <c r="BC1634" t="s">
        <v>721</v>
      </c>
      <c r="BI1634">
        <v>17.600000000000001</v>
      </c>
      <c r="BJ1634">
        <v>0.02</v>
      </c>
      <c r="BK1634">
        <v>17.57</v>
      </c>
    </row>
    <row r="1635" spans="1:63" hidden="1" outlineLevel="1">
      <c r="A1635" t="s">
        <v>2928</v>
      </c>
      <c r="J1635" s="2"/>
      <c r="K1635" s="2"/>
      <c r="L1635" s="2"/>
      <c r="M1635" s="2"/>
      <c r="AT1635" t="str">
        <f t="shared" si="409"/>
        <v>Buels gore</v>
      </c>
      <c r="AU1635" t="s">
        <v>3175</v>
      </c>
      <c r="AX1635" s="114">
        <v>50</v>
      </c>
      <c r="AY1635" s="116">
        <v>7</v>
      </c>
      <c r="AZ1635" s="116">
        <v>10</v>
      </c>
      <c r="BA1635" s="120">
        <v>10300</v>
      </c>
      <c r="BB1635" s="120">
        <f t="shared" si="408"/>
        <v>50007</v>
      </c>
      <c r="BC1635" t="s">
        <v>721</v>
      </c>
      <c r="BI1635">
        <v>5.05</v>
      </c>
      <c r="BJ1635">
        <v>0</v>
      </c>
      <c r="BK1635">
        <v>5.05</v>
      </c>
    </row>
    <row r="1636" spans="1:63" hidden="1" outlineLevel="1">
      <c r="A1636" t="s">
        <v>2685</v>
      </c>
      <c r="J1636" s="2"/>
      <c r="K1636" s="2"/>
      <c r="L1636" s="2"/>
      <c r="M1636" s="2"/>
      <c r="AT1636" t="str">
        <f t="shared" si="409"/>
        <v>Ferdinand town</v>
      </c>
      <c r="AU1636" t="s">
        <v>842</v>
      </c>
      <c r="AX1636" s="114">
        <v>50</v>
      </c>
      <c r="AY1636" s="116">
        <v>9</v>
      </c>
      <c r="AZ1636" s="116">
        <v>45</v>
      </c>
      <c r="BA1636" s="120">
        <v>25975</v>
      </c>
      <c r="BB1636" s="120">
        <f t="shared" si="408"/>
        <v>50009</v>
      </c>
      <c r="BC1636" t="s">
        <v>1472</v>
      </c>
      <c r="BI1636">
        <v>53.03</v>
      </c>
      <c r="BJ1636">
        <v>0.14000000000000001</v>
      </c>
      <c r="BK1636">
        <v>52.89</v>
      </c>
    </row>
    <row r="1637" spans="1:63" hidden="1" outlineLevel="1">
      <c r="A1637" t="s">
        <v>3184</v>
      </c>
      <c r="J1637" s="2"/>
      <c r="K1637" s="2"/>
      <c r="L1637" s="2"/>
      <c r="M1637" s="2"/>
      <c r="AT1637" t="str">
        <f t="shared" si="409"/>
        <v>Glastenbury town</v>
      </c>
      <c r="AU1637" t="s">
        <v>951</v>
      </c>
      <c r="AX1637" s="114">
        <v>50</v>
      </c>
      <c r="AY1637" s="116">
        <v>3</v>
      </c>
      <c r="AZ1637" s="116">
        <v>18</v>
      </c>
      <c r="BA1637" s="120">
        <v>27962</v>
      </c>
      <c r="BB1637" s="120">
        <f t="shared" si="408"/>
        <v>50003</v>
      </c>
      <c r="BC1637" t="s">
        <v>1472</v>
      </c>
      <c r="BI1637">
        <v>44.48</v>
      </c>
      <c r="BJ1637">
        <v>0</v>
      </c>
      <c r="BK1637">
        <v>44.48</v>
      </c>
    </row>
    <row r="1638" spans="1:63" hidden="1" outlineLevel="1">
      <c r="A1638" t="s">
        <v>3183</v>
      </c>
      <c r="J1638" s="2"/>
      <c r="K1638" s="2"/>
      <c r="L1638" s="2"/>
      <c r="M1638" s="2"/>
      <c r="AT1638" t="str">
        <f t="shared" si="409"/>
        <v>Lewis town</v>
      </c>
      <c r="AU1638" t="s">
        <v>842</v>
      </c>
      <c r="AX1638" s="114">
        <v>50</v>
      </c>
      <c r="AY1638" s="116">
        <v>9</v>
      </c>
      <c r="AZ1638" s="116">
        <v>65</v>
      </c>
      <c r="BA1638" s="120">
        <v>39775</v>
      </c>
      <c r="BB1638" s="120">
        <f t="shared" si="408"/>
        <v>50009</v>
      </c>
      <c r="BC1638" t="s">
        <v>1472</v>
      </c>
      <c r="BI1638">
        <v>39.67</v>
      </c>
      <c r="BJ1638">
        <v>0.1</v>
      </c>
      <c r="BK1638">
        <v>39.57</v>
      </c>
    </row>
    <row r="1639" spans="1:63" hidden="1" outlineLevel="1">
      <c r="A1639" t="s">
        <v>3073</v>
      </c>
      <c r="J1639" s="2"/>
      <c r="K1639" s="2"/>
      <c r="L1639" s="2"/>
      <c r="M1639" s="2"/>
      <c r="AT1639" t="str">
        <f t="shared" si="409"/>
        <v>Somerset town</v>
      </c>
      <c r="AU1639" t="s">
        <v>2129</v>
      </c>
      <c r="AX1639" s="114">
        <v>50</v>
      </c>
      <c r="AY1639" s="116">
        <v>25</v>
      </c>
      <c r="AZ1639" s="116">
        <v>73</v>
      </c>
      <c r="BA1639" s="120">
        <v>65762</v>
      </c>
      <c r="BB1639" s="120">
        <f t="shared" si="408"/>
        <v>50025</v>
      </c>
      <c r="BC1639" t="s">
        <v>1472</v>
      </c>
      <c r="BI1639">
        <v>28.13</v>
      </c>
      <c r="BJ1639">
        <v>1.99</v>
      </c>
      <c r="BK1639">
        <v>26.15</v>
      </c>
    </row>
    <row r="1640" spans="1:63" hidden="1" outlineLevel="1">
      <c r="A1640" t="s">
        <v>2819</v>
      </c>
      <c r="J1640" s="2"/>
      <c r="K1640" s="2"/>
      <c r="L1640" s="2"/>
      <c r="M1640" s="2"/>
      <c r="AT1640" t="str">
        <f t="shared" si="409"/>
        <v>Warner's grant</v>
      </c>
      <c r="AU1640" t="s">
        <v>842</v>
      </c>
      <c r="AX1640" s="114">
        <v>50</v>
      </c>
      <c r="AY1640" s="116">
        <v>9</v>
      </c>
      <c r="AZ1640" s="116">
        <v>90</v>
      </c>
      <c r="BA1640" s="120">
        <v>76337</v>
      </c>
      <c r="BB1640" s="120">
        <f t="shared" si="408"/>
        <v>50009</v>
      </c>
      <c r="BC1640" t="s">
        <v>1417</v>
      </c>
      <c r="BI1640">
        <v>3.15</v>
      </c>
      <c r="BJ1640">
        <v>0</v>
      </c>
      <c r="BK1640">
        <v>3.15</v>
      </c>
    </row>
    <row r="1641" spans="1:63" hidden="1" outlineLevel="1">
      <c r="A1641" t="s">
        <v>3173</v>
      </c>
      <c r="J1641" s="2"/>
      <c r="K1641" s="2"/>
      <c r="L1641" s="2"/>
      <c r="M1641" s="2"/>
      <c r="AT1641" t="str">
        <f t="shared" si="409"/>
        <v>Warren's gore</v>
      </c>
      <c r="AU1641" t="s">
        <v>842</v>
      </c>
      <c r="AX1641" s="114">
        <v>50</v>
      </c>
      <c r="AY1641" s="116">
        <v>9</v>
      </c>
      <c r="AZ1641" s="116">
        <v>95</v>
      </c>
      <c r="BA1641" s="120">
        <v>76562</v>
      </c>
      <c r="BB1641" s="120">
        <f t="shared" si="408"/>
        <v>50009</v>
      </c>
      <c r="BC1641" t="s">
        <v>721</v>
      </c>
      <c r="BI1641">
        <v>11.6</v>
      </c>
      <c r="BJ1641">
        <v>0.65</v>
      </c>
      <c r="BK1641">
        <v>10.94</v>
      </c>
    </row>
    <row r="1642" spans="1:63" hidden="1" outlineLevel="1">
      <c r="J1642" s="2"/>
      <c r="K1642" s="2"/>
      <c r="L1642" s="2"/>
      <c r="M1642" s="2"/>
    </row>
    <row r="1643" spans="1:63" hidden="1" outlineLevel="1">
      <c r="A1643" s="62" t="s">
        <v>3172</v>
      </c>
      <c r="J1643" s="2"/>
      <c r="K1643" s="2"/>
      <c r="L1643" s="2"/>
      <c r="M1643" s="2"/>
    </row>
    <row r="1644" spans="1:63" s="8" customFormat="1" hidden="1" outlineLevel="1">
      <c r="J1644" s="2"/>
      <c r="K1644" s="2"/>
      <c r="L1644" s="2"/>
      <c r="M1644" s="2"/>
      <c r="N1644" s="63"/>
      <c r="O1644" s="63"/>
      <c r="P1644" s="63"/>
      <c r="Y1644" s="69"/>
      <c r="AX1644" s="114"/>
      <c r="AY1644" s="116"/>
      <c r="AZ1644" s="116"/>
      <c r="BA1644" s="120"/>
      <c r="BB1644" s="120"/>
      <c r="BE1644" s="63"/>
      <c r="BF1644" s="63"/>
      <c r="BG1644" s="63"/>
    </row>
    <row r="1645" spans="1:63" hidden="1" outlineLevel="1">
      <c r="A1645" t="s">
        <v>2268</v>
      </c>
      <c r="AT1645" t="str">
        <f t="shared" ref="AT1645:AT1681" si="410">A1645</f>
        <v>Argyle</v>
      </c>
      <c r="AU1645" s="69" t="s">
        <v>2481</v>
      </c>
      <c r="AX1645" s="114">
        <v>23</v>
      </c>
      <c r="AY1645" s="116">
        <v>19</v>
      </c>
      <c r="AZ1645" s="116">
        <v>7</v>
      </c>
      <c r="BA1645" s="120">
        <v>1500</v>
      </c>
      <c r="BB1645" s="120">
        <f t="shared" si="408"/>
        <v>23019</v>
      </c>
      <c r="BC1645" t="s">
        <v>957</v>
      </c>
      <c r="BI1645">
        <v>26.73</v>
      </c>
      <c r="BJ1645">
        <v>0</v>
      </c>
      <c r="BK1645">
        <v>26.73</v>
      </c>
    </row>
    <row r="1646" spans="1:63" hidden="1" outlineLevel="1">
      <c r="A1646" t="s">
        <v>3161</v>
      </c>
      <c r="AT1646" t="str">
        <f t="shared" si="410"/>
        <v>Blanchard</v>
      </c>
      <c r="AU1646" s="69" t="s">
        <v>1957</v>
      </c>
      <c r="AX1646" s="114">
        <v>23</v>
      </c>
      <c r="AY1646" s="116">
        <v>21</v>
      </c>
      <c r="AZ1646" s="116">
        <v>20</v>
      </c>
      <c r="BA1646" s="120">
        <v>5560</v>
      </c>
      <c r="BB1646" s="120">
        <f t="shared" si="408"/>
        <v>23021</v>
      </c>
      <c r="BC1646" t="s">
        <v>957</v>
      </c>
      <c r="BI1646">
        <v>44.98</v>
      </c>
      <c r="BJ1646">
        <v>0.66</v>
      </c>
      <c r="BK1646">
        <v>44.33</v>
      </c>
    </row>
    <row r="1647" spans="1:63" hidden="1" outlineLevel="1">
      <c r="A1647" t="s">
        <v>2315</v>
      </c>
      <c r="J1647" s="2"/>
      <c r="K1647" s="2"/>
      <c r="L1647" s="2"/>
      <c r="M1647" s="2"/>
      <c r="AT1647" t="str">
        <f t="shared" si="410"/>
        <v>Central Aroostook</v>
      </c>
      <c r="AU1647" s="69" t="s">
        <v>2830</v>
      </c>
      <c r="AX1647" s="114">
        <v>23</v>
      </c>
      <c r="AY1647" s="116">
        <v>3</v>
      </c>
      <c r="AZ1647" s="116">
        <v>57</v>
      </c>
      <c r="BA1647" s="120">
        <v>11785</v>
      </c>
      <c r="BB1647" s="120">
        <f t="shared" si="408"/>
        <v>23003</v>
      </c>
      <c r="BC1647" t="s">
        <v>957</v>
      </c>
      <c r="BI1647">
        <v>566.5</v>
      </c>
      <c r="BJ1647">
        <v>10.45</v>
      </c>
      <c r="BK1647">
        <v>556.04</v>
      </c>
    </row>
    <row r="1648" spans="1:63" hidden="1" outlineLevel="1">
      <c r="A1648" t="s">
        <v>2970</v>
      </c>
      <c r="AT1648" t="str">
        <f t="shared" si="410"/>
        <v>Central Hancock</v>
      </c>
      <c r="AU1648" s="69" t="s">
        <v>597</v>
      </c>
      <c r="AX1648" s="114">
        <v>23</v>
      </c>
      <c r="AY1648" s="116">
        <v>9</v>
      </c>
      <c r="AZ1648" s="116">
        <v>42</v>
      </c>
      <c r="BA1648" s="120">
        <v>11800</v>
      </c>
      <c r="BB1648" s="120">
        <f t="shared" si="408"/>
        <v>23009</v>
      </c>
      <c r="BC1648" t="s">
        <v>957</v>
      </c>
      <c r="BI1648">
        <v>16.07</v>
      </c>
      <c r="BJ1648">
        <v>0.85</v>
      </c>
      <c r="BK1648">
        <v>15.22</v>
      </c>
    </row>
    <row r="1649" spans="1:63" hidden="1" outlineLevel="1">
      <c r="A1649" t="s">
        <v>2916</v>
      </c>
      <c r="AT1649" t="str">
        <f t="shared" si="410"/>
        <v>Central Somerset</v>
      </c>
      <c r="AU1649" s="69" t="s">
        <v>1787</v>
      </c>
      <c r="AX1649" s="114">
        <v>23</v>
      </c>
      <c r="AY1649" s="116">
        <v>25</v>
      </c>
      <c r="AZ1649" s="116">
        <v>37</v>
      </c>
      <c r="BA1649" s="120">
        <v>11820</v>
      </c>
      <c r="BB1649" s="120">
        <f t="shared" si="408"/>
        <v>23025</v>
      </c>
      <c r="BC1649" t="s">
        <v>957</v>
      </c>
      <c r="BI1649">
        <v>77.77</v>
      </c>
      <c r="BJ1649">
        <v>1.1299999999999999</v>
      </c>
      <c r="BK1649">
        <v>76.63</v>
      </c>
    </row>
    <row r="1650" spans="1:63" hidden="1" outlineLevel="1">
      <c r="A1650" t="s">
        <v>2502</v>
      </c>
      <c r="AT1650" t="str">
        <f t="shared" si="410"/>
        <v>Criehaven</v>
      </c>
      <c r="AU1650" s="69" t="s">
        <v>1729</v>
      </c>
      <c r="AX1650" s="114">
        <v>23</v>
      </c>
      <c r="AY1650" s="116">
        <v>13</v>
      </c>
      <c r="AZ1650" s="116">
        <v>13</v>
      </c>
      <c r="BA1650" s="120">
        <v>15125</v>
      </c>
      <c r="BB1650" s="120">
        <f t="shared" si="408"/>
        <v>23013</v>
      </c>
      <c r="BC1650" t="s">
        <v>957</v>
      </c>
      <c r="BI1650">
        <v>131.79</v>
      </c>
      <c r="BJ1650">
        <v>131.08000000000001</v>
      </c>
      <c r="BK1650">
        <v>0.72</v>
      </c>
    </row>
    <row r="1651" spans="1:63" hidden="1" outlineLevel="1">
      <c r="A1651" t="s">
        <v>2858</v>
      </c>
      <c r="AT1651" t="str">
        <f t="shared" si="410"/>
        <v>East Central Franklin</v>
      </c>
      <c r="AU1651" s="69" t="s">
        <v>1138</v>
      </c>
      <c r="AX1651" s="114">
        <v>23</v>
      </c>
      <c r="AY1651" s="116">
        <v>7</v>
      </c>
      <c r="AZ1651" s="116">
        <v>27</v>
      </c>
      <c r="BA1651" s="120">
        <v>19865</v>
      </c>
      <c r="BB1651" s="120">
        <f t="shared" si="408"/>
        <v>23007</v>
      </c>
      <c r="BC1651" t="s">
        <v>957</v>
      </c>
      <c r="BI1651">
        <v>128.9</v>
      </c>
      <c r="BJ1651">
        <v>0.14000000000000001</v>
      </c>
      <c r="BK1651">
        <v>128.77000000000001</v>
      </c>
    </row>
    <row r="1652" spans="1:63" hidden="1" outlineLevel="1">
      <c r="A1652" t="s">
        <v>2366</v>
      </c>
      <c r="AT1652" t="str">
        <f t="shared" si="410"/>
        <v>East Central Penobscot</v>
      </c>
      <c r="AU1652" s="69" t="s">
        <v>2481</v>
      </c>
      <c r="AX1652" s="114">
        <v>23</v>
      </c>
      <c r="AY1652" s="116">
        <v>19</v>
      </c>
      <c r="AZ1652" s="116">
        <v>83</v>
      </c>
      <c r="BA1652" s="120">
        <v>19868</v>
      </c>
      <c r="BB1652" s="120">
        <f t="shared" si="408"/>
        <v>23019</v>
      </c>
      <c r="BC1652" t="s">
        <v>957</v>
      </c>
      <c r="BI1652">
        <v>115.8</v>
      </c>
      <c r="BJ1652">
        <v>1.3</v>
      </c>
      <c r="BK1652">
        <v>114.49</v>
      </c>
    </row>
    <row r="1653" spans="1:63" hidden="1" outlineLevel="1">
      <c r="A1653" t="s">
        <v>2664</v>
      </c>
      <c r="AT1653" t="str">
        <f t="shared" si="410"/>
        <v>East Central Washington</v>
      </c>
      <c r="AU1653" s="69" t="s">
        <v>692</v>
      </c>
      <c r="AX1653" s="114">
        <v>23</v>
      </c>
      <c r="AY1653" s="116">
        <v>29</v>
      </c>
      <c r="AZ1653" s="116">
        <v>93</v>
      </c>
      <c r="BA1653" s="120">
        <v>19870</v>
      </c>
      <c r="BB1653" s="120">
        <f t="shared" si="408"/>
        <v>23029</v>
      </c>
      <c r="BC1653" t="s">
        <v>957</v>
      </c>
      <c r="BI1653">
        <v>252.58</v>
      </c>
      <c r="BJ1653">
        <v>44.61</v>
      </c>
      <c r="BK1653">
        <v>207.98</v>
      </c>
    </row>
    <row r="1654" spans="1:63" hidden="1" outlineLevel="1">
      <c r="A1654" t="s">
        <v>1536</v>
      </c>
      <c r="AT1654" t="str">
        <f t="shared" si="410"/>
        <v>East Hancock</v>
      </c>
      <c r="AU1654" s="69" t="s">
        <v>597</v>
      </c>
      <c r="AX1654" s="114">
        <v>23</v>
      </c>
      <c r="AY1654" s="116">
        <v>9</v>
      </c>
      <c r="AZ1654" s="116">
        <v>62</v>
      </c>
      <c r="BA1654" s="120">
        <v>20405</v>
      </c>
      <c r="BB1654" s="120">
        <f t="shared" si="408"/>
        <v>23009</v>
      </c>
      <c r="BC1654" t="s">
        <v>957</v>
      </c>
      <c r="BI1654">
        <v>481.23</v>
      </c>
      <c r="BJ1654">
        <v>36.97</v>
      </c>
      <c r="BK1654">
        <v>444.26</v>
      </c>
    </row>
    <row r="1655" spans="1:63" hidden="1" outlineLevel="1">
      <c r="A1655" t="s">
        <v>2997</v>
      </c>
      <c r="AT1655" t="str">
        <f t="shared" si="410"/>
        <v>Hibberts</v>
      </c>
      <c r="AU1655" s="69" t="s">
        <v>1597</v>
      </c>
      <c r="AX1655" s="114">
        <v>23</v>
      </c>
      <c r="AY1655" s="116">
        <v>15</v>
      </c>
      <c r="AZ1655" s="116">
        <v>45</v>
      </c>
      <c r="BA1655" s="120">
        <v>32715</v>
      </c>
      <c r="BB1655" s="120">
        <f t="shared" si="408"/>
        <v>23015</v>
      </c>
      <c r="BC1655" t="s">
        <v>3153</v>
      </c>
      <c r="BI1655">
        <v>0.78</v>
      </c>
      <c r="BJ1655">
        <v>0.01</v>
      </c>
      <c r="BK1655">
        <v>0.77</v>
      </c>
    </row>
    <row r="1656" spans="1:63" hidden="1" outlineLevel="1">
      <c r="A1656" t="s">
        <v>2531</v>
      </c>
      <c r="J1656" s="2"/>
      <c r="K1656" s="2"/>
      <c r="L1656" s="2"/>
      <c r="M1656" s="2"/>
      <c r="AT1656" t="str">
        <f t="shared" si="410"/>
        <v>North Franklin</v>
      </c>
      <c r="AU1656" s="69" t="s">
        <v>1138</v>
      </c>
      <c r="AX1656" s="114">
        <v>23</v>
      </c>
      <c r="AY1656" s="116">
        <v>7</v>
      </c>
      <c r="AZ1656" s="116">
        <v>67</v>
      </c>
      <c r="BA1656" s="120">
        <v>51400</v>
      </c>
      <c r="BB1656" s="120">
        <f t="shared" si="408"/>
        <v>23007</v>
      </c>
      <c r="BC1656" t="s">
        <v>957</v>
      </c>
      <c r="BI1656">
        <v>508.07</v>
      </c>
      <c r="BJ1656">
        <v>8.76</v>
      </c>
      <c r="BK1656">
        <v>499.32</v>
      </c>
    </row>
    <row r="1657" spans="1:63" hidden="1" outlineLevel="1">
      <c r="A1657" t="s">
        <v>3096</v>
      </c>
      <c r="AT1657" t="str">
        <f t="shared" si="410"/>
        <v>North Oxford</v>
      </c>
      <c r="AU1657" s="69" t="s">
        <v>2383</v>
      </c>
      <c r="AX1657" s="114">
        <v>23</v>
      </c>
      <c r="AY1657" s="116">
        <v>17</v>
      </c>
      <c r="AZ1657" s="116">
        <v>102</v>
      </c>
      <c r="BA1657" s="120">
        <v>52575</v>
      </c>
      <c r="BB1657" s="120">
        <f t="shared" si="408"/>
        <v>23017</v>
      </c>
      <c r="BC1657" t="s">
        <v>957</v>
      </c>
      <c r="BI1657">
        <v>546.22</v>
      </c>
      <c r="BJ1657">
        <v>36.590000000000003</v>
      </c>
      <c r="BK1657">
        <v>509.63</v>
      </c>
    </row>
    <row r="1658" spans="1:63" hidden="1" outlineLevel="1">
      <c r="A1658" t="s">
        <v>3022</v>
      </c>
      <c r="AT1658" t="str">
        <f t="shared" si="410"/>
        <v>North Penobscot</v>
      </c>
      <c r="AU1658" s="69" t="s">
        <v>2481</v>
      </c>
      <c r="AX1658" s="114">
        <v>23</v>
      </c>
      <c r="AY1658" s="116">
        <v>19</v>
      </c>
      <c r="AZ1658" s="116">
        <v>237</v>
      </c>
      <c r="BA1658" s="120">
        <v>52710</v>
      </c>
      <c r="BB1658" s="120">
        <f t="shared" si="408"/>
        <v>23019</v>
      </c>
      <c r="BC1658" t="s">
        <v>957</v>
      </c>
      <c r="BI1658">
        <v>1118.72</v>
      </c>
      <c r="BJ1658">
        <v>67.150000000000006</v>
      </c>
      <c r="BK1658">
        <v>1051.57</v>
      </c>
    </row>
    <row r="1659" spans="1:63" hidden="1" outlineLevel="1">
      <c r="A1659" t="s">
        <v>2689</v>
      </c>
      <c r="AT1659" t="str">
        <f t="shared" si="410"/>
        <v>North Washington</v>
      </c>
      <c r="AU1659" s="69" t="s">
        <v>692</v>
      </c>
      <c r="AX1659" s="114">
        <v>23</v>
      </c>
      <c r="AY1659" s="116">
        <v>29</v>
      </c>
      <c r="AZ1659" s="116">
        <v>157</v>
      </c>
      <c r="BA1659" s="120">
        <v>53500</v>
      </c>
      <c r="BB1659" s="120">
        <f t="shared" si="408"/>
        <v>23029</v>
      </c>
      <c r="BC1659" t="s">
        <v>957</v>
      </c>
      <c r="BI1659">
        <v>979.63</v>
      </c>
      <c r="BJ1659">
        <v>93.53</v>
      </c>
      <c r="BK1659">
        <v>886.1</v>
      </c>
    </row>
    <row r="1660" spans="1:63" hidden="1" outlineLevel="1">
      <c r="A1660" t="s">
        <v>2760</v>
      </c>
      <c r="AT1660" t="str">
        <f t="shared" si="410"/>
        <v>Northeast Piscataquis</v>
      </c>
      <c r="AU1660" s="69" t="s">
        <v>1957</v>
      </c>
      <c r="AX1660" s="114">
        <v>23</v>
      </c>
      <c r="AY1660" s="116">
        <v>21</v>
      </c>
      <c r="AZ1660" s="116">
        <v>72</v>
      </c>
      <c r="BA1660" s="120">
        <v>51105</v>
      </c>
      <c r="BB1660" s="120">
        <f t="shared" si="408"/>
        <v>23021</v>
      </c>
      <c r="BC1660" t="s">
        <v>957</v>
      </c>
      <c r="BI1660">
        <v>1820.4</v>
      </c>
      <c r="BJ1660">
        <v>109.85</v>
      </c>
      <c r="BK1660">
        <v>1710.54</v>
      </c>
    </row>
    <row r="1661" spans="1:63" hidden="1" outlineLevel="1">
      <c r="A1661" t="s">
        <v>3050</v>
      </c>
      <c r="AT1661" t="str">
        <f t="shared" si="410"/>
        <v>Northeast Somerset</v>
      </c>
      <c r="AU1661" s="69" t="s">
        <v>1787</v>
      </c>
      <c r="AX1661" s="114">
        <v>23</v>
      </c>
      <c r="AY1661" s="116">
        <v>25</v>
      </c>
      <c r="AZ1661" s="116">
        <v>112</v>
      </c>
      <c r="BA1661" s="120">
        <v>51114</v>
      </c>
      <c r="BB1661" s="120">
        <f t="shared" si="408"/>
        <v>23025</v>
      </c>
      <c r="BC1661" t="s">
        <v>957</v>
      </c>
      <c r="BI1661">
        <v>521.04999999999995</v>
      </c>
      <c r="BJ1661">
        <v>35.76</v>
      </c>
      <c r="BK1661">
        <v>485.29</v>
      </c>
    </row>
    <row r="1662" spans="1:63" hidden="1" outlineLevel="1">
      <c r="A1662" t="s">
        <v>3138</v>
      </c>
      <c r="J1662" s="2"/>
      <c r="K1662" s="2"/>
      <c r="L1662" s="2"/>
      <c r="M1662" s="2"/>
      <c r="AT1662" t="str">
        <f t="shared" si="410"/>
        <v>Northwest Aroostook</v>
      </c>
      <c r="AU1662" s="69" t="s">
        <v>2830</v>
      </c>
      <c r="AX1662" s="114">
        <v>23</v>
      </c>
      <c r="AY1662" s="116">
        <v>3</v>
      </c>
      <c r="AZ1662" s="116">
        <v>237</v>
      </c>
      <c r="BA1662" s="120">
        <v>53602</v>
      </c>
      <c r="BB1662" s="120">
        <f t="shared" si="408"/>
        <v>23003</v>
      </c>
      <c r="BC1662" t="s">
        <v>957</v>
      </c>
      <c r="BI1662">
        <v>2668.72</v>
      </c>
      <c r="BJ1662">
        <v>39.68</v>
      </c>
      <c r="BK1662">
        <v>2629.04</v>
      </c>
    </row>
    <row r="1663" spans="1:63" hidden="1" outlineLevel="1">
      <c r="A1663" t="s">
        <v>2038</v>
      </c>
      <c r="AT1663" t="str">
        <f t="shared" si="410"/>
        <v>Northwest Hancock</v>
      </c>
      <c r="AU1663" s="69" t="s">
        <v>597</v>
      </c>
      <c r="AX1663" s="114">
        <v>23</v>
      </c>
      <c r="AY1663" s="116">
        <v>9</v>
      </c>
      <c r="AZ1663" s="116">
        <v>102</v>
      </c>
      <c r="BA1663" s="120">
        <v>53620</v>
      </c>
      <c r="BB1663" s="120">
        <f t="shared" si="408"/>
        <v>23009</v>
      </c>
      <c r="BC1663" t="s">
        <v>957</v>
      </c>
      <c r="BI1663">
        <v>41.44</v>
      </c>
      <c r="BJ1663">
        <v>0.09</v>
      </c>
      <c r="BK1663">
        <v>41.35</v>
      </c>
    </row>
    <row r="1664" spans="1:63" hidden="1" outlineLevel="1">
      <c r="A1664" t="s">
        <v>2156</v>
      </c>
      <c r="AT1664" t="str">
        <f t="shared" si="410"/>
        <v>Northwest Piscataquis</v>
      </c>
      <c r="AU1664" s="69" t="s">
        <v>1957</v>
      </c>
      <c r="AX1664" s="114">
        <v>23</v>
      </c>
      <c r="AY1664" s="116">
        <v>21</v>
      </c>
      <c r="AZ1664" s="116">
        <v>73</v>
      </c>
      <c r="BA1664" s="120">
        <v>53628</v>
      </c>
      <c r="BB1664" s="120">
        <f t="shared" si="408"/>
        <v>23021</v>
      </c>
      <c r="BC1664" t="s">
        <v>957</v>
      </c>
      <c r="BI1664">
        <v>1631.98</v>
      </c>
      <c r="BJ1664">
        <v>259.57</v>
      </c>
      <c r="BK1664">
        <v>1372.41</v>
      </c>
    </row>
    <row r="1665" spans="1:63" hidden="1" outlineLevel="1">
      <c r="A1665" t="s">
        <v>2211</v>
      </c>
      <c r="AT1665" t="str">
        <f t="shared" si="410"/>
        <v>Northwest Somerset</v>
      </c>
      <c r="AU1665" s="69" t="s">
        <v>1787</v>
      </c>
      <c r="AX1665" s="114">
        <v>23</v>
      </c>
      <c r="AY1665" s="116">
        <v>25</v>
      </c>
      <c r="AZ1665" s="116">
        <v>113</v>
      </c>
      <c r="BA1665" s="120">
        <v>53636</v>
      </c>
      <c r="BB1665" s="120">
        <f t="shared" si="408"/>
        <v>23025</v>
      </c>
      <c r="BC1665" t="s">
        <v>957</v>
      </c>
      <c r="BI1665">
        <v>708.63</v>
      </c>
      <c r="BJ1665">
        <v>51.54</v>
      </c>
      <c r="BK1665">
        <v>657.09</v>
      </c>
    </row>
    <row r="1666" spans="1:63" hidden="1" outlineLevel="1">
      <c r="A1666" t="s">
        <v>2715</v>
      </c>
      <c r="AT1666" t="str">
        <f t="shared" si="410"/>
        <v>Passamaquoddy Indian Township</v>
      </c>
      <c r="AU1666" s="69" t="s">
        <v>692</v>
      </c>
      <c r="AX1666" s="114">
        <v>23</v>
      </c>
      <c r="AY1666" s="116">
        <v>29</v>
      </c>
      <c r="AZ1666" s="116">
        <v>158</v>
      </c>
      <c r="BA1666" s="120">
        <v>57082</v>
      </c>
      <c r="BB1666" s="120">
        <f t="shared" si="408"/>
        <v>23029</v>
      </c>
      <c r="BC1666" t="s">
        <v>2542</v>
      </c>
      <c r="BI1666">
        <v>43.43</v>
      </c>
      <c r="BJ1666">
        <v>5.98</v>
      </c>
      <c r="BK1666">
        <v>37.450000000000003</v>
      </c>
    </row>
    <row r="1667" spans="1:63" hidden="1" outlineLevel="1">
      <c r="A1667" t="s">
        <v>1624</v>
      </c>
      <c r="AT1667" t="str">
        <f t="shared" si="410"/>
        <v>Passamaquoddy Pleasant Point</v>
      </c>
      <c r="AU1667" s="69" t="s">
        <v>692</v>
      </c>
      <c r="AX1667" s="114">
        <v>23</v>
      </c>
      <c r="AY1667" s="116">
        <v>29</v>
      </c>
      <c r="AZ1667" s="116">
        <v>159</v>
      </c>
      <c r="BA1667" s="120">
        <v>57090</v>
      </c>
      <c r="BB1667" s="120">
        <f t="shared" si="408"/>
        <v>23029</v>
      </c>
      <c r="BC1667" t="s">
        <v>2542</v>
      </c>
      <c r="BI1667">
        <v>0.47</v>
      </c>
      <c r="BJ1667">
        <v>0</v>
      </c>
      <c r="BK1667">
        <v>0.47</v>
      </c>
    </row>
    <row r="1668" spans="1:63" hidden="1" outlineLevel="1">
      <c r="A1668" t="s">
        <v>2817</v>
      </c>
      <c r="J1668" s="2"/>
      <c r="K1668" s="2"/>
      <c r="L1668" s="2"/>
      <c r="M1668" s="2"/>
      <c r="AT1668" t="str">
        <f t="shared" si="410"/>
        <v>Penobscot Indian Island</v>
      </c>
      <c r="AU1668" s="69" t="s">
        <v>2830</v>
      </c>
      <c r="AX1668" s="114">
        <v>23</v>
      </c>
      <c r="AY1668" s="116">
        <v>3</v>
      </c>
      <c r="AZ1668" s="116">
        <v>253</v>
      </c>
      <c r="BA1668" s="120">
        <v>57936</v>
      </c>
      <c r="BB1668" s="120">
        <f t="shared" si="408"/>
        <v>23003</v>
      </c>
      <c r="BC1668" t="s">
        <v>2542</v>
      </c>
      <c r="BI1668">
        <v>0.14000000000000001</v>
      </c>
      <c r="BJ1668">
        <v>0.14000000000000001</v>
      </c>
      <c r="BK1668">
        <v>0</v>
      </c>
    </row>
    <row r="1669" spans="1:63" hidden="1" outlineLevel="1">
      <c r="A1669" t="s">
        <v>2817</v>
      </c>
      <c r="AT1669" t="str">
        <f t="shared" si="410"/>
        <v>Penobscot Indian Island</v>
      </c>
      <c r="AU1669" s="69" t="s">
        <v>2481</v>
      </c>
      <c r="AX1669" s="114">
        <v>23</v>
      </c>
      <c r="AY1669" s="116">
        <v>19</v>
      </c>
      <c r="AZ1669" s="116">
        <v>262</v>
      </c>
      <c r="BA1669" s="120">
        <v>57937</v>
      </c>
      <c r="BB1669" s="120">
        <f t="shared" si="408"/>
        <v>23019</v>
      </c>
      <c r="BC1669" t="s">
        <v>2542</v>
      </c>
      <c r="BI1669">
        <v>20.61</v>
      </c>
      <c r="BJ1669">
        <v>12.87</v>
      </c>
      <c r="BK1669">
        <v>7.75</v>
      </c>
    </row>
    <row r="1670" spans="1:63" hidden="1" outlineLevel="1">
      <c r="A1670" t="s">
        <v>51</v>
      </c>
      <c r="AT1670" t="str">
        <f t="shared" si="410"/>
        <v>Perkins</v>
      </c>
      <c r="AU1670" s="69" t="s">
        <v>1283</v>
      </c>
      <c r="AX1670" s="114">
        <v>23</v>
      </c>
      <c r="AY1670" s="116">
        <v>23</v>
      </c>
      <c r="AZ1670" s="116">
        <v>28</v>
      </c>
      <c r="BA1670" s="120">
        <v>58070</v>
      </c>
      <c r="BB1670" s="120">
        <f t="shared" si="408"/>
        <v>23023</v>
      </c>
      <c r="BC1670" t="s">
        <v>957</v>
      </c>
    </row>
    <row r="1671" spans="1:63" hidden="1" outlineLevel="1">
      <c r="A1671" t="s">
        <v>3188</v>
      </c>
      <c r="AT1671" t="str">
        <f t="shared" si="410"/>
        <v>Seboomook Lake</v>
      </c>
      <c r="AU1671" s="69" t="s">
        <v>1787</v>
      </c>
      <c r="AX1671" s="114">
        <v>23</v>
      </c>
      <c r="AY1671" s="116">
        <v>25</v>
      </c>
      <c r="AZ1671" s="116">
        <v>137</v>
      </c>
      <c r="BA1671" s="120">
        <v>67238</v>
      </c>
      <c r="BB1671" s="120">
        <f t="shared" si="408"/>
        <v>23025</v>
      </c>
      <c r="BC1671" t="s">
        <v>957</v>
      </c>
      <c r="BI1671">
        <v>1434.68</v>
      </c>
      <c r="BJ1671">
        <v>33.75</v>
      </c>
      <c r="BK1671">
        <v>1400.93</v>
      </c>
    </row>
    <row r="1672" spans="1:63" hidden="1" outlineLevel="1">
      <c r="A1672" t="s">
        <v>2471</v>
      </c>
      <c r="J1672" s="2"/>
      <c r="K1672" s="2"/>
      <c r="L1672" s="2"/>
      <c r="M1672" s="2"/>
      <c r="AT1672" t="str">
        <f t="shared" si="410"/>
        <v>South Aroostook</v>
      </c>
      <c r="AU1672" s="69" t="s">
        <v>2830</v>
      </c>
      <c r="AX1672" s="114">
        <v>23</v>
      </c>
      <c r="AY1672" s="116">
        <v>3</v>
      </c>
      <c r="AZ1672" s="116">
        <v>297</v>
      </c>
      <c r="BA1672" s="120">
        <v>69930</v>
      </c>
      <c r="BB1672" s="120">
        <f t="shared" si="408"/>
        <v>23003</v>
      </c>
      <c r="BC1672" t="s">
        <v>957</v>
      </c>
      <c r="BI1672">
        <v>368.57</v>
      </c>
      <c r="BJ1672">
        <v>11.31</v>
      </c>
      <c r="BK1672">
        <v>357.26</v>
      </c>
    </row>
    <row r="1673" spans="1:63" hidden="1" outlineLevel="1">
      <c r="A1673" t="s">
        <v>2732</v>
      </c>
      <c r="AT1673" t="str">
        <f t="shared" si="410"/>
        <v>South Franklin</v>
      </c>
      <c r="AU1673" s="69" t="s">
        <v>1138</v>
      </c>
      <c r="AX1673" s="114">
        <v>23</v>
      </c>
      <c r="AY1673" s="116">
        <v>7</v>
      </c>
      <c r="AZ1673" s="116">
        <v>87</v>
      </c>
      <c r="BA1673" s="120">
        <v>70760</v>
      </c>
      <c r="BB1673" s="120">
        <f t="shared" si="408"/>
        <v>23007</v>
      </c>
      <c r="BC1673" t="s">
        <v>957</v>
      </c>
      <c r="BI1673">
        <v>12.44</v>
      </c>
      <c r="BJ1673">
        <v>0.03</v>
      </c>
      <c r="BK1673">
        <v>12.41</v>
      </c>
    </row>
    <row r="1674" spans="1:63" hidden="1" outlineLevel="1">
      <c r="A1674" t="s">
        <v>2956</v>
      </c>
      <c r="AT1674" t="str">
        <f t="shared" si="410"/>
        <v>South Oxford</v>
      </c>
      <c r="AU1674" s="69" t="s">
        <v>2383</v>
      </c>
      <c r="AX1674" s="114">
        <v>23</v>
      </c>
      <c r="AY1674" s="116">
        <v>17</v>
      </c>
      <c r="AZ1674" s="116">
        <v>138</v>
      </c>
      <c r="BA1674" s="120">
        <v>71755</v>
      </c>
      <c r="BB1674" s="120">
        <f t="shared" si="408"/>
        <v>23017</v>
      </c>
      <c r="BC1674" t="s">
        <v>957</v>
      </c>
      <c r="BI1674">
        <v>95.67</v>
      </c>
      <c r="BJ1674">
        <v>0.73</v>
      </c>
      <c r="BK1674">
        <v>94.94</v>
      </c>
    </row>
    <row r="1675" spans="1:63" hidden="1" outlineLevel="1">
      <c r="A1675" t="s">
        <v>3187</v>
      </c>
      <c r="AT1675" t="str">
        <f t="shared" si="410"/>
        <v>Southeast Piscataquis</v>
      </c>
      <c r="AU1675" s="69" t="s">
        <v>1957</v>
      </c>
      <c r="AX1675" s="114">
        <v>23</v>
      </c>
      <c r="AY1675" s="116">
        <v>21</v>
      </c>
      <c r="AZ1675" s="116">
        <v>93</v>
      </c>
      <c r="BA1675" s="120">
        <v>70655</v>
      </c>
      <c r="BB1675" s="120">
        <f t="shared" si="408"/>
        <v>23021</v>
      </c>
      <c r="BC1675" t="s">
        <v>957</v>
      </c>
      <c r="BI1675">
        <v>38.1</v>
      </c>
      <c r="BJ1675">
        <v>1.84</v>
      </c>
      <c r="BK1675">
        <v>36.26</v>
      </c>
    </row>
    <row r="1676" spans="1:63" hidden="1" outlineLevel="1">
      <c r="A1676" t="s">
        <v>2955</v>
      </c>
      <c r="J1676" s="2"/>
      <c r="K1676" s="2"/>
      <c r="L1676" s="2"/>
      <c r="M1676" s="2"/>
      <c r="AT1676" t="str">
        <f t="shared" si="410"/>
        <v>Square Lake</v>
      </c>
      <c r="AU1676" s="69" t="s">
        <v>2830</v>
      </c>
      <c r="AX1676" s="114">
        <v>23</v>
      </c>
      <c r="AY1676" s="116">
        <v>3</v>
      </c>
      <c r="AZ1676" s="116">
        <v>298</v>
      </c>
      <c r="BA1676" s="120">
        <v>73472</v>
      </c>
      <c r="BB1676" s="120">
        <f t="shared" si="408"/>
        <v>23003</v>
      </c>
      <c r="BC1676" t="s">
        <v>957</v>
      </c>
      <c r="BI1676">
        <v>414.93</v>
      </c>
      <c r="BJ1676">
        <v>31.77</v>
      </c>
      <c r="BK1676">
        <v>383.16</v>
      </c>
    </row>
    <row r="1677" spans="1:63" hidden="1" outlineLevel="1">
      <c r="A1677" t="s">
        <v>2545</v>
      </c>
      <c r="AT1677" t="str">
        <f t="shared" si="410"/>
        <v>Twombly</v>
      </c>
      <c r="AU1677" s="69" t="s">
        <v>2481</v>
      </c>
      <c r="AX1677" s="114">
        <v>23</v>
      </c>
      <c r="AY1677" s="116">
        <v>19</v>
      </c>
      <c r="AZ1677" s="116">
        <v>293</v>
      </c>
      <c r="BA1677" s="120">
        <v>78015</v>
      </c>
      <c r="BB1677" s="120">
        <f>AX1677*1000+AY1677</f>
        <v>23019</v>
      </c>
      <c r="BC1677" t="s">
        <v>957</v>
      </c>
      <c r="BI1677">
        <v>45.11</v>
      </c>
      <c r="BJ1677">
        <v>1.22</v>
      </c>
      <c r="BK1677">
        <v>43.89</v>
      </c>
    </row>
    <row r="1678" spans="1:63" hidden="1" outlineLevel="1">
      <c r="A1678" t="s">
        <v>3108</v>
      </c>
      <c r="J1678" s="2"/>
      <c r="K1678" s="2"/>
      <c r="L1678" s="2"/>
      <c r="M1678" s="2"/>
      <c r="AT1678" t="str">
        <f t="shared" si="410"/>
        <v>Un. Twp. Unity</v>
      </c>
      <c r="AU1678" s="8" t="s">
        <v>3007</v>
      </c>
      <c r="AX1678" s="114">
        <v>23</v>
      </c>
      <c r="AY1678" s="116">
        <v>11</v>
      </c>
      <c r="AZ1678" s="116">
        <v>107</v>
      </c>
      <c r="BA1678" s="120">
        <v>78190</v>
      </c>
      <c r="BB1678" s="120">
        <f>AX1678*1000+AY1678</f>
        <v>23011</v>
      </c>
      <c r="BC1678" t="s">
        <v>957</v>
      </c>
      <c r="BI1678">
        <v>10.37</v>
      </c>
      <c r="BJ1678">
        <v>0.01</v>
      </c>
      <c r="BK1678">
        <v>10.35</v>
      </c>
    </row>
    <row r="1679" spans="1:63" hidden="1" outlineLevel="1">
      <c r="A1679" t="s">
        <v>1465</v>
      </c>
      <c r="AT1679" t="str">
        <f t="shared" si="410"/>
        <v>West Central Franklin</v>
      </c>
      <c r="AU1679" s="69" t="s">
        <v>1138</v>
      </c>
      <c r="AX1679" s="114">
        <v>23</v>
      </c>
      <c r="AY1679" s="116">
        <v>7</v>
      </c>
      <c r="AZ1679" s="116">
        <v>102</v>
      </c>
      <c r="BA1679" s="120">
        <v>82235</v>
      </c>
      <c r="BB1679" s="120">
        <f>AX1679*1000+AY1679</f>
        <v>23007</v>
      </c>
      <c r="BC1679" t="s">
        <v>957</v>
      </c>
      <c r="BI1679">
        <v>104.71</v>
      </c>
      <c r="BJ1679">
        <v>0.72</v>
      </c>
      <c r="BK1679">
        <v>103.99</v>
      </c>
    </row>
    <row r="1680" spans="1:63" hidden="1" outlineLevel="1">
      <c r="A1680" t="s">
        <v>2187</v>
      </c>
      <c r="AT1680" t="str">
        <f t="shared" si="410"/>
        <v>Whitney</v>
      </c>
      <c r="AU1680" s="69" t="s">
        <v>2481</v>
      </c>
      <c r="AX1680" s="114">
        <v>23</v>
      </c>
      <c r="AY1680" s="116">
        <v>19</v>
      </c>
      <c r="AZ1680" s="116">
        <v>303</v>
      </c>
      <c r="BA1680" s="120">
        <v>85230</v>
      </c>
      <c r="BB1680" s="120">
        <f>AX1680*1000+AY1680</f>
        <v>23019</v>
      </c>
      <c r="BC1680" t="s">
        <v>957</v>
      </c>
      <c r="BI1680">
        <v>18.37</v>
      </c>
      <c r="BJ1680">
        <v>6.62</v>
      </c>
      <c r="BK1680">
        <v>11.74</v>
      </c>
    </row>
    <row r="1681" spans="1:63" hidden="1" outlineLevel="1">
      <c r="A1681" t="s">
        <v>2039</v>
      </c>
      <c r="AT1681" t="str">
        <f t="shared" si="410"/>
        <v>Wyman</v>
      </c>
      <c r="AU1681" s="69" t="s">
        <v>1138</v>
      </c>
      <c r="AX1681" s="114">
        <v>23</v>
      </c>
      <c r="AY1681" s="116">
        <v>7</v>
      </c>
      <c r="AZ1681" s="116">
        <v>111</v>
      </c>
      <c r="BA1681" s="120">
        <v>87680</v>
      </c>
      <c r="BB1681" s="120">
        <f>AX1681*1000+AY1681</f>
        <v>23007</v>
      </c>
      <c r="BC1681" t="s">
        <v>957</v>
      </c>
      <c r="BI1681">
        <v>20.16</v>
      </c>
      <c r="BJ1681">
        <v>0.1</v>
      </c>
      <c r="BK1681">
        <v>20.059999999999999</v>
      </c>
    </row>
    <row r="1682" spans="1:63" collapsed="1"/>
    <row r="1823" spans="17:17">
      <c r="Q1823" s="8">
        <v>1155</v>
      </c>
    </row>
  </sheetData>
  <phoneticPr fontId="8"/>
  <conditionalFormatting sqref="D1620:D1635 D1639 D1637 D1651 D1359:D1617 D2:D188 D278:D286 D289:D313 D315:D325 D327:D359 D422:D460 D462:D473 D476:D478 D524:D610 D644:D672 D721:D1357 D712 D674:D710 D480:D522 D368:D386 D361:D366 D190:D261 D388:D420 D263:D276 D612:D642">
    <cfRule type="cellIs" dxfId="421" priority="793" stopIfTrue="1" operator="equal">
      <formula>1</formula>
    </cfRule>
    <cfRule type="cellIs" dxfId="420" priority="794" stopIfTrue="1" operator="equal">
      <formula>3</formula>
    </cfRule>
  </conditionalFormatting>
  <conditionalFormatting sqref="E1620:E1635 E1639 E1637 E1651 E1359:E1617 E2:E188 E278:E286 E289:E313 E315:E325 E327:E359 E422:E460 E462:E473 E476:E478 E524:E610 E644:E672 E721:E1357 E712 E674:E710 E480:E522 E368:E386 E361:E366 E190:E261 E388:E420 E263:E276 E612:E642">
    <cfRule type="cellIs" dxfId="419" priority="795" stopIfTrue="1" operator="equal">
      <formula>1</formula>
    </cfRule>
    <cfRule type="cellIs" dxfId="418" priority="796" stopIfTrue="1" operator="equal">
      <formula>3</formula>
    </cfRule>
  </conditionalFormatting>
  <conditionalFormatting sqref="F1620:F1635 F1639 F1637 F1651 F1359:F1617 F2:F188 F278:F286 F289:F313 F315:F325 F327:F359 F422:F460 F462:F473 F476:F478 F524:F610 F644:F672 F721:F1357 F712 F674:F710 F480:F522 F368:F386 F361:F366 F190:F261 F388:F420 F263:F276 F612:F642">
    <cfRule type="cellIs" dxfId="417" priority="797" stopIfTrue="1" operator="equal">
      <formula>1</formula>
    </cfRule>
    <cfRule type="cellIs" dxfId="416" priority="798" stopIfTrue="1" operator="equal">
      <formula>3</formula>
    </cfRule>
  </conditionalFormatting>
  <conditionalFormatting sqref="G1617 G1634 G1">
    <cfRule type="expression" dxfId="415" priority="799" stopIfTrue="1">
      <formula>IF(#REF!=1,1,0)</formula>
    </cfRule>
    <cfRule type="expression" dxfId="414" priority="800" stopIfTrue="1">
      <formula>IF(#REF!=1,1,0)</formula>
    </cfRule>
  </conditionalFormatting>
  <conditionalFormatting sqref="H1617:H1619 H1640:H1650 H1636 H1638 H1 H1653:H65478">
    <cfRule type="expression" dxfId="413" priority="801" stopIfTrue="1">
      <formula>IF(#REF!=1,1,0)</formula>
    </cfRule>
    <cfRule type="expression" dxfId="412" priority="802" stopIfTrue="1">
      <formula>IF(#REF!=1,1,0)</formula>
    </cfRule>
  </conditionalFormatting>
  <conditionalFormatting sqref="G1651 G2 G1359:G1616 G144:G188 G278:G286 G289:G313 G315:G325 G327:G359 G422:G460 G462:G473 G476:G478 G524:G610 G644:G672 G721:G1357 G712 G674:G710 G480:G522 G368:G386 G361:G366 G190:G261 G388:G420 G263:G276 G612:G642">
    <cfRule type="expression" dxfId="411" priority="803" stopIfTrue="1">
      <formula>IF(AND(G2&gt;0,#REF!=1),1,0)</formula>
    </cfRule>
    <cfRule type="expression" dxfId="410" priority="804" stopIfTrue="1">
      <formula>IF(AND(G2&gt;0,#REF!=1),1,0)</formula>
    </cfRule>
    <cfRule type="expression" dxfId="409" priority="805" stopIfTrue="1">
      <formula>IF(AND(G2&gt;0,F2=1),1,0)</formula>
    </cfRule>
  </conditionalFormatting>
  <conditionalFormatting sqref="H1651 H2 H1359:H1616 H144:H188 H278:H286 H289:H313 H315:H325 H327:H359 H422:H460 H462:H473 H476:H478 H524:H610 H644:H672 H721:H1357 H712 H674:H710 H480:H522 H368:H386 H361:H366 H190:H261 H388:H420 H263:H276 H612:H642">
    <cfRule type="expression" dxfId="408" priority="806" stopIfTrue="1">
      <formula>IF(AND(G2&gt;0,#REF!=1),1,0)</formula>
    </cfRule>
    <cfRule type="expression" dxfId="407" priority="807" stopIfTrue="1">
      <formula>IF(AND(G2&gt;0,#REF!=1),1,0)</formula>
    </cfRule>
    <cfRule type="expression" dxfId="406" priority="808" stopIfTrue="1">
      <formula>IF(AND(G2&gt;0,#REF!=1),1,0)</formula>
    </cfRule>
  </conditionalFormatting>
  <conditionalFormatting sqref="G1639 G1637 G1635 G1620:G1633">
    <cfRule type="expression" dxfId="405" priority="809" stopIfTrue="1">
      <formula>IF(#REF!=1,1,0)</formula>
    </cfRule>
    <cfRule type="expression" dxfId="404" priority="810" stopIfTrue="1">
      <formula>IF(#REF!=1,1,0)</formula>
    </cfRule>
    <cfRule type="expression" dxfId="403" priority="811" stopIfTrue="1">
      <formula>IF(F1620=1,1,0)</formula>
    </cfRule>
  </conditionalFormatting>
  <conditionalFormatting sqref="H1639 H1637 H1620:H1635">
    <cfRule type="expression" dxfId="402" priority="812" stopIfTrue="1">
      <formula>IF(#REF!=1,1,0)</formula>
    </cfRule>
    <cfRule type="expression" dxfId="401" priority="813" stopIfTrue="1">
      <formula>IF(#REF!=1,1,0)</formula>
    </cfRule>
    <cfRule type="expression" dxfId="400" priority="814" stopIfTrue="1">
      <formula>IF(#REF!=1,1,0)</formula>
    </cfRule>
  </conditionalFormatting>
  <conditionalFormatting sqref="D1358">
    <cfRule type="cellIs" dxfId="399" priority="781" stopIfTrue="1" operator="equal">
      <formula>1</formula>
    </cfRule>
    <cfRule type="cellIs" dxfId="398" priority="782" stopIfTrue="1" operator="equal">
      <formula>3</formula>
    </cfRule>
  </conditionalFormatting>
  <conditionalFormatting sqref="E1358">
    <cfRule type="cellIs" dxfId="397" priority="783" stopIfTrue="1" operator="equal">
      <formula>1</formula>
    </cfRule>
    <cfRule type="cellIs" dxfId="396" priority="784" stopIfTrue="1" operator="equal">
      <formula>3</formula>
    </cfRule>
  </conditionalFormatting>
  <conditionalFormatting sqref="F1358">
    <cfRule type="cellIs" dxfId="395" priority="785" stopIfTrue="1" operator="equal">
      <formula>1</formula>
    </cfRule>
    <cfRule type="cellIs" dxfId="394" priority="786" stopIfTrue="1" operator="equal">
      <formula>3</formula>
    </cfRule>
  </conditionalFormatting>
  <conditionalFormatting sqref="G1358">
    <cfRule type="expression" dxfId="393" priority="787" stopIfTrue="1">
      <formula>IF(AND(G1358&gt;0,#REF!=1),1,0)</formula>
    </cfRule>
    <cfRule type="expression" dxfId="392" priority="788" stopIfTrue="1">
      <formula>IF(AND(G1358&gt;0,#REF!=1),1,0)</formula>
    </cfRule>
    <cfRule type="expression" dxfId="391" priority="789" stopIfTrue="1">
      <formula>IF(AND(G1358&gt;0,F1358=1),1,0)</formula>
    </cfRule>
  </conditionalFormatting>
  <conditionalFormatting sqref="H1358">
    <cfRule type="expression" dxfId="390" priority="790" stopIfTrue="1">
      <formula>IF(AND(G1358&gt;0,#REF!=1),1,0)</formula>
    </cfRule>
    <cfRule type="expression" dxfId="389" priority="791" stopIfTrue="1">
      <formula>IF(AND(G1358&gt;0,#REF!=1),1,0)</formula>
    </cfRule>
    <cfRule type="expression" dxfId="388" priority="792" stopIfTrue="1">
      <formula>IF(AND(G1358&gt;0,#REF!=1),1,0)</formula>
    </cfRule>
  </conditionalFormatting>
  <conditionalFormatting sqref="G3:G188 G278:G286 G289:G313 G315:G325 G327:G359 G422:G460 G462:G473 G476:G478 G524:G610 G644:G672 G721:G1608 G712 G674:G710 G480:G522 G368:G386 G361:G366 G190:G261 G388:G420 G263:G276 G612:G642">
    <cfRule type="expression" dxfId="387" priority="775" stopIfTrue="1">
      <formula>IF(AND(G3&gt;0,D3=1),1,0)</formula>
    </cfRule>
    <cfRule type="expression" dxfId="386" priority="776" stopIfTrue="1">
      <formula>IF(AND(G3&gt;0,E3=1),1,0)</formula>
    </cfRule>
    <cfRule type="expression" dxfId="385" priority="777" stopIfTrue="1">
      <formula>IF(AND(G3&gt;0,F3=1),1,0)</formula>
    </cfRule>
  </conditionalFormatting>
  <conditionalFormatting sqref="H3:H188 H278:H286 H289:H313 H315:H325 H327:H359 H422:H460 H462:H473 H476:H478 H524:H610 H644:H672 H721:H1608 H712 H674:H710 H480:H522 H368:H386 H361:H366 H190:H261 H388:H420 H263:H276 H612:H642">
    <cfRule type="expression" dxfId="384" priority="778" stopIfTrue="1">
      <formula>IF(AND(G3&gt;0,D3=1),1,0)</formula>
    </cfRule>
    <cfRule type="expression" dxfId="383" priority="779" stopIfTrue="1">
      <formula>IF(AND(G3&gt;0,E3=1),1,0)</formula>
    </cfRule>
    <cfRule type="expression" dxfId="382" priority="780" stopIfTrue="1">
      <formula>IF(AND(G3&gt;0,F3=1),1,0)</formula>
    </cfRule>
  </conditionalFormatting>
  <conditionalFormatting sqref="D189">
    <cfRule type="cellIs" dxfId="381" priority="709" stopIfTrue="1" operator="equal">
      <formula>1</formula>
    </cfRule>
    <cfRule type="cellIs" dxfId="380" priority="710" stopIfTrue="1" operator="equal">
      <formula>3</formula>
    </cfRule>
  </conditionalFormatting>
  <conditionalFormatting sqref="E189">
    <cfRule type="cellIs" dxfId="379" priority="711" stopIfTrue="1" operator="equal">
      <formula>1</formula>
    </cfRule>
    <cfRule type="cellIs" dxfId="378" priority="712" stopIfTrue="1" operator="equal">
      <formula>3</formula>
    </cfRule>
  </conditionalFormatting>
  <conditionalFormatting sqref="F189">
    <cfRule type="cellIs" dxfId="377" priority="713" stopIfTrue="1" operator="equal">
      <formula>1</formula>
    </cfRule>
    <cfRule type="cellIs" dxfId="376" priority="714" stopIfTrue="1" operator="equal">
      <formula>3</formula>
    </cfRule>
  </conditionalFormatting>
  <conditionalFormatting sqref="G189">
    <cfRule type="expression" dxfId="375" priority="715" stopIfTrue="1">
      <formula>IF(AND(G189&gt;0,#REF!=1),1,0)</formula>
    </cfRule>
    <cfRule type="expression" dxfId="374" priority="716" stopIfTrue="1">
      <formula>IF(AND(G189&gt;0,#REF!=1),1,0)</formula>
    </cfRule>
    <cfRule type="expression" dxfId="373" priority="717" stopIfTrue="1">
      <formula>IF(AND(G189&gt;0,F189=1),1,0)</formula>
    </cfRule>
  </conditionalFormatting>
  <conditionalFormatting sqref="H189">
    <cfRule type="expression" dxfId="372" priority="718" stopIfTrue="1">
      <formula>IF(AND(G189&gt;0,#REF!=1),1,0)</formula>
    </cfRule>
    <cfRule type="expression" dxfId="371" priority="719" stopIfTrue="1">
      <formula>IF(AND(G189&gt;0,#REF!=1),1,0)</formula>
    </cfRule>
    <cfRule type="expression" dxfId="370" priority="720" stopIfTrue="1">
      <formula>IF(AND(G189&gt;0,#REF!=1),1,0)</formula>
    </cfRule>
  </conditionalFormatting>
  <conditionalFormatting sqref="G189">
    <cfRule type="expression" dxfId="369" priority="703" stopIfTrue="1">
      <formula>IF(AND(G189&gt;0,D189=1),1,0)</formula>
    </cfRule>
    <cfRule type="expression" dxfId="368" priority="704" stopIfTrue="1">
      <formula>IF(AND(G189&gt;0,E189=1),1,0)</formula>
    </cfRule>
    <cfRule type="expression" dxfId="367" priority="705" stopIfTrue="1">
      <formula>IF(AND(G189&gt;0,F189=1),1,0)</formula>
    </cfRule>
  </conditionalFormatting>
  <conditionalFormatting sqref="H189">
    <cfRule type="expression" dxfId="366" priority="706" stopIfTrue="1">
      <formula>IF(AND(G189&gt;0,D189=1),1,0)</formula>
    </cfRule>
    <cfRule type="expression" dxfId="365" priority="707" stopIfTrue="1">
      <formula>IF(AND(G189&gt;0,E189=1),1,0)</formula>
    </cfRule>
    <cfRule type="expression" dxfId="364" priority="708" stopIfTrue="1">
      <formula>IF(AND(G189&gt;0,F189=1),1,0)</formula>
    </cfRule>
  </conditionalFormatting>
  <conditionalFormatting sqref="D277">
    <cfRule type="cellIs" dxfId="363" priority="673" stopIfTrue="1" operator="equal">
      <formula>1</formula>
    </cfRule>
    <cfRule type="cellIs" dxfId="362" priority="674" stopIfTrue="1" operator="equal">
      <formula>3</formula>
    </cfRule>
  </conditionalFormatting>
  <conditionalFormatting sqref="E277">
    <cfRule type="cellIs" dxfId="361" priority="675" stopIfTrue="1" operator="equal">
      <formula>1</formula>
    </cfRule>
    <cfRule type="cellIs" dxfId="360" priority="676" stopIfTrue="1" operator="equal">
      <formula>3</formula>
    </cfRule>
  </conditionalFormatting>
  <conditionalFormatting sqref="F277">
    <cfRule type="cellIs" dxfId="359" priority="677" stopIfTrue="1" operator="equal">
      <formula>1</formula>
    </cfRule>
    <cfRule type="cellIs" dxfId="358" priority="678" stopIfTrue="1" operator="equal">
      <formula>3</formula>
    </cfRule>
  </conditionalFormatting>
  <conditionalFormatting sqref="G277">
    <cfRule type="expression" dxfId="357" priority="679" stopIfTrue="1">
      <formula>IF(AND(G277&gt;0,#REF!=1),1,0)</formula>
    </cfRule>
    <cfRule type="expression" dxfId="356" priority="680" stopIfTrue="1">
      <formula>IF(AND(G277&gt;0,#REF!=1),1,0)</formula>
    </cfRule>
    <cfRule type="expression" dxfId="355" priority="681" stopIfTrue="1">
      <formula>IF(AND(G277&gt;0,F277=1),1,0)</formula>
    </cfRule>
  </conditionalFormatting>
  <conditionalFormatting sqref="H277">
    <cfRule type="expression" dxfId="354" priority="682" stopIfTrue="1">
      <formula>IF(AND(G277&gt;0,#REF!=1),1,0)</formula>
    </cfRule>
    <cfRule type="expression" dxfId="353" priority="683" stopIfTrue="1">
      <formula>IF(AND(G277&gt;0,#REF!=1),1,0)</formula>
    </cfRule>
    <cfRule type="expression" dxfId="352" priority="684" stopIfTrue="1">
      <formula>IF(AND(G277&gt;0,#REF!=1),1,0)</formula>
    </cfRule>
  </conditionalFormatting>
  <conditionalFormatting sqref="G277">
    <cfRule type="expression" dxfId="351" priority="667" stopIfTrue="1">
      <formula>IF(AND(G277&gt;0,D277=1),1,0)</formula>
    </cfRule>
    <cfRule type="expression" dxfId="350" priority="668" stopIfTrue="1">
      <formula>IF(AND(G277&gt;0,E277=1),1,0)</formula>
    </cfRule>
    <cfRule type="expression" dxfId="349" priority="669" stopIfTrue="1">
      <formula>IF(AND(G277&gt;0,F277=1),1,0)</formula>
    </cfRule>
  </conditionalFormatting>
  <conditionalFormatting sqref="H277">
    <cfRule type="expression" dxfId="348" priority="670" stopIfTrue="1">
      <formula>IF(AND(G277&gt;0,D277=1),1,0)</formula>
    </cfRule>
    <cfRule type="expression" dxfId="347" priority="671" stopIfTrue="1">
      <formula>IF(AND(G277&gt;0,E277=1),1,0)</formula>
    </cfRule>
    <cfRule type="expression" dxfId="346" priority="672" stopIfTrue="1">
      <formula>IF(AND(G277&gt;0,F277=1),1,0)</formula>
    </cfRule>
  </conditionalFormatting>
  <conditionalFormatting sqref="D287">
    <cfRule type="cellIs" dxfId="345" priority="637" stopIfTrue="1" operator="equal">
      <formula>1</formula>
    </cfRule>
    <cfRule type="cellIs" dxfId="344" priority="638" stopIfTrue="1" operator="equal">
      <formula>3</formula>
    </cfRule>
  </conditionalFormatting>
  <conditionalFormatting sqref="E287">
    <cfRule type="cellIs" dxfId="343" priority="639" stopIfTrue="1" operator="equal">
      <formula>1</formula>
    </cfRule>
    <cfRule type="cellIs" dxfId="342" priority="640" stopIfTrue="1" operator="equal">
      <formula>3</formula>
    </cfRule>
  </conditionalFormatting>
  <conditionalFormatting sqref="F287">
    <cfRule type="cellIs" dxfId="341" priority="641" stopIfTrue="1" operator="equal">
      <formula>1</formula>
    </cfRule>
    <cfRule type="cellIs" dxfId="340" priority="642" stopIfTrue="1" operator="equal">
      <formula>3</formula>
    </cfRule>
  </conditionalFormatting>
  <conditionalFormatting sqref="G287">
    <cfRule type="expression" dxfId="339" priority="643" stopIfTrue="1">
      <formula>IF(AND(G287&gt;0,#REF!=1),1,0)</formula>
    </cfRule>
    <cfRule type="expression" dxfId="338" priority="644" stopIfTrue="1">
      <formula>IF(AND(G287&gt;0,#REF!=1),1,0)</formula>
    </cfRule>
    <cfRule type="expression" dxfId="337" priority="645" stopIfTrue="1">
      <formula>IF(AND(G287&gt;0,F287=1),1,0)</formula>
    </cfRule>
  </conditionalFormatting>
  <conditionalFormatting sqref="H287">
    <cfRule type="expression" dxfId="336" priority="646" stopIfTrue="1">
      <formula>IF(AND(G287&gt;0,#REF!=1),1,0)</formula>
    </cfRule>
    <cfRule type="expression" dxfId="335" priority="647" stopIfTrue="1">
      <formula>IF(AND(G287&gt;0,#REF!=1),1,0)</formula>
    </cfRule>
    <cfRule type="expression" dxfId="334" priority="648" stopIfTrue="1">
      <formula>IF(AND(G287&gt;0,#REF!=1),1,0)</formula>
    </cfRule>
  </conditionalFormatting>
  <conditionalFormatting sqref="G287">
    <cfRule type="expression" dxfId="333" priority="631" stopIfTrue="1">
      <formula>IF(AND(G287&gt;0,D287=1),1,0)</formula>
    </cfRule>
    <cfRule type="expression" dxfId="332" priority="632" stopIfTrue="1">
      <formula>IF(AND(G287&gt;0,E287=1),1,0)</formula>
    </cfRule>
    <cfRule type="expression" dxfId="331" priority="633" stopIfTrue="1">
      <formula>IF(AND(G287&gt;0,F287=1),1,0)</formula>
    </cfRule>
  </conditionalFormatting>
  <conditionalFormatting sqref="H287">
    <cfRule type="expression" dxfId="330" priority="634" stopIfTrue="1">
      <formula>IF(AND(G287&gt;0,D287=1),1,0)</formula>
    </cfRule>
    <cfRule type="expression" dxfId="329" priority="635" stopIfTrue="1">
      <formula>IF(AND(G287&gt;0,E287=1),1,0)</formula>
    </cfRule>
    <cfRule type="expression" dxfId="328" priority="636" stopIfTrue="1">
      <formula>IF(AND(G287&gt;0,F287=1),1,0)</formula>
    </cfRule>
  </conditionalFormatting>
  <conditionalFormatting sqref="D314">
    <cfRule type="cellIs" dxfId="327" priority="619" stopIfTrue="1" operator="equal">
      <formula>1</formula>
    </cfRule>
    <cfRule type="cellIs" dxfId="326" priority="620" stopIfTrue="1" operator="equal">
      <formula>3</formula>
    </cfRule>
  </conditionalFormatting>
  <conditionalFormatting sqref="E314">
    <cfRule type="cellIs" dxfId="325" priority="621" stopIfTrue="1" operator="equal">
      <formula>1</formula>
    </cfRule>
    <cfRule type="cellIs" dxfId="324" priority="622" stopIfTrue="1" operator="equal">
      <formula>3</formula>
    </cfRule>
  </conditionalFormatting>
  <conditionalFormatting sqref="F314">
    <cfRule type="cellIs" dxfId="323" priority="623" stopIfTrue="1" operator="equal">
      <formula>1</formula>
    </cfRule>
    <cfRule type="cellIs" dxfId="322" priority="624" stopIfTrue="1" operator="equal">
      <formula>3</formula>
    </cfRule>
  </conditionalFormatting>
  <conditionalFormatting sqref="G314">
    <cfRule type="expression" dxfId="321" priority="625" stopIfTrue="1">
      <formula>IF(AND(G314&gt;0,#REF!=1),1,0)</formula>
    </cfRule>
    <cfRule type="expression" dxfId="320" priority="626" stopIfTrue="1">
      <formula>IF(AND(G314&gt;0,#REF!=1),1,0)</formula>
    </cfRule>
    <cfRule type="expression" dxfId="319" priority="627" stopIfTrue="1">
      <formula>IF(AND(G314&gt;0,F314=1),1,0)</formula>
    </cfRule>
  </conditionalFormatting>
  <conditionalFormatting sqref="H314">
    <cfRule type="expression" dxfId="318" priority="628" stopIfTrue="1">
      <formula>IF(AND(G314&gt;0,#REF!=1),1,0)</formula>
    </cfRule>
    <cfRule type="expression" dxfId="317" priority="629" stopIfTrue="1">
      <formula>IF(AND(G314&gt;0,#REF!=1),1,0)</formula>
    </cfRule>
    <cfRule type="expression" dxfId="316" priority="630" stopIfTrue="1">
      <formula>IF(AND(G314&gt;0,#REF!=1),1,0)</formula>
    </cfRule>
  </conditionalFormatting>
  <conditionalFormatting sqref="G314">
    <cfRule type="expression" dxfId="315" priority="613" stopIfTrue="1">
      <formula>IF(AND(G314&gt;0,D314=1),1,0)</formula>
    </cfRule>
    <cfRule type="expression" dxfId="314" priority="614" stopIfTrue="1">
      <formula>IF(AND(G314&gt;0,E314=1),1,0)</formula>
    </cfRule>
    <cfRule type="expression" dxfId="313" priority="615" stopIfTrue="1">
      <formula>IF(AND(G314&gt;0,F314=1),1,0)</formula>
    </cfRule>
  </conditionalFormatting>
  <conditionalFormatting sqref="H314">
    <cfRule type="expression" dxfId="312" priority="616" stopIfTrue="1">
      <formula>IF(AND(G314&gt;0,D314=1),1,0)</formula>
    </cfRule>
    <cfRule type="expression" dxfId="311" priority="617" stopIfTrue="1">
      <formula>IF(AND(G314&gt;0,E314=1),1,0)</formula>
    </cfRule>
    <cfRule type="expression" dxfId="310" priority="618" stopIfTrue="1">
      <formula>IF(AND(G314&gt;0,F314=1),1,0)</formula>
    </cfRule>
  </conditionalFormatting>
  <conditionalFormatting sqref="D326">
    <cfRule type="cellIs" dxfId="309" priority="565" stopIfTrue="1" operator="equal">
      <formula>1</formula>
    </cfRule>
    <cfRule type="cellIs" dxfId="308" priority="566" stopIfTrue="1" operator="equal">
      <formula>3</formula>
    </cfRule>
  </conditionalFormatting>
  <conditionalFormatting sqref="E326">
    <cfRule type="cellIs" dxfId="307" priority="567" stopIfTrue="1" operator="equal">
      <formula>1</formula>
    </cfRule>
    <cfRule type="cellIs" dxfId="306" priority="568" stopIfTrue="1" operator="equal">
      <formula>3</formula>
    </cfRule>
  </conditionalFormatting>
  <conditionalFormatting sqref="F326">
    <cfRule type="cellIs" dxfId="305" priority="569" stopIfTrue="1" operator="equal">
      <formula>1</formula>
    </cfRule>
    <cfRule type="cellIs" dxfId="304" priority="570" stopIfTrue="1" operator="equal">
      <formula>3</formula>
    </cfRule>
  </conditionalFormatting>
  <conditionalFormatting sqref="G326">
    <cfRule type="expression" dxfId="303" priority="571" stopIfTrue="1">
      <formula>IF(AND(G326&gt;0,#REF!=1),1,0)</formula>
    </cfRule>
    <cfRule type="expression" dxfId="302" priority="572" stopIfTrue="1">
      <formula>IF(AND(G326&gt;0,#REF!=1),1,0)</formula>
    </cfRule>
    <cfRule type="expression" dxfId="301" priority="573" stopIfTrue="1">
      <formula>IF(AND(G326&gt;0,F326=1),1,0)</formula>
    </cfRule>
  </conditionalFormatting>
  <conditionalFormatting sqref="H326">
    <cfRule type="expression" dxfId="300" priority="574" stopIfTrue="1">
      <formula>IF(AND(G326&gt;0,#REF!=1),1,0)</formula>
    </cfRule>
    <cfRule type="expression" dxfId="299" priority="575" stopIfTrue="1">
      <formula>IF(AND(G326&gt;0,#REF!=1),1,0)</formula>
    </cfRule>
    <cfRule type="expression" dxfId="298" priority="576" stopIfTrue="1">
      <formula>IF(AND(G326&gt;0,#REF!=1),1,0)</formula>
    </cfRule>
  </conditionalFormatting>
  <conditionalFormatting sqref="G326">
    <cfRule type="expression" dxfId="297" priority="559" stopIfTrue="1">
      <formula>IF(AND(G326&gt;0,D326=1),1,0)</formula>
    </cfRule>
    <cfRule type="expression" dxfId="296" priority="560" stopIfTrue="1">
      <formula>IF(AND(G326&gt;0,E326=1),1,0)</formula>
    </cfRule>
    <cfRule type="expression" dxfId="295" priority="561" stopIfTrue="1">
      <formula>IF(AND(G326&gt;0,F326=1),1,0)</formula>
    </cfRule>
  </conditionalFormatting>
  <conditionalFormatting sqref="H326">
    <cfRule type="expression" dxfId="294" priority="562" stopIfTrue="1">
      <formula>IF(AND(G326&gt;0,D326=1),1,0)</formula>
    </cfRule>
    <cfRule type="expression" dxfId="293" priority="563" stopIfTrue="1">
      <formula>IF(AND(G326&gt;0,E326=1),1,0)</formula>
    </cfRule>
    <cfRule type="expression" dxfId="292" priority="564" stopIfTrue="1">
      <formula>IF(AND(G326&gt;0,F326=1),1,0)</formula>
    </cfRule>
  </conditionalFormatting>
  <conditionalFormatting sqref="D367">
    <cfRule type="cellIs" dxfId="291" priority="475" stopIfTrue="1" operator="equal">
      <formula>1</formula>
    </cfRule>
    <cfRule type="cellIs" dxfId="290" priority="476" stopIfTrue="1" operator="equal">
      <formula>3</formula>
    </cfRule>
  </conditionalFormatting>
  <conditionalFormatting sqref="E367">
    <cfRule type="cellIs" dxfId="289" priority="477" stopIfTrue="1" operator="equal">
      <formula>1</formula>
    </cfRule>
    <cfRule type="cellIs" dxfId="288" priority="478" stopIfTrue="1" operator="equal">
      <formula>3</formula>
    </cfRule>
  </conditionalFormatting>
  <conditionalFormatting sqref="F367">
    <cfRule type="cellIs" dxfId="287" priority="479" stopIfTrue="1" operator="equal">
      <formula>1</formula>
    </cfRule>
    <cfRule type="cellIs" dxfId="286" priority="480" stopIfTrue="1" operator="equal">
      <formula>3</formula>
    </cfRule>
  </conditionalFormatting>
  <conditionalFormatting sqref="G367">
    <cfRule type="expression" dxfId="285" priority="481" stopIfTrue="1">
      <formula>IF(AND(G367&gt;0,#REF!=1),1,0)</formula>
    </cfRule>
    <cfRule type="expression" dxfId="284" priority="482" stopIfTrue="1">
      <formula>IF(AND(G367&gt;0,#REF!=1),1,0)</formula>
    </cfRule>
    <cfRule type="expression" dxfId="283" priority="483" stopIfTrue="1">
      <formula>IF(AND(G367&gt;0,F367=1),1,0)</formula>
    </cfRule>
  </conditionalFormatting>
  <conditionalFormatting sqref="H367">
    <cfRule type="expression" dxfId="282" priority="484" stopIfTrue="1">
      <formula>IF(AND(G367&gt;0,#REF!=1),1,0)</formula>
    </cfRule>
    <cfRule type="expression" dxfId="281" priority="485" stopIfTrue="1">
      <formula>IF(AND(G367&gt;0,#REF!=1),1,0)</formula>
    </cfRule>
    <cfRule type="expression" dxfId="280" priority="486" stopIfTrue="1">
      <formula>IF(AND(G367&gt;0,#REF!=1),1,0)</formula>
    </cfRule>
  </conditionalFormatting>
  <conditionalFormatting sqref="G367">
    <cfRule type="expression" dxfId="279" priority="469" stopIfTrue="1">
      <formula>IF(AND(G367&gt;0,D367=1),1,0)</formula>
    </cfRule>
    <cfRule type="expression" dxfId="278" priority="470" stopIfTrue="1">
      <formula>IF(AND(G367&gt;0,E367=1),1,0)</formula>
    </cfRule>
    <cfRule type="expression" dxfId="277" priority="471" stopIfTrue="1">
      <formula>IF(AND(G367&gt;0,F367=1),1,0)</formula>
    </cfRule>
  </conditionalFormatting>
  <conditionalFormatting sqref="H367">
    <cfRule type="expression" dxfId="276" priority="472" stopIfTrue="1">
      <formula>IF(AND(G367&gt;0,D367=1),1,0)</formula>
    </cfRule>
    <cfRule type="expression" dxfId="275" priority="473" stopIfTrue="1">
      <formula>IF(AND(G367&gt;0,E367=1),1,0)</formula>
    </cfRule>
    <cfRule type="expression" dxfId="274" priority="474" stopIfTrue="1">
      <formula>IF(AND(G367&gt;0,F367=1),1,0)</formula>
    </cfRule>
  </conditionalFormatting>
  <conditionalFormatting sqref="D421">
    <cfRule type="cellIs" dxfId="273" priority="439" stopIfTrue="1" operator="equal">
      <formula>1</formula>
    </cfRule>
    <cfRule type="cellIs" dxfId="272" priority="440" stopIfTrue="1" operator="equal">
      <formula>3</formula>
    </cfRule>
  </conditionalFormatting>
  <conditionalFormatting sqref="E421">
    <cfRule type="cellIs" dxfId="271" priority="441" stopIfTrue="1" operator="equal">
      <formula>1</formula>
    </cfRule>
    <cfRule type="cellIs" dxfId="270" priority="442" stopIfTrue="1" operator="equal">
      <formula>3</formula>
    </cfRule>
  </conditionalFormatting>
  <conditionalFormatting sqref="F421">
    <cfRule type="cellIs" dxfId="269" priority="443" stopIfTrue="1" operator="equal">
      <formula>1</formula>
    </cfRule>
    <cfRule type="cellIs" dxfId="268" priority="444" stopIfTrue="1" operator="equal">
      <formula>3</formula>
    </cfRule>
  </conditionalFormatting>
  <conditionalFormatting sqref="G421">
    <cfRule type="expression" dxfId="267" priority="445" stopIfTrue="1">
      <formula>IF(AND(G421&gt;0,#REF!=1),1,0)</formula>
    </cfRule>
    <cfRule type="expression" dxfId="266" priority="446" stopIfTrue="1">
      <formula>IF(AND(G421&gt;0,#REF!=1),1,0)</formula>
    </cfRule>
    <cfRule type="expression" dxfId="265" priority="447" stopIfTrue="1">
      <formula>IF(AND(G421&gt;0,F421=1),1,0)</formula>
    </cfRule>
  </conditionalFormatting>
  <conditionalFormatting sqref="H421">
    <cfRule type="expression" dxfId="264" priority="448" stopIfTrue="1">
      <formula>IF(AND(G421&gt;0,#REF!=1),1,0)</formula>
    </cfRule>
    <cfRule type="expression" dxfId="263" priority="449" stopIfTrue="1">
      <formula>IF(AND(G421&gt;0,#REF!=1),1,0)</formula>
    </cfRule>
    <cfRule type="expression" dxfId="262" priority="450" stopIfTrue="1">
      <formula>IF(AND(G421&gt;0,#REF!=1),1,0)</formula>
    </cfRule>
  </conditionalFormatting>
  <conditionalFormatting sqref="G421">
    <cfRule type="expression" dxfId="261" priority="433" stopIfTrue="1">
      <formula>IF(AND(G421&gt;0,D421=1),1,0)</formula>
    </cfRule>
    <cfRule type="expression" dxfId="260" priority="434" stopIfTrue="1">
      <formula>IF(AND(G421&gt;0,E421=1),1,0)</formula>
    </cfRule>
    <cfRule type="expression" dxfId="259" priority="435" stopIfTrue="1">
      <formula>IF(AND(G421&gt;0,F421=1),1,0)</formula>
    </cfRule>
  </conditionalFormatting>
  <conditionalFormatting sqref="H421">
    <cfRule type="expression" dxfId="258" priority="436" stopIfTrue="1">
      <formula>IF(AND(G421&gt;0,D421=1),1,0)</formula>
    </cfRule>
    <cfRule type="expression" dxfId="257" priority="437" stopIfTrue="1">
      <formula>IF(AND(G421&gt;0,E421=1),1,0)</formula>
    </cfRule>
    <cfRule type="expression" dxfId="256" priority="438" stopIfTrue="1">
      <formula>IF(AND(G421&gt;0,F421=1),1,0)</formula>
    </cfRule>
  </conditionalFormatting>
  <conditionalFormatting sqref="D461">
    <cfRule type="cellIs" dxfId="255" priority="421" stopIfTrue="1" operator="equal">
      <formula>1</formula>
    </cfRule>
    <cfRule type="cellIs" dxfId="254" priority="422" stopIfTrue="1" operator="equal">
      <formula>3</formula>
    </cfRule>
  </conditionalFormatting>
  <conditionalFormatting sqref="E461">
    <cfRule type="cellIs" dxfId="253" priority="423" stopIfTrue="1" operator="equal">
      <formula>1</formula>
    </cfRule>
    <cfRule type="cellIs" dxfId="252" priority="424" stopIfTrue="1" operator="equal">
      <formula>3</formula>
    </cfRule>
  </conditionalFormatting>
  <conditionalFormatting sqref="F461">
    <cfRule type="cellIs" dxfId="251" priority="425" stopIfTrue="1" operator="equal">
      <formula>1</formula>
    </cfRule>
    <cfRule type="cellIs" dxfId="250" priority="426" stopIfTrue="1" operator="equal">
      <formula>3</formula>
    </cfRule>
  </conditionalFormatting>
  <conditionalFormatting sqref="G461">
    <cfRule type="expression" dxfId="249" priority="427" stopIfTrue="1">
      <formula>IF(AND(G461&gt;0,#REF!=1),1,0)</formula>
    </cfRule>
    <cfRule type="expression" dxfId="248" priority="428" stopIfTrue="1">
      <formula>IF(AND(G461&gt;0,#REF!=1),1,0)</formula>
    </cfRule>
    <cfRule type="expression" dxfId="247" priority="429" stopIfTrue="1">
      <formula>IF(AND(G461&gt;0,F461=1),1,0)</formula>
    </cfRule>
  </conditionalFormatting>
  <conditionalFormatting sqref="H461">
    <cfRule type="expression" dxfId="246" priority="430" stopIfTrue="1">
      <formula>IF(AND(G461&gt;0,#REF!=1),1,0)</formula>
    </cfRule>
    <cfRule type="expression" dxfId="245" priority="431" stopIfTrue="1">
      <formula>IF(AND(G461&gt;0,#REF!=1),1,0)</formula>
    </cfRule>
    <cfRule type="expression" dxfId="244" priority="432" stopIfTrue="1">
      <formula>IF(AND(G461&gt;0,#REF!=1),1,0)</formula>
    </cfRule>
  </conditionalFormatting>
  <conditionalFormatting sqref="G461">
    <cfRule type="expression" dxfId="243" priority="415" stopIfTrue="1">
      <formula>IF(AND(G461&gt;0,D461=1),1,0)</formula>
    </cfRule>
    <cfRule type="expression" dxfId="242" priority="416" stopIfTrue="1">
      <formula>IF(AND(G461&gt;0,E461=1),1,0)</formula>
    </cfRule>
    <cfRule type="expression" dxfId="241" priority="417" stopIfTrue="1">
      <formula>IF(AND(G461&gt;0,F461=1),1,0)</formula>
    </cfRule>
  </conditionalFormatting>
  <conditionalFormatting sqref="H461">
    <cfRule type="expression" dxfId="240" priority="418" stopIfTrue="1">
      <formula>IF(AND(G461&gt;0,D461=1),1,0)</formula>
    </cfRule>
    <cfRule type="expression" dxfId="239" priority="419" stopIfTrue="1">
      <formula>IF(AND(G461&gt;0,E461=1),1,0)</formula>
    </cfRule>
    <cfRule type="expression" dxfId="238" priority="420" stopIfTrue="1">
      <formula>IF(AND(G461&gt;0,F461=1),1,0)</formula>
    </cfRule>
  </conditionalFormatting>
  <conditionalFormatting sqref="D474">
    <cfRule type="cellIs" dxfId="237" priority="367" stopIfTrue="1" operator="equal">
      <formula>1</formula>
    </cfRule>
    <cfRule type="cellIs" dxfId="236" priority="368" stopIfTrue="1" operator="equal">
      <formula>3</formula>
    </cfRule>
  </conditionalFormatting>
  <conditionalFormatting sqref="E474">
    <cfRule type="cellIs" dxfId="235" priority="369" stopIfTrue="1" operator="equal">
      <formula>1</formula>
    </cfRule>
    <cfRule type="cellIs" dxfId="234" priority="370" stopIfTrue="1" operator="equal">
      <formula>3</formula>
    </cfRule>
  </conditionalFormatting>
  <conditionalFormatting sqref="F474">
    <cfRule type="cellIs" dxfId="233" priority="371" stopIfTrue="1" operator="equal">
      <formula>1</formula>
    </cfRule>
    <cfRule type="cellIs" dxfId="232" priority="372" stopIfTrue="1" operator="equal">
      <formula>3</formula>
    </cfRule>
  </conditionalFormatting>
  <conditionalFormatting sqref="G474">
    <cfRule type="expression" dxfId="231" priority="373" stopIfTrue="1">
      <formula>IF(AND(G474&gt;0,#REF!=1),1,0)</formula>
    </cfRule>
    <cfRule type="expression" dxfId="230" priority="374" stopIfTrue="1">
      <formula>IF(AND(G474&gt;0,#REF!=1),1,0)</formula>
    </cfRule>
    <cfRule type="expression" dxfId="229" priority="375" stopIfTrue="1">
      <formula>IF(AND(G474&gt;0,F474=1),1,0)</formula>
    </cfRule>
  </conditionalFormatting>
  <conditionalFormatting sqref="H474">
    <cfRule type="expression" dxfId="228" priority="376" stopIfTrue="1">
      <formula>IF(AND(G474&gt;0,#REF!=1),1,0)</formula>
    </cfRule>
    <cfRule type="expression" dxfId="227" priority="377" stopIfTrue="1">
      <formula>IF(AND(G474&gt;0,#REF!=1),1,0)</formula>
    </cfRule>
    <cfRule type="expression" dxfId="226" priority="378" stopIfTrue="1">
      <formula>IF(AND(G474&gt;0,#REF!=1),1,0)</formula>
    </cfRule>
  </conditionalFormatting>
  <conditionalFormatting sqref="G474">
    <cfRule type="expression" dxfId="225" priority="361" stopIfTrue="1">
      <formula>IF(AND(G474&gt;0,D474=1),1,0)</formula>
    </cfRule>
    <cfRule type="expression" dxfId="224" priority="362" stopIfTrue="1">
      <formula>IF(AND(G474&gt;0,E474=1),1,0)</formula>
    </cfRule>
    <cfRule type="expression" dxfId="223" priority="363" stopIfTrue="1">
      <formula>IF(AND(G474&gt;0,F474=1),1,0)</formula>
    </cfRule>
  </conditionalFormatting>
  <conditionalFormatting sqref="H474">
    <cfRule type="expression" dxfId="222" priority="364" stopIfTrue="1">
      <formula>IF(AND(G474&gt;0,D474=1),1,0)</formula>
    </cfRule>
    <cfRule type="expression" dxfId="221" priority="365" stopIfTrue="1">
      <formula>IF(AND(G474&gt;0,E474=1),1,0)</formula>
    </cfRule>
    <cfRule type="expression" dxfId="220" priority="366" stopIfTrue="1">
      <formula>IF(AND(G474&gt;0,F474=1),1,0)</formula>
    </cfRule>
  </conditionalFormatting>
  <conditionalFormatting sqref="D475">
    <cfRule type="cellIs" dxfId="219" priority="349" stopIfTrue="1" operator="equal">
      <formula>1</formula>
    </cfRule>
    <cfRule type="cellIs" dxfId="218" priority="350" stopIfTrue="1" operator="equal">
      <formula>3</formula>
    </cfRule>
  </conditionalFormatting>
  <conditionalFormatting sqref="E475">
    <cfRule type="cellIs" dxfId="217" priority="351" stopIfTrue="1" operator="equal">
      <formula>1</formula>
    </cfRule>
    <cfRule type="cellIs" dxfId="216" priority="352" stopIfTrue="1" operator="equal">
      <formula>3</formula>
    </cfRule>
  </conditionalFormatting>
  <conditionalFormatting sqref="F475">
    <cfRule type="cellIs" dxfId="215" priority="353" stopIfTrue="1" operator="equal">
      <formula>1</formula>
    </cfRule>
    <cfRule type="cellIs" dxfId="214" priority="354" stopIfTrue="1" operator="equal">
      <formula>3</formula>
    </cfRule>
  </conditionalFormatting>
  <conditionalFormatting sqref="G475">
    <cfRule type="expression" dxfId="213" priority="355" stopIfTrue="1">
      <formula>IF(AND(G475&gt;0,#REF!=1),1,0)</formula>
    </cfRule>
    <cfRule type="expression" dxfId="212" priority="356" stopIfTrue="1">
      <formula>IF(AND(G475&gt;0,#REF!=1),1,0)</formula>
    </cfRule>
    <cfRule type="expression" dxfId="211" priority="357" stopIfTrue="1">
      <formula>IF(AND(G475&gt;0,F475=1),1,0)</formula>
    </cfRule>
  </conditionalFormatting>
  <conditionalFormatting sqref="H475">
    <cfRule type="expression" dxfId="210" priority="358" stopIfTrue="1">
      <formula>IF(AND(G475&gt;0,#REF!=1),1,0)</formula>
    </cfRule>
    <cfRule type="expression" dxfId="209" priority="359" stopIfTrue="1">
      <formula>IF(AND(G475&gt;0,#REF!=1),1,0)</formula>
    </cfRule>
    <cfRule type="expression" dxfId="208" priority="360" stopIfTrue="1">
      <formula>IF(AND(G475&gt;0,#REF!=1),1,0)</formula>
    </cfRule>
  </conditionalFormatting>
  <conditionalFormatting sqref="G475">
    <cfRule type="expression" dxfId="207" priority="343" stopIfTrue="1">
      <formula>IF(AND(G475&gt;0,D475=1),1,0)</formula>
    </cfRule>
    <cfRule type="expression" dxfId="206" priority="344" stopIfTrue="1">
      <formula>IF(AND(G475&gt;0,E475=1),1,0)</formula>
    </cfRule>
    <cfRule type="expression" dxfId="205" priority="345" stopIfTrue="1">
      <formula>IF(AND(G475&gt;0,F475=1),1,0)</formula>
    </cfRule>
  </conditionalFormatting>
  <conditionalFormatting sqref="H475">
    <cfRule type="expression" dxfId="204" priority="346" stopIfTrue="1">
      <formula>IF(AND(G475&gt;0,D475=1),1,0)</formula>
    </cfRule>
    <cfRule type="expression" dxfId="203" priority="347" stopIfTrue="1">
      <formula>IF(AND(G475&gt;0,E475=1),1,0)</formula>
    </cfRule>
    <cfRule type="expression" dxfId="202" priority="348" stopIfTrue="1">
      <formula>IF(AND(G475&gt;0,F475=1),1,0)</formula>
    </cfRule>
  </conditionalFormatting>
  <conditionalFormatting sqref="D523">
    <cfRule type="cellIs" dxfId="201" priority="313" stopIfTrue="1" operator="equal">
      <formula>1</formula>
    </cfRule>
    <cfRule type="cellIs" dxfId="200" priority="314" stopIfTrue="1" operator="equal">
      <formula>3</formula>
    </cfRule>
  </conditionalFormatting>
  <conditionalFormatting sqref="E523">
    <cfRule type="cellIs" dxfId="199" priority="315" stopIfTrue="1" operator="equal">
      <formula>1</formula>
    </cfRule>
    <cfRule type="cellIs" dxfId="198" priority="316" stopIfTrue="1" operator="equal">
      <formula>3</formula>
    </cfRule>
  </conditionalFormatting>
  <conditionalFormatting sqref="F523">
    <cfRule type="cellIs" dxfId="197" priority="317" stopIfTrue="1" operator="equal">
      <formula>1</formula>
    </cfRule>
    <cfRule type="cellIs" dxfId="196" priority="318" stopIfTrue="1" operator="equal">
      <formula>3</formula>
    </cfRule>
  </conditionalFormatting>
  <conditionalFormatting sqref="G523">
    <cfRule type="expression" dxfId="195" priority="319" stopIfTrue="1">
      <formula>IF(AND(G523&gt;0,#REF!=1),1,0)</formula>
    </cfRule>
    <cfRule type="expression" dxfId="194" priority="320" stopIfTrue="1">
      <formula>IF(AND(G523&gt;0,#REF!=1),1,0)</formula>
    </cfRule>
    <cfRule type="expression" dxfId="193" priority="321" stopIfTrue="1">
      <formula>IF(AND(G523&gt;0,F523=1),1,0)</formula>
    </cfRule>
  </conditionalFormatting>
  <conditionalFormatting sqref="H523">
    <cfRule type="expression" dxfId="192" priority="322" stopIfTrue="1">
      <formula>IF(AND(G523&gt;0,#REF!=1),1,0)</formula>
    </cfRule>
    <cfRule type="expression" dxfId="191" priority="323" stopIfTrue="1">
      <formula>IF(AND(G523&gt;0,#REF!=1),1,0)</formula>
    </cfRule>
    <cfRule type="expression" dxfId="190" priority="324" stopIfTrue="1">
      <formula>IF(AND(G523&gt;0,#REF!=1),1,0)</formula>
    </cfRule>
  </conditionalFormatting>
  <conditionalFormatting sqref="G523">
    <cfRule type="expression" dxfId="189" priority="307" stopIfTrue="1">
      <formula>IF(AND(G523&gt;0,D523=1),1,0)</formula>
    </cfRule>
    <cfRule type="expression" dxfId="188" priority="308" stopIfTrue="1">
      <formula>IF(AND(G523&gt;0,E523=1),1,0)</formula>
    </cfRule>
    <cfRule type="expression" dxfId="187" priority="309" stopIfTrue="1">
      <formula>IF(AND(G523&gt;0,F523=1),1,0)</formula>
    </cfRule>
  </conditionalFormatting>
  <conditionalFormatting sqref="H523">
    <cfRule type="expression" dxfId="186" priority="310" stopIfTrue="1">
      <formula>IF(AND(G523&gt;0,D523=1),1,0)</formula>
    </cfRule>
    <cfRule type="expression" dxfId="185" priority="311" stopIfTrue="1">
      <formula>IF(AND(G523&gt;0,E523=1),1,0)</formula>
    </cfRule>
    <cfRule type="expression" dxfId="184" priority="312" stopIfTrue="1">
      <formula>IF(AND(G523&gt;0,F523=1),1,0)</formula>
    </cfRule>
  </conditionalFormatting>
  <conditionalFormatting sqref="D611">
    <cfRule type="cellIs" dxfId="183" priority="277" stopIfTrue="1" operator="equal">
      <formula>1</formula>
    </cfRule>
    <cfRule type="cellIs" dxfId="182" priority="278" stopIfTrue="1" operator="equal">
      <formula>3</formula>
    </cfRule>
  </conditionalFormatting>
  <conditionalFormatting sqref="E611">
    <cfRule type="cellIs" dxfId="181" priority="279" stopIfTrue="1" operator="equal">
      <formula>1</formula>
    </cfRule>
    <cfRule type="cellIs" dxfId="180" priority="280" stopIfTrue="1" operator="equal">
      <formula>3</formula>
    </cfRule>
  </conditionalFormatting>
  <conditionalFormatting sqref="F611">
    <cfRule type="cellIs" dxfId="179" priority="281" stopIfTrue="1" operator="equal">
      <formula>1</formula>
    </cfRule>
    <cfRule type="cellIs" dxfId="178" priority="282" stopIfTrue="1" operator="equal">
      <formula>3</formula>
    </cfRule>
  </conditionalFormatting>
  <conditionalFormatting sqref="G611">
    <cfRule type="expression" dxfId="177" priority="283" stopIfTrue="1">
      <formula>IF(AND(G611&gt;0,#REF!=1),1,0)</formula>
    </cfRule>
    <cfRule type="expression" dxfId="176" priority="284" stopIfTrue="1">
      <formula>IF(AND(G611&gt;0,#REF!=1),1,0)</formula>
    </cfRule>
    <cfRule type="expression" dxfId="175" priority="285" stopIfTrue="1">
      <formula>IF(AND(G611&gt;0,F611=1),1,0)</formula>
    </cfRule>
  </conditionalFormatting>
  <conditionalFormatting sqref="H611">
    <cfRule type="expression" dxfId="174" priority="286" stopIfTrue="1">
      <formula>IF(AND(G611&gt;0,#REF!=1),1,0)</formula>
    </cfRule>
    <cfRule type="expression" dxfId="173" priority="287" stopIfTrue="1">
      <formula>IF(AND(G611&gt;0,#REF!=1),1,0)</formula>
    </cfRule>
    <cfRule type="expression" dxfId="172" priority="288" stopIfTrue="1">
      <formula>IF(AND(G611&gt;0,#REF!=1),1,0)</formula>
    </cfRule>
  </conditionalFormatting>
  <conditionalFormatting sqref="G611">
    <cfRule type="expression" dxfId="171" priority="271" stopIfTrue="1">
      <formula>IF(AND(G611&gt;0,D611=1),1,0)</formula>
    </cfRule>
    <cfRule type="expression" dxfId="170" priority="272" stopIfTrue="1">
      <formula>IF(AND(G611&gt;0,E611=1),1,0)</formula>
    </cfRule>
    <cfRule type="expression" dxfId="169" priority="273" stopIfTrue="1">
      <formula>IF(AND(G611&gt;0,F611=1),1,0)</formula>
    </cfRule>
  </conditionalFormatting>
  <conditionalFormatting sqref="H611">
    <cfRule type="expression" dxfId="168" priority="274" stopIfTrue="1">
      <formula>IF(AND(G611&gt;0,D611=1),1,0)</formula>
    </cfRule>
    <cfRule type="expression" dxfId="167" priority="275" stopIfTrue="1">
      <formula>IF(AND(G611&gt;0,E611=1),1,0)</formula>
    </cfRule>
    <cfRule type="expression" dxfId="166" priority="276" stopIfTrue="1">
      <formula>IF(AND(G611&gt;0,F611=1),1,0)</formula>
    </cfRule>
  </conditionalFormatting>
  <conditionalFormatting sqref="D643">
    <cfRule type="cellIs" dxfId="165" priority="241" stopIfTrue="1" operator="equal">
      <formula>1</formula>
    </cfRule>
    <cfRule type="cellIs" dxfId="164" priority="242" stopIfTrue="1" operator="equal">
      <formula>3</formula>
    </cfRule>
  </conditionalFormatting>
  <conditionalFormatting sqref="E643">
    <cfRule type="cellIs" dxfId="163" priority="243" stopIfTrue="1" operator="equal">
      <formula>1</formula>
    </cfRule>
    <cfRule type="cellIs" dxfId="162" priority="244" stopIfTrue="1" operator="equal">
      <formula>3</formula>
    </cfRule>
  </conditionalFormatting>
  <conditionalFormatting sqref="F643">
    <cfRule type="cellIs" dxfId="161" priority="245" stopIfTrue="1" operator="equal">
      <formula>1</formula>
    </cfRule>
    <cfRule type="cellIs" dxfId="160" priority="246" stopIfTrue="1" operator="equal">
      <formula>3</formula>
    </cfRule>
  </conditionalFormatting>
  <conditionalFormatting sqref="G643">
    <cfRule type="expression" dxfId="159" priority="247" stopIfTrue="1">
      <formula>IF(AND(G643&gt;0,#REF!=1),1,0)</formula>
    </cfRule>
    <cfRule type="expression" dxfId="158" priority="248" stopIfTrue="1">
      <formula>IF(AND(G643&gt;0,#REF!=1),1,0)</formula>
    </cfRule>
    <cfRule type="expression" dxfId="157" priority="249" stopIfTrue="1">
      <formula>IF(AND(G643&gt;0,F643=1),1,0)</formula>
    </cfRule>
  </conditionalFormatting>
  <conditionalFormatting sqref="H643">
    <cfRule type="expression" dxfId="156" priority="250" stopIfTrue="1">
      <formula>IF(AND(G643&gt;0,#REF!=1),1,0)</formula>
    </cfRule>
    <cfRule type="expression" dxfId="155" priority="251" stopIfTrue="1">
      <formula>IF(AND(G643&gt;0,#REF!=1),1,0)</formula>
    </cfRule>
    <cfRule type="expression" dxfId="154" priority="252" stopIfTrue="1">
      <formula>IF(AND(G643&gt;0,#REF!=1),1,0)</formula>
    </cfRule>
  </conditionalFormatting>
  <conditionalFormatting sqref="G643">
    <cfRule type="expression" dxfId="153" priority="235" stopIfTrue="1">
      <formula>IF(AND(G643&gt;0,D643=1),1,0)</formula>
    </cfRule>
    <cfRule type="expression" dxfId="152" priority="236" stopIfTrue="1">
      <formula>IF(AND(G643&gt;0,E643=1),1,0)</formula>
    </cfRule>
    <cfRule type="expression" dxfId="151" priority="237" stopIfTrue="1">
      <formula>IF(AND(G643&gt;0,F643=1),1,0)</formula>
    </cfRule>
  </conditionalFormatting>
  <conditionalFormatting sqref="H643">
    <cfRule type="expression" dxfId="150" priority="238" stopIfTrue="1">
      <formula>IF(AND(G643&gt;0,D643=1),1,0)</formula>
    </cfRule>
    <cfRule type="expression" dxfId="149" priority="239" stopIfTrue="1">
      <formula>IF(AND(G643&gt;0,E643=1),1,0)</formula>
    </cfRule>
    <cfRule type="expression" dxfId="148" priority="240" stopIfTrue="1">
      <formula>IF(AND(G643&gt;0,F643=1),1,0)</formula>
    </cfRule>
  </conditionalFormatting>
  <conditionalFormatting sqref="D713:D721">
    <cfRule type="cellIs" dxfId="147" priority="151" stopIfTrue="1" operator="equal">
      <formula>1</formula>
    </cfRule>
    <cfRule type="cellIs" dxfId="146" priority="152" stopIfTrue="1" operator="equal">
      <formula>3</formula>
    </cfRule>
  </conditionalFormatting>
  <conditionalFormatting sqref="E713:E721">
    <cfRule type="cellIs" dxfId="145" priority="153" stopIfTrue="1" operator="equal">
      <formula>1</formula>
    </cfRule>
    <cfRule type="cellIs" dxfId="144" priority="154" stopIfTrue="1" operator="equal">
      <formula>3</formula>
    </cfRule>
  </conditionalFormatting>
  <conditionalFormatting sqref="F713:F721">
    <cfRule type="cellIs" dxfId="143" priority="155" stopIfTrue="1" operator="equal">
      <formula>1</formula>
    </cfRule>
    <cfRule type="cellIs" dxfId="142" priority="156" stopIfTrue="1" operator="equal">
      <formula>3</formula>
    </cfRule>
  </conditionalFormatting>
  <conditionalFormatting sqref="G713:G721">
    <cfRule type="expression" dxfId="141" priority="157" stopIfTrue="1">
      <formula>IF(AND(G713&gt;0,#REF!=1),1,0)</formula>
    </cfRule>
    <cfRule type="expression" dxfId="140" priority="158" stopIfTrue="1">
      <formula>IF(AND(G713&gt;0,#REF!=1),1,0)</formula>
    </cfRule>
    <cfRule type="expression" dxfId="139" priority="159" stopIfTrue="1">
      <formula>IF(AND(G713&gt;0,F713=1),1,0)</formula>
    </cfRule>
  </conditionalFormatting>
  <conditionalFormatting sqref="H713:H721">
    <cfRule type="expression" dxfId="138" priority="160" stopIfTrue="1">
      <formula>IF(AND(G713&gt;0,#REF!=1),1,0)</formula>
    </cfRule>
    <cfRule type="expression" dxfId="137" priority="161" stopIfTrue="1">
      <formula>IF(AND(G713&gt;0,#REF!=1),1,0)</formula>
    </cfRule>
    <cfRule type="expression" dxfId="136" priority="162" stopIfTrue="1">
      <formula>IF(AND(G713&gt;0,#REF!=1),1,0)</formula>
    </cfRule>
  </conditionalFormatting>
  <conditionalFormatting sqref="G713:G721">
    <cfRule type="expression" dxfId="135" priority="145" stopIfTrue="1">
      <formula>IF(AND(G713&gt;0,D713=1),1,0)</formula>
    </cfRule>
    <cfRule type="expression" dxfId="134" priority="146" stopIfTrue="1">
      <formula>IF(AND(G713&gt;0,E713=1),1,0)</formula>
    </cfRule>
    <cfRule type="expression" dxfId="133" priority="147" stopIfTrue="1">
      <formula>IF(AND(G713&gt;0,F713=1),1,0)</formula>
    </cfRule>
  </conditionalFormatting>
  <conditionalFormatting sqref="H713:H721">
    <cfRule type="expression" dxfId="132" priority="148" stopIfTrue="1">
      <formula>IF(AND(G713&gt;0,D713=1),1,0)</formula>
    </cfRule>
    <cfRule type="expression" dxfId="131" priority="149" stopIfTrue="1">
      <formula>IF(AND(G713&gt;0,E713=1),1,0)</formula>
    </cfRule>
    <cfRule type="expression" dxfId="130" priority="150" stopIfTrue="1">
      <formula>IF(AND(G713&gt;0,F713=1),1,0)</formula>
    </cfRule>
  </conditionalFormatting>
  <conditionalFormatting sqref="D711">
    <cfRule type="cellIs" dxfId="129" priority="133" stopIfTrue="1" operator="equal">
      <formula>1</formula>
    </cfRule>
    <cfRule type="cellIs" dxfId="128" priority="134" stopIfTrue="1" operator="equal">
      <formula>3</formula>
    </cfRule>
  </conditionalFormatting>
  <conditionalFormatting sqref="E711">
    <cfRule type="cellIs" dxfId="127" priority="135" stopIfTrue="1" operator="equal">
      <formula>1</formula>
    </cfRule>
    <cfRule type="cellIs" dxfId="126" priority="136" stopIfTrue="1" operator="equal">
      <formula>3</formula>
    </cfRule>
  </conditionalFormatting>
  <conditionalFormatting sqref="F711">
    <cfRule type="cellIs" dxfId="125" priority="137" stopIfTrue="1" operator="equal">
      <formula>1</formula>
    </cfRule>
    <cfRule type="cellIs" dxfId="124" priority="138" stopIfTrue="1" operator="equal">
      <formula>3</formula>
    </cfRule>
  </conditionalFormatting>
  <conditionalFormatting sqref="H711">
    <cfRule type="expression" dxfId="123" priority="142" stopIfTrue="1">
      <formula>IF(AND(G711&gt;0,#REF!=1),1,0)</formula>
    </cfRule>
    <cfRule type="expression" dxfId="122" priority="143" stopIfTrue="1">
      <formula>IF(AND(G711&gt;0,#REF!=1),1,0)</formula>
    </cfRule>
    <cfRule type="expression" dxfId="121" priority="144" stopIfTrue="1">
      <formula>IF(AND(G711&gt;0,#REF!=1),1,0)</formula>
    </cfRule>
  </conditionalFormatting>
  <conditionalFormatting sqref="G711">
    <cfRule type="expression" dxfId="120" priority="127" stopIfTrue="1">
      <formula>IF(AND(G711&gt;0,D711=1),1,0)</formula>
    </cfRule>
    <cfRule type="expression" dxfId="119" priority="128" stopIfTrue="1">
      <formula>IF(AND(G711&gt;0,E711=1),1,0)</formula>
    </cfRule>
    <cfRule type="expression" dxfId="118" priority="129" stopIfTrue="1">
      <formula>IF(AND(G711&gt;0,F711=1),1,0)</formula>
    </cfRule>
  </conditionalFormatting>
  <conditionalFormatting sqref="H711">
    <cfRule type="expression" dxfId="117" priority="130" stopIfTrue="1">
      <formula>IF(AND(G711&gt;0,D711=1),1,0)</formula>
    </cfRule>
    <cfRule type="expression" dxfId="116" priority="131" stopIfTrue="1">
      <formula>IF(AND(G711&gt;0,E711=1),1,0)</formula>
    </cfRule>
    <cfRule type="expression" dxfId="115" priority="132" stopIfTrue="1">
      <formula>IF(AND(G711&gt;0,F711=1),1,0)</formula>
    </cfRule>
  </conditionalFormatting>
  <conditionalFormatting sqref="D673">
    <cfRule type="cellIs" dxfId="114" priority="115" stopIfTrue="1" operator="equal">
      <formula>1</formula>
    </cfRule>
    <cfRule type="cellIs" dxfId="113" priority="116" stopIfTrue="1" operator="equal">
      <formula>3</formula>
    </cfRule>
  </conditionalFormatting>
  <conditionalFormatting sqref="E673">
    <cfRule type="cellIs" dxfId="112" priority="117" stopIfTrue="1" operator="equal">
      <formula>1</formula>
    </cfRule>
    <cfRule type="cellIs" dxfId="111" priority="118" stopIfTrue="1" operator="equal">
      <formula>3</formula>
    </cfRule>
  </conditionalFormatting>
  <conditionalFormatting sqref="F673">
    <cfRule type="cellIs" dxfId="110" priority="119" stopIfTrue="1" operator="equal">
      <formula>1</formula>
    </cfRule>
    <cfRule type="cellIs" dxfId="109" priority="120" stopIfTrue="1" operator="equal">
      <formula>3</formula>
    </cfRule>
  </conditionalFormatting>
  <conditionalFormatting sqref="G711">
    <cfRule type="expression" dxfId="108" priority="139" stopIfTrue="1">
      <formula>IF(AND(G711&gt;0,#REF!=1),1,0)</formula>
    </cfRule>
    <cfRule type="expression" dxfId="107" priority="140" stopIfTrue="1">
      <formula>IF(AND(G711&gt;0,#REF!=1),1,0)</formula>
    </cfRule>
    <cfRule type="expression" dxfId="106" priority="141" stopIfTrue="1">
      <formula>IF(AND(G711&gt;0,F711=1),1,0)</formula>
    </cfRule>
  </conditionalFormatting>
  <conditionalFormatting sqref="H673">
    <cfRule type="expression" dxfId="105" priority="124" stopIfTrue="1">
      <formula>IF(AND(G673&gt;0,#REF!=1),1,0)</formula>
    </cfRule>
    <cfRule type="expression" dxfId="104" priority="125" stopIfTrue="1">
      <formula>IF(AND(G673&gt;0,#REF!=1),1,0)</formula>
    </cfRule>
    <cfRule type="expression" dxfId="103" priority="126" stopIfTrue="1">
      <formula>IF(AND(G673&gt;0,#REF!=1),1,0)</formula>
    </cfRule>
  </conditionalFormatting>
  <conditionalFormatting sqref="G673">
    <cfRule type="expression" dxfId="102" priority="109" stopIfTrue="1">
      <formula>IF(AND(G673&gt;0,D673=1),1,0)</formula>
    </cfRule>
    <cfRule type="expression" dxfId="101" priority="110" stopIfTrue="1">
      <formula>IF(AND(G673&gt;0,E673=1),1,0)</formula>
    </cfRule>
    <cfRule type="expression" dxfId="100" priority="111" stopIfTrue="1">
      <formula>IF(AND(G673&gt;0,F673=1),1,0)</formula>
    </cfRule>
  </conditionalFormatting>
  <conditionalFormatting sqref="H673">
    <cfRule type="expression" dxfId="99" priority="112" stopIfTrue="1">
      <formula>IF(AND(G673&gt;0,D673=1),1,0)</formula>
    </cfRule>
    <cfRule type="expression" dxfId="98" priority="113" stopIfTrue="1">
      <formula>IF(AND(G673&gt;0,E673=1),1,0)</formula>
    </cfRule>
    <cfRule type="expression" dxfId="97" priority="114" stopIfTrue="1">
      <formula>IF(AND(G673&gt;0,F673=1),1,0)</formula>
    </cfRule>
  </conditionalFormatting>
  <conditionalFormatting sqref="G673">
    <cfRule type="expression" dxfId="96" priority="121" stopIfTrue="1">
      <formula>IF(AND(G673&gt;0,#REF!=1),1,0)</formula>
    </cfRule>
    <cfRule type="expression" dxfId="95" priority="122" stopIfTrue="1">
      <formula>IF(AND(G673&gt;0,#REF!=1),1,0)</formula>
    </cfRule>
    <cfRule type="expression" dxfId="94" priority="123" stopIfTrue="1">
      <formula>IF(AND(G673&gt;0,F673=1),1,0)</formula>
    </cfRule>
  </conditionalFormatting>
  <conditionalFormatting sqref="D479">
    <cfRule type="cellIs" dxfId="93" priority="97" stopIfTrue="1" operator="equal">
      <formula>1</formula>
    </cfRule>
    <cfRule type="cellIs" dxfId="92" priority="98" stopIfTrue="1" operator="equal">
      <formula>3</formula>
    </cfRule>
  </conditionalFormatting>
  <conditionalFormatting sqref="E479">
    <cfRule type="cellIs" dxfId="91" priority="99" stopIfTrue="1" operator="equal">
      <formula>1</formula>
    </cfRule>
    <cfRule type="cellIs" dxfId="90" priority="100" stopIfTrue="1" operator="equal">
      <formula>3</formula>
    </cfRule>
  </conditionalFormatting>
  <conditionalFormatting sqref="F479">
    <cfRule type="cellIs" dxfId="89" priority="101" stopIfTrue="1" operator="equal">
      <formula>1</formula>
    </cfRule>
    <cfRule type="cellIs" dxfId="88" priority="102" stopIfTrue="1" operator="equal">
      <formula>3</formula>
    </cfRule>
  </conditionalFormatting>
  <conditionalFormatting sqref="G479">
    <cfRule type="expression" dxfId="87" priority="103" stopIfTrue="1">
      <formula>IF(AND(G479&gt;0,#REF!=1),1,0)</formula>
    </cfRule>
    <cfRule type="expression" dxfId="86" priority="104" stopIfTrue="1">
      <formula>IF(AND(G479&gt;0,#REF!=1),1,0)</formula>
    </cfRule>
    <cfRule type="expression" dxfId="85" priority="105" stopIfTrue="1">
      <formula>IF(AND(G479&gt;0,F479=1),1,0)</formula>
    </cfRule>
  </conditionalFormatting>
  <conditionalFormatting sqref="H479">
    <cfRule type="expression" dxfId="84" priority="106" stopIfTrue="1">
      <formula>IF(AND(G479&gt;0,#REF!=1),1,0)</formula>
    </cfRule>
    <cfRule type="expression" dxfId="83" priority="107" stopIfTrue="1">
      <formula>IF(AND(G479&gt;0,#REF!=1),1,0)</formula>
    </cfRule>
    <cfRule type="expression" dxfId="82" priority="108" stopIfTrue="1">
      <formula>IF(AND(G479&gt;0,#REF!=1),1,0)</formula>
    </cfRule>
  </conditionalFormatting>
  <conditionalFormatting sqref="G479">
    <cfRule type="expression" dxfId="81" priority="91" stopIfTrue="1">
      <formula>IF(AND(G479&gt;0,D479=1),1,0)</formula>
    </cfRule>
    <cfRule type="expression" dxfId="80" priority="92" stopIfTrue="1">
      <formula>IF(AND(G479&gt;0,E479=1),1,0)</formula>
    </cfRule>
    <cfRule type="expression" dxfId="79" priority="93" stopIfTrue="1">
      <formula>IF(AND(G479&gt;0,F479=1),1,0)</formula>
    </cfRule>
  </conditionalFormatting>
  <conditionalFormatting sqref="H479">
    <cfRule type="expression" dxfId="78" priority="94" stopIfTrue="1">
      <formula>IF(AND(G479&gt;0,D479=1),1,0)</formula>
    </cfRule>
    <cfRule type="expression" dxfId="77" priority="95" stopIfTrue="1">
      <formula>IF(AND(G479&gt;0,E479=1),1,0)</formula>
    </cfRule>
    <cfRule type="expression" dxfId="76" priority="96" stopIfTrue="1">
      <formula>IF(AND(G479&gt;0,F479=1),1,0)</formula>
    </cfRule>
  </conditionalFormatting>
  <conditionalFormatting sqref="D360">
    <cfRule type="cellIs" dxfId="75" priority="79" stopIfTrue="1" operator="equal">
      <formula>1</formula>
    </cfRule>
    <cfRule type="cellIs" dxfId="74" priority="80" stopIfTrue="1" operator="equal">
      <formula>3</formula>
    </cfRule>
  </conditionalFormatting>
  <conditionalFormatting sqref="E360">
    <cfRule type="cellIs" dxfId="73" priority="81" stopIfTrue="1" operator="equal">
      <formula>1</formula>
    </cfRule>
    <cfRule type="cellIs" dxfId="72" priority="82" stopIfTrue="1" operator="equal">
      <formula>3</formula>
    </cfRule>
  </conditionalFormatting>
  <conditionalFormatting sqref="F360">
    <cfRule type="cellIs" dxfId="71" priority="83" stopIfTrue="1" operator="equal">
      <formula>1</formula>
    </cfRule>
    <cfRule type="cellIs" dxfId="70" priority="84" stopIfTrue="1" operator="equal">
      <formula>3</formula>
    </cfRule>
  </conditionalFormatting>
  <conditionalFormatting sqref="G360">
    <cfRule type="expression" dxfId="69" priority="85" stopIfTrue="1">
      <formula>IF(AND(G360&gt;0,#REF!=1),1,0)</formula>
    </cfRule>
    <cfRule type="expression" dxfId="68" priority="86" stopIfTrue="1">
      <formula>IF(AND(G360&gt;0,#REF!=1),1,0)</formula>
    </cfRule>
    <cfRule type="expression" dxfId="67" priority="87" stopIfTrue="1">
      <formula>IF(AND(G360&gt;0,F360=1),1,0)</formula>
    </cfRule>
  </conditionalFormatting>
  <conditionalFormatting sqref="H360">
    <cfRule type="expression" dxfId="66" priority="88" stopIfTrue="1">
      <formula>IF(AND(G360&gt;0,#REF!=1),1,0)</formula>
    </cfRule>
    <cfRule type="expression" dxfId="65" priority="89" stopIfTrue="1">
      <formula>IF(AND(G360&gt;0,#REF!=1),1,0)</formula>
    </cfRule>
    <cfRule type="expression" dxfId="64" priority="90" stopIfTrue="1">
      <formula>IF(AND(G360&gt;0,#REF!=1),1,0)</formula>
    </cfRule>
  </conditionalFormatting>
  <conditionalFormatting sqref="G360">
    <cfRule type="expression" dxfId="63" priority="73" stopIfTrue="1">
      <formula>IF(AND(G360&gt;0,D360=1),1,0)</formula>
    </cfRule>
    <cfRule type="expression" dxfId="62" priority="74" stopIfTrue="1">
      <formula>IF(AND(G360&gt;0,E360=1),1,0)</formula>
    </cfRule>
    <cfRule type="expression" dxfId="61" priority="75" stopIfTrue="1">
      <formula>IF(AND(G360&gt;0,F360=1),1,0)</formula>
    </cfRule>
  </conditionalFormatting>
  <conditionalFormatting sqref="H360">
    <cfRule type="expression" dxfId="60" priority="76" stopIfTrue="1">
      <formula>IF(AND(G360&gt;0,D360=1),1,0)</formula>
    </cfRule>
    <cfRule type="expression" dxfId="59" priority="77" stopIfTrue="1">
      <formula>IF(AND(G360&gt;0,E360=1),1,0)</formula>
    </cfRule>
    <cfRule type="expression" dxfId="58" priority="78" stopIfTrue="1">
      <formula>IF(AND(G360&gt;0,F360=1),1,0)</formula>
    </cfRule>
  </conditionalFormatting>
  <conditionalFormatting sqref="D288">
    <cfRule type="cellIs" dxfId="57" priority="61" stopIfTrue="1" operator="equal">
      <formula>1</formula>
    </cfRule>
    <cfRule type="cellIs" dxfId="56" priority="62" stopIfTrue="1" operator="equal">
      <formula>3</formula>
    </cfRule>
  </conditionalFormatting>
  <conditionalFormatting sqref="E288">
    <cfRule type="cellIs" dxfId="55" priority="63" stopIfTrue="1" operator="equal">
      <formula>1</formula>
    </cfRule>
    <cfRule type="cellIs" dxfId="54" priority="64" stopIfTrue="1" operator="equal">
      <formula>3</formula>
    </cfRule>
  </conditionalFormatting>
  <conditionalFormatting sqref="F288">
    <cfRule type="cellIs" dxfId="53" priority="65" stopIfTrue="1" operator="equal">
      <formula>1</formula>
    </cfRule>
    <cfRule type="cellIs" dxfId="52" priority="66" stopIfTrue="1" operator="equal">
      <formula>3</formula>
    </cfRule>
  </conditionalFormatting>
  <conditionalFormatting sqref="G288">
    <cfRule type="expression" dxfId="51" priority="67" stopIfTrue="1">
      <formula>IF(AND(G288&gt;0,#REF!=1),1,0)</formula>
    </cfRule>
    <cfRule type="expression" dxfId="50" priority="68" stopIfTrue="1">
      <formula>IF(AND(G288&gt;0,#REF!=1),1,0)</formula>
    </cfRule>
    <cfRule type="expression" dxfId="49" priority="69" stopIfTrue="1">
      <formula>IF(AND(G288&gt;0,F288=1),1,0)</formula>
    </cfRule>
  </conditionalFormatting>
  <conditionalFormatting sqref="H288">
    <cfRule type="expression" dxfId="48" priority="70" stopIfTrue="1">
      <formula>IF(AND(G288&gt;0,#REF!=1),1,0)</formula>
    </cfRule>
    <cfRule type="expression" dxfId="47" priority="71" stopIfTrue="1">
      <formula>IF(AND(G288&gt;0,#REF!=1),1,0)</formula>
    </cfRule>
    <cfRule type="expression" dxfId="46" priority="72" stopIfTrue="1">
      <formula>IF(AND(G288&gt;0,#REF!=1),1,0)</formula>
    </cfRule>
  </conditionalFormatting>
  <conditionalFormatting sqref="G288">
    <cfRule type="expression" dxfId="45" priority="55" stopIfTrue="1">
      <formula>IF(AND(G288&gt;0,D288=1),1,0)</formula>
    </cfRule>
    <cfRule type="expression" dxfId="44" priority="56" stopIfTrue="1">
      <formula>IF(AND(G288&gt;0,E288=1),1,0)</formula>
    </cfRule>
    <cfRule type="expression" dxfId="43" priority="57" stopIfTrue="1">
      <formula>IF(AND(G288&gt;0,F288=1),1,0)</formula>
    </cfRule>
  </conditionalFormatting>
  <conditionalFormatting sqref="H288">
    <cfRule type="expression" dxfId="42" priority="58" stopIfTrue="1">
      <formula>IF(AND(G288&gt;0,D288=1),1,0)</formula>
    </cfRule>
    <cfRule type="expression" dxfId="41" priority="59" stopIfTrue="1">
      <formula>IF(AND(G288&gt;0,E288=1),1,0)</formula>
    </cfRule>
    <cfRule type="expression" dxfId="40" priority="60" stopIfTrue="1">
      <formula>IF(AND(G288&gt;0,F288=1),1,0)</formula>
    </cfRule>
  </conditionalFormatting>
  <conditionalFormatting sqref="D262">
    <cfRule type="cellIs" dxfId="39" priority="43" stopIfTrue="1" operator="equal">
      <formula>1</formula>
    </cfRule>
    <cfRule type="cellIs" dxfId="38" priority="44" stopIfTrue="1" operator="equal">
      <formula>3</formula>
    </cfRule>
  </conditionalFormatting>
  <conditionalFormatting sqref="E262">
    <cfRule type="cellIs" dxfId="37" priority="45" stopIfTrue="1" operator="equal">
      <formula>1</formula>
    </cfRule>
    <cfRule type="cellIs" dxfId="36" priority="46" stopIfTrue="1" operator="equal">
      <formula>3</formula>
    </cfRule>
  </conditionalFormatting>
  <conditionalFormatting sqref="F262">
    <cfRule type="cellIs" dxfId="35" priority="47" stopIfTrue="1" operator="equal">
      <formula>1</formula>
    </cfRule>
    <cfRule type="cellIs" dxfId="34" priority="48" stopIfTrue="1" operator="equal">
      <formula>3</formula>
    </cfRule>
  </conditionalFormatting>
  <conditionalFormatting sqref="G262">
    <cfRule type="expression" dxfId="33" priority="49" stopIfTrue="1">
      <formula>IF(AND(G262&gt;0,#REF!=1),1,0)</formula>
    </cfRule>
    <cfRule type="expression" dxfId="32" priority="50" stopIfTrue="1">
      <formula>IF(AND(G262&gt;0,#REF!=1),1,0)</formula>
    </cfRule>
    <cfRule type="expression" dxfId="31" priority="51" stopIfTrue="1">
      <formula>IF(AND(G262&gt;0,F262=1),1,0)</formula>
    </cfRule>
  </conditionalFormatting>
  <conditionalFormatting sqref="H262">
    <cfRule type="expression" dxfId="30" priority="52" stopIfTrue="1">
      <formula>IF(AND(G262&gt;0,#REF!=1),1,0)</formula>
    </cfRule>
    <cfRule type="expression" dxfId="29" priority="53" stopIfTrue="1">
      <formula>IF(AND(G262&gt;0,#REF!=1),1,0)</formula>
    </cfRule>
    <cfRule type="expression" dxfId="28" priority="54" stopIfTrue="1">
      <formula>IF(AND(G262&gt;0,#REF!=1),1,0)</formula>
    </cfRule>
  </conditionalFormatting>
  <conditionalFormatting sqref="G262">
    <cfRule type="expression" dxfId="27" priority="37" stopIfTrue="1">
      <formula>IF(AND(G262&gt;0,D262=1),1,0)</formula>
    </cfRule>
    <cfRule type="expression" dxfId="26" priority="38" stopIfTrue="1">
      <formula>IF(AND(G262&gt;0,E262=1),1,0)</formula>
    </cfRule>
    <cfRule type="expression" dxfId="25" priority="39" stopIfTrue="1">
      <formula>IF(AND(G262&gt;0,F262=1),1,0)</formula>
    </cfRule>
  </conditionalFormatting>
  <conditionalFormatting sqref="H262">
    <cfRule type="expression" dxfId="24" priority="40" stopIfTrue="1">
      <formula>IF(AND(G262&gt;0,D262=1),1,0)</formula>
    </cfRule>
    <cfRule type="expression" dxfId="23" priority="41" stopIfTrue="1">
      <formula>IF(AND(G262&gt;0,E262=1),1,0)</formula>
    </cfRule>
    <cfRule type="expression" dxfId="22" priority="42" stopIfTrue="1">
      <formula>IF(AND(G262&gt;0,F262=1),1,0)</formula>
    </cfRule>
  </conditionalFormatting>
  <conditionalFormatting sqref="D387">
    <cfRule type="cellIs" dxfId="21" priority="25" stopIfTrue="1" operator="equal">
      <formula>1</formula>
    </cfRule>
    <cfRule type="cellIs" dxfId="20" priority="26" stopIfTrue="1" operator="equal">
      <formula>3</formula>
    </cfRule>
  </conditionalFormatting>
  <conditionalFormatting sqref="E387">
    <cfRule type="cellIs" dxfId="19" priority="27" stopIfTrue="1" operator="equal">
      <formula>1</formula>
    </cfRule>
    <cfRule type="cellIs" dxfId="18" priority="28" stopIfTrue="1" operator="equal">
      <formula>3</formula>
    </cfRule>
  </conditionalFormatting>
  <conditionalFormatting sqref="F387">
    <cfRule type="cellIs" dxfId="17" priority="29" stopIfTrue="1" operator="equal">
      <formula>1</formula>
    </cfRule>
    <cfRule type="cellIs" dxfId="16" priority="30" stopIfTrue="1" operator="equal">
      <formula>3</formula>
    </cfRule>
  </conditionalFormatting>
  <conditionalFormatting sqref="G387">
    <cfRule type="expression" dxfId="15" priority="31" stopIfTrue="1">
      <formula>IF(AND(G387&gt;0,#REF!=1),1,0)</formula>
    </cfRule>
    <cfRule type="expression" dxfId="14" priority="32" stopIfTrue="1">
      <formula>IF(AND(G387&gt;0,#REF!=1),1,0)</formula>
    </cfRule>
    <cfRule type="expression" dxfId="13" priority="33" stopIfTrue="1">
      <formula>IF(AND(G387&gt;0,F387=1),1,0)</formula>
    </cfRule>
  </conditionalFormatting>
  <conditionalFormatting sqref="H387">
    <cfRule type="expression" dxfId="12" priority="34" stopIfTrue="1">
      <formula>IF(AND(G387&gt;0,#REF!=1),1,0)</formula>
    </cfRule>
    <cfRule type="expression" dxfId="11" priority="35" stopIfTrue="1">
      <formula>IF(AND(G387&gt;0,#REF!=1),1,0)</formula>
    </cfRule>
    <cfRule type="expression" dxfId="10" priority="36" stopIfTrue="1">
      <formula>IF(AND(G387&gt;0,#REF!=1),1,0)</formula>
    </cfRule>
  </conditionalFormatting>
  <conditionalFormatting sqref="G387">
    <cfRule type="expression" dxfId="9" priority="19" stopIfTrue="1">
      <formula>IF(AND(G387&gt;0,D387=1),1,0)</formula>
    </cfRule>
    <cfRule type="expression" dxfId="8" priority="20" stopIfTrue="1">
      <formula>IF(AND(G387&gt;0,E387=1),1,0)</formula>
    </cfRule>
    <cfRule type="expression" dxfId="7" priority="21" stopIfTrue="1">
      <formula>IF(AND(G387&gt;0,F387=1),1,0)</formula>
    </cfRule>
  </conditionalFormatting>
  <conditionalFormatting sqref="H387">
    <cfRule type="expression" dxfId="6" priority="22" stopIfTrue="1">
      <formula>IF(AND(G387&gt;0,D387=1),1,0)</formula>
    </cfRule>
    <cfRule type="expression" dxfId="5" priority="23" stopIfTrue="1">
      <formula>IF(AND(G387&gt;0,E387=1),1,0)</formula>
    </cfRule>
    <cfRule type="expression" dxfId="4" priority="24" stopIfTrue="1">
      <formula>IF(AND(G387&gt;0,F387=1),1,0)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BY3048"/>
  <sheetViews>
    <sheetView workbookViewId="0">
      <selection activeCell="A247" sqref="A247:E247"/>
    </sheetView>
  </sheetViews>
  <sheetFormatPr baseColWidth="10" defaultRowHeight="13" x14ac:dyDescent="0"/>
  <cols>
    <col min="1" max="4" width="1.7109375" customWidth="1"/>
    <col min="11" max="18" width="22.5703125" customWidth="1"/>
  </cols>
  <sheetData>
    <row r="1" spans="1:16">
      <c r="F1" t="s">
        <v>2238</v>
      </c>
      <c r="G1" t="s">
        <v>2239</v>
      </c>
      <c r="H1" t="s">
        <v>1157</v>
      </c>
      <c r="I1" t="s">
        <v>1251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1318255</v>
      </c>
      <c r="G2" s="1">
        <f>LARGE(State!L3:P3,2)</f>
        <v>729547</v>
      </c>
      <c r="H2" s="1"/>
      <c r="I2" s="1">
        <f>State!C3-Graphs!F2-Graphs!G2-Graphs!H2</f>
        <v>75570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163387</v>
      </c>
      <c r="G3" s="1">
        <f>LARGE(State!L4:P4,2)</f>
        <v>116454</v>
      </c>
      <c r="H3" s="1"/>
      <c r="I3" s="1">
        <f>State!C4-Graphs!F3-Graphs!G3-Graphs!H3</f>
        <v>38767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1252401</v>
      </c>
      <c r="G4" s="1">
        <f>LARGE(State!L5:P5,2)</f>
        <v>1161167</v>
      </c>
      <c r="H4" s="1"/>
      <c r="I4" s="1">
        <f>State!C5-Graphs!F4-Graphs!G4-Graphs!H4</f>
        <v>191089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v>4</v>
      </c>
      <c r="E5" t="str">
        <f>State!A6</f>
        <v>Arkansas</v>
      </c>
      <c r="F5" s="1">
        <f>MAX(State!L6:P6)</f>
        <v>684872</v>
      </c>
      <c r="G5" s="1">
        <f>LARGE(State!L6:P6,2)</f>
        <v>380494</v>
      </c>
      <c r="H5" s="1"/>
      <c r="I5" s="1">
        <f>State!C6-Graphs!F5-Graphs!G5-Graphs!H5</f>
        <v>65269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8753792</v>
      </c>
      <c r="G6" s="1">
        <f>LARGE(State!L7:P7,2)</f>
        <v>4483814</v>
      </c>
      <c r="H6" s="1"/>
      <c r="I6" s="1">
        <f>State!C7-Graphs!F6-Graphs!G6-Graphs!H6</f>
        <v>1000287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1338870</v>
      </c>
      <c r="G7" s="1">
        <f>LARGE(State!L8:P8,2)</f>
        <v>1202484</v>
      </c>
      <c r="H7" s="1"/>
      <c r="I7" s="1">
        <f>State!C8-Graphs!F7-Graphs!G7-Graphs!H7</f>
        <v>238893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897572</v>
      </c>
      <c r="G8" s="1">
        <f>LARGE(State!L9:P9,2)</f>
        <v>673215</v>
      </c>
      <c r="H8" s="1"/>
      <c r="I8" s="1">
        <f>State!C9-Graphs!F8-Graphs!G8-Graphs!H8</f>
        <v>74133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235603</v>
      </c>
      <c r="G9" s="1">
        <f>LARGE(State!L10:P10,2)</f>
        <v>185127</v>
      </c>
      <c r="H9" s="1"/>
      <c r="I9" s="1">
        <f>State!C10-Graphs!F9-Graphs!G9-Graphs!H9</f>
        <v>23084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282830</v>
      </c>
      <c r="G10" s="1">
        <f>LARGE(State!L11:P11,2)</f>
        <v>12723</v>
      </c>
      <c r="H10" s="1"/>
      <c r="I10" s="1">
        <f>State!C11-Graphs!F10-Graphs!G10-Graphs!H10</f>
        <v>15715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4617886</v>
      </c>
      <c r="G11" s="1">
        <f>LARGE(State!L12:P12,2)</f>
        <v>4504975</v>
      </c>
      <c r="H11" s="1"/>
      <c r="I11" s="1">
        <f>State!C12-Graphs!F11-Graphs!G11-Graphs!H11</f>
        <v>379886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2089104</v>
      </c>
      <c r="G12" s="1">
        <f>LARGE(State!L13:P13,2)</f>
        <v>1877963</v>
      </c>
      <c r="H12" s="1"/>
      <c r="I12" s="1">
        <f>State!C13-Graphs!F12-Graphs!G12-Graphs!H12</f>
        <v>174380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266891</v>
      </c>
      <c r="G13" s="1">
        <f>LARGE(State!L14:P14,2)</f>
        <v>128847</v>
      </c>
      <c r="H13" s="1"/>
      <c r="I13" s="1">
        <f>State!C14-Graphs!F13-Graphs!G13-Graphs!H13</f>
        <v>33199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3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409055</v>
      </c>
      <c r="G14" s="1">
        <f>LARGE(State!L15:P15,2)</f>
        <v>189765</v>
      </c>
      <c r="H14" s="1">
        <f>LARGE(State!L15:P15,3)</f>
        <v>46476</v>
      </c>
      <c r="I14" s="1">
        <f>State!C15-Graphs!F14-Graphs!G14-Graphs!H14</f>
        <v>45137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3090729</v>
      </c>
      <c r="G15" s="1">
        <f>LARGE(State!L16:P16,2)</f>
        <v>2146015</v>
      </c>
      <c r="H15" s="1"/>
      <c r="I15" s="1">
        <f>State!C16-Graphs!F15-Graphs!G15-Graphs!H15</f>
        <v>358081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1557286</v>
      </c>
      <c r="G16" s="1">
        <f>LARGE(State!L17:P17,2)</f>
        <v>1033126</v>
      </c>
      <c r="H16" s="1"/>
      <c r="I16" s="1">
        <f>State!C17-Graphs!F16-Graphs!G16-Graphs!H16</f>
        <v>167553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800983</v>
      </c>
      <c r="G17" s="1">
        <f>LARGE(State!L18:P18,2)</f>
        <v>653669</v>
      </c>
      <c r="H17" s="1"/>
      <c r="I17" s="1">
        <f>State!C18-Graphs!F17-Graphs!G17-Graphs!H17</f>
        <v>111379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671018</v>
      </c>
      <c r="G18" s="1">
        <f>LARGE(State!L19:P19,2)</f>
        <v>427005</v>
      </c>
      <c r="H18" s="1"/>
      <c r="I18" s="1">
        <f>State!C19-Graphs!F18-Graphs!G18-Graphs!H18</f>
        <v>96732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v>4</v>
      </c>
      <c r="E19" t="str">
        <f>State!A20</f>
        <v>Kentucky</v>
      </c>
      <c r="F19" s="1">
        <f>MAX(State!L20:P20)</f>
        <v>1202971</v>
      </c>
      <c r="G19" s="1">
        <f>LARGE(State!L20:P20,2)</f>
        <v>628854</v>
      </c>
      <c r="H19" s="1"/>
      <c r="I19" s="1">
        <f>State!C20-Graphs!F19-Graphs!G19-Graphs!H19</f>
        <v>92325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1178638</v>
      </c>
      <c r="G20" s="1">
        <f>LARGE(State!L21:P21,2)</f>
        <v>780154</v>
      </c>
      <c r="H20" s="1"/>
      <c r="I20" s="1">
        <f>State!C21-Graphs!F20-Graphs!G20-Graphs!H20</f>
        <v>70240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357735</v>
      </c>
      <c r="G21" s="1">
        <f>LARGE(State!L22:P22,2)</f>
        <v>335593</v>
      </c>
      <c r="H21" s="1"/>
      <c r="I21" s="1">
        <f>State!C22-Graphs!F21-Graphs!G21-Graphs!H21</f>
        <v>54599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1677928</v>
      </c>
      <c r="G22" s="1">
        <f>LARGE(State!L23:P23,2)</f>
        <v>943169</v>
      </c>
      <c r="H22" s="1"/>
      <c r="I22" s="1">
        <f>State!C23-Graphs!F22-Graphs!G22-Graphs!H22</f>
        <v>160349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1995196</v>
      </c>
      <c r="G23" s="1">
        <f>LARGE(State!L24:P24,2)</f>
        <v>1090893</v>
      </c>
      <c r="H23" s="1"/>
      <c r="I23" s="1">
        <f>State!C24-Graphs!F23-Graphs!G23-Graphs!H23</f>
        <v>238957</v>
      </c>
    </row>
    <row r="24" spans="1:16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2279543</v>
      </c>
      <c r="G24" s="1">
        <f>LARGE(State!L25:P25,2)</f>
        <v>2268839</v>
      </c>
      <c r="H24" s="1"/>
      <c r="I24" s="1">
        <f>State!C25-Graphs!F24-Graphs!G24-Graphs!H24</f>
        <v>276160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v>4</v>
      </c>
      <c r="E25" t="str">
        <f>State!A26</f>
        <v>Minnesota</v>
      </c>
      <c r="F25" s="1">
        <f>MAX(State!L26:P26)</f>
        <v>1367825</v>
      </c>
      <c r="G25" s="1">
        <f>LARGE(State!L26:P26,2)</f>
        <v>1323232</v>
      </c>
      <c r="H25" s="1"/>
      <c r="I25" s="1">
        <f>State!C26-Graphs!F25-Graphs!G25-Graphs!H25</f>
        <v>254176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700714</v>
      </c>
      <c r="G26" s="1">
        <f>LARGE(State!L27:P27,2)</f>
        <v>485131</v>
      </c>
      <c r="H26" s="1"/>
      <c r="I26" s="1">
        <f>State!C27-Graphs!F26-Graphs!G26-Graphs!H26</f>
        <v>25243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1594511</v>
      </c>
      <c r="G27" s="1">
        <f>LARGE(State!L28:P28,2)</f>
        <v>1071068</v>
      </c>
      <c r="H27" s="1"/>
      <c r="I27" s="1">
        <f>State!C28-Graphs!F27-Graphs!G27-Graphs!H27</f>
        <v>162687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279240</v>
      </c>
      <c r="G28" s="1">
        <f>LARGE(State!L29:P29,2)</f>
        <v>177709</v>
      </c>
      <c r="H28" s="1"/>
      <c r="I28" s="1">
        <f>State!C29-Graphs!F28-Graphs!G28-Graphs!H28</f>
        <v>44873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495961</v>
      </c>
      <c r="G29" s="1">
        <f>LARGE(State!L30:P30,2)</f>
        <v>284494</v>
      </c>
      <c r="H29" s="1"/>
      <c r="I29" s="1">
        <f>State!C30-Graphs!F29-Graphs!G29-Graphs!H29</f>
        <v>63772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539260</v>
      </c>
      <c r="G30" s="1">
        <f>LARGE(State!L31:P31,2)</f>
        <v>512058</v>
      </c>
      <c r="H30" s="1"/>
      <c r="I30" s="1">
        <f>State!C31-Graphs!F30-Graphs!G30-Graphs!H30</f>
        <v>74067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348526</v>
      </c>
      <c r="G31" s="1">
        <f>LARGE(State!L32:P32,2)</f>
        <v>345790</v>
      </c>
      <c r="H31" s="1"/>
      <c r="I31" s="1">
        <f>State!C32-Graphs!F31-Graphs!G31-Graphs!H31</f>
        <v>49980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2148278</v>
      </c>
      <c r="G32" s="1">
        <f>LARGE(State!L33:P33,2)</f>
        <v>1601933</v>
      </c>
      <c r="H32" s="1"/>
      <c r="I32" s="1">
        <f>State!C33-Graphs!F32-Graphs!G32-Graphs!H32</f>
        <v>156512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385234</v>
      </c>
      <c r="G33" s="1">
        <f>LARGE(State!L34:P34,2)</f>
        <v>319667</v>
      </c>
      <c r="H33" s="1"/>
      <c r="I33" s="1">
        <f>State!C34-Graphs!F33-Graphs!G33-Graphs!H33</f>
        <v>93418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4556142</v>
      </c>
      <c r="G34" s="1">
        <f>LARGE(State!L35:P35,2)</f>
        <v>2819557</v>
      </c>
      <c r="H34" s="1"/>
      <c r="I34" s="1">
        <f>State!C35-Graphs!F34-Graphs!G34-Graphs!H34</f>
        <v>346096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2362631</v>
      </c>
      <c r="G35" s="1">
        <f>LARGE(State!L36:P36,2)</f>
        <v>2189316</v>
      </c>
      <c r="H35" s="1"/>
      <c r="I35" s="1">
        <f>State!C36-Graphs!F35-Graphs!G35-Graphs!H35</f>
        <v>189617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216794</v>
      </c>
      <c r="G36" s="1">
        <f>LARGE(State!L37:P37,2)</f>
        <v>93758</v>
      </c>
      <c r="H36" s="1"/>
      <c r="I36" s="1">
        <f>State!C37-Graphs!F36-Graphs!G36-Graphs!H36</f>
        <v>33808</v>
      </c>
    </row>
    <row r="37" spans="1:16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2841006</v>
      </c>
      <c r="G37" s="1">
        <f>LARGE(State!L38:P38,2)</f>
        <v>2394169</v>
      </c>
      <c r="H37" s="1"/>
      <c r="I37" s="1">
        <f>State!C38-Graphs!F37-Graphs!G37-Graphs!H37</f>
        <v>301372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949136</v>
      </c>
      <c r="G38" s="1">
        <f>LARGE(State!L39:P39,2)</f>
        <v>420375</v>
      </c>
      <c r="H38" s="1"/>
      <c r="I38" s="1">
        <f>State!C39-Graphs!F38-Graphs!G38-Graphs!H38</f>
        <v>83481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1002106</v>
      </c>
      <c r="G39" s="1">
        <f>LARGE(State!L40:P40,2)</f>
        <v>782403</v>
      </c>
      <c r="H39" s="1"/>
      <c r="I39" s="1">
        <f>State!C40-Graphs!F39-Graphs!G39-Graphs!H39</f>
        <v>216827</v>
      </c>
    </row>
    <row r="40" spans="1:16">
      <c r="A40">
        <f>IF(State!G41=1,1,IF(State!H41=1,2,IF(State!I41=1,3,4)))</f>
        <v>2</v>
      </c>
      <c r="B40">
        <f>IF(State!G41=2,1,IF(State!H41=2,2,IF(State!I41=2,3,4)))</f>
        <v>1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2970733</v>
      </c>
      <c r="G40" s="1">
        <f>LARGE(State!L41:P41,2)</f>
        <v>2926441</v>
      </c>
      <c r="H40" s="1"/>
      <c r="I40" s="1">
        <f>State!C41-Graphs!F40-Graphs!G40-Graphs!H40</f>
        <v>269555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252525</v>
      </c>
      <c r="G41" s="1">
        <f>LARGE(State!L42:P42,2)</f>
        <v>180543</v>
      </c>
      <c r="H41" s="1"/>
      <c r="I41" s="1">
        <f>State!C42-Graphs!F41-Graphs!G41-Graphs!H41</f>
        <v>31076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v>4</v>
      </c>
      <c r="E42" t="str">
        <f>State!A43</f>
        <v>South Carolina</v>
      </c>
      <c r="F42" s="1">
        <f>MAX(State!L43:P43)</f>
        <v>1155389</v>
      </c>
      <c r="G42" s="1">
        <f>LARGE(State!L43:P43,2)</f>
        <v>855373</v>
      </c>
      <c r="H42" s="1"/>
      <c r="I42" s="1">
        <f>State!C43-Graphs!F42-Graphs!G42-Graphs!H42</f>
        <v>92265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227721</v>
      </c>
      <c r="G43" s="1">
        <f>LARGE(State!L44:P44,2)</f>
        <v>117458</v>
      </c>
      <c r="H43" s="1"/>
      <c r="I43" s="1">
        <f>State!C44-Graphs!F43-Graphs!G43-Graphs!H43</f>
        <v>24914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1522925</v>
      </c>
      <c r="G44" s="1">
        <f>LARGE(State!L45:P45,2)</f>
        <v>870695</v>
      </c>
      <c r="H44" s="1"/>
      <c r="I44" s="1">
        <f>State!C45-Graphs!F44-Graphs!G44-Graphs!H44</f>
        <v>114407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4685047</v>
      </c>
      <c r="G45" s="1">
        <f>LARGE(State!L46:P46,2)</f>
        <v>3877868</v>
      </c>
      <c r="H45" s="1"/>
      <c r="I45" s="1">
        <f>State!C46-Graphs!F45-Graphs!G45-Graphs!H45</f>
        <v>430251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3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515231</v>
      </c>
      <c r="G46" s="1">
        <f>LARGE(State!L47:P47,2)</f>
        <v>310676</v>
      </c>
      <c r="H46" s="1">
        <f>LARGE(State!L47:P47,3)</f>
        <v>243690</v>
      </c>
      <c r="I46" s="1">
        <f>State!C47-Graphs!F46-Graphs!G46-Graphs!H46</f>
        <v>74004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178573</v>
      </c>
      <c r="G47" s="1">
        <f>LARGE(State!L48:P48,2)</f>
        <v>95369</v>
      </c>
      <c r="H47" s="1"/>
      <c r="I47" s="1">
        <f>State!C48-Graphs!F47-Graphs!G47-Graphs!H47</f>
        <v>41125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v>4</v>
      </c>
      <c r="E48" t="str">
        <f>State!A49</f>
        <v>Virginia</v>
      </c>
      <c r="F48" s="1">
        <f>MAX(State!L49:P49)</f>
        <v>1981473</v>
      </c>
      <c r="G48" s="1">
        <f>LARGE(State!L49:P49,2)</f>
        <v>1769443</v>
      </c>
      <c r="H48" s="1"/>
      <c r="I48" s="1">
        <f>State!C49-Graphs!F48-Graphs!G48-Graphs!H48</f>
        <v>231836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1742718</v>
      </c>
      <c r="G49" s="1">
        <f>LARGE(State!L50:P50,2)</f>
        <v>1221747</v>
      </c>
      <c r="H49" s="1"/>
      <c r="I49" s="1">
        <f>State!C50-Graphs!F49-Graphs!G49-Graphs!H49</f>
        <v>352531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489371</v>
      </c>
      <c r="G50" s="1">
        <f>LARGE(State!L51:P51,2)</f>
        <v>188794</v>
      </c>
      <c r="H50" s="1"/>
      <c r="I50" s="1">
        <f>State!C51-Graphs!F50-Graphs!G50-Graphs!H50</f>
        <v>43068</v>
      </c>
    </row>
    <row r="51" spans="1:16">
      <c r="A51">
        <f>IF(State!G52=1,1,IF(State!H52=1,2,IF(State!I52=1,3,4)))</f>
        <v>2</v>
      </c>
      <c r="B51">
        <f>IF(State!G52=2,1,IF(State!H52=2,2,IF(State!I52=2,3,4)))</f>
        <v>1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1405284</v>
      </c>
      <c r="G51" s="1">
        <f>LARGE(State!L52:P52,2)</f>
        <v>1382536</v>
      </c>
      <c r="H51" s="1"/>
      <c r="I51" s="1">
        <f>State!C52-Graphs!F51-Graphs!G51-Graphs!H51</f>
        <v>188330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174419</v>
      </c>
      <c r="G52" s="1">
        <f>LARGE(State!L53:P53,2)</f>
        <v>55973</v>
      </c>
      <c r="H52" s="1"/>
      <c r="I52" s="1">
        <f>State!C53-Graphs!F52-Graphs!G52-Graphs!H52</f>
        <v>25457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65853652</v>
      </c>
      <c r="G53" s="1">
        <f>LARGE(State!L54:P54,2)</f>
        <v>62985134</v>
      </c>
      <c r="H53" s="1"/>
      <c r="I53" s="1">
        <f>State!C54-Graphs!F53-Graphs!G53-Graphs!H53</f>
        <v>8286698</v>
      </c>
    </row>
    <row r="54" spans="1:16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585</v>
      </c>
      <c r="F54">
        <f>State!D54</f>
        <v>227</v>
      </c>
      <c r="G54">
        <f>State!E54</f>
        <v>304</v>
      </c>
      <c r="H54">
        <v>0</v>
      </c>
      <c r="I54">
        <f>538-G54-F54-H54</f>
        <v>7</v>
      </c>
    </row>
    <row r="55" spans="1:16">
      <c r="F55" s="57">
        <f>F54/SUM(F54:I54)</f>
        <v>0.42193308550185876</v>
      </c>
      <c r="G55" s="57">
        <f>G54/SUM(F54:I54)</f>
        <v>0.56505576208178443</v>
      </c>
    </row>
    <row r="56" spans="1:16">
      <c r="F56" s="2" t="str">
        <f>State!N1</f>
        <v>Trump</v>
      </c>
      <c r="G56" s="2" t="str">
        <f>State!L1</f>
        <v>Clinton</v>
      </c>
      <c r="H56" s="2"/>
    </row>
    <row r="57" spans="1:16">
      <c r="E57" t="s">
        <v>2370</v>
      </c>
      <c r="H57" t="s">
        <v>585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399</v>
      </c>
      <c r="G86" s="28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262</v>
      </c>
    </row>
    <row r="99" spans="5:13">
      <c r="E99" s="2" t="str">
        <f>Statistics!E28</f>
        <v>Trump</v>
      </c>
      <c r="F99" s="5">
        <f>Statistics!C63</f>
        <v>30</v>
      </c>
      <c r="G99" s="2">
        <f>F99/SUM(F$99:F$102)</f>
        <v>0.58823529411764708</v>
      </c>
      <c r="H99" s="5"/>
    </row>
    <row r="100" spans="5:13">
      <c r="E100" s="2" t="str">
        <f>Statistics!A28</f>
        <v>Clinton</v>
      </c>
      <c r="F100" s="5">
        <f>Statistics!B63</f>
        <v>21</v>
      </c>
      <c r="G100" s="2">
        <f>F100/SUM(F$99:F$102)</f>
        <v>0.41176470588235292</v>
      </c>
      <c r="H100" s="5"/>
    </row>
    <row r="101" spans="5:13">
      <c r="E101" s="2" t="str">
        <f>Statistics!I28</f>
        <v>McMullin</v>
      </c>
      <c r="F101" s="5">
        <f>Statistics!D63</f>
        <v>0</v>
      </c>
      <c r="G101" s="2">
        <f>F101/SUM(F$99:F$102)</f>
        <v>0</v>
      </c>
      <c r="H101" s="5"/>
    </row>
    <row r="102" spans="5:13">
      <c r="E102" t="s">
        <v>1251</v>
      </c>
      <c r="F102" s="5">
        <f>Statistics!P63</f>
        <v>0</v>
      </c>
      <c r="G102" s="2">
        <f>F102/SUM(F$99:F$102)</f>
        <v>0</v>
      </c>
      <c r="H102" s="5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377</v>
      </c>
      <c r="G110" s="2"/>
      <c r="I110" s="2"/>
      <c r="K110" s="2"/>
    </row>
    <row r="111" spans="5:13">
      <c r="E111" s="2" t="str">
        <f>E99</f>
        <v>Trump</v>
      </c>
      <c r="F111" s="5" t="e">
        <f>Statistics!#REF!</f>
        <v>#REF!</v>
      </c>
      <c r="G111" s="2" t="e">
        <f>F111/SUM(F$111:F$114)</f>
        <v>#REF!</v>
      </c>
      <c r="I111" s="2"/>
      <c r="K111" s="5"/>
    </row>
    <row r="112" spans="5:13">
      <c r="E112" s="2" t="str">
        <f>E100</f>
        <v>Clinton</v>
      </c>
      <c r="F112" s="5" t="e">
        <f>Statistics!#REF!</f>
        <v>#REF!</v>
      </c>
      <c r="G112" s="2" t="e">
        <f>F112/SUM(F$111:F$114)</f>
        <v>#REF!</v>
      </c>
      <c r="I112" s="2"/>
      <c r="K112" s="5"/>
    </row>
    <row r="113" spans="5:12">
      <c r="E113" s="2" t="str">
        <f>E101</f>
        <v>McMullin</v>
      </c>
      <c r="F113" s="5" t="e">
        <f>Statistics!#REF!</f>
        <v>#REF!</v>
      </c>
      <c r="G113" s="2" t="e">
        <f>F113/SUM(F$111:F$114)</f>
        <v>#REF!</v>
      </c>
      <c r="K113" s="5"/>
    </row>
    <row r="114" spans="5:1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898</v>
      </c>
    </row>
    <row r="123" spans="5:12">
      <c r="E123" s="2" t="str">
        <f>E99</f>
        <v>Trump</v>
      </c>
      <c r="F123" s="5">
        <f>Statistics!C68</f>
        <v>2649</v>
      </c>
      <c r="G123" s="2">
        <f>F123/SUM(F$123:F$126)</f>
        <v>0.83961965134706817</v>
      </c>
    </row>
    <row r="124" spans="5:12">
      <c r="E124" s="2" t="str">
        <f>E100</f>
        <v>Clinton</v>
      </c>
      <c r="F124" s="5">
        <f>Statistics!B68</f>
        <v>506</v>
      </c>
      <c r="G124" s="2">
        <f>F124/SUM(F$123:F$126)</f>
        <v>0.16038034865293185</v>
      </c>
    </row>
    <row r="125" spans="5:12">
      <c r="E125" s="2" t="str">
        <f>E101</f>
        <v>McMullin</v>
      </c>
      <c r="F125" s="5">
        <f>Statistics!D68</f>
        <v>0</v>
      </c>
      <c r="G125" s="2">
        <f>F125/SUM(F$123:F$126)</f>
        <v>0</v>
      </c>
    </row>
    <row r="126" spans="5:12">
      <c r="E126" s="2" t="str">
        <f>E102</f>
        <v>Other</v>
      </c>
      <c r="F126" s="5">
        <v>0</v>
      </c>
      <c r="G126" s="2">
        <f>F126/SUM(F$123:F$126)</f>
        <v>0</v>
      </c>
    </row>
    <row r="135" spans="1:18">
      <c r="A135" s="62" t="s">
        <v>1033</v>
      </c>
    </row>
    <row r="136" spans="1:18">
      <c r="A136" s="8">
        <v>1</v>
      </c>
      <c r="B136" s="8">
        <v>2</v>
      </c>
      <c r="C136" s="8">
        <v>3</v>
      </c>
      <c r="D136" s="8">
        <v>4</v>
      </c>
      <c r="E136" s="8" t="s">
        <v>3154</v>
      </c>
      <c r="F136" s="63" t="s">
        <v>1769</v>
      </c>
      <c r="G136" s="63" t="s">
        <v>1770</v>
      </c>
      <c r="H136" s="63" t="s">
        <v>1606</v>
      </c>
      <c r="I136" s="63" t="s">
        <v>374</v>
      </c>
      <c r="J136" s="8" t="s">
        <v>621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8">
        <f>IF(County!D335=1,1,IF(County!E335=1,2,IF(County!F335=1,3,0)))</f>
        <v>1</v>
      </c>
      <c r="B137" s="8">
        <f>IF(County!D335=2,1,IF(County!E335=2,2,IF(County!F335=2,3,0)))</f>
        <v>2</v>
      </c>
      <c r="C137" s="8">
        <f>IF(County!D335=3,1,IF(County!E335=3,2,IF(County!F335=3,3,0)))</f>
        <v>0</v>
      </c>
      <c r="D137" s="8">
        <v>4</v>
      </c>
      <c r="E137" s="8" t="str">
        <f>County!A335</f>
        <v>Fairfield</v>
      </c>
      <c r="F137" s="63">
        <f>MAX(County!N335:W335)</f>
        <v>243852</v>
      </c>
      <c r="G137" s="63">
        <f>LARGE(County!N335:W335,2)</f>
        <v>160077</v>
      </c>
      <c r="H137" s="63"/>
      <c r="I137" s="63">
        <f>County!C335-F137-G137-H137</f>
        <v>17280</v>
      </c>
      <c r="J137" s="63">
        <f>County!BL335</f>
        <v>9001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IF(County!D336=1,1,IF(County!E336=1,2,IF(County!F336=1,3,0)))</f>
        <v>1</v>
      </c>
      <c r="B138" s="8">
        <f>IF(County!D336=2,1,IF(County!E336=2,2,IF(County!F336=2,3,0)))</f>
        <v>2</v>
      </c>
      <c r="C138" s="8">
        <f>IF(County!D336=3,1,IF(County!E336=3,2,IF(County!F336=3,3,0)))</f>
        <v>0</v>
      </c>
      <c r="D138" s="8">
        <v>4</v>
      </c>
      <c r="E138" s="8" t="str">
        <f>County!A336</f>
        <v>Hartford</v>
      </c>
      <c r="F138" s="63">
        <f>MAX(County!N336:W336)</f>
        <v>240403</v>
      </c>
      <c r="G138" s="63">
        <f>LARGE(County!N336:W336,2)</f>
        <v>148173</v>
      </c>
      <c r="H138" s="63"/>
      <c r="I138" s="63">
        <f>County!C336-F138-G138-H138</f>
        <v>18288</v>
      </c>
      <c r="J138" s="63">
        <f>County!BL336</f>
        <v>9003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IF(County!D337=1,1,IF(County!E337=1,2,IF(County!F337=1,3,0)))</f>
        <v>2</v>
      </c>
      <c r="B139" s="8">
        <f>IF(County!D337=2,1,IF(County!E337=2,2,IF(County!F337=2,3,0)))</f>
        <v>1</v>
      </c>
      <c r="C139" s="8">
        <f>IF(County!D337=3,1,IF(County!E337=3,2,IF(County!F337=3,3,0)))</f>
        <v>0</v>
      </c>
      <c r="D139" s="8">
        <v>4</v>
      </c>
      <c r="E139" s="8" t="str">
        <f>County!A337</f>
        <v>Litchfield</v>
      </c>
      <c r="F139" s="63">
        <f>MAX(County!N337:W337)</f>
        <v>53051</v>
      </c>
      <c r="G139" s="63">
        <f>LARGE(County!N337:W337,2)</f>
        <v>39775</v>
      </c>
      <c r="H139" s="63"/>
      <c r="I139" s="63">
        <f>County!C337-F139-G139-H139</f>
        <v>4616</v>
      </c>
      <c r="J139" s="63">
        <f>County!BL337</f>
        <v>9005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IF(County!D338=1,1,IF(County!E338=1,2,IF(County!F338=1,3,0)))</f>
        <v>1</v>
      </c>
      <c r="B140" s="8">
        <f>IF(County!D338=2,1,IF(County!E338=2,2,IF(County!F338=2,3,0)))</f>
        <v>2</v>
      </c>
      <c r="C140" s="8">
        <f>IF(County!D338=3,1,IF(County!E338=3,2,IF(County!F338=3,3,0)))</f>
        <v>0</v>
      </c>
      <c r="D140" s="8">
        <v>4</v>
      </c>
      <c r="E140" s="8" t="str">
        <f>County!A338</f>
        <v>Middlesex</v>
      </c>
      <c r="F140" s="63">
        <f>MAX(County!N338:W338)</f>
        <v>45357</v>
      </c>
      <c r="G140" s="63">
        <f>LARGE(County!N338:W338,2)</f>
        <v>38867</v>
      </c>
      <c r="H140" s="63"/>
      <c r="I140" s="63">
        <f>County!C338-F140-G140-H140</f>
        <v>4400</v>
      </c>
      <c r="J140" s="63">
        <f>County!BL338</f>
        <v>9007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IF(County!D339=1,1,IF(County!E339=1,2,IF(County!F339=1,3,0)))</f>
        <v>1</v>
      </c>
      <c r="B141" s="8">
        <f>IF(County!D339=2,1,IF(County!E339=2,2,IF(County!F339=2,3,0)))</f>
        <v>2</v>
      </c>
      <c r="C141" s="8">
        <f>IF(County!D339=3,1,IF(County!E339=3,2,IF(County!F339=3,3,0)))</f>
        <v>0</v>
      </c>
      <c r="D141" s="8">
        <v>4</v>
      </c>
      <c r="E141" s="8" t="str">
        <f>County!A339</f>
        <v>New Haven</v>
      </c>
      <c r="F141" s="63">
        <f>MAX(County!N339:W339)</f>
        <v>205609</v>
      </c>
      <c r="G141" s="63">
        <f>LARGE(County!N339:W339,2)</f>
        <v>159048</v>
      </c>
      <c r="H141" s="63"/>
      <c r="I141" s="63">
        <f>County!C339-F141-G141-H141</f>
        <v>14349</v>
      </c>
      <c r="J141" s="63">
        <f>County!BL339</f>
        <v>9009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IF(County!D340=1,1,IF(County!E340=1,2,IF(County!F340=1,3,0)))</f>
        <v>1</v>
      </c>
      <c r="B142" s="8">
        <f>IF(County!D340=2,1,IF(County!E340=2,2,IF(County!F340=2,3,0)))</f>
        <v>2</v>
      </c>
      <c r="C142" s="8">
        <f>IF(County!D340=3,1,IF(County!E340=3,2,IF(County!F340=3,3,0)))</f>
        <v>0</v>
      </c>
      <c r="D142" s="8">
        <v>4</v>
      </c>
      <c r="E142" s="8" t="str">
        <f>County!A340</f>
        <v>New London</v>
      </c>
      <c r="F142" s="63">
        <f>MAX(County!N340:W340)</f>
        <v>62278</v>
      </c>
      <c r="G142" s="63">
        <f>LARGE(County!N340:W340,2)</f>
        <v>54058</v>
      </c>
      <c r="H142" s="63"/>
      <c r="I142" s="63">
        <f>County!C340-F142-G142-H142</f>
        <v>7192</v>
      </c>
      <c r="J142" s="63">
        <f>County!BL340</f>
        <v>9011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IF(County!D341=1,1,IF(County!E341=1,2,IF(County!F341=1,3,0)))</f>
        <v>1</v>
      </c>
      <c r="B143" s="8">
        <f>IF(County!D341=2,1,IF(County!E341=2,2,IF(County!F341=2,3,0)))</f>
        <v>2</v>
      </c>
      <c r="C143" s="8">
        <f>IF(County!D341=3,1,IF(County!E341=3,2,IF(County!F341=3,3,0)))</f>
        <v>0</v>
      </c>
      <c r="D143" s="8">
        <v>4</v>
      </c>
      <c r="E143" s="8" t="str">
        <f>County!A341</f>
        <v>Tolland</v>
      </c>
      <c r="F143" s="63">
        <f>MAX(County!N341:W341)</f>
        <v>38506</v>
      </c>
      <c r="G143" s="63">
        <f>LARGE(County!N341:W341,2)</f>
        <v>34194</v>
      </c>
      <c r="H143" s="63"/>
      <c r="I143" s="63">
        <f>County!C341-F143-G143-H143</f>
        <v>4724</v>
      </c>
      <c r="J143" s="63">
        <f>County!BL341</f>
        <v>9013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IF(County!D342=1,1,IF(County!E342=1,2,IF(County!F342=1,3,0)))</f>
        <v>2</v>
      </c>
      <c r="B144" s="8">
        <f>IF(County!D342=2,1,IF(County!E342=2,2,IF(County!F342=2,3,0)))</f>
        <v>1</v>
      </c>
      <c r="C144" s="8">
        <f>IF(County!D342=3,1,IF(County!E342=3,2,IF(County!F342=3,3,0)))</f>
        <v>0</v>
      </c>
      <c r="D144" s="8">
        <v>4</v>
      </c>
      <c r="E144" s="8" t="str">
        <f>County!A342</f>
        <v>Windham</v>
      </c>
      <c r="F144" s="63">
        <f>MAX(County!N342:W342)</f>
        <v>25747</v>
      </c>
      <c r="G144" s="63">
        <f>LARGE(County!N342:W342,2)</f>
        <v>21792</v>
      </c>
      <c r="H144" s="63"/>
      <c r="I144" s="63">
        <f>County!C342-F144-G144-H144</f>
        <v>3284</v>
      </c>
      <c r="J144" s="63">
        <f>County!BL342</f>
        <v>9015</v>
      </c>
      <c r="K144" s="8"/>
      <c r="L144" s="8"/>
      <c r="M144" s="8"/>
      <c r="N144" s="8"/>
      <c r="O144" s="8"/>
      <c r="P144" s="8"/>
      <c r="Q144" s="8"/>
    </row>
    <row r="145" spans="1:18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>
      <c r="A149" s="62" t="s">
        <v>3172</v>
      </c>
    </row>
    <row r="150" spans="1:18">
      <c r="A150" s="8">
        <v>1</v>
      </c>
      <c r="B150" s="8">
        <v>2</v>
      </c>
      <c r="C150" s="8">
        <v>3</v>
      </c>
      <c r="D150" s="8">
        <v>4</v>
      </c>
      <c r="E150" s="8" t="s">
        <v>3154</v>
      </c>
      <c r="F150" s="63" t="s">
        <v>1769</v>
      </c>
      <c r="G150" s="63" t="s">
        <v>1770</v>
      </c>
      <c r="H150" s="63" t="s">
        <v>1606</v>
      </c>
      <c r="I150" s="63" t="s">
        <v>374</v>
      </c>
      <c r="J150" s="8" t="s">
        <v>621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8">
        <f>IF(County!D1229=1,1,IF(County!E1229=1,2,IF(County!F1229=1,3,0)))</f>
        <v>2</v>
      </c>
      <c r="B151" s="8">
        <f>IF(County!D1229=2,1,IF(County!E1229=2,2,IF(County!F1229=2,3,0)))</f>
        <v>1</v>
      </c>
      <c r="C151" s="8">
        <f>IF(County!D1229=3,1,IF(County!E1229=3,2,IF(County!F1229=3,3,0)))</f>
        <v>0</v>
      </c>
      <c r="D151" s="8">
        <v>4</v>
      </c>
      <c r="E151" s="8" t="str">
        <f>County!A1229</f>
        <v>Androscoggin</v>
      </c>
      <c r="F151" s="63">
        <f>MAX(County!N1229:W1229)</f>
        <v>28227</v>
      </c>
      <c r="G151" s="63">
        <f>LARGE(County!N1229:W1229,2)</f>
        <v>23009</v>
      </c>
      <c r="H151" s="63"/>
      <c r="I151" s="63">
        <f>County!C1229-F151-G151-H151</f>
        <v>4365</v>
      </c>
      <c r="J151" s="63">
        <f>County!BL1229</f>
        <v>23001</v>
      </c>
      <c r="K151" s="8"/>
      <c r="L151" s="8"/>
      <c r="M151" s="8"/>
      <c r="N151" s="8"/>
      <c r="O151" s="8"/>
      <c r="P151" s="8"/>
      <c r="Q151" s="8"/>
    </row>
    <row r="152" spans="1:18">
      <c r="A152" s="8">
        <f>IF(County!D1230=1,1,IF(County!E1230=1,2,IF(County!F1230=1,3,0)))</f>
        <v>2</v>
      </c>
      <c r="B152" s="8">
        <f>IF(County!D1230=2,1,IF(County!E1230=2,2,IF(County!F1230=2,3,0)))</f>
        <v>1</v>
      </c>
      <c r="C152" s="8">
        <f>IF(County!D1230=3,1,IF(County!E1230=3,2,IF(County!F1230=3,3,0)))</f>
        <v>0</v>
      </c>
      <c r="D152" s="8">
        <v>4</v>
      </c>
      <c r="E152" s="8" t="str">
        <f>County!A1230</f>
        <v>Aroostook</v>
      </c>
      <c r="F152" s="63">
        <f>MAX(County!N1230:W1230)</f>
        <v>19419</v>
      </c>
      <c r="G152" s="63">
        <f>LARGE(County!N1230:W1230,2)</f>
        <v>13386</v>
      </c>
      <c r="H152" s="63"/>
      <c r="I152" s="63">
        <f>County!C1230-F152-G152-H152</f>
        <v>2292</v>
      </c>
      <c r="J152" s="63">
        <f>County!BL1230</f>
        <v>23003</v>
      </c>
      <c r="K152" s="8"/>
      <c r="L152" s="8"/>
      <c r="M152" s="8"/>
      <c r="N152" s="8"/>
      <c r="O152" s="8"/>
      <c r="P152" s="8"/>
      <c r="Q152" s="8"/>
    </row>
    <row r="153" spans="1:18">
      <c r="A153" s="8">
        <f>IF(County!D1231=1,1,IF(County!E1231=1,2,IF(County!F1231=1,3,0)))</f>
        <v>1</v>
      </c>
      <c r="B153" s="8">
        <f>IF(County!D1231=2,1,IF(County!E1231=2,2,IF(County!F1231=2,3,0)))</f>
        <v>2</v>
      </c>
      <c r="C153" s="8">
        <f>IF(County!D1231=3,1,IF(County!E1231=3,2,IF(County!F1231=3,3,0)))</f>
        <v>0</v>
      </c>
      <c r="D153" s="8">
        <v>4</v>
      </c>
      <c r="E153" s="8" t="str">
        <f>County!A1231</f>
        <v>Cumberland</v>
      </c>
      <c r="F153" s="63">
        <f>MAX(County!N1231:W1231)</f>
        <v>102981</v>
      </c>
      <c r="G153" s="63">
        <f>LARGE(County!N1231:W1231,2)</f>
        <v>57709</v>
      </c>
      <c r="H153" s="63"/>
      <c r="I153" s="63">
        <f>County!C1231-F153-G153-H153</f>
        <v>11128</v>
      </c>
      <c r="J153" s="63">
        <f>County!BL1231</f>
        <v>23005</v>
      </c>
      <c r="K153" s="8"/>
      <c r="L153" s="8"/>
      <c r="M153" s="8"/>
      <c r="N153" s="8"/>
      <c r="O153" s="8"/>
      <c r="P153" s="8"/>
      <c r="Q153" s="8"/>
    </row>
    <row r="154" spans="1:18">
      <c r="A154" s="8">
        <f>IF(County!D1232=1,1,IF(County!E1232=1,2,IF(County!F1232=1,3,0)))</f>
        <v>2</v>
      </c>
      <c r="B154" s="8">
        <f>IF(County!D1232=2,1,IF(County!E1232=2,2,IF(County!F1232=2,3,0)))</f>
        <v>1</v>
      </c>
      <c r="C154" s="8">
        <f>IF(County!D1232=3,1,IF(County!E1232=3,2,IF(County!F1232=3,3,0)))</f>
        <v>0</v>
      </c>
      <c r="D154" s="8">
        <v>4</v>
      </c>
      <c r="E154" s="8" t="str">
        <f>County!A1232</f>
        <v>Franklin</v>
      </c>
      <c r="F154" s="63">
        <f>MAX(County!N1232:W1232)</f>
        <v>7918</v>
      </c>
      <c r="G154" s="63">
        <f>LARGE(County!N1232:W1232,2)</f>
        <v>7016</v>
      </c>
      <c r="H154" s="63"/>
      <c r="I154" s="63">
        <f>County!C1232-F154-G154-H154</f>
        <v>1554</v>
      </c>
      <c r="J154" s="63">
        <f>County!BL1232</f>
        <v>23007</v>
      </c>
      <c r="K154" s="8"/>
      <c r="L154" s="8"/>
      <c r="M154" s="8"/>
      <c r="N154" s="8"/>
      <c r="O154" s="8"/>
      <c r="P154" s="8"/>
      <c r="Q154" s="8"/>
    </row>
    <row r="155" spans="1:18">
      <c r="A155" s="8">
        <f>IF(County!D1233=1,1,IF(County!E1233=1,2,IF(County!F1233=1,3,0)))</f>
        <v>1</v>
      </c>
      <c r="B155" s="8">
        <f>IF(County!D1233=2,1,IF(County!E1233=2,2,IF(County!F1233=2,3,0)))</f>
        <v>2</v>
      </c>
      <c r="C155" s="8">
        <f>IF(County!D1233=3,1,IF(County!E1233=3,2,IF(County!F1233=3,3,0)))</f>
        <v>0</v>
      </c>
      <c r="D155" s="8">
        <v>4</v>
      </c>
      <c r="E155" s="8" t="str">
        <f>County!A1233</f>
        <v>Hancock</v>
      </c>
      <c r="F155" s="63">
        <f>MAX(County!N1233:W1233)</f>
        <v>16117</v>
      </c>
      <c r="G155" s="63">
        <f>LARGE(County!N1233:W1233,2)</f>
        <v>13705</v>
      </c>
      <c r="H155" s="63"/>
      <c r="I155" s="63">
        <f>County!C1233-F155-G155-H155</f>
        <v>2308</v>
      </c>
      <c r="J155" s="63">
        <f>County!BL1233</f>
        <v>23009</v>
      </c>
      <c r="K155" s="8"/>
      <c r="L155" s="8"/>
      <c r="M155" s="8"/>
      <c r="N155" s="8"/>
      <c r="O155" s="8"/>
      <c r="P155" s="8"/>
      <c r="Q155" s="8"/>
    </row>
    <row r="156" spans="1:18">
      <c r="A156" s="8">
        <f>IF(County!D1234=1,1,IF(County!E1234=1,2,IF(County!F1234=1,3,0)))</f>
        <v>2</v>
      </c>
      <c r="B156" s="8">
        <f>IF(County!D1234=2,1,IF(County!E1234=2,2,IF(County!F1234=2,3,0)))</f>
        <v>1</v>
      </c>
      <c r="C156" s="8">
        <f>IF(County!D1234=3,1,IF(County!E1234=3,2,IF(County!F1234=3,3,0)))</f>
        <v>0</v>
      </c>
      <c r="D156" s="8">
        <v>4</v>
      </c>
      <c r="E156" s="8" t="str">
        <f>County!A1234</f>
        <v>Kennebec</v>
      </c>
      <c r="F156" s="63">
        <f>MAX(County!N1234:W1234)</f>
        <v>31675</v>
      </c>
      <c r="G156" s="63">
        <f>LARGE(County!N1234:W1234,2)</f>
        <v>29302</v>
      </c>
      <c r="H156" s="63"/>
      <c r="I156" s="63">
        <f>County!C1234-F156-G156-H156</f>
        <v>5231</v>
      </c>
      <c r="J156" s="63">
        <f>County!BL1234</f>
        <v>23011</v>
      </c>
      <c r="K156" s="8"/>
      <c r="L156" s="8"/>
      <c r="M156" s="8"/>
      <c r="N156" s="8"/>
      <c r="O156" s="8"/>
      <c r="P156" s="8"/>
      <c r="Q156" s="8"/>
    </row>
    <row r="157" spans="1:18">
      <c r="A157" s="8">
        <f>IF(County!D1235=1,1,IF(County!E1235=1,2,IF(County!F1235=1,3,0)))</f>
        <v>1</v>
      </c>
      <c r="B157" s="8">
        <f>IF(County!D1235=2,1,IF(County!E1235=2,2,IF(County!F1235=2,3,0)))</f>
        <v>2</v>
      </c>
      <c r="C157" s="8">
        <f>IF(County!D1235=3,1,IF(County!E1235=3,2,IF(County!F1235=3,3,0)))</f>
        <v>0</v>
      </c>
      <c r="D157" s="8">
        <v>4</v>
      </c>
      <c r="E157" s="8" t="str">
        <f>County!A1235</f>
        <v>Knox</v>
      </c>
      <c r="F157" s="63">
        <f>MAX(County!N1235:W1235)</f>
        <v>12443</v>
      </c>
      <c r="G157" s="63">
        <f>LARGE(County!N1235:W1235,2)</f>
        <v>9148</v>
      </c>
      <c r="H157" s="63"/>
      <c r="I157" s="63">
        <f>County!C1235-F157-G157-H157</f>
        <v>1556</v>
      </c>
      <c r="J157" s="63">
        <f>County!BL1235</f>
        <v>23013</v>
      </c>
      <c r="K157" s="8"/>
      <c r="L157" s="8"/>
      <c r="M157" s="8"/>
      <c r="N157" s="8"/>
      <c r="O157" s="8"/>
      <c r="P157" s="8"/>
      <c r="Q157" s="8"/>
    </row>
    <row r="158" spans="1:18">
      <c r="A158" s="8">
        <f>IF(County!D1236=1,1,IF(County!E1236=1,2,IF(County!F1236=1,3,0)))</f>
        <v>1</v>
      </c>
      <c r="B158" s="8">
        <f>IF(County!D1236=2,1,IF(County!E1236=2,2,IF(County!F1236=2,3,0)))</f>
        <v>2</v>
      </c>
      <c r="C158" s="8">
        <f>IF(County!D1236=3,1,IF(County!E1236=3,2,IF(County!F1236=3,3,0)))</f>
        <v>0</v>
      </c>
      <c r="D158" s="8">
        <v>4</v>
      </c>
      <c r="E158" s="8" t="str">
        <f>County!A1236</f>
        <v>Lincoln</v>
      </c>
      <c r="F158" s="63">
        <f>MAX(County!N1236:W1236)</f>
        <v>10241</v>
      </c>
      <c r="G158" s="63">
        <f>LARGE(County!N1236:W1236,2)</f>
        <v>9727</v>
      </c>
      <c r="H158" s="63"/>
      <c r="I158" s="63">
        <f>County!C1236-F158-G158-H158</f>
        <v>1535</v>
      </c>
      <c r="J158" s="63">
        <f>County!BL1236</f>
        <v>23015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IF(County!D1237=1,1,IF(County!E1237=1,2,IF(County!F1237=1,3,0)))</f>
        <v>2</v>
      </c>
      <c r="B159" s="8">
        <f>IF(County!D1237=2,1,IF(County!E1237=2,2,IF(County!F1237=2,3,0)))</f>
        <v>1</v>
      </c>
      <c r="C159" s="8">
        <f>IF(County!D1237=3,1,IF(County!E1237=3,2,IF(County!F1237=3,3,0)))</f>
        <v>0</v>
      </c>
      <c r="D159" s="8">
        <v>4</v>
      </c>
      <c r="E159" s="8" t="str">
        <f>County!A1237</f>
        <v>Oxford</v>
      </c>
      <c r="F159" s="63">
        <f>MAX(County!N1237:W1237)</f>
        <v>16210</v>
      </c>
      <c r="G159" s="63">
        <f>LARGE(County!N1237:W1237,2)</f>
        <v>12172</v>
      </c>
      <c r="H159" s="63"/>
      <c r="I159" s="63">
        <f>County!C1237-F159-G159-H159</f>
        <v>2819</v>
      </c>
      <c r="J159" s="63">
        <f>County!BL1237</f>
        <v>23017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IF(County!D1238=1,1,IF(County!E1238=1,2,IF(County!F1238=1,3,0)))</f>
        <v>2</v>
      </c>
      <c r="B160" s="8">
        <f>IF(County!D1238=2,1,IF(County!E1238=2,2,IF(County!F1238=2,3,0)))</f>
        <v>1</v>
      </c>
      <c r="C160" s="8">
        <f>IF(County!D1238=3,1,IF(County!E1238=3,2,IF(County!F1238=3,3,0)))</f>
        <v>0</v>
      </c>
      <c r="D160" s="8">
        <v>4</v>
      </c>
      <c r="E160" s="8" t="str">
        <f>County!A1238</f>
        <v>Penobscot</v>
      </c>
      <c r="F160" s="63">
        <f>MAX(County!N1238:W1238)</f>
        <v>41622</v>
      </c>
      <c r="G160" s="63">
        <f>LARGE(County!N1238:W1238,2)</f>
        <v>32838</v>
      </c>
      <c r="H160" s="63"/>
      <c r="I160" s="63">
        <f>County!C1238-F160-G160-H160</f>
        <v>6080</v>
      </c>
      <c r="J160" s="63">
        <f>County!BL1238</f>
        <v>23019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IF(County!D1239=1,1,IF(County!E1239=1,2,IF(County!F1239=1,3,0)))</f>
        <v>2</v>
      </c>
      <c r="B161" s="8">
        <f>IF(County!D1239=2,1,IF(County!E1239=2,2,IF(County!F1239=2,3,0)))</f>
        <v>1</v>
      </c>
      <c r="C161" s="8">
        <f>IF(County!D1239=3,1,IF(County!E1239=3,2,IF(County!F1239=3,3,0)))</f>
        <v>0</v>
      </c>
      <c r="D161" s="8">
        <v>4</v>
      </c>
      <c r="E161" s="8" t="str">
        <f>County!A1239</f>
        <v>Piscataquis</v>
      </c>
      <c r="F161" s="63">
        <f>MAX(County!N1239:W1239)</f>
        <v>5406</v>
      </c>
      <c r="G161" s="63">
        <f>LARGE(County!N1239:W1239,2)</f>
        <v>3098</v>
      </c>
      <c r="H161" s="63"/>
      <c r="I161" s="63">
        <f>County!C1239-F161-G161-H161</f>
        <v>678</v>
      </c>
      <c r="J161" s="63">
        <f>County!BL1239</f>
        <v>23021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IF(County!D1240=1,1,IF(County!E1240=1,2,IF(County!F1240=1,3,0)))</f>
        <v>1</v>
      </c>
      <c r="B162" s="8">
        <f>IF(County!D1240=2,1,IF(County!E1240=2,2,IF(County!F1240=2,3,0)))</f>
        <v>2</v>
      </c>
      <c r="C162" s="8">
        <f>IF(County!D1240=3,1,IF(County!E1240=3,2,IF(County!F1240=3,3,0)))</f>
        <v>0</v>
      </c>
      <c r="D162" s="8">
        <v>4</v>
      </c>
      <c r="E162" s="8" t="str">
        <f>County!A1240</f>
        <v>Sagadahoc</v>
      </c>
      <c r="F162" s="63">
        <f>MAX(County!N1240:W1240)</f>
        <v>10664</v>
      </c>
      <c r="G162" s="63">
        <f>LARGE(County!N1240:W1240,2)</f>
        <v>9304</v>
      </c>
      <c r="H162" s="63"/>
      <c r="I162" s="63">
        <f>County!C1240-F162-G162-H162</f>
        <v>1648</v>
      </c>
      <c r="J162" s="63">
        <f>County!BL1240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>
      <c r="A163" s="8">
        <f>IF(County!D1241=1,1,IF(County!E1241=1,2,IF(County!F1241=1,3,0)))</f>
        <v>2</v>
      </c>
      <c r="B163" s="8">
        <f>IF(County!D1241=2,1,IF(County!E1241=2,2,IF(County!F1241=2,3,0)))</f>
        <v>1</v>
      </c>
      <c r="C163" s="8">
        <f>IF(County!D1241=3,1,IF(County!E1241=3,2,IF(County!F1241=3,3,0)))</f>
        <v>0</v>
      </c>
      <c r="D163" s="8">
        <v>4</v>
      </c>
      <c r="E163" s="8" t="str">
        <f>County!A1241</f>
        <v>Somerset</v>
      </c>
      <c r="F163" s="63">
        <f>MAX(County!N1241:W1241)</f>
        <v>15001</v>
      </c>
      <c r="G163" s="63">
        <f>LARGE(County!N1241:W1241,2)</f>
        <v>9092</v>
      </c>
      <c r="H163" s="63"/>
      <c r="I163" s="63">
        <f>County!C1241-F163-G163-H163</f>
        <v>1971</v>
      </c>
      <c r="J163" s="63">
        <f>County!BL1241</f>
        <v>23025</v>
      </c>
    </row>
    <row r="164" spans="1:18">
      <c r="A164" s="8">
        <f>IF(County!D1242=1,1,IF(County!E1242=1,2,IF(County!F1242=1,3,0)))</f>
        <v>1</v>
      </c>
      <c r="B164" s="8">
        <f>IF(County!D1242=2,1,IF(County!E1242=2,2,IF(County!F1242=2,3,0)))</f>
        <v>2</v>
      </c>
      <c r="C164" s="8">
        <f>IF(County!D1242=3,1,IF(County!E1242=3,2,IF(County!F1242=3,3,0)))</f>
        <v>0</v>
      </c>
      <c r="D164" s="8">
        <v>4</v>
      </c>
      <c r="E164" s="8" t="str">
        <f>County!A1242</f>
        <v>Waldo</v>
      </c>
      <c r="F164" s="63">
        <f>MAX(County!N1242:W1242)</f>
        <v>10440</v>
      </c>
      <c r="G164" s="63">
        <f>LARGE(County!N1242:W1242,2)</f>
        <v>10378</v>
      </c>
      <c r="H164" s="63"/>
      <c r="I164" s="63">
        <f>County!C1242-F164-G164-H164</f>
        <v>1889</v>
      </c>
      <c r="J164" s="63">
        <f>County!BL1242</f>
        <v>23027</v>
      </c>
    </row>
    <row r="165" spans="1:18">
      <c r="A165" s="8">
        <f>IF(County!D1243=1,1,IF(County!E1243=1,2,IF(County!F1243=1,3,0)))</f>
        <v>2</v>
      </c>
      <c r="B165" s="8">
        <f>IF(County!D1243=2,1,IF(County!E1243=2,2,IF(County!F1243=2,3,0)))</f>
        <v>1</v>
      </c>
      <c r="C165" s="8">
        <f>IF(County!D1243=3,1,IF(County!E1243=3,2,IF(County!F1243=3,3,0)))</f>
        <v>0</v>
      </c>
      <c r="D165" s="8">
        <v>4</v>
      </c>
      <c r="E165" s="8" t="str">
        <f>County!A1243</f>
        <v>Washington</v>
      </c>
      <c r="F165" s="63">
        <f>MAX(County!N1243:W1243)</f>
        <v>9093</v>
      </c>
      <c r="G165" s="63">
        <f>LARGE(County!N1243:W1243,2)</f>
        <v>6075</v>
      </c>
      <c r="H165" s="63"/>
      <c r="I165" s="63">
        <f>County!C1243-F165-G165-H165</f>
        <v>1197</v>
      </c>
      <c r="J165" s="63">
        <f>County!BL1243</f>
        <v>23029</v>
      </c>
    </row>
    <row r="166" spans="1:18">
      <c r="A166" s="8">
        <f>IF(County!D1245=1,1,IF(County!E1245=1,2,IF(County!F1245=1,3,0)))</f>
        <v>1</v>
      </c>
      <c r="B166" s="8">
        <f>IF(County!D1245=2,1,IF(County!E1245=2,2,IF(County!F1245=2,3,0)))</f>
        <v>2</v>
      </c>
      <c r="C166" s="8">
        <f>IF(County!D1245=3,1,IF(County!E1245=3,2,IF(County!F1245=3,3,0)))</f>
        <v>0</v>
      </c>
      <c r="D166" s="8">
        <v>4</v>
      </c>
      <c r="E166" s="8" t="str">
        <f>County!A1245</f>
        <v>Overseas</v>
      </c>
      <c r="F166" s="63">
        <f>MAX(County!N1245:W1245)</f>
        <v>3017</v>
      </c>
      <c r="G166" s="63">
        <f>LARGE(County!N1245:W1245,2)</f>
        <v>648</v>
      </c>
      <c r="H166" s="63"/>
      <c r="I166" s="63">
        <f>County!C1245-F166-G166-H166</f>
        <v>321</v>
      </c>
      <c r="J166" s="63">
        <f>County!BL1245</f>
        <v>23099</v>
      </c>
    </row>
    <row r="175" spans="1:18">
      <c r="A175" s="62" t="s">
        <v>2478</v>
      </c>
    </row>
    <row r="176" spans="1:18">
      <c r="A176" s="8">
        <v>1</v>
      </c>
      <c r="B176" s="8">
        <v>2</v>
      </c>
      <c r="C176" s="8">
        <v>3</v>
      </c>
      <c r="D176" s="8">
        <v>4</v>
      </c>
      <c r="E176" s="8" t="s">
        <v>3154</v>
      </c>
      <c r="F176" s="63" t="s">
        <v>1769</v>
      </c>
      <c r="G176" s="63" t="s">
        <v>1770</v>
      </c>
      <c r="H176" s="63" t="s">
        <v>1606</v>
      </c>
      <c r="I176" s="63" t="s">
        <v>374</v>
      </c>
      <c r="J176" s="8" t="s">
        <v>621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>
      <c r="A177" s="8">
        <f>IF(County!D1274=1,1,IF(County!E1274=1,2,IF(County!F1274=1,3,0)))</f>
        <v>1</v>
      </c>
      <c r="B177" s="8">
        <f>IF(County!D1274=2,1,IF(County!E1274=2,2,IF(County!F1274=2,3,0)))</f>
        <v>2</v>
      </c>
      <c r="C177" s="8">
        <f>IF(County!D1274=3,1,IF(County!E1274=3,2,IF(County!F1274=3,3,0)))</f>
        <v>0</v>
      </c>
      <c r="D177" s="8">
        <v>4</v>
      </c>
      <c r="E177" s="8" t="str">
        <f>County!A1274</f>
        <v>Barnstable</v>
      </c>
      <c r="F177" s="63">
        <f>MAX(County!N1274:W1274)</f>
        <v>72430</v>
      </c>
      <c r="G177" s="63">
        <f>LARGE(County!N1274:W1274,2)</f>
        <v>54099</v>
      </c>
      <c r="H177" s="63"/>
      <c r="I177" s="63">
        <f>County!C1274-F177-G177-H177</f>
        <v>9252</v>
      </c>
      <c r="J177" s="63">
        <f>County!BL1274</f>
        <v>25001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IF(County!D1275=1,1,IF(County!E1275=1,2,IF(County!F1275=1,3,0)))</f>
        <v>1</v>
      </c>
      <c r="B178" s="8">
        <f>IF(County!D1275=2,1,IF(County!E1275=2,2,IF(County!F1275=2,3,0)))</f>
        <v>2</v>
      </c>
      <c r="C178" s="8">
        <f>IF(County!D1275=3,1,IF(County!E1275=3,2,IF(County!F1275=3,3,0)))</f>
        <v>0</v>
      </c>
      <c r="D178" s="8">
        <v>4</v>
      </c>
      <c r="E178" s="8" t="str">
        <f>County!A1275</f>
        <v>Berkshire</v>
      </c>
      <c r="F178" s="63">
        <f>MAX(County!N1275:W1275)</f>
        <v>43714</v>
      </c>
      <c r="G178" s="63">
        <f>LARGE(County!N1275:W1275,2)</f>
        <v>16839</v>
      </c>
      <c r="H178" s="63"/>
      <c r="I178" s="63">
        <f>County!C1275-F178-G178-H178</f>
        <v>5064</v>
      </c>
      <c r="J178" s="63">
        <f>County!BL1275</f>
        <v>25003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IF(County!D1276=1,1,IF(County!E1276=1,2,IF(County!F1276=1,3,0)))</f>
        <v>1</v>
      </c>
      <c r="B179" s="8">
        <f>IF(County!D1276=2,1,IF(County!E1276=2,2,IF(County!F1276=2,3,0)))</f>
        <v>2</v>
      </c>
      <c r="C179" s="8">
        <f>IF(County!D1276=3,1,IF(County!E1276=3,2,IF(County!F1276=3,3,0)))</f>
        <v>0</v>
      </c>
      <c r="D179" s="8">
        <v>4</v>
      </c>
      <c r="E179" s="8" t="str">
        <f>County!A1276</f>
        <v>Bristol</v>
      </c>
      <c r="F179" s="63">
        <f>MAX(County!N1276:W1276)</f>
        <v>129540</v>
      </c>
      <c r="G179" s="63">
        <f>LARGE(County!N1276:W1276,2)</f>
        <v>105443</v>
      </c>
      <c r="H179" s="63"/>
      <c r="I179" s="63">
        <f>County!C1276-F179-G179-H179</f>
        <v>17157</v>
      </c>
      <c r="J179" s="63">
        <f>County!BL1276</f>
        <v>25005</v>
      </c>
      <c r="K179" s="8"/>
      <c r="L179" s="8"/>
      <c r="M179" s="8"/>
      <c r="N179" s="8"/>
      <c r="O179" s="8"/>
      <c r="P179" s="8"/>
      <c r="Q179" s="8"/>
    </row>
    <row r="180" spans="1:17">
      <c r="A180" s="8">
        <f>IF(County!D1277=1,1,IF(County!E1277=1,2,IF(County!F1277=1,3,0)))</f>
        <v>1</v>
      </c>
      <c r="B180" s="8">
        <f>IF(County!D1277=2,1,IF(County!E1277=2,2,IF(County!F1277=2,3,0)))</f>
        <v>2</v>
      </c>
      <c r="C180" s="8">
        <f>IF(County!D1277=3,1,IF(County!E1277=3,2,IF(County!F1277=3,3,0)))</f>
        <v>0</v>
      </c>
      <c r="D180" s="8">
        <v>4</v>
      </c>
      <c r="E180" s="8" t="str">
        <f>County!A1277</f>
        <v>Dukes</v>
      </c>
      <c r="F180" s="63">
        <f>MAX(County!N1277:W1277)</f>
        <v>8400</v>
      </c>
      <c r="G180" s="63">
        <f>LARGE(County!N1277:W1277,2)</f>
        <v>2477</v>
      </c>
      <c r="H180" s="63"/>
      <c r="I180" s="63">
        <f>County!C1277-F180-G180-H180</f>
        <v>797</v>
      </c>
      <c r="J180" s="63">
        <f>County!BL1277</f>
        <v>25007</v>
      </c>
      <c r="K180" s="8"/>
      <c r="L180" s="8"/>
      <c r="M180" s="8"/>
      <c r="N180" s="8"/>
      <c r="O180" s="8"/>
      <c r="P180" s="8"/>
      <c r="Q180" s="8"/>
    </row>
    <row r="181" spans="1:17">
      <c r="A181" s="8">
        <f>IF(County!D1278=1,1,IF(County!E1278=1,2,IF(County!F1278=1,3,0)))</f>
        <v>1</v>
      </c>
      <c r="B181" s="8">
        <f>IF(County!D1278=2,1,IF(County!E1278=2,2,IF(County!F1278=2,3,0)))</f>
        <v>2</v>
      </c>
      <c r="C181" s="8">
        <f>IF(County!D1278=3,1,IF(County!E1278=3,2,IF(County!F1278=3,3,0)))</f>
        <v>0</v>
      </c>
      <c r="D181" s="8">
        <v>4</v>
      </c>
      <c r="E181" s="8" t="str">
        <f>County!A1278</f>
        <v>Essex</v>
      </c>
      <c r="F181" s="63">
        <f>MAX(County!N1278:W1278)</f>
        <v>222310</v>
      </c>
      <c r="G181" s="63">
        <f>LARGE(County!N1278:W1278,2)</f>
        <v>136316</v>
      </c>
      <c r="H181" s="63"/>
      <c r="I181" s="63">
        <f>County!C1278-F181-G181-H181</f>
        <v>26744</v>
      </c>
      <c r="J181" s="63">
        <f>County!BL1278</f>
        <v>25009</v>
      </c>
      <c r="K181" s="8"/>
      <c r="L181" s="8"/>
      <c r="M181" s="8"/>
      <c r="N181" s="8"/>
      <c r="O181" s="8"/>
      <c r="P181" s="8"/>
      <c r="Q181" s="8"/>
    </row>
    <row r="182" spans="1:17">
      <c r="A182" s="8">
        <f>IF(County!D1279=1,1,IF(County!E1279=1,2,IF(County!F1279=1,3,0)))</f>
        <v>1</v>
      </c>
      <c r="B182" s="8">
        <f>IF(County!D1279=2,1,IF(County!E1279=2,2,IF(County!F1279=2,3,0)))</f>
        <v>2</v>
      </c>
      <c r="C182" s="8">
        <f>IF(County!D1279=3,1,IF(County!E1279=3,2,IF(County!F1279=3,3,0)))</f>
        <v>0</v>
      </c>
      <c r="D182" s="8">
        <v>4</v>
      </c>
      <c r="E182" s="8" t="str">
        <f>County!A1279</f>
        <v>Franklin</v>
      </c>
      <c r="F182" s="63">
        <f>MAX(County!N1279:W1279)</f>
        <v>24478</v>
      </c>
      <c r="G182" s="63">
        <f>LARGE(County!N1279:W1279,2)</f>
        <v>10364</v>
      </c>
      <c r="H182" s="63"/>
      <c r="I182" s="63">
        <f>County!C1279-F182-G182-H182</f>
        <v>3979</v>
      </c>
      <c r="J182" s="63">
        <f>County!BL1279</f>
        <v>25011</v>
      </c>
      <c r="K182" s="8"/>
      <c r="L182" s="8"/>
      <c r="M182" s="8"/>
      <c r="N182" s="8"/>
      <c r="O182" s="8"/>
      <c r="P182" s="8"/>
      <c r="Q182" s="8"/>
    </row>
    <row r="183" spans="1:17">
      <c r="A183" s="8">
        <f>IF(County!D1280=1,1,IF(County!E1280=1,2,IF(County!F1280=1,3,0)))</f>
        <v>1</v>
      </c>
      <c r="B183" s="8">
        <f>IF(County!D1280=2,1,IF(County!E1280=2,2,IF(County!F1280=2,3,0)))</f>
        <v>2</v>
      </c>
      <c r="C183" s="8">
        <f>IF(County!D1280=3,1,IF(County!E1280=3,2,IF(County!F1280=3,3,0)))</f>
        <v>0</v>
      </c>
      <c r="D183" s="8">
        <v>4</v>
      </c>
      <c r="E183" s="8" t="str">
        <f>County!A1280</f>
        <v>Hampden</v>
      </c>
      <c r="F183" s="63">
        <f>MAX(County!N1280:W1280)</f>
        <v>112590</v>
      </c>
      <c r="G183" s="63">
        <f>LARGE(County!N1280:W1280,2)</f>
        <v>78685</v>
      </c>
      <c r="H183" s="63"/>
      <c r="I183" s="63">
        <f>County!C1280-F183-G183-H183</f>
        <v>14826</v>
      </c>
      <c r="J183" s="63">
        <f>County!BL1280</f>
        <v>25013</v>
      </c>
      <c r="K183" s="8"/>
      <c r="L183" s="8"/>
      <c r="M183" s="8"/>
      <c r="N183" s="8"/>
      <c r="O183" s="8"/>
      <c r="P183" s="8"/>
      <c r="Q183" s="8"/>
    </row>
    <row r="184" spans="1:17">
      <c r="A184" s="8">
        <f>IF(County!D1281=1,1,IF(County!E1281=1,2,IF(County!F1281=1,3,0)))</f>
        <v>1</v>
      </c>
      <c r="B184" s="8">
        <f>IF(County!D1281=2,1,IF(County!E1281=2,2,IF(County!F1281=2,3,0)))</f>
        <v>2</v>
      </c>
      <c r="C184" s="8">
        <f>IF(County!D1281=3,1,IF(County!E1281=3,2,IF(County!F1281=3,3,0)))</f>
        <v>0</v>
      </c>
      <c r="D184" s="8">
        <v>4</v>
      </c>
      <c r="E184" s="8" t="str">
        <f>County!A1281</f>
        <v>Hampshire</v>
      </c>
      <c r="F184" s="63">
        <f>MAX(County!N1281:W1281)</f>
        <v>55367</v>
      </c>
      <c r="G184" s="63">
        <f>LARGE(County!N1281:W1281,2)</f>
        <v>21790</v>
      </c>
      <c r="H184" s="63"/>
      <c r="I184" s="63">
        <f>County!C1281-F184-G184-H184</f>
        <v>7036</v>
      </c>
      <c r="J184" s="63">
        <f>County!BL1281</f>
        <v>25015</v>
      </c>
      <c r="K184" s="8"/>
      <c r="L184" s="8"/>
      <c r="M184" s="8"/>
      <c r="N184" s="8"/>
      <c r="O184" s="8"/>
      <c r="P184" s="8"/>
      <c r="Q184" s="8"/>
    </row>
    <row r="185" spans="1:17">
      <c r="A185" s="8">
        <f>IF(County!D1282=1,1,IF(County!E1282=1,2,IF(County!F1282=1,3,0)))</f>
        <v>1</v>
      </c>
      <c r="B185" s="8">
        <f>IF(County!D1282=2,1,IF(County!E1282=2,2,IF(County!F1282=2,3,0)))</f>
        <v>2</v>
      </c>
      <c r="C185" s="8">
        <f>IF(County!D1282=3,1,IF(County!E1282=3,2,IF(County!F1282=3,3,0)))</f>
        <v>0</v>
      </c>
      <c r="D185" s="8">
        <v>4</v>
      </c>
      <c r="E185" s="8" t="str">
        <f>County!A1282</f>
        <v>Middlesex</v>
      </c>
      <c r="F185" s="63">
        <f>MAX(County!N1282:W1282)</f>
        <v>520360</v>
      </c>
      <c r="G185" s="63">
        <f>LARGE(County!N1282:W1282,2)</f>
        <v>219793</v>
      </c>
      <c r="H185" s="63"/>
      <c r="I185" s="63">
        <f>County!C1282-F185-G185-H185</f>
        <v>56582</v>
      </c>
      <c r="J185" s="63">
        <f>County!BL1282</f>
        <v>25017</v>
      </c>
      <c r="K185" s="8"/>
      <c r="L185" s="8"/>
      <c r="M185" s="8"/>
      <c r="N185" s="8"/>
      <c r="O185" s="8"/>
      <c r="P185" s="8"/>
      <c r="Q185" s="8"/>
    </row>
    <row r="186" spans="1:17">
      <c r="A186" s="8">
        <f>IF(County!D1283=1,1,IF(County!E1283=1,2,IF(County!F1283=1,3,0)))</f>
        <v>1</v>
      </c>
      <c r="B186" s="8">
        <f>IF(County!D1283=2,1,IF(County!E1283=2,2,IF(County!F1283=2,3,0)))</f>
        <v>2</v>
      </c>
      <c r="C186" s="8">
        <f>IF(County!D1283=3,1,IF(County!E1283=3,2,IF(County!F1283=3,3,0)))</f>
        <v>0</v>
      </c>
      <c r="D186" s="8">
        <v>4</v>
      </c>
      <c r="E186" s="8" t="str">
        <f>County!A1283</f>
        <v>Nantucket</v>
      </c>
      <c r="F186" s="63">
        <f>MAX(County!N1283:W1283)</f>
        <v>4146</v>
      </c>
      <c r="G186" s="63">
        <f>LARGE(County!N1283:W1283,2)</f>
        <v>1892</v>
      </c>
      <c r="H186" s="63"/>
      <c r="I186" s="63">
        <f>County!C1283-F186-G186-H186</f>
        <v>470</v>
      </c>
      <c r="J186" s="63">
        <f>County!BL1283</f>
        <v>25019</v>
      </c>
      <c r="K186" s="8"/>
      <c r="L186" s="8"/>
      <c r="M186" s="8"/>
      <c r="N186" s="8"/>
      <c r="O186" s="8"/>
      <c r="P186" s="8"/>
      <c r="Q186" s="8"/>
    </row>
    <row r="187" spans="1:17">
      <c r="A187" s="8">
        <f>IF(County!D1284=1,1,IF(County!E1284=1,2,IF(County!F1284=1,3,0)))</f>
        <v>1</v>
      </c>
      <c r="B187" s="8">
        <f>IF(County!D1284=2,1,IF(County!E1284=2,2,IF(County!F1284=2,3,0)))</f>
        <v>2</v>
      </c>
      <c r="C187" s="8">
        <f>IF(County!D1284=3,1,IF(County!E1284=3,2,IF(County!F1284=3,3,0)))</f>
        <v>0</v>
      </c>
      <c r="D187" s="8">
        <v>4</v>
      </c>
      <c r="E187" s="8" t="str">
        <f>County!A1284</f>
        <v>Norfolk</v>
      </c>
      <c r="F187" s="63">
        <f>MAX(County!N1284:W1284)</f>
        <v>221819</v>
      </c>
      <c r="G187" s="63">
        <f>LARGE(County!N1284:W1284,2)</f>
        <v>119723</v>
      </c>
      <c r="H187" s="63"/>
      <c r="I187" s="63">
        <f>County!C1284-F187-G187-H187</f>
        <v>26153</v>
      </c>
      <c r="J187" s="63">
        <f>County!BL1284</f>
        <v>25021</v>
      </c>
      <c r="K187" s="8"/>
      <c r="L187" s="8"/>
      <c r="M187" s="8"/>
      <c r="N187" s="8"/>
      <c r="O187" s="8"/>
      <c r="P187" s="8"/>
      <c r="Q187" s="8"/>
    </row>
    <row r="188" spans="1:17">
      <c r="A188" s="8">
        <f>IF(County!D1285=1,1,IF(County!E1285=1,2,IF(County!F1285=1,3,0)))</f>
        <v>1</v>
      </c>
      <c r="B188" s="8">
        <f>IF(County!D1285=2,1,IF(County!E1285=2,2,IF(County!F1285=2,3,0)))</f>
        <v>2</v>
      </c>
      <c r="C188" s="8">
        <f>IF(County!D1285=3,1,IF(County!E1285=3,2,IF(County!F1285=3,3,0)))</f>
        <v>0</v>
      </c>
      <c r="D188" s="8">
        <v>4</v>
      </c>
      <c r="E188" s="8" t="str">
        <f>County!A1285</f>
        <v>Plymouth</v>
      </c>
      <c r="F188" s="63">
        <f>MAX(County!N1285:W1285)</f>
        <v>135513</v>
      </c>
      <c r="G188" s="63">
        <f>LARGE(County!N1285:W1285,2)</f>
        <v>115369</v>
      </c>
      <c r="H188" s="63"/>
      <c r="I188" s="63">
        <f>County!C1285-F188-G188-H188</f>
        <v>20295</v>
      </c>
      <c r="J188" s="63">
        <f>County!BL1285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8">
        <f>IF(County!D1286=1,1,IF(County!E1286=1,2,IF(County!F1286=1,3,0)))</f>
        <v>1</v>
      </c>
      <c r="B189" s="8">
        <f>IF(County!D1286=2,1,IF(County!E1286=2,2,IF(County!F1286=2,3,0)))</f>
        <v>2</v>
      </c>
      <c r="C189" s="8">
        <f>IF(County!D1286=3,1,IF(County!E1286=3,2,IF(County!F1286=3,3,0)))</f>
        <v>0</v>
      </c>
      <c r="D189" s="8">
        <v>4</v>
      </c>
      <c r="E189" s="8" t="str">
        <f>County!A1286</f>
        <v>Suffolk</v>
      </c>
      <c r="F189" s="63">
        <f>MAX(County!N1286:W1286)</f>
        <v>245751</v>
      </c>
      <c r="G189" s="63">
        <f>LARGE(County!N1286:W1286,2)</f>
        <v>50421</v>
      </c>
      <c r="H189" s="63"/>
      <c r="I189" s="63">
        <f>County!C1286-F189-G189-H189</f>
        <v>17111</v>
      </c>
      <c r="J189" s="63">
        <f>County!BL1286</f>
        <v>25025</v>
      </c>
    </row>
    <row r="190" spans="1:17">
      <c r="A190" s="8">
        <f>IF(County!D1287=1,1,IF(County!E1287=1,2,IF(County!F1287=1,3,0)))</f>
        <v>1</v>
      </c>
      <c r="B190" s="8">
        <f>IF(County!D1287=2,1,IF(County!E1287=2,2,IF(County!F1287=2,3,0)))</f>
        <v>2</v>
      </c>
      <c r="C190" s="8">
        <f>IF(County!D1287=3,1,IF(County!E1287=3,2,IF(County!F1287=3,3,0)))</f>
        <v>0</v>
      </c>
      <c r="D190" s="8">
        <v>4</v>
      </c>
      <c r="E190" s="8" t="str">
        <f>County!A1287</f>
        <v>Worcester</v>
      </c>
      <c r="F190" s="63">
        <f>MAX(County!N1287:W1287)</f>
        <v>198778</v>
      </c>
      <c r="G190" s="63">
        <f>LARGE(County!N1287:W1287,2)</f>
        <v>157682</v>
      </c>
      <c r="H190" s="63"/>
      <c r="I190" s="63">
        <f>County!C1287-F190-G190-H190</f>
        <v>33491</v>
      </c>
      <c r="J190" s="63">
        <f>County!BL1287</f>
        <v>25027</v>
      </c>
    </row>
    <row r="191" spans="1:17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>
      <c r="A201" s="62" t="s">
        <v>1200</v>
      </c>
    </row>
    <row r="202" spans="1:17">
      <c r="A202" s="8">
        <v>1</v>
      </c>
      <c r="B202" s="8">
        <v>2</v>
      </c>
      <c r="C202" s="8">
        <v>3</v>
      </c>
      <c r="D202" s="8">
        <v>4</v>
      </c>
      <c r="E202" s="8" t="s">
        <v>3154</v>
      </c>
      <c r="F202" s="63" t="s">
        <v>1769</v>
      </c>
      <c r="G202" s="63" t="s">
        <v>1770</v>
      </c>
      <c r="H202" s="63" t="s">
        <v>1606</v>
      </c>
      <c r="I202" s="63" t="s">
        <v>374</v>
      </c>
      <c r="J202" s="8" t="s">
        <v>621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>
      <c r="A203" s="8">
        <f>IF(County!D1837=1,1,IF(County!E1837=1,2,IF(County!F1837=1,3,0)))</f>
        <v>2</v>
      </c>
      <c r="B203" s="8">
        <f>IF(County!D1837=2,1,IF(County!E1837=2,2,IF(County!F1837=2,3,0)))</f>
        <v>1</v>
      </c>
      <c r="C203" s="8">
        <f>IF(County!D1837=3,1,IF(County!E1837=3,2,IF(County!F1837=3,3,0)))</f>
        <v>0</v>
      </c>
      <c r="D203" s="8">
        <v>4</v>
      </c>
      <c r="E203" s="8" t="str">
        <f>County!A1837</f>
        <v>Belknap</v>
      </c>
      <c r="F203" s="63">
        <f>MAX(County!N1837:W1837)</f>
        <v>19315</v>
      </c>
      <c r="G203" s="63">
        <f>LARGE(County!N1837:W1837,2)</f>
        <v>13517</v>
      </c>
      <c r="H203" s="63"/>
      <c r="I203" s="63">
        <f>County!C1837-F203-G203-H203</f>
        <v>2213</v>
      </c>
      <c r="J203" s="63">
        <f>County!BL1837</f>
        <v>33001</v>
      </c>
      <c r="K203" s="8"/>
      <c r="L203" s="8"/>
      <c r="M203" s="8"/>
      <c r="N203" s="8"/>
      <c r="O203" s="8"/>
      <c r="P203" s="8"/>
      <c r="Q203" s="8"/>
    </row>
    <row r="204" spans="1:17">
      <c r="A204" s="8">
        <f>IF(County!D1838=1,1,IF(County!E1838=1,2,IF(County!F1838=1,3,0)))</f>
        <v>2</v>
      </c>
      <c r="B204" s="8">
        <f>IF(County!D1838=2,1,IF(County!E1838=2,2,IF(County!F1838=2,3,0)))</f>
        <v>1</v>
      </c>
      <c r="C204" s="8">
        <f>IF(County!D1838=3,1,IF(County!E1838=3,2,IF(County!F1838=3,3,0)))</f>
        <v>0</v>
      </c>
      <c r="D204" s="8">
        <v>4</v>
      </c>
      <c r="E204" s="8" t="str">
        <f>County!A1838</f>
        <v>Carroll</v>
      </c>
      <c r="F204" s="63">
        <f>MAX(County!N1838:W1838)</f>
        <v>14635</v>
      </c>
      <c r="G204" s="63">
        <f>LARGE(County!N1838:W1838,2)</f>
        <v>12987</v>
      </c>
      <c r="H204" s="63"/>
      <c r="I204" s="63">
        <f>County!C1838-F204-G204-H204</f>
        <v>1994</v>
      </c>
      <c r="J204" s="63">
        <f>County!BL1838</f>
        <v>33003</v>
      </c>
      <c r="K204" s="8"/>
      <c r="L204" s="8"/>
      <c r="M204" s="8"/>
      <c r="N204" s="8"/>
      <c r="O204" s="8"/>
      <c r="P204" s="8"/>
      <c r="Q204" s="8"/>
    </row>
    <row r="205" spans="1:17">
      <c r="A205" s="8">
        <f>IF(County!D1839=1,1,IF(County!E1839=1,2,IF(County!F1839=1,3,0)))</f>
        <v>1</v>
      </c>
      <c r="B205" s="8">
        <f>IF(County!D1839=2,1,IF(County!E1839=2,2,IF(County!F1839=2,3,0)))</f>
        <v>2</v>
      </c>
      <c r="C205" s="8">
        <f>IF(County!D1839=3,1,IF(County!E1839=3,2,IF(County!F1839=3,3,0)))</f>
        <v>0</v>
      </c>
      <c r="D205" s="8">
        <v>4</v>
      </c>
      <c r="E205" s="8" t="str">
        <f>County!A1839</f>
        <v>Cheshire</v>
      </c>
      <c r="F205" s="63">
        <f>MAX(County!N1839:W1839)</f>
        <v>22064</v>
      </c>
      <c r="G205" s="63">
        <f>LARGE(County!N1839:W1839,2)</f>
        <v>16876</v>
      </c>
      <c r="H205" s="63"/>
      <c r="I205" s="63">
        <f>County!C1839-F205-G205-H205</f>
        <v>2955</v>
      </c>
      <c r="J205" s="63">
        <f>County!BL1839</f>
        <v>33005</v>
      </c>
      <c r="K205" s="8"/>
      <c r="L205" s="8"/>
      <c r="M205" s="8"/>
      <c r="N205" s="8"/>
      <c r="O205" s="8"/>
      <c r="P205" s="8"/>
      <c r="Q205" s="8"/>
    </row>
    <row r="206" spans="1:17">
      <c r="A206" s="8">
        <f>IF(County!D1840=1,1,IF(County!E1840=1,2,IF(County!F1840=1,3,0)))</f>
        <v>2</v>
      </c>
      <c r="B206" s="8">
        <f>IF(County!D1840=2,1,IF(County!E1840=2,2,IF(County!F1840=2,3,0)))</f>
        <v>1</v>
      </c>
      <c r="C206" s="8">
        <f>IF(County!D1840=3,1,IF(County!E1840=3,2,IF(County!F1840=3,3,0)))</f>
        <v>0</v>
      </c>
      <c r="D206" s="8">
        <v>4</v>
      </c>
      <c r="E206" s="8" t="str">
        <f>County!A1840</f>
        <v>Coos</v>
      </c>
      <c r="F206" s="63">
        <f>MAX(County!N1840:W1840)</f>
        <v>7952</v>
      </c>
      <c r="G206" s="63">
        <f>LARGE(County!N1840:W1840,2)</f>
        <v>6563</v>
      </c>
      <c r="H206" s="63"/>
      <c r="I206" s="63">
        <f>County!C1840-F206-G206-H206</f>
        <v>1112</v>
      </c>
      <c r="J206" s="63">
        <f>County!BL1840</f>
        <v>33007</v>
      </c>
      <c r="K206" s="8"/>
      <c r="L206" s="8"/>
      <c r="M206" s="8"/>
      <c r="N206" s="8"/>
      <c r="O206" s="8"/>
      <c r="P206" s="8"/>
      <c r="Q206" s="8"/>
    </row>
    <row r="207" spans="1:17">
      <c r="A207" s="8">
        <f>IF(County!D1841=1,1,IF(County!E1841=1,2,IF(County!F1841=1,3,0)))</f>
        <v>1</v>
      </c>
      <c r="B207" s="8">
        <f>IF(County!D1841=2,1,IF(County!E1841=2,2,IF(County!F1841=2,3,0)))</f>
        <v>2</v>
      </c>
      <c r="C207" s="8">
        <f>IF(County!D1841=3,1,IF(County!E1841=3,2,IF(County!F1841=3,3,0)))</f>
        <v>0</v>
      </c>
      <c r="D207" s="8">
        <v>4</v>
      </c>
      <c r="E207" s="8" t="str">
        <f>County!A1841</f>
        <v>Grafton</v>
      </c>
      <c r="F207" s="63">
        <f>MAX(County!N1841:W1841)</f>
        <v>28510</v>
      </c>
      <c r="G207" s="63">
        <f>LARGE(County!N1841:W1841,2)</f>
        <v>19010</v>
      </c>
      <c r="H207" s="63"/>
      <c r="I207" s="63">
        <f>County!C1841-F207-G207-H207</f>
        <v>3671</v>
      </c>
      <c r="J207" s="63">
        <f>County!BL1841</f>
        <v>33009</v>
      </c>
      <c r="K207" s="8"/>
      <c r="L207" s="8"/>
      <c r="M207" s="8"/>
      <c r="N207" s="8"/>
      <c r="O207" s="8"/>
      <c r="P207" s="8"/>
      <c r="Q207" s="8"/>
    </row>
    <row r="208" spans="1:17">
      <c r="A208" s="8">
        <f>IF(County!D1842=1,1,IF(County!E1842=1,2,IF(County!F1842=1,3,0)))</f>
        <v>2</v>
      </c>
      <c r="B208" s="8">
        <f>IF(County!D1842=2,1,IF(County!E1842=2,2,IF(County!F1842=2,3,0)))</f>
        <v>1</v>
      </c>
      <c r="C208" s="8">
        <f>IF(County!D1842=3,1,IF(County!E1842=3,2,IF(County!F1842=3,3,0)))</f>
        <v>0</v>
      </c>
      <c r="D208" s="8">
        <v>4</v>
      </c>
      <c r="E208" s="8" t="str">
        <f>County!A1842</f>
        <v>Hillsborough</v>
      </c>
      <c r="F208" s="63">
        <f>MAX(County!N1842:W1842)</f>
        <v>100013</v>
      </c>
      <c r="G208" s="63">
        <f>LARGE(County!N1842:W1842,2)</f>
        <v>99589</v>
      </c>
      <c r="H208" s="63"/>
      <c r="I208" s="63">
        <f>County!C1842-F208-G208-H208</f>
        <v>14555</v>
      </c>
      <c r="J208" s="63">
        <f>County!BL1842</f>
        <v>33011</v>
      </c>
      <c r="K208" s="8"/>
      <c r="L208" s="8"/>
      <c r="M208" s="8"/>
      <c r="N208" s="8"/>
      <c r="O208" s="8"/>
      <c r="P208" s="8"/>
      <c r="Q208" s="8"/>
    </row>
    <row r="209" spans="1:17">
      <c r="A209" s="8">
        <f>IF(County!D1843=1,1,IF(County!E1843=1,2,IF(County!F1843=1,3,0)))</f>
        <v>1</v>
      </c>
      <c r="B209" s="8">
        <f>IF(County!D1843=2,1,IF(County!E1843=2,2,IF(County!F1843=2,3,0)))</f>
        <v>2</v>
      </c>
      <c r="C209" s="8">
        <f>IF(County!D1843=3,1,IF(County!E1843=3,2,IF(County!F1843=3,3,0)))</f>
        <v>0</v>
      </c>
      <c r="D209" s="8">
        <v>4</v>
      </c>
      <c r="E209" s="8" t="str">
        <f>County!A1843</f>
        <v>Merrimack</v>
      </c>
      <c r="F209" s="63">
        <f>MAX(County!N1843:W1843)</f>
        <v>40198</v>
      </c>
      <c r="G209" s="63">
        <f>LARGE(County!N1843:W1843,2)</f>
        <v>37674</v>
      </c>
      <c r="H209" s="63"/>
      <c r="I209" s="63">
        <f>County!C1843-F209-G209-H209</f>
        <v>5776</v>
      </c>
      <c r="J209" s="63">
        <f>County!BL1843</f>
        <v>33013</v>
      </c>
      <c r="K209" s="8"/>
      <c r="L209" s="8"/>
      <c r="M209" s="8"/>
      <c r="N209" s="8"/>
      <c r="O209" s="8"/>
      <c r="P209" s="8"/>
      <c r="Q209" s="8"/>
    </row>
    <row r="210" spans="1:17">
      <c r="A210" s="8">
        <f>IF(County!D1844=1,1,IF(County!E1844=1,2,IF(County!F1844=1,3,0)))</f>
        <v>2</v>
      </c>
      <c r="B210" s="8">
        <f>IF(County!D1844=2,1,IF(County!E1844=2,2,IF(County!F1844=2,3,0)))</f>
        <v>1</v>
      </c>
      <c r="C210" s="8">
        <f>IF(County!D1844=3,1,IF(County!E1844=3,2,IF(County!F1844=3,3,0)))</f>
        <v>0</v>
      </c>
      <c r="D210" s="8">
        <v>4</v>
      </c>
      <c r="E210" s="8" t="str">
        <f>County!A1844</f>
        <v>Rockingham</v>
      </c>
      <c r="F210" s="63">
        <f>MAX(County!N1844:W1844)</f>
        <v>90447</v>
      </c>
      <c r="G210" s="63">
        <f>LARGE(County!N1844:W1844,2)</f>
        <v>79994</v>
      </c>
      <c r="H210" s="63"/>
      <c r="I210" s="63">
        <f>County!C1844-F210-G210-H210</f>
        <v>10993</v>
      </c>
      <c r="J210" s="63">
        <f>County!BL1844</f>
        <v>33015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IF(County!D1845=1,1,IF(County!E1845=1,2,IF(County!F1845=1,3,0)))</f>
        <v>1</v>
      </c>
      <c r="B211" s="8">
        <f>IF(County!D1845=2,1,IF(County!E1845=2,2,IF(County!F1845=2,3,0)))</f>
        <v>2</v>
      </c>
      <c r="C211" s="8">
        <f>IF(County!D1845=3,1,IF(County!E1845=3,2,IF(County!F1845=3,3,0)))</f>
        <v>0</v>
      </c>
      <c r="D211" s="8">
        <v>4</v>
      </c>
      <c r="E211" s="8" t="str">
        <f>County!A1845</f>
        <v>Strafford</v>
      </c>
      <c r="F211" s="63">
        <f>MAX(County!N1845:W1845)</f>
        <v>34894</v>
      </c>
      <c r="G211" s="63">
        <f>LARGE(County!N1845:W1845,2)</f>
        <v>29072</v>
      </c>
      <c r="H211" s="63"/>
      <c r="I211" s="63">
        <f>County!C1845-F211-G211-H211</f>
        <v>5034</v>
      </c>
      <c r="J211" s="63">
        <f>County!BL1845</f>
        <v>33017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IF(County!D1846=1,1,IF(County!E1846=1,2,IF(County!F1846=1,3,0)))</f>
        <v>2</v>
      </c>
      <c r="B212" s="8">
        <f>IF(County!D1846=2,1,IF(County!E1846=2,2,IF(County!F1846=2,3,0)))</f>
        <v>1</v>
      </c>
      <c r="C212" s="8">
        <f>IF(County!D1846=3,1,IF(County!E1846=3,2,IF(County!F1846=3,3,0)))</f>
        <v>0</v>
      </c>
      <c r="D212" s="8">
        <v>4</v>
      </c>
      <c r="E212" s="8" t="str">
        <f>County!A1846</f>
        <v>Sullivan</v>
      </c>
      <c r="F212" s="63">
        <f>MAX(County!N1846:W1846)</f>
        <v>10796</v>
      </c>
      <c r="G212" s="63">
        <f>LARGE(County!N1846:W1846,2)</f>
        <v>10210</v>
      </c>
      <c r="H212" s="63"/>
      <c r="I212" s="63">
        <f>County!C1846-F212-G212-H212</f>
        <v>1677</v>
      </c>
      <c r="J212" s="63">
        <f>County!BL1846</f>
        <v>33019</v>
      </c>
      <c r="K212" s="8"/>
      <c r="L212" s="8"/>
      <c r="M212" s="8"/>
      <c r="N212" s="8"/>
      <c r="O212" s="8"/>
      <c r="P212" s="8"/>
      <c r="Q212" s="8"/>
    </row>
    <row r="213" spans="1:17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>
      <c r="A227" s="62" t="s">
        <v>1114</v>
      </c>
    </row>
    <row r="228" spans="1:17">
      <c r="A228" s="8">
        <v>1</v>
      </c>
      <c r="B228" s="8">
        <v>2</v>
      </c>
      <c r="C228" s="8">
        <v>3</v>
      </c>
      <c r="D228" s="8">
        <v>4</v>
      </c>
      <c r="E228" s="8" t="s">
        <v>3154</v>
      </c>
      <c r="F228" s="63" t="s">
        <v>1769</v>
      </c>
      <c r="G228" s="63" t="s">
        <v>1770</v>
      </c>
      <c r="H228" s="63" t="s">
        <v>1606</v>
      </c>
      <c r="I228" s="63" t="s">
        <v>374</v>
      </c>
      <c r="J228" s="8" t="s">
        <v>621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>
      <c r="A229" s="8">
        <f>IF(County!D2404=1,1,IF(County!E2404=1,2,IF(County!F2404=1,3,0)))</f>
        <v>1</v>
      </c>
      <c r="B229" s="8">
        <f>IF(County!D2404=2,1,IF(County!E2404=2,2,IF(County!F2404=2,3,0)))</f>
        <v>2</v>
      </c>
      <c r="C229" s="8">
        <f>IF(County!D2404=3,1,IF(County!E2404=3,2,IF(County!F2404=3,3,0)))</f>
        <v>0</v>
      </c>
      <c r="D229" s="8">
        <v>4</v>
      </c>
      <c r="E229" s="8" t="str">
        <f>County!A2404</f>
        <v>Bristol</v>
      </c>
      <c r="F229" s="63">
        <f>MAX(County!N2404:W2404)</f>
        <v>14609</v>
      </c>
      <c r="G229" s="63">
        <f>LARGE(County!N2404:W2404,2)</f>
        <v>8965</v>
      </c>
      <c r="H229" s="63"/>
      <c r="I229" s="63">
        <f>County!C2404-F229-G229-H229</f>
        <v>1901</v>
      </c>
      <c r="J229" s="63">
        <f>County!BL2404</f>
        <v>44001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IF(County!D2405=1,1,IF(County!E2405=1,2,IF(County!F2405=1,3,0)))</f>
        <v>2</v>
      </c>
      <c r="B230" s="8">
        <f>IF(County!D2405=2,1,IF(County!E2405=2,2,IF(County!F2405=2,3,0)))</f>
        <v>1</v>
      </c>
      <c r="C230" s="8">
        <f>IF(County!D2405=3,1,IF(County!E2405=3,2,IF(County!F2405=3,3,0)))</f>
        <v>0</v>
      </c>
      <c r="D230" s="8">
        <v>4</v>
      </c>
      <c r="E230" s="8" t="str">
        <f>County!A2405</f>
        <v>Kent</v>
      </c>
      <c r="F230" s="63">
        <f>MAX(County!N2405:W2405)</f>
        <v>38336</v>
      </c>
      <c r="G230" s="63">
        <f>LARGE(County!N2405:W2405,2)</f>
        <v>37788</v>
      </c>
      <c r="H230" s="63"/>
      <c r="I230" s="63">
        <f>County!C2405-F230-G230-H230</f>
        <v>5929</v>
      </c>
      <c r="J230" s="63">
        <f>County!BL2405</f>
        <v>44003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IF(County!D2406=1,1,IF(County!E2406=1,2,IF(County!F2406=1,3,0)))</f>
        <v>1</v>
      </c>
      <c r="B231" s="8">
        <f>IF(County!D2406=2,1,IF(County!E2406=2,2,IF(County!F2406=2,3,0)))</f>
        <v>2</v>
      </c>
      <c r="C231" s="8">
        <f>IF(County!D2406=3,1,IF(County!E2406=3,2,IF(County!F2406=3,3,0)))</f>
        <v>0</v>
      </c>
      <c r="D231" s="8">
        <v>4</v>
      </c>
      <c r="E231" s="8" t="str">
        <f>County!A2406</f>
        <v>Newport</v>
      </c>
      <c r="F231" s="63">
        <f>MAX(County!N2406:W2406)</f>
        <v>22851</v>
      </c>
      <c r="G231" s="63">
        <f>LARGE(County!N2406:W2406,2)</f>
        <v>15077</v>
      </c>
      <c r="H231" s="63"/>
      <c r="I231" s="63">
        <f>County!C2406-F231-G231-H231</f>
        <v>3117</v>
      </c>
      <c r="J231" s="63">
        <f>County!BL2406</f>
        <v>44005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IF(County!D2407=1,1,IF(County!E2407=1,2,IF(County!F2407=1,3,0)))</f>
        <v>1</v>
      </c>
      <c r="B232" s="8">
        <f>IF(County!D2407=2,1,IF(County!E2407=2,2,IF(County!F2407=2,3,0)))</f>
        <v>2</v>
      </c>
      <c r="C232" s="8">
        <f>IF(County!D2407=3,1,IF(County!E2407=3,2,IF(County!F2407=3,3,0)))</f>
        <v>0</v>
      </c>
      <c r="D232" s="8">
        <v>4</v>
      </c>
      <c r="E232" s="8" t="str">
        <f>County!A2407</f>
        <v>Providence</v>
      </c>
      <c r="F232" s="63">
        <f>MAX(County!N2407:W2407)</f>
        <v>142899</v>
      </c>
      <c r="G232" s="63">
        <f>LARGE(County!N2407:W2407,2)</f>
        <v>90882</v>
      </c>
      <c r="H232" s="63"/>
      <c r="I232" s="63">
        <f>County!C2407-F232-G232-H232</f>
        <v>14693</v>
      </c>
      <c r="J232" s="63">
        <f>County!BL2407</f>
        <v>44007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IF(County!D2409=1,1,IF(County!E2409=1,2,IF(County!F2409=1,3,0)))</f>
        <v>1</v>
      </c>
      <c r="B233" s="8">
        <f>IF(County!D2409=2,1,IF(County!E2409=2,2,IF(County!F2409=2,3,0)))</f>
        <v>2</v>
      </c>
      <c r="C233" s="8">
        <f>IF(County!D2409=3,1,IF(County!E2409=3,2,IF(County!F2409=3,3,0)))</f>
        <v>0</v>
      </c>
      <c r="D233" s="8">
        <v>4</v>
      </c>
      <c r="E233" s="8" t="str">
        <f>County!A2409</f>
        <v>Federal</v>
      </c>
      <c r="F233" s="63">
        <f>MAX(County!N2409:W2409)</f>
        <v>637</v>
      </c>
      <c r="G233" s="63">
        <f>LARGE(County!N2409:W2409,2)</f>
        <v>53</v>
      </c>
      <c r="H233" s="63"/>
      <c r="I233" s="63">
        <f>County!C2409-F233-G233-H233</f>
        <v>38</v>
      </c>
      <c r="J233" s="63">
        <f>County!BL2409</f>
        <v>44099</v>
      </c>
      <c r="K233" s="8"/>
      <c r="L233" s="8"/>
      <c r="M233" s="8"/>
      <c r="N233" s="8"/>
      <c r="O233" s="8"/>
      <c r="P233" s="8"/>
      <c r="Q233" s="8"/>
    </row>
    <row r="234" spans="1:17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>
      <c r="A241" s="62" t="s">
        <v>726</v>
      </c>
    </row>
    <row r="242" spans="1:17">
      <c r="A242" s="8">
        <v>1</v>
      </c>
      <c r="B242" s="8">
        <v>2</v>
      </c>
      <c r="C242" s="8">
        <v>3</v>
      </c>
      <c r="D242" s="8">
        <v>4</v>
      </c>
      <c r="E242" s="8" t="s">
        <v>3154</v>
      </c>
      <c r="F242" s="63" t="s">
        <v>1769</v>
      </c>
      <c r="G242" s="63" t="s">
        <v>1770</v>
      </c>
      <c r="H242" s="63" t="s">
        <v>1606</v>
      </c>
      <c r="I242" s="63" t="s">
        <v>374</v>
      </c>
      <c r="J242" s="8" t="s">
        <v>621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>
      <c r="A243" s="8">
        <f>IF(County!D2912=1,1,IF(County!E2912=1,2,IF(County!F2912=1,3,0)))</f>
        <v>1</v>
      </c>
      <c r="B243" s="8">
        <f>IF(County!D2912=2,1,IF(County!E2912=2,2,IF(County!F2912=2,3,0)))</f>
        <v>2</v>
      </c>
      <c r="C243" s="8">
        <f>IF(County!D2912=3,1,IF(County!E2912=3,2,IF(County!F2912=3,3,0)))</f>
        <v>0</v>
      </c>
      <c r="D243" s="8">
        <v>4</v>
      </c>
      <c r="E243" s="8" t="str">
        <f>County!A2912</f>
        <v>Addison</v>
      </c>
      <c r="F243" s="63">
        <f>MAX(County!N2912:W2912)</f>
        <v>11219</v>
      </c>
      <c r="G243" s="63">
        <f>LARGE(County!N2912:W2912,2)</f>
        <v>5297</v>
      </c>
      <c r="H243" s="63"/>
      <c r="I243" s="63">
        <f>County!C2912-F243-G243-H243</f>
        <v>2515</v>
      </c>
      <c r="J243" s="63">
        <f>County!BL2912</f>
        <v>50001</v>
      </c>
      <c r="K243" s="8"/>
      <c r="L243" s="8"/>
      <c r="M243" s="8"/>
      <c r="N243" s="8"/>
      <c r="O243" s="8"/>
      <c r="P243" s="8"/>
      <c r="Q243" s="8"/>
    </row>
    <row r="244" spans="1:17">
      <c r="A244" s="8">
        <f>IF(County!D2913=1,1,IF(County!E2913=1,2,IF(County!F2913=1,3,0)))</f>
        <v>1</v>
      </c>
      <c r="B244" s="8">
        <f>IF(County!D2913=2,1,IF(County!E2913=2,2,IF(County!F2913=2,3,0)))</f>
        <v>2</v>
      </c>
      <c r="C244" s="8">
        <f>IF(County!D2913=3,1,IF(County!E2913=3,2,IF(County!F2913=3,3,0)))</f>
        <v>0</v>
      </c>
      <c r="D244" s="8">
        <v>4</v>
      </c>
      <c r="E244" s="8" t="str">
        <f>County!A2913</f>
        <v>Bennington</v>
      </c>
      <c r="F244" s="63">
        <f>MAX(County!N2913:W2913)</f>
        <v>9539</v>
      </c>
      <c r="G244" s="63">
        <f>LARGE(County!N2913:W2913,2)</f>
        <v>5925</v>
      </c>
      <c r="H244" s="63"/>
      <c r="I244" s="63">
        <f>County!C2913-F244-G244-H244</f>
        <v>1917</v>
      </c>
      <c r="J244" s="63">
        <f>County!BL2913</f>
        <v>50003</v>
      </c>
      <c r="K244" s="8"/>
      <c r="L244" s="8"/>
      <c r="M244" s="8"/>
      <c r="N244" s="8"/>
      <c r="O244" s="8"/>
      <c r="P244" s="8"/>
      <c r="Q244" s="8"/>
    </row>
    <row r="245" spans="1:17">
      <c r="A245" s="8">
        <f>IF(County!D2914=1,1,IF(County!E2914=1,2,IF(County!F2914=1,3,0)))</f>
        <v>1</v>
      </c>
      <c r="B245" s="8">
        <f>IF(County!D2914=2,1,IF(County!E2914=2,2,IF(County!F2914=2,3,0)))</f>
        <v>2</v>
      </c>
      <c r="C245" s="8">
        <f>IF(County!D2914=3,1,IF(County!E2914=3,2,IF(County!F2914=3,3,0)))</f>
        <v>0</v>
      </c>
      <c r="D245" s="8">
        <v>4</v>
      </c>
      <c r="E245" s="8" t="str">
        <f>County!A2914</f>
        <v>Caledonia</v>
      </c>
      <c r="F245" s="63">
        <f>MAX(County!N2914:W2914)</f>
        <v>6445</v>
      </c>
      <c r="G245" s="63">
        <f>LARGE(County!N2914:W2914,2)</f>
        <v>5534</v>
      </c>
      <c r="H245" s="63"/>
      <c r="I245" s="63">
        <f>County!C2914-F245-G245-H245</f>
        <v>2095</v>
      </c>
      <c r="J245" s="63">
        <f>County!BL2914</f>
        <v>50005</v>
      </c>
      <c r="K245" s="8"/>
      <c r="L245" s="8"/>
      <c r="M245" s="8"/>
      <c r="N245" s="8"/>
      <c r="O245" s="8"/>
      <c r="P245" s="8"/>
      <c r="Q245" s="8"/>
    </row>
    <row r="246" spans="1:17">
      <c r="A246" s="8">
        <f>IF(County!D2915=1,1,IF(County!E2915=1,2,IF(County!F2915=1,3,0)))</f>
        <v>1</v>
      </c>
      <c r="B246" s="8">
        <f>IF(County!D2915=2,1,IF(County!E2915=2,2,IF(County!F2915=2,3,0)))</f>
        <v>2</v>
      </c>
      <c r="C246" s="8">
        <f>IF(County!D2915=3,1,IF(County!E2915=3,2,IF(County!F2915=3,3,0)))</f>
        <v>0</v>
      </c>
      <c r="D246" s="8">
        <v>4</v>
      </c>
      <c r="E246" s="8" t="str">
        <f>County!A2915</f>
        <v>Chittenden</v>
      </c>
      <c r="F246" s="63">
        <f>MAX(County!N2915:W2915)</f>
        <v>54814</v>
      </c>
      <c r="G246" s="63">
        <f>LARGE(County!N2915:W2915,2)</f>
        <v>18601</v>
      </c>
      <c r="H246" s="63"/>
      <c r="I246" s="63">
        <f>County!C2915-F246-G246-H246</f>
        <v>10001</v>
      </c>
      <c r="J246" s="63">
        <f>County!BL2915</f>
        <v>50007</v>
      </c>
      <c r="K246" s="8"/>
      <c r="L246" s="8"/>
      <c r="M246" s="8"/>
      <c r="N246" s="8"/>
      <c r="O246" s="8"/>
      <c r="P246" s="8"/>
      <c r="Q246" s="8"/>
    </row>
    <row r="247" spans="1:17">
      <c r="A247" s="8">
        <f>IF(County!D2916=1,1,IF(County!E2916=1,2,IF(County!F2916=1,3,0)))</f>
        <v>2</v>
      </c>
      <c r="B247" s="8">
        <f>IF(County!D2916=2,1,IF(County!E2916=2,2,IF(County!F2916=2,3,0)))</f>
        <v>1</v>
      </c>
      <c r="C247" s="8">
        <f>IF(County!D2916=3,1,IF(County!E2916=3,2,IF(County!F2916=3,3,0)))</f>
        <v>0</v>
      </c>
      <c r="D247" s="8">
        <v>4</v>
      </c>
      <c r="E247" s="8" t="str">
        <f>County!A2916</f>
        <v>Essex</v>
      </c>
      <c r="F247" s="63">
        <f>MAX(County!N2916:W2916)</f>
        <v>1506</v>
      </c>
      <c r="G247" s="63">
        <f>LARGE(County!N2916:W2916,2)</f>
        <v>1019</v>
      </c>
      <c r="H247" s="63"/>
      <c r="I247" s="63">
        <f>County!C2916-F247-G247-H247</f>
        <v>400</v>
      </c>
      <c r="J247" s="63">
        <f>County!BL2916</f>
        <v>50009</v>
      </c>
      <c r="K247" s="8"/>
      <c r="L247" s="8"/>
      <c r="M247" s="8"/>
      <c r="N247" s="8"/>
      <c r="O247" s="8"/>
      <c r="P247" s="8"/>
      <c r="Q247" s="8"/>
    </row>
    <row r="248" spans="1:17">
      <c r="A248" s="8">
        <f>IF(County!D2917=1,1,IF(County!E2917=1,2,IF(County!F2917=1,3,0)))</f>
        <v>1</v>
      </c>
      <c r="B248" s="8">
        <f>IF(County!D2917=2,1,IF(County!E2917=2,2,IF(County!F2917=2,3,0)))</f>
        <v>2</v>
      </c>
      <c r="C248" s="8">
        <f>IF(County!D2917=3,1,IF(County!E2917=3,2,IF(County!F2917=3,3,0)))</f>
        <v>0</v>
      </c>
      <c r="D248" s="8">
        <v>4</v>
      </c>
      <c r="E248" s="8" t="str">
        <f>County!A2917</f>
        <v>Franklin</v>
      </c>
      <c r="F248" s="63">
        <f>MAX(County!N2917:W2917)</f>
        <v>9351</v>
      </c>
      <c r="G248" s="63">
        <f>LARGE(County!N2917:W2917,2)</f>
        <v>8752</v>
      </c>
      <c r="H248" s="63"/>
      <c r="I248" s="63">
        <f>County!C2917-F248-G248-H248</f>
        <v>3308</v>
      </c>
      <c r="J248" s="63">
        <f>County!BL2917</f>
        <v>50011</v>
      </c>
      <c r="K248" s="8"/>
      <c r="L248" s="8"/>
      <c r="M248" s="8"/>
      <c r="N248" s="8"/>
      <c r="O248" s="8"/>
      <c r="P248" s="8"/>
      <c r="Q248" s="8"/>
    </row>
    <row r="249" spans="1:17">
      <c r="A249" s="8">
        <f>IF(County!D2918=1,1,IF(County!E2918=1,2,IF(County!F2918=1,3,0)))</f>
        <v>1</v>
      </c>
      <c r="B249" s="8">
        <f>IF(County!D2918=2,1,IF(County!E2918=2,2,IF(County!F2918=2,3,0)))</f>
        <v>2</v>
      </c>
      <c r="C249" s="8">
        <f>IF(County!D2918=3,1,IF(County!E2918=3,2,IF(County!F2918=3,3,0)))</f>
        <v>0</v>
      </c>
      <c r="D249" s="8">
        <v>4</v>
      </c>
      <c r="E249" s="8" t="str">
        <f>County!A2918</f>
        <v>Grand Isle</v>
      </c>
      <c r="F249" s="63">
        <f>MAX(County!N2918:W2918)</f>
        <v>2094</v>
      </c>
      <c r="G249" s="63">
        <f>LARGE(County!N2918:W2918,2)</f>
        <v>1487</v>
      </c>
      <c r="H249" s="63"/>
      <c r="I249" s="63">
        <f>County!C2918-F249-G249-H249</f>
        <v>528</v>
      </c>
      <c r="J249" s="63">
        <f>County!BL2918</f>
        <v>50013</v>
      </c>
      <c r="K249" s="8"/>
      <c r="L249" s="8"/>
      <c r="M249" s="8"/>
      <c r="N249" s="8"/>
      <c r="O249" s="8"/>
      <c r="P249" s="8"/>
      <c r="Q249" s="8"/>
    </row>
    <row r="250" spans="1:17">
      <c r="A250" s="8">
        <f>IF(County!D2919=1,1,IF(County!E2919=1,2,IF(County!F2919=1,3,0)))</f>
        <v>1</v>
      </c>
      <c r="B250" s="8">
        <f>IF(County!D2919=2,1,IF(County!E2919=2,2,IF(County!F2919=2,3,0)))</f>
        <v>2</v>
      </c>
      <c r="C250" s="8">
        <f>IF(County!D2919=3,1,IF(County!E2919=3,2,IF(County!F2919=3,3,0)))</f>
        <v>0</v>
      </c>
      <c r="D250" s="8">
        <v>4</v>
      </c>
      <c r="E250" s="8" t="str">
        <f>County!A2919</f>
        <v>Lamoille</v>
      </c>
      <c r="F250" s="63">
        <f>MAX(County!N2919:W2919)</f>
        <v>7241</v>
      </c>
      <c r="G250" s="63">
        <f>LARGE(County!N2919:W2919,2)</f>
        <v>3570</v>
      </c>
      <c r="H250" s="63"/>
      <c r="I250" s="63">
        <f>County!C2919-F250-G250-H250</f>
        <v>1951</v>
      </c>
      <c r="J250" s="63">
        <f>County!BL2919</f>
        <v>50015</v>
      </c>
      <c r="K250" s="8"/>
      <c r="L250" s="8"/>
      <c r="M250" s="8"/>
      <c r="N250" s="8"/>
      <c r="O250" s="8"/>
      <c r="P250" s="8"/>
      <c r="Q250" s="8"/>
    </row>
    <row r="251" spans="1:17">
      <c r="A251" s="8">
        <f>IF(County!D2920=1,1,IF(County!E2920=1,2,IF(County!F2920=1,3,0)))</f>
        <v>1</v>
      </c>
      <c r="B251" s="8">
        <f>IF(County!D2920=2,1,IF(County!E2920=2,2,IF(County!F2920=2,3,0)))</f>
        <v>2</v>
      </c>
      <c r="C251" s="8">
        <f>IF(County!D2920=3,1,IF(County!E2920=3,2,IF(County!F2920=3,3,0)))</f>
        <v>0</v>
      </c>
      <c r="D251" s="8">
        <v>4</v>
      </c>
      <c r="E251" s="8" t="str">
        <f>County!A2920</f>
        <v>Orange</v>
      </c>
      <c r="F251" s="63">
        <f>MAX(County!N2920:W2920)</f>
        <v>7541</v>
      </c>
      <c r="G251" s="63">
        <f>LARGE(County!N2920:W2920,2)</f>
        <v>5007</v>
      </c>
      <c r="H251" s="63"/>
      <c r="I251" s="63">
        <f>County!C2920-F251-G251-H251</f>
        <v>2101</v>
      </c>
      <c r="J251" s="63">
        <f>County!BL2920</f>
        <v>50017</v>
      </c>
      <c r="K251" s="8"/>
      <c r="L251" s="8"/>
      <c r="M251" s="8"/>
      <c r="N251" s="8"/>
      <c r="O251" s="8"/>
      <c r="P251" s="8"/>
      <c r="Q251" s="8"/>
    </row>
    <row r="252" spans="1:17">
      <c r="A252" s="8">
        <f>IF(County!D2921=1,1,IF(County!E2921=1,2,IF(County!F2921=1,3,0)))</f>
        <v>1</v>
      </c>
      <c r="B252" s="8">
        <f>IF(County!D2921=2,1,IF(County!E2921=2,2,IF(County!F2921=2,3,0)))</f>
        <v>2</v>
      </c>
      <c r="C252" s="8">
        <f>IF(County!D2921=3,1,IF(County!E2921=3,2,IF(County!F2921=3,3,0)))</f>
        <v>0</v>
      </c>
      <c r="D252" s="8">
        <v>4</v>
      </c>
      <c r="E252" s="8" t="str">
        <f>County!A2921</f>
        <v>Orleans</v>
      </c>
      <c r="F252" s="63">
        <f>MAX(County!N2921:W2921)</f>
        <v>5185</v>
      </c>
      <c r="G252" s="63">
        <f>LARGE(County!N2921:W2921,2)</f>
        <v>5159</v>
      </c>
      <c r="H252" s="63"/>
      <c r="I252" s="63">
        <f>County!C2921-F252-G252-H252</f>
        <v>1702</v>
      </c>
      <c r="J252" s="63">
        <f>County!BL2921</f>
        <v>50019</v>
      </c>
      <c r="K252" s="8"/>
      <c r="L252" s="8"/>
      <c r="M252" s="8"/>
      <c r="N252" s="8"/>
      <c r="O252" s="8"/>
      <c r="P252" s="8"/>
      <c r="Q252" s="8"/>
    </row>
    <row r="253" spans="1:17">
      <c r="A253" s="8">
        <f>IF(County!D2922=1,1,IF(County!E2922=1,2,IF(County!F2922=1,3,0)))</f>
        <v>1</v>
      </c>
      <c r="B253" s="8">
        <f>IF(County!D2922=2,1,IF(County!E2922=2,2,IF(County!F2922=2,3,0)))</f>
        <v>2</v>
      </c>
      <c r="C253" s="8">
        <f>IF(County!D2922=3,1,IF(County!E2922=3,2,IF(County!F2922=3,3,0)))</f>
        <v>0</v>
      </c>
      <c r="D253" s="8">
        <v>4</v>
      </c>
      <c r="E253" s="8" t="str">
        <f>County!A2922</f>
        <v>Rutland</v>
      </c>
      <c r="F253" s="63">
        <f>MAX(County!N2922:W2922)</f>
        <v>13635</v>
      </c>
      <c r="G253" s="63">
        <f>LARGE(County!N2922:W2922,2)</f>
        <v>12479</v>
      </c>
      <c r="H253" s="63"/>
      <c r="I253" s="63">
        <f>County!C2922-F253-G253-H253</f>
        <v>3501</v>
      </c>
      <c r="J253" s="63">
        <f>County!BL2922</f>
        <v>50021</v>
      </c>
      <c r="K253" s="8"/>
      <c r="L253" s="8"/>
      <c r="M253" s="8"/>
      <c r="N253" s="8"/>
      <c r="O253" s="8"/>
      <c r="P253" s="8"/>
      <c r="Q253" s="8"/>
    </row>
    <row r="254" spans="1:17">
      <c r="A254" s="8">
        <f>IF(County!D2923=1,1,IF(County!E2923=1,2,IF(County!F2923=1,3,0)))</f>
        <v>1</v>
      </c>
      <c r="B254" s="8">
        <f>IF(County!D2923=2,1,IF(County!E2923=2,2,IF(County!F2923=2,3,0)))</f>
        <v>2</v>
      </c>
      <c r="C254" s="8">
        <f>IF(County!D2923=3,1,IF(County!E2923=3,2,IF(County!F2923=3,3,0)))</f>
        <v>0</v>
      </c>
      <c r="D254" s="8">
        <v>4</v>
      </c>
      <c r="E254" s="8" t="str">
        <f>County!A2923</f>
        <v>Washington</v>
      </c>
      <c r="F254" s="63">
        <f>MAX(County!N2923:W2923)</f>
        <v>18594</v>
      </c>
      <c r="G254" s="63">
        <f>LARGE(County!N2923:W2923,2)</f>
        <v>7993</v>
      </c>
      <c r="H254" s="63"/>
      <c r="I254" s="63">
        <f>County!C2923-F254-G254-H254</f>
        <v>4499</v>
      </c>
      <c r="J254" s="63">
        <f>County!BL2923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8">
        <f>IF(County!D2924=1,1,IF(County!E2924=1,2,IF(County!F2924=1,3,0)))</f>
        <v>1</v>
      </c>
      <c r="B255" s="8">
        <f>IF(County!D2924=2,1,IF(County!E2924=2,2,IF(County!F2924=2,3,0)))</f>
        <v>2</v>
      </c>
      <c r="C255" s="8">
        <f>IF(County!D2924=3,1,IF(County!E2924=3,2,IF(County!F2924=3,3,0)))</f>
        <v>0</v>
      </c>
      <c r="D255" s="8">
        <v>4</v>
      </c>
      <c r="E255" s="8" t="str">
        <f>County!A2924</f>
        <v>Windham</v>
      </c>
      <c r="F255" s="63">
        <f>MAX(County!N2924:W2924)</f>
        <v>14340</v>
      </c>
      <c r="G255" s="63">
        <f>LARGE(County!N2924:W2924,2)</f>
        <v>5454</v>
      </c>
      <c r="H255" s="63"/>
      <c r="I255" s="63">
        <f>County!C2924-F255-G255-H255</f>
        <v>2840</v>
      </c>
      <c r="J255" s="63">
        <f>County!BL2924</f>
        <v>50025</v>
      </c>
    </row>
    <row r="256" spans="1:17">
      <c r="A256" s="8">
        <f>IF(County!D2925=1,1,IF(County!E2925=1,2,IF(County!F2925=1,3,0)))</f>
        <v>1</v>
      </c>
      <c r="B256" s="8">
        <f>IF(County!D2925=2,1,IF(County!E2925=2,2,IF(County!F2925=2,3,0)))</f>
        <v>2</v>
      </c>
      <c r="C256" s="8">
        <f>IF(County!D2925=3,1,IF(County!E2925=3,2,IF(County!F2925=3,3,0)))</f>
        <v>0</v>
      </c>
      <c r="D256" s="8">
        <v>4</v>
      </c>
      <c r="E256" s="8" t="str">
        <f>County!A2925</f>
        <v>Windsor</v>
      </c>
      <c r="F256" s="63">
        <f>MAX(County!N2925:W2925)</f>
        <v>17556</v>
      </c>
      <c r="G256" s="63">
        <f>LARGE(County!N2925:W2925,2)</f>
        <v>8605</v>
      </c>
      <c r="H256" s="63"/>
      <c r="I256" s="63">
        <f>County!C2925-F256-G256-H256</f>
        <v>3767</v>
      </c>
      <c r="J256" s="63">
        <f>County!BL2925</f>
        <v>50027</v>
      </c>
    </row>
    <row r="257" spans="1:10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8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BY3048"/>
  <sheetViews>
    <sheetView workbookViewId="0">
      <selection activeCell="L72" sqref="L72"/>
    </sheetView>
  </sheetViews>
  <sheetFormatPr baseColWidth="10" defaultRowHeight="13" x14ac:dyDescent="0"/>
  <cols>
    <col min="1" max="1" width="4.7109375" style="65" customWidth="1"/>
    <col min="2" max="2" width="12.7109375" style="65" customWidth="1"/>
    <col min="3" max="3" width="7.7109375" style="65" customWidth="1"/>
    <col min="4" max="4" width="12.7109375" style="66" customWidth="1"/>
    <col min="5" max="5" width="5.7109375" style="90" customWidth="1"/>
    <col min="6" max="6" width="12.7109375" style="93" customWidth="1"/>
    <col min="7" max="7" width="8.7109375" style="92" customWidth="1"/>
    <col min="8" max="8" width="4.7109375" style="92" customWidth="1"/>
    <col min="9" max="9" width="4.7109375" style="65" customWidth="1"/>
    <col min="10" max="10" width="12.7109375" style="92" customWidth="1"/>
    <col min="11" max="11" width="8.7109375" style="92" customWidth="1"/>
    <col min="12" max="12" width="12.7109375" style="66" customWidth="1"/>
    <col min="13" max="13" width="5.7109375" style="90" customWidth="1"/>
    <col min="14" max="14" width="12.7109375" style="65" customWidth="1"/>
    <col min="15" max="15" width="8.7109375" style="65" customWidth="1"/>
    <col min="16" max="16" width="5.28515625" style="65" customWidth="1"/>
    <col min="17" max="17" width="4.7109375" style="65" customWidth="1"/>
    <col min="18" max="18" width="12.7109375" style="65" customWidth="1"/>
    <col min="19" max="19" width="8.7109375" style="65" customWidth="1"/>
    <col min="20" max="20" width="12.7109375" style="66" customWidth="1"/>
    <col min="21" max="21" width="5.7109375" style="90" customWidth="1"/>
    <col min="22" max="22" width="12.7109375" style="65" customWidth="1"/>
    <col min="23" max="23" width="8.7109375" style="65" customWidth="1"/>
    <col min="24" max="25" width="4.7109375" style="65" customWidth="1"/>
    <col min="26" max="26" width="12.7109375" style="65" customWidth="1"/>
    <col min="27" max="27" width="8.7109375" style="65" customWidth="1"/>
    <col min="28" max="28" width="12.7109375" style="66" customWidth="1"/>
    <col min="29" max="29" width="5.7109375" style="90" customWidth="1"/>
    <col min="30" max="30" width="12.7109375" style="65" customWidth="1"/>
    <col min="31" max="31" width="8.7109375" style="65" customWidth="1"/>
    <col min="32" max="16384" width="10.7109375" style="65"/>
  </cols>
  <sheetData>
    <row r="1" spans="1:31">
      <c r="A1" s="65" t="s">
        <v>2185</v>
      </c>
      <c r="B1" s="90" t="s">
        <v>711</v>
      </c>
      <c r="C1" s="90" t="s">
        <v>852</v>
      </c>
      <c r="D1" s="94" t="s">
        <v>2370</v>
      </c>
      <c r="E1" s="90" t="s">
        <v>2537</v>
      </c>
      <c r="F1" s="179" t="str">
        <f>State!L2</f>
        <v>Democratic</v>
      </c>
      <c r="G1" s="179"/>
      <c r="H1" s="88"/>
      <c r="I1" s="65" t="s">
        <v>2185</v>
      </c>
      <c r="J1" s="90" t="s">
        <v>711</v>
      </c>
      <c r="K1" s="90" t="s">
        <v>852</v>
      </c>
      <c r="L1" s="94" t="s">
        <v>2370</v>
      </c>
      <c r="M1" s="90" t="s">
        <v>2537</v>
      </c>
      <c r="N1" s="180" t="str">
        <f>State!N2</f>
        <v>Republican</v>
      </c>
      <c r="O1" s="181"/>
      <c r="P1" s="89"/>
      <c r="Q1" s="65" t="s">
        <v>2185</v>
      </c>
      <c r="R1" s="90" t="s">
        <v>711</v>
      </c>
      <c r="S1" s="90" t="s">
        <v>852</v>
      </c>
      <c r="T1" s="94" t="s">
        <v>2370</v>
      </c>
      <c r="U1" s="90" t="s">
        <v>2537</v>
      </c>
      <c r="V1" s="182" t="str">
        <f>State!P2</f>
        <v>Independent</v>
      </c>
      <c r="W1" s="183"/>
      <c r="Y1" s="65" t="s">
        <v>2185</v>
      </c>
      <c r="Z1" s="90" t="s">
        <v>711</v>
      </c>
      <c r="AA1" s="90" t="s">
        <v>852</v>
      </c>
      <c r="AB1" s="94" t="s">
        <v>2370</v>
      </c>
      <c r="AC1" s="90" t="s">
        <v>2537</v>
      </c>
      <c r="AD1" s="182" t="str">
        <f>State!R2</f>
        <v>Libertarian</v>
      </c>
      <c r="AE1" s="183"/>
    </row>
    <row r="2" spans="1:31">
      <c r="A2" s="65">
        <v>1</v>
      </c>
      <c r="B2" s="91" t="str">
        <f>VLOOKUP(G2,State!M$3:CC$53,69,0)</f>
        <v>District of Columbia</v>
      </c>
      <c r="C2" s="65">
        <f>VLOOKUP(B2,State!$A$3:$B$54,2,0)</f>
        <v>3</v>
      </c>
      <c r="D2" s="66">
        <f>VLOOKUP(B2,State!$A$3:$C$54,3,0)</f>
        <v>311268</v>
      </c>
      <c r="E2" s="90" t="str">
        <f>IF(VLOOKUP(B2,State!$A$3:$G$54,7,0)=1,"•","")</f>
        <v>•</v>
      </c>
      <c r="F2" s="66">
        <f>VLOOKUP(B2,State!$A$3:$L$54,12,0)</f>
        <v>282830</v>
      </c>
      <c r="G2" s="92">
        <f>MAX(State!M3:M53)</f>
        <v>0.90863821529999866</v>
      </c>
      <c r="I2" s="65">
        <v>1</v>
      </c>
      <c r="J2" s="91" t="str">
        <f>VLOOKUP(O2,State!O$3:CC$53,67,0)</f>
        <v>Wyoming</v>
      </c>
      <c r="K2" s="65">
        <f>VLOOKUP(J2,State!$A$3:$B$54,2,0)</f>
        <v>3</v>
      </c>
      <c r="L2" s="66">
        <f>VLOOKUP(J2,State!$A$3:$C$54,3,0)</f>
        <v>255849</v>
      </c>
      <c r="M2" s="90" t="str">
        <f>IF(VLOOKUP(J2,State!$A$3:$H$54,8,0)=1,"•","")</f>
        <v>•</v>
      </c>
      <c r="N2" s="66">
        <f>VLOOKUP(J2,State!$A$3:$N$54,14,0)</f>
        <v>174419</v>
      </c>
      <c r="O2" s="92">
        <f>MAX(State!O3:O53)</f>
        <v>0.68172633076541245</v>
      </c>
      <c r="P2" s="92"/>
      <c r="Q2" s="65">
        <v>1</v>
      </c>
      <c r="R2" s="91" t="str">
        <f>VLOOKUP(W2,State!Q$3:CC$53,65,0)</f>
        <v>Utah</v>
      </c>
      <c r="S2" s="65">
        <f>VLOOKUP(R2,State!$A$3:$B$54,2,0)</f>
        <v>6</v>
      </c>
      <c r="T2" s="66">
        <f>VLOOKUP(R2,State!$A$3:$C$54,3,0)</f>
        <v>1143601</v>
      </c>
      <c r="U2" s="90" t="str">
        <f>IF(VLOOKUP(R2,State!$A$3:$I$54,9,0)=1,"•","")</f>
        <v/>
      </c>
      <c r="V2" s="66">
        <f>VLOOKUP(R2,State!$A$3:$P$54,16,0)</f>
        <v>243690</v>
      </c>
      <c r="W2" s="92">
        <f>MAX(State!Q3:Q53)</f>
        <v>0.21309005501044509</v>
      </c>
      <c r="Y2" s="65">
        <v>1</v>
      </c>
      <c r="Z2" s="91" t="str">
        <f>VLOOKUP(AE2,State!S$3:CK$53,63,0)</f>
        <v>New Mexico</v>
      </c>
      <c r="AA2" s="65">
        <f>VLOOKUP(Z2,State!$A$3:$B$54,2,0)</f>
        <v>5</v>
      </c>
      <c r="AB2" s="66">
        <f>VLOOKUP(Z2,State!$A$3:$C$54,3,0)</f>
        <v>798319</v>
      </c>
      <c r="AC2" s="90" t="str">
        <f>IF(VLOOKUP(Z2,State!$A$3:$I$54,9,0)=1,"•","")</f>
        <v/>
      </c>
      <c r="AD2" s="66">
        <f>VLOOKUP(Z2,State!$A$3:$R$54,18,0)</f>
        <v>74541</v>
      </c>
      <c r="AE2" s="92">
        <f>MAX(State!S3:S53)</f>
        <v>9.3372448858163218E-2</v>
      </c>
    </row>
    <row r="3" spans="1:31">
      <c r="A3" s="65">
        <v>2</v>
      </c>
      <c r="B3" s="91" t="str">
        <f>VLOOKUP(G3,State!M$3:CC$53,69,0)</f>
        <v>Hawaii</v>
      </c>
      <c r="C3" s="65">
        <f>VLOOKUP(B3,State!$A$3:$B$54,2,0)</f>
        <v>4</v>
      </c>
      <c r="D3" s="66">
        <f>VLOOKUP(B3,State!$A$3:$C$54,3,0)</f>
        <v>428937</v>
      </c>
      <c r="E3" s="90" t="str">
        <f>IF(VLOOKUP(B3,State!$A$3:$G$54,7,0)=1,"•","")</f>
        <v>•</v>
      </c>
      <c r="F3" s="66">
        <f>VLOOKUP(B3,State!$A$3:$L$54,12,0)</f>
        <v>266891</v>
      </c>
      <c r="G3" s="92">
        <f>LARGE(State!M$3:M$53,2)</f>
        <v>0.62221491734217382</v>
      </c>
      <c r="I3" s="65">
        <v>2</v>
      </c>
      <c r="J3" s="91" t="str">
        <f>VLOOKUP(O3,State!O$3:CC$53,67,0)</f>
        <v>West Virginia</v>
      </c>
      <c r="K3" s="65">
        <f>VLOOKUP(J3,State!$A$3:$B$54,2,0)</f>
        <v>5</v>
      </c>
      <c r="L3" s="66">
        <f>VLOOKUP(J3,State!$A$3:$C$54,3,0)</f>
        <v>721233</v>
      </c>
      <c r="M3" s="90" t="str">
        <f>IF(VLOOKUP(J3,State!$A$3:$H$54,8,0)=1,"•","")</f>
        <v>•</v>
      </c>
      <c r="N3" s="66">
        <f>VLOOKUP(J3,State!$A$3:$N$54,14,0)</f>
        <v>489371</v>
      </c>
      <c r="O3" s="92">
        <f>LARGE(State!O$3:O$53,2)</f>
        <v>0.67851997898044047</v>
      </c>
      <c r="P3" s="92"/>
      <c r="Q3" s="65">
        <v>2</v>
      </c>
      <c r="R3" s="91" t="str">
        <f>VLOOKUP(W3,State!Q$3:CC$53,65,0)</f>
        <v>Idaho</v>
      </c>
      <c r="S3" s="65">
        <f>VLOOKUP(R3,State!$A$3:$B$54,2,0)</f>
        <v>4</v>
      </c>
      <c r="T3" s="66">
        <f>VLOOKUP(R3,State!$A$3:$C$54,3,0)</f>
        <v>690433</v>
      </c>
      <c r="U3" s="90" t="str">
        <f>IF(VLOOKUP(R3,State!$A$3:$I$54,9,0)=1,"•","")</f>
        <v/>
      </c>
      <c r="V3" s="66">
        <f>VLOOKUP(R3,State!$A$3:$P$54,16,0)</f>
        <v>46476</v>
      </c>
      <c r="W3" s="92">
        <f>LARGE(State!Q$3:Q$53,2)</f>
        <v>6.7314279589764686E-2</v>
      </c>
      <c r="Y3" s="65">
        <v>2</v>
      </c>
      <c r="Z3" s="91" t="str">
        <f>VLOOKUP(AE3,State!S$3:CK$53,63,0)</f>
        <v>North Dakota</v>
      </c>
      <c r="AA3" s="65">
        <f>VLOOKUP(Z3,State!$A$3:$B$54,2,0)</f>
        <v>3</v>
      </c>
      <c r="AB3" s="66">
        <f>VLOOKUP(Z3,State!$A$3:$C$54,3,0)</f>
        <v>344360</v>
      </c>
      <c r="AC3" s="90" t="str">
        <f>IF(VLOOKUP(Z3,State!$A$3:$I$54,9,0)=1,"•","")</f>
        <v/>
      </c>
      <c r="AD3" s="66">
        <f>VLOOKUP(Z3,State!$A$3:$R$54,18,0)</f>
        <v>21434</v>
      </c>
      <c r="AE3" s="92">
        <f>LARGE(State!S$3:S$53,2)</f>
        <v>6.2243001510047621E-2</v>
      </c>
    </row>
    <row r="4" spans="1:31">
      <c r="A4" s="65">
        <v>3</v>
      </c>
      <c r="B4" s="91" t="str">
        <f>VLOOKUP(G4,State!M$3:CC$53,69,0)</f>
        <v>California</v>
      </c>
      <c r="C4" s="65">
        <f>VLOOKUP(B4,State!$A$3:$B$54,2,0)</f>
        <v>55</v>
      </c>
      <c r="D4" s="66">
        <f>VLOOKUP(B4,State!$A$3:$C$54,3,0)</f>
        <v>14237893</v>
      </c>
      <c r="E4" s="90" t="str">
        <f>IF(VLOOKUP(B4,State!$A$3:$G$54,7,0)=1,"•","")</f>
        <v>•</v>
      </c>
      <c r="F4" s="66">
        <f>VLOOKUP(B4,State!$A$3:$L$54,12,0)</f>
        <v>8753792</v>
      </c>
      <c r="G4" s="92">
        <f>LARGE(State!M$3:M$53,3)</f>
        <v>0.61482355570448521</v>
      </c>
      <c r="I4" s="65">
        <v>3</v>
      </c>
      <c r="J4" s="91" t="str">
        <f>VLOOKUP(O4,State!O$3:CC$53,67,0)</f>
        <v>Oklahoma</v>
      </c>
      <c r="K4" s="65">
        <f>VLOOKUP(J4,State!$A$3:$B$54,2,0)</f>
        <v>7</v>
      </c>
      <c r="L4" s="66">
        <f>VLOOKUP(J4,State!$A$3:$C$54,3,0)</f>
        <v>1452992</v>
      </c>
      <c r="M4" s="90" t="str">
        <f>IF(VLOOKUP(J4,State!$A$3:$H$54,8,0)=1,"•","")</f>
        <v>•</v>
      </c>
      <c r="N4" s="66">
        <f>VLOOKUP(J4,State!$A$3:$N$54,14,0)</f>
        <v>949136</v>
      </c>
      <c r="O4" s="92">
        <f>LARGE(State!O$3:O$53,3)</f>
        <v>0.65322864819627358</v>
      </c>
      <c r="P4" s="92"/>
      <c r="Q4" s="65">
        <v>3</v>
      </c>
      <c r="R4" s="91" t="str">
        <f>VLOOKUP(W4,State!Q$3:CC$53,65,0)</f>
        <v>Minnesota</v>
      </c>
      <c r="S4" s="65">
        <f>VLOOKUP(R4,State!$A$3:$B$54,2,0)</f>
        <v>10</v>
      </c>
      <c r="T4" s="66">
        <f>VLOOKUP(R4,State!$A$3:$C$54,3,0)</f>
        <v>2945233</v>
      </c>
      <c r="U4" s="90" t="str">
        <f>IF(VLOOKUP(R4,State!$A$3:$I$54,9,0)=1,"•","")</f>
        <v/>
      </c>
      <c r="V4" s="66">
        <f>VLOOKUP(R4,State!$A$3:$P$54,16,0)</f>
        <v>53083</v>
      </c>
      <c r="W4" s="92">
        <f>LARGE(State!Q$3:Q$53,3)</f>
        <v>1.802336181891212E-2</v>
      </c>
      <c r="Y4" s="65">
        <v>3</v>
      </c>
      <c r="Z4" s="91" t="str">
        <f>VLOOKUP(AE4,State!S$3:CK$53,63,0)</f>
        <v>Alaska</v>
      </c>
      <c r="AA4" s="65">
        <f>VLOOKUP(Z4,State!$A$3:$B$54,2,0)</f>
        <v>3</v>
      </c>
      <c r="AB4" s="66">
        <f>VLOOKUP(Z4,State!$A$3:$C$54,3,0)</f>
        <v>318608</v>
      </c>
      <c r="AC4" s="90" t="str">
        <f>IF(VLOOKUP(Z4,State!$A$3:$I$54,9,0)=1,"•","")</f>
        <v/>
      </c>
      <c r="AD4" s="66">
        <f>VLOOKUP(Z4,State!$A$3:$R$54,18,0)</f>
        <v>18725</v>
      </c>
      <c r="AE4" s="92">
        <f>LARGE(State!S$3:S$53,3)</f>
        <v>5.8771280068297092E-2</v>
      </c>
    </row>
    <row r="5" spans="1:31">
      <c r="A5" s="65">
        <v>4</v>
      </c>
      <c r="B5" s="91" t="str">
        <f>VLOOKUP(G5,State!M$3:CC$53,69,0)</f>
        <v>Maryland</v>
      </c>
      <c r="C5" s="65">
        <f>VLOOKUP(B5,State!$A$3:$B$54,2,0)</f>
        <v>10</v>
      </c>
      <c r="D5" s="66">
        <f>VLOOKUP(B5,State!$A$3:$C$54,3,0)</f>
        <v>2781446</v>
      </c>
      <c r="E5" s="90" t="str">
        <f>IF(VLOOKUP(B5,State!$A$3:$G$54,7,0)=1,"•","")</f>
        <v>•</v>
      </c>
      <c r="F5" s="66">
        <f>VLOOKUP(B5,State!$A$3:$L$54,12,0)</f>
        <v>1677928</v>
      </c>
      <c r="G5" s="92">
        <f>LARGE(State!M$3:M$53,4)</f>
        <v>0.60325744235192769</v>
      </c>
      <c r="I5" s="65">
        <v>4</v>
      </c>
      <c r="J5" s="91" t="str">
        <f>VLOOKUP(O5,State!O$3:CC$53,67,0)</f>
        <v>North Dakota</v>
      </c>
      <c r="K5" s="65">
        <f>VLOOKUP(J5,State!$A$3:$B$54,2,0)</f>
        <v>3</v>
      </c>
      <c r="L5" s="66">
        <f>VLOOKUP(J5,State!$A$3:$C$54,3,0)</f>
        <v>344360</v>
      </c>
      <c r="M5" s="90" t="str">
        <f>IF(VLOOKUP(J5,State!$A$3:$H$54,8,0)=1,"•","")</f>
        <v>•</v>
      </c>
      <c r="N5" s="66">
        <f>VLOOKUP(J5,State!$A$3:$N$54,14,0)</f>
        <v>216794</v>
      </c>
      <c r="O5" s="92">
        <f>LARGE(State!O$3:O$53,4)</f>
        <v>0.629556278313393</v>
      </c>
      <c r="P5" s="92"/>
      <c r="Q5" s="65">
        <v>4</v>
      </c>
      <c r="R5" s="91" t="str">
        <f>VLOOKUP(W5,State!Q$3:CC$53,65,0)</f>
        <v>Virginia</v>
      </c>
      <c r="S5" s="65">
        <f>VLOOKUP(R5,State!$A$3:$B$54,2,0)</f>
        <v>13</v>
      </c>
      <c r="T5" s="66">
        <f>VLOOKUP(R5,State!$A$3:$C$54,3,0)</f>
        <v>3982752</v>
      </c>
      <c r="U5" s="90" t="str">
        <f>IF(VLOOKUP(R5,State!$A$3:$I$54,9,0)=1,"•","")</f>
        <v/>
      </c>
      <c r="V5" s="66">
        <f>VLOOKUP(R5,State!$A$3:$P$54,16,0)</f>
        <v>54054</v>
      </c>
      <c r="W5" s="92">
        <f>LARGE(State!Q$3:Q$53,4)</f>
        <v>1.3572022561284258E-2</v>
      </c>
      <c r="Y5" s="65">
        <v>4</v>
      </c>
      <c r="Z5" s="91" t="str">
        <f>VLOOKUP(AE5,State!S$3:CK$53,63,0)</f>
        <v>Oklahoma</v>
      </c>
      <c r="AA5" s="65">
        <f>VLOOKUP(Z5,State!$A$3:$B$54,2,0)</f>
        <v>7</v>
      </c>
      <c r="AB5" s="66">
        <f>VLOOKUP(Z5,State!$A$3:$C$54,3,0)</f>
        <v>1452992</v>
      </c>
      <c r="AC5" s="90" t="str">
        <f>IF(VLOOKUP(Z5,State!$A$3:$I$54,9,0)=1,"•","")</f>
        <v/>
      </c>
      <c r="AD5" s="66">
        <f>VLOOKUP(Z5,State!$A$3:$R$54,18,0)</f>
        <v>83481</v>
      </c>
      <c r="AE5" s="92">
        <f>LARGE(State!S$3:S$53,4)</f>
        <v>5.7454548958287451E-2</v>
      </c>
    </row>
    <row r="6" spans="1:31">
      <c r="A6" s="65">
        <v>5</v>
      </c>
      <c r="B6" s="91" t="str">
        <f>VLOOKUP(G6,State!M$3:CC$53,69,0)</f>
        <v>Massachusetts</v>
      </c>
      <c r="C6" s="65">
        <f>VLOOKUP(B6,State!$A$3:$B$54,2,0)</f>
        <v>11</v>
      </c>
      <c r="D6" s="66">
        <f>VLOOKUP(B6,State!$A$3:$C$54,3,0)</f>
        <v>3325046</v>
      </c>
      <c r="E6" s="90" t="str">
        <f>IF(VLOOKUP(B6,State!$A$3:$G$54,7,0)=1,"•","")</f>
        <v>•</v>
      </c>
      <c r="F6" s="66">
        <f>VLOOKUP(B6,State!$A$3:$L$54,12,0)</f>
        <v>1995196</v>
      </c>
      <c r="G6" s="92">
        <f>LARGE(State!M$3:M$53,5)</f>
        <v>0.60005064591587609</v>
      </c>
      <c r="I6" s="65">
        <v>5</v>
      </c>
      <c r="J6" s="91" t="str">
        <f>VLOOKUP(O6,State!O$3:CC$53,67,0)</f>
        <v>Kentucky</v>
      </c>
      <c r="K6" s="65">
        <f>VLOOKUP(J6,State!$A$3:$B$54,2,0)</f>
        <v>8</v>
      </c>
      <c r="L6" s="66">
        <f>VLOOKUP(J6,State!$A$3:$C$54,3,0)</f>
        <v>1924150</v>
      </c>
      <c r="M6" s="90" t="str">
        <f>IF(VLOOKUP(J6,State!$A$3:$H$54,8,0)=1,"•","")</f>
        <v>•</v>
      </c>
      <c r="N6" s="66">
        <f>VLOOKUP(J6,State!$A$3:$N$54,14,0)</f>
        <v>1202971</v>
      </c>
      <c r="O6" s="92">
        <f>LARGE(State!O$3:O$53,5)</f>
        <v>0.62519606059818622</v>
      </c>
      <c r="P6" s="92"/>
      <c r="Q6" s="65">
        <v>5</v>
      </c>
      <c r="R6" s="91" t="str">
        <f>VLOOKUP(W6,State!Q$3:CC$53,65,0)</f>
        <v>Kentucky</v>
      </c>
      <c r="S6" s="65">
        <f>VLOOKUP(R6,State!$A$3:$B$54,2,0)</f>
        <v>8</v>
      </c>
      <c r="T6" s="66">
        <f>VLOOKUP(R6,State!$A$3:$C$54,3,0)</f>
        <v>1924150</v>
      </c>
      <c r="U6" s="90" t="str">
        <f>IF(VLOOKUP(R6,State!$A$3:$I$54,9,0)=1,"•","")</f>
        <v/>
      </c>
      <c r="V6" s="66">
        <f>VLOOKUP(R6,State!$A$3:$P$54,16,0)</f>
        <v>22780</v>
      </c>
      <c r="W6" s="92">
        <f>LARGE(State!Q$3:Q$53,5)</f>
        <v>1.1838993841436479E-2</v>
      </c>
      <c r="Y6" s="65">
        <v>5</v>
      </c>
      <c r="Z6" s="91" t="str">
        <f>VLOOKUP(AE6,State!S$3:CK$53,63,0)</f>
        <v>South Dakota</v>
      </c>
      <c r="AA6" s="65">
        <f>VLOOKUP(Z6,State!$A$3:$B$54,2,0)</f>
        <v>3</v>
      </c>
      <c r="AB6" s="66">
        <f>VLOOKUP(Z6,State!$A$3:$C$54,3,0)</f>
        <v>370093</v>
      </c>
      <c r="AC6" s="90" t="str">
        <f>IF(VLOOKUP(Z6,State!$A$3:$I$54,9,0)=1,"•","")</f>
        <v/>
      </c>
      <c r="AD6" s="66">
        <f>VLOOKUP(Z6,State!$A$3:$R$54,18,0)</f>
        <v>20850</v>
      </c>
      <c r="AE6" s="92">
        <f>LARGE(State!S$3:S$53,5)</f>
        <v>5.6337190922281698E-2</v>
      </c>
    </row>
    <row r="7" spans="1:31">
      <c r="A7" s="65">
        <v>6</v>
      </c>
      <c r="B7" s="91" t="str">
        <f>VLOOKUP(G7,State!M$3:CC$53,69,0)</f>
        <v>New York</v>
      </c>
      <c r="C7" s="65">
        <f>VLOOKUP(B7,State!$A$3:$B$54,2,0)</f>
        <v>29</v>
      </c>
      <c r="D7" s="66">
        <f>VLOOKUP(B7,State!$A$3:$C$54,3,0)</f>
        <v>7721795</v>
      </c>
      <c r="E7" s="90" t="str">
        <f>IF(VLOOKUP(B7,State!$A$3:$G$54,7,0)=1,"•","")</f>
        <v>•</v>
      </c>
      <c r="F7" s="66">
        <f>VLOOKUP(B7,State!$A$3:$L$54,12,0)</f>
        <v>4556142</v>
      </c>
      <c r="G7" s="92">
        <f>LARGE(State!M$3:M$53,6)</f>
        <v>0.59003664303442394</v>
      </c>
      <c r="I7" s="65">
        <v>6</v>
      </c>
      <c r="J7" s="91" t="str">
        <f>VLOOKUP(O7,State!O$3:CC$53,67,0)</f>
        <v>Alabama</v>
      </c>
      <c r="K7" s="65">
        <f>VLOOKUP(J7,State!$A$3:$B$54,2,0)</f>
        <v>9</v>
      </c>
      <c r="L7" s="66">
        <f>VLOOKUP(J7,State!$A$3:$C$54,3,0)</f>
        <v>2123372</v>
      </c>
      <c r="M7" s="90" t="str">
        <f>IF(VLOOKUP(J7,State!$A$3:$H$54,8,0)=1,"•","")</f>
        <v>•</v>
      </c>
      <c r="N7" s="66">
        <f>VLOOKUP(J7,State!$A$3:$N$54,14,0)</f>
        <v>1318255</v>
      </c>
      <c r="O7" s="92">
        <f>LARGE(State!O$3:O$53,6)</f>
        <v>0.62083092364409065</v>
      </c>
      <c r="P7" s="92"/>
      <c r="Q7" s="65">
        <v>6</v>
      </c>
      <c r="R7" s="91" t="str">
        <f>VLOOKUP(W7,State!Q$3:CC$53,65,0)</f>
        <v>Arkansas</v>
      </c>
      <c r="S7" s="65">
        <f>VLOOKUP(R7,State!$A$3:$B$54,2,0)</f>
        <v>6</v>
      </c>
      <c r="T7" s="66">
        <f>VLOOKUP(R7,State!$A$3:$C$54,3,0)</f>
        <v>1130635</v>
      </c>
      <c r="U7" s="90" t="str">
        <f>IF(VLOOKUP(R7,State!$A$3:$I$54,9,0)=1,"•","")</f>
        <v/>
      </c>
      <c r="V7" s="66">
        <f>VLOOKUP(R7,State!$A$3:$P$54,16,0)</f>
        <v>13255</v>
      </c>
      <c r="W7" s="92">
        <f>LARGE(State!Q$3:Q$53,6)</f>
        <v>1.1723500510774918E-2</v>
      </c>
      <c r="Y7" s="65">
        <v>6</v>
      </c>
      <c r="Z7" s="91" t="str">
        <f>VLOOKUP(AE7,State!S$3:CK$53,63,0)</f>
        <v>Montana</v>
      </c>
      <c r="AA7" s="65">
        <f>VLOOKUP(Z7,State!$A$3:$B$54,2,0)</f>
        <v>3</v>
      </c>
      <c r="AB7" s="66">
        <f>VLOOKUP(Z7,State!$A$3:$C$54,3,0)</f>
        <v>501822</v>
      </c>
      <c r="AC7" s="90" t="str">
        <f>IF(VLOOKUP(Z7,State!$A$3:$I$54,9,0)=1,"•","")</f>
        <v/>
      </c>
      <c r="AD7" s="66">
        <f>VLOOKUP(Z7,State!$A$3:$R$54,18,0)</f>
        <v>28037</v>
      </c>
      <c r="AE7" s="92">
        <f>LARGE(State!S$3:S$53,6)</f>
        <v>5.5870408232401129E-2</v>
      </c>
    </row>
    <row r="8" spans="1:31">
      <c r="A8" s="65">
        <v>7</v>
      </c>
      <c r="B8" s="91" t="str">
        <f>VLOOKUP(G8,State!M$3:CC$53,69,0)</f>
        <v>Vermont</v>
      </c>
      <c r="C8" s="65">
        <f>VLOOKUP(B8,State!$A$3:$B$54,2,0)</f>
        <v>3</v>
      </c>
      <c r="D8" s="66">
        <f>VLOOKUP(B8,State!$A$3:$C$54,3,0)</f>
        <v>315067</v>
      </c>
      <c r="E8" s="90" t="str">
        <f>IF(VLOOKUP(B8,State!$A$3:$G$54,7,0)=1,"•","")</f>
        <v>•</v>
      </c>
      <c r="F8" s="66">
        <f>VLOOKUP(B8,State!$A$3:$L$54,12,0)</f>
        <v>178573</v>
      </c>
      <c r="G8" s="92">
        <f>LARGE(State!M$3:M$53,7)</f>
        <v>0.56677785994724927</v>
      </c>
      <c r="I8" s="65">
        <v>7</v>
      </c>
      <c r="J8" s="91" t="str">
        <f>VLOOKUP(O8,State!O$3:CC$53,67,0)</f>
        <v>South Dakota</v>
      </c>
      <c r="K8" s="65">
        <f>VLOOKUP(J8,State!$A$3:$B$54,2,0)</f>
        <v>3</v>
      </c>
      <c r="L8" s="66">
        <f>VLOOKUP(J8,State!$A$3:$C$54,3,0)</f>
        <v>370093</v>
      </c>
      <c r="M8" s="90" t="str">
        <f>IF(VLOOKUP(J8,State!$A$3:$H$54,8,0)=1,"•","")</f>
        <v>•</v>
      </c>
      <c r="N8" s="66">
        <f>VLOOKUP(J8,State!$A$3:$N$54,14,0)</f>
        <v>227721</v>
      </c>
      <c r="O8" s="92">
        <f>LARGE(State!O$3:O$53,7)</f>
        <v>0.61530750378958798</v>
      </c>
      <c r="P8" s="92"/>
      <c r="Q8" s="65">
        <v>7</v>
      </c>
      <c r="R8" s="91" t="str">
        <f>VLOOKUP(W8,State!Q$3:CC$53,65,0)</f>
        <v>Colorado</v>
      </c>
      <c r="S8" s="65">
        <f>VLOOKUP(R8,State!$A$3:$B$54,2,0)</f>
        <v>9</v>
      </c>
      <c r="T8" s="66">
        <f>VLOOKUP(R8,State!$A$3:$C$54,3,0)</f>
        <v>2780247</v>
      </c>
      <c r="U8" s="90" t="str">
        <f>IF(VLOOKUP(R8,State!$A$3:$I$54,9,0)=1,"•","")</f>
        <v/>
      </c>
      <c r="V8" s="66">
        <f>VLOOKUP(R8,State!$A$3:$P$54,16,0)</f>
        <v>28917</v>
      </c>
      <c r="W8" s="92">
        <f>LARGE(State!Q$3:Q$53,7)</f>
        <v>1.0400874454679746E-2</v>
      </c>
      <c r="Y8" s="65">
        <v>7</v>
      </c>
      <c r="Z8" s="91" t="str">
        <f>VLOOKUP(AE8,State!S$3:CK$53,63,0)</f>
        <v>Wyoming</v>
      </c>
      <c r="AA8" s="65">
        <f>VLOOKUP(Z8,State!$A$3:$B$54,2,0)</f>
        <v>3</v>
      </c>
      <c r="AB8" s="66">
        <f>VLOOKUP(Z8,State!$A$3:$C$54,3,0)</f>
        <v>255849</v>
      </c>
      <c r="AC8" s="90" t="str">
        <f>IF(VLOOKUP(Z8,State!$A$3:$I$54,9,0)=1,"•","")</f>
        <v/>
      </c>
      <c r="AD8" s="66">
        <f>VLOOKUP(Z8,State!$A$3:$R$54,18,0)</f>
        <v>13287</v>
      </c>
      <c r="AE8" s="92">
        <f>LARGE(State!S$3:S$53,7)</f>
        <v>5.1932976091366392E-2</v>
      </c>
    </row>
    <row r="9" spans="1:31">
      <c r="A9" s="65">
        <v>8</v>
      </c>
      <c r="B9" s="91" t="str">
        <f>VLOOKUP(G9,State!M$3:CC$53,69,0)</f>
        <v>Illinois</v>
      </c>
      <c r="C9" s="65">
        <f>VLOOKUP(B9,State!$A$3:$B$54,2,0)</f>
        <v>20</v>
      </c>
      <c r="D9" s="66">
        <f>VLOOKUP(B9,State!$A$3:$C$54,3,0)</f>
        <v>5594825</v>
      </c>
      <c r="E9" s="90" t="str">
        <f>IF(VLOOKUP(B9,State!$A$3:$G$54,7,0)=1,"•","")</f>
        <v>•</v>
      </c>
      <c r="F9" s="66">
        <f>VLOOKUP(B9,State!$A$3:$L$54,12,0)</f>
        <v>3090729</v>
      </c>
      <c r="G9" s="92">
        <f>LARGE(State!M$3:M$53,8)</f>
        <v>0.55242639403377225</v>
      </c>
      <c r="I9" s="65">
        <v>8</v>
      </c>
      <c r="J9" s="91" t="str">
        <f>VLOOKUP(O9,State!O$3:CC$53,67,0)</f>
        <v>Tennessee</v>
      </c>
      <c r="K9" s="65">
        <f>VLOOKUP(J9,State!$A$3:$B$54,2,0)</f>
        <v>11</v>
      </c>
      <c r="L9" s="66">
        <f>VLOOKUP(J9,State!$A$3:$C$54,3,0)</f>
        <v>2508027</v>
      </c>
      <c r="M9" s="90" t="str">
        <f>IF(VLOOKUP(J9,State!$A$3:$H$54,8,0)=1,"•","")</f>
        <v>•</v>
      </c>
      <c r="N9" s="66">
        <f>VLOOKUP(J9,State!$A$3:$N$54,14,0)</f>
        <v>1522925</v>
      </c>
      <c r="O9" s="92">
        <f>LARGE(State!O$3:O$53,8)</f>
        <v>0.60722033694214617</v>
      </c>
      <c r="P9" s="92"/>
      <c r="Q9" s="65">
        <v>8</v>
      </c>
      <c r="R9" s="91" t="str">
        <f>VLOOKUP(W9,State!Q$3:CC$53,65,0)</f>
        <v>South Carolina</v>
      </c>
      <c r="S9" s="65">
        <f>VLOOKUP(R9,State!$A$3:$B$54,2,0)</f>
        <v>9</v>
      </c>
      <c r="T9" s="66">
        <f>VLOOKUP(R9,State!$A$3:$C$54,3,0)</f>
        <v>2103027</v>
      </c>
      <c r="U9" s="90" t="str">
        <f>IF(VLOOKUP(R9,State!$A$3:$I$54,9,0)=1,"•","")</f>
        <v/>
      </c>
      <c r="V9" s="66">
        <f>VLOOKUP(R9,State!$A$3:$P$54,16,0)</f>
        <v>21016</v>
      </c>
      <c r="W9" s="92">
        <f>LARGE(State!Q$3:Q$53,8)</f>
        <v>9.9932145426568468E-3</v>
      </c>
      <c r="Y9" s="65">
        <v>8</v>
      </c>
      <c r="Z9" s="91" t="str">
        <f>VLOOKUP(AE9,State!S$3:CK$53,63,0)</f>
        <v>Colorado</v>
      </c>
      <c r="AA9" s="65">
        <f>VLOOKUP(Z9,State!$A$3:$B$54,2,0)</f>
        <v>9</v>
      </c>
      <c r="AB9" s="66">
        <f>VLOOKUP(Z9,State!$A$3:$C$54,3,0)</f>
        <v>2780247</v>
      </c>
      <c r="AC9" s="90" t="str">
        <f>IF(VLOOKUP(Z9,State!$A$3:$I$54,9,0)=1,"•","")</f>
        <v/>
      </c>
      <c r="AD9" s="66">
        <f>VLOOKUP(Z9,State!$A$3:$R$54,18,0)</f>
        <v>144121</v>
      </c>
      <c r="AE9" s="92">
        <f>LARGE(State!S$3:S$53,8)</f>
        <v>5.1837480626721298E-2</v>
      </c>
    </row>
    <row r="10" spans="1:31">
      <c r="A10" s="65">
        <v>9</v>
      </c>
      <c r="B10" s="91" t="str">
        <f>VLOOKUP(G10,State!M$3:CC$53,69,0)</f>
        <v>New Jersey</v>
      </c>
      <c r="C10" s="65">
        <f>VLOOKUP(B10,State!$A$3:$B$54,2,0)</f>
        <v>14</v>
      </c>
      <c r="D10" s="66">
        <f>VLOOKUP(B10,State!$A$3:$C$54,3,0)</f>
        <v>3906723</v>
      </c>
      <c r="E10" s="90" t="str">
        <f>IF(VLOOKUP(B10,State!$A$3:$G$54,7,0)=1,"•","")</f>
        <v>•</v>
      </c>
      <c r="F10" s="66">
        <f>VLOOKUP(B10,State!$A$3:$L$54,12,0)</f>
        <v>2148278</v>
      </c>
      <c r="G10" s="92">
        <f>LARGE(State!M$3:M$53,9)</f>
        <v>0.54989258260695728</v>
      </c>
      <c r="I10" s="65">
        <v>9</v>
      </c>
      <c r="J10" s="91" t="str">
        <f>VLOOKUP(O10,State!O$3:CC$53,67,0)</f>
        <v>Arkansas</v>
      </c>
      <c r="K10" s="65">
        <f>VLOOKUP(J10,State!$A$3:$B$54,2,0)</f>
        <v>6</v>
      </c>
      <c r="L10" s="66">
        <f>VLOOKUP(J10,State!$A$3:$C$54,3,0)</f>
        <v>1130635</v>
      </c>
      <c r="M10" s="90" t="str">
        <f>IF(VLOOKUP(J10,State!$A$3:$H$54,8,0)=1,"•","")</f>
        <v>•</v>
      </c>
      <c r="N10" s="66">
        <f>VLOOKUP(J10,State!$A$3:$N$54,14,0)</f>
        <v>684872</v>
      </c>
      <c r="O10" s="92">
        <f>LARGE(State!O$3:O$53,9)</f>
        <v>0.60574102163828292</v>
      </c>
      <c r="P10" s="92"/>
      <c r="Q10" s="65">
        <v>9</v>
      </c>
      <c r="R10" s="91" t="str">
        <f>VLOOKUP(W10,State!Q$3:CC$53,65,0)</f>
        <v>Iowa</v>
      </c>
      <c r="S10" s="65">
        <f>VLOOKUP(R10,State!$A$3:$B$54,2,0)</f>
        <v>6</v>
      </c>
      <c r="T10" s="66">
        <f>VLOOKUP(R10,State!$A$3:$C$54,3,0)</f>
        <v>1566031</v>
      </c>
      <c r="U10" s="90" t="str">
        <f>IF(VLOOKUP(R10,State!$A$3:$I$54,9,0)=1,"•","")</f>
        <v/>
      </c>
      <c r="V10" s="66">
        <f>VLOOKUP(R10,State!$A$3:$P$54,16,0)</f>
        <v>12366</v>
      </c>
      <c r="W10" s="92">
        <f>LARGE(State!Q$3:Q$53,9)</f>
        <v>7.8963954097971238E-3</v>
      </c>
      <c r="Y10" s="65">
        <v>9</v>
      </c>
      <c r="Z10" s="91" t="str">
        <f>VLOOKUP(AE10,State!S$3:CK$53,63,0)</f>
        <v>Maine</v>
      </c>
      <c r="AA10" s="65">
        <f>VLOOKUP(Z10,State!$A$3:$B$54,2,0)</f>
        <v>4</v>
      </c>
      <c r="AB10" s="66">
        <f>VLOOKUP(Z10,State!$A$3:$C$54,3,0)</f>
        <v>747927</v>
      </c>
      <c r="AC10" s="90" t="str">
        <f>IF(VLOOKUP(Z10,State!$A$3:$I$54,9,0)=1,"•","")</f>
        <v/>
      </c>
      <c r="AD10" s="66">
        <f>VLOOKUP(Z10,State!$A$3:$R$54,18,0)</f>
        <v>38105</v>
      </c>
      <c r="AE10" s="92">
        <f>LARGE(State!S$3:S$53,9)</f>
        <v>5.0947485516634645E-2</v>
      </c>
    </row>
    <row r="11" spans="1:31">
      <c r="A11" s="65">
        <v>10</v>
      </c>
      <c r="B11" s="91" t="str">
        <f>VLOOKUP(G11,State!M$3:CC$53,69,0)</f>
        <v>Connecticut</v>
      </c>
      <c r="C11" s="65">
        <f>VLOOKUP(B11,State!$A$3:$B$54,2,0)</f>
        <v>7</v>
      </c>
      <c r="D11" s="66">
        <f>VLOOKUP(B11,State!$A$3:$C$54,3,0)</f>
        <v>1644920</v>
      </c>
      <c r="E11" s="90" t="str">
        <f>IF(VLOOKUP(B11,State!$A$3:$G$54,7,0)=1,"•","")</f>
        <v>•</v>
      </c>
      <c r="F11" s="66">
        <f>VLOOKUP(B11,State!$A$3:$L$54,12,0)</f>
        <v>897572</v>
      </c>
      <c r="G11" s="92">
        <f>LARGE(State!M$3:M$53,10)</f>
        <v>0.54566301096709868</v>
      </c>
      <c r="I11" s="65">
        <v>10</v>
      </c>
      <c r="J11" s="91" t="str">
        <f>VLOOKUP(O11,State!O$3:CC$53,67,0)</f>
        <v>Idaho</v>
      </c>
      <c r="K11" s="65">
        <f>VLOOKUP(J11,State!$A$3:$B$54,2,0)</f>
        <v>4</v>
      </c>
      <c r="L11" s="66">
        <f>VLOOKUP(J11,State!$A$3:$C$54,3,0)</f>
        <v>690433</v>
      </c>
      <c r="M11" s="90" t="str">
        <f>IF(VLOOKUP(J11,State!$A$3:$H$54,8,0)=1,"•","")</f>
        <v>•</v>
      </c>
      <c r="N11" s="66">
        <f>VLOOKUP(J11,State!$A$3:$N$54,14,0)</f>
        <v>409055</v>
      </c>
      <c r="O11" s="92">
        <f>LARGE(State!O$3:O$53,10)</f>
        <v>0.59246154224957381</v>
      </c>
      <c r="P11" s="92"/>
      <c r="Q11" s="65">
        <v>10</v>
      </c>
      <c r="R11" s="91" t="str">
        <f>VLOOKUP(W11,State!Q$3:CC$53,65,0)</f>
        <v>New Mexico</v>
      </c>
      <c r="S11" s="65">
        <f>VLOOKUP(R11,State!$A$3:$B$54,2,0)</f>
        <v>5</v>
      </c>
      <c r="T11" s="66">
        <f>VLOOKUP(R11,State!$A$3:$C$54,3,0)</f>
        <v>798319</v>
      </c>
      <c r="U11" s="90" t="str">
        <f>IF(VLOOKUP(R11,State!$A$3:$I$54,9,0)=1,"•","")</f>
        <v/>
      </c>
      <c r="V11" s="66">
        <f>VLOOKUP(R11,State!$A$3:$P$54,16,0)</f>
        <v>5825</v>
      </c>
      <c r="W11" s="92">
        <f>LARGE(State!Q$3:Q$53,10)</f>
        <v>7.2965819428073243E-3</v>
      </c>
      <c r="Y11" s="65">
        <v>10</v>
      </c>
      <c r="Z11" s="91" t="str">
        <f>VLOOKUP(AE11,State!S$3:CK$53,63,0)</f>
        <v>Indiana</v>
      </c>
      <c r="AA11" s="65">
        <f>VLOOKUP(Z11,State!$A$3:$B$54,2,0)</f>
        <v>11</v>
      </c>
      <c r="AB11" s="66">
        <f>VLOOKUP(Z11,State!$A$3:$C$54,3,0)</f>
        <v>2757965</v>
      </c>
      <c r="AC11" s="90" t="str">
        <f>IF(VLOOKUP(Z11,State!$A$3:$I$54,9,0)=1,"•","")</f>
        <v/>
      </c>
      <c r="AD11" s="66">
        <f>VLOOKUP(Z11,State!$A$3:$R$54,18,0)</f>
        <v>133993</v>
      </c>
      <c r="AE11" s="92">
        <f>LARGE(State!S$3:S$53,10)</f>
        <v>4.8584010311951024E-2</v>
      </c>
    </row>
    <row r="12" spans="1:31">
      <c r="A12" s="65">
        <v>11</v>
      </c>
      <c r="B12" s="91" t="str">
        <f>VLOOKUP(G12,State!M$3:CC$53,69,0)</f>
        <v>Rhode Island</v>
      </c>
      <c r="C12" s="65">
        <f>VLOOKUP(B12,State!$A$3:$B$54,2,0)</f>
        <v>4</v>
      </c>
      <c r="D12" s="66">
        <f>VLOOKUP(B12,State!$A$3:$C$54,3,0)</f>
        <v>464144</v>
      </c>
      <c r="E12" s="90" t="str">
        <f>IF(VLOOKUP(B12,State!$A$3:$G$54,7,0)=1,"•","")</f>
        <v>•</v>
      </c>
      <c r="F12" s="66">
        <f>VLOOKUP(B12,State!$A$3:$L$54,12,0)</f>
        <v>252525</v>
      </c>
      <c r="G12" s="92">
        <f>LARGE(State!M$3:M$53,11)</f>
        <v>0.54406606570374716</v>
      </c>
      <c r="I12" s="65">
        <v>11</v>
      </c>
      <c r="J12" s="91" t="str">
        <f>VLOOKUP(O12,State!O$3:CC$53,67,0)</f>
        <v>Nebraska</v>
      </c>
      <c r="K12" s="65">
        <f>VLOOKUP(J12,State!$A$3:$B$54,2,0)</f>
        <v>5</v>
      </c>
      <c r="L12" s="66">
        <f>VLOOKUP(J12,State!$A$3:$C$54,3,0)</f>
        <v>844227</v>
      </c>
      <c r="M12" s="90" t="str">
        <f>IF(VLOOKUP(J12,State!$A$3:$H$54,8,0)=1,"•","")</f>
        <v>•</v>
      </c>
      <c r="N12" s="66">
        <f>VLOOKUP(J12,State!$A$3:$N$54,14,0)</f>
        <v>495961</v>
      </c>
      <c r="O12" s="92">
        <f>LARGE(State!O$3:O$53,11)</f>
        <v>0.58747351127125758</v>
      </c>
      <c r="P12" s="92"/>
      <c r="Q12" s="65">
        <v>11</v>
      </c>
      <c r="R12" s="91" t="str">
        <f>VLOOKUP(W12,State!Q$3:CC$53,65,0)</f>
        <v>Arizona</v>
      </c>
      <c r="S12" s="65">
        <f>VLOOKUP(R12,State!$A$3:$B$54,2,0)</f>
        <v>11</v>
      </c>
      <c r="T12" s="66">
        <f>VLOOKUP(R12,State!$A$3:$C$54,3,0)</f>
        <v>2604657</v>
      </c>
      <c r="U12" s="90" t="str">
        <f>IF(VLOOKUP(R12,State!$A$3:$I$54,9,0)=1,"•","")</f>
        <v/>
      </c>
      <c r="V12" s="66">
        <f>VLOOKUP(R12,State!$A$3:$P$54,16,0)</f>
        <v>17449</v>
      </c>
      <c r="W12" s="92">
        <f>LARGE(State!Q$3:Q$53,11)</f>
        <v>6.6991546295731069E-3</v>
      </c>
      <c r="Y12" s="65">
        <v>11</v>
      </c>
      <c r="Z12" s="91" t="str">
        <f>VLOOKUP(AE12,State!S$3:CK$53,63,0)</f>
        <v>Washington</v>
      </c>
      <c r="AA12" s="65">
        <f>VLOOKUP(Z12,State!$A$3:$B$54,2,0)</f>
        <v>12</v>
      </c>
      <c r="AB12" s="66">
        <f>VLOOKUP(Z12,State!$A$3:$C$54,3,0)</f>
        <v>3316996</v>
      </c>
      <c r="AC12" s="90" t="str">
        <f>IF(VLOOKUP(Z12,State!$A$3:$I$54,9,0)=1,"•","")</f>
        <v/>
      </c>
      <c r="AD12" s="66">
        <f>VLOOKUP(Z12,State!$A$3:$R$54,18,0)</f>
        <v>160879</v>
      </c>
      <c r="AE12" s="92">
        <f>LARGE(State!S$3:S$53,11)</f>
        <v>4.8501415135863896E-2</v>
      </c>
    </row>
    <row r="13" spans="1:31">
      <c r="A13" s="65">
        <v>12</v>
      </c>
      <c r="B13" s="91" t="str">
        <f>VLOOKUP(G13,State!M$3:CC$53,69,0)</f>
        <v>Delaware</v>
      </c>
      <c r="C13" s="65">
        <f>VLOOKUP(B13,State!$A$3:$B$54,2,0)</f>
        <v>3</v>
      </c>
      <c r="D13" s="66">
        <f>VLOOKUP(B13,State!$A$3:$C$54,3,0)</f>
        <v>443814</v>
      </c>
      <c r="E13" s="90" t="str">
        <f>IF(VLOOKUP(B13,State!$A$3:$G$54,7,0)=1,"•","")</f>
        <v>•</v>
      </c>
      <c r="F13" s="66">
        <f>VLOOKUP(B13,State!$A$3:$L$54,12,0)</f>
        <v>235603</v>
      </c>
      <c r="G13" s="92">
        <f>LARGE(State!M$3:M$53,12)</f>
        <v>0.53085977459025624</v>
      </c>
      <c r="I13" s="65">
        <v>12</v>
      </c>
      <c r="J13" s="91" t="str">
        <f>VLOOKUP(O13,State!O$3:CC$53,67,0)</f>
        <v>Louisiana</v>
      </c>
      <c r="K13" s="65">
        <f>VLOOKUP(J13,State!$A$3:$B$54,2,0)</f>
        <v>8</v>
      </c>
      <c r="L13" s="66">
        <f>VLOOKUP(J13,State!$A$3:$C$54,3,0)</f>
        <v>2029032</v>
      </c>
      <c r="M13" s="90" t="str">
        <f>IF(VLOOKUP(J13,State!$A$3:$H$54,8,0)=1,"•","")</f>
        <v>•</v>
      </c>
      <c r="N13" s="66">
        <f>VLOOKUP(J13,State!$A$3:$N$54,14,0)</f>
        <v>1178638</v>
      </c>
      <c r="O13" s="92">
        <f>LARGE(State!O$3:O$53,12)</f>
        <v>0.58088684653568801</v>
      </c>
      <c r="P13" s="92"/>
      <c r="Q13" s="65">
        <v>12</v>
      </c>
      <c r="R13" s="91" t="str">
        <f>VLOOKUP(W13,State!Q$3:CC$53,65,0)</f>
        <v>Kansas</v>
      </c>
      <c r="S13" s="65">
        <f>VLOOKUP(R13,State!$A$3:$B$54,2,0)</f>
        <v>6</v>
      </c>
      <c r="T13" s="66">
        <f>VLOOKUP(R13,State!$A$3:$C$54,3,0)</f>
        <v>1194755</v>
      </c>
      <c r="U13" s="90" t="str">
        <f>IF(VLOOKUP(R13,State!$A$3:$I$54,9,0)=1,"•","")</f>
        <v/>
      </c>
      <c r="V13" s="66">
        <f>VLOOKUP(R13,State!$A$3:$P$54,16,0)</f>
        <v>6520</v>
      </c>
      <c r="W13" s="92">
        <f>LARGE(State!Q$3:Q$53,12)</f>
        <v>5.4571857828592469E-3</v>
      </c>
      <c r="Y13" s="65">
        <v>12</v>
      </c>
      <c r="Z13" s="91" t="str">
        <f>VLOOKUP(AE13,State!S$3:CK$53,63,0)</f>
        <v>Oregon</v>
      </c>
      <c r="AA13" s="65">
        <f>VLOOKUP(Z13,State!$A$3:$B$54,2,0)</f>
        <v>7</v>
      </c>
      <c r="AB13" s="66">
        <f>VLOOKUP(Z13,State!$A$3:$C$54,3,0)</f>
        <v>2001336</v>
      </c>
      <c r="AC13" s="90" t="str">
        <f>IF(VLOOKUP(Z13,State!$A$3:$I$54,9,0)=1,"•","")</f>
        <v/>
      </c>
      <c r="AD13" s="66">
        <f>VLOOKUP(Z13,State!$A$3:$R$54,18,0)</f>
        <v>94231</v>
      </c>
      <c r="AE13" s="92">
        <f>LARGE(State!S$3:S$53,12)</f>
        <v>4.7084047856032173E-2</v>
      </c>
    </row>
    <row r="14" spans="1:31">
      <c r="A14" s="65">
        <v>13</v>
      </c>
      <c r="B14" s="91" t="str">
        <f>VLOOKUP(G14,State!M$3:CC$53,69,0)</f>
        <v>Washington</v>
      </c>
      <c r="C14" s="65">
        <f>VLOOKUP(B14,State!$A$3:$B$54,2,0)</f>
        <v>12</v>
      </c>
      <c r="D14" s="66">
        <f>VLOOKUP(B14,State!$A$3:$C$54,3,0)</f>
        <v>3316996</v>
      </c>
      <c r="E14" s="90" t="str">
        <f>IF(VLOOKUP(B14,State!$A$3:$G$54,7,0)=1,"•","")</f>
        <v>•</v>
      </c>
      <c r="F14" s="66">
        <f>VLOOKUP(B14,State!$A$3:$L$54,12,0)</f>
        <v>1742718</v>
      </c>
      <c r="G14" s="92">
        <f>LARGE(State!M$3:M$53,13)</f>
        <v>0.52539044364238008</v>
      </c>
      <c r="I14" s="65">
        <v>13</v>
      </c>
      <c r="J14" s="91" t="str">
        <f>VLOOKUP(O14,State!O$3:CC$53,67,0)</f>
        <v>Mississippi</v>
      </c>
      <c r="K14" s="65">
        <f>VLOOKUP(J14,State!$A$3:$B$54,2,0)</f>
        <v>6</v>
      </c>
      <c r="L14" s="66">
        <f>VLOOKUP(J14,State!$A$3:$C$54,3,0)</f>
        <v>1211088</v>
      </c>
      <c r="M14" s="90" t="str">
        <f>IF(VLOOKUP(J14,State!$A$3:$H$54,8,0)=1,"•","")</f>
        <v>•</v>
      </c>
      <c r="N14" s="66">
        <f>VLOOKUP(J14,State!$A$3:$N$54,14,0)</f>
        <v>700714</v>
      </c>
      <c r="O14" s="92">
        <f>LARGE(State!O$3:O$53,13)</f>
        <v>0.57858223349583182</v>
      </c>
      <c r="P14" s="92"/>
      <c r="Q14" s="65">
        <v>13</v>
      </c>
      <c r="R14" s="91" t="str">
        <f>VLOOKUP(W14,State!Q$3:CC$53,65,0)</f>
        <v>Tennessee</v>
      </c>
      <c r="S14" s="65">
        <f>VLOOKUP(R14,State!$A$3:$B$54,2,0)</f>
        <v>11</v>
      </c>
      <c r="T14" s="66">
        <f>VLOOKUP(R14,State!$A$3:$C$54,3,0)</f>
        <v>2508027</v>
      </c>
      <c r="U14" s="90" t="str">
        <f>IF(VLOOKUP(R14,State!$A$3:$I$54,9,0)=1,"•","")</f>
        <v/>
      </c>
      <c r="V14" s="66">
        <f>VLOOKUP(R14,State!$A$3:$P$54,16,0)</f>
        <v>11991</v>
      </c>
      <c r="W14" s="92">
        <f>LARGE(State!Q$3:Q$53,13)</f>
        <v>4.7810490078456095E-3</v>
      </c>
      <c r="Y14" s="65">
        <v>13</v>
      </c>
      <c r="Z14" s="91" t="str">
        <f>VLOOKUP(AE14,State!S$3:CK$53,63,0)</f>
        <v>Kansas</v>
      </c>
      <c r="AA14" s="65">
        <f>VLOOKUP(Z14,State!$A$3:$B$54,2,0)</f>
        <v>6</v>
      </c>
      <c r="AB14" s="66">
        <f>VLOOKUP(Z14,State!$A$3:$C$54,3,0)</f>
        <v>1194755</v>
      </c>
      <c r="AC14" s="90" t="str">
        <f>IF(VLOOKUP(Z14,State!$A$3:$I$54,9,0)=1,"•","")</f>
        <v/>
      </c>
      <c r="AD14" s="66">
        <f>VLOOKUP(Z14,State!$A$3:$R$54,18,0)</f>
        <v>55406</v>
      </c>
      <c r="AE14" s="92">
        <f>LARGE(State!S$3:S$53,13)</f>
        <v>4.6374361270720775E-2</v>
      </c>
    </row>
    <row r="15" spans="1:31">
      <c r="A15" s="65">
        <v>14</v>
      </c>
      <c r="B15" s="91" t="str">
        <f>VLOOKUP(G15,State!M$3:CC$53,69,0)</f>
        <v>Oregon</v>
      </c>
      <c r="C15" s="65">
        <f>VLOOKUP(B15,State!$A$3:$B$54,2,0)</f>
        <v>7</v>
      </c>
      <c r="D15" s="66">
        <f>VLOOKUP(B15,State!$A$3:$C$54,3,0)</f>
        <v>2001336</v>
      </c>
      <c r="E15" s="90" t="str">
        <f>IF(VLOOKUP(B15,State!$A$3:$G$54,7,0)=1,"•","")</f>
        <v>•</v>
      </c>
      <c r="F15" s="66">
        <f>VLOOKUP(B15,State!$A$3:$L$54,12,0)</f>
        <v>1002106</v>
      </c>
      <c r="G15" s="92">
        <f>LARGE(State!M$3:M$53,14)</f>
        <v>0.50071852002862083</v>
      </c>
      <c r="I15" s="65">
        <v>14</v>
      </c>
      <c r="J15" s="91" t="str">
        <f>VLOOKUP(O15,State!O$3:CC$53,67,0)</f>
        <v>Indiana</v>
      </c>
      <c r="K15" s="65">
        <f>VLOOKUP(J15,State!$A$3:$B$54,2,0)</f>
        <v>11</v>
      </c>
      <c r="L15" s="66">
        <f>VLOOKUP(J15,State!$A$3:$C$54,3,0)</f>
        <v>2757965</v>
      </c>
      <c r="M15" s="90" t="str">
        <f>IF(VLOOKUP(J15,State!$A$3:$H$54,8,0)=1,"•","")</f>
        <v>•</v>
      </c>
      <c r="N15" s="66">
        <f>VLOOKUP(J15,State!$A$3:$N$54,14,0)</f>
        <v>1557286</v>
      </c>
      <c r="O15" s="92">
        <f>LARGE(State!O$3:O$53,14)</f>
        <v>0.56465038533846512</v>
      </c>
      <c r="P15" s="92"/>
      <c r="Q15" s="65">
        <v>14</v>
      </c>
      <c r="R15" s="91" t="str">
        <f>VLOOKUP(W15,State!Q$3:CC$53,65,0)</f>
        <v>Texas</v>
      </c>
      <c r="S15" s="65">
        <f>VLOOKUP(R15,State!$A$3:$B$54,2,0)</f>
        <v>38</v>
      </c>
      <c r="T15" s="66">
        <f>VLOOKUP(R15,State!$A$3:$C$54,3,0)</f>
        <v>8993166</v>
      </c>
      <c r="U15" s="90" t="str">
        <f>IF(VLOOKUP(R15,State!$A$3:$I$54,9,0)=1,"•","")</f>
        <v/>
      </c>
      <c r="V15" s="66">
        <f>VLOOKUP(R15,State!$A$3:$P$54,16,0)</f>
        <v>42366</v>
      </c>
      <c r="W15" s="92">
        <f>LARGE(State!Q$3:Q$53,14)</f>
        <v>4.7109104846947119E-3</v>
      </c>
      <c r="Y15" s="65">
        <v>14</v>
      </c>
      <c r="Z15" s="91" t="str">
        <f>VLOOKUP(AE15,State!S$3:CK$53,63,0)</f>
        <v>Nebraska</v>
      </c>
      <c r="AA15" s="65">
        <f>VLOOKUP(Z15,State!$A$3:$B$54,2,0)</f>
        <v>5</v>
      </c>
      <c r="AB15" s="66">
        <f>VLOOKUP(Z15,State!$A$3:$C$54,3,0)</f>
        <v>844227</v>
      </c>
      <c r="AC15" s="90" t="str">
        <f>IF(VLOOKUP(Z15,State!$A$3:$I$54,9,0)=1,"•","")</f>
        <v/>
      </c>
      <c r="AD15" s="66">
        <f>VLOOKUP(Z15,State!$A$3:$R$54,18,0)</f>
        <v>38946</v>
      </c>
      <c r="AE15" s="92">
        <f>LARGE(State!S$3:S$53,14)</f>
        <v>4.6132142184507251E-2</v>
      </c>
    </row>
    <row r="16" spans="1:31">
      <c r="A16" s="65">
        <v>15</v>
      </c>
      <c r="B16" s="91" t="str">
        <f>VLOOKUP(G16,State!M$3:CC$53,69,0)</f>
        <v>Virginia</v>
      </c>
      <c r="C16" s="65">
        <f>VLOOKUP(B16,State!$A$3:$B$54,2,0)</f>
        <v>13</v>
      </c>
      <c r="D16" s="66">
        <f>VLOOKUP(B16,State!$A$3:$C$54,3,0)</f>
        <v>3982752</v>
      </c>
      <c r="E16" s="90" t="str">
        <f>IF(VLOOKUP(B16,State!$A$3:$G$54,7,0)=1,"•","")</f>
        <v>•</v>
      </c>
      <c r="F16" s="66">
        <f>VLOOKUP(B16,State!$A$3:$L$54,12,0)</f>
        <v>1981473</v>
      </c>
      <c r="G16" s="92">
        <f>LARGE(State!M$3:M$53,15)</f>
        <v>0.49751352833417695</v>
      </c>
      <c r="I16" s="65">
        <v>15</v>
      </c>
      <c r="J16" s="91" t="str">
        <f>VLOOKUP(O16,State!O$3:CC$53,67,0)</f>
        <v>Missouri</v>
      </c>
      <c r="K16" s="65">
        <f>VLOOKUP(J16,State!$A$3:$B$54,2,0)</f>
        <v>10</v>
      </c>
      <c r="L16" s="66">
        <f>VLOOKUP(J16,State!$A$3:$C$54,3,0)</f>
        <v>2828266</v>
      </c>
      <c r="M16" s="90" t="str">
        <f>IF(VLOOKUP(J16,State!$A$3:$H$54,8,0)=1,"•","")</f>
        <v>•</v>
      </c>
      <c r="N16" s="66">
        <f>VLOOKUP(J16,State!$A$3:$N$54,14,0)</f>
        <v>1594511</v>
      </c>
      <c r="O16" s="92">
        <f>LARGE(State!O$3:O$53,15)</f>
        <v>0.56377688661533254</v>
      </c>
      <c r="P16" s="92"/>
      <c r="Q16" s="65">
        <v>15</v>
      </c>
      <c r="R16" s="91" t="str">
        <f>VLOOKUP(W16,State!Q$3:CC$53,65,0)</f>
        <v>Montana</v>
      </c>
      <c r="S16" s="65">
        <f>VLOOKUP(R16,State!$A$3:$B$54,2,0)</f>
        <v>3</v>
      </c>
      <c r="T16" s="66">
        <f>VLOOKUP(R16,State!$A$3:$C$54,3,0)</f>
        <v>501822</v>
      </c>
      <c r="U16" s="90" t="str">
        <f>IF(VLOOKUP(R16,State!$A$3:$I$54,9,0)=1,"•","")</f>
        <v/>
      </c>
      <c r="V16" s="66">
        <f>VLOOKUP(R16,State!$A$3:$P$54,16,0)</f>
        <v>2297</v>
      </c>
      <c r="W16" s="92">
        <f>LARGE(State!Q$3:Q$53,15)</f>
        <v>4.5773202450271212E-3</v>
      </c>
      <c r="Y16" s="65">
        <v>15</v>
      </c>
      <c r="Z16" s="91" t="str">
        <f>VLOOKUP(AE16,State!S$3:CK$53,63,0)</f>
        <v>Massachusetts</v>
      </c>
      <c r="AA16" s="65">
        <f>VLOOKUP(Z16,State!$A$3:$B$54,2,0)</f>
        <v>11</v>
      </c>
      <c r="AB16" s="66">
        <f>VLOOKUP(Z16,State!$A$3:$C$54,3,0)</f>
        <v>3325046</v>
      </c>
      <c r="AC16" s="90" t="str">
        <f>IF(VLOOKUP(Z16,State!$A$3:$I$54,9,0)=1,"•","")</f>
        <v/>
      </c>
      <c r="AD16" s="66">
        <f>VLOOKUP(Z16,State!$A$3:$R$54,18,0)</f>
        <v>138018</v>
      </c>
      <c r="AE16" s="92">
        <f>LARGE(State!S$3:S$53,15)</f>
        <v>4.1508598678033325E-2</v>
      </c>
    </row>
    <row r="17" spans="1:31">
      <c r="A17" s="65">
        <v>16</v>
      </c>
      <c r="B17" s="91" t="str">
        <f>VLOOKUP(G17,State!M$3:CC$53,69,0)</f>
        <v>New Mexico</v>
      </c>
      <c r="C17" s="65">
        <f>VLOOKUP(B17,State!$A$3:$B$54,2,0)</f>
        <v>5</v>
      </c>
      <c r="D17" s="66">
        <f>VLOOKUP(B17,State!$A$3:$C$54,3,0)</f>
        <v>798319</v>
      </c>
      <c r="E17" s="90" t="str">
        <f>IF(VLOOKUP(B17,State!$A$3:$G$54,7,0)=1,"•","")</f>
        <v>•</v>
      </c>
      <c r="F17" s="66">
        <f>VLOOKUP(B17,State!$A$3:$L$54,12,0)</f>
        <v>385234</v>
      </c>
      <c r="G17" s="92">
        <f>LARGE(State!M$3:M$53,16)</f>
        <v>0.48255647178634103</v>
      </c>
      <c r="I17" s="65">
        <v>16</v>
      </c>
      <c r="J17" s="91" t="str">
        <f>VLOOKUP(O17,State!O$3:CC$53,67,0)</f>
        <v>Kansas</v>
      </c>
      <c r="K17" s="65">
        <f>VLOOKUP(J17,State!$A$3:$B$54,2,0)</f>
        <v>6</v>
      </c>
      <c r="L17" s="66">
        <f>VLOOKUP(J17,State!$A$3:$C$54,3,0)</f>
        <v>1194755</v>
      </c>
      <c r="M17" s="90" t="str">
        <f>IF(VLOOKUP(J17,State!$A$3:$H$54,8,0)=1,"•","")</f>
        <v>•</v>
      </c>
      <c r="N17" s="66">
        <f>VLOOKUP(J17,State!$A$3:$N$54,14,0)</f>
        <v>671018</v>
      </c>
      <c r="O17" s="92">
        <f>LARGE(State!O$3:O$53,16)</f>
        <v>0.56163648614151018</v>
      </c>
      <c r="P17" s="92"/>
      <c r="Q17" s="65">
        <v>16</v>
      </c>
      <c r="R17" s="91" t="str">
        <f>VLOOKUP(W17,State!Q$3:CC$53,65,0)</f>
        <v>Louisiana</v>
      </c>
      <c r="S17" s="65">
        <f>VLOOKUP(R17,State!$A$3:$B$54,2,0)</f>
        <v>8</v>
      </c>
      <c r="T17" s="66">
        <f>VLOOKUP(R17,State!$A$3:$C$54,3,0)</f>
        <v>2029032</v>
      </c>
      <c r="U17" s="90" t="str">
        <f>IF(VLOOKUP(R17,State!$A$3:$I$54,9,0)=1,"•","")</f>
        <v/>
      </c>
      <c r="V17" s="66">
        <f>VLOOKUP(R17,State!$A$3:$P$54,16,0)</f>
        <v>8547</v>
      </c>
      <c r="W17" s="92">
        <f>LARGE(State!Q$3:Q$53,16)</f>
        <v>4.2123534769289003E-3</v>
      </c>
      <c r="Y17" s="65">
        <v>16</v>
      </c>
      <c r="Z17" s="91" t="str">
        <f>VLOOKUP(AE17,State!S$3:CK$53,63,0)</f>
        <v>New Hampshire</v>
      </c>
      <c r="AA17" s="65">
        <f>VLOOKUP(Z17,State!$A$3:$B$54,2,0)</f>
        <v>4</v>
      </c>
      <c r="AB17" s="66">
        <f>VLOOKUP(Z17,State!$A$3:$C$54,3,0)</f>
        <v>744296</v>
      </c>
      <c r="AC17" s="90" t="str">
        <f>IF(VLOOKUP(Z17,State!$A$3:$I$54,9,0)=1,"•","")</f>
        <v/>
      </c>
      <c r="AD17" s="66">
        <f>VLOOKUP(Z17,State!$A$3:$R$54,18,0)</f>
        <v>30777</v>
      </c>
      <c r="AE17" s="92">
        <f>LARGE(State!S$3:S$53,16)</f>
        <v>4.1350484215957092E-2</v>
      </c>
    </row>
    <row r="18" spans="1:31">
      <c r="A18" s="65">
        <v>17</v>
      </c>
      <c r="B18" s="91" t="str">
        <f>VLOOKUP(G18,State!M$3:CC$53,69,0)</f>
        <v>Colorado</v>
      </c>
      <c r="C18" s="65">
        <f>VLOOKUP(B18,State!$A$3:$B$54,2,0)</f>
        <v>9</v>
      </c>
      <c r="D18" s="66">
        <f>VLOOKUP(B18,State!$A$3:$C$54,3,0)</f>
        <v>2780247</v>
      </c>
      <c r="E18" s="90" t="str">
        <f>IF(VLOOKUP(B18,State!$A$3:$G$54,7,0)=1,"•","")</f>
        <v>•</v>
      </c>
      <c r="F18" s="66">
        <f>VLOOKUP(B18,State!$A$3:$L$54,12,0)</f>
        <v>1338870</v>
      </c>
      <c r="G18" s="92">
        <f>LARGE(State!M$3:M$53,17)</f>
        <v>0.48156512712719407</v>
      </c>
      <c r="I18" s="65">
        <v>17</v>
      </c>
      <c r="J18" s="91" t="str">
        <f>VLOOKUP(O18,State!O$3:CC$53,67,0)</f>
        <v>Montana</v>
      </c>
      <c r="K18" s="65">
        <f>VLOOKUP(J18,State!$A$3:$B$54,2,0)</f>
        <v>3</v>
      </c>
      <c r="L18" s="66">
        <f>VLOOKUP(J18,State!$A$3:$C$54,3,0)</f>
        <v>501822</v>
      </c>
      <c r="M18" s="90" t="str">
        <f>IF(VLOOKUP(J18,State!$A$3:$H$54,8,0)=1,"•","")</f>
        <v>•</v>
      </c>
      <c r="N18" s="66">
        <f>VLOOKUP(J18,State!$A$3:$N$54,14,0)</f>
        <v>279240</v>
      </c>
      <c r="O18" s="92">
        <f>LARGE(State!O$3:O$53,17)</f>
        <v>0.55645228786302714</v>
      </c>
      <c r="P18" s="92"/>
      <c r="Q18" s="65">
        <v>17</v>
      </c>
      <c r="R18" s="91" t="str">
        <f>VLOOKUP(W18,State!Q$3:CC$53,65,0)</f>
        <v>Wisconsin</v>
      </c>
      <c r="S18" s="65">
        <f>VLOOKUP(R18,State!$A$3:$B$54,2,0)</f>
        <v>10</v>
      </c>
      <c r="T18" s="66">
        <f>VLOOKUP(R18,State!$A$3:$C$54,3,0)</f>
        <v>2976150</v>
      </c>
      <c r="U18" s="90" t="str">
        <f>IF(VLOOKUP(R18,State!$A$3:$I$54,9,0)=1,"•","")</f>
        <v/>
      </c>
      <c r="V18" s="66">
        <f>VLOOKUP(R18,State!$A$3:$P$54,16,0)</f>
        <v>11855</v>
      </c>
      <c r="W18" s="92">
        <f>LARGE(State!Q$3:Q$53,17)</f>
        <v>3.9833341733447577E-3</v>
      </c>
      <c r="Y18" s="65">
        <v>17</v>
      </c>
      <c r="Z18" s="91" t="str">
        <f>VLOOKUP(AE18,State!S$3:CK$53,63,0)</f>
        <v>Idaho</v>
      </c>
      <c r="AA18" s="65">
        <f>VLOOKUP(Z18,State!$A$3:$B$54,2,0)</f>
        <v>4</v>
      </c>
      <c r="AB18" s="66">
        <f>VLOOKUP(Z18,State!$A$3:$C$54,3,0)</f>
        <v>690433</v>
      </c>
      <c r="AC18" s="90" t="str">
        <f>IF(VLOOKUP(Z18,State!$A$3:$I$54,9,0)=1,"•","")</f>
        <v/>
      </c>
      <c r="AD18" s="66">
        <f>VLOOKUP(Z18,State!$A$3:$R$54,18,0)</f>
        <v>28331</v>
      </c>
      <c r="AE18" s="92">
        <f>LARGE(State!S$3:S$53,17)</f>
        <v>4.1033670175093025E-2</v>
      </c>
    </row>
    <row r="19" spans="1:31">
      <c r="A19" s="65">
        <v>18</v>
      </c>
      <c r="B19" s="91" t="str">
        <f>VLOOKUP(G19,State!M$3:CC$53,69,0)</f>
        <v>Nevada</v>
      </c>
      <c r="C19" s="65">
        <f>VLOOKUP(B19,State!$A$3:$B$54,2,0)</f>
        <v>6</v>
      </c>
      <c r="D19" s="66">
        <f>VLOOKUP(B19,State!$A$3:$C$54,3,0)</f>
        <v>1125385</v>
      </c>
      <c r="E19" s="90" t="str">
        <f>IF(VLOOKUP(B19,State!$A$3:$G$54,7,0)=1,"•","")</f>
        <v>•</v>
      </c>
      <c r="F19" s="66">
        <f>VLOOKUP(B19,State!$A$3:$L$54,12,0)</f>
        <v>539260</v>
      </c>
      <c r="G19" s="92">
        <f>LARGE(State!M$3:M$53,18)</f>
        <v>0.47917823678119043</v>
      </c>
      <c r="I19" s="65">
        <v>18</v>
      </c>
      <c r="J19" s="91" t="str">
        <f>VLOOKUP(O19,State!O$3:CC$53,67,0)</f>
        <v>South Carolina</v>
      </c>
      <c r="K19" s="65">
        <f>VLOOKUP(J19,State!$A$3:$B$54,2,0)</f>
        <v>9</v>
      </c>
      <c r="L19" s="66">
        <f>VLOOKUP(J19,State!$A$3:$C$54,3,0)</f>
        <v>2103027</v>
      </c>
      <c r="M19" s="90" t="str">
        <f>IF(VLOOKUP(J19,State!$A$3:$H$54,8,0)=1,"•","")</f>
        <v>•</v>
      </c>
      <c r="N19" s="66">
        <f>VLOOKUP(J19,State!$A$3:$N$54,14,0)</f>
        <v>1155389</v>
      </c>
      <c r="O19" s="92">
        <f>LARGE(State!O$3:O$53,18)</f>
        <v>0.5493933268569543</v>
      </c>
      <c r="P19" s="92"/>
      <c r="Q19" s="65">
        <v>18</v>
      </c>
      <c r="R19" s="91" t="str">
        <f>VLOOKUP(W19,State!Q$3:CC$53,65,0)</f>
        <v>Maryland</v>
      </c>
      <c r="S19" s="65">
        <f>VLOOKUP(R19,State!$A$3:$B$54,2,0)</f>
        <v>10</v>
      </c>
      <c r="T19" s="66">
        <f>VLOOKUP(R19,State!$A$3:$C$54,3,0)</f>
        <v>2781446</v>
      </c>
      <c r="U19" s="90" t="str">
        <f>IF(VLOOKUP(R19,State!$A$3:$I$54,9,0)=1,"•","")</f>
        <v/>
      </c>
      <c r="V19" s="66">
        <f>VLOOKUP(R19,State!$A$3:$P$54,16,0)</f>
        <v>9630</v>
      </c>
      <c r="W19" s="92">
        <f>LARGE(State!Q$3:Q$53,18)</f>
        <v>3.4622279202975717E-3</v>
      </c>
      <c r="Y19" s="65">
        <v>18</v>
      </c>
      <c r="Z19" s="91" t="str">
        <f>VLOOKUP(AE19,State!S$3:CK$53,63,0)</f>
        <v>Arizona</v>
      </c>
      <c r="AA19" s="65">
        <f>VLOOKUP(Z19,State!$A$3:$B$54,2,0)</f>
        <v>11</v>
      </c>
      <c r="AB19" s="66">
        <f>VLOOKUP(Z19,State!$A$3:$C$54,3,0)</f>
        <v>2604657</v>
      </c>
      <c r="AC19" s="90" t="str">
        <f>IF(VLOOKUP(Z19,State!$A$3:$I$54,9,0)=1,"•","")</f>
        <v/>
      </c>
      <c r="AD19" s="66">
        <f>VLOOKUP(Z19,State!$A$3:$R$54,18,0)</f>
        <v>106327</v>
      </c>
      <c r="AE19" s="92">
        <f>LARGE(State!S$3:S$53,18)</f>
        <v>4.0821881729532911E-2</v>
      </c>
    </row>
    <row r="20" spans="1:31">
      <c r="A20" s="65">
        <v>19</v>
      </c>
      <c r="B20" s="91" t="str">
        <f>VLOOKUP(G20,State!M$3:CC$53,69,0)</f>
        <v>Maine</v>
      </c>
      <c r="C20" s="65">
        <f>VLOOKUP(B20,State!$A$3:$B$54,2,0)</f>
        <v>4</v>
      </c>
      <c r="D20" s="66">
        <f>VLOOKUP(B20,State!$A$3:$C$54,3,0)</f>
        <v>747927</v>
      </c>
      <c r="E20" s="90" t="str">
        <f>IF(VLOOKUP(B20,State!$A$3:$G$54,7,0)=1,"•","")</f>
        <v>•</v>
      </c>
      <c r="F20" s="66">
        <f>VLOOKUP(B20,State!$A$3:$L$54,12,0)</f>
        <v>357735</v>
      </c>
      <c r="G20" s="92">
        <f>LARGE(State!M$3:M$53,19)</f>
        <v>0.47830202680208095</v>
      </c>
      <c r="I20" s="65">
        <v>19</v>
      </c>
      <c r="J20" s="91" t="str">
        <f>VLOOKUP(O20,State!O$3:CC$53,67,0)</f>
        <v>Texas</v>
      </c>
      <c r="K20" s="65">
        <f>VLOOKUP(J20,State!$A$3:$B$54,2,0)</f>
        <v>38</v>
      </c>
      <c r="L20" s="66">
        <f>VLOOKUP(J20,State!$A$3:$C$54,3,0)</f>
        <v>8993166</v>
      </c>
      <c r="M20" s="90" t="str">
        <f>IF(VLOOKUP(J20,State!$A$3:$H$54,8,0)=1,"•","")</f>
        <v>•</v>
      </c>
      <c r="N20" s="66">
        <f>VLOOKUP(J20,State!$A$3:$N$54,14,0)</f>
        <v>4685047</v>
      </c>
      <c r="O20" s="92">
        <f>LARGE(State!O$3:O$53,19)</f>
        <v>0.52095635730509149</v>
      </c>
      <c r="P20" s="92"/>
      <c r="Q20" s="65">
        <v>19</v>
      </c>
      <c r="R20" s="91" t="str">
        <f>VLOOKUP(W20,State!Q$3:CC$53,65,0)</f>
        <v>Georgia</v>
      </c>
      <c r="S20" s="65">
        <f>VLOOKUP(R20,State!$A$3:$B$54,2,0)</f>
        <v>16</v>
      </c>
      <c r="T20" s="66">
        <f>VLOOKUP(R20,State!$A$3:$C$54,3,0)</f>
        <v>4141447</v>
      </c>
      <c r="U20" s="90" t="str">
        <f>IF(VLOOKUP(R20,State!$A$3:$I$54,9,0)=1,"•","")</f>
        <v/>
      </c>
      <c r="V20" s="66">
        <f>VLOOKUP(R20,State!$A$3:$P$54,16,0)</f>
        <v>13017</v>
      </c>
      <c r="W20" s="92">
        <f>LARGE(State!Q$3:Q$53,19)</f>
        <v>3.1431043304429589E-3</v>
      </c>
      <c r="Y20" s="65">
        <v>19</v>
      </c>
      <c r="Z20" s="91" t="str">
        <f>VLOOKUP(AE20,State!S$3:CK$53,63,0)</f>
        <v>Minnesota</v>
      </c>
      <c r="AA20" s="65">
        <f>VLOOKUP(Z20,State!$A$3:$B$54,2,0)</f>
        <v>10</v>
      </c>
      <c r="AB20" s="66">
        <f>VLOOKUP(Z20,State!$A$3:$C$54,3,0)</f>
        <v>2945233</v>
      </c>
      <c r="AC20" s="90" t="str">
        <f>IF(VLOOKUP(Z20,State!$A$3:$I$54,9,0)=1,"•","")</f>
        <v/>
      </c>
      <c r="AD20" s="66">
        <f>VLOOKUP(Z20,State!$A$3:$R$54,18,0)</f>
        <v>112984</v>
      </c>
      <c r="AE20" s="92">
        <f>LARGE(State!S$3:S$53,19)</f>
        <v>3.8361650843923047E-2</v>
      </c>
    </row>
    <row r="21" spans="1:31">
      <c r="A21" s="65">
        <v>20</v>
      </c>
      <c r="B21" s="91" t="str">
        <f>VLOOKUP(G21,State!M$3:CC$53,69,0)</f>
        <v>Pennsylvania</v>
      </c>
      <c r="C21" s="65">
        <f>VLOOKUP(B21,State!$A$3:$B$54,2,0)</f>
        <v>20</v>
      </c>
      <c r="D21" s="66">
        <f>VLOOKUP(B21,State!$A$3:$C$54,3,0)</f>
        <v>6166729</v>
      </c>
      <c r="E21" s="90" t="str">
        <f>IF(VLOOKUP(B21,State!$A$3:$G$54,7,0)=1,"•","")</f>
        <v/>
      </c>
      <c r="F21" s="66">
        <f>VLOOKUP(B21,State!$A$3:$L$54,12,0)</f>
        <v>2926441</v>
      </c>
      <c r="G21" s="92">
        <f>LARGE(State!M$3:M$53,20)</f>
        <v>0.47455320316491933</v>
      </c>
      <c r="I21" s="65">
        <v>20</v>
      </c>
      <c r="J21" s="91" t="str">
        <f>VLOOKUP(O21,State!O$3:CC$53,67,0)</f>
        <v>Ohio</v>
      </c>
      <c r="K21" s="65">
        <f>VLOOKUP(J21,State!$A$3:$B$54,2,0)</f>
        <v>18</v>
      </c>
      <c r="L21" s="66">
        <f>VLOOKUP(J21,State!$A$3:$C$54,3,0)</f>
        <v>5536547</v>
      </c>
      <c r="M21" s="90" t="str">
        <f>IF(VLOOKUP(J21,State!$A$3:$H$54,8,0)=1,"•","")</f>
        <v>•</v>
      </c>
      <c r="N21" s="66">
        <f>VLOOKUP(J21,State!$A$3:$N$54,14,0)</f>
        <v>2841006</v>
      </c>
      <c r="O21" s="92">
        <f>LARGE(State!O$3:O$53,20)</f>
        <v>0.51313679808010304</v>
      </c>
      <c r="P21" s="92"/>
      <c r="Q21" s="65">
        <v>20</v>
      </c>
      <c r="R21" s="91" t="str">
        <f>VLOOKUP(W21,State!Q$3:CC$53,65,0)</f>
        <v>California</v>
      </c>
      <c r="S21" s="65">
        <f>VLOOKUP(R21,State!$A$3:$B$54,2,0)</f>
        <v>55</v>
      </c>
      <c r="T21" s="66">
        <f>VLOOKUP(R21,State!$A$3:$C$54,3,0)</f>
        <v>14237893</v>
      </c>
      <c r="U21" s="90" t="str">
        <f>IF(VLOOKUP(R21,State!$A$3:$I$54,9,0)=1,"•","")</f>
        <v/>
      </c>
      <c r="V21" s="66">
        <f>VLOOKUP(R21,State!$A$3:$P$54,16,0)</f>
        <v>39596</v>
      </c>
      <c r="W21" s="92">
        <f>LARGE(State!Q$3:Q$53,20)</f>
        <v>2.7810294683349567E-3</v>
      </c>
      <c r="Y21" s="65">
        <v>20</v>
      </c>
      <c r="Z21" s="91" t="str">
        <f>VLOOKUP(AE21,State!S$3:CK$53,63,0)</f>
        <v>Iowa</v>
      </c>
      <c r="AA21" s="65">
        <f>VLOOKUP(Z21,State!$A$3:$B$54,2,0)</f>
        <v>6</v>
      </c>
      <c r="AB21" s="66">
        <f>VLOOKUP(Z21,State!$A$3:$C$54,3,0)</f>
        <v>1566031</v>
      </c>
      <c r="AC21" s="90" t="str">
        <f>IF(VLOOKUP(Z21,State!$A$3:$I$54,9,0)=1,"•","")</f>
        <v/>
      </c>
      <c r="AD21" s="66">
        <f>VLOOKUP(Z21,State!$A$3:$R$54,18,0)</f>
        <v>59186</v>
      </c>
      <c r="AE21" s="92">
        <f>LARGE(State!S$3:S$53,20)</f>
        <v>3.7793632437672052E-2</v>
      </c>
    </row>
    <row r="22" spans="1:31">
      <c r="A22" s="65">
        <v>21</v>
      </c>
      <c r="B22" s="91" t="str">
        <f>VLOOKUP(G22,State!M$3:CC$53,69,0)</f>
        <v>Florida</v>
      </c>
      <c r="C22" s="65">
        <f>VLOOKUP(B22,State!$A$3:$B$54,2,0)</f>
        <v>29</v>
      </c>
      <c r="D22" s="66">
        <f>VLOOKUP(B22,State!$A$3:$C$54,3,0)</f>
        <v>9502747</v>
      </c>
      <c r="E22" s="90" t="str">
        <f>IF(VLOOKUP(B22,State!$A$3:$G$54,7,0)=1,"•","")</f>
        <v/>
      </c>
      <c r="F22" s="66">
        <f>VLOOKUP(B22,State!$A$3:$L$54,12,0)</f>
        <v>4504975</v>
      </c>
      <c r="G22" s="92">
        <f>LARGE(State!M$3:M$53,21)</f>
        <v>0.47407081341847784</v>
      </c>
      <c r="I22" s="65">
        <v>21</v>
      </c>
      <c r="J22" s="91" t="str">
        <f>VLOOKUP(O22,State!O$3:CC$53,67,0)</f>
        <v>Alaska</v>
      </c>
      <c r="K22" s="65">
        <f>VLOOKUP(J22,State!$A$3:$B$54,2,0)</f>
        <v>3</v>
      </c>
      <c r="L22" s="66">
        <f>VLOOKUP(J22,State!$A$3:$C$54,3,0)</f>
        <v>318608</v>
      </c>
      <c r="M22" s="90" t="str">
        <f>IF(VLOOKUP(J22,State!$A$3:$H$54,8,0)=1,"•","")</f>
        <v>•</v>
      </c>
      <c r="N22" s="66">
        <f>VLOOKUP(J22,State!$A$3:$N$54,14,0)</f>
        <v>163387</v>
      </c>
      <c r="O22" s="92">
        <f>LARGE(State!O$3:O$53,21)</f>
        <v>0.51281512077537283</v>
      </c>
      <c r="P22" s="92"/>
      <c r="Q22" s="65">
        <v>21</v>
      </c>
      <c r="R22" s="91" t="str">
        <f>VLOOKUP(W22,State!Q$3:CC$53,65,0)</f>
        <v>Maine</v>
      </c>
      <c r="S22" s="65">
        <f>VLOOKUP(R22,State!$A$3:$B$54,2,0)</f>
        <v>4</v>
      </c>
      <c r="T22" s="66">
        <f>VLOOKUP(R22,State!$A$3:$C$54,3,0)</f>
        <v>747927</v>
      </c>
      <c r="U22" s="90" t="str">
        <f>IF(VLOOKUP(R22,State!$A$3:$I$54,9,0)=1,"•","")</f>
        <v/>
      </c>
      <c r="V22" s="66">
        <f>VLOOKUP(R22,State!$A$3:$P$54,16,0)</f>
        <v>1887</v>
      </c>
      <c r="W22" s="92">
        <f>LARGE(State!Q$3:Q$53,21)</f>
        <v>2.5229734987505465E-3</v>
      </c>
      <c r="Y22" s="65">
        <v>21</v>
      </c>
      <c r="Z22" s="91" t="str">
        <f>VLOOKUP(AE22,State!S$3:CK$53,63,0)</f>
        <v>Illinois</v>
      </c>
      <c r="AA22" s="65">
        <f>VLOOKUP(Z22,State!$A$3:$B$54,2,0)</f>
        <v>20</v>
      </c>
      <c r="AB22" s="66">
        <f>VLOOKUP(Z22,State!$A$3:$C$54,3,0)</f>
        <v>5594825</v>
      </c>
      <c r="AC22" s="90" t="str">
        <f>IF(VLOOKUP(Z22,State!$A$3:$I$54,9,0)=1,"•","")</f>
        <v/>
      </c>
      <c r="AD22" s="66">
        <f>VLOOKUP(Z22,State!$A$3:$R$54,18,0)</f>
        <v>209596</v>
      </c>
      <c r="AE22" s="92">
        <f>LARGE(State!S$3:S$53,21)</f>
        <v>3.746247648496602E-2</v>
      </c>
    </row>
    <row r="23" spans="1:31">
      <c r="A23" s="65">
        <v>22</v>
      </c>
      <c r="B23" s="91" t="str">
        <f>VLOOKUP(G23,State!M$3:CC$53,69,0)</f>
        <v>Michigan</v>
      </c>
      <c r="C23" s="65">
        <f>VLOOKUP(B23,State!$A$3:$B$54,2,0)</f>
        <v>16</v>
      </c>
      <c r="D23" s="66">
        <f>VLOOKUP(B23,State!$A$3:$C$54,3,0)</f>
        <v>4824542</v>
      </c>
      <c r="E23" s="90" t="str">
        <f>IF(VLOOKUP(B23,State!$A$3:$G$54,7,0)=1,"•","")</f>
        <v/>
      </c>
      <c r="F23" s="66">
        <f>VLOOKUP(B23,State!$A$3:$L$54,12,0)</f>
        <v>2268839</v>
      </c>
      <c r="G23" s="92">
        <f>LARGE(State!M$3:M$53,22)</f>
        <v>0.4702703386145255</v>
      </c>
      <c r="I23" s="65">
        <v>22</v>
      </c>
      <c r="J23" s="91" t="str">
        <f>VLOOKUP(O23,State!O$3:CC$53,67,0)</f>
        <v>Iowa</v>
      </c>
      <c r="K23" s="65">
        <f>VLOOKUP(J23,State!$A$3:$B$54,2,0)</f>
        <v>6</v>
      </c>
      <c r="L23" s="66">
        <f>VLOOKUP(J23,State!$A$3:$C$54,3,0)</f>
        <v>1566031</v>
      </c>
      <c r="M23" s="90" t="str">
        <f>IF(VLOOKUP(J23,State!$A$3:$H$54,8,0)=1,"•","")</f>
        <v>•</v>
      </c>
      <c r="N23" s="66">
        <f>VLOOKUP(J23,State!$A$3:$N$54,14,0)</f>
        <v>800983</v>
      </c>
      <c r="O23" s="92">
        <f>LARGE(State!O$3:O$53,22)</f>
        <v>0.51147327224046013</v>
      </c>
      <c r="P23" s="92"/>
      <c r="Q23" s="65">
        <v>22</v>
      </c>
      <c r="R23" s="91" t="str">
        <f>VLOOKUP(W23,State!Q$3:CC$53,65,0)</f>
        <v>Missouri</v>
      </c>
      <c r="S23" s="65">
        <f>VLOOKUP(R23,State!$A$3:$B$54,2,0)</f>
        <v>10</v>
      </c>
      <c r="T23" s="66">
        <f>VLOOKUP(R23,State!$A$3:$C$54,3,0)</f>
        <v>2828266</v>
      </c>
      <c r="U23" s="90" t="str">
        <f>IF(VLOOKUP(R23,State!$A$3:$I$54,9,0)=1,"•","")</f>
        <v/>
      </c>
      <c r="V23" s="66">
        <f>VLOOKUP(R23,State!$A$3:$P$54,16,0)</f>
        <v>7072</v>
      </c>
      <c r="W23" s="92">
        <f>LARGE(State!Q$3:Q$53,22)</f>
        <v>2.5004720206656659E-3</v>
      </c>
      <c r="Y23" s="65">
        <v>22</v>
      </c>
      <c r="Z23" s="91" t="str">
        <f>VLOOKUP(AE23,State!S$3:CK$53,63,0)</f>
        <v>Hawaii</v>
      </c>
      <c r="AA23" s="65">
        <f>VLOOKUP(Z23,State!$A$3:$B$54,2,0)</f>
        <v>4</v>
      </c>
      <c r="AB23" s="66">
        <f>VLOOKUP(Z23,State!$A$3:$C$54,3,0)</f>
        <v>428937</v>
      </c>
      <c r="AC23" s="90" t="str">
        <f>IF(VLOOKUP(Z23,State!$A$3:$I$54,9,0)=1,"•","")</f>
        <v/>
      </c>
      <c r="AD23" s="66">
        <f>VLOOKUP(Z23,State!$A$3:$R$54,18,0)</f>
        <v>15954</v>
      </c>
      <c r="AE23" s="92">
        <f>LARGE(State!S$3:S$53,22)</f>
        <v>3.7194273284887988E-2</v>
      </c>
    </row>
    <row r="24" spans="1:31">
      <c r="A24" s="65">
        <v>23</v>
      </c>
      <c r="B24" s="91" t="str">
        <f>VLOOKUP(G24,State!M$3:CC$53,69,0)</f>
        <v>New Hampshire</v>
      </c>
      <c r="C24" s="65">
        <f>VLOOKUP(B24,State!$A$3:$B$54,2,0)</f>
        <v>4</v>
      </c>
      <c r="D24" s="66">
        <f>VLOOKUP(B24,State!$A$3:$C$54,3,0)</f>
        <v>744296</v>
      </c>
      <c r="E24" s="90" t="str">
        <f>IF(VLOOKUP(B24,State!$A$3:$G$54,7,0)=1,"•","")</f>
        <v>•</v>
      </c>
      <c r="F24" s="66">
        <f>VLOOKUP(B24,State!$A$3:$L$54,12,0)</f>
        <v>348526</v>
      </c>
      <c r="G24" s="92">
        <f>LARGE(State!M$3:M$53,23)</f>
        <v>0.46826262669690555</v>
      </c>
      <c r="I24" s="65">
        <v>23</v>
      </c>
      <c r="J24" s="91" t="str">
        <f>VLOOKUP(O24,State!O$3:CC$53,67,0)</f>
        <v>Georgia</v>
      </c>
      <c r="K24" s="65">
        <f>VLOOKUP(J24,State!$A$3:$B$54,2,0)</f>
        <v>16</v>
      </c>
      <c r="L24" s="66">
        <f>VLOOKUP(J24,State!$A$3:$C$54,3,0)</f>
        <v>4141447</v>
      </c>
      <c r="M24" s="90" t="str">
        <f>IF(VLOOKUP(J24,State!$A$3:$H$54,8,0)=1,"•","")</f>
        <v>•</v>
      </c>
      <c r="N24" s="66">
        <f>VLOOKUP(J24,State!$A$3:$N$54,14,0)</f>
        <v>2089104</v>
      </c>
      <c r="O24" s="92">
        <f>LARGE(State!O$3:O$53,23)</f>
        <v>0.50443818307948884</v>
      </c>
      <c r="P24" s="92"/>
      <c r="Q24" s="65">
        <v>23</v>
      </c>
      <c r="R24" s="91" t="str">
        <f>VLOOKUP(W24,State!Q$3:CC$53,65,0)</f>
        <v>Ohio</v>
      </c>
      <c r="S24" s="65">
        <f>VLOOKUP(R24,State!$A$3:$B$54,2,0)</f>
        <v>18</v>
      </c>
      <c r="T24" s="66">
        <f>VLOOKUP(R24,State!$A$3:$C$54,3,0)</f>
        <v>5536547</v>
      </c>
      <c r="U24" s="90" t="str">
        <f>IF(VLOOKUP(R24,State!$A$3:$I$54,9,0)=1,"•","")</f>
        <v/>
      </c>
      <c r="V24" s="66">
        <f>VLOOKUP(R24,State!$A$3:$P$54,16,0)</f>
        <v>12574</v>
      </c>
      <c r="W24" s="92">
        <f>LARGE(State!Q$3:Q$53,23)</f>
        <v>2.2710906274253611E-3</v>
      </c>
      <c r="Y24" s="65">
        <v>23</v>
      </c>
      <c r="Z24" s="91" t="str">
        <f>VLOOKUP(AE24,State!S$3:CK$53,63,0)</f>
        <v>Wisconsin</v>
      </c>
      <c r="AA24" s="65">
        <f>VLOOKUP(Z24,State!$A$3:$B$54,2,0)</f>
        <v>10</v>
      </c>
      <c r="AB24" s="66">
        <f>VLOOKUP(Z24,State!$A$3:$C$54,3,0)</f>
        <v>2976150</v>
      </c>
      <c r="AC24" s="90" t="str">
        <f>IF(VLOOKUP(Z24,State!$A$3:$I$54,9,0)=1,"•","")</f>
        <v/>
      </c>
      <c r="AD24" s="66">
        <f>VLOOKUP(Z24,State!$A$3:$R$54,18,0)</f>
        <v>106674</v>
      </c>
      <c r="AE24" s="92">
        <f>LARGE(State!S$3:S$53,23)</f>
        <v>3.5842951464139912E-2</v>
      </c>
    </row>
    <row r="25" spans="1:31">
      <c r="A25" s="65">
        <v>24</v>
      </c>
      <c r="B25" s="91" t="str">
        <f>VLOOKUP(G25,State!M$3:CC$53,69,0)</f>
        <v>Wisconsin</v>
      </c>
      <c r="C25" s="65">
        <f>VLOOKUP(B25,State!$A$3:$B$54,2,0)</f>
        <v>10</v>
      </c>
      <c r="D25" s="66">
        <f>VLOOKUP(B25,State!$A$3:$C$54,3,0)</f>
        <v>2976150</v>
      </c>
      <c r="E25" s="90" t="str">
        <f>IF(VLOOKUP(B25,State!$A$3:$G$54,7,0)=1,"•","")</f>
        <v/>
      </c>
      <c r="F25" s="66">
        <f>VLOOKUP(B25,State!$A$3:$L$54,12,0)</f>
        <v>1382536</v>
      </c>
      <c r="G25" s="92">
        <f>LARGE(State!M$3:M$53,24)</f>
        <v>0.4645384137224266</v>
      </c>
      <c r="I25" s="65">
        <v>24</v>
      </c>
      <c r="J25" s="91" t="str">
        <f>VLOOKUP(O25,State!O$3:CC$53,67,0)</f>
        <v>North Carolina</v>
      </c>
      <c r="K25" s="65">
        <f>VLOOKUP(J25,State!$A$3:$B$54,2,0)</f>
        <v>15</v>
      </c>
      <c r="L25" s="66">
        <f>VLOOKUP(J25,State!$A$3:$C$54,3,0)</f>
        <v>4741564</v>
      </c>
      <c r="M25" s="90" t="str">
        <f>IF(VLOOKUP(J25,State!$A$3:$H$54,8,0)=1,"•","")</f>
        <v>•</v>
      </c>
      <c r="N25" s="66">
        <f>VLOOKUP(J25,State!$A$3:$N$54,14,0)</f>
        <v>2362631</v>
      </c>
      <c r="O25" s="92">
        <f>LARGE(State!O$3:O$53,24)</f>
        <v>0.49828094696180414</v>
      </c>
      <c r="P25" s="92"/>
      <c r="Q25" s="65">
        <v>24</v>
      </c>
      <c r="R25" s="91" t="str">
        <f>VLOOKUP(W25,State!Q$3:CC$53,65,0)</f>
        <v>Illinois</v>
      </c>
      <c r="S25" s="65">
        <f>VLOOKUP(R25,State!$A$3:$B$54,2,0)</f>
        <v>20</v>
      </c>
      <c r="T25" s="66">
        <f>VLOOKUP(R25,State!$A$3:$C$54,3,0)</f>
        <v>5594825</v>
      </c>
      <c r="U25" s="90" t="str">
        <f>IF(VLOOKUP(R25,State!$A$3:$I$54,9,0)=1,"•","")</f>
        <v/>
      </c>
      <c r="V25" s="66">
        <f>VLOOKUP(R25,State!$A$3:$P$54,16,0)</f>
        <v>11915</v>
      </c>
      <c r="W25" s="92">
        <f>LARGE(State!Q$3:Q$53,24)</f>
        <v>2.1296465930569766E-3</v>
      </c>
      <c r="Y25" s="65">
        <v>24</v>
      </c>
      <c r="Z25" s="91" t="str">
        <f>VLOOKUP(AE25,State!S$3:CK$53,63,0)</f>
        <v>Michigan</v>
      </c>
      <c r="AA25" s="65">
        <f>VLOOKUP(Z25,State!$A$3:$B$54,2,0)</f>
        <v>16</v>
      </c>
      <c r="AB25" s="66">
        <f>VLOOKUP(Z25,State!$A$3:$C$54,3,0)</f>
        <v>4824542</v>
      </c>
      <c r="AC25" s="90" t="str">
        <f>IF(VLOOKUP(Z25,State!$A$3:$I$54,9,0)=1,"•","")</f>
        <v/>
      </c>
      <c r="AD25" s="66">
        <f>VLOOKUP(Z25,State!$A$3:$R$54,18,0)</f>
        <v>172136</v>
      </c>
      <c r="AE25" s="92">
        <f>LARGE(State!S$3:S$53,24)</f>
        <v>3.5679241677241076E-2</v>
      </c>
    </row>
    <row r="26" spans="1:31">
      <c r="A26" s="65">
        <v>25</v>
      </c>
      <c r="B26" s="91" t="str">
        <f>VLOOKUP(G26,State!M$3:CC$53,69,0)</f>
        <v>Minnesota</v>
      </c>
      <c r="C26" s="65">
        <f>VLOOKUP(B26,State!$A$3:$B$54,2,0)</f>
        <v>10</v>
      </c>
      <c r="D26" s="66">
        <f>VLOOKUP(B26,State!$A$3:$C$54,3,0)</f>
        <v>2945233</v>
      </c>
      <c r="E26" s="90" t="str">
        <f>IF(VLOOKUP(B26,State!$A$3:$G$54,7,0)=1,"•","")</f>
        <v>•</v>
      </c>
      <c r="F26" s="66">
        <f>VLOOKUP(B26,State!$A$3:$L$54,12,0)</f>
        <v>1367825</v>
      </c>
      <c r="G26" s="92">
        <f>LARGE(State!M$3:M$53,25)</f>
        <v>0.46441996269904623</v>
      </c>
      <c r="I26" s="65">
        <v>25</v>
      </c>
      <c r="J26" s="91" t="str">
        <f>VLOOKUP(O26,State!O$3:CC$53,67,0)</f>
        <v>Florida</v>
      </c>
      <c r="K26" s="65">
        <f>VLOOKUP(J26,State!$A$3:$B$54,2,0)</f>
        <v>29</v>
      </c>
      <c r="L26" s="66">
        <f>VLOOKUP(J26,State!$A$3:$C$54,3,0)</f>
        <v>9502747</v>
      </c>
      <c r="M26" s="90" t="str">
        <f>IF(VLOOKUP(J26,State!$A$3:$H$54,8,0)=1,"•","")</f>
        <v>•</v>
      </c>
      <c r="N26" s="66">
        <f>VLOOKUP(J26,State!$A$3:$N$54,14,0)</f>
        <v>4617886</v>
      </c>
      <c r="O26" s="92">
        <f>LARGE(State!O$3:O$53,25)</f>
        <v>0.48595274608489525</v>
      </c>
      <c r="P26" s="92"/>
      <c r="Q26" s="65">
        <v>25</v>
      </c>
      <c r="R26" s="91" t="str">
        <f>VLOOKUP(W26,State!Q$3:CC$53,65,0)</f>
        <v>Vermont</v>
      </c>
      <c r="S26" s="65">
        <f>VLOOKUP(R26,State!$A$3:$B$54,2,0)</f>
        <v>3</v>
      </c>
      <c r="T26" s="66">
        <f>VLOOKUP(R26,State!$A$3:$C$54,3,0)</f>
        <v>315067</v>
      </c>
      <c r="U26" s="90" t="str">
        <f>IF(VLOOKUP(R26,State!$A$3:$I$54,9,0)=1,"•","")</f>
        <v/>
      </c>
      <c r="V26" s="66">
        <f>VLOOKUP(R26,State!$A$3:$P$54,16,0)</f>
        <v>631</v>
      </c>
      <c r="W26" s="92">
        <f>LARGE(State!Q$3:Q$53,25)</f>
        <v>2.0027486217217292E-3</v>
      </c>
      <c r="Y26" s="65">
        <v>25</v>
      </c>
      <c r="Z26" s="91" t="str">
        <f>VLOOKUP(AE26,State!S$3:CK$53,63,0)</f>
        <v>Utah</v>
      </c>
      <c r="AA26" s="65">
        <f>VLOOKUP(Z26,State!$A$3:$B$54,2,0)</f>
        <v>6</v>
      </c>
      <c r="AB26" s="66">
        <f>VLOOKUP(Z26,State!$A$3:$C$54,3,0)</f>
        <v>1143601</v>
      </c>
      <c r="AC26" s="90" t="str">
        <f>IF(VLOOKUP(Z26,State!$A$3:$I$54,9,0)=1,"•","")</f>
        <v/>
      </c>
      <c r="AD26" s="66">
        <f>VLOOKUP(Z26,State!$A$3:$R$54,18,0)</f>
        <v>39608</v>
      </c>
      <c r="AE26" s="92">
        <f>LARGE(State!S$3:S$53,25)</f>
        <v>3.4634457297606419E-2</v>
      </c>
    </row>
    <row r="27" spans="1:31">
      <c r="A27" s="65">
        <v>26</v>
      </c>
      <c r="B27" s="91" t="str">
        <f>VLOOKUP(G27,State!M$3:CC$53,69,0)</f>
        <v>North Carolina</v>
      </c>
      <c r="C27" s="65">
        <f>VLOOKUP(B27,State!$A$3:$B$54,2,0)</f>
        <v>15</v>
      </c>
      <c r="D27" s="66">
        <f>VLOOKUP(B27,State!$A$3:$C$54,3,0)</f>
        <v>4741564</v>
      </c>
      <c r="E27" s="90" t="str">
        <f>IF(VLOOKUP(B27,State!$A$3:$G$54,7,0)=1,"•","")</f>
        <v/>
      </c>
      <c r="F27" s="66">
        <f>VLOOKUP(B27,State!$A$3:$L$54,12,0)</f>
        <v>2189316</v>
      </c>
      <c r="G27" s="92">
        <f>LARGE(State!M$3:M$53,26)</f>
        <v>0.46172866168209475</v>
      </c>
      <c r="I27" s="65">
        <v>26</v>
      </c>
      <c r="J27" s="91" t="str">
        <f>VLOOKUP(O27,State!O$3:CC$53,67,0)</f>
        <v>Pennsylvania</v>
      </c>
      <c r="K27" s="65">
        <f>VLOOKUP(J27,State!$A$3:$B$54,2,0)</f>
        <v>20</v>
      </c>
      <c r="L27" s="66">
        <f>VLOOKUP(J27,State!$A$3:$C$54,3,0)</f>
        <v>6166729</v>
      </c>
      <c r="M27" s="90" t="str">
        <f>IF(VLOOKUP(J27,State!$A$3:$H$54,8,0)=1,"•","")</f>
        <v>•</v>
      </c>
      <c r="N27" s="66">
        <f>VLOOKUP(J27,State!$A$3:$N$54,14,0)</f>
        <v>2970733</v>
      </c>
      <c r="O27" s="92">
        <f>LARGE(State!O$3:O$53,26)</f>
        <v>0.48173561705078982</v>
      </c>
      <c r="P27" s="92"/>
      <c r="Q27" s="65">
        <v>26</v>
      </c>
      <c r="R27" s="91" t="str">
        <f>VLOOKUP(W27,State!Q$3:CC$53,65,0)</f>
        <v>Michigan</v>
      </c>
      <c r="S27" s="65">
        <f>VLOOKUP(R27,State!$A$3:$B$54,2,0)</f>
        <v>16</v>
      </c>
      <c r="T27" s="66">
        <f>VLOOKUP(R27,State!$A$3:$C$54,3,0)</f>
        <v>4824542</v>
      </c>
      <c r="U27" s="90" t="str">
        <f>IF(VLOOKUP(R27,State!$A$3:$I$54,9,0)=1,"•","")</f>
        <v/>
      </c>
      <c r="V27" s="66">
        <f>VLOOKUP(R27,State!$A$3:$P$54,16,0)</f>
        <v>8183</v>
      </c>
      <c r="W27" s="92">
        <f>LARGE(State!Q$3:Q$53,26)</f>
        <v>1.6961195487571669E-3</v>
      </c>
      <c r="Y27" s="65">
        <v>26</v>
      </c>
      <c r="Z27" s="91" t="str">
        <f>VLOOKUP(AE27,State!S$3:CK$53,63,0)</f>
        <v>Missouri</v>
      </c>
      <c r="AA27" s="65">
        <f>VLOOKUP(Z27,State!$A$3:$B$54,2,0)</f>
        <v>10</v>
      </c>
      <c r="AB27" s="66">
        <f>VLOOKUP(Z27,State!$A$3:$C$54,3,0)</f>
        <v>2828266</v>
      </c>
      <c r="AC27" s="90" t="str">
        <f>IF(VLOOKUP(Z27,State!$A$3:$I$54,9,0)=1,"•","")</f>
        <v/>
      </c>
      <c r="AD27" s="66">
        <f>VLOOKUP(Z27,State!$A$3:$R$54,18,0)</f>
        <v>97359</v>
      </c>
      <c r="AE27" s="92">
        <f>LARGE(State!S$3:S$53,26)</f>
        <v>3.4423565534500641E-2</v>
      </c>
    </row>
    <row r="28" spans="1:31">
      <c r="A28" s="65">
        <v>27</v>
      </c>
      <c r="B28" s="91" t="str">
        <f>VLOOKUP(G28,State!M$3:CC$53,69,0)</f>
        <v>Georgia</v>
      </c>
      <c r="C28" s="65">
        <f>VLOOKUP(B28,State!$A$3:$B$54,2,0)</f>
        <v>16</v>
      </c>
      <c r="D28" s="66">
        <f>VLOOKUP(B28,State!$A$3:$C$54,3,0)</f>
        <v>4141447</v>
      </c>
      <c r="E28" s="90" t="str">
        <f>IF(VLOOKUP(B28,State!$A$3:$G$54,7,0)=1,"•","")</f>
        <v/>
      </c>
      <c r="F28" s="66">
        <f>VLOOKUP(B28,State!$A$3:$L$54,12,0)</f>
        <v>1877963</v>
      </c>
      <c r="G28" s="92">
        <f>LARGE(State!M$3:M$53,27)</f>
        <v>0.45345576075222016</v>
      </c>
      <c r="I28" s="65">
        <v>27</v>
      </c>
      <c r="J28" s="91" t="str">
        <f>VLOOKUP(O28,State!O$3:CC$53,67,0)</f>
        <v>Arizona</v>
      </c>
      <c r="K28" s="65">
        <f>VLOOKUP(J28,State!$A$3:$B$54,2,0)</f>
        <v>11</v>
      </c>
      <c r="L28" s="66">
        <f>VLOOKUP(J28,State!$A$3:$C$54,3,0)</f>
        <v>2604657</v>
      </c>
      <c r="M28" s="90" t="str">
        <f>IF(VLOOKUP(J28,State!$A$3:$H$54,8,0)=1,"•","")</f>
        <v>•</v>
      </c>
      <c r="N28" s="66">
        <f>VLOOKUP(J28,State!$A$3:$N$54,14,0)</f>
        <v>1252401</v>
      </c>
      <c r="O28" s="92">
        <f>LARGE(State!O$3:O$53,27)</f>
        <v>0.48083144920809151</v>
      </c>
      <c r="P28" s="92"/>
      <c r="Q28" s="65">
        <v>27</v>
      </c>
      <c r="R28" s="91" t="str">
        <f>VLOOKUP(W28,State!Q$3:CC$53,65,0)</f>
        <v>Rhode Island</v>
      </c>
      <c r="S28" s="65">
        <f>VLOOKUP(R28,State!$A$3:$B$54,2,0)</f>
        <v>4</v>
      </c>
      <c r="T28" s="66">
        <f>VLOOKUP(R28,State!$A$3:$C$54,3,0)</f>
        <v>464144</v>
      </c>
      <c r="U28" s="90" t="str">
        <f>IF(VLOOKUP(R28,State!$A$3:$I$54,9,0)=1,"•","")</f>
        <v/>
      </c>
      <c r="V28" s="66">
        <f>VLOOKUP(R28,State!$A$3:$P$54,16,0)</f>
        <v>759</v>
      </c>
      <c r="W28" s="92">
        <f>LARGE(State!Q$3:Q$53,27)</f>
        <v>1.6352683649901755E-3</v>
      </c>
      <c r="Y28" s="65">
        <v>27</v>
      </c>
      <c r="Z28" s="91" t="str">
        <f>VLOOKUP(AE28,State!S$3:CK$53,63,0)</f>
        <v>California</v>
      </c>
      <c r="AA28" s="65">
        <f>VLOOKUP(Z28,State!$A$3:$B$54,2,0)</f>
        <v>55</v>
      </c>
      <c r="AB28" s="66">
        <f>VLOOKUP(Z28,State!$A$3:$C$54,3,0)</f>
        <v>14237893</v>
      </c>
      <c r="AC28" s="90" t="str">
        <f>IF(VLOOKUP(Z28,State!$A$3:$I$54,9,0)=1,"•","")</f>
        <v/>
      </c>
      <c r="AD28" s="66">
        <f>VLOOKUP(Z28,State!$A$3:$R$54,18,0)</f>
        <v>478500</v>
      </c>
      <c r="AE28" s="92">
        <f>LARGE(State!S$3:S$53,27)</f>
        <v>3.3607500772761811E-2</v>
      </c>
    </row>
    <row r="29" spans="1:31">
      <c r="A29" s="65">
        <v>28</v>
      </c>
      <c r="B29" s="91" t="str">
        <f>VLOOKUP(G29,State!M$3:CC$53,69,0)</f>
        <v>Arizona</v>
      </c>
      <c r="C29" s="65">
        <f>VLOOKUP(B29,State!$A$3:$B$54,2,0)</f>
        <v>11</v>
      </c>
      <c r="D29" s="66">
        <f>VLOOKUP(B29,State!$A$3:$C$54,3,0)</f>
        <v>2604657</v>
      </c>
      <c r="E29" s="90" t="str">
        <f>IF(VLOOKUP(B29,State!$A$3:$G$54,7,0)=1,"•","")</f>
        <v/>
      </c>
      <c r="F29" s="66">
        <f>VLOOKUP(B29,State!$A$3:$L$54,12,0)</f>
        <v>1161167</v>
      </c>
      <c r="G29" s="92">
        <f>LARGE(State!M$3:M$53,28)</f>
        <v>0.44580418842097058</v>
      </c>
      <c r="I29" s="65">
        <v>28</v>
      </c>
      <c r="J29" s="91" t="str">
        <f>VLOOKUP(O29,State!O$3:CC$53,67,0)</f>
        <v>Michigan</v>
      </c>
      <c r="K29" s="65">
        <f>VLOOKUP(J29,State!$A$3:$B$54,2,0)</f>
        <v>16</v>
      </c>
      <c r="L29" s="66">
        <f>VLOOKUP(J29,State!$A$3:$C$54,3,0)</f>
        <v>4824542</v>
      </c>
      <c r="M29" s="90" t="str">
        <f>IF(VLOOKUP(J29,State!$A$3:$H$54,8,0)=1,"•","")</f>
        <v>•</v>
      </c>
      <c r="N29" s="66">
        <f>VLOOKUP(J29,State!$A$3:$N$54,14,0)</f>
        <v>2279543</v>
      </c>
      <c r="O29" s="92">
        <f>LARGE(State!O$3:O$53,28)</f>
        <v>0.47248899481028456</v>
      </c>
      <c r="P29" s="92"/>
      <c r="Q29" s="65">
        <v>28</v>
      </c>
      <c r="R29" s="91" t="str">
        <f>VLOOKUP(W29,State!Q$3:CC$53,65,0)</f>
        <v>Delaware</v>
      </c>
      <c r="S29" s="65">
        <f>VLOOKUP(R29,State!$A$3:$B$54,2,0)</f>
        <v>3</v>
      </c>
      <c r="T29" s="66">
        <f>VLOOKUP(R29,State!$A$3:$C$54,3,0)</f>
        <v>443814</v>
      </c>
      <c r="U29" s="90" t="str">
        <f>IF(VLOOKUP(R29,State!$A$3:$I$54,9,0)=1,"•","")</f>
        <v/>
      </c>
      <c r="V29" s="66">
        <f>VLOOKUP(R29,State!$A$3:$P$54,16,0)</f>
        <v>706</v>
      </c>
      <c r="W29" s="92">
        <f>LARGE(State!Q$3:Q$53,28)</f>
        <v>1.5907564880783391E-3</v>
      </c>
      <c r="Y29" s="65">
        <v>28</v>
      </c>
      <c r="Z29" s="91" t="str">
        <f>VLOOKUP(AE29,State!S$3:CK$53,63,0)</f>
        <v>Delaware</v>
      </c>
      <c r="AA29" s="65">
        <f>VLOOKUP(Z29,State!$A$3:$B$54,2,0)</f>
        <v>3</v>
      </c>
      <c r="AB29" s="66">
        <f>VLOOKUP(Z29,State!$A$3:$C$54,3,0)</f>
        <v>443814</v>
      </c>
      <c r="AC29" s="90" t="str">
        <f>IF(VLOOKUP(Z29,State!$A$3:$I$54,9,0)=1,"•","")</f>
        <v/>
      </c>
      <c r="AD29" s="66">
        <f>VLOOKUP(Z29,State!$A$3:$R$54,18,0)</f>
        <v>14757</v>
      </c>
      <c r="AE29" s="92">
        <f>LARGE(State!S$3:S$53,28)</f>
        <v>3.3250415714691291E-2</v>
      </c>
    </row>
    <row r="30" spans="1:31">
      <c r="A30" s="65">
        <v>29</v>
      </c>
      <c r="B30" s="91" t="str">
        <f>VLOOKUP(G30,State!M$3:CC$53,69,0)</f>
        <v>Ohio</v>
      </c>
      <c r="C30" s="65">
        <f>VLOOKUP(B30,State!$A$3:$B$54,2,0)</f>
        <v>18</v>
      </c>
      <c r="D30" s="66">
        <f>VLOOKUP(B30,State!$A$3:$C$54,3,0)</f>
        <v>5536547</v>
      </c>
      <c r="E30" s="90" t="str">
        <f>IF(VLOOKUP(B30,State!$A$3:$G$54,7,0)=1,"•","")</f>
        <v/>
      </c>
      <c r="F30" s="66">
        <f>VLOOKUP(B30,State!$A$3:$L$54,12,0)</f>
        <v>2394169</v>
      </c>
      <c r="G30" s="92">
        <f>LARGE(State!M$3:M$53,29)</f>
        <v>0.43242999653032838</v>
      </c>
      <c r="I30" s="65">
        <v>29</v>
      </c>
      <c r="J30" s="91" t="str">
        <f>VLOOKUP(O30,State!O$3:CC$53,67,0)</f>
        <v>Wisconsin</v>
      </c>
      <c r="K30" s="65">
        <f>VLOOKUP(J30,State!$A$3:$B$54,2,0)</f>
        <v>10</v>
      </c>
      <c r="L30" s="66">
        <f>VLOOKUP(J30,State!$A$3:$C$54,3,0)</f>
        <v>2976150</v>
      </c>
      <c r="M30" s="90" t="str">
        <f>IF(VLOOKUP(J30,State!$A$3:$H$54,8,0)=1,"•","")</f>
        <v>•</v>
      </c>
      <c r="N30" s="66">
        <f>VLOOKUP(J30,State!$A$3:$N$54,14,0)</f>
        <v>1405284</v>
      </c>
      <c r="O30" s="92">
        <f>LARGE(State!O$3:O$53,29)</f>
        <v>0.47218184567310117</v>
      </c>
      <c r="P30" s="92"/>
      <c r="Q30" s="65">
        <v>29</v>
      </c>
      <c r="R30" s="91" t="str">
        <f>VLOOKUP(W30,State!Q$3:CC$53,65,0)</f>
        <v>West Virginia</v>
      </c>
      <c r="S30" s="65">
        <f>VLOOKUP(R30,State!$A$3:$B$54,2,0)</f>
        <v>5</v>
      </c>
      <c r="T30" s="66">
        <f>VLOOKUP(R30,State!$A$3:$C$54,3,0)</f>
        <v>721233</v>
      </c>
      <c r="U30" s="90" t="str">
        <f>IF(VLOOKUP(R30,State!$A$3:$I$54,9,0)=1,"•","")</f>
        <v/>
      </c>
      <c r="V30" s="66">
        <f>VLOOKUP(R30,State!$A$3:$P$54,16,0)</f>
        <v>1104</v>
      </c>
      <c r="W30" s="92">
        <f>LARGE(State!Q$3:Q$53,29)</f>
        <v>1.5307119890520817E-3</v>
      </c>
      <c r="Y30" s="65">
        <v>29</v>
      </c>
      <c r="Z30" s="91" t="str">
        <f>VLOOKUP(AE30,State!S$3:CK$53,63,0)</f>
        <v>Nevada</v>
      </c>
      <c r="AA30" s="65">
        <f>VLOOKUP(Z30,State!$A$3:$B$54,2,0)</f>
        <v>6</v>
      </c>
      <c r="AB30" s="66">
        <f>VLOOKUP(Z30,State!$A$3:$C$54,3,0)</f>
        <v>1125385</v>
      </c>
      <c r="AC30" s="90" t="str">
        <f>IF(VLOOKUP(Z30,State!$A$3:$I$54,9,0)=1,"•","")</f>
        <v/>
      </c>
      <c r="AD30" s="66">
        <f>VLOOKUP(Z30,State!$A$3:$R$54,18,0)</f>
        <v>37384</v>
      </c>
      <c r="AE30" s="92">
        <f>LARGE(State!S$3:S$53,29)</f>
        <v>3.3218853992189337E-2</v>
      </c>
    </row>
    <row r="31" spans="1:31">
      <c r="A31" s="65">
        <v>30</v>
      </c>
      <c r="B31" s="91" t="str">
        <f>VLOOKUP(G31,State!M$3:CC$53,69,0)</f>
        <v>Texas</v>
      </c>
      <c r="C31" s="65">
        <f>VLOOKUP(B31,State!$A$3:$B$54,2,0)</f>
        <v>38</v>
      </c>
      <c r="D31" s="66">
        <f>VLOOKUP(B31,State!$A$3:$C$54,3,0)</f>
        <v>8993166</v>
      </c>
      <c r="E31" s="90" t="str">
        <f>IF(VLOOKUP(B31,State!$A$3:$G$54,7,0)=1,"•","")</f>
        <v/>
      </c>
      <c r="F31" s="66">
        <f>VLOOKUP(B31,State!$A$3:$L$54,12,0)</f>
        <v>3877868</v>
      </c>
      <c r="G31" s="92">
        <f>LARGE(State!M$3:M$53,30)</f>
        <v>0.43120164800694216</v>
      </c>
      <c r="I31" s="65">
        <v>30</v>
      </c>
      <c r="J31" s="91" t="str">
        <f>VLOOKUP(O31,State!O$3:CC$53,67,0)</f>
        <v>New Hampshire</v>
      </c>
      <c r="K31" s="65">
        <f>VLOOKUP(J31,State!$A$3:$B$54,2,0)</f>
        <v>4</v>
      </c>
      <c r="L31" s="66">
        <f>VLOOKUP(J31,State!$A$3:$C$54,3,0)</f>
        <v>744296</v>
      </c>
      <c r="M31" s="90" t="str">
        <f>IF(VLOOKUP(J31,State!$A$3:$H$54,8,0)=1,"•","")</f>
        <v/>
      </c>
      <c r="N31" s="66">
        <f>VLOOKUP(J31,State!$A$3:$N$54,14,0)</f>
        <v>345790</v>
      </c>
      <c r="O31" s="92">
        <f>LARGE(State!O$3:O$53,30)</f>
        <v>0.46458666981953417</v>
      </c>
      <c r="P31" s="92"/>
      <c r="Q31" s="65">
        <v>30</v>
      </c>
      <c r="R31" s="91" t="str">
        <f>VLOOKUP(W31,State!Q$3:CC$53,65,0)</f>
        <v>New Hampshire</v>
      </c>
      <c r="S31" s="65">
        <f>VLOOKUP(R31,State!$A$3:$B$54,2,0)</f>
        <v>4</v>
      </c>
      <c r="T31" s="66">
        <f>VLOOKUP(R31,State!$A$3:$C$54,3,0)</f>
        <v>744296</v>
      </c>
      <c r="U31" s="90" t="str">
        <f>IF(VLOOKUP(R31,State!$A$3:$I$54,9,0)=1,"•","")</f>
        <v/>
      </c>
      <c r="V31" s="66">
        <f>VLOOKUP(R31,State!$A$3:$P$54,16,0)</f>
        <v>1064</v>
      </c>
      <c r="W31" s="92">
        <f>LARGE(State!Q$3:Q$53,30)</f>
        <v>1.429538785644421E-3</v>
      </c>
      <c r="Y31" s="65">
        <v>30</v>
      </c>
      <c r="Z31" s="91" t="str">
        <f>VLOOKUP(AE31,State!S$3:CK$53,63,0)</f>
        <v>Vermont</v>
      </c>
      <c r="AA31" s="65">
        <f>VLOOKUP(Z31,State!$A$3:$B$54,2,0)</f>
        <v>3</v>
      </c>
      <c r="AB31" s="66">
        <f>VLOOKUP(Z31,State!$A$3:$C$54,3,0)</f>
        <v>315067</v>
      </c>
      <c r="AC31" s="90" t="str">
        <f>IF(VLOOKUP(Z31,State!$A$3:$I$54,9,0)=1,"•","")</f>
        <v/>
      </c>
      <c r="AD31" s="66">
        <f>VLOOKUP(Z31,State!$A$3:$R$54,18,0)</f>
        <v>10078</v>
      </c>
      <c r="AE31" s="92">
        <f>LARGE(State!S$3:S$53,30)</f>
        <v>3.1986847242015191E-2</v>
      </c>
    </row>
    <row r="32" spans="1:31">
      <c r="A32" s="65">
        <v>31</v>
      </c>
      <c r="B32" s="91" t="str">
        <f>VLOOKUP(G32,State!M$3:CC$53,69,0)</f>
        <v>Iowa</v>
      </c>
      <c r="C32" s="65">
        <f>VLOOKUP(B32,State!$A$3:$B$54,2,0)</f>
        <v>6</v>
      </c>
      <c r="D32" s="66">
        <f>VLOOKUP(B32,State!$A$3:$C$54,3,0)</f>
        <v>1566031</v>
      </c>
      <c r="E32" s="90" t="str">
        <f>IF(VLOOKUP(B32,State!$A$3:$G$54,7,0)=1,"•","")</f>
        <v/>
      </c>
      <c r="F32" s="66">
        <f>VLOOKUP(B32,State!$A$3:$L$54,12,0)</f>
        <v>653669</v>
      </c>
      <c r="G32" s="92">
        <f>LARGE(State!M$3:M$53,31)</f>
        <v>0.41740489172947409</v>
      </c>
      <c r="I32" s="65">
        <v>31</v>
      </c>
      <c r="J32" s="91" t="str">
        <f>VLOOKUP(O32,State!O$3:CC$53,67,0)</f>
        <v>Nevada</v>
      </c>
      <c r="K32" s="65">
        <f>VLOOKUP(J32,State!$A$3:$B$54,2,0)</f>
        <v>6</v>
      </c>
      <c r="L32" s="66">
        <f>VLOOKUP(J32,State!$A$3:$C$54,3,0)</f>
        <v>1125385</v>
      </c>
      <c r="M32" s="90" t="str">
        <f>IF(VLOOKUP(J32,State!$A$3:$H$54,8,0)=1,"•","")</f>
        <v/>
      </c>
      <c r="N32" s="66">
        <f>VLOOKUP(J32,State!$A$3:$N$54,14,0)</f>
        <v>512058</v>
      </c>
      <c r="O32" s="92">
        <f>LARGE(State!O$3:O$53,31)</f>
        <v>0.45500695317602419</v>
      </c>
      <c r="P32" s="92"/>
      <c r="Q32" s="65">
        <v>31</v>
      </c>
      <c r="R32" s="91" t="str">
        <f>VLOOKUP(W32,State!Q$3:CC$53,65,0)</f>
        <v>New York</v>
      </c>
      <c r="S32" s="65">
        <f>VLOOKUP(R32,State!$A$3:$B$54,2,0)</f>
        <v>29</v>
      </c>
      <c r="T32" s="66">
        <f>VLOOKUP(R32,State!$A$3:$C$54,3,0)</f>
        <v>7721795</v>
      </c>
      <c r="U32" s="90" t="str">
        <f>IF(VLOOKUP(R32,State!$A$3:$I$54,9,0)=1,"•","")</f>
        <v/>
      </c>
      <c r="V32" s="66">
        <f>VLOOKUP(R32,State!$A$3:$P$54,16,0)</f>
        <v>10413</v>
      </c>
      <c r="W32" s="92">
        <f>LARGE(State!Q$3:Q$53,31)</f>
        <v>1.3485206483725611E-3</v>
      </c>
      <c r="Y32" s="65">
        <v>31</v>
      </c>
      <c r="Z32" s="91" t="str">
        <f>VLOOKUP(AE32,State!S$3:CK$53,63,0)</f>
        <v>West Virginia</v>
      </c>
      <c r="AA32" s="65">
        <f>VLOOKUP(Z32,State!$A$3:$B$54,2,0)</f>
        <v>5</v>
      </c>
      <c r="AB32" s="66">
        <f>VLOOKUP(Z32,State!$A$3:$C$54,3,0)</f>
        <v>721233</v>
      </c>
      <c r="AC32" s="90" t="str">
        <f>IF(VLOOKUP(Z32,State!$A$3:$I$54,9,0)=1,"•","")</f>
        <v/>
      </c>
      <c r="AD32" s="66">
        <f>VLOOKUP(Z32,State!$A$3:$R$54,18,0)</f>
        <v>23004</v>
      </c>
      <c r="AE32" s="92">
        <f>LARGE(State!S$3:S$53,31)</f>
        <v>3.1895379163183052E-2</v>
      </c>
    </row>
    <row r="33" spans="1:31">
      <c r="A33" s="65">
        <v>32</v>
      </c>
      <c r="B33" s="91" t="str">
        <f>VLOOKUP(G33,State!M$3:CC$53,69,0)</f>
        <v>South Carolina</v>
      </c>
      <c r="C33" s="65">
        <f>VLOOKUP(B33,State!$A$3:$B$54,2,0)</f>
        <v>9</v>
      </c>
      <c r="D33" s="66">
        <f>VLOOKUP(B33,State!$A$3:$C$54,3,0)</f>
        <v>2103027</v>
      </c>
      <c r="E33" s="90" t="str">
        <f>IF(VLOOKUP(B33,State!$A$3:$G$54,7,0)=1,"•","")</f>
        <v/>
      </c>
      <c r="F33" s="66">
        <f>VLOOKUP(B33,State!$A$3:$L$54,12,0)</f>
        <v>855373</v>
      </c>
      <c r="G33" s="92">
        <f>LARGE(State!M$3:M$53,32)</f>
        <v>0.40673419789665088</v>
      </c>
      <c r="I33" s="65">
        <v>32</v>
      </c>
      <c r="J33" s="91" t="str">
        <f>VLOOKUP(O33,State!O$3:CC$53,67,0)</f>
        <v>Utah</v>
      </c>
      <c r="K33" s="65">
        <f>VLOOKUP(J33,State!$A$3:$B$54,2,0)</f>
        <v>6</v>
      </c>
      <c r="L33" s="66">
        <f>VLOOKUP(J33,State!$A$3:$C$54,3,0)</f>
        <v>1143601</v>
      </c>
      <c r="M33" s="90" t="str">
        <f>IF(VLOOKUP(J33,State!$A$3:$H$54,8,0)=1,"•","")</f>
        <v>•</v>
      </c>
      <c r="N33" s="66">
        <f>VLOOKUP(J33,State!$A$3:$N$54,14,0)</f>
        <v>515231</v>
      </c>
      <c r="O33" s="92">
        <f>LARGE(State!O$3:O$53,32)</f>
        <v>0.45053388375840875</v>
      </c>
      <c r="P33" s="92"/>
      <c r="Q33" s="65">
        <v>32</v>
      </c>
      <c r="R33" s="91" t="str">
        <f>VLOOKUP(W33,State!Q$3:CC$53,65,0)</f>
        <v>Connecticut</v>
      </c>
      <c r="S33" s="65">
        <f>VLOOKUP(R33,State!$A$3:$B$54,2,0)</f>
        <v>7</v>
      </c>
      <c r="T33" s="66">
        <f>VLOOKUP(R33,State!$A$3:$C$54,3,0)</f>
        <v>1644920</v>
      </c>
      <c r="U33" s="90" t="str">
        <f>IF(VLOOKUP(R33,State!$A$3:$I$54,9,0)=1,"•","")</f>
        <v/>
      </c>
      <c r="V33" s="66">
        <f>VLOOKUP(R33,State!$A$3:$P$54,16,0)</f>
        <v>2108</v>
      </c>
      <c r="W33" s="92">
        <f>LARGE(State!Q$3:Q$53,32)</f>
        <v>1.2815212897891691E-3</v>
      </c>
      <c r="Y33" s="65">
        <v>32</v>
      </c>
      <c r="Z33" s="91" t="str">
        <f>VLOOKUP(AE33,State!S$3:CK$53,63,0)</f>
        <v>Rhode Island</v>
      </c>
      <c r="AA33" s="65">
        <f>VLOOKUP(Z33,State!$A$3:$B$54,2,0)</f>
        <v>4</v>
      </c>
      <c r="AB33" s="66">
        <f>VLOOKUP(Z33,State!$A$3:$C$54,3,0)</f>
        <v>464144</v>
      </c>
      <c r="AC33" s="90" t="str">
        <f>IF(VLOOKUP(Z33,State!$A$3:$I$54,9,0)=1,"•","")</f>
        <v/>
      </c>
      <c r="AD33" s="66">
        <f>VLOOKUP(Z33,State!$A$3:$R$54,18,0)</f>
        <v>14746</v>
      </c>
      <c r="AE33" s="92">
        <f>LARGE(State!S$3:S$53,32)</f>
        <v>3.1770312661587786E-2</v>
      </c>
    </row>
    <row r="34" spans="1:31">
      <c r="A34" s="65">
        <v>33</v>
      </c>
      <c r="B34" s="91" t="str">
        <f>VLOOKUP(G34,State!M$3:CC$53,69,0)</f>
        <v>Mississippi</v>
      </c>
      <c r="C34" s="65">
        <f>VLOOKUP(B34,State!$A$3:$B$54,2,0)</f>
        <v>6</v>
      </c>
      <c r="D34" s="66">
        <f>VLOOKUP(B34,State!$A$3:$C$54,3,0)</f>
        <v>1211088</v>
      </c>
      <c r="E34" s="90" t="str">
        <f>IF(VLOOKUP(B34,State!$A$3:$G$54,7,0)=1,"•","")</f>
        <v/>
      </c>
      <c r="F34" s="66">
        <f>VLOOKUP(B34,State!$A$3:$L$54,12,0)</f>
        <v>485131</v>
      </c>
      <c r="G34" s="92">
        <f>LARGE(State!M$3:M$53,33)</f>
        <v>0.40057452472487548</v>
      </c>
      <c r="I34" s="65">
        <v>33</v>
      </c>
      <c r="J34" s="91" t="str">
        <f>VLOOKUP(O34,State!O$3:CC$53,67,0)</f>
        <v>Minnesota</v>
      </c>
      <c r="K34" s="65">
        <f>VLOOKUP(J34,State!$A$3:$B$54,2,0)</f>
        <v>10</v>
      </c>
      <c r="L34" s="66">
        <f>VLOOKUP(J34,State!$A$3:$C$54,3,0)</f>
        <v>2945233</v>
      </c>
      <c r="M34" s="90" t="str">
        <f>IF(VLOOKUP(J34,State!$A$3:$H$54,8,0)=1,"•","")</f>
        <v/>
      </c>
      <c r="N34" s="66">
        <f>VLOOKUP(J34,State!$A$3:$N$54,14,0)</f>
        <v>1323232</v>
      </c>
      <c r="O34" s="92">
        <f>LARGE(State!O$3:O$53,33)</f>
        <v>0.44927922510714774</v>
      </c>
      <c r="P34" s="92"/>
      <c r="Q34" s="65">
        <v>33</v>
      </c>
      <c r="R34" s="91" t="str">
        <f>VLOOKUP(W34,State!Q$3:CC$53,65,0)</f>
        <v>Massachusetts</v>
      </c>
      <c r="S34" s="65">
        <f>VLOOKUP(R34,State!$A$3:$B$54,2,0)</f>
        <v>11</v>
      </c>
      <c r="T34" s="66">
        <f>VLOOKUP(R34,State!$A$3:$C$54,3,0)</f>
        <v>3325046</v>
      </c>
      <c r="U34" s="90" t="str">
        <f>IF(VLOOKUP(R34,State!$A$3:$I$54,9,0)=1,"•","")</f>
        <v/>
      </c>
      <c r="V34" s="66">
        <f>VLOOKUP(R34,State!$A$3:$P$54,16,0)</f>
        <v>2719</v>
      </c>
      <c r="W34" s="92">
        <f>LARGE(State!Q$3:Q$53,33)</f>
        <v>8.1773304790369822E-4</v>
      </c>
      <c r="Y34" s="65">
        <v>33</v>
      </c>
      <c r="Z34" s="91" t="str">
        <f>VLOOKUP(AE34,State!S$3:CK$53,63,0)</f>
        <v>Texas</v>
      </c>
      <c r="AA34" s="65">
        <f>VLOOKUP(Z34,State!$A$3:$B$54,2,0)</f>
        <v>38</v>
      </c>
      <c r="AB34" s="66">
        <f>VLOOKUP(Z34,State!$A$3:$C$54,3,0)</f>
        <v>8993166</v>
      </c>
      <c r="AC34" s="90" t="str">
        <f>IF(VLOOKUP(Z34,State!$A$3:$I$54,9,0)=1,"•","")</f>
        <v/>
      </c>
      <c r="AD34" s="66">
        <f>VLOOKUP(Z34,State!$A$3:$R$54,18,0)</f>
        <v>283492</v>
      </c>
      <c r="AE34" s="92">
        <f>LARGE(State!S$3:S$53,33)</f>
        <v>3.1523047611931101E-2</v>
      </c>
    </row>
    <row r="35" spans="1:31">
      <c r="A35" s="65">
        <v>34</v>
      </c>
      <c r="B35" s="91" t="str">
        <f>VLOOKUP(G35,State!M$3:CC$53,69,0)</f>
        <v>Louisiana</v>
      </c>
      <c r="C35" s="65">
        <f>VLOOKUP(B35,State!$A$3:$B$54,2,0)</f>
        <v>8</v>
      </c>
      <c r="D35" s="66">
        <f>VLOOKUP(B35,State!$A$3:$C$54,3,0)</f>
        <v>2029032</v>
      </c>
      <c r="E35" s="90" t="str">
        <f>IF(VLOOKUP(B35,State!$A$3:$G$54,7,0)=1,"•","")</f>
        <v/>
      </c>
      <c r="F35" s="66">
        <f>VLOOKUP(B35,State!$A$3:$L$54,12,0)</f>
        <v>780154</v>
      </c>
      <c r="G35" s="92">
        <f>LARGE(State!M$3:M$53,34)</f>
        <v>0.38449566098513971</v>
      </c>
      <c r="I35" s="65">
        <v>34</v>
      </c>
      <c r="J35" s="91" t="str">
        <f>VLOOKUP(O35,State!O$3:CC$53,67,0)</f>
        <v>Maine</v>
      </c>
      <c r="K35" s="65">
        <f>VLOOKUP(J35,State!$A$3:$B$54,2,0)</f>
        <v>4</v>
      </c>
      <c r="L35" s="66">
        <f>VLOOKUP(J35,State!$A$3:$C$54,3,0)</f>
        <v>747927</v>
      </c>
      <c r="M35" s="90" t="str">
        <f>IF(VLOOKUP(J35,State!$A$3:$H$54,8,0)=1,"•","")</f>
        <v/>
      </c>
      <c r="N35" s="66">
        <f>VLOOKUP(J35,State!$A$3:$N$54,14,0)</f>
        <v>335593</v>
      </c>
      <c r="O35" s="92">
        <f>LARGE(State!O$3:O$53,34)</f>
        <v>0.44869753331541712</v>
      </c>
      <c r="P35" s="92"/>
      <c r="Q35" s="65">
        <v>34</v>
      </c>
      <c r="R35" s="91" t="str">
        <f>VLOOKUP(W35,State!Q$3:CC$53,65,0)</f>
        <v>Pennsylvania</v>
      </c>
      <c r="S35" s="65">
        <f>VLOOKUP(R35,State!$A$3:$B$54,2,0)</f>
        <v>20</v>
      </c>
      <c r="T35" s="66">
        <f>VLOOKUP(R35,State!$A$3:$C$54,3,0)</f>
        <v>6166729</v>
      </c>
      <c r="U35" s="90" t="str">
        <f>IF(VLOOKUP(R35,State!$A$3:$I$54,9,0)=1,"•","")</f>
        <v/>
      </c>
      <c r="V35" s="66">
        <f>VLOOKUP(R35,State!$A$3:$P$54,16,0)</f>
        <v>4304</v>
      </c>
      <c r="W35" s="92">
        <f>LARGE(State!Q$3:Q$53,34)</f>
        <v>6.9793889110418182E-4</v>
      </c>
      <c r="Y35" s="65">
        <v>34</v>
      </c>
      <c r="Z35" s="91" t="str">
        <f>VLOOKUP(AE35,State!S$3:CK$53,63,0)</f>
        <v>Ohio</v>
      </c>
      <c r="AA35" s="65">
        <f>VLOOKUP(Z35,State!$A$3:$B$54,2,0)</f>
        <v>18</v>
      </c>
      <c r="AB35" s="66">
        <f>VLOOKUP(Z35,State!$A$3:$C$54,3,0)</f>
        <v>5536547</v>
      </c>
      <c r="AC35" s="90" t="str">
        <f>IF(VLOOKUP(Z35,State!$A$3:$I$54,9,0)=1,"•","")</f>
        <v/>
      </c>
      <c r="AD35" s="66">
        <f>VLOOKUP(Z35,State!$A$3:$R$54,18,0)</f>
        <v>174498</v>
      </c>
      <c r="AE35" s="92">
        <f>LARGE(State!S$3:S$53,34)</f>
        <v>3.1517478312746192E-2</v>
      </c>
    </row>
    <row r="36" spans="1:31">
      <c r="A36" s="65">
        <v>35</v>
      </c>
      <c r="B36" s="91" t="str">
        <f>VLOOKUP(G36,State!M$3:CC$53,69,0)</f>
        <v>Missouri</v>
      </c>
      <c r="C36" s="65">
        <f>VLOOKUP(B36,State!$A$3:$B$54,2,0)</f>
        <v>10</v>
      </c>
      <c r="D36" s="66">
        <f>VLOOKUP(B36,State!$A$3:$C$54,3,0)</f>
        <v>2828266</v>
      </c>
      <c r="E36" s="90" t="str">
        <f>IF(VLOOKUP(B36,State!$A$3:$G$54,7,0)=1,"•","")</f>
        <v/>
      </c>
      <c r="F36" s="66">
        <f>VLOOKUP(B36,State!$A$3:$L$54,12,0)</f>
        <v>1071068</v>
      </c>
      <c r="G36" s="92">
        <f>LARGE(State!M$3:M$53,35)</f>
        <v>0.37870129612985481</v>
      </c>
      <c r="I36" s="65">
        <v>35</v>
      </c>
      <c r="J36" s="91" t="str">
        <f>VLOOKUP(O36,State!O$3:CC$53,67,0)</f>
        <v>Virginia</v>
      </c>
      <c r="K36" s="65">
        <f>VLOOKUP(J36,State!$A$3:$B$54,2,0)</f>
        <v>13</v>
      </c>
      <c r="L36" s="66">
        <f>VLOOKUP(J36,State!$A$3:$C$54,3,0)</f>
        <v>3982752</v>
      </c>
      <c r="M36" s="90" t="str">
        <f>IF(VLOOKUP(J36,State!$A$3:$H$54,8,0)=1,"•","")</f>
        <v/>
      </c>
      <c r="N36" s="66">
        <f>VLOOKUP(J36,State!$A$3:$N$54,14,0)</f>
        <v>1769443</v>
      </c>
      <c r="O36" s="92">
        <f>LARGE(State!O$3:O$53,35)</f>
        <v>0.44427647013924043</v>
      </c>
      <c r="P36" s="92"/>
      <c r="Q36" s="65">
        <v>35</v>
      </c>
      <c r="R36" s="91" t="str">
        <f>VLOOKUP(W36,State!Q$3:CC$53,65,0)</f>
        <v>Washington</v>
      </c>
      <c r="S36" s="65">
        <f>VLOOKUP(R36,State!$A$3:$B$54,2,0)</f>
        <v>12</v>
      </c>
      <c r="T36" s="66">
        <f>VLOOKUP(R36,State!$A$3:$C$54,3,0)</f>
        <v>3316996</v>
      </c>
      <c r="U36" s="90" t="str">
        <f>IF(VLOOKUP(R36,State!$A$3:$I$54,9,0)=1,"•","")</f>
        <v/>
      </c>
      <c r="V36" s="66">
        <f>VLOOKUP(R36,State!$A$3:$P$54,16,0)</f>
        <v>2104</v>
      </c>
      <c r="W36" s="92">
        <f>LARGE(State!Q$3:Q$53,35)</f>
        <v>6.3430887465646627E-4</v>
      </c>
      <c r="Y36" s="65">
        <v>35</v>
      </c>
      <c r="Z36" s="91" t="str">
        <f>VLOOKUP(AE36,State!S$3:CK$53,63,0)</f>
        <v>Georgia</v>
      </c>
      <c r="AA36" s="65">
        <f>VLOOKUP(Z36,State!$A$3:$B$54,2,0)</f>
        <v>16</v>
      </c>
      <c r="AB36" s="66">
        <f>VLOOKUP(Z36,State!$A$3:$C$54,3,0)</f>
        <v>4141447</v>
      </c>
      <c r="AC36" s="90" t="str">
        <f>IF(VLOOKUP(Z36,State!$A$3:$I$54,9,0)=1,"•","")</f>
        <v/>
      </c>
      <c r="AD36" s="66">
        <f>VLOOKUP(Z36,State!$A$3:$R$54,18,0)</f>
        <v>125306</v>
      </c>
      <c r="AE36" s="92">
        <f>LARGE(State!S$3:S$53,35)</f>
        <v>3.0256574574055881E-2</v>
      </c>
    </row>
    <row r="37" spans="1:31">
      <c r="A37" s="65">
        <v>36</v>
      </c>
      <c r="B37" s="91" t="str">
        <f>VLOOKUP(G37,State!M$3:CC$53,69,0)</f>
        <v>Indiana</v>
      </c>
      <c r="C37" s="65">
        <f>VLOOKUP(B37,State!$A$3:$B$54,2,0)</f>
        <v>11</v>
      </c>
      <c r="D37" s="66">
        <f>VLOOKUP(B37,State!$A$3:$C$54,3,0)</f>
        <v>2757965</v>
      </c>
      <c r="E37" s="90" t="str">
        <f>IF(VLOOKUP(B37,State!$A$3:$G$54,7,0)=1,"•","")</f>
        <v/>
      </c>
      <c r="F37" s="66">
        <f>VLOOKUP(B37,State!$A$3:$L$54,12,0)</f>
        <v>1033126</v>
      </c>
      <c r="G37" s="92">
        <f>LARGE(State!M$3:M$53,36)</f>
        <v>0.37459721207484503</v>
      </c>
      <c r="I37" s="65">
        <v>36</v>
      </c>
      <c r="J37" s="91" t="str">
        <f>VLOOKUP(O37,State!O$3:CC$53,67,0)</f>
        <v>Colorado</v>
      </c>
      <c r="K37" s="65">
        <f>VLOOKUP(J37,State!$A$3:$B$54,2,0)</f>
        <v>9</v>
      </c>
      <c r="L37" s="66">
        <f>VLOOKUP(J37,State!$A$3:$C$54,3,0)</f>
        <v>2780247</v>
      </c>
      <c r="M37" s="90" t="str">
        <f>IF(VLOOKUP(J37,State!$A$3:$H$54,8,0)=1,"•","")</f>
        <v/>
      </c>
      <c r="N37" s="66">
        <f>VLOOKUP(J37,State!$A$3:$N$54,14,0)</f>
        <v>1202484</v>
      </c>
      <c r="O37" s="92">
        <f>LARGE(State!O$3:O$53,36)</f>
        <v>0.43250977341221841</v>
      </c>
      <c r="P37" s="92"/>
      <c r="Q37" s="65">
        <v>36</v>
      </c>
      <c r="R37" s="91" t="str">
        <f>VLOOKUP(W37,State!Q$3:CC$53,65,0)</f>
        <v>Alabama</v>
      </c>
      <c r="S37" s="65">
        <f>VLOOKUP(R37,State!$A$3:$B$54,2,0)</f>
        <v>9</v>
      </c>
      <c r="T37" s="66">
        <f>VLOOKUP(R37,State!$A$3:$C$54,3,0)</f>
        <v>2123372</v>
      </c>
      <c r="U37" s="90" t="str">
        <f>IF(VLOOKUP(R37,State!$A$3:$I$54,9,0)=1,"•","")</f>
        <v/>
      </c>
      <c r="V37" s="66">
        <f>VLOOKUP(R37,State!$A$3:$P$54,16,0)</f>
        <v>0</v>
      </c>
      <c r="W37" s="92">
        <f>LARGE(State!Q$3:Q$53,36)</f>
        <v>0</v>
      </c>
      <c r="Y37" s="65">
        <v>36</v>
      </c>
      <c r="Z37" s="91" t="str">
        <f>VLOOKUP(AE37,State!S$3:CK$53,63,0)</f>
        <v>Virginia</v>
      </c>
      <c r="AA37" s="65">
        <f>VLOOKUP(Z37,State!$A$3:$B$54,2,0)</f>
        <v>13</v>
      </c>
      <c r="AB37" s="66">
        <f>VLOOKUP(Z37,State!$A$3:$C$54,3,0)</f>
        <v>3982752</v>
      </c>
      <c r="AC37" s="90" t="str">
        <f>IF(VLOOKUP(Z37,State!$A$3:$I$54,9,0)=1,"•","")</f>
        <v/>
      </c>
      <c r="AD37" s="66">
        <f>VLOOKUP(Z37,State!$A$3:$R$54,18,0)</f>
        <v>118274</v>
      </c>
      <c r="AE37" s="92">
        <f>LARGE(State!S$3:S$53,36)</f>
        <v>2.9696551530198213E-2</v>
      </c>
    </row>
    <row r="38" spans="1:31">
      <c r="A38" s="65">
        <v>37</v>
      </c>
      <c r="B38" s="91" t="str">
        <f>VLOOKUP(G38,State!M$3:CC$53,69,0)</f>
        <v>Alaska</v>
      </c>
      <c r="C38" s="65">
        <f>VLOOKUP(B38,State!$A$3:$B$54,2,0)</f>
        <v>3</v>
      </c>
      <c r="D38" s="66">
        <f>VLOOKUP(B38,State!$A$3:$C$54,3,0)</f>
        <v>318608</v>
      </c>
      <c r="E38" s="90" t="str">
        <f>IF(VLOOKUP(B38,State!$A$3:$G$54,7,0)=1,"•","")</f>
        <v/>
      </c>
      <c r="F38" s="66">
        <f>VLOOKUP(B38,State!$A$3:$L$54,12,0)</f>
        <v>116454</v>
      </c>
      <c r="G38" s="92">
        <f>LARGE(State!M$3:M$53,37)</f>
        <v>0.36550871290111986</v>
      </c>
      <c r="I38" s="65">
        <v>37</v>
      </c>
      <c r="J38" s="91" t="str">
        <f>VLOOKUP(O38,State!O$3:CC$53,67,0)</f>
        <v>Delaware</v>
      </c>
      <c r="K38" s="65">
        <f>VLOOKUP(J38,State!$A$3:$B$54,2,0)</f>
        <v>3</v>
      </c>
      <c r="L38" s="66">
        <f>VLOOKUP(J38,State!$A$3:$C$54,3,0)</f>
        <v>443814</v>
      </c>
      <c r="M38" s="90" t="str">
        <f>IF(VLOOKUP(J38,State!$A$3:$H$54,8,0)=1,"•","")</f>
        <v/>
      </c>
      <c r="N38" s="66">
        <f>VLOOKUP(J38,State!$A$3:$N$54,14,0)</f>
        <v>185127</v>
      </c>
      <c r="O38" s="92">
        <f>LARGE(State!O$3:O$53,37)</f>
        <v>0.41712744528113127</v>
      </c>
      <c r="P38" s="92"/>
      <c r="Q38" s="65">
        <v>37</v>
      </c>
      <c r="R38" s="91" t="str">
        <f>VLOOKUP(W38,State!Q$3:CC$53,65,0)</f>
        <v>Alabama</v>
      </c>
      <c r="S38" s="65">
        <f>VLOOKUP(R38,State!$A$3:$B$54,2,0)</f>
        <v>9</v>
      </c>
      <c r="T38" s="66">
        <f>VLOOKUP(R38,State!$A$3:$C$54,3,0)</f>
        <v>2123372</v>
      </c>
      <c r="U38" s="90" t="str">
        <f>IF(VLOOKUP(R38,State!$A$3:$I$54,9,0)=1,"•","")</f>
        <v/>
      </c>
      <c r="V38" s="66">
        <f>VLOOKUP(R38,State!$A$3:$P$54,16,0)</f>
        <v>0</v>
      </c>
      <c r="W38" s="92">
        <f>LARGE(State!Q$3:Q$53,37)</f>
        <v>0</v>
      </c>
      <c r="Y38" s="65">
        <v>37</v>
      </c>
      <c r="Z38" s="91" t="str">
        <f>VLOOKUP(AE38,State!S$3:CK$53,63,0)</f>
        <v>Connecticut</v>
      </c>
      <c r="AA38" s="65">
        <f>VLOOKUP(Z38,State!$A$3:$B$54,2,0)</f>
        <v>7</v>
      </c>
      <c r="AB38" s="66">
        <f>VLOOKUP(Z38,State!$A$3:$C$54,3,0)</f>
        <v>1644920</v>
      </c>
      <c r="AC38" s="90" t="str">
        <f>IF(VLOOKUP(Z38,State!$A$3:$I$54,9,0)=1,"•","")</f>
        <v/>
      </c>
      <c r="AD38" s="66">
        <f>VLOOKUP(Z38,State!$A$3:$R$54,18,0)</f>
        <v>48676</v>
      </c>
      <c r="AE38" s="92">
        <f>LARGE(State!S$3:S$53,37)</f>
        <v>2.9591712666877417E-2</v>
      </c>
    </row>
    <row r="39" spans="1:31">
      <c r="A39" s="65">
        <v>38</v>
      </c>
      <c r="B39" s="91" t="str">
        <f>VLOOKUP(G39,State!M$3:CC$53,69,0)</f>
        <v>Kansas</v>
      </c>
      <c r="C39" s="65">
        <f>VLOOKUP(B39,State!$A$3:$B$54,2,0)</f>
        <v>6</v>
      </c>
      <c r="D39" s="66">
        <f>VLOOKUP(B39,State!$A$3:$C$54,3,0)</f>
        <v>1194755</v>
      </c>
      <c r="E39" s="90" t="str">
        <f>IF(VLOOKUP(B39,State!$A$3:$G$54,7,0)=1,"•","")</f>
        <v/>
      </c>
      <c r="F39" s="66">
        <f>VLOOKUP(B39,State!$A$3:$L$54,12,0)</f>
        <v>427005</v>
      </c>
      <c r="G39" s="92">
        <f>LARGE(State!M$3:M$53,38)</f>
        <v>0.35739963423463389</v>
      </c>
      <c r="I39" s="65">
        <v>38</v>
      </c>
      <c r="J39" s="91" t="str">
        <f>VLOOKUP(O39,State!O$3:CC$53,67,0)</f>
        <v>New Jersey</v>
      </c>
      <c r="K39" s="65">
        <f>VLOOKUP(J39,State!$A$3:$B$54,2,0)</f>
        <v>14</v>
      </c>
      <c r="L39" s="66">
        <f>VLOOKUP(J39,State!$A$3:$C$54,3,0)</f>
        <v>3906723</v>
      </c>
      <c r="M39" s="90" t="str">
        <f>IF(VLOOKUP(J39,State!$A$3:$H$54,8,0)=1,"•","")</f>
        <v/>
      </c>
      <c r="N39" s="66">
        <f>VLOOKUP(J39,State!$A$3:$N$54,14,0)</f>
        <v>1601933</v>
      </c>
      <c r="O39" s="92">
        <f>LARGE(State!O$3:O$53,38)</f>
        <v>0.41004519644725257</v>
      </c>
      <c r="P39" s="92"/>
      <c r="Q39" s="65">
        <v>38</v>
      </c>
      <c r="R39" s="91" t="str">
        <f>VLOOKUP(W39,State!Q$3:CC$53,65,0)</f>
        <v>Alabama</v>
      </c>
      <c r="S39" s="65">
        <f>VLOOKUP(R39,State!$A$3:$B$54,2,0)</f>
        <v>9</v>
      </c>
      <c r="T39" s="66">
        <f>VLOOKUP(R39,State!$A$3:$C$54,3,0)</f>
        <v>2123372</v>
      </c>
      <c r="U39" s="90" t="str">
        <f>IF(VLOOKUP(R39,State!$A$3:$I$54,9,0)=1,"•","")</f>
        <v/>
      </c>
      <c r="V39" s="66">
        <f>VLOOKUP(R39,State!$A$3:$P$54,16,0)</f>
        <v>0</v>
      </c>
      <c r="W39" s="92">
        <f>LARGE(State!Q$3:Q$53,38)</f>
        <v>0</v>
      </c>
      <c r="Y39" s="65">
        <v>38</v>
      </c>
      <c r="Z39" s="91" t="str">
        <f>VLOOKUP(AE39,State!S$3:CK$53,63,0)</f>
        <v>Maryland</v>
      </c>
      <c r="AA39" s="65">
        <f>VLOOKUP(Z39,State!$A$3:$B$54,2,0)</f>
        <v>10</v>
      </c>
      <c r="AB39" s="66">
        <f>VLOOKUP(Z39,State!$A$3:$C$54,3,0)</f>
        <v>2781446</v>
      </c>
      <c r="AC39" s="90" t="str">
        <f>IF(VLOOKUP(Z39,State!$A$3:$I$54,9,0)=1,"•","")</f>
        <v/>
      </c>
      <c r="AD39" s="66">
        <f>VLOOKUP(Z39,State!$A$3:$R$54,18,0)</f>
        <v>79605</v>
      </c>
      <c r="AE39" s="92">
        <f>LARGE(State!S$3:S$53,38)</f>
        <v>2.8620005565450489E-2</v>
      </c>
    </row>
    <row r="40" spans="1:31">
      <c r="A40" s="65">
        <v>39</v>
      </c>
      <c r="B40" s="91" t="str">
        <f>VLOOKUP(G40,State!M$3:CC$53,69,0)</f>
        <v>Montana</v>
      </c>
      <c r="C40" s="65">
        <f>VLOOKUP(B40,State!$A$3:$B$54,2,0)</f>
        <v>3</v>
      </c>
      <c r="D40" s="66">
        <f>VLOOKUP(B40,State!$A$3:$C$54,3,0)</f>
        <v>501822</v>
      </c>
      <c r="E40" s="90" t="str">
        <f>IF(VLOOKUP(B40,State!$A$3:$G$54,7,0)=1,"•","")</f>
        <v/>
      </c>
      <c r="F40" s="66">
        <f>VLOOKUP(B40,State!$A$3:$L$54,12,0)</f>
        <v>177709</v>
      </c>
      <c r="G40" s="92">
        <f>LARGE(State!M$3:M$53,39)</f>
        <v>0.35412755917436861</v>
      </c>
      <c r="I40" s="65">
        <v>39</v>
      </c>
      <c r="J40" s="91" t="str">
        <f>VLOOKUP(O40,State!O$3:CC$53,67,0)</f>
        <v>Connecticut</v>
      </c>
      <c r="K40" s="65">
        <f>VLOOKUP(J40,State!$A$3:$B$54,2,0)</f>
        <v>7</v>
      </c>
      <c r="L40" s="66">
        <f>VLOOKUP(J40,State!$A$3:$C$54,3,0)</f>
        <v>1644920</v>
      </c>
      <c r="M40" s="90" t="str">
        <f>IF(VLOOKUP(J40,State!$A$3:$H$54,8,0)=1,"•","")</f>
        <v/>
      </c>
      <c r="N40" s="66">
        <f>VLOOKUP(J40,State!$A$3:$N$54,14,0)</f>
        <v>673215</v>
      </c>
      <c r="O40" s="92">
        <f>LARGE(State!O$3:O$53,39)</f>
        <v>0.40926914378814777</v>
      </c>
      <c r="P40" s="92"/>
      <c r="Q40" s="65">
        <v>39</v>
      </c>
      <c r="R40" s="91" t="str">
        <f>VLOOKUP(W40,State!Q$3:CC$53,65,0)</f>
        <v>Alabama</v>
      </c>
      <c r="S40" s="65">
        <f>VLOOKUP(R40,State!$A$3:$B$54,2,0)</f>
        <v>9</v>
      </c>
      <c r="T40" s="66">
        <f>VLOOKUP(R40,State!$A$3:$C$54,3,0)</f>
        <v>2123372</v>
      </c>
      <c r="U40" s="90" t="str">
        <f>IF(VLOOKUP(R40,State!$A$3:$I$54,9,0)=1,"•","")</f>
        <v/>
      </c>
      <c r="V40" s="66">
        <f>VLOOKUP(R40,State!$A$3:$P$54,16,0)</f>
        <v>0</v>
      </c>
      <c r="W40" s="92">
        <f>LARGE(State!Q$3:Q$53,39)</f>
        <v>0</v>
      </c>
      <c r="Y40" s="65">
        <v>39</v>
      </c>
      <c r="Z40" s="91" t="str">
        <f>VLOOKUP(AE40,State!S$3:CK$53,63,0)</f>
        <v>Tennessee</v>
      </c>
      <c r="AA40" s="65">
        <f>VLOOKUP(Z40,State!$A$3:$B$54,2,0)</f>
        <v>11</v>
      </c>
      <c r="AB40" s="66">
        <f>VLOOKUP(Z40,State!$A$3:$C$54,3,0)</f>
        <v>2508027</v>
      </c>
      <c r="AC40" s="90" t="str">
        <f>IF(VLOOKUP(Z40,State!$A$3:$I$54,9,0)=1,"•","")</f>
        <v/>
      </c>
      <c r="AD40" s="66">
        <f>VLOOKUP(Z40,State!$A$3:$R$54,18,0)</f>
        <v>70397</v>
      </c>
      <c r="AE40" s="92">
        <f>LARGE(State!S$3:S$53,39)</f>
        <v>2.8068677091594309E-2</v>
      </c>
    </row>
    <row r="41" spans="1:31">
      <c r="A41" s="65">
        <v>40</v>
      </c>
      <c r="B41" s="91" t="str">
        <f>VLOOKUP(G41,State!M$3:CC$53,69,0)</f>
        <v>Tennessee</v>
      </c>
      <c r="C41" s="65">
        <f>VLOOKUP(B41,State!$A$3:$B$54,2,0)</f>
        <v>11</v>
      </c>
      <c r="D41" s="66">
        <f>VLOOKUP(B41,State!$A$3:$C$54,3,0)</f>
        <v>2508027</v>
      </c>
      <c r="E41" s="90" t="str">
        <f>IF(VLOOKUP(B41,State!$A$3:$G$54,7,0)=1,"•","")</f>
        <v/>
      </c>
      <c r="F41" s="66">
        <f>VLOOKUP(B41,State!$A$3:$L$54,12,0)</f>
        <v>870695</v>
      </c>
      <c r="G41" s="92">
        <f>LARGE(State!M$3:M$53,40)</f>
        <v>0.34716332798650096</v>
      </c>
      <c r="I41" s="65">
        <v>40</v>
      </c>
      <c r="J41" s="91" t="str">
        <f>VLOOKUP(O41,State!O$3:CC$53,67,0)</f>
        <v>New Mexico</v>
      </c>
      <c r="K41" s="65">
        <f>VLOOKUP(J41,State!$A$3:$B$54,2,0)</f>
        <v>5</v>
      </c>
      <c r="L41" s="66">
        <f>VLOOKUP(J41,State!$A$3:$C$54,3,0)</f>
        <v>798319</v>
      </c>
      <c r="M41" s="90" t="str">
        <f>IF(VLOOKUP(J41,State!$A$3:$H$54,8,0)=1,"•","")</f>
        <v/>
      </c>
      <c r="N41" s="66">
        <f>VLOOKUP(J41,State!$A$3:$N$54,14,0)</f>
        <v>319667</v>
      </c>
      <c r="O41" s="92">
        <f>LARGE(State!O$3:O$53,40)</f>
        <v>0.40042514333242724</v>
      </c>
      <c r="P41" s="92"/>
      <c r="Q41" s="65">
        <v>40</v>
      </c>
      <c r="R41" s="91" t="str">
        <f>VLOOKUP(W41,State!Q$3:CC$53,65,0)</f>
        <v>Alabama</v>
      </c>
      <c r="S41" s="65">
        <f>VLOOKUP(R41,State!$A$3:$B$54,2,0)</f>
        <v>9</v>
      </c>
      <c r="T41" s="66">
        <f>VLOOKUP(R41,State!$A$3:$C$54,3,0)</f>
        <v>2123372</v>
      </c>
      <c r="U41" s="90" t="str">
        <f>IF(VLOOKUP(R41,State!$A$3:$I$54,9,0)=1,"•","")</f>
        <v/>
      </c>
      <c r="V41" s="66">
        <f>VLOOKUP(R41,State!$A$3:$P$54,16,0)</f>
        <v>0</v>
      </c>
      <c r="W41" s="92">
        <f>LARGE(State!Q$3:Q$53,40)</f>
        <v>0</v>
      </c>
      <c r="Y41" s="65">
        <v>40</v>
      </c>
      <c r="Z41" s="91" t="str">
        <f>VLOOKUP(AE41,State!S$3:CK$53,63,0)</f>
        <v>Kentucky</v>
      </c>
      <c r="AA41" s="65">
        <f>VLOOKUP(Z41,State!$A$3:$B$54,2,0)</f>
        <v>8</v>
      </c>
      <c r="AB41" s="66">
        <f>VLOOKUP(Z41,State!$A$3:$C$54,3,0)</f>
        <v>1924150</v>
      </c>
      <c r="AC41" s="90" t="str">
        <f>IF(VLOOKUP(Z41,State!$A$3:$I$54,9,0)=1,"•","")</f>
        <v/>
      </c>
      <c r="AD41" s="66">
        <f>VLOOKUP(Z41,State!$A$3:$R$54,18,0)</f>
        <v>53752</v>
      </c>
      <c r="AE41" s="92">
        <f>LARGE(State!S$3:S$53,40)</f>
        <v>2.7935452017774084E-2</v>
      </c>
    </row>
    <row r="42" spans="1:31">
      <c r="A42" s="65">
        <v>41</v>
      </c>
      <c r="B42" s="91" t="str">
        <f>VLOOKUP(G42,State!M$3:CC$53,69,0)</f>
        <v>Alabama</v>
      </c>
      <c r="C42" s="65">
        <f>VLOOKUP(B42,State!$A$3:$B$54,2,0)</f>
        <v>9</v>
      </c>
      <c r="D42" s="66">
        <f>VLOOKUP(B42,State!$A$3:$C$54,3,0)</f>
        <v>2123372</v>
      </c>
      <c r="E42" s="90" t="str">
        <f>IF(VLOOKUP(B42,State!$A$3:$G$54,7,0)=1,"•","")</f>
        <v/>
      </c>
      <c r="F42" s="66">
        <f>VLOOKUP(B42,State!$A$3:$L$54,12,0)</f>
        <v>729547</v>
      </c>
      <c r="G42" s="92">
        <f>LARGE(State!M$3:M$53,41)</f>
        <v>0.3435794575797364</v>
      </c>
      <c r="I42" s="65">
        <v>41</v>
      </c>
      <c r="J42" s="91" t="str">
        <f>VLOOKUP(O42,State!O$3:CC$53,67,0)</f>
        <v>Oregon</v>
      </c>
      <c r="K42" s="65">
        <f>VLOOKUP(J42,State!$A$3:$B$54,2,0)</f>
        <v>7</v>
      </c>
      <c r="L42" s="66">
        <f>VLOOKUP(J42,State!$A$3:$C$54,3,0)</f>
        <v>2001336</v>
      </c>
      <c r="M42" s="90" t="str">
        <f>IF(VLOOKUP(J42,State!$A$3:$H$54,8,0)=1,"•","")</f>
        <v/>
      </c>
      <c r="N42" s="66">
        <f>VLOOKUP(J42,State!$A$3:$N$54,14,0)</f>
        <v>782403</v>
      </c>
      <c r="O42" s="92">
        <f>LARGE(State!O$3:O$53,41)</f>
        <v>0.39094035184496756</v>
      </c>
      <c r="P42" s="92"/>
      <c r="Q42" s="65">
        <v>41</v>
      </c>
      <c r="R42" s="91" t="str">
        <f>VLOOKUP(W42,State!Q$3:CC$53,65,0)</f>
        <v>Alabama</v>
      </c>
      <c r="S42" s="65">
        <f>VLOOKUP(R42,State!$A$3:$B$54,2,0)</f>
        <v>9</v>
      </c>
      <c r="T42" s="66">
        <f>VLOOKUP(R42,State!$A$3:$C$54,3,0)</f>
        <v>2123372</v>
      </c>
      <c r="U42" s="90" t="str">
        <f>IF(VLOOKUP(R42,State!$A$3:$I$54,9,0)=1,"•","")</f>
        <v/>
      </c>
      <c r="V42" s="66">
        <f>VLOOKUP(R42,State!$A$3:$P$54,16,0)</f>
        <v>0</v>
      </c>
      <c r="W42" s="92">
        <f>LARGE(State!Q$3:Q$53,41)</f>
        <v>0</v>
      </c>
      <c r="Y42" s="65">
        <v>41</v>
      </c>
      <c r="Z42" s="91" t="str">
        <f>VLOOKUP(AE42,State!S$3:CK$53,63,0)</f>
        <v>North Carolina</v>
      </c>
      <c r="AA42" s="65">
        <f>VLOOKUP(Z42,State!$A$3:$B$54,2,0)</f>
        <v>15</v>
      </c>
      <c r="AB42" s="66">
        <f>VLOOKUP(Z42,State!$A$3:$C$54,3,0)</f>
        <v>4741564</v>
      </c>
      <c r="AC42" s="90" t="str">
        <f>IF(VLOOKUP(Z42,State!$A$3:$I$54,9,0)=1,"•","")</f>
        <v/>
      </c>
      <c r="AD42" s="66">
        <f>VLOOKUP(Z42,State!$A$3:$R$54,18,0)</f>
        <v>130126</v>
      </c>
      <c r="AE42" s="92">
        <f>LARGE(State!S$3:S$53,41)</f>
        <v>2.744368735716738E-2</v>
      </c>
    </row>
    <row r="43" spans="1:31">
      <c r="A43" s="65">
        <v>42</v>
      </c>
      <c r="B43" s="91" t="str">
        <f>VLOOKUP(G43,State!M$3:CC$53,69,0)</f>
        <v>Nebraska</v>
      </c>
      <c r="C43" s="65">
        <f>VLOOKUP(B43,State!$A$3:$B$54,2,0)</f>
        <v>5</v>
      </c>
      <c r="D43" s="66">
        <f>VLOOKUP(B43,State!$A$3:$C$54,3,0)</f>
        <v>844227</v>
      </c>
      <c r="E43" s="90" t="str">
        <f>IF(VLOOKUP(B43,State!$A$3:$G$54,7,0)=1,"•","")</f>
        <v/>
      </c>
      <c r="F43" s="66">
        <f>VLOOKUP(B43,State!$A$3:$L$54,12,0)</f>
        <v>284494</v>
      </c>
      <c r="G43" s="92">
        <f>LARGE(State!M$3:M$53,42)</f>
        <v>0.33698756377135536</v>
      </c>
      <c r="I43" s="65">
        <v>42</v>
      </c>
      <c r="J43" s="91" t="str">
        <f>VLOOKUP(O43,State!O$3:CC$53,67,0)</f>
        <v>Rhode Island</v>
      </c>
      <c r="K43" s="65">
        <f>VLOOKUP(J43,State!$A$3:$B$54,2,0)</f>
        <v>4</v>
      </c>
      <c r="L43" s="66">
        <f>VLOOKUP(J43,State!$A$3:$C$54,3,0)</f>
        <v>464144</v>
      </c>
      <c r="M43" s="90" t="str">
        <f>IF(VLOOKUP(J43,State!$A$3:$H$54,8,0)=1,"•","")</f>
        <v/>
      </c>
      <c r="N43" s="66">
        <f>VLOOKUP(J43,State!$A$3:$N$54,14,0)</f>
        <v>180543</v>
      </c>
      <c r="O43" s="92">
        <f>LARGE(State!O$3:O$53,42)</f>
        <v>0.38898057499396738</v>
      </c>
      <c r="P43" s="92"/>
      <c r="Q43" s="65">
        <v>42</v>
      </c>
      <c r="R43" s="91" t="str">
        <f>VLOOKUP(W43,State!Q$3:CC$53,65,0)</f>
        <v>Alabama</v>
      </c>
      <c r="S43" s="65">
        <f>VLOOKUP(R43,State!$A$3:$B$54,2,0)</f>
        <v>9</v>
      </c>
      <c r="T43" s="66">
        <f>VLOOKUP(R43,State!$A$3:$C$54,3,0)</f>
        <v>2123372</v>
      </c>
      <c r="U43" s="90" t="str">
        <f>IF(VLOOKUP(R43,State!$A$3:$I$54,9,0)=1,"•","")</f>
        <v/>
      </c>
      <c r="V43" s="66">
        <f>VLOOKUP(R43,State!$A$3:$P$54,16,0)</f>
        <v>0</v>
      </c>
      <c r="W43" s="92">
        <f>LARGE(State!Q$3:Q$53,42)</f>
        <v>0</v>
      </c>
      <c r="Y43" s="65">
        <v>42</v>
      </c>
      <c r="Z43" s="91" t="str">
        <f>VLOOKUP(AE43,State!S$3:CK$53,63,0)</f>
        <v>Arkansas</v>
      </c>
      <c r="AA43" s="65">
        <f>VLOOKUP(Z43,State!$A$3:$B$54,2,0)</f>
        <v>6</v>
      </c>
      <c r="AB43" s="66">
        <f>VLOOKUP(Z43,State!$A$3:$C$54,3,0)</f>
        <v>1130635</v>
      </c>
      <c r="AC43" s="90" t="str">
        <f>IF(VLOOKUP(Z43,State!$A$3:$I$54,9,0)=1,"•","")</f>
        <v/>
      </c>
      <c r="AD43" s="66">
        <f>VLOOKUP(Z43,State!$A$3:$R$54,18,0)</f>
        <v>29829</v>
      </c>
      <c r="AE43" s="92">
        <f>LARGE(State!S$3:S$53,42)</f>
        <v>2.6382519557593742E-2</v>
      </c>
    </row>
    <row r="44" spans="1:31">
      <c r="A44" s="65">
        <v>43</v>
      </c>
      <c r="B44" s="91" t="str">
        <f>VLOOKUP(G44,State!M$3:CC$53,69,0)</f>
        <v>Arkansas</v>
      </c>
      <c r="C44" s="65">
        <f>VLOOKUP(B44,State!$A$3:$B$54,2,0)</f>
        <v>6</v>
      </c>
      <c r="D44" s="66">
        <f>VLOOKUP(B44,State!$A$3:$C$54,3,0)</f>
        <v>1130635</v>
      </c>
      <c r="E44" s="90" t="str">
        <f>IF(VLOOKUP(B44,State!$A$3:$G$54,7,0)=1,"•","")</f>
        <v/>
      </c>
      <c r="F44" s="66">
        <f>VLOOKUP(B44,State!$A$3:$L$54,12,0)</f>
        <v>380494</v>
      </c>
      <c r="G44" s="92">
        <f>LARGE(State!M$3:M$53,43)</f>
        <v>0.33653124129360934</v>
      </c>
      <c r="I44" s="65">
        <v>43</v>
      </c>
      <c r="J44" s="91" t="str">
        <f>VLOOKUP(O44,State!O$3:CC$53,67,0)</f>
        <v>Illinois</v>
      </c>
      <c r="K44" s="65">
        <f>VLOOKUP(J44,State!$A$3:$B$54,2,0)</f>
        <v>20</v>
      </c>
      <c r="L44" s="66">
        <f>VLOOKUP(J44,State!$A$3:$C$54,3,0)</f>
        <v>5594825</v>
      </c>
      <c r="M44" s="90" t="str">
        <f>IF(VLOOKUP(J44,State!$A$3:$H$54,8,0)=1,"•","")</f>
        <v/>
      </c>
      <c r="N44" s="66">
        <f>VLOOKUP(J44,State!$A$3:$N$54,14,0)</f>
        <v>2146015</v>
      </c>
      <c r="O44" s="92">
        <f>LARGE(State!O$3:O$53,43)</f>
        <v>0.38357142537970357</v>
      </c>
      <c r="P44" s="92"/>
      <c r="Q44" s="65">
        <v>43</v>
      </c>
      <c r="R44" s="91" t="str">
        <f>VLOOKUP(W44,State!Q$3:CC$53,65,0)</f>
        <v>Alabama</v>
      </c>
      <c r="S44" s="65">
        <f>VLOOKUP(R44,State!$A$3:$B$54,2,0)</f>
        <v>9</v>
      </c>
      <c r="T44" s="66">
        <f>VLOOKUP(R44,State!$A$3:$C$54,3,0)</f>
        <v>2123372</v>
      </c>
      <c r="U44" s="90" t="str">
        <f>IF(VLOOKUP(R44,State!$A$3:$I$54,9,0)=1,"•","")</f>
        <v/>
      </c>
      <c r="V44" s="66">
        <f>VLOOKUP(R44,State!$A$3:$P$54,16,0)</f>
        <v>0</v>
      </c>
      <c r="W44" s="92">
        <f>LARGE(State!Q$3:Q$53,43)</f>
        <v>0</v>
      </c>
      <c r="Y44" s="65">
        <v>43</v>
      </c>
      <c r="Z44" s="91" t="str">
        <f>VLOOKUP(AE44,State!S$3:CK$53,63,0)</f>
        <v>Pennsylvania</v>
      </c>
      <c r="AA44" s="65">
        <f>VLOOKUP(Z44,State!$A$3:$B$54,2,0)</f>
        <v>20</v>
      </c>
      <c r="AB44" s="66">
        <f>VLOOKUP(Z44,State!$A$3:$C$54,3,0)</f>
        <v>6166729</v>
      </c>
      <c r="AC44" s="90" t="str">
        <f>IF(VLOOKUP(Z44,State!$A$3:$I$54,9,0)=1,"•","")</f>
        <v/>
      </c>
      <c r="AD44" s="66">
        <f>VLOOKUP(Z44,State!$A$3:$R$54,18,0)</f>
        <v>146715</v>
      </c>
      <c r="AE44" s="92">
        <f>LARGE(State!S$3:S$53,43)</f>
        <v>2.379138113576906E-2</v>
      </c>
    </row>
    <row r="45" spans="1:31">
      <c r="A45" s="65">
        <v>44</v>
      </c>
      <c r="B45" s="91" t="str">
        <f>VLOOKUP(G45,State!M$3:CC$53,69,0)</f>
        <v>Kentucky</v>
      </c>
      <c r="C45" s="65">
        <f>VLOOKUP(B45,State!$A$3:$B$54,2,0)</f>
        <v>8</v>
      </c>
      <c r="D45" s="66">
        <f>VLOOKUP(B45,State!$A$3:$C$54,3,0)</f>
        <v>1924150</v>
      </c>
      <c r="E45" s="90" t="str">
        <f>IF(VLOOKUP(B45,State!$A$3:$G$54,7,0)=1,"•","")</f>
        <v/>
      </c>
      <c r="F45" s="66">
        <f>VLOOKUP(B45,State!$A$3:$L$54,12,0)</f>
        <v>628854</v>
      </c>
      <c r="G45" s="92">
        <f>LARGE(State!M$3:M$53,44)</f>
        <v>0.32682171348387601</v>
      </c>
      <c r="I45" s="65">
        <v>44</v>
      </c>
      <c r="J45" s="91" t="str">
        <f>VLOOKUP(O45,State!O$3:CC$53,67,0)</f>
        <v>Washington</v>
      </c>
      <c r="K45" s="65">
        <f>VLOOKUP(J45,State!$A$3:$B$54,2,0)</f>
        <v>12</v>
      </c>
      <c r="L45" s="66">
        <f>VLOOKUP(J45,State!$A$3:$C$54,3,0)</f>
        <v>3316996</v>
      </c>
      <c r="M45" s="90" t="str">
        <f>IF(VLOOKUP(J45,State!$A$3:$H$54,8,0)=1,"•","")</f>
        <v/>
      </c>
      <c r="N45" s="66">
        <f>VLOOKUP(J45,State!$A$3:$N$54,14,0)</f>
        <v>1221747</v>
      </c>
      <c r="O45" s="92">
        <f>LARGE(State!O$3:O$53,44)</f>
        <v>0.3683293558388373</v>
      </c>
      <c r="P45" s="92"/>
      <c r="Q45" s="65">
        <v>44</v>
      </c>
      <c r="R45" s="91" t="str">
        <f>VLOOKUP(W45,State!Q$3:CC$53,65,0)</f>
        <v>Alabama</v>
      </c>
      <c r="S45" s="65">
        <f>VLOOKUP(R45,State!$A$3:$B$54,2,0)</f>
        <v>9</v>
      </c>
      <c r="T45" s="66">
        <f>VLOOKUP(R45,State!$A$3:$C$54,3,0)</f>
        <v>2123372</v>
      </c>
      <c r="U45" s="90" t="str">
        <f>IF(VLOOKUP(R45,State!$A$3:$I$54,9,0)=1,"•","")</f>
        <v/>
      </c>
      <c r="V45" s="66">
        <f>VLOOKUP(R45,State!$A$3:$P$54,16,0)</f>
        <v>0</v>
      </c>
      <c r="W45" s="92">
        <f>LARGE(State!Q$3:Q$53,44)</f>
        <v>0</v>
      </c>
      <c r="Y45" s="65">
        <v>44</v>
      </c>
      <c r="Z45" s="91" t="str">
        <f>VLOOKUP(AE45,State!S$3:CK$53,63,0)</f>
        <v>South Carolina</v>
      </c>
      <c r="AA45" s="65">
        <f>VLOOKUP(Z45,State!$A$3:$B$54,2,0)</f>
        <v>9</v>
      </c>
      <c r="AB45" s="66">
        <f>VLOOKUP(Z45,State!$A$3:$C$54,3,0)</f>
        <v>2103027</v>
      </c>
      <c r="AC45" s="90" t="str">
        <f>IF(VLOOKUP(Z45,State!$A$3:$I$54,9,0)=1,"•","")</f>
        <v/>
      </c>
      <c r="AD45" s="66">
        <f>VLOOKUP(Z45,State!$A$3:$R$54,18,0)</f>
        <v>49204</v>
      </c>
      <c r="AE45" s="92">
        <f>LARGE(State!S$3:S$53,44)</f>
        <v>2.3396751444465524E-2</v>
      </c>
    </row>
    <row r="46" spans="1:31">
      <c r="A46" s="65">
        <v>45</v>
      </c>
      <c r="B46" s="91" t="str">
        <f>VLOOKUP(G46,State!M$3:CC$53,69,0)</f>
        <v>South Dakota</v>
      </c>
      <c r="C46" s="65">
        <f>VLOOKUP(B46,State!$A$3:$B$54,2,0)</f>
        <v>3</v>
      </c>
      <c r="D46" s="66">
        <f>VLOOKUP(B46,State!$A$3:$C$54,3,0)</f>
        <v>370093</v>
      </c>
      <c r="E46" s="90" t="str">
        <f>IF(VLOOKUP(B46,State!$A$3:$G$54,7,0)=1,"•","")</f>
        <v/>
      </c>
      <c r="F46" s="66">
        <f>VLOOKUP(B46,State!$A$3:$L$54,12,0)</f>
        <v>117458</v>
      </c>
      <c r="G46" s="92">
        <f>LARGE(State!M$3:M$53,45)</f>
        <v>0.31737428159948988</v>
      </c>
      <c r="I46" s="65">
        <v>45</v>
      </c>
      <c r="J46" s="91" t="str">
        <f>VLOOKUP(O46,State!O$3:CC$53,67,0)</f>
        <v>New York</v>
      </c>
      <c r="K46" s="65">
        <f>VLOOKUP(J46,State!$A$3:$B$54,2,0)</f>
        <v>29</v>
      </c>
      <c r="L46" s="66">
        <f>VLOOKUP(J46,State!$A$3:$C$54,3,0)</f>
        <v>7721795</v>
      </c>
      <c r="M46" s="90" t="str">
        <f>IF(VLOOKUP(J46,State!$A$3:$H$54,8,0)=1,"•","")</f>
        <v/>
      </c>
      <c r="N46" s="66">
        <f>VLOOKUP(J46,State!$A$3:$N$54,14,0)</f>
        <v>2819557</v>
      </c>
      <c r="O46" s="92">
        <f>LARGE(State!O$3:O$53,45)</f>
        <v>0.36514269026826018</v>
      </c>
      <c r="P46" s="92"/>
      <c r="Q46" s="65">
        <v>45</v>
      </c>
      <c r="R46" s="91" t="str">
        <f>VLOOKUP(W46,State!Q$3:CC$53,65,0)</f>
        <v>Alabama</v>
      </c>
      <c r="S46" s="65">
        <f>VLOOKUP(R46,State!$A$3:$B$54,2,0)</f>
        <v>9</v>
      </c>
      <c r="T46" s="66">
        <f>VLOOKUP(R46,State!$A$3:$C$54,3,0)</f>
        <v>2123372</v>
      </c>
      <c r="U46" s="90" t="str">
        <f>IF(VLOOKUP(R46,State!$A$3:$I$54,9,0)=1,"•","")</f>
        <v/>
      </c>
      <c r="V46" s="66">
        <f>VLOOKUP(R46,State!$A$3:$P$54,16,0)</f>
        <v>0</v>
      </c>
      <c r="W46" s="92">
        <f>LARGE(State!Q$3:Q$53,45)</f>
        <v>0</v>
      </c>
      <c r="Y46" s="65">
        <v>45</v>
      </c>
      <c r="Z46" s="91" t="str">
        <f>VLOOKUP(AE46,State!S$3:CK$53,63,0)</f>
        <v>New York</v>
      </c>
      <c r="AA46" s="65">
        <f>VLOOKUP(Z46,State!$A$3:$B$54,2,0)</f>
        <v>29</v>
      </c>
      <c r="AB46" s="66">
        <f>VLOOKUP(Z46,State!$A$3:$C$54,3,0)</f>
        <v>7721795</v>
      </c>
      <c r="AC46" s="90" t="str">
        <f>IF(VLOOKUP(Z46,State!$A$3:$I$54,9,0)=1,"•","")</f>
        <v/>
      </c>
      <c r="AD46" s="66">
        <f>VLOOKUP(Z46,State!$A$3:$R$54,18,0)</f>
        <v>176600</v>
      </c>
      <c r="AE46" s="92">
        <f>LARGE(State!S$3:S$53,45)</f>
        <v>2.2870330020416236E-2</v>
      </c>
    </row>
    <row r="47" spans="1:31">
      <c r="A47" s="65">
        <v>46</v>
      </c>
      <c r="B47" s="91" t="str">
        <f>VLOOKUP(G47,State!M$3:CC$53,69,0)</f>
        <v>Oklahoma</v>
      </c>
      <c r="C47" s="65">
        <f>VLOOKUP(B47,State!$A$3:$B$54,2,0)</f>
        <v>7</v>
      </c>
      <c r="D47" s="66">
        <f>VLOOKUP(B47,State!$A$3:$C$54,3,0)</f>
        <v>1452992</v>
      </c>
      <c r="E47" s="90" t="str">
        <f>IF(VLOOKUP(B47,State!$A$3:$G$54,7,0)=1,"•","")</f>
        <v/>
      </c>
      <c r="F47" s="66">
        <f>VLOOKUP(B47,State!$A$3:$L$54,12,0)</f>
        <v>420375</v>
      </c>
      <c r="G47" s="92">
        <f>LARGE(State!M$3:M$53,46)</f>
        <v>0.28931680284543893</v>
      </c>
      <c r="I47" s="65">
        <v>46</v>
      </c>
      <c r="J47" s="91" t="str">
        <f>VLOOKUP(O47,State!O$3:CC$53,67,0)</f>
        <v>Maryland</v>
      </c>
      <c r="K47" s="65">
        <f>VLOOKUP(J47,State!$A$3:$B$54,2,0)</f>
        <v>10</v>
      </c>
      <c r="L47" s="66">
        <f>VLOOKUP(J47,State!$A$3:$C$54,3,0)</f>
        <v>2781446</v>
      </c>
      <c r="M47" s="90" t="str">
        <f>IF(VLOOKUP(J47,State!$A$3:$H$54,8,0)=1,"•","")</f>
        <v/>
      </c>
      <c r="N47" s="66">
        <f>VLOOKUP(J47,State!$A$3:$N$54,14,0)</f>
        <v>943169</v>
      </c>
      <c r="O47" s="92">
        <f>LARGE(State!O$3:O$53,46)</f>
        <v>0.33909304728547668</v>
      </c>
      <c r="P47" s="92"/>
      <c r="Q47" s="65">
        <v>46</v>
      </c>
      <c r="R47" s="91" t="str">
        <f>VLOOKUP(W47,State!Q$3:CC$53,65,0)</f>
        <v>Alabama</v>
      </c>
      <c r="S47" s="65">
        <f>VLOOKUP(R47,State!$A$3:$B$54,2,0)</f>
        <v>9</v>
      </c>
      <c r="T47" s="66">
        <f>VLOOKUP(R47,State!$A$3:$C$54,3,0)</f>
        <v>2123372</v>
      </c>
      <c r="U47" s="90" t="str">
        <f>IF(VLOOKUP(R47,State!$A$3:$I$54,9,0)=1,"•","")</f>
        <v/>
      </c>
      <c r="V47" s="66">
        <f>VLOOKUP(R47,State!$A$3:$P$54,16,0)</f>
        <v>0</v>
      </c>
      <c r="W47" s="92">
        <f>LARGE(State!Q$3:Q$53,46)</f>
        <v>0</v>
      </c>
      <c r="Y47" s="65">
        <v>46</v>
      </c>
      <c r="Z47" s="91" t="str">
        <f>VLOOKUP(AE47,State!S$3:CK$53,63,0)</f>
        <v>Florida</v>
      </c>
      <c r="AA47" s="65">
        <f>VLOOKUP(Z47,State!$A$3:$B$54,2,0)</f>
        <v>29</v>
      </c>
      <c r="AB47" s="66">
        <f>VLOOKUP(Z47,State!$A$3:$C$54,3,0)</f>
        <v>9502747</v>
      </c>
      <c r="AC47" s="90" t="str">
        <f>IF(VLOOKUP(Z47,State!$A$3:$I$54,9,0)=1,"•","")</f>
        <v/>
      </c>
      <c r="AD47" s="66">
        <f>VLOOKUP(Z47,State!$A$3:$R$54,18,0)</f>
        <v>207043</v>
      </c>
      <c r="AE47" s="92">
        <f>LARGE(State!S$3:S$53,46)</f>
        <v>2.1787699914561549E-2</v>
      </c>
    </row>
    <row r="48" spans="1:31">
      <c r="A48" s="65">
        <v>47</v>
      </c>
      <c r="B48" s="91" t="str">
        <f>VLOOKUP(G48,State!M$3:CC$53,69,0)</f>
        <v>Idaho</v>
      </c>
      <c r="C48" s="65">
        <f>VLOOKUP(B48,State!$A$3:$B$54,2,0)</f>
        <v>4</v>
      </c>
      <c r="D48" s="66">
        <f>VLOOKUP(B48,State!$A$3:$C$54,3,0)</f>
        <v>690433</v>
      </c>
      <c r="E48" s="90" t="str">
        <f>IF(VLOOKUP(B48,State!$A$3:$G$54,7,0)=1,"•","")</f>
        <v/>
      </c>
      <c r="F48" s="66">
        <f>VLOOKUP(B48,State!$A$3:$L$54,12,0)</f>
        <v>189765</v>
      </c>
      <c r="G48" s="92">
        <f>LARGE(State!M$3:M$53,47)</f>
        <v>0.27484926126068715</v>
      </c>
      <c r="I48" s="65">
        <v>47</v>
      </c>
      <c r="J48" s="91" t="str">
        <f>VLOOKUP(O48,State!O$3:CC$53,67,0)</f>
        <v>Massachusetts</v>
      </c>
      <c r="K48" s="65">
        <f>VLOOKUP(J48,State!$A$3:$B$54,2,0)</f>
        <v>11</v>
      </c>
      <c r="L48" s="66">
        <f>VLOOKUP(J48,State!$A$3:$C$54,3,0)</f>
        <v>3325046</v>
      </c>
      <c r="M48" s="90" t="str">
        <f>IF(VLOOKUP(J48,State!$A$3:$H$54,8,0)=1,"•","")</f>
        <v/>
      </c>
      <c r="N48" s="66">
        <f>VLOOKUP(J48,State!$A$3:$N$54,14,0)</f>
        <v>1090893</v>
      </c>
      <c r="O48" s="92">
        <f>LARGE(State!O$3:O$53,47)</f>
        <v>0.32808358140007687</v>
      </c>
      <c r="P48" s="92"/>
      <c r="Q48" s="65">
        <v>47</v>
      </c>
      <c r="R48" s="91" t="str">
        <f>VLOOKUP(W48,State!Q$3:CC$53,65,0)</f>
        <v>Alabama</v>
      </c>
      <c r="S48" s="65">
        <f>VLOOKUP(R48,State!$A$3:$B$54,2,0)</f>
        <v>9</v>
      </c>
      <c r="T48" s="66">
        <f>VLOOKUP(R48,State!$A$3:$C$54,3,0)</f>
        <v>2123372</v>
      </c>
      <c r="U48" s="90" t="str">
        <f>IF(VLOOKUP(R48,State!$A$3:$I$54,9,0)=1,"•","")</f>
        <v/>
      </c>
      <c r="V48" s="66">
        <f>VLOOKUP(R48,State!$A$3:$P$54,16,0)</f>
        <v>0</v>
      </c>
      <c r="W48" s="92">
        <f>LARGE(State!Q$3:Q$53,47)</f>
        <v>0</v>
      </c>
      <c r="Y48" s="65">
        <v>47</v>
      </c>
      <c r="Z48" s="91" t="str">
        <f>VLOOKUP(AE48,State!S$3:CK$53,63,0)</f>
        <v>Alabama</v>
      </c>
      <c r="AA48" s="65">
        <f>VLOOKUP(Z48,State!$A$3:$B$54,2,0)</f>
        <v>9</v>
      </c>
      <c r="AB48" s="66">
        <f>VLOOKUP(Z48,State!$A$3:$C$54,3,0)</f>
        <v>2123372</v>
      </c>
      <c r="AC48" s="90" t="str">
        <f>IF(VLOOKUP(Z48,State!$A$3:$I$54,9,0)=1,"•","")</f>
        <v/>
      </c>
      <c r="AD48" s="66">
        <f>VLOOKUP(Z48,State!$A$3:$R$54,18,0)</f>
        <v>44467</v>
      </c>
      <c r="AE48" s="92">
        <f>LARGE(State!S$3:S$53,47)</f>
        <v>2.0941690857748902E-2</v>
      </c>
    </row>
    <row r="49" spans="1:31">
      <c r="A49" s="65">
        <v>48</v>
      </c>
      <c r="B49" s="91" t="str">
        <f>VLOOKUP(G49,State!M$3:CC$53,69,0)</f>
        <v>North Dakota</v>
      </c>
      <c r="C49" s="65">
        <f>VLOOKUP(B49,State!$A$3:$B$54,2,0)</f>
        <v>3</v>
      </c>
      <c r="D49" s="66">
        <f>VLOOKUP(B49,State!$A$3:$C$54,3,0)</f>
        <v>344360</v>
      </c>
      <c r="E49" s="90" t="str">
        <f>IF(VLOOKUP(B49,State!$A$3:$G$54,7,0)=1,"•","")</f>
        <v/>
      </c>
      <c r="F49" s="66">
        <f>VLOOKUP(B49,State!$A$3:$L$54,12,0)</f>
        <v>93758</v>
      </c>
      <c r="G49" s="92">
        <f>LARGE(State!M$3:M$53,48)</f>
        <v>0.27226739458706006</v>
      </c>
      <c r="I49" s="65">
        <v>48</v>
      </c>
      <c r="J49" s="91" t="str">
        <f>VLOOKUP(O49,State!O$3:CC$53,67,0)</f>
        <v>California</v>
      </c>
      <c r="K49" s="65">
        <f>VLOOKUP(J49,State!$A$3:$B$54,2,0)</f>
        <v>55</v>
      </c>
      <c r="L49" s="66">
        <f>VLOOKUP(J49,State!$A$3:$C$54,3,0)</f>
        <v>14237893</v>
      </c>
      <c r="M49" s="90" t="str">
        <f>IF(VLOOKUP(J49,State!$A$3:$H$54,8,0)=1,"•","")</f>
        <v/>
      </c>
      <c r="N49" s="66">
        <f>VLOOKUP(J49,State!$A$3:$N$54,14,0)</f>
        <v>4483814</v>
      </c>
      <c r="O49" s="92">
        <f>LARGE(State!O$3:O$53,48)</f>
        <v>0.31492117548572673</v>
      </c>
      <c r="P49" s="92"/>
      <c r="Q49" s="65">
        <v>48</v>
      </c>
      <c r="R49" s="91" t="str">
        <f>VLOOKUP(W49,State!Q$3:CC$53,65,0)</f>
        <v>Alabama</v>
      </c>
      <c r="S49" s="65">
        <f>VLOOKUP(R49,State!$A$3:$B$54,2,0)</f>
        <v>9</v>
      </c>
      <c r="T49" s="66">
        <f>VLOOKUP(R49,State!$A$3:$C$54,3,0)</f>
        <v>2123372</v>
      </c>
      <c r="U49" s="90" t="str">
        <f>IF(VLOOKUP(R49,State!$A$3:$I$54,9,0)=1,"•","")</f>
        <v/>
      </c>
      <c r="V49" s="66">
        <f>VLOOKUP(R49,State!$A$3:$P$54,16,0)</f>
        <v>0</v>
      </c>
      <c r="W49" s="92">
        <f>LARGE(State!Q$3:Q$53,48)</f>
        <v>0</v>
      </c>
      <c r="Y49" s="65">
        <v>48</v>
      </c>
      <c r="Z49" s="91" t="str">
        <f>VLOOKUP(AE49,State!S$3:CK$53,63,0)</f>
        <v>Louisiana</v>
      </c>
      <c r="AA49" s="65">
        <f>VLOOKUP(Z49,State!$A$3:$B$54,2,0)</f>
        <v>8</v>
      </c>
      <c r="AB49" s="66">
        <f>VLOOKUP(Z49,State!$A$3:$C$54,3,0)</f>
        <v>2029032</v>
      </c>
      <c r="AC49" s="90" t="str">
        <f>IF(VLOOKUP(Z49,State!$A$3:$I$54,9,0)=1,"•","")</f>
        <v/>
      </c>
      <c r="AD49" s="66">
        <f>VLOOKUP(Z49,State!$A$3:$R$54,18,0)</f>
        <v>37978</v>
      </c>
      <c r="AE49" s="92">
        <f>LARGE(State!S$3:S$53,48)</f>
        <v>1.8717299677875953E-2</v>
      </c>
    </row>
    <row r="50" spans="1:31">
      <c r="A50" s="65">
        <v>49</v>
      </c>
      <c r="B50" s="91" t="str">
        <f>VLOOKUP(G50,State!M$3:CC$53,69,0)</f>
        <v>Utah</v>
      </c>
      <c r="C50" s="65">
        <f>VLOOKUP(B50,State!$A$3:$B$54,2,0)</f>
        <v>6</v>
      </c>
      <c r="D50" s="66">
        <f>VLOOKUP(B50,State!$A$3:$C$54,3,0)</f>
        <v>1143601</v>
      </c>
      <c r="E50" s="90" t="str">
        <f>IF(VLOOKUP(B50,State!$A$3:$G$54,7,0)=1,"•","")</f>
        <v/>
      </c>
      <c r="F50" s="66">
        <f>VLOOKUP(B50,State!$A$3:$L$54,12,0)</f>
        <v>310676</v>
      </c>
      <c r="G50" s="92">
        <f>LARGE(State!M$3:M$53,49)</f>
        <v>0.27166468025124146</v>
      </c>
      <c r="I50" s="65">
        <v>49</v>
      </c>
      <c r="J50" s="91" t="str">
        <f>VLOOKUP(O50,State!O$3:CC$53,67,0)</f>
        <v>Vermont</v>
      </c>
      <c r="K50" s="65">
        <f>VLOOKUP(J50,State!$A$3:$B$54,2,0)</f>
        <v>3</v>
      </c>
      <c r="L50" s="66">
        <f>VLOOKUP(J50,State!$A$3:$C$54,3,0)</f>
        <v>315067</v>
      </c>
      <c r="M50" s="90" t="str">
        <f>IF(VLOOKUP(J50,State!$A$3:$H$54,8,0)=1,"•","")</f>
        <v/>
      </c>
      <c r="N50" s="66">
        <f>VLOOKUP(J50,State!$A$3:$N$54,14,0)</f>
        <v>95369</v>
      </c>
      <c r="O50" s="92">
        <f>LARGE(State!O$3:O$53,49)</f>
        <v>0.30269434755147318</v>
      </c>
      <c r="P50" s="92"/>
      <c r="Q50" s="65">
        <v>49</v>
      </c>
      <c r="R50" s="91" t="str">
        <f>VLOOKUP(W50,State!Q$3:CC$53,65,0)</f>
        <v>Alabama</v>
      </c>
      <c r="S50" s="65">
        <f>VLOOKUP(R50,State!$A$3:$B$54,2,0)</f>
        <v>9</v>
      </c>
      <c r="T50" s="66">
        <f>VLOOKUP(R50,State!$A$3:$C$54,3,0)</f>
        <v>2123372</v>
      </c>
      <c r="U50" s="90" t="str">
        <f>IF(VLOOKUP(R50,State!$A$3:$I$54,9,0)=1,"•","")</f>
        <v/>
      </c>
      <c r="V50" s="66">
        <f>VLOOKUP(R50,State!$A$3:$P$54,16,0)</f>
        <v>0</v>
      </c>
      <c r="W50" s="92">
        <f>LARGE(State!Q$3:Q$53,49)</f>
        <v>0</v>
      </c>
      <c r="Y50" s="65">
        <v>49</v>
      </c>
      <c r="Z50" s="91" t="str">
        <f>VLOOKUP(AE50,State!S$3:CK$53,63,0)</f>
        <v>New Jersey</v>
      </c>
      <c r="AA50" s="65">
        <f>VLOOKUP(Z50,State!$A$3:$B$54,2,0)</f>
        <v>14</v>
      </c>
      <c r="AB50" s="66">
        <f>VLOOKUP(Z50,State!$A$3:$C$54,3,0)</f>
        <v>3906723</v>
      </c>
      <c r="AC50" s="90" t="str">
        <f>IF(VLOOKUP(Z50,State!$A$3:$I$54,9,0)=1,"•","")</f>
        <v/>
      </c>
      <c r="AD50" s="66">
        <f>VLOOKUP(Z50,State!$A$3:$R$54,18,0)</f>
        <v>72477</v>
      </c>
      <c r="AE50" s="92">
        <f>LARGE(State!S$3:S$53,49)</f>
        <v>1.8551865591699232E-2</v>
      </c>
    </row>
    <row r="51" spans="1:31">
      <c r="A51" s="65">
        <v>50</v>
      </c>
      <c r="B51" s="91" t="str">
        <f>VLOOKUP(G51,State!M$3:CC$53,69,0)</f>
        <v>West Virginia</v>
      </c>
      <c r="C51" s="65">
        <f>VLOOKUP(B51,State!$A$3:$B$54,2,0)</f>
        <v>5</v>
      </c>
      <c r="D51" s="66">
        <f>VLOOKUP(B51,State!$A$3:$C$54,3,0)</f>
        <v>721233</v>
      </c>
      <c r="E51" s="90" t="str">
        <f>IF(VLOOKUP(B51,State!$A$3:$G$54,7,0)=1,"•","")</f>
        <v/>
      </c>
      <c r="F51" s="66">
        <f>VLOOKUP(B51,State!$A$3:$L$54,12,0)</f>
        <v>188794</v>
      </c>
      <c r="G51" s="92">
        <f>LARGE(State!M$3:M$53,50)</f>
        <v>0.26176561527273434</v>
      </c>
      <c r="I51" s="65">
        <v>50</v>
      </c>
      <c r="J51" s="91" t="str">
        <f>VLOOKUP(O51,State!O$3:CC$53,67,0)</f>
        <v>Hawaii</v>
      </c>
      <c r="K51" s="65">
        <f>VLOOKUP(J51,State!$A$3:$B$54,2,0)</f>
        <v>4</v>
      </c>
      <c r="L51" s="66">
        <f>VLOOKUP(J51,State!$A$3:$C$54,3,0)</f>
        <v>428937</v>
      </c>
      <c r="M51" s="90" t="str">
        <f>IF(VLOOKUP(J51,State!$A$3:$H$54,8,0)=1,"•","")</f>
        <v/>
      </c>
      <c r="N51" s="66">
        <f>VLOOKUP(J51,State!$A$3:$N$54,14,0)</f>
        <v>128847</v>
      </c>
      <c r="O51" s="92">
        <f>LARGE(State!O$3:O$53,50)</f>
        <v>0.30038677008511738</v>
      </c>
      <c r="P51" s="92"/>
      <c r="Q51" s="65">
        <v>50</v>
      </c>
      <c r="R51" s="91" t="str">
        <f>VLOOKUP(W51,State!Q$3:CC$53,65,0)</f>
        <v>Alabama</v>
      </c>
      <c r="S51" s="65">
        <f>VLOOKUP(R51,State!$A$3:$B$54,2,0)</f>
        <v>9</v>
      </c>
      <c r="T51" s="66">
        <f>VLOOKUP(R51,State!$A$3:$C$54,3,0)</f>
        <v>2123372</v>
      </c>
      <c r="U51" s="90" t="str">
        <f>IF(VLOOKUP(R51,State!$A$3:$I$54,9,0)=1,"•","")</f>
        <v/>
      </c>
      <c r="V51" s="66">
        <f>VLOOKUP(R51,State!$A$3:$P$54,16,0)</f>
        <v>0</v>
      </c>
      <c r="W51" s="92">
        <f>LARGE(State!Q$3:Q$53,50)</f>
        <v>0</v>
      </c>
      <c r="Y51" s="65">
        <v>50</v>
      </c>
      <c r="Z51" s="91" t="str">
        <f>VLOOKUP(AE51,State!S$3:CK$53,63,0)</f>
        <v>District of Columbia</v>
      </c>
      <c r="AA51" s="65">
        <f>VLOOKUP(Z51,State!$A$3:$B$54,2,0)</f>
        <v>3</v>
      </c>
      <c r="AB51" s="66">
        <f>VLOOKUP(Z51,State!$A$3:$C$54,3,0)</f>
        <v>311268</v>
      </c>
      <c r="AC51" s="90" t="str">
        <f>IF(VLOOKUP(Z51,State!$A$3:$I$54,9,0)=1,"•","")</f>
        <v/>
      </c>
      <c r="AD51" s="66">
        <f>VLOOKUP(Z51,State!$A$3:$R$54,18,0)</f>
        <v>4906</v>
      </c>
      <c r="AE51" s="92">
        <f>LARGE(State!S$3:S$53,50)</f>
        <v>1.5761337496947969E-2</v>
      </c>
    </row>
    <row r="52" spans="1:31">
      <c r="A52" s="65">
        <v>51</v>
      </c>
      <c r="B52" s="91" t="str">
        <f>VLOOKUP(G52,State!M$3:CC$53,69,0)</f>
        <v>Wyoming</v>
      </c>
      <c r="C52" s="65">
        <f>VLOOKUP(B52,State!$A$3:$B$54,2,0)</f>
        <v>3</v>
      </c>
      <c r="D52" s="66">
        <f>VLOOKUP(B52,State!$A$3:$C$54,3,0)</f>
        <v>255849</v>
      </c>
      <c r="E52" s="90" t="str">
        <f>IF(VLOOKUP(B52,State!$A$3:$G$54,7,0)=1,"•","")</f>
        <v/>
      </c>
      <c r="F52" s="66">
        <f>VLOOKUP(B52,State!$A$3:$L$54,12,0)</f>
        <v>55973</v>
      </c>
      <c r="G52" s="92">
        <f>LARGE(State!M$3:M$53,51)</f>
        <v>0.21877357347497939</v>
      </c>
      <c r="I52" s="65">
        <v>51</v>
      </c>
      <c r="J52" s="91" t="str">
        <f>VLOOKUP(O52,State!O$3:CC$53,67,0)</f>
        <v>District of Columbia</v>
      </c>
      <c r="K52" s="65">
        <f>VLOOKUP(J52,State!$A$3:$B$54,2,0)</f>
        <v>3</v>
      </c>
      <c r="L52" s="66">
        <f>VLOOKUP(J52,State!$A$3:$C$54,3,0)</f>
        <v>311268</v>
      </c>
      <c r="M52" s="90" t="str">
        <f>IF(VLOOKUP(J52,State!$A$3:$H$54,8,0)=1,"•","")</f>
        <v/>
      </c>
      <c r="N52" s="66">
        <f>VLOOKUP(J52,State!$A$3:$N$54,14,0)</f>
        <v>12723</v>
      </c>
      <c r="O52" s="92">
        <f>LARGE(State!O$3:O$53,51)</f>
        <v>4.0874744593083774E-2</v>
      </c>
      <c r="P52" s="92"/>
      <c r="Q52" s="65">
        <v>51</v>
      </c>
      <c r="R52" s="91" t="str">
        <f>VLOOKUP(W52,State!Q$3:CC$53,65,0)</f>
        <v>Alabama</v>
      </c>
      <c r="S52" s="65">
        <f>VLOOKUP(R52,State!$A$3:$B$54,2,0)</f>
        <v>9</v>
      </c>
      <c r="T52" s="66">
        <f>VLOOKUP(R52,State!$A$3:$C$54,3,0)</f>
        <v>2123372</v>
      </c>
      <c r="U52" s="90" t="str">
        <f>IF(VLOOKUP(R52,State!$A$3:$I$54,9,0)=1,"•","")</f>
        <v/>
      </c>
      <c r="V52" s="66">
        <f>VLOOKUP(R52,State!$A$3:$P$54,16,0)</f>
        <v>0</v>
      </c>
      <c r="W52" s="92">
        <f>LARGE(State!Q$3:Q$53,51)</f>
        <v>0</v>
      </c>
      <c r="Y52" s="65">
        <v>51</v>
      </c>
      <c r="Z52" s="91" t="str">
        <f>VLOOKUP(AE52,State!S$3:CK$53,63,0)</f>
        <v>Mississippi</v>
      </c>
      <c r="AA52" s="65">
        <f>VLOOKUP(Z52,State!$A$3:$B$54,2,0)</f>
        <v>6</v>
      </c>
      <c r="AB52" s="66">
        <f>VLOOKUP(Z52,State!$A$3:$C$54,3,0)</f>
        <v>1211088</v>
      </c>
      <c r="AC52" s="90" t="str">
        <f>IF(VLOOKUP(Z52,State!$A$3:$I$54,9,0)=1,"•","")</f>
        <v/>
      </c>
      <c r="AD52" s="66">
        <f>VLOOKUP(Z52,State!$A$3:$R$54,18,0)</f>
        <v>14435</v>
      </c>
      <c r="AE52" s="92">
        <f>LARGE(State!S$3:S$53,51)</f>
        <v>1.1919034785250948E-2</v>
      </c>
    </row>
    <row r="53" spans="1:31">
      <c r="B53" s="91" t="s">
        <v>325</v>
      </c>
      <c r="C53" s="65">
        <f>VLOOKUP(B53,State!$A$3:$B$54,2,0)</f>
        <v>538</v>
      </c>
      <c r="D53" s="66">
        <f>VLOOKUP(B53,State!$A$3:$C$54,3,0)</f>
        <v>137125484</v>
      </c>
      <c r="E53" s="90" t="str">
        <f>IF(VLOOKUP(B53,State!$A$3:$G$54,7,0)=1,"•","")</f>
        <v>•</v>
      </c>
      <c r="F53" s="66">
        <f>VLOOKUP(B53,State!$A$3:$L$54,12,0)</f>
        <v>65853652</v>
      </c>
      <c r="G53" s="92">
        <f>State!M54</f>
        <v>0.48024371604041155</v>
      </c>
      <c r="J53" s="91" t="s">
        <v>325</v>
      </c>
      <c r="K53" s="65">
        <f>VLOOKUP(J53,State!$A$3:$B$54,2,0)</f>
        <v>538</v>
      </c>
      <c r="L53" s="66">
        <f>VLOOKUP(J53,State!$A$3:$C$54,3,0)</f>
        <v>137125484</v>
      </c>
      <c r="M53" s="90" t="str">
        <f>IF(VLOOKUP(J53,State!$A$3:$H$54,8,0)=1,"•","")</f>
        <v/>
      </c>
      <c r="N53" s="66">
        <f>VLOOKUP(J53,State!$A$3:$N$54,14,0)</f>
        <v>62985134</v>
      </c>
      <c r="O53" s="92">
        <f>State!O54</f>
        <v>0.45932478896482876</v>
      </c>
      <c r="P53" s="92"/>
      <c r="R53" s="91" t="s">
        <v>325</v>
      </c>
      <c r="S53" s="65">
        <f>VLOOKUP(R53,State!$A$3:$B$54,2,0)</f>
        <v>538</v>
      </c>
      <c r="T53" s="66">
        <f>VLOOKUP(R53,State!$A$3:$C$54,3,0)</f>
        <v>137125484</v>
      </c>
      <c r="U53" s="90" t="str">
        <f>IF(VLOOKUP(R53,State!$A$3:$I$54,9,0)=1,"•","")</f>
        <v/>
      </c>
      <c r="V53" s="66">
        <f>VLOOKUP(R53,State!$A$3:$P$54,16,0)</f>
        <v>732273</v>
      </c>
      <c r="W53" s="92">
        <f>State!Q54</f>
        <v>5.3401671129197255E-3</v>
      </c>
      <c r="Z53" s="91" t="s">
        <v>325</v>
      </c>
      <c r="AA53" s="65">
        <f>VLOOKUP(Z53,State!$A$3:$B$54,2,0)</f>
        <v>538</v>
      </c>
      <c r="AB53" s="66">
        <f>VLOOKUP(Z53,State!$A$3:$C$54,3,0)</f>
        <v>137125484</v>
      </c>
      <c r="AC53" s="90" t="str">
        <f>IF(VLOOKUP(Z53,State!$A$3:$I$54,9,0)=1,"•","")</f>
        <v/>
      </c>
      <c r="AD53" s="66">
        <f>VLOOKUP(Z53,State!$A$3:$P$54,16,0)</f>
        <v>732273</v>
      </c>
      <c r="AE53" s="92">
        <f>State!S54</f>
        <v>3.2738152450203929E-2</v>
      </c>
    </row>
    <row r="54" spans="1:31">
      <c r="F54" s="91"/>
    </row>
    <row r="55" spans="1:31">
      <c r="O55" s="66"/>
      <c r="P55" s="66"/>
      <c r="R55" s="66"/>
      <c r="S55" s="66"/>
      <c r="V55" s="66"/>
      <c r="W55" s="66"/>
      <c r="Z55" s="66"/>
      <c r="AA55" s="66"/>
      <c r="AD55" s="66"/>
      <c r="AE55" s="66"/>
    </row>
    <row r="56" spans="1:31">
      <c r="O56" s="95"/>
    </row>
    <row r="58" spans="1:31">
      <c r="V58" s="66"/>
      <c r="AD58" s="66"/>
    </row>
    <row r="1827" spans="17:25">
      <c r="Q1827" s="65">
        <v>1155</v>
      </c>
      <c r="Y1827" s="65">
        <v>1155</v>
      </c>
    </row>
    <row r="2928" spans="74:77">
      <c r="BV2928" s="65" t="e">
        <f>IF($BH2928&lt;&gt;"","",SUMIF(#REF!,$BL2928,#REF!)-N2928)</f>
        <v>#REF!</v>
      </c>
      <c r="BW2928" s="65" t="e">
        <f>IF($BH2928&lt;&gt;"","",SUMIF(#REF!,$BL2928,#REF!)-O2928)</f>
        <v>#REF!</v>
      </c>
      <c r="BX2928" s="65" t="e">
        <f>IF($BH2928&lt;&gt;"","",SUMIF(#REF!,$BL2928,#REF!)-P2928)</f>
        <v>#REF!</v>
      </c>
      <c r="BY2928" s="65" t="e">
        <f>IF($BH2928&lt;&gt;"","",SUMIF(#REF!,$BL2928,#REF!)-Q2928)</f>
        <v>#REF!</v>
      </c>
    </row>
    <row r="2929" spans="74:77">
      <c r="BV2929" s="65" t="e">
        <f>IF($BH2929&lt;&gt;"","",SUMIF(#REF!,$BL2929,#REF!)-N2929)</f>
        <v>#REF!</v>
      </c>
      <c r="BW2929" s="65" t="e">
        <f>IF($BH2929&lt;&gt;"","",SUMIF(#REF!,$BL2929,#REF!)-O2929)</f>
        <v>#REF!</v>
      </c>
      <c r="BX2929" s="65" t="e">
        <f>IF($BH2929&lt;&gt;"","",SUMIF(#REF!,$BL2929,#REF!)-P2929)</f>
        <v>#REF!</v>
      </c>
      <c r="BY2929" s="65" t="e">
        <f>IF($BH2929&lt;&gt;"","",SUMIF(#REF!,$BL2929,#REF!)-Q2929)</f>
        <v>#REF!</v>
      </c>
    </row>
    <row r="2930" spans="74:77">
      <c r="BV2930" s="65" t="e">
        <f>IF($BH2930&lt;&gt;"","",SUMIF(#REF!,$BL2930,#REF!)-N2930)</f>
        <v>#REF!</v>
      </c>
      <c r="BW2930" s="65" t="e">
        <f>IF($BH2930&lt;&gt;"","",SUMIF(#REF!,$BL2930,#REF!)-O2930)</f>
        <v>#REF!</v>
      </c>
      <c r="BX2930" s="65" t="e">
        <f>IF($BH2930&lt;&gt;"","",SUMIF(#REF!,$BL2930,#REF!)-P2930)</f>
        <v>#REF!</v>
      </c>
      <c r="BY2930" s="65" t="e">
        <f>IF($BH2930&lt;&gt;"","",SUMIF(#REF!,$BL2930,#REF!)-Q2930)</f>
        <v>#REF!</v>
      </c>
    </row>
    <row r="2931" spans="74:77">
      <c r="BV2931" s="65" t="e">
        <f>IF($BH2931&lt;&gt;"","",SUMIF(#REF!,$BL2931,#REF!)-N2931)</f>
        <v>#REF!</v>
      </c>
      <c r="BW2931" s="65" t="e">
        <f>IF($BH2931&lt;&gt;"","",SUMIF(#REF!,$BL2931,#REF!)-O2931)</f>
        <v>#REF!</v>
      </c>
      <c r="BX2931" s="65" t="e">
        <f>IF($BH2931&lt;&gt;"","",SUMIF(#REF!,$BL2931,#REF!)-P2931)</f>
        <v>#REF!</v>
      </c>
      <c r="BY2931" s="65" t="e">
        <f>IF($BH2931&lt;&gt;"","",SUMIF(#REF!,$BL2931,#REF!)-Q2931)</f>
        <v>#REF!</v>
      </c>
    </row>
    <row r="2932" spans="74:77">
      <c r="BV2932" s="65" t="e">
        <f>IF($BH2932&lt;&gt;"","",SUMIF(#REF!,$BL2932,#REF!)-N2932)</f>
        <v>#REF!</v>
      </c>
      <c r="BW2932" s="65" t="e">
        <f>IF($BH2932&lt;&gt;"","",SUMIF(#REF!,$BL2932,#REF!)-O2932)</f>
        <v>#REF!</v>
      </c>
      <c r="BX2932" s="65" t="e">
        <f>IF($BH2932&lt;&gt;"","",SUMIF(#REF!,$BL2932,#REF!)-P2932)</f>
        <v>#REF!</v>
      </c>
      <c r="BY2932" s="65" t="e">
        <f>IF($BH2932&lt;&gt;"","",SUMIF(#REF!,$BL2932,#REF!)-Q2932)</f>
        <v>#REF!</v>
      </c>
    </row>
    <row r="2933" spans="74:77">
      <c r="BV2933" s="65" t="e">
        <f>IF($BH2933&lt;&gt;"","",SUMIF(#REF!,$BL2933,#REF!)-N2933)</f>
        <v>#REF!</v>
      </c>
      <c r="BW2933" s="65" t="e">
        <f>IF($BH2933&lt;&gt;"","",SUMIF(#REF!,$BL2933,#REF!)-O2933)</f>
        <v>#REF!</v>
      </c>
      <c r="BX2933" s="65" t="e">
        <f>IF($BH2933&lt;&gt;"","",SUMIF(#REF!,$BL2933,#REF!)-P2933)</f>
        <v>#REF!</v>
      </c>
      <c r="BY2933" s="65" t="e">
        <f>IF($BH2933&lt;&gt;"","",SUMIF(#REF!,$BL2933,#REF!)-Q2933)</f>
        <v>#REF!</v>
      </c>
    </row>
    <row r="2934" spans="74:77">
      <c r="BV2934" s="65" t="e">
        <f>IF($BH2934&lt;&gt;"","",SUMIF(#REF!,$BL2934,#REF!)-N2934)</f>
        <v>#REF!</v>
      </c>
      <c r="BW2934" s="65" t="e">
        <f>IF($BH2934&lt;&gt;"","",SUMIF(#REF!,$BL2934,#REF!)-O2934)</f>
        <v>#REF!</v>
      </c>
      <c r="BX2934" s="65" t="e">
        <f>IF($BH2934&lt;&gt;"","",SUMIF(#REF!,$BL2934,#REF!)-P2934)</f>
        <v>#REF!</v>
      </c>
      <c r="BY2934" s="65" t="e">
        <f>IF($BH2934&lt;&gt;"","",SUMIF(#REF!,$BL2934,#REF!)-Q2934)</f>
        <v>#REF!</v>
      </c>
    </row>
    <row r="2935" spans="74:77">
      <c r="BV2935" s="65" t="e">
        <f>IF($BH2935&lt;&gt;"","",SUMIF(#REF!,$BL2935,#REF!)-N2935)</f>
        <v>#REF!</v>
      </c>
      <c r="BW2935" s="65" t="e">
        <f>IF($BH2935&lt;&gt;"","",SUMIF(#REF!,$BL2935,#REF!)-O2935)</f>
        <v>#REF!</v>
      </c>
      <c r="BX2935" s="65" t="e">
        <f>IF($BH2935&lt;&gt;"","",SUMIF(#REF!,$BL2935,#REF!)-P2935)</f>
        <v>#REF!</v>
      </c>
      <c r="BY2935" s="65" t="e">
        <f>IF($BH2935&lt;&gt;"","",SUMIF(#REF!,$BL2935,#REF!)-Q2935)</f>
        <v>#REF!</v>
      </c>
    </row>
    <row r="2936" spans="74:77">
      <c r="BV2936" s="65" t="e">
        <f>IF($BH2936&lt;&gt;"","",SUMIF(#REF!,$BL2936,#REF!)-N2936)</f>
        <v>#REF!</v>
      </c>
      <c r="BW2936" s="65" t="e">
        <f>IF($BH2936&lt;&gt;"","",SUMIF(#REF!,$BL2936,#REF!)-O2936)</f>
        <v>#REF!</v>
      </c>
      <c r="BX2936" s="65" t="e">
        <f>IF($BH2936&lt;&gt;"","",SUMIF(#REF!,$BL2936,#REF!)-P2936)</f>
        <v>#REF!</v>
      </c>
      <c r="BY2936" s="65" t="e">
        <f>IF($BH2936&lt;&gt;"","",SUMIF(#REF!,$BL2936,#REF!)-Q2936)</f>
        <v>#REF!</v>
      </c>
    </row>
    <row r="2937" spans="74:77">
      <c r="BV2937" s="65" t="e">
        <f>IF($BH2937&lt;&gt;"","",SUMIF(#REF!,$BL2937,#REF!)-N2937)</f>
        <v>#REF!</v>
      </c>
      <c r="BW2937" s="65" t="e">
        <f>IF($BH2937&lt;&gt;"","",SUMIF(#REF!,$BL2937,#REF!)-O2937)</f>
        <v>#REF!</v>
      </c>
      <c r="BX2937" s="65" t="e">
        <f>IF($BH2937&lt;&gt;"","",SUMIF(#REF!,$BL2937,#REF!)-P2937)</f>
        <v>#REF!</v>
      </c>
      <c r="BY2937" s="65" t="e">
        <f>IF($BH2937&lt;&gt;"","",SUMIF(#REF!,$BL2937,#REF!)-Q2937)</f>
        <v>#REF!</v>
      </c>
    </row>
    <row r="2938" spans="74:77">
      <c r="BV2938" s="65" t="e">
        <f>IF($BH2938&lt;&gt;"","",SUMIF(#REF!,$BL2938,#REF!)-N2938)</f>
        <v>#REF!</v>
      </c>
      <c r="BW2938" s="65" t="e">
        <f>IF($BH2938&lt;&gt;"","",SUMIF(#REF!,$BL2938,#REF!)-O2938)</f>
        <v>#REF!</v>
      </c>
      <c r="BX2938" s="65" t="e">
        <f>IF($BH2938&lt;&gt;"","",SUMIF(#REF!,$BL2938,#REF!)-P2938)</f>
        <v>#REF!</v>
      </c>
      <c r="BY2938" s="65" t="e">
        <f>IF($BH2938&lt;&gt;"","",SUMIF(#REF!,$BL2938,#REF!)-Q2938)</f>
        <v>#REF!</v>
      </c>
    </row>
    <row r="2939" spans="74:77">
      <c r="BV2939" s="65" t="e">
        <f>IF($BH2939&lt;&gt;"","",SUMIF(#REF!,$BL2939,#REF!)-N2939)</f>
        <v>#REF!</v>
      </c>
      <c r="BW2939" s="65" t="e">
        <f>IF($BH2939&lt;&gt;"","",SUMIF(#REF!,$BL2939,#REF!)-O2939)</f>
        <v>#REF!</v>
      </c>
      <c r="BX2939" s="65" t="e">
        <f>IF($BH2939&lt;&gt;"","",SUMIF(#REF!,$BL2939,#REF!)-P2939)</f>
        <v>#REF!</v>
      </c>
      <c r="BY2939" s="65" t="e">
        <f>IF($BH2939&lt;&gt;"","",SUMIF(#REF!,$BL2939,#REF!)-Q2939)</f>
        <v>#REF!</v>
      </c>
    </row>
    <row r="2940" spans="74:77">
      <c r="BV2940" s="65" t="e">
        <f>IF($BH2940&lt;&gt;"","",SUMIF(#REF!,$BL2940,#REF!)-N2940)</f>
        <v>#REF!</v>
      </c>
      <c r="BW2940" s="65" t="e">
        <f>IF($BH2940&lt;&gt;"","",SUMIF(#REF!,$BL2940,#REF!)-O2940)</f>
        <v>#REF!</v>
      </c>
      <c r="BX2940" s="65" t="e">
        <f>IF($BH2940&lt;&gt;"","",SUMIF(#REF!,$BL2940,#REF!)-P2940)</f>
        <v>#REF!</v>
      </c>
      <c r="BY2940" s="65" t="e">
        <f>IF($BH2940&lt;&gt;"","",SUMIF(#REF!,$BL2940,#REF!)-Q2940)</f>
        <v>#REF!</v>
      </c>
    </row>
    <row r="2941" spans="74:77">
      <c r="BV2941" s="65" t="e">
        <f>IF($BH2941&lt;&gt;"","",SUMIF(#REF!,$BL2941,#REF!)-N2941)</f>
        <v>#REF!</v>
      </c>
      <c r="BW2941" s="65" t="e">
        <f>IF($BH2941&lt;&gt;"","",SUMIF(#REF!,$BL2941,#REF!)-O2941)</f>
        <v>#REF!</v>
      </c>
      <c r="BX2941" s="65" t="e">
        <f>IF($BH2941&lt;&gt;"","",SUMIF(#REF!,$BL2941,#REF!)-P2941)</f>
        <v>#REF!</v>
      </c>
      <c r="BY2941" s="65" t="e">
        <f>IF($BH2941&lt;&gt;"","",SUMIF(#REF!,$BL2941,#REF!)-Q2941)</f>
        <v>#REF!</v>
      </c>
    </row>
    <row r="2942" spans="74:77">
      <c r="BV2942" s="65" t="e">
        <f>IF($BH2942&lt;&gt;"","",SUMIF(#REF!,$BL2942,#REF!)-N2942)</f>
        <v>#REF!</v>
      </c>
      <c r="BW2942" s="65" t="e">
        <f>IF($BH2942&lt;&gt;"","",SUMIF(#REF!,$BL2942,#REF!)-O2942)</f>
        <v>#REF!</v>
      </c>
      <c r="BX2942" s="65" t="e">
        <f>IF($BH2942&lt;&gt;"","",SUMIF(#REF!,$BL2942,#REF!)-P2942)</f>
        <v>#REF!</v>
      </c>
      <c r="BY2942" s="65" t="e">
        <f>IF($BH2942&lt;&gt;"","",SUMIF(#REF!,$BL2942,#REF!)-Q2942)</f>
        <v>#REF!</v>
      </c>
    </row>
    <row r="2943" spans="74:77">
      <c r="BV2943" s="65" t="e">
        <f>IF($BH2943&lt;&gt;"","",SUMIF(#REF!,$BL2943,#REF!)-N2943)</f>
        <v>#REF!</v>
      </c>
      <c r="BW2943" s="65" t="e">
        <f>IF($BH2943&lt;&gt;"","",SUMIF(#REF!,$BL2943,#REF!)-O2943)</f>
        <v>#REF!</v>
      </c>
      <c r="BX2943" s="65" t="e">
        <f>IF($BH2943&lt;&gt;"","",SUMIF(#REF!,$BL2943,#REF!)-P2943)</f>
        <v>#REF!</v>
      </c>
      <c r="BY2943" s="65" t="e">
        <f>IF($BH2943&lt;&gt;"","",SUMIF(#REF!,$BL2943,#REF!)-Q2943)</f>
        <v>#REF!</v>
      </c>
    </row>
    <row r="2944" spans="74:77">
      <c r="BV2944" s="65" t="e">
        <f>IF($BH2944&lt;&gt;"","",SUMIF(#REF!,$BL2944,#REF!)-N2944)</f>
        <v>#REF!</v>
      </c>
      <c r="BW2944" s="65" t="e">
        <f>IF($BH2944&lt;&gt;"","",SUMIF(#REF!,$BL2944,#REF!)-O2944)</f>
        <v>#REF!</v>
      </c>
      <c r="BX2944" s="65" t="e">
        <f>IF($BH2944&lt;&gt;"","",SUMIF(#REF!,$BL2944,#REF!)-P2944)</f>
        <v>#REF!</v>
      </c>
      <c r="BY2944" s="65" t="e">
        <f>IF($BH2944&lt;&gt;"","",SUMIF(#REF!,$BL2944,#REF!)-Q2944)</f>
        <v>#REF!</v>
      </c>
    </row>
    <row r="2945" spans="60:77">
      <c r="BV2945" s="65" t="e">
        <f>IF($BH2945&lt;&gt;"","",SUMIF(#REF!,$BL2945,#REF!)-N2945)</f>
        <v>#REF!</v>
      </c>
      <c r="BW2945" s="65" t="e">
        <f>IF($BH2945&lt;&gt;"","",SUMIF(#REF!,$BL2945,#REF!)-O2945)</f>
        <v>#REF!</v>
      </c>
      <c r="BX2945" s="65" t="e">
        <f>IF($BH2945&lt;&gt;"","",SUMIF(#REF!,$BL2945,#REF!)-P2945)</f>
        <v>#REF!</v>
      </c>
      <c r="BY2945" s="65" t="e">
        <f>IF($BH2945&lt;&gt;"","",SUMIF(#REF!,$BL2945,#REF!)-Q2945)</f>
        <v>#REF!</v>
      </c>
    </row>
    <row r="2946" spans="60:77">
      <c r="BH2946" s="65">
        <v>4</v>
      </c>
      <c r="BV2946" s="65" t="str">
        <f>IF($BH2946&lt;&gt;"","",SUMIF(#REF!,$BL2946,#REF!)-N2946)</f>
        <v/>
      </c>
      <c r="BW2946" s="65" t="str">
        <f>IF($BH2946&lt;&gt;"","",SUMIF(#REF!,$BL2946,#REF!)-O2946)</f>
        <v/>
      </c>
      <c r="BX2946" s="65" t="str">
        <f>IF($BH2946&lt;&gt;"","",SUMIF(#REF!,$BL2946,#REF!)-P2946)</f>
        <v/>
      </c>
      <c r="BY2946" s="65" t="str">
        <f>IF($BH2946&lt;&gt;"","",SUMIF(#REF!,$BL2946,#REF!)-Q2946)</f>
        <v/>
      </c>
    </row>
    <row r="2947" spans="60:77">
      <c r="BV2947" s="65" t="e">
        <f>IF($BH2947&lt;&gt;"","",SUMIF(#REF!,$BL2947,#REF!)-N2947)</f>
        <v>#REF!</v>
      </c>
      <c r="BW2947" s="65" t="e">
        <f>IF($BH2947&lt;&gt;"","",SUMIF(#REF!,$BL2947,#REF!)-O2947)</f>
        <v>#REF!</v>
      </c>
      <c r="BX2947" s="65" t="e">
        <f>IF($BH2947&lt;&gt;"","",SUMIF(#REF!,$BL2947,#REF!)-P2947)</f>
        <v>#REF!</v>
      </c>
      <c r="BY2947" s="65" t="e">
        <f>IF($BH2947&lt;&gt;"","",SUMIF(#REF!,$BL2947,#REF!)-Q2947)</f>
        <v>#REF!</v>
      </c>
    </row>
    <row r="2948" spans="60:77">
      <c r="BV2948" s="65" t="e">
        <f>IF($BH2948&lt;&gt;"","",SUMIF(#REF!,$BL2948,#REF!)-N2948)</f>
        <v>#REF!</v>
      </c>
      <c r="BW2948" s="65" t="e">
        <f>IF($BH2948&lt;&gt;"","",SUMIF(#REF!,$BL2948,#REF!)-O2948)</f>
        <v>#REF!</v>
      </c>
      <c r="BX2948" s="65" t="e">
        <f>IF($BH2948&lt;&gt;"","",SUMIF(#REF!,$BL2948,#REF!)-P2948)</f>
        <v>#REF!</v>
      </c>
      <c r="BY2948" s="65" t="e">
        <f>IF($BH2948&lt;&gt;"","",SUMIF(#REF!,$BL2948,#REF!)-Q2948)</f>
        <v>#REF!</v>
      </c>
    </row>
    <row r="2949" spans="60:77">
      <c r="BV2949" s="65" t="e">
        <f>IF($BH2949&lt;&gt;"","",SUMIF(#REF!,$BL2949,#REF!)-N2949)</f>
        <v>#REF!</v>
      </c>
      <c r="BW2949" s="65" t="e">
        <f>IF($BH2949&lt;&gt;"","",SUMIF(#REF!,$BL2949,#REF!)-O2949)</f>
        <v>#REF!</v>
      </c>
      <c r="BX2949" s="65" t="e">
        <f>IF($BH2949&lt;&gt;"","",SUMIF(#REF!,$BL2949,#REF!)-P2949)</f>
        <v>#REF!</v>
      </c>
      <c r="BY2949" s="65" t="e">
        <f>IF($BH2949&lt;&gt;"","",SUMIF(#REF!,$BL2949,#REF!)-Q2949)</f>
        <v>#REF!</v>
      </c>
    </row>
    <row r="2950" spans="60:77">
      <c r="BV2950" s="65" t="e">
        <f>IF($BH2950&lt;&gt;"","",SUMIF(#REF!,$BL2950,#REF!)-N2950)</f>
        <v>#REF!</v>
      </c>
      <c r="BW2950" s="65" t="e">
        <f>IF($BH2950&lt;&gt;"","",SUMIF(#REF!,$BL2950,#REF!)-O2950)</f>
        <v>#REF!</v>
      </c>
      <c r="BX2950" s="65" t="e">
        <f>IF($BH2950&lt;&gt;"","",SUMIF(#REF!,$BL2950,#REF!)-P2950)</f>
        <v>#REF!</v>
      </c>
      <c r="BY2950" s="65" t="e">
        <f>IF($BH2950&lt;&gt;"","",SUMIF(#REF!,$BL2950,#REF!)-Q2950)</f>
        <v>#REF!</v>
      </c>
    </row>
    <row r="2951" spans="60:77">
      <c r="BV2951" s="65" t="e">
        <f>IF($BH2951&lt;&gt;"","",SUMIF(#REF!,$BL2951,#REF!)-N2951)</f>
        <v>#REF!</v>
      </c>
      <c r="BW2951" s="65" t="e">
        <f>IF($BH2951&lt;&gt;"","",SUMIF(#REF!,$BL2951,#REF!)-O2951)</f>
        <v>#REF!</v>
      </c>
      <c r="BX2951" s="65" t="e">
        <f>IF($BH2951&lt;&gt;"","",SUMIF(#REF!,$BL2951,#REF!)-P2951)</f>
        <v>#REF!</v>
      </c>
      <c r="BY2951" s="65" t="e">
        <f>IF($BH2951&lt;&gt;"","",SUMIF(#REF!,$BL2951,#REF!)-Q2951)</f>
        <v>#REF!</v>
      </c>
    </row>
    <row r="2952" spans="60:77">
      <c r="BV2952" s="65" t="e">
        <f>IF($BH2952&lt;&gt;"","",SUMIF(#REF!,$BL2952,#REF!)-N2952)</f>
        <v>#REF!</v>
      </c>
      <c r="BW2952" s="65" t="e">
        <f>IF($BH2952&lt;&gt;"","",SUMIF(#REF!,$BL2952,#REF!)-O2952)</f>
        <v>#REF!</v>
      </c>
      <c r="BX2952" s="65" t="e">
        <f>IF($BH2952&lt;&gt;"","",SUMIF(#REF!,$BL2952,#REF!)-P2952)</f>
        <v>#REF!</v>
      </c>
      <c r="BY2952" s="65" t="e">
        <f>IF($BH2952&lt;&gt;"","",SUMIF(#REF!,$BL2952,#REF!)-Q2952)</f>
        <v>#REF!</v>
      </c>
    </row>
    <row r="2953" spans="60:77">
      <c r="BV2953" s="65" t="e">
        <f>IF($BH2953&lt;&gt;"","",SUMIF(#REF!,$BL2953,#REF!)-N2953)</f>
        <v>#REF!</v>
      </c>
      <c r="BW2953" s="65" t="e">
        <f>IF($BH2953&lt;&gt;"","",SUMIF(#REF!,$BL2953,#REF!)-O2953)</f>
        <v>#REF!</v>
      </c>
      <c r="BX2953" s="65" t="e">
        <f>IF($BH2953&lt;&gt;"","",SUMIF(#REF!,$BL2953,#REF!)-P2953)</f>
        <v>#REF!</v>
      </c>
      <c r="BY2953" s="65" t="e">
        <f>IF($BH2953&lt;&gt;"","",SUMIF(#REF!,$BL2953,#REF!)-Q2953)</f>
        <v>#REF!</v>
      </c>
    </row>
    <row r="2954" spans="60:77">
      <c r="BV2954" s="65" t="e">
        <f>IF($BH2954&lt;&gt;"","",SUMIF(#REF!,$BL2954,#REF!)-N2954)</f>
        <v>#REF!</v>
      </c>
      <c r="BW2954" s="65" t="e">
        <f>IF($BH2954&lt;&gt;"","",SUMIF(#REF!,$BL2954,#REF!)-O2954)</f>
        <v>#REF!</v>
      </c>
      <c r="BX2954" s="65" t="e">
        <f>IF($BH2954&lt;&gt;"","",SUMIF(#REF!,$BL2954,#REF!)-P2954)</f>
        <v>#REF!</v>
      </c>
      <c r="BY2954" s="65" t="e">
        <f>IF($BH2954&lt;&gt;"","",SUMIF(#REF!,$BL2954,#REF!)-Q2954)</f>
        <v>#REF!</v>
      </c>
    </row>
    <row r="2955" spans="60:77">
      <c r="BV2955" s="65" t="e">
        <f>IF($BH2955&lt;&gt;"","",SUMIF(#REF!,$BL2955,#REF!)-N2955)</f>
        <v>#REF!</v>
      </c>
      <c r="BW2955" s="65" t="e">
        <f>IF($BH2955&lt;&gt;"","",SUMIF(#REF!,$BL2955,#REF!)-O2955)</f>
        <v>#REF!</v>
      </c>
      <c r="BX2955" s="65" t="e">
        <f>IF($BH2955&lt;&gt;"","",SUMIF(#REF!,$BL2955,#REF!)-P2955)</f>
        <v>#REF!</v>
      </c>
      <c r="BY2955" s="65" t="e">
        <f>IF($BH2955&lt;&gt;"","",SUMIF(#REF!,$BL2955,#REF!)-Q2955)</f>
        <v>#REF!</v>
      </c>
    </row>
    <row r="2956" spans="60:77">
      <c r="BV2956" s="65" t="e">
        <f>IF($BH2956&lt;&gt;"","",SUMIF(#REF!,$BL2956,#REF!)-N2956)</f>
        <v>#REF!</v>
      </c>
      <c r="BW2956" s="65" t="e">
        <f>IF($BH2956&lt;&gt;"","",SUMIF(#REF!,$BL2956,#REF!)-O2956)</f>
        <v>#REF!</v>
      </c>
      <c r="BX2956" s="65" t="e">
        <f>IF($BH2956&lt;&gt;"","",SUMIF(#REF!,$BL2956,#REF!)-P2956)</f>
        <v>#REF!</v>
      </c>
      <c r="BY2956" s="65" t="e">
        <f>IF($BH2956&lt;&gt;"","",SUMIF(#REF!,$BL2956,#REF!)-Q2956)</f>
        <v>#REF!</v>
      </c>
    </row>
    <row r="2957" spans="60:77">
      <c r="BV2957" s="65" t="e">
        <f>IF($BH2957&lt;&gt;"","",SUMIF(#REF!,$BL2957,#REF!)-N2957)</f>
        <v>#REF!</v>
      </c>
      <c r="BW2957" s="65" t="e">
        <f>IF($BH2957&lt;&gt;"","",SUMIF(#REF!,$BL2957,#REF!)-O2957)</f>
        <v>#REF!</v>
      </c>
      <c r="BX2957" s="65" t="e">
        <f>IF($BH2957&lt;&gt;"","",SUMIF(#REF!,$BL2957,#REF!)-P2957)</f>
        <v>#REF!</v>
      </c>
      <c r="BY2957" s="65" t="e">
        <f>IF($BH2957&lt;&gt;"","",SUMIF(#REF!,$BL2957,#REF!)-Q2957)</f>
        <v>#REF!</v>
      </c>
    </row>
    <row r="2958" spans="60:77">
      <c r="BV2958" s="65" t="e">
        <f>IF($BH2958&lt;&gt;"","",SUMIF(#REF!,$BL2958,#REF!)-N2958)</f>
        <v>#REF!</v>
      </c>
      <c r="BW2958" s="65" t="e">
        <f>IF($BH2958&lt;&gt;"","",SUMIF(#REF!,$BL2958,#REF!)-O2958)</f>
        <v>#REF!</v>
      </c>
      <c r="BX2958" s="65" t="e">
        <f>IF($BH2958&lt;&gt;"","",SUMIF(#REF!,$BL2958,#REF!)-P2958)</f>
        <v>#REF!</v>
      </c>
      <c r="BY2958" s="65" t="e">
        <f>IF($BH2958&lt;&gt;"","",SUMIF(#REF!,$BL2958,#REF!)-Q2958)</f>
        <v>#REF!</v>
      </c>
    </row>
    <row r="2959" spans="60:77">
      <c r="BV2959" s="65" t="e">
        <f>IF($BH2959&lt;&gt;"","",SUMIF(#REF!,$BL2959,#REF!)-N2959)</f>
        <v>#REF!</v>
      </c>
      <c r="BW2959" s="65" t="e">
        <f>IF($BH2959&lt;&gt;"","",SUMIF(#REF!,$BL2959,#REF!)-O2959)</f>
        <v>#REF!</v>
      </c>
      <c r="BX2959" s="65" t="e">
        <f>IF($BH2959&lt;&gt;"","",SUMIF(#REF!,$BL2959,#REF!)-P2959)</f>
        <v>#REF!</v>
      </c>
      <c r="BY2959" s="65" t="e">
        <f>IF($BH2959&lt;&gt;"","",SUMIF(#REF!,$BL2959,#REF!)-Q2959)</f>
        <v>#REF!</v>
      </c>
    </row>
    <row r="2960" spans="60:77">
      <c r="BV2960" s="65" t="e">
        <f>IF($BH2960&lt;&gt;"","",SUMIF(#REF!,$BL2960,#REF!)-N2960)</f>
        <v>#REF!</v>
      </c>
      <c r="BW2960" s="65" t="e">
        <f>IF($BH2960&lt;&gt;"","",SUMIF(#REF!,$BL2960,#REF!)-O2960)</f>
        <v>#REF!</v>
      </c>
      <c r="BX2960" s="65" t="e">
        <f>IF($BH2960&lt;&gt;"","",SUMIF(#REF!,$BL2960,#REF!)-P2960)</f>
        <v>#REF!</v>
      </c>
      <c r="BY2960" s="65" t="e">
        <f>IF($BH2960&lt;&gt;"","",SUMIF(#REF!,$BL2960,#REF!)-Q2960)</f>
        <v>#REF!</v>
      </c>
    </row>
    <row r="2961" spans="74:77">
      <c r="BV2961" s="65" t="e">
        <f>IF($BH2961&lt;&gt;"","",SUMIF(#REF!,$BL2961,#REF!)-N2961)</f>
        <v>#REF!</v>
      </c>
      <c r="BW2961" s="65" t="e">
        <f>IF($BH2961&lt;&gt;"","",SUMIF(#REF!,$BL2961,#REF!)-O2961)</f>
        <v>#REF!</v>
      </c>
      <c r="BX2961" s="65" t="e">
        <f>IF($BH2961&lt;&gt;"","",SUMIF(#REF!,$BL2961,#REF!)-P2961)</f>
        <v>#REF!</v>
      </c>
      <c r="BY2961" s="65" t="e">
        <f>IF($BH2961&lt;&gt;"","",SUMIF(#REF!,$BL2961,#REF!)-Q2961)</f>
        <v>#REF!</v>
      </c>
    </row>
    <row r="2962" spans="74:77">
      <c r="BV2962" s="65" t="e">
        <f>IF($BH2962&lt;&gt;"","",SUMIF(#REF!,$BL2962,#REF!)-N2962)</f>
        <v>#REF!</v>
      </c>
      <c r="BW2962" s="65" t="e">
        <f>IF($BH2962&lt;&gt;"","",SUMIF(#REF!,$BL2962,#REF!)-O2962)</f>
        <v>#REF!</v>
      </c>
      <c r="BX2962" s="65" t="e">
        <f>IF($BH2962&lt;&gt;"","",SUMIF(#REF!,$BL2962,#REF!)-P2962)</f>
        <v>#REF!</v>
      </c>
      <c r="BY2962" s="65" t="e">
        <f>IF($BH2962&lt;&gt;"","",SUMIF(#REF!,$BL2962,#REF!)-Q2962)</f>
        <v>#REF!</v>
      </c>
    </row>
    <row r="2963" spans="74:77">
      <c r="BV2963" s="65" t="e">
        <f>IF($BH2963&lt;&gt;"","",SUMIF(#REF!,$BL2963,#REF!)-N2963)</f>
        <v>#REF!</v>
      </c>
      <c r="BW2963" s="65" t="e">
        <f>IF($BH2963&lt;&gt;"","",SUMIF(#REF!,$BL2963,#REF!)-O2963)</f>
        <v>#REF!</v>
      </c>
      <c r="BX2963" s="65" t="e">
        <f>IF($BH2963&lt;&gt;"","",SUMIF(#REF!,$BL2963,#REF!)-P2963)</f>
        <v>#REF!</v>
      </c>
      <c r="BY2963" s="65" t="e">
        <f>IF($BH2963&lt;&gt;"","",SUMIF(#REF!,$BL2963,#REF!)-Q2963)</f>
        <v>#REF!</v>
      </c>
    </row>
    <row r="2964" spans="74:77">
      <c r="BV2964" s="65" t="e">
        <f>IF($BH2964&lt;&gt;"","",SUMIF(#REF!,$BL2964,#REF!)-N2964)</f>
        <v>#REF!</v>
      </c>
      <c r="BW2964" s="65" t="e">
        <f>IF($BH2964&lt;&gt;"","",SUMIF(#REF!,$BL2964,#REF!)-O2964)</f>
        <v>#REF!</v>
      </c>
      <c r="BX2964" s="65" t="e">
        <f>IF($BH2964&lt;&gt;"","",SUMIF(#REF!,$BL2964,#REF!)-P2964)</f>
        <v>#REF!</v>
      </c>
      <c r="BY2964" s="65" t="e">
        <f>IF($BH2964&lt;&gt;"","",SUMIF(#REF!,$BL2964,#REF!)-Q2964)</f>
        <v>#REF!</v>
      </c>
    </row>
    <row r="2965" spans="74:77">
      <c r="BV2965" s="65" t="e">
        <f>IF($BH2965&lt;&gt;"","",SUMIF(#REF!,$BL2965,#REF!)-N2965)</f>
        <v>#REF!</v>
      </c>
      <c r="BW2965" s="65" t="e">
        <f>IF($BH2965&lt;&gt;"","",SUMIF(#REF!,$BL2965,#REF!)-O2965)</f>
        <v>#REF!</v>
      </c>
      <c r="BX2965" s="65" t="e">
        <f>IF($BH2965&lt;&gt;"","",SUMIF(#REF!,$BL2965,#REF!)-P2965)</f>
        <v>#REF!</v>
      </c>
      <c r="BY2965" s="65" t="e">
        <f>IF($BH2965&lt;&gt;"","",SUMIF(#REF!,$BL2965,#REF!)-Q2965)</f>
        <v>#REF!</v>
      </c>
    </row>
    <row r="2966" spans="74:77">
      <c r="BV2966" s="65" t="e">
        <f>IF($BH2966&lt;&gt;"","",SUMIF(#REF!,$BL2966,#REF!)-N2966)</f>
        <v>#REF!</v>
      </c>
      <c r="BW2966" s="65" t="e">
        <f>IF($BH2966&lt;&gt;"","",SUMIF(#REF!,$BL2966,#REF!)-O2966)</f>
        <v>#REF!</v>
      </c>
      <c r="BX2966" s="65" t="e">
        <f>IF($BH2966&lt;&gt;"","",SUMIF(#REF!,$BL2966,#REF!)-P2966)</f>
        <v>#REF!</v>
      </c>
      <c r="BY2966" s="65" t="e">
        <f>IF($BH2966&lt;&gt;"","",SUMIF(#REF!,$BL2966,#REF!)-Q2966)</f>
        <v>#REF!</v>
      </c>
    </row>
    <row r="2967" spans="74:77">
      <c r="BV2967" s="65" t="e">
        <f>IF($BH2967&lt;&gt;"","",SUMIF(#REF!,$BL2967,#REF!)-N2967)</f>
        <v>#REF!</v>
      </c>
      <c r="BW2967" s="65" t="e">
        <f>IF($BH2967&lt;&gt;"","",SUMIF(#REF!,$BL2967,#REF!)-O2967)</f>
        <v>#REF!</v>
      </c>
      <c r="BX2967" s="65" t="e">
        <f>IF($BH2967&lt;&gt;"","",SUMIF(#REF!,$BL2967,#REF!)-P2967)</f>
        <v>#REF!</v>
      </c>
      <c r="BY2967" s="65" t="e">
        <f>IF($BH2967&lt;&gt;"","",SUMIF(#REF!,$BL2967,#REF!)-Q2967)</f>
        <v>#REF!</v>
      </c>
    </row>
    <row r="2968" spans="74:77">
      <c r="BV2968" s="65" t="e">
        <f>IF($BH2968&lt;&gt;"","",SUMIF(#REF!,$BL2968,#REF!)-N2968)</f>
        <v>#REF!</v>
      </c>
      <c r="BW2968" s="65" t="e">
        <f>IF($BH2968&lt;&gt;"","",SUMIF(#REF!,$BL2968,#REF!)-O2968)</f>
        <v>#REF!</v>
      </c>
      <c r="BX2968" s="65" t="e">
        <f>IF($BH2968&lt;&gt;"","",SUMIF(#REF!,$BL2968,#REF!)-P2968)</f>
        <v>#REF!</v>
      </c>
      <c r="BY2968" s="65" t="e">
        <f>IF($BH2968&lt;&gt;"","",SUMIF(#REF!,$BL2968,#REF!)-Q2968)</f>
        <v>#REF!</v>
      </c>
    </row>
    <row r="2969" spans="74:77">
      <c r="BV2969" s="65" t="e">
        <f>IF($BH2969&lt;&gt;"","",SUMIF(#REF!,$BL2969,#REF!)-N2969)</f>
        <v>#REF!</v>
      </c>
      <c r="BW2969" s="65" t="e">
        <f>IF($BH2969&lt;&gt;"","",SUMIF(#REF!,$BL2969,#REF!)-O2969)</f>
        <v>#REF!</v>
      </c>
      <c r="BX2969" s="65" t="e">
        <f>IF($BH2969&lt;&gt;"","",SUMIF(#REF!,$BL2969,#REF!)-P2969)</f>
        <v>#REF!</v>
      </c>
      <c r="BY2969" s="65" t="e">
        <f>IF($BH2969&lt;&gt;"","",SUMIF(#REF!,$BL2969,#REF!)-Q2969)</f>
        <v>#REF!</v>
      </c>
    </row>
    <row r="2970" spans="74:77">
      <c r="BV2970" s="65" t="e">
        <f>IF($BH2970&lt;&gt;"","",SUMIF(#REF!,$BL2970,#REF!)-N2970)</f>
        <v>#REF!</v>
      </c>
      <c r="BW2970" s="65" t="e">
        <f>IF($BH2970&lt;&gt;"","",SUMIF(#REF!,$BL2970,#REF!)-O2970)</f>
        <v>#REF!</v>
      </c>
      <c r="BX2970" s="65" t="e">
        <f>IF($BH2970&lt;&gt;"","",SUMIF(#REF!,$BL2970,#REF!)-P2970)</f>
        <v>#REF!</v>
      </c>
      <c r="BY2970" s="65" t="e">
        <f>IF($BH2970&lt;&gt;"","",SUMIF(#REF!,$BL2970,#REF!)-Q2970)</f>
        <v>#REF!</v>
      </c>
    </row>
    <row r="2971" spans="74:77">
      <c r="BV2971" s="65" t="e">
        <f>IF($BH2971&lt;&gt;"","",SUMIF(#REF!,$BL2971,#REF!)-N2971)</f>
        <v>#REF!</v>
      </c>
      <c r="BW2971" s="65" t="e">
        <f>IF($BH2971&lt;&gt;"","",SUMIF(#REF!,$BL2971,#REF!)-O2971)</f>
        <v>#REF!</v>
      </c>
      <c r="BX2971" s="65" t="e">
        <f>IF($BH2971&lt;&gt;"","",SUMIF(#REF!,$BL2971,#REF!)-P2971)</f>
        <v>#REF!</v>
      </c>
      <c r="BY2971" s="65" t="e">
        <f>IF($BH2971&lt;&gt;"","",SUMIF(#REF!,$BL2971,#REF!)-Q2971)</f>
        <v>#REF!</v>
      </c>
    </row>
    <row r="2972" spans="74:77">
      <c r="BV2972" s="65" t="e">
        <f>IF($BH2972&lt;&gt;"","",SUMIF(#REF!,$BL2972,#REF!)-N2972)</f>
        <v>#REF!</v>
      </c>
      <c r="BW2972" s="65" t="e">
        <f>IF($BH2972&lt;&gt;"","",SUMIF(#REF!,$BL2972,#REF!)-O2972)</f>
        <v>#REF!</v>
      </c>
      <c r="BX2972" s="65" t="e">
        <f>IF($BH2972&lt;&gt;"","",SUMIF(#REF!,$BL2972,#REF!)-P2972)</f>
        <v>#REF!</v>
      </c>
      <c r="BY2972" s="65" t="e">
        <f>IF($BH2972&lt;&gt;"","",SUMIF(#REF!,$BL2972,#REF!)-Q2972)</f>
        <v>#REF!</v>
      </c>
    </row>
    <row r="2973" spans="74:77">
      <c r="BV2973" s="65" t="e">
        <f>IF($BH2973&lt;&gt;"","",SUMIF(#REF!,$BL2973,#REF!)-N2973)</f>
        <v>#REF!</v>
      </c>
      <c r="BW2973" s="65" t="e">
        <f>IF($BH2973&lt;&gt;"","",SUMIF(#REF!,$BL2973,#REF!)-O2973)</f>
        <v>#REF!</v>
      </c>
      <c r="BX2973" s="65" t="e">
        <f>IF($BH2973&lt;&gt;"","",SUMIF(#REF!,$BL2973,#REF!)-P2973)</f>
        <v>#REF!</v>
      </c>
      <c r="BY2973" s="65" t="e">
        <f>IF($BH2973&lt;&gt;"","",SUMIF(#REF!,$BL2973,#REF!)-Q2973)</f>
        <v>#REF!</v>
      </c>
    </row>
    <row r="2974" spans="74:77">
      <c r="BV2974" s="65" t="e">
        <f>IF($BH2974&lt;&gt;"","",SUMIF(#REF!,$BL2974,#REF!)-N2974)</f>
        <v>#REF!</v>
      </c>
      <c r="BW2974" s="65" t="e">
        <f>IF($BH2974&lt;&gt;"","",SUMIF(#REF!,$BL2974,#REF!)-O2974)</f>
        <v>#REF!</v>
      </c>
      <c r="BX2974" s="65" t="e">
        <f>IF($BH2974&lt;&gt;"","",SUMIF(#REF!,$BL2974,#REF!)-P2974)</f>
        <v>#REF!</v>
      </c>
      <c r="BY2974" s="65" t="e">
        <f>IF($BH2974&lt;&gt;"","",SUMIF(#REF!,$BL2974,#REF!)-Q2974)</f>
        <v>#REF!</v>
      </c>
    </row>
    <row r="2975" spans="74:77">
      <c r="BV2975" s="65" t="e">
        <f>IF($BH2975&lt;&gt;"","",SUMIF(#REF!,$BL2975,#REF!)-N2975)</f>
        <v>#REF!</v>
      </c>
      <c r="BW2975" s="65" t="e">
        <f>IF($BH2975&lt;&gt;"","",SUMIF(#REF!,$BL2975,#REF!)-O2975)</f>
        <v>#REF!</v>
      </c>
      <c r="BX2975" s="65" t="e">
        <f>IF($BH2975&lt;&gt;"","",SUMIF(#REF!,$BL2975,#REF!)-P2975)</f>
        <v>#REF!</v>
      </c>
      <c r="BY2975" s="65" t="e">
        <f>IF($BH2975&lt;&gt;"","",SUMIF(#REF!,$BL2975,#REF!)-Q2975)</f>
        <v>#REF!</v>
      </c>
    </row>
    <row r="2976" spans="74:77">
      <c r="BV2976" s="65" t="e">
        <f>IF($BH2976&lt;&gt;"","",SUMIF(#REF!,$BL2976,#REF!)-N2976)</f>
        <v>#REF!</v>
      </c>
      <c r="BW2976" s="65" t="e">
        <f>IF($BH2976&lt;&gt;"","",SUMIF(#REF!,$BL2976,#REF!)-O2976)</f>
        <v>#REF!</v>
      </c>
      <c r="BX2976" s="65" t="e">
        <f>IF($BH2976&lt;&gt;"","",SUMIF(#REF!,$BL2976,#REF!)-P2976)</f>
        <v>#REF!</v>
      </c>
      <c r="BY2976" s="65" t="e">
        <f>IF($BH2976&lt;&gt;"","",SUMIF(#REF!,$BL2976,#REF!)-Q2976)</f>
        <v>#REF!</v>
      </c>
    </row>
    <row r="2977" spans="74:77">
      <c r="BV2977" s="65" t="e">
        <f>IF($BH2977&lt;&gt;"","",SUMIF(#REF!,$BL2977,#REF!)-N2977)</f>
        <v>#REF!</v>
      </c>
      <c r="BW2977" s="65" t="e">
        <f>IF($BH2977&lt;&gt;"","",SUMIF(#REF!,$BL2977,#REF!)-O2977)</f>
        <v>#REF!</v>
      </c>
      <c r="BX2977" s="65" t="e">
        <f>IF($BH2977&lt;&gt;"","",SUMIF(#REF!,$BL2977,#REF!)-P2977)</f>
        <v>#REF!</v>
      </c>
      <c r="BY2977" s="65" t="e">
        <f>IF($BH2977&lt;&gt;"","",SUMIF(#REF!,$BL2977,#REF!)-Q2977)</f>
        <v>#REF!</v>
      </c>
    </row>
    <row r="2978" spans="74:77">
      <c r="BV2978" s="65" t="e">
        <f>IF($BH2978&lt;&gt;"","",SUMIF(#REF!,$BL2978,#REF!)-N2978)</f>
        <v>#REF!</v>
      </c>
      <c r="BW2978" s="65" t="e">
        <f>IF($BH2978&lt;&gt;"","",SUMIF(#REF!,$BL2978,#REF!)-O2978)</f>
        <v>#REF!</v>
      </c>
      <c r="BX2978" s="65" t="e">
        <f>IF($BH2978&lt;&gt;"","",SUMIF(#REF!,$BL2978,#REF!)-P2978)</f>
        <v>#REF!</v>
      </c>
      <c r="BY2978" s="65" t="e">
        <f>IF($BH2978&lt;&gt;"","",SUMIF(#REF!,$BL2978,#REF!)-Q2978)</f>
        <v>#REF!</v>
      </c>
    </row>
    <row r="2979" spans="74:77">
      <c r="BV2979" s="65" t="e">
        <f>IF($BH2979&lt;&gt;"","",SUMIF(#REF!,$BL2979,#REF!)-N2979)</f>
        <v>#REF!</v>
      </c>
      <c r="BW2979" s="65" t="e">
        <f>IF($BH2979&lt;&gt;"","",SUMIF(#REF!,$BL2979,#REF!)-O2979)</f>
        <v>#REF!</v>
      </c>
      <c r="BX2979" s="65" t="e">
        <f>IF($BH2979&lt;&gt;"","",SUMIF(#REF!,$BL2979,#REF!)-P2979)</f>
        <v>#REF!</v>
      </c>
      <c r="BY2979" s="65" t="e">
        <f>IF($BH2979&lt;&gt;"","",SUMIF(#REF!,$BL2979,#REF!)-Q2979)</f>
        <v>#REF!</v>
      </c>
    </row>
    <row r="2980" spans="74:77">
      <c r="BV2980" s="65" t="e">
        <f>IF($BH2980&lt;&gt;"","",SUMIF(#REF!,$BL2980,#REF!)-N2980)</f>
        <v>#REF!</v>
      </c>
      <c r="BW2980" s="65" t="e">
        <f>IF($BH2980&lt;&gt;"","",SUMIF(#REF!,$BL2980,#REF!)-O2980)</f>
        <v>#REF!</v>
      </c>
      <c r="BX2980" s="65" t="e">
        <f>IF($BH2980&lt;&gt;"","",SUMIF(#REF!,$BL2980,#REF!)-P2980)</f>
        <v>#REF!</v>
      </c>
      <c r="BY2980" s="65" t="e">
        <f>IF($BH2980&lt;&gt;"","",SUMIF(#REF!,$BL2980,#REF!)-Q2980)</f>
        <v>#REF!</v>
      </c>
    </row>
    <row r="2981" spans="74:77">
      <c r="BV2981" s="65" t="e">
        <f>IF($BH2981&lt;&gt;"","",SUMIF(#REF!,$BL2981,#REF!)-N2981)</f>
        <v>#REF!</v>
      </c>
      <c r="BW2981" s="65" t="e">
        <f>IF($BH2981&lt;&gt;"","",SUMIF(#REF!,$BL2981,#REF!)-O2981)</f>
        <v>#REF!</v>
      </c>
      <c r="BX2981" s="65" t="e">
        <f>IF($BH2981&lt;&gt;"","",SUMIF(#REF!,$BL2981,#REF!)-P2981)</f>
        <v>#REF!</v>
      </c>
      <c r="BY2981" s="65" t="e">
        <f>IF($BH2981&lt;&gt;"","",SUMIF(#REF!,$BL2981,#REF!)-Q2981)</f>
        <v>#REF!</v>
      </c>
    </row>
    <row r="2982" spans="74:77">
      <c r="BV2982" s="65" t="e">
        <f>IF($BH2982&lt;&gt;"","",SUMIF(#REF!,$BL2982,#REF!)-N2982)</f>
        <v>#REF!</v>
      </c>
      <c r="BW2982" s="65" t="e">
        <f>IF($BH2982&lt;&gt;"","",SUMIF(#REF!,$BL2982,#REF!)-O2982)</f>
        <v>#REF!</v>
      </c>
      <c r="BX2982" s="65" t="e">
        <f>IF($BH2982&lt;&gt;"","",SUMIF(#REF!,$BL2982,#REF!)-P2982)</f>
        <v>#REF!</v>
      </c>
      <c r="BY2982" s="65" t="e">
        <f>IF($BH2982&lt;&gt;"","",SUMIF(#REF!,$BL2982,#REF!)-Q2982)</f>
        <v>#REF!</v>
      </c>
    </row>
    <row r="2983" spans="74:77">
      <c r="BV2983" s="65" t="e">
        <f>IF($BH2983&lt;&gt;"","",SUMIF(#REF!,$BL2983,#REF!)-N2983)</f>
        <v>#REF!</v>
      </c>
      <c r="BW2983" s="65" t="e">
        <f>IF($BH2983&lt;&gt;"","",SUMIF(#REF!,$BL2983,#REF!)-O2983)</f>
        <v>#REF!</v>
      </c>
      <c r="BX2983" s="65" t="e">
        <f>IF($BH2983&lt;&gt;"","",SUMIF(#REF!,$BL2983,#REF!)-P2983)</f>
        <v>#REF!</v>
      </c>
      <c r="BY2983" s="65" t="e">
        <f>IF($BH2983&lt;&gt;"","",SUMIF(#REF!,$BL2983,#REF!)-Q2983)</f>
        <v>#REF!</v>
      </c>
    </row>
    <row r="2984" spans="74:77">
      <c r="BV2984" s="65" t="e">
        <f>IF($BH2984&lt;&gt;"","",SUMIF(#REF!,$BL2984,#REF!)-N2984)</f>
        <v>#REF!</v>
      </c>
      <c r="BW2984" s="65" t="e">
        <f>IF($BH2984&lt;&gt;"","",SUMIF(#REF!,$BL2984,#REF!)-O2984)</f>
        <v>#REF!</v>
      </c>
      <c r="BX2984" s="65" t="e">
        <f>IF($BH2984&lt;&gt;"","",SUMIF(#REF!,$BL2984,#REF!)-P2984)</f>
        <v>#REF!</v>
      </c>
      <c r="BY2984" s="65" t="e">
        <f>IF($BH2984&lt;&gt;"","",SUMIF(#REF!,$BL2984,#REF!)-Q2984)</f>
        <v>#REF!</v>
      </c>
    </row>
    <row r="2985" spans="74:77">
      <c r="BV2985" s="65" t="e">
        <f>IF($BH2985&lt;&gt;"","",SUMIF(#REF!,$BL2985,#REF!)-N2985)</f>
        <v>#REF!</v>
      </c>
      <c r="BW2985" s="65" t="e">
        <f>IF($BH2985&lt;&gt;"","",SUMIF(#REF!,$BL2985,#REF!)-O2985)</f>
        <v>#REF!</v>
      </c>
      <c r="BX2985" s="65" t="e">
        <f>IF($BH2985&lt;&gt;"","",SUMIF(#REF!,$BL2985,#REF!)-P2985)</f>
        <v>#REF!</v>
      </c>
      <c r="BY2985" s="65" t="e">
        <f>IF($BH2985&lt;&gt;"","",SUMIF(#REF!,$BL2985,#REF!)-Q2985)</f>
        <v>#REF!</v>
      </c>
    </row>
    <row r="2986" spans="74:77">
      <c r="BV2986" s="65" t="e">
        <f>IF($BH2986&lt;&gt;"","",SUMIF(#REF!,$BL2986,#REF!)-N2986)</f>
        <v>#REF!</v>
      </c>
      <c r="BW2986" s="65" t="e">
        <f>IF($BH2986&lt;&gt;"","",SUMIF(#REF!,$BL2986,#REF!)-O2986)</f>
        <v>#REF!</v>
      </c>
      <c r="BX2986" s="65" t="e">
        <f>IF($BH2986&lt;&gt;"","",SUMIF(#REF!,$BL2986,#REF!)-P2986)</f>
        <v>#REF!</v>
      </c>
      <c r="BY2986" s="65" t="e">
        <f>IF($BH2986&lt;&gt;"","",SUMIF(#REF!,$BL2986,#REF!)-Q2986)</f>
        <v>#REF!</v>
      </c>
    </row>
    <row r="2987" spans="74:77">
      <c r="BV2987" s="65" t="e">
        <f>IF($BH2987&lt;&gt;"","",SUMIF(#REF!,$BL2987,#REF!)-N2987)</f>
        <v>#REF!</v>
      </c>
      <c r="BW2987" s="65" t="e">
        <f>IF($BH2987&lt;&gt;"","",SUMIF(#REF!,$BL2987,#REF!)-O2987)</f>
        <v>#REF!</v>
      </c>
      <c r="BX2987" s="65" t="e">
        <f>IF($BH2987&lt;&gt;"","",SUMIF(#REF!,$BL2987,#REF!)-P2987)</f>
        <v>#REF!</v>
      </c>
      <c r="BY2987" s="65" t="e">
        <f>IF($BH2987&lt;&gt;"","",SUMIF(#REF!,$BL2987,#REF!)-Q2987)</f>
        <v>#REF!</v>
      </c>
    </row>
    <row r="2988" spans="74:77">
      <c r="BV2988" s="65" t="e">
        <f>IF($BH2988&lt;&gt;"","",SUMIF(#REF!,$BL2988,#REF!)-N2988)</f>
        <v>#REF!</v>
      </c>
      <c r="BW2988" s="65" t="e">
        <f>IF($BH2988&lt;&gt;"","",SUMIF(#REF!,$BL2988,#REF!)-O2988)</f>
        <v>#REF!</v>
      </c>
      <c r="BX2988" s="65" t="e">
        <f>IF($BH2988&lt;&gt;"","",SUMIF(#REF!,$BL2988,#REF!)-P2988)</f>
        <v>#REF!</v>
      </c>
      <c r="BY2988" s="65" t="e">
        <f>IF($BH2988&lt;&gt;"","",SUMIF(#REF!,$BL2988,#REF!)-Q2988)</f>
        <v>#REF!</v>
      </c>
    </row>
    <row r="2989" spans="74:77">
      <c r="BV2989" s="65" t="e">
        <f>IF($BH2989&lt;&gt;"","",SUMIF(#REF!,$BL2989,#REF!)-N2989)</f>
        <v>#REF!</v>
      </c>
      <c r="BW2989" s="65" t="e">
        <f>IF($BH2989&lt;&gt;"","",SUMIF(#REF!,$BL2989,#REF!)-O2989)</f>
        <v>#REF!</v>
      </c>
      <c r="BX2989" s="65" t="e">
        <f>IF($BH2989&lt;&gt;"","",SUMIF(#REF!,$BL2989,#REF!)-P2989)</f>
        <v>#REF!</v>
      </c>
      <c r="BY2989" s="65" t="e">
        <f>IF($BH2989&lt;&gt;"","",SUMIF(#REF!,$BL2989,#REF!)-Q2989)</f>
        <v>#REF!</v>
      </c>
    </row>
    <row r="2990" spans="74:77">
      <c r="BV2990" s="65" t="e">
        <f>IF($BH2990&lt;&gt;"","",SUMIF(#REF!,$BL2990,#REF!)-N2990)</f>
        <v>#REF!</v>
      </c>
      <c r="BW2990" s="65" t="e">
        <f>IF($BH2990&lt;&gt;"","",SUMIF(#REF!,$BL2990,#REF!)-O2990)</f>
        <v>#REF!</v>
      </c>
      <c r="BX2990" s="65" t="e">
        <f>IF($BH2990&lt;&gt;"","",SUMIF(#REF!,$BL2990,#REF!)-P2990)</f>
        <v>#REF!</v>
      </c>
      <c r="BY2990" s="65" t="e">
        <f>IF($BH2990&lt;&gt;"","",SUMIF(#REF!,$BL2990,#REF!)-Q2990)</f>
        <v>#REF!</v>
      </c>
    </row>
    <row r="2991" spans="74:77">
      <c r="BV2991" s="65" t="e">
        <f>IF($BH2991&lt;&gt;"","",SUMIF(#REF!,$BL2991,#REF!)-N2991)</f>
        <v>#REF!</v>
      </c>
      <c r="BW2991" s="65" t="e">
        <f>IF($BH2991&lt;&gt;"","",SUMIF(#REF!,$BL2991,#REF!)-O2991)</f>
        <v>#REF!</v>
      </c>
      <c r="BX2991" s="65" t="e">
        <f>IF($BH2991&lt;&gt;"","",SUMIF(#REF!,$BL2991,#REF!)-P2991)</f>
        <v>#REF!</v>
      </c>
      <c r="BY2991" s="65" t="e">
        <f>IF($BH2991&lt;&gt;"","",SUMIF(#REF!,$BL2991,#REF!)-Q2991)</f>
        <v>#REF!</v>
      </c>
    </row>
    <row r="2992" spans="74:77">
      <c r="BV2992" s="65" t="e">
        <f>IF($BH2992&lt;&gt;"","",SUMIF(#REF!,$BL2992,#REF!)-N2992)</f>
        <v>#REF!</v>
      </c>
      <c r="BW2992" s="65" t="e">
        <f>IF($BH2992&lt;&gt;"","",SUMIF(#REF!,$BL2992,#REF!)-O2992)</f>
        <v>#REF!</v>
      </c>
      <c r="BX2992" s="65" t="e">
        <f>IF($BH2992&lt;&gt;"","",SUMIF(#REF!,$BL2992,#REF!)-P2992)</f>
        <v>#REF!</v>
      </c>
      <c r="BY2992" s="65" t="e">
        <f>IF($BH2992&lt;&gt;"","",SUMIF(#REF!,$BL2992,#REF!)-Q2992)</f>
        <v>#REF!</v>
      </c>
    </row>
    <row r="2993" spans="74:77">
      <c r="BV2993" s="65" t="e">
        <f>IF($BH2993&lt;&gt;"","",SUMIF(#REF!,$BL2993,#REF!)-N2993)</f>
        <v>#REF!</v>
      </c>
      <c r="BW2993" s="65" t="e">
        <f>IF($BH2993&lt;&gt;"","",SUMIF(#REF!,$BL2993,#REF!)-O2993)</f>
        <v>#REF!</v>
      </c>
      <c r="BX2993" s="65" t="e">
        <f>IF($BH2993&lt;&gt;"","",SUMIF(#REF!,$BL2993,#REF!)-P2993)</f>
        <v>#REF!</v>
      </c>
      <c r="BY2993" s="65" t="e">
        <f>IF($BH2993&lt;&gt;"","",SUMIF(#REF!,$BL2993,#REF!)-Q2993)</f>
        <v>#REF!</v>
      </c>
    </row>
    <row r="2994" spans="74:77">
      <c r="BV2994" s="65" t="e">
        <f>IF($BH2994&lt;&gt;"","",SUMIF(#REF!,$BL2994,#REF!)-N2994)</f>
        <v>#REF!</v>
      </c>
      <c r="BW2994" s="65" t="e">
        <f>IF($BH2994&lt;&gt;"","",SUMIF(#REF!,$BL2994,#REF!)-O2994)</f>
        <v>#REF!</v>
      </c>
      <c r="BX2994" s="65" t="e">
        <f>IF($BH2994&lt;&gt;"","",SUMIF(#REF!,$BL2994,#REF!)-P2994)</f>
        <v>#REF!</v>
      </c>
      <c r="BY2994" s="65" t="e">
        <f>IF($BH2994&lt;&gt;"","",SUMIF(#REF!,$BL2994,#REF!)-Q2994)</f>
        <v>#REF!</v>
      </c>
    </row>
    <row r="2995" spans="74:77">
      <c r="BV2995" s="65" t="e">
        <f>IF($BH2995&lt;&gt;"","",SUMIF(#REF!,$BL2995,#REF!)-N2995)</f>
        <v>#REF!</v>
      </c>
      <c r="BW2995" s="65" t="e">
        <f>IF($BH2995&lt;&gt;"","",SUMIF(#REF!,$BL2995,#REF!)-O2995)</f>
        <v>#REF!</v>
      </c>
      <c r="BX2995" s="65" t="e">
        <f>IF($BH2995&lt;&gt;"","",SUMIF(#REF!,$BL2995,#REF!)-P2995)</f>
        <v>#REF!</v>
      </c>
      <c r="BY2995" s="65" t="e">
        <f>IF($BH2995&lt;&gt;"","",SUMIF(#REF!,$BL2995,#REF!)-Q2995)</f>
        <v>#REF!</v>
      </c>
    </row>
    <row r="2996" spans="74:77">
      <c r="BV2996" s="65" t="e">
        <f>IF($BH2996&lt;&gt;"","",SUMIF(#REF!,$BL2996,#REF!)-N2996)</f>
        <v>#REF!</v>
      </c>
      <c r="BW2996" s="65" t="e">
        <f>IF($BH2996&lt;&gt;"","",SUMIF(#REF!,$BL2996,#REF!)-O2996)</f>
        <v>#REF!</v>
      </c>
      <c r="BX2996" s="65" t="e">
        <f>IF($BH2996&lt;&gt;"","",SUMIF(#REF!,$BL2996,#REF!)-P2996)</f>
        <v>#REF!</v>
      </c>
      <c r="BY2996" s="65" t="e">
        <f>IF($BH2996&lt;&gt;"","",SUMIF(#REF!,$BL2996,#REF!)-Q2996)</f>
        <v>#REF!</v>
      </c>
    </row>
    <row r="2997" spans="74:77">
      <c r="BV2997" s="65" t="e">
        <f>IF($BH2997&lt;&gt;"","",SUMIF(#REF!,$BL2997,#REF!)-N2997)</f>
        <v>#REF!</v>
      </c>
      <c r="BW2997" s="65" t="e">
        <f>IF($BH2997&lt;&gt;"","",SUMIF(#REF!,$BL2997,#REF!)-O2997)</f>
        <v>#REF!</v>
      </c>
      <c r="BX2997" s="65" t="e">
        <f>IF($BH2997&lt;&gt;"","",SUMIF(#REF!,$BL2997,#REF!)-P2997)</f>
        <v>#REF!</v>
      </c>
      <c r="BY2997" s="65" t="e">
        <f>IF($BH2997&lt;&gt;"","",SUMIF(#REF!,$BL2997,#REF!)-Q2997)</f>
        <v>#REF!</v>
      </c>
    </row>
    <row r="2998" spans="74:77">
      <c r="BV2998" s="65" t="e">
        <f>IF($BH2998&lt;&gt;"","",SUMIF(#REF!,$BL2998,#REF!)-N2998)</f>
        <v>#REF!</v>
      </c>
      <c r="BW2998" s="65" t="e">
        <f>IF($BH2998&lt;&gt;"","",SUMIF(#REF!,$BL2998,#REF!)-O2998)</f>
        <v>#REF!</v>
      </c>
      <c r="BX2998" s="65" t="e">
        <f>IF($BH2998&lt;&gt;"","",SUMIF(#REF!,$BL2998,#REF!)-P2998)</f>
        <v>#REF!</v>
      </c>
      <c r="BY2998" s="65" t="e">
        <f>IF($BH2998&lt;&gt;"","",SUMIF(#REF!,$BL2998,#REF!)-Q2998)</f>
        <v>#REF!</v>
      </c>
    </row>
    <row r="2999" spans="74:77">
      <c r="BV2999" s="65" t="e">
        <f>IF($BH2999&lt;&gt;"","",SUMIF(#REF!,$BL2999,#REF!)-N2999)</f>
        <v>#REF!</v>
      </c>
      <c r="BW2999" s="65" t="e">
        <f>IF($BH2999&lt;&gt;"","",SUMIF(#REF!,$BL2999,#REF!)-O2999)</f>
        <v>#REF!</v>
      </c>
      <c r="BX2999" s="65" t="e">
        <f>IF($BH2999&lt;&gt;"","",SUMIF(#REF!,$BL2999,#REF!)-P2999)</f>
        <v>#REF!</v>
      </c>
      <c r="BY2999" s="65" t="e">
        <f>IF($BH2999&lt;&gt;"","",SUMIF(#REF!,$BL2999,#REF!)-Q2999)</f>
        <v>#REF!</v>
      </c>
    </row>
    <row r="3000" spans="74:77">
      <c r="BV3000" s="65" t="e">
        <f>IF($BH3000&lt;&gt;"","",SUMIF(#REF!,$BL3000,#REF!)-N3000)</f>
        <v>#REF!</v>
      </c>
      <c r="BW3000" s="65" t="e">
        <f>IF($BH3000&lt;&gt;"","",SUMIF(#REF!,$BL3000,#REF!)-O3000)</f>
        <v>#REF!</v>
      </c>
      <c r="BX3000" s="65" t="e">
        <f>IF($BH3000&lt;&gt;"","",SUMIF(#REF!,$BL3000,#REF!)-P3000)</f>
        <v>#REF!</v>
      </c>
      <c r="BY3000" s="65" t="e">
        <f>IF($BH3000&lt;&gt;"","",SUMIF(#REF!,$BL3000,#REF!)-Q3000)</f>
        <v>#REF!</v>
      </c>
    </row>
    <row r="3001" spans="74:77">
      <c r="BV3001" s="65" t="e">
        <f>IF($BH3001&lt;&gt;"","",SUMIF(#REF!,$BL3001,#REF!)-N3001)</f>
        <v>#REF!</v>
      </c>
      <c r="BW3001" s="65" t="e">
        <f>IF($BH3001&lt;&gt;"","",SUMIF(#REF!,$BL3001,#REF!)-O3001)</f>
        <v>#REF!</v>
      </c>
      <c r="BX3001" s="65" t="e">
        <f>IF($BH3001&lt;&gt;"","",SUMIF(#REF!,$BL3001,#REF!)-P3001)</f>
        <v>#REF!</v>
      </c>
      <c r="BY3001" s="65" t="e">
        <f>IF($BH3001&lt;&gt;"","",SUMIF(#REF!,$BL3001,#REF!)-Q3001)</f>
        <v>#REF!</v>
      </c>
    </row>
    <row r="3002" spans="74:77">
      <c r="BV3002" s="65" t="e">
        <f>IF($BH3002&lt;&gt;"","",SUMIF(#REF!,$BL3002,#REF!)-N3002)</f>
        <v>#REF!</v>
      </c>
      <c r="BW3002" s="65" t="e">
        <f>IF($BH3002&lt;&gt;"","",SUMIF(#REF!,$BL3002,#REF!)-O3002)</f>
        <v>#REF!</v>
      </c>
      <c r="BX3002" s="65" t="e">
        <f>IF($BH3002&lt;&gt;"","",SUMIF(#REF!,$BL3002,#REF!)-P3002)</f>
        <v>#REF!</v>
      </c>
      <c r="BY3002" s="65" t="e">
        <f>IF($BH3002&lt;&gt;"","",SUMIF(#REF!,$BL3002,#REF!)-Q3002)</f>
        <v>#REF!</v>
      </c>
    </row>
    <row r="3003" spans="74:77">
      <c r="BV3003" s="65" t="e">
        <f>IF($BH3003&lt;&gt;"","",SUMIF(#REF!,$BL3003,#REF!)-N3003)</f>
        <v>#REF!</v>
      </c>
      <c r="BW3003" s="65" t="e">
        <f>IF($BH3003&lt;&gt;"","",SUMIF(#REF!,$BL3003,#REF!)-O3003)</f>
        <v>#REF!</v>
      </c>
      <c r="BX3003" s="65" t="e">
        <f>IF($BH3003&lt;&gt;"","",SUMIF(#REF!,$BL3003,#REF!)-P3003)</f>
        <v>#REF!</v>
      </c>
      <c r="BY3003" s="65" t="e">
        <f>IF($BH3003&lt;&gt;"","",SUMIF(#REF!,$BL3003,#REF!)-Q3003)</f>
        <v>#REF!</v>
      </c>
    </row>
    <row r="3004" spans="74:77">
      <c r="BV3004" s="65" t="e">
        <f>IF($BH3004&lt;&gt;"","",SUMIF(#REF!,$BL3004,#REF!)-N3004)</f>
        <v>#REF!</v>
      </c>
      <c r="BW3004" s="65" t="e">
        <f>IF($BH3004&lt;&gt;"","",SUMIF(#REF!,$BL3004,#REF!)-O3004)</f>
        <v>#REF!</v>
      </c>
      <c r="BX3004" s="65" t="e">
        <f>IF($BH3004&lt;&gt;"","",SUMIF(#REF!,$BL3004,#REF!)-P3004)</f>
        <v>#REF!</v>
      </c>
      <c r="BY3004" s="65" t="e">
        <f>IF($BH3004&lt;&gt;"","",SUMIF(#REF!,$BL3004,#REF!)-Q3004)</f>
        <v>#REF!</v>
      </c>
    </row>
    <row r="3005" spans="74:77">
      <c r="BV3005" s="65" t="e">
        <f>IF($BH3005&lt;&gt;"","",SUMIF(#REF!,$BL3005,#REF!)-N3005)</f>
        <v>#REF!</v>
      </c>
      <c r="BW3005" s="65" t="e">
        <f>IF($BH3005&lt;&gt;"","",SUMIF(#REF!,$BL3005,#REF!)-O3005)</f>
        <v>#REF!</v>
      </c>
      <c r="BX3005" s="65" t="e">
        <f>IF($BH3005&lt;&gt;"","",SUMIF(#REF!,$BL3005,#REF!)-P3005)</f>
        <v>#REF!</v>
      </c>
      <c r="BY3005" s="65" t="e">
        <f>IF($BH3005&lt;&gt;"","",SUMIF(#REF!,$BL3005,#REF!)-Q3005)</f>
        <v>#REF!</v>
      </c>
    </row>
    <row r="3006" spans="74:77">
      <c r="BV3006" s="65" t="e">
        <f>IF($BH3006&lt;&gt;"","",SUMIF(#REF!,$BL3006,#REF!)-N3006)</f>
        <v>#REF!</v>
      </c>
      <c r="BW3006" s="65" t="e">
        <f>IF($BH3006&lt;&gt;"","",SUMIF(#REF!,$BL3006,#REF!)-O3006)</f>
        <v>#REF!</v>
      </c>
      <c r="BX3006" s="65" t="e">
        <f>IF($BH3006&lt;&gt;"","",SUMIF(#REF!,$BL3006,#REF!)-P3006)</f>
        <v>#REF!</v>
      </c>
      <c r="BY3006" s="65" t="e">
        <f>IF($BH3006&lt;&gt;"","",SUMIF(#REF!,$BL3006,#REF!)-Q3006)</f>
        <v>#REF!</v>
      </c>
    </row>
    <row r="3007" spans="74:77">
      <c r="BV3007" s="65" t="e">
        <f>IF($BH3007&lt;&gt;"","",SUMIF(#REF!,$BL3007,#REF!)-N3007)</f>
        <v>#REF!</v>
      </c>
      <c r="BW3007" s="65" t="e">
        <f>IF($BH3007&lt;&gt;"","",SUMIF(#REF!,$BL3007,#REF!)-O3007)</f>
        <v>#REF!</v>
      </c>
      <c r="BX3007" s="65" t="e">
        <f>IF($BH3007&lt;&gt;"","",SUMIF(#REF!,$BL3007,#REF!)-P3007)</f>
        <v>#REF!</v>
      </c>
      <c r="BY3007" s="65" t="e">
        <f>IF($BH3007&lt;&gt;"","",SUMIF(#REF!,$BL3007,#REF!)-Q3007)</f>
        <v>#REF!</v>
      </c>
    </row>
    <row r="3008" spans="74:77">
      <c r="BV3008" s="65" t="e">
        <f>IF($BH3008&lt;&gt;"","",SUMIF(#REF!,$BL3008,#REF!)-N3008)</f>
        <v>#REF!</v>
      </c>
      <c r="BW3008" s="65" t="e">
        <f>IF($BH3008&lt;&gt;"","",SUMIF(#REF!,$BL3008,#REF!)-O3008)</f>
        <v>#REF!</v>
      </c>
      <c r="BX3008" s="65" t="e">
        <f>IF($BH3008&lt;&gt;"","",SUMIF(#REF!,$BL3008,#REF!)-P3008)</f>
        <v>#REF!</v>
      </c>
      <c r="BY3008" s="65" t="e">
        <f>IF($BH3008&lt;&gt;"","",SUMIF(#REF!,$BL3008,#REF!)-Q3008)</f>
        <v>#REF!</v>
      </c>
    </row>
    <row r="3009" spans="74:77">
      <c r="BV3009" s="65" t="e">
        <f>IF($BH3009&lt;&gt;"","",SUMIF(#REF!,$BL3009,#REF!)-N3009)</f>
        <v>#REF!</v>
      </c>
      <c r="BW3009" s="65" t="e">
        <f>IF($BH3009&lt;&gt;"","",SUMIF(#REF!,$BL3009,#REF!)-O3009)</f>
        <v>#REF!</v>
      </c>
      <c r="BX3009" s="65" t="e">
        <f>IF($BH3009&lt;&gt;"","",SUMIF(#REF!,$BL3009,#REF!)-P3009)</f>
        <v>#REF!</v>
      </c>
      <c r="BY3009" s="65" t="e">
        <f>IF($BH3009&lt;&gt;"","",SUMIF(#REF!,$BL3009,#REF!)-Q3009)</f>
        <v>#REF!</v>
      </c>
    </row>
    <row r="3010" spans="74:77">
      <c r="BV3010" s="65" t="e">
        <f>IF($BH3010&lt;&gt;"","",SUMIF(#REF!,$BL3010,#REF!)-N3010)</f>
        <v>#REF!</v>
      </c>
      <c r="BW3010" s="65" t="e">
        <f>IF($BH3010&lt;&gt;"","",SUMIF(#REF!,$BL3010,#REF!)-O3010)</f>
        <v>#REF!</v>
      </c>
      <c r="BX3010" s="65" t="e">
        <f>IF($BH3010&lt;&gt;"","",SUMIF(#REF!,$BL3010,#REF!)-P3010)</f>
        <v>#REF!</v>
      </c>
      <c r="BY3010" s="65" t="e">
        <f>IF($BH3010&lt;&gt;"","",SUMIF(#REF!,$BL3010,#REF!)-Q3010)</f>
        <v>#REF!</v>
      </c>
    </row>
    <row r="3011" spans="74:77">
      <c r="BV3011" s="65" t="e">
        <f>IF($BH3011&lt;&gt;"","",SUMIF(#REF!,$BL3011,#REF!)-N3011)</f>
        <v>#REF!</v>
      </c>
      <c r="BW3011" s="65" t="e">
        <f>IF($BH3011&lt;&gt;"","",SUMIF(#REF!,$BL3011,#REF!)-O3011)</f>
        <v>#REF!</v>
      </c>
      <c r="BX3011" s="65" t="e">
        <f>IF($BH3011&lt;&gt;"","",SUMIF(#REF!,$BL3011,#REF!)-P3011)</f>
        <v>#REF!</v>
      </c>
      <c r="BY3011" s="65" t="e">
        <f>IF($BH3011&lt;&gt;"","",SUMIF(#REF!,$BL3011,#REF!)-Q3011)</f>
        <v>#REF!</v>
      </c>
    </row>
    <row r="3012" spans="74:77">
      <c r="BV3012" s="65" t="e">
        <f>IF($BH3012&lt;&gt;"","",SUMIF(#REF!,$BL3012,#REF!)-N3012)</f>
        <v>#REF!</v>
      </c>
      <c r="BW3012" s="65" t="e">
        <f>IF($BH3012&lt;&gt;"","",SUMIF(#REF!,$BL3012,#REF!)-O3012)</f>
        <v>#REF!</v>
      </c>
      <c r="BX3012" s="65" t="e">
        <f>IF($BH3012&lt;&gt;"","",SUMIF(#REF!,$BL3012,#REF!)-P3012)</f>
        <v>#REF!</v>
      </c>
      <c r="BY3012" s="65" t="e">
        <f>IF($BH3012&lt;&gt;"","",SUMIF(#REF!,$BL3012,#REF!)-Q3012)</f>
        <v>#REF!</v>
      </c>
    </row>
    <row r="3013" spans="74:77">
      <c r="BV3013" s="65" t="e">
        <f>IF($BH3013&lt;&gt;"","",SUMIF(#REF!,$BL3013,#REF!)-N3013)</f>
        <v>#REF!</v>
      </c>
      <c r="BW3013" s="65" t="e">
        <f>IF($BH3013&lt;&gt;"","",SUMIF(#REF!,$BL3013,#REF!)-O3013)</f>
        <v>#REF!</v>
      </c>
      <c r="BX3013" s="65" t="e">
        <f>IF($BH3013&lt;&gt;"","",SUMIF(#REF!,$BL3013,#REF!)-P3013)</f>
        <v>#REF!</v>
      </c>
      <c r="BY3013" s="65" t="e">
        <f>IF($BH3013&lt;&gt;"","",SUMIF(#REF!,$BL3013,#REF!)-Q3013)</f>
        <v>#REF!</v>
      </c>
    </row>
    <row r="3014" spans="74:77">
      <c r="BV3014" s="65" t="e">
        <f>IF($BH3014&lt;&gt;"","",SUMIF(#REF!,$BL3014,#REF!)-N3014)</f>
        <v>#REF!</v>
      </c>
      <c r="BW3014" s="65" t="e">
        <f>IF($BH3014&lt;&gt;"","",SUMIF(#REF!,$BL3014,#REF!)-O3014)</f>
        <v>#REF!</v>
      </c>
      <c r="BX3014" s="65" t="e">
        <f>IF($BH3014&lt;&gt;"","",SUMIF(#REF!,$BL3014,#REF!)-P3014)</f>
        <v>#REF!</v>
      </c>
      <c r="BY3014" s="65" t="e">
        <f>IF($BH3014&lt;&gt;"","",SUMIF(#REF!,$BL3014,#REF!)-Q3014)</f>
        <v>#REF!</v>
      </c>
    </row>
    <row r="3015" spans="74:77">
      <c r="BV3015" s="65" t="e">
        <f>IF($BH3015&lt;&gt;"","",SUMIF(#REF!,$BL3015,#REF!)-N3015)</f>
        <v>#REF!</v>
      </c>
      <c r="BW3015" s="65" t="e">
        <f>IF($BH3015&lt;&gt;"","",SUMIF(#REF!,$BL3015,#REF!)-O3015)</f>
        <v>#REF!</v>
      </c>
      <c r="BX3015" s="65" t="e">
        <f>IF($BH3015&lt;&gt;"","",SUMIF(#REF!,$BL3015,#REF!)-P3015)</f>
        <v>#REF!</v>
      </c>
      <c r="BY3015" s="65" t="e">
        <f>IF($BH3015&lt;&gt;"","",SUMIF(#REF!,$BL3015,#REF!)-Q3015)</f>
        <v>#REF!</v>
      </c>
    </row>
    <row r="3016" spans="74:77">
      <c r="BV3016" s="65" t="e">
        <f>IF($BH3016&lt;&gt;"","",SUMIF(#REF!,$BL3016,#REF!)-N3016)</f>
        <v>#REF!</v>
      </c>
      <c r="BW3016" s="65" t="e">
        <f>IF($BH3016&lt;&gt;"","",SUMIF(#REF!,$BL3016,#REF!)-O3016)</f>
        <v>#REF!</v>
      </c>
      <c r="BX3016" s="65" t="e">
        <f>IF($BH3016&lt;&gt;"","",SUMIF(#REF!,$BL3016,#REF!)-P3016)</f>
        <v>#REF!</v>
      </c>
      <c r="BY3016" s="65" t="e">
        <f>IF($BH3016&lt;&gt;"","",SUMIF(#REF!,$BL3016,#REF!)-Q3016)</f>
        <v>#REF!</v>
      </c>
    </row>
    <row r="3017" spans="74:77">
      <c r="BV3017" s="65" t="e">
        <f>IF($BH3017&lt;&gt;"","",SUMIF(#REF!,$BL3017,#REF!)-N3017)</f>
        <v>#REF!</v>
      </c>
      <c r="BW3017" s="65" t="e">
        <f>IF($BH3017&lt;&gt;"","",SUMIF(#REF!,$BL3017,#REF!)-O3017)</f>
        <v>#REF!</v>
      </c>
      <c r="BX3017" s="65" t="e">
        <f>IF($BH3017&lt;&gt;"","",SUMIF(#REF!,$BL3017,#REF!)-P3017)</f>
        <v>#REF!</v>
      </c>
      <c r="BY3017" s="65" t="e">
        <f>IF($BH3017&lt;&gt;"","",SUMIF(#REF!,$BL3017,#REF!)-Q3017)</f>
        <v>#REF!</v>
      </c>
    </row>
    <row r="3018" spans="74:77">
      <c r="BV3018" s="65" t="e">
        <f>IF($BH3018&lt;&gt;"","",SUMIF(#REF!,$BL3018,#REF!)-N3018)</f>
        <v>#REF!</v>
      </c>
      <c r="BW3018" s="65" t="e">
        <f>IF($BH3018&lt;&gt;"","",SUMIF(#REF!,$BL3018,#REF!)-O3018)</f>
        <v>#REF!</v>
      </c>
      <c r="BX3018" s="65" t="e">
        <f>IF($BH3018&lt;&gt;"","",SUMIF(#REF!,$BL3018,#REF!)-P3018)</f>
        <v>#REF!</v>
      </c>
      <c r="BY3018" s="65" t="e">
        <f>IF($BH3018&lt;&gt;"","",SUMIF(#REF!,$BL3018,#REF!)-Q3018)</f>
        <v>#REF!</v>
      </c>
    </row>
    <row r="3019" spans="74:77">
      <c r="BV3019" s="65" t="e">
        <f>IF($BH3019&lt;&gt;"","",SUMIF(#REF!,$BL3019,#REF!)-N3019)</f>
        <v>#REF!</v>
      </c>
      <c r="BW3019" s="65" t="e">
        <f>IF($BH3019&lt;&gt;"","",SUMIF(#REF!,$BL3019,#REF!)-O3019)</f>
        <v>#REF!</v>
      </c>
      <c r="BX3019" s="65" t="e">
        <f>IF($BH3019&lt;&gt;"","",SUMIF(#REF!,$BL3019,#REF!)-P3019)</f>
        <v>#REF!</v>
      </c>
      <c r="BY3019" s="65" t="e">
        <f>IF($BH3019&lt;&gt;"","",SUMIF(#REF!,$BL3019,#REF!)-Q3019)</f>
        <v>#REF!</v>
      </c>
    </row>
    <row r="3020" spans="74:77">
      <c r="BV3020" s="65" t="e">
        <f>IF($BH3020&lt;&gt;"","",SUMIF(#REF!,$BL3020,#REF!)-N3020)</f>
        <v>#REF!</v>
      </c>
      <c r="BW3020" s="65" t="e">
        <f>IF($BH3020&lt;&gt;"","",SUMIF(#REF!,$BL3020,#REF!)-O3020)</f>
        <v>#REF!</v>
      </c>
      <c r="BX3020" s="65" t="e">
        <f>IF($BH3020&lt;&gt;"","",SUMIF(#REF!,$BL3020,#REF!)-P3020)</f>
        <v>#REF!</v>
      </c>
      <c r="BY3020" s="65" t="e">
        <f>IF($BH3020&lt;&gt;"","",SUMIF(#REF!,$BL3020,#REF!)-Q3020)</f>
        <v>#REF!</v>
      </c>
    </row>
    <row r="3021" spans="74:77">
      <c r="BV3021" s="65" t="e">
        <f>IF($BH3021&lt;&gt;"","",SUMIF(#REF!,$BL3021,#REF!)-N3021)</f>
        <v>#REF!</v>
      </c>
      <c r="BW3021" s="65" t="e">
        <f>IF($BH3021&lt;&gt;"","",SUMIF(#REF!,$BL3021,#REF!)-O3021)</f>
        <v>#REF!</v>
      </c>
      <c r="BX3021" s="65" t="e">
        <f>IF($BH3021&lt;&gt;"","",SUMIF(#REF!,$BL3021,#REF!)-P3021)</f>
        <v>#REF!</v>
      </c>
      <c r="BY3021" s="65" t="e">
        <f>IF($BH3021&lt;&gt;"","",SUMIF(#REF!,$BL3021,#REF!)-Q3021)</f>
        <v>#REF!</v>
      </c>
    </row>
    <row r="3022" spans="74:77">
      <c r="BV3022" s="65" t="e">
        <f>IF($BH3022&lt;&gt;"","",SUMIF(#REF!,$BL3022,#REF!)-N3022)</f>
        <v>#REF!</v>
      </c>
      <c r="BW3022" s="65" t="e">
        <f>IF($BH3022&lt;&gt;"","",SUMIF(#REF!,$BL3022,#REF!)-O3022)</f>
        <v>#REF!</v>
      </c>
      <c r="BX3022" s="65" t="e">
        <f>IF($BH3022&lt;&gt;"","",SUMIF(#REF!,$BL3022,#REF!)-P3022)</f>
        <v>#REF!</v>
      </c>
      <c r="BY3022" s="65" t="e">
        <f>IF($BH3022&lt;&gt;"","",SUMIF(#REF!,$BL3022,#REF!)-Q3022)</f>
        <v>#REF!</v>
      </c>
    </row>
    <row r="3023" spans="74:77">
      <c r="BV3023" s="65" t="e">
        <f>IF($BH3023&lt;&gt;"","",SUMIF(#REF!,$BL3023,#REF!)-N3023)</f>
        <v>#REF!</v>
      </c>
      <c r="BW3023" s="65" t="e">
        <f>IF($BH3023&lt;&gt;"","",SUMIF(#REF!,$BL3023,#REF!)-O3023)</f>
        <v>#REF!</v>
      </c>
      <c r="BX3023" s="65" t="e">
        <f>IF($BH3023&lt;&gt;"","",SUMIF(#REF!,$BL3023,#REF!)-P3023)</f>
        <v>#REF!</v>
      </c>
      <c r="BY3023" s="65" t="e">
        <f>IF($BH3023&lt;&gt;"","",SUMIF(#REF!,$BL3023,#REF!)-Q3023)</f>
        <v>#REF!</v>
      </c>
    </row>
    <row r="3024" spans="74:77">
      <c r="BV3024" s="65" t="e">
        <f>IF($BH3024&lt;&gt;"","",SUMIF(#REF!,$BL3024,#REF!)-N3024)</f>
        <v>#REF!</v>
      </c>
      <c r="BW3024" s="65" t="e">
        <f>IF($BH3024&lt;&gt;"","",SUMIF(#REF!,$BL3024,#REF!)-O3024)</f>
        <v>#REF!</v>
      </c>
      <c r="BX3024" s="65" t="e">
        <f>IF($BH3024&lt;&gt;"","",SUMIF(#REF!,$BL3024,#REF!)-P3024)</f>
        <v>#REF!</v>
      </c>
      <c r="BY3024" s="65" t="e">
        <f>IF($BH3024&lt;&gt;"","",SUMIF(#REF!,$BL3024,#REF!)-Q3024)</f>
        <v>#REF!</v>
      </c>
    </row>
    <row r="3025" spans="74:77">
      <c r="BV3025" s="65" t="e">
        <f>IF($BH3025&lt;&gt;"","",SUMIF(#REF!,$BL3025,#REF!)-N3025)</f>
        <v>#REF!</v>
      </c>
      <c r="BW3025" s="65" t="e">
        <f>IF($BH3025&lt;&gt;"","",SUMIF(#REF!,$BL3025,#REF!)-O3025)</f>
        <v>#REF!</v>
      </c>
      <c r="BX3025" s="65" t="e">
        <f>IF($BH3025&lt;&gt;"","",SUMIF(#REF!,$BL3025,#REF!)-P3025)</f>
        <v>#REF!</v>
      </c>
      <c r="BY3025" s="65" t="e">
        <f>IF($BH3025&lt;&gt;"","",SUMIF(#REF!,$BL3025,#REF!)-Q3025)</f>
        <v>#REF!</v>
      </c>
    </row>
    <row r="3026" spans="74:77">
      <c r="BV3026" s="65" t="e">
        <f>IF($BH3026&lt;&gt;"","",SUMIF(#REF!,$BL3026,#REF!)-N3026)</f>
        <v>#REF!</v>
      </c>
      <c r="BW3026" s="65" t="e">
        <f>IF($BH3026&lt;&gt;"","",SUMIF(#REF!,$BL3026,#REF!)-O3026)</f>
        <v>#REF!</v>
      </c>
      <c r="BX3026" s="65" t="e">
        <f>IF($BH3026&lt;&gt;"","",SUMIF(#REF!,$BL3026,#REF!)-P3026)</f>
        <v>#REF!</v>
      </c>
      <c r="BY3026" s="65" t="e">
        <f>IF($BH3026&lt;&gt;"","",SUMIF(#REF!,$BL3026,#REF!)-Q3026)</f>
        <v>#REF!</v>
      </c>
    </row>
    <row r="3027" spans="74:77">
      <c r="BV3027" s="65" t="e">
        <f>IF($BH3027&lt;&gt;"","",SUMIF(#REF!,$BL3027,#REF!)-N3027)</f>
        <v>#REF!</v>
      </c>
      <c r="BW3027" s="65" t="e">
        <f>IF($BH3027&lt;&gt;"","",SUMIF(#REF!,$BL3027,#REF!)-O3027)</f>
        <v>#REF!</v>
      </c>
      <c r="BX3027" s="65" t="e">
        <f>IF($BH3027&lt;&gt;"","",SUMIF(#REF!,$BL3027,#REF!)-P3027)</f>
        <v>#REF!</v>
      </c>
      <c r="BY3027" s="65" t="e">
        <f>IF($BH3027&lt;&gt;"","",SUMIF(#REF!,$BL3027,#REF!)-Q3027)</f>
        <v>#REF!</v>
      </c>
    </row>
    <row r="3028" spans="74:77">
      <c r="BV3028" s="65" t="e">
        <f>IF($BH3028&lt;&gt;"","",SUMIF(#REF!,$BL3028,#REF!)-N3028)</f>
        <v>#REF!</v>
      </c>
      <c r="BW3028" s="65" t="e">
        <f>IF($BH3028&lt;&gt;"","",SUMIF(#REF!,$BL3028,#REF!)-O3028)</f>
        <v>#REF!</v>
      </c>
      <c r="BX3028" s="65" t="e">
        <f>IF($BH3028&lt;&gt;"","",SUMIF(#REF!,$BL3028,#REF!)-P3028)</f>
        <v>#REF!</v>
      </c>
      <c r="BY3028" s="65" t="e">
        <f>IF($BH3028&lt;&gt;"","",SUMIF(#REF!,$BL3028,#REF!)-Q3028)</f>
        <v>#REF!</v>
      </c>
    </row>
    <row r="3029" spans="74:77">
      <c r="BV3029" s="65" t="e">
        <f>IF($BH3029&lt;&gt;"","",SUMIF(#REF!,$BL3029,#REF!)-N3029)</f>
        <v>#REF!</v>
      </c>
      <c r="BW3029" s="65" t="e">
        <f>IF($BH3029&lt;&gt;"","",SUMIF(#REF!,$BL3029,#REF!)-O3029)</f>
        <v>#REF!</v>
      </c>
      <c r="BX3029" s="65" t="e">
        <f>IF($BH3029&lt;&gt;"","",SUMIF(#REF!,$BL3029,#REF!)-P3029)</f>
        <v>#REF!</v>
      </c>
      <c r="BY3029" s="65" t="e">
        <f>IF($BH3029&lt;&gt;"","",SUMIF(#REF!,$BL3029,#REF!)-Q3029)</f>
        <v>#REF!</v>
      </c>
    </row>
    <row r="3030" spans="74:77">
      <c r="BV3030" s="65" t="e">
        <f>IF($BH3030&lt;&gt;"","",SUMIF(#REF!,$BL3030,#REF!)-N3030)</f>
        <v>#REF!</v>
      </c>
      <c r="BW3030" s="65" t="e">
        <f>IF($BH3030&lt;&gt;"","",SUMIF(#REF!,$BL3030,#REF!)-O3030)</f>
        <v>#REF!</v>
      </c>
      <c r="BX3030" s="65" t="e">
        <f>IF($BH3030&lt;&gt;"","",SUMIF(#REF!,$BL3030,#REF!)-P3030)</f>
        <v>#REF!</v>
      </c>
      <c r="BY3030" s="65" t="e">
        <f>IF($BH3030&lt;&gt;"","",SUMIF(#REF!,$BL3030,#REF!)-Q3030)</f>
        <v>#REF!</v>
      </c>
    </row>
    <row r="3031" spans="74:77">
      <c r="BV3031" s="65" t="e">
        <f>IF($BH3031&lt;&gt;"","",SUMIF(#REF!,$BL3031,#REF!)-N3031)</f>
        <v>#REF!</v>
      </c>
      <c r="BW3031" s="65" t="e">
        <f>IF($BH3031&lt;&gt;"","",SUMIF(#REF!,$BL3031,#REF!)-O3031)</f>
        <v>#REF!</v>
      </c>
      <c r="BX3031" s="65" t="e">
        <f>IF($BH3031&lt;&gt;"","",SUMIF(#REF!,$BL3031,#REF!)-P3031)</f>
        <v>#REF!</v>
      </c>
      <c r="BY3031" s="65" t="e">
        <f>IF($BH3031&lt;&gt;"","",SUMIF(#REF!,$BL3031,#REF!)-Q3031)</f>
        <v>#REF!</v>
      </c>
    </row>
    <row r="3032" spans="74:77">
      <c r="BV3032" s="65" t="e">
        <f>IF($BH3032&lt;&gt;"","",SUMIF(#REF!,$BL3032,#REF!)-N3032)</f>
        <v>#REF!</v>
      </c>
      <c r="BW3032" s="65" t="e">
        <f>IF($BH3032&lt;&gt;"","",SUMIF(#REF!,$BL3032,#REF!)-O3032)</f>
        <v>#REF!</v>
      </c>
      <c r="BX3032" s="65" t="e">
        <f>IF($BH3032&lt;&gt;"","",SUMIF(#REF!,$BL3032,#REF!)-P3032)</f>
        <v>#REF!</v>
      </c>
      <c r="BY3032" s="65" t="e">
        <f>IF($BH3032&lt;&gt;"","",SUMIF(#REF!,$BL3032,#REF!)-Q3032)</f>
        <v>#REF!</v>
      </c>
    </row>
    <row r="3033" spans="74:77">
      <c r="BV3033" s="65" t="e">
        <f>IF($BH3033&lt;&gt;"","",SUMIF(#REF!,$BL3033,#REF!)-N3033)</f>
        <v>#REF!</v>
      </c>
      <c r="BW3033" s="65" t="e">
        <f>IF($BH3033&lt;&gt;"","",SUMIF(#REF!,$BL3033,#REF!)-O3033)</f>
        <v>#REF!</v>
      </c>
      <c r="BX3033" s="65" t="e">
        <f>IF($BH3033&lt;&gt;"","",SUMIF(#REF!,$BL3033,#REF!)-P3033)</f>
        <v>#REF!</v>
      </c>
      <c r="BY3033" s="65" t="e">
        <f>IF($BH3033&lt;&gt;"","",SUMIF(#REF!,$BL3033,#REF!)-Q3033)</f>
        <v>#REF!</v>
      </c>
    </row>
    <row r="3034" spans="74:77">
      <c r="BV3034" s="65" t="e">
        <f>IF($BH3034&lt;&gt;"","",SUMIF(#REF!,$BL3034,#REF!)-N3034)</f>
        <v>#REF!</v>
      </c>
      <c r="BW3034" s="65" t="e">
        <f>IF($BH3034&lt;&gt;"","",SUMIF(#REF!,$BL3034,#REF!)-O3034)</f>
        <v>#REF!</v>
      </c>
      <c r="BX3034" s="65" t="e">
        <f>IF($BH3034&lt;&gt;"","",SUMIF(#REF!,$BL3034,#REF!)-P3034)</f>
        <v>#REF!</v>
      </c>
      <c r="BY3034" s="65" t="e">
        <f>IF($BH3034&lt;&gt;"","",SUMIF(#REF!,$BL3034,#REF!)-Q3034)</f>
        <v>#REF!</v>
      </c>
    </row>
    <row r="3035" spans="74:77">
      <c r="BV3035" s="65" t="e">
        <f>IF($BH3035&lt;&gt;"","",SUMIF(#REF!,$BL3035,#REF!)-N3035)</f>
        <v>#REF!</v>
      </c>
      <c r="BW3035" s="65" t="e">
        <f>IF($BH3035&lt;&gt;"","",SUMIF(#REF!,$BL3035,#REF!)-O3035)</f>
        <v>#REF!</v>
      </c>
      <c r="BX3035" s="65" t="e">
        <f>IF($BH3035&lt;&gt;"","",SUMIF(#REF!,$BL3035,#REF!)-P3035)</f>
        <v>#REF!</v>
      </c>
      <c r="BY3035" s="65" t="e">
        <f>IF($BH3035&lt;&gt;"","",SUMIF(#REF!,$BL3035,#REF!)-Q3035)</f>
        <v>#REF!</v>
      </c>
    </row>
    <row r="3036" spans="74:77">
      <c r="BV3036" s="65" t="e">
        <f>IF($BH3036&lt;&gt;"","",SUMIF(#REF!,$BL3036,#REF!)-N3036)</f>
        <v>#REF!</v>
      </c>
      <c r="BW3036" s="65" t="e">
        <f>IF($BH3036&lt;&gt;"","",SUMIF(#REF!,$BL3036,#REF!)-O3036)</f>
        <v>#REF!</v>
      </c>
      <c r="BX3036" s="65" t="e">
        <f>IF($BH3036&lt;&gt;"","",SUMIF(#REF!,$BL3036,#REF!)-P3036)</f>
        <v>#REF!</v>
      </c>
      <c r="BY3036" s="65" t="e">
        <f>IF($BH3036&lt;&gt;"","",SUMIF(#REF!,$BL3036,#REF!)-Q3036)</f>
        <v>#REF!</v>
      </c>
    </row>
    <row r="3037" spans="74:77">
      <c r="BV3037" s="65" t="e">
        <f>IF($BH3037&lt;&gt;"","",SUMIF(#REF!,$BL3037,#REF!)-N3037)</f>
        <v>#REF!</v>
      </c>
      <c r="BW3037" s="65" t="e">
        <f>IF($BH3037&lt;&gt;"","",SUMIF(#REF!,$BL3037,#REF!)-O3037)</f>
        <v>#REF!</v>
      </c>
      <c r="BX3037" s="65" t="e">
        <f>IF($BH3037&lt;&gt;"","",SUMIF(#REF!,$BL3037,#REF!)-P3037)</f>
        <v>#REF!</v>
      </c>
      <c r="BY3037" s="65" t="e">
        <f>IF($BH3037&lt;&gt;"","",SUMIF(#REF!,$BL3037,#REF!)-Q3037)</f>
        <v>#REF!</v>
      </c>
    </row>
    <row r="3038" spans="74:77">
      <c r="BV3038" s="65" t="e">
        <f>IF($BH3038&lt;&gt;"","",SUMIF(#REF!,$BL3038,#REF!)-N3038)</f>
        <v>#REF!</v>
      </c>
      <c r="BW3038" s="65" t="e">
        <f>IF($BH3038&lt;&gt;"","",SUMIF(#REF!,$BL3038,#REF!)-O3038)</f>
        <v>#REF!</v>
      </c>
      <c r="BX3038" s="65" t="e">
        <f>IF($BH3038&lt;&gt;"","",SUMIF(#REF!,$BL3038,#REF!)-P3038)</f>
        <v>#REF!</v>
      </c>
      <c r="BY3038" s="65" t="e">
        <f>IF($BH3038&lt;&gt;"","",SUMIF(#REF!,$BL3038,#REF!)-Q3038)</f>
        <v>#REF!</v>
      </c>
    </row>
    <row r="3039" spans="74:77">
      <c r="BV3039" s="65" t="e">
        <f>IF($BH3039&lt;&gt;"","",SUMIF(#REF!,$BL3039,#REF!)-N3039)</f>
        <v>#REF!</v>
      </c>
      <c r="BW3039" s="65" t="e">
        <f>IF($BH3039&lt;&gt;"","",SUMIF(#REF!,$BL3039,#REF!)-O3039)</f>
        <v>#REF!</v>
      </c>
      <c r="BX3039" s="65" t="e">
        <f>IF($BH3039&lt;&gt;"","",SUMIF(#REF!,$BL3039,#REF!)-P3039)</f>
        <v>#REF!</v>
      </c>
      <c r="BY3039" s="65" t="e">
        <f>IF($BH3039&lt;&gt;"","",SUMIF(#REF!,$BL3039,#REF!)-Q3039)</f>
        <v>#REF!</v>
      </c>
    </row>
    <row r="3040" spans="74:77">
      <c r="BV3040" s="65" t="e">
        <f>IF($BH3040&lt;&gt;"","",SUMIF(#REF!,$BL3040,#REF!)-N3040)</f>
        <v>#REF!</v>
      </c>
      <c r="BW3040" s="65" t="e">
        <f>IF($BH3040&lt;&gt;"","",SUMIF(#REF!,$BL3040,#REF!)-O3040)</f>
        <v>#REF!</v>
      </c>
      <c r="BX3040" s="65" t="e">
        <f>IF($BH3040&lt;&gt;"","",SUMIF(#REF!,$BL3040,#REF!)-P3040)</f>
        <v>#REF!</v>
      </c>
      <c r="BY3040" s="65" t="e">
        <f>IF($BH3040&lt;&gt;"","",SUMIF(#REF!,$BL3040,#REF!)-Q3040)</f>
        <v>#REF!</v>
      </c>
    </row>
    <row r="3041" spans="74:77">
      <c r="BV3041" s="65" t="e">
        <f>IF($BH3041&lt;&gt;"","",SUMIF(#REF!,$BL3041,#REF!)-N3041)</f>
        <v>#REF!</v>
      </c>
      <c r="BW3041" s="65" t="e">
        <f>IF($BH3041&lt;&gt;"","",SUMIF(#REF!,$BL3041,#REF!)-O3041)</f>
        <v>#REF!</v>
      </c>
      <c r="BX3041" s="65" t="e">
        <f>IF($BH3041&lt;&gt;"","",SUMIF(#REF!,$BL3041,#REF!)-P3041)</f>
        <v>#REF!</v>
      </c>
      <c r="BY3041" s="65" t="e">
        <f>IF($BH3041&lt;&gt;"","",SUMIF(#REF!,$BL3041,#REF!)-Q3041)</f>
        <v>#REF!</v>
      </c>
    </row>
    <row r="3042" spans="74:77">
      <c r="BV3042" s="65" t="e">
        <f>IF($BH3042&lt;&gt;"","",SUMIF(#REF!,$BL3042,#REF!)-N3042)</f>
        <v>#REF!</v>
      </c>
      <c r="BW3042" s="65" t="e">
        <f>IF($BH3042&lt;&gt;"","",SUMIF(#REF!,$BL3042,#REF!)-O3042)</f>
        <v>#REF!</v>
      </c>
      <c r="BX3042" s="65" t="e">
        <f>IF($BH3042&lt;&gt;"","",SUMIF(#REF!,$BL3042,#REF!)-P3042)</f>
        <v>#REF!</v>
      </c>
      <c r="BY3042" s="65" t="e">
        <f>IF($BH3042&lt;&gt;"","",SUMIF(#REF!,$BL3042,#REF!)-Q3042)</f>
        <v>#REF!</v>
      </c>
    </row>
    <row r="3043" spans="74:77">
      <c r="BV3043" s="65" t="e">
        <f>IF($BH3043&lt;&gt;"","",SUMIF(#REF!,$BL3043,#REF!)-N3043)</f>
        <v>#REF!</v>
      </c>
      <c r="BW3043" s="65" t="e">
        <f>IF($BH3043&lt;&gt;"","",SUMIF(#REF!,$BL3043,#REF!)-O3043)</f>
        <v>#REF!</v>
      </c>
      <c r="BX3043" s="65" t="e">
        <f>IF($BH3043&lt;&gt;"","",SUMIF(#REF!,$BL3043,#REF!)-P3043)</f>
        <v>#REF!</v>
      </c>
      <c r="BY3043" s="65" t="e">
        <f>IF($BH3043&lt;&gt;"","",SUMIF(#REF!,$BL3043,#REF!)-Q3043)</f>
        <v>#REF!</v>
      </c>
    </row>
    <row r="3044" spans="74:77">
      <c r="BV3044" s="65" t="e">
        <f>IF($BH3044&lt;&gt;"","",SUMIF(#REF!,$BL3044,#REF!)-N3044)</f>
        <v>#REF!</v>
      </c>
      <c r="BW3044" s="65" t="e">
        <f>IF($BH3044&lt;&gt;"","",SUMIF(#REF!,$BL3044,#REF!)-O3044)</f>
        <v>#REF!</v>
      </c>
      <c r="BX3044" s="65" t="e">
        <f>IF($BH3044&lt;&gt;"","",SUMIF(#REF!,$BL3044,#REF!)-P3044)</f>
        <v>#REF!</v>
      </c>
      <c r="BY3044" s="65" t="e">
        <f>IF($BH3044&lt;&gt;"","",SUMIF(#REF!,$BL3044,#REF!)-Q3044)</f>
        <v>#REF!</v>
      </c>
    </row>
    <row r="3045" spans="74:77">
      <c r="BV3045" s="65" t="e">
        <f>IF($BH3045&lt;&gt;"","",SUMIF(#REF!,$BL3045,#REF!)-N3045)</f>
        <v>#REF!</v>
      </c>
      <c r="BW3045" s="65" t="e">
        <f>IF($BH3045&lt;&gt;"","",SUMIF(#REF!,$BL3045,#REF!)-O3045)</f>
        <v>#REF!</v>
      </c>
      <c r="BX3045" s="65" t="e">
        <f>IF($BH3045&lt;&gt;"","",SUMIF(#REF!,$BL3045,#REF!)-P3045)</f>
        <v>#REF!</v>
      </c>
      <c r="BY3045" s="65" t="e">
        <f>IF($BH3045&lt;&gt;"","",SUMIF(#REF!,$BL3045,#REF!)-Q3045)</f>
        <v>#REF!</v>
      </c>
    </row>
    <row r="3046" spans="74:77">
      <c r="BV3046" s="65" t="e">
        <f>IF($BH3046&lt;&gt;"","",SUMIF(#REF!,$BL3046,#REF!)-N3046)</f>
        <v>#REF!</v>
      </c>
      <c r="BW3046" s="65" t="e">
        <f>IF($BH3046&lt;&gt;"","",SUMIF(#REF!,$BL3046,#REF!)-O3046)</f>
        <v>#REF!</v>
      </c>
      <c r="BX3046" s="65" t="e">
        <f>IF($BH3046&lt;&gt;"","",SUMIF(#REF!,$BL3046,#REF!)-P3046)</f>
        <v>#REF!</v>
      </c>
      <c r="BY3046" s="65" t="e">
        <f>IF($BH3046&lt;&gt;"","",SUMIF(#REF!,$BL3046,#REF!)-Q3046)</f>
        <v>#REF!</v>
      </c>
    </row>
    <row r="3047" spans="74:77">
      <c r="BV3047" s="65" t="e">
        <f>IF($BH3047&lt;&gt;"","",SUMIF(#REF!,$BL3047,#REF!)-N3047)</f>
        <v>#REF!</v>
      </c>
      <c r="BW3047" s="65" t="e">
        <f>IF($BH3047&lt;&gt;"","",SUMIF(#REF!,$BL3047,#REF!)-O3047)</f>
        <v>#REF!</v>
      </c>
      <c r="BX3047" s="65" t="e">
        <f>IF($BH3047&lt;&gt;"","",SUMIF(#REF!,$BL3047,#REF!)-P3047)</f>
        <v>#REF!</v>
      </c>
      <c r="BY3047" s="65" t="e">
        <f>IF($BH3047&lt;&gt;"","",SUMIF(#REF!,$BL3047,#REF!)-Q3047)</f>
        <v>#REF!</v>
      </c>
    </row>
    <row r="3048" spans="74:77">
      <c r="BV3048" s="65" t="e">
        <f>IF($BH3048&lt;&gt;"","",SUMIF(#REF!,$BL3048,#REF!)-N3048)</f>
        <v>#REF!</v>
      </c>
      <c r="BW3048" s="65" t="e">
        <f>IF($BH3048&lt;&gt;"","",SUMIF(#REF!,$BL3048,#REF!)-O3048)</f>
        <v>#REF!</v>
      </c>
      <c r="BX3048" s="65" t="e">
        <f>IF($BH3048&lt;&gt;"","",SUMIF(#REF!,$BL3048,#REF!)-P3048)</f>
        <v>#REF!</v>
      </c>
      <c r="BY3048" s="65" t="e">
        <f>IF($BH3048&lt;&gt;"","",SUMIF(#REF!,$BL3048,#REF!)-Q3048)</f>
        <v>#REF!</v>
      </c>
    </row>
  </sheetData>
  <mergeCells count="4">
    <mergeCell ref="F1:G1"/>
    <mergeCell ref="N1:O1"/>
    <mergeCell ref="V1:W1"/>
    <mergeCell ref="AD1:AE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BH132"/>
  <sheetViews>
    <sheetView workbookViewId="0">
      <selection activeCell="A128" sqref="A128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62" t="s">
        <v>558</v>
      </c>
      <c r="C1" s="2"/>
      <c r="D1"/>
    </row>
    <row r="2" spans="1:39">
      <c r="A2" t="s">
        <v>711</v>
      </c>
      <c r="B2" s="15" t="s">
        <v>504</v>
      </c>
      <c r="C2" s="15" t="s">
        <v>1081</v>
      </c>
      <c r="D2" s="23" t="s">
        <v>419</v>
      </c>
      <c r="E2" s="70" t="s">
        <v>358</v>
      </c>
      <c r="F2" s="70" t="s">
        <v>2370</v>
      </c>
      <c r="G2" s="22" t="str">
        <f>County!N1</f>
        <v>Clinton</v>
      </c>
      <c r="H2" s="24" t="str">
        <f>County!O1</f>
        <v>Trump</v>
      </c>
      <c r="I2" s="87" t="str">
        <f>County!P1</f>
        <v>McMullin</v>
      </c>
      <c r="J2" s="23" t="s">
        <v>1251</v>
      </c>
      <c r="K2" s="22"/>
      <c r="M2" s="24"/>
      <c r="O2" s="79"/>
      <c r="Q2" s="16"/>
      <c r="S2" s="16"/>
      <c r="U2" s="16"/>
      <c r="V2" s="16"/>
      <c r="W2" s="16"/>
      <c r="X2" s="189"/>
      <c r="Y2" s="190"/>
      <c r="Z2" s="190"/>
      <c r="AA2" s="16"/>
      <c r="AB2" s="189"/>
      <c r="AC2" s="190"/>
      <c r="AD2" s="190"/>
      <c r="AE2" s="16"/>
      <c r="AF2" s="1"/>
      <c r="AH2" s="1"/>
      <c r="AI2" s="1"/>
      <c r="AJ2" s="1"/>
      <c r="AK2" s="1"/>
      <c r="AM2" s="1"/>
    </row>
    <row r="3" spans="1:39">
      <c r="A3" t="str">
        <f>VLOOKUP(D3,State!$K$3:$CC$53,71,FALSE)</f>
        <v>Michigan</v>
      </c>
      <c r="B3">
        <f>VLOOKUP(A3,State!$CC$3:$CE$53,3,FALSE)</f>
        <v>16</v>
      </c>
      <c r="C3" s="70" t="str">
        <f>IF(RANK(G3,G3:J3)=1,"Dem",IF(RANK(H3,G3:J3)=1,"Rep","Ind"))</f>
        <v>Rep</v>
      </c>
      <c r="D3" s="55">
        <f>MIN(State!K$3:K$53)</f>
        <v>2.2186561957591002E-3</v>
      </c>
      <c r="E3" s="56">
        <f>VLOOKUP(A3,State!$A$3:$J$52,10,FALSE)</f>
        <v>10704</v>
      </c>
      <c r="F3" s="56">
        <f>VLOOKUP(A3,State!$A$3:$C$52,3,FALSE)</f>
        <v>4824542</v>
      </c>
      <c r="G3" s="54">
        <f>VLOOKUP(A3,State!$A$3:$M$52,13,FALSE)</f>
        <v>0.4702703386145255</v>
      </c>
      <c r="H3" s="54">
        <f>VLOOKUP(A3,State!$A$3:$O$52,15,FALSE)</f>
        <v>0.47248899481028456</v>
      </c>
      <c r="I3" s="54">
        <f>VLOOKUP(A3,State!$A$3:$Q$52,17,FALSE)</f>
        <v>1.6961195487571669E-3</v>
      </c>
      <c r="J3" s="61">
        <f t="shared" ref="J3:J12" si="0">1-G3-H3-I3</f>
        <v>5.5544547026432779E-2</v>
      </c>
      <c r="K3" s="54"/>
      <c r="M3" s="54"/>
      <c r="O3" s="54"/>
    </row>
    <row r="4" spans="1:39">
      <c r="A4" t="str">
        <f>VLOOKUP(D4,State!$K$3:$CC$53,71,FALSE)</f>
        <v>New Hampshire</v>
      </c>
      <c r="B4">
        <f>VLOOKUP(A4,State!$CC$3:$CE$53,3,FALSE)</f>
        <v>4</v>
      </c>
      <c r="C4" s="70" t="str">
        <f t="shared" ref="C4:C12" si="1">IF(RANK(G4,G4:J4)=1,"Dem",IF(RANK(H4,G4:J4)=1,"Rep","Ind"))</f>
        <v>Dem</v>
      </c>
      <c r="D4" s="55">
        <f>SMALL(State!K$3:K$53,2)</f>
        <v>3.6759568773713685E-3</v>
      </c>
      <c r="E4" s="56">
        <f>VLOOKUP(A4,State!$A$3:$J$52,10,FALSE)</f>
        <v>2736</v>
      </c>
      <c r="F4" s="56">
        <f>VLOOKUP(A4,State!$A$3:$C$52,3,FALSE)</f>
        <v>744296</v>
      </c>
      <c r="G4" s="54">
        <f>VLOOKUP(A4,State!$A$3:$M$52,13,FALSE)</f>
        <v>0.46826262669690555</v>
      </c>
      <c r="H4" s="54">
        <f>VLOOKUP(A4,State!$A$3:$O$52,15,FALSE)</f>
        <v>0.46458666981953417</v>
      </c>
      <c r="I4" s="54">
        <f>VLOOKUP(A4,State!$A$3:$Q$52,17,FALSE)</f>
        <v>1.429538785644421E-3</v>
      </c>
      <c r="J4" s="61">
        <f t="shared" si="0"/>
        <v>6.5721164697915863E-2</v>
      </c>
      <c r="K4" s="54"/>
      <c r="M4" s="54"/>
      <c r="O4" s="54"/>
    </row>
    <row r="5" spans="1:39">
      <c r="A5" t="str">
        <f>VLOOKUP(D5,State!$K$3:$CC$53,71,FALSE)</f>
        <v>Pennsylvania</v>
      </c>
      <c r="B5">
        <f>VLOOKUP(A5,State!$CC$3:$CE$53,3,FALSE)</f>
        <v>20</v>
      </c>
      <c r="C5" s="70" t="str">
        <f t="shared" si="1"/>
        <v>Rep</v>
      </c>
      <c r="D5" s="55">
        <f>SMALL(State!K$3:K$53,3)</f>
        <v>7.1824138858704511E-3</v>
      </c>
      <c r="E5" s="56">
        <f>VLOOKUP(A5,State!$A$3:$J$52,10,FALSE)</f>
        <v>44292</v>
      </c>
      <c r="F5" s="56">
        <f>VLOOKUP(A5,State!$A$3:$C$52,3,FALSE)</f>
        <v>6166729</v>
      </c>
      <c r="G5" s="54">
        <f>VLOOKUP(A5,State!$A$3:$M$52,13,FALSE)</f>
        <v>0.47455320316491933</v>
      </c>
      <c r="H5" s="54">
        <f>VLOOKUP(A5,State!$A$3:$O$52,15,FALSE)</f>
        <v>0.48173561705078982</v>
      </c>
      <c r="I5" s="54">
        <f>VLOOKUP(A5,State!$A$3:$Q$52,17,FALSE)</f>
        <v>6.9793889110418182E-4</v>
      </c>
      <c r="J5" s="61">
        <f t="shared" si="0"/>
        <v>4.3013240893186665E-2</v>
      </c>
      <c r="K5" s="54"/>
      <c r="M5" s="54"/>
      <c r="O5" s="54"/>
    </row>
    <row r="6" spans="1:39">
      <c r="A6" t="str">
        <f>VLOOKUP(D6,State!$K$3:$CC$53,71,FALSE)</f>
        <v>Wisconsin</v>
      </c>
      <c r="B6">
        <f>VLOOKUP(A6,State!$CC$3:$CE$53,3,FALSE)</f>
        <v>10</v>
      </c>
      <c r="C6" s="70" t="str">
        <f t="shared" si="1"/>
        <v>Rep</v>
      </c>
      <c r="D6" s="55">
        <f>SMALL(State!K$3:K$53,4)</f>
        <v>7.6434319506745296E-3</v>
      </c>
      <c r="E6" s="56">
        <f>VLOOKUP(A6,State!$A$3:$J$52,10,FALSE)</f>
        <v>22748</v>
      </c>
      <c r="F6" s="56">
        <f>VLOOKUP(A6,State!$A$3:$C$52,3,FALSE)</f>
        <v>2976150</v>
      </c>
      <c r="G6" s="54">
        <f>VLOOKUP(A6,State!$A$3:$M$52,13,FALSE)</f>
        <v>0.4645384137224266</v>
      </c>
      <c r="H6" s="54">
        <f>VLOOKUP(A6,State!$A$3:$O$52,15,FALSE)</f>
        <v>0.47218184567310117</v>
      </c>
      <c r="I6" s="54">
        <f>VLOOKUP(A6,State!$A$3:$Q$52,17,FALSE)</f>
        <v>3.9833341733447577E-3</v>
      </c>
      <c r="J6" s="61">
        <f t="shared" si="0"/>
        <v>5.9296406431127407E-2</v>
      </c>
      <c r="K6" s="54"/>
      <c r="M6" s="54"/>
      <c r="O6" s="54"/>
    </row>
    <row r="7" spans="1:39">
      <c r="A7" t="str">
        <f>VLOOKUP(D7,State!$K$3:$CC$53,71,FALSE)</f>
        <v>Florida</v>
      </c>
      <c r="B7">
        <f>VLOOKUP(A7,State!$CC$3:$CE$53,3,FALSE)</f>
        <v>29</v>
      </c>
      <c r="C7" s="70" t="str">
        <f t="shared" si="1"/>
        <v>Rep</v>
      </c>
      <c r="D7" s="55">
        <f>SMALL(State!K$3:K$53,5)</f>
        <v>1.1881932666417405E-2</v>
      </c>
      <c r="E7" s="56">
        <f>VLOOKUP(A7,State!$A$3:$J$52,10,FALSE)</f>
        <v>112911</v>
      </c>
      <c r="F7" s="56">
        <f>VLOOKUP(A7,State!$A$3:$C$52,3,FALSE)</f>
        <v>9502747</v>
      </c>
      <c r="G7" s="54">
        <f>VLOOKUP(A7,State!$A$3:$M$52,13,FALSE)</f>
        <v>0.47407081341847784</v>
      </c>
      <c r="H7" s="54">
        <f>VLOOKUP(A7,State!$A$3:$O$52,15,FALSE)</f>
        <v>0.48595274608489525</v>
      </c>
      <c r="I7" s="54">
        <f>VLOOKUP(A7,State!$A$3:$Q$52,17,FALSE)</f>
        <v>0</v>
      </c>
      <c r="J7" s="61">
        <f t="shared" si="0"/>
        <v>3.9976440496626853E-2</v>
      </c>
      <c r="K7" s="54"/>
      <c r="M7" s="54"/>
      <c r="O7" s="54"/>
    </row>
    <row r="8" spans="1:39">
      <c r="A8" t="str">
        <f>VLOOKUP(D8,State!$K$3:$CC$53,71,FALSE)</f>
        <v>Minnesota</v>
      </c>
      <c r="B8">
        <f>VLOOKUP(A8,State!$CC$3:$CE$53,3,FALSE)</f>
        <v>10</v>
      </c>
      <c r="C8" s="70" t="str">
        <f t="shared" si="1"/>
        <v>Dem</v>
      </c>
      <c r="D8" s="55">
        <f>SMALL(State!K$3:K$53,6)</f>
        <v>1.5140737591898502E-2</v>
      </c>
      <c r="E8" s="56">
        <f>VLOOKUP(A8,State!$A$3:$J$52,10,FALSE)</f>
        <v>44593</v>
      </c>
      <c r="F8" s="56">
        <f>VLOOKUP(A8,State!$A$3:$C$52,3,FALSE)</f>
        <v>2945233</v>
      </c>
      <c r="G8" s="54">
        <f>VLOOKUP(A8,State!$A$3:$M$52,13,FALSE)</f>
        <v>0.46441996269904623</v>
      </c>
      <c r="H8" s="54">
        <f>VLOOKUP(A8,State!$A$3:$O$52,15,FALSE)</f>
        <v>0.44927922510714774</v>
      </c>
      <c r="I8" s="54">
        <f>VLOOKUP(A8,State!$A$3:$Q$52,17,FALSE)</f>
        <v>1.802336181891212E-2</v>
      </c>
      <c r="J8" s="61">
        <f t="shared" si="0"/>
        <v>6.8277450374893967E-2</v>
      </c>
      <c r="K8" s="54"/>
      <c r="M8" s="54"/>
      <c r="O8" s="54"/>
    </row>
    <row r="9" spans="1:39">
      <c r="A9" t="str">
        <f>VLOOKUP(D9,State!$K$3:$CC$53,71,FALSE)</f>
        <v>Nevada</v>
      </c>
      <c r="B9">
        <f>VLOOKUP(A9,State!$CC$3:$CE$53,3,FALSE)</f>
        <v>6</v>
      </c>
      <c r="C9" s="70" t="str">
        <f t="shared" si="1"/>
        <v>Dem</v>
      </c>
      <c r="D9" s="55">
        <f>SMALL(State!K$3:K$53,7)</f>
        <v>2.4171283605166231E-2</v>
      </c>
      <c r="E9" s="56">
        <f>VLOOKUP(A9,State!$A$3:$J$52,10,FALSE)</f>
        <v>27202</v>
      </c>
      <c r="F9" s="56">
        <f>VLOOKUP(A9,State!$A$3:$C$52,3,FALSE)</f>
        <v>1125385</v>
      </c>
      <c r="G9" s="54">
        <f>VLOOKUP(A9,State!$A$3:$M$52,13,FALSE)</f>
        <v>0.47917823678119043</v>
      </c>
      <c r="H9" s="54">
        <f>VLOOKUP(A9,State!$A$3:$O$52,15,FALSE)</f>
        <v>0.45500695317602419</v>
      </c>
      <c r="I9" s="54">
        <f>VLOOKUP(A9,State!$A$3:$Q$52,17,FALSE)</f>
        <v>0</v>
      </c>
      <c r="J9" s="61">
        <f t="shared" si="0"/>
        <v>6.5814810042785388E-2</v>
      </c>
      <c r="K9" s="54"/>
      <c r="M9" s="54"/>
      <c r="O9" s="54"/>
    </row>
    <row r="10" spans="1:39">
      <c r="A10" t="str">
        <f>VLOOKUP(D10,State!$K$3:$CC$53,71,FALSE)</f>
        <v>Maine</v>
      </c>
      <c r="B10">
        <f>VLOOKUP(A10,State!$CC$3:$CE$53,3,FALSE)</f>
        <v>4</v>
      </c>
      <c r="C10" s="70" t="str">
        <f t="shared" si="1"/>
        <v>Dem</v>
      </c>
      <c r="D10" s="55">
        <f>SMALL(State!K$3:K$53,8)</f>
        <v>2.9604493486663806E-2</v>
      </c>
      <c r="E10" s="56">
        <f>VLOOKUP(A10,State!$A$3:$J$52,10,FALSE)</f>
        <v>22142</v>
      </c>
      <c r="F10" s="56">
        <f>VLOOKUP(A10,State!$A$3:$C$52,3,FALSE)</f>
        <v>747927</v>
      </c>
      <c r="G10" s="54">
        <f>VLOOKUP(A10,State!$A$3:$M$52,13,FALSE)</f>
        <v>0.47830202680208095</v>
      </c>
      <c r="H10" s="54">
        <f>VLOOKUP(A10,State!$A$3:$O$52,15,FALSE)</f>
        <v>0.44869753331541712</v>
      </c>
      <c r="I10" s="54">
        <f>VLOOKUP(A10,State!$A$3:$Q$52,17,FALSE)</f>
        <v>2.5229734987505465E-3</v>
      </c>
      <c r="J10" s="61">
        <f t="shared" si="0"/>
        <v>7.0477466383751325E-2</v>
      </c>
      <c r="K10" s="54"/>
      <c r="M10" s="54"/>
      <c r="O10" s="54"/>
    </row>
    <row r="11" spans="1:39">
      <c r="A11" t="str">
        <f>VLOOKUP(D11,State!$K$3:$CC$53,71,FALSE)</f>
        <v>Arizona</v>
      </c>
      <c r="B11">
        <f>VLOOKUP(A11,State!$CC$3:$CE$53,3,FALSE)</f>
        <v>11</v>
      </c>
      <c r="C11" s="70" t="str">
        <f t="shared" si="1"/>
        <v>Rep</v>
      </c>
      <c r="D11" s="55">
        <f>SMALL(State!K$3:K$53,9)</f>
        <v>3.5027260787120915E-2</v>
      </c>
      <c r="E11" s="56">
        <f>VLOOKUP(A11,State!$A$3:$J$52,10,FALSE)</f>
        <v>91234</v>
      </c>
      <c r="F11" s="56">
        <f>VLOOKUP(A11,State!$A$3:$C$52,3,FALSE)</f>
        <v>2604657</v>
      </c>
      <c r="G11" s="54">
        <f>VLOOKUP(A11,State!$A$3:$M$52,13,FALSE)</f>
        <v>0.44580418842097058</v>
      </c>
      <c r="H11" s="54">
        <f>VLOOKUP(A11,State!$A$3:$O$52,15,FALSE)</f>
        <v>0.48083144920809151</v>
      </c>
      <c r="I11" s="54">
        <f>VLOOKUP(A11,State!$A$3:$Q$52,17,FALSE)</f>
        <v>6.6991546295731069E-3</v>
      </c>
      <c r="J11" s="61">
        <f t="shared" si="0"/>
        <v>6.6665207741364807E-2</v>
      </c>
      <c r="K11" s="54"/>
      <c r="M11" s="54"/>
      <c r="O11" s="54"/>
    </row>
    <row r="12" spans="1:39">
      <c r="A12" t="str">
        <f>VLOOKUP(D12,State!$K$3:$CC$53,71,FALSE)</f>
        <v>North Carolina</v>
      </c>
      <c r="B12">
        <f>VLOOKUP(A12,State!$CC$3:$CE$53,3,FALSE)</f>
        <v>15</v>
      </c>
      <c r="C12" s="70" t="str">
        <f t="shared" si="1"/>
        <v>Rep</v>
      </c>
      <c r="D12" s="55">
        <f>SMALL(State!K$3:K$53,10)</f>
        <v>3.6552285279709398E-2</v>
      </c>
      <c r="E12" s="56">
        <f>VLOOKUP(A12,State!$A$3:$J$52,10,FALSE)</f>
        <v>173315</v>
      </c>
      <c r="F12" s="56">
        <f>VLOOKUP(A12,State!$A$3:$C$52,3,FALSE)</f>
        <v>4741564</v>
      </c>
      <c r="G12" s="54">
        <f>VLOOKUP(A12,State!$A$3:$M$52,13,FALSE)</f>
        <v>0.46172866168209475</v>
      </c>
      <c r="H12" s="54">
        <f>VLOOKUP(A12,State!$A$3:$O$52,15,FALSE)</f>
        <v>0.49828094696180414</v>
      </c>
      <c r="I12" s="54">
        <f>VLOOKUP(A12,State!$A$3:$Q$52,17,FALSE)</f>
        <v>0</v>
      </c>
      <c r="J12" s="61">
        <f t="shared" si="0"/>
        <v>3.9990391356101052E-2</v>
      </c>
      <c r="K12" s="54"/>
      <c r="M12" s="54"/>
      <c r="O12" s="54"/>
    </row>
    <row r="13" spans="1:39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>
      <c r="A14" s="62" t="s">
        <v>1716</v>
      </c>
    </row>
    <row r="15" spans="1:39">
      <c r="A15" t="s">
        <v>711</v>
      </c>
      <c r="B15" s="15" t="s">
        <v>504</v>
      </c>
      <c r="C15" s="15" t="s">
        <v>1081</v>
      </c>
      <c r="D15" s="23" t="s">
        <v>419</v>
      </c>
      <c r="E15" s="70" t="s">
        <v>358</v>
      </c>
      <c r="F15" s="70" t="s">
        <v>2370</v>
      </c>
      <c r="G15" s="22" t="str">
        <f>County!N1</f>
        <v>Clinton</v>
      </c>
      <c r="H15" s="24" t="str">
        <f>County!O1</f>
        <v>Trump</v>
      </c>
      <c r="I15" s="87" t="str">
        <f>County!P1</f>
        <v>McMullin</v>
      </c>
      <c r="J15" s="23" t="s">
        <v>1251</v>
      </c>
      <c r="K15" s="22"/>
      <c r="M15" s="24"/>
      <c r="O15" s="79"/>
      <c r="Q15" s="16"/>
      <c r="S15" s="16"/>
      <c r="U15" s="16"/>
      <c r="V15" s="16"/>
      <c r="W15" s="16"/>
      <c r="X15" s="189"/>
      <c r="Y15" s="189"/>
      <c r="Z15" s="189"/>
      <c r="AA15" s="16"/>
      <c r="AB15" s="189"/>
      <c r="AC15" s="189"/>
      <c r="AD15" s="189"/>
      <c r="AE15" s="16"/>
      <c r="AF15" s="1"/>
      <c r="AH15" s="1"/>
      <c r="AI15" s="1"/>
      <c r="AJ15" s="1"/>
      <c r="AK15" s="1"/>
      <c r="AM15" s="1"/>
    </row>
    <row r="16" spans="1:39">
      <c r="A16" t="str">
        <f>VLOOKUP(D16,State!$K$3:$CC$53,71,FALSE)</f>
        <v>District of Columbia</v>
      </c>
      <c r="B16">
        <f>VLOOKUP(A16,State!$A$3:$B$53,2,FALSE)</f>
        <v>3</v>
      </c>
      <c r="C16" s="70" t="str">
        <f>IF(RANK(G16,G16:J16)=1,"Dem",IF(RANK(H16,G16:J16)=1,"Rep","Ind"))</f>
        <v>Dem</v>
      </c>
      <c r="D16" s="55">
        <f>MAX(State!K$3:K$53)</f>
        <v>0.86776347070691495</v>
      </c>
      <c r="E16" s="56">
        <f>VLOOKUP(A16,State!$A$3:$J$53,10,FALSE)</f>
        <v>270107</v>
      </c>
      <c r="F16" s="56">
        <f>VLOOKUP(A16,State!$A$3:$C$53,3,FALSE)</f>
        <v>311268</v>
      </c>
      <c r="G16" s="54">
        <f>VLOOKUP(A16,State!$A$3:$M$53,13,FALSE)</f>
        <v>0.90863821529999866</v>
      </c>
      <c r="H16" s="54">
        <f>VLOOKUP(A16,State!$A$3:$O$53,15,FALSE)</f>
        <v>4.0874744593083774E-2</v>
      </c>
      <c r="I16" s="54">
        <f>VLOOKUP(A16,State!$A$3:$Q$53,17,FALSE)</f>
        <v>0</v>
      </c>
      <c r="J16" s="61">
        <f t="shared" ref="J16:J25" si="2">1-G16-H16-I16</f>
        <v>5.0487040106917562E-2</v>
      </c>
      <c r="K16" s="54"/>
      <c r="M16" s="54"/>
      <c r="O16" s="54"/>
    </row>
    <row r="17" spans="1:32">
      <c r="A17" t="str">
        <f>VLOOKUP(D17,State!$K$3:$CC$53,71,FALSE)</f>
        <v>Wyoming</v>
      </c>
      <c r="B17">
        <f>VLOOKUP(A17,State!$A$3:$B$53,2,FALSE)</f>
        <v>3</v>
      </c>
      <c r="C17" s="70" t="str">
        <f t="shared" ref="C17:C25" si="3">IF(RANK(G17,G17:J17)=1,"Dem",IF(RANK(H17,G17:J17)=1,"Rep","Ind"))</f>
        <v>Rep</v>
      </c>
      <c r="D17" s="55">
        <f>LARGE(State!K$3:K$53,2)</f>
        <v>0.462952757290433</v>
      </c>
      <c r="E17" s="56">
        <f>VLOOKUP(A17,State!$A$3:$J$53,10,FALSE)</f>
        <v>118446</v>
      </c>
      <c r="F17" s="56">
        <f>VLOOKUP(A17,State!$A$3:$C$53,3,FALSE)</f>
        <v>255849</v>
      </c>
      <c r="G17" s="54">
        <f>VLOOKUP(A17,State!$A$3:$M$53,13,FALSE)</f>
        <v>0.21877357347497939</v>
      </c>
      <c r="H17" s="54">
        <f>VLOOKUP(A17,State!$A$3:$O$53,15,FALSE)</f>
        <v>0.68172633076541245</v>
      </c>
      <c r="I17" s="54">
        <f>VLOOKUP(A17,State!$A$3:$Q$53,17,FALSE)</f>
        <v>0</v>
      </c>
      <c r="J17" s="61">
        <f t="shared" si="2"/>
        <v>9.9500095759608165E-2</v>
      </c>
      <c r="K17" s="54"/>
      <c r="M17" s="54"/>
      <c r="O17" s="54"/>
    </row>
    <row r="18" spans="1:32">
      <c r="A18" t="str">
        <f>VLOOKUP(D18,State!$K$3:$CC$53,71,FALSE)</f>
        <v>West Virginia</v>
      </c>
      <c r="B18">
        <f>VLOOKUP(A18,State!$A$3:$B$53,2,FALSE)</f>
        <v>5</v>
      </c>
      <c r="C18" s="70" t="str">
        <f t="shared" si="3"/>
        <v>Rep</v>
      </c>
      <c r="D18" s="55">
        <f>LARGE(State!K$3:K$53,3)</f>
        <v>0.41675436370770613</v>
      </c>
      <c r="E18" s="56">
        <f>VLOOKUP(A18,State!$A$3:$J$53,10,FALSE)</f>
        <v>300577</v>
      </c>
      <c r="F18" s="56">
        <f>VLOOKUP(A18,State!$A$3:$C$53,3,FALSE)</f>
        <v>721233</v>
      </c>
      <c r="G18" s="54">
        <f>VLOOKUP(A18,State!$A$3:$M$53,13,FALSE)</f>
        <v>0.26176561527273434</v>
      </c>
      <c r="H18" s="54">
        <f>VLOOKUP(A18,State!$A$3:$O$53,15,FALSE)</f>
        <v>0.67851997898044047</v>
      </c>
      <c r="I18" s="54">
        <f>VLOOKUP(A18,State!$A$3:$Q$53,17,FALSE)</f>
        <v>1.5307119890520817E-3</v>
      </c>
      <c r="J18" s="61">
        <f t="shared" si="2"/>
        <v>5.8183693757773103E-2</v>
      </c>
      <c r="K18" s="54"/>
      <c r="M18" s="54"/>
      <c r="O18" s="54"/>
    </row>
    <row r="19" spans="1:32">
      <c r="A19" t="str">
        <f>VLOOKUP(D19,State!$K$3:$CC$53,71,FALSE)</f>
        <v>Oklahoma</v>
      </c>
      <c r="B19">
        <f>VLOOKUP(A19,State!$A$3:$B$53,2,FALSE)</f>
        <v>7</v>
      </c>
      <c r="C19" s="70" t="str">
        <f t="shared" si="3"/>
        <v>Rep</v>
      </c>
      <c r="D19" s="55">
        <f>LARGE(State!K$3:K$53,4)</f>
        <v>0.36391184535083471</v>
      </c>
      <c r="E19" s="56">
        <f>VLOOKUP(A19,State!$A$3:$J$53,10,FALSE)</f>
        <v>528761</v>
      </c>
      <c r="F19" s="56">
        <f>VLOOKUP(A19,State!$A$3:$C$53,3,FALSE)</f>
        <v>1452992</v>
      </c>
      <c r="G19" s="54">
        <f>VLOOKUP(A19,State!$A$3:$M$53,13,FALSE)</f>
        <v>0.28931680284543893</v>
      </c>
      <c r="H19" s="54">
        <f>VLOOKUP(A19,State!$A$3:$O$53,15,FALSE)</f>
        <v>0.65322864819627358</v>
      </c>
      <c r="I19" s="54">
        <f>VLOOKUP(A19,State!$A$3:$Q$53,17,FALSE)</f>
        <v>0</v>
      </c>
      <c r="J19" s="61">
        <f t="shared" si="2"/>
        <v>5.7454548958287499E-2</v>
      </c>
      <c r="K19" s="54"/>
      <c r="M19" s="54"/>
      <c r="O19" s="54"/>
    </row>
    <row r="20" spans="1:32">
      <c r="A20" t="str">
        <f>VLOOKUP(D20,State!$K$3:$CC$53,71,FALSE)</f>
        <v>North Dakota</v>
      </c>
      <c r="B20">
        <f>VLOOKUP(A20,State!$A$3:$B$53,2,FALSE)</f>
        <v>3</v>
      </c>
      <c r="C20" s="70" t="str">
        <f t="shared" si="3"/>
        <v>Rep</v>
      </c>
      <c r="D20" s="55">
        <f>LARGE(State!K$3:K$53,5)</f>
        <v>0.35728888372633288</v>
      </c>
      <c r="E20" s="56">
        <f>VLOOKUP(A20,State!$A$3:$J$53,10,FALSE)</f>
        <v>123036</v>
      </c>
      <c r="F20" s="56">
        <f>VLOOKUP(A20,State!$A$3:$C$53,3,FALSE)</f>
        <v>344360</v>
      </c>
      <c r="G20" s="54">
        <f>VLOOKUP(A20,State!$A$3:$M$53,13,FALSE)</f>
        <v>0.27226739458706006</v>
      </c>
      <c r="H20" s="54">
        <f>VLOOKUP(A20,State!$A$3:$O$53,15,FALSE)</f>
        <v>0.629556278313393</v>
      </c>
      <c r="I20" s="54">
        <f>VLOOKUP(A20,State!$A$3:$Q$53,17,FALSE)</f>
        <v>0</v>
      </c>
      <c r="J20" s="61">
        <f t="shared" si="2"/>
        <v>9.8176327099546934E-2</v>
      </c>
      <c r="K20" s="54"/>
      <c r="M20" s="54"/>
      <c r="O20" s="54"/>
    </row>
    <row r="21" spans="1:32">
      <c r="A21" t="str">
        <f>VLOOKUP(D21,State!$K$3:$CC$53,71,FALSE)</f>
        <v>Hawaii</v>
      </c>
      <c r="B21">
        <f>VLOOKUP(A21,State!$A$3:$B$53,2,FALSE)</f>
        <v>4</v>
      </c>
      <c r="C21" s="70" t="str">
        <f t="shared" si="3"/>
        <v>Dem</v>
      </c>
      <c r="D21" s="55">
        <f>LARGE(State!K$3:K$53,6)</f>
        <v>0.32182814725705639</v>
      </c>
      <c r="E21" s="56">
        <f>VLOOKUP(A21,State!$A$3:$J$53,10,FALSE)</f>
        <v>138044</v>
      </c>
      <c r="F21" s="56">
        <f>VLOOKUP(A21,State!$A$3:$C$53,3,FALSE)</f>
        <v>428937</v>
      </c>
      <c r="G21" s="54">
        <f>VLOOKUP(A21,State!$A$3:$M$53,13,FALSE)</f>
        <v>0.62221491734217382</v>
      </c>
      <c r="H21" s="54">
        <f>VLOOKUP(A21,State!$A$3:$O$53,15,FALSE)</f>
        <v>0.30038677008511738</v>
      </c>
      <c r="I21" s="54">
        <f>VLOOKUP(A21,State!$A$3:$Q$53,17,FALSE)</f>
        <v>0</v>
      </c>
      <c r="J21" s="61">
        <f t="shared" si="2"/>
        <v>7.7398312572708794E-2</v>
      </c>
      <c r="K21" s="54"/>
      <c r="M21" s="54"/>
      <c r="O21" s="54"/>
    </row>
    <row r="22" spans="1:32">
      <c r="A22" t="str">
        <f>VLOOKUP(D22,State!$K$3:$CC$53,71,FALSE)</f>
        <v>Idaho</v>
      </c>
      <c r="B22">
        <f>VLOOKUP(A22,State!$A$3:$B$53,2,FALSE)</f>
        <v>4</v>
      </c>
      <c r="C22" s="70" t="str">
        <f t="shared" si="3"/>
        <v>Rep</v>
      </c>
      <c r="D22" s="55">
        <f>LARGE(State!K$3:K$53,7)</f>
        <v>0.31761228098888666</v>
      </c>
      <c r="E22" s="56">
        <f>VLOOKUP(A22,State!$A$3:$J$53,10,FALSE)</f>
        <v>219290</v>
      </c>
      <c r="F22" s="56">
        <f>VLOOKUP(A22,State!$A$3:$C$53,3,FALSE)</f>
        <v>690433</v>
      </c>
      <c r="G22" s="54">
        <f>VLOOKUP(A22,State!$A$3:$M$53,13,FALSE)</f>
        <v>0.27484926126068715</v>
      </c>
      <c r="H22" s="54">
        <f>VLOOKUP(A22,State!$A$3:$O$53,15,FALSE)</f>
        <v>0.59246154224957381</v>
      </c>
      <c r="I22" s="54">
        <f>VLOOKUP(A22,State!$A$3:$Q$53,17,FALSE)</f>
        <v>6.7314279589764686E-2</v>
      </c>
      <c r="J22" s="61">
        <f t="shared" si="2"/>
        <v>6.5374916899974295E-2</v>
      </c>
      <c r="K22" s="54"/>
      <c r="M22" s="54"/>
      <c r="O22" s="54"/>
    </row>
    <row r="23" spans="1:32">
      <c r="A23" t="str">
        <f>VLOOKUP(D23,State!$K$3:$CC$53,71,FALSE)</f>
        <v>California</v>
      </c>
      <c r="B23">
        <f>VLOOKUP(A23,State!$A$3:$B$53,2,FALSE)</f>
        <v>55</v>
      </c>
      <c r="C23" s="70" t="str">
        <f t="shared" si="3"/>
        <v>Dem</v>
      </c>
      <c r="D23" s="55">
        <f>LARGE(State!K$3:K$53,8)</f>
        <v>0.29990238021875848</v>
      </c>
      <c r="E23" s="56">
        <f>VLOOKUP(A23,State!$A$3:$J$53,10,FALSE)</f>
        <v>4269978</v>
      </c>
      <c r="F23" s="56">
        <f>VLOOKUP(A23,State!$A$3:$C$53,3,FALSE)</f>
        <v>14237893</v>
      </c>
      <c r="G23" s="54">
        <f>VLOOKUP(A23,State!$A$3:$M$53,13,FALSE)</f>
        <v>0.61482355570448521</v>
      </c>
      <c r="H23" s="54">
        <f>VLOOKUP(A23,State!$A$3:$O$53,15,FALSE)</f>
        <v>0.31492117548572673</v>
      </c>
      <c r="I23" s="54">
        <f>VLOOKUP(A23,State!$A$3:$Q$53,17,FALSE)</f>
        <v>2.7810294683349567E-3</v>
      </c>
      <c r="J23" s="61">
        <f t="shared" si="2"/>
        <v>6.7474239341453093E-2</v>
      </c>
      <c r="K23" s="54"/>
      <c r="M23" s="54"/>
      <c r="O23" s="54"/>
    </row>
    <row r="24" spans="1:32">
      <c r="A24" t="str">
        <f>VLOOKUP(D24,State!$K$3:$CC$53,71,FALSE)</f>
        <v>Kentucky</v>
      </c>
      <c r="B24">
        <f>VLOOKUP(A24,State!$A$3:$B$53,2,FALSE)</f>
        <v>8</v>
      </c>
      <c r="C24" s="70" t="str">
        <f t="shared" si="3"/>
        <v>Rep</v>
      </c>
      <c r="D24" s="55">
        <f>LARGE(State!K$3:K$53,9)</f>
        <v>0.29837434711431021</v>
      </c>
      <c r="E24" s="56">
        <f>VLOOKUP(A24,State!$A$3:$J$53,10,FALSE)</f>
        <v>574117</v>
      </c>
      <c r="F24" s="56">
        <f>VLOOKUP(A24,State!$A$3:$C$53,3,FALSE)</f>
        <v>1924150</v>
      </c>
      <c r="G24" s="54">
        <f>VLOOKUP(A24,State!$A$3:$M$53,13,FALSE)</f>
        <v>0.32682171348387601</v>
      </c>
      <c r="H24" s="54">
        <f>VLOOKUP(A24,State!$A$3:$O$53,15,FALSE)</f>
        <v>0.62519606059818622</v>
      </c>
      <c r="I24" s="54">
        <f>VLOOKUP(A24,State!$A$3:$Q$53,17,FALSE)</f>
        <v>1.1838993841436479E-2</v>
      </c>
      <c r="J24" s="61">
        <f t="shared" si="2"/>
        <v>3.6143232076501289E-2</v>
      </c>
      <c r="K24" s="54"/>
      <c r="M24" s="54"/>
      <c r="O24" s="54"/>
    </row>
    <row r="25" spans="1:32">
      <c r="A25" t="str">
        <f>VLOOKUP(D25,State!$K$3:$CC$53,71,FALSE)</f>
        <v>South Dakota</v>
      </c>
      <c r="B25">
        <f>VLOOKUP(A25,State!$A$3:$B$53,2,FALSE)</f>
        <v>3</v>
      </c>
      <c r="C25" s="70" t="str">
        <f t="shared" si="3"/>
        <v>Rep</v>
      </c>
      <c r="D25" s="55">
        <f>LARGE(State!K$3:K$53,10)</f>
        <v>0.29793322219009816</v>
      </c>
      <c r="E25" s="56">
        <f>VLOOKUP(A25,State!$A$3:$J$53,10,FALSE)</f>
        <v>110263</v>
      </c>
      <c r="F25" s="56">
        <f>VLOOKUP(A25,State!$A$3:$C$53,3,FALSE)</f>
        <v>370093</v>
      </c>
      <c r="G25" s="54">
        <f>VLOOKUP(A25,State!$A$3:$M$53,13,FALSE)</f>
        <v>0.31737428159948988</v>
      </c>
      <c r="H25" s="54">
        <f>VLOOKUP(A25,State!$A$3:$O$53,15,FALSE)</f>
        <v>0.61530750378958798</v>
      </c>
      <c r="I25" s="54">
        <f>VLOOKUP(A25,State!$A$3:$Q$53,17,FALSE)</f>
        <v>0</v>
      </c>
      <c r="J25" s="61">
        <f t="shared" si="2"/>
        <v>6.7318214610922134E-2</v>
      </c>
      <c r="K25" s="54"/>
      <c r="M25" s="54"/>
      <c r="O25" s="54"/>
    </row>
    <row r="26" spans="1:3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>
      <c r="A27" s="62" t="s">
        <v>1169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>
      <c r="A28" s="175" t="str">
        <f>County!N1</f>
        <v>Clinton</v>
      </c>
      <c r="B28" s="184"/>
      <c r="C28" s="184"/>
      <c r="D28" s="9"/>
      <c r="E28" s="185" t="str">
        <f>County!O1</f>
        <v>Trump</v>
      </c>
      <c r="F28" s="186"/>
      <c r="G28" s="186"/>
      <c r="H28" s="10"/>
      <c r="I28" s="187" t="str">
        <f>County!P1</f>
        <v>McMullin</v>
      </c>
      <c r="J28" s="188"/>
      <c r="K28" s="188"/>
      <c r="L28" s="11"/>
      <c r="M28" s="189" t="str">
        <f>County!Q1</f>
        <v>Johnson</v>
      </c>
      <c r="N28" s="190"/>
      <c r="O28" s="190"/>
      <c r="P28" s="16"/>
      <c r="Q28" s="189" t="str">
        <f>County!R1</f>
        <v>Stein</v>
      </c>
      <c r="R28" s="190"/>
      <c r="S28" s="190"/>
      <c r="T28" s="16"/>
      <c r="U28" s="189" t="str">
        <f>County!S1</f>
        <v>Castle</v>
      </c>
      <c r="V28" s="190"/>
      <c r="W28" s="190"/>
      <c r="X28" s="16"/>
      <c r="Y28" s="1"/>
      <c r="AA28" s="1"/>
      <c r="AB28" s="1"/>
      <c r="AC28" s="1"/>
      <c r="AD28" s="1"/>
      <c r="AF28" s="1"/>
    </row>
    <row r="29" spans="1:32" ht="13" customHeight="1">
      <c r="A29" t="str">
        <f>VLOOKUP(C29,State!M$3:CD$53,69,FALSE)</f>
        <v>District of Columbia</v>
      </c>
      <c r="C29" s="26">
        <f>MAX(State!M3:M53)</f>
        <v>0.90863821529999866</v>
      </c>
      <c r="D29" s="16"/>
      <c r="E29" t="str">
        <f>VLOOKUP(G29,State!O$3:CD$53,67,FALSE)</f>
        <v>Wyoming</v>
      </c>
      <c r="G29" s="26">
        <f>MAX(State!O3:O53)</f>
        <v>0.68172633076541245</v>
      </c>
      <c r="H29" s="10"/>
      <c r="I29" t="str">
        <f>VLOOKUP(K29,State!Q$3:CD$53,65,FALSE)</f>
        <v>Utah</v>
      </c>
      <c r="K29" s="26">
        <f>MAX(State!Q3:Q53)</f>
        <v>0.21309005501044509</v>
      </c>
      <c r="L29" s="11"/>
      <c r="M29" t="str">
        <f>VLOOKUP(O29,State!S$3:CD$53,63,FALSE)</f>
        <v>New Mexico</v>
      </c>
      <c r="O29" s="26">
        <f>MAX(State!S$3:S$53)</f>
        <v>9.3372448858163218E-2</v>
      </c>
      <c r="P29" s="26"/>
      <c r="Q29" t="str">
        <f>VLOOKUP(S29,State!U$3:CD$53,61,FALSE)</f>
        <v>Hawaii</v>
      </c>
      <c r="S29" s="26">
        <f>MAX(State!U3:U53)</f>
        <v>2.9694337396867138E-2</v>
      </c>
      <c r="T29" s="16"/>
      <c r="U29" t="str">
        <f>VLOOKUP(W29,State!W$3:CD$53,59,FALSE)</f>
        <v>Alaska</v>
      </c>
      <c r="W29" s="26">
        <f>MAX(State!W3:W53)</f>
        <v>1.2134033043740271E-2</v>
      </c>
      <c r="Z29" s="26"/>
    </row>
    <row r="30" spans="1:32">
      <c r="A30" t="str">
        <f>VLOOKUP(C30,State!M$3:CD$53,69,FALSE)</f>
        <v>Hawaii</v>
      </c>
      <c r="B30" s="26"/>
      <c r="C30" s="26">
        <f>LARGE(State!M$3:M$53,2)</f>
        <v>0.62221491734217382</v>
      </c>
      <c r="D30" s="16"/>
      <c r="E30" t="str">
        <f>VLOOKUP(G30,State!O$3:CD$53,67,FALSE)</f>
        <v>West Virginia</v>
      </c>
      <c r="F30" s="26"/>
      <c r="G30" s="26">
        <f>LARGE(State!O$3:O$53,2)</f>
        <v>0.67851997898044047</v>
      </c>
      <c r="H30" s="10"/>
      <c r="I30" t="str">
        <f>VLOOKUP(K30,State!Q$3:CD$53,65,FALSE)</f>
        <v>Idaho</v>
      </c>
      <c r="J30" s="26"/>
      <c r="K30" s="26">
        <f>LARGE(State!Q$3:Q$53,2)</f>
        <v>6.7314279589764686E-2</v>
      </c>
      <c r="L30" s="11"/>
      <c r="M30" t="str">
        <f>VLOOKUP(O30,State!S$3:CD$53,63,FALSE)</f>
        <v>North Dakota</v>
      </c>
      <c r="N30" s="26"/>
      <c r="O30" s="26">
        <f>LARGE(State!S$3:S$53,2)</f>
        <v>6.2243001510047621E-2</v>
      </c>
      <c r="P30" s="26"/>
      <c r="Q30" t="str">
        <f>VLOOKUP(S30,State!U$3:CD$53,61,FALSE)</f>
        <v>Oregon</v>
      </c>
      <c r="R30" s="26"/>
      <c r="S30" s="26">
        <f>LARGE(State!U$3:U$53,2)</f>
        <v>2.4984310480598959E-2</v>
      </c>
      <c r="T30" s="16"/>
      <c r="U30" t="str">
        <f>VLOOKUP(W30,State!W$3:CD$53,59,FALSE)</f>
        <v>South Dakota</v>
      </c>
      <c r="V30" s="26"/>
      <c r="W30" s="26">
        <f>LARGE(State!W$3:W$53,2)</f>
        <v>1.0981023688640424E-2</v>
      </c>
      <c r="Y30" s="26"/>
      <c r="Z30" s="26"/>
    </row>
    <row r="31" spans="1:32">
      <c r="A31" t="str">
        <f>VLOOKUP(C31,State!M$3:CD$53,69,FALSE)</f>
        <v>California</v>
      </c>
      <c r="B31" s="26"/>
      <c r="C31" s="26">
        <f>LARGE(State!M$3:M$53,3)</f>
        <v>0.61482355570448521</v>
      </c>
      <c r="D31" s="16"/>
      <c r="E31" t="str">
        <f>VLOOKUP(G31,State!O$3:CD$53,67,FALSE)</f>
        <v>Oklahoma</v>
      </c>
      <c r="F31" s="26"/>
      <c r="G31" s="26">
        <f>LARGE(State!O$3:O$53,3)</f>
        <v>0.65322864819627358</v>
      </c>
      <c r="H31" s="10"/>
      <c r="I31" t="str">
        <f>VLOOKUP(K31,State!Q$3:CD$53,65,FALSE)</f>
        <v>Minnesota</v>
      </c>
      <c r="J31" s="26"/>
      <c r="K31" s="26">
        <f>LARGE(State!Q$3:Q$53,3)</f>
        <v>1.802336181891212E-2</v>
      </c>
      <c r="L31" s="11"/>
      <c r="M31" t="str">
        <f>VLOOKUP(O31,State!S$3:CD$53,63,FALSE)</f>
        <v>Alaska</v>
      </c>
      <c r="N31" s="26"/>
      <c r="O31" s="26">
        <f>LARGE(State!S$3:S$53,3)</f>
        <v>5.8771280068297092E-2</v>
      </c>
      <c r="P31" s="26"/>
      <c r="Q31" t="str">
        <f>VLOOKUP(S31,State!U$3:CD$53,61,FALSE)</f>
        <v>Vermont</v>
      </c>
      <c r="R31" s="26"/>
      <c r="S31" s="26">
        <f>LARGE(State!U$3:U$53,3)</f>
        <v>2.1449405999358868E-2</v>
      </c>
      <c r="T31" s="16"/>
      <c r="U31" t="str">
        <f>VLOOKUP(W31,State!W$3:CD$53,59,FALSE)</f>
        <v>Hawaii</v>
      </c>
      <c r="V31" s="26"/>
      <c r="W31" s="26">
        <f>LARGE(State!W$3:W$53,3)</f>
        <v>1.0509701890953684E-2</v>
      </c>
      <c r="Y31" s="26"/>
      <c r="Z31" s="26"/>
    </row>
    <row r="32" spans="1:32">
      <c r="A32" t="str">
        <f>VLOOKUP(C32,State!M$3:CD$53,69,FALSE)</f>
        <v>Maryland</v>
      </c>
      <c r="B32" s="26"/>
      <c r="C32" s="26">
        <f>LARGE(State!M$3:M$53,4)</f>
        <v>0.60325744235192769</v>
      </c>
      <c r="D32" s="16"/>
      <c r="E32" t="str">
        <f>VLOOKUP(G32,State!O$3:CD$53,67,FALSE)</f>
        <v>North Dakota</v>
      </c>
      <c r="F32" s="26"/>
      <c r="G32" s="26">
        <f>LARGE(State!O$3:O$53,4)</f>
        <v>0.629556278313393</v>
      </c>
      <c r="H32" s="10"/>
      <c r="I32" t="str">
        <f>VLOOKUP(K32,State!Q$3:CD$53,65,FALSE)</f>
        <v>Virginia</v>
      </c>
      <c r="J32" s="26"/>
      <c r="K32" s="26">
        <f>LARGE(State!Q$3:Q$53,4)</f>
        <v>1.3572022561284258E-2</v>
      </c>
      <c r="L32" s="11"/>
      <c r="M32" t="str">
        <f>VLOOKUP(O32,State!S$3:CD$53,63,FALSE)</f>
        <v>Oklahoma</v>
      </c>
      <c r="N32" s="26"/>
      <c r="O32" s="26">
        <f>LARGE(State!S$3:S$53,4)</f>
        <v>5.7454548958287451E-2</v>
      </c>
      <c r="P32" s="26"/>
      <c r="Q32" t="str">
        <f>VLOOKUP(S32,State!U$3:CD$53,61,FALSE)</f>
        <v>Kansas</v>
      </c>
      <c r="R32" s="26"/>
      <c r="S32" s="26">
        <f>LARGE(State!U$3:U$53,4)</f>
        <v>1.9674326535565868E-2</v>
      </c>
      <c r="T32" s="16"/>
      <c r="U32" t="str">
        <f>VLOOKUP(W32,State!W$3:CD$53,59,FALSE)</f>
        <v>Wyoming</v>
      </c>
      <c r="V32" s="26"/>
      <c r="W32" s="26">
        <f>LARGE(State!W$3:W$53,4)</f>
        <v>7.9812702023459147E-3</v>
      </c>
      <c r="Y32" s="26"/>
      <c r="Z32" s="26"/>
    </row>
    <row r="33" spans="1:31">
      <c r="A33" t="str">
        <f>VLOOKUP(C33,State!M$3:CD$53,69,FALSE)</f>
        <v>Massachusetts</v>
      </c>
      <c r="B33" s="26"/>
      <c r="C33" s="26">
        <f>LARGE(State!M$3:M$53,5)</f>
        <v>0.60005064591587609</v>
      </c>
      <c r="D33" s="16"/>
      <c r="E33" t="str">
        <f>VLOOKUP(G33,State!O$3:CD$53,67,FALSE)</f>
        <v>Kentucky</v>
      </c>
      <c r="F33" s="26"/>
      <c r="G33" s="26">
        <f>LARGE(State!O$3:O$53,5)</f>
        <v>0.62519606059818622</v>
      </c>
      <c r="H33" s="10"/>
      <c r="I33" t="str">
        <f>VLOOKUP(K33,State!Q$3:CD$53,65,FALSE)</f>
        <v>Kentucky</v>
      </c>
      <c r="J33" s="26"/>
      <c r="K33" s="26">
        <f>LARGE(State!Q$3:Q$53,5)</f>
        <v>1.1838993841436479E-2</v>
      </c>
      <c r="L33" s="11"/>
      <c r="M33" t="str">
        <f>VLOOKUP(O33,State!S$3:CD$53,63,FALSE)</f>
        <v>South Dakota</v>
      </c>
      <c r="N33" s="26"/>
      <c r="O33" s="26">
        <f>LARGE(State!S$3:S$53,5)</f>
        <v>5.6337190922281698E-2</v>
      </c>
      <c r="P33" s="26"/>
      <c r="Q33" t="str">
        <f>VLOOKUP(S33,State!U$3:CD$53,61,FALSE)</f>
        <v>California</v>
      </c>
      <c r="R33" s="26"/>
      <c r="S33" s="26">
        <f>LARGE(State!U$3:U$53,5)</f>
        <v>1.9571575653785291E-2</v>
      </c>
      <c r="T33" s="16"/>
      <c r="U33" t="str">
        <f>VLOOKUP(W33,State!W$3:CD$53,59,FALSE)</f>
        <v>Utah</v>
      </c>
      <c r="V33" s="26"/>
      <c r="W33" s="26">
        <f>LARGE(State!W$3:W$53,5)</f>
        <v>7.023428625893122E-3</v>
      </c>
      <c r="Y33" s="26"/>
      <c r="Z33" s="26"/>
    </row>
    <row r="34" spans="1:31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>
      <c r="A35" s="100" t="s">
        <v>2677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" customHeight="1">
      <c r="A36" t="str">
        <f>VLOOKUP(C36,State!M$3:CD$53,69,FALSE)</f>
        <v>Wyoming</v>
      </c>
      <c r="B36" s="26"/>
      <c r="C36" s="26">
        <f>MIN(State!M3:M53)</f>
        <v>0.21877357347497939</v>
      </c>
      <c r="D36" s="16"/>
      <c r="E36" t="str">
        <f>VLOOKUP(G36,State!O$3:CD$53,67,FALSE)</f>
        <v>District of Columbia</v>
      </c>
      <c r="F36" s="26"/>
      <c r="G36" s="26">
        <f>MIN(State!O3:O53)</f>
        <v>4.0874744593083774E-2</v>
      </c>
      <c r="H36" s="10"/>
      <c r="I36" t="str">
        <f>VLOOKUP(K36,State!Q$3:CD$53,65,FALSE)</f>
        <v>Alabama</v>
      </c>
      <c r="J36" s="26"/>
      <c r="K36" s="26">
        <f>MIN(State!Q3:Q53)</f>
        <v>0</v>
      </c>
      <c r="L36" s="11"/>
      <c r="M36" t="str">
        <f>VLOOKUP(O36,State!S$3:CD$53,63,FALSE)</f>
        <v>Mississippi</v>
      </c>
      <c r="N36" s="26"/>
      <c r="O36" s="26">
        <f>MIN(State!S3:S53)</f>
        <v>1.1919034785250948E-2</v>
      </c>
      <c r="P36" s="26"/>
      <c r="Q36" t="str">
        <f>VLOOKUP(S36,State!U$3:CD$53,61,FALSE)</f>
        <v>Nevada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>
      <c r="A37" t="str">
        <f>VLOOKUP(C37,State!M$3:CD$53,69,FALSE)</f>
        <v>West Virginia</v>
      </c>
      <c r="B37" s="26"/>
      <c r="C37" s="26">
        <f>SMALL(State!M$3:M$53,2)</f>
        <v>0.26176561527273434</v>
      </c>
      <c r="D37" s="16"/>
      <c r="E37" t="str">
        <f>VLOOKUP(G37,State!O$3:CD$53,67,FALSE)</f>
        <v>Hawaii</v>
      </c>
      <c r="F37" s="26"/>
      <c r="G37" s="26">
        <f>SMALL(State!O$3:O$53,2)</f>
        <v>0.30038677008511738</v>
      </c>
      <c r="H37" s="10"/>
      <c r="I37" t="str">
        <f>VLOOKUP(K37,State!Q$3:CD$53,65,FALSE)</f>
        <v>Alabama</v>
      </c>
      <c r="J37" s="26"/>
      <c r="K37" s="26">
        <f>SMALL(State!Q$3:Q$53,2)</f>
        <v>0</v>
      </c>
      <c r="L37" s="11"/>
      <c r="M37" t="str">
        <f>VLOOKUP(O37,State!S$3:CD$53,63,FALSE)</f>
        <v>District of Columbia</v>
      </c>
      <c r="N37" s="26"/>
      <c r="O37" s="26">
        <f>SMALL(State!S$3:S$53,2)</f>
        <v>1.5761337496947969E-2</v>
      </c>
      <c r="P37" s="26"/>
      <c r="Q37" t="str">
        <f>VLOOKUP(S37,State!U$3:CD$53,61,FALSE)</f>
        <v>Nevada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>
      <c r="A38" t="str">
        <f>VLOOKUP(C38,State!M$3:CD$53,69,FALSE)</f>
        <v>Utah</v>
      </c>
      <c r="B38" s="26"/>
      <c r="C38" s="26">
        <f>SMALL(State!M$3:M$53,3)</f>
        <v>0.27166468025124146</v>
      </c>
      <c r="D38" s="16"/>
      <c r="E38" t="str">
        <f>VLOOKUP(G38,State!O$3:CD$53,67,FALSE)</f>
        <v>Vermont</v>
      </c>
      <c r="F38" s="26"/>
      <c r="G38" s="26">
        <f>SMALL(State!O$3:O$53,3)</f>
        <v>0.30269434755147318</v>
      </c>
      <c r="H38" s="10"/>
      <c r="I38" t="str">
        <f>VLOOKUP(K38,State!Q$3:CD$53,65,FALSE)</f>
        <v>Alabama</v>
      </c>
      <c r="J38" s="26"/>
      <c r="K38" s="26">
        <f>SMALL(State!Q$3:Q$53,3)</f>
        <v>0</v>
      </c>
      <c r="L38" s="11"/>
      <c r="M38" t="str">
        <f>VLOOKUP(O38,State!S$3:CD$53,63,FALSE)</f>
        <v>New Jersey</v>
      </c>
      <c r="N38" s="26"/>
      <c r="O38" s="26">
        <f>SMALL(State!S$3:S$53,3)</f>
        <v>1.8551865591699232E-2</v>
      </c>
      <c r="P38" s="26"/>
      <c r="Q38" t="str">
        <f>VLOOKUP(S38,State!U$3:CD$53,61,FALSE)</f>
        <v>Nevada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>
      <c r="A39" t="str">
        <f>VLOOKUP(C39,State!M$3:CD$53,69,FALSE)</f>
        <v>North Dakota</v>
      </c>
      <c r="B39" s="26"/>
      <c r="C39" s="26">
        <f>SMALL(State!M$3:M$53,4)</f>
        <v>0.27226739458706006</v>
      </c>
      <c r="D39" s="16"/>
      <c r="E39" t="str">
        <f>VLOOKUP(G39,State!O$3:CD$53,67,FALSE)</f>
        <v>California</v>
      </c>
      <c r="F39" s="26"/>
      <c r="G39" s="26">
        <f>SMALL(State!O$3:O$53,4)</f>
        <v>0.31492117548572673</v>
      </c>
      <c r="H39" s="10"/>
      <c r="I39" t="str">
        <f>VLOOKUP(K39,State!Q$3:CD$53,65,FALSE)</f>
        <v>Alabama</v>
      </c>
      <c r="J39" s="26"/>
      <c r="K39" s="26">
        <f>SMALL(State!Q$3:Q$53,4)</f>
        <v>0</v>
      </c>
      <c r="L39" s="11"/>
      <c r="M39" t="str">
        <f>VLOOKUP(O39,State!S$3:CD$53,63,FALSE)</f>
        <v>Louisiana</v>
      </c>
      <c r="N39" s="26"/>
      <c r="O39" s="26">
        <f>SMALL(State!S$3:S$53,4)</f>
        <v>1.8717299677875953E-2</v>
      </c>
      <c r="P39" s="26"/>
      <c r="Q39" t="str">
        <f>VLOOKUP(S39,State!U$3:CD$53,61,FALSE)</f>
        <v>Georgia</v>
      </c>
      <c r="R39" s="26"/>
      <c r="S39" s="26">
        <f>SMALL(State!U$3:U$53,4)</f>
        <v>1.8529755421233206E-3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>
      <c r="A40" t="str">
        <f>VLOOKUP(C40,State!M$3:CD$53,69,FALSE)</f>
        <v>Idaho</v>
      </c>
      <c r="B40" s="26"/>
      <c r="C40" s="26">
        <f>SMALL(State!M$3:M$53,5)</f>
        <v>0.27484926126068715</v>
      </c>
      <c r="D40" s="16"/>
      <c r="E40" t="str">
        <f>VLOOKUP(G40,State!O$3:CD$53,67,FALSE)</f>
        <v>Massachusetts</v>
      </c>
      <c r="F40" s="26"/>
      <c r="G40" s="26">
        <f>SMALL(State!O$3:O$53,5)</f>
        <v>0.32808358140007687</v>
      </c>
      <c r="H40" s="10"/>
      <c r="I40" t="str">
        <f>VLOOKUP(K40,State!Q$3:CD$53,65,FALSE)</f>
        <v>Alabama</v>
      </c>
      <c r="J40" s="26"/>
      <c r="K40" s="26">
        <f>SMALL(State!Q$3:Q$53,5)</f>
        <v>0</v>
      </c>
      <c r="L40" s="11"/>
      <c r="M40" t="str">
        <f>VLOOKUP(O40,State!S$3:CD$53,63,FALSE)</f>
        <v>Alabama</v>
      </c>
      <c r="N40" s="26"/>
      <c r="O40" s="26">
        <f>SMALL(State!S$3:S$53,5)</f>
        <v>2.0941690857748902E-2</v>
      </c>
      <c r="P40" s="26"/>
      <c r="Q40" t="str">
        <f>VLOOKUP(S40,State!U$3:CD$53,61,FALSE)</f>
        <v>North Carolina</v>
      </c>
      <c r="R40" s="26"/>
      <c r="S40" s="26">
        <f>SMALL(State!U$3:U$53,5)</f>
        <v>2.552955100890761E-3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>
      <c r="A42" s="100" t="s">
        <v>2968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" customHeight="1">
      <c r="A43" t="str">
        <f>VLOOKUP(C43,County!$J$3:$BF$3258,49,FALSE)</f>
        <v>District of Columbia</v>
      </c>
      <c r="B43" t="str">
        <f>VLOOKUP(C43,County!$J$3:$BG$3258,50,FALSE)</f>
        <v>DC</v>
      </c>
      <c r="C43" s="2">
        <f>MAX(County!J1:J3258)</f>
        <v>0.90863821529999866</v>
      </c>
      <c r="E43" t="str">
        <f>VLOOKUP(G43,County!$K$3:$BF$3258,48,FALSE)</f>
        <v>Roberts</v>
      </c>
      <c r="F43" t="str">
        <f>VLOOKUP(G43,County!$K$3:$BG$3258,49,FALSE)</f>
        <v>TX</v>
      </c>
      <c r="G43" s="2">
        <f>MAX(County!K1:K3258)</f>
        <v>0.94584837545126355</v>
      </c>
      <c r="H43" s="2"/>
      <c r="I43" t="str">
        <f>VLOOKUP(K43,County!$L$3:$BF$3258,47,FALSE)</f>
        <v>Madison</v>
      </c>
      <c r="J43" t="str">
        <f>VLOOKUP(K43,County!$L$3:$BG$3258,48,FALSE)</f>
        <v>ID</v>
      </c>
      <c r="K43" s="2">
        <f>MAX(County!L1:L3258)</f>
        <v>0.29761601223865375</v>
      </c>
      <c r="L43" s="2"/>
      <c r="M43" t="str">
        <f>VLOOKUP(O43,County!$BA$3:$BF$3258,6,FALSE)</f>
        <v>Los Alamos</v>
      </c>
      <c r="N43" t="str">
        <f>VLOOKUP(O43,County!$BA$3:$BG$3258,7,FALSE)</f>
        <v>NM</v>
      </c>
      <c r="O43" s="2">
        <f>MAX(County!BA1:BA3258)</f>
        <v>0.13890675241157557</v>
      </c>
      <c r="P43" s="2"/>
      <c r="Q43" t="str">
        <f>VLOOKUP(S43,County!$BB$3:$BF$3258,5,FALSE)</f>
        <v>Sioux</v>
      </c>
      <c r="R43" t="str">
        <f>VLOOKUP(S43,County!$BB$3:$BG$3258,6,FALSE)</f>
        <v>ND</v>
      </c>
      <c r="S43" s="2">
        <f>MAX(County!BB1:BB3258)</f>
        <v>0.1038961038961039</v>
      </c>
      <c r="T43" s="2"/>
      <c r="U43" t="str">
        <f>VLOOKUP(W43,County!$BD$3:$BG$3258,3,FALSE)</f>
        <v>District 38</v>
      </c>
      <c r="V43" t="str">
        <f>VLOOKUP(W43,County!$BD$3:$BG$3258,4,FALSE)</f>
        <v>AK</v>
      </c>
      <c r="W43" s="2">
        <f>MAX(County!BD1:BD3258)</f>
        <v>6.0843964671246323E-2</v>
      </c>
      <c r="X43" s="2"/>
    </row>
    <row r="44" spans="1:31">
      <c r="A44" t="str">
        <f>VLOOKUP(C44,County!$J$3:$BF$3258,49,FALSE)</f>
        <v>Bronx</v>
      </c>
      <c r="B44" t="str">
        <f>VLOOKUP(C44,County!$J$3:$BG$3258,50,FALSE)</f>
        <v>NY</v>
      </c>
      <c r="C44" s="2">
        <f>LARGE(County!J1:J3258,2)</f>
        <v>0.88517278147386125</v>
      </c>
      <c r="E44" t="str">
        <f>VLOOKUP(G44,County!$K$3:$BF$3258,48,FALSE)</f>
        <v>King</v>
      </c>
      <c r="F44" t="str">
        <f>VLOOKUP(G44,County!$K$3:$BG$3258,49,FALSE)</f>
        <v>TX</v>
      </c>
      <c r="G44" s="2">
        <f>LARGE(County!K1:K3258,2)</f>
        <v>0.93710691823899372</v>
      </c>
      <c r="I44" t="str">
        <f>VLOOKUP(K44,County!$L$3:$BF$3258,47,FALSE)</f>
        <v>Utah</v>
      </c>
      <c r="J44" t="str">
        <f>VLOOKUP(K44,County!$L$3:$BG$3258,48,FALSE)</f>
        <v>UT</v>
      </c>
      <c r="K44" s="2">
        <f>LARGE(County!L1:L3258,2)</f>
        <v>0.29724712976694395</v>
      </c>
      <c r="M44" t="str">
        <f>VLOOKUP(O44,County!$BA$3:$BF$3258,6,FALSE)</f>
        <v>Guadalupe</v>
      </c>
      <c r="N44" t="str">
        <f>VLOOKUP(O44,County!$BA$3:$BG$3258,7,FALSE)</f>
        <v>NM</v>
      </c>
      <c r="O44" s="2">
        <f>LARGE(County!BA1:BA3258,2)</f>
        <v>0.13026819923371646</v>
      </c>
      <c r="P44" s="2"/>
      <c r="Q44" t="str">
        <f>VLOOKUP(S44,County!$BB$3:$BF$3258,5,FALSE)</f>
        <v>Humboldt</v>
      </c>
      <c r="R44" t="str">
        <f>VLOOKUP(S44,County!$BB$3:$BG$3258,6,FALSE)</f>
        <v>CA</v>
      </c>
      <c r="S44" s="2">
        <f>LARGE(County!BB1:BB3258,2)</f>
        <v>6.1335688339387476E-2</v>
      </c>
      <c r="U44" t="str">
        <f>VLOOKUP(W44,County!$BD$3:$BG$3258,3,FALSE)</f>
        <v>District 40</v>
      </c>
      <c r="V44" t="str">
        <f>VLOOKUP(W44,County!$BD$3:$BG$3258,4,FALSE)</f>
        <v>AK</v>
      </c>
      <c r="W44" s="2">
        <f>LARGE(County!BD1:BD3258,2)</f>
        <v>5.7483731019522775E-2</v>
      </c>
    </row>
    <row r="45" spans="1:31">
      <c r="A45" t="str">
        <f>VLOOKUP(C45,County!$J$3:$BF$3258,49,FALSE)</f>
        <v>Prince George's</v>
      </c>
      <c r="B45" t="str">
        <f>VLOOKUP(C45,County!$J$3:$BG$3258,50,FALSE)</f>
        <v>MD</v>
      </c>
      <c r="C45" s="2">
        <f>LARGE(County!J3:J3259,3)</f>
        <v>0.88130691496855673</v>
      </c>
      <c r="D45"/>
      <c r="E45" t="str">
        <f>VLOOKUP(G45,County!$K$3:$BF$3258,48,FALSE)</f>
        <v>Motley</v>
      </c>
      <c r="F45" t="str">
        <f>VLOOKUP(G45,County!$K$3:$BG$3258,49,FALSE)</f>
        <v>TX</v>
      </c>
      <c r="G45" s="2">
        <f>LARGE(County!K3:K3259,3)</f>
        <v>0.92032520325203249</v>
      </c>
      <c r="I45" t="str">
        <f>VLOOKUP(K45,County!$L$3:$BF$3258,47,FALSE)</f>
        <v>Cache</v>
      </c>
      <c r="J45" t="str">
        <f>VLOOKUP(K45,County!$L$3:$BG$3258,48,FALSE)</f>
        <v>UT</v>
      </c>
      <c r="K45" s="2">
        <f>LARGE(County!L3:L3259,3)</f>
        <v>0.29314182970161395</v>
      </c>
      <c r="M45" t="str">
        <f>VLOOKUP(O45,County!$BA$3:$BF$3258,6,FALSE)</f>
        <v>Cibola</v>
      </c>
      <c r="N45" t="str">
        <f>VLOOKUP(O45,County!$BA$3:$BG$3258,7,FALSE)</f>
        <v>NM</v>
      </c>
      <c r="O45" s="2">
        <f>LARGE(County!BA3:BA3259,3)</f>
        <v>0.12030261689197569</v>
      </c>
      <c r="P45" s="2"/>
      <c r="Q45" t="str">
        <f>VLOOKUP(S45,County!$BB$3:$BF$3258,5,FALSE)</f>
        <v>Mendocino</v>
      </c>
      <c r="R45" t="str">
        <f>VLOOKUP(S45,County!$BB$3:$BG$3258,6,FALSE)</f>
        <v>CA</v>
      </c>
      <c r="S45" s="2">
        <f>LARGE(County!BB3:BB3259,3)</f>
        <v>5.559804826585784E-2</v>
      </c>
      <c r="U45" t="str">
        <f>VLOOKUP(W45,County!$BD$3:$BG$3258,3,FALSE)</f>
        <v>District 39</v>
      </c>
      <c r="V45" t="str">
        <f>VLOOKUP(W45,County!$BD$3:$BG$3258,4,FALSE)</f>
        <v>AK</v>
      </c>
      <c r="W45" s="2">
        <f>LARGE(County!BD3:BD3259,3)</f>
        <v>5.3378258556481643E-2</v>
      </c>
    </row>
    <row r="46" spans="1:31">
      <c r="A46" t="str">
        <f>VLOOKUP(C46,County!$J$3:$BF$3258,49,FALSE)</f>
        <v>Federal</v>
      </c>
      <c r="B46" t="str">
        <f>VLOOKUP(C46,County!$J$3:$BG$3258,50,FALSE)</f>
        <v>RI</v>
      </c>
      <c r="C46" s="2">
        <f>LARGE(County!J4:J3260,4)</f>
        <v>0.875</v>
      </c>
      <c r="D46"/>
      <c r="E46" t="str">
        <f>VLOOKUP(G46,County!$K$3:$BF$3258,48,FALSE)</f>
        <v>Hayes</v>
      </c>
      <c r="F46" t="str">
        <f>VLOOKUP(G46,County!$K$3:$BG$3258,49,FALSE)</f>
        <v>NE</v>
      </c>
      <c r="G46" s="2">
        <f>LARGE(County!K4:K3260,4)</f>
        <v>0.91828793774319062</v>
      </c>
      <c r="I46" t="str">
        <f>VLOOKUP(K46,County!$L$3:$BF$3258,47,FALSE)</f>
        <v>Davis</v>
      </c>
      <c r="J46" t="str">
        <f>VLOOKUP(K46,County!$L$3:$BG$3258,48,FALSE)</f>
        <v>UT</v>
      </c>
      <c r="K46" s="2">
        <f>LARGE(County!L4:L3260,4)</f>
        <v>0.28323876596715331</v>
      </c>
      <c r="M46" t="str">
        <f>VLOOKUP(O46,County!$BA$3:$BF$3258,6,FALSE)</f>
        <v>Socorro</v>
      </c>
      <c r="N46" t="str">
        <f>VLOOKUP(O46,County!$BA$3:$BG$3258,7,FALSE)</f>
        <v>NM</v>
      </c>
      <c r="O46" s="2">
        <f>LARGE(County!BA4:BA3260,4)</f>
        <v>0.11677344205008736</v>
      </c>
      <c r="P46" s="2"/>
      <c r="Q46" t="str">
        <f>VLOOKUP(S46,County!$BB$3:$BF$3258,5,FALSE)</f>
        <v>District 38</v>
      </c>
      <c r="R46" t="str">
        <f>VLOOKUP(S46,County!$BB$3:$BG$3258,6,FALSE)</f>
        <v>AK</v>
      </c>
      <c r="S46" s="2">
        <f>LARGE(County!BB4:BB3260,4)</f>
        <v>5.1619234543670262E-2</v>
      </c>
      <c r="U46" t="str">
        <f>VLOOKUP(W46,County!$BD$3:$BG$3258,3,FALSE)</f>
        <v>Ziebach</v>
      </c>
      <c r="V46" t="str">
        <f>VLOOKUP(W46,County!$BD$3:$BG$3258,4,FALSE)</f>
        <v>SD</v>
      </c>
      <c r="W46" s="2">
        <f>LARGE(County!BD4:BD3260,4)</f>
        <v>2.3468057366362451E-2</v>
      </c>
    </row>
    <row r="47" spans="1:31">
      <c r="A47" t="str">
        <f>VLOOKUP(C47,County!$J$3:$BF$3258,49,FALSE)</f>
        <v>Petersburg</v>
      </c>
      <c r="B47" t="str">
        <f>VLOOKUP(C47,County!$J$3:$BG$3258,50,FALSE)</f>
        <v>VA</v>
      </c>
      <c r="C47" s="2">
        <f>LARGE(County!J5:J3260,5)</f>
        <v>0.87197156535615838</v>
      </c>
      <c r="D47"/>
      <c r="E47" t="str">
        <f>VLOOKUP(G47,County!$K$3:$BF$3258,48,FALSE)</f>
        <v>Shackelford</v>
      </c>
      <c r="F47" t="str">
        <f>VLOOKUP(G47,County!$K$3:$BG$3258,49,FALSE)</f>
        <v>TX</v>
      </c>
      <c r="G47" s="2">
        <f>LARGE(County!K5:K3260,5)</f>
        <v>0.91622340425531912</v>
      </c>
      <c r="I47" t="str">
        <f>VLOOKUP(K47,County!$L$3:$BF$3258,47,FALSE)</f>
        <v>Morgan</v>
      </c>
      <c r="J47" t="str">
        <f>VLOOKUP(K47,County!$L$3:$BG$3258,48,FALSE)</f>
        <v>UT</v>
      </c>
      <c r="K47" s="2">
        <f>LARGE(County!L5:L3260,5)</f>
        <v>0.23073959938366717</v>
      </c>
      <c r="M47" t="str">
        <f>VLOOKUP(O47,County!$BA$3:$BF$3258,6,FALSE)</f>
        <v>McKinley</v>
      </c>
      <c r="N47" t="str">
        <f>VLOOKUP(O47,County!$BA$3:$BG$3258,7,FALSE)</f>
        <v>NM</v>
      </c>
      <c r="O47" s="2">
        <f>LARGE(County!BA5:BA3260,5)</f>
        <v>0.1111367092107082</v>
      </c>
      <c r="P47" s="2"/>
      <c r="Q47" t="str">
        <f>VLOOKUP(S47,County!$BB$3:$BF$3258,5,FALSE)</f>
        <v>Rolette</v>
      </c>
      <c r="R47" t="str">
        <f>VLOOKUP(S47,County!$BB$3:$BG$3258,6,FALSE)</f>
        <v>ND</v>
      </c>
      <c r="S47" s="2">
        <f>LARGE(County!BB5:BB3260,5)</f>
        <v>4.6604527296937419E-2</v>
      </c>
      <c r="U47" t="str">
        <f>VLOOKUP(W47,County!$BD$3:$BG$3258,3,FALSE)</f>
        <v>District 37</v>
      </c>
      <c r="V47" t="str">
        <f>VLOOKUP(W47,County!$BD$3:$BG$3258,4,FALSE)</f>
        <v>AK</v>
      </c>
      <c r="W47" s="2">
        <f>LARGE(County!BD5:BD3260,5)</f>
        <v>2.3310944290794153E-2</v>
      </c>
    </row>
    <row r="48" spans="1:31">
      <c r="C48" s="2"/>
      <c r="D48"/>
      <c r="G48" s="2"/>
      <c r="K48" s="2"/>
      <c r="O48" s="2"/>
      <c r="P48" s="2"/>
      <c r="S48" s="2"/>
      <c r="W48" s="2"/>
    </row>
    <row r="49" spans="1:31">
      <c r="A49" s="100" t="s">
        <v>1992</v>
      </c>
    </row>
    <row r="50" spans="1:31" ht="13" customHeight="1">
      <c r="A50" t="str">
        <f>VLOOKUP(C50,County!$J$3:$BF$3258,49,FALSE)</f>
        <v>King</v>
      </c>
      <c r="B50" t="str">
        <f>VLOOKUP(C50,County!$J$3:$BG$3258,50,FALSE)</f>
        <v>TX</v>
      </c>
      <c r="C50" s="2">
        <f>MIN(County!J1:J3258)</f>
        <v>3.1446540880503145E-2</v>
      </c>
      <c r="D50"/>
      <c r="E50" t="str">
        <f>VLOOKUP(G50,County!$K$3:$BF$3258,48,FALSE)</f>
        <v>District of Columbia</v>
      </c>
      <c r="F50" t="str">
        <f>VLOOKUP(G50,County!$K$3:$BG$3258,49,FALSE)</f>
        <v>DC</v>
      </c>
      <c r="G50" s="2">
        <f>MIN(County!K1:K3258)</f>
        <v>4.0874744593083774E-2</v>
      </c>
      <c r="K50" s="2"/>
      <c r="L50" s="2"/>
      <c r="O50" s="2"/>
      <c r="P50" s="2"/>
      <c r="S50" s="2"/>
      <c r="T50" s="2"/>
      <c r="W50" s="2"/>
      <c r="X50" s="2"/>
    </row>
    <row r="51" spans="1:31">
      <c r="A51" t="str">
        <f>VLOOKUP(C51,County!$J$3:$BF$3258,49,FALSE)</f>
        <v>Roberts</v>
      </c>
      <c r="B51" t="str">
        <f>VLOOKUP(C51,County!$J$3:$BG$3258,50,FALSE)</f>
        <v>TX</v>
      </c>
      <c r="C51" s="2">
        <f>SMALL(County!J1:J3258,2)</f>
        <v>3.6101083032490974E-2</v>
      </c>
      <c r="D51"/>
      <c r="E51" t="str">
        <f>VLOOKUP(G51,County!$K$3:$BF$3258,48,FALSE)</f>
        <v>Federal</v>
      </c>
      <c r="F51" t="str">
        <f>VLOOKUP(G51,County!$K$3:$BG$3258,49,FALSE)</f>
        <v>RI</v>
      </c>
      <c r="G51" s="2">
        <f>SMALL(County!K1:K3258,2)</f>
        <v>7.2802197802197807E-2</v>
      </c>
      <c r="I51" s="97"/>
      <c r="K51" s="2"/>
    </row>
    <row r="52" spans="1:31">
      <c r="A52" t="str">
        <f>VLOOKUP(C52,County!$J$3:$BF$3258,49,FALSE)</f>
        <v>Banner</v>
      </c>
      <c r="B52" t="str">
        <f>VLOOKUP(C52,County!$J$3:$BG$3258,50,FALSE)</f>
        <v>NE</v>
      </c>
      <c r="C52" s="2">
        <f>SMALL(County!J3:J3259,3)</f>
        <v>4.7263681592039801E-2</v>
      </c>
      <c r="D52"/>
      <c r="E52" t="str">
        <f>VLOOKUP(G52,County!$K$3:$BF$3258,48,FALSE)</f>
        <v>Oglala Lakota</v>
      </c>
      <c r="F52" t="str">
        <f>VLOOKUP(G52,County!$K$3:$BG$3258,49,FALSE)</f>
        <v>SD</v>
      </c>
      <c r="G52" s="2">
        <f>SMALL(County!K3:K3259,3)</f>
        <v>8.296041308089501E-2</v>
      </c>
      <c r="I52" s="96"/>
      <c r="K52" s="2"/>
    </row>
    <row r="53" spans="1:31">
      <c r="A53" t="str">
        <f>VLOOKUP(C53,County!$J$3:$BF$3258,49,FALSE)</f>
        <v>Garfield</v>
      </c>
      <c r="B53" t="str">
        <f>VLOOKUP(C53,County!$J$3:$BG$3258,50,FALSE)</f>
        <v>MT</v>
      </c>
      <c r="C53" s="2">
        <f>SMALL(County!J4:J3260,4)</f>
        <v>4.7353760445682451E-2</v>
      </c>
      <c r="D53"/>
      <c r="E53" t="str">
        <f>VLOOKUP(G53,County!$K$3:$BF$3258,48,FALSE)</f>
        <v>Prince George's</v>
      </c>
      <c r="F53" t="str">
        <f>VLOOKUP(G53,County!$K$3:$BG$3258,49,FALSE)</f>
        <v>MD</v>
      </c>
      <c r="G53" s="2">
        <f>SMALL(County!K4:K3260,4)</f>
        <v>8.4047798967685744E-2</v>
      </c>
      <c r="K53" s="2"/>
    </row>
    <row r="54" spans="1:31">
      <c r="A54" t="str">
        <f>VLOOKUP(C54,County!$J$3:$BF$3258,49,FALSE)</f>
        <v>McPherson</v>
      </c>
      <c r="B54" t="str">
        <f>VLOOKUP(C54,County!$J$3:$BG$3258,50,FALSE)</f>
        <v>NE</v>
      </c>
      <c r="C54" s="2">
        <f>SMALL(County!J5:J3260,5)</f>
        <v>4.878048780487805E-2</v>
      </c>
      <c r="D54"/>
      <c r="E54" t="str">
        <f>VLOOKUP(G54,County!$K$3:$BF$3258,48,FALSE)</f>
        <v>San Francisco</v>
      </c>
      <c r="F54" t="str">
        <f>VLOOKUP(G54,County!$K$3:$BG$3258,49,FALSE)</f>
        <v>CA</v>
      </c>
      <c r="G54" s="2">
        <f>SMALL(County!K5:K3260,5)</f>
        <v>9.2250227027397491E-2</v>
      </c>
      <c r="K54" s="2"/>
    </row>
    <row r="55" spans="1:31">
      <c r="C55" s="2"/>
      <c r="D55"/>
      <c r="G55" s="2"/>
      <c r="K55" s="2"/>
    </row>
    <row r="56" spans="1:31">
      <c r="A56" s="62" t="s">
        <v>611</v>
      </c>
      <c r="C56" s="2"/>
      <c r="D56" t="s">
        <v>3417</v>
      </c>
      <c r="G56" s="2"/>
      <c r="H56" t="s">
        <v>544</v>
      </c>
      <c r="K56" s="2"/>
      <c r="L56" s="2"/>
    </row>
    <row r="57" spans="1:31">
      <c r="A57" t="str">
        <f>VLOOKUP(C57,County!$J$3:$BF$3258,49,FALSE)</f>
        <v>Panola</v>
      </c>
      <c r="B57" t="str">
        <f>VLOOKUP(C57,County!$J$3:$BG$3258,50,FALSE)</f>
        <v>MS</v>
      </c>
      <c r="C57" s="2">
        <f>DMAX(County!D1:J3258,"Clinton",D56:D57)</f>
        <v>0.49329527349973445</v>
      </c>
      <c r="D57">
        <v>2</v>
      </c>
      <c r="E57" t="str">
        <f>VLOOKUP(G57,County!$K$3:$BF$3258,48,FALSE)</f>
        <v>Washington</v>
      </c>
      <c r="F57" t="str">
        <f>VLOOKUP(G57,County!$K$3:$BG$3258,49,FALSE)</f>
        <v>GA</v>
      </c>
      <c r="G57" s="2">
        <f>DMAX(County!E1:K3258,"Trump",H56:H57)</f>
        <v>0.49036756884529015</v>
      </c>
      <c r="H57">
        <v>2</v>
      </c>
      <c r="K57" s="2"/>
      <c r="L57" s="5"/>
    </row>
    <row r="58" spans="1:31">
      <c r="H58" s="2"/>
      <c r="L58" s="2"/>
      <c r="M58" s="5"/>
    </row>
    <row r="59" spans="1:31">
      <c r="A59" s="62" t="s">
        <v>1362</v>
      </c>
      <c r="D59" t="s">
        <v>3417</v>
      </c>
      <c r="G59" s="2"/>
      <c r="H59" t="s">
        <v>544</v>
      </c>
      <c r="I59" s="8"/>
      <c r="J59" s="8"/>
      <c r="K59" s="68"/>
      <c r="L59" s="69"/>
    </row>
    <row r="60" spans="1:31">
      <c r="A60" t="str">
        <f>VLOOKUP(C60,County!$J$3:$BF$3258,49,FALSE)</f>
        <v>Salt Lake</v>
      </c>
      <c r="B60" t="str">
        <f>VLOOKUP(C60,County!$J$3:$BG$3258,50,FALSE)</f>
        <v>UT</v>
      </c>
      <c r="C60" s="2">
        <f>DMIN(County!D1:J3258,"Clinton",D59:D60)</f>
        <v>0.41502278503715695</v>
      </c>
      <c r="D60">
        <v>1</v>
      </c>
      <c r="E60" t="str">
        <f>VLOOKUP(G60,County!$K$3:$BF$3258,48,FALSE)</f>
        <v>Grand</v>
      </c>
      <c r="F60" t="str">
        <f>VLOOKUP(G60,County!$K$3:$BG$3258,49,FALSE)</f>
        <v>UT</v>
      </c>
      <c r="G60" s="2">
        <f>DMIN(County!E1:K3258,"Trump",H59:H60)</f>
        <v>0.42925450988915453</v>
      </c>
      <c r="H60">
        <v>1</v>
      </c>
      <c r="I60" s="8"/>
      <c r="J60" s="8"/>
      <c r="K60" s="68"/>
      <c r="L60" s="8"/>
    </row>
    <row r="61" spans="1:31">
      <c r="H61" s="2"/>
      <c r="J61" s="8"/>
      <c r="K61" s="8"/>
      <c r="L61" s="68"/>
      <c r="M61" s="8"/>
    </row>
    <row r="62" spans="1:31">
      <c r="A62" t="s">
        <v>1532</v>
      </c>
      <c r="B62" s="17" t="str">
        <f>A28</f>
        <v>Clinton</v>
      </c>
      <c r="C62" s="98" t="str">
        <f>E28</f>
        <v>Trump</v>
      </c>
      <c r="D62" s="99" t="str">
        <f>I28</f>
        <v>McMullin</v>
      </c>
      <c r="E62" s="5" t="str">
        <f>M28</f>
        <v>Johnson</v>
      </c>
      <c r="F62" s="5" t="str">
        <f>Q28</f>
        <v>Stein</v>
      </c>
      <c r="G62" s="5">
        <f>R28</f>
        <v>0</v>
      </c>
      <c r="H62" s="5" t="str">
        <f>U28</f>
        <v>Castle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>
      <c r="A63" t="s">
        <v>3147</v>
      </c>
      <c r="B63" s="5">
        <f>COUNTIF(State!$G$1:$G$53,1)</f>
        <v>21</v>
      </c>
      <c r="C63" s="5">
        <f>COUNTIF(State!$H$1:$H$53,1)</f>
        <v>30</v>
      </c>
      <c r="D63" s="5">
        <f>COUNTIF(State!$I$1:$I$53,1)</f>
        <v>0</v>
      </c>
      <c r="E63" s="5">
        <f>COUNTIF(State!$CF$1:$CF$53,1)</f>
        <v>0</v>
      </c>
      <c r="F63" s="5">
        <f>COUNTIF(State!$CG$1:$CG$53,1)</f>
        <v>0</v>
      </c>
      <c r="G63" s="5">
        <f>COUNTIF(State!$CH$1:$CH$53,1)</f>
        <v>0</v>
      </c>
      <c r="H63" s="5">
        <f>COUNTIF(State!$CI$1:$CI$53,1)</f>
        <v>0</v>
      </c>
      <c r="K63" s="5"/>
      <c r="M63" s="5"/>
      <c r="O63" s="5"/>
      <c r="P63" s="5"/>
      <c r="Q63" s="5"/>
      <c r="S63" s="5"/>
      <c r="T63" s="5"/>
      <c r="U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>
      <c r="A64" t="s">
        <v>2572</v>
      </c>
      <c r="B64" s="5">
        <f>COUNTIF(State!$G$1:$G$53,2)</f>
        <v>30</v>
      </c>
      <c r="C64" s="5">
        <f>COUNTIF(State!$H$1:$H$53,2)</f>
        <v>21</v>
      </c>
      <c r="D64" s="5">
        <f>COUNTIF(State!$I$1:$I$53,2)</f>
        <v>0</v>
      </c>
      <c r="E64" s="5">
        <f>COUNTIF(State!$CF$1:$CF$53,2)</f>
        <v>0</v>
      </c>
      <c r="F64" s="5">
        <f>COUNTIF(State!$CG$1:$CG$53,2)</f>
        <v>0</v>
      </c>
      <c r="G64" s="5">
        <f>COUNTIF(State!$CH$1:$CH$53,2)</f>
        <v>0</v>
      </c>
      <c r="H64" s="5">
        <f>COUNTIF(State!$CI$1:$CI$53,2)</f>
        <v>0</v>
      </c>
      <c r="K64" s="5"/>
      <c r="M64" s="5"/>
      <c r="O64" s="5"/>
      <c r="P64" s="5"/>
      <c r="Q64" s="5"/>
      <c r="S64" s="5"/>
      <c r="T64" s="5"/>
      <c r="U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>
      <c r="A65" t="s">
        <v>2573</v>
      </c>
      <c r="B65" s="5">
        <f>COUNTIF(State!$G$1:$G$53,3)</f>
        <v>0</v>
      </c>
      <c r="C65" s="5">
        <f>COUNTIF(State!$H$1:$H$53,3)</f>
        <v>0</v>
      </c>
      <c r="D65" s="5">
        <f>COUNTIF(State!$I$1:$I$53,3)</f>
        <v>2</v>
      </c>
      <c r="E65" s="5">
        <f>COUNTIF(State!$CF$1:$CF$53,3)</f>
        <v>47</v>
      </c>
      <c r="F65" s="5">
        <f>COUNTIF(State!$CG$1:$CG$53,3)</f>
        <v>0</v>
      </c>
      <c r="G65" s="5">
        <f>COUNTIF(State!$CH$1:$CH$53,3)</f>
        <v>0</v>
      </c>
      <c r="H65" s="5">
        <f>COUNTIF(State!$CI$1:$CI$53,3)</f>
        <v>0</v>
      </c>
      <c r="K65" s="5"/>
      <c r="M65" s="5"/>
      <c r="O65" s="5"/>
      <c r="P65" s="5"/>
      <c r="Q65" s="5"/>
      <c r="S65" s="5"/>
      <c r="T65" s="5"/>
      <c r="U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>
      <c r="B66" s="5"/>
      <c r="C66" s="5"/>
      <c r="D66" s="5"/>
      <c r="E66" s="5"/>
      <c r="F66" s="5"/>
      <c r="G66" s="5"/>
      <c r="H66" s="5"/>
      <c r="K66" s="5"/>
      <c r="M66" s="5"/>
      <c r="O66" s="5"/>
      <c r="P66" s="5"/>
      <c r="Q66" s="5"/>
      <c r="S66" s="5"/>
      <c r="T66" s="5"/>
      <c r="U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>
      <c r="A67" t="s">
        <v>2052</v>
      </c>
      <c r="B67" s="2"/>
      <c r="C67" s="2"/>
    </row>
    <row r="68" spans="1:31" s="5" customFormat="1">
      <c r="A68" s="86" t="s">
        <v>3147</v>
      </c>
      <c r="B68" s="1">
        <f>COUNTIF(County!D$1:D$3258,1)-B63</f>
        <v>506</v>
      </c>
      <c r="C68" s="1">
        <f>COUNTIF(County!E$1:E$3258,1)-C63</f>
        <v>2649</v>
      </c>
      <c r="D68" s="1">
        <f>COUNTIF(County!F$1:F$3258,1)-D63</f>
        <v>0</v>
      </c>
      <c r="E68" s="1">
        <f>COUNTIF(County!AW$1:AW$3258,1)-E63</f>
        <v>0</v>
      </c>
      <c r="F68" s="1">
        <f>COUNTIF(County!AX$1:AX$3258,1)-F63</f>
        <v>0</v>
      </c>
      <c r="G68" s="1">
        <f>COUNTIF(County!AY$1:AY$3258,1)-G63</f>
        <v>0</v>
      </c>
      <c r="H68" s="1">
        <f>COUNTIF(County!AZ$1:AZ$3258,1)-H63</f>
        <v>0</v>
      </c>
    </row>
    <row r="69" spans="1:31" s="5" customFormat="1">
      <c r="A69" s="86" t="s">
        <v>2572</v>
      </c>
      <c r="B69" s="1">
        <f>COUNTIF(County!D$1:D$3258,2)-B64</f>
        <v>2627</v>
      </c>
      <c r="C69" s="1">
        <f>COUNTIF(County!E$1:E$3258,2)-C64</f>
        <v>506</v>
      </c>
      <c r="D69" s="1">
        <f>COUNTIF(County!F$1:F$3258,2)-D64</f>
        <v>22</v>
      </c>
      <c r="E69" s="1">
        <f>COUNTIF(County!AW$1:AW$3258,2)-E64</f>
        <v>2</v>
      </c>
      <c r="F69" s="1">
        <f>COUNTIF(County!AX$1:AX$3258,2)-F64</f>
        <v>0</v>
      </c>
      <c r="G69" s="1">
        <f>COUNTIF(County!AY$1:AY$3258,2)-G64</f>
        <v>0</v>
      </c>
      <c r="H69" s="1">
        <f>COUNTIF(County!AZ$1:AZ$3258,2)-H64</f>
        <v>0</v>
      </c>
    </row>
    <row r="70" spans="1:31" s="5" customFormat="1">
      <c r="A70" s="86" t="s">
        <v>2573</v>
      </c>
      <c r="B70" s="1">
        <f>COUNTIF(County!D$1:D$3258,3)-B65</f>
        <v>22</v>
      </c>
      <c r="C70" s="1">
        <f>COUNTIF(County!E$1:E$3258,3)-C65</f>
        <v>0</v>
      </c>
      <c r="D70" s="1">
        <f>COUNTIF(County!F$1:F$3258,3)-D65</f>
        <v>41</v>
      </c>
      <c r="E70" s="1">
        <f>COUNTIF(County!AW$1:AW$3258,3)-E65</f>
        <v>3042</v>
      </c>
      <c r="F70" s="1">
        <f>COUNTIF(County!AX$1:AX$3258,3)-F65</f>
        <v>25</v>
      </c>
      <c r="G70" s="1">
        <f>COUNTIF(County!AY$1:AY$3258,3)-G65</f>
        <v>0</v>
      </c>
      <c r="H70" s="1">
        <f>COUNTIF(County!AZ$1:AZ$3258,3)-H65</f>
        <v>2</v>
      </c>
    </row>
    <row r="71" spans="1:31" s="5" customFormat="1">
      <c r="A71" s="86" t="s">
        <v>1217</v>
      </c>
      <c r="B71" s="1">
        <f>COUNTIF(County!$D$1:$D$3258,4)-COUNTIF(State!$G$1:$G$53,4)</f>
        <v>0</v>
      </c>
      <c r="C71" s="1">
        <f>COUNTIF(County!$E$1:$E$3258,4)-COUNTIF(State!$H$1:$H$53,4)</f>
        <v>0</v>
      </c>
      <c r="D71" s="1">
        <f>COUNTIF(County!$F$1:$F$3258,4)-COUNTIF(State!$I$1:$I$53,4)</f>
        <v>603</v>
      </c>
      <c r="E71" s="1">
        <f>COUNTIF(County!$AW$1:$AW$3258,4)-COUNTIF(State!$CF$1:$CF$53,4)</f>
        <v>104</v>
      </c>
      <c r="F71" s="1">
        <f>COUNTIF(County!$AX$1:$AX$3258,4)-COUNTIF(State!$CG$1:$CG$53,4)</f>
        <v>1266</v>
      </c>
      <c r="G71" s="1">
        <f>COUNTIF(County!$AY$1:$AY$3258,4)-COUNTIF(State!$CH$1:$CH$53,4)</f>
        <v>7</v>
      </c>
      <c r="H71" s="1">
        <f>COUNTIF(County!$AZ$1:$AZ$3258,4)-COUNTIF(State!$CI$1:$CI$53,4)</f>
        <v>178</v>
      </c>
    </row>
    <row r="73" spans="1:31">
      <c r="A73" s="86" t="s">
        <v>262</v>
      </c>
    </row>
    <row r="74" spans="1:31">
      <c r="A74" t="s">
        <v>2182</v>
      </c>
      <c r="B74" s="1">
        <f>COUNTIF(State!$M1:$M53,"&lt;.0999")</f>
        <v>0</v>
      </c>
      <c r="C74" s="1">
        <f>COUNTIF(State!$O1:$O53,"&lt;.0999")</f>
        <v>1</v>
      </c>
      <c r="D74" s="1">
        <f>COUNTIF(State!$Q$1:$Q$53,"&lt;.0999")</f>
        <v>50</v>
      </c>
      <c r="E74" s="1">
        <f>COUNTIF(State!$S$1:$S$53,"&lt;.0999")</f>
        <v>51</v>
      </c>
    </row>
    <row r="75" spans="1:31">
      <c r="A75" t="s">
        <v>2037</v>
      </c>
      <c r="B75" s="1">
        <f>COUNTIF(State!$M$1:$M$53,"&lt;.1999")-B74</f>
        <v>0</v>
      </c>
      <c r="C75" s="1">
        <f>COUNTIF(State!$O$1:$O$53,"&lt;.1999")-C74</f>
        <v>0</v>
      </c>
      <c r="D75" s="1">
        <f>COUNTIF(State!$Q$1:$Q$53,"&lt;.1999")-D74</f>
        <v>0</v>
      </c>
      <c r="E75" s="1">
        <f>COUNTIF(State!$S$1:$S$53,"&lt;.1999")-E74</f>
        <v>0</v>
      </c>
    </row>
    <row r="76" spans="1:31">
      <c r="A76" t="s">
        <v>1537</v>
      </c>
      <c r="B76" s="1">
        <f>COUNTIF(State!$M$1:$M$53,"&lt;.2999")-SUM(B74:B75)</f>
        <v>6</v>
      </c>
      <c r="C76" s="1">
        <f>COUNTIF(State!$O$1:$O$53,"&lt;.2999")-SUM(C74:C75)</f>
        <v>0</v>
      </c>
      <c r="D76" s="1">
        <f>COUNTIF(State!$Q$1:$Q$53,"&lt;.2999")-SUM(D74:D75)</f>
        <v>1</v>
      </c>
      <c r="E76" s="1">
        <f>COUNTIF(State!$S$1:$S$53,"&lt;.2999")-SUM(E74:E75)</f>
        <v>0</v>
      </c>
    </row>
    <row r="77" spans="1:31">
      <c r="A77" t="s">
        <v>2733</v>
      </c>
      <c r="B77" s="1">
        <f>COUNTIF(State!$M$1:$M$53,"&lt;.3999")-SUM(B74:B76)</f>
        <v>12</v>
      </c>
      <c r="C77" s="1">
        <f>COUNTIF(State!$O$1:$O$53,"&lt;.3999")-SUM(C74:C76)</f>
        <v>10</v>
      </c>
      <c r="D77" s="1">
        <f>COUNTIF(State!$Q$1:$Q$53,"&lt;.3999")-SUM(D74:D76)</f>
        <v>0</v>
      </c>
      <c r="E77" s="1">
        <f>COUNTIF(State!$S$1:$S$53,"&lt;.3999")-SUM(E74:E76)</f>
        <v>0</v>
      </c>
    </row>
    <row r="78" spans="1:31">
      <c r="A78" t="s">
        <v>2975</v>
      </c>
      <c r="B78" s="1">
        <f>COUNTIF(State!$M$1:$M$53,"&lt;.4999")-SUM(B74:B77)</f>
        <v>19</v>
      </c>
      <c r="C78" s="1">
        <f>COUNTIF(State!$O$1:$O$53,"&lt;.4999")-SUM(C74:C77)</f>
        <v>17</v>
      </c>
      <c r="D78" s="1">
        <f>COUNTIF(State!$Q$1:$Q$53,"&lt;.4999")-SUM(D74:D77)</f>
        <v>0</v>
      </c>
      <c r="E78" s="1">
        <f>COUNTIF(State!$S$1:$S$53,"&lt;.4999")-SUM(E74:E77)</f>
        <v>0</v>
      </c>
    </row>
    <row r="79" spans="1:31">
      <c r="A79" t="s">
        <v>3034</v>
      </c>
      <c r="B79" s="1">
        <f>COUNTIF(State!$M$1:$M$53,"&lt;.5999")-SUM(B74:B78)</f>
        <v>9</v>
      </c>
      <c r="C79" s="1">
        <f>COUNTIF(State!$O$1:$O$53,"&lt;.5999")-SUM(C74:C78)</f>
        <v>14</v>
      </c>
      <c r="D79" s="1">
        <f>COUNTIF(State!$Q$1:$Q$53,"&lt;.5999")-SUM(D74:D78)</f>
        <v>0</v>
      </c>
      <c r="E79" s="1">
        <f>COUNTIF(State!$S$1:$S$53,"&lt;.5999")-SUM(E74:E78)</f>
        <v>0</v>
      </c>
    </row>
    <row r="80" spans="1:31">
      <c r="A80" t="s">
        <v>3035</v>
      </c>
      <c r="B80" s="1">
        <f>COUNTIF(State!$M$1:$M$53,"&lt;.6999")-SUM(B74:B79)</f>
        <v>4</v>
      </c>
      <c r="C80" s="1">
        <f>COUNTIF(State!$O$1:$O$53,"&lt;.6999")-SUM(C74:C79)</f>
        <v>9</v>
      </c>
      <c r="D80" s="1">
        <f>COUNTIF(State!$Q$1:$Q$53,"&lt;.6999")-SUM(D74:D79)</f>
        <v>0</v>
      </c>
      <c r="E80" s="1">
        <f>COUNTIF(State!$S$1:$S$53,"&lt;.6999")-SUM(E74:E79)</f>
        <v>0</v>
      </c>
    </row>
    <row r="81" spans="1:5">
      <c r="A81" t="s">
        <v>3048</v>
      </c>
      <c r="B81" s="1">
        <f>COUNTIF(State!$M$1:$M$53,"&lt;.7999")-SUM(B74:B80)</f>
        <v>0</v>
      </c>
      <c r="C81" s="1">
        <f>COUNTIF(State!$O$1:$O$53,"&lt;.7999")-SUM(C74:C80)</f>
        <v>0</v>
      </c>
      <c r="D81" s="1">
        <f>COUNTIF(State!$Q$1:$Q$53,"&lt;.7999")-SUM(D74:D80)</f>
        <v>0</v>
      </c>
      <c r="E81" s="1">
        <f>COUNTIF(State!$S$1:$S$53,"&lt;.7999")-SUM(E74:E80)</f>
        <v>0</v>
      </c>
    </row>
    <row r="82" spans="1:5">
      <c r="A82" t="s">
        <v>3049</v>
      </c>
      <c r="B82" s="1">
        <f>COUNTIF(State!$M$1:$M$53,"&lt;.8999")-SUM(B74:B81)</f>
        <v>0</v>
      </c>
      <c r="C82" s="1">
        <f>COUNTIF(State!$O$1:$O$53,"&lt;.8999")-SUM(C74:C81)</f>
        <v>0</v>
      </c>
      <c r="D82" s="1">
        <f>COUNTIF(State!$Q$1:$Q$53,"&lt;.8999")-SUM(D74:D81)</f>
        <v>0</v>
      </c>
      <c r="E82" s="1">
        <f>COUNTIF(State!$S$1:$S$53,"&lt;.8999")-SUM(E74:E81)</f>
        <v>0</v>
      </c>
    </row>
    <row r="83" spans="1:5">
      <c r="A83" t="s">
        <v>1628</v>
      </c>
      <c r="B83" s="1">
        <f>COUNTIF(State!$M$1:$M$53,"&lt;1")-SUM(B74:B82)</f>
        <v>1</v>
      </c>
      <c r="C83" s="1">
        <f>COUNTIF(State!$O$1:$O$53,"&lt;1")-SUM(C74:C82)</f>
        <v>0</v>
      </c>
      <c r="D83" s="1">
        <f>COUNTIF(State!$Q$1:$Q$53,"&lt;1")-SUM(D74:D82)</f>
        <v>0</v>
      </c>
      <c r="E83" s="1">
        <f>COUNTIF(State!$S$1:$S$53,"&lt;1")-SUM(E74:E82)</f>
        <v>0</v>
      </c>
    </row>
    <row r="84" spans="1:5">
      <c r="D84"/>
    </row>
    <row r="85" spans="1:5">
      <c r="A85" t="s">
        <v>898</v>
      </c>
      <c r="D85"/>
    </row>
    <row r="86" spans="1:5">
      <c r="A86" t="s">
        <v>2182</v>
      </c>
      <c r="B86" s="1">
        <f>COUNTIF(County!J1:J3259,"&lt;.0999")-B74</f>
        <v>78</v>
      </c>
      <c r="C86" s="1">
        <f>COUNTIF(County!K1:K3259,"&lt;.0999")-C74</f>
        <v>6</v>
      </c>
      <c r="D86" s="1">
        <f>COUNTIF(County!L1:L3259,"&lt;.0999")-D74</f>
        <v>3123</v>
      </c>
      <c r="E86" s="1">
        <f>COUNTIF(County!BA1:BA3259,"&lt;.0999")-E74</f>
        <v>3144</v>
      </c>
    </row>
    <row r="87" spans="1:5">
      <c r="A87" t="s">
        <v>2037</v>
      </c>
      <c r="B87" s="1">
        <f>COUNTIF(County!J1:J3259,"&lt;.1999")-SUM(B74:B75)-B86</f>
        <v>659</v>
      </c>
      <c r="C87" s="1">
        <f>COUNTIF(County!K1:K3259,"&lt;.1999")-SUM(C74:C75)-C86</f>
        <v>31</v>
      </c>
      <c r="D87" s="1">
        <f>COUNTIF(County!L1:L3259,"&lt;.1999")-SUM(D74:D75)-D86</f>
        <v>24</v>
      </c>
      <c r="E87" s="1">
        <f>COUNTIF(County!BA1:BA3259,"&lt;.1999")-SUM(E74:E75)-E86</f>
        <v>11</v>
      </c>
    </row>
    <row r="88" spans="1:5">
      <c r="A88" t="s">
        <v>1537</v>
      </c>
      <c r="B88" s="1">
        <f>COUNTIF(County!J1:J3259,"&lt;.2999")-SUM(B74:B76)-SUM(B86:B87)</f>
        <v>990</v>
      </c>
      <c r="C88" s="1">
        <f>COUNTIF(County!K1:K3259,"&lt;.2999")-SUM(C74:C76)-SUM(C86:C87)</f>
        <v>92</v>
      </c>
      <c r="D88" s="1">
        <f>COUNTIF(County!L1:L3259,"&lt;.2999")-SUM(D74:D76)-SUM(D86:D87)</f>
        <v>7</v>
      </c>
      <c r="E88" s="1">
        <f>COUNTIF(County!BA1:BA3259,"&lt;.2999")-SUM(E74:E76)-SUM(E86:E87)</f>
        <v>0</v>
      </c>
    </row>
    <row r="89" spans="1:5">
      <c r="A89" t="s">
        <v>2733</v>
      </c>
      <c r="B89" s="1">
        <f>COUNTIF(County!J1:J3259,"&lt;.3999")-SUM(B74:B77)-SUM(B86:B88)</f>
        <v>643</v>
      </c>
      <c r="C89" s="1">
        <f>COUNTIF(County!K1:K3259,"&lt;.3999")-SUM(C74:C77)-SUM(C86:C88)</f>
        <v>174</v>
      </c>
      <c r="D89" s="1">
        <f>COUNTIF(County!L1:L3259,"&lt;.3999")-SUM(D74:D77)-SUM(D86:D88)</f>
        <v>0</v>
      </c>
      <c r="E89" s="1">
        <f>COUNTIF(County!BA1:BA3259,"&lt;.3999")-SUM(E74:E77)-SUM(E86:E88)</f>
        <v>0</v>
      </c>
    </row>
    <row r="90" spans="1:5">
      <c r="A90" t="s">
        <v>2975</v>
      </c>
      <c r="B90" s="1">
        <f>COUNTIF(County!J1:J3259,"&lt;.4999")-SUM(B74:B78)-SUM(B86:B89)</f>
        <v>376</v>
      </c>
      <c r="C90" s="1">
        <f>COUNTIF(County!K1:K3259,"&lt;.4999")-SUM(C74:C78)-SUM(C86:C89)</f>
        <v>331</v>
      </c>
      <c r="D90" s="1">
        <f>COUNTIF(County!L1:L3259,"&lt;.4999")-SUM(D74:D78)-SUM(D86:D89)</f>
        <v>0</v>
      </c>
      <c r="E90" s="1">
        <f>COUNTIF(County!BA1:BA3259,"&lt;.4999")-SUM(E74:E78)-SUM(E86:E89)</f>
        <v>0</v>
      </c>
    </row>
    <row r="91" spans="1:5">
      <c r="A91" t="s">
        <v>3034</v>
      </c>
      <c r="B91" s="1">
        <f>COUNTIF(County!J1:J3259,"&lt;.5999")-SUM(B74:B79)-SUM(B86:B90)</f>
        <v>225</v>
      </c>
      <c r="C91" s="1">
        <f>COUNTIF(County!K1:K3259,"&lt;.5999")-SUM(C74:C79)-SUM(C86:C90)</f>
        <v>515</v>
      </c>
      <c r="D91" s="1">
        <f>COUNTIF(County!L1:L3259,"&lt;.5999")-SUM(D74:D79)-SUM(D86:D90)</f>
        <v>0</v>
      </c>
      <c r="E91" s="1">
        <f>COUNTIF(County!BA1:BA3259,"&lt;.5999")-SUM(E74:E79)-SUM(E86:E90)</f>
        <v>0</v>
      </c>
    </row>
    <row r="92" spans="1:5">
      <c r="A92" t="s">
        <v>3035</v>
      </c>
      <c r="B92" s="1">
        <f>COUNTIF(County!J1:J3259,"&lt;.6999")-SUM(B74:B80)-SUM(B86:B91)</f>
        <v>115</v>
      </c>
      <c r="C92" s="1">
        <f>COUNTIF(County!K1:K3259,"&lt;.6999")-SUM(C74:C80)-SUM(C86:C91)</f>
        <v>763</v>
      </c>
      <c r="D92" s="1">
        <f>COUNTIF(County!L1:L3259,"&lt;.6999")-SUM(D74:D80)-SUM(D86:D91)</f>
        <v>0</v>
      </c>
      <c r="E92" s="1">
        <f>COUNTIF(County!BA1:BA3259,"&lt;.6999")-SUM(E74:E80)-SUM(E86:E91)</f>
        <v>0</v>
      </c>
    </row>
    <row r="93" spans="1:5">
      <c r="A93" t="s">
        <v>3048</v>
      </c>
      <c r="B93" s="1">
        <f>COUNTIF(County!J1:J3259,"&lt;.7999")-SUM(B74:B81)-SUM(B86:B92)</f>
        <v>51</v>
      </c>
      <c r="C93" s="1">
        <f>COUNTIF(County!K1:K3259,"&lt;.7999")-SUM(C74:C81)-SUM(C86:C92)</f>
        <v>893</v>
      </c>
      <c r="D93" s="1">
        <f>COUNTIF(County!L1:L3259,"&lt;.7999")-SUM(D74:D81)-SUM(D86:D92)</f>
        <v>0</v>
      </c>
      <c r="E93" s="1">
        <f>COUNTIF(County!BA1:BA3259,"&lt;.7999")-SUM(E74:E81)-SUM(E86:E92)</f>
        <v>0</v>
      </c>
    </row>
    <row r="94" spans="1:5">
      <c r="A94" t="s">
        <v>3049</v>
      </c>
      <c r="B94" s="1">
        <f>COUNTIF(County!J1:J3259,"&lt;.8999")-SUM(B74:B82)-SUM(B86:B93)</f>
        <v>17</v>
      </c>
      <c r="C94" s="1">
        <f>COUNTIF(County!K1:K3259,"&lt;.8999")-SUM(C74:C82)-SUM(C86:C93)</f>
        <v>335</v>
      </c>
      <c r="D94" s="1">
        <f>COUNTIF(County!L1:L3259,"&lt;.8999")-SUM(D74:D82)-SUM(D86:D93)</f>
        <v>0</v>
      </c>
      <c r="E94" s="1">
        <f>COUNTIF(County!BA1:BA3259,"&lt;.8999")-SUM(E74:E82)-SUM(E86:E93)</f>
        <v>0</v>
      </c>
    </row>
    <row r="95" spans="1:5">
      <c r="A95" t="s">
        <v>1628</v>
      </c>
      <c r="B95" s="1">
        <f>COUNTIF(County!J1:J3259,"&lt;.9999")-SUM(B74:B83)-SUM(B86:B94)</f>
        <v>0</v>
      </c>
      <c r="C95" s="1">
        <f>COUNTIF(County!K1:K3259,"&lt;.9999")-SUM(C74:C83)-SUM(C86:C94)</f>
        <v>14</v>
      </c>
      <c r="D95" s="1">
        <f>COUNTIF(County!L1:L3259,"&lt;.9999")-SUM(D74:D83)-SUM(D86:D94)</f>
        <v>0</v>
      </c>
      <c r="E95" s="1">
        <f>COUNTIF(County!BA1:BA3259,"&lt;.9999")-SUM(E74:E83)-SUM(E86:E94)</f>
        <v>0</v>
      </c>
    </row>
    <row r="96" spans="1:5">
      <c r="B96" s="1"/>
      <c r="C96" s="1"/>
      <c r="D96" s="1"/>
    </row>
    <row r="97" spans="2:4">
      <c r="B97" s="1"/>
      <c r="D97"/>
    </row>
    <row r="99" spans="2:4">
      <c r="B99" s="2"/>
    </row>
    <row r="132" spans="60:60">
      <c r="BH132">
        <v>4</v>
      </c>
    </row>
  </sheetData>
  <mergeCells count="10">
    <mergeCell ref="AB2:AD2"/>
    <mergeCell ref="M28:O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BY3048"/>
  <sheetViews>
    <sheetView workbookViewId="0">
      <pane xSplit="1" ySplit="8" topLeftCell="B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Y59" sqref="Y59"/>
    </sheetView>
  </sheetViews>
  <sheetFormatPr baseColWidth="10" defaultRowHeight="13" x14ac:dyDescent="0"/>
  <cols>
    <col min="1" max="1" width="20.7109375" style="8" bestFit="1" customWidth="1"/>
    <col min="2" max="2" width="13.85546875" style="8" customWidth="1"/>
    <col min="3" max="17" width="12.7109375" style="8" customWidth="1"/>
    <col min="18" max="16384" width="10.7109375" style="8"/>
  </cols>
  <sheetData>
    <row r="1" spans="1:36" s="110" customFormat="1">
      <c r="A1" s="62" t="s">
        <v>1258</v>
      </c>
      <c r="B1" s="13" t="str">
        <f>Candidates!D2</f>
        <v>Democratic</v>
      </c>
      <c r="C1" s="12" t="str">
        <f>Candidates!D3</f>
        <v>Republican</v>
      </c>
      <c r="D1" s="85" t="str">
        <f>Candidates!D4</f>
        <v>Independent</v>
      </c>
      <c r="E1" s="110" t="str">
        <f>Candidates!D5</f>
        <v>Libertarian</v>
      </c>
      <c r="F1" s="110" t="str">
        <f>Candidates!D6</f>
        <v>Green</v>
      </c>
      <c r="G1" s="110" t="str">
        <f>Candidates!D7</f>
        <v>Constitution</v>
      </c>
      <c r="H1" s="110" t="str">
        <f>Candidates!D8</f>
        <v>American Delta</v>
      </c>
      <c r="I1" s="110" t="str">
        <f>Candidates!D9</f>
        <v>Socialist</v>
      </c>
      <c r="J1" s="110" t="str">
        <f>Candidates!D10</f>
        <v>Socialism and Liberation</v>
      </c>
      <c r="K1" s="110" t="str">
        <f>Candidates!D11</f>
        <v>-</v>
      </c>
      <c r="L1" s="110" t="str">
        <f>Candidates!D12</f>
        <v>Socialist Workers</v>
      </c>
      <c r="M1" s="110" t="str">
        <f>Candidates!D13</f>
        <v>America's</v>
      </c>
      <c r="N1" s="111" t="str">
        <f>Candidates!D14</f>
        <v>Independent</v>
      </c>
      <c r="O1" s="110" t="str">
        <f>Candidates!D15</f>
        <v>Workers World</v>
      </c>
      <c r="P1" s="110" t="str">
        <f>Candidates!D16</f>
        <v>-</v>
      </c>
      <c r="Q1" s="110" t="str">
        <f>Candidates!D17</f>
        <v>Legal Marijuana Now</v>
      </c>
      <c r="R1" s="110" t="str">
        <f>Candidates!D18</f>
        <v>Prohibition</v>
      </c>
      <c r="S1" s="110" t="str">
        <f>Candidates!D19</f>
        <v>Independent</v>
      </c>
      <c r="T1" s="110" t="str">
        <f>Candidates!D20</f>
        <v>Socialist Equality</v>
      </c>
      <c r="U1" s="110" t="str">
        <f>Candidates!D21</f>
        <v>Veterans</v>
      </c>
      <c r="V1" s="110" t="str">
        <f>Candidates!D22</f>
        <v>Ind. American</v>
      </c>
      <c r="W1" s="110" t="str">
        <f>Candidates!D23</f>
        <v>Approval Voting</v>
      </c>
      <c r="X1" s="110" t="str">
        <f>Candidates!D24</f>
        <v>Revolutionary</v>
      </c>
      <c r="Y1" s="110" t="str">
        <f>Candidates!D25</f>
        <v>Pacifist</v>
      </c>
      <c r="Z1" s="110" t="str">
        <f>Candidates!D26</f>
        <v>Independent</v>
      </c>
      <c r="AA1" s="110" t="str">
        <f>Candidates!D27</f>
        <v>Independent</v>
      </c>
      <c r="AB1" s="110" t="str">
        <f>Candidates!D28</f>
        <v>American Solidarity</v>
      </c>
      <c r="AC1" s="110" t="str">
        <f>Candidates!D29</f>
        <v>Independent</v>
      </c>
      <c r="AD1" s="110" t="str">
        <f>Candidates!D30</f>
        <v>Nutrition</v>
      </c>
      <c r="AE1" s="110" t="str">
        <f>Candidates!D31</f>
        <v>Independent</v>
      </c>
      <c r="AF1" s="110" t="str">
        <f>Candidates!D32</f>
        <v>Constitution ID</v>
      </c>
      <c r="AG1" s="110" t="str">
        <f>Candidates!D33</f>
        <v>American</v>
      </c>
      <c r="AH1" s="111" t="str">
        <f>Candidates!D34</f>
        <v>Ind. American</v>
      </c>
      <c r="AI1" s="111">
        <f>Candidates!D35</f>
        <v>0</v>
      </c>
      <c r="AJ1" s="111" t="str">
        <f>Candidates!D36</f>
        <v>Independent</v>
      </c>
    </row>
    <row r="2" spans="1:36" s="110" customFormat="1">
      <c r="A2" s="110" t="s">
        <v>253</v>
      </c>
      <c r="B2" s="110">
        <v>1</v>
      </c>
      <c r="C2" s="110">
        <v>2</v>
      </c>
      <c r="D2" s="110">
        <v>3</v>
      </c>
      <c r="E2" s="110">
        <v>4</v>
      </c>
      <c r="F2" s="110">
        <v>5</v>
      </c>
      <c r="G2" s="110">
        <v>6</v>
      </c>
      <c r="H2" s="110">
        <v>7</v>
      </c>
      <c r="I2" s="110">
        <v>8</v>
      </c>
      <c r="J2" s="110">
        <v>9</v>
      </c>
      <c r="K2" s="110">
        <v>10</v>
      </c>
      <c r="L2" s="110">
        <v>11</v>
      </c>
      <c r="M2" s="110">
        <v>12</v>
      </c>
      <c r="N2" s="110">
        <v>13</v>
      </c>
      <c r="O2" s="110">
        <v>14</v>
      </c>
      <c r="P2" s="110">
        <v>15</v>
      </c>
      <c r="Q2" s="110">
        <v>16</v>
      </c>
      <c r="R2" s="110">
        <v>17</v>
      </c>
      <c r="S2" s="110">
        <v>18</v>
      </c>
      <c r="T2" s="110">
        <v>19</v>
      </c>
      <c r="U2" s="110">
        <v>20</v>
      </c>
      <c r="V2" s="110">
        <v>21</v>
      </c>
      <c r="W2" s="110">
        <v>22</v>
      </c>
      <c r="X2" s="110">
        <v>23</v>
      </c>
      <c r="Y2" s="110">
        <v>24</v>
      </c>
      <c r="Z2" s="110">
        <v>25</v>
      </c>
      <c r="AA2" s="128">
        <v>26</v>
      </c>
      <c r="AB2" s="110">
        <v>27</v>
      </c>
      <c r="AC2" s="110">
        <v>28</v>
      </c>
      <c r="AD2" s="128">
        <v>29</v>
      </c>
      <c r="AE2" s="128">
        <v>30</v>
      </c>
      <c r="AF2" s="128">
        <v>31</v>
      </c>
      <c r="AG2" s="128">
        <v>32</v>
      </c>
      <c r="AH2" s="128">
        <v>33</v>
      </c>
      <c r="AI2" s="128">
        <v>34</v>
      </c>
      <c r="AJ2" s="128">
        <v>35</v>
      </c>
    </row>
    <row r="3" spans="1:36" s="110" customFormat="1">
      <c r="A3" s="110" t="s">
        <v>555</v>
      </c>
      <c r="B3" s="110" t="str">
        <f>Candidates!B2</f>
        <v>Hillary Clinton</v>
      </c>
      <c r="C3" s="110" t="str">
        <f>Candidates!B3</f>
        <v>Donald J. Trump</v>
      </c>
      <c r="D3" s="110" t="str">
        <f>Candidates!B4</f>
        <v>Evan McMullin</v>
      </c>
      <c r="E3" s="110" t="str">
        <f>Candidates!B5</f>
        <v>Gary Johnson</v>
      </c>
      <c r="F3" s="110" t="str">
        <f>Candidates!B6</f>
        <v>Dr. Jill Stein</v>
      </c>
      <c r="G3" s="111" t="str">
        <f>Candidates!B7</f>
        <v>Darrell L. Castle</v>
      </c>
      <c r="H3" s="111" t="str">
        <f>Candidates!B8</f>
        <v>Rocky de la Fuente</v>
      </c>
      <c r="I3" s="111" t="str">
        <f>Candidates!B9</f>
        <v>Emidio Soltysik</v>
      </c>
      <c r="J3" s="111" t="str">
        <f>Candidates!B10</f>
        <v>Gloria LaRiva</v>
      </c>
      <c r="K3" s="111" t="str">
        <f>Candidates!B11</f>
        <v>Write-ins</v>
      </c>
      <c r="L3" s="111" t="str">
        <f>Candidates!B12</f>
        <v>Alyson Kennedy</v>
      </c>
      <c r="M3" s="111" t="str">
        <f>Candidates!B13</f>
        <v>Thomas Hoefling</v>
      </c>
      <c r="N3" s="111" t="str">
        <f>Candidates!B14</f>
        <v>Richard Duncan</v>
      </c>
      <c r="O3" s="111" t="str">
        <f>Candidates!B15</f>
        <v>Monica Moorehead</v>
      </c>
      <c r="P3" s="111" t="str">
        <f>Candidates!B16</f>
        <v>None of these Candidates</v>
      </c>
      <c r="Q3" s="111" t="str">
        <f>Candidates!B17</f>
        <v>Dan R. Vacek</v>
      </c>
      <c r="R3" s="111" t="str">
        <f>Candidates!B18</f>
        <v>James Hedges</v>
      </c>
      <c r="S3" s="111" t="str">
        <f>Candidates!B19</f>
        <v>Laurence Kotlikoff</v>
      </c>
      <c r="T3" s="111" t="str">
        <f>Candidates!B20</f>
        <v>Jerry White</v>
      </c>
      <c r="U3" s="111" t="str">
        <f>Candidates!B21</f>
        <v>Chris Keniston</v>
      </c>
      <c r="V3" s="111" t="str">
        <f>Candidates!B22</f>
        <v>Kyle Kenley Kopitke</v>
      </c>
      <c r="W3" s="111" t="str">
        <f>Candidates!B23</f>
        <v>Frank Atwood</v>
      </c>
      <c r="X3" s="111" t="str">
        <f>Candidates!B24</f>
        <v>Khadijah Jacob-Fambro</v>
      </c>
      <c r="Y3" s="111" t="str">
        <f>Candidates!B25</f>
        <v>Bradford Lyttle</v>
      </c>
      <c r="Z3" s="111" t="str">
        <f>Candidates!B26</f>
        <v>Lynn S. Kahn</v>
      </c>
      <c r="AA3" s="111" t="str">
        <f>Candidates!B27</f>
        <v>Joseph Allen Maldonado</v>
      </c>
      <c r="AB3" s="111" t="str">
        <f>Candidates!B28</f>
        <v>Michael A. Maturen</v>
      </c>
      <c r="AC3" s="111" t="str">
        <f>Candidates!B29</f>
        <v>Ryan Alan Scott</v>
      </c>
      <c r="AD3" s="111" t="str">
        <f>Candidates!B30</f>
        <v>Rod Silva</v>
      </c>
      <c r="AE3" s="111" t="str">
        <f>Candidates!B31</f>
        <v>Mike Smith</v>
      </c>
      <c r="AF3" s="111" t="str">
        <f>Candidates!B32</f>
        <v>Scott Copeland</v>
      </c>
      <c r="AG3" s="111" t="str">
        <f>Candidates!B33</f>
        <v>Peter Skewes</v>
      </c>
      <c r="AH3" s="111" t="str">
        <f>Candidates!B34</f>
        <v>Rocky Giordani</v>
      </c>
      <c r="AI3" s="111">
        <f>Candidates!B35</f>
        <v>0</v>
      </c>
      <c r="AJ3" s="111" t="str">
        <f>Candidates!B36</f>
        <v>David Limbaugh</v>
      </c>
    </row>
    <row r="4" spans="1:36" s="110" customFormat="1">
      <c r="A4" s="110" t="s">
        <v>929</v>
      </c>
      <c r="B4" s="110" t="str">
        <f>Candidates!C2</f>
        <v>Tim Kaine</v>
      </c>
      <c r="C4" s="110" t="str">
        <f>Candidates!C3</f>
        <v>Michael R. Pence</v>
      </c>
      <c r="D4" s="110" t="str">
        <f>Candidates!C4</f>
        <v>Mindy Finn</v>
      </c>
      <c r="E4" s="110" t="str">
        <f>Candidates!C5</f>
        <v>William F. Weld</v>
      </c>
      <c r="F4" s="110" t="str">
        <f>Candidates!C6</f>
        <v>Ajamu Baraka</v>
      </c>
      <c r="G4" s="110" t="str">
        <f>Candidates!C7</f>
        <v>Scott Bradley</v>
      </c>
      <c r="H4" s="110" t="str">
        <f>Candidates!C8</f>
        <v>Michael Steinberg</v>
      </c>
      <c r="I4" s="110" t="str">
        <f>Candidates!C9</f>
        <v>Angela Walker</v>
      </c>
      <c r="J4" s="110" t="str">
        <f>Candidates!C10</f>
        <v>Eugene Puryear</v>
      </c>
      <c r="K4" s="110" t="str">
        <f>Candidates!C11</f>
        <v>-</v>
      </c>
      <c r="L4" s="110" t="str">
        <f>Candidates!C12</f>
        <v>Osborne Hart</v>
      </c>
      <c r="M4" s="110" t="str">
        <f>Candidates!C13</f>
        <v>Steve Schulin</v>
      </c>
      <c r="N4" s="110" t="str">
        <f>Candidates!C14</f>
        <v>Ricky Johnson</v>
      </c>
      <c r="O4" s="110" t="str">
        <f>Candidates!C15</f>
        <v>Lamont Lilly</v>
      </c>
      <c r="P4" s="110" t="str">
        <f>Candidates!C16</f>
        <v>-</v>
      </c>
      <c r="Q4" s="110" t="str">
        <f>Candidates!C17</f>
        <v>Mark Elworth, Jr.</v>
      </c>
      <c r="R4" s="110" t="str">
        <f>Candidates!C18</f>
        <v>Bill Bayes</v>
      </c>
      <c r="S4" s="110" t="str">
        <f>Candidates!C19</f>
        <v>Edward Leamer</v>
      </c>
      <c r="T4" s="110" t="str">
        <f>Candidates!C20</f>
        <v>Niles Niemuth</v>
      </c>
      <c r="U4" s="110" t="str">
        <f>Candidates!C21</f>
        <v>Deacon Taylor</v>
      </c>
      <c r="V4" s="110" t="str">
        <f>Candidates!C22</f>
        <v>Narthan R. Sorenson</v>
      </c>
      <c r="W4" s="110" t="str">
        <f>Candidates!C23</f>
        <v>Blake Huber</v>
      </c>
      <c r="X4" s="110" t="str">
        <f>Candidates!C24</f>
        <v>Milton Fambro</v>
      </c>
      <c r="Y4" s="110" t="str">
        <f>Candidates!C25</f>
        <v>Hannah Walsh</v>
      </c>
      <c r="Z4" s="110" t="str">
        <f>Candidates!C26</f>
        <v>Kathleen Monahan</v>
      </c>
      <c r="AA4" s="110" t="str">
        <f>Candidates!C27</f>
        <v>Douglas K. Terranova</v>
      </c>
      <c r="AB4" s="110" t="str">
        <f>Candidates!C28</f>
        <v>Juan Munoz</v>
      </c>
      <c r="AC4" s="110" t="str">
        <f>Candidates!C29</f>
        <v>Bruce Kendall Barnard</v>
      </c>
      <c r="AD4" s="110" t="str">
        <f>Candidates!C30</f>
        <v>Richard C. Silva</v>
      </c>
      <c r="AE4" s="110" t="str">
        <f>Candidates!C31</f>
        <v>Daniel White</v>
      </c>
      <c r="AF4" s="110" t="str">
        <f>Candidates!C31</f>
        <v>Daniel White</v>
      </c>
      <c r="AG4" s="110" t="str">
        <f>Candidates!C33</f>
        <v>Michael Lacy</v>
      </c>
      <c r="AH4" s="110" t="str">
        <f>Candidates!C34</f>
        <v>Farley Anderson</v>
      </c>
      <c r="AI4" s="110">
        <f>Candidates!C35</f>
        <v>0</v>
      </c>
      <c r="AJ4" s="110" t="str">
        <f>Candidates!C36</f>
        <v>Bo Gingrich</v>
      </c>
    </row>
    <row r="5" spans="1:36" s="110" customFormat="1">
      <c r="A5" s="110" t="s">
        <v>2340</v>
      </c>
      <c r="B5" s="110" t="str">
        <f>Candidates!D2</f>
        <v>Democratic</v>
      </c>
      <c r="C5" s="110" t="str">
        <f>Candidates!D3</f>
        <v>Republican</v>
      </c>
      <c r="D5" s="110" t="str">
        <f>Candidates!D4</f>
        <v>Independent</v>
      </c>
      <c r="E5" s="110" t="str">
        <f>Candidates!D5</f>
        <v>Libertarian</v>
      </c>
      <c r="F5" s="110" t="str">
        <f>Candidates!D6</f>
        <v>Green</v>
      </c>
      <c r="G5" s="110" t="str">
        <f>Candidates!D7</f>
        <v>Constitution</v>
      </c>
      <c r="H5" s="110" t="str">
        <f>Candidates!D8</f>
        <v>American Delta</v>
      </c>
      <c r="I5" s="110" t="str">
        <f>Candidates!D9</f>
        <v>Socialist</v>
      </c>
      <c r="J5" s="111" t="str">
        <f>Candidates!D10</f>
        <v>Socialism and Liberation</v>
      </c>
      <c r="K5" s="110" t="str">
        <f>Candidates!D11</f>
        <v>-</v>
      </c>
      <c r="L5" s="110" t="str">
        <f>Candidates!D12</f>
        <v>Socialist Workers</v>
      </c>
      <c r="M5" s="110" t="str">
        <f>Candidates!D13</f>
        <v>America's</v>
      </c>
      <c r="N5" s="111" t="str">
        <f>Candidates!D14</f>
        <v>Independent</v>
      </c>
      <c r="O5" s="110" t="str">
        <f>Candidates!D15</f>
        <v>Workers World</v>
      </c>
      <c r="P5" s="110" t="str">
        <f>Candidates!D16</f>
        <v>-</v>
      </c>
      <c r="Q5" s="110" t="str">
        <f>Candidates!D17</f>
        <v>Legal Marijuana Now</v>
      </c>
      <c r="R5" s="110" t="str">
        <f>Candidates!D18</f>
        <v>Prohibition</v>
      </c>
      <c r="S5" s="110" t="str">
        <f>Candidates!D19</f>
        <v>Independent</v>
      </c>
      <c r="T5" s="110" t="str">
        <f>Candidates!D20</f>
        <v>Socialist Equality</v>
      </c>
      <c r="U5" s="110" t="str">
        <f>Candidates!D21</f>
        <v>Veterans</v>
      </c>
      <c r="V5" s="110" t="str">
        <f>Candidates!D22</f>
        <v>Ind. American</v>
      </c>
      <c r="W5" s="110" t="str">
        <f>Candidates!D23</f>
        <v>Approval Voting</v>
      </c>
      <c r="X5" s="110" t="str">
        <f>Candidates!D24</f>
        <v>Revolutionary</v>
      </c>
      <c r="Y5" s="110" t="str">
        <f>Candidates!D25</f>
        <v>Pacifist</v>
      </c>
      <c r="Z5" s="110" t="str">
        <f>Candidates!D26</f>
        <v>Independent</v>
      </c>
      <c r="AA5" s="110" t="str">
        <f>Candidates!D27</f>
        <v>Independent</v>
      </c>
      <c r="AB5" s="110" t="str">
        <f>Candidates!D28</f>
        <v>American Solidarity</v>
      </c>
      <c r="AC5" s="110" t="str">
        <f>Candidates!D29</f>
        <v>Independent</v>
      </c>
      <c r="AD5" s="110" t="str">
        <f>Candidates!D30</f>
        <v>Nutrition</v>
      </c>
      <c r="AE5" s="110" t="str">
        <f>Candidates!D31</f>
        <v>Independent</v>
      </c>
      <c r="AF5" s="110" t="str">
        <f>Candidates!D32</f>
        <v>Constitution ID</v>
      </c>
      <c r="AG5" s="110" t="str">
        <f>Candidates!D33</f>
        <v>American</v>
      </c>
      <c r="AH5" s="111" t="str">
        <f>Candidates!D34</f>
        <v>Ind. American</v>
      </c>
      <c r="AI5" s="111">
        <f>Candidates!D35</f>
        <v>0</v>
      </c>
      <c r="AJ5" s="111" t="str">
        <f>Candidates!D36</f>
        <v>Independent</v>
      </c>
    </row>
    <row r="6" spans="1:36" s="110" customFormat="1">
      <c r="A6" s="110" t="s">
        <v>665</v>
      </c>
      <c r="B6" s="110" t="str">
        <f>Candidates!E2</f>
        <v>New York</v>
      </c>
      <c r="C6" s="110" t="str">
        <f>Candidates!E3</f>
        <v>New York</v>
      </c>
      <c r="D6" s="110" t="str">
        <f>Candidates!E4</f>
        <v>Utah</v>
      </c>
      <c r="E6" s="110" t="str">
        <f>Candidates!E5</f>
        <v>New Mexico</v>
      </c>
      <c r="F6" s="110" t="str">
        <f>Candidates!E6</f>
        <v>Massachusetts</v>
      </c>
      <c r="G6" s="110" t="str">
        <f>Candidates!E7</f>
        <v>Tennessee</v>
      </c>
      <c r="H6" s="110" t="str">
        <f>Candidates!E8</f>
        <v>Florida</v>
      </c>
      <c r="I6" s="110" t="str">
        <f>Candidates!E9</f>
        <v>California</v>
      </c>
      <c r="J6" s="110" t="str">
        <f>Candidates!E10</f>
        <v>California</v>
      </c>
      <c r="K6" s="110" t="str">
        <f>Candidates!E11</f>
        <v>-</v>
      </c>
      <c r="L6" s="110" t="str">
        <f>Candidates!E12</f>
        <v>Illinois</v>
      </c>
      <c r="M6" s="110" t="str">
        <f>Candidates!E13</f>
        <v>Iowa</v>
      </c>
      <c r="N6" s="110" t="str">
        <f>Candidates!E14</f>
        <v>Ohio</v>
      </c>
      <c r="O6" s="110" t="str">
        <f>Candidates!E15</f>
        <v>New York</v>
      </c>
      <c r="P6" s="110" t="str">
        <f>Candidates!E16</f>
        <v>-</v>
      </c>
      <c r="Q6" s="110" t="str">
        <f>Candidates!E17</f>
        <v>Minnesota</v>
      </c>
      <c r="R6" s="110" t="str">
        <f>Candidates!E18</f>
        <v>Pennsylvania</v>
      </c>
      <c r="S6" s="110" t="str">
        <f>Candidates!E19</f>
        <v>Massachusetts</v>
      </c>
      <c r="T6" s="110" t="str">
        <f>Candidates!E20</f>
        <v>Michigan</v>
      </c>
      <c r="U6" s="110" t="str">
        <f>Candidates!E21</f>
        <v>Texas</v>
      </c>
      <c r="V6" s="110" t="str">
        <f>Candidates!E22</f>
        <v>Michigan</v>
      </c>
      <c r="W6" s="110" t="str">
        <f>Candidates!E23</f>
        <v>Colorado</v>
      </c>
      <c r="X6" s="110" t="str">
        <f>Candidates!E24</f>
        <v>California</v>
      </c>
      <c r="Y6" s="110" t="str">
        <f>Candidates!E25</f>
        <v>Illinois</v>
      </c>
      <c r="Z6" s="110" t="str">
        <f>Candidates!E26</f>
        <v>Maryland</v>
      </c>
      <c r="AA6" s="110" t="str">
        <f>Candidates!E27</f>
        <v>Oklahoma</v>
      </c>
      <c r="AB6" s="110" t="str">
        <f>Candidates!E28</f>
        <v>Michigan</v>
      </c>
      <c r="AC6" s="110" t="str">
        <f>Candidates!E29</f>
        <v>Colorado</v>
      </c>
      <c r="AD6" s="110" t="str">
        <f>Candidates!E30</f>
        <v>New Jersey</v>
      </c>
      <c r="AE6" s="110" t="str">
        <f>Candidates!E31</f>
        <v>Colorado</v>
      </c>
      <c r="AF6" s="110" t="str">
        <f>Candidates!E32</f>
        <v>Texas</v>
      </c>
      <c r="AG6" s="110">
        <f>Candidates!E33</f>
        <v>0</v>
      </c>
      <c r="AH6" s="110">
        <f>Candidates!E34</f>
        <v>0</v>
      </c>
      <c r="AI6" s="110">
        <f>Candidates!E35</f>
        <v>0</v>
      </c>
      <c r="AJ6" s="110" t="str">
        <f>Candidates!E36</f>
        <v>Tennessee</v>
      </c>
    </row>
    <row r="7" spans="1:36" s="110" customFormat="1">
      <c r="A7" s="110" t="s">
        <v>1602</v>
      </c>
      <c r="B7" s="110" t="str">
        <f>Candidates!F2</f>
        <v>Virginia</v>
      </c>
      <c r="C7" s="110" t="str">
        <f>Candidates!F3</f>
        <v>Indiana</v>
      </c>
      <c r="D7" s="110" t="str">
        <f>Candidates!F4</f>
        <v>District of Columbia</v>
      </c>
      <c r="E7" s="110" t="str">
        <f>Candidates!F5</f>
        <v>Massachusetts</v>
      </c>
      <c r="F7" s="110" t="str">
        <f>Candidates!F6</f>
        <v>Virginia</v>
      </c>
      <c r="G7" s="110" t="str">
        <f>Candidates!F7</f>
        <v>Utah</v>
      </c>
      <c r="H7" s="110" t="str">
        <f>Candidates!F8</f>
        <v>Florida</v>
      </c>
      <c r="I7" s="110" t="str">
        <f>Candidates!F9</f>
        <v>Wisconsin</v>
      </c>
      <c r="J7" s="110" t="str">
        <f>Candidates!F10</f>
        <v>District of Columbia</v>
      </c>
      <c r="K7" s="110" t="str">
        <f>Candidates!F11</f>
        <v>-</v>
      </c>
      <c r="L7" s="110" t="str">
        <f>Candidates!F12</f>
        <v>Pennsylvania</v>
      </c>
      <c r="M7" s="110">
        <f>Candidates!F13</f>
        <v>0</v>
      </c>
      <c r="N7" s="110">
        <f>Candidates!F14</f>
        <v>0</v>
      </c>
      <c r="O7" s="110">
        <f>Candidates!F15</f>
        <v>0</v>
      </c>
      <c r="P7" s="110">
        <f>Candidates!F16</f>
        <v>0</v>
      </c>
      <c r="Q7" s="110">
        <f>Candidates!F17</f>
        <v>0</v>
      </c>
      <c r="R7" s="110" t="str">
        <f>Candidates!F18</f>
        <v>Mississippi</v>
      </c>
      <c r="S7" s="110">
        <f>Candidates!F19</f>
        <v>0</v>
      </c>
      <c r="T7" s="110">
        <f>Candidates!F20</f>
        <v>0</v>
      </c>
      <c r="U7" s="110" t="str">
        <f>Candidates!F21</f>
        <v>Wisconsin</v>
      </c>
      <c r="V7" s="110">
        <f>Candidates!F22</f>
        <v>0</v>
      </c>
      <c r="W7" s="110">
        <f>Candidates!F23</f>
        <v>0</v>
      </c>
      <c r="X7" s="110">
        <f>Candidates!F24</f>
        <v>0</v>
      </c>
      <c r="Y7" s="110">
        <f>Candidates!F25</f>
        <v>0</v>
      </c>
      <c r="Z7" s="110" t="str">
        <f>Candidates!F26</f>
        <v>Florida</v>
      </c>
      <c r="AA7" s="110">
        <f>Candidates!F27</f>
        <v>0</v>
      </c>
      <c r="AB7" s="110">
        <f>Candidates!F28</f>
        <v>0</v>
      </c>
      <c r="AC7" s="110">
        <f>Candidates!F29</f>
        <v>0</v>
      </c>
      <c r="AD7" s="110">
        <f>Candidates!F30</f>
        <v>0</v>
      </c>
      <c r="AE7" s="110">
        <f>Candidates!F31</f>
        <v>0</v>
      </c>
      <c r="AF7" s="110" t="str">
        <f>Candidates!F32</f>
        <v>Alaska</v>
      </c>
      <c r="AG7" s="110">
        <f>Candidates!F33</f>
        <v>0</v>
      </c>
      <c r="AH7" s="110">
        <f>Candidates!F34</f>
        <v>0</v>
      </c>
      <c r="AI7" s="110">
        <f>Candidates!F35</f>
        <v>0</v>
      </c>
      <c r="AJ7" s="110">
        <f>Candidates!F36</f>
        <v>0</v>
      </c>
    </row>
    <row r="8" spans="1:36" s="110" customFormat="1">
      <c r="A8" s="110" t="s">
        <v>1593</v>
      </c>
      <c r="B8" s="110" t="str">
        <f>Candidates!H2</f>
        <v>Clinton</v>
      </c>
      <c r="C8" s="110" t="str">
        <f>Candidates!H3</f>
        <v>Trump</v>
      </c>
      <c r="D8" s="110" t="str">
        <f>Candidates!H4</f>
        <v>McMullin</v>
      </c>
      <c r="E8" s="110" t="str">
        <f>Candidates!H5</f>
        <v>Johnson</v>
      </c>
      <c r="F8" s="110" t="str">
        <f>Candidates!H6</f>
        <v>Stein</v>
      </c>
      <c r="G8" s="110" t="str">
        <f>Candidates!H7</f>
        <v>Castle</v>
      </c>
      <c r="H8" s="110" t="str">
        <f>Candidates!H8</f>
        <v>Fuente</v>
      </c>
      <c r="I8" s="110" t="str">
        <f>Candidates!H9</f>
        <v>Soltysik</v>
      </c>
      <c r="J8" s="110" t="str">
        <f>Candidates!H10</f>
        <v>LaRiva</v>
      </c>
      <c r="K8" s="110" t="str">
        <f>Candidates!H11</f>
        <v>Write-ins</v>
      </c>
      <c r="L8" s="110" t="str">
        <f>Candidates!H12</f>
        <v>Kennedy</v>
      </c>
      <c r="M8" s="110" t="str">
        <f>Candidates!H13</f>
        <v>Hoefling</v>
      </c>
      <c r="N8" s="110" t="str">
        <f>Candidates!H14</f>
        <v>Duncan</v>
      </c>
      <c r="O8" s="110" t="str">
        <f>Candidates!H15</f>
        <v>Moorehead</v>
      </c>
      <c r="P8" s="110" t="str">
        <f>Candidates!H16</f>
        <v>None</v>
      </c>
      <c r="Q8" s="110" t="str">
        <f>Candidates!H17</f>
        <v>Vacek</v>
      </c>
      <c r="R8" s="110" t="str">
        <f>Candidates!H18</f>
        <v>Hedges</v>
      </c>
      <c r="S8" s="110" t="str">
        <f>Candidates!H19</f>
        <v>Kotlikoff</v>
      </c>
      <c r="T8" s="110" t="str">
        <f>Candidates!H20</f>
        <v>White</v>
      </c>
      <c r="U8" s="110" t="str">
        <f>Candidates!H21</f>
        <v>Keniston</v>
      </c>
      <c r="V8" s="110" t="str">
        <f>Candidates!H22</f>
        <v>Kopitke</v>
      </c>
      <c r="W8" s="110" t="str">
        <f>Candidates!H23</f>
        <v>Atwood</v>
      </c>
      <c r="X8" s="110" t="str">
        <f>Candidates!H24</f>
        <v>Jacob-Fambro</v>
      </c>
      <c r="Y8" s="110" t="str">
        <f>Candidates!H25</f>
        <v>Lyttle</v>
      </c>
      <c r="Z8" s="110" t="str">
        <f>Candidates!H26</f>
        <v>Kahn</v>
      </c>
      <c r="AA8" s="110" t="str">
        <f>Candidates!H27</f>
        <v>Maldonado</v>
      </c>
      <c r="AB8" s="110" t="str">
        <f>Candidates!H28</f>
        <v>Maturen</v>
      </c>
      <c r="AC8" s="110" t="str">
        <f>Candidates!H29</f>
        <v>Scott</v>
      </c>
      <c r="AD8" s="110" t="str">
        <f>Candidates!H30</f>
        <v>Silva</v>
      </c>
      <c r="AE8" s="110" t="str">
        <f>Candidates!H31</f>
        <v>Smith</v>
      </c>
      <c r="AF8" s="110" t="str">
        <f>Candidates!H32</f>
        <v>Copeland</v>
      </c>
      <c r="AG8" s="110" t="str">
        <f>Candidates!H33</f>
        <v>Skewes</v>
      </c>
      <c r="AH8" s="110" t="str">
        <f>Candidates!H34</f>
        <v>Giordani</v>
      </c>
      <c r="AI8" s="110">
        <f>Candidates!H35</f>
        <v>0</v>
      </c>
      <c r="AJ8" s="110" t="str">
        <f>Candidates!H36</f>
        <v>Limbaugh</v>
      </c>
    </row>
    <row r="9" spans="1:36" s="110" customFormat="1">
      <c r="A9" s="110" t="s">
        <v>1052</v>
      </c>
      <c r="B9" s="110">
        <f t="shared" ref="B9:Q9" si="0">COUNTIF(B12:B62,"&lt;&gt;")-COUNTIF(B12:B62,"Write-in")</f>
        <v>51</v>
      </c>
      <c r="C9" s="110">
        <f t="shared" si="0"/>
        <v>51</v>
      </c>
      <c r="D9" s="110">
        <f t="shared" si="0"/>
        <v>11</v>
      </c>
      <c r="E9" s="110">
        <f t="shared" si="0"/>
        <v>51</v>
      </c>
      <c r="F9" s="110">
        <f t="shared" si="0"/>
        <v>45</v>
      </c>
      <c r="G9" s="110">
        <f t="shared" si="0"/>
        <v>24</v>
      </c>
      <c r="H9" s="110">
        <f t="shared" si="0"/>
        <v>19</v>
      </c>
      <c r="I9" s="110">
        <f t="shared" si="0"/>
        <v>2</v>
      </c>
      <c r="J9" s="110">
        <f t="shared" si="0"/>
        <v>8</v>
      </c>
      <c r="K9" s="110">
        <f t="shared" si="0"/>
        <v>3</v>
      </c>
      <c r="L9" s="110">
        <f t="shared" si="0"/>
        <v>7</v>
      </c>
      <c r="M9" s="110">
        <f t="shared" si="0"/>
        <v>2</v>
      </c>
      <c r="N9" s="110">
        <f t="shared" si="0"/>
        <v>1</v>
      </c>
      <c r="O9" s="110">
        <f t="shared" si="0"/>
        <v>3</v>
      </c>
      <c r="P9" s="110">
        <f t="shared" si="0"/>
        <v>1</v>
      </c>
      <c r="Q9" s="110">
        <f t="shared" si="0"/>
        <v>2</v>
      </c>
      <c r="R9" s="110">
        <f t="shared" ref="R9:AI9" si="1">COUNTIF(R12:R62,"&lt;&gt;")-COUNTIF(R12:R62,"Write-in")</f>
        <v>2</v>
      </c>
      <c r="S9" s="110">
        <f t="shared" si="1"/>
        <v>2</v>
      </c>
      <c r="T9" s="110">
        <f t="shared" si="1"/>
        <v>1</v>
      </c>
      <c r="U9" s="110">
        <f t="shared" si="1"/>
        <v>3</v>
      </c>
      <c r="V9" s="110">
        <f t="shared" si="1"/>
        <v>1</v>
      </c>
      <c r="W9" s="110">
        <f t="shared" si="1"/>
        <v>1</v>
      </c>
      <c r="X9" s="110">
        <f t="shared" si="1"/>
        <v>1</v>
      </c>
      <c r="Y9" s="110">
        <f t="shared" si="1"/>
        <v>1</v>
      </c>
      <c r="Z9" s="110">
        <f t="shared" si="1"/>
        <v>2</v>
      </c>
      <c r="AA9" s="110">
        <f t="shared" si="1"/>
        <v>1</v>
      </c>
      <c r="AB9" s="110">
        <f t="shared" si="1"/>
        <v>1</v>
      </c>
      <c r="AC9" s="110">
        <f t="shared" si="1"/>
        <v>1</v>
      </c>
      <c r="AD9" s="110">
        <f t="shared" si="1"/>
        <v>1</v>
      </c>
      <c r="AE9" s="110">
        <f t="shared" si="1"/>
        <v>2</v>
      </c>
      <c r="AF9" s="110">
        <f t="shared" si="1"/>
        <v>1</v>
      </c>
      <c r="AG9" s="110">
        <f t="shared" si="1"/>
        <v>1</v>
      </c>
      <c r="AH9" s="110">
        <f t="shared" si="1"/>
        <v>1</v>
      </c>
      <c r="AI9" s="110">
        <f t="shared" si="1"/>
        <v>0</v>
      </c>
      <c r="AJ9" s="110">
        <f>COUNTIF(AJ12:AJ62,"&lt;&gt;")-COUNTIF(AJ12:AJ62,"Write-in")</f>
        <v>0</v>
      </c>
    </row>
    <row r="10" spans="1:36" s="110" customFormat="1">
      <c r="B10" s="85"/>
    </row>
    <row r="11" spans="1:36">
      <c r="A11" s="62" t="s">
        <v>1609</v>
      </c>
    </row>
    <row r="12" spans="1:36">
      <c r="A12" s="8" t="s">
        <v>1486</v>
      </c>
      <c r="B12" s="128" t="s">
        <v>3405</v>
      </c>
      <c r="C12" s="128" t="s">
        <v>3406</v>
      </c>
      <c r="E12" s="128" t="s">
        <v>1112</v>
      </c>
      <c r="F12" s="128" t="s">
        <v>1112</v>
      </c>
      <c r="G12" s="128"/>
      <c r="K12" s="128"/>
    </row>
    <row r="13" spans="1:36">
      <c r="A13" s="8" t="s">
        <v>1994</v>
      </c>
      <c r="B13" s="128" t="s">
        <v>1689</v>
      </c>
      <c r="C13" s="128" t="s">
        <v>1059</v>
      </c>
      <c r="D13" s="128" t="s">
        <v>2931</v>
      </c>
      <c r="E13" s="128" t="s">
        <v>125</v>
      </c>
      <c r="F13" s="128" t="s">
        <v>2392</v>
      </c>
      <c r="G13" s="128" t="s">
        <v>3357</v>
      </c>
      <c r="H13" s="128" t="s">
        <v>3353</v>
      </c>
      <c r="K13" s="128"/>
      <c r="N13" s="128" t="s">
        <v>2931</v>
      </c>
      <c r="S13" s="128" t="s">
        <v>2931</v>
      </c>
      <c r="U13" s="128" t="s">
        <v>3237</v>
      </c>
      <c r="AA13" s="128" t="s">
        <v>2931</v>
      </c>
      <c r="AE13" s="128" t="s">
        <v>2931</v>
      </c>
    </row>
    <row r="14" spans="1:36">
      <c r="A14" s="8" t="s">
        <v>444</v>
      </c>
      <c r="B14" s="128" t="s">
        <v>1689</v>
      </c>
      <c r="C14" s="128" t="s">
        <v>1059</v>
      </c>
      <c r="D14" s="128" t="s">
        <v>2931</v>
      </c>
      <c r="E14" s="128" t="s">
        <v>125</v>
      </c>
      <c r="F14" s="128" t="s">
        <v>2392</v>
      </c>
      <c r="G14" s="128" t="s">
        <v>2931</v>
      </c>
      <c r="H14" s="128" t="s">
        <v>2931</v>
      </c>
      <c r="K14" s="128"/>
      <c r="L14" s="128"/>
      <c r="M14" s="128" t="s">
        <v>2931</v>
      </c>
      <c r="S14" s="128" t="s">
        <v>2931</v>
      </c>
      <c r="X14" s="128"/>
      <c r="AA14" s="128" t="s">
        <v>2931</v>
      </c>
      <c r="AE14" s="128" t="s">
        <v>2931</v>
      </c>
    </row>
    <row r="15" spans="1:36">
      <c r="A15" s="8" t="s">
        <v>200</v>
      </c>
      <c r="B15" s="128" t="s">
        <v>1689</v>
      </c>
      <c r="C15" s="128" t="s">
        <v>1059</v>
      </c>
      <c r="D15" s="128" t="s">
        <v>3356</v>
      </c>
      <c r="E15" s="128" t="s">
        <v>125</v>
      </c>
      <c r="F15" s="128" t="s">
        <v>2392</v>
      </c>
      <c r="G15" s="128" t="s">
        <v>1480</v>
      </c>
      <c r="J15" s="128"/>
      <c r="K15" s="128"/>
      <c r="R15" s="128" t="s">
        <v>1112</v>
      </c>
      <c r="Z15" s="128" t="s">
        <v>1112</v>
      </c>
    </row>
    <row r="16" spans="1:36">
      <c r="A16" s="8" t="s">
        <v>2629</v>
      </c>
      <c r="B16" s="128" t="s">
        <v>1689</v>
      </c>
      <c r="C16" s="128" t="s">
        <v>3344</v>
      </c>
      <c r="D16" s="128" t="s">
        <v>2931</v>
      </c>
      <c r="E16" s="128" t="s">
        <v>125</v>
      </c>
      <c r="F16" s="128" t="s">
        <v>2392</v>
      </c>
      <c r="G16" s="128"/>
      <c r="H16" s="128"/>
      <c r="I16" s="128"/>
      <c r="J16" s="128" t="s">
        <v>3343</v>
      </c>
      <c r="K16" s="128"/>
      <c r="L16" s="128"/>
      <c r="M16" s="128"/>
      <c r="N16" s="128"/>
      <c r="S16" s="128" t="s">
        <v>2931</v>
      </c>
      <c r="T16" s="128" t="s">
        <v>2931</v>
      </c>
      <c r="U16" s="128"/>
      <c r="Z16" s="128"/>
      <c r="AB16" s="128" t="s">
        <v>2931</v>
      </c>
    </row>
    <row r="17" spans="1:36" s="110" customFormat="1">
      <c r="A17" s="8" t="s">
        <v>1865</v>
      </c>
      <c r="B17" s="128" t="s">
        <v>1689</v>
      </c>
      <c r="C17" s="128" t="s">
        <v>1059</v>
      </c>
      <c r="D17" s="128" t="s">
        <v>3363</v>
      </c>
      <c r="E17" s="128" t="s">
        <v>125</v>
      </c>
      <c r="F17" s="128" t="s">
        <v>2392</v>
      </c>
      <c r="G17" s="128" t="s">
        <v>3358</v>
      </c>
      <c r="H17" s="128" t="s">
        <v>3342</v>
      </c>
      <c r="I17" s="128" t="s">
        <v>3365</v>
      </c>
      <c r="J17" s="128" t="s">
        <v>727</v>
      </c>
      <c r="K17" s="128"/>
      <c r="L17" s="128" t="s">
        <v>38</v>
      </c>
      <c r="M17" s="128" t="s">
        <v>3289</v>
      </c>
      <c r="N17" s="128"/>
      <c r="R17" s="128" t="s">
        <v>460</v>
      </c>
      <c r="S17" s="128" t="s">
        <v>3360</v>
      </c>
      <c r="T17" s="128"/>
      <c r="U17" s="128" t="s">
        <v>3359</v>
      </c>
      <c r="V17" s="128" t="s">
        <v>3216</v>
      </c>
      <c r="W17" s="128" t="s">
        <v>3303</v>
      </c>
      <c r="X17"/>
      <c r="Y17" s="128" t="s">
        <v>3361</v>
      </c>
      <c r="Z17" s="128"/>
      <c r="AA17" s="128" t="s">
        <v>3362</v>
      </c>
      <c r="AB17" s="128" t="s">
        <v>3321</v>
      </c>
      <c r="AC17" s="128" t="s">
        <v>3363</v>
      </c>
      <c r="AD17" s="128" t="s">
        <v>3327</v>
      </c>
      <c r="AE17" s="128" t="s">
        <v>3363</v>
      </c>
    </row>
    <row r="18" spans="1:36" s="110" customFormat="1">
      <c r="A18" s="110" t="s">
        <v>1033</v>
      </c>
      <c r="B18" s="128" t="s">
        <v>1689</v>
      </c>
      <c r="C18" s="128" t="s">
        <v>1059</v>
      </c>
      <c r="D18" s="128" t="s">
        <v>2931</v>
      </c>
      <c r="E18" s="128" t="s">
        <v>125</v>
      </c>
      <c r="F18" s="128" t="s">
        <v>2392</v>
      </c>
      <c r="G18" s="128" t="s">
        <v>2931</v>
      </c>
      <c r="H18" s="128" t="s">
        <v>2931</v>
      </c>
      <c r="J18" s="128" t="s">
        <v>2931</v>
      </c>
      <c r="K18" s="128"/>
      <c r="L18" s="128"/>
      <c r="M18" s="128" t="s">
        <v>2931</v>
      </c>
      <c r="S18" s="128" t="s">
        <v>2931</v>
      </c>
      <c r="AA18" s="128" t="s">
        <v>2931</v>
      </c>
      <c r="AE18" s="128" t="s">
        <v>2931</v>
      </c>
      <c r="AG18" s="128" t="s">
        <v>2931</v>
      </c>
    </row>
    <row r="19" spans="1:36" s="110" customFormat="1">
      <c r="A19" s="110" t="s">
        <v>1708</v>
      </c>
      <c r="B19" s="128" t="s">
        <v>1689</v>
      </c>
      <c r="C19" s="128" t="s">
        <v>1059</v>
      </c>
      <c r="D19" s="128" t="s">
        <v>2931</v>
      </c>
      <c r="E19" s="128" t="s">
        <v>3410</v>
      </c>
      <c r="F19" s="128" t="s">
        <v>3366</v>
      </c>
      <c r="G19" s="128" t="s">
        <v>2931</v>
      </c>
      <c r="H19" s="128" t="s">
        <v>2931</v>
      </c>
      <c r="J19" s="128" t="s">
        <v>2931</v>
      </c>
      <c r="K19" s="128"/>
      <c r="M19" s="128" t="s">
        <v>2931</v>
      </c>
      <c r="N19" s="128" t="s">
        <v>2931</v>
      </c>
      <c r="Q19" s="128"/>
      <c r="T19" s="128" t="s">
        <v>2931</v>
      </c>
      <c r="X19" s="128"/>
      <c r="Z19" s="128" t="s">
        <v>2931</v>
      </c>
      <c r="AA19" s="128" t="s">
        <v>2931</v>
      </c>
      <c r="AC19" s="128" t="s">
        <v>2931</v>
      </c>
      <c r="AE19" s="128" t="s">
        <v>2931</v>
      </c>
      <c r="AJ19" s="128" t="s">
        <v>2931</v>
      </c>
    </row>
    <row r="20" spans="1:36" s="110" customFormat="1">
      <c r="A20" s="110" t="s">
        <v>2535</v>
      </c>
      <c r="B20" s="128" t="s">
        <v>1689</v>
      </c>
      <c r="C20" s="128" t="s">
        <v>1059</v>
      </c>
      <c r="E20" s="128" t="s">
        <v>125</v>
      </c>
      <c r="F20" s="128" t="s">
        <v>3408</v>
      </c>
      <c r="K20" s="128"/>
    </row>
    <row r="21" spans="1:36" s="110" customFormat="1">
      <c r="A21" s="110" t="s">
        <v>1533</v>
      </c>
      <c r="B21" s="128" t="s">
        <v>1689</v>
      </c>
      <c r="C21" s="128" t="s">
        <v>1059</v>
      </c>
      <c r="D21" s="8"/>
      <c r="E21" s="128" t="s">
        <v>3367</v>
      </c>
      <c r="F21" s="128" t="s">
        <v>2392</v>
      </c>
      <c r="G21" s="128" t="s">
        <v>3368</v>
      </c>
      <c r="H21" s="128" t="s">
        <v>294</v>
      </c>
      <c r="I21" s="128"/>
      <c r="J21" s="128"/>
      <c r="K21" s="128"/>
      <c r="L21" s="128"/>
      <c r="M21" s="128"/>
      <c r="N21" s="128" t="s">
        <v>2931</v>
      </c>
      <c r="S21" s="128" t="s">
        <v>2931</v>
      </c>
      <c r="T21" s="128"/>
      <c r="X21" s="128"/>
    </row>
    <row r="22" spans="1:36" s="110" customFormat="1">
      <c r="A22" s="110" t="s">
        <v>1155</v>
      </c>
      <c r="B22" s="128" t="s">
        <v>1689</v>
      </c>
      <c r="C22" s="128" t="s">
        <v>1059</v>
      </c>
      <c r="D22" s="128" t="s">
        <v>2931</v>
      </c>
      <c r="E22" s="128" t="s">
        <v>125</v>
      </c>
      <c r="F22" s="128" t="s">
        <v>2931</v>
      </c>
      <c r="G22" s="128" t="s">
        <v>2931</v>
      </c>
      <c r="H22" s="128"/>
      <c r="K22" s="128"/>
      <c r="L22" s="128"/>
      <c r="M22" s="128" t="s">
        <v>2931</v>
      </c>
      <c r="S22" s="128" t="s">
        <v>2931</v>
      </c>
      <c r="X22" s="128"/>
      <c r="AB22" s="128" t="s">
        <v>2931</v>
      </c>
      <c r="AE22" s="128" t="s">
        <v>2931</v>
      </c>
    </row>
    <row r="23" spans="1:36" s="110" customFormat="1">
      <c r="A23" s="110" t="s">
        <v>654</v>
      </c>
      <c r="B23" s="128" t="s">
        <v>1689</v>
      </c>
      <c r="C23" s="128" t="s">
        <v>1059</v>
      </c>
      <c r="E23" s="128" t="s">
        <v>125</v>
      </c>
      <c r="F23" s="128" t="s">
        <v>2392</v>
      </c>
      <c r="G23" s="128" t="s">
        <v>1480</v>
      </c>
      <c r="K23" s="128"/>
    </row>
    <row r="24" spans="1:36" s="110" customFormat="1">
      <c r="A24" s="128" t="s">
        <v>2092</v>
      </c>
      <c r="B24" s="128" t="s">
        <v>1689</v>
      </c>
      <c r="C24" s="128" t="s">
        <v>1059</v>
      </c>
      <c r="D24" s="128" t="s">
        <v>1112</v>
      </c>
      <c r="E24" s="128" t="s">
        <v>125</v>
      </c>
      <c r="F24" s="128" t="s">
        <v>1112</v>
      </c>
      <c r="G24" s="128" t="s">
        <v>1112</v>
      </c>
      <c r="H24" s="128" t="s">
        <v>1112</v>
      </c>
      <c r="K24" s="128"/>
      <c r="L24" s="128"/>
      <c r="M24" s="128" t="s">
        <v>2931</v>
      </c>
      <c r="N24" s="128" t="s">
        <v>2931</v>
      </c>
      <c r="O24" s="128" t="s">
        <v>2931</v>
      </c>
      <c r="R24" s="128" t="s">
        <v>2931</v>
      </c>
      <c r="S24" s="128" t="s">
        <v>2931</v>
      </c>
      <c r="U24" s="128" t="s">
        <v>2931</v>
      </c>
      <c r="Z24" s="128" t="s">
        <v>2931</v>
      </c>
      <c r="AB24" s="128" t="s">
        <v>2931</v>
      </c>
      <c r="AE24" s="128" t="s">
        <v>2931</v>
      </c>
      <c r="AF24" s="128" t="s">
        <v>1480</v>
      </c>
    </row>
    <row r="25" spans="1:36">
      <c r="A25" s="110" t="s">
        <v>661</v>
      </c>
      <c r="B25" s="128" t="s">
        <v>1689</v>
      </c>
      <c r="C25" s="128" t="s">
        <v>1059</v>
      </c>
      <c r="D25" s="128" t="s">
        <v>2931</v>
      </c>
      <c r="E25" s="128" t="s">
        <v>125</v>
      </c>
      <c r="F25" s="128" t="s">
        <v>2392</v>
      </c>
      <c r="G25" s="128" t="s">
        <v>2931</v>
      </c>
      <c r="K25" s="128"/>
      <c r="L25" s="128"/>
      <c r="M25" s="128" t="s">
        <v>2931</v>
      </c>
      <c r="S25" s="128" t="s">
        <v>2931</v>
      </c>
      <c r="U25" s="128"/>
      <c r="X25" s="128"/>
      <c r="AA25" s="128" t="s">
        <v>2931</v>
      </c>
    </row>
    <row r="26" spans="1:36">
      <c r="A26" s="8" t="s">
        <v>150</v>
      </c>
      <c r="B26" s="128" t="s">
        <v>1689</v>
      </c>
      <c r="C26" s="128" t="s">
        <v>1059</v>
      </c>
      <c r="E26" s="128" t="s">
        <v>125</v>
      </c>
      <c r="F26" s="128" t="s">
        <v>2931</v>
      </c>
      <c r="G26" s="128" t="s">
        <v>2931</v>
      </c>
      <c r="H26" s="128" t="s">
        <v>2931</v>
      </c>
      <c r="I26" s="128" t="s">
        <v>2931</v>
      </c>
      <c r="K26" s="128"/>
      <c r="M26" s="128" t="s">
        <v>2931</v>
      </c>
      <c r="N26" s="128" t="s">
        <v>2931</v>
      </c>
      <c r="O26" s="128"/>
      <c r="S26" s="128" t="s">
        <v>2931</v>
      </c>
      <c r="W26" s="128"/>
      <c r="X26" s="128"/>
      <c r="AA26" s="128" t="s">
        <v>2931</v>
      </c>
    </row>
    <row r="27" spans="1:36">
      <c r="A27" s="8" t="s">
        <v>1621</v>
      </c>
      <c r="B27" s="128" t="s">
        <v>1689</v>
      </c>
      <c r="C27" s="128" t="s">
        <v>1059</v>
      </c>
      <c r="D27" s="128" t="s">
        <v>1112</v>
      </c>
      <c r="E27" s="128" t="s">
        <v>125</v>
      </c>
      <c r="F27" s="128" t="s">
        <v>3370</v>
      </c>
      <c r="G27" s="128" t="s">
        <v>1480</v>
      </c>
      <c r="H27" s="128" t="s">
        <v>1112</v>
      </c>
      <c r="I27" s="110"/>
      <c r="J27" s="128" t="s">
        <v>727</v>
      </c>
      <c r="K27" s="128"/>
      <c r="Q27" s="128" t="s">
        <v>3333</v>
      </c>
      <c r="Y27" s="128"/>
      <c r="Z27" s="128" t="s">
        <v>3373</v>
      </c>
    </row>
    <row r="28" spans="1:36">
      <c r="A28" s="8" t="s">
        <v>90</v>
      </c>
      <c r="B28" s="128" t="s">
        <v>1689</v>
      </c>
      <c r="C28" s="128" t="s">
        <v>1059</v>
      </c>
      <c r="D28" s="128" t="s">
        <v>2931</v>
      </c>
      <c r="E28" s="128" t="s">
        <v>125</v>
      </c>
      <c r="F28" s="128" t="s">
        <v>1112</v>
      </c>
      <c r="G28" s="128" t="s">
        <v>2931</v>
      </c>
      <c r="H28" s="128" t="s">
        <v>2931</v>
      </c>
      <c r="J28" s="128" t="s">
        <v>2931</v>
      </c>
      <c r="K28" s="128"/>
      <c r="L28" s="128"/>
      <c r="M28" s="128" t="s">
        <v>2931</v>
      </c>
      <c r="N28" s="128"/>
      <c r="O28" s="128" t="s">
        <v>2931</v>
      </c>
      <c r="R28" s="128" t="s">
        <v>2931</v>
      </c>
      <c r="V28" s="128"/>
      <c r="X28" s="128"/>
      <c r="Z28" s="128" t="s">
        <v>2931</v>
      </c>
      <c r="AA28" s="128"/>
      <c r="AB28" s="128" t="s">
        <v>2931</v>
      </c>
      <c r="AD28" s="128"/>
      <c r="AE28" s="128" t="s">
        <v>2931</v>
      </c>
      <c r="AH28" s="128" t="s">
        <v>2931</v>
      </c>
    </row>
    <row r="29" spans="1:36">
      <c r="A29" s="8" t="s">
        <v>2599</v>
      </c>
      <c r="B29" s="128" t="s">
        <v>1689</v>
      </c>
      <c r="C29" s="128" t="s">
        <v>1059</v>
      </c>
      <c r="D29" s="128" t="s">
        <v>1112</v>
      </c>
      <c r="E29" s="128" t="s">
        <v>125</v>
      </c>
      <c r="F29" s="128" t="s">
        <v>2392</v>
      </c>
      <c r="G29" s="128" t="s">
        <v>2931</v>
      </c>
      <c r="H29" s="128" t="s">
        <v>3342</v>
      </c>
      <c r="K29" s="128"/>
      <c r="L29" s="128"/>
      <c r="M29" s="128" t="s">
        <v>2931</v>
      </c>
      <c r="N29" s="128" t="s">
        <v>2931</v>
      </c>
      <c r="S29" s="128" t="s">
        <v>2931</v>
      </c>
      <c r="T29" s="128" t="s">
        <v>2931</v>
      </c>
      <c r="U29" s="128" t="s">
        <v>2931</v>
      </c>
      <c r="W29" s="128"/>
      <c r="AA29" s="128" t="s">
        <v>2931</v>
      </c>
      <c r="AB29" s="128" t="s">
        <v>2931</v>
      </c>
      <c r="AE29" s="128" t="s">
        <v>2931</v>
      </c>
    </row>
    <row r="30" spans="1:36">
      <c r="A30" s="8" t="s">
        <v>2451</v>
      </c>
      <c r="B30" s="128" t="s">
        <v>1689</v>
      </c>
      <c r="C30" s="128" t="s">
        <v>1059</v>
      </c>
      <c r="D30" s="128" t="s">
        <v>3375</v>
      </c>
      <c r="E30" s="128" t="s">
        <v>125</v>
      </c>
      <c r="F30" s="128" t="s">
        <v>2392</v>
      </c>
      <c r="G30" s="128" t="s">
        <v>1480</v>
      </c>
      <c r="H30" s="128"/>
      <c r="J30" s="128" t="s">
        <v>727</v>
      </c>
      <c r="K30" s="128"/>
      <c r="L30" s="128" t="s">
        <v>38</v>
      </c>
      <c r="M30" s="128" t="s">
        <v>3377</v>
      </c>
      <c r="S30" s="128" t="s">
        <v>3376</v>
      </c>
      <c r="T30" s="128" t="s">
        <v>3379</v>
      </c>
      <c r="U30" s="128" t="s">
        <v>3237</v>
      </c>
      <c r="X30" s="128" t="s">
        <v>3378</v>
      </c>
      <c r="Z30" s="128"/>
      <c r="AA30" s="128"/>
    </row>
    <row r="31" spans="1:36">
      <c r="A31" s="8" t="s">
        <v>3172</v>
      </c>
      <c r="B31" s="128" t="s">
        <v>1689</v>
      </c>
      <c r="C31" s="128" t="s">
        <v>1059</v>
      </c>
      <c r="D31" s="128" t="s">
        <v>2931</v>
      </c>
      <c r="E31" s="128" t="s">
        <v>125</v>
      </c>
      <c r="F31" s="128" t="s">
        <v>2392</v>
      </c>
      <c r="G31" s="128" t="s">
        <v>2931</v>
      </c>
      <c r="K31" s="128"/>
      <c r="L31" s="128"/>
      <c r="S31" s="128" t="s">
        <v>2931</v>
      </c>
      <c r="X31" s="128"/>
    </row>
    <row r="32" spans="1:36">
      <c r="A32" s="8" t="s">
        <v>2540</v>
      </c>
      <c r="B32" s="128" t="s">
        <v>1689</v>
      </c>
      <c r="C32" s="128" t="s">
        <v>1059</v>
      </c>
      <c r="D32" s="128" t="s">
        <v>2931</v>
      </c>
      <c r="E32" s="128" t="s">
        <v>125</v>
      </c>
      <c r="F32" s="128" t="s">
        <v>2392</v>
      </c>
      <c r="G32" s="128" t="s">
        <v>2931</v>
      </c>
      <c r="H32" s="128" t="s">
        <v>2931</v>
      </c>
      <c r="I32" s="128" t="s">
        <v>2931</v>
      </c>
      <c r="J32" s="128" t="s">
        <v>2931</v>
      </c>
      <c r="K32" s="128"/>
      <c r="L32" s="128"/>
      <c r="M32" s="128" t="s">
        <v>2931</v>
      </c>
      <c r="N32" s="128" t="s">
        <v>2931</v>
      </c>
      <c r="R32" s="128" t="s">
        <v>2931</v>
      </c>
      <c r="S32" s="128" t="s">
        <v>2931</v>
      </c>
      <c r="T32" s="128" t="s">
        <v>2931</v>
      </c>
      <c r="Z32" s="128" t="s">
        <v>2931</v>
      </c>
      <c r="AA32" s="128" t="s">
        <v>2931</v>
      </c>
      <c r="AB32" s="128" t="s">
        <v>2931</v>
      </c>
      <c r="AE32" s="128" t="s">
        <v>2931</v>
      </c>
    </row>
    <row r="33" spans="1:36">
      <c r="A33" s="8" t="s">
        <v>2478</v>
      </c>
      <c r="B33" s="128" t="s">
        <v>1689</v>
      </c>
      <c r="C33" s="128" t="s">
        <v>1059</v>
      </c>
      <c r="E33" s="128" t="s">
        <v>125</v>
      </c>
      <c r="F33" s="128" t="s">
        <v>3380</v>
      </c>
      <c r="G33" s="110"/>
      <c r="K33" s="128"/>
    </row>
    <row r="34" spans="1:36">
      <c r="A34" s="8" t="s">
        <v>1100</v>
      </c>
      <c r="B34" s="128" t="s">
        <v>1689</v>
      </c>
      <c r="C34" s="128" t="s">
        <v>1059</v>
      </c>
      <c r="D34" s="128" t="s">
        <v>2931</v>
      </c>
      <c r="E34" s="128" t="s">
        <v>125</v>
      </c>
      <c r="F34" s="128" t="s">
        <v>2392</v>
      </c>
      <c r="G34" s="128" t="s">
        <v>3381</v>
      </c>
      <c r="I34" s="128" t="s">
        <v>3149</v>
      </c>
      <c r="K34" s="128"/>
      <c r="L34" s="128"/>
      <c r="M34" s="128" t="s">
        <v>2931</v>
      </c>
      <c r="O34" s="128" t="s">
        <v>2931</v>
      </c>
      <c r="S34" s="128" t="s">
        <v>2931</v>
      </c>
      <c r="U34" s="128"/>
      <c r="AB34" s="128" t="s">
        <v>2931</v>
      </c>
    </row>
    <row r="35" spans="1:36" s="110" customFormat="1">
      <c r="A35" s="8" t="s">
        <v>2724</v>
      </c>
      <c r="B35" s="128" t="s">
        <v>3382</v>
      </c>
      <c r="C35" s="128" t="s">
        <v>1059</v>
      </c>
      <c r="D35" s="128" t="s">
        <v>948</v>
      </c>
      <c r="E35" s="128" t="s">
        <v>125</v>
      </c>
      <c r="F35" s="128" t="s">
        <v>2392</v>
      </c>
      <c r="G35" s="128" t="s">
        <v>1480</v>
      </c>
      <c r="H35" s="128" t="s">
        <v>3342</v>
      </c>
      <c r="J35" s="128"/>
      <c r="K35" s="128"/>
      <c r="L35" s="128" t="s">
        <v>38</v>
      </c>
      <c r="M35" s="128"/>
      <c r="N35" s="128"/>
      <c r="O35" s="128"/>
      <c r="P35" s="128"/>
      <c r="Q35" s="128" t="s">
        <v>3333</v>
      </c>
      <c r="V35" s="128"/>
      <c r="X35" s="128"/>
      <c r="AA35" s="128"/>
      <c r="AE35" s="128"/>
    </row>
    <row r="36" spans="1:36" s="110" customFormat="1">
      <c r="A36" s="110" t="s">
        <v>526</v>
      </c>
      <c r="B36" s="128" t="s">
        <v>1689</v>
      </c>
      <c r="C36" s="128" t="s">
        <v>1059</v>
      </c>
      <c r="D36" s="8"/>
      <c r="E36" s="128" t="s">
        <v>125</v>
      </c>
      <c r="F36" s="128" t="s">
        <v>2392</v>
      </c>
      <c r="G36" s="128" t="s">
        <v>1480</v>
      </c>
      <c r="K36" s="128"/>
      <c r="L36" s="128"/>
      <c r="AC36" s="128"/>
    </row>
    <row r="37" spans="1:36" s="110" customFormat="1">
      <c r="A37" s="110" t="s">
        <v>2710</v>
      </c>
      <c r="B37" s="128" t="s">
        <v>1689</v>
      </c>
      <c r="C37" s="128" t="s">
        <v>1059</v>
      </c>
      <c r="D37" s="128" t="s">
        <v>2931</v>
      </c>
      <c r="E37" s="128" t="s">
        <v>125</v>
      </c>
      <c r="F37" s="128" t="s">
        <v>2392</v>
      </c>
      <c r="G37" s="128" t="s">
        <v>1480</v>
      </c>
      <c r="H37" s="128" t="s">
        <v>2931</v>
      </c>
      <c r="K37" s="128"/>
      <c r="M37" s="128" t="s">
        <v>2931</v>
      </c>
      <c r="S37" s="128" t="s">
        <v>2931</v>
      </c>
    </row>
    <row r="38" spans="1:36" s="110" customFormat="1">
      <c r="A38" s="110" t="s">
        <v>1051</v>
      </c>
      <c r="B38" s="128" t="s">
        <v>1689</v>
      </c>
      <c r="C38" s="128" t="s">
        <v>1059</v>
      </c>
      <c r="D38" s="128" t="s">
        <v>2931</v>
      </c>
      <c r="E38" s="128" t="s">
        <v>125</v>
      </c>
      <c r="F38" s="128" t="s">
        <v>2392</v>
      </c>
      <c r="G38" s="128" t="s">
        <v>2931</v>
      </c>
      <c r="H38" s="128" t="s">
        <v>3342</v>
      </c>
      <c r="I38" s="128" t="s">
        <v>2931</v>
      </c>
      <c r="J38" s="128"/>
      <c r="K38" s="128"/>
      <c r="L38" s="128"/>
      <c r="M38" s="128" t="s">
        <v>2931</v>
      </c>
      <c r="N38" s="128" t="s">
        <v>2931</v>
      </c>
      <c r="O38" s="128" t="s">
        <v>2931</v>
      </c>
      <c r="Q38" s="128"/>
      <c r="R38" s="128" t="s">
        <v>2931</v>
      </c>
      <c r="S38" s="128" t="s">
        <v>2931</v>
      </c>
      <c r="V38" s="128"/>
      <c r="Z38" s="128" t="s">
        <v>2931</v>
      </c>
      <c r="AA38" s="128" t="s">
        <v>2931</v>
      </c>
      <c r="AE38" s="128" t="s">
        <v>2931</v>
      </c>
      <c r="AJ38" s="128" t="s">
        <v>2931</v>
      </c>
    </row>
    <row r="39" spans="1:36" s="110" customFormat="1">
      <c r="A39" s="110" t="s">
        <v>429</v>
      </c>
      <c r="B39" s="128" t="s">
        <v>1689</v>
      </c>
      <c r="C39" s="128" t="s">
        <v>1059</v>
      </c>
      <c r="D39" s="8"/>
      <c r="E39" s="128" t="s">
        <v>125</v>
      </c>
      <c r="F39" s="128" t="s">
        <v>3385</v>
      </c>
      <c r="K39" s="128" t="s">
        <v>593</v>
      </c>
      <c r="W39" s="128"/>
    </row>
    <row r="40" spans="1:36" s="110" customFormat="1">
      <c r="A40" s="110" t="s">
        <v>2354</v>
      </c>
      <c r="B40" s="128" t="s">
        <v>1689</v>
      </c>
      <c r="C40" s="128" t="s">
        <v>1059</v>
      </c>
      <c r="D40" s="8"/>
      <c r="E40" s="128" t="s">
        <v>125</v>
      </c>
      <c r="F40" s="8"/>
      <c r="G40" s="128" t="s">
        <v>3216</v>
      </c>
      <c r="H40" s="128" t="s">
        <v>3407</v>
      </c>
      <c r="K40" s="128"/>
      <c r="P40" s="128" t="s">
        <v>593</v>
      </c>
    </row>
    <row r="41" spans="1:36" s="110" customFormat="1">
      <c r="A41" s="110" t="s">
        <v>1200</v>
      </c>
      <c r="B41" s="128" t="s">
        <v>1689</v>
      </c>
      <c r="C41" s="128" t="s">
        <v>1059</v>
      </c>
      <c r="D41" s="128" t="s">
        <v>2931</v>
      </c>
      <c r="E41" s="128" t="s">
        <v>125</v>
      </c>
      <c r="F41" s="128" t="s">
        <v>2392</v>
      </c>
      <c r="G41" s="128" t="s">
        <v>2931</v>
      </c>
      <c r="H41" s="128" t="s">
        <v>3342</v>
      </c>
      <c r="K41" s="128"/>
    </row>
    <row r="42" spans="1:36" s="110" customFormat="1">
      <c r="A42" s="110" t="s">
        <v>2405</v>
      </c>
      <c r="B42" s="128" t="s">
        <v>1689</v>
      </c>
      <c r="C42" s="128" t="s">
        <v>1059</v>
      </c>
      <c r="D42" s="8"/>
      <c r="E42" s="128" t="s">
        <v>125</v>
      </c>
      <c r="F42" s="128" t="s">
        <v>2392</v>
      </c>
      <c r="G42" s="128" t="s">
        <v>1480</v>
      </c>
      <c r="H42" s="128" t="s">
        <v>3342</v>
      </c>
      <c r="J42" s="128" t="s">
        <v>727</v>
      </c>
      <c r="K42" s="128"/>
      <c r="L42" s="128" t="s">
        <v>38</v>
      </c>
      <c r="O42" s="128" t="s">
        <v>3340</v>
      </c>
      <c r="P42" s="128"/>
      <c r="R42" s="128"/>
      <c r="AB42" s="128"/>
    </row>
    <row r="43" spans="1:36" s="110" customFormat="1">
      <c r="A43" s="110" t="s">
        <v>2756</v>
      </c>
      <c r="B43" s="128" t="s">
        <v>1689</v>
      </c>
      <c r="C43" s="128" t="s">
        <v>1059</v>
      </c>
      <c r="D43" s="128" t="s">
        <v>3356</v>
      </c>
      <c r="E43" s="128" t="s">
        <v>125</v>
      </c>
      <c r="F43" s="128" t="s">
        <v>2392</v>
      </c>
      <c r="G43" s="128" t="s">
        <v>1480</v>
      </c>
      <c r="H43" s="128" t="s">
        <v>3342</v>
      </c>
      <c r="J43" s="128" t="s">
        <v>727</v>
      </c>
      <c r="K43" s="128"/>
      <c r="L43" s="128"/>
    </row>
    <row r="44" spans="1:36" s="110" customFormat="1">
      <c r="A44" s="110" t="s">
        <v>192</v>
      </c>
      <c r="B44" s="128" t="s">
        <v>1689</v>
      </c>
      <c r="C44" s="128" t="s">
        <v>1059</v>
      </c>
      <c r="D44" t="s">
        <v>2931</v>
      </c>
      <c r="E44" s="128" t="s">
        <v>125</v>
      </c>
      <c r="F44" s="128" t="s">
        <v>2392</v>
      </c>
      <c r="G44" s="128" t="s">
        <v>2931</v>
      </c>
      <c r="H44" s="128" t="s">
        <v>2931</v>
      </c>
      <c r="I44" t="s">
        <v>2931</v>
      </c>
      <c r="J44" t="s">
        <v>2931</v>
      </c>
      <c r="K44" s="128"/>
      <c r="L44" s="128"/>
      <c r="M44" s="128" t="s">
        <v>2931</v>
      </c>
      <c r="O44" t="s">
        <v>2931</v>
      </c>
      <c r="R44" s="128"/>
      <c r="U44" s="128"/>
      <c r="X44" s="128"/>
      <c r="Z44" t="s">
        <v>2931</v>
      </c>
      <c r="AB44" t="s">
        <v>2931</v>
      </c>
      <c r="AC44" t="s">
        <v>2931</v>
      </c>
    </row>
    <row r="45" spans="1:36" s="110" customFormat="1">
      <c r="A45" s="110" t="s">
        <v>1107</v>
      </c>
      <c r="B45" s="128" t="s">
        <v>1689</v>
      </c>
      <c r="C45" s="128" t="s">
        <v>1059</v>
      </c>
      <c r="D45" s="8"/>
      <c r="E45" s="128" t="s">
        <v>125</v>
      </c>
      <c r="G45" s="128"/>
      <c r="K45" s="128"/>
    </row>
    <row r="46" spans="1:36" s="110" customFormat="1">
      <c r="A46" s="110" t="s">
        <v>2362</v>
      </c>
      <c r="B46" s="128" t="s">
        <v>3389</v>
      </c>
      <c r="C46" s="128" t="s">
        <v>1059</v>
      </c>
      <c r="D46" s="8"/>
      <c r="E46" s="128" t="s">
        <v>125</v>
      </c>
      <c r="F46" s="128" t="s">
        <v>2392</v>
      </c>
      <c r="G46" s="128" t="s">
        <v>1480</v>
      </c>
      <c r="H46" s="128" t="s">
        <v>3342</v>
      </c>
      <c r="K46" s="128" t="s">
        <v>593</v>
      </c>
    </row>
    <row r="47" spans="1:36" s="110" customFormat="1">
      <c r="A47" s="110" t="s">
        <v>736</v>
      </c>
      <c r="B47" s="128" t="s">
        <v>1689</v>
      </c>
      <c r="C47" s="128" t="s">
        <v>1059</v>
      </c>
      <c r="D47" s="128" t="s">
        <v>2931</v>
      </c>
      <c r="E47" s="128" t="s">
        <v>3219</v>
      </c>
      <c r="F47" s="128" t="s">
        <v>2392</v>
      </c>
      <c r="G47" s="128" t="s">
        <v>2931</v>
      </c>
      <c r="I47" s="128"/>
      <c r="K47" s="128"/>
      <c r="M47" s="128" t="s">
        <v>2931</v>
      </c>
      <c r="N47" s="128" t="s">
        <v>3219</v>
      </c>
      <c r="O47" s="128" t="s">
        <v>2931</v>
      </c>
      <c r="S47" s="128" t="s">
        <v>2931</v>
      </c>
      <c r="AA47" s="128" t="s">
        <v>2931</v>
      </c>
      <c r="AB47" s="128" t="s">
        <v>2931</v>
      </c>
      <c r="AE47" s="128" t="s">
        <v>2931</v>
      </c>
    </row>
    <row r="48" spans="1:36" s="110" customFormat="1">
      <c r="A48" s="110" t="s">
        <v>1272</v>
      </c>
      <c r="B48" s="128" t="s">
        <v>1689</v>
      </c>
      <c r="C48" s="128" t="s">
        <v>1059</v>
      </c>
      <c r="D48" s="8"/>
      <c r="E48" s="128" t="s">
        <v>125</v>
      </c>
      <c r="K48" s="128"/>
    </row>
    <row r="49" spans="1:36" s="110" customFormat="1">
      <c r="A49" s="110" t="s">
        <v>554</v>
      </c>
      <c r="B49" s="128" t="s">
        <v>1689</v>
      </c>
      <c r="C49" s="128" t="s">
        <v>1059</v>
      </c>
      <c r="D49" s="8"/>
      <c r="E49" s="128" t="s">
        <v>125</v>
      </c>
      <c r="F49" s="128" t="s">
        <v>3390</v>
      </c>
      <c r="G49" s="128"/>
      <c r="K49" s="128"/>
      <c r="L49" s="128"/>
      <c r="AE49" s="128"/>
    </row>
    <row r="50" spans="1:36" s="110" customFormat="1">
      <c r="A50" s="110" t="s">
        <v>1019</v>
      </c>
      <c r="B50" s="128" t="s">
        <v>1689</v>
      </c>
      <c r="C50" s="128" t="s">
        <v>1059</v>
      </c>
      <c r="D50" s="8"/>
      <c r="E50" s="128" t="s">
        <v>125</v>
      </c>
      <c r="F50" s="128" t="s">
        <v>2392</v>
      </c>
      <c r="G50" s="128" t="s">
        <v>1480</v>
      </c>
      <c r="K50" s="128"/>
    </row>
    <row r="51" spans="1:36" s="110" customFormat="1">
      <c r="A51" s="110" t="s">
        <v>1114</v>
      </c>
      <c r="B51" s="128" t="s">
        <v>1689</v>
      </c>
      <c r="C51" s="128" t="s">
        <v>1059</v>
      </c>
      <c r="D51" s="8"/>
      <c r="E51" s="128" t="s">
        <v>125</v>
      </c>
      <c r="F51" s="128" t="s">
        <v>2392</v>
      </c>
      <c r="G51" s="128"/>
      <c r="H51" s="128" t="s">
        <v>3342</v>
      </c>
      <c r="J51" s="128"/>
      <c r="K51" s="128"/>
      <c r="L51" s="128"/>
    </row>
    <row r="52" spans="1:36" s="110" customFormat="1">
      <c r="A52" s="110" t="s">
        <v>2145</v>
      </c>
      <c r="B52" s="128" t="s">
        <v>1689</v>
      </c>
      <c r="C52" s="128" t="s">
        <v>1059</v>
      </c>
      <c r="D52" s="128" t="s">
        <v>948</v>
      </c>
      <c r="E52" s="128" t="s">
        <v>125</v>
      </c>
      <c r="F52" s="128" t="s">
        <v>2392</v>
      </c>
      <c r="G52" s="128" t="s">
        <v>1480</v>
      </c>
      <c r="K52" s="128"/>
      <c r="AG52" s="128" t="s">
        <v>3393</v>
      </c>
    </row>
    <row r="53" spans="1:36" s="110" customFormat="1">
      <c r="A53" s="110" t="s">
        <v>2026</v>
      </c>
      <c r="B53" s="128" t="s">
        <v>1689</v>
      </c>
      <c r="C53" s="128" t="s">
        <v>1059</v>
      </c>
      <c r="D53" s="8"/>
      <c r="E53" s="128" t="s">
        <v>125</v>
      </c>
      <c r="G53" s="128" t="s">
        <v>1480</v>
      </c>
      <c r="K53" s="128"/>
    </row>
    <row r="54" spans="1:36" s="110" customFormat="1">
      <c r="A54" s="110" t="s">
        <v>2523</v>
      </c>
      <c r="B54" s="128" t="s">
        <v>1689</v>
      </c>
      <c r="C54" s="128" t="s">
        <v>1059</v>
      </c>
      <c r="D54" s="8"/>
      <c r="E54" s="128" t="s">
        <v>1112</v>
      </c>
      <c r="F54" s="128" t="s">
        <v>1112</v>
      </c>
      <c r="G54" s="128"/>
      <c r="H54" s="128" t="s">
        <v>1112</v>
      </c>
      <c r="I54" s="8"/>
      <c r="K54" s="128"/>
      <c r="L54" s="128" t="s">
        <v>1112</v>
      </c>
      <c r="R54" s="128"/>
      <c r="AE54" s="128" t="s">
        <v>1112</v>
      </c>
    </row>
    <row r="55" spans="1:36" s="110" customFormat="1">
      <c r="A55" s="110" t="s">
        <v>492</v>
      </c>
      <c r="B55" s="128" t="s">
        <v>1689</v>
      </c>
      <c r="C55" s="128" t="s">
        <v>1059</v>
      </c>
      <c r="D55" s="128" t="s">
        <v>2931</v>
      </c>
      <c r="E55" s="128" t="s">
        <v>125</v>
      </c>
      <c r="F55" s="128" t="s">
        <v>2392</v>
      </c>
      <c r="G55" s="128" t="s">
        <v>2931</v>
      </c>
      <c r="I55" s="128" t="s">
        <v>2931</v>
      </c>
      <c r="K55" s="128"/>
      <c r="L55" s="128"/>
      <c r="M55" s="128" t="s">
        <v>2931</v>
      </c>
      <c r="O55" s="128" t="s">
        <v>2931</v>
      </c>
      <c r="S55" s="128" t="s">
        <v>2931</v>
      </c>
      <c r="V55" s="128"/>
      <c r="AB55" s="128" t="s">
        <v>2931</v>
      </c>
    </row>
    <row r="56" spans="1:36" s="110" customFormat="1">
      <c r="A56" s="110" t="s">
        <v>277</v>
      </c>
      <c r="B56" s="128" t="s">
        <v>1689</v>
      </c>
      <c r="C56" s="128" t="s">
        <v>1059</v>
      </c>
      <c r="D56" s="128" t="s">
        <v>3363</v>
      </c>
      <c r="E56" s="128" t="s">
        <v>125</v>
      </c>
      <c r="F56" s="128" t="s">
        <v>3363</v>
      </c>
      <c r="G56" s="128" t="s">
        <v>1480</v>
      </c>
      <c r="H56" s="128" t="s">
        <v>3363</v>
      </c>
      <c r="I56" s="128" t="s">
        <v>2931</v>
      </c>
      <c r="J56" s="128"/>
      <c r="K56" s="128"/>
      <c r="L56" s="128" t="s">
        <v>3363</v>
      </c>
      <c r="M56" s="128" t="s">
        <v>2931</v>
      </c>
      <c r="N56" s="128"/>
      <c r="O56" s="128" t="s">
        <v>3363</v>
      </c>
      <c r="Q56" s="128"/>
      <c r="S56" s="128" t="s">
        <v>2931</v>
      </c>
      <c r="V56" s="128"/>
      <c r="X56" s="128"/>
      <c r="AE56" s="128" t="s">
        <v>2931</v>
      </c>
      <c r="AH56" s="128" t="s">
        <v>3216</v>
      </c>
      <c r="AI56" s="128"/>
      <c r="AJ56" s="128" t="s">
        <v>2931</v>
      </c>
    </row>
    <row r="57" spans="1:36" s="110" customFormat="1">
      <c r="A57" s="110" t="s">
        <v>726</v>
      </c>
      <c r="B57" s="128" t="s">
        <v>1689</v>
      </c>
      <c r="C57" s="128" t="s">
        <v>1059</v>
      </c>
      <c r="D57" s="8"/>
      <c r="E57" s="128" t="s">
        <v>125</v>
      </c>
      <c r="F57" s="128" t="s">
        <v>2392</v>
      </c>
      <c r="G57" s="128"/>
      <c r="H57" s="128" t="s">
        <v>1112</v>
      </c>
      <c r="J57" s="128" t="s">
        <v>3401</v>
      </c>
      <c r="K57" s="128"/>
      <c r="L57" s="128"/>
      <c r="N57" s="128"/>
    </row>
    <row r="58" spans="1:36" s="110" customFormat="1">
      <c r="A58" s="110" t="s">
        <v>1008</v>
      </c>
      <c r="B58" s="128" t="s">
        <v>1689</v>
      </c>
      <c r="C58" s="128" t="s">
        <v>1059</v>
      </c>
      <c r="D58" s="128" t="s">
        <v>1112</v>
      </c>
      <c r="E58" s="128" t="s">
        <v>125</v>
      </c>
      <c r="F58" s="128" t="s">
        <v>2392</v>
      </c>
      <c r="G58" s="128" t="s">
        <v>2931</v>
      </c>
      <c r="H58" s="128" t="s">
        <v>2931</v>
      </c>
      <c r="K58" s="128" t="s">
        <v>593</v>
      </c>
      <c r="L58" s="128"/>
      <c r="M58" s="128" t="s">
        <v>2931</v>
      </c>
      <c r="S58" s="128" t="s">
        <v>2931</v>
      </c>
      <c r="U58" s="128" t="s">
        <v>2931</v>
      </c>
      <c r="X58" s="128"/>
      <c r="Z58" s="128"/>
      <c r="AB58" s="128" t="s">
        <v>2931</v>
      </c>
      <c r="AE58" s="128" t="s">
        <v>2931</v>
      </c>
    </row>
    <row r="59" spans="1:36" s="110" customFormat="1">
      <c r="A59" s="110" t="s">
        <v>692</v>
      </c>
      <c r="B59" s="128" t="s">
        <v>1689</v>
      </c>
      <c r="C59" s="128" t="s">
        <v>1059</v>
      </c>
      <c r="D59" s="8"/>
      <c r="E59" s="128" t="s">
        <v>125</v>
      </c>
      <c r="F59" s="128" t="s">
        <v>2392</v>
      </c>
      <c r="G59" s="128" t="s">
        <v>1480</v>
      </c>
      <c r="H59" s="128"/>
      <c r="J59" s="128" t="s">
        <v>727</v>
      </c>
      <c r="K59" s="128"/>
      <c r="L59" s="128" t="s">
        <v>38</v>
      </c>
      <c r="N59" s="128"/>
      <c r="Q59" s="128"/>
      <c r="R59" s="128"/>
      <c r="V59" s="128"/>
      <c r="X59" s="128"/>
      <c r="Z59" s="128"/>
      <c r="AA59" s="128"/>
      <c r="AE59" s="128"/>
    </row>
    <row r="60" spans="1:36" s="110" customFormat="1">
      <c r="A60" s="110" t="s">
        <v>2357</v>
      </c>
      <c r="B60" s="128" t="s">
        <v>1689</v>
      </c>
      <c r="C60" s="128" t="s">
        <v>1059</v>
      </c>
      <c r="D60" s="128" t="s">
        <v>2931</v>
      </c>
      <c r="E60" s="128" t="s">
        <v>125</v>
      </c>
      <c r="F60" s="128" t="s">
        <v>3402</v>
      </c>
      <c r="G60" s="128" t="s">
        <v>1480</v>
      </c>
      <c r="H60" s="128" t="s">
        <v>2931</v>
      </c>
      <c r="J60" s="128" t="s">
        <v>2931</v>
      </c>
      <c r="K60" s="128"/>
      <c r="L60" s="128"/>
      <c r="M60" s="128" t="s">
        <v>2931</v>
      </c>
      <c r="N60" s="128" t="s">
        <v>2931</v>
      </c>
      <c r="O60" s="128" t="s">
        <v>2931</v>
      </c>
      <c r="Q60" s="128"/>
      <c r="R60" s="128" t="s">
        <v>2931</v>
      </c>
      <c r="S60" s="128" t="s">
        <v>2931</v>
      </c>
      <c r="T60" s="128" t="s">
        <v>2931</v>
      </c>
      <c r="W60" s="128"/>
      <c r="Z60" s="128" t="s">
        <v>2931</v>
      </c>
      <c r="AA60" s="128" t="s">
        <v>2931</v>
      </c>
      <c r="AE60" s="128" t="s">
        <v>2931</v>
      </c>
      <c r="AJ60" s="128" t="s">
        <v>2931</v>
      </c>
    </row>
    <row r="61" spans="1:36" s="110" customFormat="1">
      <c r="A61" s="110" t="s">
        <v>1122</v>
      </c>
      <c r="B61" s="128" t="s">
        <v>1689</v>
      </c>
      <c r="C61" s="128" t="s">
        <v>1059</v>
      </c>
      <c r="D61" s="128" t="s">
        <v>2931</v>
      </c>
      <c r="E61" s="128" t="s">
        <v>125</v>
      </c>
      <c r="F61" s="128" t="s">
        <v>3403</v>
      </c>
      <c r="G61" s="128" t="s">
        <v>1480</v>
      </c>
      <c r="H61" s="128" t="s">
        <v>3342</v>
      </c>
      <c r="I61" s="128" t="s">
        <v>2931</v>
      </c>
      <c r="J61" s="128"/>
      <c r="K61" s="128"/>
      <c r="L61" s="128"/>
      <c r="M61" s="128" t="s">
        <v>2931</v>
      </c>
      <c r="N61" s="128"/>
      <c r="O61" s="128" t="s">
        <v>3340</v>
      </c>
      <c r="S61" s="128" t="s">
        <v>2931</v>
      </c>
      <c r="U61" s="128"/>
      <c r="AA61" s="128" t="s">
        <v>2931</v>
      </c>
      <c r="AB61" s="128" t="s">
        <v>2931</v>
      </c>
    </row>
    <row r="62" spans="1:36" s="110" customFormat="1">
      <c r="A62" s="110" t="s">
        <v>709</v>
      </c>
      <c r="B62" s="128" t="s">
        <v>1689</v>
      </c>
      <c r="C62" s="128" t="s">
        <v>1059</v>
      </c>
      <c r="D62" s="8"/>
      <c r="E62" s="128" t="s">
        <v>125</v>
      </c>
      <c r="F62" s="128" t="s">
        <v>1112</v>
      </c>
      <c r="G62" s="128" t="s">
        <v>1480</v>
      </c>
      <c r="H62" s="128" t="s">
        <v>1112</v>
      </c>
      <c r="K62" s="128"/>
    </row>
    <row r="64" spans="1:36">
      <c r="A64" s="62" t="s">
        <v>1765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6">
      <c r="A65" s="8" t="s">
        <v>1486</v>
      </c>
      <c r="B65" s="128" t="s">
        <v>3374</v>
      </c>
      <c r="C65" s="128" t="s">
        <v>3311</v>
      </c>
      <c r="D65"/>
      <c r="E65" t="s">
        <v>3341</v>
      </c>
      <c r="F65" t="s">
        <v>3274</v>
      </c>
      <c r="G65"/>
      <c r="H65"/>
      <c r="I65"/>
      <c r="J65"/>
      <c r="K65" s="128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6">
      <c r="A66" s="8" t="s">
        <v>1994</v>
      </c>
      <c r="B66" s="128" t="s">
        <v>3374</v>
      </c>
      <c r="C66" s="128" t="s">
        <v>3311</v>
      </c>
      <c r="D66" s="128" t="s">
        <v>3287</v>
      </c>
      <c r="E66" t="s">
        <v>3341</v>
      </c>
      <c r="F66" t="s">
        <v>3274</v>
      </c>
      <c r="G66" t="s">
        <v>3352</v>
      </c>
      <c r="H66" t="s">
        <v>3286</v>
      </c>
      <c r="I66"/>
      <c r="J66"/>
      <c r="K66" s="128"/>
      <c r="L66"/>
      <c r="M66"/>
      <c r="N66" t="s">
        <v>600</v>
      </c>
      <c r="O66"/>
      <c r="P66"/>
      <c r="Q66"/>
      <c r="R66"/>
      <c r="S66" t="s">
        <v>3309</v>
      </c>
      <c r="T66"/>
      <c r="U66" t="s">
        <v>3300</v>
      </c>
      <c r="V66"/>
      <c r="W66"/>
      <c r="X66"/>
      <c r="Y66"/>
      <c r="Z66"/>
      <c r="AA66" t="s">
        <v>3354</v>
      </c>
      <c r="AE66" s="128" t="s">
        <v>3355</v>
      </c>
    </row>
    <row r="67" spans="1:36" s="112" customFormat="1">
      <c r="A67" s="8" t="s">
        <v>444</v>
      </c>
      <c r="B67" s="128" t="s">
        <v>3374</v>
      </c>
      <c r="C67" s="128" t="s">
        <v>3311</v>
      </c>
      <c r="D67" s="128" t="s">
        <v>3287</v>
      </c>
      <c r="E67" t="s">
        <v>3341</v>
      </c>
      <c r="F67" t="s">
        <v>3274</v>
      </c>
      <c r="G67" t="s">
        <v>3352</v>
      </c>
      <c r="H67" t="s">
        <v>3286</v>
      </c>
      <c r="I67"/>
      <c r="J67"/>
      <c r="K67" s="128"/>
      <c r="L67"/>
      <c r="M67" t="s">
        <v>3288</v>
      </c>
      <c r="N67"/>
      <c r="O67"/>
      <c r="P67"/>
      <c r="Q67"/>
      <c r="R67"/>
      <c r="S67" t="s">
        <v>3309</v>
      </c>
      <c r="T67"/>
      <c r="U67"/>
      <c r="V67"/>
      <c r="W67"/>
      <c r="X67"/>
      <c r="Y67"/>
      <c r="Z67"/>
      <c r="AA67" t="s">
        <v>3354</v>
      </c>
      <c r="AE67" s="128" t="s">
        <v>3355</v>
      </c>
    </row>
    <row r="68" spans="1:36" s="112" customFormat="1">
      <c r="A68" s="112" t="s">
        <v>200</v>
      </c>
      <c r="B68" s="128" t="s">
        <v>3374</v>
      </c>
      <c r="C68" s="128" t="s">
        <v>3311</v>
      </c>
      <c r="D68" s="128" t="s">
        <v>3287</v>
      </c>
      <c r="E68" t="s">
        <v>3341</v>
      </c>
      <c r="F68" t="s">
        <v>3274</v>
      </c>
      <c r="G68" t="s">
        <v>3352</v>
      </c>
      <c r="H68" t="s">
        <v>3286</v>
      </c>
      <c r="I68"/>
      <c r="J68"/>
      <c r="K68" s="128"/>
      <c r="L68"/>
      <c r="M68"/>
      <c r="N68"/>
      <c r="O68"/>
      <c r="P68"/>
      <c r="Q68"/>
      <c r="R68" t="s">
        <v>3290</v>
      </c>
      <c r="S68"/>
      <c r="T68"/>
      <c r="U68"/>
      <c r="V68"/>
      <c r="W68"/>
      <c r="X68"/>
      <c r="Y68"/>
      <c r="Z68" t="s">
        <v>3337</v>
      </c>
      <c r="AA68"/>
    </row>
    <row r="69" spans="1:36" s="112" customFormat="1">
      <c r="A69" s="112" t="s">
        <v>2629</v>
      </c>
      <c r="B69" s="128" t="s">
        <v>3374</v>
      </c>
      <c r="C69" s="128" t="s">
        <v>3311</v>
      </c>
      <c r="D69" s="128" t="s">
        <v>3287</v>
      </c>
      <c r="E69" t="s">
        <v>3341</v>
      </c>
      <c r="F69" t="s">
        <v>3274</v>
      </c>
      <c r="G69"/>
      <c r="H69"/>
      <c r="I69"/>
      <c r="J69" t="s">
        <v>3345</v>
      </c>
      <c r="K69" s="128"/>
      <c r="L69"/>
      <c r="M69"/>
      <c r="N69"/>
      <c r="O69"/>
      <c r="P69"/>
      <c r="Q69"/>
      <c r="R69"/>
      <c r="S69" t="s">
        <v>3309</v>
      </c>
      <c r="T69" t="s">
        <v>3297</v>
      </c>
      <c r="U69"/>
      <c r="V69"/>
      <c r="W69"/>
      <c r="X69"/>
      <c r="Y69"/>
      <c r="Z69"/>
      <c r="AA69"/>
      <c r="AB69" s="128" t="s">
        <v>3396</v>
      </c>
    </row>
    <row r="70" spans="1:36" s="112" customFormat="1">
      <c r="A70" s="112" t="s">
        <v>1865</v>
      </c>
      <c r="B70" s="128" t="s">
        <v>3374</v>
      </c>
      <c r="C70" s="128" t="s">
        <v>3311</v>
      </c>
      <c r="D70" s="128" t="s">
        <v>3287</v>
      </c>
      <c r="E70" t="s">
        <v>3341</v>
      </c>
      <c r="F70" t="s">
        <v>3274</v>
      </c>
      <c r="G70" t="s">
        <v>3352</v>
      </c>
      <c r="H70" t="s">
        <v>3286</v>
      </c>
      <c r="I70" t="s">
        <v>3364</v>
      </c>
      <c r="J70" t="s">
        <v>3345</v>
      </c>
      <c r="K70" s="128"/>
      <c r="L70" t="s">
        <v>3277</v>
      </c>
      <c r="M70" t="s">
        <v>3288</v>
      </c>
      <c r="N70"/>
      <c r="O70"/>
      <c r="P70"/>
      <c r="Q70"/>
      <c r="R70" t="s">
        <v>3290</v>
      </c>
      <c r="S70" t="s">
        <v>3309</v>
      </c>
      <c r="T70"/>
      <c r="U70" t="s">
        <v>3300</v>
      </c>
      <c r="V70" t="s">
        <v>3307</v>
      </c>
      <c r="W70" t="s">
        <v>3305</v>
      </c>
      <c r="X70"/>
      <c r="Y70" t="s">
        <v>3313</v>
      </c>
      <c r="Z70"/>
      <c r="AA70" t="s">
        <v>3317</v>
      </c>
      <c r="AB70" s="128" t="s">
        <v>3396</v>
      </c>
      <c r="AC70" s="128" t="s">
        <v>3324</v>
      </c>
      <c r="AD70" s="128" t="s">
        <v>3326</v>
      </c>
      <c r="AE70" s="128" t="s">
        <v>3355</v>
      </c>
    </row>
    <row r="71" spans="1:36" s="112" customFormat="1">
      <c r="A71" s="112" t="s">
        <v>1033</v>
      </c>
      <c r="B71" s="128" t="s">
        <v>3374</v>
      </c>
      <c r="C71" s="128" t="s">
        <v>3311</v>
      </c>
      <c r="D71" s="128" t="s">
        <v>3287</v>
      </c>
      <c r="E71" t="s">
        <v>3341</v>
      </c>
      <c r="F71" t="s">
        <v>3274</v>
      </c>
      <c r="G71" t="s">
        <v>3352</v>
      </c>
      <c r="H71"/>
      <c r="I71"/>
      <c r="J71" t="s">
        <v>3283</v>
      </c>
      <c r="K71" s="128"/>
      <c r="L71"/>
      <c r="M71" t="s">
        <v>3288</v>
      </c>
      <c r="N71"/>
      <c r="O71"/>
      <c r="P71"/>
      <c r="Q71"/>
      <c r="R71"/>
      <c r="S71" t="s">
        <v>3309</v>
      </c>
      <c r="T71"/>
      <c r="U71"/>
      <c r="V71"/>
      <c r="W71"/>
      <c r="X71"/>
      <c r="Y71"/>
      <c r="Z71"/>
      <c r="AA71" t="s">
        <v>3354</v>
      </c>
      <c r="AE71" s="128" t="s">
        <v>3355</v>
      </c>
      <c r="AG71" s="128" t="s">
        <v>3395</v>
      </c>
    </row>
    <row r="72" spans="1:36" s="112" customFormat="1">
      <c r="A72" s="112" t="s">
        <v>1708</v>
      </c>
      <c r="B72" s="128" t="s">
        <v>3374</v>
      </c>
      <c r="C72" s="128" t="s">
        <v>3311</v>
      </c>
      <c r="D72" s="128" t="s">
        <v>3287</v>
      </c>
      <c r="E72" t="s">
        <v>3341</v>
      </c>
      <c r="F72" t="s">
        <v>3274</v>
      </c>
      <c r="G72" t="s">
        <v>3352</v>
      </c>
      <c r="H72" t="s">
        <v>3286</v>
      </c>
      <c r="I72"/>
      <c r="J72" t="s">
        <v>3283</v>
      </c>
      <c r="K72" s="128"/>
      <c r="L72"/>
      <c r="M72" t="s">
        <v>3288</v>
      </c>
      <c r="N72"/>
      <c r="O72"/>
      <c r="P72"/>
      <c r="Q72"/>
      <c r="R72"/>
      <c r="S72"/>
      <c r="T72" t="s">
        <v>593</v>
      </c>
      <c r="U72"/>
      <c r="V72"/>
      <c r="W72"/>
      <c r="X72"/>
      <c r="Y72"/>
      <c r="Z72" t="s">
        <v>3337</v>
      </c>
      <c r="AA72" t="s">
        <v>593</v>
      </c>
      <c r="AC72" s="128" t="s">
        <v>3324</v>
      </c>
      <c r="AE72" s="128" t="s">
        <v>593</v>
      </c>
      <c r="AJ72" s="128" t="s">
        <v>593</v>
      </c>
    </row>
    <row r="73" spans="1:36" s="112" customFormat="1">
      <c r="A73" s="112" t="s">
        <v>2535</v>
      </c>
      <c r="B73" s="128" t="s">
        <v>3374</v>
      </c>
      <c r="C73" s="128" t="s">
        <v>3311</v>
      </c>
      <c r="D73"/>
      <c r="E73" t="s">
        <v>3341</v>
      </c>
      <c r="F73" t="s">
        <v>3274</v>
      </c>
      <c r="G73"/>
      <c r="H73"/>
      <c r="I73"/>
      <c r="J73"/>
      <c r="K73" s="128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6" s="112" customFormat="1">
      <c r="A74" s="112" t="s">
        <v>1533</v>
      </c>
      <c r="B74" s="128" t="s">
        <v>3374</v>
      </c>
      <c r="C74" s="128" t="s">
        <v>3311</v>
      </c>
      <c r="D74"/>
      <c r="E74" t="s">
        <v>3341</v>
      </c>
      <c r="F74" t="s">
        <v>3274</v>
      </c>
      <c r="G74"/>
      <c r="H74" t="s">
        <v>3286</v>
      </c>
      <c r="I74"/>
      <c r="J74"/>
      <c r="K74" s="128"/>
      <c r="L74"/>
      <c r="M74"/>
      <c r="N74" t="s">
        <v>600</v>
      </c>
      <c r="O74"/>
      <c r="P74"/>
      <c r="Q74"/>
      <c r="R74"/>
      <c r="S74" t="s">
        <v>3309</v>
      </c>
      <c r="T74"/>
      <c r="U74"/>
      <c r="V74"/>
      <c r="W74"/>
      <c r="X74"/>
      <c r="Y74"/>
      <c r="Z74"/>
      <c r="AA74"/>
    </row>
    <row r="75" spans="1:36" s="112" customFormat="1">
      <c r="A75" s="112" t="s">
        <v>1155</v>
      </c>
      <c r="B75" s="128" t="s">
        <v>3374</v>
      </c>
      <c r="C75" s="128" t="s">
        <v>3311</v>
      </c>
      <c r="D75"/>
      <c r="E75" t="s">
        <v>3341</v>
      </c>
      <c r="F75"/>
      <c r="G75"/>
      <c r="H75"/>
      <c r="I75"/>
      <c r="J75"/>
      <c r="K75" s="128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6" s="112" customFormat="1">
      <c r="A76" s="112" t="s">
        <v>654</v>
      </c>
      <c r="B76" s="128" t="s">
        <v>3374</v>
      </c>
      <c r="C76" s="128" t="s">
        <v>3311</v>
      </c>
      <c r="D76"/>
      <c r="E76" t="s">
        <v>3341</v>
      </c>
      <c r="F76" t="s">
        <v>3274</v>
      </c>
      <c r="G76" t="s">
        <v>3352</v>
      </c>
      <c r="H76"/>
      <c r="I76"/>
      <c r="J76"/>
      <c r="K76" s="128"/>
      <c r="L76"/>
      <c r="M76"/>
      <c r="N76" t="s">
        <v>593</v>
      </c>
      <c r="O76"/>
      <c r="P76"/>
      <c r="Q76"/>
      <c r="R76" t="s">
        <v>593</v>
      </c>
      <c r="S76"/>
      <c r="T76"/>
      <c r="U76"/>
      <c r="V76"/>
      <c r="W76"/>
      <c r="X76"/>
      <c r="Y76"/>
      <c r="Z76"/>
      <c r="AA76"/>
    </row>
    <row r="77" spans="1:36" s="112" customFormat="1">
      <c r="A77" s="112" t="s">
        <v>2092</v>
      </c>
      <c r="B77" s="128" t="s">
        <v>3374</v>
      </c>
      <c r="C77" s="128" t="s">
        <v>3311</v>
      </c>
      <c r="D77" s="128" t="s">
        <v>3287</v>
      </c>
      <c r="E77" t="s">
        <v>3341</v>
      </c>
      <c r="F77" t="s">
        <v>3274</v>
      </c>
      <c r="G77" t="s">
        <v>3352</v>
      </c>
      <c r="H77" t="s">
        <v>3286</v>
      </c>
      <c r="I77"/>
      <c r="J77"/>
      <c r="K77" s="128"/>
      <c r="L77"/>
      <c r="M77" t="s">
        <v>593</v>
      </c>
      <c r="N77"/>
      <c r="O77" t="s">
        <v>593</v>
      </c>
      <c r="P77"/>
      <c r="Q77"/>
      <c r="R77"/>
      <c r="S77" t="s">
        <v>593</v>
      </c>
      <c r="T77"/>
      <c r="U77" t="s">
        <v>593</v>
      </c>
      <c r="V77"/>
      <c r="W77"/>
      <c r="X77"/>
      <c r="Y77"/>
      <c r="Z77" t="s">
        <v>593</v>
      </c>
      <c r="AA77"/>
      <c r="AB77" t="s">
        <v>593</v>
      </c>
      <c r="AE77" s="128" t="s">
        <v>593</v>
      </c>
      <c r="AF77" s="128" t="s">
        <v>3369</v>
      </c>
    </row>
    <row r="78" spans="1:36" s="112" customFormat="1">
      <c r="A78" s="112" t="s">
        <v>661</v>
      </c>
      <c r="B78" s="128" t="s">
        <v>3374</v>
      </c>
      <c r="C78" s="128" t="s">
        <v>3311</v>
      </c>
      <c r="D78" s="128" t="s">
        <v>593</v>
      </c>
      <c r="E78" t="s">
        <v>3341</v>
      </c>
      <c r="F78" t="s">
        <v>3274</v>
      </c>
      <c r="G78" t="s">
        <v>3352</v>
      </c>
      <c r="H78"/>
      <c r="I78"/>
      <c r="J78"/>
      <c r="K78" s="128"/>
      <c r="L78"/>
      <c r="M78" t="s">
        <v>593</v>
      </c>
      <c r="N78"/>
      <c r="O78"/>
      <c r="P78"/>
      <c r="Q78"/>
      <c r="R78"/>
      <c r="S78" t="s">
        <v>3309</v>
      </c>
      <c r="T78"/>
      <c r="U78"/>
      <c r="V78"/>
      <c r="W78"/>
      <c r="X78"/>
      <c r="Y78"/>
      <c r="Z78"/>
      <c r="AA78" t="s">
        <v>593</v>
      </c>
    </row>
    <row r="79" spans="1:36" s="112" customFormat="1">
      <c r="A79" s="112" t="s">
        <v>150</v>
      </c>
      <c r="B79" s="128" t="s">
        <v>3374</v>
      </c>
      <c r="C79" s="128" t="s">
        <v>3311</v>
      </c>
      <c r="D79" s="128"/>
      <c r="E79" t="s">
        <v>3341</v>
      </c>
      <c r="F79" t="s">
        <v>593</v>
      </c>
      <c r="G79" t="s">
        <v>3352</v>
      </c>
      <c r="H79" t="s">
        <v>593</v>
      </c>
      <c r="I79" t="s">
        <v>3364</v>
      </c>
      <c r="J79"/>
      <c r="K79" s="128"/>
      <c r="L79"/>
      <c r="M79" t="s">
        <v>593</v>
      </c>
      <c r="N79" t="s">
        <v>593</v>
      </c>
      <c r="O79"/>
      <c r="P79"/>
      <c r="Q79"/>
      <c r="R79"/>
      <c r="S79" t="s">
        <v>593</v>
      </c>
      <c r="T79"/>
      <c r="U79"/>
      <c r="V79"/>
      <c r="W79"/>
      <c r="X79"/>
      <c r="Y79"/>
      <c r="Z79"/>
      <c r="AA79" t="s">
        <v>593</v>
      </c>
    </row>
    <row r="80" spans="1:36" s="112" customFormat="1">
      <c r="A80" s="112" t="s">
        <v>1621</v>
      </c>
      <c r="B80" s="128" t="s">
        <v>3374</v>
      </c>
      <c r="C80" s="128" t="s">
        <v>3311</v>
      </c>
      <c r="D80" s="128" t="s">
        <v>3287</v>
      </c>
      <c r="E80" t="s">
        <v>3341</v>
      </c>
      <c r="F80" t="s">
        <v>3274</v>
      </c>
      <c r="G80" t="s">
        <v>3352</v>
      </c>
      <c r="H80" t="s">
        <v>3286</v>
      </c>
      <c r="I80"/>
      <c r="J80" t="s">
        <v>3345</v>
      </c>
      <c r="K80" s="128"/>
      <c r="L80"/>
      <c r="M80"/>
      <c r="N80"/>
      <c r="O80"/>
      <c r="P80"/>
      <c r="Q80" t="s">
        <v>3383</v>
      </c>
      <c r="R80"/>
      <c r="S80"/>
      <c r="T80"/>
      <c r="U80"/>
      <c r="V80"/>
      <c r="W80"/>
      <c r="X80"/>
      <c r="Y80"/>
      <c r="Z80" t="s">
        <v>3372</v>
      </c>
      <c r="AA80"/>
    </row>
    <row r="81" spans="1:36" s="112" customFormat="1">
      <c r="A81" s="112" t="s">
        <v>90</v>
      </c>
      <c r="B81" s="128" t="s">
        <v>3374</v>
      </c>
      <c r="C81" s="128" t="s">
        <v>3311</v>
      </c>
      <c r="D81" s="128" t="s">
        <v>3287</v>
      </c>
      <c r="E81" t="s">
        <v>3341</v>
      </c>
      <c r="F81" t="s">
        <v>3274</v>
      </c>
      <c r="G81" t="s">
        <v>3352</v>
      </c>
      <c r="H81" t="s">
        <v>3286</v>
      </c>
      <c r="I81"/>
      <c r="J81" t="s">
        <v>3283</v>
      </c>
      <c r="K81" s="128"/>
      <c r="L81"/>
      <c r="M81" t="s">
        <v>3288</v>
      </c>
      <c r="N81"/>
      <c r="O81" t="s">
        <v>3339</v>
      </c>
      <c r="P81"/>
      <c r="Q81"/>
      <c r="R81" t="s">
        <v>3290</v>
      </c>
      <c r="S81"/>
      <c r="T81"/>
      <c r="U81"/>
      <c r="V81"/>
      <c r="W81"/>
      <c r="X81"/>
      <c r="Y81"/>
      <c r="Z81" t="s">
        <v>3337</v>
      </c>
      <c r="AA81"/>
      <c r="AB81" s="128" t="s">
        <v>3396</v>
      </c>
      <c r="AD81" s="128"/>
      <c r="AE81" s="128" t="s">
        <v>3355</v>
      </c>
      <c r="AH81" s="128" t="s">
        <v>3452</v>
      </c>
    </row>
    <row r="82" spans="1:36" s="112" customFormat="1">
      <c r="A82" s="112" t="s">
        <v>2599</v>
      </c>
      <c r="B82" s="128" t="s">
        <v>3374</v>
      </c>
      <c r="C82" s="128" t="s">
        <v>3311</v>
      </c>
      <c r="D82" s="128" t="s">
        <v>3287</v>
      </c>
      <c r="E82" t="s">
        <v>3341</v>
      </c>
      <c r="F82" t="s">
        <v>3274</v>
      </c>
      <c r="G82" t="s">
        <v>3352</v>
      </c>
      <c r="H82" t="s">
        <v>3286</v>
      </c>
      <c r="I82"/>
      <c r="J82"/>
      <c r="K82" s="128"/>
      <c r="L82"/>
      <c r="M82" t="s">
        <v>3288</v>
      </c>
      <c r="N82" t="s">
        <v>600</v>
      </c>
      <c r="O82"/>
      <c r="P82"/>
      <c r="Q82"/>
      <c r="R82"/>
      <c r="S82" t="s">
        <v>3309</v>
      </c>
      <c r="T82" t="s">
        <v>3297</v>
      </c>
      <c r="U82" t="s">
        <v>3300</v>
      </c>
      <c r="V82"/>
      <c r="W82"/>
      <c r="X82"/>
      <c r="Y82"/>
      <c r="Z82"/>
      <c r="AA82" t="s">
        <v>3354</v>
      </c>
      <c r="AB82" s="128" t="s">
        <v>3396</v>
      </c>
      <c r="AE82" s="128" t="s">
        <v>3355</v>
      </c>
    </row>
    <row r="83" spans="1:36" s="112" customFormat="1">
      <c r="A83" s="112" t="s">
        <v>2451</v>
      </c>
      <c r="B83" s="128" t="s">
        <v>3374</v>
      </c>
      <c r="C83" s="128" t="s">
        <v>3311</v>
      </c>
      <c r="D83" s="128" t="s">
        <v>3287</v>
      </c>
      <c r="E83" t="s">
        <v>3341</v>
      </c>
      <c r="F83" t="s">
        <v>3274</v>
      </c>
      <c r="G83" t="s">
        <v>3352</v>
      </c>
      <c r="H83"/>
      <c r="I83"/>
      <c r="J83" t="s">
        <v>3283</v>
      </c>
      <c r="K83" s="128"/>
      <c r="L83" t="s">
        <v>3277</v>
      </c>
      <c r="M83" t="s">
        <v>3288</v>
      </c>
      <c r="N83"/>
      <c r="O83"/>
      <c r="P83"/>
      <c r="Q83"/>
      <c r="R83"/>
      <c r="S83" t="s">
        <v>3309</v>
      </c>
      <c r="T83" t="s">
        <v>3297</v>
      </c>
      <c r="U83" t="s">
        <v>3300</v>
      </c>
      <c r="V83"/>
      <c r="W83"/>
      <c r="X83" t="s">
        <v>3296</v>
      </c>
      <c r="Y83"/>
      <c r="Z83"/>
      <c r="AA83"/>
    </row>
    <row r="84" spans="1:36" s="112" customFormat="1">
      <c r="A84" s="112" t="s">
        <v>3172</v>
      </c>
      <c r="B84" s="128" t="s">
        <v>3374</v>
      </c>
      <c r="C84" s="128" t="s">
        <v>3311</v>
      </c>
      <c r="D84" s="128" t="s">
        <v>3287</v>
      </c>
      <c r="E84" t="s">
        <v>3341</v>
      </c>
      <c r="F84" t="s">
        <v>3274</v>
      </c>
      <c r="G84" t="s">
        <v>3352</v>
      </c>
      <c r="H84"/>
      <c r="I84"/>
      <c r="J84"/>
      <c r="K84" s="128"/>
      <c r="L84"/>
      <c r="M84"/>
      <c r="N84"/>
      <c r="O84"/>
      <c r="P84"/>
      <c r="Q84"/>
      <c r="R84"/>
      <c r="S84" t="s">
        <v>3309</v>
      </c>
      <c r="T84"/>
      <c r="U84"/>
      <c r="V84"/>
      <c r="W84"/>
      <c r="X84"/>
      <c r="Y84"/>
      <c r="Z84"/>
      <c r="AA84"/>
    </row>
    <row r="85" spans="1:36" s="112" customFormat="1">
      <c r="A85" s="112" t="s">
        <v>2540</v>
      </c>
      <c r="B85" s="128" t="s">
        <v>3374</v>
      </c>
      <c r="C85" s="128" t="s">
        <v>3311</v>
      </c>
      <c r="D85" s="128" t="s">
        <v>3287</v>
      </c>
      <c r="E85" t="s">
        <v>3341</v>
      </c>
      <c r="F85" t="s">
        <v>3274</v>
      </c>
      <c r="G85" t="s">
        <v>3352</v>
      </c>
      <c r="H85" t="s">
        <v>3286</v>
      </c>
      <c r="I85" t="s">
        <v>593</v>
      </c>
      <c r="J85" t="s">
        <v>3451</v>
      </c>
      <c r="K85" s="128"/>
      <c r="L85"/>
      <c r="M85" t="s">
        <v>3288</v>
      </c>
      <c r="N85" t="s">
        <v>593</v>
      </c>
      <c r="O85"/>
      <c r="P85"/>
      <c r="Q85"/>
      <c r="R85" t="s">
        <v>3290</v>
      </c>
      <c r="S85" t="s">
        <v>593</v>
      </c>
      <c r="T85" t="s">
        <v>593</v>
      </c>
      <c r="U85"/>
      <c r="V85"/>
      <c r="W85"/>
      <c r="X85"/>
      <c r="Y85"/>
      <c r="Z85" t="s">
        <v>3337</v>
      </c>
      <c r="AA85" t="s">
        <v>593</v>
      </c>
      <c r="AB85" s="128" t="s">
        <v>3396</v>
      </c>
      <c r="AE85" s="128" t="s">
        <v>593</v>
      </c>
    </row>
    <row r="86" spans="1:36" s="112" customFormat="1">
      <c r="A86" s="112" t="s">
        <v>2478</v>
      </c>
      <c r="B86" s="128" t="s">
        <v>3374</v>
      </c>
      <c r="C86" s="128" t="s">
        <v>3311</v>
      </c>
      <c r="D86" s="128"/>
      <c r="E86" t="s">
        <v>3341</v>
      </c>
      <c r="F86" t="s">
        <v>3274</v>
      </c>
      <c r="G86"/>
      <c r="H86"/>
      <c r="I86"/>
      <c r="J86"/>
      <c r="K86" s="128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6" s="112" customFormat="1">
      <c r="A87" s="112" t="s">
        <v>1100</v>
      </c>
      <c r="B87" s="128" t="s">
        <v>3374</v>
      </c>
      <c r="C87" s="128" t="s">
        <v>3311</v>
      </c>
      <c r="D87" s="128" t="s">
        <v>593</v>
      </c>
      <c r="E87" t="s">
        <v>3341</v>
      </c>
      <c r="F87" t="s">
        <v>3274</v>
      </c>
      <c r="G87" t="s">
        <v>3352</v>
      </c>
      <c r="H87"/>
      <c r="I87" t="s">
        <v>3364</v>
      </c>
      <c r="J87"/>
      <c r="K87" s="128"/>
      <c r="L87"/>
      <c r="M87" t="s">
        <v>593</v>
      </c>
      <c r="N87"/>
      <c r="O87" s="128" t="s">
        <v>593</v>
      </c>
      <c r="P87"/>
      <c r="Q87"/>
      <c r="R87"/>
      <c r="S87" s="128" t="s">
        <v>593</v>
      </c>
      <c r="T87"/>
      <c r="U87"/>
      <c r="V87"/>
      <c r="W87"/>
      <c r="X87"/>
      <c r="Y87"/>
      <c r="Z87"/>
      <c r="AA87"/>
      <c r="AB87" s="128" t="s">
        <v>593</v>
      </c>
    </row>
    <row r="88" spans="1:36" s="112" customFormat="1">
      <c r="A88" s="112" t="s">
        <v>2724</v>
      </c>
      <c r="B88" s="128" t="s">
        <v>3374</v>
      </c>
      <c r="C88" s="128" t="s">
        <v>3311</v>
      </c>
      <c r="D88" s="128" t="s">
        <v>3287</v>
      </c>
      <c r="E88" t="s">
        <v>3341</v>
      </c>
      <c r="F88" t="s">
        <v>3384</v>
      </c>
      <c r="G88" t="s">
        <v>3352</v>
      </c>
      <c r="H88" t="s">
        <v>3286</v>
      </c>
      <c r="I88"/>
      <c r="J88"/>
      <c r="K88" s="128"/>
      <c r="L88" t="s">
        <v>3277</v>
      </c>
      <c r="M88"/>
      <c r="N88"/>
      <c r="O88"/>
      <c r="P88"/>
      <c r="Q88" t="s">
        <v>3383</v>
      </c>
      <c r="R88"/>
      <c r="S88"/>
      <c r="T88"/>
      <c r="U88"/>
      <c r="V88"/>
      <c r="W88"/>
      <c r="X88"/>
      <c r="Y88"/>
      <c r="Z88"/>
      <c r="AA88"/>
      <c r="AE88" s="128"/>
    </row>
    <row r="89" spans="1:36" s="112" customFormat="1">
      <c r="A89" s="112" t="s">
        <v>526</v>
      </c>
      <c r="B89" s="128" t="s">
        <v>3374</v>
      </c>
      <c r="C89" s="128" t="s">
        <v>3311</v>
      </c>
      <c r="D89"/>
      <c r="E89" t="s">
        <v>3341</v>
      </c>
      <c r="F89" t="s">
        <v>3274</v>
      </c>
      <c r="G89" t="s">
        <v>3352</v>
      </c>
      <c r="H89"/>
      <c r="I89"/>
      <c r="J89"/>
      <c r="K89" s="128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C89" s="128"/>
    </row>
    <row r="90" spans="1:36" s="112" customFormat="1">
      <c r="A90" s="112" t="s">
        <v>2710</v>
      </c>
      <c r="B90" s="128" t="s">
        <v>3374</v>
      </c>
      <c r="C90" s="128" t="s">
        <v>3311</v>
      </c>
      <c r="D90" s="128" t="s">
        <v>3287</v>
      </c>
      <c r="E90" t="s">
        <v>3341</v>
      </c>
      <c r="F90" t="s">
        <v>3274</v>
      </c>
      <c r="G90" t="s">
        <v>3352</v>
      </c>
      <c r="H90" t="s">
        <v>3286</v>
      </c>
      <c r="I90"/>
      <c r="J90"/>
      <c r="K90" s="128"/>
      <c r="L90"/>
      <c r="M90" t="s">
        <v>3288</v>
      </c>
      <c r="N90"/>
      <c r="O90"/>
      <c r="P90"/>
      <c r="Q90"/>
      <c r="R90"/>
      <c r="S90" t="s">
        <v>3309</v>
      </c>
      <c r="T90"/>
      <c r="U90"/>
      <c r="V90"/>
      <c r="W90"/>
      <c r="X90"/>
      <c r="Y90"/>
      <c r="Z90"/>
      <c r="AA90"/>
    </row>
    <row r="91" spans="1:36" s="112" customFormat="1">
      <c r="A91" s="112" t="s">
        <v>1051</v>
      </c>
      <c r="B91" s="128" t="s">
        <v>3374</v>
      </c>
      <c r="C91" s="128" t="s">
        <v>3311</v>
      </c>
      <c r="D91" s="128" t="s">
        <v>3287</v>
      </c>
      <c r="E91" t="s">
        <v>3341</v>
      </c>
      <c r="F91" t="s">
        <v>3274</v>
      </c>
      <c r="G91" t="s">
        <v>3352</v>
      </c>
      <c r="H91" t="s">
        <v>3286</v>
      </c>
      <c r="I91" t="s">
        <v>3364</v>
      </c>
      <c r="J91"/>
      <c r="K91" s="128"/>
      <c r="L91"/>
      <c r="M91" t="s">
        <v>3288</v>
      </c>
      <c r="N91" t="s">
        <v>600</v>
      </c>
      <c r="O91" t="s">
        <v>3339</v>
      </c>
      <c r="P91"/>
      <c r="Q91"/>
      <c r="R91" t="s">
        <v>3290</v>
      </c>
      <c r="S91" t="s">
        <v>593</v>
      </c>
      <c r="T91"/>
      <c r="U91"/>
      <c r="V91"/>
      <c r="W91"/>
      <c r="X91"/>
      <c r="Y91"/>
      <c r="Z91" t="s">
        <v>3337</v>
      </c>
      <c r="AA91" t="s">
        <v>3354</v>
      </c>
      <c r="AE91" s="128" t="s">
        <v>3355</v>
      </c>
      <c r="AJ91" s="128" t="s">
        <v>3404</v>
      </c>
    </row>
    <row r="92" spans="1:36" s="112" customFormat="1">
      <c r="A92" s="112" t="s">
        <v>429</v>
      </c>
      <c r="B92" s="128" t="s">
        <v>3374</v>
      </c>
      <c r="C92" s="128" t="s">
        <v>3311</v>
      </c>
      <c r="D92"/>
      <c r="E92" t="s">
        <v>3341</v>
      </c>
      <c r="F92" t="s">
        <v>3274</v>
      </c>
      <c r="G92"/>
      <c r="H92"/>
      <c r="I92"/>
      <c r="J92"/>
      <c r="K92" s="128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6" s="112" customFormat="1">
      <c r="A93" s="112" t="s">
        <v>2354</v>
      </c>
      <c r="B93" s="128" t="s">
        <v>3374</v>
      </c>
      <c r="C93" s="128" t="s">
        <v>3311</v>
      </c>
      <c r="D93"/>
      <c r="E93" t="s">
        <v>3341</v>
      </c>
      <c r="F93"/>
      <c r="G93" t="s">
        <v>3352</v>
      </c>
      <c r="H93" t="s">
        <v>3286</v>
      </c>
      <c r="I93"/>
      <c r="J93"/>
      <c r="K93" s="128"/>
      <c r="L93"/>
      <c r="M93"/>
      <c r="N93"/>
      <c r="O93"/>
      <c r="P93" t="s">
        <v>593</v>
      </c>
      <c r="Q93"/>
      <c r="R93"/>
      <c r="S93"/>
      <c r="T93"/>
      <c r="U93"/>
      <c r="V93"/>
      <c r="W93"/>
      <c r="X93"/>
      <c r="Y93"/>
      <c r="Z93"/>
      <c r="AA93"/>
    </row>
    <row r="94" spans="1:36" s="112" customFormat="1">
      <c r="A94" s="112" t="s">
        <v>1200</v>
      </c>
      <c r="B94" s="128" t="s">
        <v>3374</v>
      </c>
      <c r="C94" s="128" t="s">
        <v>3311</v>
      </c>
      <c r="D94"/>
      <c r="E94" t="s">
        <v>3341</v>
      </c>
      <c r="F94" t="s">
        <v>3274</v>
      </c>
      <c r="G94"/>
      <c r="H94" t="s">
        <v>3286</v>
      </c>
      <c r="I94"/>
      <c r="J94"/>
      <c r="K94" s="128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6" s="112" customFormat="1">
      <c r="A95" s="112" t="s">
        <v>2405</v>
      </c>
      <c r="B95" s="128" t="s">
        <v>3374</v>
      </c>
      <c r="C95" s="128" t="s">
        <v>3311</v>
      </c>
      <c r="D95"/>
      <c r="E95" t="s">
        <v>3341</v>
      </c>
      <c r="F95" t="s">
        <v>3274</v>
      </c>
      <c r="G95" t="s">
        <v>3352</v>
      </c>
      <c r="H95" t="s">
        <v>3286</v>
      </c>
      <c r="I95"/>
      <c r="J95" t="s">
        <v>3283</v>
      </c>
      <c r="K95" s="128"/>
      <c r="L95" t="s">
        <v>3277</v>
      </c>
      <c r="M95"/>
      <c r="N95"/>
      <c r="O95" t="s">
        <v>3339</v>
      </c>
      <c r="P95"/>
      <c r="Q95"/>
      <c r="R95"/>
      <c r="S95"/>
      <c r="T95"/>
      <c r="U95"/>
      <c r="V95"/>
      <c r="W95"/>
      <c r="X95"/>
      <c r="Y95"/>
      <c r="Z95"/>
      <c r="AA95"/>
      <c r="AB95" s="128"/>
    </row>
    <row r="96" spans="1:36" s="112" customFormat="1">
      <c r="A96" s="112" t="s">
        <v>2756</v>
      </c>
      <c r="B96" s="128" t="s">
        <v>3374</v>
      </c>
      <c r="C96" s="128" t="s">
        <v>3311</v>
      </c>
      <c r="D96" s="128" t="s">
        <v>3287</v>
      </c>
      <c r="E96" t="s">
        <v>3341</v>
      </c>
      <c r="F96" t="s">
        <v>3274</v>
      </c>
      <c r="G96" t="s">
        <v>3352</v>
      </c>
      <c r="H96" t="s">
        <v>3286</v>
      </c>
      <c r="I96"/>
      <c r="J96" t="s">
        <v>3345</v>
      </c>
      <c r="K96" s="128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 spans="1:36" s="112" customFormat="1">
      <c r="A97" s="112" t="s">
        <v>192</v>
      </c>
      <c r="B97" s="128" t="s">
        <v>3374</v>
      </c>
      <c r="C97" s="128" t="s">
        <v>3311</v>
      </c>
      <c r="D97" s="128" t="s">
        <v>593</v>
      </c>
      <c r="E97" t="s">
        <v>3341</v>
      </c>
      <c r="F97" t="s">
        <v>3274</v>
      </c>
      <c r="G97" t="s">
        <v>593</v>
      </c>
      <c r="H97" t="s">
        <v>593</v>
      </c>
      <c r="I97" t="s">
        <v>593</v>
      </c>
      <c r="J97" t="s">
        <v>593</v>
      </c>
      <c r="K97" s="128"/>
      <c r="L97"/>
      <c r="M97" t="s">
        <v>593</v>
      </c>
      <c r="N97"/>
      <c r="O97" t="s">
        <v>593</v>
      </c>
      <c r="P97"/>
      <c r="Q97"/>
      <c r="R97"/>
      <c r="S97"/>
      <c r="T97"/>
      <c r="U97"/>
      <c r="V97"/>
      <c r="W97"/>
      <c r="X97"/>
      <c r="Y97"/>
      <c r="Z97" t="s">
        <v>593</v>
      </c>
      <c r="AA97"/>
      <c r="AB97" s="128" t="s">
        <v>593</v>
      </c>
      <c r="AC97" s="128" t="s">
        <v>593</v>
      </c>
    </row>
    <row r="98" spans="1:36" s="112" customFormat="1">
      <c r="A98" s="112" t="s">
        <v>1107</v>
      </c>
      <c r="B98" s="128" t="s">
        <v>3374</v>
      </c>
      <c r="C98" s="128" t="s">
        <v>3311</v>
      </c>
      <c r="D98"/>
      <c r="E98" t="s">
        <v>3341</v>
      </c>
      <c r="F98"/>
      <c r="G98"/>
      <c r="H98"/>
      <c r="I98"/>
      <c r="J98"/>
      <c r="K98" s="12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112" customFormat="1">
      <c r="A99" s="128" t="s">
        <v>2362</v>
      </c>
      <c r="B99" s="128" t="s">
        <v>3374</v>
      </c>
      <c r="C99" s="128" t="s">
        <v>3311</v>
      </c>
      <c r="D99" s="128"/>
      <c r="E99" t="s">
        <v>3341</v>
      </c>
      <c r="F99" t="s">
        <v>3274</v>
      </c>
      <c r="G99" t="s">
        <v>3352</v>
      </c>
      <c r="H99" t="s">
        <v>3286</v>
      </c>
      <c r="I99"/>
      <c r="J99"/>
      <c r="K99" s="128" t="s">
        <v>593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112" customFormat="1">
      <c r="A100" s="112" t="s">
        <v>736</v>
      </c>
      <c r="B100" s="128" t="s">
        <v>3374</v>
      </c>
      <c r="C100" s="128" t="s">
        <v>3311</v>
      </c>
      <c r="D100" s="128" t="s">
        <v>3287</v>
      </c>
      <c r="E100" t="s">
        <v>3341</v>
      </c>
      <c r="F100" t="s">
        <v>3274</v>
      </c>
      <c r="G100" t="s">
        <v>3352</v>
      </c>
      <c r="H100"/>
      <c r="I100"/>
      <c r="J100"/>
      <c r="K100" s="128"/>
      <c r="L100"/>
      <c r="M100" t="s">
        <v>3288</v>
      </c>
      <c r="N100" t="s">
        <v>600</v>
      </c>
      <c r="O100" t="s">
        <v>3339</v>
      </c>
      <c r="P100"/>
      <c r="Q100"/>
      <c r="R100"/>
      <c r="S100" t="s">
        <v>3309</v>
      </c>
      <c r="T100"/>
      <c r="U100"/>
      <c r="V100"/>
      <c r="W100"/>
      <c r="X100"/>
      <c r="Y100"/>
      <c r="Z100"/>
      <c r="AA100" t="s">
        <v>3354</v>
      </c>
      <c r="AB100" s="128" t="s">
        <v>3396</v>
      </c>
      <c r="AE100" s="128" t="s">
        <v>3355</v>
      </c>
    </row>
    <row r="101" spans="1:36" s="112" customFormat="1">
      <c r="A101" s="112" t="s">
        <v>1272</v>
      </c>
      <c r="B101" s="128" t="s">
        <v>3374</v>
      </c>
      <c r="C101" s="128" t="s">
        <v>3311</v>
      </c>
      <c r="D101"/>
      <c r="E101" t="s">
        <v>3341</v>
      </c>
      <c r="F101"/>
      <c r="G101"/>
      <c r="H101"/>
      <c r="I101"/>
      <c r="J101"/>
      <c r="K101" s="128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</row>
    <row r="102" spans="1:36" s="112" customFormat="1">
      <c r="A102" s="112" t="s">
        <v>554</v>
      </c>
      <c r="B102" s="128" t="s">
        <v>3374</v>
      </c>
      <c r="C102" s="128" t="s">
        <v>3311</v>
      </c>
      <c r="D102"/>
      <c r="E102" t="s">
        <v>3341</v>
      </c>
      <c r="F102" t="s">
        <v>3274</v>
      </c>
      <c r="G102"/>
      <c r="H102"/>
      <c r="I102"/>
      <c r="J102"/>
      <c r="K102" s="128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E102" s="128"/>
    </row>
    <row r="103" spans="1:36" s="112" customFormat="1">
      <c r="A103" s="112" t="s">
        <v>1019</v>
      </c>
      <c r="B103" s="128" t="s">
        <v>3374</v>
      </c>
      <c r="C103" s="128" t="s">
        <v>3311</v>
      </c>
      <c r="D103"/>
      <c r="E103" t="s">
        <v>3341</v>
      </c>
      <c r="F103" t="s">
        <v>3274</v>
      </c>
      <c r="G103" t="s">
        <v>3352</v>
      </c>
      <c r="H103"/>
      <c r="I103"/>
      <c r="J103"/>
      <c r="K103" s="128" t="s">
        <v>593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112" customFormat="1">
      <c r="A104" s="8" t="s">
        <v>1114</v>
      </c>
      <c r="B104" s="128" t="s">
        <v>3374</v>
      </c>
      <c r="C104" s="128" t="s">
        <v>3311</v>
      </c>
      <c r="D104"/>
      <c r="E104" t="s">
        <v>3341</v>
      </c>
      <c r="F104" t="s">
        <v>3274</v>
      </c>
      <c r="G104"/>
      <c r="H104" t="s">
        <v>3286</v>
      </c>
      <c r="I104"/>
      <c r="J104"/>
      <c r="K104" s="128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6" s="112" customFormat="1">
      <c r="A105" s="112" t="s">
        <v>2145</v>
      </c>
      <c r="B105" s="128" t="s">
        <v>3374</v>
      </c>
      <c r="C105" s="128" t="s">
        <v>3311</v>
      </c>
      <c r="D105" s="128" t="s">
        <v>3287</v>
      </c>
      <c r="E105" t="s">
        <v>3341</v>
      </c>
      <c r="F105" t="s">
        <v>3274</v>
      </c>
      <c r="G105" t="s">
        <v>3352</v>
      </c>
      <c r="H105"/>
      <c r="I105"/>
      <c r="J105"/>
      <c r="K105" s="128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 s="128" t="s">
        <v>3395</v>
      </c>
    </row>
    <row r="106" spans="1:36" s="112" customFormat="1">
      <c r="A106" s="128" t="s">
        <v>2026</v>
      </c>
      <c r="B106" s="128" t="s">
        <v>3374</v>
      </c>
      <c r="C106" s="128" t="s">
        <v>3311</v>
      </c>
      <c r="D106"/>
      <c r="E106" t="s">
        <v>3341</v>
      </c>
      <c r="F106"/>
      <c r="G106" t="s">
        <v>3352</v>
      </c>
      <c r="H106"/>
      <c r="I106"/>
      <c r="J106"/>
      <c r="K106" s="128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112" customFormat="1">
      <c r="A107" s="112" t="s">
        <v>2523</v>
      </c>
      <c r="B107" s="128" t="s">
        <v>3374</v>
      </c>
      <c r="C107" s="128" t="s">
        <v>3311</v>
      </c>
      <c r="D107"/>
      <c r="E107" t="s">
        <v>3341</v>
      </c>
      <c r="F107" t="s">
        <v>3274</v>
      </c>
      <c r="G107"/>
      <c r="H107" t="s">
        <v>3286</v>
      </c>
      <c r="I107"/>
      <c r="J107"/>
      <c r="K107" s="128"/>
      <c r="L107" t="s">
        <v>3277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E107" s="128" t="s">
        <v>3355</v>
      </c>
    </row>
    <row r="108" spans="1:36" s="112" customFormat="1">
      <c r="A108" s="8" t="s">
        <v>492</v>
      </c>
      <c r="B108" s="128" t="s">
        <v>3374</v>
      </c>
      <c r="C108" s="128" t="s">
        <v>3311</v>
      </c>
      <c r="D108" s="128" t="s">
        <v>3287</v>
      </c>
      <c r="E108" t="s">
        <v>3341</v>
      </c>
      <c r="F108" t="s">
        <v>3274</v>
      </c>
      <c r="G108" t="s">
        <v>3352</v>
      </c>
      <c r="H108"/>
      <c r="I108" t="s">
        <v>3364</v>
      </c>
      <c r="J108"/>
      <c r="K108" s="128"/>
      <c r="L108"/>
      <c r="M108" t="s">
        <v>3288</v>
      </c>
      <c r="N108"/>
      <c r="O108" t="s">
        <v>3339</v>
      </c>
      <c r="P108"/>
      <c r="Q108"/>
      <c r="R108"/>
      <c r="S108" t="s">
        <v>3309</v>
      </c>
      <c r="T108"/>
      <c r="U108"/>
      <c r="V108"/>
      <c r="W108"/>
      <c r="X108"/>
      <c r="Y108"/>
      <c r="Z108"/>
      <c r="AA108"/>
      <c r="AB108" s="128" t="s">
        <v>3396</v>
      </c>
    </row>
    <row r="109" spans="1:36" s="112" customFormat="1">
      <c r="A109" s="112" t="s">
        <v>277</v>
      </c>
      <c r="B109" s="128" t="s">
        <v>3374</v>
      </c>
      <c r="C109" s="128" t="s">
        <v>3311</v>
      </c>
      <c r="D109" s="128" t="s">
        <v>3287</v>
      </c>
      <c r="E109" t="s">
        <v>3341</v>
      </c>
      <c r="F109" t="s">
        <v>3274</v>
      </c>
      <c r="G109" t="s">
        <v>3352</v>
      </c>
      <c r="H109" t="s">
        <v>3286</v>
      </c>
      <c r="I109" t="s">
        <v>3364</v>
      </c>
      <c r="J109"/>
      <c r="K109" s="128"/>
      <c r="L109" t="s">
        <v>3277</v>
      </c>
      <c r="M109" t="s">
        <v>3288</v>
      </c>
      <c r="N109"/>
      <c r="O109" t="s">
        <v>3339</v>
      </c>
      <c r="P109"/>
      <c r="Q109"/>
      <c r="R109"/>
      <c r="S109" t="s">
        <v>3309</v>
      </c>
      <c r="T109"/>
      <c r="U109"/>
      <c r="V109"/>
      <c r="W109"/>
      <c r="X109"/>
      <c r="Y109"/>
      <c r="Z109"/>
      <c r="AA109"/>
      <c r="AE109" s="128" t="s">
        <v>3355</v>
      </c>
      <c r="AH109" s="128" t="s">
        <v>3452</v>
      </c>
      <c r="AI109" s="128"/>
      <c r="AJ109" s="128" t="s">
        <v>3400</v>
      </c>
    </row>
    <row r="110" spans="1:36" s="112" customFormat="1">
      <c r="A110" s="112" t="s">
        <v>726</v>
      </c>
      <c r="B110" s="128" t="s">
        <v>3374</v>
      </c>
      <c r="C110" s="128" t="s">
        <v>3311</v>
      </c>
      <c r="D110"/>
      <c r="E110" t="s">
        <v>3341</v>
      </c>
      <c r="F110" t="s">
        <v>3274</v>
      </c>
      <c r="G110"/>
      <c r="H110" t="s">
        <v>3286</v>
      </c>
      <c r="I110"/>
      <c r="J110" t="s">
        <v>3283</v>
      </c>
      <c r="K110" s="128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 spans="1:36" s="112" customFormat="1">
      <c r="A111" s="128" t="s">
        <v>1008</v>
      </c>
      <c r="B111" s="128" t="s">
        <v>3374</v>
      </c>
      <c r="C111" s="128" t="s">
        <v>3311</v>
      </c>
      <c r="D111" s="128" t="s">
        <v>3287</v>
      </c>
      <c r="E111" t="s">
        <v>3341</v>
      </c>
      <c r="F111" t="s">
        <v>3274</v>
      </c>
      <c r="G111" t="s">
        <v>3352</v>
      </c>
      <c r="H111" t="s">
        <v>3286</v>
      </c>
      <c r="I111"/>
      <c r="J111"/>
      <c r="K111" s="128" t="s">
        <v>593</v>
      </c>
      <c r="L111"/>
      <c r="M111" t="s">
        <v>3288</v>
      </c>
      <c r="N111"/>
      <c r="O111"/>
      <c r="P111"/>
      <c r="Q111"/>
      <c r="R111"/>
      <c r="S111" t="s">
        <v>3309</v>
      </c>
      <c r="T111"/>
      <c r="U111" t="s">
        <v>3300</v>
      </c>
      <c r="V111"/>
      <c r="W111"/>
      <c r="X111"/>
      <c r="Y111"/>
      <c r="Z111"/>
      <c r="AA111"/>
      <c r="AB111" s="128" t="s">
        <v>3396</v>
      </c>
      <c r="AE111" s="128" t="s">
        <v>3355</v>
      </c>
    </row>
    <row r="112" spans="1:36" s="112" customFormat="1">
      <c r="A112" s="112" t="s">
        <v>692</v>
      </c>
      <c r="B112" s="128" t="s">
        <v>3374</v>
      </c>
      <c r="C112" s="128" t="s">
        <v>3311</v>
      </c>
      <c r="D112"/>
      <c r="E112" t="s">
        <v>3341</v>
      </c>
      <c r="F112" t="s">
        <v>3274</v>
      </c>
      <c r="G112" t="s">
        <v>3352</v>
      </c>
      <c r="H112"/>
      <c r="I112"/>
      <c r="J112" t="s">
        <v>3283</v>
      </c>
      <c r="K112" s="128"/>
      <c r="L112" t="s">
        <v>3277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 s="128"/>
    </row>
    <row r="113" spans="1:36" s="112" customFormat="1">
      <c r="A113" s="128" t="s">
        <v>2357</v>
      </c>
      <c r="B113" s="128" t="s">
        <v>3374</v>
      </c>
      <c r="C113" s="128" t="s">
        <v>3311</v>
      </c>
      <c r="D113" s="128" t="s">
        <v>3287</v>
      </c>
      <c r="E113" t="s">
        <v>3341</v>
      </c>
      <c r="F113" t="s">
        <v>3274</v>
      </c>
      <c r="G113" t="s">
        <v>3352</v>
      </c>
      <c r="H113" t="s">
        <v>593</v>
      </c>
      <c r="I113"/>
      <c r="J113" t="s">
        <v>593</v>
      </c>
      <c r="K113" s="128"/>
      <c r="L113"/>
      <c r="M113" t="s">
        <v>3288</v>
      </c>
      <c r="N113" t="s">
        <v>593</v>
      </c>
      <c r="O113" t="s">
        <v>3339</v>
      </c>
      <c r="P113"/>
      <c r="Q113"/>
      <c r="R113" t="s">
        <v>3290</v>
      </c>
      <c r="S113" t="s">
        <v>593</v>
      </c>
      <c r="T113" t="s">
        <v>593</v>
      </c>
      <c r="U113"/>
      <c r="V113"/>
      <c r="W113"/>
      <c r="X113"/>
      <c r="Y113"/>
      <c r="Z113" t="s">
        <v>3337</v>
      </c>
      <c r="AA113" t="s">
        <v>593</v>
      </c>
      <c r="AE113" s="128" t="s">
        <v>593</v>
      </c>
      <c r="AJ113" s="128" t="s">
        <v>593</v>
      </c>
    </row>
    <row r="114" spans="1:36" s="112" customFormat="1">
      <c r="A114" s="112" t="s">
        <v>1122</v>
      </c>
      <c r="B114" s="128" t="s">
        <v>3374</v>
      </c>
      <c r="C114" s="128" t="s">
        <v>3311</v>
      </c>
      <c r="D114" s="128" t="s">
        <v>3287</v>
      </c>
      <c r="E114" t="s">
        <v>3341</v>
      </c>
      <c r="F114" t="s">
        <v>3274</v>
      </c>
      <c r="G114" t="s">
        <v>3352</v>
      </c>
      <c r="H114" t="s">
        <v>3286</v>
      </c>
      <c r="I114" t="s">
        <v>3364</v>
      </c>
      <c r="J114"/>
      <c r="K114" s="128"/>
      <c r="L114"/>
      <c r="M114" t="s">
        <v>3288</v>
      </c>
      <c r="N114"/>
      <c r="O114" t="s">
        <v>3339</v>
      </c>
      <c r="P114"/>
      <c r="Q114"/>
      <c r="R114"/>
      <c r="S114" t="s">
        <v>3309</v>
      </c>
      <c r="T114"/>
      <c r="U114"/>
      <c r="V114"/>
      <c r="W114"/>
      <c r="X114"/>
      <c r="Y114"/>
      <c r="Z114"/>
      <c r="AA114" t="s">
        <v>593</v>
      </c>
      <c r="AB114" s="128" t="s">
        <v>3396</v>
      </c>
    </row>
    <row r="115" spans="1:36" s="112" customFormat="1">
      <c r="A115" s="112" t="s">
        <v>709</v>
      </c>
      <c r="B115" s="128" t="s">
        <v>3374</v>
      </c>
      <c r="C115" s="128" t="s">
        <v>3311</v>
      </c>
      <c r="D115"/>
      <c r="E115" t="s">
        <v>3341</v>
      </c>
      <c r="F115" t="s">
        <v>3274</v>
      </c>
      <c r="G115" t="s">
        <v>3352</v>
      </c>
      <c r="H115" t="s">
        <v>3286</v>
      </c>
      <c r="I115"/>
      <c r="J115"/>
      <c r="K115" s="128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>
      <c r="A117" s="62" t="s">
        <v>944</v>
      </c>
    </row>
    <row r="118" spans="1:36">
      <c r="A118" s="8" t="s">
        <v>1486</v>
      </c>
    </row>
    <row r="119" spans="1:36">
      <c r="A119" s="8" t="s">
        <v>1994</v>
      </c>
    </row>
    <row r="120" spans="1:36">
      <c r="A120" s="8" t="s">
        <v>444</v>
      </c>
    </row>
    <row r="121" spans="1:36">
      <c r="A121" s="8" t="s">
        <v>200</v>
      </c>
    </row>
    <row r="122" spans="1:36">
      <c r="A122" s="8" t="s">
        <v>2629</v>
      </c>
    </row>
    <row r="123" spans="1:36">
      <c r="A123" s="8" t="s">
        <v>1865</v>
      </c>
    </row>
    <row r="124" spans="1:36">
      <c r="A124" s="8" t="s">
        <v>1033</v>
      </c>
    </row>
    <row r="125" spans="1:36">
      <c r="A125" s="8" t="s">
        <v>1708</v>
      </c>
    </row>
    <row r="126" spans="1:36">
      <c r="A126" s="8" t="s">
        <v>2535</v>
      </c>
    </row>
    <row r="127" spans="1:36">
      <c r="A127" s="8" t="s">
        <v>1533</v>
      </c>
    </row>
    <row r="128" spans="1:36">
      <c r="A128" s="8" t="s">
        <v>1155</v>
      </c>
    </row>
    <row r="129" spans="1:1">
      <c r="A129" s="8" t="s">
        <v>654</v>
      </c>
    </row>
    <row r="130" spans="1:1">
      <c r="A130" s="8" t="s">
        <v>2092</v>
      </c>
    </row>
    <row r="131" spans="1:1">
      <c r="A131" s="8" t="s">
        <v>661</v>
      </c>
    </row>
    <row r="132" spans="1:1">
      <c r="A132" s="8" t="s">
        <v>150</v>
      </c>
    </row>
    <row r="133" spans="1:1">
      <c r="A133" s="8" t="s">
        <v>1621</v>
      </c>
    </row>
    <row r="134" spans="1:1">
      <c r="A134" s="8" t="s">
        <v>90</v>
      </c>
    </row>
    <row r="135" spans="1:1">
      <c r="A135" s="8" t="s">
        <v>2599</v>
      </c>
    </row>
    <row r="136" spans="1:1">
      <c r="A136" s="8" t="s">
        <v>2451</v>
      </c>
    </row>
    <row r="137" spans="1:1">
      <c r="A137" s="8" t="s">
        <v>3172</v>
      </c>
    </row>
    <row r="138" spans="1:1">
      <c r="A138" s="8" t="s">
        <v>2540</v>
      </c>
    </row>
    <row r="139" spans="1:1">
      <c r="A139" s="8" t="s">
        <v>2478</v>
      </c>
    </row>
    <row r="140" spans="1:1">
      <c r="A140" s="8" t="s">
        <v>1100</v>
      </c>
    </row>
    <row r="141" spans="1:1">
      <c r="A141" s="8" t="s">
        <v>2724</v>
      </c>
    </row>
    <row r="142" spans="1:1">
      <c r="A142" s="8" t="s">
        <v>526</v>
      </c>
    </row>
    <row r="143" spans="1:1">
      <c r="A143" s="8" t="s">
        <v>2710</v>
      </c>
    </row>
    <row r="144" spans="1:1">
      <c r="A144" s="8" t="s">
        <v>1051</v>
      </c>
    </row>
    <row r="145" spans="1:1">
      <c r="A145" s="8" t="s">
        <v>429</v>
      </c>
    </row>
    <row r="146" spans="1:1">
      <c r="A146" s="8" t="s">
        <v>2354</v>
      </c>
    </row>
    <row r="147" spans="1:1">
      <c r="A147" s="8" t="s">
        <v>1200</v>
      </c>
    </row>
    <row r="148" spans="1:1">
      <c r="A148" s="8" t="s">
        <v>2405</v>
      </c>
    </row>
    <row r="149" spans="1:1">
      <c r="A149" s="8" t="s">
        <v>2756</v>
      </c>
    </row>
    <row r="150" spans="1:1">
      <c r="A150" s="8" t="s">
        <v>192</v>
      </c>
    </row>
    <row r="151" spans="1:1">
      <c r="A151" s="8" t="s">
        <v>1107</v>
      </c>
    </row>
    <row r="152" spans="1:1">
      <c r="A152" s="8" t="s">
        <v>2362</v>
      </c>
    </row>
    <row r="153" spans="1:1">
      <c r="A153" s="8" t="s">
        <v>736</v>
      </c>
    </row>
    <row r="154" spans="1:1">
      <c r="A154" s="8" t="s">
        <v>1272</v>
      </c>
    </row>
    <row r="155" spans="1:1">
      <c r="A155" s="8" t="s">
        <v>554</v>
      </c>
    </row>
    <row r="156" spans="1:1">
      <c r="A156" s="8" t="s">
        <v>1019</v>
      </c>
    </row>
    <row r="157" spans="1:1">
      <c r="A157" s="8" t="s">
        <v>1114</v>
      </c>
    </row>
    <row r="158" spans="1:1">
      <c r="A158" s="8" t="s">
        <v>2145</v>
      </c>
    </row>
    <row r="159" spans="1:1">
      <c r="A159" s="8" t="s">
        <v>2026</v>
      </c>
    </row>
    <row r="160" spans="1:1">
      <c r="A160" s="8" t="s">
        <v>2523</v>
      </c>
    </row>
    <row r="161" spans="1:2">
      <c r="A161" s="8" t="s">
        <v>492</v>
      </c>
    </row>
    <row r="162" spans="1:2">
      <c r="A162" s="8" t="s">
        <v>277</v>
      </c>
    </row>
    <row r="163" spans="1:2">
      <c r="A163" s="8" t="s">
        <v>726</v>
      </c>
    </row>
    <row r="164" spans="1:2">
      <c r="A164" s="8" t="s">
        <v>1008</v>
      </c>
    </row>
    <row r="165" spans="1:2">
      <c r="A165" s="8" t="s">
        <v>692</v>
      </c>
      <c r="B165" s="110"/>
    </row>
    <row r="166" spans="1:2">
      <c r="A166" s="8" t="s">
        <v>2357</v>
      </c>
    </row>
    <row r="167" spans="1:2">
      <c r="A167" s="8" t="s">
        <v>1122</v>
      </c>
    </row>
    <row r="168" spans="1:2">
      <c r="A168" s="8" t="s">
        <v>709</v>
      </c>
    </row>
    <row r="171" spans="1:2">
      <c r="A171" s="8" t="s">
        <v>1486</v>
      </c>
    </row>
    <row r="172" spans="1:2">
      <c r="A172" s="8" t="s">
        <v>1994</v>
      </c>
    </row>
    <row r="173" spans="1:2">
      <c r="A173" s="8" t="s">
        <v>444</v>
      </c>
    </row>
    <row r="174" spans="1:2">
      <c r="A174" s="8" t="s">
        <v>200</v>
      </c>
    </row>
    <row r="175" spans="1:2">
      <c r="A175" s="8" t="s">
        <v>2629</v>
      </c>
    </row>
    <row r="176" spans="1:2">
      <c r="A176" s="8" t="s">
        <v>1865</v>
      </c>
    </row>
    <row r="177" spans="1:1">
      <c r="A177" s="8" t="s">
        <v>1033</v>
      </c>
    </row>
    <row r="178" spans="1:1">
      <c r="A178" s="8" t="s">
        <v>1708</v>
      </c>
    </row>
    <row r="179" spans="1:1">
      <c r="A179" s="8" t="s">
        <v>2535</v>
      </c>
    </row>
    <row r="180" spans="1:1">
      <c r="A180" s="8" t="s">
        <v>1533</v>
      </c>
    </row>
    <row r="181" spans="1:1">
      <c r="A181" s="8" t="s">
        <v>1155</v>
      </c>
    </row>
    <row r="182" spans="1:1">
      <c r="A182" s="8" t="s">
        <v>654</v>
      </c>
    </row>
    <row r="183" spans="1:1">
      <c r="A183" s="8" t="s">
        <v>2092</v>
      </c>
    </row>
    <row r="184" spans="1:1">
      <c r="A184" s="8" t="s">
        <v>661</v>
      </c>
    </row>
    <row r="185" spans="1:1">
      <c r="A185" s="8" t="s">
        <v>150</v>
      </c>
    </row>
    <row r="186" spans="1:1">
      <c r="A186" s="8" t="s">
        <v>1621</v>
      </c>
    </row>
    <row r="187" spans="1:1">
      <c r="A187" s="8" t="s">
        <v>90</v>
      </c>
    </row>
    <row r="188" spans="1:1">
      <c r="A188" s="8" t="s">
        <v>2599</v>
      </c>
    </row>
    <row r="189" spans="1:1">
      <c r="A189" s="8" t="s">
        <v>2451</v>
      </c>
    </row>
    <row r="190" spans="1:1">
      <c r="A190" s="8" t="s">
        <v>3172</v>
      </c>
    </row>
    <row r="191" spans="1:1">
      <c r="A191" s="8" t="s">
        <v>2540</v>
      </c>
    </row>
    <row r="192" spans="1:1">
      <c r="A192" s="8" t="s">
        <v>2478</v>
      </c>
    </row>
    <row r="193" spans="1:1">
      <c r="A193" s="8" t="s">
        <v>1100</v>
      </c>
    </row>
    <row r="194" spans="1:1">
      <c r="A194" s="8" t="s">
        <v>2724</v>
      </c>
    </row>
    <row r="195" spans="1:1">
      <c r="A195" s="8" t="s">
        <v>526</v>
      </c>
    </row>
    <row r="196" spans="1:1">
      <c r="A196" s="8" t="s">
        <v>2710</v>
      </c>
    </row>
    <row r="197" spans="1:1">
      <c r="A197" s="8" t="s">
        <v>1051</v>
      </c>
    </row>
    <row r="198" spans="1:1">
      <c r="A198" s="8" t="s">
        <v>429</v>
      </c>
    </row>
    <row r="199" spans="1:1">
      <c r="A199" s="8" t="s">
        <v>2354</v>
      </c>
    </row>
    <row r="200" spans="1:1">
      <c r="A200" s="8" t="s">
        <v>1200</v>
      </c>
    </row>
    <row r="201" spans="1:1">
      <c r="A201" s="8" t="s">
        <v>2405</v>
      </c>
    </row>
    <row r="202" spans="1:1">
      <c r="A202" s="8" t="s">
        <v>2756</v>
      </c>
    </row>
    <row r="203" spans="1:1">
      <c r="A203" s="8" t="s">
        <v>192</v>
      </c>
    </row>
    <row r="204" spans="1:1">
      <c r="A204" s="8" t="s">
        <v>1107</v>
      </c>
    </row>
    <row r="205" spans="1:1">
      <c r="A205" s="8" t="s">
        <v>2362</v>
      </c>
    </row>
    <row r="206" spans="1:1">
      <c r="A206" s="8" t="s">
        <v>736</v>
      </c>
    </row>
    <row r="207" spans="1:1">
      <c r="A207" s="8" t="s">
        <v>1272</v>
      </c>
    </row>
    <row r="208" spans="1:1">
      <c r="A208" s="8" t="s">
        <v>554</v>
      </c>
    </row>
    <row r="209" spans="1:1">
      <c r="A209" s="8" t="s">
        <v>1019</v>
      </c>
    </row>
    <row r="210" spans="1:1">
      <c r="A210" s="8" t="s">
        <v>1114</v>
      </c>
    </row>
    <row r="211" spans="1:1">
      <c r="A211" s="8" t="s">
        <v>2145</v>
      </c>
    </row>
    <row r="212" spans="1:1">
      <c r="A212" s="8" t="s">
        <v>2026</v>
      </c>
    </row>
    <row r="213" spans="1:1">
      <c r="A213" s="8" t="s">
        <v>2523</v>
      </c>
    </row>
    <row r="214" spans="1:1">
      <c r="A214" s="8" t="s">
        <v>492</v>
      </c>
    </row>
    <row r="215" spans="1:1">
      <c r="A215" s="8" t="s">
        <v>277</v>
      </c>
    </row>
    <row r="216" spans="1:1">
      <c r="A216" s="8" t="s">
        <v>726</v>
      </c>
    </row>
    <row r="217" spans="1:1">
      <c r="A217" s="8" t="s">
        <v>1008</v>
      </c>
    </row>
    <row r="218" spans="1:1">
      <c r="A218" s="8" t="s">
        <v>692</v>
      </c>
    </row>
    <row r="219" spans="1:1">
      <c r="A219" s="8" t="s">
        <v>2357</v>
      </c>
    </row>
    <row r="220" spans="1:1">
      <c r="A220" s="8" t="s">
        <v>1122</v>
      </c>
    </row>
    <row r="221" spans="1:1">
      <c r="A221" s="8" t="s">
        <v>709</v>
      </c>
    </row>
    <row r="1827" spans="17:17">
      <c r="Q1827" s="8">
        <v>1155</v>
      </c>
    </row>
    <row r="2928" spans="74:77">
      <c r="BV2928" s="8" t="e">
        <f>IF($BH2928&lt;&gt;"","",SUMIF(#REF!,$BL2928,#REF!)-N2928)</f>
        <v>#REF!</v>
      </c>
      <c r="BW2928" s="8" t="e">
        <f>IF($BH2928&lt;&gt;"","",SUMIF(#REF!,$BL2928,#REF!)-O2928)</f>
        <v>#REF!</v>
      </c>
      <c r="BX2928" s="8" t="e">
        <f>IF($BH2928&lt;&gt;"","",SUMIF(#REF!,$BL2928,#REF!)-P2928)</f>
        <v>#REF!</v>
      </c>
      <c r="BY2928" s="8" t="e">
        <f>IF($BH2928&lt;&gt;"","",SUMIF(#REF!,$BL2928,#REF!)-Q2928)</f>
        <v>#REF!</v>
      </c>
    </row>
    <row r="2929" spans="74:77">
      <c r="BV2929" s="8" t="e">
        <f>IF($BH2929&lt;&gt;"","",SUMIF(#REF!,$BL2929,#REF!)-N2929)</f>
        <v>#REF!</v>
      </c>
      <c r="BW2929" s="8" t="e">
        <f>IF($BH2929&lt;&gt;"","",SUMIF(#REF!,$BL2929,#REF!)-O2929)</f>
        <v>#REF!</v>
      </c>
      <c r="BX2929" s="8" t="e">
        <f>IF($BH2929&lt;&gt;"","",SUMIF(#REF!,$BL2929,#REF!)-P2929)</f>
        <v>#REF!</v>
      </c>
      <c r="BY2929" s="8" t="e">
        <f>IF($BH2929&lt;&gt;"","",SUMIF(#REF!,$BL2929,#REF!)-Q2929)</f>
        <v>#REF!</v>
      </c>
    </row>
    <row r="2930" spans="74:77">
      <c r="BV2930" s="8" t="e">
        <f>IF($BH2930&lt;&gt;"","",SUMIF(#REF!,$BL2930,#REF!)-N2930)</f>
        <v>#REF!</v>
      </c>
      <c r="BW2930" s="8" t="e">
        <f>IF($BH2930&lt;&gt;"","",SUMIF(#REF!,$BL2930,#REF!)-O2930)</f>
        <v>#REF!</v>
      </c>
      <c r="BX2930" s="8" t="e">
        <f>IF($BH2930&lt;&gt;"","",SUMIF(#REF!,$BL2930,#REF!)-P2930)</f>
        <v>#REF!</v>
      </c>
      <c r="BY2930" s="8" t="e">
        <f>IF($BH2930&lt;&gt;"","",SUMIF(#REF!,$BL2930,#REF!)-Q2930)</f>
        <v>#REF!</v>
      </c>
    </row>
    <row r="2931" spans="74:77">
      <c r="BV2931" s="8" t="e">
        <f>IF($BH2931&lt;&gt;"","",SUMIF(#REF!,$BL2931,#REF!)-N2931)</f>
        <v>#REF!</v>
      </c>
      <c r="BW2931" s="8" t="e">
        <f>IF($BH2931&lt;&gt;"","",SUMIF(#REF!,$BL2931,#REF!)-O2931)</f>
        <v>#REF!</v>
      </c>
      <c r="BX2931" s="8" t="e">
        <f>IF($BH2931&lt;&gt;"","",SUMIF(#REF!,$BL2931,#REF!)-P2931)</f>
        <v>#REF!</v>
      </c>
      <c r="BY2931" s="8" t="e">
        <f>IF($BH2931&lt;&gt;"","",SUMIF(#REF!,$BL2931,#REF!)-Q2931)</f>
        <v>#REF!</v>
      </c>
    </row>
    <row r="2932" spans="74:77">
      <c r="BV2932" s="8" t="e">
        <f>IF($BH2932&lt;&gt;"","",SUMIF(#REF!,$BL2932,#REF!)-N2932)</f>
        <v>#REF!</v>
      </c>
      <c r="BW2932" s="8" t="e">
        <f>IF($BH2932&lt;&gt;"","",SUMIF(#REF!,$BL2932,#REF!)-O2932)</f>
        <v>#REF!</v>
      </c>
      <c r="BX2932" s="8" t="e">
        <f>IF($BH2932&lt;&gt;"","",SUMIF(#REF!,$BL2932,#REF!)-P2932)</f>
        <v>#REF!</v>
      </c>
      <c r="BY2932" s="8" t="e">
        <f>IF($BH2932&lt;&gt;"","",SUMIF(#REF!,$BL2932,#REF!)-Q2932)</f>
        <v>#REF!</v>
      </c>
    </row>
    <row r="2933" spans="74:77">
      <c r="BV2933" s="8" t="e">
        <f>IF($BH2933&lt;&gt;"","",SUMIF(#REF!,$BL2933,#REF!)-N2933)</f>
        <v>#REF!</v>
      </c>
      <c r="BW2933" s="8" t="e">
        <f>IF($BH2933&lt;&gt;"","",SUMIF(#REF!,$BL2933,#REF!)-O2933)</f>
        <v>#REF!</v>
      </c>
      <c r="BX2933" s="8" t="e">
        <f>IF($BH2933&lt;&gt;"","",SUMIF(#REF!,$BL2933,#REF!)-P2933)</f>
        <v>#REF!</v>
      </c>
      <c r="BY2933" s="8" t="e">
        <f>IF($BH2933&lt;&gt;"","",SUMIF(#REF!,$BL2933,#REF!)-Q2933)</f>
        <v>#REF!</v>
      </c>
    </row>
    <row r="2934" spans="74:77">
      <c r="BV2934" s="8" t="e">
        <f>IF($BH2934&lt;&gt;"","",SUMIF(#REF!,$BL2934,#REF!)-N2934)</f>
        <v>#REF!</v>
      </c>
      <c r="BW2934" s="8" t="e">
        <f>IF($BH2934&lt;&gt;"","",SUMIF(#REF!,$BL2934,#REF!)-O2934)</f>
        <v>#REF!</v>
      </c>
      <c r="BX2934" s="8" t="e">
        <f>IF($BH2934&lt;&gt;"","",SUMIF(#REF!,$BL2934,#REF!)-P2934)</f>
        <v>#REF!</v>
      </c>
      <c r="BY2934" s="8" t="e">
        <f>IF($BH2934&lt;&gt;"","",SUMIF(#REF!,$BL2934,#REF!)-Q2934)</f>
        <v>#REF!</v>
      </c>
    </row>
    <row r="2935" spans="74:77">
      <c r="BV2935" s="8" t="e">
        <f>IF($BH2935&lt;&gt;"","",SUMIF(#REF!,$BL2935,#REF!)-N2935)</f>
        <v>#REF!</v>
      </c>
      <c r="BW2935" s="8" t="e">
        <f>IF($BH2935&lt;&gt;"","",SUMIF(#REF!,$BL2935,#REF!)-O2935)</f>
        <v>#REF!</v>
      </c>
      <c r="BX2935" s="8" t="e">
        <f>IF($BH2935&lt;&gt;"","",SUMIF(#REF!,$BL2935,#REF!)-P2935)</f>
        <v>#REF!</v>
      </c>
      <c r="BY2935" s="8" t="e">
        <f>IF($BH2935&lt;&gt;"","",SUMIF(#REF!,$BL2935,#REF!)-Q2935)</f>
        <v>#REF!</v>
      </c>
    </row>
    <row r="2936" spans="74:77">
      <c r="BV2936" s="8" t="e">
        <f>IF($BH2936&lt;&gt;"","",SUMIF(#REF!,$BL2936,#REF!)-N2936)</f>
        <v>#REF!</v>
      </c>
      <c r="BW2936" s="8" t="e">
        <f>IF($BH2936&lt;&gt;"","",SUMIF(#REF!,$BL2936,#REF!)-O2936)</f>
        <v>#REF!</v>
      </c>
      <c r="BX2936" s="8" t="e">
        <f>IF($BH2936&lt;&gt;"","",SUMIF(#REF!,$BL2936,#REF!)-P2936)</f>
        <v>#REF!</v>
      </c>
      <c r="BY2936" s="8" t="e">
        <f>IF($BH2936&lt;&gt;"","",SUMIF(#REF!,$BL2936,#REF!)-Q2936)</f>
        <v>#REF!</v>
      </c>
    </row>
    <row r="2937" spans="74:77">
      <c r="BV2937" s="8" t="e">
        <f>IF($BH2937&lt;&gt;"","",SUMIF(#REF!,$BL2937,#REF!)-N2937)</f>
        <v>#REF!</v>
      </c>
      <c r="BW2937" s="8" t="e">
        <f>IF($BH2937&lt;&gt;"","",SUMIF(#REF!,$BL2937,#REF!)-O2937)</f>
        <v>#REF!</v>
      </c>
      <c r="BX2937" s="8" t="e">
        <f>IF($BH2937&lt;&gt;"","",SUMIF(#REF!,$BL2937,#REF!)-P2937)</f>
        <v>#REF!</v>
      </c>
      <c r="BY2937" s="8" t="e">
        <f>IF($BH2937&lt;&gt;"","",SUMIF(#REF!,$BL2937,#REF!)-Q2937)</f>
        <v>#REF!</v>
      </c>
    </row>
    <row r="2938" spans="74:77">
      <c r="BV2938" s="8" t="e">
        <f>IF($BH2938&lt;&gt;"","",SUMIF(#REF!,$BL2938,#REF!)-N2938)</f>
        <v>#REF!</v>
      </c>
      <c r="BW2938" s="8" t="e">
        <f>IF($BH2938&lt;&gt;"","",SUMIF(#REF!,$BL2938,#REF!)-O2938)</f>
        <v>#REF!</v>
      </c>
      <c r="BX2938" s="8" t="e">
        <f>IF($BH2938&lt;&gt;"","",SUMIF(#REF!,$BL2938,#REF!)-P2938)</f>
        <v>#REF!</v>
      </c>
      <c r="BY2938" s="8" t="e">
        <f>IF($BH2938&lt;&gt;"","",SUMIF(#REF!,$BL2938,#REF!)-Q2938)</f>
        <v>#REF!</v>
      </c>
    </row>
    <row r="2939" spans="74:77">
      <c r="BV2939" s="8" t="e">
        <f>IF($BH2939&lt;&gt;"","",SUMIF(#REF!,$BL2939,#REF!)-N2939)</f>
        <v>#REF!</v>
      </c>
      <c r="BW2939" s="8" t="e">
        <f>IF($BH2939&lt;&gt;"","",SUMIF(#REF!,$BL2939,#REF!)-O2939)</f>
        <v>#REF!</v>
      </c>
      <c r="BX2939" s="8" t="e">
        <f>IF($BH2939&lt;&gt;"","",SUMIF(#REF!,$BL2939,#REF!)-P2939)</f>
        <v>#REF!</v>
      </c>
      <c r="BY2939" s="8" t="e">
        <f>IF($BH2939&lt;&gt;"","",SUMIF(#REF!,$BL2939,#REF!)-Q2939)</f>
        <v>#REF!</v>
      </c>
    </row>
    <row r="2940" spans="74:77">
      <c r="BV2940" s="8" t="e">
        <f>IF($BH2940&lt;&gt;"","",SUMIF(#REF!,$BL2940,#REF!)-N2940)</f>
        <v>#REF!</v>
      </c>
      <c r="BW2940" s="8" t="e">
        <f>IF($BH2940&lt;&gt;"","",SUMIF(#REF!,$BL2940,#REF!)-O2940)</f>
        <v>#REF!</v>
      </c>
      <c r="BX2940" s="8" t="e">
        <f>IF($BH2940&lt;&gt;"","",SUMIF(#REF!,$BL2940,#REF!)-P2940)</f>
        <v>#REF!</v>
      </c>
      <c r="BY2940" s="8" t="e">
        <f>IF($BH2940&lt;&gt;"","",SUMIF(#REF!,$BL2940,#REF!)-Q2940)</f>
        <v>#REF!</v>
      </c>
    </row>
    <row r="2941" spans="74:77">
      <c r="BV2941" s="8" t="e">
        <f>IF($BH2941&lt;&gt;"","",SUMIF(#REF!,$BL2941,#REF!)-N2941)</f>
        <v>#REF!</v>
      </c>
      <c r="BW2941" s="8" t="e">
        <f>IF($BH2941&lt;&gt;"","",SUMIF(#REF!,$BL2941,#REF!)-O2941)</f>
        <v>#REF!</v>
      </c>
      <c r="BX2941" s="8" t="e">
        <f>IF($BH2941&lt;&gt;"","",SUMIF(#REF!,$BL2941,#REF!)-P2941)</f>
        <v>#REF!</v>
      </c>
      <c r="BY2941" s="8" t="e">
        <f>IF($BH2941&lt;&gt;"","",SUMIF(#REF!,$BL2941,#REF!)-Q2941)</f>
        <v>#REF!</v>
      </c>
    </row>
    <row r="2942" spans="74:77">
      <c r="BV2942" s="8" t="e">
        <f>IF($BH2942&lt;&gt;"","",SUMIF(#REF!,$BL2942,#REF!)-N2942)</f>
        <v>#REF!</v>
      </c>
      <c r="BW2942" s="8" t="e">
        <f>IF($BH2942&lt;&gt;"","",SUMIF(#REF!,$BL2942,#REF!)-O2942)</f>
        <v>#REF!</v>
      </c>
      <c r="BX2942" s="8" t="e">
        <f>IF($BH2942&lt;&gt;"","",SUMIF(#REF!,$BL2942,#REF!)-P2942)</f>
        <v>#REF!</v>
      </c>
      <c r="BY2942" s="8" t="e">
        <f>IF($BH2942&lt;&gt;"","",SUMIF(#REF!,$BL2942,#REF!)-Q2942)</f>
        <v>#REF!</v>
      </c>
    </row>
    <row r="2943" spans="74:77">
      <c r="BV2943" s="8" t="e">
        <f>IF($BH2943&lt;&gt;"","",SUMIF(#REF!,$BL2943,#REF!)-N2943)</f>
        <v>#REF!</v>
      </c>
      <c r="BW2943" s="8" t="e">
        <f>IF($BH2943&lt;&gt;"","",SUMIF(#REF!,$BL2943,#REF!)-O2943)</f>
        <v>#REF!</v>
      </c>
      <c r="BX2943" s="8" t="e">
        <f>IF($BH2943&lt;&gt;"","",SUMIF(#REF!,$BL2943,#REF!)-P2943)</f>
        <v>#REF!</v>
      </c>
      <c r="BY2943" s="8" t="e">
        <f>IF($BH2943&lt;&gt;"","",SUMIF(#REF!,$BL2943,#REF!)-Q2943)</f>
        <v>#REF!</v>
      </c>
    </row>
    <row r="2944" spans="74:77">
      <c r="BV2944" s="8" t="e">
        <f>IF($BH2944&lt;&gt;"","",SUMIF(#REF!,$BL2944,#REF!)-N2944)</f>
        <v>#REF!</v>
      </c>
      <c r="BW2944" s="8" t="e">
        <f>IF($BH2944&lt;&gt;"","",SUMIF(#REF!,$BL2944,#REF!)-O2944)</f>
        <v>#REF!</v>
      </c>
      <c r="BX2944" s="8" t="e">
        <f>IF($BH2944&lt;&gt;"","",SUMIF(#REF!,$BL2944,#REF!)-P2944)</f>
        <v>#REF!</v>
      </c>
      <c r="BY2944" s="8" t="e">
        <f>IF($BH2944&lt;&gt;"","",SUMIF(#REF!,$BL2944,#REF!)-Q2944)</f>
        <v>#REF!</v>
      </c>
    </row>
    <row r="2945" spans="60:77">
      <c r="BV2945" s="8" t="e">
        <f>IF($BH2945&lt;&gt;"","",SUMIF(#REF!,$BL2945,#REF!)-N2945)</f>
        <v>#REF!</v>
      </c>
      <c r="BW2945" s="8" t="e">
        <f>IF($BH2945&lt;&gt;"","",SUMIF(#REF!,$BL2945,#REF!)-O2945)</f>
        <v>#REF!</v>
      </c>
      <c r="BX2945" s="8" t="e">
        <f>IF($BH2945&lt;&gt;"","",SUMIF(#REF!,$BL2945,#REF!)-P2945)</f>
        <v>#REF!</v>
      </c>
      <c r="BY2945" s="8" t="e">
        <f>IF($BH2945&lt;&gt;"","",SUMIF(#REF!,$BL2945,#REF!)-Q2945)</f>
        <v>#REF!</v>
      </c>
    </row>
    <row r="2946" spans="60:77">
      <c r="BH2946" s="8">
        <v>4</v>
      </c>
      <c r="BV2946" s="8" t="str">
        <f>IF($BH2946&lt;&gt;"","",SUMIF(#REF!,$BL2946,#REF!)-N2946)</f>
        <v/>
      </c>
      <c r="BW2946" s="8" t="str">
        <f>IF($BH2946&lt;&gt;"","",SUMIF(#REF!,$BL2946,#REF!)-O2946)</f>
        <v/>
      </c>
      <c r="BX2946" s="8" t="str">
        <f>IF($BH2946&lt;&gt;"","",SUMIF(#REF!,$BL2946,#REF!)-P2946)</f>
        <v/>
      </c>
      <c r="BY2946" s="8" t="str">
        <f>IF($BH2946&lt;&gt;"","",SUMIF(#REF!,$BL2946,#REF!)-Q2946)</f>
        <v/>
      </c>
    </row>
    <row r="2947" spans="60:77">
      <c r="BV2947" s="8" t="e">
        <f>IF($BH2947&lt;&gt;"","",SUMIF(#REF!,$BL2947,#REF!)-N2947)</f>
        <v>#REF!</v>
      </c>
      <c r="BW2947" s="8" t="e">
        <f>IF($BH2947&lt;&gt;"","",SUMIF(#REF!,$BL2947,#REF!)-O2947)</f>
        <v>#REF!</v>
      </c>
      <c r="BX2947" s="8" t="e">
        <f>IF($BH2947&lt;&gt;"","",SUMIF(#REF!,$BL2947,#REF!)-P2947)</f>
        <v>#REF!</v>
      </c>
      <c r="BY2947" s="8" t="e">
        <f>IF($BH2947&lt;&gt;"","",SUMIF(#REF!,$BL2947,#REF!)-Q2947)</f>
        <v>#REF!</v>
      </c>
    </row>
    <row r="2948" spans="60:77">
      <c r="BV2948" s="8" t="e">
        <f>IF($BH2948&lt;&gt;"","",SUMIF(#REF!,$BL2948,#REF!)-N2948)</f>
        <v>#REF!</v>
      </c>
      <c r="BW2948" s="8" t="e">
        <f>IF($BH2948&lt;&gt;"","",SUMIF(#REF!,$BL2948,#REF!)-O2948)</f>
        <v>#REF!</v>
      </c>
      <c r="BX2948" s="8" t="e">
        <f>IF($BH2948&lt;&gt;"","",SUMIF(#REF!,$BL2948,#REF!)-P2948)</f>
        <v>#REF!</v>
      </c>
      <c r="BY2948" s="8" t="e">
        <f>IF($BH2948&lt;&gt;"","",SUMIF(#REF!,$BL2948,#REF!)-Q2948)</f>
        <v>#REF!</v>
      </c>
    </row>
    <row r="2949" spans="60:77">
      <c r="BV2949" s="8" t="e">
        <f>IF($BH2949&lt;&gt;"","",SUMIF(#REF!,$BL2949,#REF!)-N2949)</f>
        <v>#REF!</v>
      </c>
      <c r="BW2949" s="8" t="e">
        <f>IF($BH2949&lt;&gt;"","",SUMIF(#REF!,$BL2949,#REF!)-O2949)</f>
        <v>#REF!</v>
      </c>
      <c r="BX2949" s="8" t="e">
        <f>IF($BH2949&lt;&gt;"","",SUMIF(#REF!,$BL2949,#REF!)-P2949)</f>
        <v>#REF!</v>
      </c>
      <c r="BY2949" s="8" t="e">
        <f>IF($BH2949&lt;&gt;"","",SUMIF(#REF!,$BL2949,#REF!)-Q2949)</f>
        <v>#REF!</v>
      </c>
    </row>
    <row r="2950" spans="60:77">
      <c r="BV2950" s="8" t="e">
        <f>IF($BH2950&lt;&gt;"","",SUMIF(#REF!,$BL2950,#REF!)-N2950)</f>
        <v>#REF!</v>
      </c>
      <c r="BW2950" s="8" t="e">
        <f>IF($BH2950&lt;&gt;"","",SUMIF(#REF!,$BL2950,#REF!)-O2950)</f>
        <v>#REF!</v>
      </c>
      <c r="BX2950" s="8" t="e">
        <f>IF($BH2950&lt;&gt;"","",SUMIF(#REF!,$BL2950,#REF!)-P2950)</f>
        <v>#REF!</v>
      </c>
      <c r="BY2950" s="8" t="e">
        <f>IF($BH2950&lt;&gt;"","",SUMIF(#REF!,$BL2950,#REF!)-Q2950)</f>
        <v>#REF!</v>
      </c>
    </row>
    <row r="2951" spans="60:77">
      <c r="BV2951" s="8" t="e">
        <f>IF($BH2951&lt;&gt;"","",SUMIF(#REF!,$BL2951,#REF!)-N2951)</f>
        <v>#REF!</v>
      </c>
      <c r="BW2951" s="8" t="e">
        <f>IF($BH2951&lt;&gt;"","",SUMIF(#REF!,$BL2951,#REF!)-O2951)</f>
        <v>#REF!</v>
      </c>
      <c r="BX2951" s="8" t="e">
        <f>IF($BH2951&lt;&gt;"","",SUMIF(#REF!,$BL2951,#REF!)-P2951)</f>
        <v>#REF!</v>
      </c>
      <c r="BY2951" s="8" t="e">
        <f>IF($BH2951&lt;&gt;"","",SUMIF(#REF!,$BL2951,#REF!)-Q2951)</f>
        <v>#REF!</v>
      </c>
    </row>
    <row r="2952" spans="60:77">
      <c r="BV2952" s="8" t="e">
        <f>IF($BH2952&lt;&gt;"","",SUMIF(#REF!,$BL2952,#REF!)-N2952)</f>
        <v>#REF!</v>
      </c>
      <c r="BW2952" s="8" t="e">
        <f>IF($BH2952&lt;&gt;"","",SUMIF(#REF!,$BL2952,#REF!)-O2952)</f>
        <v>#REF!</v>
      </c>
      <c r="BX2952" s="8" t="e">
        <f>IF($BH2952&lt;&gt;"","",SUMIF(#REF!,$BL2952,#REF!)-P2952)</f>
        <v>#REF!</v>
      </c>
      <c r="BY2952" s="8" t="e">
        <f>IF($BH2952&lt;&gt;"","",SUMIF(#REF!,$BL2952,#REF!)-Q2952)</f>
        <v>#REF!</v>
      </c>
    </row>
    <row r="2953" spans="60:77">
      <c r="BV2953" s="8" t="e">
        <f>IF($BH2953&lt;&gt;"","",SUMIF(#REF!,$BL2953,#REF!)-N2953)</f>
        <v>#REF!</v>
      </c>
      <c r="BW2953" s="8" t="e">
        <f>IF($BH2953&lt;&gt;"","",SUMIF(#REF!,$BL2953,#REF!)-O2953)</f>
        <v>#REF!</v>
      </c>
      <c r="BX2953" s="8" t="e">
        <f>IF($BH2953&lt;&gt;"","",SUMIF(#REF!,$BL2953,#REF!)-P2953)</f>
        <v>#REF!</v>
      </c>
      <c r="BY2953" s="8" t="e">
        <f>IF($BH2953&lt;&gt;"","",SUMIF(#REF!,$BL2953,#REF!)-Q2953)</f>
        <v>#REF!</v>
      </c>
    </row>
    <row r="2954" spans="60:77">
      <c r="BV2954" s="8" t="e">
        <f>IF($BH2954&lt;&gt;"","",SUMIF(#REF!,$BL2954,#REF!)-N2954)</f>
        <v>#REF!</v>
      </c>
      <c r="BW2954" s="8" t="e">
        <f>IF($BH2954&lt;&gt;"","",SUMIF(#REF!,$BL2954,#REF!)-O2954)</f>
        <v>#REF!</v>
      </c>
      <c r="BX2954" s="8" t="e">
        <f>IF($BH2954&lt;&gt;"","",SUMIF(#REF!,$BL2954,#REF!)-P2954)</f>
        <v>#REF!</v>
      </c>
      <c r="BY2954" s="8" t="e">
        <f>IF($BH2954&lt;&gt;"","",SUMIF(#REF!,$BL2954,#REF!)-Q2954)</f>
        <v>#REF!</v>
      </c>
    </row>
    <row r="2955" spans="60:77">
      <c r="BV2955" s="8" t="e">
        <f>IF($BH2955&lt;&gt;"","",SUMIF(#REF!,$BL2955,#REF!)-N2955)</f>
        <v>#REF!</v>
      </c>
      <c r="BW2955" s="8" t="e">
        <f>IF($BH2955&lt;&gt;"","",SUMIF(#REF!,$BL2955,#REF!)-O2955)</f>
        <v>#REF!</v>
      </c>
      <c r="BX2955" s="8" t="e">
        <f>IF($BH2955&lt;&gt;"","",SUMIF(#REF!,$BL2955,#REF!)-P2955)</f>
        <v>#REF!</v>
      </c>
      <c r="BY2955" s="8" t="e">
        <f>IF($BH2955&lt;&gt;"","",SUMIF(#REF!,$BL2955,#REF!)-Q2955)</f>
        <v>#REF!</v>
      </c>
    </row>
    <row r="2956" spans="60:77">
      <c r="BV2956" s="8" t="e">
        <f>IF($BH2956&lt;&gt;"","",SUMIF(#REF!,$BL2956,#REF!)-N2956)</f>
        <v>#REF!</v>
      </c>
      <c r="BW2956" s="8" t="e">
        <f>IF($BH2956&lt;&gt;"","",SUMIF(#REF!,$BL2956,#REF!)-O2956)</f>
        <v>#REF!</v>
      </c>
      <c r="BX2956" s="8" t="e">
        <f>IF($BH2956&lt;&gt;"","",SUMIF(#REF!,$BL2956,#REF!)-P2956)</f>
        <v>#REF!</v>
      </c>
      <c r="BY2956" s="8" t="e">
        <f>IF($BH2956&lt;&gt;"","",SUMIF(#REF!,$BL2956,#REF!)-Q2956)</f>
        <v>#REF!</v>
      </c>
    </row>
    <row r="2957" spans="60:77">
      <c r="BV2957" s="8" t="e">
        <f>IF($BH2957&lt;&gt;"","",SUMIF(#REF!,$BL2957,#REF!)-N2957)</f>
        <v>#REF!</v>
      </c>
      <c r="BW2957" s="8" t="e">
        <f>IF($BH2957&lt;&gt;"","",SUMIF(#REF!,$BL2957,#REF!)-O2957)</f>
        <v>#REF!</v>
      </c>
      <c r="BX2957" s="8" t="e">
        <f>IF($BH2957&lt;&gt;"","",SUMIF(#REF!,$BL2957,#REF!)-P2957)</f>
        <v>#REF!</v>
      </c>
      <c r="BY2957" s="8" t="e">
        <f>IF($BH2957&lt;&gt;"","",SUMIF(#REF!,$BL2957,#REF!)-Q2957)</f>
        <v>#REF!</v>
      </c>
    </row>
    <row r="2958" spans="60:77">
      <c r="BV2958" s="8" t="e">
        <f>IF($BH2958&lt;&gt;"","",SUMIF(#REF!,$BL2958,#REF!)-N2958)</f>
        <v>#REF!</v>
      </c>
      <c r="BW2958" s="8" t="e">
        <f>IF($BH2958&lt;&gt;"","",SUMIF(#REF!,$BL2958,#REF!)-O2958)</f>
        <v>#REF!</v>
      </c>
      <c r="BX2958" s="8" t="e">
        <f>IF($BH2958&lt;&gt;"","",SUMIF(#REF!,$BL2958,#REF!)-P2958)</f>
        <v>#REF!</v>
      </c>
      <c r="BY2958" s="8" t="e">
        <f>IF($BH2958&lt;&gt;"","",SUMIF(#REF!,$BL2958,#REF!)-Q2958)</f>
        <v>#REF!</v>
      </c>
    </row>
    <row r="2959" spans="60:77">
      <c r="BV2959" s="8" t="e">
        <f>IF($BH2959&lt;&gt;"","",SUMIF(#REF!,$BL2959,#REF!)-N2959)</f>
        <v>#REF!</v>
      </c>
      <c r="BW2959" s="8" t="e">
        <f>IF($BH2959&lt;&gt;"","",SUMIF(#REF!,$BL2959,#REF!)-O2959)</f>
        <v>#REF!</v>
      </c>
      <c r="BX2959" s="8" t="e">
        <f>IF($BH2959&lt;&gt;"","",SUMIF(#REF!,$BL2959,#REF!)-P2959)</f>
        <v>#REF!</v>
      </c>
      <c r="BY2959" s="8" t="e">
        <f>IF($BH2959&lt;&gt;"","",SUMIF(#REF!,$BL2959,#REF!)-Q2959)</f>
        <v>#REF!</v>
      </c>
    </row>
    <row r="2960" spans="60:77">
      <c r="BV2960" s="8" t="e">
        <f>IF($BH2960&lt;&gt;"","",SUMIF(#REF!,$BL2960,#REF!)-N2960)</f>
        <v>#REF!</v>
      </c>
      <c r="BW2960" s="8" t="e">
        <f>IF($BH2960&lt;&gt;"","",SUMIF(#REF!,$BL2960,#REF!)-O2960)</f>
        <v>#REF!</v>
      </c>
      <c r="BX2960" s="8" t="e">
        <f>IF($BH2960&lt;&gt;"","",SUMIF(#REF!,$BL2960,#REF!)-P2960)</f>
        <v>#REF!</v>
      </c>
      <c r="BY2960" s="8" t="e">
        <f>IF($BH2960&lt;&gt;"","",SUMIF(#REF!,$BL2960,#REF!)-Q2960)</f>
        <v>#REF!</v>
      </c>
    </row>
    <row r="2961" spans="74:77">
      <c r="BV2961" s="8" t="e">
        <f>IF($BH2961&lt;&gt;"","",SUMIF(#REF!,$BL2961,#REF!)-N2961)</f>
        <v>#REF!</v>
      </c>
      <c r="BW2961" s="8" t="e">
        <f>IF($BH2961&lt;&gt;"","",SUMIF(#REF!,$BL2961,#REF!)-O2961)</f>
        <v>#REF!</v>
      </c>
      <c r="BX2961" s="8" t="e">
        <f>IF($BH2961&lt;&gt;"","",SUMIF(#REF!,$BL2961,#REF!)-P2961)</f>
        <v>#REF!</v>
      </c>
      <c r="BY2961" s="8" t="e">
        <f>IF($BH2961&lt;&gt;"","",SUMIF(#REF!,$BL2961,#REF!)-Q2961)</f>
        <v>#REF!</v>
      </c>
    </row>
    <row r="2962" spans="74:77">
      <c r="BV2962" s="8" t="e">
        <f>IF($BH2962&lt;&gt;"","",SUMIF(#REF!,$BL2962,#REF!)-N2962)</f>
        <v>#REF!</v>
      </c>
      <c r="BW2962" s="8" t="e">
        <f>IF($BH2962&lt;&gt;"","",SUMIF(#REF!,$BL2962,#REF!)-O2962)</f>
        <v>#REF!</v>
      </c>
      <c r="BX2962" s="8" t="e">
        <f>IF($BH2962&lt;&gt;"","",SUMIF(#REF!,$BL2962,#REF!)-P2962)</f>
        <v>#REF!</v>
      </c>
      <c r="BY2962" s="8" t="e">
        <f>IF($BH2962&lt;&gt;"","",SUMIF(#REF!,$BL2962,#REF!)-Q2962)</f>
        <v>#REF!</v>
      </c>
    </row>
    <row r="2963" spans="74:77">
      <c r="BV2963" s="8" t="e">
        <f>IF($BH2963&lt;&gt;"","",SUMIF(#REF!,$BL2963,#REF!)-N2963)</f>
        <v>#REF!</v>
      </c>
      <c r="BW2963" s="8" t="e">
        <f>IF($BH2963&lt;&gt;"","",SUMIF(#REF!,$BL2963,#REF!)-O2963)</f>
        <v>#REF!</v>
      </c>
      <c r="BX2963" s="8" t="e">
        <f>IF($BH2963&lt;&gt;"","",SUMIF(#REF!,$BL2963,#REF!)-P2963)</f>
        <v>#REF!</v>
      </c>
      <c r="BY2963" s="8" t="e">
        <f>IF($BH2963&lt;&gt;"","",SUMIF(#REF!,$BL2963,#REF!)-Q2963)</f>
        <v>#REF!</v>
      </c>
    </row>
    <row r="2964" spans="74:77">
      <c r="BV2964" s="8" t="e">
        <f>IF($BH2964&lt;&gt;"","",SUMIF(#REF!,$BL2964,#REF!)-N2964)</f>
        <v>#REF!</v>
      </c>
      <c r="BW2964" s="8" t="e">
        <f>IF($BH2964&lt;&gt;"","",SUMIF(#REF!,$BL2964,#REF!)-O2964)</f>
        <v>#REF!</v>
      </c>
      <c r="BX2964" s="8" t="e">
        <f>IF($BH2964&lt;&gt;"","",SUMIF(#REF!,$BL2964,#REF!)-P2964)</f>
        <v>#REF!</v>
      </c>
      <c r="BY2964" s="8" t="e">
        <f>IF($BH2964&lt;&gt;"","",SUMIF(#REF!,$BL2964,#REF!)-Q2964)</f>
        <v>#REF!</v>
      </c>
    </row>
    <row r="2965" spans="74:77">
      <c r="BV2965" s="8" t="e">
        <f>IF($BH2965&lt;&gt;"","",SUMIF(#REF!,$BL2965,#REF!)-N2965)</f>
        <v>#REF!</v>
      </c>
      <c r="BW2965" s="8" t="e">
        <f>IF($BH2965&lt;&gt;"","",SUMIF(#REF!,$BL2965,#REF!)-O2965)</f>
        <v>#REF!</v>
      </c>
      <c r="BX2965" s="8" t="e">
        <f>IF($BH2965&lt;&gt;"","",SUMIF(#REF!,$BL2965,#REF!)-P2965)</f>
        <v>#REF!</v>
      </c>
      <c r="BY2965" s="8" t="e">
        <f>IF($BH2965&lt;&gt;"","",SUMIF(#REF!,$BL2965,#REF!)-Q2965)</f>
        <v>#REF!</v>
      </c>
    </row>
    <row r="2966" spans="74:77">
      <c r="BV2966" s="8" t="e">
        <f>IF($BH2966&lt;&gt;"","",SUMIF(#REF!,$BL2966,#REF!)-N2966)</f>
        <v>#REF!</v>
      </c>
      <c r="BW2966" s="8" t="e">
        <f>IF($BH2966&lt;&gt;"","",SUMIF(#REF!,$BL2966,#REF!)-O2966)</f>
        <v>#REF!</v>
      </c>
      <c r="BX2966" s="8" t="e">
        <f>IF($BH2966&lt;&gt;"","",SUMIF(#REF!,$BL2966,#REF!)-P2966)</f>
        <v>#REF!</v>
      </c>
      <c r="BY2966" s="8" t="e">
        <f>IF($BH2966&lt;&gt;"","",SUMIF(#REF!,$BL2966,#REF!)-Q2966)</f>
        <v>#REF!</v>
      </c>
    </row>
    <row r="2967" spans="74:77">
      <c r="BV2967" s="8" t="e">
        <f>IF($BH2967&lt;&gt;"","",SUMIF(#REF!,$BL2967,#REF!)-N2967)</f>
        <v>#REF!</v>
      </c>
      <c r="BW2967" s="8" t="e">
        <f>IF($BH2967&lt;&gt;"","",SUMIF(#REF!,$BL2967,#REF!)-O2967)</f>
        <v>#REF!</v>
      </c>
      <c r="BX2967" s="8" t="e">
        <f>IF($BH2967&lt;&gt;"","",SUMIF(#REF!,$BL2967,#REF!)-P2967)</f>
        <v>#REF!</v>
      </c>
      <c r="BY2967" s="8" t="e">
        <f>IF($BH2967&lt;&gt;"","",SUMIF(#REF!,$BL2967,#REF!)-Q2967)</f>
        <v>#REF!</v>
      </c>
    </row>
    <row r="2968" spans="74:77">
      <c r="BV2968" s="8" t="e">
        <f>IF($BH2968&lt;&gt;"","",SUMIF(#REF!,$BL2968,#REF!)-N2968)</f>
        <v>#REF!</v>
      </c>
      <c r="BW2968" s="8" t="e">
        <f>IF($BH2968&lt;&gt;"","",SUMIF(#REF!,$BL2968,#REF!)-O2968)</f>
        <v>#REF!</v>
      </c>
      <c r="BX2968" s="8" t="e">
        <f>IF($BH2968&lt;&gt;"","",SUMIF(#REF!,$BL2968,#REF!)-P2968)</f>
        <v>#REF!</v>
      </c>
      <c r="BY2968" s="8" t="e">
        <f>IF($BH2968&lt;&gt;"","",SUMIF(#REF!,$BL2968,#REF!)-Q2968)</f>
        <v>#REF!</v>
      </c>
    </row>
    <row r="2969" spans="74:77">
      <c r="BV2969" s="8" t="e">
        <f>IF($BH2969&lt;&gt;"","",SUMIF(#REF!,$BL2969,#REF!)-N2969)</f>
        <v>#REF!</v>
      </c>
      <c r="BW2969" s="8" t="e">
        <f>IF($BH2969&lt;&gt;"","",SUMIF(#REF!,$BL2969,#REF!)-O2969)</f>
        <v>#REF!</v>
      </c>
      <c r="BX2969" s="8" t="e">
        <f>IF($BH2969&lt;&gt;"","",SUMIF(#REF!,$BL2969,#REF!)-P2969)</f>
        <v>#REF!</v>
      </c>
      <c r="BY2969" s="8" t="e">
        <f>IF($BH2969&lt;&gt;"","",SUMIF(#REF!,$BL2969,#REF!)-Q2969)</f>
        <v>#REF!</v>
      </c>
    </row>
    <row r="2970" spans="74:77">
      <c r="BV2970" s="8" t="e">
        <f>IF($BH2970&lt;&gt;"","",SUMIF(#REF!,$BL2970,#REF!)-N2970)</f>
        <v>#REF!</v>
      </c>
      <c r="BW2970" s="8" t="e">
        <f>IF($BH2970&lt;&gt;"","",SUMIF(#REF!,$BL2970,#REF!)-O2970)</f>
        <v>#REF!</v>
      </c>
      <c r="BX2970" s="8" t="e">
        <f>IF($BH2970&lt;&gt;"","",SUMIF(#REF!,$BL2970,#REF!)-P2970)</f>
        <v>#REF!</v>
      </c>
      <c r="BY2970" s="8" t="e">
        <f>IF($BH2970&lt;&gt;"","",SUMIF(#REF!,$BL2970,#REF!)-Q2970)</f>
        <v>#REF!</v>
      </c>
    </row>
    <row r="2971" spans="74:77">
      <c r="BV2971" s="8" t="e">
        <f>IF($BH2971&lt;&gt;"","",SUMIF(#REF!,$BL2971,#REF!)-N2971)</f>
        <v>#REF!</v>
      </c>
      <c r="BW2971" s="8" t="e">
        <f>IF($BH2971&lt;&gt;"","",SUMIF(#REF!,$BL2971,#REF!)-O2971)</f>
        <v>#REF!</v>
      </c>
      <c r="BX2971" s="8" t="e">
        <f>IF($BH2971&lt;&gt;"","",SUMIF(#REF!,$BL2971,#REF!)-P2971)</f>
        <v>#REF!</v>
      </c>
      <c r="BY2971" s="8" t="e">
        <f>IF($BH2971&lt;&gt;"","",SUMIF(#REF!,$BL2971,#REF!)-Q2971)</f>
        <v>#REF!</v>
      </c>
    </row>
    <row r="2972" spans="74:77">
      <c r="BV2972" s="8" t="e">
        <f>IF($BH2972&lt;&gt;"","",SUMIF(#REF!,$BL2972,#REF!)-N2972)</f>
        <v>#REF!</v>
      </c>
      <c r="BW2972" s="8" t="e">
        <f>IF($BH2972&lt;&gt;"","",SUMIF(#REF!,$BL2972,#REF!)-O2972)</f>
        <v>#REF!</v>
      </c>
      <c r="BX2972" s="8" t="e">
        <f>IF($BH2972&lt;&gt;"","",SUMIF(#REF!,$BL2972,#REF!)-P2972)</f>
        <v>#REF!</v>
      </c>
      <c r="BY2972" s="8" t="e">
        <f>IF($BH2972&lt;&gt;"","",SUMIF(#REF!,$BL2972,#REF!)-Q2972)</f>
        <v>#REF!</v>
      </c>
    </row>
    <row r="2973" spans="74:77">
      <c r="BV2973" s="8" t="e">
        <f>IF($BH2973&lt;&gt;"","",SUMIF(#REF!,$BL2973,#REF!)-N2973)</f>
        <v>#REF!</v>
      </c>
      <c r="BW2973" s="8" t="e">
        <f>IF($BH2973&lt;&gt;"","",SUMIF(#REF!,$BL2973,#REF!)-O2973)</f>
        <v>#REF!</v>
      </c>
      <c r="BX2973" s="8" t="e">
        <f>IF($BH2973&lt;&gt;"","",SUMIF(#REF!,$BL2973,#REF!)-P2973)</f>
        <v>#REF!</v>
      </c>
      <c r="BY2973" s="8" t="e">
        <f>IF($BH2973&lt;&gt;"","",SUMIF(#REF!,$BL2973,#REF!)-Q2973)</f>
        <v>#REF!</v>
      </c>
    </row>
    <row r="2974" spans="74:77">
      <c r="BV2974" s="8" t="e">
        <f>IF($BH2974&lt;&gt;"","",SUMIF(#REF!,$BL2974,#REF!)-N2974)</f>
        <v>#REF!</v>
      </c>
      <c r="BW2974" s="8" t="e">
        <f>IF($BH2974&lt;&gt;"","",SUMIF(#REF!,$BL2974,#REF!)-O2974)</f>
        <v>#REF!</v>
      </c>
      <c r="BX2974" s="8" t="e">
        <f>IF($BH2974&lt;&gt;"","",SUMIF(#REF!,$BL2974,#REF!)-P2974)</f>
        <v>#REF!</v>
      </c>
      <c r="BY2974" s="8" t="e">
        <f>IF($BH2974&lt;&gt;"","",SUMIF(#REF!,$BL2974,#REF!)-Q2974)</f>
        <v>#REF!</v>
      </c>
    </row>
    <row r="2975" spans="74:77">
      <c r="BV2975" s="8" t="e">
        <f>IF($BH2975&lt;&gt;"","",SUMIF(#REF!,$BL2975,#REF!)-N2975)</f>
        <v>#REF!</v>
      </c>
      <c r="BW2975" s="8" t="e">
        <f>IF($BH2975&lt;&gt;"","",SUMIF(#REF!,$BL2975,#REF!)-O2975)</f>
        <v>#REF!</v>
      </c>
      <c r="BX2975" s="8" t="e">
        <f>IF($BH2975&lt;&gt;"","",SUMIF(#REF!,$BL2975,#REF!)-P2975)</f>
        <v>#REF!</v>
      </c>
      <c r="BY2975" s="8" t="e">
        <f>IF($BH2975&lt;&gt;"","",SUMIF(#REF!,$BL2975,#REF!)-Q2975)</f>
        <v>#REF!</v>
      </c>
    </row>
    <row r="2976" spans="74:77">
      <c r="BV2976" s="8" t="e">
        <f>IF($BH2976&lt;&gt;"","",SUMIF(#REF!,$BL2976,#REF!)-N2976)</f>
        <v>#REF!</v>
      </c>
      <c r="BW2976" s="8" t="e">
        <f>IF($BH2976&lt;&gt;"","",SUMIF(#REF!,$BL2976,#REF!)-O2976)</f>
        <v>#REF!</v>
      </c>
      <c r="BX2976" s="8" t="e">
        <f>IF($BH2976&lt;&gt;"","",SUMIF(#REF!,$BL2976,#REF!)-P2976)</f>
        <v>#REF!</v>
      </c>
      <c r="BY2976" s="8" t="e">
        <f>IF($BH2976&lt;&gt;"","",SUMIF(#REF!,$BL2976,#REF!)-Q2976)</f>
        <v>#REF!</v>
      </c>
    </row>
    <row r="2977" spans="74:77">
      <c r="BV2977" s="8" t="e">
        <f>IF($BH2977&lt;&gt;"","",SUMIF(#REF!,$BL2977,#REF!)-N2977)</f>
        <v>#REF!</v>
      </c>
      <c r="BW2977" s="8" t="e">
        <f>IF($BH2977&lt;&gt;"","",SUMIF(#REF!,$BL2977,#REF!)-O2977)</f>
        <v>#REF!</v>
      </c>
      <c r="BX2977" s="8" t="e">
        <f>IF($BH2977&lt;&gt;"","",SUMIF(#REF!,$BL2977,#REF!)-P2977)</f>
        <v>#REF!</v>
      </c>
      <c r="BY2977" s="8" t="e">
        <f>IF($BH2977&lt;&gt;"","",SUMIF(#REF!,$BL2977,#REF!)-Q2977)</f>
        <v>#REF!</v>
      </c>
    </row>
    <row r="2978" spans="74:77">
      <c r="BV2978" s="8" t="e">
        <f>IF($BH2978&lt;&gt;"","",SUMIF(#REF!,$BL2978,#REF!)-N2978)</f>
        <v>#REF!</v>
      </c>
      <c r="BW2978" s="8" t="e">
        <f>IF($BH2978&lt;&gt;"","",SUMIF(#REF!,$BL2978,#REF!)-O2978)</f>
        <v>#REF!</v>
      </c>
      <c r="BX2978" s="8" t="e">
        <f>IF($BH2978&lt;&gt;"","",SUMIF(#REF!,$BL2978,#REF!)-P2978)</f>
        <v>#REF!</v>
      </c>
      <c r="BY2978" s="8" t="e">
        <f>IF($BH2978&lt;&gt;"","",SUMIF(#REF!,$BL2978,#REF!)-Q2978)</f>
        <v>#REF!</v>
      </c>
    </row>
    <row r="2979" spans="74:77">
      <c r="BV2979" s="8" t="e">
        <f>IF($BH2979&lt;&gt;"","",SUMIF(#REF!,$BL2979,#REF!)-N2979)</f>
        <v>#REF!</v>
      </c>
      <c r="BW2979" s="8" t="e">
        <f>IF($BH2979&lt;&gt;"","",SUMIF(#REF!,$BL2979,#REF!)-O2979)</f>
        <v>#REF!</v>
      </c>
      <c r="BX2979" s="8" t="e">
        <f>IF($BH2979&lt;&gt;"","",SUMIF(#REF!,$BL2979,#REF!)-P2979)</f>
        <v>#REF!</v>
      </c>
      <c r="BY2979" s="8" t="e">
        <f>IF($BH2979&lt;&gt;"","",SUMIF(#REF!,$BL2979,#REF!)-Q2979)</f>
        <v>#REF!</v>
      </c>
    </row>
    <row r="2980" spans="74:77">
      <c r="BV2980" s="8" t="e">
        <f>IF($BH2980&lt;&gt;"","",SUMIF(#REF!,$BL2980,#REF!)-N2980)</f>
        <v>#REF!</v>
      </c>
      <c r="BW2980" s="8" t="e">
        <f>IF($BH2980&lt;&gt;"","",SUMIF(#REF!,$BL2980,#REF!)-O2980)</f>
        <v>#REF!</v>
      </c>
      <c r="BX2980" s="8" t="e">
        <f>IF($BH2980&lt;&gt;"","",SUMIF(#REF!,$BL2980,#REF!)-P2980)</f>
        <v>#REF!</v>
      </c>
      <c r="BY2980" s="8" t="e">
        <f>IF($BH2980&lt;&gt;"","",SUMIF(#REF!,$BL2980,#REF!)-Q2980)</f>
        <v>#REF!</v>
      </c>
    </row>
    <row r="2981" spans="74:77">
      <c r="BV2981" s="8" t="e">
        <f>IF($BH2981&lt;&gt;"","",SUMIF(#REF!,$BL2981,#REF!)-N2981)</f>
        <v>#REF!</v>
      </c>
      <c r="BW2981" s="8" t="e">
        <f>IF($BH2981&lt;&gt;"","",SUMIF(#REF!,$BL2981,#REF!)-O2981)</f>
        <v>#REF!</v>
      </c>
      <c r="BX2981" s="8" t="e">
        <f>IF($BH2981&lt;&gt;"","",SUMIF(#REF!,$BL2981,#REF!)-P2981)</f>
        <v>#REF!</v>
      </c>
      <c r="BY2981" s="8" t="e">
        <f>IF($BH2981&lt;&gt;"","",SUMIF(#REF!,$BL2981,#REF!)-Q2981)</f>
        <v>#REF!</v>
      </c>
    </row>
    <row r="2982" spans="74:77">
      <c r="BV2982" s="8" t="e">
        <f>IF($BH2982&lt;&gt;"","",SUMIF(#REF!,$BL2982,#REF!)-N2982)</f>
        <v>#REF!</v>
      </c>
      <c r="BW2982" s="8" t="e">
        <f>IF($BH2982&lt;&gt;"","",SUMIF(#REF!,$BL2982,#REF!)-O2982)</f>
        <v>#REF!</v>
      </c>
      <c r="BX2982" s="8" t="e">
        <f>IF($BH2982&lt;&gt;"","",SUMIF(#REF!,$BL2982,#REF!)-P2982)</f>
        <v>#REF!</v>
      </c>
      <c r="BY2982" s="8" t="e">
        <f>IF($BH2982&lt;&gt;"","",SUMIF(#REF!,$BL2982,#REF!)-Q2982)</f>
        <v>#REF!</v>
      </c>
    </row>
    <row r="2983" spans="74:77">
      <c r="BV2983" s="8" t="e">
        <f>IF($BH2983&lt;&gt;"","",SUMIF(#REF!,$BL2983,#REF!)-N2983)</f>
        <v>#REF!</v>
      </c>
      <c r="BW2983" s="8" t="e">
        <f>IF($BH2983&lt;&gt;"","",SUMIF(#REF!,$BL2983,#REF!)-O2983)</f>
        <v>#REF!</v>
      </c>
      <c r="BX2983" s="8" t="e">
        <f>IF($BH2983&lt;&gt;"","",SUMIF(#REF!,$BL2983,#REF!)-P2983)</f>
        <v>#REF!</v>
      </c>
      <c r="BY2983" s="8" t="e">
        <f>IF($BH2983&lt;&gt;"","",SUMIF(#REF!,$BL2983,#REF!)-Q2983)</f>
        <v>#REF!</v>
      </c>
    </row>
    <row r="2984" spans="74:77">
      <c r="BV2984" s="8" t="e">
        <f>IF($BH2984&lt;&gt;"","",SUMIF(#REF!,$BL2984,#REF!)-N2984)</f>
        <v>#REF!</v>
      </c>
      <c r="BW2984" s="8" t="e">
        <f>IF($BH2984&lt;&gt;"","",SUMIF(#REF!,$BL2984,#REF!)-O2984)</f>
        <v>#REF!</v>
      </c>
      <c r="BX2984" s="8" t="e">
        <f>IF($BH2984&lt;&gt;"","",SUMIF(#REF!,$BL2984,#REF!)-P2984)</f>
        <v>#REF!</v>
      </c>
      <c r="BY2984" s="8" t="e">
        <f>IF($BH2984&lt;&gt;"","",SUMIF(#REF!,$BL2984,#REF!)-Q2984)</f>
        <v>#REF!</v>
      </c>
    </row>
    <row r="2985" spans="74:77">
      <c r="BV2985" s="8" t="e">
        <f>IF($BH2985&lt;&gt;"","",SUMIF(#REF!,$BL2985,#REF!)-N2985)</f>
        <v>#REF!</v>
      </c>
      <c r="BW2985" s="8" t="e">
        <f>IF($BH2985&lt;&gt;"","",SUMIF(#REF!,$BL2985,#REF!)-O2985)</f>
        <v>#REF!</v>
      </c>
      <c r="BX2985" s="8" t="e">
        <f>IF($BH2985&lt;&gt;"","",SUMIF(#REF!,$BL2985,#REF!)-P2985)</f>
        <v>#REF!</v>
      </c>
      <c r="BY2985" s="8" t="e">
        <f>IF($BH2985&lt;&gt;"","",SUMIF(#REF!,$BL2985,#REF!)-Q2985)</f>
        <v>#REF!</v>
      </c>
    </row>
    <row r="2986" spans="74:77">
      <c r="BV2986" s="8" t="e">
        <f>IF($BH2986&lt;&gt;"","",SUMIF(#REF!,$BL2986,#REF!)-N2986)</f>
        <v>#REF!</v>
      </c>
      <c r="BW2986" s="8" t="e">
        <f>IF($BH2986&lt;&gt;"","",SUMIF(#REF!,$BL2986,#REF!)-O2986)</f>
        <v>#REF!</v>
      </c>
      <c r="BX2986" s="8" t="e">
        <f>IF($BH2986&lt;&gt;"","",SUMIF(#REF!,$BL2986,#REF!)-P2986)</f>
        <v>#REF!</v>
      </c>
      <c r="BY2986" s="8" t="e">
        <f>IF($BH2986&lt;&gt;"","",SUMIF(#REF!,$BL2986,#REF!)-Q2986)</f>
        <v>#REF!</v>
      </c>
    </row>
    <row r="2987" spans="74:77">
      <c r="BV2987" s="8" t="e">
        <f>IF($BH2987&lt;&gt;"","",SUMIF(#REF!,$BL2987,#REF!)-N2987)</f>
        <v>#REF!</v>
      </c>
      <c r="BW2987" s="8" t="e">
        <f>IF($BH2987&lt;&gt;"","",SUMIF(#REF!,$BL2987,#REF!)-O2987)</f>
        <v>#REF!</v>
      </c>
      <c r="BX2987" s="8" t="e">
        <f>IF($BH2987&lt;&gt;"","",SUMIF(#REF!,$BL2987,#REF!)-P2987)</f>
        <v>#REF!</v>
      </c>
      <c r="BY2987" s="8" t="e">
        <f>IF($BH2987&lt;&gt;"","",SUMIF(#REF!,$BL2987,#REF!)-Q2987)</f>
        <v>#REF!</v>
      </c>
    </row>
    <row r="2988" spans="74:77">
      <c r="BV2988" s="8" t="e">
        <f>IF($BH2988&lt;&gt;"","",SUMIF(#REF!,$BL2988,#REF!)-N2988)</f>
        <v>#REF!</v>
      </c>
      <c r="BW2988" s="8" t="e">
        <f>IF($BH2988&lt;&gt;"","",SUMIF(#REF!,$BL2988,#REF!)-O2988)</f>
        <v>#REF!</v>
      </c>
      <c r="BX2988" s="8" t="e">
        <f>IF($BH2988&lt;&gt;"","",SUMIF(#REF!,$BL2988,#REF!)-P2988)</f>
        <v>#REF!</v>
      </c>
      <c r="BY2988" s="8" t="e">
        <f>IF($BH2988&lt;&gt;"","",SUMIF(#REF!,$BL2988,#REF!)-Q2988)</f>
        <v>#REF!</v>
      </c>
    </row>
    <row r="2989" spans="74:77">
      <c r="BV2989" s="8" t="e">
        <f>IF($BH2989&lt;&gt;"","",SUMIF(#REF!,$BL2989,#REF!)-N2989)</f>
        <v>#REF!</v>
      </c>
      <c r="BW2989" s="8" t="e">
        <f>IF($BH2989&lt;&gt;"","",SUMIF(#REF!,$BL2989,#REF!)-O2989)</f>
        <v>#REF!</v>
      </c>
      <c r="BX2989" s="8" t="e">
        <f>IF($BH2989&lt;&gt;"","",SUMIF(#REF!,$BL2989,#REF!)-P2989)</f>
        <v>#REF!</v>
      </c>
      <c r="BY2989" s="8" t="e">
        <f>IF($BH2989&lt;&gt;"","",SUMIF(#REF!,$BL2989,#REF!)-Q2989)</f>
        <v>#REF!</v>
      </c>
    </row>
    <row r="2990" spans="74:77">
      <c r="BV2990" s="8" t="e">
        <f>IF($BH2990&lt;&gt;"","",SUMIF(#REF!,$BL2990,#REF!)-N2990)</f>
        <v>#REF!</v>
      </c>
      <c r="BW2990" s="8" t="e">
        <f>IF($BH2990&lt;&gt;"","",SUMIF(#REF!,$BL2990,#REF!)-O2990)</f>
        <v>#REF!</v>
      </c>
      <c r="BX2990" s="8" t="e">
        <f>IF($BH2990&lt;&gt;"","",SUMIF(#REF!,$BL2990,#REF!)-P2990)</f>
        <v>#REF!</v>
      </c>
      <c r="BY2990" s="8" t="e">
        <f>IF($BH2990&lt;&gt;"","",SUMIF(#REF!,$BL2990,#REF!)-Q2990)</f>
        <v>#REF!</v>
      </c>
    </row>
    <row r="2991" spans="74:77">
      <c r="BV2991" s="8" t="e">
        <f>IF($BH2991&lt;&gt;"","",SUMIF(#REF!,$BL2991,#REF!)-N2991)</f>
        <v>#REF!</v>
      </c>
      <c r="BW2991" s="8" t="e">
        <f>IF($BH2991&lt;&gt;"","",SUMIF(#REF!,$BL2991,#REF!)-O2991)</f>
        <v>#REF!</v>
      </c>
      <c r="BX2991" s="8" t="e">
        <f>IF($BH2991&lt;&gt;"","",SUMIF(#REF!,$BL2991,#REF!)-P2991)</f>
        <v>#REF!</v>
      </c>
      <c r="BY2991" s="8" t="e">
        <f>IF($BH2991&lt;&gt;"","",SUMIF(#REF!,$BL2991,#REF!)-Q2991)</f>
        <v>#REF!</v>
      </c>
    </row>
    <row r="2992" spans="74:77">
      <c r="BV2992" s="8" t="e">
        <f>IF($BH2992&lt;&gt;"","",SUMIF(#REF!,$BL2992,#REF!)-N2992)</f>
        <v>#REF!</v>
      </c>
      <c r="BW2992" s="8" t="e">
        <f>IF($BH2992&lt;&gt;"","",SUMIF(#REF!,$BL2992,#REF!)-O2992)</f>
        <v>#REF!</v>
      </c>
      <c r="BX2992" s="8" t="e">
        <f>IF($BH2992&lt;&gt;"","",SUMIF(#REF!,$BL2992,#REF!)-P2992)</f>
        <v>#REF!</v>
      </c>
      <c r="BY2992" s="8" t="e">
        <f>IF($BH2992&lt;&gt;"","",SUMIF(#REF!,$BL2992,#REF!)-Q2992)</f>
        <v>#REF!</v>
      </c>
    </row>
    <row r="2993" spans="74:77">
      <c r="BV2993" s="8" t="e">
        <f>IF($BH2993&lt;&gt;"","",SUMIF(#REF!,$BL2993,#REF!)-N2993)</f>
        <v>#REF!</v>
      </c>
      <c r="BW2993" s="8" t="e">
        <f>IF($BH2993&lt;&gt;"","",SUMIF(#REF!,$BL2993,#REF!)-O2993)</f>
        <v>#REF!</v>
      </c>
      <c r="BX2993" s="8" t="e">
        <f>IF($BH2993&lt;&gt;"","",SUMIF(#REF!,$BL2993,#REF!)-P2993)</f>
        <v>#REF!</v>
      </c>
      <c r="BY2993" s="8" t="e">
        <f>IF($BH2993&lt;&gt;"","",SUMIF(#REF!,$BL2993,#REF!)-Q2993)</f>
        <v>#REF!</v>
      </c>
    </row>
    <row r="2994" spans="74:77">
      <c r="BV2994" s="8" t="e">
        <f>IF($BH2994&lt;&gt;"","",SUMIF(#REF!,$BL2994,#REF!)-N2994)</f>
        <v>#REF!</v>
      </c>
      <c r="BW2994" s="8" t="e">
        <f>IF($BH2994&lt;&gt;"","",SUMIF(#REF!,$BL2994,#REF!)-O2994)</f>
        <v>#REF!</v>
      </c>
      <c r="BX2994" s="8" t="e">
        <f>IF($BH2994&lt;&gt;"","",SUMIF(#REF!,$BL2994,#REF!)-P2994)</f>
        <v>#REF!</v>
      </c>
      <c r="BY2994" s="8" t="e">
        <f>IF($BH2994&lt;&gt;"","",SUMIF(#REF!,$BL2994,#REF!)-Q2994)</f>
        <v>#REF!</v>
      </c>
    </row>
    <row r="2995" spans="74:77">
      <c r="BV2995" s="8" t="e">
        <f>IF($BH2995&lt;&gt;"","",SUMIF(#REF!,$BL2995,#REF!)-N2995)</f>
        <v>#REF!</v>
      </c>
      <c r="BW2995" s="8" t="e">
        <f>IF($BH2995&lt;&gt;"","",SUMIF(#REF!,$BL2995,#REF!)-O2995)</f>
        <v>#REF!</v>
      </c>
      <c r="BX2995" s="8" t="e">
        <f>IF($BH2995&lt;&gt;"","",SUMIF(#REF!,$BL2995,#REF!)-P2995)</f>
        <v>#REF!</v>
      </c>
      <c r="BY2995" s="8" t="e">
        <f>IF($BH2995&lt;&gt;"","",SUMIF(#REF!,$BL2995,#REF!)-Q2995)</f>
        <v>#REF!</v>
      </c>
    </row>
    <row r="2996" spans="74:77">
      <c r="BV2996" s="8" t="e">
        <f>IF($BH2996&lt;&gt;"","",SUMIF(#REF!,$BL2996,#REF!)-N2996)</f>
        <v>#REF!</v>
      </c>
      <c r="BW2996" s="8" t="e">
        <f>IF($BH2996&lt;&gt;"","",SUMIF(#REF!,$BL2996,#REF!)-O2996)</f>
        <v>#REF!</v>
      </c>
      <c r="BX2996" s="8" t="e">
        <f>IF($BH2996&lt;&gt;"","",SUMIF(#REF!,$BL2996,#REF!)-P2996)</f>
        <v>#REF!</v>
      </c>
      <c r="BY2996" s="8" t="e">
        <f>IF($BH2996&lt;&gt;"","",SUMIF(#REF!,$BL2996,#REF!)-Q2996)</f>
        <v>#REF!</v>
      </c>
    </row>
    <row r="2997" spans="74:77">
      <c r="BV2997" s="8" t="e">
        <f>IF($BH2997&lt;&gt;"","",SUMIF(#REF!,$BL2997,#REF!)-N2997)</f>
        <v>#REF!</v>
      </c>
      <c r="BW2997" s="8" t="e">
        <f>IF($BH2997&lt;&gt;"","",SUMIF(#REF!,$BL2997,#REF!)-O2997)</f>
        <v>#REF!</v>
      </c>
      <c r="BX2997" s="8" t="e">
        <f>IF($BH2997&lt;&gt;"","",SUMIF(#REF!,$BL2997,#REF!)-P2997)</f>
        <v>#REF!</v>
      </c>
      <c r="BY2997" s="8" t="e">
        <f>IF($BH2997&lt;&gt;"","",SUMIF(#REF!,$BL2997,#REF!)-Q2997)</f>
        <v>#REF!</v>
      </c>
    </row>
    <row r="2998" spans="74:77">
      <c r="BV2998" s="8" t="e">
        <f>IF($BH2998&lt;&gt;"","",SUMIF(#REF!,$BL2998,#REF!)-N2998)</f>
        <v>#REF!</v>
      </c>
      <c r="BW2998" s="8" t="e">
        <f>IF($BH2998&lt;&gt;"","",SUMIF(#REF!,$BL2998,#REF!)-O2998)</f>
        <v>#REF!</v>
      </c>
      <c r="BX2998" s="8" t="e">
        <f>IF($BH2998&lt;&gt;"","",SUMIF(#REF!,$BL2998,#REF!)-P2998)</f>
        <v>#REF!</v>
      </c>
      <c r="BY2998" s="8" t="e">
        <f>IF($BH2998&lt;&gt;"","",SUMIF(#REF!,$BL2998,#REF!)-Q2998)</f>
        <v>#REF!</v>
      </c>
    </row>
    <row r="2999" spans="74:77">
      <c r="BV2999" s="8" t="e">
        <f>IF($BH2999&lt;&gt;"","",SUMIF(#REF!,$BL2999,#REF!)-N2999)</f>
        <v>#REF!</v>
      </c>
      <c r="BW2999" s="8" t="e">
        <f>IF($BH2999&lt;&gt;"","",SUMIF(#REF!,$BL2999,#REF!)-O2999)</f>
        <v>#REF!</v>
      </c>
      <c r="BX2999" s="8" t="e">
        <f>IF($BH2999&lt;&gt;"","",SUMIF(#REF!,$BL2999,#REF!)-P2999)</f>
        <v>#REF!</v>
      </c>
      <c r="BY2999" s="8" t="e">
        <f>IF($BH2999&lt;&gt;"","",SUMIF(#REF!,$BL2999,#REF!)-Q2999)</f>
        <v>#REF!</v>
      </c>
    </row>
    <row r="3000" spans="74:77">
      <c r="BV3000" s="8" t="e">
        <f>IF($BH3000&lt;&gt;"","",SUMIF(#REF!,$BL3000,#REF!)-N3000)</f>
        <v>#REF!</v>
      </c>
      <c r="BW3000" s="8" t="e">
        <f>IF($BH3000&lt;&gt;"","",SUMIF(#REF!,$BL3000,#REF!)-O3000)</f>
        <v>#REF!</v>
      </c>
      <c r="BX3000" s="8" t="e">
        <f>IF($BH3000&lt;&gt;"","",SUMIF(#REF!,$BL3000,#REF!)-P3000)</f>
        <v>#REF!</v>
      </c>
      <c r="BY3000" s="8" t="e">
        <f>IF($BH3000&lt;&gt;"","",SUMIF(#REF!,$BL3000,#REF!)-Q3000)</f>
        <v>#REF!</v>
      </c>
    </row>
    <row r="3001" spans="74:77">
      <c r="BV3001" s="8" t="e">
        <f>IF($BH3001&lt;&gt;"","",SUMIF(#REF!,$BL3001,#REF!)-N3001)</f>
        <v>#REF!</v>
      </c>
      <c r="BW3001" s="8" t="e">
        <f>IF($BH3001&lt;&gt;"","",SUMIF(#REF!,$BL3001,#REF!)-O3001)</f>
        <v>#REF!</v>
      </c>
      <c r="BX3001" s="8" t="e">
        <f>IF($BH3001&lt;&gt;"","",SUMIF(#REF!,$BL3001,#REF!)-P3001)</f>
        <v>#REF!</v>
      </c>
      <c r="BY3001" s="8" t="e">
        <f>IF($BH3001&lt;&gt;"","",SUMIF(#REF!,$BL3001,#REF!)-Q3001)</f>
        <v>#REF!</v>
      </c>
    </row>
    <row r="3002" spans="74:77">
      <c r="BV3002" s="8" t="e">
        <f>IF($BH3002&lt;&gt;"","",SUMIF(#REF!,$BL3002,#REF!)-N3002)</f>
        <v>#REF!</v>
      </c>
      <c r="BW3002" s="8" t="e">
        <f>IF($BH3002&lt;&gt;"","",SUMIF(#REF!,$BL3002,#REF!)-O3002)</f>
        <v>#REF!</v>
      </c>
      <c r="BX3002" s="8" t="e">
        <f>IF($BH3002&lt;&gt;"","",SUMIF(#REF!,$BL3002,#REF!)-P3002)</f>
        <v>#REF!</v>
      </c>
      <c r="BY3002" s="8" t="e">
        <f>IF($BH3002&lt;&gt;"","",SUMIF(#REF!,$BL3002,#REF!)-Q3002)</f>
        <v>#REF!</v>
      </c>
    </row>
    <row r="3003" spans="74:77">
      <c r="BV3003" s="8" t="e">
        <f>IF($BH3003&lt;&gt;"","",SUMIF(#REF!,$BL3003,#REF!)-N3003)</f>
        <v>#REF!</v>
      </c>
      <c r="BW3003" s="8" t="e">
        <f>IF($BH3003&lt;&gt;"","",SUMIF(#REF!,$BL3003,#REF!)-O3003)</f>
        <v>#REF!</v>
      </c>
      <c r="BX3003" s="8" t="e">
        <f>IF($BH3003&lt;&gt;"","",SUMIF(#REF!,$BL3003,#REF!)-P3003)</f>
        <v>#REF!</v>
      </c>
      <c r="BY3003" s="8" t="e">
        <f>IF($BH3003&lt;&gt;"","",SUMIF(#REF!,$BL3003,#REF!)-Q3003)</f>
        <v>#REF!</v>
      </c>
    </row>
    <row r="3004" spans="74:77">
      <c r="BV3004" s="8" t="e">
        <f>IF($BH3004&lt;&gt;"","",SUMIF(#REF!,$BL3004,#REF!)-N3004)</f>
        <v>#REF!</v>
      </c>
      <c r="BW3004" s="8" t="e">
        <f>IF($BH3004&lt;&gt;"","",SUMIF(#REF!,$BL3004,#REF!)-O3004)</f>
        <v>#REF!</v>
      </c>
      <c r="BX3004" s="8" t="e">
        <f>IF($BH3004&lt;&gt;"","",SUMIF(#REF!,$BL3004,#REF!)-P3004)</f>
        <v>#REF!</v>
      </c>
      <c r="BY3004" s="8" t="e">
        <f>IF($BH3004&lt;&gt;"","",SUMIF(#REF!,$BL3004,#REF!)-Q3004)</f>
        <v>#REF!</v>
      </c>
    </row>
    <row r="3005" spans="74:77">
      <c r="BV3005" s="8" t="e">
        <f>IF($BH3005&lt;&gt;"","",SUMIF(#REF!,$BL3005,#REF!)-N3005)</f>
        <v>#REF!</v>
      </c>
      <c r="BW3005" s="8" t="e">
        <f>IF($BH3005&lt;&gt;"","",SUMIF(#REF!,$BL3005,#REF!)-O3005)</f>
        <v>#REF!</v>
      </c>
      <c r="BX3005" s="8" t="e">
        <f>IF($BH3005&lt;&gt;"","",SUMIF(#REF!,$BL3005,#REF!)-P3005)</f>
        <v>#REF!</v>
      </c>
      <c r="BY3005" s="8" t="e">
        <f>IF($BH3005&lt;&gt;"","",SUMIF(#REF!,$BL3005,#REF!)-Q3005)</f>
        <v>#REF!</v>
      </c>
    </row>
    <row r="3006" spans="74:77">
      <c r="BV3006" s="8" t="e">
        <f>IF($BH3006&lt;&gt;"","",SUMIF(#REF!,$BL3006,#REF!)-N3006)</f>
        <v>#REF!</v>
      </c>
      <c r="BW3006" s="8" t="e">
        <f>IF($BH3006&lt;&gt;"","",SUMIF(#REF!,$BL3006,#REF!)-O3006)</f>
        <v>#REF!</v>
      </c>
      <c r="BX3006" s="8" t="e">
        <f>IF($BH3006&lt;&gt;"","",SUMIF(#REF!,$BL3006,#REF!)-P3006)</f>
        <v>#REF!</v>
      </c>
      <c r="BY3006" s="8" t="e">
        <f>IF($BH3006&lt;&gt;"","",SUMIF(#REF!,$BL3006,#REF!)-Q3006)</f>
        <v>#REF!</v>
      </c>
    </row>
    <row r="3007" spans="74:77">
      <c r="BV3007" s="8" t="e">
        <f>IF($BH3007&lt;&gt;"","",SUMIF(#REF!,$BL3007,#REF!)-N3007)</f>
        <v>#REF!</v>
      </c>
      <c r="BW3007" s="8" t="e">
        <f>IF($BH3007&lt;&gt;"","",SUMIF(#REF!,$BL3007,#REF!)-O3007)</f>
        <v>#REF!</v>
      </c>
      <c r="BX3007" s="8" t="e">
        <f>IF($BH3007&lt;&gt;"","",SUMIF(#REF!,$BL3007,#REF!)-P3007)</f>
        <v>#REF!</v>
      </c>
      <c r="BY3007" s="8" t="e">
        <f>IF($BH3007&lt;&gt;"","",SUMIF(#REF!,$BL3007,#REF!)-Q3007)</f>
        <v>#REF!</v>
      </c>
    </row>
    <row r="3008" spans="74:77">
      <c r="BV3008" s="8" t="e">
        <f>IF($BH3008&lt;&gt;"","",SUMIF(#REF!,$BL3008,#REF!)-N3008)</f>
        <v>#REF!</v>
      </c>
      <c r="BW3008" s="8" t="e">
        <f>IF($BH3008&lt;&gt;"","",SUMIF(#REF!,$BL3008,#REF!)-O3008)</f>
        <v>#REF!</v>
      </c>
      <c r="BX3008" s="8" t="e">
        <f>IF($BH3008&lt;&gt;"","",SUMIF(#REF!,$BL3008,#REF!)-P3008)</f>
        <v>#REF!</v>
      </c>
      <c r="BY3008" s="8" t="e">
        <f>IF($BH3008&lt;&gt;"","",SUMIF(#REF!,$BL3008,#REF!)-Q3008)</f>
        <v>#REF!</v>
      </c>
    </row>
    <row r="3009" spans="74:77">
      <c r="BV3009" s="8" t="e">
        <f>IF($BH3009&lt;&gt;"","",SUMIF(#REF!,$BL3009,#REF!)-N3009)</f>
        <v>#REF!</v>
      </c>
      <c r="BW3009" s="8" t="e">
        <f>IF($BH3009&lt;&gt;"","",SUMIF(#REF!,$BL3009,#REF!)-O3009)</f>
        <v>#REF!</v>
      </c>
      <c r="BX3009" s="8" t="e">
        <f>IF($BH3009&lt;&gt;"","",SUMIF(#REF!,$BL3009,#REF!)-P3009)</f>
        <v>#REF!</v>
      </c>
      <c r="BY3009" s="8" t="e">
        <f>IF($BH3009&lt;&gt;"","",SUMIF(#REF!,$BL3009,#REF!)-Q3009)</f>
        <v>#REF!</v>
      </c>
    </row>
    <row r="3010" spans="74:77">
      <c r="BV3010" s="8" t="e">
        <f>IF($BH3010&lt;&gt;"","",SUMIF(#REF!,$BL3010,#REF!)-N3010)</f>
        <v>#REF!</v>
      </c>
      <c r="BW3010" s="8" t="e">
        <f>IF($BH3010&lt;&gt;"","",SUMIF(#REF!,$BL3010,#REF!)-O3010)</f>
        <v>#REF!</v>
      </c>
      <c r="BX3010" s="8" t="e">
        <f>IF($BH3010&lt;&gt;"","",SUMIF(#REF!,$BL3010,#REF!)-P3010)</f>
        <v>#REF!</v>
      </c>
      <c r="BY3010" s="8" t="e">
        <f>IF($BH3010&lt;&gt;"","",SUMIF(#REF!,$BL3010,#REF!)-Q3010)</f>
        <v>#REF!</v>
      </c>
    </row>
    <row r="3011" spans="74:77">
      <c r="BV3011" s="8" t="e">
        <f>IF($BH3011&lt;&gt;"","",SUMIF(#REF!,$BL3011,#REF!)-N3011)</f>
        <v>#REF!</v>
      </c>
      <c r="BW3011" s="8" t="e">
        <f>IF($BH3011&lt;&gt;"","",SUMIF(#REF!,$BL3011,#REF!)-O3011)</f>
        <v>#REF!</v>
      </c>
      <c r="BX3011" s="8" t="e">
        <f>IF($BH3011&lt;&gt;"","",SUMIF(#REF!,$BL3011,#REF!)-P3011)</f>
        <v>#REF!</v>
      </c>
      <c r="BY3011" s="8" t="e">
        <f>IF($BH3011&lt;&gt;"","",SUMIF(#REF!,$BL3011,#REF!)-Q3011)</f>
        <v>#REF!</v>
      </c>
    </row>
    <row r="3012" spans="74:77">
      <c r="BV3012" s="8" t="e">
        <f>IF($BH3012&lt;&gt;"","",SUMIF(#REF!,$BL3012,#REF!)-N3012)</f>
        <v>#REF!</v>
      </c>
      <c r="BW3012" s="8" t="e">
        <f>IF($BH3012&lt;&gt;"","",SUMIF(#REF!,$BL3012,#REF!)-O3012)</f>
        <v>#REF!</v>
      </c>
      <c r="BX3012" s="8" t="e">
        <f>IF($BH3012&lt;&gt;"","",SUMIF(#REF!,$BL3012,#REF!)-P3012)</f>
        <v>#REF!</v>
      </c>
      <c r="BY3012" s="8" t="e">
        <f>IF($BH3012&lt;&gt;"","",SUMIF(#REF!,$BL3012,#REF!)-Q3012)</f>
        <v>#REF!</v>
      </c>
    </row>
    <row r="3013" spans="74:77">
      <c r="BV3013" s="8" t="e">
        <f>IF($BH3013&lt;&gt;"","",SUMIF(#REF!,$BL3013,#REF!)-N3013)</f>
        <v>#REF!</v>
      </c>
      <c r="BW3013" s="8" t="e">
        <f>IF($BH3013&lt;&gt;"","",SUMIF(#REF!,$BL3013,#REF!)-O3013)</f>
        <v>#REF!</v>
      </c>
      <c r="BX3013" s="8" t="e">
        <f>IF($BH3013&lt;&gt;"","",SUMIF(#REF!,$BL3013,#REF!)-P3013)</f>
        <v>#REF!</v>
      </c>
      <c r="BY3013" s="8" t="e">
        <f>IF($BH3013&lt;&gt;"","",SUMIF(#REF!,$BL3013,#REF!)-Q3013)</f>
        <v>#REF!</v>
      </c>
    </row>
    <row r="3014" spans="74:77">
      <c r="BV3014" s="8" t="e">
        <f>IF($BH3014&lt;&gt;"","",SUMIF(#REF!,$BL3014,#REF!)-N3014)</f>
        <v>#REF!</v>
      </c>
      <c r="BW3014" s="8" t="e">
        <f>IF($BH3014&lt;&gt;"","",SUMIF(#REF!,$BL3014,#REF!)-O3014)</f>
        <v>#REF!</v>
      </c>
      <c r="BX3014" s="8" t="e">
        <f>IF($BH3014&lt;&gt;"","",SUMIF(#REF!,$BL3014,#REF!)-P3014)</f>
        <v>#REF!</v>
      </c>
      <c r="BY3014" s="8" t="e">
        <f>IF($BH3014&lt;&gt;"","",SUMIF(#REF!,$BL3014,#REF!)-Q3014)</f>
        <v>#REF!</v>
      </c>
    </row>
    <row r="3015" spans="74:77">
      <c r="BV3015" s="8" t="e">
        <f>IF($BH3015&lt;&gt;"","",SUMIF(#REF!,$BL3015,#REF!)-N3015)</f>
        <v>#REF!</v>
      </c>
      <c r="BW3015" s="8" t="e">
        <f>IF($BH3015&lt;&gt;"","",SUMIF(#REF!,$BL3015,#REF!)-O3015)</f>
        <v>#REF!</v>
      </c>
      <c r="BX3015" s="8" t="e">
        <f>IF($BH3015&lt;&gt;"","",SUMIF(#REF!,$BL3015,#REF!)-P3015)</f>
        <v>#REF!</v>
      </c>
      <c r="BY3015" s="8" t="e">
        <f>IF($BH3015&lt;&gt;"","",SUMIF(#REF!,$BL3015,#REF!)-Q3015)</f>
        <v>#REF!</v>
      </c>
    </row>
    <row r="3016" spans="74:77">
      <c r="BV3016" s="8" t="e">
        <f>IF($BH3016&lt;&gt;"","",SUMIF(#REF!,$BL3016,#REF!)-N3016)</f>
        <v>#REF!</v>
      </c>
      <c r="BW3016" s="8" t="e">
        <f>IF($BH3016&lt;&gt;"","",SUMIF(#REF!,$BL3016,#REF!)-O3016)</f>
        <v>#REF!</v>
      </c>
      <c r="BX3016" s="8" t="e">
        <f>IF($BH3016&lt;&gt;"","",SUMIF(#REF!,$BL3016,#REF!)-P3016)</f>
        <v>#REF!</v>
      </c>
      <c r="BY3016" s="8" t="e">
        <f>IF($BH3016&lt;&gt;"","",SUMIF(#REF!,$BL3016,#REF!)-Q3016)</f>
        <v>#REF!</v>
      </c>
    </row>
    <row r="3017" spans="74:77">
      <c r="BV3017" s="8" t="e">
        <f>IF($BH3017&lt;&gt;"","",SUMIF(#REF!,$BL3017,#REF!)-N3017)</f>
        <v>#REF!</v>
      </c>
      <c r="BW3017" s="8" t="e">
        <f>IF($BH3017&lt;&gt;"","",SUMIF(#REF!,$BL3017,#REF!)-O3017)</f>
        <v>#REF!</v>
      </c>
      <c r="BX3017" s="8" t="e">
        <f>IF($BH3017&lt;&gt;"","",SUMIF(#REF!,$BL3017,#REF!)-P3017)</f>
        <v>#REF!</v>
      </c>
      <c r="BY3017" s="8" t="e">
        <f>IF($BH3017&lt;&gt;"","",SUMIF(#REF!,$BL3017,#REF!)-Q3017)</f>
        <v>#REF!</v>
      </c>
    </row>
    <row r="3018" spans="74:77">
      <c r="BV3018" s="8" t="e">
        <f>IF($BH3018&lt;&gt;"","",SUMIF(#REF!,$BL3018,#REF!)-N3018)</f>
        <v>#REF!</v>
      </c>
      <c r="BW3018" s="8" t="e">
        <f>IF($BH3018&lt;&gt;"","",SUMIF(#REF!,$BL3018,#REF!)-O3018)</f>
        <v>#REF!</v>
      </c>
      <c r="BX3018" s="8" t="e">
        <f>IF($BH3018&lt;&gt;"","",SUMIF(#REF!,$BL3018,#REF!)-P3018)</f>
        <v>#REF!</v>
      </c>
      <c r="BY3018" s="8" t="e">
        <f>IF($BH3018&lt;&gt;"","",SUMIF(#REF!,$BL3018,#REF!)-Q3018)</f>
        <v>#REF!</v>
      </c>
    </row>
    <row r="3019" spans="74:77">
      <c r="BV3019" s="8" t="e">
        <f>IF($BH3019&lt;&gt;"","",SUMIF(#REF!,$BL3019,#REF!)-N3019)</f>
        <v>#REF!</v>
      </c>
      <c r="BW3019" s="8" t="e">
        <f>IF($BH3019&lt;&gt;"","",SUMIF(#REF!,$BL3019,#REF!)-O3019)</f>
        <v>#REF!</v>
      </c>
      <c r="BX3019" s="8" t="e">
        <f>IF($BH3019&lt;&gt;"","",SUMIF(#REF!,$BL3019,#REF!)-P3019)</f>
        <v>#REF!</v>
      </c>
      <c r="BY3019" s="8" t="e">
        <f>IF($BH3019&lt;&gt;"","",SUMIF(#REF!,$BL3019,#REF!)-Q3019)</f>
        <v>#REF!</v>
      </c>
    </row>
    <row r="3020" spans="74:77">
      <c r="BV3020" s="8" t="e">
        <f>IF($BH3020&lt;&gt;"","",SUMIF(#REF!,$BL3020,#REF!)-N3020)</f>
        <v>#REF!</v>
      </c>
      <c r="BW3020" s="8" t="e">
        <f>IF($BH3020&lt;&gt;"","",SUMIF(#REF!,$BL3020,#REF!)-O3020)</f>
        <v>#REF!</v>
      </c>
      <c r="BX3020" s="8" t="e">
        <f>IF($BH3020&lt;&gt;"","",SUMIF(#REF!,$BL3020,#REF!)-P3020)</f>
        <v>#REF!</v>
      </c>
      <c r="BY3020" s="8" t="e">
        <f>IF($BH3020&lt;&gt;"","",SUMIF(#REF!,$BL3020,#REF!)-Q3020)</f>
        <v>#REF!</v>
      </c>
    </row>
    <row r="3021" spans="74:77">
      <c r="BV3021" s="8" t="e">
        <f>IF($BH3021&lt;&gt;"","",SUMIF(#REF!,$BL3021,#REF!)-N3021)</f>
        <v>#REF!</v>
      </c>
      <c r="BW3021" s="8" t="e">
        <f>IF($BH3021&lt;&gt;"","",SUMIF(#REF!,$BL3021,#REF!)-O3021)</f>
        <v>#REF!</v>
      </c>
      <c r="BX3021" s="8" t="e">
        <f>IF($BH3021&lt;&gt;"","",SUMIF(#REF!,$BL3021,#REF!)-P3021)</f>
        <v>#REF!</v>
      </c>
      <c r="BY3021" s="8" t="e">
        <f>IF($BH3021&lt;&gt;"","",SUMIF(#REF!,$BL3021,#REF!)-Q3021)</f>
        <v>#REF!</v>
      </c>
    </row>
    <row r="3022" spans="74:77">
      <c r="BV3022" s="8" t="e">
        <f>IF($BH3022&lt;&gt;"","",SUMIF(#REF!,$BL3022,#REF!)-N3022)</f>
        <v>#REF!</v>
      </c>
      <c r="BW3022" s="8" t="e">
        <f>IF($BH3022&lt;&gt;"","",SUMIF(#REF!,$BL3022,#REF!)-O3022)</f>
        <v>#REF!</v>
      </c>
      <c r="BX3022" s="8" t="e">
        <f>IF($BH3022&lt;&gt;"","",SUMIF(#REF!,$BL3022,#REF!)-P3022)</f>
        <v>#REF!</v>
      </c>
      <c r="BY3022" s="8" t="e">
        <f>IF($BH3022&lt;&gt;"","",SUMIF(#REF!,$BL3022,#REF!)-Q3022)</f>
        <v>#REF!</v>
      </c>
    </row>
    <row r="3023" spans="74:77">
      <c r="BV3023" s="8" t="e">
        <f>IF($BH3023&lt;&gt;"","",SUMIF(#REF!,$BL3023,#REF!)-N3023)</f>
        <v>#REF!</v>
      </c>
      <c r="BW3023" s="8" t="e">
        <f>IF($BH3023&lt;&gt;"","",SUMIF(#REF!,$BL3023,#REF!)-O3023)</f>
        <v>#REF!</v>
      </c>
      <c r="BX3023" s="8" t="e">
        <f>IF($BH3023&lt;&gt;"","",SUMIF(#REF!,$BL3023,#REF!)-P3023)</f>
        <v>#REF!</v>
      </c>
      <c r="BY3023" s="8" t="e">
        <f>IF($BH3023&lt;&gt;"","",SUMIF(#REF!,$BL3023,#REF!)-Q3023)</f>
        <v>#REF!</v>
      </c>
    </row>
    <row r="3024" spans="74:77">
      <c r="BV3024" s="8" t="e">
        <f>IF($BH3024&lt;&gt;"","",SUMIF(#REF!,$BL3024,#REF!)-N3024)</f>
        <v>#REF!</v>
      </c>
      <c r="BW3024" s="8" t="e">
        <f>IF($BH3024&lt;&gt;"","",SUMIF(#REF!,$BL3024,#REF!)-O3024)</f>
        <v>#REF!</v>
      </c>
      <c r="BX3024" s="8" t="e">
        <f>IF($BH3024&lt;&gt;"","",SUMIF(#REF!,$BL3024,#REF!)-P3024)</f>
        <v>#REF!</v>
      </c>
      <c r="BY3024" s="8" t="e">
        <f>IF($BH3024&lt;&gt;"","",SUMIF(#REF!,$BL3024,#REF!)-Q3024)</f>
        <v>#REF!</v>
      </c>
    </row>
    <row r="3025" spans="74:77">
      <c r="BV3025" s="8" t="e">
        <f>IF($BH3025&lt;&gt;"","",SUMIF(#REF!,$BL3025,#REF!)-N3025)</f>
        <v>#REF!</v>
      </c>
      <c r="BW3025" s="8" t="e">
        <f>IF($BH3025&lt;&gt;"","",SUMIF(#REF!,$BL3025,#REF!)-O3025)</f>
        <v>#REF!</v>
      </c>
      <c r="BX3025" s="8" t="e">
        <f>IF($BH3025&lt;&gt;"","",SUMIF(#REF!,$BL3025,#REF!)-P3025)</f>
        <v>#REF!</v>
      </c>
      <c r="BY3025" s="8" t="e">
        <f>IF($BH3025&lt;&gt;"","",SUMIF(#REF!,$BL3025,#REF!)-Q3025)</f>
        <v>#REF!</v>
      </c>
    </row>
    <row r="3026" spans="74:77">
      <c r="BV3026" s="8" t="e">
        <f>IF($BH3026&lt;&gt;"","",SUMIF(#REF!,$BL3026,#REF!)-N3026)</f>
        <v>#REF!</v>
      </c>
      <c r="BW3026" s="8" t="e">
        <f>IF($BH3026&lt;&gt;"","",SUMIF(#REF!,$BL3026,#REF!)-O3026)</f>
        <v>#REF!</v>
      </c>
      <c r="BX3026" s="8" t="e">
        <f>IF($BH3026&lt;&gt;"","",SUMIF(#REF!,$BL3026,#REF!)-P3026)</f>
        <v>#REF!</v>
      </c>
      <c r="BY3026" s="8" t="e">
        <f>IF($BH3026&lt;&gt;"","",SUMIF(#REF!,$BL3026,#REF!)-Q3026)</f>
        <v>#REF!</v>
      </c>
    </row>
    <row r="3027" spans="74:77">
      <c r="BV3027" s="8" t="e">
        <f>IF($BH3027&lt;&gt;"","",SUMIF(#REF!,$BL3027,#REF!)-N3027)</f>
        <v>#REF!</v>
      </c>
      <c r="BW3027" s="8" t="e">
        <f>IF($BH3027&lt;&gt;"","",SUMIF(#REF!,$BL3027,#REF!)-O3027)</f>
        <v>#REF!</v>
      </c>
      <c r="BX3027" s="8" t="e">
        <f>IF($BH3027&lt;&gt;"","",SUMIF(#REF!,$BL3027,#REF!)-P3027)</f>
        <v>#REF!</v>
      </c>
      <c r="BY3027" s="8" t="e">
        <f>IF($BH3027&lt;&gt;"","",SUMIF(#REF!,$BL3027,#REF!)-Q3027)</f>
        <v>#REF!</v>
      </c>
    </row>
    <row r="3028" spans="74:77">
      <c r="BV3028" s="8" t="e">
        <f>IF($BH3028&lt;&gt;"","",SUMIF(#REF!,$BL3028,#REF!)-N3028)</f>
        <v>#REF!</v>
      </c>
      <c r="BW3028" s="8" t="e">
        <f>IF($BH3028&lt;&gt;"","",SUMIF(#REF!,$BL3028,#REF!)-O3028)</f>
        <v>#REF!</v>
      </c>
      <c r="BX3028" s="8" t="e">
        <f>IF($BH3028&lt;&gt;"","",SUMIF(#REF!,$BL3028,#REF!)-P3028)</f>
        <v>#REF!</v>
      </c>
      <c r="BY3028" s="8" t="e">
        <f>IF($BH3028&lt;&gt;"","",SUMIF(#REF!,$BL3028,#REF!)-Q3028)</f>
        <v>#REF!</v>
      </c>
    </row>
    <row r="3029" spans="74:77">
      <c r="BV3029" s="8" t="e">
        <f>IF($BH3029&lt;&gt;"","",SUMIF(#REF!,$BL3029,#REF!)-N3029)</f>
        <v>#REF!</v>
      </c>
      <c r="BW3029" s="8" t="e">
        <f>IF($BH3029&lt;&gt;"","",SUMIF(#REF!,$BL3029,#REF!)-O3029)</f>
        <v>#REF!</v>
      </c>
      <c r="BX3029" s="8" t="e">
        <f>IF($BH3029&lt;&gt;"","",SUMIF(#REF!,$BL3029,#REF!)-P3029)</f>
        <v>#REF!</v>
      </c>
      <c r="BY3029" s="8" t="e">
        <f>IF($BH3029&lt;&gt;"","",SUMIF(#REF!,$BL3029,#REF!)-Q3029)</f>
        <v>#REF!</v>
      </c>
    </row>
    <row r="3030" spans="74:77">
      <c r="BV3030" s="8" t="e">
        <f>IF($BH3030&lt;&gt;"","",SUMIF(#REF!,$BL3030,#REF!)-N3030)</f>
        <v>#REF!</v>
      </c>
      <c r="BW3030" s="8" t="e">
        <f>IF($BH3030&lt;&gt;"","",SUMIF(#REF!,$BL3030,#REF!)-O3030)</f>
        <v>#REF!</v>
      </c>
      <c r="BX3030" s="8" t="e">
        <f>IF($BH3030&lt;&gt;"","",SUMIF(#REF!,$BL3030,#REF!)-P3030)</f>
        <v>#REF!</v>
      </c>
      <c r="BY3030" s="8" t="e">
        <f>IF($BH3030&lt;&gt;"","",SUMIF(#REF!,$BL3030,#REF!)-Q3030)</f>
        <v>#REF!</v>
      </c>
    </row>
    <row r="3031" spans="74:77">
      <c r="BV3031" s="8" t="e">
        <f>IF($BH3031&lt;&gt;"","",SUMIF(#REF!,$BL3031,#REF!)-N3031)</f>
        <v>#REF!</v>
      </c>
      <c r="BW3031" s="8" t="e">
        <f>IF($BH3031&lt;&gt;"","",SUMIF(#REF!,$BL3031,#REF!)-O3031)</f>
        <v>#REF!</v>
      </c>
      <c r="BX3031" s="8" t="e">
        <f>IF($BH3031&lt;&gt;"","",SUMIF(#REF!,$BL3031,#REF!)-P3031)</f>
        <v>#REF!</v>
      </c>
      <c r="BY3031" s="8" t="e">
        <f>IF($BH3031&lt;&gt;"","",SUMIF(#REF!,$BL3031,#REF!)-Q3031)</f>
        <v>#REF!</v>
      </c>
    </row>
    <row r="3032" spans="74:77">
      <c r="BV3032" s="8" t="e">
        <f>IF($BH3032&lt;&gt;"","",SUMIF(#REF!,$BL3032,#REF!)-N3032)</f>
        <v>#REF!</v>
      </c>
      <c r="BW3032" s="8" t="e">
        <f>IF($BH3032&lt;&gt;"","",SUMIF(#REF!,$BL3032,#REF!)-O3032)</f>
        <v>#REF!</v>
      </c>
      <c r="BX3032" s="8" t="e">
        <f>IF($BH3032&lt;&gt;"","",SUMIF(#REF!,$BL3032,#REF!)-P3032)</f>
        <v>#REF!</v>
      </c>
      <c r="BY3032" s="8" t="e">
        <f>IF($BH3032&lt;&gt;"","",SUMIF(#REF!,$BL3032,#REF!)-Q3032)</f>
        <v>#REF!</v>
      </c>
    </row>
    <row r="3033" spans="74:77">
      <c r="BV3033" s="8" t="e">
        <f>IF($BH3033&lt;&gt;"","",SUMIF(#REF!,$BL3033,#REF!)-N3033)</f>
        <v>#REF!</v>
      </c>
      <c r="BW3033" s="8" t="e">
        <f>IF($BH3033&lt;&gt;"","",SUMIF(#REF!,$BL3033,#REF!)-O3033)</f>
        <v>#REF!</v>
      </c>
      <c r="BX3033" s="8" t="e">
        <f>IF($BH3033&lt;&gt;"","",SUMIF(#REF!,$BL3033,#REF!)-P3033)</f>
        <v>#REF!</v>
      </c>
      <c r="BY3033" s="8" t="e">
        <f>IF($BH3033&lt;&gt;"","",SUMIF(#REF!,$BL3033,#REF!)-Q3033)</f>
        <v>#REF!</v>
      </c>
    </row>
    <row r="3034" spans="74:77">
      <c r="BV3034" s="8" t="e">
        <f>IF($BH3034&lt;&gt;"","",SUMIF(#REF!,$BL3034,#REF!)-N3034)</f>
        <v>#REF!</v>
      </c>
      <c r="BW3034" s="8" t="e">
        <f>IF($BH3034&lt;&gt;"","",SUMIF(#REF!,$BL3034,#REF!)-O3034)</f>
        <v>#REF!</v>
      </c>
      <c r="BX3034" s="8" t="e">
        <f>IF($BH3034&lt;&gt;"","",SUMIF(#REF!,$BL3034,#REF!)-P3034)</f>
        <v>#REF!</v>
      </c>
      <c r="BY3034" s="8" t="e">
        <f>IF($BH3034&lt;&gt;"","",SUMIF(#REF!,$BL3034,#REF!)-Q3034)</f>
        <v>#REF!</v>
      </c>
    </row>
    <row r="3035" spans="74:77">
      <c r="BV3035" s="8" t="e">
        <f>IF($BH3035&lt;&gt;"","",SUMIF(#REF!,$BL3035,#REF!)-N3035)</f>
        <v>#REF!</v>
      </c>
      <c r="BW3035" s="8" t="e">
        <f>IF($BH3035&lt;&gt;"","",SUMIF(#REF!,$BL3035,#REF!)-O3035)</f>
        <v>#REF!</v>
      </c>
      <c r="BX3035" s="8" t="e">
        <f>IF($BH3035&lt;&gt;"","",SUMIF(#REF!,$BL3035,#REF!)-P3035)</f>
        <v>#REF!</v>
      </c>
      <c r="BY3035" s="8" t="e">
        <f>IF($BH3035&lt;&gt;"","",SUMIF(#REF!,$BL3035,#REF!)-Q3035)</f>
        <v>#REF!</v>
      </c>
    </row>
    <row r="3036" spans="74:77">
      <c r="BV3036" s="8" t="e">
        <f>IF($BH3036&lt;&gt;"","",SUMIF(#REF!,$BL3036,#REF!)-N3036)</f>
        <v>#REF!</v>
      </c>
      <c r="BW3036" s="8" t="e">
        <f>IF($BH3036&lt;&gt;"","",SUMIF(#REF!,$BL3036,#REF!)-O3036)</f>
        <v>#REF!</v>
      </c>
      <c r="BX3036" s="8" t="e">
        <f>IF($BH3036&lt;&gt;"","",SUMIF(#REF!,$BL3036,#REF!)-P3036)</f>
        <v>#REF!</v>
      </c>
      <c r="BY3036" s="8" t="e">
        <f>IF($BH3036&lt;&gt;"","",SUMIF(#REF!,$BL3036,#REF!)-Q3036)</f>
        <v>#REF!</v>
      </c>
    </row>
    <row r="3037" spans="74:77">
      <c r="BV3037" s="8" t="e">
        <f>IF($BH3037&lt;&gt;"","",SUMIF(#REF!,$BL3037,#REF!)-N3037)</f>
        <v>#REF!</v>
      </c>
      <c r="BW3037" s="8" t="e">
        <f>IF($BH3037&lt;&gt;"","",SUMIF(#REF!,$BL3037,#REF!)-O3037)</f>
        <v>#REF!</v>
      </c>
      <c r="BX3037" s="8" t="e">
        <f>IF($BH3037&lt;&gt;"","",SUMIF(#REF!,$BL3037,#REF!)-P3037)</f>
        <v>#REF!</v>
      </c>
      <c r="BY3037" s="8" t="e">
        <f>IF($BH3037&lt;&gt;"","",SUMIF(#REF!,$BL3037,#REF!)-Q3037)</f>
        <v>#REF!</v>
      </c>
    </row>
    <row r="3038" spans="74:77">
      <c r="BV3038" s="8" t="e">
        <f>IF($BH3038&lt;&gt;"","",SUMIF(#REF!,$BL3038,#REF!)-N3038)</f>
        <v>#REF!</v>
      </c>
      <c r="BW3038" s="8" t="e">
        <f>IF($BH3038&lt;&gt;"","",SUMIF(#REF!,$BL3038,#REF!)-O3038)</f>
        <v>#REF!</v>
      </c>
      <c r="BX3038" s="8" t="e">
        <f>IF($BH3038&lt;&gt;"","",SUMIF(#REF!,$BL3038,#REF!)-P3038)</f>
        <v>#REF!</v>
      </c>
      <c r="BY3038" s="8" t="e">
        <f>IF($BH3038&lt;&gt;"","",SUMIF(#REF!,$BL3038,#REF!)-Q3038)</f>
        <v>#REF!</v>
      </c>
    </row>
    <row r="3039" spans="74:77">
      <c r="BV3039" s="8" t="e">
        <f>IF($BH3039&lt;&gt;"","",SUMIF(#REF!,$BL3039,#REF!)-N3039)</f>
        <v>#REF!</v>
      </c>
      <c r="BW3039" s="8" t="e">
        <f>IF($BH3039&lt;&gt;"","",SUMIF(#REF!,$BL3039,#REF!)-O3039)</f>
        <v>#REF!</v>
      </c>
      <c r="BX3039" s="8" t="e">
        <f>IF($BH3039&lt;&gt;"","",SUMIF(#REF!,$BL3039,#REF!)-P3039)</f>
        <v>#REF!</v>
      </c>
      <c r="BY3039" s="8" t="e">
        <f>IF($BH3039&lt;&gt;"","",SUMIF(#REF!,$BL3039,#REF!)-Q3039)</f>
        <v>#REF!</v>
      </c>
    </row>
    <row r="3040" spans="74:77">
      <c r="BV3040" s="8" t="e">
        <f>IF($BH3040&lt;&gt;"","",SUMIF(#REF!,$BL3040,#REF!)-N3040)</f>
        <v>#REF!</v>
      </c>
      <c r="BW3040" s="8" t="e">
        <f>IF($BH3040&lt;&gt;"","",SUMIF(#REF!,$BL3040,#REF!)-O3040)</f>
        <v>#REF!</v>
      </c>
      <c r="BX3040" s="8" t="e">
        <f>IF($BH3040&lt;&gt;"","",SUMIF(#REF!,$BL3040,#REF!)-P3040)</f>
        <v>#REF!</v>
      </c>
      <c r="BY3040" s="8" t="e">
        <f>IF($BH3040&lt;&gt;"","",SUMIF(#REF!,$BL3040,#REF!)-Q3040)</f>
        <v>#REF!</v>
      </c>
    </row>
    <row r="3041" spans="74:77">
      <c r="BV3041" s="8" t="e">
        <f>IF($BH3041&lt;&gt;"","",SUMIF(#REF!,$BL3041,#REF!)-N3041)</f>
        <v>#REF!</v>
      </c>
      <c r="BW3041" s="8" t="e">
        <f>IF($BH3041&lt;&gt;"","",SUMIF(#REF!,$BL3041,#REF!)-O3041)</f>
        <v>#REF!</v>
      </c>
      <c r="BX3041" s="8" t="e">
        <f>IF($BH3041&lt;&gt;"","",SUMIF(#REF!,$BL3041,#REF!)-P3041)</f>
        <v>#REF!</v>
      </c>
      <c r="BY3041" s="8" t="e">
        <f>IF($BH3041&lt;&gt;"","",SUMIF(#REF!,$BL3041,#REF!)-Q3041)</f>
        <v>#REF!</v>
      </c>
    </row>
    <row r="3042" spans="74:77">
      <c r="BV3042" s="8" t="e">
        <f>IF($BH3042&lt;&gt;"","",SUMIF(#REF!,$BL3042,#REF!)-N3042)</f>
        <v>#REF!</v>
      </c>
      <c r="BW3042" s="8" t="e">
        <f>IF($BH3042&lt;&gt;"","",SUMIF(#REF!,$BL3042,#REF!)-O3042)</f>
        <v>#REF!</v>
      </c>
      <c r="BX3042" s="8" t="e">
        <f>IF($BH3042&lt;&gt;"","",SUMIF(#REF!,$BL3042,#REF!)-P3042)</f>
        <v>#REF!</v>
      </c>
      <c r="BY3042" s="8" t="e">
        <f>IF($BH3042&lt;&gt;"","",SUMIF(#REF!,$BL3042,#REF!)-Q3042)</f>
        <v>#REF!</v>
      </c>
    </row>
    <row r="3043" spans="74:77">
      <c r="BV3043" s="8" t="e">
        <f>IF($BH3043&lt;&gt;"","",SUMIF(#REF!,$BL3043,#REF!)-N3043)</f>
        <v>#REF!</v>
      </c>
      <c r="BW3043" s="8" t="e">
        <f>IF($BH3043&lt;&gt;"","",SUMIF(#REF!,$BL3043,#REF!)-O3043)</f>
        <v>#REF!</v>
      </c>
      <c r="BX3043" s="8" t="e">
        <f>IF($BH3043&lt;&gt;"","",SUMIF(#REF!,$BL3043,#REF!)-P3043)</f>
        <v>#REF!</v>
      </c>
      <c r="BY3043" s="8" t="e">
        <f>IF($BH3043&lt;&gt;"","",SUMIF(#REF!,$BL3043,#REF!)-Q3043)</f>
        <v>#REF!</v>
      </c>
    </row>
    <row r="3044" spans="74:77">
      <c r="BV3044" s="8" t="e">
        <f>IF($BH3044&lt;&gt;"","",SUMIF(#REF!,$BL3044,#REF!)-N3044)</f>
        <v>#REF!</v>
      </c>
      <c r="BW3044" s="8" t="e">
        <f>IF($BH3044&lt;&gt;"","",SUMIF(#REF!,$BL3044,#REF!)-O3044)</f>
        <v>#REF!</v>
      </c>
      <c r="BX3044" s="8" t="e">
        <f>IF($BH3044&lt;&gt;"","",SUMIF(#REF!,$BL3044,#REF!)-P3044)</f>
        <v>#REF!</v>
      </c>
      <c r="BY3044" s="8" t="e">
        <f>IF($BH3044&lt;&gt;"","",SUMIF(#REF!,$BL3044,#REF!)-Q3044)</f>
        <v>#REF!</v>
      </c>
    </row>
    <row r="3045" spans="74:77">
      <c r="BV3045" s="8" t="e">
        <f>IF($BH3045&lt;&gt;"","",SUMIF(#REF!,$BL3045,#REF!)-N3045)</f>
        <v>#REF!</v>
      </c>
      <c r="BW3045" s="8" t="e">
        <f>IF($BH3045&lt;&gt;"","",SUMIF(#REF!,$BL3045,#REF!)-O3045)</f>
        <v>#REF!</v>
      </c>
      <c r="BX3045" s="8" t="e">
        <f>IF($BH3045&lt;&gt;"","",SUMIF(#REF!,$BL3045,#REF!)-P3045)</f>
        <v>#REF!</v>
      </c>
      <c r="BY3045" s="8" t="e">
        <f>IF($BH3045&lt;&gt;"","",SUMIF(#REF!,$BL3045,#REF!)-Q3045)</f>
        <v>#REF!</v>
      </c>
    </row>
    <row r="3046" spans="74:77">
      <c r="BV3046" s="8" t="e">
        <f>IF($BH3046&lt;&gt;"","",SUMIF(#REF!,$BL3046,#REF!)-N3046)</f>
        <v>#REF!</v>
      </c>
      <c r="BW3046" s="8" t="e">
        <f>IF($BH3046&lt;&gt;"","",SUMIF(#REF!,$BL3046,#REF!)-O3046)</f>
        <v>#REF!</v>
      </c>
      <c r="BX3046" s="8" t="e">
        <f>IF($BH3046&lt;&gt;"","",SUMIF(#REF!,$BL3046,#REF!)-P3046)</f>
        <v>#REF!</v>
      </c>
      <c r="BY3046" s="8" t="e">
        <f>IF($BH3046&lt;&gt;"","",SUMIF(#REF!,$BL3046,#REF!)-Q3046)</f>
        <v>#REF!</v>
      </c>
    </row>
    <row r="3047" spans="74:77">
      <c r="BV3047" s="8" t="e">
        <f>IF($BH3047&lt;&gt;"","",SUMIF(#REF!,$BL3047,#REF!)-N3047)</f>
        <v>#REF!</v>
      </c>
      <c r="BW3047" s="8" t="e">
        <f>IF($BH3047&lt;&gt;"","",SUMIF(#REF!,$BL3047,#REF!)-O3047)</f>
        <v>#REF!</v>
      </c>
      <c r="BX3047" s="8" t="e">
        <f>IF($BH3047&lt;&gt;"","",SUMIF(#REF!,$BL3047,#REF!)-P3047)</f>
        <v>#REF!</v>
      </c>
      <c r="BY3047" s="8" t="e">
        <f>IF($BH3047&lt;&gt;"","",SUMIF(#REF!,$BL3047,#REF!)-Q3047)</f>
        <v>#REF!</v>
      </c>
    </row>
    <row r="3048" spans="74:77">
      <c r="BV3048" s="8" t="e">
        <f>IF($BH3048&lt;&gt;"","",SUMIF(#REF!,$BL3048,#REF!)-N3048)</f>
        <v>#REF!</v>
      </c>
      <c r="BW3048" s="8" t="e">
        <f>IF($BH3048&lt;&gt;"","",SUMIF(#REF!,$BL3048,#REF!)-O3048)</f>
        <v>#REF!</v>
      </c>
      <c r="BX3048" s="8" t="e">
        <f>IF($BH3048&lt;&gt;"","",SUMIF(#REF!,$BL3048,#REF!)-P3048)</f>
        <v>#REF!</v>
      </c>
      <c r="BY3048" s="8" t="e">
        <f>IF($BH3048&lt;&gt;"","",SUMIF(#REF!,$BL3048,#REF!)-Q3048)</f>
        <v>#REF!</v>
      </c>
    </row>
  </sheetData>
  <phoneticPr fontId="8"/>
  <conditionalFormatting sqref="B118:R164 B166:R168 C165:R165 B171:S221 O118:S168 R118:T169 P171:T17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BY3048"/>
  <sheetViews>
    <sheetView workbookViewId="0">
      <selection activeCell="H74" sqref="H74"/>
    </sheetView>
  </sheetViews>
  <sheetFormatPr baseColWidth="10" defaultRowHeight="13" x14ac:dyDescent="0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>
      <c r="A1" s="103" t="s">
        <v>2882</v>
      </c>
      <c r="B1" s="103" t="s">
        <v>2883</v>
      </c>
      <c r="C1" s="103" t="s">
        <v>2761</v>
      </c>
      <c r="D1" s="103" t="s">
        <v>2984</v>
      </c>
      <c r="E1" s="103" t="s">
        <v>3130</v>
      </c>
      <c r="F1" s="103" t="s">
        <v>2950</v>
      </c>
      <c r="G1" s="103" t="s">
        <v>2995</v>
      </c>
      <c r="H1" s="103" t="s">
        <v>2505</v>
      </c>
    </row>
    <row r="2" spans="1:8">
      <c r="A2">
        <v>1</v>
      </c>
      <c r="B2" t="s">
        <v>3267</v>
      </c>
      <c r="C2" t="s">
        <v>3268</v>
      </c>
      <c r="D2" s="13" t="s">
        <v>1689</v>
      </c>
      <c r="E2" t="s">
        <v>192</v>
      </c>
      <c r="F2" t="s">
        <v>1008</v>
      </c>
      <c r="G2">
        <f>Ballots!B9</f>
        <v>51</v>
      </c>
      <c r="H2" t="s">
        <v>1285</v>
      </c>
    </row>
    <row r="3" spans="1:8">
      <c r="A3">
        <v>2</v>
      </c>
      <c r="B3" t="s">
        <v>3269</v>
      </c>
      <c r="C3" t="s">
        <v>3311</v>
      </c>
      <c r="D3" s="12" t="s">
        <v>1059</v>
      </c>
      <c r="E3" t="s">
        <v>192</v>
      </c>
      <c r="F3" t="s">
        <v>150</v>
      </c>
      <c r="G3">
        <f>Ballots!C9</f>
        <v>51</v>
      </c>
      <c r="H3" t="s">
        <v>3270</v>
      </c>
    </row>
    <row r="4" spans="1:8">
      <c r="A4">
        <v>3</v>
      </c>
      <c r="B4" t="s">
        <v>3271</v>
      </c>
      <c r="C4" t="s">
        <v>3409</v>
      </c>
      <c r="D4" s="85" t="s">
        <v>1112</v>
      </c>
      <c r="E4" t="s">
        <v>277</v>
      </c>
      <c r="F4" t="s">
        <v>2535</v>
      </c>
      <c r="G4">
        <f>Ballots!D9</f>
        <v>11</v>
      </c>
      <c r="H4" t="s">
        <v>3272</v>
      </c>
    </row>
    <row r="5" spans="1:8">
      <c r="A5">
        <v>4</v>
      </c>
      <c r="B5" t="s">
        <v>3212</v>
      </c>
      <c r="C5" t="s">
        <v>3341</v>
      </c>
      <c r="D5" t="s">
        <v>125</v>
      </c>
      <c r="E5" t="s">
        <v>2756</v>
      </c>
      <c r="F5" t="s">
        <v>2478</v>
      </c>
      <c r="G5">
        <f>Ballots!E9</f>
        <v>51</v>
      </c>
      <c r="H5" t="s">
        <v>1361</v>
      </c>
    </row>
    <row r="6" spans="1:8">
      <c r="A6">
        <v>5</v>
      </c>
      <c r="B6" t="s">
        <v>3273</v>
      </c>
      <c r="C6" s="128" t="s">
        <v>3274</v>
      </c>
      <c r="D6" t="s">
        <v>2392</v>
      </c>
      <c r="E6" t="s">
        <v>2478</v>
      </c>
      <c r="F6" t="s">
        <v>1008</v>
      </c>
      <c r="G6">
        <f>Ballots!F9</f>
        <v>45</v>
      </c>
      <c r="H6" t="s">
        <v>3213</v>
      </c>
    </row>
    <row r="7" spans="1:8">
      <c r="A7">
        <v>6</v>
      </c>
      <c r="B7" t="s">
        <v>3371</v>
      </c>
      <c r="C7" s="128" t="s">
        <v>3275</v>
      </c>
      <c r="D7" t="s">
        <v>1480</v>
      </c>
      <c r="E7" t="s">
        <v>2523</v>
      </c>
      <c r="F7" t="s">
        <v>277</v>
      </c>
      <c r="G7">
        <f>Ballots!G9</f>
        <v>24</v>
      </c>
      <c r="H7" t="s">
        <v>3276</v>
      </c>
    </row>
    <row r="8" spans="1:8">
      <c r="A8">
        <v>7</v>
      </c>
      <c r="B8" s="1" t="s">
        <v>3285</v>
      </c>
      <c r="C8" s="128" t="s">
        <v>3286</v>
      </c>
      <c r="D8" t="s">
        <v>3342</v>
      </c>
      <c r="E8" t="s">
        <v>1533</v>
      </c>
      <c r="F8" t="s">
        <v>1533</v>
      </c>
      <c r="G8">
        <f>Ballots!H9</f>
        <v>19</v>
      </c>
      <c r="H8" t="s">
        <v>3416</v>
      </c>
    </row>
    <row r="9" spans="1:8">
      <c r="A9">
        <v>8</v>
      </c>
      <c r="B9" s="1" t="s">
        <v>3279</v>
      </c>
      <c r="C9" s="128" t="s">
        <v>3280</v>
      </c>
      <c r="D9" t="s">
        <v>2173</v>
      </c>
      <c r="E9" t="s">
        <v>2629</v>
      </c>
      <c r="F9" t="s">
        <v>1122</v>
      </c>
      <c r="G9">
        <f>Ballots!I9</f>
        <v>2</v>
      </c>
      <c r="H9" t="s">
        <v>3281</v>
      </c>
    </row>
    <row r="10" spans="1:8">
      <c r="A10">
        <v>9</v>
      </c>
      <c r="B10" s="1" t="s">
        <v>3282</v>
      </c>
      <c r="C10" s="128" t="s">
        <v>3283</v>
      </c>
      <c r="D10" s="1" t="s">
        <v>727</v>
      </c>
      <c r="E10" s="1" t="s">
        <v>2629</v>
      </c>
      <c r="F10" s="1" t="s">
        <v>2535</v>
      </c>
      <c r="G10">
        <f>Ballots!J9</f>
        <v>8</v>
      </c>
      <c r="H10" s="1" t="s">
        <v>3284</v>
      </c>
    </row>
    <row r="11" spans="1:8">
      <c r="A11">
        <v>10</v>
      </c>
      <c r="B11" s="1" t="s">
        <v>1575</v>
      </c>
      <c r="C11" s="128" t="s">
        <v>593</v>
      </c>
      <c r="D11" t="s">
        <v>593</v>
      </c>
      <c r="E11" t="s">
        <v>593</v>
      </c>
      <c r="F11" t="s">
        <v>593</v>
      </c>
      <c r="G11">
        <f>Ballots!K9</f>
        <v>3</v>
      </c>
      <c r="H11" t="s">
        <v>1575</v>
      </c>
    </row>
    <row r="12" spans="1:8">
      <c r="A12">
        <v>11</v>
      </c>
      <c r="B12" s="1" t="s">
        <v>39</v>
      </c>
      <c r="C12" s="128" t="s">
        <v>3277</v>
      </c>
      <c r="D12" t="s">
        <v>38</v>
      </c>
      <c r="E12" t="s">
        <v>661</v>
      </c>
      <c r="F12" t="s">
        <v>1019</v>
      </c>
      <c r="G12">
        <f>Ballots!L9</f>
        <v>7</v>
      </c>
      <c r="H12" t="s">
        <v>3278</v>
      </c>
    </row>
    <row r="13" spans="1:8">
      <c r="A13">
        <v>12</v>
      </c>
      <c r="B13" s="1" t="s">
        <v>3214</v>
      </c>
      <c r="C13" s="128" t="s">
        <v>3288</v>
      </c>
      <c r="D13" s="1" t="s">
        <v>3289</v>
      </c>
      <c r="E13" t="s">
        <v>1621</v>
      </c>
      <c r="F13" s="1"/>
      <c r="G13">
        <f>Ballots!M9</f>
        <v>2</v>
      </c>
      <c r="H13" s="1" t="s">
        <v>3215</v>
      </c>
    </row>
    <row r="14" spans="1:8">
      <c r="A14">
        <v>13</v>
      </c>
      <c r="B14" s="1" t="s">
        <v>2099</v>
      </c>
      <c r="C14" s="128" t="s">
        <v>600</v>
      </c>
      <c r="D14" t="s">
        <v>1112</v>
      </c>
      <c r="E14" t="s">
        <v>736</v>
      </c>
      <c r="G14">
        <f>Ballots!N9</f>
        <v>1</v>
      </c>
      <c r="H14" s="1" t="s">
        <v>601</v>
      </c>
    </row>
    <row r="15" spans="1:8">
      <c r="A15">
        <v>14</v>
      </c>
      <c r="B15" s="1" t="s">
        <v>3338</v>
      </c>
      <c r="C15" t="s">
        <v>3339</v>
      </c>
      <c r="D15" t="s">
        <v>3340</v>
      </c>
      <c r="E15" t="s">
        <v>192</v>
      </c>
      <c r="G15">
        <f>Ballots!O9</f>
        <v>3</v>
      </c>
      <c r="H15" s="1" t="s">
        <v>3349</v>
      </c>
    </row>
    <row r="16" spans="1:8">
      <c r="A16">
        <v>15</v>
      </c>
      <c r="B16" s="1" t="s">
        <v>3220</v>
      </c>
      <c r="C16" t="s">
        <v>593</v>
      </c>
      <c r="D16" t="s">
        <v>593</v>
      </c>
      <c r="E16" t="s">
        <v>593</v>
      </c>
      <c r="G16">
        <f>Ballots!P9</f>
        <v>1</v>
      </c>
      <c r="H16" t="s">
        <v>3221</v>
      </c>
    </row>
    <row r="17" spans="1:8">
      <c r="A17">
        <v>16</v>
      </c>
      <c r="B17" s="1" t="s">
        <v>3331</v>
      </c>
      <c r="C17" t="s">
        <v>3332</v>
      </c>
      <c r="D17" t="s">
        <v>3333</v>
      </c>
      <c r="E17" t="s">
        <v>2724</v>
      </c>
      <c r="G17">
        <f>Ballots!Q9</f>
        <v>2</v>
      </c>
      <c r="H17" s="1" t="s">
        <v>3334</v>
      </c>
    </row>
    <row r="18" spans="1:8">
      <c r="A18">
        <v>17</v>
      </c>
      <c r="B18" s="1" t="s">
        <v>3310</v>
      </c>
      <c r="C18" s="128" t="s">
        <v>3290</v>
      </c>
      <c r="D18" t="s">
        <v>460</v>
      </c>
      <c r="E18" t="s">
        <v>1019</v>
      </c>
      <c r="F18" t="s">
        <v>526</v>
      </c>
      <c r="G18">
        <f>Ballots!R9</f>
        <v>2</v>
      </c>
      <c r="H18" s="1" t="s">
        <v>3291</v>
      </c>
    </row>
    <row r="19" spans="1:8">
      <c r="A19">
        <v>18</v>
      </c>
      <c r="B19" s="1" t="s">
        <v>3292</v>
      </c>
      <c r="C19" t="s">
        <v>3309</v>
      </c>
      <c r="D19" t="s">
        <v>1112</v>
      </c>
      <c r="E19" t="s">
        <v>2478</v>
      </c>
      <c r="G19">
        <f>Ballots!S9</f>
        <v>2</v>
      </c>
      <c r="H19" t="s">
        <v>3293</v>
      </c>
    </row>
    <row r="20" spans="1:8">
      <c r="A20">
        <v>19</v>
      </c>
      <c r="B20" s="1" t="s">
        <v>3218</v>
      </c>
      <c r="C20" t="s">
        <v>3297</v>
      </c>
      <c r="D20" t="s">
        <v>3217</v>
      </c>
      <c r="E20" t="s">
        <v>1100</v>
      </c>
      <c r="G20">
        <f>Ballots!T9</f>
        <v>1</v>
      </c>
      <c r="H20" t="s">
        <v>1976</v>
      </c>
    </row>
    <row r="21" spans="1:8">
      <c r="A21">
        <v>20</v>
      </c>
      <c r="B21" s="1" t="s">
        <v>3299</v>
      </c>
      <c r="C21" t="s">
        <v>3300</v>
      </c>
      <c r="D21" t="s">
        <v>3237</v>
      </c>
      <c r="E21" t="s">
        <v>492</v>
      </c>
      <c r="F21" t="s">
        <v>1122</v>
      </c>
      <c r="G21">
        <f>Ballots!U9</f>
        <v>3</v>
      </c>
      <c r="H21" t="s">
        <v>3301</v>
      </c>
    </row>
    <row r="22" spans="1:8">
      <c r="A22">
        <v>21</v>
      </c>
      <c r="B22" s="1" t="s">
        <v>3306</v>
      </c>
      <c r="C22" t="s">
        <v>3307</v>
      </c>
      <c r="D22" t="s">
        <v>3216</v>
      </c>
      <c r="E22" t="s">
        <v>1100</v>
      </c>
      <c r="G22">
        <f>Ballots!V9</f>
        <v>1</v>
      </c>
      <c r="H22" t="s">
        <v>3308</v>
      </c>
    </row>
    <row r="23" spans="1:8">
      <c r="A23">
        <v>22</v>
      </c>
      <c r="B23" s="1" t="s">
        <v>3302</v>
      </c>
      <c r="C23" t="s">
        <v>3305</v>
      </c>
      <c r="D23" t="s">
        <v>3303</v>
      </c>
      <c r="E23" t="s">
        <v>1865</v>
      </c>
      <c r="G23">
        <f>Ballots!W9</f>
        <v>1</v>
      </c>
      <c r="H23" t="s">
        <v>3304</v>
      </c>
    </row>
    <row r="24" spans="1:8">
      <c r="A24">
        <v>23</v>
      </c>
      <c r="B24" s="1" t="s">
        <v>3294</v>
      </c>
      <c r="C24" t="s">
        <v>3296</v>
      </c>
      <c r="D24" t="s">
        <v>3298</v>
      </c>
      <c r="E24" t="s">
        <v>2629</v>
      </c>
      <c r="G24">
        <f>Ballots!X9</f>
        <v>1</v>
      </c>
      <c r="H24" t="s">
        <v>3295</v>
      </c>
    </row>
    <row r="25" spans="1:8">
      <c r="A25">
        <v>24</v>
      </c>
      <c r="B25" t="s">
        <v>3312</v>
      </c>
      <c r="C25" t="s">
        <v>3313</v>
      </c>
      <c r="D25" t="s">
        <v>3314</v>
      </c>
      <c r="E25" t="s">
        <v>661</v>
      </c>
      <c r="G25">
        <f>Ballots!Y9</f>
        <v>1</v>
      </c>
      <c r="H25" t="s">
        <v>3315</v>
      </c>
    </row>
    <row r="26" spans="1:8">
      <c r="A26">
        <v>25</v>
      </c>
      <c r="B26" t="s">
        <v>3335</v>
      </c>
      <c r="C26" t="s">
        <v>3337</v>
      </c>
      <c r="D26" t="s">
        <v>1112</v>
      </c>
      <c r="E26" t="s">
        <v>2540</v>
      </c>
      <c r="F26" t="s">
        <v>1533</v>
      </c>
      <c r="G26">
        <f>Ballots!Z9</f>
        <v>2</v>
      </c>
      <c r="H26" t="s">
        <v>3336</v>
      </c>
    </row>
    <row r="27" spans="1:8">
      <c r="A27">
        <v>26</v>
      </c>
      <c r="B27" s="1" t="s">
        <v>3316</v>
      </c>
      <c r="C27" t="s">
        <v>3317</v>
      </c>
      <c r="D27" t="s">
        <v>1112</v>
      </c>
      <c r="E27" t="s">
        <v>1272</v>
      </c>
      <c r="G27">
        <f>Ballots!AA9</f>
        <v>1</v>
      </c>
      <c r="H27" t="s">
        <v>3318</v>
      </c>
    </row>
    <row r="28" spans="1:8">
      <c r="A28">
        <v>27</v>
      </c>
      <c r="B28" s="1" t="s">
        <v>3319</v>
      </c>
      <c r="C28" s="128" t="s">
        <v>3320</v>
      </c>
      <c r="D28" t="s">
        <v>3321</v>
      </c>
      <c r="E28" t="s">
        <v>1100</v>
      </c>
      <c r="G28">
        <f>Ballots!AB9</f>
        <v>1</v>
      </c>
      <c r="H28" t="s">
        <v>3322</v>
      </c>
    </row>
    <row r="29" spans="1:8">
      <c r="A29">
        <v>28</v>
      </c>
      <c r="B29" s="1" t="s">
        <v>3323</v>
      </c>
      <c r="C29" t="s">
        <v>3324</v>
      </c>
      <c r="D29" t="s">
        <v>1112</v>
      </c>
      <c r="E29" t="s">
        <v>1865</v>
      </c>
      <c r="G29">
        <f>Ballots!AC9</f>
        <v>1</v>
      </c>
      <c r="H29" t="s">
        <v>830</v>
      </c>
    </row>
    <row r="30" spans="1:8">
      <c r="A30">
        <v>29</v>
      </c>
      <c r="B30" s="128" t="s">
        <v>3325</v>
      </c>
      <c r="C30" s="128" t="s">
        <v>3326</v>
      </c>
      <c r="D30" s="128" t="s">
        <v>3327</v>
      </c>
      <c r="E30" s="128" t="s">
        <v>2405</v>
      </c>
      <c r="G30">
        <f>Ballots!AD9</f>
        <v>1</v>
      </c>
      <c r="H30" s="128" t="s">
        <v>3328</v>
      </c>
    </row>
    <row r="31" spans="1:8">
      <c r="A31" s="128">
        <v>30</v>
      </c>
      <c r="B31" s="85" t="s">
        <v>3329</v>
      </c>
      <c r="C31" t="s">
        <v>3330</v>
      </c>
      <c r="D31" s="128" t="s">
        <v>1112</v>
      </c>
      <c r="E31" s="128" t="s">
        <v>1865</v>
      </c>
      <c r="F31" s="128"/>
      <c r="G31">
        <f>Ballots!AE9</f>
        <v>2</v>
      </c>
      <c r="H31" s="128" t="s">
        <v>1984</v>
      </c>
    </row>
    <row r="32" spans="1:8">
      <c r="A32" s="128">
        <v>31</v>
      </c>
      <c r="B32" s="1" t="s">
        <v>3346</v>
      </c>
      <c r="C32" t="s">
        <v>3369</v>
      </c>
      <c r="D32" s="128" t="s">
        <v>3347</v>
      </c>
      <c r="E32" s="128" t="s">
        <v>492</v>
      </c>
      <c r="F32" s="128" t="s">
        <v>1994</v>
      </c>
      <c r="G32">
        <f>Ballots!AF9</f>
        <v>1</v>
      </c>
      <c r="H32" s="128" t="s">
        <v>3348</v>
      </c>
    </row>
    <row r="33" spans="1:8">
      <c r="A33" s="128">
        <v>32</v>
      </c>
      <c r="B33" s="1" t="s">
        <v>3392</v>
      </c>
      <c r="C33" t="s">
        <v>3395</v>
      </c>
      <c r="D33" s="1" t="s">
        <v>3393</v>
      </c>
      <c r="G33">
        <f>Ballots!AG9</f>
        <v>1</v>
      </c>
      <c r="H33" s="128" t="s">
        <v>3394</v>
      </c>
    </row>
    <row r="34" spans="1:8">
      <c r="A34" s="128">
        <v>33</v>
      </c>
      <c r="B34" s="1" t="s">
        <v>3397</v>
      </c>
      <c r="C34" t="s">
        <v>3398</v>
      </c>
      <c r="D34" s="1" t="s">
        <v>3216</v>
      </c>
      <c r="G34">
        <f>Ballots!AH9</f>
        <v>1</v>
      </c>
      <c r="H34" s="128" t="s">
        <v>3399</v>
      </c>
    </row>
    <row r="35" spans="1:8">
      <c r="A35" s="128">
        <v>34</v>
      </c>
      <c r="B35" s="1"/>
      <c r="D35" s="1"/>
      <c r="G35">
        <f>Ballots!AI9</f>
        <v>0</v>
      </c>
      <c r="H35" s="128"/>
    </row>
    <row r="36" spans="1:8">
      <c r="A36" s="128">
        <v>35</v>
      </c>
      <c r="B36" s="1" t="s">
        <v>3351</v>
      </c>
      <c r="C36" t="s">
        <v>3400</v>
      </c>
      <c r="D36" s="128" t="s">
        <v>1112</v>
      </c>
      <c r="E36" s="128" t="s">
        <v>2523</v>
      </c>
      <c r="G36">
        <f>Ballots!AJ9</f>
        <v>0</v>
      </c>
      <c r="H36" s="128" t="s">
        <v>3350</v>
      </c>
    </row>
    <row r="37" spans="1:8">
      <c r="D37" s="1"/>
    </row>
    <row r="38" spans="1:8">
      <c r="D38" s="1"/>
    </row>
    <row r="39" spans="1:8">
      <c r="D39" s="1"/>
    </row>
    <row r="40" spans="1:8">
      <c r="D40" s="1"/>
    </row>
    <row r="41" spans="1:8">
      <c r="D41" s="1"/>
    </row>
    <row r="42" spans="1:8">
      <c r="D42" s="1"/>
    </row>
    <row r="43" spans="1:8">
      <c r="D43" s="1"/>
    </row>
    <row r="44" spans="1:8">
      <c r="D44" s="1"/>
    </row>
    <row r="45" spans="1:8">
      <c r="D45" s="1"/>
    </row>
    <row r="46" spans="1:8">
      <c r="D46" s="1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ref="I17:J35">
    <sortCondition ref="I17:I3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BY3056"/>
  <sheetViews>
    <sheetView workbookViewId="0">
      <selection activeCell="C53" sqref="C53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133" customWidth="1"/>
  </cols>
  <sheetData>
    <row r="1" spans="1:77">
      <c r="A1" s="103" t="s">
        <v>711</v>
      </c>
      <c r="B1" s="103" t="s">
        <v>2850</v>
      </c>
      <c r="C1" s="103" t="s">
        <v>1093</v>
      </c>
    </row>
    <row r="2" spans="1:77" s="8" customFormat="1">
      <c r="A2" s="134" t="s">
        <v>444</v>
      </c>
      <c r="B2" s="134" t="s">
        <v>711</v>
      </c>
      <c r="C2" s="134" t="s">
        <v>4357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8" customFormat="1">
      <c r="A3" s="134" t="s">
        <v>2629</v>
      </c>
      <c r="B3" s="134" t="s">
        <v>711</v>
      </c>
      <c r="C3" s="134" t="s">
        <v>4360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8" customFormat="1">
      <c r="A4" s="134" t="s">
        <v>1533</v>
      </c>
      <c r="B4" s="134" t="s">
        <v>711</v>
      </c>
      <c r="C4" s="134" t="s">
        <v>4358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>
      <c r="A5" s="134" t="s">
        <v>1155</v>
      </c>
      <c r="B5" s="134" t="s">
        <v>711</v>
      </c>
      <c r="C5" s="134" t="s">
        <v>4359</v>
      </c>
    </row>
    <row r="6" spans="1:77">
      <c r="A6" s="134" t="s">
        <v>654</v>
      </c>
      <c r="B6" s="134" t="s">
        <v>711</v>
      </c>
      <c r="C6" s="134" t="s">
        <v>4381</v>
      </c>
    </row>
    <row r="7" spans="1:77">
      <c r="A7" s="134" t="s">
        <v>661</v>
      </c>
      <c r="B7" s="134" t="s">
        <v>711</v>
      </c>
      <c r="C7" s="134" t="s">
        <v>4361</v>
      </c>
    </row>
    <row r="8" spans="1:77">
      <c r="A8" s="134" t="s">
        <v>150</v>
      </c>
      <c r="B8" s="134" t="s">
        <v>711</v>
      </c>
      <c r="C8" s="134" t="s">
        <v>4362</v>
      </c>
    </row>
    <row r="9" spans="1:77">
      <c r="A9" s="134" t="s">
        <v>90</v>
      </c>
      <c r="B9" s="134" t="s">
        <v>711</v>
      </c>
      <c r="C9" s="134" t="s">
        <v>4369</v>
      </c>
    </row>
    <row r="10" spans="1:77">
      <c r="A10" s="134" t="s">
        <v>1100</v>
      </c>
      <c r="B10" s="134" t="s">
        <v>711</v>
      </c>
      <c r="C10" s="134" t="s">
        <v>4363</v>
      </c>
    </row>
    <row r="11" spans="1:77">
      <c r="A11" s="134" t="s">
        <v>2724</v>
      </c>
      <c r="B11" s="134" t="s">
        <v>711</v>
      </c>
      <c r="C11" s="134" t="s">
        <v>4382</v>
      </c>
    </row>
    <row r="12" spans="1:77">
      <c r="A12" s="134" t="s">
        <v>526</v>
      </c>
      <c r="B12" s="134" t="s">
        <v>711</v>
      </c>
      <c r="C12" s="134" t="s">
        <v>4366</v>
      </c>
    </row>
    <row r="13" spans="1:77">
      <c r="A13" s="134" t="s">
        <v>2710</v>
      </c>
      <c r="B13" s="134" t="s">
        <v>711</v>
      </c>
      <c r="C13" s="134" t="s">
        <v>4364</v>
      </c>
    </row>
    <row r="14" spans="1:77">
      <c r="A14" s="134" t="s">
        <v>1051</v>
      </c>
      <c r="B14" s="134" t="s">
        <v>711</v>
      </c>
      <c r="C14" s="134" t="s">
        <v>4365</v>
      </c>
    </row>
    <row r="15" spans="1:77">
      <c r="A15" s="134" t="s">
        <v>2405</v>
      </c>
      <c r="B15" s="134" t="s">
        <v>711</v>
      </c>
      <c r="C15" s="134" t="s">
        <v>4366</v>
      </c>
    </row>
    <row r="16" spans="1:77">
      <c r="A16" s="129" t="s">
        <v>192</v>
      </c>
      <c r="B16" s="129" t="s">
        <v>711</v>
      </c>
      <c r="C16" s="129" t="s">
        <v>3386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</row>
    <row r="17" spans="1:77">
      <c r="A17" s="129" t="s">
        <v>192</v>
      </c>
      <c r="B17" s="129" t="s">
        <v>711</v>
      </c>
      <c r="C17" s="129" t="s">
        <v>3387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>
      <c r="A18" s="129" t="s">
        <v>192</v>
      </c>
      <c r="B18" s="129" t="s">
        <v>711</v>
      </c>
      <c r="C18" s="129" t="s">
        <v>3388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>
      <c r="A19" s="134" t="s">
        <v>736</v>
      </c>
      <c r="B19" s="134" t="s">
        <v>711</v>
      </c>
      <c r="C19" s="134" t="s">
        <v>4367</v>
      </c>
    </row>
    <row r="20" spans="1:77">
      <c r="A20" s="134" t="s">
        <v>554</v>
      </c>
      <c r="B20" s="129" t="s">
        <v>711</v>
      </c>
      <c r="C20" s="134" t="s">
        <v>3391</v>
      </c>
    </row>
    <row r="21" spans="1:77">
      <c r="A21" s="134" t="s">
        <v>1019</v>
      </c>
      <c r="B21" s="134" t="s">
        <v>711</v>
      </c>
      <c r="C21" s="134" t="s">
        <v>4366</v>
      </c>
    </row>
    <row r="22" spans="1:77">
      <c r="A22" s="134" t="s">
        <v>492</v>
      </c>
      <c r="B22" s="134" t="s">
        <v>711</v>
      </c>
      <c r="C22" s="134" t="s">
        <v>4380</v>
      </c>
    </row>
    <row r="23" spans="1:77">
      <c r="A23" s="134"/>
      <c r="B23" s="134"/>
      <c r="C23" s="134"/>
    </row>
    <row r="24" spans="1:77">
      <c r="A24" s="134" t="s">
        <v>277</v>
      </c>
      <c r="B24" s="134" t="s">
        <v>711</v>
      </c>
      <c r="C24" s="134" t="s">
        <v>4368</v>
      </c>
    </row>
    <row r="25" spans="1:77">
      <c r="A25" s="134" t="s">
        <v>692</v>
      </c>
      <c r="B25" s="134" t="s">
        <v>711</v>
      </c>
      <c r="C25" s="134" t="s">
        <v>4378</v>
      </c>
    </row>
    <row r="26" spans="1:77">
      <c r="A26" s="134" t="s">
        <v>692</v>
      </c>
      <c r="B26" s="134" t="s">
        <v>711</v>
      </c>
      <c r="C26" s="134" t="s">
        <v>4379</v>
      </c>
    </row>
    <row r="27" spans="1:77">
      <c r="A27" s="134" t="s">
        <v>2357</v>
      </c>
      <c r="B27" s="134" t="s">
        <v>711</v>
      </c>
      <c r="C27" s="134" t="s">
        <v>4366</v>
      </c>
    </row>
    <row r="28" spans="1:77">
      <c r="B28" s="108"/>
    </row>
    <row r="29" spans="1:77">
      <c r="A29" s="108"/>
      <c r="B29" s="108"/>
      <c r="C29" s="108"/>
    </row>
    <row r="1835" spans="17:17">
      <c r="Q1835">
        <v>1155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H2954">
        <v>4</v>
      </c>
      <c r="BV2954" t="str">
        <f>IF($BH2954&lt;&gt;"","",SUMIF(#REF!,$BL2954,#REF!)-N2954)</f>
        <v/>
      </c>
      <c r="BW2954" t="str">
        <f>IF($BH2954&lt;&gt;"","",SUMIF(#REF!,$BL2954,#REF!)-O2954)</f>
        <v/>
      </c>
      <c r="BX2954" t="str">
        <f>IF($BH2954&lt;&gt;"","",SUMIF(#REF!,$BL2954,#REF!)-P2954)</f>
        <v/>
      </c>
      <c r="BY2954" t="str">
        <f>IF($BH2954&lt;&gt;"","",SUMIF(#REF!,$BL2954,#REF!)-Q2954)</f>
        <v/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</sheetData>
  <sortState ref="A2:BY20">
    <sortCondition ref="A2:A20"/>
  </sortState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BY3053"/>
  <sheetViews>
    <sheetView workbookViewId="0">
      <pane xSplit="1" ySplit="1" topLeftCell="N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6" sqref="A6:XFD6"/>
    </sheetView>
  </sheetViews>
  <sheetFormatPr baseColWidth="10" defaultRowHeight="13" x14ac:dyDescent="0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7.42578125" bestFit="1" customWidth="1"/>
    <col min="14" max="14" width="62.85546875" style="4" customWidth="1"/>
    <col min="15" max="16" width="10.7109375" customWidth="1"/>
    <col min="17" max="19" width="10.7109375" style="77"/>
    <col min="21" max="21" width="4.42578125" bestFit="1" customWidth="1"/>
    <col min="22" max="22" width="2" customWidth="1"/>
    <col min="23" max="23" width="78.5703125" customWidth="1"/>
  </cols>
  <sheetData>
    <row r="1" spans="1:37">
      <c r="A1" s="103" t="s">
        <v>2959</v>
      </c>
      <c r="B1" s="103" t="s">
        <v>3417</v>
      </c>
      <c r="C1" s="103" t="s">
        <v>3418</v>
      </c>
      <c r="D1" s="103" t="s">
        <v>544</v>
      </c>
      <c r="E1" s="103" t="s">
        <v>3144</v>
      </c>
      <c r="F1" s="103" t="s">
        <v>3419</v>
      </c>
      <c r="G1" s="103" t="s">
        <v>3420</v>
      </c>
      <c r="H1" s="103" t="s">
        <v>3421</v>
      </c>
      <c r="I1" s="103" t="s">
        <v>3422</v>
      </c>
      <c r="J1" s="103" t="s">
        <v>3423</v>
      </c>
      <c r="K1" s="103" t="s">
        <v>3424</v>
      </c>
      <c r="L1" s="103" t="s">
        <v>1220</v>
      </c>
      <c r="M1" s="103" t="s">
        <v>3426</v>
      </c>
      <c r="N1" s="154" t="s">
        <v>3427</v>
      </c>
      <c r="O1" s="103" t="s">
        <v>3428</v>
      </c>
      <c r="P1" s="103" t="s">
        <v>1249</v>
      </c>
      <c r="Q1" s="152" t="s">
        <v>2127</v>
      </c>
      <c r="R1" s="152" t="s">
        <v>3429</v>
      </c>
      <c r="S1" s="152" t="s">
        <v>3430</v>
      </c>
      <c r="T1" s="103" t="s">
        <v>3230</v>
      </c>
      <c r="U1" s="103" t="s">
        <v>3431</v>
      </c>
      <c r="V1" s="103" t="s">
        <v>3223</v>
      </c>
      <c r="W1" s="103" t="s">
        <v>3432</v>
      </c>
    </row>
    <row r="2" spans="1:37">
      <c r="A2" t="s">
        <v>1486</v>
      </c>
      <c r="B2">
        <v>1</v>
      </c>
      <c r="F2" t="s">
        <v>3481</v>
      </c>
      <c r="G2" t="s">
        <v>3549</v>
      </c>
      <c r="H2" t="s">
        <v>3550</v>
      </c>
      <c r="I2" t="s">
        <v>3551</v>
      </c>
      <c r="J2" t="s">
        <v>3233</v>
      </c>
      <c r="K2" t="s">
        <v>3229</v>
      </c>
      <c r="L2" s="8" t="s">
        <v>2553</v>
      </c>
      <c r="M2" s="4" t="s">
        <v>3548</v>
      </c>
      <c r="N2" s="4" t="s">
        <v>3546</v>
      </c>
      <c r="O2" s="75" t="s">
        <v>3229</v>
      </c>
      <c r="P2" s="75" t="s">
        <v>3229</v>
      </c>
      <c r="Q2" s="148">
        <v>41241</v>
      </c>
      <c r="R2">
        <v>2016</v>
      </c>
      <c r="S2" s="75" t="s">
        <v>3491</v>
      </c>
      <c r="T2" s="118">
        <v>41241</v>
      </c>
      <c r="U2" t="s">
        <v>612</v>
      </c>
      <c r="V2" t="s">
        <v>3223</v>
      </c>
      <c r="W2" t="s">
        <v>3547</v>
      </c>
      <c r="X2" t="s">
        <v>3471</v>
      </c>
    </row>
    <row r="3" spans="1:37">
      <c r="A3" t="s">
        <v>1994</v>
      </c>
      <c r="B3">
        <v>1</v>
      </c>
      <c r="F3" t="s">
        <v>3579</v>
      </c>
      <c r="G3" t="s">
        <v>3229</v>
      </c>
      <c r="H3" t="s">
        <v>3229</v>
      </c>
      <c r="I3" t="s">
        <v>3229</v>
      </c>
      <c r="J3" t="s">
        <v>3229</v>
      </c>
      <c r="K3" t="s">
        <v>3229</v>
      </c>
      <c r="L3" s="8" t="s">
        <v>1919</v>
      </c>
      <c r="M3" s="4" t="s">
        <v>3596</v>
      </c>
      <c r="N3" s="131" t="s">
        <v>3595</v>
      </c>
      <c r="O3" s="75" t="s">
        <v>3229</v>
      </c>
      <c r="P3" s="75" t="s">
        <v>3229</v>
      </c>
      <c r="Q3" s="148" t="s">
        <v>3229</v>
      </c>
      <c r="R3">
        <v>2016</v>
      </c>
      <c r="S3" s="75" t="s">
        <v>3229</v>
      </c>
      <c r="T3" s="118">
        <v>41242</v>
      </c>
      <c r="U3" t="s">
        <v>3433</v>
      </c>
      <c r="V3" t="s">
        <v>3223</v>
      </c>
      <c r="W3" t="s">
        <v>3597</v>
      </c>
    </row>
    <row r="4" spans="1:37">
      <c r="A4" t="s">
        <v>444</v>
      </c>
      <c r="B4">
        <v>1</v>
      </c>
      <c r="F4" t="s">
        <v>3481</v>
      </c>
      <c r="G4" t="s">
        <v>3633</v>
      </c>
      <c r="H4" t="s">
        <v>3229</v>
      </c>
      <c r="I4" t="s">
        <v>3229</v>
      </c>
      <c r="J4" t="s">
        <v>3229</v>
      </c>
      <c r="K4" t="s">
        <v>3229</v>
      </c>
      <c r="L4" s="8" t="s">
        <v>2735</v>
      </c>
      <c r="M4" s="4" t="s">
        <v>3498</v>
      </c>
      <c r="N4" s="131" t="s">
        <v>3632</v>
      </c>
      <c r="O4" s="75" t="s">
        <v>3229</v>
      </c>
      <c r="P4" s="75" t="s">
        <v>3229</v>
      </c>
      <c r="Q4" s="148">
        <v>41241</v>
      </c>
      <c r="R4">
        <v>2016</v>
      </c>
      <c r="S4" s="75" t="s">
        <v>3634</v>
      </c>
      <c r="T4" s="118">
        <v>41247</v>
      </c>
      <c r="U4" t="s">
        <v>3433</v>
      </c>
      <c r="V4" t="s">
        <v>3223</v>
      </c>
      <c r="W4" t="s">
        <v>3635</v>
      </c>
      <c r="X4" t="s">
        <v>3465</v>
      </c>
    </row>
    <row r="5" spans="1:37">
      <c r="A5" t="s">
        <v>200</v>
      </c>
      <c r="B5">
        <v>1</v>
      </c>
      <c r="F5" t="s">
        <v>3425</v>
      </c>
      <c r="G5" t="s">
        <v>3229</v>
      </c>
      <c r="H5" t="s">
        <v>3229</v>
      </c>
      <c r="I5" t="s">
        <v>3229</v>
      </c>
      <c r="J5" t="s">
        <v>3229</v>
      </c>
      <c r="K5" t="s">
        <v>3229</v>
      </c>
      <c r="L5" s="8" t="s">
        <v>2365</v>
      </c>
      <c r="M5" s="4" t="s">
        <v>3540</v>
      </c>
      <c r="N5" s="4" t="s">
        <v>3539</v>
      </c>
      <c r="O5" s="75" t="s">
        <v>3229</v>
      </c>
      <c r="P5" s="75" t="s">
        <v>3229</v>
      </c>
      <c r="Q5" s="148" t="s">
        <v>3229</v>
      </c>
      <c r="R5">
        <v>2016</v>
      </c>
      <c r="S5" s="75" t="s">
        <v>3229</v>
      </c>
      <c r="T5" s="118">
        <v>41238</v>
      </c>
      <c r="U5" t="s">
        <v>3433</v>
      </c>
      <c r="V5" t="s">
        <v>3223</v>
      </c>
      <c r="W5" t="s">
        <v>3461</v>
      </c>
    </row>
    <row r="6" spans="1:37">
      <c r="A6" t="s">
        <v>2629</v>
      </c>
      <c r="B6">
        <v>1</v>
      </c>
      <c r="F6" t="s">
        <v>3564</v>
      </c>
      <c r="G6" t="s">
        <v>4350</v>
      </c>
      <c r="H6" t="s">
        <v>3233</v>
      </c>
      <c r="I6" t="s">
        <v>3229</v>
      </c>
      <c r="J6" t="s">
        <v>3229</v>
      </c>
      <c r="K6" t="s">
        <v>3229</v>
      </c>
      <c r="L6" s="8" t="s">
        <v>1901</v>
      </c>
      <c r="M6" s="4" t="s">
        <v>2883</v>
      </c>
      <c r="N6" s="4" t="s">
        <v>4425</v>
      </c>
      <c r="O6" s="75" t="s">
        <v>3229</v>
      </c>
      <c r="P6" s="75" t="s">
        <v>3229</v>
      </c>
      <c r="Q6" s="118">
        <v>41356</v>
      </c>
      <c r="R6">
        <v>2016</v>
      </c>
      <c r="S6" s="75" t="s">
        <v>3616</v>
      </c>
      <c r="T6" s="118">
        <v>41384</v>
      </c>
      <c r="U6" t="s">
        <v>3433</v>
      </c>
      <c r="V6" s="75" t="s">
        <v>3223</v>
      </c>
      <c r="W6" t="s">
        <v>4426</v>
      </c>
      <c r="X6" t="s">
        <v>3462</v>
      </c>
    </row>
    <row r="7" spans="1:37">
      <c r="A7" t="s">
        <v>1865</v>
      </c>
      <c r="B7">
        <v>1</v>
      </c>
      <c r="F7" t="s">
        <v>3425</v>
      </c>
      <c r="G7" t="s">
        <v>3229</v>
      </c>
      <c r="H7" t="s">
        <v>3229</v>
      </c>
      <c r="I7" t="s">
        <v>3229</v>
      </c>
      <c r="J7" t="s">
        <v>3229</v>
      </c>
      <c r="K7" t="s">
        <v>3229</v>
      </c>
      <c r="L7" s="8" t="s">
        <v>3200</v>
      </c>
      <c r="M7" s="4" t="s">
        <v>3229</v>
      </c>
      <c r="N7" s="131" t="s">
        <v>3657</v>
      </c>
      <c r="O7" s="75" t="s">
        <v>3229</v>
      </c>
      <c r="P7" s="75" t="s">
        <v>3229</v>
      </c>
      <c r="Q7" s="148">
        <v>41248</v>
      </c>
      <c r="R7">
        <v>2016</v>
      </c>
      <c r="S7" s="75" t="s">
        <v>3229</v>
      </c>
      <c r="T7" s="118">
        <v>41248</v>
      </c>
      <c r="U7" t="s">
        <v>3433</v>
      </c>
      <c r="V7" s="75" t="s">
        <v>3223</v>
      </c>
      <c r="W7" t="s">
        <v>3467</v>
      </c>
    </row>
    <row r="8" spans="1:37">
      <c r="A8" t="s">
        <v>1033</v>
      </c>
      <c r="B8">
        <v>1</v>
      </c>
      <c r="F8" t="s">
        <v>3579</v>
      </c>
      <c r="G8" t="s">
        <v>3229</v>
      </c>
      <c r="H8" t="s">
        <v>3229</v>
      </c>
      <c r="I8" t="s">
        <v>3229</v>
      </c>
      <c r="J8" t="s">
        <v>3229</v>
      </c>
      <c r="K8" t="s">
        <v>3229</v>
      </c>
      <c r="L8" s="8" t="s">
        <v>1967</v>
      </c>
      <c r="M8" s="4" t="s">
        <v>3577</v>
      </c>
      <c r="N8" s="131" t="s">
        <v>3576</v>
      </c>
      <c r="O8" s="75" t="s">
        <v>3229</v>
      </c>
      <c r="P8" s="75" t="s">
        <v>3229</v>
      </c>
      <c r="Q8" s="148" t="s">
        <v>3229</v>
      </c>
      <c r="R8">
        <v>2016</v>
      </c>
      <c r="S8" s="75" t="s">
        <v>3229</v>
      </c>
      <c r="T8" s="118">
        <v>41242</v>
      </c>
      <c r="U8" t="s">
        <v>3433</v>
      </c>
      <c r="V8" s="75" t="s">
        <v>3223</v>
      </c>
      <c r="W8" t="s">
        <v>3578</v>
      </c>
    </row>
    <row r="9" spans="1:37" ht="13" customHeight="1">
      <c r="A9" t="s">
        <v>1708</v>
      </c>
      <c r="B9">
        <v>1</v>
      </c>
      <c r="F9" t="s">
        <v>3425</v>
      </c>
      <c r="G9" t="s">
        <v>3229</v>
      </c>
      <c r="H9" t="s">
        <v>3229</v>
      </c>
      <c r="I9" t="s">
        <v>3229</v>
      </c>
      <c r="J9" t="s">
        <v>3229</v>
      </c>
      <c r="K9" t="s">
        <v>3229</v>
      </c>
      <c r="L9" s="8" t="s">
        <v>497</v>
      </c>
      <c r="M9" s="4" t="s">
        <v>3229</v>
      </c>
      <c r="N9" s="131" t="s">
        <v>3480</v>
      </c>
      <c r="O9" s="75" t="s">
        <v>3229</v>
      </c>
      <c r="P9" s="75" t="s">
        <v>3229</v>
      </c>
      <c r="Q9" s="148">
        <v>41229</v>
      </c>
      <c r="R9">
        <v>2016</v>
      </c>
      <c r="S9" s="75" t="s">
        <v>3229</v>
      </c>
      <c r="T9" s="118">
        <v>41230</v>
      </c>
      <c r="U9" t="s">
        <v>3433</v>
      </c>
      <c r="V9" s="75" t="s">
        <v>3223</v>
      </c>
      <c r="W9" t="s">
        <v>3479</v>
      </c>
      <c r="Y9" t="s">
        <v>3458</v>
      </c>
    </row>
    <row r="10" spans="1:37">
      <c r="A10" t="s">
        <v>2535</v>
      </c>
      <c r="B10">
        <v>1</v>
      </c>
      <c r="F10" t="s">
        <v>3425</v>
      </c>
      <c r="G10" t="s">
        <v>3229</v>
      </c>
      <c r="H10" t="s">
        <v>3229</v>
      </c>
      <c r="I10" t="s">
        <v>3229</v>
      </c>
      <c r="J10" t="s">
        <v>3229</v>
      </c>
      <c r="K10" t="s">
        <v>3229</v>
      </c>
      <c r="L10" s="8" t="s">
        <v>2283</v>
      </c>
      <c r="M10" s="4" t="s">
        <v>3229</v>
      </c>
      <c r="N10" s="131" t="s">
        <v>3483</v>
      </c>
      <c r="O10" s="75" t="s">
        <v>3229</v>
      </c>
      <c r="P10" s="75" t="s">
        <v>3229</v>
      </c>
      <c r="Q10" s="148">
        <v>41230</v>
      </c>
      <c r="R10">
        <v>2016</v>
      </c>
      <c r="S10" s="75" t="s">
        <v>3229</v>
      </c>
      <c r="T10" s="118">
        <v>41231</v>
      </c>
      <c r="U10" t="s">
        <v>3433</v>
      </c>
      <c r="V10" s="75" t="s">
        <v>3223</v>
      </c>
      <c r="W10" t="s">
        <v>3484</v>
      </c>
    </row>
    <row r="11" spans="1:37">
      <c r="A11" t="s">
        <v>1533</v>
      </c>
      <c r="B11">
        <v>1</v>
      </c>
      <c r="F11" t="s">
        <v>3425</v>
      </c>
      <c r="G11" t="s">
        <v>3229</v>
      </c>
      <c r="H11" t="s">
        <v>3229</v>
      </c>
      <c r="I11" t="s">
        <v>3229</v>
      </c>
      <c r="J11" t="s">
        <v>3229</v>
      </c>
      <c r="K11" t="s">
        <v>3229</v>
      </c>
      <c r="L11" s="8" t="s">
        <v>1968</v>
      </c>
      <c r="M11" s="4" t="s">
        <v>3498</v>
      </c>
      <c r="N11" s="131" t="s">
        <v>3497</v>
      </c>
      <c r="O11" s="75" t="s">
        <v>3229</v>
      </c>
      <c r="P11" s="75" t="s">
        <v>3229</v>
      </c>
      <c r="Q11" s="148" t="s">
        <v>3229</v>
      </c>
      <c r="R11">
        <v>2016</v>
      </c>
      <c r="S11" s="75" t="s">
        <v>3229</v>
      </c>
      <c r="T11" s="118">
        <v>41233</v>
      </c>
      <c r="U11" t="s">
        <v>3433</v>
      </c>
      <c r="V11" s="75" t="s">
        <v>3223</v>
      </c>
      <c r="W11" t="s">
        <v>3450</v>
      </c>
    </row>
    <row r="12" spans="1:37">
      <c r="A12" t="s">
        <v>1155</v>
      </c>
      <c r="B12">
        <v>1</v>
      </c>
      <c r="F12" t="s">
        <v>3425</v>
      </c>
      <c r="G12" t="s">
        <v>3229</v>
      </c>
      <c r="H12" t="s">
        <v>3229</v>
      </c>
      <c r="I12" t="s">
        <v>3229</v>
      </c>
      <c r="J12" t="s">
        <v>3229</v>
      </c>
      <c r="K12" t="s">
        <v>3229</v>
      </c>
      <c r="L12" s="8" t="s">
        <v>2223</v>
      </c>
      <c r="M12" s="4" t="s">
        <v>3498</v>
      </c>
      <c r="N12" s="131" t="s">
        <v>3519</v>
      </c>
      <c r="O12" s="75" t="s">
        <v>3229</v>
      </c>
      <c r="P12" s="75" t="s">
        <v>3229</v>
      </c>
      <c r="Q12" s="148">
        <v>41234</v>
      </c>
      <c r="R12">
        <v>2016</v>
      </c>
      <c r="S12" s="75" t="s">
        <v>3229</v>
      </c>
      <c r="T12" s="118">
        <v>41234</v>
      </c>
      <c r="U12" t="s">
        <v>3433</v>
      </c>
      <c r="V12" s="75" t="s">
        <v>3223</v>
      </c>
      <c r="W12" t="s">
        <v>3520</v>
      </c>
    </row>
    <row r="13" spans="1:37" s="8" customFormat="1">
      <c r="A13" s="8" t="s">
        <v>654</v>
      </c>
      <c r="B13" s="8">
        <v>1</v>
      </c>
      <c r="F13" s="128" t="s">
        <v>3564</v>
      </c>
      <c r="G13" s="8" t="s">
        <v>3229</v>
      </c>
      <c r="H13" s="8" t="s">
        <v>3229</v>
      </c>
      <c r="I13" s="8" t="s">
        <v>3229</v>
      </c>
      <c r="J13" s="8" t="s">
        <v>3229</v>
      </c>
      <c r="K13" s="8" t="s">
        <v>3229</v>
      </c>
      <c r="L13" s="8" t="s">
        <v>1698</v>
      </c>
      <c r="M13" s="131" t="s">
        <v>3488</v>
      </c>
      <c r="N13" s="131" t="s">
        <v>3565</v>
      </c>
      <c r="O13" s="8" t="s">
        <v>3229</v>
      </c>
      <c r="P13" s="8" t="s">
        <v>3229</v>
      </c>
      <c r="Q13" s="156" t="s">
        <v>3229</v>
      </c>
      <c r="R13" s="8">
        <v>2010</v>
      </c>
      <c r="S13" s="131" t="s">
        <v>3567</v>
      </c>
      <c r="T13" s="156">
        <v>41241</v>
      </c>
      <c r="U13" s="128" t="s">
        <v>612</v>
      </c>
      <c r="V13" s="128" t="s">
        <v>3223</v>
      </c>
      <c r="W13" s="8" t="s">
        <v>3566</v>
      </c>
    </row>
    <row r="14" spans="1:37">
      <c r="A14" t="s">
        <v>2092</v>
      </c>
      <c r="B14">
        <v>1</v>
      </c>
      <c r="F14" t="s">
        <v>3527</v>
      </c>
      <c r="G14" t="s">
        <v>3528</v>
      </c>
      <c r="H14" t="s">
        <v>3233</v>
      </c>
      <c r="I14" t="s">
        <v>3229</v>
      </c>
      <c r="J14" t="s">
        <v>3229</v>
      </c>
      <c r="K14" t="s">
        <v>3229</v>
      </c>
      <c r="L14" s="8" t="s">
        <v>2656</v>
      </c>
      <c r="M14" s="4" t="s">
        <v>3486</v>
      </c>
      <c r="N14" s="131" t="s">
        <v>3525</v>
      </c>
      <c r="O14" s="75" t="s">
        <v>3229</v>
      </c>
      <c r="P14" s="75" t="s">
        <v>3229</v>
      </c>
      <c r="Q14" s="148" t="s">
        <v>3229</v>
      </c>
      <c r="R14">
        <v>2016</v>
      </c>
      <c r="S14" s="75" t="s">
        <v>3229</v>
      </c>
      <c r="T14" s="118">
        <v>41237</v>
      </c>
      <c r="U14" t="s">
        <v>3433</v>
      </c>
      <c r="V14" s="130" t="s">
        <v>3223</v>
      </c>
      <c r="W14" t="s">
        <v>3526</v>
      </c>
      <c r="X14" t="s">
        <v>3464</v>
      </c>
      <c r="AI14" t="s">
        <v>3232</v>
      </c>
      <c r="AJ14" t="s">
        <v>3233</v>
      </c>
      <c r="AK14" t="s">
        <v>3234</v>
      </c>
    </row>
    <row r="15" spans="1:37">
      <c r="A15" t="s">
        <v>661</v>
      </c>
      <c r="B15">
        <v>1</v>
      </c>
      <c r="F15" t="s">
        <v>3481</v>
      </c>
      <c r="G15" t="s">
        <v>3636</v>
      </c>
      <c r="H15" t="s">
        <v>3637</v>
      </c>
      <c r="I15" t="s">
        <v>3229</v>
      </c>
      <c r="J15" t="s">
        <v>3229</v>
      </c>
      <c r="K15" t="s">
        <v>3229</v>
      </c>
      <c r="L15" s="8" t="s">
        <v>1811</v>
      </c>
      <c r="M15" s="4" t="s">
        <v>3522</v>
      </c>
      <c r="N15" s="131" t="s">
        <v>3638</v>
      </c>
      <c r="O15" s="75" t="s">
        <v>3229</v>
      </c>
      <c r="P15" s="75" t="s">
        <v>3229</v>
      </c>
      <c r="Q15" s="148" t="s">
        <v>3229</v>
      </c>
      <c r="R15">
        <v>2016</v>
      </c>
      <c r="S15" s="75" t="s">
        <v>3640</v>
      </c>
      <c r="T15" s="118">
        <v>41247</v>
      </c>
      <c r="U15" t="s">
        <v>612</v>
      </c>
      <c r="V15" s="75" t="s">
        <v>3223</v>
      </c>
      <c r="W15" t="s">
        <v>3639</v>
      </c>
    </row>
    <row r="16" spans="1:37">
      <c r="A16" t="s">
        <v>150</v>
      </c>
      <c r="B16">
        <v>1</v>
      </c>
      <c r="F16" t="s">
        <v>3425</v>
      </c>
      <c r="G16" t="s">
        <v>3229</v>
      </c>
      <c r="H16" t="s">
        <v>3229</v>
      </c>
      <c r="I16" t="s">
        <v>3229</v>
      </c>
      <c r="J16" t="s">
        <v>3229</v>
      </c>
      <c r="K16" t="s">
        <v>3229</v>
      </c>
      <c r="L16" s="8" t="s">
        <v>2533</v>
      </c>
      <c r="M16" s="4" t="s">
        <v>3229</v>
      </c>
      <c r="N16" s="4" t="s">
        <v>3454</v>
      </c>
      <c r="O16" s="75" t="s">
        <v>3229</v>
      </c>
      <c r="P16" s="75" t="s">
        <v>3229</v>
      </c>
      <c r="Q16" s="148">
        <v>41254</v>
      </c>
      <c r="R16">
        <v>2016</v>
      </c>
      <c r="S16" s="75" t="s">
        <v>3229</v>
      </c>
      <c r="T16" s="118">
        <v>41258</v>
      </c>
      <c r="U16" t="s">
        <v>3433</v>
      </c>
      <c r="V16" s="75" t="s">
        <v>3223</v>
      </c>
      <c r="W16" t="s">
        <v>3453</v>
      </c>
    </row>
    <row r="17" spans="1:30">
      <c r="A17" t="s">
        <v>1621</v>
      </c>
      <c r="B17">
        <v>1</v>
      </c>
      <c r="F17" t="s">
        <v>3481</v>
      </c>
      <c r="G17" t="s">
        <v>3229</v>
      </c>
      <c r="H17" t="s">
        <v>3229</v>
      </c>
      <c r="I17" t="s">
        <v>3229</v>
      </c>
      <c r="J17" t="s">
        <v>3229</v>
      </c>
      <c r="K17" t="s">
        <v>3229</v>
      </c>
      <c r="L17" s="128" t="s">
        <v>3710</v>
      </c>
      <c r="M17" s="4" t="s">
        <v>3488</v>
      </c>
      <c r="N17" s="131" t="s">
        <v>3656</v>
      </c>
      <c r="O17" s="75" t="s">
        <v>3229</v>
      </c>
      <c r="P17" s="75" t="s">
        <v>3229</v>
      </c>
      <c r="Q17" s="148" t="s">
        <v>3229</v>
      </c>
      <c r="R17">
        <v>2016</v>
      </c>
      <c r="S17" s="75" t="s">
        <v>3654</v>
      </c>
      <c r="T17" s="118">
        <v>41248</v>
      </c>
      <c r="U17" t="s">
        <v>612</v>
      </c>
      <c r="V17" s="75" t="s">
        <v>3223</v>
      </c>
      <c r="W17" t="s">
        <v>3655</v>
      </c>
      <c r="X17" t="s">
        <v>3470</v>
      </c>
      <c r="AD17" s="125"/>
    </row>
    <row r="18" spans="1:30">
      <c r="A18" t="s">
        <v>90</v>
      </c>
      <c r="B18">
        <v>1</v>
      </c>
      <c r="F18" t="s">
        <v>3709</v>
      </c>
      <c r="G18" t="s">
        <v>3229</v>
      </c>
      <c r="H18" t="s">
        <v>3229</v>
      </c>
      <c r="I18" t="s">
        <v>3229</v>
      </c>
      <c r="J18" t="s">
        <v>3229</v>
      </c>
      <c r="K18" t="s">
        <v>3229</v>
      </c>
      <c r="L18" s="8" t="s">
        <v>1955</v>
      </c>
      <c r="M18" s="4" t="s">
        <v>3229</v>
      </c>
      <c r="N18" s="4" t="s">
        <v>3593</v>
      </c>
      <c r="O18" s="75" t="s">
        <v>3229</v>
      </c>
      <c r="P18" s="75" t="s">
        <v>3229</v>
      </c>
      <c r="Q18" s="148" t="s">
        <v>3229</v>
      </c>
      <c r="R18">
        <v>2016</v>
      </c>
      <c r="S18" s="75" t="s">
        <v>3229</v>
      </c>
      <c r="T18" s="118">
        <v>41291</v>
      </c>
      <c r="U18" t="s">
        <v>3433</v>
      </c>
      <c r="V18" s="75"/>
      <c r="W18" t="s">
        <v>4387</v>
      </c>
      <c r="X18" t="s">
        <v>3457</v>
      </c>
    </row>
    <row r="19" spans="1:30">
      <c r="A19" t="s">
        <v>2599</v>
      </c>
      <c r="B19">
        <v>1</v>
      </c>
      <c r="F19" t="s">
        <v>3501</v>
      </c>
      <c r="G19" t="s">
        <v>3502</v>
      </c>
      <c r="H19" t="s">
        <v>3233</v>
      </c>
      <c r="I19" t="s">
        <v>3229</v>
      </c>
      <c r="J19" t="s">
        <v>3229</v>
      </c>
      <c r="K19" t="s">
        <v>3229</v>
      </c>
      <c r="L19" s="101" t="s">
        <v>2076</v>
      </c>
      <c r="M19" s="4" t="s">
        <v>3504</v>
      </c>
      <c r="N19" s="4" t="s">
        <v>3503</v>
      </c>
      <c r="O19" s="75" t="s">
        <v>3229</v>
      </c>
      <c r="P19" s="75" t="s">
        <v>3229</v>
      </c>
      <c r="Q19" s="148" t="s">
        <v>3229</v>
      </c>
      <c r="R19">
        <v>2016</v>
      </c>
      <c r="S19" s="75" t="s">
        <v>3229</v>
      </c>
      <c r="T19" s="118">
        <v>41234</v>
      </c>
      <c r="U19" t="s">
        <v>3433</v>
      </c>
      <c r="V19" s="75" t="s">
        <v>3223</v>
      </c>
      <c r="W19" t="s">
        <v>3459</v>
      </c>
    </row>
    <row r="20" spans="1:30">
      <c r="A20" t="s">
        <v>2451</v>
      </c>
      <c r="B20">
        <v>1</v>
      </c>
      <c r="F20" t="s">
        <v>3425</v>
      </c>
      <c r="G20" t="s">
        <v>3229</v>
      </c>
      <c r="H20" t="s">
        <v>3229</v>
      </c>
      <c r="I20" t="s">
        <v>3229</v>
      </c>
      <c r="J20" t="s">
        <v>3229</v>
      </c>
      <c r="K20" t="s">
        <v>3229</v>
      </c>
      <c r="L20" s="8" t="s">
        <v>2123</v>
      </c>
      <c r="M20" s="4" t="s">
        <v>3229</v>
      </c>
      <c r="N20" s="131" t="s">
        <v>3485</v>
      </c>
      <c r="O20" s="75" t="s">
        <v>3229</v>
      </c>
      <c r="P20" s="75" t="s">
        <v>3229</v>
      </c>
      <c r="Q20" s="148" t="s">
        <v>3229</v>
      </c>
      <c r="R20">
        <v>2016</v>
      </c>
      <c r="S20" s="75" t="s">
        <v>3229</v>
      </c>
      <c r="T20" s="118">
        <v>41232</v>
      </c>
      <c r="U20" t="s">
        <v>3433</v>
      </c>
      <c r="V20" s="75" t="s">
        <v>3223</v>
      </c>
      <c r="W20" t="s">
        <v>3439</v>
      </c>
    </row>
    <row r="21" spans="1:30">
      <c r="A21" t="s">
        <v>3172</v>
      </c>
      <c r="B21">
        <v>1</v>
      </c>
      <c r="F21" t="s">
        <v>3527</v>
      </c>
      <c r="G21" t="s">
        <v>3229</v>
      </c>
      <c r="H21" t="s">
        <v>3229</v>
      </c>
      <c r="I21" t="s">
        <v>3229</v>
      </c>
      <c r="J21" t="s">
        <v>3229</v>
      </c>
      <c r="K21" t="s">
        <v>3229</v>
      </c>
      <c r="L21" s="128" t="s">
        <v>2786</v>
      </c>
      <c r="M21" s="4" t="s">
        <v>3229</v>
      </c>
      <c r="N21" s="131" t="s">
        <v>3732</v>
      </c>
      <c r="O21" s="75" t="s">
        <v>3229</v>
      </c>
      <c r="P21" s="75" t="s">
        <v>3229</v>
      </c>
      <c r="Q21" s="148" t="s">
        <v>3229</v>
      </c>
      <c r="R21">
        <v>2016</v>
      </c>
      <c r="S21" s="75" t="s">
        <v>3229</v>
      </c>
      <c r="T21" s="118">
        <v>41254</v>
      </c>
      <c r="U21" t="s">
        <v>3433</v>
      </c>
      <c r="V21" s="75" t="s">
        <v>3223</v>
      </c>
      <c r="W21" t="s">
        <v>3733</v>
      </c>
    </row>
    <row r="22" spans="1:30">
      <c r="A22" t="s">
        <v>2540</v>
      </c>
      <c r="B22">
        <v>1</v>
      </c>
      <c r="F22" t="s">
        <v>3425</v>
      </c>
      <c r="G22" t="s">
        <v>3229</v>
      </c>
      <c r="H22" t="s">
        <v>3229</v>
      </c>
      <c r="I22" t="s">
        <v>3229</v>
      </c>
      <c r="J22" t="s">
        <v>3229</v>
      </c>
      <c r="K22" t="s">
        <v>3229</v>
      </c>
      <c r="L22" s="8" t="s">
        <v>903</v>
      </c>
      <c r="M22" s="4" t="s">
        <v>3229</v>
      </c>
      <c r="N22" s="131" t="s">
        <v>3671</v>
      </c>
      <c r="O22" s="75" t="s">
        <v>3229</v>
      </c>
      <c r="P22" s="75" t="s">
        <v>3229</v>
      </c>
      <c r="Q22" s="148">
        <v>41251</v>
      </c>
      <c r="R22">
        <v>2016</v>
      </c>
      <c r="S22" s="75" t="s">
        <v>3229</v>
      </c>
      <c r="T22" s="118">
        <v>41252</v>
      </c>
      <c r="U22" t="s">
        <v>3433</v>
      </c>
      <c r="V22" s="75" t="s">
        <v>3223</v>
      </c>
      <c r="W22" t="s">
        <v>3435</v>
      </c>
    </row>
    <row r="23" spans="1:30">
      <c r="A23" t="s">
        <v>2478</v>
      </c>
      <c r="B23">
        <v>1</v>
      </c>
      <c r="F23" t="s">
        <v>3425</v>
      </c>
      <c r="G23" t="s">
        <v>3229</v>
      </c>
      <c r="H23" t="s">
        <v>3229</v>
      </c>
      <c r="I23" t="s">
        <v>3229</v>
      </c>
      <c r="J23" t="s">
        <v>3229</v>
      </c>
      <c r="K23" t="s">
        <v>3229</v>
      </c>
      <c r="L23" s="128" t="s">
        <v>3028</v>
      </c>
      <c r="M23" s="4" t="s">
        <v>3229</v>
      </c>
      <c r="N23" s="131" t="s">
        <v>4292</v>
      </c>
      <c r="O23" s="75" t="s">
        <v>3229</v>
      </c>
      <c r="P23" s="75" t="s">
        <v>3229</v>
      </c>
      <c r="Q23" s="148" t="s">
        <v>3229</v>
      </c>
      <c r="R23">
        <v>2016</v>
      </c>
      <c r="S23" s="75" t="s">
        <v>3229</v>
      </c>
      <c r="T23" s="118">
        <v>41256</v>
      </c>
      <c r="U23" t="s">
        <v>3433</v>
      </c>
      <c r="V23" s="75" t="s">
        <v>3223</v>
      </c>
      <c r="W23" t="s">
        <v>4293</v>
      </c>
    </row>
    <row r="24" spans="1:30">
      <c r="A24" t="s">
        <v>1100</v>
      </c>
      <c r="B24">
        <v>1</v>
      </c>
      <c r="F24" t="s">
        <v>3527</v>
      </c>
      <c r="G24" t="s">
        <v>3229</v>
      </c>
      <c r="H24" t="s">
        <v>3229</v>
      </c>
      <c r="I24" t="s">
        <v>3229</v>
      </c>
      <c r="J24" t="s">
        <v>3229</v>
      </c>
      <c r="K24" t="s">
        <v>3229</v>
      </c>
      <c r="L24" s="8" t="s">
        <v>2730</v>
      </c>
      <c r="M24" s="4" t="s">
        <v>3543</v>
      </c>
      <c r="N24" s="131" t="s">
        <v>3542</v>
      </c>
      <c r="O24" s="75" t="s">
        <v>3229</v>
      </c>
      <c r="P24" s="75" t="s">
        <v>3229</v>
      </c>
      <c r="Q24" s="148">
        <v>41240</v>
      </c>
      <c r="R24">
        <v>2016</v>
      </c>
      <c r="S24" s="75" t="s">
        <v>3229</v>
      </c>
      <c r="T24" s="118">
        <v>41240</v>
      </c>
      <c r="U24" t="s">
        <v>3433</v>
      </c>
      <c r="V24" s="75" t="s">
        <v>3223</v>
      </c>
      <c r="W24" t="s">
        <v>3463</v>
      </c>
    </row>
    <row r="25" spans="1:30">
      <c r="A25" t="s">
        <v>2724</v>
      </c>
      <c r="B25">
        <v>1</v>
      </c>
      <c r="F25" t="s">
        <v>3608</v>
      </c>
      <c r="G25" t="s">
        <v>3609</v>
      </c>
      <c r="H25" t="s">
        <v>3233</v>
      </c>
      <c r="I25" t="s">
        <v>3229</v>
      </c>
      <c r="J25" t="s">
        <v>3229</v>
      </c>
      <c r="K25" t="s">
        <v>3229</v>
      </c>
      <c r="L25" s="8" t="s">
        <v>2779</v>
      </c>
      <c r="M25" s="4" t="s">
        <v>3540</v>
      </c>
      <c r="N25" s="4" t="s">
        <v>3610</v>
      </c>
      <c r="O25" s="75" t="s">
        <v>3229</v>
      </c>
      <c r="P25" s="75" t="s">
        <v>3229</v>
      </c>
      <c r="Q25" s="148">
        <v>41240</v>
      </c>
      <c r="R25">
        <v>2016</v>
      </c>
      <c r="S25" s="75" t="s">
        <v>3612</v>
      </c>
      <c r="T25" s="118">
        <v>41244</v>
      </c>
      <c r="U25" t="s">
        <v>612</v>
      </c>
      <c r="V25" s="75" t="s">
        <v>3223</v>
      </c>
      <c r="W25" t="s">
        <v>3611</v>
      </c>
      <c r="X25" t="s">
        <v>3447</v>
      </c>
    </row>
    <row r="26" spans="1:30">
      <c r="A26" t="s">
        <v>526</v>
      </c>
      <c r="B26">
        <v>1</v>
      </c>
      <c r="F26" t="s">
        <v>3425</v>
      </c>
      <c r="G26" t="s">
        <v>3229</v>
      </c>
      <c r="H26" t="s">
        <v>3229</v>
      </c>
      <c r="I26" t="s">
        <v>3229</v>
      </c>
      <c r="J26" t="s">
        <v>3229</v>
      </c>
      <c r="K26" t="s">
        <v>3229</v>
      </c>
      <c r="L26" s="8" t="s">
        <v>1921</v>
      </c>
      <c r="M26" s="4" t="s">
        <v>3229</v>
      </c>
      <c r="N26" s="4" t="s">
        <v>4389</v>
      </c>
      <c r="O26" s="75" t="s">
        <v>3229</v>
      </c>
      <c r="P26" s="75" t="s">
        <v>3229</v>
      </c>
      <c r="Q26" s="148" t="s">
        <v>3229</v>
      </c>
      <c r="R26">
        <v>2016</v>
      </c>
      <c r="S26" s="75" t="s">
        <v>3229</v>
      </c>
      <c r="T26" s="118">
        <v>41291</v>
      </c>
      <c r="U26" t="s">
        <v>3433</v>
      </c>
      <c r="V26" s="75" t="s">
        <v>3223</v>
      </c>
      <c r="W26" t="s">
        <v>4388</v>
      </c>
    </row>
    <row r="27" spans="1:30">
      <c r="A27" t="s">
        <v>2710</v>
      </c>
      <c r="B27">
        <v>1</v>
      </c>
      <c r="F27" t="s">
        <v>3425</v>
      </c>
      <c r="G27" t="s">
        <v>3229</v>
      </c>
      <c r="H27" t="s">
        <v>3229</v>
      </c>
      <c r="I27" t="s">
        <v>3229</v>
      </c>
      <c r="J27" t="s">
        <v>3229</v>
      </c>
      <c r="K27" t="s">
        <v>3229</v>
      </c>
      <c r="L27" s="8" t="s">
        <v>1405</v>
      </c>
      <c r="M27" s="4" t="s">
        <v>3713</v>
      </c>
      <c r="N27" s="4" t="s">
        <v>3712</v>
      </c>
      <c r="O27" s="75" t="s">
        <v>3229</v>
      </c>
      <c r="P27" s="75" t="s">
        <v>3229</v>
      </c>
      <c r="Q27" s="148" t="s">
        <v>3229</v>
      </c>
      <c r="R27">
        <v>2016</v>
      </c>
      <c r="S27" s="75" t="s">
        <v>3229</v>
      </c>
      <c r="T27" s="118">
        <v>41254</v>
      </c>
      <c r="U27" t="s">
        <v>3433</v>
      </c>
      <c r="V27" s="75" t="s">
        <v>3223</v>
      </c>
      <c r="W27" t="s">
        <v>3711</v>
      </c>
      <c r="X27" t="s">
        <v>3466</v>
      </c>
    </row>
    <row r="28" spans="1:30">
      <c r="A28" t="s">
        <v>1051</v>
      </c>
      <c r="B28">
        <v>1</v>
      </c>
      <c r="F28" t="s">
        <v>3481</v>
      </c>
      <c r="G28" t="s">
        <v>3666</v>
      </c>
      <c r="H28" t="s">
        <v>3233</v>
      </c>
      <c r="I28" t="s">
        <v>3229</v>
      </c>
      <c r="J28" t="s">
        <v>3229</v>
      </c>
      <c r="K28" t="s">
        <v>3229</v>
      </c>
      <c r="L28" s="8" t="s">
        <v>2589</v>
      </c>
      <c r="M28" s="4" t="s">
        <v>3488</v>
      </c>
      <c r="N28" s="131" t="s">
        <v>3667</v>
      </c>
      <c r="O28" s="75" t="s">
        <v>3229</v>
      </c>
      <c r="P28" s="75" t="s">
        <v>3229</v>
      </c>
      <c r="Q28" s="148" t="s">
        <v>3229</v>
      </c>
      <c r="R28">
        <v>2016</v>
      </c>
      <c r="S28" s="75" t="s">
        <v>3669</v>
      </c>
      <c r="T28" s="118">
        <v>41251</v>
      </c>
      <c r="U28" t="s">
        <v>612</v>
      </c>
      <c r="V28" s="75" t="s">
        <v>3223</v>
      </c>
      <c r="W28" t="s">
        <v>3668</v>
      </c>
      <c r="X28" t="s">
        <v>3472</v>
      </c>
    </row>
    <row r="29" spans="1:30">
      <c r="A29" t="s">
        <v>429</v>
      </c>
      <c r="B29">
        <v>1</v>
      </c>
      <c r="F29" t="s">
        <v>3481</v>
      </c>
      <c r="G29" t="s">
        <v>3658</v>
      </c>
      <c r="H29" t="s">
        <v>3233</v>
      </c>
      <c r="I29" t="s">
        <v>3229</v>
      </c>
      <c r="J29" t="s">
        <v>3229</v>
      </c>
      <c r="K29" t="s">
        <v>3659</v>
      </c>
      <c r="L29" s="8" t="s">
        <v>3191</v>
      </c>
      <c r="M29" s="4" t="s">
        <v>3522</v>
      </c>
      <c r="N29" s="131" t="s">
        <v>3660</v>
      </c>
      <c r="O29" s="75" t="s">
        <v>3229</v>
      </c>
      <c r="P29" s="75" t="s">
        <v>3229</v>
      </c>
      <c r="Q29" s="148" t="s">
        <v>3229</v>
      </c>
      <c r="R29">
        <v>2016</v>
      </c>
      <c r="S29" s="75" t="s">
        <v>3661</v>
      </c>
      <c r="T29" s="118">
        <v>41248</v>
      </c>
      <c r="U29" t="s">
        <v>3433</v>
      </c>
      <c r="V29" s="130" t="s">
        <v>3223</v>
      </c>
      <c r="W29" t="s">
        <v>3662</v>
      </c>
      <c r="X29" t="s">
        <v>3473</v>
      </c>
    </row>
    <row r="30" spans="1:30">
      <c r="A30" t="s">
        <v>2354</v>
      </c>
      <c r="B30">
        <v>1</v>
      </c>
      <c r="F30" t="s">
        <v>3425</v>
      </c>
      <c r="G30" t="s">
        <v>3229</v>
      </c>
      <c r="H30" t="s">
        <v>3229</v>
      </c>
      <c r="I30" t="s">
        <v>3229</v>
      </c>
      <c r="J30" t="s">
        <v>3229</v>
      </c>
      <c r="K30" t="s">
        <v>3229</v>
      </c>
      <c r="L30" s="8" t="s">
        <v>292</v>
      </c>
      <c r="M30" s="4" t="s">
        <v>3522</v>
      </c>
      <c r="N30" s="131" t="s">
        <v>3521</v>
      </c>
      <c r="O30" s="75" t="s">
        <v>3229</v>
      </c>
      <c r="P30" s="75" t="s">
        <v>3229</v>
      </c>
      <c r="Q30" s="148" t="s">
        <v>3229</v>
      </c>
      <c r="R30">
        <v>2016</v>
      </c>
      <c r="S30" s="75" t="s">
        <v>3229</v>
      </c>
      <c r="T30" s="118">
        <v>41234</v>
      </c>
      <c r="U30" t="s">
        <v>3433</v>
      </c>
      <c r="V30" s="75" t="s">
        <v>3223</v>
      </c>
      <c r="W30" t="s">
        <v>3523</v>
      </c>
      <c r="X30" t="s">
        <v>3443</v>
      </c>
    </row>
    <row r="31" spans="1:30">
      <c r="A31" t="s">
        <v>1200</v>
      </c>
      <c r="B31">
        <v>1</v>
      </c>
      <c r="F31" t="s">
        <v>3527</v>
      </c>
      <c r="G31" t="s">
        <v>3229</v>
      </c>
      <c r="H31" t="s">
        <v>3229</v>
      </c>
      <c r="I31" t="s">
        <v>3229</v>
      </c>
      <c r="J31" t="s">
        <v>3229</v>
      </c>
      <c r="K31" t="s">
        <v>3229</v>
      </c>
      <c r="L31" s="8" t="s">
        <v>2788</v>
      </c>
      <c r="M31" s="4" t="s">
        <v>3229</v>
      </c>
      <c r="N31" s="131" t="s">
        <v>3625</v>
      </c>
      <c r="O31" s="75" t="s">
        <v>3229</v>
      </c>
      <c r="P31" s="75" t="s">
        <v>3229</v>
      </c>
      <c r="Q31" s="148" t="s">
        <v>3229</v>
      </c>
      <c r="R31">
        <v>2016</v>
      </c>
      <c r="S31" s="75" t="s">
        <v>3229</v>
      </c>
      <c r="T31" s="118">
        <v>41245</v>
      </c>
      <c r="U31" t="s">
        <v>3433</v>
      </c>
      <c r="V31" s="75" t="s">
        <v>3223</v>
      </c>
      <c r="W31" t="s">
        <v>3624</v>
      </c>
    </row>
    <row r="32" spans="1:30">
      <c r="A32" t="s">
        <v>2405</v>
      </c>
      <c r="B32">
        <v>1</v>
      </c>
      <c r="F32" t="s">
        <v>3653</v>
      </c>
      <c r="G32" t="s">
        <v>3229</v>
      </c>
      <c r="H32" t="s">
        <v>3229</v>
      </c>
      <c r="I32" t="s">
        <v>3229</v>
      </c>
      <c r="J32" t="s">
        <v>3229</v>
      </c>
      <c r="K32" t="s">
        <v>3229</v>
      </c>
      <c r="L32" s="8" t="s">
        <v>2864</v>
      </c>
      <c r="M32" s="4" t="s">
        <v>3229</v>
      </c>
      <c r="N32" s="131" t="s">
        <v>3652</v>
      </c>
      <c r="O32" s="75" t="s">
        <v>3229</v>
      </c>
      <c r="P32" s="75" t="s">
        <v>3229</v>
      </c>
      <c r="Q32" s="148">
        <v>41248</v>
      </c>
      <c r="R32">
        <v>2016</v>
      </c>
      <c r="S32" s="75" t="s">
        <v>3229</v>
      </c>
      <c r="T32" s="118">
        <v>41248</v>
      </c>
      <c r="U32" t="s">
        <v>3433</v>
      </c>
      <c r="V32" s="75" t="s">
        <v>3223</v>
      </c>
      <c r="W32" t="s">
        <v>3651</v>
      </c>
    </row>
    <row r="33" spans="1:24">
      <c r="A33" t="s">
        <v>2756</v>
      </c>
      <c r="B33">
        <v>1</v>
      </c>
      <c r="F33" t="s">
        <v>3481</v>
      </c>
      <c r="G33" t="s">
        <v>3229</v>
      </c>
      <c r="H33" t="s">
        <v>3229</v>
      </c>
      <c r="I33" t="s">
        <v>3229</v>
      </c>
      <c r="J33" t="s">
        <v>3229</v>
      </c>
      <c r="K33" t="s">
        <v>3229</v>
      </c>
      <c r="L33" s="8" t="s">
        <v>3115</v>
      </c>
      <c r="M33" s="4" t="s">
        <v>3522</v>
      </c>
      <c r="N33" s="131" t="s">
        <v>3544</v>
      </c>
      <c r="O33" s="75" t="s">
        <v>3229</v>
      </c>
      <c r="P33" s="75" t="s">
        <v>3229</v>
      </c>
      <c r="Q33" s="148">
        <v>41299</v>
      </c>
      <c r="R33">
        <v>2016</v>
      </c>
      <c r="S33" s="75" t="s">
        <v>3545</v>
      </c>
      <c r="T33" s="118">
        <v>41300</v>
      </c>
      <c r="U33" t="s">
        <v>612</v>
      </c>
      <c r="V33" s="75" t="s">
        <v>3223</v>
      </c>
      <c r="W33" t="s">
        <v>4407</v>
      </c>
      <c r="X33" t="s">
        <v>3440</v>
      </c>
    </row>
    <row r="34" spans="1:24">
      <c r="A34" t="s">
        <v>192</v>
      </c>
      <c r="B34">
        <v>1</v>
      </c>
      <c r="F34" t="s">
        <v>3527</v>
      </c>
      <c r="G34" t="s">
        <v>3229</v>
      </c>
      <c r="H34" t="s">
        <v>3229</v>
      </c>
      <c r="I34" t="s">
        <v>3229</v>
      </c>
      <c r="J34" t="s">
        <v>3229</v>
      </c>
      <c r="K34" t="s">
        <v>3229</v>
      </c>
      <c r="L34" s="8" t="s">
        <v>1686</v>
      </c>
      <c r="M34" s="4" t="s">
        <v>3229</v>
      </c>
      <c r="N34" s="4" t="s">
        <v>4290</v>
      </c>
      <c r="O34" s="75" t="s">
        <v>3229</v>
      </c>
      <c r="P34" s="75" t="s">
        <v>3229</v>
      </c>
      <c r="Q34" s="148">
        <v>41282</v>
      </c>
      <c r="R34">
        <v>2016</v>
      </c>
      <c r="S34" s="75" t="s">
        <v>3229</v>
      </c>
      <c r="T34" s="118">
        <v>41297</v>
      </c>
      <c r="U34" t="s">
        <v>3433</v>
      </c>
      <c r="V34" s="75" t="s">
        <v>3223</v>
      </c>
      <c r="W34" t="s">
        <v>4408</v>
      </c>
      <c r="X34" t="s">
        <v>3456</v>
      </c>
    </row>
    <row r="35" spans="1:24">
      <c r="A35" t="s">
        <v>1107</v>
      </c>
      <c r="B35">
        <v>1</v>
      </c>
      <c r="F35" t="s">
        <v>3425</v>
      </c>
      <c r="G35" t="s">
        <v>3229</v>
      </c>
      <c r="H35" t="s">
        <v>3229</v>
      </c>
      <c r="I35" t="s">
        <v>3229</v>
      </c>
      <c r="J35" t="s">
        <v>3229</v>
      </c>
      <c r="K35" t="s">
        <v>3229</v>
      </c>
      <c r="L35" s="8" t="s">
        <v>2717</v>
      </c>
      <c r="M35" s="4" t="s">
        <v>4300</v>
      </c>
      <c r="N35" s="4" t="s">
        <v>4299</v>
      </c>
      <c r="O35" s="75" t="s">
        <v>3229</v>
      </c>
      <c r="P35" s="75" t="s">
        <v>3229</v>
      </c>
      <c r="Q35" s="148" t="s">
        <v>3229</v>
      </c>
      <c r="R35">
        <v>2016</v>
      </c>
      <c r="S35" s="75" t="s">
        <v>3229</v>
      </c>
      <c r="T35" s="118">
        <v>41260</v>
      </c>
      <c r="U35" t="s">
        <v>3433</v>
      </c>
      <c r="V35" s="75" t="s">
        <v>3223</v>
      </c>
      <c r="W35" t="s">
        <v>3437</v>
      </c>
    </row>
    <row r="36" spans="1:24">
      <c r="A36" t="s">
        <v>2362</v>
      </c>
      <c r="B36">
        <v>1</v>
      </c>
      <c r="F36" t="s">
        <v>3425</v>
      </c>
      <c r="G36" t="s">
        <v>3229</v>
      </c>
      <c r="H36" t="s">
        <v>3229</v>
      </c>
      <c r="I36" t="s">
        <v>3229</v>
      </c>
      <c r="J36" t="s">
        <v>3229</v>
      </c>
      <c r="K36" t="s">
        <v>3229</v>
      </c>
      <c r="L36" s="8" t="s">
        <v>2379</v>
      </c>
      <c r="M36" s="4" t="s">
        <v>3500</v>
      </c>
      <c r="N36" s="4" t="s">
        <v>3499</v>
      </c>
      <c r="O36" s="75" t="s">
        <v>3229</v>
      </c>
      <c r="P36" s="75" t="s">
        <v>3229</v>
      </c>
      <c r="Q36" s="148">
        <v>41230</v>
      </c>
      <c r="R36">
        <v>2016</v>
      </c>
      <c r="S36" s="75" t="s">
        <v>3229</v>
      </c>
      <c r="T36" s="118">
        <v>41233</v>
      </c>
      <c r="U36" t="s">
        <v>3433</v>
      </c>
      <c r="V36" s="75" t="s">
        <v>3223</v>
      </c>
      <c r="W36" t="s">
        <v>3442</v>
      </c>
    </row>
    <row r="37" spans="1:24">
      <c r="A37" t="s">
        <v>736</v>
      </c>
      <c r="B37">
        <v>1</v>
      </c>
      <c r="F37" t="s">
        <v>3527</v>
      </c>
      <c r="G37" t="s">
        <v>3229</v>
      </c>
      <c r="H37" t="s">
        <v>3229</v>
      </c>
      <c r="I37" t="s">
        <v>3229</v>
      </c>
      <c r="J37" t="s">
        <v>3229</v>
      </c>
      <c r="K37" t="s">
        <v>3229</v>
      </c>
      <c r="L37" s="8" t="s">
        <v>2861</v>
      </c>
      <c r="M37" s="4" t="s">
        <v>3599</v>
      </c>
      <c r="N37" s="4" t="s">
        <v>3598</v>
      </c>
      <c r="O37" s="75" t="s">
        <v>3229</v>
      </c>
      <c r="P37" s="75" t="s">
        <v>3229</v>
      </c>
      <c r="Q37" s="148" t="s">
        <v>3229</v>
      </c>
      <c r="R37">
        <v>2016</v>
      </c>
      <c r="S37" s="75" t="s">
        <v>3229</v>
      </c>
      <c r="T37" s="118">
        <v>41243</v>
      </c>
      <c r="U37" t="s">
        <v>3433</v>
      </c>
      <c r="V37" s="75" t="s">
        <v>3223</v>
      </c>
      <c r="W37" t="s">
        <v>3600</v>
      </c>
      <c r="X37" t="s">
        <v>3468</v>
      </c>
    </row>
    <row r="38" spans="1:24">
      <c r="A38" t="s">
        <v>1272</v>
      </c>
      <c r="B38">
        <v>1</v>
      </c>
      <c r="F38" t="s">
        <v>3425</v>
      </c>
      <c r="G38" t="s">
        <v>3229</v>
      </c>
      <c r="H38" t="s">
        <v>3229</v>
      </c>
      <c r="I38" t="s">
        <v>3229</v>
      </c>
      <c r="J38" t="s">
        <v>3229</v>
      </c>
      <c r="K38" t="s">
        <v>3229</v>
      </c>
      <c r="L38" s="8" t="s">
        <v>3118</v>
      </c>
      <c r="M38" s="4" t="s">
        <v>3229</v>
      </c>
      <c r="N38" s="131" t="s">
        <v>3478</v>
      </c>
      <c r="O38" s="75" t="s">
        <v>3229</v>
      </c>
      <c r="P38" s="75" t="s">
        <v>3229</v>
      </c>
      <c r="Q38" s="118">
        <v>41230</v>
      </c>
      <c r="R38">
        <v>2016</v>
      </c>
      <c r="S38" s="75" t="s">
        <v>3229</v>
      </c>
      <c r="T38" s="118">
        <v>41230</v>
      </c>
      <c r="U38" t="s">
        <v>3433</v>
      </c>
      <c r="V38" s="75" t="s">
        <v>3223</v>
      </c>
      <c r="W38" t="s">
        <v>3469</v>
      </c>
    </row>
    <row r="39" spans="1:24">
      <c r="A39" t="s">
        <v>554</v>
      </c>
      <c r="B39">
        <v>1</v>
      </c>
      <c r="F39" t="s">
        <v>3482</v>
      </c>
      <c r="G39" t="s">
        <v>3229</v>
      </c>
      <c r="H39" t="s">
        <v>3229</v>
      </c>
      <c r="I39" t="s">
        <v>3229</v>
      </c>
      <c r="J39" t="s">
        <v>3229</v>
      </c>
      <c r="K39" t="s">
        <v>3229</v>
      </c>
      <c r="L39" s="8" t="s">
        <v>1518</v>
      </c>
      <c r="M39" s="4" t="s">
        <v>3665</v>
      </c>
      <c r="N39" s="4" t="s">
        <v>3664</v>
      </c>
      <c r="O39" s="75" t="s">
        <v>3229</v>
      </c>
      <c r="P39" s="75" t="s">
        <v>3229</v>
      </c>
      <c r="Q39" s="148" t="s">
        <v>3229</v>
      </c>
      <c r="R39">
        <v>2016</v>
      </c>
      <c r="S39" s="75" t="s">
        <v>3229</v>
      </c>
      <c r="T39" s="118">
        <v>41250</v>
      </c>
      <c r="U39" t="s">
        <v>612</v>
      </c>
      <c r="V39" s="75" t="s">
        <v>3223</v>
      </c>
      <c r="W39" s="4" t="s">
        <v>3663</v>
      </c>
      <c r="X39" s="135" t="s">
        <v>3455</v>
      </c>
    </row>
    <row r="40" spans="1:24">
      <c r="A40" t="s">
        <v>1019</v>
      </c>
      <c r="B40">
        <v>1</v>
      </c>
      <c r="F40" t="s">
        <v>3425</v>
      </c>
      <c r="G40" t="s">
        <v>3229</v>
      </c>
      <c r="H40" t="s">
        <v>3229</v>
      </c>
      <c r="I40" t="s">
        <v>3229</v>
      </c>
      <c r="J40" t="s">
        <v>3229</v>
      </c>
      <c r="K40" t="s">
        <v>3229</v>
      </c>
      <c r="L40" s="8" t="s">
        <v>1441</v>
      </c>
      <c r="M40" s="4" t="s">
        <v>3229</v>
      </c>
      <c r="N40" s="4" t="s">
        <v>4356</v>
      </c>
      <c r="O40" s="75" t="s">
        <v>3229</v>
      </c>
      <c r="P40" s="75" t="s">
        <v>3229</v>
      </c>
      <c r="Q40" s="148" t="s">
        <v>3229</v>
      </c>
      <c r="R40">
        <v>2016</v>
      </c>
      <c r="S40" s="75" t="s">
        <v>3229</v>
      </c>
      <c r="T40" s="118">
        <v>41228</v>
      </c>
      <c r="U40" t="s">
        <v>3433</v>
      </c>
      <c r="V40" s="75" t="s">
        <v>3223</v>
      </c>
      <c r="W40" t="s">
        <v>3446</v>
      </c>
    </row>
    <row r="41" spans="1:24">
      <c r="A41" t="s">
        <v>1114</v>
      </c>
      <c r="B41">
        <v>1</v>
      </c>
      <c r="F41" t="s">
        <v>3425</v>
      </c>
      <c r="G41" t="s">
        <v>3229</v>
      </c>
      <c r="H41" t="s">
        <v>3229</v>
      </c>
      <c r="I41" t="s">
        <v>3229</v>
      </c>
      <c r="J41" t="s">
        <v>3229</v>
      </c>
      <c r="K41" t="s">
        <v>3229</v>
      </c>
      <c r="L41" s="8" t="s">
        <v>1028</v>
      </c>
      <c r="M41" s="4" t="s">
        <v>3594</v>
      </c>
      <c r="N41" s="4" t="s">
        <v>3593</v>
      </c>
      <c r="O41" s="75" t="s">
        <v>3229</v>
      </c>
      <c r="P41" s="75" t="s">
        <v>3229</v>
      </c>
      <c r="Q41" s="148">
        <v>41242</v>
      </c>
      <c r="R41">
        <v>2016</v>
      </c>
      <c r="S41" s="75" t="s">
        <v>3229</v>
      </c>
      <c r="T41" s="118">
        <v>41242</v>
      </c>
      <c r="U41" t="s">
        <v>3433</v>
      </c>
      <c r="V41" s="75" t="s">
        <v>3223</v>
      </c>
      <c r="W41" t="s">
        <v>3438</v>
      </c>
    </row>
    <row r="42" spans="1:24">
      <c r="A42" t="s">
        <v>2145</v>
      </c>
      <c r="B42">
        <v>1</v>
      </c>
      <c r="F42" t="s">
        <v>3425</v>
      </c>
      <c r="G42" t="s">
        <v>3229</v>
      </c>
      <c r="H42" t="s">
        <v>3229</v>
      </c>
      <c r="I42" t="s">
        <v>3229</v>
      </c>
      <c r="J42" t="s">
        <v>3229</v>
      </c>
      <c r="K42" t="s">
        <v>3229</v>
      </c>
      <c r="L42" s="8" t="s">
        <v>62</v>
      </c>
      <c r="M42" s="4" t="s">
        <v>3488</v>
      </c>
      <c r="N42" s="131" t="s">
        <v>3487</v>
      </c>
      <c r="O42" s="75" t="s">
        <v>3229</v>
      </c>
      <c r="P42" s="75" t="s">
        <v>3229</v>
      </c>
      <c r="Q42" s="148">
        <v>41228</v>
      </c>
      <c r="R42">
        <v>2016</v>
      </c>
      <c r="S42" s="75" t="s">
        <v>3229</v>
      </c>
      <c r="T42" s="118">
        <v>41230</v>
      </c>
      <c r="U42" t="s">
        <v>3433</v>
      </c>
      <c r="V42" s="75" t="s">
        <v>3223</v>
      </c>
      <c r="W42" t="s">
        <v>3460</v>
      </c>
    </row>
    <row r="43" spans="1:24">
      <c r="A43" t="s">
        <v>2026</v>
      </c>
      <c r="B43">
        <v>1</v>
      </c>
      <c r="F43" t="s">
        <v>4353</v>
      </c>
      <c r="G43" t="s">
        <v>4354</v>
      </c>
      <c r="H43" t="s">
        <v>3233</v>
      </c>
      <c r="I43" t="s">
        <v>3229</v>
      </c>
      <c r="J43" t="s">
        <v>3229</v>
      </c>
      <c r="K43" t="s">
        <v>3229</v>
      </c>
      <c r="L43" s="8" t="s">
        <v>1379</v>
      </c>
      <c r="M43" s="4" t="s">
        <v>3229</v>
      </c>
      <c r="N43" s="131" t="s">
        <v>4355</v>
      </c>
      <c r="O43" s="75" t="s">
        <v>3229</v>
      </c>
      <c r="P43" s="75" t="s">
        <v>3229</v>
      </c>
      <c r="Q43" s="148">
        <v>41227</v>
      </c>
      <c r="R43">
        <v>2016</v>
      </c>
      <c r="S43" s="75" t="s">
        <v>3545</v>
      </c>
      <c r="T43" s="118">
        <v>41258</v>
      </c>
      <c r="U43" t="s">
        <v>3433</v>
      </c>
      <c r="V43" s="75" t="s">
        <v>3223</v>
      </c>
      <c r="W43" t="s">
        <v>4352</v>
      </c>
      <c r="X43" t="s">
        <v>3441</v>
      </c>
    </row>
    <row r="44" spans="1:24">
      <c r="A44" t="s">
        <v>2523</v>
      </c>
      <c r="B44">
        <v>1</v>
      </c>
      <c r="F44" t="s">
        <v>3541</v>
      </c>
      <c r="G44" t="s">
        <v>3229</v>
      </c>
      <c r="H44" t="s">
        <v>3229</v>
      </c>
      <c r="I44" t="s">
        <v>3229</v>
      </c>
      <c r="J44" t="s">
        <v>3229</v>
      </c>
      <c r="K44" t="s">
        <v>3229</v>
      </c>
      <c r="L44" s="8" t="s">
        <v>2387</v>
      </c>
      <c r="M44" s="4" t="s">
        <v>3486</v>
      </c>
      <c r="N44" s="4" t="s">
        <v>4268</v>
      </c>
      <c r="O44" s="75" t="s">
        <v>3229</v>
      </c>
      <c r="P44" s="75" t="s">
        <v>3229</v>
      </c>
      <c r="Q44" s="148" t="s">
        <v>3229</v>
      </c>
      <c r="R44">
        <v>2016</v>
      </c>
      <c r="S44" s="75" t="s">
        <v>3491</v>
      </c>
      <c r="T44" s="118">
        <v>41255</v>
      </c>
      <c r="U44" t="s">
        <v>3433</v>
      </c>
      <c r="V44" s="75" t="s">
        <v>3223</v>
      </c>
      <c r="W44" t="s">
        <v>4267</v>
      </c>
      <c r="X44" t="s">
        <v>3434</v>
      </c>
    </row>
    <row r="45" spans="1:24">
      <c r="A45" t="s">
        <v>492</v>
      </c>
      <c r="B45">
        <v>1</v>
      </c>
      <c r="F45" t="s">
        <v>3425</v>
      </c>
      <c r="G45" t="s">
        <v>3229</v>
      </c>
      <c r="H45" t="s">
        <v>3229</v>
      </c>
      <c r="I45" t="s">
        <v>3229</v>
      </c>
      <c r="J45" t="s">
        <v>3229</v>
      </c>
      <c r="K45" t="s">
        <v>3229</v>
      </c>
      <c r="L45" s="8" t="s">
        <v>2941</v>
      </c>
      <c r="M45" s="4" t="s">
        <v>3229</v>
      </c>
      <c r="N45" s="131" t="s">
        <v>3569</v>
      </c>
      <c r="O45" s="75" t="s">
        <v>3229</v>
      </c>
      <c r="P45" s="75" t="s">
        <v>3229</v>
      </c>
      <c r="Q45" s="148" t="s">
        <v>3229</v>
      </c>
      <c r="R45">
        <v>2016</v>
      </c>
      <c r="S45" s="75" t="s">
        <v>3229</v>
      </c>
      <c r="T45" s="118">
        <v>41242</v>
      </c>
      <c r="U45" t="s">
        <v>3433</v>
      </c>
      <c r="V45" s="75" t="s">
        <v>3223</v>
      </c>
      <c r="W45" t="s">
        <v>3568</v>
      </c>
    </row>
    <row r="46" spans="1:24">
      <c r="A46" t="s">
        <v>277</v>
      </c>
      <c r="B46">
        <v>1</v>
      </c>
      <c r="F46" t="s">
        <v>3481</v>
      </c>
      <c r="G46" t="s">
        <v>3554</v>
      </c>
      <c r="H46" t="s">
        <v>3555</v>
      </c>
      <c r="I46" t="s">
        <v>3556</v>
      </c>
      <c r="J46" t="s">
        <v>3557</v>
      </c>
      <c r="K46" t="s">
        <v>3229</v>
      </c>
      <c r="L46" s="8" t="s">
        <v>3146</v>
      </c>
      <c r="M46" s="4" t="s">
        <v>3540</v>
      </c>
      <c r="N46" s="131" t="s">
        <v>3553</v>
      </c>
      <c r="O46" s="75" t="s">
        <v>3229</v>
      </c>
      <c r="P46" s="75" t="s">
        <v>3229</v>
      </c>
      <c r="Q46" s="148">
        <v>41240</v>
      </c>
      <c r="R46">
        <v>2016</v>
      </c>
      <c r="S46" s="75" t="s">
        <v>3229</v>
      </c>
      <c r="T46" s="118">
        <v>41241</v>
      </c>
      <c r="U46" t="s">
        <v>612</v>
      </c>
      <c r="V46" s="75" t="s">
        <v>3223</v>
      </c>
      <c r="W46" t="s">
        <v>3552</v>
      </c>
      <c r="X46" t="s">
        <v>3449</v>
      </c>
    </row>
    <row r="47" spans="1:24">
      <c r="A47" t="s">
        <v>726</v>
      </c>
      <c r="B47">
        <v>1</v>
      </c>
      <c r="F47" t="s">
        <v>3481</v>
      </c>
      <c r="G47" t="s">
        <v>3229</v>
      </c>
      <c r="H47" t="s">
        <v>3229</v>
      </c>
      <c r="I47" t="s">
        <v>3229</v>
      </c>
      <c r="J47" t="s">
        <v>3229</v>
      </c>
      <c r="K47" t="s">
        <v>3229</v>
      </c>
      <c r="L47" s="8" t="s">
        <v>2814</v>
      </c>
      <c r="M47" s="4" t="s">
        <v>3489</v>
      </c>
      <c r="N47" s="131" t="s">
        <v>3477</v>
      </c>
      <c r="O47" s="75" t="s">
        <v>3229</v>
      </c>
      <c r="P47" s="75" t="s">
        <v>3229</v>
      </c>
      <c r="Q47" s="148">
        <v>41226</v>
      </c>
      <c r="R47">
        <v>2016</v>
      </c>
      <c r="S47" s="75" t="s">
        <v>3490</v>
      </c>
      <c r="T47" s="118">
        <v>41229</v>
      </c>
      <c r="U47" t="s">
        <v>612</v>
      </c>
      <c r="V47" s="75" t="s">
        <v>3223</v>
      </c>
      <c r="W47" t="s">
        <v>3476</v>
      </c>
      <c r="X47" t="s">
        <v>3448</v>
      </c>
    </row>
    <row r="48" spans="1:24">
      <c r="A48" t="s">
        <v>1008</v>
      </c>
      <c r="B48">
        <v>1</v>
      </c>
      <c r="F48" t="s">
        <v>3425</v>
      </c>
      <c r="G48" t="s">
        <v>3229</v>
      </c>
      <c r="H48" t="s">
        <v>3229</v>
      </c>
      <c r="I48" t="s">
        <v>3229</v>
      </c>
      <c r="J48" t="s">
        <v>3229</v>
      </c>
      <c r="K48" t="s">
        <v>3229</v>
      </c>
      <c r="L48" s="8" t="s">
        <v>746</v>
      </c>
      <c r="M48" s="4" t="s">
        <v>3229</v>
      </c>
      <c r="N48" s="4" t="s">
        <v>3524</v>
      </c>
      <c r="O48" s="75" t="s">
        <v>3229</v>
      </c>
      <c r="P48" s="75" t="s">
        <v>3229</v>
      </c>
      <c r="Q48" s="148" t="s">
        <v>3229</v>
      </c>
      <c r="R48">
        <v>2016</v>
      </c>
      <c r="S48" s="75" t="s">
        <v>3229</v>
      </c>
      <c r="T48" s="118">
        <v>41235</v>
      </c>
      <c r="U48" t="s">
        <v>3433</v>
      </c>
      <c r="V48" s="75" t="s">
        <v>3223</v>
      </c>
      <c r="W48" t="s">
        <v>3436</v>
      </c>
    </row>
    <row r="49" spans="1:31">
      <c r="A49" t="s">
        <v>692</v>
      </c>
      <c r="B49">
        <v>1</v>
      </c>
      <c r="F49" t="s">
        <v>3425</v>
      </c>
      <c r="G49" t="s">
        <v>3229</v>
      </c>
      <c r="H49" t="s">
        <v>3229</v>
      </c>
      <c r="I49" t="s">
        <v>3229</v>
      </c>
      <c r="J49" t="s">
        <v>3229</v>
      </c>
      <c r="K49" t="s">
        <v>3229</v>
      </c>
      <c r="L49" s="8" t="s">
        <v>1993</v>
      </c>
      <c r="M49" s="75" t="s">
        <v>3229</v>
      </c>
      <c r="N49" s="131" t="s">
        <v>3445</v>
      </c>
      <c r="O49" s="75" t="s">
        <v>3229</v>
      </c>
      <c r="P49" s="75" t="s">
        <v>3229</v>
      </c>
      <c r="Q49" s="148" t="s">
        <v>3229</v>
      </c>
      <c r="R49">
        <v>2016</v>
      </c>
      <c r="S49" s="75" t="s">
        <v>3229</v>
      </c>
      <c r="T49" s="156">
        <v>41252</v>
      </c>
      <c r="U49" t="s">
        <v>3433</v>
      </c>
      <c r="V49" s="75" t="s">
        <v>3223</v>
      </c>
      <c r="W49" t="s">
        <v>3444</v>
      </c>
      <c r="AA49" s="157"/>
      <c r="AB49" s="157"/>
      <c r="AC49" s="118"/>
      <c r="AD49" s="118"/>
      <c r="AE49" s="157"/>
    </row>
    <row r="50" spans="1:31">
      <c r="A50" t="s">
        <v>2357</v>
      </c>
      <c r="B50">
        <v>1</v>
      </c>
      <c r="F50" t="s">
        <v>3425</v>
      </c>
      <c r="G50" t="s">
        <v>3229</v>
      </c>
      <c r="H50" t="s">
        <v>3229</v>
      </c>
      <c r="I50" t="s">
        <v>3229</v>
      </c>
      <c r="J50" t="s">
        <v>3229</v>
      </c>
      <c r="K50" t="s">
        <v>3229</v>
      </c>
      <c r="L50" s="8" t="s">
        <v>620</v>
      </c>
      <c r="M50" s="4" t="s">
        <v>4298</v>
      </c>
      <c r="N50" s="131" t="s">
        <v>4297</v>
      </c>
      <c r="O50" s="75" t="s">
        <v>3229</v>
      </c>
      <c r="P50" s="75" t="s">
        <v>3229</v>
      </c>
      <c r="Q50" s="148" t="s">
        <v>3229</v>
      </c>
      <c r="R50">
        <v>2016</v>
      </c>
      <c r="S50" s="75" t="s">
        <v>3229</v>
      </c>
      <c r="T50" s="118">
        <v>41258</v>
      </c>
      <c r="U50" t="s">
        <v>3433</v>
      </c>
      <c r="V50" s="75" t="s">
        <v>3223</v>
      </c>
      <c r="W50" t="s">
        <v>4296</v>
      </c>
    </row>
    <row r="51" spans="1:31">
      <c r="A51" t="s">
        <v>1122</v>
      </c>
      <c r="B51">
        <v>1</v>
      </c>
      <c r="F51" t="s">
        <v>3481</v>
      </c>
      <c r="G51" t="s">
        <v>3229</v>
      </c>
      <c r="H51" t="s">
        <v>3229</v>
      </c>
      <c r="I51" t="s">
        <v>3229</v>
      </c>
      <c r="J51" t="s">
        <v>3229</v>
      </c>
      <c r="K51" t="s">
        <v>3229</v>
      </c>
      <c r="L51" s="128" t="s">
        <v>3238</v>
      </c>
      <c r="M51" s="4" t="s">
        <v>3498</v>
      </c>
      <c r="N51" s="131" t="s">
        <v>3615</v>
      </c>
      <c r="O51" s="75" t="s">
        <v>3229</v>
      </c>
      <c r="P51" s="75" t="s">
        <v>3229</v>
      </c>
      <c r="Q51" s="148">
        <v>41255</v>
      </c>
      <c r="R51">
        <v>2016</v>
      </c>
      <c r="S51" s="75" t="s">
        <v>3616</v>
      </c>
      <c r="T51" s="118">
        <v>41255</v>
      </c>
      <c r="U51" t="s">
        <v>3433</v>
      </c>
      <c r="V51" s="75" t="s">
        <v>3223</v>
      </c>
      <c r="W51" t="s">
        <v>4291</v>
      </c>
    </row>
    <row r="52" spans="1:31">
      <c r="A52" t="s">
        <v>709</v>
      </c>
      <c r="B52">
        <v>1</v>
      </c>
      <c r="F52" t="s">
        <v>3482</v>
      </c>
      <c r="G52" t="s">
        <v>3229</v>
      </c>
      <c r="H52" t="s">
        <v>3229</v>
      </c>
      <c r="I52" t="s">
        <v>3229</v>
      </c>
      <c r="J52" t="s">
        <v>3229</v>
      </c>
      <c r="K52" t="s">
        <v>3229</v>
      </c>
      <c r="L52" s="8" t="s">
        <v>2870</v>
      </c>
      <c r="M52" s="4" t="s">
        <v>3486</v>
      </c>
      <c r="N52" s="4" t="s">
        <v>3475</v>
      </c>
      <c r="O52" s="75" t="s">
        <v>3229</v>
      </c>
      <c r="P52" s="75" t="s">
        <v>3229</v>
      </c>
      <c r="Q52" s="148" t="s">
        <v>3229</v>
      </c>
      <c r="R52">
        <v>2016</v>
      </c>
      <c r="S52" s="75" t="s">
        <v>3491</v>
      </c>
      <c r="T52" s="118">
        <v>41228</v>
      </c>
      <c r="U52" t="s">
        <v>612</v>
      </c>
      <c r="V52" t="s">
        <v>3223</v>
      </c>
      <c r="W52" t="s">
        <v>3474</v>
      </c>
    </row>
    <row r="54" spans="1:31">
      <c r="A54" s="62"/>
      <c r="M54" s="75"/>
      <c r="O54" s="75"/>
      <c r="P54" s="75"/>
      <c r="V54" s="75"/>
    </row>
    <row r="55" spans="1:31">
      <c r="A55" s="62"/>
      <c r="L55" s="62"/>
      <c r="M55" s="62"/>
      <c r="N55" s="155"/>
      <c r="O55" s="62"/>
      <c r="P55" s="62"/>
      <c r="Q55" s="76"/>
      <c r="R55" s="152"/>
      <c r="S55" s="153"/>
      <c r="V55" s="62"/>
    </row>
    <row r="56" spans="1:31">
      <c r="L56" s="8"/>
      <c r="M56" s="130"/>
      <c r="N56" s="131"/>
      <c r="O56" s="130"/>
      <c r="P56" s="130"/>
      <c r="Q56" s="118"/>
      <c r="R56"/>
      <c r="S56" s="148"/>
      <c r="T56" s="118"/>
      <c r="U56" s="125"/>
    </row>
    <row r="57" spans="1:31">
      <c r="L57" s="8"/>
      <c r="M57" s="131"/>
      <c r="N57" s="131"/>
      <c r="O57" s="131"/>
      <c r="P57" s="131"/>
      <c r="Q57" s="118"/>
      <c r="R57"/>
      <c r="S57" s="148"/>
      <c r="T57" s="118"/>
      <c r="V57" s="75"/>
    </row>
    <row r="58" spans="1:31">
      <c r="L58" s="8"/>
      <c r="M58" s="131"/>
      <c r="N58" s="131"/>
      <c r="O58" s="131"/>
      <c r="P58" s="131"/>
      <c r="Q58" s="118"/>
      <c r="R58"/>
      <c r="S58" s="148"/>
      <c r="T58" s="118"/>
      <c r="U58" s="125"/>
    </row>
    <row r="59" spans="1:31">
      <c r="L59" s="8"/>
      <c r="M59" s="4"/>
      <c r="O59" s="75"/>
      <c r="P59" s="75"/>
      <c r="Q59" s="148"/>
      <c r="R59"/>
      <c r="S59" s="75"/>
      <c r="T59" s="118"/>
    </row>
    <row r="60" spans="1:31">
      <c r="L60" s="8"/>
      <c r="M60" s="4"/>
      <c r="O60" s="75"/>
      <c r="P60" s="75"/>
      <c r="Q60" s="148"/>
      <c r="R60"/>
      <c r="S60" s="75"/>
      <c r="T60" s="118"/>
      <c r="V60" s="75"/>
    </row>
    <row r="61" spans="1:31">
      <c r="L61" s="8"/>
      <c r="M61" s="4"/>
      <c r="N61" s="131"/>
      <c r="O61" s="75"/>
      <c r="P61" s="75"/>
      <c r="Q61" s="148"/>
      <c r="R61"/>
      <c r="S61" s="75"/>
      <c r="T61" s="118"/>
      <c r="V61" s="75"/>
    </row>
    <row r="62" spans="1:31">
      <c r="L62" s="8"/>
      <c r="M62" s="4"/>
      <c r="N62" s="131"/>
      <c r="O62" s="75"/>
      <c r="P62" s="75"/>
      <c r="Q62" s="148"/>
      <c r="R62"/>
      <c r="S62" s="75"/>
      <c r="T62" s="118"/>
      <c r="V62" s="75"/>
    </row>
    <row r="63" spans="1:31">
      <c r="L63" s="8"/>
      <c r="M63" s="131"/>
      <c r="N63" s="131"/>
      <c r="O63" s="130"/>
      <c r="P63" s="130"/>
      <c r="Q63" s="148"/>
      <c r="R63"/>
      <c r="S63" s="148"/>
      <c r="T63" s="118"/>
      <c r="U63" s="125"/>
      <c r="V63" s="75"/>
    </row>
    <row r="64" spans="1:31" ht="13" customHeight="1">
      <c r="L64" s="8"/>
      <c r="M64" s="131"/>
      <c r="N64" s="131"/>
      <c r="O64" s="130"/>
      <c r="P64" s="130"/>
      <c r="Q64" s="118"/>
      <c r="R64"/>
      <c r="S64" s="148"/>
      <c r="T64" s="118"/>
      <c r="U64" s="125"/>
      <c r="V64" s="75"/>
    </row>
    <row r="65" spans="1:24">
      <c r="L65" s="8"/>
      <c r="M65" s="131"/>
      <c r="N65" s="131"/>
      <c r="O65" s="75"/>
      <c r="P65" s="75"/>
      <c r="Q65" s="148"/>
      <c r="R65"/>
      <c r="S65" s="75"/>
      <c r="T65" s="118"/>
      <c r="V65" s="75"/>
    </row>
    <row r="66" spans="1:24">
      <c r="L66" s="8"/>
      <c r="M66" s="131"/>
      <c r="N66" s="131"/>
      <c r="O66" s="130"/>
      <c r="P66" s="130"/>
      <c r="Q66" s="118"/>
      <c r="R66"/>
      <c r="S66" s="148"/>
      <c r="T66" s="118"/>
      <c r="U66" s="125"/>
      <c r="V66" s="75"/>
    </row>
    <row r="67" spans="1:24">
      <c r="L67" s="8"/>
      <c r="M67" s="131"/>
      <c r="N67" s="131"/>
      <c r="O67" s="131"/>
      <c r="P67" s="131"/>
      <c r="Q67" s="148"/>
      <c r="R67"/>
      <c r="S67" s="148"/>
      <c r="T67" s="118"/>
      <c r="U67" s="125"/>
      <c r="V67" s="75"/>
    </row>
    <row r="68" spans="1:24">
      <c r="L68" s="8"/>
      <c r="M68" s="4"/>
      <c r="N68" s="131"/>
      <c r="O68" s="75"/>
      <c r="P68" s="75"/>
      <c r="Q68" s="148"/>
      <c r="R68"/>
      <c r="S68" s="75"/>
      <c r="T68" s="118"/>
      <c r="V68" s="75"/>
    </row>
    <row r="69" spans="1:24" s="8" customFormat="1">
      <c r="A69"/>
      <c r="F69" s="128"/>
      <c r="M69" s="131"/>
      <c r="N69" s="131"/>
      <c r="Q69" s="156"/>
      <c r="S69" s="131"/>
      <c r="T69" s="156"/>
      <c r="U69" s="128"/>
      <c r="V69" s="128"/>
      <c r="X69" s="128"/>
    </row>
    <row r="70" spans="1:24">
      <c r="L70" s="8"/>
      <c r="M70" s="4"/>
      <c r="N70" s="131"/>
      <c r="O70" s="75"/>
      <c r="P70" s="75"/>
      <c r="Q70" s="148"/>
      <c r="R70"/>
      <c r="S70" s="75"/>
      <c r="T70" s="118"/>
      <c r="V70" s="130"/>
    </row>
    <row r="71" spans="1:24">
      <c r="L71" s="8"/>
      <c r="M71" s="4"/>
      <c r="N71" s="131"/>
      <c r="O71" s="75"/>
      <c r="P71" s="75"/>
      <c r="Q71" s="148"/>
      <c r="R71"/>
      <c r="S71" s="75"/>
      <c r="T71" s="118"/>
      <c r="V71" s="130"/>
    </row>
    <row r="72" spans="1:24">
      <c r="L72" s="8"/>
      <c r="M72" s="4"/>
      <c r="N72" s="131"/>
      <c r="O72" s="75"/>
      <c r="P72" s="75"/>
      <c r="Q72" s="148"/>
      <c r="R72"/>
      <c r="S72" s="75"/>
      <c r="T72" s="118"/>
      <c r="V72" s="75"/>
    </row>
    <row r="73" spans="1:24">
      <c r="L73" s="8"/>
      <c r="M73" s="131"/>
      <c r="N73" s="131"/>
      <c r="O73" s="130"/>
      <c r="P73" s="130"/>
      <c r="Q73" s="148"/>
      <c r="R73"/>
      <c r="S73" s="148"/>
      <c r="T73" s="118"/>
      <c r="U73" s="125"/>
      <c r="V73" s="75"/>
    </row>
    <row r="74" spans="1:24">
      <c r="L74" s="8"/>
      <c r="M74" s="131"/>
      <c r="N74" s="131"/>
      <c r="O74" s="130"/>
      <c r="P74" s="130"/>
      <c r="Q74" s="148"/>
      <c r="R74"/>
      <c r="S74" s="148"/>
      <c r="T74" s="118"/>
      <c r="U74" s="125"/>
      <c r="V74" s="75"/>
    </row>
    <row r="75" spans="1:24">
      <c r="L75" s="8"/>
      <c r="M75" s="131"/>
      <c r="N75" s="131"/>
      <c r="O75" s="130"/>
      <c r="P75" s="130"/>
      <c r="Q75" s="148"/>
      <c r="R75"/>
      <c r="S75" s="148"/>
      <c r="T75" s="118"/>
      <c r="U75" s="125"/>
      <c r="V75" s="75"/>
    </row>
    <row r="76" spans="1:24">
      <c r="L76" s="8"/>
      <c r="M76" s="131"/>
      <c r="N76" s="151"/>
      <c r="O76" s="130"/>
      <c r="P76" s="130"/>
      <c r="Q76" s="148"/>
      <c r="R76"/>
      <c r="S76" s="148"/>
      <c r="T76" s="118"/>
      <c r="U76" s="125"/>
      <c r="V76" s="75"/>
    </row>
    <row r="77" spans="1:24">
      <c r="L77" s="8"/>
      <c r="M77" s="131"/>
      <c r="N77" s="131"/>
      <c r="O77" s="131"/>
      <c r="P77" s="131"/>
      <c r="Q77" s="118"/>
      <c r="R77"/>
      <c r="S77" s="118"/>
      <c r="T77" s="118"/>
      <c r="U77" s="125"/>
      <c r="V77" s="75"/>
    </row>
    <row r="78" spans="1:24">
      <c r="L78" s="8"/>
      <c r="M78" s="131"/>
      <c r="N78" s="131"/>
      <c r="O78" s="131"/>
      <c r="P78" s="131"/>
      <c r="Q78" s="118"/>
      <c r="R78"/>
      <c r="S78" s="118"/>
      <c r="T78" s="118"/>
      <c r="U78" s="125"/>
      <c r="V78" s="75"/>
    </row>
    <row r="79" spans="1:24">
      <c r="L79" s="8"/>
      <c r="M79" s="75"/>
      <c r="O79" s="75"/>
      <c r="P79" s="75"/>
      <c r="Q79" s="118"/>
      <c r="R79"/>
      <c r="S79" s="118"/>
      <c r="T79" s="118"/>
      <c r="V79" s="75"/>
    </row>
    <row r="80" spans="1:24">
      <c r="L80" s="8"/>
      <c r="M80" s="131"/>
      <c r="N80" s="131"/>
      <c r="O80" s="131"/>
      <c r="P80" s="131"/>
      <c r="Q80" s="148"/>
      <c r="R80"/>
      <c r="S80" s="148"/>
      <c r="T80" s="118"/>
      <c r="U80" s="125"/>
      <c r="V80" s="75"/>
    </row>
    <row r="81" spans="12:32">
      <c r="L81" s="8"/>
      <c r="M81" s="131"/>
      <c r="N81" s="131"/>
      <c r="O81" s="131"/>
      <c r="P81" s="131"/>
      <c r="Q81" s="148"/>
      <c r="R81"/>
      <c r="S81" s="148"/>
      <c r="T81" s="118"/>
      <c r="U81" s="125"/>
      <c r="V81" s="75"/>
    </row>
    <row r="82" spans="12:32">
      <c r="L82" s="8"/>
      <c r="M82" s="131"/>
      <c r="N82" s="131"/>
      <c r="O82" s="131"/>
      <c r="P82" s="131"/>
      <c r="Q82" s="118"/>
      <c r="R82"/>
      <c r="S82" s="118"/>
      <c r="T82" s="118"/>
      <c r="U82" s="125"/>
      <c r="V82" s="75"/>
    </row>
    <row r="83" spans="12:32">
      <c r="L83" s="8"/>
      <c r="M83" s="4"/>
      <c r="O83" s="75"/>
      <c r="P83" s="75"/>
      <c r="Q83" s="148"/>
      <c r="R83"/>
      <c r="S83" s="75"/>
      <c r="T83" s="118"/>
      <c r="V83" s="75"/>
    </row>
    <row r="84" spans="12:32">
      <c r="L84" s="8"/>
      <c r="M84" s="16"/>
      <c r="N84" s="151"/>
      <c r="O84" s="150"/>
      <c r="P84" s="150"/>
      <c r="Q84" s="118"/>
      <c r="R84"/>
      <c r="S84" s="118"/>
      <c r="T84" s="148"/>
      <c r="U84" s="125"/>
      <c r="V84" s="75"/>
    </row>
    <row r="85" spans="12:32">
      <c r="L85" s="8"/>
      <c r="M85" s="131"/>
      <c r="N85" s="131"/>
      <c r="O85" s="131"/>
      <c r="P85" s="131"/>
      <c r="Q85" s="148"/>
      <c r="R85"/>
      <c r="S85" s="148"/>
      <c r="T85" s="118"/>
      <c r="U85" s="125"/>
      <c r="V85" s="75"/>
    </row>
    <row r="86" spans="12:32">
      <c r="L86" s="8"/>
      <c r="M86" s="4"/>
      <c r="N86" s="131"/>
      <c r="O86" s="75"/>
      <c r="P86" s="75"/>
      <c r="Q86" s="148"/>
      <c r="R86"/>
      <c r="S86" s="75"/>
      <c r="T86" s="118"/>
      <c r="V86" s="75"/>
    </row>
    <row r="87" spans="12:32">
      <c r="L87" s="8"/>
      <c r="M87" s="130"/>
      <c r="N87" s="131"/>
      <c r="O87" s="130"/>
      <c r="P87" s="130"/>
      <c r="Q87" s="118"/>
      <c r="R87"/>
      <c r="S87" s="148"/>
      <c r="T87" s="118"/>
      <c r="V87" s="130"/>
      <c r="AF87" s="125"/>
    </row>
    <row r="88" spans="12:32">
      <c r="L88" s="8"/>
      <c r="M88" s="131"/>
      <c r="N88" s="131"/>
      <c r="O88" s="130"/>
      <c r="P88" s="130"/>
      <c r="Q88" s="118"/>
      <c r="R88"/>
      <c r="S88" s="148"/>
      <c r="T88" s="118"/>
      <c r="U88" s="125"/>
      <c r="V88" s="130"/>
    </row>
    <row r="89" spans="12:32">
      <c r="L89" s="8"/>
      <c r="M89" s="16"/>
      <c r="N89" s="151"/>
      <c r="O89" s="150"/>
      <c r="P89" s="150"/>
      <c r="Q89" s="118"/>
      <c r="R89"/>
      <c r="S89" s="118"/>
      <c r="T89" s="118"/>
      <c r="U89" s="125"/>
      <c r="V89" s="75"/>
    </row>
    <row r="90" spans="12:32">
      <c r="L90" s="8"/>
      <c r="M90" s="131"/>
      <c r="N90" s="131"/>
      <c r="O90" s="130"/>
      <c r="P90" s="130"/>
      <c r="Q90" s="118"/>
      <c r="R90"/>
      <c r="S90" s="148"/>
      <c r="T90" s="118"/>
      <c r="U90" s="125"/>
      <c r="V90" s="75"/>
    </row>
    <row r="91" spans="12:32">
      <c r="L91" s="8"/>
      <c r="M91" s="131"/>
      <c r="N91" s="131"/>
      <c r="O91" s="130"/>
      <c r="P91" s="130"/>
      <c r="Q91" s="118"/>
      <c r="R91"/>
      <c r="S91" s="148"/>
      <c r="T91" s="118"/>
      <c r="U91" s="125"/>
      <c r="V91" s="75"/>
    </row>
    <row r="92" spans="12:32">
      <c r="L92" s="8"/>
      <c r="M92" s="131"/>
      <c r="N92" s="131"/>
      <c r="O92" s="130"/>
      <c r="P92" s="130"/>
      <c r="Q92" s="148"/>
      <c r="R92"/>
      <c r="S92" s="148"/>
      <c r="T92" s="118"/>
      <c r="U92" s="125"/>
      <c r="V92" s="75"/>
    </row>
    <row r="93" spans="12:32">
      <c r="L93" s="8"/>
      <c r="M93" s="131"/>
      <c r="N93" s="131"/>
      <c r="O93" s="130"/>
      <c r="P93" s="130"/>
      <c r="Q93" s="148"/>
      <c r="R93"/>
      <c r="S93" s="148"/>
      <c r="T93" s="118"/>
      <c r="U93" s="125"/>
      <c r="V93" s="75"/>
    </row>
    <row r="94" spans="12:32">
      <c r="L94" s="8"/>
      <c r="M94" s="131"/>
      <c r="N94" s="131"/>
      <c r="O94" s="131"/>
      <c r="P94" s="131"/>
      <c r="Q94" s="118"/>
      <c r="R94"/>
      <c r="S94" s="118"/>
      <c r="T94" s="118"/>
      <c r="U94" s="125"/>
      <c r="V94" s="75"/>
    </row>
    <row r="95" spans="12:32">
      <c r="L95" s="8"/>
      <c r="M95" s="75"/>
      <c r="O95" s="75"/>
      <c r="P95" s="75"/>
      <c r="Q95" s="118"/>
      <c r="R95"/>
      <c r="S95" s="118"/>
      <c r="T95" s="148"/>
      <c r="U95" s="125"/>
      <c r="V95" s="75"/>
    </row>
    <row r="96" spans="12:32">
      <c r="L96" s="8"/>
      <c r="M96" s="75"/>
      <c r="O96" s="75"/>
      <c r="P96" s="75"/>
      <c r="Q96" s="118"/>
      <c r="R96"/>
      <c r="S96" s="118"/>
      <c r="T96" s="118"/>
      <c r="V96" s="75"/>
    </row>
    <row r="97" spans="12:22">
      <c r="L97" s="8"/>
      <c r="M97" s="131"/>
      <c r="N97" s="131"/>
      <c r="O97" s="131"/>
      <c r="P97" s="131"/>
      <c r="Q97" s="118"/>
      <c r="R97"/>
      <c r="S97" s="118"/>
      <c r="T97" s="118"/>
      <c r="U97" s="125"/>
      <c r="V97" s="75"/>
    </row>
    <row r="98" spans="12:22">
      <c r="L98" s="8"/>
      <c r="M98" s="131"/>
      <c r="N98" s="131"/>
      <c r="O98" s="131"/>
      <c r="P98" s="131"/>
      <c r="Q98" s="148"/>
      <c r="R98"/>
      <c r="S98" s="148"/>
      <c r="T98" s="118"/>
      <c r="U98" s="125"/>
      <c r="V98" s="75"/>
    </row>
    <row r="99" spans="12:22">
      <c r="L99" s="8"/>
      <c r="M99" s="131"/>
      <c r="N99" s="131"/>
      <c r="O99" s="131"/>
      <c r="P99" s="131"/>
      <c r="Q99" s="148"/>
      <c r="R99"/>
      <c r="S99" s="148"/>
      <c r="T99" s="118"/>
      <c r="U99" s="125"/>
      <c r="V99" s="75"/>
    </row>
    <row r="100" spans="12:22">
      <c r="L100" s="8"/>
      <c r="M100" s="131"/>
      <c r="N100" s="131"/>
      <c r="O100" s="131"/>
      <c r="P100" s="131"/>
      <c r="Q100" s="148"/>
      <c r="R100"/>
      <c r="S100" s="148"/>
      <c r="T100" s="118"/>
      <c r="U100" s="125"/>
      <c r="V100" s="75"/>
    </row>
    <row r="101" spans="12:22">
      <c r="L101" s="8"/>
      <c r="M101" s="128"/>
      <c r="N101" s="131"/>
      <c r="O101" s="128"/>
      <c r="P101" s="128"/>
      <c r="Q101" s="118"/>
      <c r="R101"/>
      <c r="S101" s="118"/>
      <c r="T101" s="118"/>
      <c r="V101" s="75"/>
    </row>
    <row r="102" spans="12:22">
      <c r="L102" s="8"/>
      <c r="M102" s="102"/>
      <c r="N102" s="151"/>
      <c r="O102" s="102"/>
      <c r="P102" s="102"/>
      <c r="Q102" s="118"/>
      <c r="R102"/>
      <c r="S102" s="118"/>
      <c r="T102" s="118"/>
      <c r="U102" s="125"/>
      <c r="V102" s="75"/>
    </row>
    <row r="103" spans="12:22">
      <c r="L103" s="8"/>
      <c r="M103" s="131"/>
      <c r="N103" s="131"/>
      <c r="O103" s="131"/>
      <c r="P103" s="131"/>
      <c r="Q103" s="118"/>
      <c r="R103"/>
      <c r="S103" s="118"/>
      <c r="T103" s="118"/>
      <c r="U103" s="125"/>
      <c r="V103" s="75"/>
    </row>
    <row r="104" spans="12:22">
      <c r="L104" s="8"/>
      <c r="M104" s="16"/>
      <c r="N104" s="151"/>
      <c r="O104" s="150"/>
      <c r="P104" s="150"/>
      <c r="Q104" s="118"/>
      <c r="R104"/>
      <c r="S104" s="118"/>
      <c r="T104" s="118"/>
      <c r="U104" s="125"/>
      <c r="V104" s="75"/>
    </row>
    <row r="105" spans="12:22">
      <c r="L105" s="8"/>
      <c r="M105" s="130"/>
      <c r="N105" s="131"/>
      <c r="O105" s="130"/>
      <c r="P105" s="130"/>
      <c r="Q105" s="118"/>
      <c r="R105"/>
      <c r="S105" s="118"/>
      <c r="T105" s="118"/>
      <c r="V105" s="75"/>
    </row>
    <row r="106" spans="12:22">
      <c r="L106" s="8"/>
      <c r="M106" s="130"/>
      <c r="N106" s="131"/>
      <c r="O106" s="130"/>
      <c r="P106" s="130"/>
      <c r="Q106" s="118"/>
      <c r="R106"/>
      <c r="S106" s="118"/>
      <c r="T106" s="118"/>
      <c r="U106" s="125"/>
      <c r="V106" s="75"/>
    </row>
    <row r="107" spans="12:22">
      <c r="L107" s="8"/>
      <c r="M107" s="131"/>
      <c r="N107" s="131"/>
      <c r="O107" s="131"/>
      <c r="P107" s="131"/>
      <c r="Q107" s="148"/>
      <c r="R107"/>
      <c r="S107" s="148"/>
      <c r="T107" s="118"/>
      <c r="U107" s="125"/>
      <c r="V107" s="75"/>
    </row>
    <row r="108" spans="12:22">
      <c r="L108" s="8"/>
      <c r="M108" s="128"/>
      <c r="N108" s="131"/>
      <c r="O108" s="128"/>
      <c r="P108" s="128"/>
      <c r="Q108" s="118"/>
      <c r="R108"/>
      <c r="S108" s="118"/>
      <c r="T108" s="118"/>
      <c r="U108" s="125"/>
      <c r="V108" s="75"/>
    </row>
    <row r="109" spans="12:22">
      <c r="L109" s="8"/>
      <c r="M109" s="16"/>
      <c r="N109" s="151"/>
      <c r="O109" s="150"/>
      <c r="P109" s="150"/>
      <c r="Q109" s="118"/>
      <c r="R109"/>
      <c r="S109" s="118"/>
      <c r="T109" s="148"/>
      <c r="U109" s="125"/>
      <c r="V109" s="75"/>
    </row>
    <row r="110" spans="12:22">
      <c r="L110" s="8"/>
      <c r="M110" s="75"/>
      <c r="O110" s="75"/>
      <c r="P110" s="75"/>
      <c r="Q110" s="118"/>
      <c r="R110"/>
      <c r="S110" s="118"/>
      <c r="T110" s="118"/>
      <c r="V110" s="75"/>
    </row>
    <row r="111" spans="12:22">
      <c r="L111" s="8"/>
      <c r="M111" s="130"/>
      <c r="N111" s="131"/>
      <c r="O111" s="130"/>
      <c r="P111" s="130"/>
      <c r="Q111" s="118"/>
      <c r="R111"/>
      <c r="S111" s="148"/>
      <c r="T111" s="118"/>
    </row>
    <row r="112" spans="12:22">
      <c r="Q112" s="118"/>
      <c r="R112" s="118"/>
      <c r="S112" s="118"/>
      <c r="T112" s="118"/>
    </row>
    <row r="1832" spans="17:17">
      <c r="Q1832" s="77">
        <v>1155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H2951">
        <v>4</v>
      </c>
      <c r="BV2951" t="str">
        <f>IF($BH2951&lt;&gt;"","",SUMIF(#REF!,$BL2951,#REF!)-N2951)</f>
        <v/>
      </c>
      <c r="BW2951" t="str">
        <f>IF($BH2951&lt;&gt;"","",SUMIF(#REF!,$BL2951,#REF!)-O2951)</f>
        <v/>
      </c>
      <c r="BX2951" t="str">
        <f>IF($BH2951&lt;&gt;"","",SUMIF(#REF!,$BL2951,#REF!)-P2951)</f>
        <v/>
      </c>
      <c r="BY2951" t="str">
        <f>IF($BH2951&lt;&gt;"","",SUMIF(#REF!,$BL2951,#REF!)-Q2951)</f>
        <v/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</sheetData>
  <phoneticPr fontId="8"/>
  <hyperlinks>
    <hyperlink ref="X39" r:id="rId1"/>
  </hyperlinks>
  <pageMargins left="0.75" right="0.75" top="1" bottom="1" header="0.5" footer="0.5"/>
  <pageSetup orientation="portrait" horizontalDpi="4294967292" verticalDpi="4294967292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D19" sqref="D19"/>
    </sheetView>
  </sheetViews>
  <sheetFormatPr baseColWidth="10" defaultRowHeight="13" x14ac:dyDescent="0"/>
  <cols>
    <col min="2" max="2" width="5" bestFit="1" customWidth="1"/>
    <col min="4" max="4" width="152.28515625" bestFit="1" customWidth="1"/>
  </cols>
  <sheetData>
    <row r="1" spans="1:4">
      <c r="A1" s="103" t="s">
        <v>2127</v>
      </c>
      <c r="B1" s="103" t="s">
        <v>4402</v>
      </c>
      <c r="C1" s="103" t="s">
        <v>711</v>
      </c>
      <c r="D1" s="103" t="s">
        <v>4401</v>
      </c>
    </row>
    <row r="2" spans="1:4">
      <c r="A2" s="163">
        <v>41304</v>
      </c>
      <c r="B2">
        <v>0.96</v>
      </c>
      <c r="C2" t="s">
        <v>661</v>
      </c>
      <c r="D2" t="s">
        <v>4403</v>
      </c>
    </row>
    <row r="3" spans="1:4">
      <c r="A3" s="163">
        <v>41304</v>
      </c>
      <c r="B3">
        <v>0.96</v>
      </c>
      <c r="C3" t="s">
        <v>1100</v>
      </c>
      <c r="D3" t="s">
        <v>4404</v>
      </c>
    </row>
    <row r="4" spans="1:4">
      <c r="A4" s="163">
        <v>41304</v>
      </c>
      <c r="B4">
        <v>0.96</v>
      </c>
      <c r="C4" t="s">
        <v>2756</v>
      </c>
      <c r="D4" t="s">
        <v>4409</v>
      </c>
    </row>
    <row r="5" spans="1:4">
      <c r="A5" s="163">
        <v>41304</v>
      </c>
      <c r="B5">
        <v>0.96</v>
      </c>
      <c r="C5" t="s">
        <v>192</v>
      </c>
      <c r="D5" t="s">
        <v>4405</v>
      </c>
    </row>
    <row r="6" spans="1:4">
      <c r="A6" s="163">
        <v>41304</v>
      </c>
      <c r="B6">
        <v>0.96</v>
      </c>
      <c r="C6" t="s">
        <v>1019</v>
      </c>
      <c r="D6" t="s">
        <v>4406</v>
      </c>
    </row>
    <row r="7" spans="1:4">
      <c r="A7" s="125">
        <v>41299</v>
      </c>
      <c r="B7">
        <v>1</v>
      </c>
      <c r="C7" t="s">
        <v>2629</v>
      </c>
      <c r="D7" t="s">
        <v>4427</v>
      </c>
    </row>
    <row r="8" spans="1:4">
      <c r="A8" s="125">
        <v>41299</v>
      </c>
      <c r="B8">
        <v>1</v>
      </c>
      <c r="C8" t="s">
        <v>1533</v>
      </c>
      <c r="D8" t="s">
        <v>4410</v>
      </c>
    </row>
    <row r="9" spans="1:4">
      <c r="A9" s="125">
        <v>41299</v>
      </c>
      <c r="B9">
        <v>1</v>
      </c>
      <c r="C9" t="s">
        <v>1155</v>
      </c>
      <c r="D9" t="s">
        <v>4411</v>
      </c>
    </row>
    <row r="10" spans="1:4">
      <c r="A10" s="125">
        <v>41299</v>
      </c>
      <c r="B10">
        <v>1</v>
      </c>
      <c r="C10" t="s">
        <v>661</v>
      </c>
      <c r="D10" t="s">
        <v>4412</v>
      </c>
    </row>
    <row r="11" spans="1:4">
      <c r="A11" s="125">
        <v>41299</v>
      </c>
      <c r="B11">
        <v>1</v>
      </c>
      <c r="C11" t="s">
        <v>661</v>
      </c>
      <c r="D11" t="s">
        <v>4417</v>
      </c>
    </row>
    <row r="12" spans="1:4">
      <c r="A12" s="125">
        <v>41299</v>
      </c>
      <c r="B12">
        <v>1</v>
      </c>
      <c r="C12" t="s">
        <v>150</v>
      </c>
      <c r="D12" t="s">
        <v>4413</v>
      </c>
    </row>
    <row r="13" spans="1:4">
      <c r="A13" s="125">
        <v>41299</v>
      </c>
      <c r="B13">
        <v>1</v>
      </c>
      <c r="C13" t="s">
        <v>2599</v>
      </c>
      <c r="D13" t="s">
        <v>4429</v>
      </c>
    </row>
    <row r="14" spans="1:4">
      <c r="A14" s="125">
        <v>41299</v>
      </c>
      <c r="B14">
        <v>1</v>
      </c>
      <c r="C14" t="s">
        <v>1100</v>
      </c>
      <c r="D14" t="s">
        <v>4423</v>
      </c>
    </row>
    <row r="15" spans="1:4">
      <c r="A15" s="125">
        <v>41299</v>
      </c>
      <c r="B15">
        <v>1</v>
      </c>
      <c r="C15" t="s">
        <v>2710</v>
      </c>
      <c r="D15" t="s">
        <v>4424</v>
      </c>
    </row>
    <row r="16" spans="1:4">
      <c r="A16" s="125">
        <v>41299</v>
      </c>
      <c r="B16">
        <v>1</v>
      </c>
      <c r="C16" t="s">
        <v>192</v>
      </c>
      <c r="D16" t="s">
        <v>4415</v>
      </c>
    </row>
    <row r="17" spans="1:4">
      <c r="A17" s="125">
        <v>41299</v>
      </c>
      <c r="B17">
        <v>1</v>
      </c>
      <c r="C17" t="s">
        <v>736</v>
      </c>
      <c r="D17" t="s">
        <v>4428</v>
      </c>
    </row>
    <row r="18" spans="1:4">
      <c r="A18" s="125">
        <v>41299</v>
      </c>
      <c r="B18">
        <v>1</v>
      </c>
      <c r="C18" t="s">
        <v>736</v>
      </c>
      <c r="D18" t="s">
        <v>4414</v>
      </c>
    </row>
    <row r="19" spans="1:4">
      <c r="A19" s="125">
        <v>41299</v>
      </c>
      <c r="B19">
        <v>1</v>
      </c>
      <c r="C19" t="s">
        <v>1019</v>
      </c>
      <c r="D19" t="s">
        <v>4431</v>
      </c>
    </row>
    <row r="20" spans="1:4">
      <c r="A20" s="125">
        <v>41299</v>
      </c>
      <c r="B20">
        <v>1</v>
      </c>
      <c r="C20" t="s">
        <v>1114</v>
      </c>
      <c r="D20" t="s">
        <v>4422</v>
      </c>
    </row>
    <row r="21" spans="1:4">
      <c r="A21" s="125">
        <v>41299</v>
      </c>
      <c r="B21">
        <v>1</v>
      </c>
      <c r="C21" t="s">
        <v>492</v>
      </c>
      <c r="D21" t="s">
        <v>4416</v>
      </c>
    </row>
    <row r="22" spans="1:4">
      <c r="A22" s="125">
        <v>41299</v>
      </c>
      <c r="B22">
        <v>1</v>
      </c>
      <c r="C22" t="s">
        <v>2357</v>
      </c>
      <c r="D22" t="s">
        <v>4421</v>
      </c>
    </row>
    <row r="23" spans="1:4">
      <c r="A23" s="125"/>
    </row>
    <row r="24" spans="1:4">
      <c r="A24" s="125"/>
    </row>
    <row r="25" spans="1:4">
      <c r="A25" s="125"/>
    </row>
    <row r="26" spans="1:4">
      <c r="A26" s="12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2017-06-28T02:13:46Z</dcterms:modified>
</cp:coreProperties>
</file>